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5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tables/table20.xml" ContentType="application/vnd.openxmlformats-officedocument.spreadsheetml.table+xml"/>
  <Override PartName="/xl/queryTables/queryTable9.xml" ContentType="application/vnd.openxmlformats-officedocument.spreadsheetml.queryTable+xml"/>
  <Override PartName="/xl/tables/table21.xml" ContentType="application/vnd.openxmlformats-officedocument.spreadsheetml.table+xml"/>
  <Override PartName="/xl/queryTables/queryTable10.xml" ContentType="application/vnd.openxmlformats-officedocument.spreadsheetml.query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1.xml" ContentType="application/vnd.openxmlformats-officedocument.spreadsheetml.queryTable+xml"/>
  <Override PartName="/xl/tables/table25.xml" ContentType="application/vnd.openxmlformats-officedocument.spreadsheetml.table+xml"/>
  <Override PartName="/xl/queryTables/queryTable12.xml" ContentType="application/vnd.openxmlformats-officedocument.spreadsheetml.queryTable+xml"/>
  <Override PartName="/xl/tables/table26.xml" ContentType="application/vnd.openxmlformats-officedocument.spreadsheetml.table+xml"/>
  <Override PartName="/xl/queryTables/queryTable13.xml" ContentType="application/vnd.openxmlformats-officedocument.spreadsheetml.query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queryTables/queryTable14.xml" ContentType="application/vnd.openxmlformats-officedocument.spreadsheetml.queryTable+xml"/>
  <Override PartName="/xl/tables/table29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nycha.sharepoint.com/sites/WMPImplementation/Shared Documents/Capital Planning/"/>
    </mc:Choice>
  </mc:AlternateContent>
  <xr:revisionPtr revIDLastSave="624" documentId="13_ncr:1_{F6337E49-691D-44ED-AE8C-A9440A658B58}" xr6:coauthVersionLast="45" xr6:coauthVersionMax="45" xr10:uidLastSave="{904DD477-31FA-4079-8C87-5453A1EB8BCB}"/>
  <bookViews>
    <workbookView xWindow="1104" yWindow="0" windowWidth="21768" windowHeight="12360" tabRatio="681" firstSheet="30" activeTab="9" xr2:uid="{00000000-000D-0000-FFFF-FFFF00000000}"/>
  </bookViews>
  <sheets>
    <sheet name="NRR" sheetId="5" state="hidden" r:id="rId1"/>
    <sheet name="All Future" sheetId="21" r:id="rId2"/>
    <sheet name="Summary Progress Sheet" sheetId="42" r:id="rId3"/>
    <sheet name="HUD WMAP Tracking" sheetId="50" r:id="rId4"/>
    <sheet name="Yearly Breakdown" sheetId="31" r:id="rId5"/>
    <sheet name="FWD All" sheetId="18" r:id="rId6"/>
    <sheet name="EHD All" sheetId="38" r:id="rId7"/>
    <sheet name="Interiors All" sheetId="39" r:id="rId8"/>
    <sheet name="Waste Yards All" sheetId="40" r:id="rId9"/>
    <sheet name="Unit Costs" sheetId="29" r:id="rId10"/>
    <sheet name="tonnage data" sheetId="45" state="hidden" r:id="rId11"/>
    <sheet name="development data book" sheetId="26" state="hidden" r:id="rId12"/>
    <sheet name="PACT Pipeline" sheetId="43" r:id="rId13"/>
    <sheet name="Data Key" sheetId="20" r:id="rId14"/>
    <sheet name="EHD Non-Fed" sheetId="19" r:id="rId15"/>
    <sheet name="Int. Comp Fed" sheetId="13" r:id="rId16"/>
    <sheet name="NRR Extension" sheetId="6" state="hidden" r:id="rId17"/>
    <sheet name="year pivot" sheetId="16" state="hidden" r:id="rId18"/>
    <sheet name="borough pivot" sheetId="11" state="hidden" r:id="rId19"/>
    <sheet name="NRR round pivot" sheetId="15" state="hidden" r:id="rId20"/>
    <sheet name="Int. Comp Non-Fed" sheetId="36" r:id="rId21"/>
    <sheet name="CPD Report Interiors" sheetId="46" state="hidden" r:id="rId22"/>
    <sheet name="Waste Yards Fed" sheetId="17" r:id="rId23"/>
    <sheet name="extcomp MRST" sheetId="28" state="hidden" r:id="rId24"/>
    <sheet name="intcomp MRST" sheetId="27" state="hidden" r:id="rId25"/>
    <sheet name="intcomp PNA" sheetId="25" state="hidden" r:id="rId26"/>
    <sheet name="extcomp PNA" sheetId="24" state="hidden" r:id="rId27"/>
    <sheet name="IC RAD" sheetId="23" state="hidden" r:id="rId28"/>
    <sheet name="Ext. Compactor Pipeline" sheetId="14" state="hidden" r:id="rId29"/>
    <sheet name="Waste Yards Non-Fed" sheetId="37" r:id="rId30"/>
    <sheet name="CPD Report Exteriors" sheetId="47" state="hidden" r:id="rId31"/>
    <sheet name="CPD Report Bulk" sheetId="48" state="hidden" r:id="rId32"/>
    <sheet name="CPD Report Slabs" sheetId="49" state="hidden" r:id="rId33"/>
    <sheet name="Unit Cost Summary" sheetId="12" state="hidden" r:id="rId34"/>
    <sheet name="OpsList" sheetId="30" state="hidden" r:id="rId35"/>
    <sheet name="Development Data" sheetId="7" r:id="rId36"/>
  </sheets>
  <externalReferences>
    <externalReference r:id="rId37"/>
    <externalReference r:id="rId38"/>
    <externalReference r:id="rId39"/>
  </externalReferences>
  <definedNames>
    <definedName name="_xlnm._FilterDatabase" localSheetId="0" hidden="1">NRR!$A$4:$S$303</definedName>
    <definedName name="ExternalData_1" localSheetId="21" hidden="1">'CPD Report Interiors'!$A$2:$V$34</definedName>
    <definedName name="ExternalData_1" localSheetId="27" hidden="1">'IC RAD'!$A$1:$I$160</definedName>
    <definedName name="ExternalData_1" localSheetId="34" hidden="1">OpsList!$A$2:$U$313</definedName>
    <definedName name="ExternalData_1" localSheetId="12" hidden="1">'PACT Pipeline'!$A$1:$E$207</definedName>
    <definedName name="ExternalData_1" localSheetId="10" hidden="1">'tonnage data'!$A$1:$LG$163</definedName>
    <definedName name="ExternalData_1" localSheetId="9" hidden="1">'Unit Costs'!$A$2:$L$21</definedName>
    <definedName name="ExternalData_2" localSheetId="30" hidden="1">'CPD Report Exteriors'!$A$1:$V$18</definedName>
    <definedName name="ExternalData_2" localSheetId="26" hidden="1">'extcomp PNA'!$A$1:$P$117</definedName>
    <definedName name="ExternalData_3" localSheetId="31" hidden="1">'CPD Report Bulk'!$A$1:$V$6</definedName>
    <definedName name="ExternalData_3" localSheetId="25" hidden="1">'intcomp PNA'!$A$1:$O$301</definedName>
    <definedName name="ExternalData_4" localSheetId="32" hidden="1">'CPD Report Slabs'!$A$1:$V$10</definedName>
    <definedName name="ExternalData_4" localSheetId="11" hidden="1">'development data book'!$A$2:$AY$325</definedName>
    <definedName name="ExternalData_4" localSheetId="24" hidden="1">'intcomp MRST'!$A$1:$E$279</definedName>
    <definedName name="ExternalData_5" localSheetId="23" hidden="1">'extcomp MRST'!$A$1:$E$279</definedName>
  </definedNames>
  <calcPr calcId="191028" calcCompleted="0"/>
  <pivotCaches>
    <pivotCache cacheId="12579" r:id="rId4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" i="49" l="1"/>
  <c r="W3" i="49"/>
  <c r="W4" i="49"/>
  <c r="W5" i="49"/>
  <c r="W6" i="49"/>
  <c r="W7" i="49"/>
  <c r="W8" i="49"/>
  <c r="W9" i="49"/>
  <c r="W10" i="49"/>
  <c r="W2" i="48"/>
  <c r="W3" i="48"/>
  <c r="W4" i="48"/>
  <c r="W5" i="48"/>
  <c r="W6" i="48"/>
  <c r="W2" i="47"/>
  <c r="W3" i="47"/>
  <c r="W4" i="47"/>
  <c r="W5" i="47"/>
  <c r="W6" i="47"/>
  <c r="W7" i="47"/>
  <c r="W8" i="47"/>
  <c r="W9" i="47"/>
  <c r="W10" i="47"/>
  <c r="W11" i="47"/>
  <c r="W12" i="47"/>
  <c r="W13" i="47"/>
  <c r="W14" i="47"/>
  <c r="W15" i="47"/>
  <c r="W16" i="47"/>
  <c r="W17" i="47"/>
  <c r="W18" i="47"/>
  <c r="W3" i="46"/>
  <c r="W4" i="46"/>
  <c r="W5" i="46"/>
  <c r="W6" i="46"/>
  <c r="W7" i="46"/>
  <c r="W8" i="46"/>
  <c r="W9" i="46"/>
  <c r="W10" i="46"/>
  <c r="W11" i="46"/>
  <c r="W12" i="46"/>
  <c r="W13" i="46"/>
  <c r="W14" i="46"/>
  <c r="W15" i="46"/>
  <c r="W16" i="46"/>
  <c r="W17" i="46"/>
  <c r="W18" i="46"/>
  <c r="W19" i="46"/>
  <c r="W20" i="46"/>
  <c r="W21" i="46"/>
  <c r="W22" i="46"/>
  <c r="W23" i="46"/>
  <c r="W24" i="46"/>
  <c r="W25" i="46"/>
  <c r="W26" i="46"/>
  <c r="W27" i="46"/>
  <c r="W28" i="46"/>
  <c r="W29" i="46"/>
  <c r="W30" i="46"/>
  <c r="W31" i="46"/>
  <c r="W32" i="46"/>
  <c r="W33" i="46"/>
  <c r="W34" i="46"/>
  <c r="H9" i="50" l="1"/>
  <c r="C9" i="50"/>
  <c r="C3" i="50"/>
  <c r="C4" i="50"/>
  <c r="R30" i="13"/>
  <c r="R35" i="13"/>
  <c r="R34" i="13"/>
  <c r="R33" i="13"/>
  <c r="R31" i="13"/>
  <c r="R29" i="13"/>
  <c r="R28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2" i="13"/>
  <c r="R11" i="13"/>
  <c r="R10" i="13"/>
  <c r="R9" i="13"/>
  <c r="R8" i="13"/>
  <c r="R7" i="13"/>
  <c r="R6" i="13"/>
  <c r="R5" i="13"/>
  <c r="R4" i="13"/>
  <c r="D6" i="50"/>
  <c r="C6" i="50" s="1"/>
  <c r="D5" i="50"/>
  <c r="H5" i="50" s="1"/>
  <c r="Q59" i="13"/>
  <c r="Q35" i="13"/>
  <c r="Q33" i="13"/>
  <c r="Q31" i="13"/>
  <c r="Q30" i="13"/>
  <c r="Q34" i="13"/>
  <c r="Q29" i="13"/>
  <c r="Q26" i="13"/>
  <c r="Q25" i="13"/>
  <c r="Q24" i="13"/>
  <c r="Q23" i="13"/>
  <c r="Q22" i="13"/>
  <c r="Q21" i="13"/>
  <c r="Q17" i="13"/>
  <c r="Q16" i="13"/>
  <c r="Q14" i="13"/>
  <c r="Q20" i="13"/>
  <c r="Q13" i="13"/>
  <c r="Q19" i="13"/>
  <c r="Q12" i="13"/>
  <c r="Q6" i="13"/>
  <c r="Q18" i="13"/>
  <c r="Q61" i="36"/>
  <c r="Q32" i="36"/>
  <c r="Q15" i="13"/>
  <c r="R61" i="36"/>
  <c r="R32" i="36"/>
  <c r="R13" i="13"/>
  <c r="R59" i="13"/>
  <c r="F6" i="50" l="1"/>
  <c r="H6" i="50" s="1"/>
  <c r="C5" i="50"/>
  <c r="AK120" i="7"/>
  <c r="U4" i="36" l="1"/>
  <c r="U5" i="36"/>
  <c r="U6" i="36"/>
  <c r="U7" i="36"/>
  <c r="U8" i="36"/>
  <c r="U9" i="36"/>
  <c r="U10" i="36"/>
  <c r="U11" i="36"/>
  <c r="U12" i="36"/>
  <c r="U13" i="36"/>
  <c r="U14" i="36"/>
  <c r="U15" i="36"/>
  <c r="U16" i="36"/>
  <c r="U17" i="36"/>
  <c r="U18" i="36"/>
  <c r="U19" i="36"/>
  <c r="U20" i="36"/>
  <c r="U21" i="36"/>
  <c r="U22" i="36"/>
  <c r="U23" i="36"/>
  <c r="U24" i="36"/>
  <c r="U25" i="36"/>
  <c r="U32" i="36"/>
  <c r="U61" i="36"/>
  <c r="U4" i="13" l="1"/>
  <c r="U5" i="13"/>
  <c r="U15" i="13"/>
  <c r="U7" i="13"/>
  <c r="U8" i="13"/>
  <c r="U9" i="13"/>
  <c r="U10" i="13"/>
  <c r="U11" i="13"/>
  <c r="U6" i="13"/>
  <c r="U12" i="13"/>
  <c r="U29" i="13"/>
  <c r="U19" i="13"/>
  <c r="U13" i="13"/>
  <c r="U20" i="13"/>
  <c r="U14" i="13"/>
  <c r="U16" i="13"/>
  <c r="U17" i="13"/>
  <c r="U18" i="13"/>
  <c r="U21" i="13"/>
  <c r="U22" i="13"/>
  <c r="U23" i="13"/>
  <c r="U24" i="13"/>
  <c r="U25" i="13"/>
  <c r="U26" i="13"/>
  <c r="U28" i="13"/>
  <c r="U27" i="13"/>
  <c r="U30" i="13"/>
  <c r="U31" i="13"/>
  <c r="U33" i="13"/>
  <c r="U35" i="13"/>
  <c r="U34" i="13"/>
  <c r="U36" i="13"/>
  <c r="U59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60" i="13"/>
  <c r="U62" i="13"/>
  <c r="AB5" i="17"/>
  <c r="AB6" i="17"/>
  <c r="AB7" i="17"/>
  <c r="AB8" i="17"/>
  <c r="AB9" i="17"/>
  <c r="AB10" i="17"/>
  <c r="AB18" i="17"/>
  <c r="AB11" i="17"/>
  <c r="AB12" i="17"/>
  <c r="AB13" i="17"/>
  <c r="AB14" i="17"/>
  <c r="AB15" i="17"/>
  <c r="AB16" i="17"/>
  <c r="AB31" i="17"/>
  <c r="BO6" i="7" l="1"/>
  <c r="G75" i="38" s="1"/>
  <c r="BO7" i="7"/>
  <c r="G76" i="38" s="1"/>
  <c r="BO8" i="7"/>
  <c r="G77" i="38" s="1"/>
  <c r="BO9" i="7"/>
  <c r="G78" i="38" s="1"/>
  <c r="BO10" i="7"/>
  <c r="G79" i="38" s="1"/>
  <c r="BO11" i="7"/>
  <c r="G80" i="38" s="1"/>
  <c r="BO12" i="7"/>
  <c r="G48" i="38" s="1"/>
  <c r="BO13" i="7"/>
  <c r="G81" i="38" s="1"/>
  <c r="BO14" i="7"/>
  <c r="G82" i="38" s="1"/>
  <c r="BO15" i="7"/>
  <c r="G49" i="38" s="1"/>
  <c r="BO16" i="7"/>
  <c r="G83" i="38" s="1"/>
  <c r="BO17" i="7"/>
  <c r="G84" i="38" s="1"/>
  <c r="BO18" i="7"/>
  <c r="G85" i="38" s="1"/>
  <c r="BO19" i="7"/>
  <c r="G86" i="38" s="1"/>
  <c r="BO20" i="7"/>
  <c r="G87" i="38" s="1"/>
  <c r="BO21" i="7"/>
  <c r="G88" i="38" s="1"/>
  <c r="BO22" i="7"/>
  <c r="G89" i="38" s="1"/>
  <c r="BO23" i="7"/>
  <c r="G90" i="38" s="1"/>
  <c r="BO24" i="7"/>
  <c r="G91" i="38" s="1"/>
  <c r="BO25" i="7"/>
  <c r="G92" i="38" s="1"/>
  <c r="BO26" i="7"/>
  <c r="G93" i="38" s="1"/>
  <c r="BO27" i="7"/>
  <c r="G94" i="38" s="1"/>
  <c r="BO28" i="7"/>
  <c r="G95" i="38" s="1"/>
  <c r="BO29" i="7"/>
  <c r="G96" i="38" s="1"/>
  <c r="BO30" i="7"/>
  <c r="G50" i="38" s="1"/>
  <c r="BO31" i="7"/>
  <c r="G3" i="38" s="1"/>
  <c r="BO32" i="7"/>
  <c r="G97" i="38" s="1"/>
  <c r="BO33" i="7"/>
  <c r="G98" i="38" s="1"/>
  <c r="BO34" i="7"/>
  <c r="G51" i="38" s="1"/>
  <c r="BO35" i="7"/>
  <c r="G99" i="38" s="1"/>
  <c r="BO36" i="7"/>
  <c r="G100" i="38" s="1"/>
  <c r="BO37" i="7"/>
  <c r="G101" i="38" s="1"/>
  <c r="BO38" i="7"/>
  <c r="G4" i="38" s="1"/>
  <c r="BO39" i="7"/>
  <c r="G102" i="38" s="1"/>
  <c r="BO40" i="7"/>
  <c r="G103" i="38" s="1"/>
  <c r="BO41" i="7"/>
  <c r="G104" i="38" s="1"/>
  <c r="BO42" i="7"/>
  <c r="G5" i="38" s="1"/>
  <c r="BO43" i="7"/>
  <c r="G105" i="38" s="1"/>
  <c r="BO44" i="7"/>
  <c r="G106" i="38" s="1"/>
  <c r="BO45" i="7"/>
  <c r="G107" i="38" s="1"/>
  <c r="BO46" i="7"/>
  <c r="G66" i="38" s="1"/>
  <c r="BO47" i="7"/>
  <c r="G108" i="38" s="1"/>
  <c r="BO48" i="7"/>
  <c r="G109" i="38" s="1"/>
  <c r="BO49" i="7"/>
  <c r="G110" i="38" s="1"/>
  <c r="BO50" i="7"/>
  <c r="G6" i="38" s="1"/>
  <c r="BO51" i="7"/>
  <c r="G7" i="38" s="1"/>
  <c r="BO52" i="7"/>
  <c r="G111" i="38" s="1"/>
  <c r="BO53" i="7"/>
  <c r="G112" i="38" s="1"/>
  <c r="BO54" i="7"/>
  <c r="G31" i="38" s="1"/>
  <c r="BO55" i="7"/>
  <c r="BO56" i="7"/>
  <c r="BO57" i="7"/>
  <c r="BO58" i="7"/>
  <c r="G32" i="38" s="1"/>
  <c r="BO59" i="7"/>
  <c r="G67" i="38" s="1"/>
  <c r="BO60" i="7"/>
  <c r="G113" i="38" s="1"/>
  <c r="BO61" i="7"/>
  <c r="G114" i="38" s="1"/>
  <c r="BO62" i="7"/>
  <c r="G115" i="38" s="1"/>
  <c r="BO63" i="7"/>
  <c r="G8" i="38" s="1"/>
  <c r="BO64" i="7"/>
  <c r="G116" i="38" s="1"/>
  <c r="BO65" i="7"/>
  <c r="G117" i="38" s="1"/>
  <c r="BO66" i="7"/>
  <c r="G118" i="38" s="1"/>
  <c r="BO67" i="7"/>
  <c r="G119" i="38" s="1"/>
  <c r="BO68" i="7"/>
  <c r="G68" i="38" s="1"/>
  <c r="BO69" i="7"/>
  <c r="G43" i="38" s="1"/>
  <c r="BO70" i="7"/>
  <c r="G44" i="38" s="1"/>
  <c r="BO71" i="7"/>
  <c r="G69" i="38" s="1"/>
  <c r="BO72" i="7"/>
  <c r="G120" i="38" s="1"/>
  <c r="BO73" i="7"/>
  <c r="G121" i="38" s="1"/>
  <c r="BO74" i="7"/>
  <c r="G70" i="38" s="1"/>
  <c r="BO75" i="7"/>
  <c r="G122" i="38" s="1"/>
  <c r="BO76" i="7"/>
  <c r="G123" i="38" s="1"/>
  <c r="BO77" i="7"/>
  <c r="G124" i="38" s="1"/>
  <c r="BO78" i="7"/>
  <c r="G125" i="38" s="1"/>
  <c r="BO79" i="7"/>
  <c r="G9" i="38" s="1"/>
  <c r="BO80" i="7"/>
  <c r="G126" i="38" s="1"/>
  <c r="BO81" i="7"/>
  <c r="G10" i="38" s="1"/>
  <c r="BO82" i="7"/>
  <c r="G127" i="38" s="1"/>
  <c r="BO83" i="7"/>
  <c r="G128" i="38" s="1"/>
  <c r="BO84" i="7"/>
  <c r="G129" i="38" s="1"/>
  <c r="BO85" i="7"/>
  <c r="G130" i="38" s="1"/>
  <c r="BO86" i="7"/>
  <c r="G11" i="38" s="1"/>
  <c r="BO87" i="7"/>
  <c r="G131" i="38" s="1"/>
  <c r="BO88" i="7"/>
  <c r="G132" i="38" s="1"/>
  <c r="BO89" i="7"/>
  <c r="G133" i="38" s="1"/>
  <c r="BO90" i="7"/>
  <c r="G134" i="38" s="1"/>
  <c r="BO91" i="7"/>
  <c r="G135" i="38" s="1"/>
  <c r="BO92" i="7"/>
  <c r="G136" i="38" s="1"/>
  <c r="BO93" i="7"/>
  <c r="G137" i="38" s="1"/>
  <c r="BO94" i="7"/>
  <c r="G138" i="38" s="1"/>
  <c r="BO95" i="7"/>
  <c r="G52" i="38" s="1"/>
  <c r="BO96" i="7"/>
  <c r="G139" i="38" s="1"/>
  <c r="BO97" i="7"/>
  <c r="G140" i="38" s="1"/>
  <c r="BO98" i="7"/>
  <c r="G141" i="38" s="1"/>
  <c r="BO99" i="7"/>
  <c r="G142" i="38" s="1"/>
  <c r="BO100" i="7"/>
  <c r="G143" i="38" s="1"/>
  <c r="BO101" i="7"/>
  <c r="G144" i="38" s="1"/>
  <c r="BO102" i="7"/>
  <c r="G145" i="38" s="1"/>
  <c r="BO103" i="7"/>
  <c r="G146" i="38" s="1"/>
  <c r="BO104" i="7"/>
  <c r="G147" i="38" s="1"/>
  <c r="BO105" i="7"/>
  <c r="G148" i="38" s="1"/>
  <c r="BO106" i="7"/>
  <c r="G149" i="38" s="1"/>
  <c r="BO107" i="7"/>
  <c r="G150" i="38" s="1"/>
  <c r="BO108" i="7"/>
  <c r="G151" i="38" s="1"/>
  <c r="BO109" i="7"/>
  <c r="G152" i="38" s="1"/>
  <c r="BO110" i="7"/>
  <c r="G153" i="38" s="1"/>
  <c r="BO111" i="7"/>
  <c r="G154" i="38" s="1"/>
  <c r="BO112" i="7"/>
  <c r="G155" i="38" s="1"/>
  <c r="BO113" i="7"/>
  <c r="G156" i="38" s="1"/>
  <c r="BO114" i="7"/>
  <c r="G74" i="38" s="1"/>
  <c r="BO115" i="7"/>
  <c r="G157" i="38" s="1"/>
  <c r="BO116" i="7"/>
  <c r="G158" i="38" s="1"/>
  <c r="BO117" i="7"/>
  <c r="G159" i="38" s="1"/>
  <c r="BO118" i="7"/>
  <c r="G160" i="38" s="1"/>
  <c r="BO119" i="7"/>
  <c r="G161" i="38" s="1"/>
  <c r="BO120" i="7"/>
  <c r="G162" i="38" s="1"/>
  <c r="BO121" i="7"/>
  <c r="G163" i="38" s="1"/>
  <c r="BO122" i="7"/>
  <c r="G164" i="38" s="1"/>
  <c r="BO123" i="7"/>
  <c r="G53" i="38" s="1"/>
  <c r="BO124" i="7"/>
  <c r="G165" i="38" s="1"/>
  <c r="BO125" i="7"/>
  <c r="G166" i="38" s="1"/>
  <c r="BO126" i="7"/>
  <c r="G167" i="38" s="1"/>
  <c r="BO127" i="7"/>
  <c r="G168" i="38" s="1"/>
  <c r="BO128" i="7"/>
  <c r="G169" i="38" s="1"/>
  <c r="BO129" i="7"/>
  <c r="G12" i="38" s="1"/>
  <c r="BO130" i="7"/>
  <c r="G170" i="38" s="1"/>
  <c r="BO131" i="7"/>
  <c r="G171" i="38" s="1"/>
  <c r="BO132" i="7"/>
  <c r="G172" i="38" s="1"/>
  <c r="BO133" i="7"/>
  <c r="G173" i="38" s="1"/>
  <c r="BO134" i="7"/>
  <c r="G174" i="38" s="1"/>
  <c r="BO135" i="7"/>
  <c r="G175" i="38" s="1"/>
  <c r="BO136" i="7"/>
  <c r="G54" i="38" s="1"/>
  <c r="BO137" i="7"/>
  <c r="G176" i="38" s="1"/>
  <c r="BO138" i="7"/>
  <c r="G177" i="38" s="1"/>
  <c r="BO139" i="7"/>
  <c r="G178" i="38" s="1"/>
  <c r="BO140" i="7"/>
  <c r="BO141" i="7"/>
  <c r="G179" i="38" s="1"/>
  <c r="BO142" i="7"/>
  <c r="G180" i="38" s="1"/>
  <c r="BO143" i="7"/>
  <c r="G181" i="38" s="1"/>
  <c r="BO144" i="7"/>
  <c r="G182" i="38" s="1"/>
  <c r="BO145" i="7"/>
  <c r="G183" i="38" s="1"/>
  <c r="BO146" i="7"/>
  <c r="G55" i="38" s="1"/>
  <c r="BO147" i="7"/>
  <c r="G184" i="38" s="1"/>
  <c r="BO148" i="7"/>
  <c r="G185" i="38" s="1"/>
  <c r="BO149" i="7"/>
  <c r="G13" i="38" s="1"/>
  <c r="BO150" i="7"/>
  <c r="G186" i="38" s="1"/>
  <c r="BO151" i="7"/>
  <c r="G33" i="38" s="1"/>
  <c r="BO152" i="7"/>
  <c r="G187" i="38" s="1"/>
  <c r="BO153" i="7"/>
  <c r="G188" i="38" s="1"/>
  <c r="BO154" i="7"/>
  <c r="G189" i="38" s="1"/>
  <c r="BO155" i="7"/>
  <c r="G190" i="38" s="1"/>
  <c r="BO156" i="7"/>
  <c r="G14" i="38" s="1"/>
  <c r="BO157" i="7"/>
  <c r="G34" i="38" s="1"/>
  <c r="BO158" i="7"/>
  <c r="G15" i="38" s="1"/>
  <c r="BO159" i="7"/>
  <c r="G35" i="38" s="1"/>
  <c r="BO160" i="7"/>
  <c r="G191" i="38" s="1"/>
  <c r="BO161" i="7"/>
  <c r="BO162" i="7"/>
  <c r="G192" i="38" s="1"/>
  <c r="BO163" i="7"/>
  <c r="G193" i="38" s="1"/>
  <c r="BO164" i="7"/>
  <c r="G194" i="38" s="1"/>
  <c r="BO165" i="7"/>
  <c r="G195" i="38" s="1"/>
  <c r="BO166" i="7"/>
  <c r="G196" i="38" s="1"/>
  <c r="BO167" i="7"/>
  <c r="G197" i="38" s="1"/>
  <c r="BO168" i="7"/>
  <c r="G198" i="38" s="1"/>
  <c r="BO169" i="7"/>
  <c r="G199" i="38" s="1"/>
  <c r="BO170" i="7"/>
  <c r="G200" i="38" s="1"/>
  <c r="BO171" i="7"/>
  <c r="G56" i="38" s="1"/>
  <c r="BO172" i="7"/>
  <c r="G71" i="38" s="1"/>
  <c r="BO173" i="7"/>
  <c r="G201" i="38" s="1"/>
  <c r="BO174" i="7"/>
  <c r="G72" i="38" s="1"/>
  <c r="BO175" i="7"/>
  <c r="G202" i="38" s="1"/>
  <c r="BO176" i="7"/>
  <c r="G203" i="38" s="1"/>
  <c r="BO177" i="7"/>
  <c r="G204" i="38" s="1"/>
  <c r="BO178" i="7"/>
  <c r="G205" i="38" s="1"/>
  <c r="BO179" i="7"/>
  <c r="G45" i="38" s="1"/>
  <c r="BO180" i="7"/>
  <c r="G206" i="38" s="1"/>
  <c r="BO181" i="7"/>
  <c r="G207" i="38" s="1"/>
  <c r="BO182" i="7"/>
  <c r="G208" i="38" s="1"/>
  <c r="BO183" i="7"/>
  <c r="G209" i="38" s="1"/>
  <c r="BO184" i="7"/>
  <c r="G16" i="38" s="1"/>
  <c r="BO185" i="7"/>
  <c r="G210" i="38" s="1"/>
  <c r="BO186" i="7"/>
  <c r="G36" i="38" s="1"/>
  <c r="BO187" i="7"/>
  <c r="G17" i="38" s="1"/>
  <c r="BO188" i="7"/>
  <c r="G211" i="38" s="1"/>
  <c r="BO189" i="7"/>
  <c r="G18" i="38" s="1"/>
  <c r="BO190" i="7"/>
  <c r="G212" i="38" s="1"/>
  <c r="BO191" i="7"/>
  <c r="G213" i="38" s="1"/>
  <c r="BO192" i="7"/>
  <c r="G214" i="38" s="1"/>
  <c r="BO193" i="7"/>
  <c r="G215" i="38" s="1"/>
  <c r="BO194" i="7"/>
  <c r="G216" i="38" s="1"/>
  <c r="BO195" i="7"/>
  <c r="G37" i="38" s="1"/>
  <c r="BO196" i="7"/>
  <c r="G57" i="38" s="1"/>
  <c r="BO197" i="7"/>
  <c r="G217" i="38" s="1"/>
  <c r="BO198" i="7"/>
  <c r="G58" i="38" s="1"/>
  <c r="BO199" i="7"/>
  <c r="G46" i="38" s="1"/>
  <c r="BO200" i="7"/>
  <c r="G218" i="38" s="1"/>
  <c r="BO201" i="7"/>
  <c r="G19" i="38" s="1"/>
  <c r="BO202" i="7"/>
  <c r="G219" i="38" s="1"/>
  <c r="BO203" i="7"/>
  <c r="G221" i="38" s="1"/>
  <c r="BO204" i="7"/>
  <c r="G222" i="38" s="1"/>
  <c r="BO205" i="7"/>
  <c r="G223" i="38" s="1"/>
  <c r="BO206" i="7"/>
  <c r="G220" i="38" s="1"/>
  <c r="BO207" i="7"/>
  <c r="BO208" i="7"/>
  <c r="G224" i="38" s="1"/>
  <c r="BO209" i="7"/>
  <c r="G225" i="38" s="1"/>
  <c r="BO210" i="7"/>
  <c r="G226" i="38" s="1"/>
  <c r="BO211" i="7"/>
  <c r="G227" i="38" s="1"/>
  <c r="BO212" i="7"/>
  <c r="G228" i="38" s="1"/>
  <c r="BO213" i="7"/>
  <c r="G229" i="38" s="1"/>
  <c r="BO214" i="7"/>
  <c r="G230" i="38" s="1"/>
  <c r="BO215" i="7"/>
  <c r="G231" i="38" s="1"/>
  <c r="BO216" i="7"/>
  <c r="G232" i="38" s="1"/>
  <c r="BO217" i="7"/>
  <c r="BO218" i="7"/>
  <c r="G233" i="38" s="1"/>
  <c r="BO219" i="7"/>
  <c r="G234" i="38" s="1"/>
  <c r="BO220" i="7"/>
  <c r="G235" i="38" s="1"/>
  <c r="BO221" i="7"/>
  <c r="G236" i="38" s="1"/>
  <c r="BO222" i="7"/>
  <c r="G20" i="38" s="1"/>
  <c r="BO223" i="7"/>
  <c r="BO224" i="7"/>
  <c r="G237" i="38" s="1"/>
  <c r="BO225" i="7"/>
  <c r="G238" i="38" s="1"/>
  <c r="BO226" i="7"/>
  <c r="G239" i="38" s="1"/>
  <c r="BO227" i="7"/>
  <c r="G240" i="38" s="1"/>
  <c r="BO228" i="7"/>
  <c r="G241" i="38" s="1"/>
  <c r="BO229" i="7"/>
  <c r="G242" i="38" s="1"/>
  <c r="BO230" i="7"/>
  <c r="G243" i="38" s="1"/>
  <c r="BO231" i="7"/>
  <c r="G244" i="38" s="1"/>
  <c r="BO232" i="7"/>
  <c r="G245" i="38" s="1"/>
  <c r="BO233" i="7"/>
  <c r="G21" i="38" s="1"/>
  <c r="BO234" i="7"/>
  <c r="G246" i="38" s="1"/>
  <c r="BO235" i="7"/>
  <c r="G59" i="38" s="1"/>
  <c r="BO236" i="7"/>
  <c r="G60" i="38" s="1"/>
  <c r="BO237" i="7"/>
  <c r="G22" i="38" s="1"/>
  <c r="BO238" i="7"/>
  <c r="G247" i="38" s="1"/>
  <c r="BO239" i="7"/>
  <c r="G38" i="38" s="1"/>
  <c r="BO240" i="7"/>
  <c r="G61" i="38" s="1"/>
  <c r="BO241" i="7"/>
  <c r="G39" i="38" s="1"/>
  <c r="BO242" i="7"/>
  <c r="G248" i="38" s="1"/>
  <c r="BO243" i="7"/>
  <c r="G249" i="38" s="1"/>
  <c r="BO244" i="7"/>
  <c r="G250" i="38" s="1"/>
  <c r="BO245" i="7"/>
  <c r="G251" i="38" s="1"/>
  <c r="BO246" i="7"/>
  <c r="G252" i="38" s="1"/>
  <c r="BO247" i="7"/>
  <c r="G253" i="38" s="1"/>
  <c r="BO248" i="7"/>
  <c r="G254" i="38" s="1"/>
  <c r="BO249" i="7"/>
  <c r="G255" i="38" s="1"/>
  <c r="BO250" i="7"/>
  <c r="G256" i="38" s="1"/>
  <c r="BO251" i="7"/>
  <c r="G257" i="38" s="1"/>
  <c r="BO252" i="7"/>
  <c r="G62" i="38" s="1"/>
  <c r="BO253" i="7"/>
  <c r="G258" i="38" s="1"/>
  <c r="BO254" i="7"/>
  <c r="G23" i="38" s="1"/>
  <c r="BO255" i="7"/>
  <c r="G40" i="38" s="1"/>
  <c r="BO256" i="7"/>
  <c r="G259" i="38" s="1"/>
  <c r="BO257" i="7"/>
  <c r="G260" i="38" s="1"/>
  <c r="BO258" i="7"/>
  <c r="G261" i="38" s="1"/>
  <c r="BO259" i="7"/>
  <c r="G262" i="38" s="1"/>
  <c r="BO260" i="7"/>
  <c r="G263" i="38" s="1"/>
  <c r="BO261" i="7"/>
  <c r="G264" i="38" s="1"/>
  <c r="BO262" i="7"/>
  <c r="G265" i="38" s="1"/>
  <c r="BO263" i="7"/>
  <c r="G266" i="38" s="1"/>
  <c r="BO264" i="7"/>
  <c r="G267" i="38" s="1"/>
  <c r="BO265" i="7"/>
  <c r="G268" i="38" s="1"/>
  <c r="BO266" i="7"/>
  <c r="G269" i="38" s="1"/>
  <c r="BO267" i="7"/>
  <c r="G270" i="38" s="1"/>
  <c r="BO268" i="7"/>
  <c r="G271" i="38" s="1"/>
  <c r="BO269" i="7"/>
  <c r="G24" i="38" s="1"/>
  <c r="BO270" i="7"/>
  <c r="G41" i="38" s="1"/>
  <c r="BO271" i="7"/>
  <c r="G272" i="38" s="1"/>
  <c r="BO272" i="7"/>
  <c r="G273" i="38" s="1"/>
  <c r="BO273" i="7"/>
  <c r="G274" i="38" s="1"/>
  <c r="BO274" i="7"/>
  <c r="G275" i="38" s="1"/>
  <c r="BO275" i="7"/>
  <c r="G276" i="38" s="1"/>
  <c r="BO276" i="7"/>
  <c r="G73" i="38" s="1"/>
  <c r="BO277" i="7"/>
  <c r="G277" i="38" s="1"/>
  <c r="BO278" i="7"/>
  <c r="G278" i="38" s="1"/>
  <c r="BO279" i="7"/>
  <c r="G279" i="38" s="1"/>
  <c r="BO280" i="7"/>
  <c r="G280" i="38" s="1"/>
  <c r="BO281" i="7"/>
  <c r="G281" i="38" s="1"/>
  <c r="BO282" i="7"/>
  <c r="G47" i="38" s="1"/>
  <c r="BO283" i="7"/>
  <c r="G25" i="38" s="1"/>
  <c r="BO284" i="7"/>
  <c r="G63" i="38" s="1"/>
  <c r="BO285" i="7"/>
  <c r="G26" i="38" s="1"/>
  <c r="BO286" i="7"/>
  <c r="G282" i="38" s="1"/>
  <c r="BO287" i="7"/>
  <c r="G283" i="38" s="1"/>
  <c r="BO288" i="7"/>
  <c r="G284" i="38" s="1"/>
  <c r="BO289" i="7"/>
  <c r="G285" i="38" s="1"/>
  <c r="BO290" i="7"/>
  <c r="G27" i="38" s="1"/>
  <c r="BO291" i="7"/>
  <c r="G286" i="38" s="1"/>
  <c r="BO292" i="7"/>
  <c r="G287" i="38" s="1"/>
  <c r="BO293" i="7"/>
  <c r="G288" i="38" s="1"/>
  <c r="BO294" i="7"/>
  <c r="G28" i="38" s="1"/>
  <c r="BO295" i="7"/>
  <c r="G289" i="38" s="1"/>
  <c r="BO296" i="7"/>
  <c r="G64" i="38" s="1"/>
  <c r="BO297" i="7"/>
  <c r="G290" i="38" s="1"/>
  <c r="BO298" i="7"/>
  <c r="G65" i="38" s="1"/>
  <c r="BO299" i="7"/>
  <c r="G291" i="38" s="1"/>
  <c r="BO300" i="7"/>
  <c r="G292" i="38" s="1"/>
  <c r="BO301" i="7"/>
  <c r="BO302" i="7"/>
  <c r="G293" i="38" s="1"/>
  <c r="BO303" i="7"/>
  <c r="G294" i="38" s="1"/>
  <c r="BO304" i="7"/>
  <c r="G295" i="38" s="1"/>
  <c r="BO305" i="7"/>
  <c r="G296" i="38" s="1"/>
  <c r="BO306" i="7"/>
  <c r="G42" i="38" s="1"/>
  <c r="BO307" i="7"/>
  <c r="G297" i="38" s="1"/>
  <c r="BO308" i="7"/>
  <c r="G298" i="38" s="1"/>
  <c r="BO309" i="7"/>
  <c r="G299" i="38" s="1"/>
  <c r="BO310" i="7"/>
  <c r="G300" i="38" s="1"/>
  <c r="BO311" i="7"/>
  <c r="G301" i="38" s="1"/>
  <c r="BO312" i="7"/>
  <c r="G302" i="38" s="1"/>
  <c r="BO313" i="7"/>
  <c r="G29" i="38" s="1"/>
  <c r="BO314" i="7"/>
  <c r="G303" i="38" s="1"/>
  <c r="BO315" i="7"/>
  <c r="G304" i="38" s="1"/>
  <c r="BO316" i="7"/>
  <c r="G305" i="38" s="1"/>
  <c r="BO317" i="7"/>
  <c r="G306" i="38" s="1"/>
  <c r="BO318" i="7"/>
  <c r="G307" i="38" s="1"/>
  <c r="BO319" i="7"/>
  <c r="G308" i="38" s="1"/>
  <c r="BO320" i="7"/>
  <c r="G30" i="38" s="1"/>
  <c r="BO321" i="7"/>
  <c r="G309" i="38" s="1"/>
  <c r="BO322" i="7"/>
  <c r="G310" i="38" s="1"/>
  <c r="BO323" i="7"/>
  <c r="G311" i="38" s="1"/>
  <c r="BO324" i="7"/>
  <c r="G312" i="38" s="1"/>
  <c r="BO325" i="7"/>
  <c r="G313" i="38" s="1"/>
  <c r="BN6" i="7"/>
  <c r="F3" i="38"/>
  <c r="R16" i="17" l="1"/>
  <c r="F4" i="36"/>
  <c r="F5" i="36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61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32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6" i="36"/>
  <c r="F92" i="36"/>
  <c r="F93" i="36"/>
  <c r="F94" i="36"/>
  <c r="F95" i="36"/>
  <c r="F179" i="36"/>
  <c r="F97" i="36"/>
  <c r="F98" i="36"/>
  <c r="F99" i="36"/>
  <c r="F100" i="36"/>
  <c r="F101" i="36"/>
  <c r="F102" i="36"/>
  <c r="F277" i="36"/>
  <c r="F104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F126" i="36"/>
  <c r="F127" i="36"/>
  <c r="F128" i="36"/>
  <c r="F129" i="36"/>
  <c r="F130" i="36"/>
  <c r="F131" i="36"/>
  <c r="F132" i="36"/>
  <c r="F133" i="36"/>
  <c r="F134" i="36"/>
  <c r="F192" i="36"/>
  <c r="F136" i="36"/>
  <c r="F137" i="36"/>
  <c r="F138" i="36"/>
  <c r="F139" i="36"/>
  <c r="F140" i="36"/>
  <c r="F141" i="36"/>
  <c r="F142" i="36"/>
  <c r="F143" i="36"/>
  <c r="F144" i="36"/>
  <c r="F145" i="36"/>
  <c r="F146" i="36"/>
  <c r="F147" i="36"/>
  <c r="F148" i="36"/>
  <c r="F149" i="36"/>
  <c r="F150" i="36"/>
  <c r="F151" i="36"/>
  <c r="F152" i="36"/>
  <c r="F153" i="36"/>
  <c r="F154" i="36"/>
  <c r="F155" i="36"/>
  <c r="F156" i="36"/>
  <c r="F157" i="36"/>
  <c r="F158" i="36"/>
  <c r="F159" i="36"/>
  <c r="F160" i="36"/>
  <c r="F161" i="36"/>
  <c r="F162" i="36"/>
  <c r="F163" i="36"/>
  <c r="F164" i="36"/>
  <c r="F165" i="36"/>
  <c r="F166" i="36"/>
  <c r="F167" i="36"/>
  <c r="F168" i="36"/>
  <c r="F169" i="36"/>
  <c r="F170" i="36"/>
  <c r="F171" i="36"/>
  <c r="F172" i="36"/>
  <c r="F173" i="36"/>
  <c r="F174" i="36"/>
  <c r="F175" i="36"/>
  <c r="F176" i="36"/>
  <c r="F177" i="36"/>
  <c r="F178" i="36"/>
  <c r="F103" i="36"/>
  <c r="F180" i="36"/>
  <c r="F181" i="36"/>
  <c r="F182" i="36"/>
  <c r="F183" i="36"/>
  <c r="F184" i="36"/>
  <c r="F185" i="36"/>
  <c r="F186" i="36"/>
  <c r="F187" i="36"/>
  <c r="F188" i="36"/>
  <c r="F189" i="36"/>
  <c r="F190" i="36"/>
  <c r="F191" i="36"/>
  <c r="F135" i="36"/>
  <c r="F193" i="36"/>
  <c r="F194" i="36"/>
  <c r="F195" i="36"/>
  <c r="F196" i="36"/>
  <c r="F197" i="36"/>
  <c r="F198" i="36"/>
  <c r="F199" i="36"/>
  <c r="F200" i="36"/>
  <c r="F201" i="36"/>
  <c r="F202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5" i="36"/>
  <c r="F226" i="36"/>
  <c r="F227" i="36"/>
  <c r="F228" i="36"/>
  <c r="F229" i="36"/>
  <c r="F230" i="36"/>
  <c r="F231" i="36"/>
  <c r="F232" i="36"/>
  <c r="F233" i="36"/>
  <c r="F234" i="36"/>
  <c r="F235" i="36"/>
  <c r="F236" i="36"/>
  <c r="F237" i="36"/>
  <c r="F238" i="36"/>
  <c r="F239" i="36"/>
  <c r="F240" i="36"/>
  <c r="F241" i="36"/>
  <c r="F242" i="36"/>
  <c r="F243" i="36"/>
  <c r="F244" i="36"/>
  <c r="F245" i="36"/>
  <c r="F246" i="36"/>
  <c r="F247" i="36"/>
  <c r="F248" i="36"/>
  <c r="F249" i="36"/>
  <c r="F250" i="36"/>
  <c r="F251" i="36"/>
  <c r="F252" i="36"/>
  <c r="F253" i="36"/>
  <c r="F254" i="36"/>
  <c r="F255" i="36"/>
  <c r="F256" i="36"/>
  <c r="F257" i="36"/>
  <c r="F258" i="36"/>
  <c r="F259" i="36"/>
  <c r="F260" i="36"/>
  <c r="F261" i="36"/>
  <c r="F262" i="36"/>
  <c r="F263" i="36"/>
  <c r="F264" i="36"/>
  <c r="F265" i="36"/>
  <c r="F266" i="36"/>
  <c r="F267" i="36"/>
  <c r="F268" i="36"/>
  <c r="F269" i="36"/>
  <c r="F270" i="36"/>
  <c r="F271" i="36"/>
  <c r="F272" i="36"/>
  <c r="F273" i="36"/>
  <c r="F274" i="36"/>
  <c r="F275" i="36"/>
  <c r="F276" i="36"/>
  <c r="F289" i="36"/>
  <c r="F278" i="36"/>
  <c r="F279" i="36"/>
  <c r="F280" i="36"/>
  <c r="F281" i="36"/>
  <c r="F282" i="36"/>
  <c r="F283" i="36"/>
  <c r="F284" i="36"/>
  <c r="F285" i="36"/>
  <c r="F286" i="36"/>
  <c r="F287" i="36"/>
  <c r="F288" i="36"/>
  <c r="F290" i="36"/>
  <c r="F91" i="36"/>
  <c r="F291" i="36"/>
  <c r="F292" i="36"/>
  <c r="F293" i="36"/>
  <c r="F294" i="36"/>
  <c r="F295" i="36"/>
  <c r="F296" i="36"/>
  <c r="F297" i="36"/>
  <c r="F298" i="36"/>
  <c r="F299" i="36"/>
  <c r="F300" i="36"/>
  <c r="F301" i="36"/>
  <c r="F302" i="36"/>
  <c r="F303" i="36"/>
  <c r="F304" i="36"/>
  <c r="F305" i="36"/>
  <c r="F306" i="36"/>
  <c r="F307" i="36"/>
  <c r="F308" i="36"/>
  <c r="F309" i="36"/>
  <c r="F310" i="36"/>
  <c r="F311" i="36"/>
  <c r="F312" i="36"/>
  <c r="F313" i="36"/>
  <c r="F314" i="36"/>
  <c r="F4" i="13"/>
  <c r="F5" i="13"/>
  <c r="F15" i="13"/>
  <c r="F7" i="13"/>
  <c r="F8" i="13"/>
  <c r="F9" i="13"/>
  <c r="F10" i="13"/>
  <c r="F11" i="13"/>
  <c r="F20" i="13"/>
  <c r="F25" i="13"/>
  <c r="F6" i="13"/>
  <c r="F26" i="13"/>
  <c r="F21" i="13"/>
  <c r="F12" i="13"/>
  <c r="F14" i="13"/>
  <c r="F29" i="13"/>
  <c r="F16" i="13"/>
  <c r="F22" i="13"/>
  <c r="F19" i="13"/>
  <c r="F17" i="13"/>
  <c r="F18" i="13"/>
  <c r="F13" i="13"/>
  <c r="F23" i="13"/>
  <c r="F24" i="13"/>
  <c r="F28" i="13"/>
  <c r="F27" i="13"/>
  <c r="F59" i="13"/>
  <c r="F36" i="13"/>
  <c r="F32" i="13"/>
  <c r="F30" i="13"/>
  <c r="F31" i="13"/>
  <c r="F33" i="13"/>
  <c r="F35" i="13"/>
  <c r="F34" i="13"/>
  <c r="F52" i="13"/>
  <c r="F53" i="13"/>
  <c r="F55" i="13"/>
  <c r="F39" i="13"/>
  <c r="F56" i="13"/>
  <c r="F58" i="13"/>
  <c r="F40" i="13"/>
  <c r="F41" i="13"/>
  <c r="F42" i="13"/>
  <c r="F57" i="13"/>
  <c r="F50" i="13"/>
  <c r="F43" i="13"/>
  <c r="F44" i="13"/>
  <c r="F51" i="13"/>
  <c r="F54" i="13"/>
  <c r="F45" i="13"/>
  <c r="F37" i="13"/>
  <c r="F46" i="13"/>
  <c r="F47" i="13"/>
  <c r="F48" i="13"/>
  <c r="F49" i="13"/>
  <c r="F38" i="13"/>
  <c r="F60" i="13"/>
  <c r="F61" i="13"/>
  <c r="F62" i="13"/>
  <c r="F146" i="13"/>
  <c r="F92" i="13"/>
  <c r="F191" i="13"/>
  <c r="F149" i="13"/>
  <c r="F148" i="13"/>
  <c r="F68" i="13"/>
  <c r="F93" i="13"/>
  <c r="F70" i="13"/>
  <c r="F71" i="13"/>
  <c r="F72" i="13"/>
  <c r="F73" i="13"/>
  <c r="F74" i="13"/>
  <c r="F75" i="13"/>
  <c r="F76" i="13"/>
  <c r="F94" i="13"/>
  <c r="F78" i="13"/>
  <c r="F79" i="13"/>
  <c r="F95" i="13"/>
  <c r="F81" i="13"/>
  <c r="F82" i="13"/>
  <c r="F97" i="13"/>
  <c r="F84" i="13"/>
  <c r="F85" i="13"/>
  <c r="F99" i="13"/>
  <c r="F100" i="13"/>
  <c r="F88" i="13"/>
  <c r="F89" i="13"/>
  <c r="F90" i="13"/>
  <c r="F91" i="13"/>
  <c r="F150" i="13"/>
  <c r="F151" i="13"/>
  <c r="F101" i="13"/>
  <c r="F152" i="13"/>
  <c r="F96" i="13"/>
  <c r="F193" i="13"/>
  <c r="F98" i="13"/>
  <c r="F194" i="13"/>
  <c r="F293" i="13"/>
  <c r="F195" i="13"/>
  <c r="F102" i="13"/>
  <c r="F103" i="13"/>
  <c r="F104" i="13"/>
  <c r="F196" i="13"/>
  <c r="F106" i="13"/>
  <c r="F294" i="13"/>
  <c r="F105" i="13"/>
  <c r="F107" i="13"/>
  <c r="F110" i="13"/>
  <c r="F153" i="13"/>
  <c r="F155" i="13"/>
  <c r="F197" i="13"/>
  <c r="F295" i="13"/>
  <c r="F108" i="13"/>
  <c r="F109" i="13"/>
  <c r="F156" i="13"/>
  <c r="F157" i="13"/>
  <c r="F119" i="13"/>
  <c r="F160" i="13"/>
  <c r="F161" i="13"/>
  <c r="F122" i="13"/>
  <c r="F199" i="13"/>
  <c r="F200" i="13"/>
  <c r="F125" i="13"/>
  <c r="F162" i="13"/>
  <c r="F163" i="13"/>
  <c r="F111" i="13"/>
  <c r="F204" i="13"/>
  <c r="F296" i="13"/>
  <c r="F299" i="13"/>
  <c r="F112" i="13"/>
  <c r="F113" i="13"/>
  <c r="F164" i="13"/>
  <c r="F135" i="13"/>
  <c r="F136" i="13"/>
  <c r="F137" i="13"/>
  <c r="F166" i="13"/>
  <c r="F167" i="13"/>
  <c r="F168" i="13"/>
  <c r="F141" i="13"/>
  <c r="F169" i="13"/>
  <c r="F253" i="13"/>
  <c r="F255" i="13"/>
  <c r="F258" i="13"/>
  <c r="F205" i="13"/>
  <c r="F147" i="13"/>
  <c r="F300" i="13"/>
  <c r="F303" i="13"/>
  <c r="F63" i="13"/>
  <c r="F114" i="13"/>
  <c r="F115" i="13"/>
  <c r="F116" i="13"/>
  <c r="F154" i="13"/>
  <c r="F117" i="13"/>
  <c r="F118" i="13"/>
  <c r="F170" i="13"/>
  <c r="F158" i="13"/>
  <c r="F159" i="13"/>
  <c r="F171" i="13"/>
  <c r="F173" i="13"/>
  <c r="F174" i="13"/>
  <c r="F175" i="13"/>
  <c r="F176" i="13"/>
  <c r="F165" i="13"/>
  <c r="F259" i="13"/>
  <c r="F261" i="13"/>
  <c r="F265" i="13"/>
  <c r="F267" i="13"/>
  <c r="F304" i="13"/>
  <c r="F305" i="13"/>
  <c r="F172" i="13"/>
  <c r="F120" i="13"/>
  <c r="F121" i="13"/>
  <c r="F177" i="13"/>
  <c r="F278" i="13"/>
  <c r="F123" i="13"/>
  <c r="F124" i="13"/>
  <c r="F179" i="13"/>
  <c r="F180" i="13"/>
  <c r="F279" i="13"/>
  <c r="F280" i="13"/>
  <c r="F284" i="13"/>
  <c r="F285" i="13"/>
  <c r="F185" i="13"/>
  <c r="F181" i="13"/>
  <c r="F178" i="13"/>
  <c r="F182" i="13"/>
  <c r="F183" i="13"/>
  <c r="F306" i="13"/>
  <c r="F184" i="13"/>
  <c r="F192" i="13"/>
  <c r="F186" i="13"/>
  <c r="F187" i="13"/>
  <c r="F287" i="13"/>
  <c r="F307" i="13"/>
  <c r="F64" i="13"/>
  <c r="F198" i="13"/>
  <c r="F126" i="13"/>
  <c r="F288" i="13"/>
  <c r="F201" i="13"/>
  <c r="F202" i="13"/>
  <c r="F203" i="13"/>
  <c r="F65" i="13"/>
  <c r="F127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128" i="13"/>
  <c r="F254" i="13"/>
  <c r="F129" i="13"/>
  <c r="F256" i="13"/>
  <c r="F257" i="13"/>
  <c r="F130" i="13"/>
  <c r="F131" i="13"/>
  <c r="F260" i="13"/>
  <c r="F291" i="13"/>
  <c r="F262" i="13"/>
  <c r="F263" i="13"/>
  <c r="F264" i="13"/>
  <c r="F132" i="13"/>
  <c r="F266" i="13"/>
  <c r="F133" i="13"/>
  <c r="F268" i="13"/>
  <c r="F269" i="13"/>
  <c r="F270" i="13"/>
  <c r="F271" i="13"/>
  <c r="F272" i="13"/>
  <c r="F273" i="13"/>
  <c r="F274" i="13"/>
  <c r="F275" i="13"/>
  <c r="F276" i="13"/>
  <c r="F277" i="13"/>
  <c r="F134" i="13"/>
  <c r="F188" i="13"/>
  <c r="F66" i="13"/>
  <c r="F281" i="13"/>
  <c r="F282" i="13"/>
  <c r="F283" i="13"/>
  <c r="F189" i="13"/>
  <c r="F138" i="13"/>
  <c r="F286" i="13"/>
  <c r="F67" i="13"/>
  <c r="F69" i="13"/>
  <c r="F289" i="13"/>
  <c r="F290" i="13"/>
  <c r="F139" i="13"/>
  <c r="F77" i="13"/>
  <c r="F80" i="13"/>
  <c r="F140" i="13"/>
  <c r="F142" i="13"/>
  <c r="F292" i="13"/>
  <c r="F297" i="13"/>
  <c r="F298" i="13"/>
  <c r="F143" i="13"/>
  <c r="F144" i="13"/>
  <c r="F301" i="13"/>
  <c r="F302" i="13"/>
  <c r="F83" i="13"/>
  <c r="F145" i="13"/>
  <c r="F190" i="13"/>
  <c r="F86" i="13"/>
  <c r="F87" i="13"/>
  <c r="F308" i="13"/>
  <c r="F309" i="13"/>
  <c r="F310" i="13"/>
  <c r="F311" i="13"/>
  <c r="F312" i="13"/>
  <c r="F313" i="13"/>
  <c r="F314" i="13"/>
  <c r="F5" i="37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F158" i="37"/>
  <c r="F159" i="37"/>
  <c r="F160" i="37"/>
  <c r="F161" i="37"/>
  <c r="F162" i="37"/>
  <c r="F163" i="37"/>
  <c r="F164" i="37"/>
  <c r="F165" i="37"/>
  <c r="F166" i="37"/>
  <c r="F167" i="37"/>
  <c r="F168" i="37"/>
  <c r="F169" i="37"/>
  <c r="F170" i="37"/>
  <c r="F171" i="37"/>
  <c r="F172" i="37"/>
  <c r="F173" i="37"/>
  <c r="F174" i="37"/>
  <c r="F175" i="37"/>
  <c r="F176" i="37"/>
  <c r="F177" i="37"/>
  <c r="F178" i="37"/>
  <c r="F179" i="37"/>
  <c r="F180" i="37"/>
  <c r="F181" i="37"/>
  <c r="F182" i="37"/>
  <c r="F183" i="37"/>
  <c r="F184" i="37"/>
  <c r="F185" i="37"/>
  <c r="F186" i="37"/>
  <c r="F187" i="37"/>
  <c r="F188" i="37"/>
  <c r="F189" i="37"/>
  <c r="F190" i="37"/>
  <c r="F191" i="37"/>
  <c r="F192" i="37"/>
  <c r="F193" i="37"/>
  <c r="F194" i="37"/>
  <c r="F195" i="37"/>
  <c r="F196" i="37"/>
  <c r="F197" i="37"/>
  <c r="F198" i="37"/>
  <c r="F199" i="37"/>
  <c r="F200" i="37"/>
  <c r="F201" i="37"/>
  <c r="F202" i="37"/>
  <c r="F203" i="37"/>
  <c r="F204" i="37"/>
  <c r="F205" i="37"/>
  <c r="F206" i="37"/>
  <c r="F207" i="37"/>
  <c r="F208" i="37"/>
  <c r="F209" i="37"/>
  <c r="F210" i="37"/>
  <c r="F211" i="37"/>
  <c r="F212" i="37"/>
  <c r="F213" i="37"/>
  <c r="F214" i="37"/>
  <c r="F215" i="37"/>
  <c r="F216" i="37"/>
  <c r="F217" i="37"/>
  <c r="F218" i="37"/>
  <c r="F219" i="37"/>
  <c r="F220" i="37"/>
  <c r="F221" i="37"/>
  <c r="F222" i="37"/>
  <c r="F223" i="37"/>
  <c r="F224" i="37"/>
  <c r="F225" i="37"/>
  <c r="F226" i="37"/>
  <c r="F227" i="37"/>
  <c r="F228" i="37"/>
  <c r="F229" i="37"/>
  <c r="F230" i="37"/>
  <c r="F231" i="37"/>
  <c r="F232" i="37"/>
  <c r="F233" i="37"/>
  <c r="F234" i="37"/>
  <c r="F235" i="37"/>
  <c r="F236" i="37"/>
  <c r="F237" i="37"/>
  <c r="F238" i="37"/>
  <c r="F239" i="37"/>
  <c r="F240" i="37"/>
  <c r="F241" i="37"/>
  <c r="F242" i="37"/>
  <c r="F243" i="37"/>
  <c r="F244" i="37"/>
  <c r="F245" i="37"/>
  <c r="F246" i="37"/>
  <c r="F247" i="37"/>
  <c r="F248" i="37"/>
  <c r="F249" i="37"/>
  <c r="F250" i="37"/>
  <c r="F251" i="37"/>
  <c r="F252" i="37"/>
  <c r="F253" i="37"/>
  <c r="F254" i="37"/>
  <c r="F255" i="37"/>
  <c r="F256" i="37"/>
  <c r="F257" i="37"/>
  <c r="F258" i="37"/>
  <c r="F259" i="37"/>
  <c r="F260" i="37"/>
  <c r="F261" i="37"/>
  <c r="F262" i="37"/>
  <c r="F263" i="37"/>
  <c r="F264" i="37"/>
  <c r="F265" i="37"/>
  <c r="F266" i="37"/>
  <c r="F267" i="37"/>
  <c r="F268" i="37"/>
  <c r="F269" i="37"/>
  <c r="F270" i="37"/>
  <c r="F271" i="37"/>
  <c r="F272" i="37"/>
  <c r="F273" i="37"/>
  <c r="F274" i="37"/>
  <c r="F275" i="37"/>
  <c r="F276" i="37"/>
  <c r="F277" i="37"/>
  <c r="F278" i="37"/>
  <c r="F279" i="37"/>
  <c r="F280" i="37"/>
  <c r="F281" i="37"/>
  <c r="F282" i="37"/>
  <c r="F283" i="37"/>
  <c r="F284" i="37"/>
  <c r="F285" i="37"/>
  <c r="F286" i="37"/>
  <c r="F287" i="37"/>
  <c r="F288" i="37"/>
  <c r="F289" i="37"/>
  <c r="F290" i="37"/>
  <c r="F291" i="37"/>
  <c r="F292" i="37"/>
  <c r="F293" i="37"/>
  <c r="F294" i="37"/>
  <c r="F295" i="37"/>
  <c r="F296" i="37"/>
  <c r="F297" i="37"/>
  <c r="F298" i="37"/>
  <c r="F299" i="37"/>
  <c r="F300" i="37"/>
  <c r="F301" i="37"/>
  <c r="F302" i="37"/>
  <c r="F303" i="37"/>
  <c r="F304" i="37"/>
  <c r="F305" i="37"/>
  <c r="F306" i="37"/>
  <c r="F307" i="37"/>
  <c r="F308" i="37"/>
  <c r="F309" i="37"/>
  <c r="F310" i="37"/>
  <c r="F311" i="37"/>
  <c r="F312" i="37"/>
  <c r="F313" i="37"/>
  <c r="F314" i="37"/>
  <c r="F315" i="3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R20" i="17"/>
  <c r="R22" i="17"/>
  <c r="R14" i="17"/>
  <c r="R13" i="17"/>
  <c r="R12" i="17"/>
  <c r="R11" i="17"/>
  <c r="R18" i="17"/>
  <c r="R10" i="17"/>
  <c r="R9" i="17"/>
  <c r="R27" i="17"/>
  <c r="R26" i="17"/>
  <c r="R25" i="17"/>
  <c r="R24" i="17"/>
  <c r="R29" i="17"/>
  <c r="F5" i="17" l="1"/>
  <c r="F105" i="17"/>
  <c r="F6" i="17"/>
  <c r="F7" i="17"/>
  <c r="F8" i="17"/>
  <c r="F17" i="17"/>
  <c r="F108" i="17"/>
  <c r="F20" i="17"/>
  <c r="F11" i="17"/>
  <c r="F14" i="17"/>
  <c r="F9" i="17"/>
  <c r="F12" i="17"/>
  <c r="F10" i="17"/>
  <c r="F18" i="17"/>
  <c r="F19" i="17"/>
  <c r="F13" i="17"/>
  <c r="F22" i="17"/>
  <c r="F24" i="17"/>
  <c r="F25" i="17"/>
  <c r="F21" i="17"/>
  <c r="F26" i="17"/>
  <c r="F23" i="17"/>
  <c r="F27" i="17"/>
  <c r="F40" i="17"/>
  <c r="F34" i="17"/>
  <c r="F44" i="17"/>
  <c r="F31" i="17"/>
  <c r="F45" i="17"/>
  <c r="F28" i="17"/>
  <c r="F42" i="17"/>
  <c r="F60" i="17"/>
  <c r="F48" i="17"/>
  <c r="F49" i="17"/>
  <c r="F65" i="17"/>
  <c r="F51" i="17"/>
  <c r="F50" i="17"/>
  <c r="F32" i="17"/>
  <c r="F66" i="17"/>
  <c r="F47" i="17"/>
  <c r="F67" i="17"/>
  <c r="F16" i="17"/>
  <c r="F33" i="17"/>
  <c r="F29" i="17"/>
  <c r="F39" i="17"/>
  <c r="F41" i="17"/>
  <c r="F46" i="17"/>
  <c r="F43" i="17"/>
  <c r="F61" i="17"/>
  <c r="F74" i="17"/>
  <c r="F64" i="17"/>
  <c r="F55" i="17"/>
  <c r="F73" i="17"/>
  <c r="F30" i="17"/>
  <c r="F52" i="17"/>
  <c r="F59" i="17"/>
  <c r="F75" i="17"/>
  <c r="F63" i="17"/>
  <c r="F53" i="17"/>
  <c r="F68" i="17"/>
  <c r="F54" i="17"/>
  <c r="F35" i="17"/>
  <c r="F72" i="17"/>
  <c r="F56" i="17"/>
  <c r="F69" i="17"/>
  <c r="F38" i="17"/>
  <c r="F36" i="17"/>
  <c r="F70" i="17"/>
  <c r="F71" i="17"/>
  <c r="F57" i="17"/>
  <c r="F58" i="17"/>
  <c r="F37" i="17"/>
  <c r="F90" i="17"/>
  <c r="F62" i="17"/>
  <c r="F92" i="17"/>
  <c r="F76" i="17"/>
  <c r="F93" i="17"/>
  <c r="F94" i="17"/>
  <c r="F95" i="17"/>
  <c r="F77" i="17"/>
  <c r="F96" i="17"/>
  <c r="F97" i="17"/>
  <c r="F98" i="17"/>
  <c r="F99" i="17"/>
  <c r="F103" i="17"/>
  <c r="F100" i="17"/>
  <c r="F101" i="17"/>
  <c r="F134" i="17"/>
  <c r="F78" i="17"/>
  <c r="F133" i="17"/>
  <c r="F135" i="17"/>
  <c r="F106" i="17"/>
  <c r="F136" i="17"/>
  <c r="F107" i="17"/>
  <c r="F102" i="17"/>
  <c r="F137" i="17"/>
  <c r="F109" i="17"/>
  <c r="F141" i="17"/>
  <c r="F79" i="17"/>
  <c r="F80" i="17"/>
  <c r="F104" i="17"/>
  <c r="F81" i="17"/>
  <c r="F142" i="17"/>
  <c r="F112" i="17"/>
  <c r="F143" i="17"/>
  <c r="F114" i="17"/>
  <c r="F144" i="17"/>
  <c r="F146" i="17"/>
  <c r="F119" i="17"/>
  <c r="F115" i="17"/>
  <c r="F116" i="17"/>
  <c r="F117" i="17"/>
  <c r="F118" i="17"/>
  <c r="F140" i="17"/>
  <c r="F121" i="17"/>
  <c r="F148" i="17"/>
  <c r="F138" i="17"/>
  <c r="F139" i="17"/>
  <c r="F87" i="17"/>
  <c r="F82" i="17"/>
  <c r="F120" i="17"/>
  <c r="F149" i="17"/>
  <c r="F83" i="17"/>
  <c r="F125" i="17"/>
  <c r="F127" i="17"/>
  <c r="F122" i="17"/>
  <c r="F123" i="17"/>
  <c r="F129" i="17"/>
  <c r="F124" i="17"/>
  <c r="F151" i="17"/>
  <c r="F152" i="17"/>
  <c r="F88" i="17"/>
  <c r="F84" i="17"/>
  <c r="F110" i="17"/>
  <c r="F111" i="17"/>
  <c r="F130" i="17"/>
  <c r="F126" i="17"/>
  <c r="F85" i="17"/>
  <c r="F128" i="17"/>
  <c r="F132" i="17"/>
  <c r="F157" i="17"/>
  <c r="F145" i="17"/>
  <c r="F15" i="17"/>
  <c r="F147" i="17"/>
  <c r="F113" i="17"/>
  <c r="F86" i="17"/>
  <c r="F150" i="17"/>
  <c r="F89" i="17"/>
  <c r="F131" i="17"/>
  <c r="F153" i="17"/>
  <c r="F154" i="17"/>
  <c r="F155" i="17"/>
  <c r="F91" i="17"/>
  <c r="F166" i="17"/>
  <c r="F156" i="17"/>
  <c r="F165" i="17"/>
  <c r="F158" i="17"/>
  <c r="F167" i="17"/>
  <c r="F173" i="17"/>
  <c r="F162" i="17"/>
  <c r="F164" i="17"/>
  <c r="F159" i="17"/>
  <c r="F175" i="17"/>
  <c r="F160" i="17"/>
  <c r="F161" i="17"/>
  <c r="F169" i="17"/>
  <c r="F170" i="17"/>
  <c r="F176" i="17"/>
  <c r="F174" i="17"/>
  <c r="F168" i="17"/>
  <c r="F171" i="17"/>
  <c r="F172" i="17"/>
  <c r="F163" i="17"/>
  <c r="F227" i="17"/>
  <c r="F230" i="17"/>
  <c r="F268" i="17"/>
  <c r="F179" i="17"/>
  <c r="F180" i="17"/>
  <c r="F231" i="17"/>
  <c r="F192" i="17"/>
  <c r="F275" i="17"/>
  <c r="F245" i="17"/>
  <c r="F191" i="17"/>
  <c r="F240" i="17"/>
  <c r="F242" i="17"/>
  <c r="F243" i="17"/>
  <c r="F276" i="17"/>
  <c r="F277" i="17"/>
  <c r="F246" i="17"/>
  <c r="F247" i="17"/>
  <c r="F278" i="17"/>
  <c r="F279" i="17"/>
  <c r="F248" i="17"/>
  <c r="F249" i="17"/>
  <c r="F281" i="17"/>
  <c r="F241" i="17"/>
  <c r="F204" i="17"/>
  <c r="F282" i="17"/>
  <c r="F250" i="17"/>
  <c r="F203" i="17"/>
  <c r="F251" i="17"/>
  <c r="F208" i="17"/>
  <c r="F252" i="17"/>
  <c r="F273" i="17"/>
  <c r="F283" i="17"/>
  <c r="F244" i="17"/>
  <c r="F210" i="17"/>
  <c r="F253" i="17"/>
  <c r="F177" i="17"/>
  <c r="F225" i="17"/>
  <c r="F226" i="17"/>
  <c r="F294" i="17"/>
  <c r="F228" i="17"/>
  <c r="F267" i="17"/>
  <c r="F295" i="17"/>
  <c r="F229" i="17"/>
  <c r="F220" i="17"/>
  <c r="F178" i="17"/>
  <c r="F272" i="17"/>
  <c r="F185" i="17"/>
  <c r="F186" i="17"/>
  <c r="F181" i="17"/>
  <c r="F269" i="17"/>
  <c r="F187" i="17"/>
  <c r="F188" i="17"/>
  <c r="F232" i="17"/>
  <c r="F182" i="17"/>
  <c r="F270" i="17"/>
  <c r="F296" i="17"/>
  <c r="F233" i="17"/>
  <c r="F271" i="17"/>
  <c r="F189" i="17"/>
  <c r="F190" i="17"/>
  <c r="F183" i="17"/>
  <c r="F234" i="17"/>
  <c r="F239" i="17"/>
  <c r="F184" i="17"/>
  <c r="F297" i="17"/>
  <c r="F238" i="17"/>
  <c r="F235" i="17"/>
  <c r="F236" i="17"/>
  <c r="F237" i="17"/>
  <c r="F298" i="17"/>
  <c r="F286" i="17"/>
  <c r="F274" i="17"/>
  <c r="F209" i="17"/>
  <c r="F211" i="17"/>
  <c r="F212" i="17"/>
  <c r="F213" i="17"/>
  <c r="F254" i="17"/>
  <c r="F193" i="17"/>
  <c r="F299" i="17"/>
  <c r="F300" i="17"/>
  <c r="F215" i="17"/>
  <c r="F301" i="17"/>
  <c r="F302" i="17"/>
  <c r="F303" i="17"/>
  <c r="F304" i="17"/>
  <c r="F305" i="17"/>
  <c r="F263" i="17"/>
  <c r="F261" i="17"/>
  <c r="F194" i="17"/>
  <c r="F255" i="17"/>
  <c r="F264" i="17"/>
  <c r="F256" i="17"/>
  <c r="F218" i="17"/>
  <c r="F214" i="17"/>
  <c r="F262" i="17"/>
  <c r="F216" i="17"/>
  <c r="F195" i="17"/>
  <c r="F287" i="17"/>
  <c r="F196" i="17"/>
  <c r="F306" i="17"/>
  <c r="F197" i="17"/>
  <c r="F308" i="17"/>
  <c r="F198" i="17"/>
  <c r="F280" i="17"/>
  <c r="F199" i="17"/>
  <c r="F309" i="17"/>
  <c r="F265" i="17"/>
  <c r="F284" i="17"/>
  <c r="F285" i="17"/>
  <c r="F310" i="17"/>
  <c r="F257" i="17"/>
  <c r="F288" i="17"/>
  <c r="F219" i="17"/>
  <c r="F266" i="17"/>
  <c r="F258" i="17"/>
  <c r="F200" i="17"/>
  <c r="F221" i="17"/>
  <c r="F312" i="17"/>
  <c r="F290" i="17"/>
  <c r="F222" i="17"/>
  <c r="F201" i="17"/>
  <c r="F223" i="17"/>
  <c r="F291" i="17"/>
  <c r="F292" i="17"/>
  <c r="F259" i="17"/>
  <c r="F289" i="17"/>
  <c r="F260" i="17"/>
  <c r="F293" i="17"/>
  <c r="F314" i="17"/>
  <c r="F307" i="17"/>
  <c r="F202" i="17"/>
  <c r="F205" i="17"/>
  <c r="F315" i="17"/>
  <c r="F224" i="17"/>
  <c r="F311" i="17"/>
  <c r="F313" i="17"/>
  <c r="F217" i="17"/>
  <c r="F206" i="17"/>
  <c r="F207" i="17"/>
  <c r="L3" i="38" l="1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43" i="38"/>
  <c r="L44" i="38"/>
  <c r="L45" i="38"/>
  <c r="L46" i="38"/>
  <c r="L31" i="38"/>
  <c r="L33" i="38"/>
  <c r="L34" i="38"/>
  <c r="L35" i="38"/>
  <c r="L36" i="38"/>
  <c r="L37" i="38"/>
  <c r="L38" i="38"/>
  <c r="L32" i="38"/>
  <c r="L39" i="38"/>
  <c r="L40" i="38"/>
  <c r="L41" i="38"/>
  <c r="L47" i="38"/>
  <c r="L42" i="38"/>
  <c r="L74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43" i="38"/>
  <c r="K44" i="38"/>
  <c r="K46" i="38"/>
  <c r="K31" i="38"/>
  <c r="K33" i="38"/>
  <c r="K34" i="38"/>
  <c r="K35" i="38"/>
  <c r="K36" i="38"/>
  <c r="K37" i="38"/>
  <c r="K38" i="38"/>
  <c r="K32" i="38"/>
  <c r="K39" i="38"/>
  <c r="K40" i="38"/>
  <c r="K41" i="38"/>
  <c r="K47" i="38"/>
  <c r="K42" i="38"/>
  <c r="K48" i="38"/>
  <c r="K49" i="38"/>
  <c r="K50" i="38"/>
  <c r="K51" i="38"/>
  <c r="K66" i="38"/>
  <c r="K67" i="38"/>
  <c r="K68" i="38"/>
  <c r="K69" i="38"/>
  <c r="K70" i="38"/>
  <c r="K52" i="38"/>
  <c r="K53" i="38"/>
  <c r="K55" i="38"/>
  <c r="K56" i="38"/>
  <c r="K71" i="38"/>
  <c r="K72" i="38"/>
  <c r="K57" i="38"/>
  <c r="K58" i="38"/>
  <c r="K59" i="38"/>
  <c r="K61" i="38"/>
  <c r="K62" i="38"/>
  <c r="K73" i="38"/>
  <c r="K63" i="38"/>
  <c r="K65" i="38"/>
  <c r="K89" i="38"/>
  <c r="K97" i="38"/>
  <c r="K103" i="38"/>
  <c r="K104" i="38"/>
  <c r="K116" i="38"/>
  <c r="K117" i="38"/>
  <c r="K121" i="38"/>
  <c r="K131" i="38"/>
  <c r="K132" i="38"/>
  <c r="K133" i="38"/>
  <c r="K167" i="38"/>
  <c r="K188" i="38"/>
  <c r="K189" i="38"/>
  <c r="K196" i="38"/>
  <c r="K202" i="38"/>
  <c r="K205" i="38"/>
  <c r="K209" i="38"/>
  <c r="K217" i="38"/>
  <c r="K227" i="38"/>
  <c r="K250" i="38"/>
  <c r="K252" i="38"/>
  <c r="K266" i="38"/>
  <c r="K267" i="38"/>
  <c r="K274" i="38"/>
  <c r="K291" i="38"/>
  <c r="K78" i="38"/>
  <c r="K107" i="38"/>
  <c r="K110" i="38"/>
  <c r="K115" i="38"/>
  <c r="K119" i="38"/>
  <c r="K129" i="38"/>
  <c r="K140" i="38"/>
  <c r="K74" i="38"/>
  <c r="K160" i="38"/>
  <c r="K54" i="38"/>
  <c r="K176" i="38"/>
  <c r="K187" i="38"/>
  <c r="K190" i="38"/>
  <c r="K195" i="38"/>
  <c r="K201" i="38"/>
  <c r="K211" i="38"/>
  <c r="K215" i="38"/>
  <c r="K216" i="38"/>
  <c r="K231" i="38"/>
  <c r="K234" i="38"/>
  <c r="K235" i="38"/>
  <c r="K237" i="38"/>
  <c r="K60" i="38"/>
  <c r="K247" i="38"/>
  <c r="K251" i="38"/>
  <c r="K262" i="38"/>
  <c r="K282" i="38"/>
  <c r="K286" i="38"/>
  <c r="K289" i="38"/>
  <c r="K64" i="38"/>
  <c r="K290" i="38"/>
  <c r="K306" i="38"/>
  <c r="K108" i="38"/>
  <c r="K109" i="38"/>
  <c r="K126" i="38"/>
  <c r="K142" i="38"/>
  <c r="K143" i="38"/>
  <c r="K144" i="38"/>
  <c r="K156" i="38"/>
  <c r="K157" i="38"/>
  <c r="K163" i="38"/>
  <c r="K179" i="38"/>
  <c r="K185" i="38"/>
  <c r="K198" i="38"/>
  <c r="K200" i="38"/>
  <c r="K210" i="38"/>
  <c r="K214" i="38"/>
  <c r="K219" i="38"/>
  <c r="K228" i="38"/>
  <c r="K79" i="38"/>
  <c r="K80" i="38"/>
  <c r="K85" i="38"/>
  <c r="K88" i="38"/>
  <c r="K92" i="38"/>
  <c r="K95" i="38"/>
  <c r="K100" i="38"/>
  <c r="K102" i="38"/>
  <c r="K118" i="38"/>
  <c r="K122" i="38"/>
  <c r="K124" i="38"/>
  <c r="K130" i="38"/>
  <c r="K134" i="38"/>
  <c r="K135" i="38"/>
  <c r="K136" i="38"/>
  <c r="K137" i="38"/>
  <c r="K147" i="38"/>
  <c r="K148" i="38"/>
  <c r="K149" i="38"/>
  <c r="K150" i="38"/>
  <c r="K154" i="38"/>
  <c r="K158" i="38"/>
  <c r="K162" i="38"/>
  <c r="K170" i="38"/>
  <c r="K171" i="38"/>
  <c r="K180" i="38"/>
  <c r="K181" i="38"/>
  <c r="K212" i="38"/>
  <c r="K213" i="38"/>
  <c r="K230" i="38"/>
  <c r="K232" i="38"/>
  <c r="K238" i="38"/>
  <c r="K239" i="38"/>
  <c r="K240" i="38"/>
  <c r="K241" i="38"/>
  <c r="K242" i="38"/>
  <c r="K243" i="38"/>
  <c r="K244" i="38"/>
  <c r="K245" i="38"/>
  <c r="K248" i="38"/>
  <c r="K258" i="38"/>
  <c r="K259" i="38"/>
  <c r="K263" i="38"/>
  <c r="K270" i="38"/>
  <c r="K278" i="38"/>
  <c r="K279" i="38"/>
  <c r="K283" i="38"/>
  <c r="K284" i="38"/>
  <c r="K75" i="38"/>
  <c r="K76" i="38"/>
  <c r="K77" i="38"/>
  <c r="K84" i="38"/>
  <c r="K86" i="38"/>
  <c r="K87" i="38"/>
  <c r="K93" i="38"/>
  <c r="K96" i="38"/>
  <c r="K98" i="38"/>
  <c r="K99" i="38"/>
  <c r="K105" i="38"/>
  <c r="K111" i="38"/>
  <c r="K112" i="38"/>
  <c r="K113" i="38"/>
  <c r="K114" i="38"/>
  <c r="K120" i="38"/>
  <c r="K123" i="38"/>
  <c r="K125" i="38"/>
  <c r="K127" i="38"/>
  <c r="K128" i="38"/>
  <c r="K138" i="38"/>
  <c r="K139" i="38"/>
  <c r="K141" i="38"/>
  <c r="K145" i="38"/>
  <c r="K146" i="38"/>
  <c r="K151" i="38"/>
  <c r="K152" i="38"/>
  <c r="K153" i="38"/>
  <c r="K155" i="38"/>
  <c r="K161" i="38"/>
  <c r="K164" i="38"/>
  <c r="K165" i="38"/>
  <c r="K168" i="38"/>
  <c r="K169" i="38"/>
  <c r="K174" i="38"/>
  <c r="K175" i="38"/>
  <c r="K177" i="38"/>
  <c r="K178" i="38"/>
  <c r="K182" i="38"/>
  <c r="K183" i="38"/>
  <c r="K186" i="38"/>
  <c r="K191" i="38"/>
  <c r="K192" i="38"/>
  <c r="K193" i="38"/>
  <c r="K194" i="38"/>
  <c r="K199" i="38"/>
  <c r="K208" i="38"/>
  <c r="K218" i="38"/>
  <c r="K221" i="38"/>
  <c r="K222" i="38"/>
  <c r="K223" i="38"/>
  <c r="K220" i="38"/>
  <c r="K225" i="38"/>
  <c r="K249" i="38"/>
  <c r="K256" i="38"/>
  <c r="K261" i="38"/>
  <c r="K264" i="38"/>
  <c r="K269" i="38"/>
  <c r="K271" i="38"/>
  <c r="K280" i="38"/>
  <c r="K281" i="38"/>
  <c r="K300" i="38"/>
  <c r="K301" i="38"/>
  <c r="K308" i="38"/>
  <c r="K313" i="38"/>
  <c r="K226" i="38"/>
  <c r="K229" i="38"/>
  <c r="K236" i="38"/>
  <c r="K246" i="38"/>
  <c r="K257" i="38"/>
  <c r="K260" i="38"/>
  <c r="K265" i="38"/>
  <c r="K268" i="38"/>
  <c r="K272" i="38"/>
  <c r="K273" i="38"/>
  <c r="K275" i="38"/>
  <c r="K276" i="38"/>
  <c r="K277" i="38"/>
  <c r="K285" i="38"/>
  <c r="K287" i="38"/>
  <c r="K288" i="38"/>
  <c r="K293" i="38"/>
  <c r="K294" i="38"/>
  <c r="K298" i="38"/>
  <c r="K299" i="38"/>
  <c r="K302" i="38"/>
  <c r="K303" i="38"/>
  <c r="K309" i="38"/>
  <c r="K310" i="38"/>
  <c r="K311" i="38"/>
  <c r="K312" i="38"/>
  <c r="K81" i="38"/>
  <c r="K82" i="38"/>
  <c r="K83" i="38"/>
  <c r="K90" i="38"/>
  <c r="K91" i="38"/>
  <c r="K94" i="38"/>
  <c r="K101" i="38"/>
  <c r="K106" i="38"/>
  <c r="K159" i="38"/>
  <c r="K166" i="38"/>
  <c r="K172" i="38"/>
  <c r="K173" i="38"/>
  <c r="K184" i="38"/>
  <c r="K197" i="38"/>
  <c r="K203" i="38"/>
  <c r="K204" i="38"/>
  <c r="K206" i="38"/>
  <c r="K207" i="38"/>
  <c r="K224" i="38"/>
  <c r="K233" i="38"/>
  <c r="K253" i="38"/>
  <c r="K254" i="38"/>
  <c r="K255" i="38"/>
  <c r="K292" i="38"/>
  <c r="K295" i="38"/>
  <c r="K296" i="38"/>
  <c r="K297" i="38"/>
  <c r="K304" i="38"/>
  <c r="K305" i="38"/>
  <c r="K307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43" i="38"/>
  <c r="I44" i="38"/>
  <c r="I45" i="38"/>
  <c r="I46" i="38"/>
  <c r="I31" i="38"/>
  <c r="I33" i="38"/>
  <c r="I34" i="38"/>
  <c r="I35" i="38"/>
  <c r="I36" i="38"/>
  <c r="I37" i="38"/>
  <c r="I38" i="38"/>
  <c r="I32" i="38"/>
  <c r="I39" i="38"/>
  <c r="I40" i="38"/>
  <c r="I41" i="38"/>
  <c r="I47" i="38"/>
  <c r="I42" i="38"/>
  <c r="I48" i="38"/>
  <c r="I49" i="38"/>
  <c r="I50" i="38"/>
  <c r="I51" i="38"/>
  <c r="I66" i="38"/>
  <c r="I67" i="38"/>
  <c r="I68" i="38"/>
  <c r="I69" i="38"/>
  <c r="I70" i="38"/>
  <c r="I52" i="38"/>
  <c r="I53" i="38"/>
  <c r="I55" i="38"/>
  <c r="I56" i="38"/>
  <c r="I71" i="38"/>
  <c r="I72" i="38"/>
  <c r="I57" i="38"/>
  <c r="I58" i="38"/>
  <c r="I59" i="38"/>
  <c r="I61" i="38"/>
  <c r="I62" i="38"/>
  <c r="I73" i="38"/>
  <c r="I63" i="38"/>
  <c r="I65" i="38"/>
  <c r="I89" i="38"/>
  <c r="I97" i="38"/>
  <c r="I103" i="38"/>
  <c r="I104" i="38"/>
  <c r="I116" i="38"/>
  <c r="I117" i="38"/>
  <c r="I121" i="38"/>
  <c r="I131" i="38"/>
  <c r="I132" i="38"/>
  <c r="I133" i="38"/>
  <c r="I167" i="38"/>
  <c r="I188" i="38"/>
  <c r="I189" i="38"/>
  <c r="I196" i="38"/>
  <c r="I202" i="38"/>
  <c r="I205" i="38"/>
  <c r="I209" i="38"/>
  <c r="I217" i="38"/>
  <c r="I227" i="38"/>
  <c r="I250" i="38"/>
  <c r="I252" i="38"/>
  <c r="I266" i="38"/>
  <c r="I267" i="38"/>
  <c r="I274" i="38"/>
  <c r="I291" i="38"/>
  <c r="I78" i="38"/>
  <c r="I107" i="38"/>
  <c r="I110" i="38"/>
  <c r="I115" i="38"/>
  <c r="I119" i="38"/>
  <c r="I129" i="38"/>
  <c r="I140" i="38"/>
  <c r="I74" i="38"/>
  <c r="I160" i="38"/>
  <c r="I54" i="38"/>
  <c r="I176" i="38"/>
  <c r="I187" i="38"/>
  <c r="I190" i="38"/>
  <c r="I195" i="38"/>
  <c r="I201" i="38"/>
  <c r="I211" i="38"/>
  <c r="I215" i="38"/>
  <c r="I216" i="38"/>
  <c r="I231" i="38"/>
  <c r="I234" i="38"/>
  <c r="I235" i="38"/>
  <c r="I237" i="38"/>
  <c r="I60" i="38"/>
  <c r="I247" i="38"/>
  <c r="I251" i="38"/>
  <c r="I262" i="38"/>
  <c r="I282" i="38"/>
  <c r="I286" i="38"/>
  <c r="I289" i="38"/>
  <c r="I64" i="38"/>
  <c r="I290" i="38"/>
  <c r="I306" i="38"/>
  <c r="I108" i="38"/>
  <c r="I109" i="38"/>
  <c r="I126" i="38"/>
  <c r="I142" i="38"/>
  <c r="I143" i="38"/>
  <c r="I144" i="38"/>
  <c r="I156" i="38"/>
  <c r="I157" i="38"/>
  <c r="I163" i="38"/>
  <c r="I179" i="38"/>
  <c r="I185" i="38"/>
  <c r="I198" i="38"/>
  <c r="I200" i="38"/>
  <c r="I210" i="38"/>
  <c r="I214" i="38"/>
  <c r="I219" i="38"/>
  <c r="I228" i="38"/>
  <c r="I79" i="38"/>
  <c r="I80" i="38"/>
  <c r="I85" i="38"/>
  <c r="I88" i="38"/>
  <c r="I92" i="38"/>
  <c r="I95" i="38"/>
  <c r="I100" i="38"/>
  <c r="I102" i="38"/>
  <c r="I118" i="38"/>
  <c r="I122" i="38"/>
  <c r="I124" i="38"/>
  <c r="I130" i="38"/>
  <c r="I134" i="38"/>
  <c r="I135" i="38"/>
  <c r="I136" i="38"/>
  <c r="I137" i="38"/>
  <c r="I147" i="38"/>
  <c r="I148" i="38"/>
  <c r="I149" i="38"/>
  <c r="I150" i="38"/>
  <c r="I154" i="38"/>
  <c r="I158" i="38"/>
  <c r="I162" i="38"/>
  <c r="I170" i="38"/>
  <c r="I171" i="38"/>
  <c r="I180" i="38"/>
  <c r="I181" i="38"/>
  <c r="I212" i="38"/>
  <c r="I213" i="38"/>
  <c r="I230" i="38"/>
  <c r="I232" i="38"/>
  <c r="I238" i="38"/>
  <c r="I239" i="38"/>
  <c r="I240" i="38"/>
  <c r="I241" i="38"/>
  <c r="I242" i="38"/>
  <c r="I243" i="38"/>
  <c r="I244" i="38"/>
  <c r="I245" i="38"/>
  <c r="I248" i="38"/>
  <c r="I258" i="38"/>
  <c r="I259" i="38"/>
  <c r="I263" i="38"/>
  <c r="I270" i="38"/>
  <c r="I278" i="38"/>
  <c r="I279" i="38"/>
  <c r="I283" i="38"/>
  <c r="I284" i="38"/>
  <c r="I75" i="38"/>
  <c r="I76" i="38"/>
  <c r="I77" i="38"/>
  <c r="I84" i="38"/>
  <c r="I86" i="38"/>
  <c r="I87" i="38"/>
  <c r="I93" i="38"/>
  <c r="I96" i="38"/>
  <c r="I98" i="38"/>
  <c r="I99" i="38"/>
  <c r="I105" i="38"/>
  <c r="I111" i="38"/>
  <c r="I112" i="38"/>
  <c r="I113" i="38"/>
  <c r="I114" i="38"/>
  <c r="I120" i="38"/>
  <c r="I123" i="38"/>
  <c r="I125" i="38"/>
  <c r="I127" i="38"/>
  <c r="I128" i="38"/>
  <c r="I138" i="38"/>
  <c r="I139" i="38"/>
  <c r="I141" i="38"/>
  <c r="I145" i="38"/>
  <c r="I146" i="38"/>
  <c r="I151" i="38"/>
  <c r="I152" i="38"/>
  <c r="I153" i="38"/>
  <c r="I155" i="38"/>
  <c r="I161" i="38"/>
  <c r="I164" i="38"/>
  <c r="I165" i="38"/>
  <c r="I168" i="38"/>
  <c r="I169" i="38"/>
  <c r="I174" i="38"/>
  <c r="I175" i="38"/>
  <c r="I177" i="38"/>
  <c r="I178" i="38"/>
  <c r="I182" i="38"/>
  <c r="I183" i="38"/>
  <c r="I186" i="38"/>
  <c r="I191" i="38"/>
  <c r="I192" i="38"/>
  <c r="I193" i="38"/>
  <c r="I194" i="38"/>
  <c r="I199" i="38"/>
  <c r="I208" i="38"/>
  <c r="I218" i="38"/>
  <c r="I221" i="38"/>
  <c r="I222" i="38"/>
  <c r="I223" i="38"/>
  <c r="I220" i="38"/>
  <c r="I225" i="38"/>
  <c r="I249" i="38"/>
  <c r="I256" i="38"/>
  <c r="I261" i="38"/>
  <c r="I264" i="38"/>
  <c r="I269" i="38"/>
  <c r="I271" i="38"/>
  <c r="I280" i="38"/>
  <c r="I281" i="38"/>
  <c r="I300" i="38"/>
  <c r="I301" i="38"/>
  <c r="I308" i="38"/>
  <c r="I313" i="38"/>
  <c r="I226" i="38"/>
  <c r="I229" i="38"/>
  <c r="I236" i="38"/>
  <c r="I246" i="38"/>
  <c r="I257" i="38"/>
  <c r="I260" i="38"/>
  <c r="I265" i="38"/>
  <c r="I268" i="38"/>
  <c r="I272" i="38"/>
  <c r="I273" i="38"/>
  <c r="I275" i="38"/>
  <c r="I276" i="38"/>
  <c r="I277" i="38"/>
  <c r="I285" i="38"/>
  <c r="I287" i="38"/>
  <c r="I288" i="38"/>
  <c r="I293" i="38"/>
  <c r="I294" i="38"/>
  <c r="I298" i="38"/>
  <c r="I299" i="38"/>
  <c r="I302" i="38"/>
  <c r="I303" i="38"/>
  <c r="I309" i="38"/>
  <c r="I310" i="38"/>
  <c r="I311" i="38"/>
  <c r="I312" i="38"/>
  <c r="I81" i="38"/>
  <c r="I82" i="38"/>
  <c r="I83" i="38"/>
  <c r="I90" i="38"/>
  <c r="I91" i="38"/>
  <c r="I94" i="38"/>
  <c r="I101" i="38"/>
  <c r="I106" i="38"/>
  <c r="I159" i="38"/>
  <c r="I166" i="38"/>
  <c r="I172" i="38"/>
  <c r="I173" i="38"/>
  <c r="I184" i="38"/>
  <c r="I197" i="38"/>
  <c r="I203" i="38"/>
  <c r="I204" i="38"/>
  <c r="I206" i="38"/>
  <c r="I207" i="38"/>
  <c r="I224" i="38"/>
  <c r="I233" i="38"/>
  <c r="I253" i="38"/>
  <c r="I254" i="38"/>
  <c r="I255" i="38"/>
  <c r="I292" i="38"/>
  <c r="I295" i="38"/>
  <c r="I296" i="38"/>
  <c r="I297" i="38"/>
  <c r="I304" i="38"/>
  <c r="I305" i="38"/>
  <c r="I307" i="38"/>
  <c r="I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43" i="38"/>
  <c r="N44" i="38"/>
  <c r="N45" i="38"/>
  <c r="N46" i="38"/>
  <c r="N31" i="38"/>
  <c r="N33" i="38"/>
  <c r="N34" i="38"/>
  <c r="N35" i="38"/>
  <c r="N36" i="38"/>
  <c r="N37" i="38"/>
  <c r="N38" i="38"/>
  <c r="N32" i="38"/>
  <c r="N39" i="38"/>
  <c r="N40" i="38"/>
  <c r="N41" i="38"/>
  <c r="N47" i="38"/>
  <c r="N42" i="38"/>
  <c r="N48" i="38"/>
  <c r="N49" i="38"/>
  <c r="N50" i="38"/>
  <c r="N51" i="38"/>
  <c r="N52" i="38"/>
  <c r="N53" i="38"/>
  <c r="N55" i="38"/>
  <c r="N56" i="38"/>
  <c r="N57" i="38"/>
  <c r="N58" i="38"/>
  <c r="N59" i="38"/>
  <c r="N61" i="38"/>
  <c r="N62" i="38"/>
  <c r="N63" i="38"/>
  <c r="N65" i="38"/>
  <c r="N89" i="38"/>
  <c r="N97" i="38"/>
  <c r="N103" i="38"/>
  <c r="N104" i="38"/>
  <c r="N116" i="38"/>
  <c r="N117" i="38"/>
  <c r="N121" i="38"/>
  <c r="N131" i="38"/>
  <c r="N132" i="38"/>
  <c r="N133" i="38"/>
  <c r="N167" i="38"/>
  <c r="N188" i="38"/>
  <c r="N189" i="38"/>
  <c r="N196" i="38"/>
  <c r="N202" i="38"/>
  <c r="N205" i="38"/>
  <c r="N209" i="38"/>
  <c r="N217" i="38"/>
  <c r="N227" i="38"/>
  <c r="N250" i="38"/>
  <c r="N252" i="38"/>
  <c r="N266" i="38"/>
  <c r="N267" i="38"/>
  <c r="N274" i="38"/>
  <c r="N291" i="38"/>
  <c r="N78" i="38"/>
  <c r="N107" i="38"/>
  <c r="N110" i="38"/>
  <c r="N115" i="38"/>
  <c r="N119" i="38"/>
  <c r="N129" i="38"/>
  <c r="N140" i="38"/>
  <c r="N74" i="38"/>
  <c r="N160" i="38"/>
  <c r="N54" i="38"/>
  <c r="N176" i="38"/>
  <c r="N187" i="38"/>
  <c r="N190" i="38"/>
  <c r="N195" i="38"/>
  <c r="N201" i="38"/>
  <c r="N211" i="38"/>
  <c r="N215" i="38"/>
  <c r="N216" i="38"/>
  <c r="N231" i="38"/>
  <c r="N234" i="38"/>
  <c r="N235" i="38"/>
  <c r="N237" i="38"/>
  <c r="N60" i="38"/>
  <c r="N247" i="38"/>
  <c r="N251" i="38"/>
  <c r="N262" i="38"/>
  <c r="N282" i="38"/>
  <c r="N286" i="38"/>
  <c r="N289" i="38"/>
  <c r="N64" i="38"/>
  <c r="N290" i="38"/>
  <c r="N306" i="38"/>
  <c r="N108" i="38"/>
  <c r="N109" i="38"/>
  <c r="N126" i="38"/>
  <c r="N142" i="38"/>
  <c r="N143" i="38"/>
  <c r="N144" i="38"/>
  <c r="N156" i="38"/>
  <c r="N157" i="38"/>
  <c r="N163" i="38"/>
  <c r="N179" i="38"/>
  <c r="N185" i="38"/>
  <c r="N198" i="38"/>
  <c r="N200" i="38"/>
  <c r="N210" i="38"/>
  <c r="N214" i="38"/>
  <c r="N219" i="38"/>
  <c r="N228" i="38"/>
  <c r="N79" i="38"/>
  <c r="N80" i="38"/>
  <c r="N85" i="38"/>
  <c r="N88" i="38"/>
  <c r="N92" i="38"/>
  <c r="N95" i="38"/>
  <c r="N100" i="38"/>
  <c r="N102" i="38"/>
  <c r="N118" i="38"/>
  <c r="N122" i="38"/>
  <c r="N124" i="38"/>
  <c r="N130" i="38"/>
  <c r="N134" i="38"/>
  <c r="N135" i="38"/>
  <c r="N136" i="38"/>
  <c r="N137" i="38"/>
  <c r="N147" i="38"/>
  <c r="N148" i="38"/>
  <c r="N149" i="38"/>
  <c r="N150" i="38"/>
  <c r="N154" i="38"/>
  <c r="N158" i="38"/>
  <c r="N162" i="38"/>
  <c r="N170" i="38"/>
  <c r="N171" i="38"/>
  <c r="N180" i="38"/>
  <c r="N181" i="38"/>
  <c r="N212" i="38"/>
  <c r="N213" i="38"/>
  <c r="N230" i="38"/>
  <c r="N232" i="38"/>
  <c r="N238" i="38"/>
  <c r="N239" i="38"/>
  <c r="N240" i="38"/>
  <c r="N241" i="38"/>
  <c r="N242" i="38"/>
  <c r="N243" i="38"/>
  <c r="N244" i="38"/>
  <c r="N245" i="38"/>
  <c r="N248" i="38"/>
  <c r="N258" i="38"/>
  <c r="N259" i="38"/>
  <c r="N263" i="38"/>
  <c r="N270" i="38"/>
  <c r="N278" i="38"/>
  <c r="N279" i="38"/>
  <c r="N283" i="38"/>
  <c r="N284" i="38"/>
  <c r="N75" i="38"/>
  <c r="N76" i="38"/>
  <c r="N77" i="38"/>
  <c r="N84" i="38"/>
  <c r="N86" i="38"/>
  <c r="N87" i="38"/>
  <c r="N93" i="38"/>
  <c r="N96" i="38"/>
  <c r="N98" i="38"/>
  <c r="N99" i="38"/>
  <c r="N105" i="38"/>
  <c r="N111" i="38"/>
  <c r="N112" i="38"/>
  <c r="N113" i="38"/>
  <c r="N114" i="38"/>
  <c r="N120" i="38"/>
  <c r="N123" i="38"/>
  <c r="N125" i="38"/>
  <c r="N127" i="38"/>
  <c r="N128" i="38"/>
  <c r="N138" i="38"/>
  <c r="N139" i="38"/>
  <c r="N141" i="38"/>
  <c r="N145" i="38"/>
  <c r="N146" i="38"/>
  <c r="N151" i="38"/>
  <c r="N152" i="38"/>
  <c r="N153" i="38"/>
  <c r="N155" i="38"/>
  <c r="N161" i="38"/>
  <c r="N164" i="38"/>
  <c r="N165" i="38"/>
  <c r="N168" i="38"/>
  <c r="N169" i="38"/>
  <c r="N174" i="38"/>
  <c r="N175" i="38"/>
  <c r="N177" i="38"/>
  <c r="N178" i="38"/>
  <c r="N182" i="38"/>
  <c r="N183" i="38"/>
  <c r="N186" i="38"/>
  <c r="N191" i="38"/>
  <c r="N192" i="38"/>
  <c r="N193" i="38"/>
  <c r="N194" i="38"/>
  <c r="N199" i="38"/>
  <c r="N208" i="38"/>
  <c r="N218" i="38"/>
  <c r="N221" i="38"/>
  <c r="N222" i="38"/>
  <c r="N223" i="38"/>
  <c r="N220" i="38"/>
  <c r="N225" i="38"/>
  <c r="N249" i="38"/>
  <c r="N256" i="38"/>
  <c r="N261" i="38"/>
  <c r="N264" i="38"/>
  <c r="N269" i="38"/>
  <c r="N271" i="38"/>
  <c r="N280" i="38"/>
  <c r="N281" i="38"/>
  <c r="N300" i="38"/>
  <c r="N301" i="38"/>
  <c r="N308" i="38"/>
  <c r="N313" i="38"/>
  <c r="N226" i="38"/>
  <c r="N229" i="38"/>
  <c r="N236" i="38"/>
  <c r="N246" i="38"/>
  <c r="N257" i="38"/>
  <c r="N260" i="38"/>
  <c r="N265" i="38"/>
  <c r="N268" i="38"/>
  <c r="N272" i="38"/>
  <c r="N273" i="38"/>
  <c r="N275" i="38"/>
  <c r="N276" i="38"/>
  <c r="N277" i="38"/>
  <c r="N285" i="38"/>
  <c r="N287" i="38"/>
  <c r="N288" i="38"/>
  <c r="N293" i="38"/>
  <c r="N294" i="38"/>
  <c r="N298" i="38"/>
  <c r="N299" i="38"/>
  <c r="N302" i="38"/>
  <c r="N303" i="38"/>
  <c r="N309" i="38"/>
  <c r="N310" i="38"/>
  <c r="N311" i="38"/>
  <c r="N312" i="38"/>
  <c r="N81" i="38"/>
  <c r="N82" i="38"/>
  <c r="N83" i="38"/>
  <c r="N90" i="38"/>
  <c r="N91" i="38"/>
  <c r="N94" i="38"/>
  <c r="N101" i="38"/>
  <c r="N106" i="38"/>
  <c r="N159" i="38"/>
  <c r="N166" i="38"/>
  <c r="N172" i="38"/>
  <c r="N173" i="38"/>
  <c r="N184" i="38"/>
  <c r="N197" i="38"/>
  <c r="N203" i="38"/>
  <c r="N204" i="38"/>
  <c r="N206" i="38"/>
  <c r="N207" i="38"/>
  <c r="N224" i="38"/>
  <c r="N233" i="38"/>
  <c r="N253" i="38"/>
  <c r="N254" i="38"/>
  <c r="N255" i="38"/>
  <c r="N292" i="38"/>
  <c r="N295" i="38"/>
  <c r="N296" i="38"/>
  <c r="N297" i="38"/>
  <c r="N304" i="38"/>
  <c r="N305" i="38"/>
  <c r="N307" i="38"/>
  <c r="N3" i="38"/>
  <c r="J78" i="38"/>
  <c r="H78" i="38" s="1"/>
  <c r="J107" i="38"/>
  <c r="H107" i="38" s="1"/>
  <c r="J110" i="38"/>
  <c r="H110" i="38" s="1"/>
  <c r="J115" i="38"/>
  <c r="H115" i="38" s="1"/>
  <c r="J119" i="38"/>
  <c r="H119" i="38" s="1"/>
  <c r="J129" i="38"/>
  <c r="H129" i="38" s="1"/>
  <c r="J140" i="38"/>
  <c r="H140" i="38" s="1"/>
  <c r="J74" i="38"/>
  <c r="J160" i="38"/>
  <c r="H160" i="38" s="1"/>
  <c r="J54" i="38"/>
  <c r="J176" i="38"/>
  <c r="H176" i="38" s="1"/>
  <c r="J187" i="38"/>
  <c r="H187" i="38" s="1"/>
  <c r="J190" i="38"/>
  <c r="H190" i="38" s="1"/>
  <c r="J195" i="38"/>
  <c r="H195" i="38" s="1"/>
  <c r="J201" i="38"/>
  <c r="H201" i="38" s="1"/>
  <c r="J211" i="38"/>
  <c r="H211" i="38" s="1"/>
  <c r="J215" i="38"/>
  <c r="H215" i="38" s="1"/>
  <c r="J216" i="38"/>
  <c r="H216" i="38" s="1"/>
  <c r="J231" i="38"/>
  <c r="H231" i="38" s="1"/>
  <c r="J234" i="38"/>
  <c r="H234" i="38" s="1"/>
  <c r="J235" i="38"/>
  <c r="H235" i="38" s="1"/>
  <c r="J237" i="38"/>
  <c r="H237" i="38" s="1"/>
  <c r="J60" i="38"/>
  <c r="J247" i="38"/>
  <c r="H247" i="38" s="1"/>
  <c r="J251" i="38"/>
  <c r="H251" i="38" s="1"/>
  <c r="J262" i="38"/>
  <c r="H262" i="38" s="1"/>
  <c r="J282" i="38"/>
  <c r="H282" i="38" s="1"/>
  <c r="J286" i="38"/>
  <c r="H286" i="38" s="1"/>
  <c r="J289" i="38"/>
  <c r="H289" i="38" s="1"/>
  <c r="J64" i="38"/>
  <c r="J290" i="38"/>
  <c r="H290" i="38" s="1"/>
  <c r="J306" i="38"/>
  <c r="H306" i="38" s="1"/>
  <c r="J108" i="38"/>
  <c r="H108" i="38" s="1"/>
  <c r="J109" i="38"/>
  <c r="J126" i="38"/>
  <c r="H126" i="38" s="1"/>
  <c r="J142" i="38"/>
  <c r="H142" i="38" s="1"/>
  <c r="J143" i="38"/>
  <c r="H143" i="38" s="1"/>
  <c r="J144" i="38"/>
  <c r="H144" i="38" s="1"/>
  <c r="J156" i="38"/>
  <c r="H156" i="38" s="1"/>
  <c r="J157" i="38"/>
  <c r="H157" i="38" s="1"/>
  <c r="J163" i="38"/>
  <c r="H163" i="38" s="1"/>
  <c r="J179" i="38"/>
  <c r="H179" i="38" s="1"/>
  <c r="J185" i="38"/>
  <c r="H185" i="38" s="1"/>
  <c r="J198" i="38"/>
  <c r="H198" i="38" s="1"/>
  <c r="J200" i="38"/>
  <c r="H200" i="38" s="1"/>
  <c r="J210" i="38"/>
  <c r="H210" i="38" s="1"/>
  <c r="J214" i="38"/>
  <c r="H214" i="38" s="1"/>
  <c r="J219" i="38"/>
  <c r="H219" i="38" s="1"/>
  <c r="J228" i="38"/>
  <c r="H228" i="38" s="1"/>
  <c r="J79" i="38"/>
  <c r="H79" i="38" s="1"/>
  <c r="J80" i="38"/>
  <c r="H80" i="38" s="1"/>
  <c r="J85" i="38"/>
  <c r="H85" i="38" s="1"/>
  <c r="J88" i="38"/>
  <c r="H88" i="38" s="1"/>
  <c r="J92" i="38"/>
  <c r="H92" i="38" s="1"/>
  <c r="J95" i="38"/>
  <c r="H95" i="38" s="1"/>
  <c r="J100" i="38"/>
  <c r="H100" i="38" s="1"/>
  <c r="J102" i="38"/>
  <c r="H102" i="38" s="1"/>
  <c r="J118" i="38"/>
  <c r="H118" i="38" s="1"/>
  <c r="J122" i="38"/>
  <c r="H122" i="38" s="1"/>
  <c r="J124" i="38"/>
  <c r="H124" i="38" s="1"/>
  <c r="J130" i="38"/>
  <c r="H130" i="38" s="1"/>
  <c r="J134" i="38"/>
  <c r="H134" i="38" s="1"/>
  <c r="J135" i="38"/>
  <c r="H135" i="38" s="1"/>
  <c r="J136" i="38"/>
  <c r="H136" i="38" s="1"/>
  <c r="J137" i="38"/>
  <c r="H137" i="38" s="1"/>
  <c r="J147" i="38"/>
  <c r="H147" i="38" s="1"/>
  <c r="J148" i="38"/>
  <c r="H148" i="38" s="1"/>
  <c r="J149" i="38"/>
  <c r="H149" i="38" s="1"/>
  <c r="J150" i="38"/>
  <c r="H150" i="38" s="1"/>
  <c r="J154" i="38"/>
  <c r="H154" i="38" s="1"/>
  <c r="J158" i="38"/>
  <c r="H158" i="38" s="1"/>
  <c r="J162" i="38"/>
  <c r="H162" i="38" s="1"/>
  <c r="J170" i="38"/>
  <c r="H170" i="38" s="1"/>
  <c r="J171" i="38"/>
  <c r="H171" i="38" s="1"/>
  <c r="J180" i="38"/>
  <c r="H180" i="38" s="1"/>
  <c r="J181" i="38"/>
  <c r="H181" i="38" s="1"/>
  <c r="J212" i="38"/>
  <c r="H212" i="38" s="1"/>
  <c r="J213" i="38"/>
  <c r="H213" i="38" s="1"/>
  <c r="J230" i="38"/>
  <c r="H230" i="38" s="1"/>
  <c r="J232" i="38"/>
  <c r="H232" i="38" s="1"/>
  <c r="J238" i="38"/>
  <c r="H238" i="38" s="1"/>
  <c r="J239" i="38"/>
  <c r="H239" i="38" s="1"/>
  <c r="J240" i="38"/>
  <c r="H240" i="38" s="1"/>
  <c r="J241" i="38"/>
  <c r="H241" i="38" s="1"/>
  <c r="J242" i="38"/>
  <c r="H242" i="38" s="1"/>
  <c r="J243" i="38"/>
  <c r="H243" i="38" s="1"/>
  <c r="J244" i="38"/>
  <c r="H244" i="38" s="1"/>
  <c r="J245" i="38"/>
  <c r="H245" i="38" s="1"/>
  <c r="J248" i="38"/>
  <c r="H248" i="38" s="1"/>
  <c r="J258" i="38"/>
  <c r="H258" i="38" s="1"/>
  <c r="J259" i="38"/>
  <c r="H259" i="38" s="1"/>
  <c r="J263" i="38"/>
  <c r="H263" i="38" s="1"/>
  <c r="J270" i="38"/>
  <c r="H270" i="38" s="1"/>
  <c r="J278" i="38"/>
  <c r="H278" i="38" s="1"/>
  <c r="J279" i="38"/>
  <c r="H279" i="38" s="1"/>
  <c r="J283" i="38"/>
  <c r="H283" i="38" s="1"/>
  <c r="J284" i="38"/>
  <c r="H284" i="38" s="1"/>
  <c r="J75" i="38"/>
  <c r="H75" i="38" s="1"/>
  <c r="J76" i="38"/>
  <c r="H76" i="38" s="1"/>
  <c r="J77" i="38"/>
  <c r="H77" i="38" s="1"/>
  <c r="J84" i="38"/>
  <c r="H84" i="38" s="1"/>
  <c r="J86" i="38"/>
  <c r="H86" i="38" s="1"/>
  <c r="J87" i="38"/>
  <c r="H87" i="38" s="1"/>
  <c r="J93" i="38"/>
  <c r="H93" i="38" s="1"/>
  <c r="J96" i="38"/>
  <c r="H96" i="38" s="1"/>
  <c r="J98" i="38"/>
  <c r="H98" i="38" s="1"/>
  <c r="J99" i="38"/>
  <c r="H99" i="38" s="1"/>
  <c r="J105" i="38"/>
  <c r="H105" i="38" s="1"/>
  <c r="J111" i="38"/>
  <c r="H111" i="38" s="1"/>
  <c r="J112" i="38"/>
  <c r="H112" i="38" s="1"/>
  <c r="J113" i="38"/>
  <c r="H113" i="38" s="1"/>
  <c r="J114" i="38"/>
  <c r="H114" i="38" s="1"/>
  <c r="J120" i="38"/>
  <c r="H120" i="38" s="1"/>
  <c r="J123" i="38"/>
  <c r="H123" i="38" s="1"/>
  <c r="J125" i="38"/>
  <c r="H125" i="38" s="1"/>
  <c r="J127" i="38"/>
  <c r="H127" i="38" s="1"/>
  <c r="J128" i="38"/>
  <c r="H128" i="38" s="1"/>
  <c r="J138" i="38"/>
  <c r="H138" i="38" s="1"/>
  <c r="J139" i="38"/>
  <c r="H139" i="38" s="1"/>
  <c r="J141" i="38"/>
  <c r="H141" i="38" s="1"/>
  <c r="J145" i="38"/>
  <c r="H145" i="38" s="1"/>
  <c r="J146" i="38"/>
  <c r="H146" i="38" s="1"/>
  <c r="J151" i="38"/>
  <c r="H151" i="38" s="1"/>
  <c r="J152" i="38"/>
  <c r="H152" i="38" s="1"/>
  <c r="J153" i="38"/>
  <c r="H153" i="38" s="1"/>
  <c r="J155" i="38"/>
  <c r="H155" i="38" s="1"/>
  <c r="J161" i="38"/>
  <c r="H161" i="38" s="1"/>
  <c r="J164" i="38"/>
  <c r="H164" i="38" s="1"/>
  <c r="J165" i="38"/>
  <c r="H165" i="38" s="1"/>
  <c r="J168" i="38"/>
  <c r="H168" i="38" s="1"/>
  <c r="J169" i="38"/>
  <c r="H169" i="38" s="1"/>
  <c r="J174" i="38"/>
  <c r="H174" i="38" s="1"/>
  <c r="J175" i="38"/>
  <c r="H175" i="38" s="1"/>
  <c r="J177" i="38"/>
  <c r="H177" i="38" s="1"/>
  <c r="J178" i="38"/>
  <c r="H178" i="38" s="1"/>
  <c r="J182" i="38"/>
  <c r="H182" i="38" s="1"/>
  <c r="J183" i="38"/>
  <c r="H183" i="38" s="1"/>
  <c r="J186" i="38"/>
  <c r="H186" i="38" s="1"/>
  <c r="J191" i="38"/>
  <c r="H191" i="38" s="1"/>
  <c r="J192" i="38"/>
  <c r="H192" i="38" s="1"/>
  <c r="J193" i="38"/>
  <c r="H193" i="38" s="1"/>
  <c r="J194" i="38"/>
  <c r="H194" i="38" s="1"/>
  <c r="J199" i="38"/>
  <c r="H199" i="38" s="1"/>
  <c r="J208" i="38"/>
  <c r="H208" i="38" s="1"/>
  <c r="J218" i="38"/>
  <c r="H218" i="38" s="1"/>
  <c r="J221" i="38"/>
  <c r="H221" i="38" s="1"/>
  <c r="J222" i="38"/>
  <c r="J223" i="38"/>
  <c r="H223" i="38" s="1"/>
  <c r="J220" i="38"/>
  <c r="H220" i="38" s="1"/>
  <c r="J225" i="38"/>
  <c r="H225" i="38" s="1"/>
  <c r="J249" i="38"/>
  <c r="H249" i="38" s="1"/>
  <c r="J256" i="38"/>
  <c r="J261" i="38"/>
  <c r="H261" i="38" s="1"/>
  <c r="J264" i="38"/>
  <c r="H264" i="38" s="1"/>
  <c r="J269" i="38"/>
  <c r="H269" i="38" s="1"/>
  <c r="J271" i="38"/>
  <c r="J280" i="38"/>
  <c r="H280" i="38" s="1"/>
  <c r="J281" i="38"/>
  <c r="H281" i="38" s="1"/>
  <c r="J300" i="38"/>
  <c r="H300" i="38" s="1"/>
  <c r="J301" i="38"/>
  <c r="H301" i="38" s="1"/>
  <c r="J308" i="38"/>
  <c r="H308" i="38" s="1"/>
  <c r="J313" i="38"/>
  <c r="H313" i="38" s="1"/>
  <c r="J226" i="38"/>
  <c r="H226" i="38" s="1"/>
  <c r="J229" i="38"/>
  <c r="H229" i="38" s="1"/>
  <c r="J236" i="38"/>
  <c r="H236" i="38" s="1"/>
  <c r="J246" i="38"/>
  <c r="H246" i="38" s="1"/>
  <c r="J257" i="38"/>
  <c r="H257" i="38" s="1"/>
  <c r="J260" i="38"/>
  <c r="H260" i="38" s="1"/>
  <c r="J265" i="38"/>
  <c r="H265" i="38" s="1"/>
  <c r="J268" i="38"/>
  <c r="H268" i="38" s="1"/>
  <c r="J272" i="38"/>
  <c r="H272" i="38" s="1"/>
  <c r="J273" i="38"/>
  <c r="H273" i="38" s="1"/>
  <c r="J275" i="38"/>
  <c r="H275" i="38" s="1"/>
  <c r="J276" i="38"/>
  <c r="H276" i="38" s="1"/>
  <c r="J277" i="38"/>
  <c r="H277" i="38" s="1"/>
  <c r="J285" i="38"/>
  <c r="H285" i="38" s="1"/>
  <c r="J287" i="38"/>
  <c r="H287" i="38" s="1"/>
  <c r="J288" i="38"/>
  <c r="H288" i="38" s="1"/>
  <c r="J293" i="38"/>
  <c r="H293" i="38" s="1"/>
  <c r="J294" i="38"/>
  <c r="H294" i="38" s="1"/>
  <c r="J298" i="38"/>
  <c r="H298" i="38" s="1"/>
  <c r="J299" i="38"/>
  <c r="H299" i="38" s="1"/>
  <c r="J302" i="38"/>
  <c r="H302" i="38" s="1"/>
  <c r="J303" i="38"/>
  <c r="H303" i="38" s="1"/>
  <c r="J309" i="38"/>
  <c r="H309" i="38" s="1"/>
  <c r="J310" i="38"/>
  <c r="H310" i="38" s="1"/>
  <c r="J311" i="38"/>
  <c r="H311" i="38" s="1"/>
  <c r="J312" i="38"/>
  <c r="H312" i="38" s="1"/>
  <c r="J81" i="38"/>
  <c r="H81" i="38" s="1"/>
  <c r="J82" i="38"/>
  <c r="H82" i="38" s="1"/>
  <c r="J83" i="38"/>
  <c r="H83" i="38" s="1"/>
  <c r="J90" i="38"/>
  <c r="J91" i="38"/>
  <c r="J94" i="38"/>
  <c r="H94" i="38" s="1"/>
  <c r="J101" i="38"/>
  <c r="H101" i="38" s="1"/>
  <c r="J106" i="38"/>
  <c r="H106" i="38" s="1"/>
  <c r="J159" i="38"/>
  <c r="H159" i="38" s="1"/>
  <c r="J166" i="38"/>
  <c r="H166" i="38" s="1"/>
  <c r="J172" i="38"/>
  <c r="H172" i="38" s="1"/>
  <c r="J173" i="38"/>
  <c r="H173" i="38" s="1"/>
  <c r="J184" i="38"/>
  <c r="H184" i="38" s="1"/>
  <c r="J197" i="38"/>
  <c r="H197" i="38" s="1"/>
  <c r="J203" i="38"/>
  <c r="H203" i="38" s="1"/>
  <c r="J204" i="38"/>
  <c r="H204" i="38" s="1"/>
  <c r="J206" i="38"/>
  <c r="J207" i="38"/>
  <c r="J224" i="38"/>
  <c r="H224" i="38" s="1"/>
  <c r="J233" i="38"/>
  <c r="H233" i="38" s="1"/>
  <c r="J253" i="38"/>
  <c r="H253" i="38" s="1"/>
  <c r="J254" i="38"/>
  <c r="H254" i="38" s="1"/>
  <c r="J255" i="38"/>
  <c r="H255" i="38" s="1"/>
  <c r="J292" i="38"/>
  <c r="H292" i="38" s="1"/>
  <c r="J295" i="38"/>
  <c r="H295" i="38" s="1"/>
  <c r="J296" i="38"/>
  <c r="H296" i="38" s="1"/>
  <c r="J297" i="38"/>
  <c r="H297" i="38" s="1"/>
  <c r="J304" i="38"/>
  <c r="H304" i="38" s="1"/>
  <c r="J305" i="38"/>
  <c r="H305" i="38" s="1"/>
  <c r="J307" i="38"/>
  <c r="H307" i="38" s="1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43" i="38"/>
  <c r="J44" i="38"/>
  <c r="J45" i="38"/>
  <c r="J46" i="38"/>
  <c r="J31" i="38"/>
  <c r="J33" i="38"/>
  <c r="J34" i="38"/>
  <c r="J35" i="38"/>
  <c r="J36" i="38"/>
  <c r="J37" i="38"/>
  <c r="J38" i="38"/>
  <c r="J32" i="38"/>
  <c r="J39" i="38"/>
  <c r="J40" i="38"/>
  <c r="J41" i="38"/>
  <c r="J47" i="38"/>
  <c r="J42" i="38"/>
  <c r="J48" i="38"/>
  <c r="J49" i="38"/>
  <c r="J50" i="38"/>
  <c r="J51" i="38"/>
  <c r="J66" i="38"/>
  <c r="J67" i="38"/>
  <c r="J68" i="38"/>
  <c r="J69" i="38"/>
  <c r="J70" i="38"/>
  <c r="J52" i="38"/>
  <c r="J53" i="38"/>
  <c r="J55" i="38"/>
  <c r="J56" i="38"/>
  <c r="J71" i="38"/>
  <c r="J72" i="38"/>
  <c r="J57" i="38"/>
  <c r="J58" i="38"/>
  <c r="J59" i="38"/>
  <c r="J61" i="38"/>
  <c r="J62" i="38"/>
  <c r="J73" i="38"/>
  <c r="J63" i="38"/>
  <c r="J65" i="38"/>
  <c r="J89" i="38"/>
  <c r="H89" i="38" s="1"/>
  <c r="J97" i="38"/>
  <c r="H97" i="38" s="1"/>
  <c r="J103" i="38"/>
  <c r="H103" i="38" s="1"/>
  <c r="J104" i="38"/>
  <c r="H104" i="38" s="1"/>
  <c r="J116" i="38"/>
  <c r="H116" i="38" s="1"/>
  <c r="J117" i="38"/>
  <c r="H117" i="38" s="1"/>
  <c r="J121" i="38"/>
  <c r="H121" i="38" s="1"/>
  <c r="J131" i="38"/>
  <c r="H131" i="38" s="1"/>
  <c r="J132" i="38"/>
  <c r="H132" i="38" s="1"/>
  <c r="J133" i="38"/>
  <c r="H133" i="38" s="1"/>
  <c r="J167" i="38"/>
  <c r="H167" i="38" s="1"/>
  <c r="J188" i="38"/>
  <c r="H188" i="38" s="1"/>
  <c r="J189" i="38"/>
  <c r="H189" i="38" s="1"/>
  <c r="J196" i="38"/>
  <c r="H196" i="38" s="1"/>
  <c r="J202" i="38"/>
  <c r="H202" i="38" s="1"/>
  <c r="J205" i="38"/>
  <c r="H205" i="38" s="1"/>
  <c r="J209" i="38"/>
  <c r="H209" i="38" s="1"/>
  <c r="J217" i="38"/>
  <c r="H217" i="38" s="1"/>
  <c r="J227" i="38"/>
  <c r="H227" i="38" s="1"/>
  <c r="J250" i="38"/>
  <c r="H250" i="38" s="1"/>
  <c r="J252" i="38"/>
  <c r="H252" i="38" s="1"/>
  <c r="J266" i="38"/>
  <c r="H266" i="38" s="1"/>
  <c r="J267" i="38"/>
  <c r="H267" i="38" s="1"/>
  <c r="J274" i="38"/>
  <c r="H274" i="38" s="1"/>
  <c r="J291" i="38"/>
  <c r="H291" i="38" s="1"/>
  <c r="J3" i="38"/>
  <c r="J4" i="38"/>
  <c r="F4" i="38"/>
  <c r="F5" i="38"/>
  <c r="F6" i="38"/>
  <c r="F7" i="38"/>
  <c r="F8" i="38"/>
  <c r="F9" i="38"/>
  <c r="F10" i="38"/>
  <c r="F11" i="38"/>
  <c r="F12" i="38"/>
  <c r="F13" i="38"/>
  <c r="F14" i="38"/>
  <c r="F15" i="38"/>
  <c r="F16" i="38"/>
  <c r="F17" i="38"/>
  <c r="F18" i="38"/>
  <c r="F19" i="38"/>
  <c r="F20" i="38"/>
  <c r="F21" i="38"/>
  <c r="F22" i="38"/>
  <c r="F23" i="38"/>
  <c r="F24" i="38"/>
  <c r="F25" i="38"/>
  <c r="F26" i="38"/>
  <c r="F27" i="38"/>
  <c r="F28" i="38"/>
  <c r="F29" i="38"/>
  <c r="F30" i="38"/>
  <c r="F43" i="38"/>
  <c r="F44" i="38"/>
  <c r="F45" i="38"/>
  <c r="F46" i="38"/>
  <c r="F31" i="38"/>
  <c r="F33" i="38"/>
  <c r="F34" i="38"/>
  <c r="F35" i="38"/>
  <c r="F36" i="38"/>
  <c r="F37" i="38"/>
  <c r="F38" i="38"/>
  <c r="F32" i="38"/>
  <c r="F39" i="38"/>
  <c r="F40" i="38"/>
  <c r="F41" i="38"/>
  <c r="F47" i="38"/>
  <c r="F42" i="38"/>
  <c r="F48" i="38"/>
  <c r="F49" i="38"/>
  <c r="F50" i="38"/>
  <c r="F51" i="38"/>
  <c r="F66" i="38"/>
  <c r="F67" i="38"/>
  <c r="F68" i="38"/>
  <c r="F69" i="38"/>
  <c r="F70" i="38"/>
  <c r="F52" i="38"/>
  <c r="F53" i="38"/>
  <c r="F55" i="38"/>
  <c r="F56" i="38"/>
  <c r="F71" i="38"/>
  <c r="F72" i="38"/>
  <c r="F57" i="38"/>
  <c r="F58" i="38"/>
  <c r="F59" i="38"/>
  <c r="F61" i="38"/>
  <c r="F62" i="38"/>
  <c r="F73" i="38"/>
  <c r="F63" i="38"/>
  <c r="F65" i="38"/>
  <c r="F89" i="38"/>
  <c r="F97" i="38"/>
  <c r="F103" i="38"/>
  <c r="F104" i="38"/>
  <c r="F116" i="38"/>
  <c r="F117" i="38"/>
  <c r="F121" i="38"/>
  <c r="F131" i="38"/>
  <c r="F132" i="38"/>
  <c r="F133" i="38"/>
  <c r="F167" i="38"/>
  <c r="F188" i="38"/>
  <c r="F189" i="38"/>
  <c r="F196" i="38"/>
  <c r="F202" i="38"/>
  <c r="F205" i="38"/>
  <c r="F209" i="38"/>
  <c r="F217" i="38"/>
  <c r="F227" i="38"/>
  <c r="F250" i="38"/>
  <c r="F252" i="38"/>
  <c r="F266" i="38"/>
  <c r="F267" i="38"/>
  <c r="F274" i="38"/>
  <c r="F291" i="38"/>
  <c r="F78" i="38"/>
  <c r="F107" i="38"/>
  <c r="F110" i="38"/>
  <c r="F115" i="38"/>
  <c r="F119" i="38"/>
  <c r="F129" i="38"/>
  <c r="F140" i="38"/>
  <c r="F74" i="38"/>
  <c r="F160" i="38"/>
  <c r="F54" i="38"/>
  <c r="F176" i="38"/>
  <c r="F187" i="38"/>
  <c r="F190" i="38"/>
  <c r="F195" i="38"/>
  <c r="F201" i="38"/>
  <c r="F211" i="38"/>
  <c r="F215" i="38"/>
  <c r="F216" i="38"/>
  <c r="F231" i="38"/>
  <c r="F234" i="38"/>
  <c r="F235" i="38"/>
  <c r="F237" i="38"/>
  <c r="F60" i="38"/>
  <c r="F247" i="38"/>
  <c r="F251" i="38"/>
  <c r="F262" i="38"/>
  <c r="F282" i="38"/>
  <c r="F286" i="38"/>
  <c r="F289" i="38"/>
  <c r="F64" i="38"/>
  <c r="F290" i="38"/>
  <c r="F306" i="38"/>
  <c r="F108" i="38"/>
  <c r="F109" i="38"/>
  <c r="F126" i="38"/>
  <c r="F142" i="38"/>
  <c r="F143" i="38"/>
  <c r="F144" i="38"/>
  <c r="F156" i="38"/>
  <c r="F157" i="38"/>
  <c r="F163" i="38"/>
  <c r="F179" i="38"/>
  <c r="F185" i="38"/>
  <c r="F198" i="38"/>
  <c r="F200" i="38"/>
  <c r="F210" i="38"/>
  <c r="F214" i="38"/>
  <c r="F219" i="38"/>
  <c r="F228" i="38"/>
  <c r="F79" i="38"/>
  <c r="F80" i="38"/>
  <c r="F85" i="38"/>
  <c r="F88" i="38"/>
  <c r="F92" i="38"/>
  <c r="F95" i="38"/>
  <c r="F100" i="38"/>
  <c r="F102" i="38"/>
  <c r="F118" i="38"/>
  <c r="F122" i="38"/>
  <c r="F124" i="38"/>
  <c r="F130" i="38"/>
  <c r="F134" i="38"/>
  <c r="F135" i="38"/>
  <c r="F136" i="38"/>
  <c r="F137" i="38"/>
  <c r="F147" i="38"/>
  <c r="F148" i="38"/>
  <c r="F149" i="38"/>
  <c r="F150" i="38"/>
  <c r="F154" i="38"/>
  <c r="F158" i="38"/>
  <c r="F162" i="38"/>
  <c r="F170" i="38"/>
  <c r="F171" i="38"/>
  <c r="F180" i="38"/>
  <c r="F181" i="38"/>
  <c r="F212" i="38"/>
  <c r="F213" i="38"/>
  <c r="F230" i="38"/>
  <c r="F232" i="38"/>
  <c r="F238" i="38"/>
  <c r="F239" i="38"/>
  <c r="F240" i="38"/>
  <c r="F241" i="38"/>
  <c r="F242" i="38"/>
  <c r="F243" i="38"/>
  <c r="F244" i="38"/>
  <c r="F245" i="38"/>
  <c r="F248" i="38"/>
  <c r="F258" i="38"/>
  <c r="F259" i="38"/>
  <c r="F263" i="38"/>
  <c r="F270" i="38"/>
  <c r="F278" i="38"/>
  <c r="F279" i="38"/>
  <c r="F283" i="38"/>
  <c r="F284" i="38"/>
  <c r="F75" i="38"/>
  <c r="F76" i="38"/>
  <c r="F77" i="38"/>
  <c r="F84" i="38"/>
  <c r="F86" i="38"/>
  <c r="F87" i="38"/>
  <c r="F93" i="38"/>
  <c r="F96" i="38"/>
  <c r="F98" i="38"/>
  <c r="F99" i="38"/>
  <c r="F105" i="38"/>
  <c r="F111" i="38"/>
  <c r="F112" i="38"/>
  <c r="F113" i="38"/>
  <c r="F114" i="38"/>
  <c r="F120" i="38"/>
  <c r="F123" i="38"/>
  <c r="F125" i="38"/>
  <c r="F127" i="38"/>
  <c r="F128" i="38"/>
  <c r="F138" i="38"/>
  <c r="F139" i="38"/>
  <c r="F141" i="38"/>
  <c r="F145" i="38"/>
  <c r="F146" i="38"/>
  <c r="F151" i="38"/>
  <c r="F152" i="38"/>
  <c r="F153" i="38"/>
  <c r="F155" i="38"/>
  <c r="F161" i="38"/>
  <c r="F164" i="38"/>
  <c r="F165" i="38"/>
  <c r="F168" i="38"/>
  <c r="F169" i="38"/>
  <c r="F174" i="38"/>
  <c r="F175" i="38"/>
  <c r="F177" i="38"/>
  <c r="F178" i="38"/>
  <c r="F182" i="38"/>
  <c r="F183" i="38"/>
  <c r="F186" i="38"/>
  <c r="F191" i="38"/>
  <c r="F192" i="38"/>
  <c r="F193" i="38"/>
  <c r="F194" i="38"/>
  <c r="F199" i="38"/>
  <c r="F208" i="38"/>
  <c r="F218" i="38"/>
  <c r="F221" i="38"/>
  <c r="F222" i="38"/>
  <c r="F223" i="38"/>
  <c r="F220" i="38"/>
  <c r="F225" i="38"/>
  <c r="F249" i="38"/>
  <c r="F256" i="38"/>
  <c r="F261" i="38"/>
  <c r="F264" i="38"/>
  <c r="F269" i="38"/>
  <c r="F271" i="38"/>
  <c r="F280" i="38"/>
  <c r="F281" i="38"/>
  <c r="F300" i="38"/>
  <c r="F301" i="38"/>
  <c r="F308" i="38"/>
  <c r="F313" i="38"/>
  <c r="F226" i="38"/>
  <c r="F229" i="38"/>
  <c r="F236" i="38"/>
  <c r="F246" i="38"/>
  <c r="F257" i="38"/>
  <c r="F260" i="38"/>
  <c r="F265" i="38"/>
  <c r="F268" i="38"/>
  <c r="F272" i="38"/>
  <c r="F273" i="38"/>
  <c r="F275" i="38"/>
  <c r="F276" i="38"/>
  <c r="F277" i="38"/>
  <c r="F285" i="38"/>
  <c r="F287" i="38"/>
  <c r="F288" i="38"/>
  <c r="F293" i="38"/>
  <c r="F294" i="38"/>
  <c r="F298" i="38"/>
  <c r="F299" i="38"/>
  <c r="F302" i="38"/>
  <c r="F303" i="38"/>
  <c r="F309" i="38"/>
  <c r="F310" i="38"/>
  <c r="F311" i="38"/>
  <c r="F312" i="38"/>
  <c r="F81" i="38"/>
  <c r="F82" i="38"/>
  <c r="F83" i="38"/>
  <c r="F90" i="38"/>
  <c r="F91" i="38"/>
  <c r="F94" i="38"/>
  <c r="F101" i="38"/>
  <c r="F106" i="38"/>
  <c r="F159" i="38"/>
  <c r="F166" i="38"/>
  <c r="F172" i="38"/>
  <c r="F173" i="38"/>
  <c r="F184" i="38"/>
  <c r="F197" i="38"/>
  <c r="F203" i="38"/>
  <c r="F204" i="38"/>
  <c r="F206" i="38"/>
  <c r="F207" i="38"/>
  <c r="F224" i="38"/>
  <c r="F233" i="38"/>
  <c r="F253" i="38"/>
  <c r="F254" i="38"/>
  <c r="F255" i="38"/>
  <c r="F292" i="38"/>
  <c r="F295" i="38"/>
  <c r="F296" i="38"/>
  <c r="F297" i="38"/>
  <c r="F304" i="38"/>
  <c r="F305" i="38"/>
  <c r="F307" i="38"/>
  <c r="F4" i="19"/>
  <c r="F5" i="19"/>
  <c r="F10" i="19"/>
  <c r="F11" i="19"/>
  <c r="F8" i="19"/>
  <c r="F12" i="19"/>
  <c r="F9" i="19"/>
  <c r="F13" i="19"/>
  <c r="F6" i="19"/>
  <c r="F14" i="19"/>
  <c r="F7" i="19"/>
  <c r="F21" i="19"/>
  <c r="F22" i="19"/>
  <c r="F23" i="19"/>
  <c r="F15" i="19"/>
  <c r="F24" i="19"/>
  <c r="F25" i="19"/>
  <c r="F26" i="19"/>
  <c r="F16" i="19"/>
  <c r="F17" i="19"/>
  <c r="F18" i="19"/>
  <c r="F27" i="19"/>
  <c r="F28" i="19"/>
  <c r="F29" i="19"/>
  <c r="F30" i="19"/>
  <c r="F19" i="19"/>
  <c r="F20" i="19"/>
  <c r="F31" i="19"/>
  <c r="F32" i="19"/>
  <c r="F35" i="19"/>
  <c r="F36" i="19"/>
  <c r="F33" i="19"/>
  <c r="F34" i="19"/>
  <c r="F37" i="19"/>
  <c r="F41" i="19"/>
  <c r="F45" i="19"/>
  <c r="F38" i="19"/>
  <c r="F39" i="19"/>
  <c r="F42" i="19"/>
  <c r="F46" i="19"/>
  <c r="F47" i="19"/>
  <c r="F43" i="19"/>
  <c r="F44" i="19"/>
  <c r="F48" i="19"/>
  <c r="F40" i="19"/>
  <c r="F49" i="19"/>
  <c r="F50" i="19"/>
  <c r="F52" i="19"/>
  <c r="F53" i="19"/>
  <c r="F54" i="19"/>
  <c r="F55" i="19"/>
  <c r="F51" i="19"/>
  <c r="F63" i="19"/>
  <c r="F59" i="19"/>
  <c r="F60" i="19"/>
  <c r="F64" i="19"/>
  <c r="F65" i="19"/>
  <c r="F66" i="19"/>
  <c r="F61" i="19"/>
  <c r="F67" i="19"/>
  <c r="F62" i="19"/>
  <c r="F68" i="19"/>
  <c r="F69" i="19"/>
  <c r="F56" i="19"/>
  <c r="F70" i="19"/>
  <c r="F57" i="19"/>
  <c r="F58" i="19"/>
  <c r="F71" i="19"/>
  <c r="F72" i="19"/>
  <c r="F76" i="19"/>
  <c r="F77" i="19"/>
  <c r="F73" i="19"/>
  <c r="F74" i="19"/>
  <c r="F75" i="19"/>
  <c r="F80" i="19"/>
  <c r="F78" i="19"/>
  <c r="F84" i="19"/>
  <c r="F81" i="19"/>
  <c r="F82" i="19"/>
  <c r="F79" i="19"/>
  <c r="F85" i="19"/>
  <c r="F83" i="19"/>
  <c r="F92" i="19"/>
  <c r="F89" i="19"/>
  <c r="F86" i="19"/>
  <c r="F90" i="19"/>
  <c r="F87" i="19"/>
  <c r="F93" i="19"/>
  <c r="F94" i="19"/>
  <c r="F95" i="19"/>
  <c r="F91" i="19"/>
  <c r="F96" i="19"/>
  <c r="F97" i="19"/>
  <c r="F88" i="19"/>
  <c r="F104" i="19"/>
  <c r="F120" i="19"/>
  <c r="F98" i="19"/>
  <c r="F105" i="19"/>
  <c r="F106" i="19"/>
  <c r="F121" i="19"/>
  <c r="F122" i="19"/>
  <c r="F116" i="19"/>
  <c r="F99" i="19"/>
  <c r="F123" i="19"/>
  <c r="F124" i="19"/>
  <c r="F100" i="19"/>
  <c r="F101" i="19"/>
  <c r="F125" i="19"/>
  <c r="F107" i="19"/>
  <c r="F108" i="19"/>
  <c r="F109" i="19"/>
  <c r="F126" i="19"/>
  <c r="F127" i="19"/>
  <c r="F102" i="19"/>
  <c r="F128" i="19"/>
  <c r="F110" i="19"/>
  <c r="F111" i="19"/>
  <c r="F117" i="19"/>
  <c r="F112" i="19"/>
  <c r="F118" i="19"/>
  <c r="F129" i="19"/>
  <c r="F130" i="19"/>
  <c r="F113" i="19"/>
  <c r="F114" i="19"/>
  <c r="F131" i="19"/>
  <c r="F103" i="19"/>
  <c r="F132" i="19"/>
  <c r="F119" i="19"/>
  <c r="F115" i="19"/>
  <c r="F133" i="19"/>
  <c r="F171" i="19"/>
  <c r="F134" i="19"/>
  <c r="F227" i="19"/>
  <c r="F228" i="19"/>
  <c r="F172" i="19"/>
  <c r="F173" i="19"/>
  <c r="F174" i="19"/>
  <c r="F175" i="19"/>
  <c r="F176" i="19"/>
  <c r="F177" i="19"/>
  <c r="F178" i="19"/>
  <c r="F179" i="19"/>
  <c r="F180" i="19"/>
  <c r="F229" i="19"/>
  <c r="F230" i="19"/>
  <c r="F231" i="19"/>
  <c r="F232" i="19"/>
  <c r="F233" i="19"/>
  <c r="F234" i="19"/>
  <c r="F181" i="19"/>
  <c r="F235" i="19"/>
  <c r="F236" i="19"/>
  <c r="F182" i="19"/>
  <c r="F217" i="19"/>
  <c r="F237" i="19"/>
  <c r="F135" i="19"/>
  <c r="F238" i="19"/>
  <c r="F136" i="19"/>
  <c r="F137" i="19"/>
  <c r="F138" i="19"/>
  <c r="F239" i="19"/>
  <c r="F183" i="19"/>
  <c r="F218" i="19"/>
  <c r="F219" i="19"/>
  <c r="F220" i="19"/>
  <c r="F221" i="19"/>
  <c r="F222" i="19"/>
  <c r="F223" i="19"/>
  <c r="F224" i="19"/>
  <c r="F240" i="19"/>
  <c r="F241" i="19"/>
  <c r="F139" i="19"/>
  <c r="F140" i="19"/>
  <c r="F184" i="19"/>
  <c r="F242" i="19"/>
  <c r="F243" i="19"/>
  <c r="F141" i="19"/>
  <c r="F244" i="19"/>
  <c r="F245" i="19"/>
  <c r="F246" i="19"/>
  <c r="F185" i="19"/>
  <c r="F247" i="19"/>
  <c r="F142" i="19"/>
  <c r="F143" i="19"/>
  <c r="F144" i="19"/>
  <c r="F145" i="19"/>
  <c r="F186" i="19"/>
  <c r="F187" i="19"/>
  <c r="F188" i="19"/>
  <c r="F189" i="19"/>
  <c r="F248" i="19"/>
  <c r="F249" i="19"/>
  <c r="F250" i="19"/>
  <c r="F251" i="19"/>
  <c r="F252" i="19"/>
  <c r="F190" i="19"/>
  <c r="F253" i="19"/>
  <c r="F146" i="19"/>
  <c r="F254" i="19"/>
  <c r="F147" i="19"/>
  <c r="F255" i="19"/>
  <c r="F256" i="19"/>
  <c r="F257" i="19"/>
  <c r="F258" i="19"/>
  <c r="F259" i="19"/>
  <c r="F191" i="19"/>
  <c r="F192" i="19"/>
  <c r="F193" i="19"/>
  <c r="F194" i="19"/>
  <c r="F260" i="19"/>
  <c r="F261" i="19"/>
  <c r="F262" i="19"/>
  <c r="F263" i="19"/>
  <c r="F148" i="19"/>
  <c r="F195" i="19"/>
  <c r="F264" i="19"/>
  <c r="F265" i="19"/>
  <c r="F225" i="19"/>
  <c r="F266" i="19"/>
  <c r="F149" i="19"/>
  <c r="F150" i="19"/>
  <c r="F267" i="19"/>
  <c r="F268" i="19"/>
  <c r="F151" i="19"/>
  <c r="F196" i="19"/>
  <c r="F197" i="19"/>
  <c r="F198" i="19"/>
  <c r="F152" i="19"/>
  <c r="F269" i="19"/>
  <c r="F270" i="19"/>
  <c r="F199" i="19"/>
  <c r="F271" i="19"/>
  <c r="F200" i="19"/>
  <c r="F272" i="19"/>
  <c r="F273" i="19"/>
  <c r="F201" i="19"/>
  <c r="F202" i="19"/>
  <c r="F203" i="19"/>
  <c r="F274" i="19"/>
  <c r="F275" i="19"/>
  <c r="F276" i="19"/>
  <c r="F277" i="19"/>
  <c r="F278" i="19"/>
  <c r="F279" i="19"/>
  <c r="F153" i="19"/>
  <c r="F280" i="19"/>
  <c r="F204" i="19"/>
  <c r="F154" i="19"/>
  <c r="F155" i="19"/>
  <c r="F156" i="19"/>
  <c r="F157" i="19"/>
  <c r="F158" i="19"/>
  <c r="F159" i="19"/>
  <c r="F281" i="19"/>
  <c r="F282" i="19"/>
  <c r="F283" i="19"/>
  <c r="F284" i="19"/>
  <c r="F285" i="19"/>
  <c r="F286" i="19"/>
  <c r="F287" i="19"/>
  <c r="F205" i="19"/>
  <c r="F288" i="19"/>
  <c r="F289" i="19"/>
  <c r="F290" i="19"/>
  <c r="F160" i="19"/>
  <c r="F161" i="19"/>
  <c r="F162" i="19"/>
  <c r="F206" i="19"/>
  <c r="F207" i="19"/>
  <c r="F291" i="19"/>
  <c r="F208" i="19"/>
  <c r="F163" i="19"/>
  <c r="F209" i="19"/>
  <c r="F292" i="19"/>
  <c r="F164" i="19"/>
  <c r="F226" i="19"/>
  <c r="F210" i="19"/>
  <c r="F211" i="19"/>
  <c r="F293" i="19"/>
  <c r="F294" i="19"/>
  <c r="F295" i="19"/>
  <c r="F296" i="19"/>
  <c r="F165" i="19"/>
  <c r="F166" i="19"/>
  <c r="F212" i="19"/>
  <c r="F297" i="19"/>
  <c r="F167" i="19"/>
  <c r="F168" i="19"/>
  <c r="F169" i="19"/>
  <c r="F170" i="19"/>
  <c r="F298" i="19"/>
  <c r="F299" i="19"/>
  <c r="F300" i="19"/>
  <c r="F301" i="19"/>
  <c r="F302" i="19"/>
  <c r="F303" i="19"/>
  <c r="F213" i="19"/>
  <c r="F214" i="19"/>
  <c r="F304" i="19"/>
  <c r="F305" i="19"/>
  <c r="F306" i="19"/>
  <c r="F307" i="19"/>
  <c r="F308" i="19"/>
  <c r="F309" i="19"/>
  <c r="F215" i="19"/>
  <c r="F310" i="19"/>
  <c r="F216" i="19"/>
  <c r="F311" i="19"/>
  <c r="F312" i="19"/>
  <c r="F313" i="19"/>
  <c r="F314" i="19"/>
  <c r="I4" i="19"/>
  <c r="I5" i="19"/>
  <c r="I6" i="19"/>
  <c r="I7" i="19"/>
  <c r="I9" i="19"/>
  <c r="I8" i="19"/>
  <c r="I10" i="19"/>
  <c r="I12" i="19"/>
  <c r="I11" i="19"/>
  <c r="I14" i="19"/>
  <c r="I13" i="19"/>
  <c r="I15" i="19"/>
  <c r="I17" i="19"/>
  <c r="I16" i="19"/>
  <c r="I18" i="19"/>
  <c r="I20" i="19"/>
  <c r="I19" i="19"/>
  <c r="I26" i="19"/>
  <c r="I29" i="19"/>
  <c r="I21" i="19"/>
  <c r="I24" i="19"/>
  <c r="I22" i="19"/>
  <c r="I25" i="19"/>
  <c r="I30" i="19"/>
  <c r="I28" i="19"/>
  <c r="I23" i="19"/>
  <c r="I27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7" i="19"/>
  <c r="I56" i="19"/>
  <c r="I58" i="19"/>
  <c r="I60" i="19"/>
  <c r="I61" i="19"/>
  <c r="I59" i="19"/>
  <c r="I62" i="19"/>
  <c r="I63" i="19"/>
  <c r="I68" i="19"/>
  <c r="I64" i="19"/>
  <c r="I65" i="19"/>
  <c r="I69" i="19"/>
  <c r="I70" i="19"/>
  <c r="I67" i="19"/>
  <c r="I66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100" i="19"/>
  <c r="I99" i="19"/>
  <c r="I101" i="19"/>
  <c r="I102" i="19"/>
  <c r="I103" i="19"/>
  <c r="I104" i="19"/>
  <c r="I113" i="19"/>
  <c r="I114" i="19"/>
  <c r="I105" i="19"/>
  <c r="I108" i="19"/>
  <c r="I107" i="19"/>
  <c r="I109" i="19"/>
  <c r="I106" i="19"/>
  <c r="I110" i="19"/>
  <c r="I111" i="19"/>
  <c r="I112" i="19"/>
  <c r="I115" i="19"/>
  <c r="I116" i="19"/>
  <c r="I119" i="19"/>
  <c r="I117" i="19"/>
  <c r="I118" i="19"/>
  <c r="I130" i="19"/>
  <c r="I124" i="19"/>
  <c r="I120" i="19"/>
  <c r="I121" i="19"/>
  <c r="I122" i="19"/>
  <c r="I123" i="19"/>
  <c r="I126" i="19"/>
  <c r="I127" i="19"/>
  <c r="I125" i="19"/>
  <c r="I133" i="19"/>
  <c r="I128" i="19"/>
  <c r="I129" i="19"/>
  <c r="I131" i="19"/>
  <c r="I132" i="19"/>
  <c r="I135" i="19"/>
  <c r="I138" i="19"/>
  <c r="I136" i="19"/>
  <c r="I137" i="19"/>
  <c r="I139" i="19"/>
  <c r="I141" i="19"/>
  <c r="I142" i="19"/>
  <c r="I140" i="19"/>
  <c r="I143" i="19"/>
  <c r="I167" i="19"/>
  <c r="I144" i="19"/>
  <c r="I149" i="19"/>
  <c r="I146" i="19"/>
  <c r="I147" i="19"/>
  <c r="I168" i="19"/>
  <c r="I150" i="19"/>
  <c r="I151" i="19"/>
  <c r="I145" i="19"/>
  <c r="I152" i="19"/>
  <c r="I160" i="19"/>
  <c r="I153" i="19"/>
  <c r="I154" i="19"/>
  <c r="I155" i="19"/>
  <c r="I156" i="19"/>
  <c r="I157" i="19"/>
  <c r="I158" i="19"/>
  <c r="I148" i="19"/>
  <c r="I159" i="19"/>
  <c r="I161" i="19"/>
  <c r="I162" i="19"/>
  <c r="I163" i="19"/>
  <c r="I164" i="19"/>
  <c r="I165" i="19"/>
  <c r="I166" i="19"/>
  <c r="I169" i="19"/>
  <c r="I170" i="19"/>
  <c r="I134" i="19"/>
  <c r="I206" i="19"/>
  <c r="I191" i="19"/>
  <c r="I171" i="19"/>
  <c r="I172" i="19"/>
  <c r="I173" i="19"/>
  <c r="I175" i="19"/>
  <c r="I187" i="19"/>
  <c r="I181" i="19"/>
  <c r="I182" i="19"/>
  <c r="I195" i="19"/>
  <c r="I184" i="19"/>
  <c r="I211" i="19"/>
  <c r="I200" i="19"/>
  <c r="I213" i="19"/>
  <c r="I185" i="19"/>
  <c r="I186" i="19"/>
  <c r="I196" i="19"/>
  <c r="I183" i="19"/>
  <c r="I176" i="19"/>
  <c r="I177" i="19"/>
  <c r="I178" i="19"/>
  <c r="I179" i="19"/>
  <c r="I180" i="19"/>
  <c r="I188" i="19"/>
  <c r="I207" i="19"/>
  <c r="I190" i="19"/>
  <c r="I174" i="19"/>
  <c r="I201" i="19"/>
  <c r="I202" i="19"/>
  <c r="I192" i="19"/>
  <c r="I197" i="19"/>
  <c r="I198" i="19"/>
  <c r="I204" i="19"/>
  <c r="I193" i="19"/>
  <c r="I194" i="19"/>
  <c r="I214" i="19"/>
  <c r="I205" i="19"/>
  <c r="I199" i="19"/>
  <c r="I208" i="19"/>
  <c r="I209" i="19"/>
  <c r="I203" i="19"/>
  <c r="I210" i="19"/>
  <c r="I212" i="19"/>
  <c r="I189" i="19"/>
  <c r="I215" i="19"/>
  <c r="I216" i="19"/>
  <c r="I226" i="19"/>
  <c r="I218" i="19"/>
  <c r="I219" i="19"/>
  <c r="I220" i="19"/>
  <c r="I221" i="19"/>
  <c r="I225" i="19"/>
  <c r="I222" i="19"/>
  <c r="I217" i="19"/>
  <c r="I223" i="19"/>
  <c r="I224" i="19"/>
  <c r="I270" i="19"/>
  <c r="I281" i="19"/>
  <c r="I243" i="19"/>
  <c r="I311" i="19"/>
  <c r="I246" i="19"/>
  <c r="I227" i="19"/>
  <c r="I228" i="19"/>
  <c r="I312" i="19"/>
  <c r="I229" i="19"/>
  <c r="I235" i="19"/>
  <c r="I238" i="19"/>
  <c r="I297" i="19"/>
  <c r="I237" i="19"/>
  <c r="I239" i="19"/>
  <c r="I240" i="19"/>
  <c r="I253" i="19"/>
  <c r="I242" i="19"/>
  <c r="I288" i="19"/>
  <c r="I241" i="19"/>
  <c r="I293" i="19"/>
  <c r="I274" i="19"/>
  <c r="I244" i="19"/>
  <c r="I245" i="19"/>
  <c r="I247" i="19"/>
  <c r="I282" i="19"/>
  <c r="I230" i="19"/>
  <c r="I231" i="19"/>
  <c r="I232" i="19"/>
  <c r="I233" i="19"/>
  <c r="I234" i="19"/>
  <c r="I250" i="19"/>
  <c r="I251" i="19"/>
  <c r="I252" i="19"/>
  <c r="I272" i="19"/>
  <c r="I278" i="19"/>
  <c r="I257" i="19"/>
  <c r="I258" i="19"/>
  <c r="I255" i="19"/>
  <c r="I254" i="19"/>
  <c r="I295" i="19"/>
  <c r="I256" i="19"/>
  <c r="I264" i="19"/>
  <c r="I265" i="19"/>
  <c r="I283" i="19"/>
  <c r="I266" i="19"/>
  <c r="I267" i="19"/>
  <c r="I268" i="19"/>
  <c r="I269" i="19"/>
  <c r="I236" i="19"/>
  <c r="I271" i="19"/>
  <c r="I275" i="19"/>
  <c r="I273" i="19"/>
  <c r="I276" i="19"/>
  <c r="I279" i="19"/>
  <c r="I280" i="19"/>
  <c r="I284" i="19"/>
  <c r="I287" i="19"/>
  <c r="I260" i="19"/>
  <c r="I261" i="19"/>
  <c r="I262" i="19"/>
  <c r="I289" i="19"/>
  <c r="I291" i="19"/>
  <c r="I263" i="19"/>
  <c r="I292" i="19"/>
  <c r="I277" i="19"/>
  <c r="I294" i="19"/>
  <c r="I285" i="19"/>
  <c r="I286" i="19"/>
  <c r="I296" i="19"/>
  <c r="I304" i="19"/>
  <c r="I259" i="19"/>
  <c r="I298" i="19"/>
  <c r="I310" i="19"/>
  <c r="I248" i="19"/>
  <c r="I313" i="19"/>
  <c r="I314" i="19"/>
  <c r="I249" i="19"/>
  <c r="I299" i="19"/>
  <c r="I300" i="19"/>
  <c r="I290" i="19"/>
  <c r="I301" i="19"/>
  <c r="I302" i="19"/>
  <c r="I303" i="19"/>
  <c r="I305" i="19"/>
  <c r="I306" i="19"/>
  <c r="I307" i="19"/>
  <c r="I308" i="19"/>
  <c r="I309" i="19"/>
  <c r="F7" i="50" l="1"/>
  <c r="D7" i="50"/>
  <c r="H207" i="38"/>
  <c r="H109" i="38"/>
  <c r="H90" i="38"/>
  <c r="H271" i="38"/>
  <c r="H256" i="38"/>
  <c r="H206" i="38"/>
  <c r="H91" i="38"/>
  <c r="H222" i="38"/>
  <c r="BN7" i="7"/>
  <c r="BN8" i="7"/>
  <c r="BN9" i="7"/>
  <c r="BN10" i="7"/>
  <c r="BN11" i="7"/>
  <c r="BN12" i="7"/>
  <c r="BN13" i="7"/>
  <c r="BN14" i="7"/>
  <c r="BN15" i="7"/>
  <c r="BN16" i="7"/>
  <c r="BN17" i="7"/>
  <c r="BN18" i="7"/>
  <c r="BN19" i="7"/>
  <c r="BN20" i="7"/>
  <c r="BN21" i="7"/>
  <c r="BN22" i="7"/>
  <c r="BN23" i="7"/>
  <c r="BN24" i="7"/>
  <c r="BN25" i="7"/>
  <c r="BN26" i="7"/>
  <c r="BN27" i="7"/>
  <c r="BN28" i="7"/>
  <c r="BN29" i="7"/>
  <c r="BN30" i="7"/>
  <c r="BN31" i="7"/>
  <c r="BN32" i="7"/>
  <c r="BN33" i="7"/>
  <c r="BN34" i="7"/>
  <c r="BN35" i="7"/>
  <c r="BN36" i="7"/>
  <c r="BN37" i="7"/>
  <c r="BN38" i="7"/>
  <c r="BN39" i="7"/>
  <c r="BN40" i="7"/>
  <c r="BN41" i="7"/>
  <c r="BN42" i="7"/>
  <c r="BN43" i="7"/>
  <c r="BN44" i="7"/>
  <c r="BN45" i="7"/>
  <c r="BN46" i="7"/>
  <c r="BN47" i="7"/>
  <c r="BN48" i="7"/>
  <c r="BN49" i="7"/>
  <c r="BN50" i="7"/>
  <c r="BN51" i="7"/>
  <c r="BN52" i="7"/>
  <c r="BN53" i="7"/>
  <c r="BN54" i="7"/>
  <c r="BN55" i="7"/>
  <c r="BN56" i="7"/>
  <c r="BN57" i="7"/>
  <c r="BN58" i="7"/>
  <c r="BN59" i="7"/>
  <c r="BN60" i="7"/>
  <c r="BN61" i="7"/>
  <c r="BN62" i="7"/>
  <c r="BN63" i="7"/>
  <c r="BN64" i="7"/>
  <c r="BN65" i="7"/>
  <c r="BN66" i="7"/>
  <c r="BN67" i="7"/>
  <c r="BN68" i="7"/>
  <c r="BN69" i="7"/>
  <c r="BN70" i="7"/>
  <c r="BN71" i="7"/>
  <c r="BN72" i="7"/>
  <c r="BN73" i="7"/>
  <c r="BN74" i="7"/>
  <c r="BN75" i="7"/>
  <c r="BN76" i="7"/>
  <c r="BN77" i="7"/>
  <c r="BN78" i="7"/>
  <c r="BN79" i="7"/>
  <c r="BN80" i="7"/>
  <c r="BN81" i="7"/>
  <c r="BN82" i="7"/>
  <c r="BN83" i="7"/>
  <c r="BN84" i="7"/>
  <c r="BN85" i="7"/>
  <c r="BN86" i="7"/>
  <c r="BN87" i="7"/>
  <c r="BN88" i="7"/>
  <c r="BN89" i="7"/>
  <c r="BN90" i="7"/>
  <c r="BN91" i="7"/>
  <c r="BN92" i="7"/>
  <c r="BN93" i="7"/>
  <c r="BN94" i="7"/>
  <c r="BN95" i="7"/>
  <c r="BN96" i="7"/>
  <c r="BN97" i="7"/>
  <c r="BN98" i="7"/>
  <c r="BN99" i="7"/>
  <c r="BN100" i="7"/>
  <c r="BN101" i="7"/>
  <c r="BN102" i="7"/>
  <c r="BN103" i="7"/>
  <c r="BN104" i="7"/>
  <c r="BN105" i="7"/>
  <c r="BN106" i="7"/>
  <c r="BN107" i="7"/>
  <c r="BN108" i="7"/>
  <c r="BN109" i="7"/>
  <c r="BN110" i="7"/>
  <c r="BN111" i="7"/>
  <c r="BN112" i="7"/>
  <c r="BN113" i="7"/>
  <c r="BN114" i="7"/>
  <c r="BN115" i="7"/>
  <c r="BN116" i="7"/>
  <c r="BN117" i="7"/>
  <c r="BN118" i="7"/>
  <c r="BN119" i="7"/>
  <c r="BN120" i="7"/>
  <c r="BN121" i="7"/>
  <c r="BN122" i="7"/>
  <c r="BN123" i="7"/>
  <c r="BN124" i="7"/>
  <c r="BN125" i="7"/>
  <c r="BN126" i="7"/>
  <c r="BN127" i="7"/>
  <c r="BN128" i="7"/>
  <c r="BN129" i="7"/>
  <c r="BN130" i="7"/>
  <c r="BN131" i="7"/>
  <c r="BN132" i="7"/>
  <c r="BN133" i="7"/>
  <c r="BN134" i="7"/>
  <c r="BN135" i="7"/>
  <c r="BN136" i="7"/>
  <c r="BN137" i="7"/>
  <c r="BN138" i="7"/>
  <c r="BN139" i="7"/>
  <c r="BN140" i="7"/>
  <c r="BN141" i="7"/>
  <c r="BN142" i="7"/>
  <c r="BN143" i="7"/>
  <c r="BN144" i="7"/>
  <c r="BN145" i="7"/>
  <c r="BN146" i="7"/>
  <c r="BN147" i="7"/>
  <c r="BN148" i="7"/>
  <c r="BN149" i="7"/>
  <c r="BN150" i="7"/>
  <c r="BN151" i="7"/>
  <c r="BN152" i="7"/>
  <c r="BN153" i="7"/>
  <c r="BN154" i="7"/>
  <c r="BN155" i="7"/>
  <c r="BN156" i="7"/>
  <c r="BN157" i="7"/>
  <c r="BN158" i="7"/>
  <c r="BN159" i="7"/>
  <c r="BN160" i="7"/>
  <c r="BN161" i="7"/>
  <c r="BN162" i="7"/>
  <c r="BN163" i="7"/>
  <c r="BN164" i="7"/>
  <c r="BN165" i="7"/>
  <c r="BN166" i="7"/>
  <c r="BN167" i="7"/>
  <c r="BN168" i="7"/>
  <c r="BN169" i="7"/>
  <c r="BN170" i="7"/>
  <c r="BN171" i="7"/>
  <c r="BN172" i="7"/>
  <c r="BN173" i="7"/>
  <c r="BN174" i="7"/>
  <c r="BN175" i="7"/>
  <c r="BN176" i="7"/>
  <c r="BN177" i="7"/>
  <c r="BN178" i="7"/>
  <c r="BN179" i="7"/>
  <c r="BN180" i="7"/>
  <c r="BN181" i="7"/>
  <c r="BN182" i="7"/>
  <c r="BN183" i="7"/>
  <c r="BN184" i="7"/>
  <c r="BN185" i="7"/>
  <c r="BN186" i="7"/>
  <c r="BN187" i="7"/>
  <c r="BN188" i="7"/>
  <c r="BN189" i="7"/>
  <c r="BN190" i="7"/>
  <c r="BN191" i="7"/>
  <c r="BN192" i="7"/>
  <c r="BN193" i="7"/>
  <c r="BN194" i="7"/>
  <c r="BN195" i="7"/>
  <c r="BN196" i="7"/>
  <c r="BN197" i="7"/>
  <c r="BN198" i="7"/>
  <c r="BN199" i="7"/>
  <c r="BN200" i="7"/>
  <c r="BN201" i="7"/>
  <c r="BN202" i="7"/>
  <c r="BN203" i="7"/>
  <c r="BN204" i="7"/>
  <c r="BN205" i="7"/>
  <c r="BN206" i="7"/>
  <c r="BN207" i="7"/>
  <c r="BN208" i="7"/>
  <c r="BN209" i="7"/>
  <c r="BN210" i="7"/>
  <c r="BN211" i="7"/>
  <c r="BN212" i="7"/>
  <c r="BN213" i="7"/>
  <c r="BN214" i="7"/>
  <c r="BN215" i="7"/>
  <c r="BN216" i="7"/>
  <c r="BN217" i="7"/>
  <c r="BN218" i="7"/>
  <c r="BN219" i="7"/>
  <c r="BN220" i="7"/>
  <c r="BN221" i="7"/>
  <c r="BN222" i="7"/>
  <c r="BN223" i="7"/>
  <c r="BN224" i="7"/>
  <c r="BN225" i="7"/>
  <c r="BN226" i="7"/>
  <c r="BN227" i="7"/>
  <c r="BN228" i="7"/>
  <c r="BN229" i="7"/>
  <c r="BN230" i="7"/>
  <c r="BN231" i="7"/>
  <c r="BN232" i="7"/>
  <c r="BN233" i="7"/>
  <c r="BN234" i="7"/>
  <c r="BN235" i="7"/>
  <c r="BN236" i="7"/>
  <c r="BN237" i="7"/>
  <c r="BN238" i="7"/>
  <c r="BN239" i="7"/>
  <c r="BN240" i="7"/>
  <c r="BN241" i="7"/>
  <c r="BN242" i="7"/>
  <c r="BN243" i="7"/>
  <c r="BN244" i="7"/>
  <c r="BN245" i="7"/>
  <c r="BN246" i="7"/>
  <c r="BN247" i="7"/>
  <c r="BN248" i="7"/>
  <c r="BN249" i="7"/>
  <c r="BN250" i="7"/>
  <c r="BN251" i="7"/>
  <c r="BN252" i="7"/>
  <c r="BN253" i="7"/>
  <c r="BN254" i="7"/>
  <c r="BN255" i="7"/>
  <c r="BN256" i="7"/>
  <c r="BN257" i="7"/>
  <c r="BN258" i="7"/>
  <c r="BN259" i="7"/>
  <c r="BN260" i="7"/>
  <c r="BN261" i="7"/>
  <c r="BN262" i="7"/>
  <c r="BN263" i="7"/>
  <c r="BN264" i="7"/>
  <c r="BN265" i="7"/>
  <c r="BN266" i="7"/>
  <c r="BN267" i="7"/>
  <c r="BN268" i="7"/>
  <c r="BN269" i="7"/>
  <c r="BN270" i="7"/>
  <c r="BN271" i="7"/>
  <c r="BN272" i="7"/>
  <c r="BN273" i="7"/>
  <c r="BN274" i="7"/>
  <c r="BN275" i="7"/>
  <c r="BN276" i="7"/>
  <c r="BN277" i="7"/>
  <c r="BN278" i="7"/>
  <c r="BN279" i="7"/>
  <c r="BN280" i="7"/>
  <c r="BN281" i="7"/>
  <c r="BN282" i="7"/>
  <c r="BN283" i="7"/>
  <c r="BN284" i="7"/>
  <c r="BN285" i="7"/>
  <c r="BN286" i="7"/>
  <c r="BN287" i="7"/>
  <c r="BN288" i="7"/>
  <c r="BN289" i="7"/>
  <c r="BN290" i="7"/>
  <c r="BN291" i="7"/>
  <c r="BN292" i="7"/>
  <c r="BN293" i="7"/>
  <c r="BN294" i="7"/>
  <c r="BN295" i="7"/>
  <c r="BN296" i="7"/>
  <c r="BN297" i="7"/>
  <c r="BN298" i="7"/>
  <c r="BN299" i="7"/>
  <c r="BN300" i="7"/>
  <c r="BN301" i="7"/>
  <c r="BN302" i="7"/>
  <c r="BN303" i="7"/>
  <c r="BN304" i="7"/>
  <c r="BN305" i="7"/>
  <c r="BN306" i="7"/>
  <c r="BN307" i="7"/>
  <c r="BN308" i="7"/>
  <c r="BN309" i="7"/>
  <c r="BN310" i="7"/>
  <c r="BN311" i="7"/>
  <c r="BN312" i="7"/>
  <c r="BN313" i="7"/>
  <c r="BN314" i="7"/>
  <c r="BN315" i="7"/>
  <c r="BN316" i="7"/>
  <c r="BN317" i="7"/>
  <c r="BN318" i="7"/>
  <c r="BN319" i="7"/>
  <c r="BN320" i="7"/>
  <c r="BN321" i="7"/>
  <c r="BN322" i="7"/>
  <c r="BN323" i="7"/>
  <c r="BN324" i="7"/>
  <c r="BN325" i="7"/>
  <c r="BM6" i="7"/>
  <c r="E173" i="21" s="1"/>
  <c r="BM7" i="7"/>
  <c r="E174" i="21" s="1"/>
  <c r="BM8" i="7"/>
  <c r="E175" i="21" s="1"/>
  <c r="BM9" i="7"/>
  <c r="E176" i="21" s="1"/>
  <c r="BM10" i="7"/>
  <c r="E70" i="21" s="1"/>
  <c r="BM11" i="7"/>
  <c r="E71" i="21" s="1"/>
  <c r="BM12" i="7"/>
  <c r="E7" i="21" s="1"/>
  <c r="BM13" i="7"/>
  <c r="E177" i="21" s="1"/>
  <c r="BM14" i="7"/>
  <c r="E154" i="21" s="1"/>
  <c r="BM15" i="7"/>
  <c r="E153" i="21" s="1"/>
  <c r="BM16" i="7"/>
  <c r="E178" i="21" s="1"/>
  <c r="BM17" i="7"/>
  <c r="E179" i="21" s="1"/>
  <c r="BM18" i="7"/>
  <c r="E146" i="21" s="1"/>
  <c r="BM19" i="7"/>
  <c r="E180" i="21" s="1"/>
  <c r="BM20" i="7"/>
  <c r="E181" i="21" s="1"/>
  <c r="BM21" i="7"/>
  <c r="E117" i="21" s="1"/>
  <c r="BM22" i="7"/>
  <c r="E118" i="21" s="1"/>
  <c r="BM23" i="7"/>
  <c r="E182" i="21" s="1"/>
  <c r="BM24" i="7"/>
  <c r="E72" i="21" s="1"/>
  <c r="BM25" i="7"/>
  <c r="E135" i="21" s="1"/>
  <c r="BM26" i="7"/>
  <c r="E183" i="21" s="1"/>
  <c r="BM27" i="7"/>
  <c r="E73" i="21" s="1"/>
  <c r="BM28" i="7"/>
  <c r="E136" i="21" s="1"/>
  <c r="BM29" i="7"/>
  <c r="E184" i="21" s="1"/>
  <c r="BM30" i="7"/>
  <c r="E185" i="21" s="1"/>
  <c r="BM31" i="7"/>
  <c r="E186" i="21" s="1"/>
  <c r="BM32" i="7"/>
  <c r="E74" i="21" s="1"/>
  <c r="BM33" i="7"/>
  <c r="E187" i="21" s="1"/>
  <c r="BM34" i="7"/>
  <c r="E13" i="21" s="1"/>
  <c r="BM35" i="7"/>
  <c r="E188" i="21" s="1"/>
  <c r="BM36" i="7"/>
  <c r="E75" i="21" s="1"/>
  <c r="BM37" i="7"/>
  <c r="E189" i="21" s="1"/>
  <c r="BM38" i="7"/>
  <c r="E190" i="21" s="1"/>
  <c r="BM39" i="7"/>
  <c r="E76" i="21" s="1"/>
  <c r="BM40" i="7"/>
  <c r="E32" i="21" s="1"/>
  <c r="BM41" i="7"/>
  <c r="E137" i="21" s="1"/>
  <c r="BM42" i="7"/>
  <c r="E77" i="21" s="1"/>
  <c r="BM43" i="7"/>
  <c r="E191" i="21" s="1"/>
  <c r="BM44" i="7"/>
  <c r="E67" i="21" s="1"/>
  <c r="BM45" i="7"/>
  <c r="E14" i="21" s="1"/>
  <c r="BM46" i="7"/>
  <c r="E192" i="21" s="1"/>
  <c r="BM47" i="7"/>
  <c r="E15" i="21" s="1"/>
  <c r="BM48" i="7"/>
  <c r="E33" i="21" s="1"/>
  <c r="BM49" i="7"/>
  <c r="E34" i="21" s="1"/>
  <c r="BM50" i="7"/>
  <c r="E16" i="21" s="1"/>
  <c r="BM51" i="7"/>
  <c r="E193" i="21" s="1"/>
  <c r="BM52" i="7"/>
  <c r="E313" i="21" s="1"/>
  <c r="BM53" i="7"/>
  <c r="E155" i="21" s="1"/>
  <c r="BM54" i="7"/>
  <c r="E68" i="21" s="1"/>
  <c r="BM55" i="7"/>
  <c r="BM56" i="7"/>
  <c r="BM57" i="7"/>
  <c r="BM58" i="7"/>
  <c r="E138" i="21" s="1"/>
  <c r="BM59" i="7"/>
  <c r="E194" i="21" s="1"/>
  <c r="BM60" i="7"/>
  <c r="E195" i="21" s="1"/>
  <c r="BM61" i="7"/>
  <c r="E196" i="21" s="1"/>
  <c r="BM62" i="7"/>
  <c r="E156" i="21" s="1"/>
  <c r="BM63" i="7"/>
  <c r="E197" i="21" s="1"/>
  <c r="BM64" i="7"/>
  <c r="E35" i="21" s="1"/>
  <c r="BM65" i="7"/>
  <c r="E198" i="21" s="1"/>
  <c r="BM66" i="7"/>
  <c r="E139" i="21" s="1"/>
  <c r="BM67" i="7"/>
  <c r="E78" i="21" s="1"/>
  <c r="BM68" i="7"/>
  <c r="E199" i="21" s="1"/>
  <c r="BM69" i="7"/>
  <c r="E79" i="21" s="1"/>
  <c r="BM70" i="7"/>
  <c r="E200" i="21" s="1"/>
  <c r="BM71" i="7"/>
  <c r="E201" i="21" s="1"/>
  <c r="BM72" i="7"/>
  <c r="E202" i="21" s="1"/>
  <c r="BM73" i="7"/>
  <c r="E157" i="21" s="1"/>
  <c r="BM74" i="7"/>
  <c r="E80" i="21" s="1"/>
  <c r="BM75" i="7"/>
  <c r="E81" i="21" s="1"/>
  <c r="BM76" i="7"/>
  <c r="E203" i="21" s="1"/>
  <c r="BM77" i="7"/>
  <c r="E82" i="21" s="1"/>
  <c r="BM78" i="7"/>
  <c r="E204" i="21" s="1"/>
  <c r="BM79" i="7"/>
  <c r="E205" i="21" s="1"/>
  <c r="BM80" i="7"/>
  <c r="E17" i="21" s="1"/>
  <c r="BM81" i="7"/>
  <c r="E206" i="21" s="1"/>
  <c r="BM82" i="7"/>
  <c r="E207" i="21" s="1"/>
  <c r="BM83" i="7"/>
  <c r="E208" i="21" s="1"/>
  <c r="BM84" i="7"/>
  <c r="E147" i="21" s="1"/>
  <c r="BM85" i="7"/>
  <c r="E119" i="21" s="1"/>
  <c r="BM86" i="7"/>
  <c r="E209" i="21" s="1"/>
  <c r="BM87" i="7"/>
  <c r="E36" i="21" s="1"/>
  <c r="BM88" i="7"/>
  <c r="E210" i="21" s="1"/>
  <c r="BM89" i="7"/>
  <c r="E120" i="21" s="1"/>
  <c r="BM90" i="7"/>
  <c r="E148" i="21" s="1"/>
  <c r="BM91" i="7"/>
  <c r="E121" i="21" s="1"/>
  <c r="BM92" i="7"/>
  <c r="E140" i="21" s="1"/>
  <c r="BM93" i="7"/>
  <c r="E149" i="21" s="1"/>
  <c r="BM94" i="7"/>
  <c r="E158" i="21" s="1"/>
  <c r="BM95" i="7"/>
  <c r="E4" i="21" s="1"/>
  <c r="BM96" i="7"/>
  <c r="E211" i="21" s="1"/>
  <c r="BM97" i="7"/>
  <c r="E212" i="21" s="1"/>
  <c r="BM98" i="7"/>
  <c r="E213" i="21" s="1"/>
  <c r="BM99" i="7"/>
  <c r="E37" i="21" s="1"/>
  <c r="BM100" i="7"/>
  <c r="E62" i="21" s="1"/>
  <c r="BM101" i="7"/>
  <c r="E38" i="21" s="1"/>
  <c r="BM102" i="7"/>
  <c r="E214" i="21" s="1"/>
  <c r="BM103" i="7"/>
  <c r="E215" i="21" s="1"/>
  <c r="BM104" i="7"/>
  <c r="E83" i="21" s="1"/>
  <c r="BM105" i="7"/>
  <c r="E84" i="21" s="1"/>
  <c r="BM106" i="7"/>
  <c r="E85" i="21" s="1"/>
  <c r="BM107" i="7"/>
  <c r="E86" i="21" s="1"/>
  <c r="BM108" i="7"/>
  <c r="E216" i="21" s="1"/>
  <c r="BM109" i="7"/>
  <c r="E217" i="21" s="1"/>
  <c r="BM110" i="7"/>
  <c r="E218" i="21" s="1"/>
  <c r="BM111" i="7"/>
  <c r="E87" i="21" s="1"/>
  <c r="BM112" i="7"/>
  <c r="E219" i="21" s="1"/>
  <c r="BM113" i="7"/>
  <c r="E39" i="21" s="1"/>
  <c r="BM114" i="7"/>
  <c r="E88" i="21" s="1"/>
  <c r="BM115" i="7"/>
  <c r="E40" i="21" s="1"/>
  <c r="BM116" i="7"/>
  <c r="E141" i="21" s="1"/>
  <c r="BM117" i="7"/>
  <c r="E220" i="21" s="1"/>
  <c r="BM118" i="7"/>
  <c r="E159" i="21" s="1"/>
  <c r="BM119" i="7"/>
  <c r="E221" i="21" s="1"/>
  <c r="BM120" i="7"/>
  <c r="E89" i="21" s="1"/>
  <c r="BM121" i="7"/>
  <c r="E41" i="21" s="1"/>
  <c r="BM122" i="7"/>
  <c r="E222" i="21" s="1"/>
  <c r="BM123" i="7"/>
  <c r="E90" i="21" s="1"/>
  <c r="BM124" i="7"/>
  <c r="E223" i="21" s="1"/>
  <c r="BM125" i="7"/>
  <c r="E69" i="21" s="1"/>
  <c r="BM126" i="7"/>
  <c r="E224" i="21" s="1"/>
  <c r="BM127" i="7"/>
  <c r="E225" i="21" s="1"/>
  <c r="BM128" i="7"/>
  <c r="E226" i="21" s="1"/>
  <c r="BM129" i="7"/>
  <c r="E227" i="21" s="1"/>
  <c r="BM130" i="7"/>
  <c r="E91" i="21" s="1"/>
  <c r="BM131" i="7"/>
  <c r="E122" i="21" s="1"/>
  <c r="BM132" i="7"/>
  <c r="E18" i="21" s="1"/>
  <c r="BM133" i="7"/>
  <c r="E19" i="21" s="1"/>
  <c r="BM134" i="7"/>
  <c r="E228" i="21" s="1"/>
  <c r="BM135" i="7"/>
  <c r="E229" i="21" s="1"/>
  <c r="BM136" i="7"/>
  <c r="E123" i="21" s="1"/>
  <c r="BM137" i="7"/>
  <c r="E230" i="21" s="1"/>
  <c r="BM138" i="7"/>
  <c r="E160" i="21" s="1"/>
  <c r="BM139" i="7"/>
  <c r="E231" i="21" s="1"/>
  <c r="BM140" i="7"/>
  <c r="BM141" i="7"/>
  <c r="E42" i="21" s="1"/>
  <c r="BM142" i="7"/>
  <c r="E92" i="21" s="1"/>
  <c r="BM143" i="7"/>
  <c r="E93" i="21" s="1"/>
  <c r="BM144" i="7"/>
  <c r="E232" i="21" s="1"/>
  <c r="BM145" i="7"/>
  <c r="E161" i="21" s="1"/>
  <c r="BM146" i="7"/>
  <c r="E150" i="21" s="1"/>
  <c r="BM147" i="7"/>
  <c r="E233" i="21" s="1"/>
  <c r="BM148" i="7"/>
  <c r="E43" i="21" s="1"/>
  <c r="BM149" i="7"/>
  <c r="E234" i="21" s="1"/>
  <c r="BM150" i="7"/>
  <c r="E235" i="21" s="1"/>
  <c r="BM151" i="7"/>
  <c r="E124" i="21" s="1"/>
  <c r="BM152" i="7"/>
  <c r="E94" i="21" s="1"/>
  <c r="BM153" i="7"/>
  <c r="E95" i="21" s="1"/>
  <c r="BM154" i="7"/>
  <c r="E96" i="21" s="1"/>
  <c r="BM155" i="7"/>
  <c r="E44" i="21" s="1"/>
  <c r="BM156" i="7"/>
  <c r="E20" i="21" s="1"/>
  <c r="BM157" i="7"/>
  <c r="E11" i="21" s="1"/>
  <c r="BM158" i="7"/>
  <c r="E151" i="21" s="1"/>
  <c r="BM159" i="7"/>
  <c r="E97" i="21" s="1"/>
  <c r="BM160" i="7"/>
  <c r="E236" i="21" s="1"/>
  <c r="BM161" i="7"/>
  <c r="BM162" i="7"/>
  <c r="E237" i="21" s="1"/>
  <c r="BM163" i="7"/>
  <c r="E162" i="21" s="1"/>
  <c r="BM164" i="7"/>
  <c r="E238" i="21" s="1"/>
  <c r="BM165" i="7"/>
  <c r="E163" i="21" s="1"/>
  <c r="BM166" i="7"/>
  <c r="E142" i="21" s="1"/>
  <c r="BM167" i="7"/>
  <c r="E239" i="21" s="1"/>
  <c r="BM168" i="7"/>
  <c r="E45" i="21" s="1"/>
  <c r="BM169" i="7"/>
  <c r="E164" i="21" s="1"/>
  <c r="BM170" i="7"/>
  <c r="E21" i="21" s="1"/>
  <c r="BM171" i="7"/>
  <c r="E125" i="21" s="1"/>
  <c r="BM172" i="7"/>
  <c r="E240" i="21" s="1"/>
  <c r="BM173" i="7"/>
  <c r="E98" i="21" s="1"/>
  <c r="BM174" i="7"/>
  <c r="E241" i="21" s="1"/>
  <c r="BM175" i="7"/>
  <c r="E143" i="21" s="1"/>
  <c r="BM176" i="7"/>
  <c r="E242" i="21" s="1"/>
  <c r="BM177" i="7"/>
  <c r="E243" i="21" s="1"/>
  <c r="BM178" i="7"/>
  <c r="E244" i="21" s="1"/>
  <c r="BM179" i="7"/>
  <c r="E5" i="21" s="1"/>
  <c r="BM180" i="7"/>
  <c r="E245" i="21" s="1"/>
  <c r="BM181" i="7"/>
  <c r="E99" i="21" s="1"/>
  <c r="BM182" i="7"/>
  <c r="E246" i="21" s="1"/>
  <c r="BM183" i="7"/>
  <c r="E22" i="21" s="1"/>
  <c r="BM184" i="7"/>
  <c r="E23" i="21" s="1"/>
  <c r="BM185" i="7"/>
  <c r="E63" i="21" s="1"/>
  <c r="BM186" i="7"/>
  <c r="E9" i="21" s="1"/>
  <c r="BM187" i="7"/>
  <c r="E126" i="21" s="1"/>
  <c r="BM188" i="7"/>
  <c r="E247" i="21" s="1"/>
  <c r="BM189" i="7"/>
  <c r="E248" i="21" s="1"/>
  <c r="BM190" i="7"/>
  <c r="E127" i="21" s="1"/>
  <c r="BM191" i="7"/>
  <c r="E144" i="21" s="1"/>
  <c r="BM192" i="7"/>
  <c r="E64" i="21" s="1"/>
  <c r="BM193" i="7"/>
  <c r="E46" i="21" s="1"/>
  <c r="BM194" i="7"/>
  <c r="E152" i="21" s="1"/>
  <c r="BM195" i="7"/>
  <c r="E249" i="21" s="1"/>
  <c r="BM196" i="7"/>
  <c r="E6" i="21" s="1"/>
  <c r="BM197" i="7"/>
  <c r="E100" i="21" s="1"/>
  <c r="BM198" i="7"/>
  <c r="E145" i="21" s="1"/>
  <c r="BM199" i="7"/>
  <c r="E8" i="21" s="1"/>
  <c r="BM200" i="7"/>
  <c r="E250" i="21" s="1"/>
  <c r="BM201" i="7"/>
  <c r="E251" i="21" s="1"/>
  <c r="BM202" i="7"/>
  <c r="E47" i="21" s="1"/>
  <c r="BM203" i="7"/>
  <c r="E252" i="21" s="1"/>
  <c r="BM204" i="7"/>
  <c r="E253" i="21" s="1"/>
  <c r="BM205" i="7"/>
  <c r="E254" i="21" s="1"/>
  <c r="BM206" i="7"/>
  <c r="E255" i="21" s="1"/>
  <c r="BM207" i="7"/>
  <c r="BM208" i="7"/>
  <c r="E256" i="21" s="1"/>
  <c r="BM209" i="7"/>
  <c r="E257" i="21" s="1"/>
  <c r="BM210" i="7"/>
  <c r="E258" i="21" s="1"/>
  <c r="BM211" i="7"/>
  <c r="E48" i="21" s="1"/>
  <c r="BM212" i="7"/>
  <c r="E49" i="21" s="1"/>
  <c r="BM213" i="7"/>
  <c r="E259" i="21" s="1"/>
  <c r="BM214" i="7"/>
  <c r="E101" i="21" s="1"/>
  <c r="BM215" i="7"/>
  <c r="E260" i="21" s="1"/>
  <c r="BM216" i="7"/>
  <c r="E50" i="21" s="1"/>
  <c r="BM217" i="7"/>
  <c r="BM218" i="7"/>
  <c r="E102" i="21" s="1"/>
  <c r="BM219" i="7"/>
  <c r="E128" i="21" s="1"/>
  <c r="BM220" i="7"/>
  <c r="E129" i="21" s="1"/>
  <c r="BM221" i="7"/>
  <c r="E261" i="21" s="1"/>
  <c r="BM222" i="7"/>
  <c r="E130" i="21" s="1"/>
  <c r="BM223" i="7"/>
  <c r="BM224" i="7"/>
  <c r="E165" i="21" s="1"/>
  <c r="BM225" i="7"/>
  <c r="E51" i="21" s="1"/>
  <c r="BM226" i="7"/>
  <c r="E52" i="21" s="1"/>
  <c r="BM227" i="7"/>
  <c r="E53" i="21" s="1"/>
  <c r="BM228" i="7"/>
  <c r="E24" i="21" s="1"/>
  <c r="BM229" i="7"/>
  <c r="E54" i="21" s="1"/>
  <c r="BM230" i="7"/>
  <c r="E103" i="21" s="1"/>
  <c r="BM231" i="7"/>
  <c r="E104" i="21" s="1"/>
  <c r="BM232" i="7"/>
  <c r="E105" i="21" s="1"/>
  <c r="BM233" i="7"/>
  <c r="E262" i="21" s="1"/>
  <c r="BM234" i="7"/>
  <c r="E263" i="21" s="1"/>
  <c r="BM235" i="7"/>
  <c r="E12" i="21" s="1"/>
  <c r="BM236" i="7"/>
  <c r="E166" i="21" s="1"/>
  <c r="BM237" i="7"/>
  <c r="E25" i="21" s="1"/>
  <c r="BM238" i="7"/>
  <c r="E264" i="21" s="1"/>
  <c r="BM239" i="7"/>
  <c r="E265" i="21" s="1"/>
  <c r="BM240" i="7"/>
  <c r="E266" i="21" s="1"/>
  <c r="BM241" i="7"/>
  <c r="E267" i="21" s="1"/>
  <c r="BM242" i="7"/>
  <c r="E55" i="21" s="1"/>
  <c r="BM243" i="7"/>
  <c r="E106" i="21" s="1"/>
  <c r="BM244" i="7"/>
  <c r="E167" i="21" s="1"/>
  <c r="BM245" i="7"/>
  <c r="E268" i="21" s="1"/>
  <c r="BM246" i="7"/>
  <c r="E314" i="21" s="1"/>
  <c r="BM247" i="7"/>
  <c r="E269" i="21" s="1"/>
  <c r="BM248" i="7"/>
  <c r="E270" i="21" s="1"/>
  <c r="BM249" i="7"/>
  <c r="E271" i="21" s="1"/>
  <c r="BM250" i="7"/>
  <c r="E107" i="21" s="1"/>
  <c r="BM251" i="7"/>
  <c r="E272" i="21" s="1"/>
  <c r="BM252" i="7"/>
  <c r="E273" i="21" s="1"/>
  <c r="BM253" i="7"/>
  <c r="E26" i="21" s="1"/>
  <c r="BM254" i="7"/>
  <c r="E274" i="21" s="1"/>
  <c r="BM255" i="7"/>
  <c r="E108" i="21" s="1"/>
  <c r="BM256" i="7"/>
  <c r="E27" i="21" s="1"/>
  <c r="BM257" i="7"/>
  <c r="E275" i="21" s="1"/>
  <c r="BM258" i="7"/>
  <c r="E109" i="21" s="1"/>
  <c r="BM259" i="7"/>
  <c r="E276" i="21" s="1"/>
  <c r="BM260" i="7"/>
  <c r="E65" i="21" s="1"/>
  <c r="BM261" i="7"/>
  <c r="E131" i="21" s="1"/>
  <c r="BM262" i="7"/>
  <c r="E277" i="21" s="1"/>
  <c r="BM263" i="7"/>
  <c r="E278" i="21" s="1"/>
  <c r="BM264" i="7"/>
  <c r="E279" i="21" s="1"/>
  <c r="BM265" i="7"/>
  <c r="E280" i="21" s="1"/>
  <c r="BM266" i="7"/>
  <c r="E110" i="21" s="1"/>
  <c r="BM267" i="7"/>
  <c r="E28" i="21" s="1"/>
  <c r="BM268" i="7"/>
  <c r="E111" i="21" s="1"/>
  <c r="BM269" i="7"/>
  <c r="E112" i="21" s="1"/>
  <c r="BM270" i="7"/>
  <c r="E132" i="21" s="1"/>
  <c r="BM271" i="7"/>
  <c r="E281" i="21" s="1"/>
  <c r="BM272" i="7"/>
  <c r="E282" i="21" s="1"/>
  <c r="BM273" i="7"/>
  <c r="E29" i="21" s="1"/>
  <c r="BM274" i="7"/>
  <c r="E283" i="21" s="1"/>
  <c r="BM275" i="7"/>
  <c r="E284" i="21" s="1"/>
  <c r="BM276" i="7"/>
  <c r="E285" i="21" s="1"/>
  <c r="BM277" i="7"/>
  <c r="E286" i="21" s="1"/>
  <c r="BM278" i="7"/>
  <c r="E56" i="21" s="1"/>
  <c r="BM279" i="7"/>
  <c r="E66" i="21" s="1"/>
  <c r="BM280" i="7"/>
  <c r="E133" i="21" s="1"/>
  <c r="BM281" i="7"/>
  <c r="E168" i="21" s="1"/>
  <c r="BM282" i="7"/>
  <c r="E287" i="21" s="1"/>
  <c r="BM283" i="7"/>
  <c r="E57" i="21" s="1"/>
  <c r="BM284" i="7"/>
  <c r="E169" i="21" s="1"/>
  <c r="BM285" i="7"/>
  <c r="E288" i="21" s="1"/>
  <c r="BM286" i="7"/>
  <c r="E289" i="21" s="1"/>
  <c r="BM287" i="7"/>
  <c r="E58" i="21" s="1"/>
  <c r="BM288" i="7"/>
  <c r="E59" i="21" s="1"/>
  <c r="BM289" i="7"/>
  <c r="E290" i="21" s="1"/>
  <c r="BM290" i="7"/>
  <c r="E291" i="21" s="1"/>
  <c r="BM291" i="7"/>
  <c r="E113" i="21" s="1"/>
  <c r="BM292" i="7"/>
  <c r="E292" i="21" s="1"/>
  <c r="BM293" i="7"/>
  <c r="E293" i="21" s="1"/>
  <c r="BM294" i="7"/>
  <c r="E294" i="21" s="1"/>
  <c r="BM295" i="7"/>
  <c r="E60" i="21" s="1"/>
  <c r="BM296" i="7"/>
  <c r="E30" i="21" s="1"/>
  <c r="BM297" i="7"/>
  <c r="E295" i="21" s="1"/>
  <c r="BM298" i="7"/>
  <c r="E296" i="21" s="1"/>
  <c r="BM299" i="7"/>
  <c r="E170" i="21" s="1"/>
  <c r="BM300" i="7"/>
  <c r="E297" i="21" s="1"/>
  <c r="BM301" i="7"/>
  <c r="BM302" i="7"/>
  <c r="E298" i="21" s="1"/>
  <c r="BM303" i="7"/>
  <c r="E299" i="21" s="1"/>
  <c r="BM304" i="7"/>
  <c r="E114" i="21" s="1"/>
  <c r="BM305" i="7"/>
  <c r="E300" i="21" s="1"/>
  <c r="BM306" i="7"/>
  <c r="E10" i="21" s="1"/>
  <c r="BM307" i="7"/>
  <c r="E61" i="21" s="1"/>
  <c r="BM308" i="7"/>
  <c r="E301" i="21" s="1"/>
  <c r="BM309" i="7"/>
  <c r="E302" i="21" s="1"/>
  <c r="BM310" i="7"/>
  <c r="E171" i="21" s="1"/>
  <c r="BM311" i="7"/>
  <c r="E172" i="21" s="1"/>
  <c r="BM312" i="7"/>
  <c r="E303" i="21" s="1"/>
  <c r="BM313" i="7"/>
  <c r="E31" i="21" s="1"/>
  <c r="BM314" i="7"/>
  <c r="E304" i="21" s="1"/>
  <c r="BM315" i="7"/>
  <c r="E305" i="21" s="1"/>
  <c r="BM316" i="7"/>
  <c r="E306" i="21" s="1"/>
  <c r="BM317" i="7"/>
  <c r="E115" i="21" s="1"/>
  <c r="BM318" i="7"/>
  <c r="E307" i="21" s="1"/>
  <c r="BM319" i="7"/>
  <c r="E134" i="21" s="1"/>
  <c r="BM320" i="7"/>
  <c r="E308" i="21" s="1"/>
  <c r="BM321" i="7"/>
  <c r="E309" i="21" s="1"/>
  <c r="BM322" i="7"/>
  <c r="E310" i="21" s="1"/>
  <c r="BM323" i="7"/>
  <c r="E311" i="21" s="1"/>
  <c r="BM324" i="7"/>
  <c r="E312" i="21" s="1"/>
  <c r="BM325" i="7"/>
  <c r="E116" i="21" s="1"/>
  <c r="BL6" i="7"/>
  <c r="BL7" i="7"/>
  <c r="BL8" i="7"/>
  <c r="BL9" i="7"/>
  <c r="BL10" i="7"/>
  <c r="BL11" i="7"/>
  <c r="BL12" i="7"/>
  <c r="BL13" i="7"/>
  <c r="BL14" i="7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47" i="7"/>
  <c r="BL48" i="7"/>
  <c r="BL49" i="7"/>
  <c r="BL50" i="7"/>
  <c r="BL51" i="7"/>
  <c r="BL52" i="7"/>
  <c r="BL53" i="7"/>
  <c r="BL54" i="7"/>
  <c r="BL55" i="7"/>
  <c r="BL56" i="7"/>
  <c r="BL57" i="7"/>
  <c r="BL58" i="7"/>
  <c r="BL59" i="7"/>
  <c r="BL60" i="7"/>
  <c r="BL61" i="7"/>
  <c r="BL62" i="7"/>
  <c r="BL63" i="7"/>
  <c r="BL64" i="7"/>
  <c r="BL65" i="7"/>
  <c r="BL66" i="7"/>
  <c r="BL67" i="7"/>
  <c r="BL68" i="7"/>
  <c r="BL69" i="7"/>
  <c r="BL70" i="7"/>
  <c r="BL71" i="7"/>
  <c r="BL72" i="7"/>
  <c r="BL73" i="7"/>
  <c r="BL74" i="7"/>
  <c r="BL75" i="7"/>
  <c r="BL76" i="7"/>
  <c r="BL77" i="7"/>
  <c r="BL78" i="7"/>
  <c r="BL79" i="7"/>
  <c r="BL80" i="7"/>
  <c r="BL81" i="7"/>
  <c r="BL82" i="7"/>
  <c r="BL83" i="7"/>
  <c r="BL84" i="7"/>
  <c r="BL85" i="7"/>
  <c r="BL86" i="7"/>
  <c r="BL87" i="7"/>
  <c r="BL88" i="7"/>
  <c r="BL89" i="7"/>
  <c r="BL90" i="7"/>
  <c r="BL91" i="7"/>
  <c r="BL92" i="7"/>
  <c r="BL93" i="7"/>
  <c r="BL94" i="7"/>
  <c r="BL95" i="7"/>
  <c r="BL96" i="7"/>
  <c r="BL97" i="7"/>
  <c r="BL98" i="7"/>
  <c r="BL99" i="7"/>
  <c r="BL100" i="7"/>
  <c r="BL101" i="7"/>
  <c r="BL102" i="7"/>
  <c r="BL103" i="7"/>
  <c r="BL104" i="7"/>
  <c r="BL105" i="7"/>
  <c r="BL106" i="7"/>
  <c r="BL107" i="7"/>
  <c r="BL108" i="7"/>
  <c r="BL109" i="7"/>
  <c r="BL110" i="7"/>
  <c r="BL111" i="7"/>
  <c r="BL112" i="7"/>
  <c r="BL113" i="7"/>
  <c r="BL114" i="7"/>
  <c r="BL115" i="7"/>
  <c r="BL116" i="7"/>
  <c r="BL117" i="7"/>
  <c r="BL118" i="7"/>
  <c r="BL119" i="7"/>
  <c r="BL120" i="7"/>
  <c r="BL121" i="7"/>
  <c r="BL122" i="7"/>
  <c r="BL123" i="7"/>
  <c r="BL124" i="7"/>
  <c r="BL125" i="7"/>
  <c r="BL126" i="7"/>
  <c r="BL127" i="7"/>
  <c r="BL128" i="7"/>
  <c r="BL129" i="7"/>
  <c r="BL130" i="7"/>
  <c r="BL131" i="7"/>
  <c r="BL132" i="7"/>
  <c r="BL133" i="7"/>
  <c r="BL134" i="7"/>
  <c r="BL135" i="7"/>
  <c r="BL136" i="7"/>
  <c r="BL137" i="7"/>
  <c r="BL138" i="7"/>
  <c r="BL139" i="7"/>
  <c r="BL140" i="7"/>
  <c r="BL141" i="7"/>
  <c r="BL142" i="7"/>
  <c r="BL143" i="7"/>
  <c r="BL144" i="7"/>
  <c r="BL145" i="7"/>
  <c r="BL146" i="7"/>
  <c r="BL147" i="7"/>
  <c r="BL148" i="7"/>
  <c r="BL149" i="7"/>
  <c r="BL150" i="7"/>
  <c r="BL151" i="7"/>
  <c r="BL152" i="7"/>
  <c r="BL153" i="7"/>
  <c r="BL154" i="7"/>
  <c r="BL155" i="7"/>
  <c r="BL156" i="7"/>
  <c r="BL157" i="7"/>
  <c r="BL158" i="7"/>
  <c r="BL159" i="7"/>
  <c r="BL160" i="7"/>
  <c r="BL161" i="7"/>
  <c r="BL162" i="7"/>
  <c r="BL163" i="7"/>
  <c r="BL164" i="7"/>
  <c r="BL165" i="7"/>
  <c r="BL166" i="7"/>
  <c r="BL167" i="7"/>
  <c r="BL168" i="7"/>
  <c r="BL169" i="7"/>
  <c r="BL170" i="7"/>
  <c r="BL171" i="7"/>
  <c r="BL172" i="7"/>
  <c r="BL173" i="7"/>
  <c r="BL174" i="7"/>
  <c r="BL175" i="7"/>
  <c r="BL176" i="7"/>
  <c r="BL177" i="7"/>
  <c r="BL178" i="7"/>
  <c r="BL179" i="7"/>
  <c r="BL180" i="7"/>
  <c r="BL181" i="7"/>
  <c r="BL182" i="7"/>
  <c r="BL183" i="7"/>
  <c r="BL184" i="7"/>
  <c r="BL185" i="7"/>
  <c r="BL186" i="7"/>
  <c r="BL187" i="7"/>
  <c r="BL188" i="7"/>
  <c r="BL189" i="7"/>
  <c r="BL190" i="7"/>
  <c r="BL191" i="7"/>
  <c r="BL192" i="7"/>
  <c r="BL193" i="7"/>
  <c r="BL194" i="7"/>
  <c r="BL195" i="7"/>
  <c r="BL196" i="7"/>
  <c r="BL197" i="7"/>
  <c r="BL198" i="7"/>
  <c r="BL199" i="7"/>
  <c r="BL200" i="7"/>
  <c r="BL201" i="7"/>
  <c r="BL202" i="7"/>
  <c r="BL203" i="7"/>
  <c r="BL204" i="7"/>
  <c r="BL205" i="7"/>
  <c r="BL206" i="7"/>
  <c r="BL207" i="7"/>
  <c r="BL208" i="7"/>
  <c r="BL209" i="7"/>
  <c r="BL210" i="7"/>
  <c r="BL211" i="7"/>
  <c r="BL212" i="7"/>
  <c r="BL213" i="7"/>
  <c r="BL214" i="7"/>
  <c r="BL215" i="7"/>
  <c r="BL216" i="7"/>
  <c r="BL217" i="7"/>
  <c r="BL218" i="7"/>
  <c r="BL219" i="7"/>
  <c r="BL220" i="7"/>
  <c r="BL221" i="7"/>
  <c r="BL222" i="7"/>
  <c r="BL223" i="7"/>
  <c r="BL224" i="7"/>
  <c r="BL225" i="7"/>
  <c r="BL226" i="7"/>
  <c r="BL227" i="7"/>
  <c r="BL228" i="7"/>
  <c r="BL229" i="7"/>
  <c r="BL230" i="7"/>
  <c r="BL231" i="7"/>
  <c r="BL232" i="7"/>
  <c r="BL233" i="7"/>
  <c r="BL234" i="7"/>
  <c r="BL235" i="7"/>
  <c r="BL236" i="7"/>
  <c r="BL237" i="7"/>
  <c r="BL238" i="7"/>
  <c r="BL239" i="7"/>
  <c r="BL240" i="7"/>
  <c r="BL241" i="7"/>
  <c r="BL242" i="7"/>
  <c r="BL243" i="7"/>
  <c r="BL244" i="7"/>
  <c r="BL245" i="7"/>
  <c r="BL246" i="7"/>
  <c r="BL247" i="7"/>
  <c r="BL248" i="7"/>
  <c r="BL249" i="7"/>
  <c r="BL250" i="7"/>
  <c r="BL251" i="7"/>
  <c r="BL252" i="7"/>
  <c r="BL253" i="7"/>
  <c r="BL254" i="7"/>
  <c r="BL255" i="7"/>
  <c r="BL256" i="7"/>
  <c r="BL257" i="7"/>
  <c r="BL258" i="7"/>
  <c r="BL259" i="7"/>
  <c r="BL260" i="7"/>
  <c r="BL261" i="7"/>
  <c r="BL262" i="7"/>
  <c r="BL263" i="7"/>
  <c r="BL264" i="7"/>
  <c r="BL265" i="7"/>
  <c r="BL266" i="7"/>
  <c r="BL267" i="7"/>
  <c r="BL268" i="7"/>
  <c r="BL269" i="7"/>
  <c r="BL270" i="7"/>
  <c r="BL271" i="7"/>
  <c r="BL272" i="7"/>
  <c r="BL273" i="7"/>
  <c r="BL274" i="7"/>
  <c r="BL275" i="7"/>
  <c r="BL276" i="7"/>
  <c r="BL277" i="7"/>
  <c r="BL278" i="7"/>
  <c r="BL279" i="7"/>
  <c r="BL280" i="7"/>
  <c r="BL281" i="7"/>
  <c r="BL282" i="7"/>
  <c r="BL283" i="7"/>
  <c r="BL284" i="7"/>
  <c r="BL285" i="7"/>
  <c r="BL286" i="7"/>
  <c r="BL287" i="7"/>
  <c r="BL288" i="7"/>
  <c r="BL289" i="7"/>
  <c r="BL290" i="7"/>
  <c r="BL291" i="7"/>
  <c r="BL292" i="7"/>
  <c r="BL293" i="7"/>
  <c r="BL294" i="7"/>
  <c r="BL295" i="7"/>
  <c r="BL296" i="7"/>
  <c r="BL297" i="7"/>
  <c r="BL298" i="7"/>
  <c r="BL299" i="7"/>
  <c r="BL300" i="7"/>
  <c r="BL301" i="7"/>
  <c r="BL302" i="7"/>
  <c r="BL303" i="7"/>
  <c r="BL304" i="7"/>
  <c r="BL305" i="7"/>
  <c r="BL306" i="7"/>
  <c r="BL307" i="7"/>
  <c r="BL308" i="7"/>
  <c r="BL309" i="7"/>
  <c r="BL310" i="7"/>
  <c r="BL311" i="7"/>
  <c r="BL312" i="7"/>
  <c r="BL313" i="7"/>
  <c r="BL314" i="7"/>
  <c r="BL315" i="7"/>
  <c r="BL316" i="7"/>
  <c r="BL317" i="7"/>
  <c r="BL318" i="7"/>
  <c r="BL319" i="7"/>
  <c r="BL320" i="7"/>
  <c r="BL321" i="7"/>
  <c r="BL322" i="7"/>
  <c r="BL323" i="7"/>
  <c r="BL324" i="7"/>
  <c r="BL32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47" i="7"/>
  <c r="BK48" i="7"/>
  <c r="BK49" i="7"/>
  <c r="BK50" i="7"/>
  <c r="BK51" i="7"/>
  <c r="BK52" i="7"/>
  <c r="BK53" i="7"/>
  <c r="BK54" i="7"/>
  <c r="BK55" i="7"/>
  <c r="BK56" i="7"/>
  <c r="BK57" i="7"/>
  <c r="BK58" i="7"/>
  <c r="BK59" i="7"/>
  <c r="BK60" i="7"/>
  <c r="BK61" i="7"/>
  <c r="BK62" i="7"/>
  <c r="BK63" i="7"/>
  <c r="BK64" i="7"/>
  <c r="BK65" i="7"/>
  <c r="BK66" i="7"/>
  <c r="BK67" i="7"/>
  <c r="BK68" i="7"/>
  <c r="BK69" i="7"/>
  <c r="BK70" i="7"/>
  <c r="BK71" i="7"/>
  <c r="BK72" i="7"/>
  <c r="BK73" i="7"/>
  <c r="BK74" i="7"/>
  <c r="BK75" i="7"/>
  <c r="BK76" i="7"/>
  <c r="BK77" i="7"/>
  <c r="BK78" i="7"/>
  <c r="BK79" i="7"/>
  <c r="BK80" i="7"/>
  <c r="BK81" i="7"/>
  <c r="BK82" i="7"/>
  <c r="BK83" i="7"/>
  <c r="BK84" i="7"/>
  <c r="BK85" i="7"/>
  <c r="BK86" i="7"/>
  <c r="BK87" i="7"/>
  <c r="BK88" i="7"/>
  <c r="BK89" i="7"/>
  <c r="BK90" i="7"/>
  <c r="BK91" i="7"/>
  <c r="BK92" i="7"/>
  <c r="BK93" i="7"/>
  <c r="BK94" i="7"/>
  <c r="BK95" i="7"/>
  <c r="BK96" i="7"/>
  <c r="BK97" i="7"/>
  <c r="BK98" i="7"/>
  <c r="BK99" i="7"/>
  <c r="BK100" i="7"/>
  <c r="BK101" i="7"/>
  <c r="BK102" i="7"/>
  <c r="BK103" i="7"/>
  <c r="BK104" i="7"/>
  <c r="BK105" i="7"/>
  <c r="BK106" i="7"/>
  <c r="BK107" i="7"/>
  <c r="BK108" i="7"/>
  <c r="BK109" i="7"/>
  <c r="BK110" i="7"/>
  <c r="BK111" i="7"/>
  <c r="BK112" i="7"/>
  <c r="BK113" i="7"/>
  <c r="BK114" i="7"/>
  <c r="BK115" i="7"/>
  <c r="BK116" i="7"/>
  <c r="BK117" i="7"/>
  <c r="BK118" i="7"/>
  <c r="BK119" i="7"/>
  <c r="BK120" i="7"/>
  <c r="BK121" i="7"/>
  <c r="BK122" i="7"/>
  <c r="BK123" i="7"/>
  <c r="BK124" i="7"/>
  <c r="BK125" i="7"/>
  <c r="BK126" i="7"/>
  <c r="BK127" i="7"/>
  <c r="BK128" i="7"/>
  <c r="BK129" i="7"/>
  <c r="BK130" i="7"/>
  <c r="BK131" i="7"/>
  <c r="BK132" i="7"/>
  <c r="BK133" i="7"/>
  <c r="BK134" i="7"/>
  <c r="BK135" i="7"/>
  <c r="BK136" i="7"/>
  <c r="BK137" i="7"/>
  <c r="BK138" i="7"/>
  <c r="BK139" i="7"/>
  <c r="BK140" i="7"/>
  <c r="BK141" i="7"/>
  <c r="BK142" i="7"/>
  <c r="BK143" i="7"/>
  <c r="BK144" i="7"/>
  <c r="BK145" i="7"/>
  <c r="BK146" i="7"/>
  <c r="BK147" i="7"/>
  <c r="BK148" i="7"/>
  <c r="BK149" i="7"/>
  <c r="BK150" i="7"/>
  <c r="BK151" i="7"/>
  <c r="BK152" i="7"/>
  <c r="BK153" i="7"/>
  <c r="BK154" i="7"/>
  <c r="BK155" i="7"/>
  <c r="BK156" i="7"/>
  <c r="BK157" i="7"/>
  <c r="BK158" i="7"/>
  <c r="BK159" i="7"/>
  <c r="BK160" i="7"/>
  <c r="BK161" i="7"/>
  <c r="BK162" i="7"/>
  <c r="BK163" i="7"/>
  <c r="BK164" i="7"/>
  <c r="BK165" i="7"/>
  <c r="BK166" i="7"/>
  <c r="BK167" i="7"/>
  <c r="BK168" i="7"/>
  <c r="BK169" i="7"/>
  <c r="BK170" i="7"/>
  <c r="BK171" i="7"/>
  <c r="BK172" i="7"/>
  <c r="BK173" i="7"/>
  <c r="BK174" i="7"/>
  <c r="BK175" i="7"/>
  <c r="BK176" i="7"/>
  <c r="BK177" i="7"/>
  <c r="BK178" i="7"/>
  <c r="BK179" i="7"/>
  <c r="BK180" i="7"/>
  <c r="BK181" i="7"/>
  <c r="BK182" i="7"/>
  <c r="BK183" i="7"/>
  <c r="BK184" i="7"/>
  <c r="BK185" i="7"/>
  <c r="BK186" i="7"/>
  <c r="BK187" i="7"/>
  <c r="BK188" i="7"/>
  <c r="BK189" i="7"/>
  <c r="BK190" i="7"/>
  <c r="BK191" i="7"/>
  <c r="BK192" i="7"/>
  <c r="BK193" i="7"/>
  <c r="BK194" i="7"/>
  <c r="BK195" i="7"/>
  <c r="BK196" i="7"/>
  <c r="BK197" i="7"/>
  <c r="BK198" i="7"/>
  <c r="BK199" i="7"/>
  <c r="BK200" i="7"/>
  <c r="BK201" i="7"/>
  <c r="BK202" i="7"/>
  <c r="BK203" i="7"/>
  <c r="BK204" i="7"/>
  <c r="BK205" i="7"/>
  <c r="BK206" i="7"/>
  <c r="BK207" i="7"/>
  <c r="BK208" i="7"/>
  <c r="BK209" i="7"/>
  <c r="BK210" i="7"/>
  <c r="BK211" i="7"/>
  <c r="BK212" i="7"/>
  <c r="BK213" i="7"/>
  <c r="BK214" i="7"/>
  <c r="BK215" i="7"/>
  <c r="BK216" i="7"/>
  <c r="BK217" i="7"/>
  <c r="BK218" i="7"/>
  <c r="BK219" i="7"/>
  <c r="BK220" i="7"/>
  <c r="BK221" i="7"/>
  <c r="BK222" i="7"/>
  <c r="BK223" i="7"/>
  <c r="BK224" i="7"/>
  <c r="BK225" i="7"/>
  <c r="BK226" i="7"/>
  <c r="BK227" i="7"/>
  <c r="BK228" i="7"/>
  <c r="BK229" i="7"/>
  <c r="BK230" i="7"/>
  <c r="BK231" i="7"/>
  <c r="BK232" i="7"/>
  <c r="BK233" i="7"/>
  <c r="BK234" i="7"/>
  <c r="BK235" i="7"/>
  <c r="BK236" i="7"/>
  <c r="BK237" i="7"/>
  <c r="BK238" i="7"/>
  <c r="BK239" i="7"/>
  <c r="BK240" i="7"/>
  <c r="BK241" i="7"/>
  <c r="BK242" i="7"/>
  <c r="BK243" i="7"/>
  <c r="BK244" i="7"/>
  <c r="BK245" i="7"/>
  <c r="BK246" i="7"/>
  <c r="BK247" i="7"/>
  <c r="BK248" i="7"/>
  <c r="BK249" i="7"/>
  <c r="BK250" i="7"/>
  <c r="BK251" i="7"/>
  <c r="BK252" i="7"/>
  <c r="BK253" i="7"/>
  <c r="BK254" i="7"/>
  <c r="BK255" i="7"/>
  <c r="BK256" i="7"/>
  <c r="BK257" i="7"/>
  <c r="BK258" i="7"/>
  <c r="BK259" i="7"/>
  <c r="BK260" i="7"/>
  <c r="BK261" i="7"/>
  <c r="BK262" i="7"/>
  <c r="BK263" i="7"/>
  <c r="BK264" i="7"/>
  <c r="BK265" i="7"/>
  <c r="BK266" i="7"/>
  <c r="BK267" i="7"/>
  <c r="BK268" i="7"/>
  <c r="BK269" i="7"/>
  <c r="BK270" i="7"/>
  <c r="BK271" i="7"/>
  <c r="BK272" i="7"/>
  <c r="BK273" i="7"/>
  <c r="BK274" i="7"/>
  <c r="BK275" i="7"/>
  <c r="BK276" i="7"/>
  <c r="BK277" i="7"/>
  <c r="BK278" i="7"/>
  <c r="BK279" i="7"/>
  <c r="BK280" i="7"/>
  <c r="BK281" i="7"/>
  <c r="BK282" i="7"/>
  <c r="BK283" i="7"/>
  <c r="BK284" i="7"/>
  <c r="BK285" i="7"/>
  <c r="BK286" i="7"/>
  <c r="BK287" i="7"/>
  <c r="BK288" i="7"/>
  <c r="BK289" i="7"/>
  <c r="BK290" i="7"/>
  <c r="BK291" i="7"/>
  <c r="BK292" i="7"/>
  <c r="BK293" i="7"/>
  <c r="BK294" i="7"/>
  <c r="BK295" i="7"/>
  <c r="BK296" i="7"/>
  <c r="BK297" i="7"/>
  <c r="BK298" i="7"/>
  <c r="BK299" i="7"/>
  <c r="BK300" i="7"/>
  <c r="BK301" i="7"/>
  <c r="BK302" i="7"/>
  <c r="BK303" i="7"/>
  <c r="BK304" i="7"/>
  <c r="BK305" i="7"/>
  <c r="BK306" i="7"/>
  <c r="BK307" i="7"/>
  <c r="BK308" i="7"/>
  <c r="BK309" i="7"/>
  <c r="BK310" i="7"/>
  <c r="BK311" i="7"/>
  <c r="BK312" i="7"/>
  <c r="BK313" i="7"/>
  <c r="BK314" i="7"/>
  <c r="BK315" i="7"/>
  <c r="BK316" i="7"/>
  <c r="BK317" i="7"/>
  <c r="BK318" i="7"/>
  <c r="BK319" i="7"/>
  <c r="BK320" i="7"/>
  <c r="BK321" i="7"/>
  <c r="BK322" i="7"/>
  <c r="BK323" i="7"/>
  <c r="BK324" i="7"/>
  <c r="BK325" i="7"/>
  <c r="BJ6" i="7"/>
  <c r="BJ7" i="7"/>
  <c r="BJ8" i="7"/>
  <c r="BJ9" i="7"/>
  <c r="BJ10" i="7"/>
  <c r="BJ11" i="7"/>
  <c r="BJ12" i="7"/>
  <c r="BJ13" i="7"/>
  <c r="BJ14" i="7"/>
  <c r="BJ15" i="7"/>
  <c r="BJ16" i="7"/>
  <c r="BJ17" i="7"/>
  <c r="BJ18" i="7"/>
  <c r="BJ19" i="7"/>
  <c r="BJ20" i="7"/>
  <c r="BJ21" i="7"/>
  <c r="BJ22" i="7"/>
  <c r="BJ23" i="7"/>
  <c r="BJ24" i="7"/>
  <c r="BJ25" i="7"/>
  <c r="BJ26" i="7"/>
  <c r="BJ27" i="7"/>
  <c r="BJ28" i="7"/>
  <c r="BJ29" i="7"/>
  <c r="BJ30" i="7"/>
  <c r="BJ31" i="7"/>
  <c r="BJ32" i="7"/>
  <c r="BJ33" i="7"/>
  <c r="BJ34" i="7"/>
  <c r="BJ35" i="7"/>
  <c r="BJ36" i="7"/>
  <c r="BJ37" i="7"/>
  <c r="BJ38" i="7"/>
  <c r="BJ39" i="7"/>
  <c r="BJ40" i="7"/>
  <c r="BJ41" i="7"/>
  <c r="BJ42" i="7"/>
  <c r="BJ43" i="7"/>
  <c r="BJ44" i="7"/>
  <c r="BJ45" i="7"/>
  <c r="BJ46" i="7"/>
  <c r="BJ47" i="7"/>
  <c r="BJ48" i="7"/>
  <c r="BJ49" i="7"/>
  <c r="BJ50" i="7"/>
  <c r="BJ51" i="7"/>
  <c r="BJ52" i="7"/>
  <c r="BJ53" i="7"/>
  <c r="BJ54" i="7"/>
  <c r="BJ55" i="7"/>
  <c r="BJ56" i="7"/>
  <c r="BJ57" i="7"/>
  <c r="BJ58" i="7"/>
  <c r="BJ59" i="7"/>
  <c r="BJ60" i="7"/>
  <c r="BJ61" i="7"/>
  <c r="BJ62" i="7"/>
  <c r="BJ63" i="7"/>
  <c r="BJ64" i="7"/>
  <c r="BJ65" i="7"/>
  <c r="BJ66" i="7"/>
  <c r="BJ67" i="7"/>
  <c r="BJ68" i="7"/>
  <c r="BJ69" i="7"/>
  <c r="BJ70" i="7"/>
  <c r="BJ71" i="7"/>
  <c r="BJ72" i="7"/>
  <c r="BJ73" i="7"/>
  <c r="BJ74" i="7"/>
  <c r="BJ75" i="7"/>
  <c r="BJ76" i="7"/>
  <c r="BJ77" i="7"/>
  <c r="BJ78" i="7"/>
  <c r="BJ79" i="7"/>
  <c r="BJ80" i="7"/>
  <c r="BJ81" i="7"/>
  <c r="BJ82" i="7"/>
  <c r="BJ83" i="7"/>
  <c r="BJ84" i="7"/>
  <c r="BJ85" i="7"/>
  <c r="BJ86" i="7"/>
  <c r="BJ87" i="7"/>
  <c r="BJ88" i="7"/>
  <c r="BJ89" i="7"/>
  <c r="BJ90" i="7"/>
  <c r="BJ91" i="7"/>
  <c r="BJ92" i="7"/>
  <c r="BJ93" i="7"/>
  <c r="BJ94" i="7"/>
  <c r="BJ95" i="7"/>
  <c r="BJ96" i="7"/>
  <c r="BJ97" i="7"/>
  <c r="BJ98" i="7"/>
  <c r="BJ99" i="7"/>
  <c r="BJ100" i="7"/>
  <c r="BJ101" i="7"/>
  <c r="BJ102" i="7"/>
  <c r="BJ103" i="7"/>
  <c r="BJ104" i="7"/>
  <c r="BJ105" i="7"/>
  <c r="BJ106" i="7"/>
  <c r="BJ107" i="7"/>
  <c r="BJ108" i="7"/>
  <c r="BJ109" i="7"/>
  <c r="BJ110" i="7"/>
  <c r="BJ111" i="7"/>
  <c r="BJ112" i="7"/>
  <c r="BJ113" i="7"/>
  <c r="BJ114" i="7"/>
  <c r="BJ115" i="7"/>
  <c r="BJ116" i="7"/>
  <c r="BJ117" i="7"/>
  <c r="BJ118" i="7"/>
  <c r="BJ119" i="7"/>
  <c r="BJ120" i="7"/>
  <c r="BJ121" i="7"/>
  <c r="BJ122" i="7"/>
  <c r="BJ123" i="7"/>
  <c r="BJ124" i="7"/>
  <c r="BJ125" i="7"/>
  <c r="BJ126" i="7"/>
  <c r="BJ127" i="7"/>
  <c r="BJ128" i="7"/>
  <c r="BJ129" i="7"/>
  <c r="BJ130" i="7"/>
  <c r="BJ131" i="7"/>
  <c r="BJ132" i="7"/>
  <c r="BJ133" i="7"/>
  <c r="BJ134" i="7"/>
  <c r="BJ135" i="7"/>
  <c r="BJ136" i="7"/>
  <c r="BJ137" i="7"/>
  <c r="BJ138" i="7"/>
  <c r="BJ139" i="7"/>
  <c r="BJ140" i="7"/>
  <c r="BJ141" i="7"/>
  <c r="BJ142" i="7"/>
  <c r="BJ143" i="7"/>
  <c r="BJ144" i="7"/>
  <c r="BJ145" i="7"/>
  <c r="BJ146" i="7"/>
  <c r="BJ147" i="7"/>
  <c r="BJ148" i="7"/>
  <c r="BJ149" i="7"/>
  <c r="BJ150" i="7"/>
  <c r="BJ151" i="7"/>
  <c r="BJ152" i="7"/>
  <c r="BJ153" i="7"/>
  <c r="BJ154" i="7"/>
  <c r="BJ155" i="7"/>
  <c r="BJ156" i="7"/>
  <c r="BJ157" i="7"/>
  <c r="BJ158" i="7"/>
  <c r="BJ159" i="7"/>
  <c r="BJ160" i="7"/>
  <c r="BJ161" i="7"/>
  <c r="BJ162" i="7"/>
  <c r="BJ163" i="7"/>
  <c r="BJ164" i="7"/>
  <c r="BJ165" i="7"/>
  <c r="BJ166" i="7"/>
  <c r="BJ167" i="7"/>
  <c r="BJ168" i="7"/>
  <c r="BJ169" i="7"/>
  <c r="BJ170" i="7"/>
  <c r="BJ171" i="7"/>
  <c r="BJ172" i="7"/>
  <c r="BJ173" i="7"/>
  <c r="BJ174" i="7"/>
  <c r="BJ175" i="7"/>
  <c r="BJ176" i="7"/>
  <c r="BJ177" i="7"/>
  <c r="BJ178" i="7"/>
  <c r="BJ179" i="7"/>
  <c r="BJ180" i="7"/>
  <c r="BJ181" i="7"/>
  <c r="BJ182" i="7"/>
  <c r="BJ183" i="7"/>
  <c r="BJ184" i="7"/>
  <c r="BJ185" i="7"/>
  <c r="BJ186" i="7"/>
  <c r="BJ187" i="7"/>
  <c r="BJ188" i="7"/>
  <c r="BJ189" i="7"/>
  <c r="BJ190" i="7"/>
  <c r="BJ191" i="7"/>
  <c r="BJ192" i="7"/>
  <c r="BJ193" i="7"/>
  <c r="BJ194" i="7"/>
  <c r="BJ195" i="7"/>
  <c r="BJ196" i="7"/>
  <c r="BJ197" i="7"/>
  <c r="BJ198" i="7"/>
  <c r="BJ199" i="7"/>
  <c r="BJ200" i="7"/>
  <c r="BJ201" i="7"/>
  <c r="BJ202" i="7"/>
  <c r="BJ203" i="7"/>
  <c r="BJ204" i="7"/>
  <c r="BJ205" i="7"/>
  <c r="BJ206" i="7"/>
  <c r="BJ207" i="7"/>
  <c r="BJ208" i="7"/>
  <c r="BJ209" i="7"/>
  <c r="BJ210" i="7"/>
  <c r="BJ211" i="7"/>
  <c r="BJ212" i="7"/>
  <c r="BJ213" i="7"/>
  <c r="BJ214" i="7"/>
  <c r="BJ215" i="7"/>
  <c r="BJ216" i="7"/>
  <c r="BJ217" i="7"/>
  <c r="BJ218" i="7"/>
  <c r="BJ219" i="7"/>
  <c r="BJ220" i="7"/>
  <c r="BJ221" i="7"/>
  <c r="BJ222" i="7"/>
  <c r="BJ223" i="7"/>
  <c r="BJ224" i="7"/>
  <c r="BJ225" i="7"/>
  <c r="BJ226" i="7"/>
  <c r="BJ227" i="7"/>
  <c r="BJ228" i="7"/>
  <c r="BJ229" i="7"/>
  <c r="BJ230" i="7"/>
  <c r="BJ231" i="7"/>
  <c r="BJ232" i="7"/>
  <c r="BJ233" i="7"/>
  <c r="BJ234" i="7"/>
  <c r="BJ235" i="7"/>
  <c r="BJ236" i="7"/>
  <c r="BJ237" i="7"/>
  <c r="BJ238" i="7"/>
  <c r="BJ239" i="7"/>
  <c r="BJ240" i="7"/>
  <c r="BJ241" i="7"/>
  <c r="BJ242" i="7"/>
  <c r="BJ243" i="7"/>
  <c r="BJ244" i="7"/>
  <c r="BJ245" i="7"/>
  <c r="BJ246" i="7"/>
  <c r="BJ247" i="7"/>
  <c r="BJ248" i="7"/>
  <c r="BJ249" i="7"/>
  <c r="BJ250" i="7"/>
  <c r="BJ251" i="7"/>
  <c r="BJ252" i="7"/>
  <c r="BJ253" i="7"/>
  <c r="BJ254" i="7"/>
  <c r="BJ255" i="7"/>
  <c r="BJ256" i="7"/>
  <c r="BJ257" i="7"/>
  <c r="BJ258" i="7"/>
  <c r="BJ259" i="7"/>
  <c r="BJ260" i="7"/>
  <c r="BJ261" i="7"/>
  <c r="BJ262" i="7"/>
  <c r="BJ263" i="7"/>
  <c r="BJ264" i="7"/>
  <c r="BJ265" i="7"/>
  <c r="BJ266" i="7"/>
  <c r="BJ267" i="7"/>
  <c r="BJ268" i="7"/>
  <c r="BJ269" i="7"/>
  <c r="BJ270" i="7"/>
  <c r="BJ271" i="7"/>
  <c r="BJ272" i="7"/>
  <c r="BJ273" i="7"/>
  <c r="BJ274" i="7"/>
  <c r="BJ275" i="7"/>
  <c r="BJ276" i="7"/>
  <c r="BJ277" i="7"/>
  <c r="BJ278" i="7"/>
  <c r="BJ279" i="7"/>
  <c r="BJ280" i="7"/>
  <c r="BJ281" i="7"/>
  <c r="BJ282" i="7"/>
  <c r="BJ283" i="7"/>
  <c r="BJ284" i="7"/>
  <c r="BJ285" i="7"/>
  <c r="BJ286" i="7"/>
  <c r="BJ287" i="7"/>
  <c r="BJ288" i="7"/>
  <c r="BJ289" i="7"/>
  <c r="BJ290" i="7"/>
  <c r="BJ291" i="7"/>
  <c r="BJ292" i="7"/>
  <c r="BJ293" i="7"/>
  <c r="BJ294" i="7"/>
  <c r="BJ295" i="7"/>
  <c r="BJ296" i="7"/>
  <c r="BJ297" i="7"/>
  <c r="BJ298" i="7"/>
  <c r="BJ299" i="7"/>
  <c r="BJ300" i="7"/>
  <c r="BJ301" i="7"/>
  <c r="BJ302" i="7"/>
  <c r="BJ303" i="7"/>
  <c r="BJ304" i="7"/>
  <c r="BJ305" i="7"/>
  <c r="BJ306" i="7"/>
  <c r="BJ307" i="7"/>
  <c r="BJ308" i="7"/>
  <c r="BJ309" i="7"/>
  <c r="BJ310" i="7"/>
  <c r="BJ311" i="7"/>
  <c r="BJ312" i="7"/>
  <c r="BJ313" i="7"/>
  <c r="BJ314" i="7"/>
  <c r="BJ315" i="7"/>
  <c r="BJ316" i="7"/>
  <c r="BJ317" i="7"/>
  <c r="BJ318" i="7"/>
  <c r="BJ319" i="7"/>
  <c r="BJ320" i="7"/>
  <c r="BJ321" i="7"/>
  <c r="BJ322" i="7"/>
  <c r="BJ323" i="7"/>
  <c r="BJ324" i="7"/>
  <c r="BJ325" i="7"/>
  <c r="H7" i="50" l="1"/>
  <c r="Q6" i="29"/>
  <c r="T5" i="18" l="1"/>
  <c r="T6" i="18"/>
  <c r="T4" i="18"/>
  <c r="T7" i="18"/>
  <c r="C5" i="18"/>
  <c r="C6" i="18"/>
  <c r="C4" i="18"/>
  <c r="C7" i="18"/>
  <c r="C39" i="18"/>
  <c r="C43" i="18"/>
  <c r="C51" i="18"/>
  <c r="C52" i="18"/>
  <c r="C61" i="18"/>
  <c r="C77" i="18"/>
  <c r="C79" i="18"/>
  <c r="C84" i="18"/>
  <c r="C127" i="18"/>
  <c r="C146" i="18"/>
  <c r="C153" i="18"/>
  <c r="C155" i="18"/>
  <c r="C179" i="18"/>
  <c r="C183" i="18"/>
  <c r="C195" i="18"/>
  <c r="C214" i="18"/>
  <c r="C224" i="18"/>
  <c r="C228" i="18"/>
  <c r="C245" i="18"/>
  <c r="C260" i="18"/>
  <c r="C274" i="18"/>
  <c r="C275" i="18"/>
  <c r="C280" i="18"/>
  <c r="C284" i="18"/>
  <c r="C302" i="18"/>
  <c r="C309" i="18"/>
  <c r="C67" i="18"/>
  <c r="C68" i="18"/>
  <c r="C174" i="18"/>
  <c r="C193" i="18"/>
  <c r="C55" i="18"/>
  <c r="C148" i="18"/>
  <c r="C154" i="18"/>
  <c r="C181" i="18"/>
  <c r="C189" i="18"/>
  <c r="C230" i="18"/>
  <c r="C56" i="18"/>
  <c r="C232" i="18"/>
  <c r="C246" i="18"/>
  <c r="C261" i="18"/>
  <c r="C273" i="18"/>
  <c r="C295" i="18"/>
  <c r="C14" i="18"/>
  <c r="C17" i="18"/>
  <c r="C32" i="18"/>
  <c r="C35" i="18"/>
  <c r="C47" i="18"/>
  <c r="C57" i="18"/>
  <c r="C66" i="18"/>
  <c r="C69" i="18"/>
  <c r="C72" i="18"/>
  <c r="C93" i="18"/>
  <c r="C121" i="18"/>
  <c r="C143" i="18"/>
  <c r="C166" i="18"/>
  <c r="C167" i="18"/>
  <c r="C169" i="18"/>
  <c r="C190" i="18"/>
  <c r="C192" i="18"/>
  <c r="C226" i="18"/>
  <c r="C231" i="18"/>
  <c r="C243" i="18"/>
  <c r="C267" i="18"/>
  <c r="C288" i="18"/>
  <c r="C24" i="18"/>
  <c r="C33" i="18"/>
  <c r="C41" i="18"/>
  <c r="C42" i="18"/>
  <c r="C62" i="18"/>
  <c r="C63" i="18"/>
  <c r="C71" i="18"/>
  <c r="C85" i="18"/>
  <c r="C86" i="18"/>
  <c r="C87" i="18"/>
  <c r="C124" i="18"/>
  <c r="C150" i="18"/>
  <c r="C151" i="18"/>
  <c r="C161" i="18"/>
  <c r="C170" i="18"/>
  <c r="C173" i="18"/>
  <c r="C178" i="18"/>
  <c r="C191" i="18"/>
  <c r="C204" i="18"/>
  <c r="C235" i="18"/>
  <c r="C237" i="18"/>
  <c r="C254" i="18"/>
  <c r="C255" i="18"/>
  <c r="C264" i="18"/>
  <c r="C289" i="18"/>
  <c r="C11" i="18"/>
  <c r="C46" i="18"/>
  <c r="C50" i="18"/>
  <c r="C60" i="18"/>
  <c r="C65" i="18"/>
  <c r="C82" i="18"/>
  <c r="C95" i="18"/>
  <c r="C112" i="18"/>
  <c r="C116" i="18"/>
  <c r="C134" i="18"/>
  <c r="C135" i="18"/>
  <c r="C149" i="18"/>
  <c r="C152" i="18"/>
  <c r="C160" i="18"/>
  <c r="C168" i="18"/>
  <c r="C182" i="18"/>
  <c r="C187" i="18"/>
  <c r="C188" i="18"/>
  <c r="C208" i="18"/>
  <c r="C211" i="18"/>
  <c r="C212" i="18"/>
  <c r="C215" i="18"/>
  <c r="C227" i="18"/>
  <c r="C229" i="18"/>
  <c r="C236" i="18"/>
  <c r="C250" i="18"/>
  <c r="C276" i="18"/>
  <c r="C281" i="18"/>
  <c r="C285" i="18"/>
  <c r="C286" i="18"/>
  <c r="C287" i="18"/>
  <c r="C306" i="18"/>
  <c r="C48" i="18"/>
  <c r="C49" i="18"/>
  <c r="C78" i="18"/>
  <c r="C97" i="18"/>
  <c r="C98" i="18"/>
  <c r="C99" i="18"/>
  <c r="C111" i="18"/>
  <c r="C113" i="18"/>
  <c r="C119" i="18"/>
  <c r="C138" i="18"/>
  <c r="C145" i="18"/>
  <c r="C163" i="18"/>
  <c r="C165" i="18"/>
  <c r="C180" i="18"/>
  <c r="C186" i="18"/>
  <c r="C196" i="18"/>
  <c r="C205" i="18"/>
  <c r="C12" i="18"/>
  <c r="C13" i="18"/>
  <c r="C20" i="18"/>
  <c r="C23" i="18"/>
  <c r="C27" i="18"/>
  <c r="C30" i="18"/>
  <c r="C37" i="18"/>
  <c r="C40" i="18"/>
  <c r="C64" i="18"/>
  <c r="C73" i="18"/>
  <c r="C75" i="18"/>
  <c r="C83" i="18"/>
  <c r="C88" i="18"/>
  <c r="C89" i="18"/>
  <c r="C90" i="18"/>
  <c r="C91" i="18"/>
  <c r="C102" i="18"/>
  <c r="C103" i="18"/>
  <c r="C104" i="18"/>
  <c r="C105" i="18"/>
  <c r="C109" i="18"/>
  <c r="C114" i="18"/>
  <c r="C118" i="18"/>
  <c r="C128" i="18"/>
  <c r="C129" i="18"/>
  <c r="C139" i="18"/>
  <c r="C140" i="18"/>
  <c r="C184" i="18"/>
  <c r="C185" i="18"/>
  <c r="C207" i="18"/>
  <c r="C209" i="18"/>
  <c r="C216" i="18"/>
  <c r="C217" i="18"/>
  <c r="C218" i="18"/>
  <c r="C219" i="18"/>
  <c r="C220" i="18"/>
  <c r="C221" i="18"/>
  <c r="C222" i="18"/>
  <c r="C223" i="18"/>
  <c r="C233" i="18"/>
  <c r="C244" i="18"/>
  <c r="C247" i="18"/>
  <c r="C251" i="18"/>
  <c r="C258" i="18"/>
  <c r="C269" i="18"/>
  <c r="C270" i="18"/>
  <c r="C277" i="18"/>
  <c r="C278" i="18"/>
  <c r="C8" i="18"/>
  <c r="C9" i="18"/>
  <c r="C10" i="18"/>
  <c r="C19" i="18"/>
  <c r="C21" i="18"/>
  <c r="C22" i="18"/>
  <c r="C28" i="18"/>
  <c r="C31" i="18"/>
  <c r="C34" i="18"/>
  <c r="C36" i="18"/>
  <c r="C44" i="18"/>
  <c r="C53" i="18"/>
  <c r="C54" i="18"/>
  <c r="C58" i="18"/>
  <c r="C59" i="18"/>
  <c r="C70" i="18"/>
  <c r="C74" i="18"/>
  <c r="C76" i="18"/>
  <c r="C80" i="18"/>
  <c r="C81" i="18"/>
  <c r="C92" i="18"/>
  <c r="C94" i="18"/>
  <c r="C96" i="18"/>
  <c r="C100" i="18"/>
  <c r="C101" i="18"/>
  <c r="C106" i="18"/>
  <c r="C107" i="18"/>
  <c r="C108" i="18"/>
  <c r="C110" i="18"/>
  <c r="C117" i="18"/>
  <c r="C120" i="18"/>
  <c r="C122" i="18"/>
  <c r="C125" i="18"/>
  <c r="C126" i="18"/>
  <c r="C132" i="18"/>
  <c r="C133" i="18"/>
  <c r="C136" i="18"/>
  <c r="C137" i="18"/>
  <c r="C141" i="18"/>
  <c r="C142" i="18"/>
  <c r="C147" i="18"/>
  <c r="C156" i="18"/>
  <c r="C157" i="18"/>
  <c r="C158" i="18"/>
  <c r="C159" i="18"/>
  <c r="C164" i="18"/>
  <c r="C177" i="18"/>
  <c r="C194" i="18"/>
  <c r="C198" i="18"/>
  <c r="C199" i="18"/>
  <c r="C200" i="18"/>
  <c r="C197" i="18"/>
  <c r="C202" i="18"/>
  <c r="C234" i="18"/>
  <c r="C241" i="18"/>
  <c r="C249" i="18"/>
  <c r="C252" i="18"/>
  <c r="C257" i="18"/>
  <c r="C259" i="18"/>
  <c r="C271" i="18"/>
  <c r="C272" i="18"/>
  <c r="C299" i="18"/>
  <c r="C300" i="18"/>
  <c r="C308" i="18"/>
  <c r="C314" i="18"/>
  <c r="C203" i="18"/>
  <c r="C206" i="18"/>
  <c r="C213" i="18"/>
  <c r="C225" i="18"/>
  <c r="C242" i="18"/>
  <c r="C248" i="18"/>
  <c r="C253" i="18"/>
  <c r="C256" i="18"/>
  <c r="C262" i="18"/>
  <c r="C263" i="18"/>
  <c r="C265" i="18"/>
  <c r="C266" i="18"/>
  <c r="C268" i="18"/>
  <c r="C279" i="18"/>
  <c r="C282" i="18"/>
  <c r="C283" i="18"/>
  <c r="C291" i="18"/>
  <c r="C292" i="18"/>
  <c r="C297" i="18"/>
  <c r="C298" i="18"/>
  <c r="C301" i="18"/>
  <c r="C303" i="18"/>
  <c r="C310" i="18"/>
  <c r="C311" i="18"/>
  <c r="C312" i="18"/>
  <c r="C313" i="18"/>
  <c r="C15" i="18"/>
  <c r="C16" i="18"/>
  <c r="C18" i="18"/>
  <c r="C25" i="18"/>
  <c r="C26" i="18"/>
  <c r="C29" i="18"/>
  <c r="C38" i="18"/>
  <c r="C45" i="18"/>
  <c r="C115" i="18"/>
  <c r="C123" i="18"/>
  <c r="C130" i="18"/>
  <c r="C131" i="18"/>
  <c r="C144" i="18"/>
  <c r="C162" i="18"/>
  <c r="C171" i="18"/>
  <c r="C172" i="18"/>
  <c r="C175" i="18"/>
  <c r="C176" i="18"/>
  <c r="C201" i="18"/>
  <c r="C210" i="18"/>
  <c r="C238" i="18"/>
  <c r="C239" i="18"/>
  <c r="C240" i="18"/>
  <c r="C290" i="18"/>
  <c r="C293" i="18"/>
  <c r="C294" i="18"/>
  <c r="C296" i="18"/>
  <c r="C304" i="18"/>
  <c r="C305" i="18"/>
  <c r="C307" i="18"/>
  <c r="G39" i="18"/>
  <c r="G43" i="18"/>
  <c r="G51" i="18"/>
  <c r="G52" i="18"/>
  <c r="G61" i="18"/>
  <c r="G77" i="18"/>
  <c r="G79" i="18"/>
  <c r="G84" i="18"/>
  <c r="G127" i="18"/>
  <c r="G146" i="18"/>
  <c r="G153" i="18"/>
  <c r="G155" i="18"/>
  <c r="G179" i="18"/>
  <c r="G183" i="18"/>
  <c r="G195" i="18"/>
  <c r="G214" i="18"/>
  <c r="G224" i="18"/>
  <c r="G228" i="18"/>
  <c r="G245" i="18"/>
  <c r="G260" i="18"/>
  <c r="G274" i="18"/>
  <c r="G275" i="18"/>
  <c r="G280" i="18"/>
  <c r="G284" i="18"/>
  <c r="G302" i="18"/>
  <c r="G309" i="18"/>
  <c r="G67" i="18"/>
  <c r="G68" i="18"/>
  <c r="G174" i="18"/>
  <c r="G193" i="18"/>
  <c r="G55" i="18"/>
  <c r="G148" i="18"/>
  <c r="G154" i="18"/>
  <c r="G181" i="18"/>
  <c r="G189" i="18"/>
  <c r="G230" i="18"/>
  <c r="G56" i="18"/>
  <c r="G232" i="18"/>
  <c r="G246" i="18"/>
  <c r="G261" i="18"/>
  <c r="G273" i="18"/>
  <c r="G295" i="18"/>
  <c r="G14" i="18"/>
  <c r="G17" i="18"/>
  <c r="G32" i="18"/>
  <c r="G35" i="18"/>
  <c r="G47" i="18"/>
  <c r="G57" i="18"/>
  <c r="G66" i="18"/>
  <c r="G69" i="18"/>
  <c r="G72" i="18"/>
  <c r="G93" i="18"/>
  <c r="G121" i="18"/>
  <c r="G143" i="18"/>
  <c r="G166" i="18"/>
  <c r="G167" i="18"/>
  <c r="G169" i="18"/>
  <c r="G190" i="18"/>
  <c r="G192" i="18"/>
  <c r="G226" i="18"/>
  <c r="G231" i="18"/>
  <c r="G243" i="18"/>
  <c r="G267" i="18"/>
  <c r="G288" i="18"/>
  <c r="G24" i="18"/>
  <c r="G33" i="18"/>
  <c r="G41" i="18"/>
  <c r="G42" i="18"/>
  <c r="G62" i="18"/>
  <c r="G63" i="18"/>
  <c r="G71" i="18"/>
  <c r="G85" i="18"/>
  <c r="G86" i="18"/>
  <c r="G87" i="18"/>
  <c r="G124" i="18"/>
  <c r="G150" i="18"/>
  <c r="G151" i="18"/>
  <c r="G161" i="18"/>
  <c r="G170" i="18"/>
  <c r="G173" i="18"/>
  <c r="G178" i="18"/>
  <c r="G191" i="18"/>
  <c r="G204" i="18"/>
  <c r="G235" i="18"/>
  <c r="G237" i="18"/>
  <c r="G254" i="18"/>
  <c r="G255" i="18"/>
  <c r="G264" i="18"/>
  <c r="G289" i="18"/>
  <c r="G11" i="18"/>
  <c r="G46" i="18"/>
  <c r="G50" i="18"/>
  <c r="G60" i="18"/>
  <c r="G65" i="18"/>
  <c r="G82" i="18"/>
  <c r="G95" i="18"/>
  <c r="G112" i="18"/>
  <c r="G116" i="18"/>
  <c r="G134" i="18"/>
  <c r="G135" i="18"/>
  <c r="G149" i="18"/>
  <c r="G152" i="18"/>
  <c r="G160" i="18"/>
  <c r="G168" i="18"/>
  <c r="G182" i="18"/>
  <c r="G187" i="18"/>
  <c r="G188" i="18"/>
  <c r="G208" i="18"/>
  <c r="G211" i="18"/>
  <c r="G212" i="18"/>
  <c r="G215" i="18"/>
  <c r="G227" i="18"/>
  <c r="G229" i="18"/>
  <c r="G236" i="18"/>
  <c r="G250" i="18"/>
  <c r="G276" i="18"/>
  <c r="G281" i="18"/>
  <c r="G285" i="18"/>
  <c r="G286" i="18"/>
  <c r="G287" i="18"/>
  <c r="G306" i="18"/>
  <c r="G48" i="18"/>
  <c r="G49" i="18"/>
  <c r="G78" i="18"/>
  <c r="G97" i="18"/>
  <c r="G98" i="18"/>
  <c r="G99" i="18"/>
  <c r="G111" i="18"/>
  <c r="G113" i="18"/>
  <c r="G119" i="18"/>
  <c r="G138" i="18"/>
  <c r="G145" i="18"/>
  <c r="G163" i="18"/>
  <c r="G165" i="18"/>
  <c r="G180" i="18"/>
  <c r="G186" i="18"/>
  <c r="G196" i="18"/>
  <c r="G205" i="18"/>
  <c r="G12" i="18"/>
  <c r="G13" i="18"/>
  <c r="G20" i="18"/>
  <c r="G23" i="18"/>
  <c r="G27" i="18"/>
  <c r="G30" i="18"/>
  <c r="G37" i="18"/>
  <c r="G40" i="18"/>
  <c r="G64" i="18"/>
  <c r="G73" i="18"/>
  <c r="G75" i="18"/>
  <c r="G83" i="18"/>
  <c r="G88" i="18"/>
  <c r="G89" i="18"/>
  <c r="G90" i="18"/>
  <c r="G91" i="18"/>
  <c r="G102" i="18"/>
  <c r="G103" i="18"/>
  <c r="G104" i="18"/>
  <c r="G105" i="18"/>
  <c r="G109" i="18"/>
  <c r="G114" i="18"/>
  <c r="G118" i="18"/>
  <c r="G128" i="18"/>
  <c r="G129" i="18"/>
  <c r="G139" i="18"/>
  <c r="G140" i="18"/>
  <c r="G184" i="18"/>
  <c r="G185" i="18"/>
  <c r="G207" i="18"/>
  <c r="G209" i="18"/>
  <c r="G216" i="18"/>
  <c r="G217" i="18"/>
  <c r="G218" i="18"/>
  <c r="G219" i="18"/>
  <c r="G220" i="18"/>
  <c r="G221" i="18"/>
  <c r="G222" i="18"/>
  <c r="G223" i="18"/>
  <c r="G233" i="18"/>
  <c r="G244" i="18"/>
  <c r="G247" i="18"/>
  <c r="G251" i="18"/>
  <c r="G258" i="18"/>
  <c r="G269" i="18"/>
  <c r="G270" i="18"/>
  <c r="G277" i="18"/>
  <c r="G278" i="18"/>
  <c r="G8" i="18"/>
  <c r="G9" i="18"/>
  <c r="G10" i="18"/>
  <c r="G19" i="18"/>
  <c r="G21" i="18"/>
  <c r="G22" i="18"/>
  <c r="G28" i="18"/>
  <c r="G31" i="18"/>
  <c r="G34" i="18"/>
  <c r="G36" i="18"/>
  <c r="G44" i="18"/>
  <c r="G53" i="18"/>
  <c r="G54" i="18"/>
  <c r="G58" i="18"/>
  <c r="G59" i="18"/>
  <c r="G70" i="18"/>
  <c r="G74" i="18"/>
  <c r="G76" i="18"/>
  <c r="G80" i="18"/>
  <c r="G81" i="18"/>
  <c r="G92" i="18"/>
  <c r="G94" i="18"/>
  <c r="G96" i="18"/>
  <c r="G100" i="18"/>
  <c r="G101" i="18"/>
  <c r="G106" i="18"/>
  <c r="G107" i="18"/>
  <c r="G108" i="18"/>
  <c r="G110" i="18"/>
  <c r="G117" i="18"/>
  <c r="G120" i="18"/>
  <c r="G122" i="18"/>
  <c r="G125" i="18"/>
  <c r="G126" i="18"/>
  <c r="G132" i="18"/>
  <c r="G133" i="18"/>
  <c r="G136" i="18"/>
  <c r="G137" i="18"/>
  <c r="G141" i="18"/>
  <c r="G142" i="18"/>
  <c r="G147" i="18"/>
  <c r="G156" i="18"/>
  <c r="G157" i="18"/>
  <c r="G158" i="18"/>
  <c r="G159" i="18"/>
  <c r="G164" i="18"/>
  <c r="G177" i="18"/>
  <c r="G194" i="18"/>
  <c r="G198" i="18"/>
  <c r="G199" i="18"/>
  <c r="G200" i="18"/>
  <c r="G197" i="18"/>
  <c r="G202" i="18"/>
  <c r="G234" i="18"/>
  <c r="G241" i="18"/>
  <c r="G249" i="18"/>
  <c r="G252" i="18"/>
  <c r="G257" i="18"/>
  <c r="G259" i="18"/>
  <c r="G271" i="18"/>
  <c r="G272" i="18"/>
  <c r="G299" i="18"/>
  <c r="G300" i="18"/>
  <c r="G308" i="18"/>
  <c r="G314" i="18"/>
  <c r="G203" i="18"/>
  <c r="G206" i="18"/>
  <c r="G213" i="18"/>
  <c r="G225" i="18"/>
  <c r="G242" i="18"/>
  <c r="G248" i="18"/>
  <c r="G253" i="18"/>
  <c r="G256" i="18"/>
  <c r="G262" i="18"/>
  <c r="G263" i="18"/>
  <c r="G265" i="18"/>
  <c r="G266" i="18"/>
  <c r="G268" i="18"/>
  <c r="G279" i="18"/>
  <c r="G282" i="18"/>
  <c r="G283" i="18"/>
  <c r="G291" i="18"/>
  <c r="G292" i="18"/>
  <c r="G297" i="18"/>
  <c r="G298" i="18"/>
  <c r="G301" i="18"/>
  <c r="G303" i="18"/>
  <c r="G310" i="18"/>
  <c r="G311" i="18"/>
  <c r="G312" i="18"/>
  <c r="G313" i="18"/>
  <c r="G15" i="18"/>
  <c r="G16" i="18"/>
  <c r="G18" i="18"/>
  <c r="G25" i="18"/>
  <c r="G26" i="18"/>
  <c r="G29" i="18"/>
  <c r="G38" i="18"/>
  <c r="G45" i="18"/>
  <c r="G115" i="18"/>
  <c r="G123" i="18"/>
  <c r="G130" i="18"/>
  <c r="G131" i="18"/>
  <c r="G144" i="18"/>
  <c r="G162" i="18"/>
  <c r="G171" i="18"/>
  <c r="G172" i="18"/>
  <c r="G175" i="18"/>
  <c r="G176" i="18"/>
  <c r="G201" i="18"/>
  <c r="G210" i="18"/>
  <c r="G238" i="18"/>
  <c r="G239" i="18"/>
  <c r="G240" i="18"/>
  <c r="G290" i="18"/>
  <c r="G293" i="18"/>
  <c r="G294" i="18"/>
  <c r="G296" i="18"/>
  <c r="G304" i="18"/>
  <c r="G305" i="18"/>
  <c r="G307" i="18"/>
  <c r="H39" i="18"/>
  <c r="H43" i="18"/>
  <c r="H51" i="18"/>
  <c r="H52" i="18"/>
  <c r="H61" i="18"/>
  <c r="H77" i="18"/>
  <c r="H79" i="18"/>
  <c r="H84" i="18"/>
  <c r="H127" i="18"/>
  <c r="H146" i="18"/>
  <c r="H153" i="18"/>
  <c r="H155" i="18"/>
  <c r="H179" i="18"/>
  <c r="H183" i="18"/>
  <c r="H195" i="18"/>
  <c r="H214" i="18"/>
  <c r="H224" i="18"/>
  <c r="H228" i="18"/>
  <c r="H245" i="18"/>
  <c r="H260" i="18"/>
  <c r="H274" i="18"/>
  <c r="H275" i="18"/>
  <c r="H280" i="18"/>
  <c r="H284" i="18"/>
  <c r="H302" i="18"/>
  <c r="H309" i="18"/>
  <c r="H67" i="18"/>
  <c r="H68" i="18"/>
  <c r="H174" i="18"/>
  <c r="H193" i="18"/>
  <c r="H55" i="18"/>
  <c r="H148" i="18"/>
  <c r="H154" i="18"/>
  <c r="H181" i="18"/>
  <c r="H189" i="18"/>
  <c r="H230" i="18"/>
  <c r="H56" i="18"/>
  <c r="H232" i="18"/>
  <c r="H246" i="18"/>
  <c r="H261" i="18"/>
  <c r="H273" i="18"/>
  <c r="H295" i="18"/>
  <c r="H14" i="18"/>
  <c r="H17" i="18"/>
  <c r="H32" i="18"/>
  <c r="H35" i="18"/>
  <c r="H47" i="18"/>
  <c r="H57" i="18"/>
  <c r="H66" i="18"/>
  <c r="H69" i="18"/>
  <c r="H72" i="18"/>
  <c r="H93" i="18"/>
  <c r="H121" i="18"/>
  <c r="H143" i="18"/>
  <c r="H166" i="18"/>
  <c r="H167" i="18"/>
  <c r="H169" i="18"/>
  <c r="H190" i="18"/>
  <c r="H192" i="18"/>
  <c r="H226" i="18"/>
  <c r="H231" i="18"/>
  <c r="H243" i="18"/>
  <c r="H267" i="18"/>
  <c r="H288" i="18"/>
  <c r="H24" i="18"/>
  <c r="H33" i="18"/>
  <c r="H41" i="18"/>
  <c r="H42" i="18"/>
  <c r="H62" i="18"/>
  <c r="H63" i="18"/>
  <c r="H71" i="18"/>
  <c r="H85" i="18"/>
  <c r="H86" i="18"/>
  <c r="H87" i="18"/>
  <c r="H124" i="18"/>
  <c r="H150" i="18"/>
  <c r="H151" i="18"/>
  <c r="H161" i="18"/>
  <c r="H170" i="18"/>
  <c r="H173" i="18"/>
  <c r="H178" i="18"/>
  <c r="H191" i="18"/>
  <c r="H204" i="18"/>
  <c r="H235" i="18"/>
  <c r="H237" i="18"/>
  <c r="H254" i="18"/>
  <c r="H255" i="18"/>
  <c r="H264" i="18"/>
  <c r="H289" i="18"/>
  <c r="H11" i="18"/>
  <c r="H46" i="18"/>
  <c r="H50" i="18"/>
  <c r="H60" i="18"/>
  <c r="H65" i="18"/>
  <c r="H82" i="18"/>
  <c r="H95" i="18"/>
  <c r="H112" i="18"/>
  <c r="H116" i="18"/>
  <c r="H134" i="18"/>
  <c r="H135" i="18"/>
  <c r="H149" i="18"/>
  <c r="H152" i="18"/>
  <c r="H160" i="18"/>
  <c r="H168" i="18"/>
  <c r="H182" i="18"/>
  <c r="H187" i="18"/>
  <c r="H188" i="18"/>
  <c r="H208" i="18"/>
  <c r="H211" i="18"/>
  <c r="H212" i="18"/>
  <c r="H215" i="18"/>
  <c r="H227" i="18"/>
  <c r="H229" i="18"/>
  <c r="H236" i="18"/>
  <c r="H250" i="18"/>
  <c r="H276" i="18"/>
  <c r="H281" i="18"/>
  <c r="H285" i="18"/>
  <c r="H286" i="18"/>
  <c r="H287" i="18"/>
  <c r="H306" i="18"/>
  <c r="H48" i="18"/>
  <c r="H49" i="18"/>
  <c r="H78" i="18"/>
  <c r="H97" i="18"/>
  <c r="H98" i="18"/>
  <c r="H99" i="18"/>
  <c r="H111" i="18"/>
  <c r="H113" i="18"/>
  <c r="H119" i="18"/>
  <c r="H138" i="18"/>
  <c r="H145" i="18"/>
  <c r="H163" i="18"/>
  <c r="H165" i="18"/>
  <c r="H180" i="18"/>
  <c r="H186" i="18"/>
  <c r="H196" i="18"/>
  <c r="H205" i="18"/>
  <c r="H12" i="18"/>
  <c r="H13" i="18"/>
  <c r="H20" i="18"/>
  <c r="H23" i="18"/>
  <c r="H27" i="18"/>
  <c r="H30" i="18"/>
  <c r="H37" i="18"/>
  <c r="H40" i="18"/>
  <c r="H64" i="18"/>
  <c r="H73" i="18"/>
  <c r="H75" i="18"/>
  <c r="H83" i="18"/>
  <c r="H88" i="18"/>
  <c r="H89" i="18"/>
  <c r="H90" i="18"/>
  <c r="H91" i="18"/>
  <c r="H102" i="18"/>
  <c r="H103" i="18"/>
  <c r="H104" i="18"/>
  <c r="H105" i="18"/>
  <c r="H109" i="18"/>
  <c r="H114" i="18"/>
  <c r="H118" i="18"/>
  <c r="H128" i="18"/>
  <c r="H129" i="18"/>
  <c r="H139" i="18"/>
  <c r="H140" i="18"/>
  <c r="H184" i="18"/>
  <c r="H185" i="18"/>
  <c r="H207" i="18"/>
  <c r="H209" i="18"/>
  <c r="H216" i="18"/>
  <c r="H217" i="18"/>
  <c r="H218" i="18"/>
  <c r="H219" i="18"/>
  <c r="H220" i="18"/>
  <c r="H221" i="18"/>
  <c r="H222" i="18"/>
  <c r="H223" i="18"/>
  <c r="H233" i="18"/>
  <c r="H244" i="18"/>
  <c r="H247" i="18"/>
  <c r="H251" i="18"/>
  <c r="H258" i="18"/>
  <c r="H269" i="18"/>
  <c r="H270" i="18"/>
  <c r="H277" i="18"/>
  <c r="H278" i="18"/>
  <c r="H8" i="18"/>
  <c r="H9" i="18"/>
  <c r="H10" i="18"/>
  <c r="H19" i="18"/>
  <c r="H21" i="18"/>
  <c r="H22" i="18"/>
  <c r="H28" i="18"/>
  <c r="H31" i="18"/>
  <c r="H34" i="18"/>
  <c r="H36" i="18"/>
  <c r="H44" i="18"/>
  <c r="H53" i="18"/>
  <c r="H54" i="18"/>
  <c r="H58" i="18"/>
  <c r="H59" i="18"/>
  <c r="H70" i="18"/>
  <c r="H74" i="18"/>
  <c r="H76" i="18"/>
  <c r="H80" i="18"/>
  <c r="H81" i="18"/>
  <c r="H92" i="18"/>
  <c r="H94" i="18"/>
  <c r="H96" i="18"/>
  <c r="H100" i="18"/>
  <c r="H101" i="18"/>
  <c r="H106" i="18"/>
  <c r="H107" i="18"/>
  <c r="H108" i="18"/>
  <c r="H110" i="18"/>
  <c r="H117" i="18"/>
  <c r="H120" i="18"/>
  <c r="H122" i="18"/>
  <c r="H125" i="18"/>
  <c r="H126" i="18"/>
  <c r="H132" i="18"/>
  <c r="H133" i="18"/>
  <c r="H136" i="18"/>
  <c r="H137" i="18"/>
  <c r="H141" i="18"/>
  <c r="H142" i="18"/>
  <c r="H147" i="18"/>
  <c r="H156" i="18"/>
  <c r="H157" i="18"/>
  <c r="H158" i="18"/>
  <c r="H159" i="18"/>
  <c r="H164" i="18"/>
  <c r="H177" i="18"/>
  <c r="H194" i="18"/>
  <c r="H198" i="18"/>
  <c r="H199" i="18"/>
  <c r="H200" i="18"/>
  <c r="H197" i="18"/>
  <c r="H202" i="18"/>
  <c r="H234" i="18"/>
  <c r="H241" i="18"/>
  <c r="H249" i="18"/>
  <c r="H252" i="18"/>
  <c r="H257" i="18"/>
  <c r="H259" i="18"/>
  <c r="H271" i="18"/>
  <c r="H272" i="18"/>
  <c r="H299" i="18"/>
  <c r="H300" i="18"/>
  <c r="H308" i="18"/>
  <c r="H314" i="18"/>
  <c r="H203" i="18"/>
  <c r="H206" i="18"/>
  <c r="H213" i="18"/>
  <c r="H225" i="18"/>
  <c r="H242" i="18"/>
  <c r="H248" i="18"/>
  <c r="H253" i="18"/>
  <c r="H256" i="18"/>
  <c r="H262" i="18"/>
  <c r="H263" i="18"/>
  <c r="H265" i="18"/>
  <c r="H266" i="18"/>
  <c r="H268" i="18"/>
  <c r="H279" i="18"/>
  <c r="H282" i="18"/>
  <c r="H283" i="18"/>
  <c r="H291" i="18"/>
  <c r="H292" i="18"/>
  <c r="H297" i="18"/>
  <c r="H298" i="18"/>
  <c r="H301" i="18"/>
  <c r="H303" i="18"/>
  <c r="H310" i="18"/>
  <c r="H311" i="18"/>
  <c r="H312" i="18"/>
  <c r="H313" i="18"/>
  <c r="H15" i="18"/>
  <c r="H16" i="18"/>
  <c r="H18" i="18"/>
  <c r="H25" i="18"/>
  <c r="H26" i="18"/>
  <c r="H29" i="18"/>
  <c r="H38" i="18"/>
  <c r="H45" i="18"/>
  <c r="H115" i="18"/>
  <c r="H123" i="18"/>
  <c r="H130" i="18"/>
  <c r="H131" i="18"/>
  <c r="H144" i="18"/>
  <c r="H162" i="18"/>
  <c r="H171" i="18"/>
  <c r="H172" i="18"/>
  <c r="H175" i="18"/>
  <c r="H176" i="18"/>
  <c r="H201" i="18"/>
  <c r="H210" i="18"/>
  <c r="H238" i="18"/>
  <c r="H239" i="18"/>
  <c r="H240" i="18"/>
  <c r="H290" i="18"/>
  <c r="H293" i="18"/>
  <c r="H294" i="18"/>
  <c r="H296" i="18"/>
  <c r="H304" i="18"/>
  <c r="H305" i="18"/>
  <c r="H307" i="18"/>
  <c r="T6" i="7"/>
  <c r="T7" i="7"/>
  <c r="T8" i="7"/>
  <c r="T9" i="7"/>
  <c r="T10" i="7"/>
  <c r="T11" i="7"/>
  <c r="T13" i="7"/>
  <c r="T16" i="7"/>
  <c r="T17" i="7"/>
  <c r="T18" i="7"/>
  <c r="T21" i="7"/>
  <c r="T22" i="7"/>
  <c r="T25" i="7"/>
  <c r="T26" i="7"/>
  <c r="T27" i="7"/>
  <c r="T28" i="7"/>
  <c r="T29" i="7"/>
  <c r="T32" i="7"/>
  <c r="T33" i="7"/>
  <c r="T35" i="7"/>
  <c r="T36" i="7"/>
  <c r="T38" i="7"/>
  <c r="T39" i="7"/>
  <c r="T42" i="7"/>
  <c r="T43" i="7"/>
  <c r="T44" i="7"/>
  <c r="T45" i="7"/>
  <c r="T47" i="7"/>
  <c r="T49" i="7"/>
  <c r="T50" i="7"/>
  <c r="T51" i="7"/>
  <c r="T52" i="7"/>
  <c r="T53" i="7"/>
  <c r="T58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1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2" i="7"/>
  <c r="T103" i="7"/>
  <c r="T104" i="7"/>
  <c r="T105" i="7"/>
  <c r="T106" i="7"/>
  <c r="T108" i="7"/>
  <c r="T109" i="7"/>
  <c r="T110" i="7"/>
  <c r="T111" i="7"/>
  <c r="T112" i="7"/>
  <c r="T113" i="7"/>
  <c r="T115" i="7"/>
  <c r="T116" i="7"/>
  <c r="T117" i="7"/>
  <c r="T118" i="7"/>
  <c r="T119" i="7"/>
  <c r="T120" i="7"/>
  <c r="T121" i="7"/>
  <c r="T122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7" i="7"/>
  <c r="T138" i="7"/>
  <c r="T139" i="7"/>
  <c r="T141" i="7"/>
  <c r="T142" i="7"/>
  <c r="T143" i="7"/>
  <c r="T144" i="7"/>
  <c r="T145" i="7"/>
  <c r="T149" i="7"/>
  <c r="T150" i="7"/>
  <c r="T151" i="7"/>
  <c r="T152" i="7"/>
  <c r="T153" i="7"/>
  <c r="T154" i="7"/>
  <c r="T160" i="7"/>
  <c r="T162" i="7"/>
  <c r="T163" i="7"/>
  <c r="T164" i="7"/>
  <c r="T165" i="7"/>
  <c r="T166" i="7"/>
  <c r="T167" i="7"/>
  <c r="T168" i="7"/>
  <c r="T169" i="7"/>
  <c r="T170" i="7"/>
  <c r="T175" i="7"/>
  <c r="T176" i="7"/>
  <c r="T177" i="7"/>
  <c r="T178" i="7"/>
  <c r="T180" i="7"/>
  <c r="T181" i="7"/>
  <c r="T182" i="7"/>
  <c r="T183" i="7"/>
  <c r="T184" i="7"/>
  <c r="T185" i="7"/>
  <c r="T186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6" i="7"/>
  <c r="T208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7" i="7"/>
  <c r="T238" i="7"/>
  <c r="T242" i="7"/>
  <c r="T243" i="7"/>
  <c r="T244" i="7"/>
  <c r="T245" i="7"/>
  <c r="T246" i="7"/>
  <c r="T247" i="7"/>
  <c r="T248" i="7"/>
  <c r="T249" i="7"/>
  <c r="T251" i="7"/>
  <c r="T253" i="7"/>
  <c r="T254" i="7"/>
  <c r="T256" i="7"/>
  <c r="T257" i="7"/>
  <c r="T258" i="7"/>
  <c r="T259" i="7"/>
  <c r="T260" i="7"/>
  <c r="T261" i="7"/>
  <c r="T263" i="7"/>
  <c r="T264" i="7"/>
  <c r="T271" i="7"/>
  <c r="T272" i="7"/>
  <c r="T273" i="7"/>
  <c r="T274" i="7"/>
  <c r="T276" i="7"/>
  <c r="T277" i="7"/>
  <c r="T278" i="7"/>
  <c r="T279" i="7"/>
  <c r="T280" i="7"/>
  <c r="T281" i="7"/>
  <c r="T283" i="7"/>
  <c r="T285" i="7"/>
  <c r="T286" i="7"/>
  <c r="T287" i="7"/>
  <c r="T288" i="7"/>
  <c r="T289" i="7"/>
  <c r="T290" i="7"/>
  <c r="T291" i="7"/>
  <c r="T292" i="7"/>
  <c r="T293" i="7"/>
  <c r="T294" i="7"/>
  <c r="T297" i="7"/>
  <c r="T299" i="7"/>
  <c r="T300" i="7"/>
  <c r="T301" i="7"/>
  <c r="T302" i="7"/>
  <c r="T303" i="7"/>
  <c r="T304" i="7"/>
  <c r="T305" i="7"/>
  <c r="T306" i="7"/>
  <c r="T308" i="7"/>
  <c r="T309" i="7"/>
  <c r="T310" i="7"/>
  <c r="T311" i="7"/>
  <c r="T312" i="7"/>
  <c r="T313" i="7"/>
  <c r="T317" i="7"/>
  <c r="T318" i="7"/>
  <c r="T319" i="7"/>
  <c r="T320" i="7"/>
  <c r="T321" i="7"/>
  <c r="T322" i="7"/>
  <c r="T323" i="7"/>
  <c r="T324" i="7"/>
  <c r="T325" i="7"/>
  <c r="E4" i="39" l="1"/>
  <c r="E5" i="39"/>
  <c r="E6" i="39"/>
  <c r="E7" i="39"/>
  <c r="E8" i="39"/>
  <c r="E9" i="39"/>
  <c r="E10" i="39"/>
  <c r="E12" i="39"/>
  <c r="E13" i="39"/>
  <c r="E14" i="39"/>
  <c r="E20" i="39"/>
  <c r="E21" i="39"/>
  <c r="E22" i="39"/>
  <c r="E15" i="39"/>
  <c r="E23" i="39"/>
  <c r="E16" i="39"/>
  <c r="E24" i="39"/>
  <c r="E17" i="39"/>
  <c r="E29" i="39"/>
  <c r="E18" i="39"/>
  <c r="E11" i="39"/>
  <c r="E25" i="39"/>
  <c r="E19" i="39"/>
  <c r="E26" i="39"/>
  <c r="E27" i="39"/>
  <c r="E28" i="39"/>
  <c r="E34" i="39"/>
  <c r="E31" i="39"/>
  <c r="E32" i="39"/>
  <c r="E33" i="39"/>
  <c r="E30" i="39"/>
  <c r="E313" i="39"/>
  <c r="E36" i="39"/>
  <c r="E37" i="39"/>
  <c r="E38" i="39"/>
  <c r="E39" i="39"/>
  <c r="E41" i="39"/>
  <c r="E42" i="39"/>
  <c r="E43" i="39"/>
  <c r="E60" i="39"/>
  <c r="E44" i="39"/>
  <c r="E47" i="39"/>
  <c r="E48" i="39"/>
  <c r="E49" i="39"/>
  <c r="E50" i="39"/>
  <c r="E51" i="39"/>
  <c r="E35" i="39"/>
  <c r="E52" i="39"/>
  <c r="E53" i="39"/>
  <c r="E54" i="39"/>
  <c r="E55" i="39"/>
  <c r="E56" i="39"/>
  <c r="E57" i="39"/>
  <c r="E58" i="39"/>
  <c r="E59" i="39"/>
  <c r="E248" i="39"/>
  <c r="E85" i="39"/>
  <c r="E107" i="39"/>
  <c r="E194" i="39"/>
  <c r="E197" i="39"/>
  <c r="E75" i="39"/>
  <c r="E108" i="39"/>
  <c r="E128" i="39"/>
  <c r="E202" i="39"/>
  <c r="E246" i="39"/>
  <c r="E263" i="39"/>
  <c r="E40" i="39"/>
  <c r="E45" i="39"/>
  <c r="E46" i="39"/>
  <c r="E105" i="39"/>
  <c r="E181" i="39"/>
  <c r="E189" i="39"/>
  <c r="E212" i="39"/>
  <c r="E271" i="39"/>
  <c r="E91" i="39"/>
  <c r="E160" i="39"/>
  <c r="E206" i="39"/>
  <c r="E210" i="39"/>
  <c r="E234" i="39"/>
  <c r="E259" i="39"/>
  <c r="E70" i="39"/>
  <c r="E83" i="39"/>
  <c r="E84" i="39"/>
  <c r="E125" i="39"/>
  <c r="E130" i="39"/>
  <c r="E153" i="39"/>
  <c r="E178" i="39"/>
  <c r="E226" i="39"/>
  <c r="E227" i="39"/>
  <c r="E247" i="39"/>
  <c r="E297" i="39"/>
  <c r="E309" i="39"/>
  <c r="E310" i="39"/>
  <c r="E311" i="39"/>
  <c r="E312" i="39"/>
  <c r="E71" i="39"/>
  <c r="E74" i="39"/>
  <c r="E174" i="39"/>
  <c r="E209" i="39"/>
  <c r="E235" i="39"/>
  <c r="E66" i="39"/>
  <c r="E82" i="39"/>
  <c r="E88" i="39"/>
  <c r="E92" i="39"/>
  <c r="E117" i="39"/>
  <c r="E126" i="39"/>
  <c r="E127" i="39"/>
  <c r="E146" i="39"/>
  <c r="E149" i="39"/>
  <c r="E157" i="39"/>
  <c r="E161" i="39"/>
  <c r="E163" i="39"/>
  <c r="E208" i="39"/>
  <c r="E211" i="39"/>
  <c r="E240" i="39"/>
  <c r="E255" i="39"/>
  <c r="E264" i="39"/>
  <c r="E267" i="39"/>
  <c r="E298" i="39"/>
  <c r="E299" i="39"/>
  <c r="E300" i="39"/>
  <c r="E102" i="39"/>
  <c r="E122" i="39"/>
  <c r="E182" i="39"/>
  <c r="E198" i="39"/>
  <c r="E230" i="39"/>
  <c r="E289" i="39"/>
  <c r="E97" i="39"/>
  <c r="E121" i="39"/>
  <c r="E136" i="39"/>
  <c r="E180" i="39"/>
  <c r="E215" i="39"/>
  <c r="E223" i="39"/>
  <c r="E231" i="39"/>
  <c r="E268" i="39"/>
  <c r="E280" i="39"/>
  <c r="E284" i="39"/>
  <c r="E304" i="39"/>
  <c r="E138" i="39"/>
  <c r="E177" i="39"/>
  <c r="E273" i="39"/>
  <c r="E288" i="39"/>
  <c r="E170" i="39"/>
  <c r="E179" i="39"/>
  <c r="E218" i="39"/>
  <c r="E228" i="39"/>
  <c r="E79" i="39"/>
  <c r="E81" i="39"/>
  <c r="E120" i="39"/>
  <c r="E156" i="39"/>
  <c r="E183" i="39"/>
  <c r="E192" i="39"/>
  <c r="E207" i="39"/>
  <c r="E241" i="39"/>
  <c r="E252" i="39"/>
  <c r="E258" i="39"/>
  <c r="E306" i="39"/>
  <c r="E307" i="39"/>
  <c r="E61" i="39"/>
  <c r="E64" i="39"/>
  <c r="E109" i="39"/>
  <c r="E110" i="39"/>
  <c r="E116" i="39"/>
  <c r="E118" i="39"/>
  <c r="E119" i="39"/>
  <c r="E129" i="39"/>
  <c r="E132" i="39"/>
  <c r="E140" i="39"/>
  <c r="E141" i="39"/>
  <c r="E142" i="39"/>
  <c r="E143" i="39"/>
  <c r="E144" i="39"/>
  <c r="E145" i="39"/>
  <c r="E147" i="39"/>
  <c r="E154" i="39"/>
  <c r="E164" i="39"/>
  <c r="E169" i="39"/>
  <c r="E171" i="39"/>
  <c r="E175" i="39"/>
  <c r="E186" i="39"/>
  <c r="E191" i="39"/>
  <c r="E193" i="39"/>
  <c r="E219" i="39"/>
  <c r="E239" i="39"/>
  <c r="E262" i="39"/>
  <c r="E269" i="39"/>
  <c r="E281" i="39"/>
  <c r="E282" i="39"/>
  <c r="E283" i="39"/>
  <c r="E285" i="39"/>
  <c r="E94" i="39"/>
  <c r="E201" i="39"/>
  <c r="E216" i="39"/>
  <c r="E253" i="39"/>
  <c r="E279" i="39"/>
  <c r="E287" i="39"/>
  <c r="E98" i="39"/>
  <c r="E104" i="39"/>
  <c r="E148" i="39"/>
  <c r="E150" i="39"/>
  <c r="E151" i="39"/>
  <c r="E158" i="39"/>
  <c r="E167" i="39"/>
  <c r="E184" i="39"/>
  <c r="E204" i="39"/>
  <c r="E213" i="39"/>
  <c r="E217" i="39"/>
  <c r="E254" i="39"/>
  <c r="E278" i="39"/>
  <c r="E292" i="39"/>
  <c r="E86" i="39"/>
  <c r="E87" i="39"/>
  <c r="E99" i="39"/>
  <c r="E100" i="39"/>
  <c r="E101" i="39"/>
  <c r="E103" i="39"/>
  <c r="E106" i="39"/>
  <c r="E133" i="39"/>
  <c r="E162" i="39"/>
  <c r="E168" i="39"/>
  <c r="E185" i="39"/>
  <c r="E214" i="39"/>
  <c r="E243" i="39"/>
  <c r="E275" i="39"/>
  <c r="E293" i="39"/>
  <c r="E301" i="39"/>
  <c r="E308" i="39"/>
  <c r="E62" i="39"/>
  <c r="E63" i="39"/>
  <c r="E65" i="39"/>
  <c r="E67" i="39"/>
  <c r="E68" i="39"/>
  <c r="E69" i="39"/>
  <c r="E72" i="39"/>
  <c r="E73" i="39"/>
  <c r="E76" i="39"/>
  <c r="E77" i="39"/>
  <c r="E78" i="39"/>
  <c r="E80" i="39"/>
  <c r="E89" i="39"/>
  <c r="E90" i="39"/>
  <c r="E93" i="39"/>
  <c r="E95" i="39"/>
  <c r="E96" i="39"/>
  <c r="E111" i="39"/>
  <c r="E3" i="39"/>
  <c r="E112" i="39"/>
  <c r="E113" i="39"/>
  <c r="E114" i="39"/>
  <c r="E115" i="39"/>
  <c r="E123" i="39"/>
  <c r="E124" i="39"/>
  <c r="E131" i="39"/>
  <c r="E134" i="39"/>
  <c r="E135" i="39"/>
  <c r="E137" i="39"/>
  <c r="E139" i="39"/>
  <c r="E152" i="39"/>
  <c r="E155" i="39"/>
  <c r="E159" i="39"/>
  <c r="E165" i="39"/>
  <c r="E166" i="39"/>
  <c r="E172" i="39"/>
  <c r="E173" i="39"/>
  <c r="E176" i="39"/>
  <c r="E187" i="39"/>
  <c r="E188" i="39"/>
  <c r="E190" i="39"/>
  <c r="E195" i="39"/>
  <c r="E196" i="39"/>
  <c r="E199" i="39"/>
  <c r="E200" i="39"/>
  <c r="E203" i="39"/>
  <c r="E205" i="39"/>
  <c r="E220" i="39"/>
  <c r="E221" i="39"/>
  <c r="E222" i="39"/>
  <c r="E224" i="39"/>
  <c r="E225" i="39"/>
  <c r="E229" i="39"/>
  <c r="E232" i="39"/>
  <c r="E233" i="39"/>
  <c r="E236" i="39"/>
  <c r="E237" i="39"/>
  <c r="E238" i="39"/>
  <c r="E242" i="39"/>
  <c r="E244" i="39"/>
  <c r="E245" i="39"/>
  <c r="E249" i="39"/>
  <c r="E250" i="39"/>
  <c r="E251" i="39"/>
  <c r="E256" i="39"/>
  <c r="E257" i="39"/>
  <c r="E260" i="39"/>
  <c r="E261" i="39"/>
  <c r="E265" i="39"/>
  <c r="E266" i="39"/>
  <c r="E270" i="39"/>
  <c r="E272" i="39"/>
  <c r="E274" i="39"/>
  <c r="E276" i="39"/>
  <c r="E277" i="39"/>
  <c r="E286" i="39"/>
  <c r="E290" i="39"/>
  <c r="E291" i="39"/>
  <c r="E294" i="39"/>
  <c r="E295" i="39"/>
  <c r="E296" i="39"/>
  <c r="E302" i="39"/>
  <c r="E303" i="39"/>
  <c r="E305" i="39"/>
  <c r="E3" i="40"/>
  <c r="E4" i="40"/>
  <c r="E5" i="40"/>
  <c r="E7" i="40"/>
  <c r="E8" i="40"/>
  <c r="E17" i="40"/>
  <c r="E27" i="40"/>
  <c r="E36" i="40"/>
  <c r="E49" i="40"/>
  <c r="E63" i="40"/>
  <c r="E64" i="40"/>
  <c r="E88" i="40"/>
  <c r="E94" i="40"/>
  <c r="E99" i="40"/>
  <c r="E100" i="40"/>
  <c r="E112" i="40"/>
  <c r="E114" i="40"/>
  <c r="E120" i="40"/>
  <c r="E145" i="40"/>
  <c r="E152" i="40"/>
  <c r="E153" i="40"/>
  <c r="E154" i="40"/>
  <c r="E164" i="40"/>
  <c r="E171" i="40"/>
  <c r="E174" i="40"/>
  <c r="E9" i="40"/>
  <c r="E178" i="40"/>
  <c r="E180" i="40"/>
  <c r="E191" i="40"/>
  <c r="E194" i="40"/>
  <c r="E10" i="40"/>
  <c r="E228" i="40"/>
  <c r="E232" i="40"/>
  <c r="E235" i="40"/>
  <c r="E237" i="40"/>
  <c r="E244" i="40"/>
  <c r="E253" i="40"/>
  <c r="E257" i="40"/>
  <c r="E285" i="40"/>
  <c r="E294" i="40"/>
  <c r="E301" i="40"/>
  <c r="E38" i="40"/>
  <c r="E44" i="40"/>
  <c r="E52" i="40"/>
  <c r="E53" i="40"/>
  <c r="E54" i="40"/>
  <c r="E79" i="40"/>
  <c r="E86" i="40"/>
  <c r="E138" i="40"/>
  <c r="E166" i="40"/>
  <c r="E187" i="40"/>
  <c r="E188" i="40"/>
  <c r="E197" i="40"/>
  <c r="E263" i="40"/>
  <c r="E273" i="40"/>
  <c r="E286" i="40"/>
  <c r="E45" i="40"/>
  <c r="E66" i="40"/>
  <c r="E83" i="40"/>
  <c r="E113" i="40"/>
  <c r="E6" i="40"/>
  <c r="E134" i="40"/>
  <c r="E143" i="40"/>
  <c r="E149" i="40"/>
  <c r="E150" i="40"/>
  <c r="E151" i="40"/>
  <c r="E156" i="40"/>
  <c r="E162" i="40"/>
  <c r="E167" i="40"/>
  <c r="E189" i="40"/>
  <c r="E192" i="40"/>
  <c r="E209" i="40"/>
  <c r="E210" i="40"/>
  <c r="E217" i="40"/>
  <c r="E221" i="40"/>
  <c r="E277" i="40"/>
  <c r="E278" i="40"/>
  <c r="E16" i="40"/>
  <c r="E23" i="40"/>
  <c r="E40" i="40"/>
  <c r="E43" i="40"/>
  <c r="E65" i="40"/>
  <c r="E74" i="40"/>
  <c r="E76" i="40"/>
  <c r="E89" i="40"/>
  <c r="E92" i="40"/>
  <c r="E103" i="40"/>
  <c r="E104" i="40"/>
  <c r="E105" i="40"/>
  <c r="E106" i="40"/>
  <c r="E110" i="40"/>
  <c r="E128" i="40"/>
  <c r="E155" i="40"/>
  <c r="E169" i="40"/>
  <c r="E182" i="40"/>
  <c r="E186" i="40"/>
  <c r="E208" i="40"/>
  <c r="E222" i="40"/>
  <c r="E223" i="40"/>
  <c r="E224" i="40"/>
  <c r="E241" i="40"/>
  <c r="E281" i="40"/>
  <c r="E305" i="40"/>
  <c r="E26" i="40"/>
  <c r="E33" i="40"/>
  <c r="E72" i="40"/>
  <c r="E84" i="40"/>
  <c r="E90" i="40"/>
  <c r="E115" i="40"/>
  <c r="E129" i="40"/>
  <c r="E148" i="40"/>
  <c r="E185" i="40"/>
  <c r="E193" i="40"/>
  <c r="E212" i="40"/>
  <c r="E213" i="40"/>
  <c r="E227" i="40"/>
  <c r="E248" i="40"/>
  <c r="E258" i="40"/>
  <c r="E259" i="40"/>
  <c r="E260" i="40"/>
  <c r="E270" i="40"/>
  <c r="E307" i="40"/>
  <c r="E313" i="40"/>
  <c r="E20" i="40"/>
  <c r="E22" i="40"/>
  <c r="E47" i="40"/>
  <c r="E50" i="40"/>
  <c r="E57" i="40"/>
  <c r="E61" i="40"/>
  <c r="E93" i="40"/>
  <c r="E117" i="40"/>
  <c r="E136" i="40"/>
  <c r="E142" i="40"/>
  <c r="E159" i="40"/>
  <c r="E165" i="40"/>
  <c r="E190" i="40"/>
  <c r="E216" i="40"/>
  <c r="E230" i="40"/>
  <c r="E271" i="40"/>
  <c r="E274" i="40"/>
  <c r="E275" i="40"/>
  <c r="E280" i="40"/>
  <c r="E298" i="40"/>
  <c r="E299" i="40"/>
  <c r="E58" i="40"/>
  <c r="E78" i="40"/>
  <c r="E87" i="40"/>
  <c r="E102" i="40"/>
  <c r="E107" i="40"/>
  <c r="E118" i="40"/>
  <c r="E124" i="40"/>
  <c r="E132" i="40"/>
  <c r="E137" i="40"/>
  <c r="E147" i="40"/>
  <c r="E157" i="40"/>
  <c r="E177" i="40"/>
  <c r="E184" i="40"/>
  <c r="E198" i="40"/>
  <c r="E201" i="40"/>
  <c r="E242" i="40"/>
  <c r="E252" i="40"/>
  <c r="E254" i="40"/>
  <c r="E261" i="40"/>
  <c r="E265" i="40"/>
  <c r="E290" i="40"/>
  <c r="E300" i="40"/>
  <c r="E308" i="40"/>
  <c r="E11" i="40"/>
  <c r="E14" i="40"/>
  <c r="E31" i="40"/>
  <c r="E34" i="40"/>
  <c r="E35" i="40"/>
  <c r="E37" i="40"/>
  <c r="E80" i="40"/>
  <c r="E85" i="40"/>
  <c r="E135" i="40"/>
  <c r="E168" i="40"/>
  <c r="E170" i="40"/>
  <c r="E183" i="40"/>
  <c r="E229" i="40"/>
  <c r="E231" i="40"/>
  <c r="E236" i="40"/>
  <c r="E243" i="40"/>
  <c r="E249" i="40"/>
  <c r="E267" i="40"/>
  <c r="E272" i="40"/>
  <c r="E276" i="40"/>
  <c r="E287" i="40"/>
  <c r="E39" i="40"/>
  <c r="E55" i="40"/>
  <c r="E56" i="40"/>
  <c r="E59" i="40"/>
  <c r="E60" i="40"/>
  <c r="E62" i="40"/>
  <c r="E75" i="40"/>
  <c r="E77" i="40"/>
  <c r="E97" i="40"/>
  <c r="E108" i="40"/>
  <c r="E109" i="40"/>
  <c r="E111" i="40"/>
  <c r="E121" i="40"/>
  <c r="E122" i="40"/>
  <c r="E125" i="40"/>
  <c r="E126" i="40"/>
  <c r="E127" i="40"/>
  <c r="E133" i="40"/>
  <c r="E141" i="40"/>
  <c r="E146" i="40"/>
  <c r="E158" i="40"/>
  <c r="E195" i="40"/>
  <c r="E196" i="40"/>
  <c r="E199" i="40"/>
  <c r="E204" i="40"/>
  <c r="E207" i="40"/>
  <c r="E226" i="40"/>
  <c r="E245" i="40"/>
  <c r="E279" i="40"/>
  <c r="E283" i="40"/>
  <c r="E284" i="40"/>
  <c r="E291" i="40"/>
  <c r="E296" i="40"/>
  <c r="E297" i="40"/>
  <c r="E302" i="40"/>
  <c r="E309" i="40"/>
  <c r="E310" i="40"/>
  <c r="E311" i="40"/>
  <c r="E312" i="40"/>
  <c r="E12" i="40"/>
  <c r="E13" i="40"/>
  <c r="E15" i="40"/>
  <c r="E18" i="40"/>
  <c r="E19" i="40"/>
  <c r="E21" i="40"/>
  <c r="E24" i="40"/>
  <c r="E25" i="40"/>
  <c r="E28" i="40"/>
  <c r="E29" i="40"/>
  <c r="E30" i="40"/>
  <c r="E32" i="40"/>
  <c r="E41" i="40"/>
  <c r="E42" i="40"/>
  <c r="E46" i="40"/>
  <c r="E48" i="40"/>
  <c r="E51" i="40"/>
  <c r="E67" i="40"/>
  <c r="E68" i="40"/>
  <c r="E69" i="40"/>
  <c r="E70" i="40"/>
  <c r="E71" i="40"/>
  <c r="E73" i="40"/>
  <c r="E81" i="40"/>
  <c r="E82" i="40"/>
  <c r="E91" i="40"/>
  <c r="E95" i="40"/>
  <c r="E96" i="40"/>
  <c r="E98" i="40"/>
  <c r="E101" i="40"/>
  <c r="E116" i="40"/>
  <c r="E119" i="40"/>
  <c r="E123" i="40"/>
  <c r="E130" i="40"/>
  <c r="E131" i="40"/>
  <c r="E139" i="40"/>
  <c r="E140" i="40"/>
  <c r="E144" i="40"/>
  <c r="E160" i="40"/>
  <c r="E161" i="40"/>
  <c r="E163" i="40"/>
  <c r="E172" i="40"/>
  <c r="E173" i="40"/>
  <c r="E175" i="40"/>
  <c r="E176" i="40"/>
  <c r="E179" i="40"/>
  <c r="E181" i="40"/>
  <c r="E200" i="40"/>
  <c r="E202" i="40"/>
  <c r="E203" i="40"/>
  <c r="E205" i="40"/>
  <c r="E206" i="40"/>
  <c r="E211" i="40"/>
  <c r="E214" i="40"/>
  <c r="E215" i="40"/>
  <c r="E218" i="40"/>
  <c r="E219" i="40"/>
  <c r="E220" i="40"/>
  <c r="E225" i="40"/>
  <c r="E233" i="40"/>
  <c r="E234" i="40"/>
  <c r="E238" i="40"/>
  <c r="E239" i="40"/>
  <c r="E240" i="40"/>
  <c r="E246" i="40"/>
  <c r="E247" i="40"/>
  <c r="E250" i="40"/>
  <c r="E251" i="40"/>
  <c r="E255" i="40"/>
  <c r="E256" i="40"/>
  <c r="E262" i="40"/>
  <c r="E264" i="40"/>
  <c r="E266" i="40"/>
  <c r="E268" i="40"/>
  <c r="E269" i="40"/>
  <c r="E282" i="40"/>
  <c r="E288" i="40"/>
  <c r="E289" i="40"/>
  <c r="E292" i="40"/>
  <c r="E293" i="40"/>
  <c r="E295" i="40"/>
  <c r="E303" i="40"/>
  <c r="E304" i="40"/>
  <c r="E306" i="40"/>
  <c r="E13" i="42" l="1"/>
  <c r="E19" i="42" s="1"/>
  <c r="U19" i="42"/>
  <c r="K8" i="42"/>
  <c r="C13" i="42"/>
  <c r="C19" i="42" s="1"/>
  <c r="D13" i="42"/>
  <c r="D19" i="42" s="1"/>
  <c r="E8" i="42"/>
  <c r="D8" i="42"/>
  <c r="C8" i="42"/>
  <c r="J8" i="42"/>
  <c r="I8" i="42"/>
  <c r="C12" i="42" l="1"/>
  <c r="C11" i="42"/>
  <c r="C10" i="42"/>
  <c r="C9" i="42"/>
  <c r="AS202" i="7"/>
  <c r="J255" i="7" l="1"/>
  <c r="AB23" i="21" l="1"/>
  <c r="S315" i="37" l="1"/>
  <c r="R315" i="37"/>
  <c r="J315" i="37"/>
  <c r="H315" i="37"/>
  <c r="G315" i="37"/>
  <c r="E315" i="37"/>
  <c r="S314" i="37"/>
  <c r="R314" i="37"/>
  <c r="J314" i="37"/>
  <c r="H314" i="37"/>
  <c r="G314" i="37"/>
  <c r="E314" i="37"/>
  <c r="U313" i="37"/>
  <c r="V313" i="37" s="1"/>
  <c r="S313" i="37"/>
  <c r="R313" i="37"/>
  <c r="J313" i="37"/>
  <c r="H313" i="37"/>
  <c r="G313" i="37"/>
  <c r="E313" i="37"/>
  <c r="U312" i="37"/>
  <c r="V312" i="37" s="1"/>
  <c r="S312" i="37"/>
  <c r="R312" i="37"/>
  <c r="J312" i="37"/>
  <c r="H312" i="37"/>
  <c r="G312" i="37"/>
  <c r="E312" i="37"/>
  <c r="S311" i="37"/>
  <c r="R311" i="37"/>
  <c r="J311" i="37"/>
  <c r="H311" i="37"/>
  <c r="G311" i="37"/>
  <c r="E311" i="37"/>
  <c r="S310" i="37"/>
  <c r="R310" i="37"/>
  <c r="J310" i="37"/>
  <c r="H310" i="37"/>
  <c r="G310" i="37"/>
  <c r="E310" i="37"/>
  <c r="S309" i="37"/>
  <c r="R309" i="37"/>
  <c r="J309" i="37"/>
  <c r="H309" i="37"/>
  <c r="G309" i="37"/>
  <c r="E309" i="37"/>
  <c r="S308" i="37"/>
  <c r="R308" i="37"/>
  <c r="J308" i="37"/>
  <c r="H308" i="37"/>
  <c r="G308" i="37"/>
  <c r="E308" i="37"/>
  <c r="S307" i="37"/>
  <c r="R307" i="37"/>
  <c r="J307" i="37"/>
  <c r="H307" i="37"/>
  <c r="G307" i="37"/>
  <c r="E307" i="37"/>
  <c r="S306" i="37"/>
  <c r="R306" i="37"/>
  <c r="J306" i="37"/>
  <c r="H306" i="37"/>
  <c r="G306" i="37"/>
  <c r="E306" i="37"/>
  <c r="S305" i="37"/>
  <c r="R305" i="37"/>
  <c r="J305" i="37"/>
  <c r="H305" i="37"/>
  <c r="G305" i="37"/>
  <c r="E305" i="37"/>
  <c r="S304" i="37"/>
  <c r="R304" i="37"/>
  <c r="J304" i="37"/>
  <c r="H304" i="37"/>
  <c r="G304" i="37"/>
  <c r="E304" i="37"/>
  <c r="S303" i="37"/>
  <c r="R303" i="37"/>
  <c r="J303" i="37"/>
  <c r="H303" i="37"/>
  <c r="G303" i="37"/>
  <c r="E303" i="37"/>
  <c r="S302" i="37"/>
  <c r="R302" i="37"/>
  <c r="J302" i="37"/>
  <c r="H302" i="37"/>
  <c r="G302" i="37"/>
  <c r="E302" i="37"/>
  <c r="S301" i="37"/>
  <c r="R301" i="37"/>
  <c r="J301" i="37"/>
  <c r="H301" i="37"/>
  <c r="G301" i="37"/>
  <c r="E301" i="37"/>
  <c r="S300" i="37"/>
  <c r="R300" i="37"/>
  <c r="J300" i="37"/>
  <c r="H300" i="37"/>
  <c r="G300" i="37"/>
  <c r="E300" i="37"/>
  <c r="S299" i="37"/>
  <c r="R299" i="37"/>
  <c r="J299" i="37"/>
  <c r="H299" i="37"/>
  <c r="G299" i="37"/>
  <c r="E299" i="37"/>
  <c r="S298" i="37"/>
  <c r="R298" i="37"/>
  <c r="J298" i="37"/>
  <c r="H298" i="37"/>
  <c r="G298" i="37"/>
  <c r="E298" i="37"/>
  <c r="S297" i="37"/>
  <c r="R297" i="37"/>
  <c r="J297" i="37"/>
  <c r="H297" i="37"/>
  <c r="G297" i="37"/>
  <c r="E297" i="37"/>
  <c r="S296" i="37"/>
  <c r="R296" i="37"/>
  <c r="J296" i="37"/>
  <c r="H296" i="37"/>
  <c r="G296" i="37"/>
  <c r="E296" i="37"/>
  <c r="S295" i="37"/>
  <c r="R295" i="37"/>
  <c r="J295" i="37"/>
  <c r="H295" i="37"/>
  <c r="G295" i="37"/>
  <c r="E295" i="37"/>
  <c r="S294" i="37"/>
  <c r="R294" i="37"/>
  <c r="J294" i="37"/>
  <c r="H294" i="37"/>
  <c r="G294" i="37"/>
  <c r="E294" i="37"/>
  <c r="S293" i="37"/>
  <c r="R293" i="37"/>
  <c r="J293" i="37"/>
  <c r="H293" i="37"/>
  <c r="G293" i="37"/>
  <c r="E293" i="37"/>
  <c r="S292" i="37"/>
  <c r="R292" i="37"/>
  <c r="J292" i="37"/>
  <c r="H292" i="37"/>
  <c r="G292" i="37"/>
  <c r="E292" i="37"/>
  <c r="S291" i="37"/>
  <c r="R291" i="37"/>
  <c r="J291" i="37"/>
  <c r="H291" i="37"/>
  <c r="G291" i="37"/>
  <c r="E291" i="37"/>
  <c r="S290" i="37"/>
  <c r="R290" i="37"/>
  <c r="J290" i="37"/>
  <c r="H290" i="37"/>
  <c r="G290" i="37"/>
  <c r="E290" i="37"/>
  <c r="S289" i="37"/>
  <c r="R289" i="37"/>
  <c r="J289" i="37"/>
  <c r="H289" i="37"/>
  <c r="G289" i="37"/>
  <c r="E289" i="37"/>
  <c r="S288" i="37"/>
  <c r="R288" i="37"/>
  <c r="J288" i="37"/>
  <c r="H288" i="37"/>
  <c r="G288" i="37"/>
  <c r="E288" i="37"/>
  <c r="S287" i="37"/>
  <c r="R287" i="37"/>
  <c r="J287" i="37"/>
  <c r="H287" i="37"/>
  <c r="G287" i="37"/>
  <c r="E287" i="37"/>
  <c r="S286" i="37"/>
  <c r="R286" i="37"/>
  <c r="J286" i="37"/>
  <c r="H286" i="37"/>
  <c r="G286" i="37"/>
  <c r="E286" i="37"/>
  <c r="S285" i="37"/>
  <c r="R285" i="37"/>
  <c r="J285" i="37"/>
  <c r="H285" i="37"/>
  <c r="G285" i="37"/>
  <c r="E285" i="37"/>
  <c r="S284" i="37"/>
  <c r="R284" i="37"/>
  <c r="J284" i="37"/>
  <c r="H284" i="37"/>
  <c r="G284" i="37"/>
  <c r="E284" i="37"/>
  <c r="S283" i="37"/>
  <c r="R283" i="37"/>
  <c r="J283" i="37"/>
  <c r="H283" i="37"/>
  <c r="G283" i="37"/>
  <c r="E283" i="37"/>
  <c r="S282" i="37"/>
  <c r="R282" i="37"/>
  <c r="J282" i="37"/>
  <c r="H282" i="37"/>
  <c r="G282" i="37"/>
  <c r="E282" i="37"/>
  <c r="S281" i="37"/>
  <c r="R281" i="37"/>
  <c r="J281" i="37"/>
  <c r="H281" i="37"/>
  <c r="G281" i="37"/>
  <c r="E281" i="37"/>
  <c r="S280" i="37"/>
  <c r="R280" i="37"/>
  <c r="J280" i="37"/>
  <c r="H280" i="37"/>
  <c r="G280" i="37"/>
  <c r="E280" i="37"/>
  <c r="S279" i="37"/>
  <c r="R279" i="37"/>
  <c r="J279" i="37"/>
  <c r="H279" i="37"/>
  <c r="G279" i="37"/>
  <c r="E279" i="37"/>
  <c r="S278" i="37"/>
  <c r="R278" i="37"/>
  <c r="J278" i="37"/>
  <c r="H278" i="37"/>
  <c r="G278" i="37"/>
  <c r="E278" i="37"/>
  <c r="S277" i="37"/>
  <c r="R277" i="37"/>
  <c r="J277" i="37"/>
  <c r="H277" i="37"/>
  <c r="G277" i="37"/>
  <c r="E277" i="37"/>
  <c r="S276" i="37"/>
  <c r="R276" i="37"/>
  <c r="J276" i="37"/>
  <c r="H276" i="37"/>
  <c r="G276" i="37"/>
  <c r="E276" i="37"/>
  <c r="S275" i="37"/>
  <c r="R275" i="37"/>
  <c r="J275" i="37"/>
  <c r="H275" i="37"/>
  <c r="G275" i="37"/>
  <c r="E275" i="37"/>
  <c r="S274" i="37"/>
  <c r="R274" i="37"/>
  <c r="J274" i="37"/>
  <c r="H274" i="37"/>
  <c r="G274" i="37"/>
  <c r="E274" i="37"/>
  <c r="S273" i="37"/>
  <c r="R273" i="37"/>
  <c r="J273" i="37"/>
  <c r="H273" i="37"/>
  <c r="G273" i="37"/>
  <c r="E273" i="37"/>
  <c r="U272" i="37"/>
  <c r="V272" i="37" s="1"/>
  <c r="S272" i="37"/>
  <c r="R272" i="37"/>
  <c r="J272" i="37"/>
  <c r="H272" i="37"/>
  <c r="G272" i="37"/>
  <c r="E272" i="37"/>
  <c r="U271" i="37"/>
  <c r="V271" i="37" s="1"/>
  <c r="S271" i="37"/>
  <c r="R271" i="37"/>
  <c r="J271" i="37"/>
  <c r="H271" i="37"/>
  <c r="G271" i="37"/>
  <c r="E271" i="37"/>
  <c r="U270" i="37"/>
  <c r="V270" i="37" s="1"/>
  <c r="S270" i="37"/>
  <c r="R270" i="37"/>
  <c r="J270" i="37"/>
  <c r="H270" i="37"/>
  <c r="G270" i="37"/>
  <c r="E270" i="37"/>
  <c r="S269" i="37"/>
  <c r="R269" i="37"/>
  <c r="J269" i="37"/>
  <c r="H269" i="37"/>
  <c r="G269" i="37"/>
  <c r="E269" i="37"/>
  <c r="S268" i="37"/>
  <c r="R268" i="37"/>
  <c r="J268" i="37"/>
  <c r="H268" i="37"/>
  <c r="G268" i="37"/>
  <c r="E268" i="37"/>
  <c r="S267" i="37"/>
  <c r="R267" i="37"/>
  <c r="J267" i="37"/>
  <c r="H267" i="37"/>
  <c r="G267" i="37"/>
  <c r="E267" i="37"/>
  <c r="S266" i="37"/>
  <c r="R266" i="37"/>
  <c r="J266" i="37"/>
  <c r="H266" i="37"/>
  <c r="G266" i="37"/>
  <c r="E266" i="37"/>
  <c r="S265" i="37"/>
  <c r="R265" i="37"/>
  <c r="J265" i="37"/>
  <c r="H265" i="37"/>
  <c r="G265" i="37"/>
  <c r="E265" i="37"/>
  <c r="S264" i="37"/>
  <c r="R264" i="37"/>
  <c r="J264" i="37"/>
  <c r="H264" i="37"/>
  <c r="G264" i="37"/>
  <c r="E264" i="37"/>
  <c r="S263" i="37"/>
  <c r="R263" i="37"/>
  <c r="J263" i="37"/>
  <c r="H263" i="37"/>
  <c r="G263" i="37"/>
  <c r="E263" i="37"/>
  <c r="S262" i="37"/>
  <c r="R262" i="37"/>
  <c r="J262" i="37"/>
  <c r="H262" i="37"/>
  <c r="G262" i="37"/>
  <c r="E262" i="37"/>
  <c r="S261" i="37"/>
  <c r="R261" i="37"/>
  <c r="J261" i="37"/>
  <c r="H261" i="37"/>
  <c r="G261" i="37"/>
  <c r="E261" i="37"/>
  <c r="S260" i="37"/>
  <c r="R260" i="37"/>
  <c r="J260" i="37"/>
  <c r="H260" i="37"/>
  <c r="G260" i="37"/>
  <c r="E260" i="37"/>
  <c r="S259" i="37"/>
  <c r="R259" i="37"/>
  <c r="J259" i="37"/>
  <c r="H259" i="37"/>
  <c r="G259" i="37"/>
  <c r="E259" i="37"/>
  <c r="S258" i="37"/>
  <c r="R258" i="37"/>
  <c r="J258" i="37"/>
  <c r="H258" i="37"/>
  <c r="G258" i="37"/>
  <c r="E258" i="37"/>
  <c r="S257" i="37"/>
  <c r="R257" i="37"/>
  <c r="J257" i="37"/>
  <c r="H257" i="37"/>
  <c r="G257" i="37"/>
  <c r="E257" i="37"/>
  <c r="S256" i="37"/>
  <c r="R256" i="37"/>
  <c r="J256" i="37"/>
  <c r="H256" i="37"/>
  <c r="G256" i="37"/>
  <c r="E256" i="37"/>
  <c r="S255" i="37"/>
  <c r="R255" i="37"/>
  <c r="J255" i="37"/>
  <c r="H255" i="37"/>
  <c r="G255" i="37"/>
  <c r="E255" i="37"/>
  <c r="S254" i="37"/>
  <c r="R254" i="37"/>
  <c r="J254" i="37"/>
  <c r="H254" i="37"/>
  <c r="G254" i="37"/>
  <c r="E254" i="37"/>
  <c r="S253" i="37"/>
  <c r="R253" i="37"/>
  <c r="J253" i="37"/>
  <c r="H253" i="37"/>
  <c r="G253" i="37"/>
  <c r="E253" i="37"/>
  <c r="S252" i="37"/>
  <c r="R252" i="37"/>
  <c r="J252" i="37"/>
  <c r="H252" i="37"/>
  <c r="G252" i="37"/>
  <c r="E252" i="37"/>
  <c r="S251" i="37"/>
  <c r="R251" i="37"/>
  <c r="J251" i="37"/>
  <c r="H251" i="37"/>
  <c r="G251" i="37"/>
  <c r="E251" i="37"/>
  <c r="S250" i="37"/>
  <c r="R250" i="37"/>
  <c r="J250" i="37"/>
  <c r="H250" i="37"/>
  <c r="G250" i="37"/>
  <c r="E250" i="37"/>
  <c r="S249" i="37"/>
  <c r="R249" i="37"/>
  <c r="J249" i="37"/>
  <c r="H249" i="37"/>
  <c r="G249" i="37"/>
  <c r="E249" i="37"/>
  <c r="S248" i="37"/>
  <c r="R248" i="37"/>
  <c r="J248" i="37"/>
  <c r="H248" i="37"/>
  <c r="G248" i="37"/>
  <c r="E248" i="37"/>
  <c r="S247" i="37"/>
  <c r="R247" i="37"/>
  <c r="J247" i="37"/>
  <c r="H247" i="37"/>
  <c r="G247" i="37"/>
  <c r="E247" i="37"/>
  <c r="U246" i="37"/>
  <c r="V246" i="37" s="1"/>
  <c r="S246" i="37"/>
  <c r="R246" i="37"/>
  <c r="J246" i="37"/>
  <c r="H246" i="37"/>
  <c r="G246" i="37"/>
  <c r="E246" i="37"/>
  <c r="S245" i="37"/>
  <c r="R245" i="37"/>
  <c r="J245" i="37"/>
  <c r="H245" i="37"/>
  <c r="G245" i="37"/>
  <c r="E245" i="37"/>
  <c r="S244" i="37"/>
  <c r="R244" i="37"/>
  <c r="J244" i="37"/>
  <c r="H244" i="37"/>
  <c r="G244" i="37"/>
  <c r="E244" i="37"/>
  <c r="S243" i="37"/>
  <c r="R243" i="37"/>
  <c r="J243" i="37"/>
  <c r="H243" i="37"/>
  <c r="G243" i="37"/>
  <c r="E243" i="37"/>
  <c r="S242" i="37"/>
  <c r="R242" i="37"/>
  <c r="J242" i="37"/>
  <c r="H242" i="37"/>
  <c r="G242" i="37"/>
  <c r="E242" i="37"/>
  <c r="S241" i="37"/>
  <c r="R241" i="37"/>
  <c r="J241" i="37"/>
  <c r="H241" i="37"/>
  <c r="G241" i="37"/>
  <c r="E241" i="37"/>
  <c r="S240" i="37"/>
  <c r="R240" i="37"/>
  <c r="J240" i="37"/>
  <c r="H240" i="37"/>
  <c r="G240" i="37"/>
  <c r="E240" i="37"/>
  <c r="S239" i="37"/>
  <c r="R239" i="37"/>
  <c r="J239" i="37"/>
  <c r="H239" i="37"/>
  <c r="G239" i="37"/>
  <c r="E239" i="37"/>
  <c r="S238" i="37"/>
  <c r="R238" i="37"/>
  <c r="J238" i="37"/>
  <c r="H238" i="37"/>
  <c r="G238" i="37"/>
  <c r="E238" i="37"/>
  <c r="S237" i="37"/>
  <c r="R237" i="37"/>
  <c r="J237" i="37"/>
  <c r="H237" i="37"/>
  <c r="G237" i="37"/>
  <c r="E237" i="37"/>
  <c r="S236" i="37"/>
  <c r="R236" i="37"/>
  <c r="J236" i="37"/>
  <c r="H236" i="37"/>
  <c r="G236" i="37"/>
  <c r="E236" i="37"/>
  <c r="S235" i="37"/>
  <c r="R235" i="37"/>
  <c r="J235" i="37"/>
  <c r="H235" i="37"/>
  <c r="G235" i="37"/>
  <c r="E235" i="37"/>
  <c r="S234" i="37"/>
  <c r="R234" i="37"/>
  <c r="J234" i="37"/>
  <c r="H234" i="37"/>
  <c r="G234" i="37"/>
  <c r="E234" i="37"/>
  <c r="S233" i="37"/>
  <c r="R233" i="37"/>
  <c r="J233" i="37"/>
  <c r="H233" i="37"/>
  <c r="G233" i="37"/>
  <c r="E233" i="37"/>
  <c r="S232" i="37"/>
  <c r="R232" i="37"/>
  <c r="J232" i="37"/>
  <c r="H232" i="37"/>
  <c r="G232" i="37"/>
  <c r="E232" i="37"/>
  <c r="S231" i="37"/>
  <c r="R231" i="37"/>
  <c r="J231" i="37"/>
  <c r="H231" i="37"/>
  <c r="G231" i="37"/>
  <c r="E231" i="37"/>
  <c r="S230" i="37"/>
  <c r="R230" i="37"/>
  <c r="J230" i="37"/>
  <c r="H230" i="37"/>
  <c r="G230" i="37"/>
  <c r="E230" i="37"/>
  <c r="S229" i="37"/>
  <c r="R229" i="37"/>
  <c r="J229" i="37"/>
  <c r="H229" i="37"/>
  <c r="G229" i="37"/>
  <c r="E229" i="37"/>
  <c r="S228" i="37"/>
  <c r="R228" i="37"/>
  <c r="J228" i="37"/>
  <c r="H228" i="37"/>
  <c r="G228" i="37"/>
  <c r="E228" i="37"/>
  <c r="S227" i="37"/>
  <c r="R227" i="37"/>
  <c r="J227" i="37"/>
  <c r="H227" i="37"/>
  <c r="G227" i="37"/>
  <c r="E227" i="37"/>
  <c r="S226" i="37"/>
  <c r="R226" i="37"/>
  <c r="J226" i="37"/>
  <c r="H226" i="37"/>
  <c r="G226" i="37"/>
  <c r="E226" i="37"/>
  <c r="S225" i="37"/>
  <c r="R225" i="37"/>
  <c r="J225" i="37"/>
  <c r="H225" i="37"/>
  <c r="G225" i="37"/>
  <c r="E225" i="37"/>
  <c r="S224" i="37"/>
  <c r="R224" i="37"/>
  <c r="J224" i="37"/>
  <c r="H224" i="37"/>
  <c r="G224" i="37"/>
  <c r="E224" i="37"/>
  <c r="S223" i="37"/>
  <c r="R223" i="37"/>
  <c r="J223" i="37"/>
  <c r="H223" i="37"/>
  <c r="G223" i="37"/>
  <c r="E223" i="37"/>
  <c r="S222" i="37"/>
  <c r="R222" i="37"/>
  <c r="J222" i="37"/>
  <c r="H222" i="37"/>
  <c r="G222" i="37"/>
  <c r="E222" i="37"/>
  <c r="S221" i="37"/>
  <c r="R221" i="37"/>
  <c r="J221" i="37"/>
  <c r="H221" i="37"/>
  <c r="G221" i="37"/>
  <c r="E221" i="37"/>
  <c r="S220" i="37"/>
  <c r="R220" i="37"/>
  <c r="J220" i="37"/>
  <c r="H220" i="37"/>
  <c r="G220" i="37"/>
  <c r="E220" i="37"/>
  <c r="S219" i="37"/>
  <c r="R219" i="37"/>
  <c r="J219" i="37"/>
  <c r="H219" i="37"/>
  <c r="G219" i="37"/>
  <c r="E219" i="37"/>
  <c r="S218" i="37"/>
  <c r="R218" i="37"/>
  <c r="J218" i="37"/>
  <c r="H218" i="37"/>
  <c r="G218" i="37"/>
  <c r="E218" i="37"/>
  <c r="S217" i="37"/>
  <c r="R217" i="37"/>
  <c r="J217" i="37"/>
  <c r="H217" i="37"/>
  <c r="G217" i="37"/>
  <c r="E217" i="37"/>
  <c r="S216" i="37"/>
  <c r="R216" i="37"/>
  <c r="J216" i="37"/>
  <c r="H216" i="37"/>
  <c r="G216" i="37"/>
  <c r="E216" i="37"/>
  <c r="S215" i="37"/>
  <c r="R215" i="37"/>
  <c r="J215" i="37"/>
  <c r="H215" i="37"/>
  <c r="G215" i="37"/>
  <c r="E215" i="37"/>
  <c r="S214" i="37"/>
  <c r="R214" i="37"/>
  <c r="J214" i="37"/>
  <c r="H214" i="37"/>
  <c r="G214" i="37"/>
  <c r="E214" i="37"/>
  <c r="S213" i="37"/>
  <c r="R213" i="37"/>
  <c r="J213" i="37"/>
  <c r="H213" i="37"/>
  <c r="G213" i="37"/>
  <c r="E213" i="37"/>
  <c r="S212" i="37"/>
  <c r="R212" i="37"/>
  <c r="J212" i="37"/>
  <c r="H212" i="37"/>
  <c r="G212" i="37"/>
  <c r="E212" i="37"/>
  <c r="S211" i="37"/>
  <c r="R211" i="37"/>
  <c r="J211" i="37"/>
  <c r="H211" i="37"/>
  <c r="G211" i="37"/>
  <c r="E211" i="37"/>
  <c r="S210" i="37"/>
  <c r="R210" i="37"/>
  <c r="J210" i="37"/>
  <c r="H210" i="37"/>
  <c r="G210" i="37"/>
  <c r="E210" i="37"/>
  <c r="U209" i="37"/>
  <c r="V209" i="37" s="1"/>
  <c r="S209" i="37"/>
  <c r="R209" i="37"/>
  <c r="J209" i="37"/>
  <c r="H209" i="37"/>
  <c r="G209" i="37"/>
  <c r="E209" i="37"/>
  <c r="S208" i="37"/>
  <c r="R208" i="37"/>
  <c r="J208" i="37"/>
  <c r="H208" i="37"/>
  <c r="G208" i="37"/>
  <c r="E208" i="37"/>
  <c r="S207" i="37"/>
  <c r="R207" i="37"/>
  <c r="J207" i="37"/>
  <c r="H207" i="37"/>
  <c r="G207" i="37"/>
  <c r="E207" i="37"/>
  <c r="S206" i="37"/>
  <c r="R206" i="37"/>
  <c r="J206" i="37"/>
  <c r="H206" i="37"/>
  <c r="G206" i="37"/>
  <c r="E206" i="37"/>
  <c r="S205" i="37"/>
  <c r="R205" i="37"/>
  <c r="J205" i="37"/>
  <c r="H205" i="37"/>
  <c r="G205" i="37"/>
  <c r="E205" i="37"/>
  <c r="S204" i="37"/>
  <c r="R204" i="37"/>
  <c r="J204" i="37"/>
  <c r="H204" i="37"/>
  <c r="G204" i="37"/>
  <c r="E204" i="37"/>
  <c r="S203" i="37"/>
  <c r="R203" i="37"/>
  <c r="J203" i="37"/>
  <c r="H203" i="37"/>
  <c r="G203" i="37"/>
  <c r="E203" i="37"/>
  <c r="S202" i="37"/>
  <c r="R202" i="37"/>
  <c r="J202" i="37"/>
  <c r="H202" i="37"/>
  <c r="G202" i="37"/>
  <c r="E202" i="37"/>
  <c r="S201" i="37"/>
  <c r="R201" i="37"/>
  <c r="J201" i="37"/>
  <c r="H201" i="37"/>
  <c r="G201" i="37"/>
  <c r="E201" i="37"/>
  <c r="S200" i="37"/>
  <c r="R200" i="37"/>
  <c r="J200" i="37"/>
  <c r="H200" i="37"/>
  <c r="G200" i="37"/>
  <c r="E200" i="37"/>
  <c r="S199" i="37"/>
  <c r="R199" i="37"/>
  <c r="J199" i="37"/>
  <c r="H199" i="37"/>
  <c r="G199" i="37"/>
  <c r="E199" i="37"/>
  <c r="S198" i="37"/>
  <c r="R198" i="37"/>
  <c r="J198" i="37"/>
  <c r="H198" i="37"/>
  <c r="G198" i="37"/>
  <c r="E198" i="37"/>
  <c r="S197" i="37"/>
  <c r="R197" i="37"/>
  <c r="J197" i="37"/>
  <c r="H197" i="37"/>
  <c r="G197" i="37"/>
  <c r="E197" i="37"/>
  <c r="S196" i="37"/>
  <c r="R196" i="37"/>
  <c r="J196" i="37"/>
  <c r="H196" i="37"/>
  <c r="G196" i="37"/>
  <c r="E196" i="37"/>
  <c r="S195" i="37"/>
  <c r="R195" i="37"/>
  <c r="J195" i="37"/>
  <c r="H195" i="37"/>
  <c r="G195" i="37"/>
  <c r="E195" i="37"/>
  <c r="S194" i="37"/>
  <c r="R194" i="37"/>
  <c r="J194" i="37"/>
  <c r="H194" i="37"/>
  <c r="G194" i="37"/>
  <c r="E194" i="37"/>
  <c r="S193" i="37"/>
  <c r="R193" i="37"/>
  <c r="J193" i="37"/>
  <c r="H193" i="37"/>
  <c r="G193" i="37"/>
  <c r="E193" i="37"/>
  <c r="S192" i="37"/>
  <c r="R192" i="37"/>
  <c r="J192" i="37"/>
  <c r="H192" i="37"/>
  <c r="G192" i="37"/>
  <c r="E192" i="37"/>
  <c r="S191" i="37"/>
  <c r="R191" i="37"/>
  <c r="J191" i="37"/>
  <c r="H191" i="37"/>
  <c r="G191" i="37"/>
  <c r="E191" i="37"/>
  <c r="S190" i="37"/>
  <c r="R190" i="37"/>
  <c r="J190" i="37"/>
  <c r="H190" i="37"/>
  <c r="G190" i="37"/>
  <c r="E190" i="37"/>
  <c r="U189" i="37"/>
  <c r="V189" i="37" s="1"/>
  <c r="S189" i="37"/>
  <c r="R189" i="37"/>
  <c r="J189" i="37"/>
  <c r="H189" i="37"/>
  <c r="G189" i="37"/>
  <c r="E189" i="37"/>
  <c r="U188" i="37"/>
  <c r="V188" i="37" s="1"/>
  <c r="S188" i="37"/>
  <c r="R188" i="37"/>
  <c r="J188" i="37"/>
  <c r="H188" i="37"/>
  <c r="G188" i="37"/>
  <c r="E188" i="37"/>
  <c r="S187" i="37"/>
  <c r="R187" i="37"/>
  <c r="J187" i="37"/>
  <c r="H187" i="37"/>
  <c r="G187" i="37"/>
  <c r="E187" i="37"/>
  <c r="S186" i="37"/>
  <c r="R186" i="37"/>
  <c r="J186" i="37"/>
  <c r="H186" i="37"/>
  <c r="G186" i="37"/>
  <c r="E186" i="37"/>
  <c r="S185" i="37"/>
  <c r="R185" i="37"/>
  <c r="J185" i="37"/>
  <c r="H185" i="37"/>
  <c r="G185" i="37"/>
  <c r="E185" i="37"/>
  <c r="S184" i="37"/>
  <c r="R184" i="37"/>
  <c r="J184" i="37"/>
  <c r="H184" i="37"/>
  <c r="G184" i="37"/>
  <c r="E184" i="37"/>
  <c r="S183" i="37"/>
  <c r="R183" i="37"/>
  <c r="J183" i="37"/>
  <c r="H183" i="37"/>
  <c r="G183" i="37"/>
  <c r="E183" i="37"/>
  <c r="S182" i="37"/>
  <c r="R182" i="37"/>
  <c r="J182" i="37"/>
  <c r="H182" i="37"/>
  <c r="G182" i="37"/>
  <c r="E182" i="37"/>
  <c r="S181" i="37"/>
  <c r="R181" i="37"/>
  <c r="J181" i="37"/>
  <c r="H181" i="37"/>
  <c r="G181" i="37"/>
  <c r="E181" i="37"/>
  <c r="S180" i="37"/>
  <c r="R180" i="37"/>
  <c r="J180" i="37"/>
  <c r="H180" i="37"/>
  <c r="G180" i="37"/>
  <c r="E180" i="37"/>
  <c r="S179" i="37"/>
  <c r="R179" i="37"/>
  <c r="J179" i="37"/>
  <c r="H179" i="37"/>
  <c r="G179" i="37"/>
  <c r="E179" i="37"/>
  <c r="S178" i="37"/>
  <c r="R178" i="37"/>
  <c r="J178" i="37"/>
  <c r="H178" i="37"/>
  <c r="G178" i="37"/>
  <c r="E178" i="37"/>
  <c r="S177" i="37"/>
  <c r="R177" i="37"/>
  <c r="J177" i="37"/>
  <c r="H177" i="37"/>
  <c r="G177" i="37"/>
  <c r="E177" i="37"/>
  <c r="S176" i="37"/>
  <c r="R176" i="37"/>
  <c r="J176" i="37"/>
  <c r="H176" i="37"/>
  <c r="G176" i="37"/>
  <c r="E176" i="37"/>
  <c r="S175" i="37"/>
  <c r="R175" i="37"/>
  <c r="J175" i="37"/>
  <c r="H175" i="37"/>
  <c r="G175" i="37"/>
  <c r="E175" i="37"/>
  <c r="S174" i="37"/>
  <c r="R174" i="37"/>
  <c r="J174" i="37"/>
  <c r="H174" i="37"/>
  <c r="G174" i="37"/>
  <c r="E174" i="37"/>
  <c r="S173" i="37"/>
  <c r="R173" i="37"/>
  <c r="J173" i="37"/>
  <c r="H173" i="37"/>
  <c r="G173" i="37"/>
  <c r="E173" i="37"/>
  <c r="U172" i="37"/>
  <c r="V172" i="37" s="1"/>
  <c r="S172" i="37"/>
  <c r="R172" i="37"/>
  <c r="J172" i="37"/>
  <c r="H172" i="37"/>
  <c r="G172" i="37"/>
  <c r="E172" i="37"/>
  <c r="S171" i="37"/>
  <c r="R171" i="37"/>
  <c r="J171" i="37"/>
  <c r="H171" i="37"/>
  <c r="G171" i="37"/>
  <c r="E171" i="37"/>
  <c r="S170" i="37"/>
  <c r="R170" i="37"/>
  <c r="J170" i="37"/>
  <c r="H170" i="37"/>
  <c r="G170" i="37"/>
  <c r="E170" i="37"/>
  <c r="S169" i="37"/>
  <c r="R169" i="37"/>
  <c r="J169" i="37"/>
  <c r="H169" i="37"/>
  <c r="G169" i="37"/>
  <c r="E169" i="37"/>
  <c r="S168" i="37"/>
  <c r="R168" i="37"/>
  <c r="J168" i="37"/>
  <c r="H168" i="37"/>
  <c r="G168" i="37"/>
  <c r="E168" i="37"/>
  <c r="S167" i="37"/>
  <c r="R167" i="37"/>
  <c r="J167" i="37"/>
  <c r="H167" i="37"/>
  <c r="G167" i="37"/>
  <c r="E167" i="37"/>
  <c r="S166" i="37"/>
  <c r="R166" i="37"/>
  <c r="J166" i="37"/>
  <c r="H166" i="37"/>
  <c r="G166" i="37"/>
  <c r="E166" i="37"/>
  <c r="S165" i="37"/>
  <c r="R165" i="37"/>
  <c r="J165" i="37"/>
  <c r="H165" i="37"/>
  <c r="G165" i="37"/>
  <c r="E165" i="37"/>
  <c r="S164" i="37"/>
  <c r="R164" i="37"/>
  <c r="J164" i="37"/>
  <c r="H164" i="37"/>
  <c r="G164" i="37"/>
  <c r="E164" i="37"/>
  <c r="S163" i="37"/>
  <c r="R163" i="37"/>
  <c r="J163" i="37"/>
  <c r="H163" i="37"/>
  <c r="G163" i="37"/>
  <c r="E163" i="37"/>
  <c r="S162" i="37"/>
  <c r="R162" i="37"/>
  <c r="J162" i="37"/>
  <c r="H162" i="37"/>
  <c r="G162" i="37"/>
  <c r="E162" i="37"/>
  <c r="S161" i="37"/>
  <c r="R161" i="37"/>
  <c r="J161" i="37"/>
  <c r="H161" i="37"/>
  <c r="G161" i="37"/>
  <c r="E161" i="37"/>
  <c r="S160" i="37"/>
  <c r="R160" i="37"/>
  <c r="J160" i="37"/>
  <c r="H160" i="37"/>
  <c r="G160" i="37"/>
  <c r="E160" i="37"/>
  <c r="S159" i="37"/>
  <c r="R159" i="37"/>
  <c r="J159" i="37"/>
  <c r="H159" i="37"/>
  <c r="G159" i="37"/>
  <c r="E159" i="37"/>
  <c r="S158" i="37"/>
  <c r="R158" i="37"/>
  <c r="J158" i="37"/>
  <c r="H158" i="37"/>
  <c r="G158" i="37"/>
  <c r="E158" i="37"/>
  <c r="S157" i="37"/>
  <c r="R157" i="37"/>
  <c r="J157" i="37"/>
  <c r="H157" i="37"/>
  <c r="G157" i="37"/>
  <c r="E157" i="37"/>
  <c r="S156" i="37"/>
  <c r="R156" i="37"/>
  <c r="J156" i="37"/>
  <c r="H156" i="37"/>
  <c r="G156" i="37"/>
  <c r="E156" i="37"/>
  <c r="S155" i="37"/>
  <c r="R155" i="37"/>
  <c r="J155" i="37"/>
  <c r="H155" i="37"/>
  <c r="G155" i="37"/>
  <c r="E155" i="37"/>
  <c r="S154" i="37"/>
  <c r="R154" i="37"/>
  <c r="J154" i="37"/>
  <c r="H154" i="37"/>
  <c r="G154" i="37"/>
  <c r="E154" i="37"/>
  <c r="S153" i="37"/>
  <c r="R153" i="37"/>
  <c r="J153" i="37"/>
  <c r="H153" i="37"/>
  <c r="G153" i="37"/>
  <c r="E153" i="37"/>
  <c r="S152" i="37"/>
  <c r="R152" i="37"/>
  <c r="J152" i="37"/>
  <c r="H152" i="37"/>
  <c r="G152" i="37"/>
  <c r="E152" i="37"/>
  <c r="S151" i="37"/>
  <c r="R151" i="37"/>
  <c r="J151" i="37"/>
  <c r="H151" i="37"/>
  <c r="G151" i="37"/>
  <c r="E151" i="37"/>
  <c r="S150" i="37"/>
  <c r="R150" i="37"/>
  <c r="J150" i="37"/>
  <c r="H150" i="37"/>
  <c r="G150" i="37"/>
  <c r="E150" i="37"/>
  <c r="S149" i="37"/>
  <c r="R149" i="37"/>
  <c r="J149" i="37"/>
  <c r="H149" i="37"/>
  <c r="G149" i="37"/>
  <c r="E149" i="37"/>
  <c r="S148" i="37"/>
  <c r="R148" i="37"/>
  <c r="J148" i="37"/>
  <c r="H148" i="37"/>
  <c r="G148" i="37"/>
  <c r="E148" i="37"/>
  <c r="S147" i="37"/>
  <c r="R147" i="37"/>
  <c r="J147" i="37"/>
  <c r="H147" i="37"/>
  <c r="G147" i="37"/>
  <c r="E147" i="37"/>
  <c r="S146" i="37"/>
  <c r="R146" i="37"/>
  <c r="J146" i="37"/>
  <c r="H146" i="37"/>
  <c r="G146" i="37"/>
  <c r="E146" i="37"/>
  <c r="S145" i="37"/>
  <c r="R145" i="37"/>
  <c r="J145" i="37"/>
  <c r="H145" i="37"/>
  <c r="G145" i="37"/>
  <c r="E145" i="37"/>
  <c r="S144" i="37"/>
  <c r="R144" i="37"/>
  <c r="J144" i="37"/>
  <c r="H144" i="37"/>
  <c r="G144" i="37"/>
  <c r="E144" i="37"/>
  <c r="S143" i="37"/>
  <c r="R143" i="37"/>
  <c r="J143" i="37"/>
  <c r="H143" i="37"/>
  <c r="G143" i="37"/>
  <c r="E143" i="37"/>
  <c r="S142" i="37"/>
  <c r="R142" i="37"/>
  <c r="J142" i="37"/>
  <c r="H142" i="37"/>
  <c r="G142" i="37"/>
  <c r="E142" i="37"/>
  <c r="S141" i="37"/>
  <c r="R141" i="37"/>
  <c r="J141" i="37"/>
  <c r="H141" i="37"/>
  <c r="G141" i="37"/>
  <c r="E141" i="37"/>
  <c r="S140" i="37"/>
  <c r="R140" i="37"/>
  <c r="J140" i="37"/>
  <c r="H140" i="37"/>
  <c r="G140" i="37"/>
  <c r="E140" i="37"/>
  <c r="S139" i="37"/>
  <c r="R139" i="37"/>
  <c r="J139" i="37"/>
  <c r="H139" i="37"/>
  <c r="G139" i="37"/>
  <c r="E139" i="37"/>
  <c r="S138" i="37"/>
  <c r="R138" i="37"/>
  <c r="J138" i="37"/>
  <c r="H138" i="37"/>
  <c r="G138" i="37"/>
  <c r="E138" i="37"/>
  <c r="S137" i="37"/>
  <c r="R137" i="37"/>
  <c r="J137" i="37"/>
  <c r="H137" i="37"/>
  <c r="G137" i="37"/>
  <c r="E137" i="37"/>
  <c r="S136" i="37"/>
  <c r="R136" i="37"/>
  <c r="J136" i="37"/>
  <c r="H136" i="37"/>
  <c r="G136" i="37"/>
  <c r="E136" i="37"/>
  <c r="S135" i="37"/>
  <c r="R135" i="37"/>
  <c r="J135" i="37"/>
  <c r="H135" i="37"/>
  <c r="G135" i="37"/>
  <c r="E135" i="37"/>
  <c r="S134" i="37"/>
  <c r="R134" i="37"/>
  <c r="J134" i="37"/>
  <c r="H134" i="37"/>
  <c r="G134" i="37"/>
  <c r="E134" i="37"/>
  <c r="S133" i="37"/>
  <c r="R133" i="37"/>
  <c r="J133" i="37"/>
  <c r="H133" i="37"/>
  <c r="G133" i="37"/>
  <c r="E133" i="37"/>
  <c r="S132" i="37"/>
  <c r="R132" i="37"/>
  <c r="J132" i="37"/>
  <c r="H132" i="37"/>
  <c r="G132" i="37"/>
  <c r="E132" i="37"/>
  <c r="S131" i="37"/>
  <c r="R131" i="37"/>
  <c r="J131" i="37"/>
  <c r="H131" i="37"/>
  <c r="G131" i="37"/>
  <c r="E131" i="37"/>
  <c r="S130" i="37"/>
  <c r="R130" i="37"/>
  <c r="J130" i="37"/>
  <c r="H130" i="37"/>
  <c r="G130" i="37"/>
  <c r="E130" i="37"/>
  <c r="S129" i="37"/>
  <c r="R129" i="37"/>
  <c r="J129" i="37"/>
  <c r="H129" i="37"/>
  <c r="G129" i="37"/>
  <c r="E129" i="37"/>
  <c r="S128" i="37"/>
  <c r="R128" i="37"/>
  <c r="J128" i="37"/>
  <c r="H128" i="37"/>
  <c r="G128" i="37"/>
  <c r="E128" i="37"/>
  <c r="U127" i="37"/>
  <c r="V127" i="37" s="1"/>
  <c r="S127" i="37"/>
  <c r="R127" i="37"/>
  <c r="J127" i="37"/>
  <c r="H127" i="37"/>
  <c r="G127" i="37"/>
  <c r="E127" i="37"/>
  <c r="S126" i="37"/>
  <c r="R126" i="37"/>
  <c r="J126" i="37"/>
  <c r="H126" i="37"/>
  <c r="G126" i="37"/>
  <c r="E126" i="37"/>
  <c r="S125" i="37"/>
  <c r="R125" i="37"/>
  <c r="J125" i="37"/>
  <c r="H125" i="37"/>
  <c r="G125" i="37"/>
  <c r="E125" i="37"/>
  <c r="S124" i="37"/>
  <c r="R124" i="37"/>
  <c r="J124" i="37"/>
  <c r="H124" i="37"/>
  <c r="G124" i="37"/>
  <c r="E124" i="37"/>
  <c r="S123" i="37"/>
  <c r="R123" i="37"/>
  <c r="J123" i="37"/>
  <c r="H123" i="37"/>
  <c r="G123" i="37"/>
  <c r="E123" i="37"/>
  <c r="S122" i="37"/>
  <c r="R122" i="37"/>
  <c r="J122" i="37"/>
  <c r="H122" i="37"/>
  <c r="G122" i="37"/>
  <c r="E122" i="37"/>
  <c r="S121" i="37"/>
  <c r="R121" i="37"/>
  <c r="J121" i="37"/>
  <c r="H121" i="37"/>
  <c r="G121" i="37"/>
  <c r="E121" i="37"/>
  <c r="S120" i="37"/>
  <c r="R120" i="37"/>
  <c r="J120" i="37"/>
  <c r="H120" i="37"/>
  <c r="G120" i="37"/>
  <c r="E120" i="37"/>
  <c r="S119" i="37"/>
  <c r="R119" i="37"/>
  <c r="J119" i="37"/>
  <c r="H119" i="37"/>
  <c r="G119" i="37"/>
  <c r="E119" i="37"/>
  <c r="S118" i="37"/>
  <c r="R118" i="37"/>
  <c r="J118" i="37"/>
  <c r="H118" i="37"/>
  <c r="G118" i="37"/>
  <c r="E118" i="37"/>
  <c r="U117" i="37"/>
  <c r="V117" i="37" s="1"/>
  <c r="S117" i="37"/>
  <c r="R117" i="37"/>
  <c r="J117" i="37"/>
  <c r="H117" i="37"/>
  <c r="G117" i="37"/>
  <c r="E117" i="37"/>
  <c r="U116" i="37"/>
  <c r="V116" i="37" s="1"/>
  <c r="S116" i="37"/>
  <c r="R116" i="37"/>
  <c r="J116" i="37"/>
  <c r="H116" i="37"/>
  <c r="G116" i="37"/>
  <c r="E116" i="37"/>
  <c r="U115" i="37"/>
  <c r="V115" i="37" s="1"/>
  <c r="S115" i="37"/>
  <c r="R115" i="37"/>
  <c r="J115" i="37"/>
  <c r="H115" i="37"/>
  <c r="G115" i="37"/>
  <c r="E115" i="37"/>
  <c r="U114" i="37"/>
  <c r="V114" i="37" s="1"/>
  <c r="S114" i="37"/>
  <c r="R114" i="37"/>
  <c r="J114" i="37"/>
  <c r="H114" i="37"/>
  <c r="G114" i="37"/>
  <c r="E114" i="37"/>
  <c r="U113" i="37"/>
  <c r="V113" i="37" s="1"/>
  <c r="S113" i="37"/>
  <c r="R113" i="37"/>
  <c r="J113" i="37"/>
  <c r="H113" i="37"/>
  <c r="G113" i="37"/>
  <c r="E113" i="37"/>
  <c r="S112" i="37"/>
  <c r="R112" i="37"/>
  <c r="J112" i="37"/>
  <c r="H112" i="37"/>
  <c r="G112" i="37"/>
  <c r="E112" i="37"/>
  <c r="S111" i="37"/>
  <c r="R111" i="37"/>
  <c r="J111" i="37"/>
  <c r="H111" i="37"/>
  <c r="G111" i="37"/>
  <c r="E111" i="37"/>
  <c r="S110" i="37"/>
  <c r="R110" i="37"/>
  <c r="J110" i="37"/>
  <c r="H110" i="37"/>
  <c r="G110" i="37"/>
  <c r="E110" i="37"/>
  <c r="S109" i="37"/>
  <c r="R109" i="37"/>
  <c r="J109" i="37"/>
  <c r="H109" i="37"/>
  <c r="G109" i="37"/>
  <c r="E109" i="37"/>
  <c r="S108" i="37"/>
  <c r="R108" i="37"/>
  <c r="J108" i="37"/>
  <c r="H108" i="37"/>
  <c r="G108" i="37"/>
  <c r="E108" i="37"/>
  <c r="S107" i="37"/>
  <c r="R107" i="37"/>
  <c r="J107" i="37"/>
  <c r="H107" i="37"/>
  <c r="G107" i="37"/>
  <c r="E107" i="37"/>
  <c r="S106" i="37"/>
  <c r="R106" i="37"/>
  <c r="J106" i="37"/>
  <c r="H106" i="37"/>
  <c r="G106" i="37"/>
  <c r="E106" i="37"/>
  <c r="S105" i="37"/>
  <c r="R105" i="37"/>
  <c r="J105" i="37"/>
  <c r="H105" i="37"/>
  <c r="G105" i="37"/>
  <c r="E105" i="37"/>
  <c r="S104" i="37"/>
  <c r="R104" i="37"/>
  <c r="J104" i="37"/>
  <c r="H104" i="37"/>
  <c r="G104" i="37"/>
  <c r="E104" i="37"/>
  <c r="S103" i="37"/>
  <c r="R103" i="37"/>
  <c r="J103" i="37"/>
  <c r="H103" i="37"/>
  <c r="G103" i="37"/>
  <c r="E103" i="37"/>
  <c r="S102" i="37"/>
  <c r="R102" i="37"/>
  <c r="J102" i="37"/>
  <c r="H102" i="37"/>
  <c r="G102" i="37"/>
  <c r="E102" i="37"/>
  <c r="S101" i="37"/>
  <c r="R101" i="37"/>
  <c r="J101" i="37"/>
  <c r="H101" i="37"/>
  <c r="G101" i="37"/>
  <c r="E101" i="37"/>
  <c r="S100" i="37"/>
  <c r="R100" i="37"/>
  <c r="J100" i="37"/>
  <c r="H100" i="37"/>
  <c r="G100" i="37"/>
  <c r="E100" i="37"/>
  <c r="S99" i="37"/>
  <c r="R99" i="37"/>
  <c r="J99" i="37"/>
  <c r="H99" i="37"/>
  <c r="G99" i="37"/>
  <c r="E99" i="37"/>
  <c r="S98" i="37"/>
  <c r="R98" i="37"/>
  <c r="J98" i="37"/>
  <c r="H98" i="37"/>
  <c r="G98" i="37"/>
  <c r="E98" i="37"/>
  <c r="S97" i="37"/>
  <c r="R97" i="37"/>
  <c r="J97" i="37"/>
  <c r="H97" i="37"/>
  <c r="G97" i="37"/>
  <c r="E97" i="37"/>
  <c r="S96" i="37"/>
  <c r="R96" i="37"/>
  <c r="J96" i="37"/>
  <c r="H96" i="37"/>
  <c r="G96" i="37"/>
  <c r="E96" i="37"/>
  <c r="S95" i="37"/>
  <c r="R95" i="37"/>
  <c r="J95" i="37"/>
  <c r="H95" i="37"/>
  <c r="G95" i="37"/>
  <c r="E95" i="37"/>
  <c r="S94" i="37"/>
  <c r="R94" i="37"/>
  <c r="J94" i="37"/>
  <c r="H94" i="37"/>
  <c r="G94" i="37"/>
  <c r="E94" i="37"/>
  <c r="S93" i="37"/>
  <c r="R93" i="37"/>
  <c r="J93" i="37"/>
  <c r="H93" i="37"/>
  <c r="G93" i="37"/>
  <c r="E93" i="37"/>
  <c r="S92" i="37"/>
  <c r="R92" i="37"/>
  <c r="J92" i="37"/>
  <c r="H92" i="37"/>
  <c r="G92" i="37"/>
  <c r="E92" i="37"/>
  <c r="S91" i="37"/>
  <c r="R91" i="37"/>
  <c r="J91" i="37"/>
  <c r="H91" i="37"/>
  <c r="G91" i="37"/>
  <c r="E91" i="37"/>
  <c r="S90" i="37"/>
  <c r="R90" i="37"/>
  <c r="J90" i="37"/>
  <c r="H90" i="37"/>
  <c r="G90" i="37"/>
  <c r="E90" i="37"/>
  <c r="S89" i="37"/>
  <c r="R89" i="37"/>
  <c r="J89" i="37"/>
  <c r="H89" i="37"/>
  <c r="G89" i="37"/>
  <c r="E89" i="37"/>
  <c r="S88" i="37"/>
  <c r="R88" i="37"/>
  <c r="J88" i="37"/>
  <c r="H88" i="37"/>
  <c r="G88" i="37"/>
  <c r="E88" i="37"/>
  <c r="S87" i="37"/>
  <c r="R87" i="37"/>
  <c r="J87" i="37"/>
  <c r="H87" i="37"/>
  <c r="G87" i="37"/>
  <c r="E87" i="37"/>
  <c r="S86" i="37"/>
  <c r="R86" i="37"/>
  <c r="J86" i="37"/>
  <c r="H86" i="37"/>
  <c r="G86" i="37"/>
  <c r="E86" i="37"/>
  <c r="S85" i="37"/>
  <c r="R85" i="37"/>
  <c r="J85" i="37"/>
  <c r="H85" i="37"/>
  <c r="G85" i="37"/>
  <c r="E85" i="37"/>
  <c r="S84" i="37"/>
  <c r="R84" i="37"/>
  <c r="J84" i="37"/>
  <c r="H84" i="37"/>
  <c r="G84" i="37"/>
  <c r="E84" i="37"/>
  <c r="S83" i="37"/>
  <c r="R83" i="37"/>
  <c r="J83" i="37"/>
  <c r="H83" i="37"/>
  <c r="G83" i="37"/>
  <c r="E83" i="37"/>
  <c r="S82" i="37"/>
  <c r="R82" i="37"/>
  <c r="J82" i="37"/>
  <c r="H82" i="37"/>
  <c r="G82" i="37"/>
  <c r="E82" i="37"/>
  <c r="S81" i="37"/>
  <c r="R81" i="37"/>
  <c r="J81" i="37"/>
  <c r="H81" i="37"/>
  <c r="G81" i="37"/>
  <c r="E81" i="37"/>
  <c r="S80" i="37"/>
  <c r="R80" i="37"/>
  <c r="J80" i="37"/>
  <c r="H80" i="37"/>
  <c r="G80" i="37"/>
  <c r="E80" i="37"/>
  <c r="S79" i="37"/>
  <c r="R79" i="37"/>
  <c r="J79" i="37"/>
  <c r="H79" i="37"/>
  <c r="G79" i="37"/>
  <c r="E79" i="37"/>
  <c r="S78" i="37"/>
  <c r="R78" i="37"/>
  <c r="J78" i="37"/>
  <c r="H78" i="37"/>
  <c r="G78" i="37"/>
  <c r="E78" i="37"/>
  <c r="S77" i="37"/>
  <c r="R77" i="37"/>
  <c r="J77" i="37"/>
  <c r="H77" i="37"/>
  <c r="G77" i="37"/>
  <c r="E77" i="37"/>
  <c r="S76" i="37"/>
  <c r="R76" i="37"/>
  <c r="J76" i="37"/>
  <c r="H76" i="37"/>
  <c r="G76" i="37"/>
  <c r="E76" i="37"/>
  <c r="S75" i="37"/>
  <c r="R75" i="37"/>
  <c r="J75" i="37"/>
  <c r="H75" i="37"/>
  <c r="G75" i="37"/>
  <c r="E75" i="37"/>
  <c r="S74" i="37"/>
  <c r="R74" i="37"/>
  <c r="J74" i="37"/>
  <c r="H74" i="37"/>
  <c r="G74" i="37"/>
  <c r="E74" i="37"/>
  <c r="S73" i="37"/>
  <c r="R73" i="37"/>
  <c r="J73" i="37"/>
  <c r="H73" i="37"/>
  <c r="G73" i="37"/>
  <c r="E73" i="37"/>
  <c r="S72" i="37"/>
  <c r="R72" i="37"/>
  <c r="J72" i="37"/>
  <c r="H72" i="37"/>
  <c r="G72" i="37"/>
  <c r="E72" i="37"/>
  <c r="S71" i="37"/>
  <c r="R71" i="37"/>
  <c r="J71" i="37"/>
  <c r="H71" i="37"/>
  <c r="G71" i="37"/>
  <c r="E71" i="37"/>
  <c r="S70" i="37"/>
  <c r="R70" i="37"/>
  <c r="J70" i="37"/>
  <c r="H70" i="37"/>
  <c r="G70" i="37"/>
  <c r="E70" i="37"/>
  <c r="S69" i="37"/>
  <c r="R69" i="37"/>
  <c r="J69" i="37"/>
  <c r="H69" i="37"/>
  <c r="G69" i="37"/>
  <c r="E69" i="37"/>
  <c r="S68" i="37"/>
  <c r="R68" i="37"/>
  <c r="J68" i="37"/>
  <c r="H68" i="37"/>
  <c r="G68" i="37"/>
  <c r="E68" i="37"/>
  <c r="S67" i="37"/>
  <c r="R67" i="37"/>
  <c r="J67" i="37"/>
  <c r="H67" i="37"/>
  <c r="G67" i="37"/>
  <c r="E67" i="37"/>
  <c r="S66" i="37"/>
  <c r="R66" i="37"/>
  <c r="J66" i="37"/>
  <c r="H66" i="37"/>
  <c r="G66" i="37"/>
  <c r="E66" i="37"/>
  <c r="S65" i="37"/>
  <c r="R65" i="37"/>
  <c r="J65" i="37"/>
  <c r="H65" i="37"/>
  <c r="G65" i="37"/>
  <c r="E65" i="37"/>
  <c r="S64" i="37"/>
  <c r="R64" i="37"/>
  <c r="J64" i="37"/>
  <c r="H64" i="37"/>
  <c r="G64" i="37"/>
  <c r="E64" i="37"/>
  <c r="S63" i="37"/>
  <c r="R63" i="37"/>
  <c r="J63" i="37"/>
  <c r="H63" i="37"/>
  <c r="G63" i="37"/>
  <c r="E63" i="37"/>
  <c r="S62" i="37"/>
  <c r="R62" i="37"/>
  <c r="J62" i="37"/>
  <c r="H62" i="37"/>
  <c r="G62" i="37"/>
  <c r="E62" i="37"/>
  <c r="S61" i="37"/>
  <c r="R61" i="37"/>
  <c r="J61" i="37"/>
  <c r="H61" i="37"/>
  <c r="G61" i="37"/>
  <c r="E61" i="37"/>
  <c r="S60" i="37"/>
  <c r="R60" i="37"/>
  <c r="J60" i="37"/>
  <c r="H60" i="37"/>
  <c r="G60" i="37"/>
  <c r="E60" i="37"/>
  <c r="S59" i="37"/>
  <c r="R59" i="37"/>
  <c r="J59" i="37"/>
  <c r="H59" i="37"/>
  <c r="G59" i="37"/>
  <c r="E59" i="37"/>
  <c r="S58" i="37"/>
  <c r="R58" i="37"/>
  <c r="J58" i="37"/>
  <c r="H58" i="37"/>
  <c r="G58" i="37"/>
  <c r="E58" i="37"/>
  <c r="S57" i="37"/>
  <c r="R57" i="37"/>
  <c r="J57" i="37"/>
  <c r="H57" i="37"/>
  <c r="G57" i="37"/>
  <c r="E57" i="37"/>
  <c r="S56" i="37"/>
  <c r="R56" i="37"/>
  <c r="J56" i="37"/>
  <c r="H56" i="37"/>
  <c r="G56" i="37"/>
  <c r="E56" i="37"/>
  <c r="S55" i="37"/>
  <c r="R55" i="37"/>
  <c r="J55" i="37"/>
  <c r="H55" i="37"/>
  <c r="G55" i="37"/>
  <c r="E55" i="37"/>
  <c r="S54" i="37"/>
  <c r="R54" i="37"/>
  <c r="J54" i="37"/>
  <c r="H54" i="37"/>
  <c r="G54" i="37"/>
  <c r="E54" i="37"/>
  <c r="S53" i="37"/>
  <c r="R53" i="37"/>
  <c r="J53" i="37"/>
  <c r="H53" i="37"/>
  <c r="G53" i="37"/>
  <c r="E53" i="37"/>
  <c r="S52" i="37"/>
  <c r="R52" i="37"/>
  <c r="J52" i="37"/>
  <c r="H52" i="37"/>
  <c r="G52" i="37"/>
  <c r="E52" i="37"/>
  <c r="S51" i="37"/>
  <c r="R51" i="37"/>
  <c r="J51" i="37"/>
  <c r="H51" i="37"/>
  <c r="G51" i="37"/>
  <c r="E51" i="37"/>
  <c r="S50" i="37"/>
  <c r="R50" i="37"/>
  <c r="J50" i="37"/>
  <c r="H50" i="37"/>
  <c r="G50" i="37"/>
  <c r="E50" i="37"/>
  <c r="S49" i="37"/>
  <c r="R49" i="37"/>
  <c r="J49" i="37"/>
  <c r="H49" i="37"/>
  <c r="G49" i="37"/>
  <c r="E49" i="37"/>
  <c r="S48" i="37"/>
  <c r="R48" i="37"/>
  <c r="J48" i="37"/>
  <c r="H48" i="37"/>
  <c r="G48" i="37"/>
  <c r="E48" i="37"/>
  <c r="S47" i="37"/>
  <c r="R47" i="37"/>
  <c r="J47" i="37"/>
  <c r="H47" i="37"/>
  <c r="G47" i="37"/>
  <c r="E47" i="37"/>
  <c r="S46" i="37"/>
  <c r="R46" i="37"/>
  <c r="J46" i="37"/>
  <c r="H46" i="37"/>
  <c r="G46" i="37"/>
  <c r="E46" i="37"/>
  <c r="S45" i="37"/>
  <c r="R45" i="37"/>
  <c r="J45" i="37"/>
  <c r="H45" i="37"/>
  <c r="G45" i="37"/>
  <c r="E45" i="37"/>
  <c r="AB44" i="37"/>
  <c r="AC44" i="37" s="1"/>
  <c r="S44" i="37"/>
  <c r="J44" i="37"/>
  <c r="H44" i="37"/>
  <c r="G44" i="37"/>
  <c r="E44" i="37"/>
  <c r="AB43" i="37"/>
  <c r="AC43" i="37" s="1"/>
  <c r="S43" i="37"/>
  <c r="R43" i="37"/>
  <c r="J43" i="37"/>
  <c r="H43" i="37"/>
  <c r="G43" i="37"/>
  <c r="E43" i="37"/>
  <c r="AB42" i="37"/>
  <c r="AC42" i="37" s="1"/>
  <c r="S42" i="37"/>
  <c r="R42" i="37"/>
  <c r="J42" i="37"/>
  <c r="H42" i="37"/>
  <c r="G42" i="37"/>
  <c r="E42" i="37"/>
  <c r="AB41" i="37"/>
  <c r="AC41" i="37" s="1"/>
  <c r="S41" i="37"/>
  <c r="R41" i="37"/>
  <c r="J41" i="37"/>
  <c r="H41" i="37"/>
  <c r="G41" i="37"/>
  <c r="E41" i="37"/>
  <c r="AB40" i="37"/>
  <c r="AC40" i="37" s="1"/>
  <c r="S40" i="37"/>
  <c r="R40" i="37"/>
  <c r="J40" i="37"/>
  <c r="H40" i="37"/>
  <c r="G40" i="37"/>
  <c r="E40" i="37"/>
  <c r="AB39" i="37"/>
  <c r="AC39" i="37" s="1"/>
  <c r="S39" i="37"/>
  <c r="R39" i="37"/>
  <c r="J39" i="37"/>
  <c r="H39" i="37"/>
  <c r="G39" i="37"/>
  <c r="E39" i="37"/>
  <c r="AB38" i="37"/>
  <c r="AC38" i="37" s="1"/>
  <c r="S38" i="37"/>
  <c r="R38" i="37"/>
  <c r="J38" i="37"/>
  <c r="H38" i="37"/>
  <c r="G38" i="37"/>
  <c r="E38" i="37"/>
  <c r="AB37" i="37"/>
  <c r="AC37" i="37" s="1"/>
  <c r="S37" i="37"/>
  <c r="R37" i="37"/>
  <c r="J37" i="37"/>
  <c r="H37" i="37"/>
  <c r="G37" i="37"/>
  <c r="E37" i="37"/>
  <c r="AB36" i="37"/>
  <c r="AC36" i="37" s="1"/>
  <c r="S36" i="37"/>
  <c r="R36" i="37"/>
  <c r="J36" i="37"/>
  <c r="H36" i="37"/>
  <c r="G36" i="37"/>
  <c r="E36" i="37"/>
  <c r="AB35" i="37"/>
  <c r="AC35" i="37" s="1"/>
  <c r="S35" i="37"/>
  <c r="R35" i="37"/>
  <c r="J35" i="37"/>
  <c r="H35" i="37"/>
  <c r="G35" i="37"/>
  <c r="E35" i="37"/>
  <c r="AB34" i="37"/>
  <c r="AC34" i="37" s="1"/>
  <c r="S34" i="37"/>
  <c r="R34" i="37"/>
  <c r="J34" i="37"/>
  <c r="H34" i="37"/>
  <c r="G34" i="37"/>
  <c r="E34" i="37"/>
  <c r="AB33" i="37"/>
  <c r="AC33" i="37" s="1"/>
  <c r="S33" i="37"/>
  <c r="R33" i="37"/>
  <c r="J33" i="37"/>
  <c r="H33" i="37"/>
  <c r="G33" i="37"/>
  <c r="E33" i="37"/>
  <c r="AB32" i="37"/>
  <c r="AC32" i="37" s="1"/>
  <c r="S32" i="37"/>
  <c r="R32" i="37"/>
  <c r="J32" i="37"/>
  <c r="H32" i="37"/>
  <c r="G32" i="37"/>
  <c r="E32" i="37"/>
  <c r="AC31" i="37"/>
  <c r="S31" i="37"/>
  <c r="R31" i="37"/>
  <c r="J31" i="37"/>
  <c r="H31" i="37"/>
  <c r="G31" i="37"/>
  <c r="E31" i="37"/>
  <c r="AB30" i="37"/>
  <c r="AC30" i="37" s="1"/>
  <c r="U30" i="37"/>
  <c r="V30" i="37" s="1"/>
  <c r="S30" i="37"/>
  <c r="R30" i="37"/>
  <c r="J30" i="37"/>
  <c r="H30" i="37"/>
  <c r="G30" i="37"/>
  <c r="E30" i="37"/>
  <c r="AB29" i="37"/>
  <c r="AC29" i="37" s="1"/>
  <c r="S29" i="37"/>
  <c r="R29" i="37"/>
  <c r="J29" i="37"/>
  <c r="H29" i="37"/>
  <c r="G29" i="37"/>
  <c r="E29" i="37"/>
  <c r="AB28" i="37"/>
  <c r="AC28" i="37" s="1"/>
  <c r="S28" i="37"/>
  <c r="R28" i="37"/>
  <c r="J28" i="37"/>
  <c r="H28" i="37"/>
  <c r="G28" i="37"/>
  <c r="E28" i="37"/>
  <c r="AB27" i="37"/>
  <c r="AC27" i="37" s="1"/>
  <c r="S27" i="37"/>
  <c r="R27" i="37"/>
  <c r="J27" i="37"/>
  <c r="H27" i="37"/>
  <c r="G27" i="37"/>
  <c r="E27" i="37"/>
  <c r="AB26" i="37"/>
  <c r="AC26" i="37" s="1"/>
  <c r="S26" i="37"/>
  <c r="R26" i="37"/>
  <c r="J26" i="37"/>
  <c r="H26" i="37"/>
  <c r="G26" i="37"/>
  <c r="E26" i="37"/>
  <c r="AB25" i="37"/>
  <c r="AC25" i="37" s="1"/>
  <c r="S25" i="37"/>
  <c r="R25" i="37"/>
  <c r="J25" i="37"/>
  <c r="H25" i="37"/>
  <c r="G25" i="37"/>
  <c r="E25" i="37"/>
  <c r="AB24" i="37"/>
  <c r="AC24" i="37" s="1"/>
  <c r="S24" i="37"/>
  <c r="R24" i="37"/>
  <c r="J24" i="37"/>
  <c r="H24" i="37"/>
  <c r="G24" i="37"/>
  <c r="E24" i="37"/>
  <c r="AB23" i="37"/>
  <c r="AC23" i="37" s="1"/>
  <c r="S23" i="37"/>
  <c r="R23" i="37"/>
  <c r="J23" i="37"/>
  <c r="H23" i="37"/>
  <c r="G23" i="37"/>
  <c r="E23" i="37"/>
  <c r="AB22" i="37"/>
  <c r="AC22" i="37" s="1"/>
  <c r="S22" i="37"/>
  <c r="R22" i="37"/>
  <c r="J22" i="37"/>
  <c r="H22" i="37"/>
  <c r="G22" i="37"/>
  <c r="E22" i="37"/>
  <c r="AB21" i="37"/>
  <c r="AC21" i="37" s="1"/>
  <c r="S21" i="37"/>
  <c r="R21" i="37"/>
  <c r="J21" i="37"/>
  <c r="H21" i="37"/>
  <c r="G21" i="37"/>
  <c r="E21" i="37"/>
  <c r="AB20" i="37"/>
  <c r="AC20" i="37" s="1"/>
  <c r="S20" i="37"/>
  <c r="R20" i="37"/>
  <c r="J20" i="37"/>
  <c r="H20" i="37"/>
  <c r="G20" i="37"/>
  <c r="E20" i="37"/>
  <c r="AB19" i="37"/>
  <c r="AC19" i="37" s="1"/>
  <c r="S19" i="37"/>
  <c r="R19" i="37"/>
  <c r="J19" i="37"/>
  <c r="H19" i="37"/>
  <c r="G19" i="37"/>
  <c r="E19" i="37"/>
  <c r="AB18" i="37"/>
  <c r="AC18" i="37" s="1"/>
  <c r="S18" i="37"/>
  <c r="R18" i="37"/>
  <c r="J18" i="37"/>
  <c r="H18" i="37"/>
  <c r="G18" i="37"/>
  <c r="E18" i="37"/>
  <c r="AB17" i="37"/>
  <c r="AC17" i="37" s="1"/>
  <c r="S17" i="37"/>
  <c r="R17" i="37"/>
  <c r="J17" i="37"/>
  <c r="H17" i="37"/>
  <c r="G17" i="37"/>
  <c r="E17" i="37"/>
  <c r="AB16" i="37"/>
  <c r="AC16" i="37" s="1"/>
  <c r="S16" i="37"/>
  <c r="R16" i="37"/>
  <c r="J16" i="37"/>
  <c r="H16" i="37"/>
  <c r="G16" i="37"/>
  <c r="E16" i="37"/>
  <c r="AB15" i="37"/>
  <c r="AC15" i="37" s="1"/>
  <c r="S15" i="37"/>
  <c r="R15" i="37"/>
  <c r="J15" i="37"/>
  <c r="H15" i="37"/>
  <c r="G15" i="37"/>
  <c r="E15" i="37"/>
  <c r="AB14" i="37"/>
  <c r="AC14" i="37" s="1"/>
  <c r="S14" i="37"/>
  <c r="R14" i="37"/>
  <c r="J14" i="37"/>
  <c r="H14" i="37"/>
  <c r="G14" i="37"/>
  <c r="E14" i="37"/>
  <c r="AB13" i="37"/>
  <c r="AC13" i="37" s="1"/>
  <c r="S13" i="37"/>
  <c r="R13" i="37"/>
  <c r="J13" i="37"/>
  <c r="H13" i="37"/>
  <c r="G13" i="37"/>
  <c r="E13" i="37"/>
  <c r="AB12" i="37"/>
  <c r="AC12" i="37" s="1"/>
  <c r="S12" i="37"/>
  <c r="R12" i="37"/>
  <c r="J12" i="37"/>
  <c r="H12" i="37"/>
  <c r="G12" i="37"/>
  <c r="E12" i="37"/>
  <c r="AB11" i="37"/>
  <c r="AC11" i="37" s="1"/>
  <c r="S11" i="37"/>
  <c r="R11" i="37"/>
  <c r="J11" i="37"/>
  <c r="H11" i="37"/>
  <c r="G11" i="37"/>
  <c r="E11" i="37"/>
  <c r="AB10" i="37"/>
  <c r="AC10" i="37" s="1"/>
  <c r="S10" i="37"/>
  <c r="R10" i="37"/>
  <c r="J10" i="37"/>
  <c r="H10" i="37"/>
  <c r="G10" i="37"/>
  <c r="E10" i="37"/>
  <c r="AB9" i="37"/>
  <c r="AC9" i="37" s="1"/>
  <c r="S9" i="37"/>
  <c r="R9" i="37"/>
  <c r="J9" i="37"/>
  <c r="H9" i="37"/>
  <c r="G9" i="37"/>
  <c r="E9" i="37"/>
  <c r="AB8" i="37"/>
  <c r="AC8" i="37" s="1"/>
  <c r="S8" i="37"/>
  <c r="R8" i="37"/>
  <c r="J8" i="37"/>
  <c r="H8" i="37"/>
  <c r="G8" i="37"/>
  <c r="E8" i="37"/>
  <c r="AB7" i="37"/>
  <c r="AC7" i="37" s="1"/>
  <c r="S7" i="37"/>
  <c r="R7" i="37"/>
  <c r="J7" i="37"/>
  <c r="H7" i="37"/>
  <c r="G7" i="37"/>
  <c r="E7" i="37"/>
  <c r="AB6" i="37"/>
  <c r="AC6" i="37" s="1"/>
  <c r="W6" i="37"/>
  <c r="U6" i="37" s="1"/>
  <c r="S6" i="37"/>
  <c r="R6" i="37"/>
  <c r="J6" i="37"/>
  <c r="H6" i="37"/>
  <c r="G6" i="37"/>
  <c r="E6" i="37"/>
  <c r="AB5" i="37"/>
  <c r="AC5" i="37" s="1"/>
  <c r="W5" i="37"/>
  <c r="S5" i="37"/>
  <c r="R5" i="37"/>
  <c r="J5" i="37"/>
  <c r="H5" i="37"/>
  <c r="G5" i="37"/>
  <c r="E5" i="37"/>
  <c r="G314" i="36"/>
  <c r="E314" i="36"/>
  <c r="G313" i="36"/>
  <c r="E313" i="36"/>
  <c r="G312" i="36"/>
  <c r="E312" i="36"/>
  <c r="G311" i="36"/>
  <c r="E311" i="36"/>
  <c r="G310" i="36"/>
  <c r="E310" i="36"/>
  <c r="G309" i="36"/>
  <c r="E309" i="36"/>
  <c r="G308" i="36"/>
  <c r="E308" i="36"/>
  <c r="G307" i="36"/>
  <c r="E307" i="36"/>
  <c r="G306" i="36"/>
  <c r="E306" i="36"/>
  <c r="G305" i="36"/>
  <c r="E305" i="36"/>
  <c r="G304" i="36"/>
  <c r="E304" i="36"/>
  <c r="G303" i="36"/>
  <c r="E303" i="36"/>
  <c r="G302" i="36"/>
  <c r="E302" i="36"/>
  <c r="G301" i="36"/>
  <c r="E301" i="36"/>
  <c r="G300" i="36"/>
  <c r="E300" i="36"/>
  <c r="G299" i="36"/>
  <c r="E299" i="36"/>
  <c r="G298" i="36"/>
  <c r="E298" i="36"/>
  <c r="G297" i="36"/>
  <c r="E297" i="36"/>
  <c r="G296" i="36"/>
  <c r="E296" i="36"/>
  <c r="G295" i="36"/>
  <c r="E295" i="36"/>
  <c r="G294" i="36"/>
  <c r="E294" i="36"/>
  <c r="G293" i="36"/>
  <c r="E293" i="36"/>
  <c r="G292" i="36"/>
  <c r="E292" i="36"/>
  <c r="G291" i="36"/>
  <c r="E291" i="36"/>
  <c r="G290" i="36"/>
  <c r="E290" i="36"/>
  <c r="G289" i="36"/>
  <c r="E289" i="36"/>
  <c r="G288" i="36"/>
  <c r="E288" i="36"/>
  <c r="G287" i="36"/>
  <c r="E287" i="36"/>
  <c r="G286" i="36"/>
  <c r="E286" i="36"/>
  <c r="G285" i="36"/>
  <c r="E285" i="36"/>
  <c r="G284" i="36"/>
  <c r="E284" i="36"/>
  <c r="G283" i="36"/>
  <c r="E283" i="36"/>
  <c r="G282" i="36"/>
  <c r="E282" i="36"/>
  <c r="G281" i="36"/>
  <c r="E281" i="36"/>
  <c r="G280" i="36"/>
  <c r="E280" i="36"/>
  <c r="G279" i="36"/>
  <c r="E279" i="36"/>
  <c r="G278" i="36"/>
  <c r="E278" i="36"/>
  <c r="G211" i="36"/>
  <c r="E211" i="36"/>
  <c r="G276" i="36"/>
  <c r="E276" i="36"/>
  <c r="G275" i="36"/>
  <c r="E275" i="36"/>
  <c r="G274" i="36"/>
  <c r="E274" i="36"/>
  <c r="G273" i="36"/>
  <c r="E273" i="36"/>
  <c r="G272" i="36"/>
  <c r="E272" i="36"/>
  <c r="G271" i="36"/>
  <c r="E271" i="36"/>
  <c r="G270" i="36"/>
  <c r="E270" i="36"/>
  <c r="G269" i="36"/>
  <c r="E269" i="36"/>
  <c r="G268" i="36"/>
  <c r="E268" i="36"/>
  <c r="G267" i="36"/>
  <c r="E267" i="36"/>
  <c r="G266" i="36"/>
  <c r="E266" i="36"/>
  <c r="G265" i="36"/>
  <c r="E265" i="36"/>
  <c r="G264" i="36"/>
  <c r="E264" i="36"/>
  <c r="G263" i="36"/>
  <c r="E263" i="36"/>
  <c r="G262" i="36"/>
  <c r="E262" i="36"/>
  <c r="G261" i="36"/>
  <c r="E261" i="36"/>
  <c r="G260" i="36"/>
  <c r="E260" i="36"/>
  <c r="G259" i="36"/>
  <c r="E259" i="36"/>
  <c r="G258" i="36"/>
  <c r="E258" i="36"/>
  <c r="G257" i="36"/>
  <c r="E257" i="36"/>
  <c r="G256" i="36"/>
  <c r="E256" i="36"/>
  <c r="G255" i="36"/>
  <c r="E255" i="36"/>
  <c r="G277" i="36"/>
  <c r="E277" i="36"/>
  <c r="G253" i="36"/>
  <c r="E253" i="36"/>
  <c r="G252" i="36"/>
  <c r="E252" i="36"/>
  <c r="G251" i="36"/>
  <c r="E251" i="36"/>
  <c r="G250" i="36"/>
  <c r="E250" i="36"/>
  <c r="G249" i="36"/>
  <c r="E249" i="36"/>
  <c r="G248" i="36"/>
  <c r="E248" i="36"/>
  <c r="G247" i="36"/>
  <c r="E247" i="36"/>
  <c r="G246" i="36"/>
  <c r="E246" i="36"/>
  <c r="G245" i="36"/>
  <c r="E245" i="36"/>
  <c r="G244" i="36"/>
  <c r="E244" i="36"/>
  <c r="G243" i="36"/>
  <c r="E243" i="36"/>
  <c r="G242" i="36"/>
  <c r="E242" i="36"/>
  <c r="G241" i="36"/>
  <c r="E241" i="36"/>
  <c r="G240" i="36"/>
  <c r="E240" i="36"/>
  <c r="G239" i="36"/>
  <c r="E239" i="36"/>
  <c r="G238" i="36"/>
  <c r="E238" i="36"/>
  <c r="G237" i="36"/>
  <c r="E237" i="36"/>
  <c r="G236" i="36"/>
  <c r="E236" i="36"/>
  <c r="G235" i="36"/>
  <c r="E235" i="36"/>
  <c r="G234" i="36"/>
  <c r="E234" i="36"/>
  <c r="G233" i="36"/>
  <c r="E233" i="36"/>
  <c r="G232" i="36"/>
  <c r="E232" i="36"/>
  <c r="G231" i="36"/>
  <c r="E231" i="36"/>
  <c r="G230" i="36"/>
  <c r="E230" i="36"/>
  <c r="G229" i="36"/>
  <c r="E229" i="36"/>
  <c r="G228" i="36"/>
  <c r="E228" i="36"/>
  <c r="G227" i="36"/>
  <c r="E227" i="36"/>
  <c r="G226" i="36"/>
  <c r="E226" i="36"/>
  <c r="G225" i="36"/>
  <c r="E225" i="36"/>
  <c r="G224" i="36"/>
  <c r="E224" i="36"/>
  <c r="G223" i="36"/>
  <c r="E223" i="36"/>
  <c r="G222" i="36"/>
  <c r="E222" i="36"/>
  <c r="G221" i="36"/>
  <c r="E221" i="36"/>
  <c r="G220" i="36"/>
  <c r="E220" i="36"/>
  <c r="G219" i="36"/>
  <c r="E219" i="36"/>
  <c r="G218" i="36"/>
  <c r="E218" i="36"/>
  <c r="G217" i="36"/>
  <c r="E217" i="36"/>
  <c r="G216" i="36"/>
  <c r="E216" i="36"/>
  <c r="G215" i="36"/>
  <c r="E215" i="36"/>
  <c r="G214" i="36"/>
  <c r="E214" i="36"/>
  <c r="G213" i="36"/>
  <c r="E213" i="36"/>
  <c r="G212" i="36"/>
  <c r="E212" i="36"/>
  <c r="G254" i="36"/>
  <c r="E254" i="36"/>
  <c r="G210" i="36"/>
  <c r="E210" i="36"/>
  <c r="G209" i="36"/>
  <c r="E209" i="36"/>
  <c r="G208" i="36"/>
  <c r="E208" i="36"/>
  <c r="G207" i="36"/>
  <c r="E207" i="36"/>
  <c r="G206" i="36"/>
  <c r="E206" i="36"/>
  <c r="G205" i="36"/>
  <c r="E205" i="36"/>
  <c r="G204" i="36"/>
  <c r="E204" i="36"/>
  <c r="G203" i="36"/>
  <c r="E203" i="36"/>
  <c r="G202" i="36"/>
  <c r="E202" i="36"/>
  <c r="G201" i="36"/>
  <c r="E201" i="36"/>
  <c r="G200" i="36"/>
  <c r="E200" i="36"/>
  <c r="G199" i="36"/>
  <c r="E199" i="36"/>
  <c r="G198" i="36"/>
  <c r="E198" i="36"/>
  <c r="G197" i="36"/>
  <c r="E197" i="36"/>
  <c r="G196" i="36"/>
  <c r="E196" i="36"/>
  <c r="G195" i="36"/>
  <c r="E195" i="36"/>
  <c r="G194" i="36"/>
  <c r="E194" i="36"/>
  <c r="G193" i="36"/>
  <c r="E193" i="36"/>
  <c r="G180" i="36"/>
  <c r="E180" i="36"/>
  <c r="G191" i="36"/>
  <c r="E191" i="36"/>
  <c r="G190" i="36"/>
  <c r="E190" i="36"/>
  <c r="G189" i="36"/>
  <c r="E189" i="36"/>
  <c r="G188" i="36"/>
  <c r="E188" i="36"/>
  <c r="G187" i="36"/>
  <c r="E187" i="36"/>
  <c r="G186" i="36"/>
  <c r="E186" i="36"/>
  <c r="G185" i="36"/>
  <c r="E185" i="36"/>
  <c r="G184" i="36"/>
  <c r="E184" i="36"/>
  <c r="G183" i="36"/>
  <c r="E183" i="36"/>
  <c r="G182" i="36"/>
  <c r="E182" i="36"/>
  <c r="G181" i="36"/>
  <c r="E181" i="36"/>
  <c r="G192" i="36"/>
  <c r="E192" i="36"/>
  <c r="G179" i="36"/>
  <c r="E179" i="36"/>
  <c r="G178" i="36"/>
  <c r="E178" i="36"/>
  <c r="G177" i="36"/>
  <c r="E177" i="36"/>
  <c r="G176" i="36"/>
  <c r="E176" i="36"/>
  <c r="G175" i="36"/>
  <c r="E175" i="36"/>
  <c r="G174" i="36"/>
  <c r="E174" i="36"/>
  <c r="G173" i="36"/>
  <c r="E173" i="36"/>
  <c r="G172" i="36"/>
  <c r="E172" i="36"/>
  <c r="G171" i="36"/>
  <c r="E171" i="36"/>
  <c r="G170" i="36"/>
  <c r="E170" i="36"/>
  <c r="G169" i="36"/>
  <c r="E169" i="36"/>
  <c r="G168" i="36"/>
  <c r="E168" i="36"/>
  <c r="G167" i="36"/>
  <c r="E167" i="36"/>
  <c r="G166" i="36"/>
  <c r="E166" i="36"/>
  <c r="G165" i="36"/>
  <c r="E165" i="36"/>
  <c r="G164" i="36"/>
  <c r="E164" i="36"/>
  <c r="G163" i="36"/>
  <c r="E163" i="36"/>
  <c r="G162" i="36"/>
  <c r="E162" i="36"/>
  <c r="G161" i="36"/>
  <c r="E161" i="36"/>
  <c r="G160" i="36"/>
  <c r="E160" i="36"/>
  <c r="G159" i="36"/>
  <c r="E159" i="36"/>
  <c r="G158" i="36"/>
  <c r="E158" i="36"/>
  <c r="G157" i="36"/>
  <c r="E157" i="36"/>
  <c r="G156" i="36"/>
  <c r="E156" i="36"/>
  <c r="G155" i="36"/>
  <c r="E155" i="36"/>
  <c r="G154" i="36"/>
  <c r="E154" i="36"/>
  <c r="G153" i="36"/>
  <c r="E153" i="36"/>
  <c r="G152" i="36"/>
  <c r="E152" i="36"/>
  <c r="G151" i="36"/>
  <c r="E151" i="36"/>
  <c r="G150" i="36"/>
  <c r="E150" i="36"/>
  <c r="G149" i="36"/>
  <c r="E149" i="36"/>
  <c r="G148" i="36"/>
  <c r="E148" i="36"/>
  <c r="G147" i="36"/>
  <c r="E147" i="36"/>
  <c r="G146" i="36"/>
  <c r="E146" i="36"/>
  <c r="G145" i="36"/>
  <c r="E145" i="36"/>
  <c r="G144" i="36"/>
  <c r="E144" i="36"/>
  <c r="G143" i="36"/>
  <c r="E143" i="36"/>
  <c r="G142" i="36"/>
  <c r="E142" i="36"/>
  <c r="G141" i="36"/>
  <c r="E141" i="36"/>
  <c r="G140" i="36"/>
  <c r="E140" i="36"/>
  <c r="G139" i="36"/>
  <c r="E139" i="36"/>
  <c r="G138" i="36"/>
  <c r="E138" i="36"/>
  <c r="G137" i="36"/>
  <c r="E137" i="36"/>
  <c r="G136" i="36"/>
  <c r="E136" i="36"/>
  <c r="G61" i="36"/>
  <c r="E61" i="36"/>
  <c r="G134" i="36"/>
  <c r="E134" i="36"/>
  <c r="G133" i="36"/>
  <c r="E133" i="36"/>
  <c r="G132" i="36"/>
  <c r="E132" i="36"/>
  <c r="G131" i="36"/>
  <c r="E131" i="36"/>
  <c r="G130" i="36"/>
  <c r="E130" i="36"/>
  <c r="G129" i="36"/>
  <c r="E129" i="36"/>
  <c r="G128" i="36"/>
  <c r="E128" i="36"/>
  <c r="G127" i="36"/>
  <c r="E127" i="36"/>
  <c r="G126" i="36"/>
  <c r="E126" i="36"/>
  <c r="G125" i="36"/>
  <c r="E125" i="36"/>
  <c r="G124" i="36"/>
  <c r="E124" i="36"/>
  <c r="G123" i="36"/>
  <c r="E123" i="36"/>
  <c r="G122" i="36"/>
  <c r="E122" i="36"/>
  <c r="G121" i="36"/>
  <c r="E121" i="36"/>
  <c r="G120" i="36"/>
  <c r="E120" i="36"/>
  <c r="G119" i="36"/>
  <c r="E119" i="36"/>
  <c r="G118" i="36"/>
  <c r="E118" i="36"/>
  <c r="G117" i="36"/>
  <c r="E117" i="36"/>
  <c r="G116" i="36"/>
  <c r="E116" i="36"/>
  <c r="G115" i="36"/>
  <c r="E115" i="36"/>
  <c r="G114" i="36"/>
  <c r="E114" i="36"/>
  <c r="G113" i="36"/>
  <c r="E113" i="36"/>
  <c r="G112" i="36"/>
  <c r="E112" i="36"/>
  <c r="G111" i="36"/>
  <c r="E111" i="36"/>
  <c r="G110" i="36"/>
  <c r="E110" i="36"/>
  <c r="G109" i="36"/>
  <c r="E109" i="36"/>
  <c r="G108" i="36"/>
  <c r="E108" i="36"/>
  <c r="G107" i="36"/>
  <c r="E107" i="36"/>
  <c r="G106" i="36"/>
  <c r="E106" i="36"/>
  <c r="G105" i="36"/>
  <c r="E105" i="36"/>
  <c r="G104" i="36"/>
  <c r="E104" i="36"/>
  <c r="G135" i="36"/>
  <c r="E135" i="36"/>
  <c r="G102" i="36"/>
  <c r="E102" i="36"/>
  <c r="G101" i="36"/>
  <c r="E101" i="36"/>
  <c r="G100" i="36"/>
  <c r="E100" i="36"/>
  <c r="G99" i="36"/>
  <c r="E99" i="36"/>
  <c r="G98" i="36"/>
  <c r="E98" i="36"/>
  <c r="G97" i="36"/>
  <c r="E97" i="36"/>
  <c r="G103" i="36"/>
  <c r="E103" i="36"/>
  <c r="G95" i="36"/>
  <c r="E95" i="36"/>
  <c r="G94" i="36"/>
  <c r="E94" i="36"/>
  <c r="G93" i="36"/>
  <c r="E93" i="36"/>
  <c r="G92" i="36"/>
  <c r="E92" i="36"/>
  <c r="G96" i="36"/>
  <c r="E96" i="36"/>
  <c r="G90" i="36"/>
  <c r="E90" i="36"/>
  <c r="G89" i="36"/>
  <c r="E89" i="36"/>
  <c r="G88" i="36"/>
  <c r="E88" i="36"/>
  <c r="G87" i="36"/>
  <c r="E87" i="36"/>
  <c r="G86" i="36"/>
  <c r="E86" i="36"/>
  <c r="G85" i="36"/>
  <c r="E85" i="36"/>
  <c r="G84" i="36"/>
  <c r="E84" i="36"/>
  <c r="G83" i="36"/>
  <c r="E83" i="36"/>
  <c r="G82" i="36"/>
  <c r="E82" i="36"/>
  <c r="G81" i="36"/>
  <c r="E81" i="36"/>
  <c r="G80" i="36"/>
  <c r="E80" i="36"/>
  <c r="G79" i="36"/>
  <c r="E79" i="36"/>
  <c r="G78" i="36"/>
  <c r="E78" i="36"/>
  <c r="G77" i="36"/>
  <c r="E77" i="36"/>
  <c r="G76" i="36"/>
  <c r="E76" i="36"/>
  <c r="G75" i="36"/>
  <c r="E75" i="36"/>
  <c r="G74" i="36"/>
  <c r="E74" i="36"/>
  <c r="G73" i="36"/>
  <c r="E73" i="36"/>
  <c r="G72" i="36"/>
  <c r="E72" i="36"/>
  <c r="G71" i="36"/>
  <c r="E71" i="36"/>
  <c r="G70" i="36"/>
  <c r="E70" i="36"/>
  <c r="G69" i="36"/>
  <c r="E69" i="36"/>
  <c r="G91" i="36"/>
  <c r="E91" i="36"/>
  <c r="G67" i="36"/>
  <c r="E67" i="36"/>
  <c r="G66" i="36"/>
  <c r="E66" i="36"/>
  <c r="G65" i="36"/>
  <c r="E65" i="36"/>
  <c r="G64" i="36"/>
  <c r="E64" i="36"/>
  <c r="G63" i="36"/>
  <c r="E63" i="36"/>
  <c r="G62" i="36"/>
  <c r="E62" i="36"/>
  <c r="G32" i="36"/>
  <c r="E32" i="36"/>
  <c r="G60" i="36"/>
  <c r="E60" i="36"/>
  <c r="G59" i="36"/>
  <c r="E59" i="36"/>
  <c r="G58" i="36"/>
  <c r="E58" i="36"/>
  <c r="G57" i="36"/>
  <c r="E57" i="36"/>
  <c r="G56" i="36"/>
  <c r="E56" i="36"/>
  <c r="G55" i="36"/>
  <c r="E55" i="36"/>
  <c r="G54" i="36"/>
  <c r="E54" i="36"/>
  <c r="G53" i="36"/>
  <c r="E53" i="36"/>
  <c r="G52" i="36"/>
  <c r="E52" i="36"/>
  <c r="G51" i="36"/>
  <c r="E51" i="36"/>
  <c r="G50" i="36"/>
  <c r="E50" i="36"/>
  <c r="G49" i="36"/>
  <c r="E49" i="36"/>
  <c r="G48" i="36"/>
  <c r="E48" i="36"/>
  <c r="G47" i="36"/>
  <c r="E47" i="36"/>
  <c r="G46" i="36"/>
  <c r="E46" i="36"/>
  <c r="G45" i="36"/>
  <c r="E45" i="36"/>
  <c r="G44" i="36"/>
  <c r="E44" i="36"/>
  <c r="G43" i="36"/>
  <c r="E43" i="36"/>
  <c r="G42" i="36"/>
  <c r="E42" i="36"/>
  <c r="G41" i="36"/>
  <c r="E41" i="36"/>
  <c r="G40" i="36"/>
  <c r="E40" i="36"/>
  <c r="G39" i="36"/>
  <c r="E39" i="36"/>
  <c r="G38" i="36"/>
  <c r="E38" i="36"/>
  <c r="G37" i="36"/>
  <c r="E37" i="36"/>
  <c r="G36" i="36"/>
  <c r="E36" i="36"/>
  <c r="G35" i="36"/>
  <c r="E35" i="36"/>
  <c r="G34" i="36"/>
  <c r="E34" i="36"/>
  <c r="G33" i="36"/>
  <c r="E33" i="36"/>
  <c r="G68" i="36"/>
  <c r="E68" i="36"/>
  <c r="G31" i="36"/>
  <c r="E31" i="36"/>
  <c r="G30" i="36"/>
  <c r="E30" i="36"/>
  <c r="G29" i="36"/>
  <c r="E29" i="36"/>
  <c r="G28" i="36"/>
  <c r="E28" i="36"/>
  <c r="G27" i="36"/>
  <c r="E27" i="36"/>
  <c r="G26" i="36"/>
  <c r="E26" i="36"/>
  <c r="G25" i="36"/>
  <c r="E25" i="36"/>
  <c r="G24" i="36"/>
  <c r="E24" i="36"/>
  <c r="G23" i="36"/>
  <c r="E23" i="36"/>
  <c r="G22" i="36"/>
  <c r="E22" i="36"/>
  <c r="G21" i="36"/>
  <c r="E21" i="36"/>
  <c r="G20" i="36"/>
  <c r="E20" i="36"/>
  <c r="G19" i="36"/>
  <c r="E19" i="36"/>
  <c r="G18" i="36"/>
  <c r="E18" i="36"/>
  <c r="G17" i="36"/>
  <c r="E17" i="36"/>
  <c r="G16" i="36"/>
  <c r="E16" i="36"/>
  <c r="G15" i="36"/>
  <c r="E15" i="36"/>
  <c r="G14" i="36"/>
  <c r="E14" i="36"/>
  <c r="G13" i="36"/>
  <c r="E13" i="36"/>
  <c r="G12" i="36"/>
  <c r="E12" i="36"/>
  <c r="G11" i="36"/>
  <c r="E11" i="36"/>
  <c r="G10" i="36"/>
  <c r="E10" i="36"/>
  <c r="G9" i="36"/>
  <c r="E9" i="36"/>
  <c r="G8" i="36"/>
  <c r="E8" i="36"/>
  <c r="G7" i="36"/>
  <c r="E7" i="36"/>
  <c r="G6" i="36"/>
  <c r="E6" i="36"/>
  <c r="G5" i="36"/>
  <c r="E5" i="36"/>
  <c r="G4" i="36"/>
  <c r="E4" i="36"/>
  <c r="U5" i="37" l="1"/>
  <c r="V6" i="37"/>
  <c r="G5" i="17"/>
  <c r="H15" i="19"/>
  <c r="H17" i="19"/>
  <c r="H4" i="19"/>
  <c r="H16" i="19"/>
  <c r="H6" i="19"/>
  <c r="H7" i="19"/>
  <c r="H18" i="19"/>
  <c r="H9" i="19"/>
  <c r="H8" i="19"/>
  <c r="H20" i="19"/>
  <c r="H19" i="19"/>
  <c r="H10" i="19"/>
  <c r="H5" i="19"/>
  <c r="H26" i="19"/>
  <c r="H29" i="19"/>
  <c r="H21" i="19"/>
  <c r="H12" i="19"/>
  <c r="H11" i="19"/>
  <c r="H24" i="19"/>
  <c r="H22" i="19"/>
  <c r="H25" i="19"/>
  <c r="H30" i="19"/>
  <c r="H28" i="19"/>
  <c r="H23" i="19"/>
  <c r="H14" i="19"/>
  <c r="H13" i="19"/>
  <c r="H27" i="19"/>
  <c r="H31" i="19"/>
  <c r="H33" i="19"/>
  <c r="H34" i="19"/>
  <c r="H38" i="19"/>
  <c r="H39" i="19"/>
  <c r="H40" i="19"/>
  <c r="H35" i="19"/>
  <c r="H36" i="19"/>
  <c r="H41" i="19"/>
  <c r="H42" i="19"/>
  <c r="H32" i="19"/>
  <c r="H43" i="19"/>
  <c r="H44" i="19"/>
  <c r="H45" i="19"/>
  <c r="H37" i="19"/>
  <c r="H46" i="19"/>
  <c r="H47" i="19"/>
  <c r="H48" i="19"/>
  <c r="H57" i="19"/>
  <c r="H51" i="19"/>
  <c r="H50" i="19"/>
  <c r="H56" i="19"/>
  <c r="H58" i="19"/>
  <c r="H60" i="19"/>
  <c r="H61" i="19"/>
  <c r="H59" i="19"/>
  <c r="H52" i="19"/>
  <c r="H49" i="19"/>
  <c r="H53" i="19"/>
  <c r="H62" i="19"/>
  <c r="H63" i="19"/>
  <c r="H68" i="19"/>
  <c r="H54" i="19"/>
  <c r="H64" i="19"/>
  <c r="H65" i="19"/>
  <c r="H69" i="19"/>
  <c r="H55" i="19"/>
  <c r="H70" i="19"/>
  <c r="H67" i="19"/>
  <c r="H66" i="19"/>
  <c r="H71" i="19"/>
  <c r="H72" i="19"/>
  <c r="H135" i="19"/>
  <c r="H138" i="19"/>
  <c r="H136" i="19"/>
  <c r="H137" i="19"/>
  <c r="H98" i="19"/>
  <c r="H139" i="19"/>
  <c r="H141" i="19"/>
  <c r="H78" i="19"/>
  <c r="H142" i="19"/>
  <c r="H140" i="19"/>
  <c r="H143" i="19"/>
  <c r="H167" i="19"/>
  <c r="H144" i="19"/>
  <c r="H149" i="19"/>
  <c r="H100" i="19"/>
  <c r="H99" i="19"/>
  <c r="H86" i="19"/>
  <c r="H146" i="19"/>
  <c r="H147" i="19"/>
  <c r="H101" i="19"/>
  <c r="H168" i="19"/>
  <c r="H150" i="19"/>
  <c r="H151" i="19"/>
  <c r="H145" i="19"/>
  <c r="H152" i="19"/>
  <c r="H102" i="19"/>
  <c r="H160" i="19"/>
  <c r="H87" i="19"/>
  <c r="H153" i="19"/>
  <c r="H154" i="19"/>
  <c r="H155" i="19"/>
  <c r="H156" i="19"/>
  <c r="H157" i="19"/>
  <c r="H158" i="19"/>
  <c r="H148" i="19"/>
  <c r="H159" i="19"/>
  <c r="H161" i="19"/>
  <c r="H162" i="19"/>
  <c r="H163" i="19"/>
  <c r="H164" i="19"/>
  <c r="H79" i="19"/>
  <c r="H165" i="19"/>
  <c r="H166" i="19"/>
  <c r="H169" i="19"/>
  <c r="H170" i="19"/>
  <c r="H88" i="19"/>
  <c r="H103" i="19"/>
  <c r="H134" i="19"/>
  <c r="H206" i="19"/>
  <c r="H191" i="19"/>
  <c r="H171" i="19"/>
  <c r="H172" i="19"/>
  <c r="H173" i="19"/>
  <c r="H104" i="19"/>
  <c r="H175" i="19"/>
  <c r="H73" i="19"/>
  <c r="H187" i="19"/>
  <c r="H181" i="19"/>
  <c r="H182" i="19"/>
  <c r="H195" i="19"/>
  <c r="H80" i="19"/>
  <c r="H184" i="19"/>
  <c r="H113" i="19"/>
  <c r="H211" i="19"/>
  <c r="H200" i="19"/>
  <c r="H114" i="19"/>
  <c r="H213" i="19"/>
  <c r="H105" i="19"/>
  <c r="H185" i="19"/>
  <c r="H186" i="19"/>
  <c r="H196" i="19"/>
  <c r="H183" i="19"/>
  <c r="H176" i="19"/>
  <c r="H177" i="19"/>
  <c r="H178" i="19"/>
  <c r="H179" i="19"/>
  <c r="H180" i="19"/>
  <c r="H108" i="19"/>
  <c r="H188" i="19"/>
  <c r="H207" i="19"/>
  <c r="H190" i="19"/>
  <c r="H174" i="19"/>
  <c r="H89" i="19"/>
  <c r="H201" i="19"/>
  <c r="H202" i="19"/>
  <c r="H90" i="19"/>
  <c r="H81" i="19"/>
  <c r="H82" i="19"/>
  <c r="H74" i="19"/>
  <c r="H107" i="19"/>
  <c r="H109" i="19"/>
  <c r="H192" i="19"/>
  <c r="H197" i="19"/>
  <c r="H198" i="19"/>
  <c r="H91" i="19"/>
  <c r="H75" i="19"/>
  <c r="H204" i="19"/>
  <c r="H106" i="19"/>
  <c r="H110" i="19"/>
  <c r="H111" i="19"/>
  <c r="H193" i="19"/>
  <c r="H194" i="19"/>
  <c r="H214" i="19"/>
  <c r="H205" i="19"/>
  <c r="H199" i="19"/>
  <c r="H208" i="19"/>
  <c r="H209" i="19"/>
  <c r="H203" i="19"/>
  <c r="H210" i="19"/>
  <c r="H212" i="19"/>
  <c r="H112" i="19"/>
  <c r="H189" i="19"/>
  <c r="H115" i="19"/>
  <c r="H215" i="19"/>
  <c r="H216" i="19"/>
  <c r="H226" i="19"/>
  <c r="H218" i="19"/>
  <c r="H92" i="19"/>
  <c r="H76" i="19"/>
  <c r="H219" i="19"/>
  <c r="H116" i="19"/>
  <c r="H220" i="19"/>
  <c r="H221" i="19"/>
  <c r="H225" i="19"/>
  <c r="H119" i="19"/>
  <c r="H222" i="19"/>
  <c r="H117" i="19"/>
  <c r="H93" i="19"/>
  <c r="H118" i="19"/>
  <c r="H217" i="19"/>
  <c r="H83" i="19"/>
  <c r="H223" i="19"/>
  <c r="H224" i="19"/>
  <c r="H270" i="19"/>
  <c r="H281" i="19"/>
  <c r="H243" i="19"/>
  <c r="H130" i="19"/>
  <c r="H124" i="19"/>
  <c r="H311" i="19"/>
  <c r="H246" i="19"/>
  <c r="H227" i="19"/>
  <c r="H228" i="19"/>
  <c r="H120" i="19"/>
  <c r="H312" i="19"/>
  <c r="H229" i="19"/>
  <c r="H235" i="19"/>
  <c r="H238" i="19"/>
  <c r="H297" i="19"/>
  <c r="H237" i="19"/>
  <c r="H239" i="19"/>
  <c r="H240" i="19"/>
  <c r="H253" i="19"/>
  <c r="H242" i="19"/>
  <c r="H288" i="19"/>
  <c r="H241" i="19"/>
  <c r="H293" i="19"/>
  <c r="H274" i="19"/>
  <c r="H244" i="19"/>
  <c r="H84" i="19"/>
  <c r="H245" i="19"/>
  <c r="H121" i="19"/>
  <c r="H247" i="19"/>
  <c r="H282" i="19"/>
  <c r="H230" i="19"/>
  <c r="H231" i="19"/>
  <c r="H232" i="19"/>
  <c r="H233" i="19"/>
  <c r="H234" i="19"/>
  <c r="H122" i="19"/>
  <c r="H250" i="19"/>
  <c r="H251" i="19"/>
  <c r="H252" i="19"/>
  <c r="H77" i="19"/>
  <c r="H272" i="19"/>
  <c r="H278" i="19"/>
  <c r="H257" i="19"/>
  <c r="H258" i="19"/>
  <c r="H123" i="19"/>
  <c r="H255" i="19"/>
  <c r="H254" i="19"/>
  <c r="H295" i="19"/>
  <c r="H256" i="19"/>
  <c r="H264" i="19"/>
  <c r="H265" i="19"/>
  <c r="H283" i="19"/>
  <c r="H266" i="19"/>
  <c r="H126" i="19"/>
  <c r="H127" i="19"/>
  <c r="H267" i="19"/>
  <c r="H125" i="19"/>
  <c r="H268" i="19"/>
  <c r="H133" i="19"/>
  <c r="H269" i="19"/>
  <c r="H236" i="19"/>
  <c r="H271" i="19"/>
  <c r="H275" i="19"/>
  <c r="H273" i="19"/>
  <c r="H94" i="19"/>
  <c r="H276" i="19"/>
  <c r="H279" i="19"/>
  <c r="H280" i="19"/>
  <c r="H128" i="19"/>
  <c r="H284" i="19"/>
  <c r="H287" i="19"/>
  <c r="H95" i="19"/>
  <c r="H129" i="19"/>
  <c r="H96" i="19"/>
  <c r="H260" i="19"/>
  <c r="H261" i="19"/>
  <c r="H262" i="19"/>
  <c r="H289" i="19"/>
  <c r="H291" i="19"/>
  <c r="H97" i="19"/>
  <c r="H263" i="19"/>
  <c r="H292" i="19"/>
  <c r="H85" i="19"/>
  <c r="H277" i="19"/>
  <c r="H294" i="19"/>
  <c r="H285" i="19"/>
  <c r="H286" i="19"/>
  <c r="H296" i="19"/>
  <c r="H304" i="19"/>
  <c r="H131" i="19"/>
  <c r="H259" i="19"/>
  <c r="H298" i="19"/>
  <c r="H310" i="19"/>
  <c r="H132" i="19"/>
  <c r="H248" i="19"/>
  <c r="H313" i="19"/>
  <c r="H314" i="19"/>
  <c r="H249" i="19"/>
  <c r="H299" i="19"/>
  <c r="H300" i="19"/>
  <c r="H290" i="19"/>
  <c r="H301" i="19"/>
  <c r="H302" i="19"/>
  <c r="H303" i="19"/>
  <c r="H305" i="19"/>
  <c r="H306" i="19"/>
  <c r="H307" i="19"/>
  <c r="H308" i="19"/>
  <c r="H309" i="19"/>
  <c r="H5" i="17"/>
  <c r="H105" i="17"/>
  <c r="H6" i="17"/>
  <c r="H7" i="17"/>
  <c r="H8" i="17"/>
  <c r="H17" i="17"/>
  <c r="H20" i="17"/>
  <c r="H11" i="17"/>
  <c r="H14" i="17"/>
  <c r="H9" i="17"/>
  <c r="H12" i="17"/>
  <c r="H10" i="17"/>
  <c r="H18" i="17"/>
  <c r="H13" i="17"/>
  <c r="H24" i="17"/>
  <c r="H25" i="17"/>
  <c r="H26" i="17"/>
  <c r="H21" i="17"/>
  <c r="H27" i="17"/>
  <c r="H23" i="17"/>
  <c r="H19" i="17"/>
  <c r="H22" i="17"/>
  <c r="H34" i="17"/>
  <c r="H44" i="17"/>
  <c r="H31" i="17"/>
  <c r="H45" i="17"/>
  <c r="H40" i="17"/>
  <c r="H42" i="17"/>
  <c r="H48" i="17"/>
  <c r="H49" i="17"/>
  <c r="H65" i="17"/>
  <c r="H51" i="17"/>
  <c r="H50" i="17"/>
  <c r="H66" i="17"/>
  <c r="H32" i="17"/>
  <c r="H67" i="17"/>
  <c r="H47" i="17"/>
  <c r="H28" i="17"/>
  <c r="H60" i="17"/>
  <c r="H16" i="17"/>
  <c r="H33" i="17"/>
  <c r="H55" i="17"/>
  <c r="H73" i="17"/>
  <c r="H52" i="17"/>
  <c r="H75" i="17"/>
  <c r="H59" i="17"/>
  <c r="H53" i="17"/>
  <c r="H63" i="17"/>
  <c r="H68" i="17"/>
  <c r="H54" i="17"/>
  <c r="H35" i="17"/>
  <c r="H72" i="17"/>
  <c r="H56" i="17"/>
  <c r="H38" i="17"/>
  <c r="H69" i="17"/>
  <c r="H57" i="17"/>
  <c r="H36" i="17"/>
  <c r="H70" i="17"/>
  <c r="H71" i="17"/>
  <c r="H58" i="17"/>
  <c r="H62" i="17"/>
  <c r="H37" i="17"/>
  <c r="H29" i="17"/>
  <c r="H39" i="17"/>
  <c r="H41" i="17"/>
  <c r="H46" i="17"/>
  <c r="H74" i="17"/>
  <c r="H43" i="17"/>
  <c r="H61" i="17"/>
  <c r="H64" i="17"/>
  <c r="H30" i="17"/>
  <c r="H141" i="17"/>
  <c r="H79" i="17"/>
  <c r="H80" i="17"/>
  <c r="H104" i="17"/>
  <c r="H81" i="17"/>
  <c r="H142" i="17"/>
  <c r="H112" i="17"/>
  <c r="H143" i="17"/>
  <c r="H114" i="17"/>
  <c r="H144" i="17"/>
  <c r="H146" i="17"/>
  <c r="H119" i="17"/>
  <c r="H115" i="17"/>
  <c r="H116" i="17"/>
  <c r="H117" i="17"/>
  <c r="H118" i="17"/>
  <c r="H140" i="17"/>
  <c r="H121" i="17"/>
  <c r="H148" i="17"/>
  <c r="H138" i="17"/>
  <c r="H139" i="17"/>
  <c r="H87" i="17"/>
  <c r="H82" i="17"/>
  <c r="H120" i="17"/>
  <c r="H149" i="17"/>
  <c r="H83" i="17"/>
  <c r="H125" i="17"/>
  <c r="H127" i="17"/>
  <c r="H122" i="17"/>
  <c r="H123" i="17"/>
  <c r="H129" i="17"/>
  <c r="H124" i="17"/>
  <c r="H151" i="17"/>
  <c r="H152" i="17"/>
  <c r="H88" i="17"/>
  <c r="H84" i="17"/>
  <c r="H90" i="17"/>
  <c r="H92" i="17"/>
  <c r="H76" i="17"/>
  <c r="H93" i="17"/>
  <c r="H94" i="17"/>
  <c r="H95" i="17"/>
  <c r="H77" i="17"/>
  <c r="H96" i="17"/>
  <c r="H97" i="17"/>
  <c r="H98" i="17"/>
  <c r="H103" i="17"/>
  <c r="H99" i="17"/>
  <c r="H134" i="17"/>
  <c r="H100" i="17"/>
  <c r="H101" i="17"/>
  <c r="H78" i="17"/>
  <c r="H133" i="17"/>
  <c r="H108" i="17"/>
  <c r="H135" i="17"/>
  <c r="H106" i="17"/>
  <c r="H136" i="17"/>
  <c r="H107" i="17"/>
  <c r="H102" i="17"/>
  <c r="H137" i="17"/>
  <c r="H109" i="17"/>
  <c r="H130" i="17"/>
  <c r="H126" i="17"/>
  <c r="H85" i="17"/>
  <c r="H128" i="17"/>
  <c r="H132" i="17"/>
  <c r="H110" i="17"/>
  <c r="H111" i="17"/>
  <c r="H86" i="17"/>
  <c r="H150" i="17"/>
  <c r="H89" i="17"/>
  <c r="H131" i="17"/>
  <c r="H153" i="17"/>
  <c r="H154" i="17"/>
  <c r="H155" i="17"/>
  <c r="H91" i="17"/>
  <c r="H157" i="17"/>
  <c r="H145" i="17"/>
  <c r="H15" i="17"/>
  <c r="H147" i="17"/>
  <c r="H113" i="17"/>
  <c r="H167" i="17"/>
  <c r="H173" i="17"/>
  <c r="H162" i="17"/>
  <c r="H166" i="17"/>
  <c r="H156" i="17"/>
  <c r="H165" i="17"/>
  <c r="H158" i="17"/>
  <c r="H170" i="17"/>
  <c r="H176" i="17"/>
  <c r="H174" i="17"/>
  <c r="H168" i="17"/>
  <c r="H171" i="17"/>
  <c r="H172" i="17"/>
  <c r="H163" i="17"/>
  <c r="H164" i="17"/>
  <c r="H159" i="17"/>
  <c r="H175" i="17"/>
  <c r="H160" i="17"/>
  <c r="H161" i="17"/>
  <c r="H169" i="17"/>
  <c r="H192" i="17"/>
  <c r="H275" i="17"/>
  <c r="H245" i="17"/>
  <c r="H191" i="17"/>
  <c r="H240" i="17"/>
  <c r="H242" i="17"/>
  <c r="H243" i="17"/>
  <c r="H276" i="17"/>
  <c r="H277" i="17"/>
  <c r="H246" i="17"/>
  <c r="H247" i="17"/>
  <c r="H278" i="17"/>
  <c r="H279" i="17"/>
  <c r="H248" i="17"/>
  <c r="H249" i="17"/>
  <c r="H281" i="17"/>
  <c r="H241" i="17"/>
  <c r="H204" i="17"/>
  <c r="H282" i="17"/>
  <c r="H250" i="17"/>
  <c r="H203" i="17"/>
  <c r="H251" i="17"/>
  <c r="H208" i="17"/>
  <c r="H252" i="17"/>
  <c r="H273" i="17"/>
  <c r="H283" i="17"/>
  <c r="H244" i="17"/>
  <c r="H210" i="17"/>
  <c r="H253" i="17"/>
  <c r="H227" i="17"/>
  <c r="H230" i="17"/>
  <c r="H268" i="17"/>
  <c r="H179" i="17"/>
  <c r="H180" i="17"/>
  <c r="H231" i="17"/>
  <c r="H298" i="17"/>
  <c r="H286" i="17"/>
  <c r="H274" i="17"/>
  <c r="H209" i="17"/>
  <c r="H211" i="17"/>
  <c r="H212" i="17"/>
  <c r="H213" i="17"/>
  <c r="H254" i="17"/>
  <c r="H193" i="17"/>
  <c r="H299" i="17"/>
  <c r="H300" i="17"/>
  <c r="H215" i="17"/>
  <c r="H301" i="17"/>
  <c r="H302" i="17"/>
  <c r="H303" i="17"/>
  <c r="H304" i="17"/>
  <c r="H305" i="17"/>
  <c r="H263" i="17"/>
  <c r="H261" i="17"/>
  <c r="H194" i="17"/>
  <c r="H255" i="17"/>
  <c r="H264" i="17"/>
  <c r="H256" i="17"/>
  <c r="H218" i="17"/>
  <c r="H214" i="17"/>
  <c r="H262" i="17"/>
  <c r="H216" i="17"/>
  <c r="H195" i="17"/>
  <c r="H287" i="17"/>
  <c r="H196" i="17"/>
  <c r="H306" i="17"/>
  <c r="H197" i="17"/>
  <c r="H308" i="17"/>
  <c r="H198" i="17"/>
  <c r="H280" i="17"/>
  <c r="H199" i="17"/>
  <c r="H309" i="17"/>
  <c r="H265" i="17"/>
  <c r="H284" i="17"/>
  <c r="H285" i="17"/>
  <c r="H310" i="17"/>
  <c r="H257" i="17"/>
  <c r="H288" i="17"/>
  <c r="H219" i="17"/>
  <c r="H266" i="17"/>
  <c r="H258" i="17"/>
  <c r="H200" i="17"/>
  <c r="H221" i="17"/>
  <c r="H312" i="17"/>
  <c r="H290" i="17"/>
  <c r="H222" i="17"/>
  <c r="H201" i="17"/>
  <c r="H223" i="17"/>
  <c r="H291" i="17"/>
  <c r="H292" i="17"/>
  <c r="H259" i="17"/>
  <c r="H289" i="17"/>
  <c r="H260" i="17"/>
  <c r="H293" i="17"/>
  <c r="H314" i="17"/>
  <c r="H307" i="17"/>
  <c r="H202" i="17"/>
  <c r="H205" i="17"/>
  <c r="H315" i="17"/>
  <c r="H224" i="17"/>
  <c r="H311" i="17"/>
  <c r="H313" i="17"/>
  <c r="H217" i="17"/>
  <c r="H206" i="17"/>
  <c r="H207" i="17"/>
  <c r="H177" i="17"/>
  <c r="H225" i="17"/>
  <c r="H226" i="17"/>
  <c r="H294" i="17"/>
  <c r="H228" i="17"/>
  <c r="H267" i="17"/>
  <c r="H295" i="17"/>
  <c r="H229" i="17"/>
  <c r="H220" i="17"/>
  <c r="H178" i="17"/>
  <c r="H272" i="17"/>
  <c r="H185" i="17"/>
  <c r="H186" i="17"/>
  <c r="H181" i="17"/>
  <c r="H269" i="17"/>
  <c r="H187" i="17"/>
  <c r="H188" i="17"/>
  <c r="H232" i="17"/>
  <c r="H182" i="17"/>
  <c r="H270" i="17"/>
  <c r="H296" i="17"/>
  <c r="H233" i="17"/>
  <c r="H271" i="17"/>
  <c r="H189" i="17"/>
  <c r="H190" i="17"/>
  <c r="H183" i="17"/>
  <c r="H234" i="17"/>
  <c r="H239" i="17"/>
  <c r="H184" i="17"/>
  <c r="H297" i="17"/>
  <c r="H238" i="17"/>
  <c r="H235" i="17"/>
  <c r="H236" i="17"/>
  <c r="H237" i="17"/>
  <c r="G38" i="13"/>
  <c r="G39" i="13"/>
  <c r="G40" i="13"/>
  <c r="G41" i="13"/>
  <c r="G42" i="13"/>
  <c r="G37" i="13"/>
  <c r="G44" i="13"/>
  <c r="G52" i="13"/>
  <c r="G27" i="13"/>
  <c r="G53" i="13"/>
  <c r="G36" i="13"/>
  <c r="G30" i="13"/>
  <c r="G31" i="13"/>
  <c r="G51" i="13"/>
  <c r="G33" i="13"/>
  <c r="G35" i="13"/>
  <c r="G55" i="13"/>
  <c r="G56" i="13"/>
  <c r="G59" i="13"/>
  <c r="G57" i="13"/>
  <c r="G54" i="13"/>
  <c r="G58" i="13"/>
  <c r="G60" i="13"/>
  <c r="G62" i="13"/>
  <c r="G50" i="13"/>
  <c r="G131" i="13"/>
  <c r="G291" i="13"/>
  <c r="G64" i="13"/>
  <c r="G32" i="13"/>
  <c r="G126" i="13"/>
  <c r="G127" i="13"/>
  <c r="G89" i="13"/>
  <c r="G63" i="13"/>
  <c r="G268" i="13"/>
  <c r="G298" i="13"/>
  <c r="G70" i="13"/>
  <c r="G73" i="13"/>
  <c r="G76" i="13"/>
  <c r="G79" i="13"/>
  <c r="G92" i="13"/>
  <c r="G85" i="13"/>
  <c r="G84" i="13"/>
  <c r="G78" i="13"/>
  <c r="G98" i="13"/>
  <c r="G104" i="13"/>
  <c r="G93" i="13"/>
  <c r="G94" i="13"/>
  <c r="G100" i="13"/>
  <c r="G101" i="13"/>
  <c r="G95" i="13"/>
  <c r="G97" i="13"/>
  <c r="G99" i="13"/>
  <c r="G105" i="13"/>
  <c r="G107" i="13"/>
  <c r="G90" i="13"/>
  <c r="G91" i="13"/>
  <c r="G122" i="13"/>
  <c r="G108" i="13"/>
  <c r="G125" i="13"/>
  <c r="G109" i="13"/>
  <c r="G96" i="13"/>
  <c r="G141" i="13"/>
  <c r="G112" i="13"/>
  <c r="G113" i="13"/>
  <c r="G111" i="13"/>
  <c r="G158" i="13"/>
  <c r="G159" i="13"/>
  <c r="G103" i="13"/>
  <c r="G114" i="13"/>
  <c r="G115" i="13"/>
  <c r="G116" i="13"/>
  <c r="G120" i="13"/>
  <c r="G117" i="13"/>
  <c r="G118" i="13"/>
  <c r="G124" i="13"/>
  <c r="G121" i="13"/>
  <c r="G123" i="13"/>
  <c r="G206" i="13"/>
  <c r="G209" i="13"/>
  <c r="G210" i="13"/>
  <c r="G212" i="13"/>
  <c r="G213" i="13"/>
  <c r="G214" i="13"/>
  <c r="G215" i="13"/>
  <c r="G216" i="13"/>
  <c r="G217" i="13"/>
  <c r="G218" i="13"/>
  <c r="G219" i="13"/>
  <c r="G220" i="13"/>
  <c r="G221" i="13"/>
  <c r="G222" i="13"/>
  <c r="G65" i="13"/>
  <c r="G257" i="13"/>
  <c r="G43" i="13"/>
  <c r="G6" i="13"/>
  <c r="G12" i="13"/>
  <c r="G269" i="13"/>
  <c r="G271" i="13"/>
  <c r="G45" i="13"/>
  <c r="G276" i="13"/>
  <c r="G281" i="13"/>
  <c r="G282" i="13"/>
  <c r="G66" i="13"/>
  <c r="G29" i="13"/>
  <c r="G286" i="13"/>
  <c r="G46" i="13"/>
  <c r="G67" i="13"/>
  <c r="G69" i="13"/>
  <c r="G77" i="13"/>
  <c r="G19" i="13"/>
  <c r="G80" i="13"/>
  <c r="G47" i="13"/>
  <c r="G61" i="13"/>
  <c r="G48" i="13"/>
  <c r="G49" i="13"/>
  <c r="G301" i="13"/>
  <c r="G13" i="13"/>
  <c r="G83" i="13"/>
  <c r="G68" i="13"/>
  <c r="G86" i="13"/>
  <c r="G87" i="13"/>
  <c r="G9" i="13"/>
  <c r="G312" i="13"/>
  <c r="G74" i="13"/>
  <c r="G71" i="13"/>
  <c r="G75" i="13"/>
  <c r="G81" i="13"/>
  <c r="G146" i="13"/>
  <c r="G149" i="13"/>
  <c r="G148" i="13"/>
  <c r="G150" i="13"/>
  <c r="G151" i="13"/>
  <c r="G106" i="13"/>
  <c r="G152" i="13"/>
  <c r="G153" i="13"/>
  <c r="G156" i="13"/>
  <c r="G155" i="13"/>
  <c r="G157" i="13"/>
  <c r="G179" i="13"/>
  <c r="G180" i="13"/>
  <c r="G162" i="13"/>
  <c r="G161" i="13"/>
  <c r="G160" i="13"/>
  <c r="G163" i="13"/>
  <c r="G136" i="13"/>
  <c r="G137" i="13"/>
  <c r="G164" i="13"/>
  <c r="G166" i="13"/>
  <c r="G167" i="13"/>
  <c r="G165" i="13"/>
  <c r="G147" i="13"/>
  <c r="G192" i="13"/>
  <c r="G170" i="13"/>
  <c r="G171" i="13"/>
  <c r="G168" i="13"/>
  <c r="G169" i="13"/>
  <c r="G174" i="13"/>
  <c r="G175" i="13"/>
  <c r="G173" i="13"/>
  <c r="G176" i="13"/>
  <c r="G177" i="13"/>
  <c r="G202" i="13"/>
  <c r="G203" i="13"/>
  <c r="G181" i="13"/>
  <c r="G178" i="13"/>
  <c r="G182" i="13"/>
  <c r="G183" i="13"/>
  <c r="G184" i="13"/>
  <c r="G186" i="13"/>
  <c r="G187" i="13"/>
  <c r="G211" i="13"/>
  <c r="G207" i="13"/>
  <c r="G208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56" i="13"/>
  <c r="G128" i="13"/>
  <c r="G129" i="13"/>
  <c r="G260" i="13"/>
  <c r="G130" i="13"/>
  <c r="G262" i="13"/>
  <c r="G20" i="13"/>
  <c r="G264" i="13"/>
  <c r="G135" i="13"/>
  <c r="G132" i="13"/>
  <c r="G133" i="13"/>
  <c r="G270" i="13"/>
  <c r="G4" i="13"/>
  <c r="G14" i="13"/>
  <c r="G272" i="13"/>
  <c r="G273" i="13"/>
  <c r="G274" i="13"/>
  <c r="G134" i="13"/>
  <c r="G283" i="13"/>
  <c r="G5" i="13"/>
  <c r="G138" i="13"/>
  <c r="G15" i="13"/>
  <c r="G34" i="13"/>
  <c r="G139" i="13"/>
  <c r="G16" i="13"/>
  <c r="G17" i="13"/>
  <c r="G140" i="13"/>
  <c r="G142" i="13"/>
  <c r="G18" i="13"/>
  <c r="G297" i="13"/>
  <c r="G143" i="13"/>
  <c r="G144" i="13"/>
  <c r="G145" i="13"/>
  <c r="G308" i="13"/>
  <c r="G10" i="13"/>
  <c r="G11" i="13"/>
  <c r="G313" i="13"/>
  <c r="G72" i="13"/>
  <c r="G82" i="13"/>
  <c r="G191" i="13"/>
  <c r="G88" i="13"/>
  <c r="G193" i="13"/>
  <c r="G194" i="13"/>
  <c r="G110" i="13"/>
  <c r="G195" i="13"/>
  <c r="G119" i="13"/>
  <c r="G196" i="13"/>
  <c r="G197" i="13"/>
  <c r="G254" i="13"/>
  <c r="G199" i="13"/>
  <c r="G200" i="13"/>
  <c r="G253" i="13"/>
  <c r="G255" i="13"/>
  <c r="G258" i="13"/>
  <c r="G204" i="13"/>
  <c r="G205" i="13"/>
  <c r="G154" i="13"/>
  <c r="G172" i="13"/>
  <c r="G259" i="13"/>
  <c r="G261" i="13"/>
  <c r="G265" i="13"/>
  <c r="G267" i="13"/>
  <c r="G278" i="13"/>
  <c r="G279" i="13"/>
  <c r="G284" i="13"/>
  <c r="G280" i="13"/>
  <c r="G285" i="13"/>
  <c r="G198" i="13"/>
  <c r="G201" i="13"/>
  <c r="G287" i="13"/>
  <c r="G277" i="13"/>
  <c r="G239" i="13"/>
  <c r="G240" i="13"/>
  <c r="G241" i="13"/>
  <c r="G242" i="13"/>
  <c r="G243" i="13"/>
  <c r="G244" i="13"/>
  <c r="G21" i="13"/>
  <c r="G275" i="13"/>
  <c r="G188" i="13"/>
  <c r="G189" i="13"/>
  <c r="G22" i="13"/>
  <c r="G302" i="13"/>
  <c r="G23" i="13"/>
  <c r="G24" i="13"/>
  <c r="G190" i="13"/>
  <c r="G309" i="13"/>
  <c r="G28" i="13"/>
  <c r="G310" i="13"/>
  <c r="G311" i="13"/>
  <c r="G314" i="13"/>
  <c r="G102" i="13"/>
  <c r="G293" i="13"/>
  <c r="G294" i="13"/>
  <c r="G295" i="13"/>
  <c r="G299" i="13"/>
  <c r="G300" i="13"/>
  <c r="G296" i="13"/>
  <c r="G303" i="13"/>
  <c r="G304" i="13"/>
  <c r="G305" i="13"/>
  <c r="G185" i="13"/>
  <c r="G306" i="13"/>
  <c r="G307" i="13"/>
  <c r="G245" i="13"/>
  <c r="G246" i="13"/>
  <c r="G247" i="13"/>
  <c r="G248" i="13"/>
  <c r="G249" i="13"/>
  <c r="G250" i="13"/>
  <c r="G251" i="13"/>
  <c r="G252" i="13"/>
  <c r="G288" i="13"/>
  <c r="G263" i="13"/>
  <c r="G25" i="13"/>
  <c r="G26" i="13"/>
  <c r="G266" i="13"/>
  <c r="G289" i="13"/>
  <c r="G290" i="13"/>
  <c r="G292" i="13"/>
  <c r="G7" i="13"/>
  <c r="G8" i="13"/>
  <c r="G6" i="17"/>
  <c r="G105" i="17"/>
  <c r="G7" i="17"/>
  <c r="G8" i="17"/>
  <c r="G10" i="17"/>
  <c r="G14" i="17"/>
  <c r="G9" i="17"/>
  <c r="G12" i="17"/>
  <c r="G17" i="17"/>
  <c r="G11" i="17"/>
  <c r="G18" i="17"/>
  <c r="G20" i="17"/>
  <c r="G13" i="17"/>
  <c r="G24" i="17"/>
  <c r="G25" i="17"/>
  <c r="G26" i="17"/>
  <c r="G19" i="17"/>
  <c r="G21" i="17"/>
  <c r="G27" i="17"/>
  <c r="G23" i="17"/>
  <c r="G22" i="17"/>
  <c r="G40" i="17"/>
  <c r="G44" i="17"/>
  <c r="G42" i="17"/>
  <c r="G31" i="17"/>
  <c r="G45" i="17"/>
  <c r="G34" i="17"/>
  <c r="G48" i="17"/>
  <c r="G49" i="17"/>
  <c r="G65" i="17"/>
  <c r="G51" i="17"/>
  <c r="G50" i="17"/>
  <c r="G66" i="17"/>
  <c r="G28" i="17"/>
  <c r="G32" i="17"/>
  <c r="G67" i="17"/>
  <c r="G47" i="17"/>
  <c r="G60" i="17"/>
  <c r="G16" i="17"/>
  <c r="G46" i="17"/>
  <c r="G29" i="17"/>
  <c r="G55" i="17"/>
  <c r="G73" i="17"/>
  <c r="G52" i="17"/>
  <c r="G74" i="17"/>
  <c r="G75" i="17"/>
  <c r="G59" i="17"/>
  <c r="G53" i="17"/>
  <c r="G39" i="17"/>
  <c r="G63" i="17"/>
  <c r="G43" i="17"/>
  <c r="G61" i="17"/>
  <c r="G68" i="17"/>
  <c r="G54" i="17"/>
  <c r="G35" i="17"/>
  <c r="G33" i="17"/>
  <c r="G72" i="17"/>
  <c r="G56" i="17"/>
  <c r="G38" i="17"/>
  <c r="G69" i="17"/>
  <c r="G57" i="17"/>
  <c r="G36" i="17"/>
  <c r="G41" i="17"/>
  <c r="G70" i="17"/>
  <c r="G71" i="17"/>
  <c r="G64" i="17"/>
  <c r="G58" i="17"/>
  <c r="G62" i="17"/>
  <c r="G30" i="17"/>
  <c r="G37" i="17"/>
  <c r="G141" i="17"/>
  <c r="G79" i="17"/>
  <c r="G80" i="17"/>
  <c r="G86" i="17"/>
  <c r="G150" i="17"/>
  <c r="G99" i="17"/>
  <c r="G130" i="17"/>
  <c r="G90" i="17"/>
  <c r="G126" i="17"/>
  <c r="G104" i="17"/>
  <c r="G81" i="17"/>
  <c r="G142" i="17"/>
  <c r="G93" i="17"/>
  <c r="G112" i="17"/>
  <c r="G143" i="17"/>
  <c r="G134" i="17"/>
  <c r="G100" i="17"/>
  <c r="G101" i="17"/>
  <c r="G114" i="17"/>
  <c r="G144" i="17"/>
  <c r="G78" i="17"/>
  <c r="G85" i="17"/>
  <c r="G145" i="17"/>
  <c r="G146" i="17"/>
  <c r="G89" i="17"/>
  <c r="G131" i="17"/>
  <c r="G119" i="17"/>
  <c r="G115" i="17"/>
  <c r="G116" i="17"/>
  <c r="G117" i="17"/>
  <c r="G118" i="17"/>
  <c r="G140" i="17"/>
  <c r="G133" i="17"/>
  <c r="G153" i="17"/>
  <c r="G121" i="17"/>
  <c r="G108" i="17"/>
  <c r="G148" i="17"/>
  <c r="G154" i="17"/>
  <c r="G96" i="17"/>
  <c r="G138" i="17"/>
  <c r="G139" i="17"/>
  <c r="G135" i="17"/>
  <c r="G15" i="17"/>
  <c r="G97" i="17"/>
  <c r="G94" i="17"/>
  <c r="G95" i="17"/>
  <c r="G106" i="17"/>
  <c r="G77" i="17"/>
  <c r="G92" i="17"/>
  <c r="G98" i="17"/>
  <c r="G136" i="17"/>
  <c r="G147" i="17"/>
  <c r="G87" i="17"/>
  <c r="G107" i="17"/>
  <c r="G128" i="17"/>
  <c r="G82" i="17"/>
  <c r="G103" i="17"/>
  <c r="G76" i="17"/>
  <c r="G157" i="17"/>
  <c r="G120" i="17"/>
  <c r="G102" i="17"/>
  <c r="G110" i="17"/>
  <c r="G113" i="17"/>
  <c r="G155" i="17"/>
  <c r="G149" i="17"/>
  <c r="G83" i="17"/>
  <c r="G125" i="17"/>
  <c r="G127" i="17"/>
  <c r="G122" i="17"/>
  <c r="G123" i="17"/>
  <c r="G91" i="17"/>
  <c r="G129" i="17"/>
  <c r="G124" i="17"/>
  <c r="G151" i="17"/>
  <c r="G111" i="17"/>
  <c r="G152" i="17"/>
  <c r="G137" i="17"/>
  <c r="G88" i="17"/>
  <c r="G109" i="17"/>
  <c r="G132" i="17"/>
  <c r="G84" i="17"/>
  <c r="G170" i="17"/>
  <c r="G159" i="17"/>
  <c r="G176" i="17"/>
  <c r="G175" i="17"/>
  <c r="G166" i="17"/>
  <c r="G174" i="17"/>
  <c r="G160" i="17"/>
  <c r="G167" i="17"/>
  <c r="G168" i="17"/>
  <c r="G171" i="17"/>
  <c r="G165" i="17"/>
  <c r="G172" i="17"/>
  <c r="G161" i="17"/>
  <c r="G156" i="17"/>
  <c r="G169" i="17"/>
  <c r="G173" i="17"/>
  <c r="G158" i="17"/>
  <c r="G164" i="17"/>
  <c r="G163" i="17"/>
  <c r="G162" i="17"/>
  <c r="G286" i="17"/>
  <c r="G274" i="17"/>
  <c r="G209" i="17"/>
  <c r="G272" i="17"/>
  <c r="G185" i="17"/>
  <c r="G211" i="17"/>
  <c r="G192" i="17"/>
  <c r="G212" i="17"/>
  <c r="G213" i="17"/>
  <c r="G186" i="17"/>
  <c r="G254" i="17"/>
  <c r="G193" i="17"/>
  <c r="G181" i="17"/>
  <c r="G299" i="17"/>
  <c r="G300" i="17"/>
  <c r="G215" i="17"/>
  <c r="G294" i="17"/>
  <c r="G275" i="17"/>
  <c r="G230" i="17"/>
  <c r="G301" i="17"/>
  <c r="G302" i="17"/>
  <c r="G228" i="17"/>
  <c r="G303" i="17"/>
  <c r="G304" i="17"/>
  <c r="G305" i="17"/>
  <c r="G263" i="17"/>
  <c r="G269" i="17"/>
  <c r="G187" i="17"/>
  <c r="G188" i="17"/>
  <c r="G261" i="17"/>
  <c r="G194" i="17"/>
  <c r="G255" i="17"/>
  <c r="G245" i="17"/>
  <c r="G232" i="17"/>
  <c r="G264" i="17"/>
  <c r="G191" i="17"/>
  <c r="G182" i="17"/>
  <c r="G225" i="17"/>
  <c r="G240" i="17"/>
  <c r="G270" i="17"/>
  <c r="G256" i="17"/>
  <c r="G218" i="17"/>
  <c r="G242" i="17"/>
  <c r="G243" i="17"/>
  <c r="G214" i="17"/>
  <c r="G262" i="17"/>
  <c r="G216" i="17"/>
  <c r="G268" i="17"/>
  <c r="G276" i="17"/>
  <c r="G195" i="17"/>
  <c r="G287" i="17"/>
  <c r="G177" i="17"/>
  <c r="G196" i="17"/>
  <c r="G306" i="17"/>
  <c r="G197" i="17"/>
  <c r="G277" i="17"/>
  <c r="G308" i="17"/>
  <c r="G296" i="17"/>
  <c r="G246" i="17"/>
  <c r="G198" i="17"/>
  <c r="G280" i="17"/>
  <c r="G199" i="17"/>
  <c r="G247" i="17"/>
  <c r="G278" i="17"/>
  <c r="G309" i="17"/>
  <c r="G265" i="17"/>
  <c r="G284" i="17"/>
  <c r="G233" i="17"/>
  <c r="G267" i="17"/>
  <c r="G271" i="17"/>
  <c r="G189" i="17"/>
  <c r="G285" i="17"/>
  <c r="G190" i="17"/>
  <c r="G279" i="17"/>
  <c r="G183" i="17"/>
  <c r="G248" i="17"/>
  <c r="G227" i="17"/>
  <c r="G310" i="17"/>
  <c r="G257" i="17"/>
  <c r="G249" i="17"/>
  <c r="G288" i="17"/>
  <c r="G219" i="17"/>
  <c r="G281" i="17"/>
  <c r="G295" i="17"/>
  <c r="G266" i="17"/>
  <c r="G258" i="17"/>
  <c r="G200" i="17"/>
  <c r="G221" i="17"/>
  <c r="G241" i="17"/>
  <c r="G312" i="17"/>
  <c r="G229" i="17"/>
  <c r="G179" i="17"/>
  <c r="G234" i="17"/>
  <c r="G239" i="17"/>
  <c r="G184" i="17"/>
  <c r="G220" i="17"/>
  <c r="G290" i="17"/>
  <c r="G204" i="17"/>
  <c r="G222" i="17"/>
  <c r="G282" i="17"/>
  <c r="G297" i="17"/>
  <c r="G201" i="17"/>
  <c r="G223" i="17"/>
  <c r="G178" i="17"/>
  <c r="G250" i="17"/>
  <c r="G203" i="17"/>
  <c r="G226" i="17"/>
  <c r="G291" i="17"/>
  <c r="G251" i="17"/>
  <c r="G208" i="17"/>
  <c r="G292" i="17"/>
  <c r="G252" i="17"/>
  <c r="G238" i="17"/>
  <c r="G298" i="17"/>
  <c r="G235" i="17"/>
  <c r="G180" i="17"/>
  <c r="G236" i="17"/>
  <c r="G259" i="17"/>
  <c r="G231" i="17"/>
  <c r="G273" i="17"/>
  <c r="G289" i="17"/>
  <c r="G260" i="17"/>
  <c r="G237" i="17"/>
  <c r="G293" i="17"/>
  <c r="G283" i="17"/>
  <c r="G314" i="17"/>
  <c r="G307" i="17"/>
  <c r="G202" i="17"/>
  <c r="G205" i="17"/>
  <c r="G244" i="17"/>
  <c r="G315" i="17"/>
  <c r="G210" i="17"/>
  <c r="G224" i="17"/>
  <c r="G311" i="17"/>
  <c r="G253" i="17"/>
  <c r="G313" i="17"/>
  <c r="G217" i="17"/>
  <c r="G206" i="17"/>
  <c r="G207" i="17"/>
  <c r="W5" i="17"/>
  <c r="I9" i="18"/>
  <c r="I21" i="18"/>
  <c r="I22" i="18"/>
  <c r="F35" i="40"/>
  <c r="I49" i="18"/>
  <c r="I52" i="18"/>
  <c r="I53" i="18"/>
  <c r="I80" i="18"/>
  <c r="I100" i="18"/>
  <c r="I111" i="18"/>
  <c r="I117" i="18"/>
  <c r="I119" i="18"/>
  <c r="I138" i="18"/>
  <c r="I139" i="18"/>
  <c r="I140" i="18"/>
  <c r="I141" i="18"/>
  <c r="I152" i="18"/>
  <c r="I153" i="18"/>
  <c r="F156" i="40"/>
  <c r="I159" i="18"/>
  <c r="I165" i="18"/>
  <c r="F182" i="40"/>
  <c r="I196" i="18"/>
  <c r="I199" i="18"/>
  <c r="I200" i="18"/>
  <c r="I202" i="18"/>
  <c r="I213" i="18"/>
  <c r="I224" i="18"/>
  <c r="I233" i="18"/>
  <c r="I241" i="18"/>
  <c r="I244" i="18"/>
  <c r="I256" i="18"/>
  <c r="I257" i="18"/>
  <c r="I263" i="18"/>
  <c r="I265" i="18"/>
  <c r="I271" i="18"/>
  <c r="F274" i="40"/>
  <c r="I282" i="18"/>
  <c r="I283" i="18"/>
  <c r="J283" i="18" l="1"/>
  <c r="J282" i="18"/>
  <c r="J271" i="18"/>
  <c r="J265" i="18"/>
  <c r="J263" i="18"/>
  <c r="J257" i="18"/>
  <c r="J256" i="18"/>
  <c r="J244" i="18"/>
  <c r="J241" i="18"/>
  <c r="J233" i="18"/>
  <c r="J224" i="18"/>
  <c r="J213" i="18"/>
  <c r="J202" i="18"/>
  <c r="J200" i="18"/>
  <c r="J199" i="18"/>
  <c r="J196" i="18"/>
  <c r="J165" i="18"/>
  <c r="J159" i="18"/>
  <c r="J153" i="18"/>
  <c r="J152" i="18"/>
  <c r="J141" i="18"/>
  <c r="J140" i="18"/>
  <c r="J139" i="18"/>
  <c r="J138" i="18"/>
  <c r="J119" i="18"/>
  <c r="J117" i="18"/>
  <c r="J111" i="18"/>
  <c r="J100" i="18"/>
  <c r="J80" i="18"/>
  <c r="J53" i="18"/>
  <c r="J52" i="18"/>
  <c r="J49" i="18"/>
  <c r="J22" i="18"/>
  <c r="J21" i="18"/>
  <c r="J9" i="18"/>
  <c r="F312" i="40"/>
  <c r="I313" i="18"/>
  <c r="F254" i="40"/>
  <c r="I255" i="18"/>
  <c r="F246" i="40"/>
  <c r="I247" i="18"/>
  <c r="F239" i="40"/>
  <c r="I239" i="18"/>
  <c r="F231" i="40"/>
  <c r="I231" i="18"/>
  <c r="F220" i="40"/>
  <c r="I219" i="18"/>
  <c r="F216" i="40"/>
  <c r="I215" i="18"/>
  <c r="F213" i="40"/>
  <c r="I212" i="18"/>
  <c r="F206" i="40"/>
  <c r="I205" i="18"/>
  <c r="F202" i="40"/>
  <c r="I201" i="18"/>
  <c r="F195" i="40"/>
  <c r="I194" i="18"/>
  <c r="F187" i="40"/>
  <c r="I186" i="18"/>
  <c r="F179" i="40"/>
  <c r="I179" i="18"/>
  <c r="F172" i="40"/>
  <c r="I171" i="18"/>
  <c r="F164" i="40"/>
  <c r="I163" i="18"/>
  <c r="F149" i="40"/>
  <c r="I149" i="18"/>
  <c r="F134" i="40"/>
  <c r="I134" i="18"/>
  <c r="F122" i="40"/>
  <c r="I122" i="18"/>
  <c r="F111" i="40"/>
  <c r="I110" i="18"/>
  <c r="F103" i="40"/>
  <c r="I102" i="18"/>
  <c r="F80" i="40"/>
  <c r="I79" i="18"/>
  <c r="F72" i="40"/>
  <c r="I71" i="18"/>
  <c r="F60" i="40"/>
  <c r="I59" i="18"/>
  <c r="F53" i="40"/>
  <c r="I50" i="18"/>
  <c r="F41" i="40"/>
  <c r="I38" i="18"/>
  <c r="F37" i="40"/>
  <c r="I34" i="18"/>
  <c r="F26" i="40"/>
  <c r="I23" i="18"/>
  <c r="F288" i="40"/>
  <c r="I289" i="18"/>
  <c r="F281" i="40"/>
  <c r="I281" i="18"/>
  <c r="F273" i="40"/>
  <c r="I274" i="18"/>
  <c r="F261" i="40"/>
  <c r="I262" i="18"/>
  <c r="F257" i="40"/>
  <c r="I258" i="18"/>
  <c r="F7" i="40"/>
  <c r="I246" i="18"/>
  <c r="F230" i="40"/>
  <c r="I230" i="18"/>
  <c r="F223" i="40"/>
  <c r="I222" i="18"/>
  <c r="F205" i="40"/>
  <c r="I204" i="18"/>
  <c r="F190" i="40"/>
  <c r="I189" i="18"/>
  <c r="F9" i="40"/>
  <c r="I174" i="18"/>
  <c r="F163" i="40"/>
  <c r="I162" i="18"/>
  <c r="F98" i="40"/>
  <c r="I97" i="18"/>
  <c r="F86" i="40"/>
  <c r="I85" i="18"/>
  <c r="F71" i="40"/>
  <c r="I70" i="18"/>
  <c r="F48" i="40"/>
  <c r="I45" i="18"/>
  <c r="F36" i="40"/>
  <c r="I33" i="18"/>
  <c r="F13" i="40"/>
  <c r="I10" i="18"/>
  <c r="F308" i="40"/>
  <c r="I309" i="18"/>
  <c r="F300" i="40"/>
  <c r="I301" i="18"/>
  <c r="F292" i="40"/>
  <c r="I293" i="18"/>
  <c r="F289" i="40"/>
  <c r="I290" i="18"/>
  <c r="F286" i="40"/>
  <c r="I286" i="18"/>
  <c r="F266" i="40"/>
  <c r="I267" i="18"/>
  <c r="F258" i="40"/>
  <c r="I259" i="18"/>
  <c r="F250" i="40"/>
  <c r="I251" i="18"/>
  <c r="F243" i="40"/>
  <c r="I243" i="18"/>
  <c r="F235" i="40"/>
  <c r="I235" i="18"/>
  <c r="F227" i="40"/>
  <c r="I227" i="18"/>
  <c r="F224" i="40"/>
  <c r="I223" i="18"/>
  <c r="F210" i="40"/>
  <c r="I209" i="18"/>
  <c r="F191" i="40"/>
  <c r="I190" i="18"/>
  <c r="F183" i="40"/>
  <c r="I182" i="18"/>
  <c r="F175" i="40"/>
  <c r="I175" i="18"/>
  <c r="F145" i="40"/>
  <c r="I145" i="18"/>
  <c r="F126" i="40"/>
  <c r="I126" i="18"/>
  <c r="F115" i="40"/>
  <c r="I114" i="18"/>
  <c r="F99" i="40"/>
  <c r="I98" i="18"/>
  <c r="F91" i="40"/>
  <c r="I90" i="18"/>
  <c r="F84" i="40"/>
  <c r="I83" i="18"/>
  <c r="F76" i="40"/>
  <c r="I75" i="18"/>
  <c r="F64" i="40"/>
  <c r="I63" i="18"/>
  <c r="F45" i="40"/>
  <c r="I42" i="18"/>
  <c r="F30" i="40"/>
  <c r="I27" i="18"/>
  <c r="F18" i="40"/>
  <c r="I15" i="18"/>
  <c r="F14" i="40"/>
  <c r="I11" i="18"/>
  <c r="F311" i="40"/>
  <c r="I312" i="18"/>
  <c r="F299" i="40"/>
  <c r="I300" i="18"/>
  <c r="F291" i="40"/>
  <c r="I292" i="18"/>
  <c r="F277" i="40"/>
  <c r="I277" i="18"/>
  <c r="F265" i="40"/>
  <c r="I266" i="18"/>
  <c r="F253" i="40"/>
  <c r="I254" i="18"/>
  <c r="F234" i="40"/>
  <c r="I234" i="18"/>
  <c r="F10" i="40"/>
  <c r="I226" i="18"/>
  <c r="F209" i="40"/>
  <c r="I208" i="18"/>
  <c r="F198" i="40"/>
  <c r="I198" i="18"/>
  <c r="F186" i="40"/>
  <c r="I185" i="18"/>
  <c r="F171" i="40"/>
  <c r="I170" i="18"/>
  <c r="F159" i="40"/>
  <c r="I158" i="18"/>
  <c r="F137" i="40"/>
  <c r="I137" i="18"/>
  <c r="F129" i="40"/>
  <c r="I129" i="18"/>
  <c r="F6" i="40"/>
  <c r="I121" i="18"/>
  <c r="F110" i="40"/>
  <c r="I109" i="18"/>
  <c r="F102" i="40"/>
  <c r="I101" i="18"/>
  <c r="F94" i="40"/>
  <c r="I93" i="18"/>
  <c r="F90" i="40"/>
  <c r="I89" i="18"/>
  <c r="F79" i="40"/>
  <c r="I78" i="18"/>
  <c r="F75" i="40"/>
  <c r="I74" i="18"/>
  <c r="F63" i="40"/>
  <c r="I62" i="18"/>
  <c r="F40" i="40"/>
  <c r="I37" i="18"/>
  <c r="F33" i="40"/>
  <c r="I30" i="18"/>
  <c r="F29" i="40"/>
  <c r="I26" i="18"/>
  <c r="F17" i="40"/>
  <c r="I14" i="18"/>
  <c r="F310" i="40"/>
  <c r="I311" i="18"/>
  <c r="F306" i="40"/>
  <c r="I307" i="18"/>
  <c r="F302" i="40"/>
  <c r="I303" i="18"/>
  <c r="F298" i="40"/>
  <c r="I299" i="18"/>
  <c r="F294" i="40"/>
  <c r="I295" i="18"/>
  <c r="F290" i="40"/>
  <c r="I291" i="18"/>
  <c r="F8" i="40"/>
  <c r="I288" i="18"/>
  <c r="F284" i="40"/>
  <c r="I284" i="18"/>
  <c r="F280" i="40"/>
  <c r="I280" i="18"/>
  <c r="F276" i="40"/>
  <c r="I276" i="18"/>
  <c r="F272" i="40"/>
  <c r="I273" i="18"/>
  <c r="F268" i="40"/>
  <c r="I269" i="18"/>
  <c r="F260" i="40"/>
  <c r="I261" i="18"/>
  <c r="F252" i="40"/>
  <c r="I253" i="18"/>
  <c r="F248" i="40"/>
  <c r="I249" i="18"/>
  <c r="F245" i="40"/>
  <c r="I245" i="18"/>
  <c r="F237" i="40"/>
  <c r="I237" i="18"/>
  <c r="F229" i="40"/>
  <c r="I229" i="18"/>
  <c r="F226" i="40"/>
  <c r="I225" i="18"/>
  <c r="F222" i="40"/>
  <c r="I221" i="18"/>
  <c r="F218" i="40"/>
  <c r="I217" i="18"/>
  <c r="F215" i="40"/>
  <c r="I214" i="18"/>
  <c r="F211" i="40"/>
  <c r="I210" i="18"/>
  <c r="F208" i="40"/>
  <c r="I207" i="18"/>
  <c r="F204" i="40"/>
  <c r="I203" i="18"/>
  <c r="F201" i="40"/>
  <c r="I197" i="18"/>
  <c r="F193" i="40"/>
  <c r="I192" i="18"/>
  <c r="F189" i="40"/>
  <c r="I188" i="18"/>
  <c r="F185" i="40"/>
  <c r="I184" i="18"/>
  <c r="F181" i="40"/>
  <c r="I181" i="18"/>
  <c r="F177" i="40"/>
  <c r="I177" i="18"/>
  <c r="F174" i="40"/>
  <c r="I173" i="18"/>
  <c r="F170" i="40"/>
  <c r="I169" i="18"/>
  <c r="F162" i="40"/>
  <c r="I161" i="18"/>
  <c r="F158" i="40"/>
  <c r="I157" i="18"/>
  <c r="F155" i="40"/>
  <c r="I155" i="18"/>
  <c r="F151" i="40"/>
  <c r="I151" i="18"/>
  <c r="F147" i="40"/>
  <c r="I147" i="18"/>
  <c r="F143" i="40"/>
  <c r="I143" i="18"/>
  <c r="F136" i="40"/>
  <c r="I136" i="18"/>
  <c r="F132" i="40"/>
  <c r="I132" i="18"/>
  <c r="F128" i="40"/>
  <c r="I128" i="18"/>
  <c r="F124" i="40"/>
  <c r="I124" i="18"/>
  <c r="F121" i="40"/>
  <c r="I120" i="18"/>
  <c r="F117" i="40"/>
  <c r="I116" i="18"/>
  <c r="F113" i="40"/>
  <c r="I112" i="18"/>
  <c r="F109" i="40"/>
  <c r="I108" i="18"/>
  <c r="F105" i="40"/>
  <c r="I104" i="18"/>
  <c r="F97" i="40"/>
  <c r="I96" i="18"/>
  <c r="F93" i="40"/>
  <c r="I92" i="18"/>
  <c r="F89" i="40"/>
  <c r="I88" i="18"/>
  <c r="F85" i="40"/>
  <c r="I84" i="18"/>
  <c r="F82" i="40"/>
  <c r="I81" i="18"/>
  <c r="F78" i="40"/>
  <c r="I77" i="18"/>
  <c r="F74" i="40"/>
  <c r="I73" i="18"/>
  <c r="F70" i="40"/>
  <c r="I69" i="18"/>
  <c r="F66" i="40"/>
  <c r="I65" i="18"/>
  <c r="F62" i="40"/>
  <c r="I61" i="18"/>
  <c r="F58" i="40"/>
  <c r="I57" i="18"/>
  <c r="F51" i="40"/>
  <c r="I48" i="18"/>
  <c r="F47" i="40"/>
  <c r="I44" i="18"/>
  <c r="F43" i="40"/>
  <c r="I40" i="18"/>
  <c r="F39" i="40"/>
  <c r="I36" i="18"/>
  <c r="F32" i="40"/>
  <c r="I29" i="18"/>
  <c r="F28" i="40"/>
  <c r="I25" i="18"/>
  <c r="F20" i="40"/>
  <c r="I17" i="18"/>
  <c r="F16" i="40"/>
  <c r="I13" i="18"/>
  <c r="F304" i="40"/>
  <c r="I305" i="18"/>
  <c r="F296" i="40"/>
  <c r="I297" i="18"/>
  <c r="F278" i="40"/>
  <c r="I278" i="18"/>
  <c r="F168" i="40"/>
  <c r="I167" i="18"/>
  <c r="F157" i="40"/>
  <c r="I156" i="18"/>
  <c r="F130" i="40"/>
  <c r="I130" i="18"/>
  <c r="F119" i="40"/>
  <c r="I118" i="18"/>
  <c r="F107" i="40"/>
  <c r="I106" i="18"/>
  <c r="F95" i="40"/>
  <c r="I94" i="18"/>
  <c r="F87" i="40"/>
  <c r="I86" i="18"/>
  <c r="F68" i="40"/>
  <c r="I67" i="18"/>
  <c r="F57" i="40"/>
  <c r="I54" i="18"/>
  <c r="F49" i="40"/>
  <c r="I46" i="18"/>
  <c r="F34" i="40"/>
  <c r="I31" i="18"/>
  <c r="F22" i="40"/>
  <c r="I19" i="18"/>
  <c r="F307" i="40"/>
  <c r="I308" i="18"/>
  <c r="F303" i="40"/>
  <c r="I304" i="18"/>
  <c r="F295" i="40"/>
  <c r="I296" i="18"/>
  <c r="F285" i="40"/>
  <c r="I285" i="18"/>
  <c r="F269" i="40"/>
  <c r="I270" i="18"/>
  <c r="F249" i="40"/>
  <c r="I250" i="18"/>
  <c r="F242" i="40"/>
  <c r="I242" i="18"/>
  <c r="F238" i="40"/>
  <c r="I238" i="18"/>
  <c r="F219" i="40"/>
  <c r="I218" i="18"/>
  <c r="F212" i="40"/>
  <c r="I211" i="18"/>
  <c r="F194" i="40"/>
  <c r="I193" i="18"/>
  <c r="F178" i="40"/>
  <c r="I178" i="18"/>
  <c r="F167" i="40"/>
  <c r="I166" i="18"/>
  <c r="F148" i="40"/>
  <c r="I148" i="18"/>
  <c r="F144" i="40"/>
  <c r="I144" i="18"/>
  <c r="F133" i="40"/>
  <c r="I133" i="18"/>
  <c r="F125" i="40"/>
  <c r="I125" i="18"/>
  <c r="F114" i="40"/>
  <c r="I113" i="18"/>
  <c r="F106" i="40"/>
  <c r="I105" i="18"/>
  <c r="F83" i="40"/>
  <c r="I82" i="18"/>
  <c r="F67" i="40"/>
  <c r="I66" i="18"/>
  <c r="F59" i="40"/>
  <c r="I58" i="18"/>
  <c r="F44" i="40"/>
  <c r="I41" i="18"/>
  <c r="F21" i="40"/>
  <c r="I18" i="18"/>
  <c r="F313" i="40"/>
  <c r="I314" i="18"/>
  <c r="F309" i="40"/>
  <c r="I310" i="18"/>
  <c r="F305" i="40"/>
  <c r="I306" i="18"/>
  <c r="F301" i="40"/>
  <c r="I302" i="18"/>
  <c r="F297" i="40"/>
  <c r="I298" i="18"/>
  <c r="F293" i="40"/>
  <c r="I294" i="18"/>
  <c r="F287" i="40"/>
  <c r="I287" i="18"/>
  <c r="F279" i="40"/>
  <c r="I279" i="18"/>
  <c r="F275" i="40"/>
  <c r="I275" i="18"/>
  <c r="F271" i="40"/>
  <c r="I272" i="18"/>
  <c r="F267" i="40"/>
  <c r="I268" i="18"/>
  <c r="F263" i="40"/>
  <c r="I264" i="18"/>
  <c r="F259" i="40"/>
  <c r="I260" i="18"/>
  <c r="F251" i="40"/>
  <c r="I252" i="18"/>
  <c r="F247" i="40"/>
  <c r="I248" i="18"/>
  <c r="F240" i="40"/>
  <c r="I240" i="18"/>
  <c r="F236" i="40"/>
  <c r="I236" i="18"/>
  <c r="F232" i="40"/>
  <c r="I232" i="18"/>
  <c r="F228" i="40"/>
  <c r="I228" i="18"/>
  <c r="F221" i="40"/>
  <c r="I220" i="18"/>
  <c r="F217" i="40"/>
  <c r="I216" i="18"/>
  <c r="F207" i="40"/>
  <c r="I206" i="18"/>
  <c r="F196" i="40"/>
  <c r="I195" i="18"/>
  <c r="F192" i="40"/>
  <c r="I191" i="18"/>
  <c r="F188" i="40"/>
  <c r="I187" i="18"/>
  <c r="F184" i="40"/>
  <c r="I183" i="18"/>
  <c r="F180" i="40"/>
  <c r="I180" i="18"/>
  <c r="F176" i="40"/>
  <c r="I176" i="18"/>
  <c r="F173" i="40"/>
  <c r="I172" i="18"/>
  <c r="F169" i="40"/>
  <c r="I168" i="18"/>
  <c r="F165" i="40"/>
  <c r="I164" i="18"/>
  <c r="F161" i="40"/>
  <c r="I160" i="18"/>
  <c r="F154" i="40"/>
  <c r="I154" i="18"/>
  <c r="F150" i="40"/>
  <c r="I150" i="18"/>
  <c r="F146" i="40"/>
  <c r="I146" i="18"/>
  <c r="F142" i="40"/>
  <c r="I142" i="18"/>
  <c r="F135" i="40"/>
  <c r="I135" i="18"/>
  <c r="F131" i="40"/>
  <c r="I131" i="18"/>
  <c r="F127" i="40"/>
  <c r="I127" i="18"/>
  <c r="F123" i="40"/>
  <c r="I123" i="18"/>
  <c r="F116" i="40"/>
  <c r="I115" i="18"/>
  <c r="F108" i="40"/>
  <c r="I107" i="18"/>
  <c r="F104" i="40"/>
  <c r="I103" i="18"/>
  <c r="F100" i="40"/>
  <c r="I99" i="18"/>
  <c r="F96" i="40"/>
  <c r="I95" i="18"/>
  <c r="F92" i="40"/>
  <c r="I91" i="18"/>
  <c r="F88" i="40"/>
  <c r="I87" i="18"/>
  <c r="F77" i="40"/>
  <c r="I76" i="18"/>
  <c r="F73" i="40"/>
  <c r="I72" i="18"/>
  <c r="F69" i="40"/>
  <c r="I68" i="18"/>
  <c r="F65" i="40"/>
  <c r="I64" i="18"/>
  <c r="F61" i="40"/>
  <c r="I60" i="18"/>
  <c r="F5" i="40"/>
  <c r="I56" i="18"/>
  <c r="F4" i="40"/>
  <c r="I55" i="18"/>
  <c r="F54" i="40"/>
  <c r="I51" i="18"/>
  <c r="F50" i="40"/>
  <c r="I47" i="18"/>
  <c r="F46" i="40"/>
  <c r="I43" i="18"/>
  <c r="F42" i="40"/>
  <c r="I39" i="18"/>
  <c r="F38" i="40"/>
  <c r="I35" i="18"/>
  <c r="F3" i="40"/>
  <c r="I32" i="18"/>
  <c r="F31" i="40"/>
  <c r="I28" i="18"/>
  <c r="F27" i="40"/>
  <c r="I24" i="18"/>
  <c r="F23" i="40"/>
  <c r="I20" i="18"/>
  <c r="F19" i="40"/>
  <c r="I16" i="18"/>
  <c r="F15" i="40"/>
  <c r="I12" i="18"/>
  <c r="F11" i="40"/>
  <c r="I8" i="18"/>
  <c r="F199" i="40"/>
  <c r="F160" i="40"/>
  <c r="F153" i="40"/>
  <c r="F141" i="40"/>
  <c r="F152" i="40"/>
  <c r="F140" i="40"/>
  <c r="F118" i="40"/>
  <c r="F56" i="40"/>
  <c r="F52" i="40"/>
  <c r="F25" i="40"/>
  <c r="F264" i="40"/>
  <c r="F256" i="40"/>
  <c r="F241" i="40"/>
  <c r="F233" i="40"/>
  <c r="F197" i="40"/>
  <c r="F166" i="40"/>
  <c r="F139" i="40"/>
  <c r="F101" i="40"/>
  <c r="F55" i="40"/>
  <c r="F24" i="40"/>
  <c r="F12" i="40"/>
  <c r="F282" i="40"/>
  <c r="F270" i="40"/>
  <c r="F262" i="40"/>
  <c r="F283" i="40"/>
  <c r="F255" i="40"/>
  <c r="F244" i="40"/>
  <c r="F225" i="40"/>
  <c r="F214" i="40"/>
  <c r="F203" i="40"/>
  <c r="F200" i="40"/>
  <c r="F138" i="40"/>
  <c r="F120" i="40"/>
  <c r="F112" i="40"/>
  <c r="F81" i="40"/>
  <c r="V5" i="37"/>
  <c r="F299" i="39"/>
  <c r="E300" i="38"/>
  <c r="F292" i="39"/>
  <c r="E293" i="38"/>
  <c r="F10" i="39"/>
  <c r="E65" i="38"/>
  <c r="F288" i="39"/>
  <c r="E28" i="38"/>
  <c r="F284" i="39"/>
  <c r="E27" i="38"/>
  <c r="F280" i="39"/>
  <c r="E282" i="38"/>
  <c r="F11" i="39"/>
  <c r="E47" i="38"/>
  <c r="F276" i="39"/>
  <c r="E278" i="38"/>
  <c r="F272" i="39"/>
  <c r="E275" i="38"/>
  <c r="F9" i="39"/>
  <c r="E41" i="38"/>
  <c r="F266" i="39"/>
  <c r="E269" i="38"/>
  <c r="F262" i="39"/>
  <c r="E265" i="38"/>
  <c r="F258" i="39"/>
  <c r="E261" i="38"/>
  <c r="E23" i="38"/>
  <c r="F255" i="39"/>
  <c r="F252" i="39"/>
  <c r="E256" i="38"/>
  <c r="F248" i="39"/>
  <c r="E252" i="38"/>
  <c r="F244" i="39"/>
  <c r="E248" i="38"/>
  <c r="F56" i="39"/>
  <c r="E247" i="38"/>
  <c r="F243" i="39"/>
  <c r="E246" i="38"/>
  <c r="F52" i="39"/>
  <c r="E243" i="38"/>
  <c r="F236" i="39"/>
  <c r="E239" i="38"/>
  <c r="F233" i="39"/>
  <c r="E20" i="38"/>
  <c r="F229" i="39"/>
  <c r="E233" i="38"/>
  <c r="F35" i="39"/>
  <c r="E230" i="38"/>
  <c r="F223" i="39"/>
  <c r="E226" i="38"/>
  <c r="F217" i="39"/>
  <c r="E220" i="38"/>
  <c r="F216" i="39"/>
  <c r="E219" i="38"/>
  <c r="E58" i="38"/>
  <c r="F213" i="39"/>
  <c r="F211" i="39"/>
  <c r="E216" i="38"/>
  <c r="F207" i="39"/>
  <c r="E212" i="38"/>
  <c r="F205" i="39"/>
  <c r="E36" i="38"/>
  <c r="F201" i="39"/>
  <c r="E208" i="38"/>
  <c r="F197" i="39"/>
  <c r="E205" i="38"/>
  <c r="F49" i="39"/>
  <c r="E72" i="38"/>
  <c r="F192" i="39"/>
  <c r="E200" i="38"/>
  <c r="F189" i="39"/>
  <c r="E196" i="38"/>
  <c r="F185" i="39"/>
  <c r="E192" i="38"/>
  <c r="E15" i="38"/>
  <c r="F5" i="39"/>
  <c r="F46" i="39"/>
  <c r="E189" i="38"/>
  <c r="F179" i="39"/>
  <c r="E186" i="38"/>
  <c r="E55" i="38"/>
  <c r="F23" i="39"/>
  <c r="F172" i="39"/>
  <c r="E180" i="38"/>
  <c r="F169" i="39"/>
  <c r="E177" i="38"/>
  <c r="F167" i="39"/>
  <c r="E174" i="38"/>
  <c r="F164" i="39"/>
  <c r="E170" i="38"/>
  <c r="E167" i="38"/>
  <c r="F160" i="39"/>
  <c r="F157" i="39"/>
  <c r="E164" i="38"/>
  <c r="F153" i="39"/>
  <c r="E160" i="38"/>
  <c r="F22" i="39"/>
  <c r="E74" i="38"/>
  <c r="F147" i="39"/>
  <c r="E153" i="38"/>
  <c r="F143" i="39"/>
  <c r="E149" i="38"/>
  <c r="F139" i="39"/>
  <c r="E145" i="38"/>
  <c r="F136" i="39"/>
  <c r="E141" i="38"/>
  <c r="F133" i="39"/>
  <c r="E138" i="38"/>
  <c r="F129" i="39"/>
  <c r="E134" i="38"/>
  <c r="E11" i="38"/>
  <c r="F42" i="39"/>
  <c r="F124" i="39"/>
  <c r="E128" i="38"/>
  <c r="F120" i="39"/>
  <c r="E9" i="38"/>
  <c r="F116" i="39"/>
  <c r="E122" i="38"/>
  <c r="F113" i="39"/>
  <c r="E69" i="38"/>
  <c r="E119" i="38"/>
  <c r="F110" i="39"/>
  <c r="F106" i="39"/>
  <c r="E8" i="38"/>
  <c r="F102" i="39"/>
  <c r="E67" i="38"/>
  <c r="F39" i="39"/>
  <c r="E7" i="38"/>
  <c r="F96" i="39"/>
  <c r="E108" i="38"/>
  <c r="F94" i="39"/>
  <c r="E105" i="38"/>
  <c r="F37" i="39"/>
  <c r="E102" i="38"/>
  <c r="F87" i="39"/>
  <c r="E99" i="38"/>
  <c r="F84" i="39"/>
  <c r="E3" i="38"/>
  <c r="E94" i="38"/>
  <c r="F80" i="39"/>
  <c r="F76" i="39"/>
  <c r="E90" i="38"/>
  <c r="F72" i="39"/>
  <c r="E86" i="38"/>
  <c r="F12" i="39"/>
  <c r="E49" i="38"/>
  <c r="F66" i="39"/>
  <c r="E80" i="38"/>
  <c r="F62" i="39"/>
  <c r="E76" i="38"/>
  <c r="F305" i="39"/>
  <c r="E307" i="38"/>
  <c r="F308" i="39"/>
  <c r="E309" i="38"/>
  <c r="F59" i="39"/>
  <c r="E29" i="38"/>
  <c r="F287" i="39"/>
  <c r="E288" i="38"/>
  <c r="F275" i="39"/>
  <c r="E277" i="38"/>
  <c r="F265" i="39"/>
  <c r="E268" i="38"/>
  <c r="F261" i="39"/>
  <c r="E264" i="38"/>
  <c r="F257" i="39"/>
  <c r="E260" i="38"/>
  <c r="F254" i="39"/>
  <c r="E258" i="38"/>
  <c r="F251" i="39"/>
  <c r="E255" i="38"/>
  <c r="F247" i="39"/>
  <c r="E251" i="38"/>
  <c r="F18" i="39"/>
  <c r="E39" i="38"/>
  <c r="F55" i="39"/>
  <c r="E22" i="38"/>
  <c r="E21" i="38"/>
  <c r="F242" i="39"/>
  <c r="F239" i="39"/>
  <c r="E242" i="38"/>
  <c r="F235" i="39"/>
  <c r="E238" i="38"/>
  <c r="F232" i="39"/>
  <c r="E236" i="38"/>
  <c r="F226" i="39"/>
  <c r="E229" i="38"/>
  <c r="F222" i="39"/>
  <c r="E225" i="38"/>
  <c r="F220" i="39"/>
  <c r="E223" i="38"/>
  <c r="F215" i="39"/>
  <c r="E19" i="38"/>
  <c r="F212" i="39"/>
  <c r="E217" i="38"/>
  <c r="F210" i="39"/>
  <c r="E215" i="38"/>
  <c r="F50" i="39"/>
  <c r="E18" i="38"/>
  <c r="F204" i="39"/>
  <c r="E210" i="38"/>
  <c r="F200" i="39"/>
  <c r="E207" i="38"/>
  <c r="F196" i="39"/>
  <c r="E204" i="38"/>
  <c r="E201" i="38"/>
  <c r="F193" i="39"/>
  <c r="F191" i="39"/>
  <c r="E199" i="38"/>
  <c r="F188" i="39"/>
  <c r="E195" i="38"/>
  <c r="E34" i="38"/>
  <c r="F16" i="39"/>
  <c r="E188" i="38"/>
  <c r="F45" i="39"/>
  <c r="F178" i="39"/>
  <c r="E13" i="38"/>
  <c r="F175" i="39"/>
  <c r="E183" i="38"/>
  <c r="F171" i="39"/>
  <c r="E179" i="38"/>
  <c r="E176" i="38"/>
  <c r="F4" i="39"/>
  <c r="F166" i="39"/>
  <c r="E173" i="38"/>
  <c r="E12" i="38"/>
  <c r="F163" i="39"/>
  <c r="F159" i="39"/>
  <c r="E166" i="38"/>
  <c r="F156" i="39"/>
  <c r="E163" i="38"/>
  <c r="F152" i="39"/>
  <c r="E159" i="38"/>
  <c r="F60" i="39"/>
  <c r="E156" i="38"/>
  <c r="F146" i="39"/>
  <c r="E152" i="38"/>
  <c r="F142" i="39"/>
  <c r="E148" i="38"/>
  <c r="F43" i="39"/>
  <c r="E144" i="38"/>
  <c r="F135" i="39"/>
  <c r="E140" i="38"/>
  <c r="F132" i="39"/>
  <c r="E137" i="38"/>
  <c r="F128" i="39"/>
  <c r="E133" i="38"/>
  <c r="F123" i="39"/>
  <c r="E127" i="38"/>
  <c r="F119" i="39"/>
  <c r="E125" i="38"/>
  <c r="F115" i="39"/>
  <c r="E70" i="38"/>
  <c r="E44" i="38"/>
  <c r="F112" i="39"/>
  <c r="F109" i="39"/>
  <c r="E118" i="38"/>
  <c r="F105" i="39"/>
  <c r="E115" i="38"/>
  <c r="F20" i="39"/>
  <c r="E32" i="38"/>
  <c r="F14" i="39"/>
  <c r="E31" i="38"/>
  <c r="F99" i="39"/>
  <c r="E6" i="38"/>
  <c r="F13" i="39"/>
  <c r="E66" i="38"/>
  <c r="F93" i="39"/>
  <c r="E5" i="38"/>
  <c r="F90" i="39"/>
  <c r="E4" i="38"/>
  <c r="F34" i="39"/>
  <c r="E51" i="38"/>
  <c r="F83" i="39"/>
  <c r="E50" i="38"/>
  <c r="F79" i="39"/>
  <c r="E93" i="38"/>
  <c r="F75" i="39"/>
  <c r="E89" i="38"/>
  <c r="F71" i="39"/>
  <c r="E85" i="38"/>
  <c r="F68" i="39"/>
  <c r="E82" i="38"/>
  <c r="F65" i="39"/>
  <c r="E79" i="38"/>
  <c r="F61" i="39"/>
  <c r="E75" i="38"/>
  <c r="F309" i="39"/>
  <c r="E310" i="38"/>
  <c r="F28" i="39"/>
  <c r="E42" i="38"/>
  <c r="F304" i="39"/>
  <c r="E306" i="38"/>
  <c r="F295" i="39"/>
  <c r="E296" i="38"/>
  <c r="E26" i="38"/>
  <c r="F57" i="39"/>
  <c r="F271" i="39"/>
  <c r="E274" i="38"/>
  <c r="F311" i="39"/>
  <c r="E312" i="38"/>
  <c r="F303" i="39"/>
  <c r="E305" i="38"/>
  <c r="F297" i="39"/>
  <c r="E298" i="38"/>
  <c r="F294" i="39"/>
  <c r="E295" i="38"/>
  <c r="F291" i="39"/>
  <c r="E292" i="38"/>
  <c r="F27" i="39"/>
  <c r="E64" i="38"/>
  <c r="F286" i="39"/>
  <c r="E287" i="38"/>
  <c r="F282" i="39"/>
  <c r="E284" i="38"/>
  <c r="F19" i="39"/>
  <c r="E63" i="38"/>
  <c r="F278" i="39"/>
  <c r="E280" i="38"/>
  <c r="F274" i="39"/>
  <c r="E73" i="38"/>
  <c r="F270" i="39"/>
  <c r="E273" i="38"/>
  <c r="F268" i="39"/>
  <c r="E271" i="38"/>
  <c r="F264" i="39"/>
  <c r="E267" i="38"/>
  <c r="F260" i="39"/>
  <c r="E263" i="38"/>
  <c r="F256" i="39"/>
  <c r="E259" i="38"/>
  <c r="F7" i="39"/>
  <c r="E62" i="38"/>
  <c r="F250" i="39"/>
  <c r="E254" i="38"/>
  <c r="F246" i="39"/>
  <c r="E250" i="38"/>
  <c r="F30" i="39"/>
  <c r="E61" i="38"/>
  <c r="E60" i="38"/>
  <c r="F54" i="39"/>
  <c r="F241" i="39"/>
  <c r="E245" i="38"/>
  <c r="F238" i="39"/>
  <c r="E241" i="38"/>
  <c r="F234" i="39"/>
  <c r="E237" i="38"/>
  <c r="E235" i="38"/>
  <c r="F231" i="39"/>
  <c r="F228" i="39"/>
  <c r="E232" i="38"/>
  <c r="F225" i="39"/>
  <c r="E228" i="38"/>
  <c r="F221" i="39"/>
  <c r="E224" i="38"/>
  <c r="F219" i="39"/>
  <c r="E222" i="38"/>
  <c r="F214" i="39"/>
  <c r="E218" i="38"/>
  <c r="F33" i="39"/>
  <c r="E57" i="38"/>
  <c r="F209" i="39"/>
  <c r="E214" i="38"/>
  <c r="F206" i="39"/>
  <c r="E211" i="38"/>
  <c r="F203" i="39"/>
  <c r="E16" i="38"/>
  <c r="F199" i="39"/>
  <c r="E206" i="38"/>
  <c r="F195" i="39"/>
  <c r="E203" i="38"/>
  <c r="F17" i="39"/>
  <c r="E71" i="38"/>
  <c r="F48" i="39"/>
  <c r="E198" i="38"/>
  <c r="F187" i="39"/>
  <c r="E194" i="38"/>
  <c r="F184" i="39"/>
  <c r="E191" i="38"/>
  <c r="E14" i="38"/>
  <c r="F183" i="39"/>
  <c r="F181" i="39"/>
  <c r="E187" i="38"/>
  <c r="F177" i="39"/>
  <c r="E185" i="38"/>
  <c r="F174" i="39"/>
  <c r="E182" i="38"/>
  <c r="E54" i="38"/>
  <c r="F31" i="39"/>
  <c r="F165" i="39"/>
  <c r="E172" i="38"/>
  <c r="F162" i="39"/>
  <c r="E169" i="38"/>
  <c r="F158" i="39"/>
  <c r="E165" i="38"/>
  <c r="F155" i="39"/>
  <c r="E162" i="38"/>
  <c r="F151" i="39"/>
  <c r="E158" i="38"/>
  <c r="F149" i="39"/>
  <c r="E155" i="38"/>
  <c r="F145" i="39"/>
  <c r="E151" i="38"/>
  <c r="F141" i="39"/>
  <c r="E147" i="38"/>
  <c r="F138" i="39"/>
  <c r="E143" i="38"/>
  <c r="F134" i="39"/>
  <c r="E139" i="38"/>
  <c r="F131" i="39"/>
  <c r="E136" i="38"/>
  <c r="F127" i="39"/>
  <c r="E132" i="38"/>
  <c r="F125" i="39"/>
  <c r="E130" i="38"/>
  <c r="F122" i="39"/>
  <c r="E10" i="38"/>
  <c r="F118" i="39"/>
  <c r="E124" i="38"/>
  <c r="F40" i="39"/>
  <c r="E121" i="38"/>
  <c r="E43" i="38"/>
  <c r="F3" i="39"/>
  <c r="F108" i="39"/>
  <c r="E117" i="38"/>
  <c r="F104" i="39"/>
  <c r="E114" i="38"/>
  <c r="F101" i="39"/>
  <c r="E112" i="38"/>
  <c r="F98" i="39"/>
  <c r="E110" i="38"/>
  <c r="F38" i="39"/>
  <c r="E107" i="38"/>
  <c r="F92" i="39"/>
  <c r="E104" i="38"/>
  <c r="F89" i="39"/>
  <c r="E101" i="38"/>
  <c r="F86" i="39"/>
  <c r="E98" i="38"/>
  <c r="F82" i="39"/>
  <c r="E96" i="38"/>
  <c r="F78" i="39"/>
  <c r="E92" i="38"/>
  <c r="F74" i="39"/>
  <c r="E88" i="38"/>
  <c r="F70" i="39"/>
  <c r="E84" i="38"/>
  <c r="E81" i="38"/>
  <c r="F67" i="39"/>
  <c r="F64" i="39"/>
  <c r="E78" i="38"/>
  <c r="F301" i="39"/>
  <c r="E303" i="38"/>
  <c r="F312" i="39"/>
  <c r="E313" i="38"/>
  <c r="F298" i="39"/>
  <c r="E299" i="38"/>
  <c r="F289" i="39"/>
  <c r="E290" i="38"/>
  <c r="F283" i="39"/>
  <c r="E285" i="38"/>
  <c r="F279" i="39"/>
  <c r="E281" i="38"/>
  <c r="E24" i="38"/>
  <c r="F313" i="39"/>
  <c r="F307" i="39"/>
  <c r="E30" i="38"/>
  <c r="F58" i="39"/>
  <c r="E302" i="38"/>
  <c r="F310" i="39"/>
  <c r="E311" i="38"/>
  <c r="F306" i="39"/>
  <c r="E308" i="38"/>
  <c r="F302" i="39"/>
  <c r="E304" i="38"/>
  <c r="F300" i="39"/>
  <c r="E301" i="38"/>
  <c r="F296" i="39"/>
  <c r="E297" i="38"/>
  <c r="F293" i="39"/>
  <c r="E294" i="38"/>
  <c r="F290" i="39"/>
  <c r="E291" i="38"/>
  <c r="F26" i="39"/>
  <c r="E289" i="38"/>
  <c r="F285" i="39"/>
  <c r="E286" i="38"/>
  <c r="F281" i="39"/>
  <c r="E283" i="38"/>
  <c r="F25" i="39"/>
  <c r="E25" i="38"/>
  <c r="F277" i="39"/>
  <c r="E279" i="38"/>
  <c r="F273" i="39"/>
  <c r="E276" i="38"/>
  <c r="F269" i="39"/>
  <c r="E272" i="38"/>
  <c r="F267" i="39"/>
  <c r="E270" i="38"/>
  <c r="F263" i="39"/>
  <c r="E266" i="38"/>
  <c r="E262" i="38"/>
  <c r="F259" i="39"/>
  <c r="F8" i="39"/>
  <c r="E40" i="38"/>
  <c r="F253" i="39"/>
  <c r="E257" i="38"/>
  <c r="F249" i="39"/>
  <c r="E253" i="38"/>
  <c r="F245" i="39"/>
  <c r="E249" i="38"/>
  <c r="F29" i="39"/>
  <c r="E38" i="38"/>
  <c r="E59" i="38"/>
  <c r="F53" i="39"/>
  <c r="F240" i="39"/>
  <c r="E244" i="38"/>
  <c r="F237" i="39"/>
  <c r="E240" i="38"/>
  <c r="F230" i="39"/>
  <c r="E234" i="38"/>
  <c r="F227" i="39"/>
  <c r="E231" i="38"/>
  <c r="F224" i="39"/>
  <c r="E227" i="38"/>
  <c r="F218" i="39"/>
  <c r="E221" i="38"/>
  <c r="F51" i="39"/>
  <c r="E46" i="38"/>
  <c r="F6" i="39"/>
  <c r="E37" i="38"/>
  <c r="F208" i="39"/>
  <c r="E213" i="38"/>
  <c r="F32" i="39"/>
  <c r="E17" i="38"/>
  <c r="F202" i="39"/>
  <c r="E209" i="38"/>
  <c r="F198" i="39"/>
  <c r="E45" i="38"/>
  <c r="F194" i="39"/>
  <c r="E202" i="38"/>
  <c r="F24" i="39"/>
  <c r="E56" i="38"/>
  <c r="F190" i="39"/>
  <c r="E197" i="38"/>
  <c r="F186" i="39"/>
  <c r="E193" i="38"/>
  <c r="E35" i="38"/>
  <c r="F47" i="39"/>
  <c r="F182" i="39"/>
  <c r="E190" i="38"/>
  <c r="F180" i="39"/>
  <c r="E33" i="38"/>
  <c r="F176" i="39"/>
  <c r="E184" i="38"/>
  <c r="F173" i="39"/>
  <c r="E181" i="38"/>
  <c r="F170" i="39"/>
  <c r="E178" i="38"/>
  <c r="F168" i="39"/>
  <c r="E175" i="38"/>
  <c r="F44" i="39"/>
  <c r="E171" i="38"/>
  <c r="F161" i="39"/>
  <c r="E168" i="38"/>
  <c r="F15" i="39"/>
  <c r="E53" i="38"/>
  <c r="F154" i="39"/>
  <c r="E161" i="38"/>
  <c r="F150" i="39"/>
  <c r="E157" i="38"/>
  <c r="F148" i="39"/>
  <c r="E154" i="38"/>
  <c r="F144" i="39"/>
  <c r="E150" i="38"/>
  <c r="F140" i="39"/>
  <c r="E146" i="38"/>
  <c r="F137" i="39"/>
  <c r="E142" i="38"/>
  <c r="F21" i="39"/>
  <c r="E52" i="38"/>
  <c r="F130" i="39"/>
  <c r="E135" i="38"/>
  <c r="F126" i="39"/>
  <c r="E131" i="38"/>
  <c r="F41" i="39"/>
  <c r="E129" i="38"/>
  <c r="F121" i="39"/>
  <c r="E126" i="38"/>
  <c r="F117" i="39"/>
  <c r="E123" i="38"/>
  <c r="F114" i="39"/>
  <c r="E120" i="38"/>
  <c r="E68" i="38"/>
  <c r="F111" i="39"/>
  <c r="F107" i="39"/>
  <c r="E116" i="38"/>
  <c r="F103" i="39"/>
  <c r="E113" i="38"/>
  <c r="F100" i="39"/>
  <c r="E111" i="38"/>
  <c r="F97" i="39"/>
  <c r="E109" i="38"/>
  <c r="F95" i="39"/>
  <c r="E106" i="38"/>
  <c r="F91" i="39"/>
  <c r="E103" i="38"/>
  <c r="F88" i="39"/>
  <c r="E100" i="38"/>
  <c r="F85" i="39"/>
  <c r="E97" i="38"/>
  <c r="F81" i="39"/>
  <c r="E95" i="38"/>
  <c r="F77" i="39"/>
  <c r="E91" i="38"/>
  <c r="F73" i="39"/>
  <c r="E87" i="38"/>
  <c r="F69" i="39"/>
  <c r="E83" i="38"/>
  <c r="F36" i="39"/>
  <c r="E48" i="38"/>
  <c r="F63" i="39"/>
  <c r="E77" i="38"/>
  <c r="M313" i="37"/>
  <c r="N313" i="37" s="1"/>
  <c r="K85" i="36"/>
  <c r="L85" i="36" s="1"/>
  <c r="M18" i="37"/>
  <c r="N18" i="37" s="1"/>
  <c r="K240" i="36"/>
  <c r="L240" i="36" s="1"/>
  <c r="M182" i="37"/>
  <c r="N182" i="37" s="1"/>
  <c r="K159" i="36"/>
  <c r="L159" i="36" s="1"/>
  <c r="M100" i="37"/>
  <c r="N100" i="37" s="1"/>
  <c r="K157" i="36"/>
  <c r="L157" i="36" s="1"/>
  <c r="M306" i="37"/>
  <c r="N306" i="37" s="1"/>
  <c r="K313" i="36"/>
  <c r="L313" i="36" s="1"/>
  <c r="M302" i="37"/>
  <c r="N302" i="37" s="1"/>
  <c r="K262" i="36"/>
  <c r="L262" i="36" s="1"/>
  <c r="M301" i="37"/>
  <c r="N301" i="37" s="1"/>
  <c r="K229" i="36"/>
  <c r="L229" i="36" s="1"/>
  <c r="M181" i="37"/>
  <c r="N181" i="37" s="1"/>
  <c r="K59" i="36"/>
  <c r="L59" i="36" s="1"/>
  <c r="M162" i="37"/>
  <c r="N162" i="37" s="1"/>
  <c r="K261" i="36"/>
  <c r="L261" i="36" s="1"/>
  <c r="M246" i="37"/>
  <c r="N246" i="37" s="1"/>
  <c r="K311" i="36"/>
  <c r="L311" i="36" s="1"/>
  <c r="M48" i="37"/>
  <c r="N48" i="37" s="1"/>
  <c r="K34" i="36"/>
  <c r="L34" i="36" s="1"/>
  <c r="M133" i="37"/>
  <c r="N133" i="37" s="1"/>
  <c r="K23" i="36"/>
  <c r="L23" i="36" s="1"/>
  <c r="M299" i="37"/>
  <c r="N299" i="37" s="1"/>
  <c r="K245" i="36"/>
  <c r="L245" i="36" s="1"/>
  <c r="M156" i="37"/>
  <c r="N156" i="37" s="1"/>
  <c r="K104" i="36"/>
  <c r="L104" i="36" s="1"/>
  <c r="M298" i="37"/>
  <c r="N298" i="37" s="1"/>
  <c r="K92" i="36"/>
  <c r="L92" i="36" s="1"/>
  <c r="M42" i="37"/>
  <c r="N42" i="37" s="1"/>
  <c r="K267" i="36"/>
  <c r="L267" i="36" s="1"/>
  <c r="M296" i="37"/>
  <c r="N296" i="37" s="1"/>
  <c r="K121" i="36"/>
  <c r="L121" i="36" s="1"/>
  <c r="M240" i="37"/>
  <c r="N240" i="37" s="1"/>
  <c r="K56" i="36"/>
  <c r="L56" i="36" s="1"/>
  <c r="M239" i="37"/>
  <c r="N239" i="37" s="1"/>
  <c r="K32" i="36"/>
  <c r="L32" i="36" s="1"/>
  <c r="M25" i="37"/>
  <c r="N25" i="37" s="1"/>
  <c r="K9" i="36"/>
  <c r="L9" i="36" s="1"/>
  <c r="M199" i="37"/>
  <c r="N199" i="37" s="1"/>
  <c r="K212" i="36"/>
  <c r="L212" i="36" s="1"/>
  <c r="M69" i="37"/>
  <c r="N69" i="37" s="1"/>
  <c r="K227" i="36"/>
  <c r="L227" i="36" s="1"/>
  <c r="M67" i="37"/>
  <c r="N67" i="37" s="1"/>
  <c r="K93" i="36"/>
  <c r="L93" i="36" s="1"/>
  <c r="M293" i="37"/>
  <c r="N293" i="37" s="1"/>
  <c r="K74" i="36"/>
  <c r="L74" i="36" s="1"/>
  <c r="M292" i="37"/>
  <c r="N292" i="37" s="1"/>
  <c r="K75" i="36"/>
  <c r="L75" i="36" s="1"/>
  <c r="M290" i="37"/>
  <c r="N290" i="37" s="1"/>
  <c r="K165" i="36"/>
  <c r="L165" i="36" s="1"/>
  <c r="M289" i="37"/>
  <c r="N289" i="37" s="1"/>
  <c r="K72" i="36"/>
  <c r="L72" i="36" s="1"/>
  <c r="M287" i="37"/>
  <c r="N287" i="37" s="1"/>
  <c r="K174" i="36"/>
  <c r="L174" i="36" s="1"/>
  <c r="M78" i="37"/>
  <c r="N78" i="37" s="1"/>
  <c r="K31" i="36"/>
  <c r="L31" i="36" s="1"/>
  <c r="M45" i="37"/>
  <c r="N45" i="37" s="1"/>
  <c r="K54" i="36"/>
  <c r="L54" i="36" s="1"/>
  <c r="M196" i="37"/>
  <c r="N196" i="37" s="1"/>
  <c r="K18" i="36"/>
  <c r="L18" i="36" s="1"/>
  <c r="M40" i="37"/>
  <c r="N40" i="37" s="1"/>
  <c r="K273" i="36"/>
  <c r="L273" i="36" s="1"/>
  <c r="M122" i="37"/>
  <c r="N122" i="37" s="1"/>
  <c r="K118" i="36"/>
  <c r="L118" i="36" s="1"/>
  <c r="M235" i="37"/>
  <c r="N235" i="37" s="1"/>
  <c r="K64" i="36"/>
  <c r="L64" i="36" s="1"/>
  <c r="M96" i="37"/>
  <c r="N96" i="37" s="1"/>
  <c r="K243" i="36"/>
  <c r="L243" i="36" s="1"/>
  <c r="M175" i="37"/>
  <c r="N175" i="37" s="1"/>
  <c r="K226" i="36"/>
  <c r="L226" i="36" s="1"/>
  <c r="M159" i="37"/>
  <c r="N159" i="37" s="1"/>
  <c r="K160" i="36"/>
  <c r="L160" i="36" s="1"/>
  <c r="M14" i="37"/>
  <c r="N14" i="37" s="1"/>
  <c r="K43" i="36"/>
  <c r="L43" i="36" s="1"/>
  <c r="M80" i="37"/>
  <c r="N80" i="37" s="1"/>
  <c r="K27" i="36"/>
  <c r="L27" i="36" s="1"/>
  <c r="M281" i="37"/>
  <c r="N281" i="37" s="1"/>
  <c r="K84" i="36"/>
  <c r="L84" i="36" s="1"/>
  <c r="M173" i="37"/>
  <c r="N173" i="37" s="1"/>
  <c r="K225" i="36"/>
  <c r="L225" i="36" s="1"/>
  <c r="M62" i="37"/>
  <c r="N62" i="37" s="1"/>
  <c r="K255" i="36"/>
  <c r="L255" i="36" s="1"/>
  <c r="M232" i="37"/>
  <c r="N232" i="37" s="1"/>
  <c r="K293" i="36"/>
  <c r="L293" i="36" s="1"/>
  <c r="M28" i="37"/>
  <c r="N28" i="37" s="1"/>
  <c r="K134" i="36"/>
  <c r="L134" i="36" s="1"/>
  <c r="M277" i="37"/>
  <c r="N277" i="37" s="1"/>
  <c r="K108" i="36"/>
  <c r="L108" i="36" s="1"/>
  <c r="M51" i="37"/>
  <c r="N51" i="37" s="1"/>
  <c r="K143" i="36"/>
  <c r="L143" i="36" s="1"/>
  <c r="M38" i="37"/>
  <c r="N38" i="37" s="1"/>
  <c r="K198" i="36"/>
  <c r="L198" i="36" s="1"/>
  <c r="M179" i="37"/>
  <c r="N179" i="37" s="1"/>
  <c r="K239" i="36"/>
  <c r="L239" i="36" s="1"/>
  <c r="M36" i="37"/>
  <c r="N36" i="37" s="1"/>
  <c r="K17" i="36"/>
  <c r="L17" i="36" s="1"/>
  <c r="M270" i="37"/>
  <c r="N270" i="37" s="1"/>
  <c r="K116" i="36"/>
  <c r="L116" i="36" s="1"/>
  <c r="M114" i="37"/>
  <c r="N114" i="37" s="1"/>
  <c r="K219" i="36"/>
  <c r="L219" i="36" s="1"/>
  <c r="M22" i="37"/>
  <c r="N22" i="37" s="1"/>
  <c r="K7" i="36"/>
  <c r="L7" i="36" s="1"/>
  <c r="M231" i="37"/>
  <c r="N231" i="37" s="1"/>
  <c r="K241" i="36"/>
  <c r="L241" i="36" s="1"/>
  <c r="M112" i="37"/>
  <c r="N112" i="37" s="1"/>
  <c r="K215" i="36"/>
  <c r="L215" i="36" s="1"/>
  <c r="M145" i="37"/>
  <c r="N145" i="37" s="1"/>
  <c r="K290" i="36"/>
  <c r="L290" i="36" s="1"/>
  <c r="M267" i="37"/>
  <c r="N267" i="37" s="1"/>
  <c r="K166" i="36"/>
  <c r="L166" i="36" s="1"/>
  <c r="M266" i="37"/>
  <c r="N266" i="37" s="1"/>
  <c r="K213" i="36"/>
  <c r="L213" i="36" s="1"/>
  <c r="M90" i="37"/>
  <c r="N90" i="37" s="1"/>
  <c r="K142" i="36"/>
  <c r="L142" i="36" s="1"/>
  <c r="M227" i="37"/>
  <c r="N227" i="37" s="1"/>
  <c r="K49" i="36"/>
  <c r="L49" i="36" s="1"/>
  <c r="M108" i="37"/>
  <c r="N108" i="37" s="1"/>
  <c r="K258" i="36"/>
  <c r="L258" i="36" s="1"/>
  <c r="M166" i="37"/>
  <c r="N166" i="37" s="1"/>
  <c r="K30" i="36"/>
  <c r="L30" i="36" s="1"/>
  <c r="M7" i="37"/>
  <c r="N7" i="37" s="1"/>
  <c r="K287" i="36"/>
  <c r="L287" i="36" s="1"/>
  <c r="M5" i="37"/>
  <c r="N5" i="37" s="1"/>
  <c r="K61" i="36"/>
  <c r="L61" i="36" s="1"/>
  <c r="M58" i="37"/>
  <c r="N58" i="37" s="1"/>
  <c r="K302" i="36"/>
  <c r="L302" i="36" s="1"/>
  <c r="M178" i="37"/>
  <c r="N178" i="37" s="1"/>
  <c r="K151" i="36"/>
  <c r="L151" i="36" s="1"/>
  <c r="M107" i="37"/>
  <c r="N107" i="37" s="1"/>
  <c r="K190" i="36"/>
  <c r="L190" i="36" s="1"/>
  <c r="M215" i="37"/>
  <c r="N215" i="37" s="1"/>
  <c r="K288" i="36"/>
  <c r="L288" i="36" s="1"/>
  <c r="M49" i="37"/>
  <c r="N49" i="37" s="1"/>
  <c r="K15" i="36"/>
  <c r="L15" i="36" s="1"/>
  <c r="M8" i="37"/>
  <c r="N8" i="37" s="1"/>
  <c r="K66" i="36"/>
  <c r="L66" i="36" s="1"/>
  <c r="M253" i="37"/>
  <c r="N253" i="37" s="1"/>
  <c r="K197" i="36"/>
  <c r="L197" i="36" s="1"/>
  <c r="M150" i="37"/>
  <c r="N150" i="37" s="1"/>
  <c r="K179" i="36"/>
  <c r="L179" i="36" s="1"/>
  <c r="M103" i="37"/>
  <c r="N103" i="37" s="1"/>
  <c r="K98" i="36"/>
  <c r="L98" i="36" s="1"/>
  <c r="M170" i="37"/>
  <c r="N170" i="37" s="1"/>
  <c r="K78" i="36"/>
  <c r="L78" i="36" s="1"/>
  <c r="M101" i="37"/>
  <c r="N101" i="37" s="1"/>
  <c r="K248" i="36"/>
  <c r="L248" i="36" s="1"/>
  <c r="M247" i="37"/>
  <c r="N247" i="37" s="1"/>
  <c r="K252" i="36"/>
  <c r="L252" i="36" s="1"/>
  <c r="M311" i="37"/>
  <c r="N311" i="37" s="1"/>
  <c r="K180" i="36"/>
  <c r="L180" i="36" s="1"/>
  <c r="M9" i="37"/>
  <c r="N9" i="37" s="1"/>
  <c r="K69" i="36"/>
  <c r="L69" i="36" s="1"/>
  <c r="M312" i="37"/>
  <c r="N312" i="37" s="1"/>
  <c r="K314" i="36"/>
  <c r="L314" i="36" s="1"/>
  <c r="M308" i="37"/>
  <c r="N308" i="37" s="1"/>
  <c r="K124" i="36"/>
  <c r="L124" i="36" s="1"/>
  <c r="M245" i="37"/>
  <c r="N245" i="37" s="1"/>
  <c r="K150" i="36"/>
  <c r="L150" i="36" s="1"/>
  <c r="M211" i="37"/>
  <c r="N211" i="37" s="1"/>
  <c r="K196" i="36"/>
  <c r="L196" i="36" s="1"/>
  <c r="M310" i="37"/>
  <c r="N310" i="37" s="1"/>
  <c r="K94" i="36"/>
  <c r="L94" i="36" s="1"/>
  <c r="M209" i="37"/>
  <c r="N209" i="37" s="1"/>
  <c r="K16" i="36"/>
  <c r="L16" i="36" s="1"/>
  <c r="M307" i="37"/>
  <c r="N307" i="37" s="1"/>
  <c r="K88" i="36"/>
  <c r="L88" i="36" s="1"/>
  <c r="M135" i="37"/>
  <c r="N135" i="37" s="1"/>
  <c r="K122" i="36"/>
  <c r="L122" i="36" s="1"/>
  <c r="M304" i="37"/>
  <c r="N304" i="37" s="1"/>
  <c r="K275" i="36"/>
  <c r="L275" i="36" s="1"/>
  <c r="M54" i="37"/>
  <c r="N54" i="37" s="1"/>
  <c r="K57" i="36"/>
  <c r="L57" i="36" s="1"/>
  <c r="M207" i="37"/>
  <c r="N207" i="37" s="1"/>
  <c r="K251" i="36"/>
  <c r="L251" i="36" s="1"/>
  <c r="M74" i="37"/>
  <c r="N74" i="37" s="1"/>
  <c r="K207" i="36"/>
  <c r="L207" i="36" s="1"/>
  <c r="M160" i="37"/>
  <c r="N160" i="37" s="1"/>
  <c r="K63" i="36"/>
  <c r="L63" i="36" s="1"/>
  <c r="M134" i="37"/>
  <c r="N134" i="37" s="1"/>
  <c r="K268" i="36"/>
  <c r="L268" i="36" s="1"/>
  <c r="M242" i="37"/>
  <c r="N242" i="37" s="1"/>
  <c r="K145" i="36"/>
  <c r="L145" i="36" s="1"/>
  <c r="M205" i="37"/>
  <c r="N205" i="37" s="1"/>
  <c r="K77" i="36"/>
  <c r="L77" i="36" s="1"/>
  <c r="M132" i="37"/>
  <c r="N132" i="37" s="1"/>
  <c r="K168" i="36"/>
  <c r="L168" i="36" s="1"/>
  <c r="M214" i="37"/>
  <c r="N214" i="37" s="1"/>
  <c r="K132" i="36"/>
  <c r="L132" i="36" s="1"/>
  <c r="M26" i="37"/>
  <c r="N26" i="37" s="1"/>
  <c r="K38" i="36"/>
  <c r="L38" i="36" s="1"/>
  <c r="M43" i="37"/>
  <c r="N43" i="37" s="1"/>
  <c r="K172" i="36"/>
  <c r="L172" i="36" s="1"/>
  <c r="M241" i="37"/>
  <c r="N241" i="37" s="1"/>
  <c r="K292" i="36"/>
  <c r="L292" i="36" s="1"/>
  <c r="M200" i="37"/>
  <c r="N200" i="37" s="1"/>
  <c r="K120" i="36"/>
  <c r="L120" i="36" s="1"/>
  <c r="M169" i="37"/>
  <c r="N169" i="37" s="1"/>
  <c r="K289" i="36"/>
  <c r="L289" i="36" s="1"/>
  <c r="M238" i="37"/>
  <c r="N238" i="37" s="1"/>
  <c r="K149" i="36"/>
  <c r="L149" i="36" s="1"/>
  <c r="M158" i="37"/>
  <c r="N158" i="37" s="1"/>
  <c r="K10" i="36"/>
  <c r="L10" i="36" s="1"/>
  <c r="M127" i="37"/>
  <c r="N127" i="37" s="1"/>
  <c r="K194" i="36"/>
  <c r="L194" i="36" s="1"/>
  <c r="M24" i="37"/>
  <c r="N24" i="37" s="1"/>
  <c r="K37" i="36"/>
  <c r="L37" i="36" s="1"/>
  <c r="M168" i="37"/>
  <c r="N168" i="37" s="1"/>
  <c r="K48" i="36"/>
  <c r="L48" i="36" s="1"/>
  <c r="M148" i="37"/>
  <c r="N148" i="37" s="1"/>
  <c r="K154" i="36"/>
  <c r="L154" i="36" s="1"/>
  <c r="M66" i="37"/>
  <c r="N66" i="37" s="1"/>
  <c r="K182" i="36"/>
  <c r="L182" i="36" s="1"/>
  <c r="M41" i="37"/>
  <c r="N41" i="37" s="1"/>
  <c r="K97" i="36"/>
  <c r="L97" i="36" s="1"/>
  <c r="M218" i="37"/>
  <c r="N218" i="37" s="1"/>
  <c r="K285" i="36"/>
  <c r="L285" i="36" s="1"/>
  <c r="M288" i="37"/>
  <c r="N288" i="37" s="1"/>
  <c r="K256" i="36"/>
  <c r="L256" i="36" s="1"/>
  <c r="M286" i="37"/>
  <c r="N286" i="37" s="1"/>
  <c r="K297" i="36"/>
  <c r="L297" i="36" s="1"/>
  <c r="M12" i="37"/>
  <c r="N12" i="37" s="1"/>
  <c r="K11" i="36"/>
  <c r="L11" i="36" s="1"/>
  <c r="M64" i="37"/>
  <c r="N64" i="37" s="1"/>
  <c r="K100" i="36"/>
  <c r="L100" i="36" s="1"/>
  <c r="M237" i="37"/>
  <c r="N237" i="37" s="1"/>
  <c r="K55" i="36"/>
  <c r="L55" i="36" s="1"/>
  <c r="M19" i="37"/>
  <c r="N19" i="37" s="1"/>
  <c r="K35" i="36"/>
  <c r="L35" i="36" s="1"/>
  <c r="M236" i="37"/>
  <c r="N236" i="37" s="1"/>
  <c r="K70" i="36"/>
  <c r="L70" i="36" s="1"/>
  <c r="M234" i="37"/>
  <c r="N234" i="37" s="1"/>
  <c r="K236" i="36"/>
  <c r="L236" i="36" s="1"/>
  <c r="M233" i="37"/>
  <c r="N233" i="37" s="1"/>
  <c r="K140" i="36"/>
  <c r="L140" i="36" s="1"/>
  <c r="M23" i="37"/>
  <c r="N23" i="37" s="1"/>
  <c r="K8" i="36"/>
  <c r="L8" i="36" s="1"/>
  <c r="M283" i="37"/>
  <c r="N283" i="37" s="1"/>
  <c r="K164" i="36"/>
  <c r="L164" i="36" s="1"/>
  <c r="M194" i="37"/>
  <c r="N194" i="37" s="1"/>
  <c r="K272" i="36"/>
  <c r="L272" i="36" s="1"/>
  <c r="M39" i="37"/>
  <c r="N39" i="37" s="1"/>
  <c r="K199" i="36"/>
  <c r="L199" i="36" s="1"/>
  <c r="M84" i="37"/>
  <c r="N84" i="37" s="1"/>
  <c r="K29" i="36"/>
  <c r="L29" i="36" s="1"/>
  <c r="M30" i="37"/>
  <c r="N30" i="37" s="1"/>
  <c r="K177" i="36"/>
  <c r="L177" i="36" s="1"/>
  <c r="M279" i="37"/>
  <c r="N279" i="37" s="1"/>
  <c r="K99" i="36"/>
  <c r="L99" i="36" s="1"/>
  <c r="M83" i="37"/>
  <c r="N83" i="37" s="1"/>
  <c r="K12" i="36"/>
  <c r="L12" i="36" s="1"/>
  <c r="M52" i="37"/>
  <c r="N52" i="37" s="1"/>
  <c r="K231" i="36"/>
  <c r="L231" i="36" s="1"/>
  <c r="M276" i="37"/>
  <c r="N276" i="37" s="1"/>
  <c r="K300" i="36"/>
  <c r="L300" i="36" s="1"/>
  <c r="M274" i="37"/>
  <c r="N274" i="37" s="1"/>
  <c r="K269" i="36"/>
  <c r="L269" i="36" s="1"/>
  <c r="M118" i="37"/>
  <c r="N118" i="37" s="1"/>
  <c r="K171" i="36"/>
  <c r="L171" i="36" s="1"/>
  <c r="M153" i="37"/>
  <c r="N153" i="37" s="1"/>
  <c r="K271" i="36"/>
  <c r="L271" i="36" s="1"/>
  <c r="M272" i="37"/>
  <c r="N272" i="37" s="1"/>
  <c r="K117" i="36"/>
  <c r="L117" i="36" s="1"/>
  <c r="M189" i="37"/>
  <c r="N189" i="37" s="1"/>
  <c r="K222" i="36"/>
  <c r="L222" i="36" s="1"/>
  <c r="M113" i="37"/>
  <c r="N113" i="37" s="1"/>
  <c r="K218" i="36"/>
  <c r="L218" i="36" s="1"/>
  <c r="M35" i="37"/>
  <c r="N35" i="37" s="1"/>
  <c r="K181" i="36"/>
  <c r="L181" i="36" s="1"/>
  <c r="M187" i="37"/>
  <c r="N187" i="37" s="1"/>
  <c r="K216" i="36"/>
  <c r="L216" i="36" s="1"/>
  <c r="M152" i="37"/>
  <c r="N152" i="37" s="1"/>
  <c r="K173" i="36"/>
  <c r="L173" i="36" s="1"/>
  <c r="M213" i="37"/>
  <c r="N213" i="37" s="1"/>
  <c r="K129" i="36"/>
  <c r="L129" i="36" s="1"/>
  <c r="M141" i="37"/>
  <c r="N141" i="37" s="1"/>
  <c r="K82" i="36"/>
  <c r="L82" i="36" s="1"/>
  <c r="M229" i="37"/>
  <c r="N229" i="37" s="1"/>
  <c r="K144" i="36"/>
  <c r="L144" i="36" s="1"/>
  <c r="M110" i="37"/>
  <c r="N110" i="37" s="1"/>
  <c r="K249" i="36"/>
  <c r="L249" i="36" s="1"/>
  <c r="M157" i="37"/>
  <c r="N157" i="37" s="1"/>
  <c r="K26" i="36"/>
  <c r="L26" i="36" s="1"/>
  <c r="M89" i="37"/>
  <c r="N89" i="37" s="1"/>
  <c r="K146" i="36"/>
  <c r="L146" i="36" s="1"/>
  <c r="M263" i="37"/>
  <c r="N263" i="37" s="1"/>
  <c r="K277" i="36"/>
  <c r="L277" i="36" s="1"/>
  <c r="M261" i="37"/>
  <c r="N261" i="37" s="1"/>
  <c r="K295" i="36"/>
  <c r="L295" i="36" s="1"/>
  <c r="M171" i="37"/>
  <c r="N171" i="37" s="1"/>
  <c r="K308" i="36"/>
  <c r="L308" i="36" s="1"/>
  <c r="M50" i="37"/>
  <c r="N50" i="37" s="1"/>
  <c r="K291" i="36"/>
  <c r="L291" i="36" s="1"/>
  <c r="M21" i="37"/>
  <c r="N21" i="37" s="1"/>
  <c r="K6" i="36"/>
  <c r="L6" i="36" s="1"/>
  <c r="M79" i="37"/>
  <c r="N79" i="37" s="1"/>
  <c r="K131" i="36"/>
  <c r="L131" i="36" s="1"/>
  <c r="M257" i="37"/>
  <c r="N257" i="37" s="1"/>
  <c r="K73" i="36"/>
  <c r="L73" i="36" s="1"/>
  <c r="M255" i="37"/>
  <c r="N255" i="37" s="1"/>
  <c r="K301" i="36"/>
  <c r="L301" i="36" s="1"/>
  <c r="M254" i="37"/>
  <c r="N254" i="37" s="1"/>
  <c r="K110" i="36"/>
  <c r="L110" i="36" s="1"/>
  <c r="M139" i="37"/>
  <c r="N139" i="37" s="1"/>
  <c r="K185" i="36"/>
  <c r="L185" i="36" s="1"/>
  <c r="M149" i="37"/>
  <c r="N149" i="37" s="1"/>
  <c r="K95" i="36"/>
  <c r="L95" i="36" s="1"/>
  <c r="M183" i="37"/>
  <c r="N183" i="37" s="1"/>
  <c r="K81" i="36"/>
  <c r="L81" i="36" s="1"/>
  <c r="M223" i="37"/>
  <c r="N223" i="37" s="1"/>
  <c r="K47" i="36"/>
  <c r="L47" i="36" s="1"/>
  <c r="M222" i="37"/>
  <c r="N222" i="37" s="1"/>
  <c r="K232" i="36"/>
  <c r="L232" i="36" s="1"/>
  <c r="M309" i="37"/>
  <c r="N309" i="37" s="1"/>
  <c r="K296" i="36"/>
  <c r="L296" i="36" s="1"/>
  <c r="M208" i="37"/>
  <c r="N208" i="37" s="1"/>
  <c r="K283" i="36"/>
  <c r="L283" i="36" s="1"/>
  <c r="M136" i="37"/>
  <c r="N136" i="37" s="1"/>
  <c r="K89" i="36"/>
  <c r="L89" i="36" s="1"/>
  <c r="M20" i="37"/>
  <c r="N20" i="37" s="1"/>
  <c r="K4" i="36"/>
  <c r="L4" i="36" s="1"/>
  <c r="M315" i="37"/>
  <c r="N315" i="37" s="1"/>
  <c r="K87" i="36"/>
  <c r="L87" i="36" s="1"/>
  <c r="M314" i="37"/>
  <c r="N314" i="37" s="1"/>
  <c r="K86" i="36"/>
  <c r="L86" i="36" s="1"/>
  <c r="M143" i="37"/>
  <c r="N143" i="37" s="1"/>
  <c r="K195" i="36"/>
  <c r="L195" i="36" s="1"/>
  <c r="M210" i="37"/>
  <c r="N210" i="37" s="1"/>
  <c r="K203" i="36"/>
  <c r="L203" i="36" s="1"/>
  <c r="M163" i="37"/>
  <c r="N163" i="37" s="1"/>
  <c r="K126" i="36"/>
  <c r="L126" i="36" s="1"/>
  <c r="M75" i="37"/>
  <c r="N75" i="37" s="1"/>
  <c r="K123" i="36"/>
  <c r="L123" i="36" s="1"/>
  <c r="M305" i="37"/>
  <c r="N305" i="37" s="1"/>
  <c r="K312" i="36"/>
  <c r="L312" i="36" s="1"/>
  <c r="M164" i="37"/>
  <c r="N164" i="37" s="1"/>
  <c r="K130" i="36"/>
  <c r="L130" i="36" s="1"/>
  <c r="M34" i="37"/>
  <c r="N34" i="37" s="1"/>
  <c r="K230" i="36"/>
  <c r="L230" i="36" s="1"/>
  <c r="M99" i="37"/>
  <c r="N99" i="37" s="1"/>
  <c r="K238" i="36"/>
  <c r="L238" i="36" s="1"/>
  <c r="M73" i="37"/>
  <c r="N73" i="37" s="1"/>
  <c r="K206" i="36"/>
  <c r="L206" i="36" s="1"/>
  <c r="M53" i="37"/>
  <c r="N53" i="37" s="1"/>
  <c r="K235" i="36"/>
  <c r="L235" i="36" s="1"/>
  <c r="M72" i="37"/>
  <c r="N72" i="37" s="1"/>
  <c r="K247" i="36"/>
  <c r="L247" i="36" s="1"/>
  <c r="M206" i="37"/>
  <c r="N206" i="37" s="1"/>
  <c r="K178" i="36"/>
  <c r="L178" i="36" s="1"/>
  <c r="M204" i="37"/>
  <c r="N204" i="37" s="1"/>
  <c r="K210" i="36"/>
  <c r="L210" i="36" s="1"/>
  <c r="M27" i="37"/>
  <c r="N27" i="37" s="1"/>
  <c r="K112" i="36"/>
  <c r="L112" i="36" s="1"/>
  <c r="M203" i="37"/>
  <c r="N203" i="37" s="1"/>
  <c r="K202" i="36"/>
  <c r="L202" i="36" s="1"/>
  <c r="M221" i="37"/>
  <c r="N221" i="37" s="1"/>
  <c r="K45" i="36"/>
  <c r="L45" i="36" s="1"/>
  <c r="M6" i="37"/>
  <c r="N6" i="37" s="1"/>
  <c r="K161" i="36"/>
  <c r="L161" i="36" s="1"/>
  <c r="M201" i="37"/>
  <c r="N201" i="37" s="1"/>
  <c r="K260" i="36"/>
  <c r="L260" i="36" s="1"/>
  <c r="M295" i="37"/>
  <c r="N295" i="37" s="1"/>
  <c r="K282" i="36"/>
  <c r="L282" i="36" s="1"/>
  <c r="M128" i="37"/>
  <c r="N128" i="37" s="1"/>
  <c r="K186" i="36"/>
  <c r="L186" i="36" s="1"/>
  <c r="M180" i="37"/>
  <c r="N180" i="37" s="1"/>
  <c r="K51" i="36"/>
  <c r="L51" i="36" s="1"/>
  <c r="M11" i="37"/>
  <c r="N11" i="37" s="1"/>
  <c r="K5" i="36"/>
  <c r="L5" i="36" s="1"/>
  <c r="M126" i="37"/>
  <c r="N126" i="37" s="1"/>
  <c r="K119" i="36"/>
  <c r="L119" i="36" s="1"/>
  <c r="M68" i="37"/>
  <c r="N68" i="37" s="1"/>
  <c r="K263" i="36"/>
  <c r="L263" i="36" s="1"/>
  <c r="M137" i="37"/>
  <c r="N137" i="37" s="1"/>
  <c r="K153" i="36"/>
  <c r="L153" i="36" s="1"/>
  <c r="M44" i="37"/>
  <c r="N44" i="37" s="1"/>
  <c r="K65" i="36"/>
  <c r="L65" i="36" s="1"/>
  <c r="M33" i="37"/>
  <c r="N33" i="37" s="1"/>
  <c r="K44" i="36"/>
  <c r="L44" i="36" s="1"/>
  <c r="M197" i="37"/>
  <c r="N197" i="37" s="1"/>
  <c r="K184" i="36"/>
  <c r="L184" i="36" s="1"/>
  <c r="M17" i="37"/>
  <c r="N17" i="37" s="1"/>
  <c r="K62" i="36"/>
  <c r="L62" i="36" s="1"/>
  <c r="M177" i="37"/>
  <c r="N177" i="37" s="1"/>
  <c r="K139" i="36"/>
  <c r="L139" i="36" s="1"/>
  <c r="M123" i="37"/>
  <c r="N123" i="37" s="1"/>
  <c r="K109" i="36"/>
  <c r="L109" i="36" s="1"/>
  <c r="M97" i="37"/>
  <c r="N97" i="37" s="1"/>
  <c r="K14" i="36"/>
  <c r="L14" i="36" s="1"/>
  <c r="M31" i="37"/>
  <c r="N31" i="37" s="1"/>
  <c r="K192" i="36"/>
  <c r="L192" i="36" s="1"/>
  <c r="M15" i="37"/>
  <c r="N15" i="37" s="1"/>
  <c r="K137" i="36"/>
  <c r="L137" i="36" s="1"/>
  <c r="M147" i="37"/>
  <c r="N147" i="37" s="1"/>
  <c r="K91" i="36"/>
  <c r="L91" i="36" s="1"/>
  <c r="M85" i="37"/>
  <c r="N85" i="37" s="1"/>
  <c r="K133" i="36"/>
  <c r="L133" i="36" s="1"/>
  <c r="M284" i="37"/>
  <c r="N284" i="37" s="1"/>
  <c r="K90" i="36"/>
  <c r="L90" i="36" s="1"/>
  <c r="M174" i="37"/>
  <c r="N174" i="37" s="1"/>
  <c r="K208" i="36"/>
  <c r="L208" i="36" s="1"/>
  <c r="M82" i="37"/>
  <c r="N82" i="37" s="1"/>
  <c r="K41" i="36"/>
  <c r="L41" i="36" s="1"/>
  <c r="M29" i="37"/>
  <c r="N29" i="37" s="1"/>
  <c r="K147" i="36"/>
  <c r="L147" i="36" s="1"/>
  <c r="M146" i="37"/>
  <c r="N146" i="37" s="1"/>
  <c r="K158" i="36"/>
  <c r="L158" i="36" s="1"/>
  <c r="M280" i="37"/>
  <c r="N280" i="37" s="1"/>
  <c r="K211" i="36"/>
  <c r="L211" i="36" s="1"/>
  <c r="M121" i="37"/>
  <c r="N121" i="37" s="1"/>
  <c r="K281" i="36"/>
  <c r="L281" i="36" s="1"/>
  <c r="M192" i="37"/>
  <c r="N192" i="37" s="1"/>
  <c r="K187" i="36"/>
  <c r="L187" i="36" s="1"/>
  <c r="M278" i="37"/>
  <c r="N278" i="37" s="1"/>
  <c r="K310" i="36"/>
  <c r="L310" i="36" s="1"/>
  <c r="M154" i="37"/>
  <c r="N154" i="37" s="1"/>
  <c r="K21" i="36"/>
  <c r="L21" i="36" s="1"/>
  <c r="M275" i="37"/>
  <c r="N275" i="37" s="1"/>
  <c r="K106" i="36"/>
  <c r="L106" i="36" s="1"/>
  <c r="M93" i="37"/>
  <c r="N93" i="37" s="1"/>
  <c r="K152" i="36"/>
  <c r="L152" i="36" s="1"/>
  <c r="M190" i="37"/>
  <c r="N190" i="37" s="1"/>
  <c r="K253" i="36"/>
  <c r="L253" i="36" s="1"/>
  <c r="M37" i="37"/>
  <c r="N37" i="37" s="1"/>
  <c r="K270" i="36"/>
  <c r="L270" i="36" s="1"/>
  <c r="M117" i="37"/>
  <c r="N117" i="37" s="1"/>
  <c r="K278" i="36"/>
  <c r="L278" i="36" s="1"/>
  <c r="M116" i="37"/>
  <c r="N116" i="37" s="1"/>
  <c r="K221" i="36"/>
  <c r="L221" i="36" s="1"/>
  <c r="M188" i="37"/>
  <c r="N188" i="37" s="1"/>
  <c r="K217" i="36"/>
  <c r="L217" i="36" s="1"/>
  <c r="M61" i="37"/>
  <c r="N61" i="37" s="1"/>
  <c r="K274" i="36"/>
  <c r="L274" i="36" s="1"/>
  <c r="M13" i="37"/>
  <c r="N13" i="37" s="1"/>
  <c r="K286" i="36"/>
  <c r="L286" i="36" s="1"/>
  <c r="M151" i="37"/>
  <c r="N151" i="37" s="1"/>
  <c r="K83" i="36"/>
  <c r="L83" i="36" s="1"/>
  <c r="M47" i="37"/>
  <c r="N47" i="37" s="1"/>
  <c r="K128" i="36"/>
  <c r="L128" i="36" s="1"/>
  <c r="M91" i="37"/>
  <c r="N91" i="37" s="1"/>
  <c r="K46" i="36"/>
  <c r="L46" i="36" s="1"/>
  <c r="M60" i="37"/>
  <c r="N60" i="37" s="1"/>
  <c r="K175" i="36"/>
  <c r="L175" i="36" s="1"/>
  <c r="M265" i="37"/>
  <c r="N265" i="37" s="1"/>
  <c r="K113" i="36"/>
  <c r="L113" i="36" s="1"/>
  <c r="M264" i="37"/>
  <c r="N264" i="37" s="1"/>
  <c r="K214" i="36"/>
  <c r="L214" i="36" s="1"/>
  <c r="M226" i="37"/>
  <c r="N226" i="37" s="1"/>
  <c r="K242" i="36"/>
  <c r="L242" i="36" s="1"/>
  <c r="M59" i="37"/>
  <c r="N59" i="37" s="1"/>
  <c r="K135" i="36"/>
  <c r="L135" i="36" s="1"/>
  <c r="M260" i="37"/>
  <c r="N260" i="37" s="1"/>
  <c r="K299" i="36"/>
  <c r="L299" i="36" s="1"/>
  <c r="M259" i="37"/>
  <c r="N259" i="37" s="1"/>
  <c r="K298" i="36"/>
  <c r="L298" i="36" s="1"/>
  <c r="M57" i="37"/>
  <c r="N57" i="37" s="1"/>
  <c r="K169" i="36"/>
  <c r="L169" i="36" s="1"/>
  <c r="M55" i="37"/>
  <c r="N55" i="37" s="1"/>
  <c r="K254" i="36"/>
  <c r="L254" i="36" s="1"/>
  <c r="M46" i="37"/>
  <c r="N46" i="37" s="1"/>
  <c r="K39" i="36"/>
  <c r="L39" i="36" s="1"/>
  <c r="M105" i="37"/>
  <c r="N105" i="37" s="1"/>
  <c r="K107" i="36"/>
  <c r="L107" i="36" s="1"/>
  <c r="M104" i="37"/>
  <c r="N104" i="37" s="1"/>
  <c r="K103" i="36"/>
  <c r="L103" i="36" s="1"/>
  <c r="M140" i="37"/>
  <c r="N140" i="37" s="1"/>
  <c r="K193" i="36"/>
  <c r="L193" i="36" s="1"/>
  <c r="M87" i="37"/>
  <c r="N87" i="37" s="1"/>
  <c r="K156" i="36"/>
  <c r="L156" i="36" s="1"/>
  <c r="M252" i="37"/>
  <c r="N252" i="37" s="1"/>
  <c r="K102" i="36"/>
  <c r="L102" i="36" s="1"/>
  <c r="M250" i="37"/>
  <c r="N250" i="37" s="1"/>
  <c r="K76" i="36"/>
  <c r="L76" i="36" s="1"/>
  <c r="M16" i="37"/>
  <c r="N16" i="37" s="1"/>
  <c r="K60" i="36"/>
  <c r="L60" i="36" s="1"/>
  <c r="M249" i="37"/>
  <c r="N249" i="37" s="1"/>
  <c r="K71" i="36"/>
  <c r="L71" i="36" s="1"/>
  <c r="M176" i="37"/>
  <c r="N176" i="37" s="1"/>
  <c r="K125" i="36"/>
  <c r="L125" i="36" s="1"/>
  <c r="M303" i="37"/>
  <c r="N303" i="37" s="1"/>
  <c r="K183" i="36"/>
  <c r="L183" i="36" s="1"/>
  <c r="M244" i="37"/>
  <c r="N244" i="37" s="1"/>
  <c r="K163" i="36"/>
  <c r="L163" i="36" s="1"/>
  <c r="M243" i="37"/>
  <c r="N243" i="37" s="1"/>
  <c r="K155" i="36"/>
  <c r="L155" i="36" s="1"/>
  <c r="M71" i="37"/>
  <c r="N71" i="37" s="1"/>
  <c r="K264" i="36"/>
  <c r="L264" i="36" s="1"/>
  <c r="M300" i="37"/>
  <c r="N300" i="37" s="1"/>
  <c r="K244" i="36"/>
  <c r="L244" i="36" s="1"/>
  <c r="M138" i="37"/>
  <c r="N138" i="37" s="1"/>
  <c r="K162" i="36"/>
  <c r="L162" i="36" s="1"/>
  <c r="M131" i="37"/>
  <c r="N131" i="37" s="1"/>
  <c r="K167" i="36"/>
  <c r="L167" i="36" s="1"/>
  <c r="M202" i="37"/>
  <c r="N202" i="37" s="1"/>
  <c r="K228" i="36"/>
  <c r="L228" i="36" s="1"/>
  <c r="M130" i="37"/>
  <c r="N130" i="37" s="1"/>
  <c r="K201" i="36"/>
  <c r="L201" i="36" s="1"/>
  <c r="M297" i="37"/>
  <c r="N297" i="37" s="1"/>
  <c r="K111" i="36"/>
  <c r="L111" i="36" s="1"/>
  <c r="M129" i="37"/>
  <c r="N129" i="37" s="1"/>
  <c r="K205" i="36"/>
  <c r="L205" i="36" s="1"/>
  <c r="M220" i="37"/>
  <c r="N220" i="37" s="1"/>
  <c r="K68" i="36"/>
  <c r="L68" i="36" s="1"/>
  <c r="M70" i="37"/>
  <c r="N70" i="37" s="1"/>
  <c r="K80" i="36"/>
  <c r="L80" i="36" s="1"/>
  <c r="M219" i="37"/>
  <c r="N219" i="37" s="1"/>
  <c r="K13" i="36"/>
  <c r="L13" i="36" s="1"/>
  <c r="M294" i="37"/>
  <c r="N294" i="37" s="1"/>
  <c r="K303" i="36"/>
  <c r="L303" i="36" s="1"/>
  <c r="M125" i="37"/>
  <c r="N125" i="37" s="1"/>
  <c r="K22" i="36"/>
  <c r="L22" i="36" s="1"/>
  <c r="M32" i="37"/>
  <c r="N32" i="37" s="1"/>
  <c r="K191" i="36"/>
  <c r="L191" i="36" s="1"/>
  <c r="M155" i="37"/>
  <c r="N155" i="37" s="1"/>
  <c r="K294" i="36"/>
  <c r="L294" i="36" s="1"/>
  <c r="M98" i="37"/>
  <c r="N98" i="37" s="1"/>
  <c r="K141" i="36"/>
  <c r="L141" i="36" s="1"/>
  <c r="M124" i="37"/>
  <c r="N124" i="37" s="1"/>
  <c r="K19" i="36"/>
  <c r="L19" i="36" s="1"/>
  <c r="M291" i="37"/>
  <c r="N291" i="37" s="1"/>
  <c r="K170" i="36"/>
  <c r="L170" i="36" s="1"/>
  <c r="M198" i="37"/>
  <c r="N198" i="37" s="1"/>
  <c r="K276" i="36"/>
  <c r="L276" i="36" s="1"/>
  <c r="M65" i="37"/>
  <c r="N65" i="37" s="1"/>
  <c r="K266" i="36"/>
  <c r="L266" i="36" s="1"/>
  <c r="M144" i="37"/>
  <c r="N144" i="37" s="1"/>
  <c r="K284" i="36"/>
  <c r="L284" i="36" s="1"/>
  <c r="M86" i="37"/>
  <c r="N86" i="37" s="1"/>
  <c r="K136" i="36"/>
  <c r="L136" i="36" s="1"/>
  <c r="M142" i="37"/>
  <c r="N142" i="37" s="1"/>
  <c r="K200" i="36"/>
  <c r="L200" i="36" s="1"/>
  <c r="M10" i="37"/>
  <c r="N10" i="37" s="1"/>
  <c r="K36" i="36"/>
  <c r="L36" i="36" s="1"/>
  <c r="M195" i="37"/>
  <c r="N195" i="37" s="1"/>
  <c r="K259" i="36"/>
  <c r="L259" i="36" s="1"/>
  <c r="M285" i="37"/>
  <c r="N285" i="37" s="1"/>
  <c r="K96" i="36"/>
  <c r="L96" i="36" s="1"/>
  <c r="M217" i="37"/>
  <c r="N217" i="37" s="1"/>
  <c r="K20" i="36"/>
  <c r="L20" i="36" s="1"/>
  <c r="M63" i="37"/>
  <c r="N63" i="37" s="1"/>
  <c r="K189" i="36"/>
  <c r="L189" i="36" s="1"/>
  <c r="M77" i="37"/>
  <c r="N77" i="37" s="1"/>
  <c r="K33" i="36"/>
  <c r="L33" i="36" s="1"/>
  <c r="M282" i="37"/>
  <c r="N282" i="37" s="1"/>
  <c r="K305" i="36"/>
  <c r="L305" i="36" s="1"/>
  <c r="M95" i="37"/>
  <c r="N95" i="37" s="1"/>
  <c r="K148" i="36"/>
  <c r="L148" i="36" s="1"/>
  <c r="M81" i="37"/>
  <c r="N81" i="37" s="1"/>
  <c r="K28" i="36"/>
  <c r="L28" i="36" s="1"/>
  <c r="M193" i="37"/>
  <c r="N193" i="37" s="1"/>
  <c r="K188" i="36"/>
  <c r="L188" i="36" s="1"/>
  <c r="M94" i="37"/>
  <c r="N94" i="37" s="1"/>
  <c r="K234" i="36"/>
  <c r="L234" i="36" s="1"/>
  <c r="M120" i="37"/>
  <c r="N120" i="37" s="1"/>
  <c r="K280" i="36"/>
  <c r="L280" i="36" s="1"/>
  <c r="M161" i="37"/>
  <c r="N161" i="37" s="1"/>
  <c r="K224" i="36"/>
  <c r="L224" i="36" s="1"/>
  <c r="M191" i="37"/>
  <c r="N191" i="37" s="1"/>
  <c r="K279" i="36"/>
  <c r="L279" i="36" s="1"/>
  <c r="M119" i="37"/>
  <c r="N119" i="37" s="1"/>
  <c r="K246" i="36"/>
  <c r="L246" i="36" s="1"/>
  <c r="M212" i="37"/>
  <c r="N212" i="37" s="1"/>
  <c r="K40" i="36"/>
  <c r="L40" i="36" s="1"/>
  <c r="M273" i="37"/>
  <c r="N273" i="37" s="1"/>
  <c r="K105" i="36"/>
  <c r="L105" i="36" s="1"/>
  <c r="M167" i="37"/>
  <c r="N167" i="37" s="1"/>
  <c r="K58" i="36"/>
  <c r="L58" i="36" s="1"/>
  <c r="M92" i="37"/>
  <c r="N92" i="37" s="1"/>
  <c r="K237" i="36"/>
  <c r="L237" i="36" s="1"/>
  <c r="M271" i="37"/>
  <c r="N271" i="37" s="1"/>
  <c r="K223" i="36"/>
  <c r="L223" i="36" s="1"/>
  <c r="M115" i="37"/>
  <c r="N115" i="37" s="1"/>
  <c r="K220" i="36"/>
  <c r="L220" i="36" s="1"/>
  <c r="M269" i="37"/>
  <c r="N269" i="37" s="1"/>
  <c r="K115" i="36"/>
  <c r="L115" i="36" s="1"/>
  <c r="M268" i="37"/>
  <c r="N268" i="37" s="1"/>
  <c r="K176" i="36"/>
  <c r="L176" i="36" s="1"/>
  <c r="K309" i="36"/>
  <c r="L309" i="36" s="1"/>
  <c r="M172" i="37"/>
  <c r="N172" i="37" s="1"/>
  <c r="M111" i="37"/>
  <c r="N111" i="37" s="1"/>
  <c r="K257" i="36"/>
  <c r="L257" i="36" s="1"/>
  <c r="M230" i="37"/>
  <c r="N230" i="37" s="1"/>
  <c r="K53" i="36"/>
  <c r="L53" i="36" s="1"/>
  <c r="M186" i="37"/>
  <c r="N186" i="37" s="1"/>
  <c r="K79" i="36"/>
  <c r="L79" i="36" s="1"/>
  <c r="M185" i="37"/>
  <c r="N185" i="37" s="1"/>
  <c r="K204" i="36"/>
  <c r="L204" i="36" s="1"/>
  <c r="M109" i="37"/>
  <c r="N109" i="37" s="1"/>
  <c r="K209" i="36"/>
  <c r="L209" i="36" s="1"/>
  <c r="M228" i="37"/>
  <c r="N228" i="37" s="1"/>
  <c r="K50" i="36"/>
  <c r="L50" i="36" s="1"/>
  <c r="M88" i="37"/>
  <c r="N88" i="37" s="1"/>
  <c r="K233" i="36"/>
  <c r="L233" i="36" s="1"/>
  <c r="M262" i="37"/>
  <c r="N262" i="37" s="1"/>
  <c r="K306" i="36"/>
  <c r="L306" i="36" s="1"/>
  <c r="M216" i="37"/>
  <c r="N216" i="37" s="1"/>
  <c r="K138" i="36"/>
  <c r="L138" i="36" s="1"/>
  <c r="M258" i="37"/>
  <c r="N258" i="37" s="1"/>
  <c r="K25" i="36"/>
  <c r="L25" i="36" s="1"/>
  <c r="M56" i="37"/>
  <c r="N56" i="37" s="1"/>
  <c r="K304" i="36"/>
  <c r="L304" i="36" s="1"/>
  <c r="M184" i="37"/>
  <c r="N184" i="37" s="1"/>
  <c r="K265" i="36"/>
  <c r="L265" i="36" s="1"/>
  <c r="M106" i="37"/>
  <c r="N106" i="37" s="1"/>
  <c r="K24" i="36"/>
  <c r="L24" i="36" s="1"/>
  <c r="M256" i="37"/>
  <c r="N256" i="37" s="1"/>
  <c r="K307" i="36"/>
  <c r="L307" i="36" s="1"/>
  <c r="M225" i="37"/>
  <c r="N225" i="37" s="1"/>
  <c r="K67" i="36"/>
  <c r="L67" i="36" s="1"/>
  <c r="M76" i="37"/>
  <c r="N76" i="37" s="1"/>
  <c r="K127" i="36"/>
  <c r="L127" i="36" s="1"/>
  <c r="M224" i="37"/>
  <c r="N224" i="37" s="1"/>
  <c r="K52" i="36"/>
  <c r="L52" i="36" s="1"/>
  <c r="M251" i="37"/>
  <c r="N251" i="37" s="1"/>
  <c r="K101" i="36"/>
  <c r="L101" i="36" s="1"/>
  <c r="M165" i="37"/>
  <c r="N165" i="37" s="1"/>
  <c r="K42" i="36"/>
  <c r="L42" i="36" s="1"/>
  <c r="M102" i="37"/>
  <c r="N102" i="37" s="1"/>
  <c r="K114" i="36"/>
  <c r="L114" i="36" s="1"/>
  <c r="M248" i="37"/>
  <c r="N248" i="37" s="1"/>
  <c r="K250" i="36"/>
  <c r="L250" i="36" s="1"/>
  <c r="AB190" i="21" l="1"/>
  <c r="J8" i="18"/>
  <c r="J12" i="18"/>
  <c r="J20" i="18"/>
  <c r="J24" i="18"/>
  <c r="J28" i="18"/>
  <c r="J32" i="18"/>
  <c r="J35" i="18"/>
  <c r="J43" i="18"/>
  <c r="J47" i="18"/>
  <c r="J51" i="18"/>
  <c r="J55" i="18"/>
  <c r="J56" i="18"/>
  <c r="J60" i="18"/>
  <c r="J64" i="18"/>
  <c r="J68" i="18"/>
  <c r="J72" i="18"/>
  <c r="J76" i="18"/>
  <c r="J87" i="18"/>
  <c r="J91" i="18"/>
  <c r="J95" i="18"/>
  <c r="J99" i="18"/>
  <c r="J103" i="18"/>
  <c r="J107" i="18"/>
  <c r="J127" i="18"/>
  <c r="J135" i="18"/>
  <c r="J142" i="18"/>
  <c r="J146" i="18"/>
  <c r="J150" i="18"/>
  <c r="J154" i="18"/>
  <c r="J160" i="18"/>
  <c r="J164" i="18"/>
  <c r="J168" i="18"/>
  <c r="J180" i="18"/>
  <c r="J183" i="18"/>
  <c r="J187" i="18"/>
  <c r="J191" i="18"/>
  <c r="J195" i="18"/>
  <c r="J206" i="18"/>
  <c r="J216" i="18"/>
  <c r="J220" i="18"/>
  <c r="J228" i="18"/>
  <c r="J232" i="18"/>
  <c r="J236" i="18"/>
  <c r="J248" i="18"/>
  <c r="J252" i="18"/>
  <c r="J260" i="18"/>
  <c r="J264" i="18"/>
  <c r="J268" i="18"/>
  <c r="J272" i="18"/>
  <c r="J275" i="18"/>
  <c r="J279" i="18"/>
  <c r="J287" i="18"/>
  <c r="J298" i="18"/>
  <c r="J302" i="18"/>
  <c r="J306" i="18"/>
  <c r="J310" i="18"/>
  <c r="J314" i="18"/>
  <c r="J41" i="18"/>
  <c r="J58" i="18"/>
  <c r="J66" i="18"/>
  <c r="J82" i="18"/>
  <c r="J105" i="18"/>
  <c r="J113" i="18"/>
  <c r="J125" i="18"/>
  <c r="J133" i="18"/>
  <c r="J148" i="18"/>
  <c r="J166" i="18"/>
  <c r="J178" i="18"/>
  <c r="J193" i="18"/>
  <c r="J211" i="18"/>
  <c r="J218" i="18"/>
  <c r="J242" i="18"/>
  <c r="J250" i="18"/>
  <c r="J270" i="18"/>
  <c r="J285" i="18"/>
  <c r="J308" i="18"/>
  <c r="J19" i="18"/>
  <c r="J31" i="18"/>
  <c r="J46" i="18"/>
  <c r="J54" i="18"/>
  <c r="J67" i="18"/>
  <c r="J86" i="18"/>
  <c r="J94" i="18"/>
  <c r="J106" i="18"/>
  <c r="J118" i="18"/>
  <c r="J156" i="18"/>
  <c r="J167" i="18"/>
  <c r="J278" i="18"/>
  <c r="J297" i="18"/>
  <c r="J13" i="18"/>
  <c r="J17" i="18"/>
  <c r="J36" i="18"/>
  <c r="J40" i="18"/>
  <c r="J44" i="18"/>
  <c r="J48" i="18"/>
  <c r="J57" i="18"/>
  <c r="J61" i="18"/>
  <c r="J65" i="18"/>
  <c r="J69" i="18"/>
  <c r="J73" i="18"/>
  <c r="J77" i="18"/>
  <c r="J81" i="18"/>
  <c r="J84" i="18"/>
  <c r="J88" i="18"/>
  <c r="J92" i="18"/>
  <c r="J96" i="18"/>
  <c r="J104" i="18"/>
  <c r="J108" i="18"/>
  <c r="J112" i="18"/>
  <c r="J116" i="18"/>
  <c r="J120" i="18"/>
  <c r="J124" i="18"/>
  <c r="J128" i="18"/>
  <c r="J132" i="18"/>
  <c r="J136" i="18"/>
  <c r="J143" i="18"/>
  <c r="J147" i="18"/>
  <c r="J151" i="18"/>
  <c r="J155" i="18"/>
  <c r="J157" i="18"/>
  <c r="J161" i="18"/>
  <c r="J169" i="18"/>
  <c r="J173" i="18"/>
  <c r="J177" i="18"/>
  <c r="J181" i="18"/>
  <c r="J184" i="18"/>
  <c r="J188" i="18"/>
  <c r="J192" i="18"/>
  <c r="J197" i="18"/>
  <c r="J203" i="18"/>
  <c r="J207" i="18"/>
  <c r="J214" i="18"/>
  <c r="J217" i="18"/>
  <c r="J221" i="18"/>
  <c r="J225" i="18"/>
  <c r="J229" i="18"/>
  <c r="J237" i="18"/>
  <c r="J245" i="18"/>
  <c r="J249" i="18"/>
  <c r="J253" i="18"/>
  <c r="J261" i="18"/>
  <c r="J269" i="18"/>
  <c r="J273" i="18"/>
  <c r="J276" i="18"/>
  <c r="J280" i="18"/>
  <c r="J284" i="18"/>
  <c r="J288" i="18"/>
  <c r="J291" i="18"/>
  <c r="J295" i="18"/>
  <c r="J299" i="18"/>
  <c r="J303" i="18"/>
  <c r="J311" i="18"/>
  <c r="J14" i="18"/>
  <c r="J30" i="18"/>
  <c r="J37" i="18"/>
  <c r="J62" i="18"/>
  <c r="J74" i="18"/>
  <c r="J78" i="18"/>
  <c r="J89" i="18"/>
  <c r="J93" i="18"/>
  <c r="J101" i="18"/>
  <c r="J109" i="18"/>
  <c r="J121" i="18"/>
  <c r="J129" i="18"/>
  <c r="J137" i="18"/>
  <c r="J158" i="18"/>
  <c r="J170" i="18"/>
  <c r="J185" i="18"/>
  <c r="J198" i="18"/>
  <c r="J208" i="18"/>
  <c r="J226" i="18"/>
  <c r="J234" i="18"/>
  <c r="J254" i="18"/>
  <c r="J266" i="18"/>
  <c r="J277" i="18"/>
  <c r="J292" i="18"/>
  <c r="J300" i="18"/>
  <c r="J312" i="18"/>
  <c r="J11" i="18"/>
  <c r="J27" i="18"/>
  <c r="J42" i="18"/>
  <c r="J63" i="18"/>
  <c r="J75" i="18"/>
  <c r="J83" i="18"/>
  <c r="J90" i="18"/>
  <c r="J98" i="18"/>
  <c r="J114" i="18"/>
  <c r="J126" i="18"/>
  <c r="J145" i="18"/>
  <c r="J182" i="18"/>
  <c r="J190" i="18"/>
  <c r="J209" i="18"/>
  <c r="J223" i="18"/>
  <c r="J227" i="18"/>
  <c r="J235" i="18"/>
  <c r="J243" i="18"/>
  <c r="J251" i="18"/>
  <c r="J259" i="18"/>
  <c r="J267" i="18"/>
  <c r="J286" i="18"/>
  <c r="J301" i="18"/>
  <c r="J309" i="18"/>
  <c r="J10" i="18"/>
  <c r="J33" i="18"/>
  <c r="J70" i="18"/>
  <c r="J85" i="18"/>
  <c r="J97" i="18"/>
  <c r="J174" i="18"/>
  <c r="J189" i="18"/>
  <c r="J204" i="18"/>
  <c r="J222" i="18"/>
  <c r="J230" i="18"/>
  <c r="J246" i="18"/>
  <c r="J258" i="18"/>
  <c r="J262" i="18"/>
  <c r="J274" i="18"/>
  <c r="J281" i="18"/>
  <c r="J289" i="18"/>
  <c r="J23" i="18"/>
  <c r="J34" i="18"/>
  <c r="J50" i="18"/>
  <c r="J59" i="18"/>
  <c r="J71" i="18"/>
  <c r="J79" i="18"/>
  <c r="J102" i="18"/>
  <c r="J110" i="18"/>
  <c r="J122" i="18"/>
  <c r="J134" i="18"/>
  <c r="J149" i="18"/>
  <c r="J163" i="18"/>
  <c r="J186" i="18"/>
  <c r="J194" i="18"/>
  <c r="J205" i="18"/>
  <c r="J212" i="18"/>
  <c r="J215" i="18"/>
  <c r="J219" i="18"/>
  <c r="J231" i="18"/>
  <c r="J247" i="18"/>
  <c r="J255" i="18"/>
  <c r="J313" i="18"/>
  <c r="J16" i="18"/>
  <c r="J294" i="18"/>
  <c r="J304" i="18"/>
  <c r="J305" i="18"/>
  <c r="J29" i="18"/>
  <c r="J307" i="18"/>
  <c r="J293" i="18"/>
  <c r="J39" i="18"/>
  <c r="J131" i="18"/>
  <c r="J176" i="18"/>
  <c r="J171" i="18"/>
  <c r="J201" i="18"/>
  <c r="J115" i="18"/>
  <c r="J172" i="18"/>
  <c r="J144" i="18"/>
  <c r="J296" i="18"/>
  <c r="J130" i="18"/>
  <c r="J25" i="18"/>
  <c r="J210" i="18"/>
  <c r="J26" i="18"/>
  <c r="J175" i="18"/>
  <c r="J290" i="18"/>
  <c r="J45" i="18"/>
  <c r="J162" i="18"/>
  <c r="J38" i="18"/>
  <c r="J179" i="18"/>
  <c r="J123" i="18"/>
  <c r="J240" i="18"/>
  <c r="J18" i="18"/>
  <c r="J238" i="18"/>
  <c r="J15" i="18"/>
  <c r="J239" i="18"/>
  <c r="S14" i="17"/>
  <c r="S9" i="17"/>
  <c r="S12" i="17"/>
  <c r="S17" i="17"/>
  <c r="S11" i="17"/>
  <c r="S18" i="17"/>
  <c r="S20" i="17"/>
  <c r="S13" i="17"/>
  <c r="S24" i="17"/>
  <c r="S25" i="17"/>
  <c r="S26" i="17"/>
  <c r="S19" i="17"/>
  <c r="S21" i="17"/>
  <c r="S27" i="17"/>
  <c r="S23" i="17"/>
  <c r="S22" i="17"/>
  <c r="S40" i="17"/>
  <c r="S44" i="17"/>
  <c r="S42" i="17"/>
  <c r="S31" i="17"/>
  <c r="S45" i="17"/>
  <c r="S34" i="17"/>
  <c r="S48" i="17"/>
  <c r="S49" i="17"/>
  <c r="S65" i="17"/>
  <c r="S51" i="17"/>
  <c r="S50" i="17"/>
  <c r="S66" i="17"/>
  <c r="S28" i="17"/>
  <c r="S32" i="17"/>
  <c r="S67" i="17"/>
  <c r="S47" i="17"/>
  <c r="S60" i="17"/>
  <c r="S16" i="17"/>
  <c r="S46" i="17"/>
  <c r="S29" i="17"/>
  <c r="S55" i="17"/>
  <c r="S73" i="17"/>
  <c r="S52" i="17"/>
  <c r="S74" i="17"/>
  <c r="S75" i="17"/>
  <c r="S59" i="17"/>
  <c r="S53" i="17"/>
  <c r="S39" i="17"/>
  <c r="S63" i="17"/>
  <c r="S43" i="17"/>
  <c r="S61" i="17"/>
  <c r="S68" i="17"/>
  <c r="S54" i="17"/>
  <c r="S35" i="17"/>
  <c r="S33" i="17"/>
  <c r="S72" i="17"/>
  <c r="S56" i="17"/>
  <c r="S38" i="17"/>
  <c r="S69" i="17"/>
  <c r="S57" i="17"/>
  <c r="S36" i="17"/>
  <c r="S41" i="17"/>
  <c r="S70" i="17"/>
  <c r="S71" i="17"/>
  <c r="S64" i="17"/>
  <c r="S58" i="17"/>
  <c r="S62" i="17"/>
  <c r="S30" i="17"/>
  <c r="S37" i="17"/>
  <c r="S141" i="17"/>
  <c r="S79" i="17"/>
  <c r="S80" i="17"/>
  <c r="S86" i="17"/>
  <c r="S150" i="17"/>
  <c r="S99" i="17"/>
  <c r="S130" i="17"/>
  <c r="S90" i="17"/>
  <c r="S126" i="17"/>
  <c r="S104" i="17"/>
  <c r="S81" i="17"/>
  <c r="S142" i="17"/>
  <c r="S93" i="17"/>
  <c r="S112" i="17"/>
  <c r="S143" i="17"/>
  <c r="S134" i="17"/>
  <c r="S100" i="17"/>
  <c r="S101" i="17"/>
  <c r="S114" i="17"/>
  <c r="S144" i="17"/>
  <c r="S78" i="17"/>
  <c r="S85" i="17"/>
  <c r="S145" i="17"/>
  <c r="S146" i="17"/>
  <c r="S89" i="17"/>
  <c r="S131" i="17"/>
  <c r="S119" i="17"/>
  <c r="S115" i="17"/>
  <c r="S116" i="17"/>
  <c r="S117" i="17"/>
  <c r="S118" i="17"/>
  <c r="S140" i="17"/>
  <c r="S133" i="17"/>
  <c r="S153" i="17"/>
  <c r="S121" i="17"/>
  <c r="S108" i="17"/>
  <c r="S148" i="17"/>
  <c r="S154" i="17"/>
  <c r="S96" i="17"/>
  <c r="S138" i="17"/>
  <c r="S139" i="17"/>
  <c r="S135" i="17"/>
  <c r="S15" i="17"/>
  <c r="S97" i="17"/>
  <c r="S94" i="17"/>
  <c r="S95" i="17"/>
  <c r="S106" i="17"/>
  <c r="S77" i="17"/>
  <c r="S92" i="17"/>
  <c r="S98" i="17"/>
  <c r="S136" i="17"/>
  <c r="S147" i="17"/>
  <c r="S87" i="17"/>
  <c r="S107" i="17"/>
  <c r="S128" i="17"/>
  <c r="S82" i="17"/>
  <c r="S103" i="17"/>
  <c r="S76" i="17"/>
  <c r="S157" i="17"/>
  <c r="S120" i="17"/>
  <c r="S102" i="17"/>
  <c r="S110" i="17"/>
  <c r="S113" i="17"/>
  <c r="S155" i="17"/>
  <c r="S149" i="17"/>
  <c r="S83" i="17"/>
  <c r="S125" i="17"/>
  <c r="S127" i="17"/>
  <c r="S122" i="17"/>
  <c r="S123" i="17"/>
  <c r="S91" i="17"/>
  <c r="S129" i="17"/>
  <c r="S124" i="17"/>
  <c r="S151" i="17"/>
  <c r="S111" i="17"/>
  <c r="S152" i="17"/>
  <c r="S137" i="17"/>
  <c r="S88" i="17"/>
  <c r="S109" i="17"/>
  <c r="S132" i="17"/>
  <c r="S84" i="17"/>
  <c r="S170" i="17"/>
  <c r="S159" i="17"/>
  <c r="S176" i="17"/>
  <c r="S175" i="17"/>
  <c r="S166" i="17"/>
  <c r="S174" i="17"/>
  <c r="S160" i="17"/>
  <c r="S167" i="17"/>
  <c r="S168" i="17"/>
  <c r="S171" i="17"/>
  <c r="S165" i="17"/>
  <c r="S172" i="17"/>
  <c r="S161" i="17"/>
  <c r="S156" i="17"/>
  <c r="S169" i="17"/>
  <c r="S173" i="17"/>
  <c r="S158" i="17"/>
  <c r="S164" i="17"/>
  <c r="S163" i="17"/>
  <c r="S162" i="17"/>
  <c r="S286" i="17"/>
  <c r="S274" i="17"/>
  <c r="S209" i="17"/>
  <c r="S272" i="17"/>
  <c r="S185" i="17"/>
  <c r="S211" i="17"/>
  <c r="S192" i="17"/>
  <c r="S212" i="17"/>
  <c r="S213" i="17"/>
  <c r="S186" i="17"/>
  <c r="S254" i="17"/>
  <c r="S193" i="17"/>
  <c r="S181" i="17"/>
  <c r="S299" i="17"/>
  <c r="S300" i="17"/>
  <c r="S215" i="17"/>
  <c r="S294" i="17"/>
  <c r="S275" i="17"/>
  <c r="S230" i="17"/>
  <c r="S301" i="17"/>
  <c r="S302" i="17"/>
  <c r="S228" i="17"/>
  <c r="S303" i="17"/>
  <c r="S304" i="17"/>
  <c r="S305" i="17"/>
  <c r="S263" i="17"/>
  <c r="S269" i="17"/>
  <c r="S187" i="17"/>
  <c r="S188" i="17"/>
  <c r="S261" i="17"/>
  <c r="S194" i="17"/>
  <c r="S255" i="17"/>
  <c r="S245" i="17"/>
  <c r="S232" i="17"/>
  <c r="S264" i="17"/>
  <c r="S191" i="17"/>
  <c r="S182" i="17"/>
  <c r="S225" i="17"/>
  <c r="S240" i="17"/>
  <c r="S270" i="17"/>
  <c r="S256" i="17"/>
  <c r="S218" i="17"/>
  <c r="S242" i="17"/>
  <c r="S243" i="17"/>
  <c r="S214" i="17"/>
  <c r="S262" i="17"/>
  <c r="S216" i="17"/>
  <c r="S268" i="17"/>
  <c r="S276" i="17"/>
  <c r="S195" i="17"/>
  <c r="S287" i="17"/>
  <c r="S177" i="17"/>
  <c r="S196" i="17"/>
  <c r="S306" i="17"/>
  <c r="S197" i="17"/>
  <c r="S277" i="17"/>
  <c r="S308" i="17"/>
  <c r="S296" i="17"/>
  <c r="S246" i="17"/>
  <c r="S198" i="17"/>
  <c r="S280" i="17"/>
  <c r="S199" i="17"/>
  <c r="S247" i="17"/>
  <c r="S278" i="17"/>
  <c r="S309" i="17"/>
  <c r="S265" i="17"/>
  <c r="S284" i="17"/>
  <c r="S233" i="17"/>
  <c r="S267" i="17"/>
  <c r="S271" i="17"/>
  <c r="S189" i="17"/>
  <c r="S285" i="17"/>
  <c r="S190" i="17"/>
  <c r="S279" i="17"/>
  <c r="S183" i="17"/>
  <c r="S248" i="17"/>
  <c r="S227" i="17"/>
  <c r="S310" i="17"/>
  <c r="S257" i="17"/>
  <c r="S249" i="17"/>
  <c r="S288" i="17"/>
  <c r="S219" i="17"/>
  <c r="S281" i="17"/>
  <c r="S295" i="17"/>
  <c r="S266" i="17"/>
  <c r="S258" i="17"/>
  <c r="S200" i="17"/>
  <c r="S221" i="17"/>
  <c r="S241" i="17"/>
  <c r="S312" i="17"/>
  <c r="S229" i="17"/>
  <c r="S179" i="17"/>
  <c r="S234" i="17"/>
  <c r="S239" i="17"/>
  <c r="S184" i="17"/>
  <c r="S220" i="17"/>
  <c r="S290" i="17"/>
  <c r="S204" i="17"/>
  <c r="S222" i="17"/>
  <c r="S282" i="17"/>
  <c r="S297" i="17"/>
  <c r="S201" i="17"/>
  <c r="S223" i="17"/>
  <c r="S178" i="17"/>
  <c r="S250" i="17"/>
  <c r="S203" i="17"/>
  <c r="S226" i="17"/>
  <c r="S291" i="17"/>
  <c r="S251" i="17"/>
  <c r="S208" i="17"/>
  <c r="S292" i="17"/>
  <c r="S252" i="17"/>
  <c r="S238" i="17"/>
  <c r="S298" i="17"/>
  <c r="S235" i="17"/>
  <c r="S180" i="17"/>
  <c r="S236" i="17"/>
  <c r="S259" i="17"/>
  <c r="S231" i="17"/>
  <c r="S273" i="17"/>
  <c r="S289" i="17"/>
  <c r="S260" i="17"/>
  <c r="S237" i="17"/>
  <c r="S293" i="17"/>
  <c r="S283" i="17"/>
  <c r="S314" i="17"/>
  <c r="S307" i="17"/>
  <c r="S202" i="17"/>
  <c r="S205" i="17"/>
  <c r="S244" i="17"/>
  <c r="S315" i="17"/>
  <c r="S210" i="17"/>
  <c r="S224" i="17"/>
  <c r="S311" i="17"/>
  <c r="S253" i="17"/>
  <c r="S313" i="17"/>
  <c r="S217" i="17"/>
  <c r="S206" i="17"/>
  <c r="S207" i="17"/>
  <c r="S10" i="17"/>
  <c r="U115" i="17" l="1"/>
  <c r="U116" i="17"/>
  <c r="U117" i="17"/>
  <c r="U118" i="17"/>
  <c r="U140" i="17"/>
  <c r="U174" i="17"/>
  <c r="U242" i="17"/>
  <c r="U243" i="17"/>
  <c r="U214" i="17"/>
  <c r="U262" i="17"/>
  <c r="U216" i="17"/>
  <c r="U298" i="17"/>
  <c r="U244" i="17"/>
  <c r="U313" i="17"/>
  <c r="U217" i="17"/>
  <c r="R5" i="17"/>
  <c r="R6" i="17"/>
  <c r="R105" i="17"/>
  <c r="R7" i="17"/>
  <c r="R8" i="17"/>
  <c r="R17" i="17"/>
  <c r="R19" i="17"/>
  <c r="R21" i="17"/>
  <c r="R23" i="17"/>
  <c r="R40" i="17"/>
  <c r="R44" i="17"/>
  <c r="R31" i="17"/>
  <c r="R45" i="17"/>
  <c r="R28" i="17"/>
  <c r="R32" i="17"/>
  <c r="R47" i="17"/>
  <c r="R46" i="17"/>
  <c r="R55" i="17"/>
  <c r="R73" i="17"/>
  <c r="R52" i="17"/>
  <c r="R74" i="17"/>
  <c r="R75" i="17"/>
  <c r="R59" i="17"/>
  <c r="R53" i="17"/>
  <c r="R39" i="17"/>
  <c r="R63" i="17"/>
  <c r="R43" i="17"/>
  <c r="R61" i="17"/>
  <c r="R68" i="17"/>
  <c r="R54" i="17"/>
  <c r="R35" i="17"/>
  <c r="R33" i="17"/>
  <c r="R72" i="17"/>
  <c r="R56" i="17"/>
  <c r="R38" i="17"/>
  <c r="R69" i="17"/>
  <c r="R57" i="17"/>
  <c r="R36" i="17"/>
  <c r="R41" i="17"/>
  <c r="R70" i="17"/>
  <c r="R71" i="17"/>
  <c r="R64" i="17"/>
  <c r="R58" i="17"/>
  <c r="R62" i="17"/>
  <c r="R30" i="17"/>
  <c r="R37" i="17"/>
  <c r="R141" i="17"/>
  <c r="R79" i="17"/>
  <c r="R80" i="17"/>
  <c r="R86" i="17"/>
  <c r="R150" i="17"/>
  <c r="R99" i="17"/>
  <c r="R130" i="17"/>
  <c r="R90" i="17"/>
  <c r="R126" i="17"/>
  <c r="R104" i="17"/>
  <c r="R81" i="17"/>
  <c r="R142" i="17"/>
  <c r="R93" i="17"/>
  <c r="R112" i="17"/>
  <c r="R143" i="17"/>
  <c r="R134" i="17"/>
  <c r="R100" i="17"/>
  <c r="R101" i="17"/>
  <c r="R114" i="17"/>
  <c r="R144" i="17"/>
  <c r="R78" i="17"/>
  <c r="R85" i="17"/>
  <c r="R145" i="17"/>
  <c r="R146" i="17"/>
  <c r="R89" i="17"/>
  <c r="R131" i="17"/>
  <c r="R119" i="17"/>
  <c r="R115" i="17"/>
  <c r="R116" i="17"/>
  <c r="R117" i="17"/>
  <c r="R118" i="17"/>
  <c r="R140" i="17"/>
  <c r="R133" i="17"/>
  <c r="R153" i="17"/>
  <c r="R121" i="17"/>
  <c r="R148" i="17"/>
  <c r="R154" i="17"/>
  <c r="R96" i="17"/>
  <c r="R138" i="17"/>
  <c r="R139" i="17"/>
  <c r="R135" i="17"/>
  <c r="R15" i="17"/>
  <c r="R97" i="17"/>
  <c r="R94" i="17"/>
  <c r="R95" i="17"/>
  <c r="R106" i="17"/>
  <c r="R77" i="17"/>
  <c r="R92" i="17"/>
  <c r="R98" i="17"/>
  <c r="R136" i="17"/>
  <c r="R147" i="17"/>
  <c r="R87" i="17"/>
  <c r="R107" i="17"/>
  <c r="R128" i="17"/>
  <c r="R82" i="17"/>
  <c r="R103" i="17"/>
  <c r="R76" i="17"/>
  <c r="R157" i="17"/>
  <c r="R120" i="17"/>
  <c r="R102" i="17"/>
  <c r="R110" i="17"/>
  <c r="R113" i="17"/>
  <c r="R155" i="17"/>
  <c r="R149" i="17"/>
  <c r="R83" i="17"/>
  <c r="R125" i="17"/>
  <c r="R127" i="17"/>
  <c r="R122" i="17"/>
  <c r="R123" i="17"/>
  <c r="R91" i="17"/>
  <c r="R129" i="17"/>
  <c r="R124" i="17"/>
  <c r="R151" i="17"/>
  <c r="R111" i="17"/>
  <c r="R152" i="17"/>
  <c r="R137" i="17"/>
  <c r="R88" i="17"/>
  <c r="R109" i="17"/>
  <c r="R132" i="17"/>
  <c r="R84" i="17"/>
  <c r="R170" i="17"/>
  <c r="R159" i="17"/>
  <c r="R176" i="17"/>
  <c r="R175" i="17"/>
  <c r="R166" i="17"/>
  <c r="R174" i="17"/>
  <c r="R160" i="17"/>
  <c r="R167" i="17"/>
  <c r="R168" i="17"/>
  <c r="R171" i="17"/>
  <c r="R165" i="17"/>
  <c r="R172" i="17"/>
  <c r="R161" i="17"/>
  <c r="R156" i="17"/>
  <c r="R169" i="17"/>
  <c r="R173" i="17"/>
  <c r="R158" i="17"/>
  <c r="R164" i="17"/>
  <c r="R163" i="17"/>
  <c r="R162" i="17"/>
  <c r="R286" i="17"/>
  <c r="R274" i="17"/>
  <c r="R209" i="17"/>
  <c r="R272" i="17"/>
  <c r="R185" i="17"/>
  <c r="R211" i="17"/>
  <c r="R192" i="17"/>
  <c r="R212" i="17"/>
  <c r="R213" i="17"/>
  <c r="R186" i="17"/>
  <c r="R254" i="17"/>
  <c r="R193" i="17"/>
  <c r="R181" i="17"/>
  <c r="R299" i="17"/>
  <c r="R300" i="17"/>
  <c r="R215" i="17"/>
  <c r="R294" i="17"/>
  <c r="R275" i="17"/>
  <c r="R230" i="17"/>
  <c r="R301" i="17"/>
  <c r="R302" i="17"/>
  <c r="R228" i="17"/>
  <c r="R303" i="17"/>
  <c r="R304" i="17"/>
  <c r="R305" i="17"/>
  <c r="R263" i="17"/>
  <c r="R269" i="17"/>
  <c r="R187" i="17"/>
  <c r="R188" i="17"/>
  <c r="R261" i="17"/>
  <c r="R194" i="17"/>
  <c r="R255" i="17"/>
  <c r="R245" i="17"/>
  <c r="R232" i="17"/>
  <c r="R264" i="17"/>
  <c r="R191" i="17"/>
  <c r="R182" i="17"/>
  <c r="R225" i="17"/>
  <c r="R240" i="17"/>
  <c r="R270" i="17"/>
  <c r="R256" i="17"/>
  <c r="R218" i="17"/>
  <c r="R242" i="17"/>
  <c r="R243" i="17"/>
  <c r="R214" i="17"/>
  <c r="R262" i="17"/>
  <c r="R216" i="17"/>
  <c r="R268" i="17"/>
  <c r="R276" i="17"/>
  <c r="R195" i="17"/>
  <c r="R287" i="17"/>
  <c r="R177" i="17"/>
  <c r="R196" i="17"/>
  <c r="R306" i="17"/>
  <c r="R197" i="17"/>
  <c r="R277" i="17"/>
  <c r="R308" i="17"/>
  <c r="R296" i="17"/>
  <c r="R246" i="17"/>
  <c r="R198" i="17"/>
  <c r="R280" i="17"/>
  <c r="R199" i="17"/>
  <c r="R247" i="17"/>
  <c r="R278" i="17"/>
  <c r="R309" i="17"/>
  <c r="R265" i="17"/>
  <c r="R284" i="17"/>
  <c r="R233" i="17"/>
  <c r="R267" i="17"/>
  <c r="R271" i="17"/>
  <c r="R189" i="17"/>
  <c r="R285" i="17"/>
  <c r="R190" i="17"/>
  <c r="R279" i="17"/>
  <c r="R183" i="17"/>
  <c r="R248" i="17"/>
  <c r="R227" i="17"/>
  <c r="R310" i="17"/>
  <c r="R257" i="17"/>
  <c r="R249" i="17"/>
  <c r="R288" i="17"/>
  <c r="R219" i="17"/>
  <c r="R281" i="17"/>
  <c r="R295" i="17"/>
  <c r="R266" i="17"/>
  <c r="R258" i="17"/>
  <c r="R200" i="17"/>
  <c r="R221" i="17"/>
  <c r="R241" i="17"/>
  <c r="R312" i="17"/>
  <c r="R229" i="17"/>
  <c r="R179" i="17"/>
  <c r="R234" i="17"/>
  <c r="R239" i="17"/>
  <c r="R184" i="17"/>
  <c r="R220" i="17"/>
  <c r="R290" i="17"/>
  <c r="R204" i="17"/>
  <c r="R222" i="17"/>
  <c r="R282" i="17"/>
  <c r="R297" i="17"/>
  <c r="R201" i="17"/>
  <c r="R223" i="17"/>
  <c r="R178" i="17"/>
  <c r="R250" i="17"/>
  <c r="R203" i="17"/>
  <c r="R226" i="17"/>
  <c r="R291" i="17"/>
  <c r="R251" i="17"/>
  <c r="R208" i="17"/>
  <c r="R292" i="17"/>
  <c r="R252" i="17"/>
  <c r="R238" i="17"/>
  <c r="R298" i="17"/>
  <c r="R235" i="17"/>
  <c r="R180" i="17"/>
  <c r="R236" i="17"/>
  <c r="R259" i="17"/>
  <c r="R231" i="17"/>
  <c r="R273" i="17"/>
  <c r="R289" i="17"/>
  <c r="R260" i="17"/>
  <c r="R237" i="17"/>
  <c r="R293" i="17"/>
  <c r="R283" i="17"/>
  <c r="R314" i="17"/>
  <c r="R307" i="17"/>
  <c r="R202" i="17"/>
  <c r="R205" i="17"/>
  <c r="R244" i="17"/>
  <c r="R315" i="17"/>
  <c r="R210" i="17"/>
  <c r="R224" i="17"/>
  <c r="R311" i="17"/>
  <c r="R253" i="17"/>
  <c r="R313" i="17"/>
  <c r="R217" i="17"/>
  <c r="R206" i="17"/>
  <c r="R207" i="17"/>
  <c r="S5" i="17"/>
  <c r="S6" i="17"/>
  <c r="S105" i="17"/>
  <c r="S7" i="17"/>
  <c r="S8" i="17"/>
  <c r="D25" i="31"/>
  <c r="E25" i="31"/>
  <c r="F25" i="31"/>
  <c r="G25" i="31"/>
  <c r="H25" i="31"/>
  <c r="I25" i="31"/>
  <c r="J25" i="31"/>
  <c r="K25" i="31"/>
  <c r="L25" i="31"/>
  <c r="M25" i="31"/>
  <c r="C25" i="31"/>
  <c r="V115" i="17" l="1"/>
  <c r="V298" i="17"/>
  <c r="V118" i="17"/>
  <c r="V217" i="17"/>
  <c r="V216" i="17"/>
  <c r="V242" i="17"/>
  <c r="V117" i="17"/>
  <c r="V214" i="17"/>
  <c r="V140" i="17"/>
  <c r="V243" i="17"/>
  <c r="V313" i="17"/>
  <c r="V262" i="17"/>
  <c r="V174" i="17"/>
  <c r="V116" i="17"/>
  <c r="V244" i="17"/>
  <c r="AC5" i="17"/>
  <c r="U5" i="17" l="1"/>
  <c r="K7" i="7"/>
  <c r="V5" i="17" l="1"/>
  <c r="S15" i="19"/>
  <c r="H6" i="38" s="1"/>
  <c r="S17" i="19"/>
  <c r="H14" i="38" s="1"/>
  <c r="S4" i="19"/>
  <c r="S16" i="19"/>
  <c r="H22" i="38" s="1"/>
  <c r="S6" i="19"/>
  <c r="H25" i="38" s="1"/>
  <c r="S7" i="19"/>
  <c r="H29" i="38" s="1"/>
  <c r="S18" i="19"/>
  <c r="H5" i="38" s="1"/>
  <c r="S9" i="19"/>
  <c r="H15" i="38" s="1"/>
  <c r="S8" i="19"/>
  <c r="H17" i="38" s="1"/>
  <c r="S20" i="19"/>
  <c r="H20" i="38" s="1"/>
  <c r="S19" i="19"/>
  <c r="H24" i="38" s="1"/>
  <c r="S10" i="19"/>
  <c r="H3" i="38" s="1"/>
  <c r="S5" i="19"/>
  <c r="H4" i="38" s="1"/>
  <c r="S26" i="19"/>
  <c r="H7" i="38" s="1"/>
  <c r="S29" i="19"/>
  <c r="H8" i="38" s="1"/>
  <c r="S21" i="19"/>
  <c r="H9" i="38" s="1"/>
  <c r="S12" i="19"/>
  <c r="H10" i="38" s="1"/>
  <c r="S11" i="19"/>
  <c r="H11" i="38" s="1"/>
  <c r="S24" i="19"/>
  <c r="H12" i="38" s="1"/>
  <c r="S22" i="19"/>
  <c r="H13" i="38" s="1"/>
  <c r="S25" i="19"/>
  <c r="H18" i="38" s="1"/>
  <c r="S30" i="19"/>
  <c r="H19" i="38" s="1"/>
  <c r="S28" i="19"/>
  <c r="H21" i="38" s="1"/>
  <c r="S23" i="19"/>
  <c r="H23" i="38" s="1"/>
  <c r="S14" i="19"/>
  <c r="H26" i="38" s="1"/>
  <c r="S13" i="19"/>
  <c r="H27" i="38" s="1"/>
  <c r="S27" i="19"/>
  <c r="H28" i="38" s="1"/>
  <c r="S31" i="19"/>
  <c r="H30" i="38" s="1"/>
  <c r="S33" i="19"/>
  <c r="H34" i="38" s="1"/>
  <c r="S34" i="19"/>
  <c r="H45" i="38" s="1"/>
  <c r="S38" i="19"/>
  <c r="H36" i="38" s="1"/>
  <c r="S39" i="19"/>
  <c r="H46" i="38" s="1"/>
  <c r="S40" i="19"/>
  <c r="H42" i="38" s="1"/>
  <c r="S35" i="19"/>
  <c r="H31" i="38" s="1"/>
  <c r="S36" i="19"/>
  <c r="H32" i="38" s="1"/>
  <c r="S41" i="19"/>
  <c r="H43" i="38" s="1"/>
  <c r="S42" i="19"/>
  <c r="H33" i="38" s="1"/>
  <c r="S32" i="19"/>
  <c r="H35" i="38" s="1"/>
  <c r="S43" i="19"/>
  <c r="H40" i="38" s="1"/>
  <c r="S44" i="19"/>
  <c r="H41" i="38" s="1"/>
  <c r="S45" i="19"/>
  <c r="H44" i="38" s="1"/>
  <c r="S37" i="19"/>
  <c r="H37" i="38" s="1"/>
  <c r="S46" i="19"/>
  <c r="H38" i="38" s="1"/>
  <c r="S47" i="19"/>
  <c r="H39" i="38" s="1"/>
  <c r="S48" i="19"/>
  <c r="H47" i="38" s="1"/>
  <c r="S57" i="19"/>
  <c r="H48" i="38" s="1"/>
  <c r="S51" i="19"/>
  <c r="H52" i="38" s="1"/>
  <c r="S50" i="19"/>
  <c r="H57" i="38" s="1"/>
  <c r="S56" i="19"/>
  <c r="H59" i="38" s="1"/>
  <c r="S58" i="19"/>
  <c r="H51" i="38" s="1"/>
  <c r="S60" i="19"/>
  <c r="H70" i="38" s="1"/>
  <c r="S61" i="19"/>
  <c r="H53" i="38" s="1"/>
  <c r="S59" i="19"/>
  <c r="H55" i="38" s="1"/>
  <c r="S52" i="19"/>
  <c r="H56" i="38" s="1"/>
  <c r="S49" i="19"/>
  <c r="H58" i="38" s="1"/>
  <c r="S53" i="19"/>
  <c r="H49" i="38" s="1"/>
  <c r="S62" i="19"/>
  <c r="H63" i="38" s="1"/>
  <c r="S63" i="19"/>
  <c r="H50" i="38" s="1"/>
  <c r="S68" i="19"/>
  <c r="H66" i="38" s="1"/>
  <c r="S54" i="19"/>
  <c r="H67" i="38" s="1"/>
  <c r="S64" i="19"/>
  <c r="H68" i="38" s="1"/>
  <c r="S65" i="19"/>
  <c r="H69" i="38" s="1"/>
  <c r="S69" i="19"/>
  <c r="H71" i="38" s="1"/>
  <c r="S55" i="19"/>
  <c r="H72" i="38" s="1"/>
  <c r="S70" i="19"/>
  <c r="H61" i="38" s="1"/>
  <c r="S67" i="19"/>
  <c r="H62" i="38" s="1"/>
  <c r="S66" i="19"/>
  <c r="H73" i="38" s="1"/>
  <c r="S71" i="19"/>
  <c r="H65" i="38" s="1"/>
  <c r="R4" i="19" l="1"/>
  <c r="H16" i="38"/>
  <c r="L4" i="21" l="1"/>
  <c r="L11" i="21"/>
  <c r="L5" i="21"/>
  <c r="L9" i="21"/>
  <c r="L6" i="21"/>
  <c r="L8" i="21"/>
  <c r="L12" i="21"/>
  <c r="L10" i="21"/>
  <c r="L13" i="21"/>
  <c r="L32" i="21"/>
  <c r="L67" i="21"/>
  <c r="L14" i="21"/>
  <c r="L15" i="21"/>
  <c r="L33" i="21"/>
  <c r="L34" i="21"/>
  <c r="L16" i="21"/>
  <c r="L68" i="21"/>
  <c r="L35" i="21"/>
  <c r="L17" i="21"/>
  <c r="L36" i="21"/>
  <c r="L37" i="21"/>
  <c r="L62" i="21"/>
  <c r="L38" i="21"/>
  <c r="L39" i="21"/>
  <c r="L40" i="21"/>
  <c r="L41" i="21"/>
  <c r="L69" i="21"/>
  <c r="L18" i="21"/>
  <c r="L19" i="21"/>
  <c r="L42" i="21"/>
  <c r="L43" i="21"/>
  <c r="L44" i="21"/>
  <c r="L20" i="21"/>
  <c r="L45" i="21"/>
  <c r="L21" i="21"/>
  <c r="L22" i="21"/>
  <c r="L23" i="21"/>
  <c r="L63" i="21"/>
  <c r="L64" i="21"/>
  <c r="L46" i="21"/>
  <c r="L47" i="21"/>
  <c r="L48" i="21"/>
  <c r="L49" i="21"/>
  <c r="L50" i="21"/>
  <c r="L51" i="21"/>
  <c r="L52" i="21"/>
  <c r="L53" i="21"/>
  <c r="L24" i="21"/>
  <c r="L54" i="21"/>
  <c r="L25" i="21"/>
  <c r="L55" i="21"/>
  <c r="L26" i="21"/>
  <c r="L27" i="21"/>
  <c r="L65" i="21"/>
  <c r="L28" i="21"/>
  <c r="L29" i="21"/>
  <c r="L56" i="21"/>
  <c r="L66" i="21"/>
  <c r="L57" i="21"/>
  <c r="L58" i="21"/>
  <c r="L59" i="21"/>
  <c r="L60" i="21"/>
  <c r="L30" i="21"/>
  <c r="L61" i="21"/>
  <c r="L31" i="21"/>
  <c r="L70" i="21"/>
  <c r="L71" i="21"/>
  <c r="L146" i="21"/>
  <c r="L117" i="21"/>
  <c r="L118" i="21"/>
  <c r="L72" i="21"/>
  <c r="L135" i="21"/>
  <c r="L73" i="21"/>
  <c r="L136" i="21"/>
  <c r="L74" i="21"/>
  <c r="L75" i="21"/>
  <c r="L76" i="21"/>
  <c r="L137" i="21"/>
  <c r="L77" i="21"/>
  <c r="L138" i="21"/>
  <c r="L139" i="21"/>
  <c r="L78" i="21"/>
  <c r="L79" i="21"/>
  <c r="L80" i="21"/>
  <c r="L81" i="21"/>
  <c r="L82" i="21"/>
  <c r="L147" i="21"/>
  <c r="L119" i="21"/>
  <c r="L120" i="21"/>
  <c r="L148" i="21"/>
  <c r="L121" i="21"/>
  <c r="L140" i="21"/>
  <c r="L149" i="21"/>
  <c r="L83" i="21"/>
  <c r="L84" i="21"/>
  <c r="L85" i="21"/>
  <c r="L86" i="21"/>
  <c r="L87" i="21"/>
  <c r="L88" i="21"/>
  <c r="L141" i="21"/>
  <c r="L89" i="21"/>
  <c r="L90" i="21"/>
  <c r="L91" i="21"/>
  <c r="L122" i="21"/>
  <c r="L123" i="21"/>
  <c r="L92" i="21"/>
  <c r="L93" i="21"/>
  <c r="L150" i="21"/>
  <c r="L124" i="21"/>
  <c r="L94" i="21"/>
  <c r="L95" i="21"/>
  <c r="L96" i="21"/>
  <c r="L151" i="21"/>
  <c r="L97" i="21"/>
  <c r="L142" i="21"/>
  <c r="L125" i="21"/>
  <c r="L98" i="21"/>
  <c r="L143" i="21"/>
  <c r="L99" i="21"/>
  <c r="L126" i="21"/>
  <c r="L127" i="21"/>
  <c r="L144" i="21"/>
  <c r="L152" i="21"/>
  <c r="L100" i="21"/>
  <c r="L145" i="21"/>
  <c r="L101" i="21"/>
  <c r="L102" i="21"/>
  <c r="L128" i="21"/>
  <c r="L129" i="21"/>
  <c r="L130" i="21"/>
  <c r="L103" i="21"/>
  <c r="L104" i="21"/>
  <c r="L105" i="21"/>
  <c r="L106" i="21"/>
  <c r="L107" i="21"/>
  <c r="L108" i="21"/>
  <c r="L109" i="21"/>
  <c r="L131" i="21"/>
  <c r="L110" i="21"/>
  <c r="L111" i="21"/>
  <c r="L112" i="21"/>
  <c r="L132" i="21"/>
  <c r="L133" i="21"/>
  <c r="L113" i="21"/>
  <c r="L114" i="21"/>
  <c r="L115" i="21"/>
  <c r="L134" i="21"/>
  <c r="L116" i="21"/>
  <c r="L154" i="21"/>
  <c r="L153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31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314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7" i="21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O6" i="7"/>
  <c r="AO7" i="7"/>
  <c r="AO8" i="7"/>
  <c r="AO9" i="7"/>
  <c r="AO10" i="7"/>
  <c r="AO11" i="7"/>
  <c r="AO12" i="7"/>
  <c r="AO13" i="7"/>
  <c r="AO14" i="7"/>
  <c r="AO15" i="7"/>
  <c r="AO16" i="7"/>
  <c r="AO17" i="7"/>
  <c r="AO18" i="7"/>
  <c r="AO19" i="7"/>
  <c r="AO20" i="7"/>
  <c r="AO21" i="7"/>
  <c r="AO22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51" i="7"/>
  <c r="AO52" i="7"/>
  <c r="AO53" i="7"/>
  <c r="AO54" i="7"/>
  <c r="AO55" i="7"/>
  <c r="AO56" i="7"/>
  <c r="AO57" i="7"/>
  <c r="AO58" i="7"/>
  <c r="AO59" i="7"/>
  <c r="AO60" i="7"/>
  <c r="AO61" i="7"/>
  <c r="AO62" i="7"/>
  <c r="AO63" i="7"/>
  <c r="AO64" i="7"/>
  <c r="AO65" i="7"/>
  <c r="AO66" i="7"/>
  <c r="AO67" i="7"/>
  <c r="AO68" i="7"/>
  <c r="AO69" i="7"/>
  <c r="AO70" i="7"/>
  <c r="AO71" i="7"/>
  <c r="AO72" i="7"/>
  <c r="AO73" i="7"/>
  <c r="AO74" i="7"/>
  <c r="AO75" i="7"/>
  <c r="AO76" i="7"/>
  <c r="AO77" i="7"/>
  <c r="AO78" i="7"/>
  <c r="AO79" i="7"/>
  <c r="AO80" i="7"/>
  <c r="AO81" i="7"/>
  <c r="AO82" i="7"/>
  <c r="AO83" i="7"/>
  <c r="AO84" i="7"/>
  <c r="AO85" i="7"/>
  <c r="AO86" i="7"/>
  <c r="AO87" i="7"/>
  <c r="AO88" i="7"/>
  <c r="AO89" i="7"/>
  <c r="AO90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AO110" i="7"/>
  <c r="AO111" i="7"/>
  <c r="AO112" i="7"/>
  <c r="AO113" i="7"/>
  <c r="AO114" i="7"/>
  <c r="AO115" i="7"/>
  <c r="AO116" i="7"/>
  <c r="AO117" i="7"/>
  <c r="AO118" i="7"/>
  <c r="AO119" i="7"/>
  <c r="AO120" i="7"/>
  <c r="AO121" i="7"/>
  <c r="AO122" i="7"/>
  <c r="AO123" i="7"/>
  <c r="AO124" i="7"/>
  <c r="AO125" i="7"/>
  <c r="AO126" i="7"/>
  <c r="AO127" i="7"/>
  <c r="AO128" i="7"/>
  <c r="AO129" i="7"/>
  <c r="AO130" i="7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51" i="7"/>
  <c r="AO152" i="7"/>
  <c r="AO153" i="7"/>
  <c r="AO154" i="7"/>
  <c r="AO155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1" i="7"/>
  <c r="AO172" i="7"/>
  <c r="AO173" i="7"/>
  <c r="AO174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92" i="7"/>
  <c r="AO193" i="7"/>
  <c r="AO194" i="7"/>
  <c r="AO195" i="7"/>
  <c r="AO196" i="7"/>
  <c r="AO197" i="7"/>
  <c r="AO198" i="7"/>
  <c r="AO199" i="7"/>
  <c r="AO200" i="7"/>
  <c r="AO201" i="7"/>
  <c r="AO202" i="7"/>
  <c r="AO203" i="7"/>
  <c r="AO204" i="7"/>
  <c r="AO205" i="7"/>
  <c r="AO206" i="7"/>
  <c r="AO207" i="7"/>
  <c r="AO208" i="7"/>
  <c r="AO209" i="7"/>
  <c r="AO210" i="7"/>
  <c r="AO211" i="7"/>
  <c r="AO212" i="7"/>
  <c r="AO213" i="7"/>
  <c r="AO214" i="7"/>
  <c r="AO215" i="7"/>
  <c r="AO216" i="7"/>
  <c r="AO217" i="7"/>
  <c r="AO218" i="7"/>
  <c r="AO219" i="7"/>
  <c r="AO220" i="7"/>
  <c r="AO221" i="7"/>
  <c r="AO222" i="7"/>
  <c r="AO223" i="7"/>
  <c r="AO224" i="7"/>
  <c r="AO225" i="7"/>
  <c r="AO226" i="7"/>
  <c r="AO227" i="7"/>
  <c r="AO228" i="7"/>
  <c r="AO229" i="7"/>
  <c r="AO230" i="7"/>
  <c r="AO231" i="7"/>
  <c r="AO232" i="7"/>
  <c r="AO233" i="7"/>
  <c r="AO234" i="7"/>
  <c r="AO235" i="7"/>
  <c r="AO236" i="7"/>
  <c r="AO237" i="7"/>
  <c r="AO238" i="7"/>
  <c r="AO239" i="7"/>
  <c r="AO240" i="7"/>
  <c r="AO241" i="7"/>
  <c r="AO242" i="7"/>
  <c r="AO243" i="7"/>
  <c r="AO244" i="7"/>
  <c r="AO245" i="7"/>
  <c r="AO246" i="7"/>
  <c r="AO247" i="7"/>
  <c r="AO248" i="7"/>
  <c r="AO249" i="7"/>
  <c r="AO250" i="7"/>
  <c r="AO251" i="7"/>
  <c r="AO252" i="7"/>
  <c r="AO253" i="7"/>
  <c r="AO254" i="7"/>
  <c r="AO255" i="7"/>
  <c r="AO256" i="7"/>
  <c r="AO257" i="7"/>
  <c r="AO258" i="7"/>
  <c r="AO259" i="7"/>
  <c r="AO260" i="7"/>
  <c r="AO261" i="7"/>
  <c r="AO262" i="7"/>
  <c r="AO263" i="7"/>
  <c r="AO264" i="7"/>
  <c r="AO265" i="7"/>
  <c r="AO266" i="7"/>
  <c r="AO267" i="7"/>
  <c r="AO268" i="7"/>
  <c r="AO269" i="7"/>
  <c r="AO270" i="7"/>
  <c r="AO271" i="7"/>
  <c r="AO272" i="7"/>
  <c r="AO273" i="7"/>
  <c r="AO274" i="7"/>
  <c r="AO275" i="7"/>
  <c r="AO276" i="7"/>
  <c r="AO277" i="7"/>
  <c r="AO278" i="7"/>
  <c r="AO279" i="7"/>
  <c r="AO280" i="7"/>
  <c r="AO281" i="7"/>
  <c r="AO282" i="7"/>
  <c r="AO283" i="7"/>
  <c r="AO284" i="7"/>
  <c r="AO285" i="7"/>
  <c r="AO286" i="7"/>
  <c r="AO287" i="7"/>
  <c r="AO288" i="7"/>
  <c r="AO289" i="7"/>
  <c r="AO290" i="7"/>
  <c r="AO291" i="7"/>
  <c r="AO292" i="7"/>
  <c r="AO293" i="7"/>
  <c r="AO294" i="7"/>
  <c r="AO295" i="7"/>
  <c r="AO296" i="7"/>
  <c r="AO297" i="7"/>
  <c r="AO298" i="7"/>
  <c r="AO299" i="7"/>
  <c r="AO300" i="7"/>
  <c r="AO301" i="7"/>
  <c r="AO302" i="7"/>
  <c r="AO303" i="7"/>
  <c r="AO304" i="7"/>
  <c r="AO305" i="7"/>
  <c r="AO306" i="7"/>
  <c r="AO307" i="7"/>
  <c r="AO308" i="7"/>
  <c r="AO309" i="7"/>
  <c r="AO310" i="7"/>
  <c r="AO311" i="7"/>
  <c r="AO312" i="7"/>
  <c r="AO313" i="7"/>
  <c r="AO314" i="7"/>
  <c r="AO315" i="7"/>
  <c r="AO316" i="7"/>
  <c r="AO317" i="7"/>
  <c r="AO318" i="7"/>
  <c r="AO319" i="7"/>
  <c r="AO320" i="7"/>
  <c r="AO321" i="7"/>
  <c r="AO322" i="7"/>
  <c r="AO323" i="7"/>
  <c r="AO324" i="7"/>
  <c r="AO32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104" i="7"/>
  <c r="AN105" i="7"/>
  <c r="AN106" i="7"/>
  <c r="AN107" i="7"/>
  <c r="AN108" i="7"/>
  <c r="AN109" i="7"/>
  <c r="AN110" i="7"/>
  <c r="AN111" i="7"/>
  <c r="AN112" i="7"/>
  <c r="AN113" i="7"/>
  <c r="AN114" i="7"/>
  <c r="AN115" i="7"/>
  <c r="AN116" i="7"/>
  <c r="AN117" i="7"/>
  <c r="AN118" i="7"/>
  <c r="AN119" i="7"/>
  <c r="AN120" i="7"/>
  <c r="AN121" i="7"/>
  <c r="AN122" i="7"/>
  <c r="AN123" i="7"/>
  <c r="AN124" i="7"/>
  <c r="AN125" i="7"/>
  <c r="AN126" i="7"/>
  <c r="AN127" i="7"/>
  <c r="AN128" i="7"/>
  <c r="AN129" i="7"/>
  <c r="AN130" i="7"/>
  <c r="AN131" i="7"/>
  <c r="AN132" i="7"/>
  <c r="AN133" i="7"/>
  <c r="AN134" i="7"/>
  <c r="AN135" i="7"/>
  <c r="AN136" i="7"/>
  <c r="AN137" i="7"/>
  <c r="AN138" i="7"/>
  <c r="AN139" i="7"/>
  <c r="AN140" i="7"/>
  <c r="AN141" i="7"/>
  <c r="AN142" i="7"/>
  <c r="AN143" i="7"/>
  <c r="AN144" i="7"/>
  <c r="AN145" i="7"/>
  <c r="AN146" i="7"/>
  <c r="AN147" i="7"/>
  <c r="AN148" i="7"/>
  <c r="AN149" i="7"/>
  <c r="AN150" i="7"/>
  <c r="AN151" i="7"/>
  <c r="AN152" i="7"/>
  <c r="AN153" i="7"/>
  <c r="AN154" i="7"/>
  <c r="AN155" i="7"/>
  <c r="AN156" i="7"/>
  <c r="AN157" i="7"/>
  <c r="AN158" i="7"/>
  <c r="AN159" i="7"/>
  <c r="AN160" i="7"/>
  <c r="AN161" i="7"/>
  <c r="AN162" i="7"/>
  <c r="AN163" i="7"/>
  <c r="AN164" i="7"/>
  <c r="AN165" i="7"/>
  <c r="AN166" i="7"/>
  <c r="AN167" i="7"/>
  <c r="AN168" i="7"/>
  <c r="AN169" i="7"/>
  <c r="AN170" i="7"/>
  <c r="AN171" i="7"/>
  <c r="AN172" i="7"/>
  <c r="AN173" i="7"/>
  <c r="AN174" i="7"/>
  <c r="AN175" i="7"/>
  <c r="AN176" i="7"/>
  <c r="AN177" i="7"/>
  <c r="AN178" i="7"/>
  <c r="AN179" i="7"/>
  <c r="AN180" i="7"/>
  <c r="AN181" i="7"/>
  <c r="AN182" i="7"/>
  <c r="AN183" i="7"/>
  <c r="AN184" i="7"/>
  <c r="AN185" i="7"/>
  <c r="AN186" i="7"/>
  <c r="AN187" i="7"/>
  <c r="AN188" i="7"/>
  <c r="AN189" i="7"/>
  <c r="AN190" i="7"/>
  <c r="AN191" i="7"/>
  <c r="AN192" i="7"/>
  <c r="AN193" i="7"/>
  <c r="AN194" i="7"/>
  <c r="AN195" i="7"/>
  <c r="AN196" i="7"/>
  <c r="AN197" i="7"/>
  <c r="AN198" i="7"/>
  <c r="AN199" i="7"/>
  <c r="AN200" i="7"/>
  <c r="AN201" i="7"/>
  <c r="AN202" i="7"/>
  <c r="AN203" i="7"/>
  <c r="AN204" i="7"/>
  <c r="AN205" i="7"/>
  <c r="AN206" i="7"/>
  <c r="AN207" i="7"/>
  <c r="AN208" i="7"/>
  <c r="AN209" i="7"/>
  <c r="AN210" i="7"/>
  <c r="AN211" i="7"/>
  <c r="AN212" i="7"/>
  <c r="AN213" i="7"/>
  <c r="AN214" i="7"/>
  <c r="AN215" i="7"/>
  <c r="AN216" i="7"/>
  <c r="AN217" i="7"/>
  <c r="AN218" i="7"/>
  <c r="AN219" i="7"/>
  <c r="AN220" i="7"/>
  <c r="AN221" i="7"/>
  <c r="AN222" i="7"/>
  <c r="AN223" i="7"/>
  <c r="AN224" i="7"/>
  <c r="AN225" i="7"/>
  <c r="AN226" i="7"/>
  <c r="AN227" i="7"/>
  <c r="AN228" i="7"/>
  <c r="AN229" i="7"/>
  <c r="AN230" i="7"/>
  <c r="AN231" i="7"/>
  <c r="AN232" i="7"/>
  <c r="AN233" i="7"/>
  <c r="AN234" i="7"/>
  <c r="AN235" i="7"/>
  <c r="AN236" i="7"/>
  <c r="AN237" i="7"/>
  <c r="AN238" i="7"/>
  <c r="AN239" i="7"/>
  <c r="AN240" i="7"/>
  <c r="AN241" i="7"/>
  <c r="AN242" i="7"/>
  <c r="AN243" i="7"/>
  <c r="AN244" i="7"/>
  <c r="AN245" i="7"/>
  <c r="AN246" i="7"/>
  <c r="AN247" i="7"/>
  <c r="AN248" i="7"/>
  <c r="AN249" i="7"/>
  <c r="AN250" i="7"/>
  <c r="AN251" i="7"/>
  <c r="AN252" i="7"/>
  <c r="AN253" i="7"/>
  <c r="AN254" i="7"/>
  <c r="AN255" i="7"/>
  <c r="AN256" i="7"/>
  <c r="AN257" i="7"/>
  <c r="AN258" i="7"/>
  <c r="AN259" i="7"/>
  <c r="AN260" i="7"/>
  <c r="AN261" i="7"/>
  <c r="AN262" i="7"/>
  <c r="AN263" i="7"/>
  <c r="AN264" i="7"/>
  <c r="AN265" i="7"/>
  <c r="AN266" i="7"/>
  <c r="AN267" i="7"/>
  <c r="AN268" i="7"/>
  <c r="AN269" i="7"/>
  <c r="AN270" i="7"/>
  <c r="AN271" i="7"/>
  <c r="AN272" i="7"/>
  <c r="AN273" i="7"/>
  <c r="AN274" i="7"/>
  <c r="AN275" i="7"/>
  <c r="AN276" i="7"/>
  <c r="AN277" i="7"/>
  <c r="AN278" i="7"/>
  <c r="AN279" i="7"/>
  <c r="AN280" i="7"/>
  <c r="AN281" i="7"/>
  <c r="AN282" i="7"/>
  <c r="AN283" i="7"/>
  <c r="AN284" i="7"/>
  <c r="AN285" i="7"/>
  <c r="AN286" i="7"/>
  <c r="AN287" i="7"/>
  <c r="AN288" i="7"/>
  <c r="AN289" i="7"/>
  <c r="AN290" i="7"/>
  <c r="AN291" i="7"/>
  <c r="AN292" i="7"/>
  <c r="AN293" i="7"/>
  <c r="AN294" i="7"/>
  <c r="AN295" i="7"/>
  <c r="AN296" i="7"/>
  <c r="AN297" i="7"/>
  <c r="AN298" i="7"/>
  <c r="AN299" i="7"/>
  <c r="AN300" i="7"/>
  <c r="AN301" i="7"/>
  <c r="AN302" i="7"/>
  <c r="AN303" i="7"/>
  <c r="AN304" i="7"/>
  <c r="AN305" i="7"/>
  <c r="AN306" i="7"/>
  <c r="AN307" i="7"/>
  <c r="AN308" i="7"/>
  <c r="AN309" i="7"/>
  <c r="AN310" i="7"/>
  <c r="AN311" i="7"/>
  <c r="AN312" i="7"/>
  <c r="AN313" i="7"/>
  <c r="AN314" i="7"/>
  <c r="AN315" i="7"/>
  <c r="AN316" i="7"/>
  <c r="AN317" i="7"/>
  <c r="AN318" i="7"/>
  <c r="AN319" i="7"/>
  <c r="AN320" i="7"/>
  <c r="AN321" i="7"/>
  <c r="AN322" i="7"/>
  <c r="AN323" i="7"/>
  <c r="AN324" i="7"/>
  <c r="AN32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H6" i="7"/>
  <c r="I173" i="21" s="1"/>
  <c r="AH7" i="7" l="1"/>
  <c r="I174" i="21" s="1"/>
  <c r="AH8" i="7"/>
  <c r="I175" i="21" s="1"/>
  <c r="AH9" i="7"/>
  <c r="I176" i="21" s="1"/>
  <c r="AH10" i="7"/>
  <c r="I70" i="21" s="1"/>
  <c r="AH11" i="7"/>
  <c r="I71" i="21" s="1"/>
  <c r="AH12" i="7"/>
  <c r="I7" i="21" s="1"/>
  <c r="AH13" i="7"/>
  <c r="I177" i="21" s="1"/>
  <c r="AH14" i="7"/>
  <c r="I154" i="21" s="1"/>
  <c r="AH15" i="7"/>
  <c r="I153" i="21" s="1"/>
  <c r="AH16" i="7"/>
  <c r="I178" i="21" s="1"/>
  <c r="AH17" i="7"/>
  <c r="I179" i="21" s="1"/>
  <c r="AH18" i="7"/>
  <c r="I146" i="21" s="1"/>
  <c r="AH19" i="7"/>
  <c r="I180" i="21" s="1"/>
  <c r="AH20" i="7"/>
  <c r="I181" i="21" s="1"/>
  <c r="AH21" i="7"/>
  <c r="I117" i="21" s="1"/>
  <c r="AH22" i="7"/>
  <c r="I118" i="21" s="1"/>
  <c r="AH23" i="7"/>
  <c r="I182" i="21" s="1"/>
  <c r="AH24" i="7"/>
  <c r="I72" i="21" s="1"/>
  <c r="AH25" i="7"/>
  <c r="I135" i="21" s="1"/>
  <c r="AH26" i="7"/>
  <c r="I183" i="21" s="1"/>
  <c r="AH27" i="7"/>
  <c r="I73" i="21" s="1"/>
  <c r="AH28" i="7"/>
  <c r="I136" i="21" s="1"/>
  <c r="AH29" i="7"/>
  <c r="I184" i="21" s="1"/>
  <c r="AH30" i="7"/>
  <c r="I185" i="21" s="1"/>
  <c r="AH31" i="7"/>
  <c r="I186" i="21" s="1"/>
  <c r="AH32" i="7"/>
  <c r="I74" i="21" s="1"/>
  <c r="AH33" i="7"/>
  <c r="I187" i="21" s="1"/>
  <c r="AH34" i="7"/>
  <c r="I13" i="21" s="1"/>
  <c r="AH35" i="7"/>
  <c r="I188" i="21" s="1"/>
  <c r="AH36" i="7"/>
  <c r="I75" i="21" s="1"/>
  <c r="AH37" i="7"/>
  <c r="I189" i="21" s="1"/>
  <c r="AH38" i="7"/>
  <c r="I190" i="21" s="1"/>
  <c r="AH39" i="7"/>
  <c r="I76" i="21" s="1"/>
  <c r="AH40" i="7"/>
  <c r="I32" i="21" s="1"/>
  <c r="AH41" i="7"/>
  <c r="I137" i="21" s="1"/>
  <c r="AH42" i="7"/>
  <c r="I77" i="21" s="1"/>
  <c r="AH43" i="7"/>
  <c r="I191" i="21" s="1"/>
  <c r="AH44" i="7"/>
  <c r="I67" i="21" s="1"/>
  <c r="AH45" i="7"/>
  <c r="I14" i="21" s="1"/>
  <c r="AH46" i="7"/>
  <c r="I192" i="21" s="1"/>
  <c r="AH47" i="7"/>
  <c r="I15" i="21" s="1"/>
  <c r="AH48" i="7"/>
  <c r="I33" i="21" s="1"/>
  <c r="AH49" i="7"/>
  <c r="I34" i="21" s="1"/>
  <c r="AH50" i="7"/>
  <c r="I16" i="21" s="1"/>
  <c r="AH51" i="7"/>
  <c r="I193" i="21" s="1"/>
  <c r="AH52" i="7"/>
  <c r="I313" i="21" s="1"/>
  <c r="AH53" i="7"/>
  <c r="I155" i="21" s="1"/>
  <c r="AH54" i="7"/>
  <c r="I68" i="21" s="1"/>
  <c r="AH55" i="7"/>
  <c r="AH56" i="7"/>
  <c r="AH57" i="7"/>
  <c r="AH58" i="7"/>
  <c r="I138" i="21" s="1"/>
  <c r="AH59" i="7"/>
  <c r="I194" i="21" s="1"/>
  <c r="AH60" i="7"/>
  <c r="I195" i="21" s="1"/>
  <c r="AH61" i="7"/>
  <c r="I196" i="21" s="1"/>
  <c r="AH62" i="7"/>
  <c r="I156" i="21" s="1"/>
  <c r="AH63" i="7"/>
  <c r="I197" i="21" s="1"/>
  <c r="AH64" i="7"/>
  <c r="I35" i="21" s="1"/>
  <c r="AH65" i="7"/>
  <c r="I198" i="21" s="1"/>
  <c r="AH66" i="7"/>
  <c r="I139" i="21" s="1"/>
  <c r="AH67" i="7"/>
  <c r="I78" i="21" s="1"/>
  <c r="AH68" i="7"/>
  <c r="I199" i="21" s="1"/>
  <c r="AH69" i="7"/>
  <c r="I79" i="21" s="1"/>
  <c r="AH70" i="7"/>
  <c r="I200" i="21" s="1"/>
  <c r="AH71" i="7"/>
  <c r="I201" i="21" s="1"/>
  <c r="AH72" i="7"/>
  <c r="I202" i="21" s="1"/>
  <c r="AH73" i="7"/>
  <c r="I157" i="21" s="1"/>
  <c r="AH74" i="7"/>
  <c r="I80" i="21" s="1"/>
  <c r="AH75" i="7"/>
  <c r="I81" i="21" s="1"/>
  <c r="AH76" i="7"/>
  <c r="I203" i="21" s="1"/>
  <c r="AH77" i="7"/>
  <c r="I82" i="21" s="1"/>
  <c r="AH78" i="7"/>
  <c r="I204" i="21" s="1"/>
  <c r="AH79" i="7"/>
  <c r="I205" i="21" s="1"/>
  <c r="AH80" i="7"/>
  <c r="I17" i="21" s="1"/>
  <c r="AH81" i="7"/>
  <c r="I206" i="21" s="1"/>
  <c r="AH82" i="7"/>
  <c r="I207" i="21" s="1"/>
  <c r="AH83" i="7"/>
  <c r="I208" i="21" s="1"/>
  <c r="AH84" i="7"/>
  <c r="I147" i="21" s="1"/>
  <c r="AH85" i="7"/>
  <c r="I119" i="21" s="1"/>
  <c r="AH86" i="7"/>
  <c r="I209" i="21" s="1"/>
  <c r="AH87" i="7"/>
  <c r="I36" i="21" s="1"/>
  <c r="AH88" i="7"/>
  <c r="I210" i="21" s="1"/>
  <c r="AH89" i="7"/>
  <c r="I120" i="21" s="1"/>
  <c r="AH90" i="7"/>
  <c r="I148" i="21" s="1"/>
  <c r="AH91" i="7"/>
  <c r="I121" i="21" s="1"/>
  <c r="AH92" i="7"/>
  <c r="I140" i="21" s="1"/>
  <c r="AH93" i="7"/>
  <c r="I149" i="21" s="1"/>
  <c r="AH94" i="7"/>
  <c r="I158" i="21" s="1"/>
  <c r="AH95" i="7"/>
  <c r="I4" i="21" s="1"/>
  <c r="AH96" i="7"/>
  <c r="I211" i="21" s="1"/>
  <c r="AH97" i="7"/>
  <c r="I212" i="21" s="1"/>
  <c r="AH98" i="7"/>
  <c r="I213" i="21" s="1"/>
  <c r="AH99" i="7"/>
  <c r="I37" i="21" s="1"/>
  <c r="AH100" i="7"/>
  <c r="I62" i="21" s="1"/>
  <c r="AH101" i="7"/>
  <c r="I38" i="21" s="1"/>
  <c r="AH102" i="7"/>
  <c r="I214" i="21" s="1"/>
  <c r="AH103" i="7"/>
  <c r="I215" i="21" s="1"/>
  <c r="AH104" i="7"/>
  <c r="I83" i="21" s="1"/>
  <c r="AH105" i="7"/>
  <c r="I84" i="21" s="1"/>
  <c r="AH106" i="7"/>
  <c r="I85" i="21" s="1"/>
  <c r="AH107" i="7"/>
  <c r="I86" i="21" s="1"/>
  <c r="AH108" i="7"/>
  <c r="I216" i="21" s="1"/>
  <c r="AH109" i="7"/>
  <c r="I217" i="21" s="1"/>
  <c r="AH110" i="7"/>
  <c r="I218" i="21" s="1"/>
  <c r="AH111" i="7"/>
  <c r="I87" i="21" s="1"/>
  <c r="AH112" i="7"/>
  <c r="I219" i="21" s="1"/>
  <c r="AH113" i="7"/>
  <c r="I39" i="21" s="1"/>
  <c r="AH114" i="7"/>
  <c r="I88" i="21" s="1"/>
  <c r="AH115" i="7"/>
  <c r="I40" i="21" s="1"/>
  <c r="AH116" i="7"/>
  <c r="I141" i="21" s="1"/>
  <c r="AH117" i="7"/>
  <c r="I220" i="21" s="1"/>
  <c r="AH118" i="7"/>
  <c r="I159" i="21" s="1"/>
  <c r="AH119" i="7"/>
  <c r="I221" i="21" s="1"/>
  <c r="AH120" i="7"/>
  <c r="I89" i="21" s="1"/>
  <c r="AH121" i="7"/>
  <c r="I41" i="21" s="1"/>
  <c r="AH122" i="7"/>
  <c r="I222" i="21" s="1"/>
  <c r="AH123" i="7"/>
  <c r="I90" i="21" s="1"/>
  <c r="AH124" i="7"/>
  <c r="I223" i="21" s="1"/>
  <c r="AH125" i="7"/>
  <c r="I69" i="21" s="1"/>
  <c r="AH126" i="7"/>
  <c r="I224" i="21" s="1"/>
  <c r="AH127" i="7"/>
  <c r="I225" i="21" s="1"/>
  <c r="AH128" i="7"/>
  <c r="I226" i="21" s="1"/>
  <c r="AH129" i="7"/>
  <c r="I227" i="21" s="1"/>
  <c r="AH130" i="7"/>
  <c r="I91" i="21" s="1"/>
  <c r="AH131" i="7"/>
  <c r="I122" i="21" s="1"/>
  <c r="AH132" i="7"/>
  <c r="I18" i="21" s="1"/>
  <c r="AH133" i="7"/>
  <c r="I19" i="21" s="1"/>
  <c r="AH134" i="7"/>
  <c r="I228" i="21" s="1"/>
  <c r="AH135" i="7"/>
  <c r="I229" i="21" s="1"/>
  <c r="AH136" i="7"/>
  <c r="I123" i="21" s="1"/>
  <c r="AH137" i="7"/>
  <c r="I230" i="21" s="1"/>
  <c r="AH138" i="7"/>
  <c r="I160" i="21" s="1"/>
  <c r="AH139" i="7"/>
  <c r="I231" i="21" s="1"/>
  <c r="AH140" i="7"/>
  <c r="AH141" i="7"/>
  <c r="I42" i="21" s="1"/>
  <c r="AH142" i="7"/>
  <c r="I92" i="21" s="1"/>
  <c r="AH143" i="7"/>
  <c r="I93" i="21" s="1"/>
  <c r="AH144" i="7"/>
  <c r="I232" i="21" s="1"/>
  <c r="AH145" i="7"/>
  <c r="I161" i="21" s="1"/>
  <c r="AH146" i="7"/>
  <c r="I150" i="21" s="1"/>
  <c r="AH147" i="7"/>
  <c r="I233" i="21" s="1"/>
  <c r="AH148" i="7"/>
  <c r="I43" i="21" s="1"/>
  <c r="AH149" i="7"/>
  <c r="I234" i="21" s="1"/>
  <c r="AH150" i="7"/>
  <c r="I235" i="21" s="1"/>
  <c r="AH151" i="7"/>
  <c r="I124" i="21" s="1"/>
  <c r="AH152" i="7"/>
  <c r="I94" i="21" s="1"/>
  <c r="AH153" i="7"/>
  <c r="I95" i="21" s="1"/>
  <c r="AH154" i="7"/>
  <c r="I96" i="21" s="1"/>
  <c r="AH155" i="7"/>
  <c r="I44" i="21" s="1"/>
  <c r="AH156" i="7"/>
  <c r="I20" i="21" s="1"/>
  <c r="AH157" i="7"/>
  <c r="I11" i="21" s="1"/>
  <c r="AH158" i="7"/>
  <c r="I151" i="21" s="1"/>
  <c r="AH159" i="7"/>
  <c r="I97" i="21" s="1"/>
  <c r="AH160" i="7"/>
  <c r="I236" i="21" s="1"/>
  <c r="AH161" i="7"/>
  <c r="AH162" i="7"/>
  <c r="I237" i="21" s="1"/>
  <c r="AH163" i="7"/>
  <c r="I162" i="21" s="1"/>
  <c r="AH164" i="7"/>
  <c r="I238" i="21" s="1"/>
  <c r="AH165" i="7"/>
  <c r="I163" i="21" s="1"/>
  <c r="AH166" i="7"/>
  <c r="I142" i="21" s="1"/>
  <c r="AH167" i="7"/>
  <c r="I239" i="21" s="1"/>
  <c r="AH168" i="7"/>
  <c r="I45" i="21" s="1"/>
  <c r="AH169" i="7"/>
  <c r="I164" i="21" s="1"/>
  <c r="AH170" i="7"/>
  <c r="I21" i="21" s="1"/>
  <c r="AH171" i="7"/>
  <c r="I125" i="21" s="1"/>
  <c r="AH172" i="7"/>
  <c r="I240" i="21" s="1"/>
  <c r="AH173" i="7"/>
  <c r="I98" i="21" s="1"/>
  <c r="AH174" i="7"/>
  <c r="I241" i="21" s="1"/>
  <c r="AH175" i="7"/>
  <c r="I143" i="21" s="1"/>
  <c r="AH176" i="7"/>
  <c r="I242" i="21" s="1"/>
  <c r="AH177" i="7"/>
  <c r="I243" i="21" s="1"/>
  <c r="AH178" i="7"/>
  <c r="I244" i="21" s="1"/>
  <c r="AH179" i="7"/>
  <c r="I5" i="21" s="1"/>
  <c r="AH180" i="7"/>
  <c r="I245" i="21" s="1"/>
  <c r="AH181" i="7"/>
  <c r="I99" i="21" s="1"/>
  <c r="AH182" i="7"/>
  <c r="I246" i="21" s="1"/>
  <c r="AH183" i="7"/>
  <c r="I22" i="21" s="1"/>
  <c r="AH184" i="7"/>
  <c r="I23" i="21" s="1"/>
  <c r="AH185" i="7"/>
  <c r="I63" i="21" s="1"/>
  <c r="AH186" i="7"/>
  <c r="I9" i="21" s="1"/>
  <c r="AH187" i="7"/>
  <c r="I126" i="21" s="1"/>
  <c r="AH188" i="7"/>
  <c r="I247" i="21" s="1"/>
  <c r="AH189" i="7"/>
  <c r="I248" i="21" s="1"/>
  <c r="AH190" i="7"/>
  <c r="I127" i="21" s="1"/>
  <c r="AH191" i="7"/>
  <c r="I144" i="21" s="1"/>
  <c r="AH192" i="7"/>
  <c r="I64" i="21" s="1"/>
  <c r="AH193" i="7"/>
  <c r="I46" i="21" s="1"/>
  <c r="AH194" i="7"/>
  <c r="I152" i="21" s="1"/>
  <c r="AH195" i="7"/>
  <c r="I249" i="21" s="1"/>
  <c r="AH196" i="7"/>
  <c r="I6" i="21" s="1"/>
  <c r="AH197" i="7"/>
  <c r="I100" i="21" s="1"/>
  <c r="AH198" i="7"/>
  <c r="I145" i="21" s="1"/>
  <c r="AH199" i="7"/>
  <c r="I8" i="21" s="1"/>
  <c r="AH200" i="7"/>
  <c r="I250" i="21" s="1"/>
  <c r="AH201" i="7"/>
  <c r="I251" i="21" s="1"/>
  <c r="AH202" i="7"/>
  <c r="I47" i="21" s="1"/>
  <c r="AH203" i="7"/>
  <c r="I252" i="21" s="1"/>
  <c r="AH204" i="7"/>
  <c r="I253" i="21" s="1"/>
  <c r="AH205" i="7"/>
  <c r="I254" i="21" s="1"/>
  <c r="AH206" i="7"/>
  <c r="I255" i="21" s="1"/>
  <c r="AH207" i="7"/>
  <c r="AH208" i="7"/>
  <c r="I256" i="21" s="1"/>
  <c r="AH209" i="7"/>
  <c r="I257" i="21" s="1"/>
  <c r="AH210" i="7"/>
  <c r="I258" i="21" s="1"/>
  <c r="AH211" i="7"/>
  <c r="I48" i="21" s="1"/>
  <c r="AH212" i="7"/>
  <c r="I49" i="21" s="1"/>
  <c r="AH213" i="7"/>
  <c r="I259" i="21" s="1"/>
  <c r="AH214" i="7"/>
  <c r="I101" i="21" s="1"/>
  <c r="AH215" i="7"/>
  <c r="I260" i="21" s="1"/>
  <c r="AH216" i="7"/>
  <c r="I50" i="21" s="1"/>
  <c r="AH217" i="7"/>
  <c r="AH218" i="7"/>
  <c r="I102" i="21" s="1"/>
  <c r="AH219" i="7"/>
  <c r="I128" i="21" s="1"/>
  <c r="AH220" i="7"/>
  <c r="I129" i="21" s="1"/>
  <c r="AH221" i="7"/>
  <c r="I261" i="21" s="1"/>
  <c r="AH222" i="7"/>
  <c r="I130" i="21" s="1"/>
  <c r="AH223" i="7"/>
  <c r="AH224" i="7"/>
  <c r="I165" i="21" s="1"/>
  <c r="AH225" i="7"/>
  <c r="I51" i="21" s="1"/>
  <c r="AH226" i="7"/>
  <c r="I52" i="21" s="1"/>
  <c r="AH227" i="7"/>
  <c r="I53" i="21" s="1"/>
  <c r="AH228" i="7"/>
  <c r="I24" i="21" s="1"/>
  <c r="AH229" i="7"/>
  <c r="I54" i="21" s="1"/>
  <c r="AH230" i="7"/>
  <c r="I103" i="21" s="1"/>
  <c r="AH231" i="7"/>
  <c r="I104" i="21" s="1"/>
  <c r="AH232" i="7"/>
  <c r="I105" i="21" s="1"/>
  <c r="AH233" i="7"/>
  <c r="I262" i="21" s="1"/>
  <c r="AH234" i="7"/>
  <c r="I263" i="21" s="1"/>
  <c r="AH235" i="7"/>
  <c r="I12" i="21" s="1"/>
  <c r="AH236" i="7"/>
  <c r="I166" i="21" s="1"/>
  <c r="AH237" i="7"/>
  <c r="I25" i="21" s="1"/>
  <c r="AH238" i="7"/>
  <c r="I264" i="21" s="1"/>
  <c r="AH239" i="7"/>
  <c r="I265" i="21" s="1"/>
  <c r="AH240" i="7"/>
  <c r="I266" i="21" s="1"/>
  <c r="AH241" i="7"/>
  <c r="I267" i="21" s="1"/>
  <c r="AH242" i="7"/>
  <c r="I55" i="21" s="1"/>
  <c r="AH243" i="7"/>
  <c r="I106" i="21" s="1"/>
  <c r="AH244" i="7"/>
  <c r="I167" i="21" s="1"/>
  <c r="AH245" i="7"/>
  <c r="I268" i="21" s="1"/>
  <c r="AH246" i="7"/>
  <c r="I314" i="21" s="1"/>
  <c r="AH247" i="7"/>
  <c r="I269" i="21" s="1"/>
  <c r="AH248" i="7"/>
  <c r="I270" i="21" s="1"/>
  <c r="AH249" i="7"/>
  <c r="I271" i="21" s="1"/>
  <c r="AH250" i="7"/>
  <c r="I107" i="21" s="1"/>
  <c r="AH251" i="7"/>
  <c r="I272" i="21" s="1"/>
  <c r="AH252" i="7"/>
  <c r="I273" i="21" s="1"/>
  <c r="AH253" i="7"/>
  <c r="I26" i="21" s="1"/>
  <c r="AH254" i="7"/>
  <c r="I274" i="21" s="1"/>
  <c r="AH255" i="7"/>
  <c r="I108" i="21" s="1"/>
  <c r="AH256" i="7"/>
  <c r="I27" i="21" s="1"/>
  <c r="AH257" i="7"/>
  <c r="I275" i="21" s="1"/>
  <c r="AH258" i="7"/>
  <c r="I109" i="21" s="1"/>
  <c r="AH259" i="7"/>
  <c r="I276" i="21" s="1"/>
  <c r="AH260" i="7"/>
  <c r="I65" i="21" s="1"/>
  <c r="AH261" i="7"/>
  <c r="I131" i="21" s="1"/>
  <c r="AH262" i="7"/>
  <c r="I277" i="21" s="1"/>
  <c r="AH263" i="7"/>
  <c r="I278" i="21" s="1"/>
  <c r="AH264" i="7"/>
  <c r="I279" i="21" s="1"/>
  <c r="AH265" i="7"/>
  <c r="I280" i="21" s="1"/>
  <c r="AH266" i="7"/>
  <c r="I110" i="21" s="1"/>
  <c r="AH267" i="7"/>
  <c r="I28" i="21" s="1"/>
  <c r="AH268" i="7"/>
  <c r="I111" i="21" s="1"/>
  <c r="AH269" i="7"/>
  <c r="I112" i="21" s="1"/>
  <c r="AH270" i="7"/>
  <c r="I132" i="21" s="1"/>
  <c r="AH271" i="7"/>
  <c r="I281" i="21" s="1"/>
  <c r="AH272" i="7"/>
  <c r="I282" i="21" s="1"/>
  <c r="AH273" i="7"/>
  <c r="I29" i="21" s="1"/>
  <c r="AH274" i="7"/>
  <c r="I283" i="21" s="1"/>
  <c r="AH275" i="7"/>
  <c r="I284" i="21" s="1"/>
  <c r="AH276" i="7"/>
  <c r="I285" i="21" s="1"/>
  <c r="AH277" i="7"/>
  <c r="I286" i="21" s="1"/>
  <c r="AH278" i="7"/>
  <c r="I56" i="21" s="1"/>
  <c r="AH279" i="7"/>
  <c r="I66" i="21" s="1"/>
  <c r="AH280" i="7"/>
  <c r="I133" i="21" s="1"/>
  <c r="AH281" i="7"/>
  <c r="I168" i="21" s="1"/>
  <c r="AH282" i="7"/>
  <c r="I287" i="21" s="1"/>
  <c r="AH283" i="7"/>
  <c r="I57" i="21" s="1"/>
  <c r="AH284" i="7"/>
  <c r="I169" i="21" s="1"/>
  <c r="AH285" i="7"/>
  <c r="I288" i="21" s="1"/>
  <c r="AH286" i="7"/>
  <c r="I289" i="21" s="1"/>
  <c r="AH287" i="7"/>
  <c r="I58" i="21" s="1"/>
  <c r="AH288" i="7"/>
  <c r="I59" i="21" s="1"/>
  <c r="AH289" i="7"/>
  <c r="I290" i="21" s="1"/>
  <c r="AH290" i="7"/>
  <c r="I291" i="21" s="1"/>
  <c r="AH291" i="7"/>
  <c r="I113" i="21" s="1"/>
  <c r="AH292" i="7"/>
  <c r="I292" i="21" s="1"/>
  <c r="AH293" i="7"/>
  <c r="I293" i="21" s="1"/>
  <c r="AH294" i="7"/>
  <c r="I294" i="21" s="1"/>
  <c r="AH295" i="7"/>
  <c r="I60" i="21" s="1"/>
  <c r="AH296" i="7"/>
  <c r="I30" i="21" s="1"/>
  <c r="AH297" i="7"/>
  <c r="I295" i="21" s="1"/>
  <c r="AH298" i="7"/>
  <c r="I296" i="21" s="1"/>
  <c r="AH299" i="7"/>
  <c r="I170" i="21" s="1"/>
  <c r="AH300" i="7"/>
  <c r="I297" i="21" s="1"/>
  <c r="AH301" i="7"/>
  <c r="AH302" i="7"/>
  <c r="I298" i="21" s="1"/>
  <c r="AH303" i="7"/>
  <c r="I299" i="21" s="1"/>
  <c r="AH304" i="7"/>
  <c r="I114" i="21" s="1"/>
  <c r="AH305" i="7"/>
  <c r="I300" i="21" s="1"/>
  <c r="AH306" i="7"/>
  <c r="I10" i="21" s="1"/>
  <c r="AH307" i="7"/>
  <c r="I61" i="21" s="1"/>
  <c r="AH308" i="7"/>
  <c r="I301" i="21" s="1"/>
  <c r="AH309" i="7"/>
  <c r="I302" i="21" s="1"/>
  <c r="AH310" i="7"/>
  <c r="I171" i="21" s="1"/>
  <c r="AH311" i="7"/>
  <c r="I172" i="21" s="1"/>
  <c r="AH312" i="7"/>
  <c r="I303" i="21" s="1"/>
  <c r="AH313" i="7"/>
  <c r="I31" i="21" s="1"/>
  <c r="AH314" i="7"/>
  <c r="I304" i="21" s="1"/>
  <c r="AH315" i="7"/>
  <c r="I305" i="21" s="1"/>
  <c r="AH316" i="7"/>
  <c r="I306" i="21" s="1"/>
  <c r="AH317" i="7"/>
  <c r="I115" i="21" s="1"/>
  <c r="AH318" i="7"/>
  <c r="I307" i="21" s="1"/>
  <c r="AH319" i="7"/>
  <c r="I134" i="21" s="1"/>
  <c r="AH320" i="7"/>
  <c r="I308" i="21" s="1"/>
  <c r="AH321" i="7"/>
  <c r="I309" i="21" s="1"/>
  <c r="AH322" i="7"/>
  <c r="I310" i="21" s="1"/>
  <c r="AH323" i="7"/>
  <c r="I311" i="21" s="1"/>
  <c r="AH324" i="7"/>
  <c r="I312" i="21" s="1"/>
  <c r="AH325" i="7"/>
  <c r="I116" i="21" s="1"/>
  <c r="AG6" i="7"/>
  <c r="I247" i="37" s="1"/>
  <c r="C247" i="37" s="1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104" i="7"/>
  <c r="AQ105" i="7"/>
  <c r="AQ106" i="7"/>
  <c r="AQ107" i="7"/>
  <c r="AQ108" i="7"/>
  <c r="AQ109" i="7"/>
  <c r="AQ110" i="7"/>
  <c r="AQ111" i="7"/>
  <c r="AQ112" i="7"/>
  <c r="AQ113" i="7"/>
  <c r="AQ114" i="7"/>
  <c r="AQ115" i="7"/>
  <c r="AQ116" i="7"/>
  <c r="AQ117" i="7"/>
  <c r="AQ118" i="7"/>
  <c r="AQ119" i="7"/>
  <c r="AQ120" i="7"/>
  <c r="AQ121" i="7"/>
  <c r="AQ122" i="7"/>
  <c r="AQ123" i="7"/>
  <c r="AQ124" i="7"/>
  <c r="AQ125" i="7"/>
  <c r="AQ126" i="7"/>
  <c r="AQ127" i="7"/>
  <c r="AQ128" i="7"/>
  <c r="AQ129" i="7"/>
  <c r="AQ130" i="7"/>
  <c r="AQ131" i="7"/>
  <c r="AQ132" i="7"/>
  <c r="AQ133" i="7"/>
  <c r="AQ134" i="7"/>
  <c r="AQ135" i="7"/>
  <c r="AQ136" i="7"/>
  <c r="AQ137" i="7"/>
  <c r="AQ138" i="7"/>
  <c r="AQ139" i="7"/>
  <c r="AQ140" i="7"/>
  <c r="AQ141" i="7"/>
  <c r="AQ142" i="7"/>
  <c r="AQ143" i="7"/>
  <c r="AQ144" i="7"/>
  <c r="AQ145" i="7"/>
  <c r="AQ146" i="7"/>
  <c r="AQ147" i="7"/>
  <c r="AQ148" i="7"/>
  <c r="AQ149" i="7"/>
  <c r="AQ150" i="7"/>
  <c r="AQ151" i="7"/>
  <c r="AQ152" i="7"/>
  <c r="AQ153" i="7"/>
  <c r="AQ154" i="7"/>
  <c r="AQ155" i="7"/>
  <c r="AQ156" i="7"/>
  <c r="AQ157" i="7"/>
  <c r="AQ158" i="7"/>
  <c r="AQ159" i="7"/>
  <c r="AQ160" i="7"/>
  <c r="AQ161" i="7"/>
  <c r="AQ162" i="7"/>
  <c r="AQ163" i="7"/>
  <c r="AQ164" i="7"/>
  <c r="AQ165" i="7"/>
  <c r="AQ166" i="7"/>
  <c r="AQ167" i="7"/>
  <c r="AQ168" i="7"/>
  <c r="AQ169" i="7"/>
  <c r="AQ170" i="7"/>
  <c r="AQ171" i="7"/>
  <c r="AQ172" i="7"/>
  <c r="AQ173" i="7"/>
  <c r="AQ174" i="7"/>
  <c r="AQ175" i="7"/>
  <c r="AQ176" i="7"/>
  <c r="AQ177" i="7"/>
  <c r="AQ178" i="7"/>
  <c r="AQ179" i="7"/>
  <c r="AQ180" i="7"/>
  <c r="AQ181" i="7"/>
  <c r="AQ182" i="7"/>
  <c r="AQ183" i="7"/>
  <c r="AQ184" i="7"/>
  <c r="AQ185" i="7"/>
  <c r="AQ186" i="7"/>
  <c r="AQ187" i="7"/>
  <c r="AQ188" i="7"/>
  <c r="AQ189" i="7"/>
  <c r="AQ190" i="7"/>
  <c r="AQ191" i="7"/>
  <c r="AQ192" i="7"/>
  <c r="AQ193" i="7"/>
  <c r="AQ194" i="7"/>
  <c r="AQ195" i="7"/>
  <c r="AQ196" i="7"/>
  <c r="AQ197" i="7"/>
  <c r="AQ198" i="7"/>
  <c r="AQ199" i="7"/>
  <c r="AQ200" i="7"/>
  <c r="AQ201" i="7"/>
  <c r="AQ202" i="7"/>
  <c r="AQ203" i="7"/>
  <c r="AQ204" i="7"/>
  <c r="AQ205" i="7"/>
  <c r="AQ206" i="7"/>
  <c r="AQ207" i="7"/>
  <c r="AQ208" i="7"/>
  <c r="AQ209" i="7"/>
  <c r="AQ210" i="7"/>
  <c r="AQ211" i="7"/>
  <c r="AQ212" i="7"/>
  <c r="AQ213" i="7"/>
  <c r="AQ214" i="7"/>
  <c r="AQ215" i="7"/>
  <c r="AQ216" i="7"/>
  <c r="AQ217" i="7"/>
  <c r="AQ218" i="7"/>
  <c r="AQ219" i="7"/>
  <c r="AQ220" i="7"/>
  <c r="AQ221" i="7"/>
  <c r="AQ222" i="7"/>
  <c r="AQ223" i="7"/>
  <c r="AQ224" i="7"/>
  <c r="AQ225" i="7"/>
  <c r="AQ226" i="7"/>
  <c r="AQ227" i="7"/>
  <c r="AQ228" i="7"/>
  <c r="AQ229" i="7"/>
  <c r="AQ230" i="7"/>
  <c r="AQ231" i="7"/>
  <c r="AQ232" i="7"/>
  <c r="AQ233" i="7"/>
  <c r="AQ234" i="7"/>
  <c r="AQ235" i="7"/>
  <c r="AQ236" i="7"/>
  <c r="AQ237" i="7"/>
  <c r="AQ238" i="7"/>
  <c r="AQ239" i="7"/>
  <c r="AQ240" i="7"/>
  <c r="AQ241" i="7"/>
  <c r="AQ242" i="7"/>
  <c r="AQ243" i="7"/>
  <c r="AQ244" i="7"/>
  <c r="AQ245" i="7"/>
  <c r="AQ246" i="7"/>
  <c r="AQ247" i="7"/>
  <c r="AQ248" i="7"/>
  <c r="AQ249" i="7"/>
  <c r="AQ250" i="7"/>
  <c r="AQ251" i="7"/>
  <c r="AQ252" i="7"/>
  <c r="AQ253" i="7"/>
  <c r="AQ254" i="7"/>
  <c r="AQ255" i="7"/>
  <c r="AQ256" i="7"/>
  <c r="AQ257" i="7"/>
  <c r="AQ258" i="7"/>
  <c r="AQ259" i="7"/>
  <c r="AQ260" i="7"/>
  <c r="AQ261" i="7"/>
  <c r="AQ262" i="7"/>
  <c r="AQ263" i="7"/>
  <c r="AQ264" i="7"/>
  <c r="AQ265" i="7"/>
  <c r="AQ266" i="7"/>
  <c r="AQ267" i="7"/>
  <c r="AQ268" i="7"/>
  <c r="AQ269" i="7"/>
  <c r="AQ270" i="7"/>
  <c r="AQ271" i="7"/>
  <c r="AQ272" i="7"/>
  <c r="AQ273" i="7"/>
  <c r="AQ274" i="7"/>
  <c r="AQ275" i="7"/>
  <c r="AQ276" i="7"/>
  <c r="AQ277" i="7"/>
  <c r="AQ278" i="7"/>
  <c r="AQ279" i="7"/>
  <c r="AQ280" i="7"/>
  <c r="AQ281" i="7"/>
  <c r="AQ282" i="7"/>
  <c r="AQ283" i="7"/>
  <c r="AQ284" i="7"/>
  <c r="AQ285" i="7"/>
  <c r="AQ286" i="7"/>
  <c r="AQ287" i="7"/>
  <c r="AQ288" i="7"/>
  <c r="AQ289" i="7"/>
  <c r="AQ290" i="7"/>
  <c r="AQ291" i="7"/>
  <c r="AQ292" i="7"/>
  <c r="AQ293" i="7"/>
  <c r="AQ294" i="7"/>
  <c r="AQ295" i="7"/>
  <c r="AQ296" i="7"/>
  <c r="AQ297" i="7"/>
  <c r="AQ298" i="7"/>
  <c r="AQ299" i="7"/>
  <c r="AQ300" i="7"/>
  <c r="AQ301" i="7"/>
  <c r="AQ302" i="7"/>
  <c r="AQ303" i="7"/>
  <c r="AQ304" i="7"/>
  <c r="AQ305" i="7"/>
  <c r="AQ306" i="7"/>
  <c r="AQ307" i="7"/>
  <c r="AQ308" i="7"/>
  <c r="AQ309" i="7"/>
  <c r="AQ310" i="7"/>
  <c r="AQ311" i="7"/>
  <c r="AQ312" i="7"/>
  <c r="AQ313" i="7"/>
  <c r="AQ314" i="7"/>
  <c r="AQ315" i="7"/>
  <c r="AQ316" i="7"/>
  <c r="AQ317" i="7"/>
  <c r="AQ318" i="7"/>
  <c r="AQ319" i="7"/>
  <c r="AQ320" i="7"/>
  <c r="AQ321" i="7"/>
  <c r="AQ322" i="7"/>
  <c r="AQ323" i="7"/>
  <c r="AQ324" i="7"/>
  <c r="AQ325" i="7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AR110" i="7"/>
  <c r="AR111" i="7"/>
  <c r="AR112" i="7"/>
  <c r="AR113" i="7"/>
  <c r="AR114" i="7"/>
  <c r="AR115" i="7"/>
  <c r="AR116" i="7"/>
  <c r="AR117" i="7"/>
  <c r="AR118" i="7"/>
  <c r="AR119" i="7"/>
  <c r="AR120" i="7"/>
  <c r="AR121" i="7"/>
  <c r="AR122" i="7"/>
  <c r="AR123" i="7"/>
  <c r="AR124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36" i="7"/>
  <c r="AR237" i="7"/>
  <c r="AR238" i="7"/>
  <c r="AR239" i="7"/>
  <c r="AR240" i="7"/>
  <c r="AR241" i="7"/>
  <c r="AR242" i="7"/>
  <c r="AR243" i="7"/>
  <c r="AR244" i="7"/>
  <c r="AR245" i="7"/>
  <c r="AR246" i="7"/>
  <c r="AR247" i="7"/>
  <c r="AR248" i="7"/>
  <c r="AR249" i="7"/>
  <c r="AR250" i="7"/>
  <c r="AR251" i="7"/>
  <c r="AR252" i="7"/>
  <c r="AR253" i="7"/>
  <c r="AR254" i="7"/>
  <c r="AR255" i="7"/>
  <c r="AR256" i="7"/>
  <c r="AR257" i="7"/>
  <c r="AR258" i="7"/>
  <c r="AR259" i="7"/>
  <c r="AR260" i="7"/>
  <c r="AR261" i="7"/>
  <c r="AR262" i="7"/>
  <c r="AR263" i="7"/>
  <c r="AR264" i="7"/>
  <c r="AR265" i="7"/>
  <c r="AR266" i="7"/>
  <c r="AR267" i="7"/>
  <c r="AR268" i="7"/>
  <c r="AR269" i="7"/>
  <c r="AR270" i="7"/>
  <c r="AR271" i="7"/>
  <c r="AR272" i="7"/>
  <c r="AR273" i="7"/>
  <c r="AR274" i="7"/>
  <c r="AR275" i="7"/>
  <c r="AR276" i="7"/>
  <c r="AR277" i="7"/>
  <c r="AR278" i="7"/>
  <c r="AR279" i="7"/>
  <c r="AR280" i="7"/>
  <c r="AR281" i="7"/>
  <c r="AR282" i="7"/>
  <c r="AR283" i="7"/>
  <c r="AR284" i="7"/>
  <c r="AR285" i="7"/>
  <c r="AR286" i="7"/>
  <c r="AR287" i="7"/>
  <c r="AR288" i="7"/>
  <c r="AR289" i="7"/>
  <c r="AR290" i="7"/>
  <c r="AR291" i="7"/>
  <c r="AR292" i="7"/>
  <c r="AR293" i="7"/>
  <c r="AR294" i="7"/>
  <c r="AR295" i="7"/>
  <c r="AR296" i="7"/>
  <c r="AR297" i="7"/>
  <c r="AR298" i="7"/>
  <c r="AR299" i="7"/>
  <c r="AR300" i="7"/>
  <c r="AR301" i="7"/>
  <c r="AR302" i="7"/>
  <c r="AR303" i="7"/>
  <c r="AR304" i="7"/>
  <c r="AR305" i="7"/>
  <c r="AR306" i="7"/>
  <c r="AR307" i="7"/>
  <c r="AR308" i="7"/>
  <c r="AR309" i="7"/>
  <c r="AR310" i="7"/>
  <c r="AR311" i="7"/>
  <c r="AR312" i="7"/>
  <c r="AR313" i="7"/>
  <c r="AR314" i="7"/>
  <c r="AR315" i="7"/>
  <c r="AR316" i="7"/>
  <c r="AR317" i="7"/>
  <c r="AR318" i="7"/>
  <c r="AR319" i="7"/>
  <c r="AR320" i="7"/>
  <c r="AR321" i="7"/>
  <c r="AR322" i="7"/>
  <c r="AR323" i="7"/>
  <c r="AR324" i="7"/>
  <c r="AR32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104" i="7"/>
  <c r="AT105" i="7"/>
  <c r="AT106" i="7"/>
  <c r="AT107" i="7"/>
  <c r="AT108" i="7"/>
  <c r="AT109" i="7"/>
  <c r="AT110" i="7"/>
  <c r="AT111" i="7"/>
  <c r="AT112" i="7"/>
  <c r="AT113" i="7"/>
  <c r="AT114" i="7"/>
  <c r="AT115" i="7"/>
  <c r="AT116" i="7"/>
  <c r="AT117" i="7"/>
  <c r="AT118" i="7"/>
  <c r="AT119" i="7"/>
  <c r="AT120" i="7"/>
  <c r="AT121" i="7"/>
  <c r="AT122" i="7"/>
  <c r="AT123" i="7"/>
  <c r="AT124" i="7"/>
  <c r="AT125" i="7"/>
  <c r="AT126" i="7"/>
  <c r="AT127" i="7"/>
  <c r="AT128" i="7"/>
  <c r="AT129" i="7"/>
  <c r="AT130" i="7"/>
  <c r="AT131" i="7"/>
  <c r="AT132" i="7"/>
  <c r="AT133" i="7"/>
  <c r="AT134" i="7"/>
  <c r="AT135" i="7"/>
  <c r="AT136" i="7"/>
  <c r="AT137" i="7"/>
  <c r="AT138" i="7"/>
  <c r="AT139" i="7"/>
  <c r="AT140" i="7"/>
  <c r="AT141" i="7"/>
  <c r="AT142" i="7"/>
  <c r="AT143" i="7"/>
  <c r="AT144" i="7"/>
  <c r="AT145" i="7"/>
  <c r="AT146" i="7"/>
  <c r="AT147" i="7"/>
  <c r="AT148" i="7"/>
  <c r="AT149" i="7"/>
  <c r="AT150" i="7"/>
  <c r="AT151" i="7"/>
  <c r="AT152" i="7"/>
  <c r="AT153" i="7"/>
  <c r="AT154" i="7"/>
  <c r="AT155" i="7"/>
  <c r="AT156" i="7"/>
  <c r="AT157" i="7"/>
  <c r="AT158" i="7"/>
  <c r="AT159" i="7"/>
  <c r="AT160" i="7"/>
  <c r="AT161" i="7"/>
  <c r="AT162" i="7"/>
  <c r="AT163" i="7"/>
  <c r="AT164" i="7"/>
  <c r="AT165" i="7"/>
  <c r="AT166" i="7"/>
  <c r="AT167" i="7"/>
  <c r="AT168" i="7"/>
  <c r="AT169" i="7"/>
  <c r="AT170" i="7"/>
  <c r="AT171" i="7"/>
  <c r="AT172" i="7"/>
  <c r="AT173" i="7"/>
  <c r="AT174" i="7"/>
  <c r="AT175" i="7"/>
  <c r="AT176" i="7"/>
  <c r="AT177" i="7"/>
  <c r="AT178" i="7"/>
  <c r="AT179" i="7"/>
  <c r="AT180" i="7"/>
  <c r="AT181" i="7"/>
  <c r="AT182" i="7"/>
  <c r="AT183" i="7"/>
  <c r="AT184" i="7"/>
  <c r="AT185" i="7"/>
  <c r="AT186" i="7"/>
  <c r="AT187" i="7"/>
  <c r="AT188" i="7"/>
  <c r="AT189" i="7"/>
  <c r="AT190" i="7"/>
  <c r="AT191" i="7"/>
  <c r="AT192" i="7"/>
  <c r="AT193" i="7"/>
  <c r="AT194" i="7"/>
  <c r="AT195" i="7"/>
  <c r="AT196" i="7"/>
  <c r="AT197" i="7"/>
  <c r="AT198" i="7"/>
  <c r="AT199" i="7"/>
  <c r="AT200" i="7"/>
  <c r="AT201" i="7"/>
  <c r="AT202" i="7"/>
  <c r="AT203" i="7"/>
  <c r="AT204" i="7"/>
  <c r="AT205" i="7"/>
  <c r="AT206" i="7"/>
  <c r="AT207" i="7"/>
  <c r="AT208" i="7"/>
  <c r="AT209" i="7"/>
  <c r="AT210" i="7"/>
  <c r="AT211" i="7"/>
  <c r="AT212" i="7"/>
  <c r="AT213" i="7"/>
  <c r="AT214" i="7"/>
  <c r="AT215" i="7"/>
  <c r="AT216" i="7"/>
  <c r="AT217" i="7"/>
  <c r="AT218" i="7"/>
  <c r="AT219" i="7"/>
  <c r="AT220" i="7"/>
  <c r="AT221" i="7"/>
  <c r="AT222" i="7"/>
  <c r="AT223" i="7"/>
  <c r="AT224" i="7"/>
  <c r="AT225" i="7"/>
  <c r="AT226" i="7"/>
  <c r="AT227" i="7"/>
  <c r="AT228" i="7"/>
  <c r="AT229" i="7"/>
  <c r="AT230" i="7"/>
  <c r="AT231" i="7"/>
  <c r="AT232" i="7"/>
  <c r="AT233" i="7"/>
  <c r="AT234" i="7"/>
  <c r="AT235" i="7"/>
  <c r="AT236" i="7"/>
  <c r="AT237" i="7"/>
  <c r="AT238" i="7"/>
  <c r="AT239" i="7"/>
  <c r="AT240" i="7"/>
  <c r="AT241" i="7"/>
  <c r="AT242" i="7"/>
  <c r="AT243" i="7"/>
  <c r="AT244" i="7"/>
  <c r="AT245" i="7"/>
  <c r="AT246" i="7"/>
  <c r="AT247" i="7"/>
  <c r="AT248" i="7"/>
  <c r="AT249" i="7"/>
  <c r="AT250" i="7"/>
  <c r="AT251" i="7"/>
  <c r="AT252" i="7"/>
  <c r="AT253" i="7"/>
  <c r="AT254" i="7"/>
  <c r="AT255" i="7"/>
  <c r="AT256" i="7"/>
  <c r="AT257" i="7"/>
  <c r="AT258" i="7"/>
  <c r="AT259" i="7"/>
  <c r="AT260" i="7"/>
  <c r="AT261" i="7"/>
  <c r="AT262" i="7"/>
  <c r="AT263" i="7"/>
  <c r="AT264" i="7"/>
  <c r="AT265" i="7"/>
  <c r="AT266" i="7"/>
  <c r="AT267" i="7"/>
  <c r="AT268" i="7"/>
  <c r="AT269" i="7"/>
  <c r="AT270" i="7"/>
  <c r="AT271" i="7"/>
  <c r="AT272" i="7"/>
  <c r="AT273" i="7"/>
  <c r="AT274" i="7"/>
  <c r="AT275" i="7"/>
  <c r="AT276" i="7"/>
  <c r="AT277" i="7"/>
  <c r="AT278" i="7"/>
  <c r="AT279" i="7"/>
  <c r="AT280" i="7"/>
  <c r="AT281" i="7"/>
  <c r="AT282" i="7"/>
  <c r="AT283" i="7"/>
  <c r="AT284" i="7"/>
  <c r="AT285" i="7"/>
  <c r="AT286" i="7"/>
  <c r="AT287" i="7"/>
  <c r="AT288" i="7"/>
  <c r="AT289" i="7"/>
  <c r="AT290" i="7"/>
  <c r="AT291" i="7"/>
  <c r="AT292" i="7"/>
  <c r="AT293" i="7"/>
  <c r="AT294" i="7"/>
  <c r="AT295" i="7"/>
  <c r="AT296" i="7"/>
  <c r="AT297" i="7"/>
  <c r="AT298" i="7"/>
  <c r="AT299" i="7"/>
  <c r="AT300" i="7"/>
  <c r="AT301" i="7"/>
  <c r="AT302" i="7"/>
  <c r="AT303" i="7"/>
  <c r="AT304" i="7"/>
  <c r="AT305" i="7"/>
  <c r="AT306" i="7"/>
  <c r="AT307" i="7"/>
  <c r="AT308" i="7"/>
  <c r="AT309" i="7"/>
  <c r="AT310" i="7"/>
  <c r="AT311" i="7"/>
  <c r="AT312" i="7"/>
  <c r="AT313" i="7"/>
  <c r="AT314" i="7"/>
  <c r="AT315" i="7"/>
  <c r="AT316" i="7"/>
  <c r="AT317" i="7"/>
  <c r="AT318" i="7"/>
  <c r="AT319" i="7"/>
  <c r="AT320" i="7"/>
  <c r="AT321" i="7"/>
  <c r="AT322" i="7"/>
  <c r="AT323" i="7"/>
  <c r="AT324" i="7"/>
  <c r="AT325" i="7"/>
  <c r="AU6" i="7"/>
  <c r="AU7" i="7"/>
  <c r="AU8" i="7"/>
  <c r="AU9" i="7"/>
  <c r="AU10" i="7"/>
  <c r="AU11" i="7"/>
  <c r="AU12" i="7"/>
  <c r="AU13" i="7"/>
  <c r="AU14" i="7"/>
  <c r="AU15" i="7"/>
  <c r="AU16" i="7"/>
  <c r="AU17" i="7"/>
  <c r="AU18" i="7"/>
  <c r="AU19" i="7"/>
  <c r="AU20" i="7"/>
  <c r="AU21" i="7"/>
  <c r="AU22" i="7"/>
  <c r="AU23" i="7"/>
  <c r="AU24" i="7"/>
  <c r="AU25" i="7"/>
  <c r="AU26" i="7"/>
  <c r="AU27" i="7"/>
  <c r="AU28" i="7"/>
  <c r="AU29" i="7"/>
  <c r="AU30" i="7"/>
  <c r="AU31" i="7"/>
  <c r="AU32" i="7"/>
  <c r="AU33" i="7"/>
  <c r="AU34" i="7"/>
  <c r="AU35" i="7"/>
  <c r="AU36" i="7"/>
  <c r="AU37" i="7"/>
  <c r="AU38" i="7"/>
  <c r="AU39" i="7"/>
  <c r="AU40" i="7"/>
  <c r="AU41" i="7"/>
  <c r="AU42" i="7"/>
  <c r="AU43" i="7"/>
  <c r="AU44" i="7"/>
  <c r="AU45" i="7"/>
  <c r="AU46" i="7"/>
  <c r="AU47" i="7"/>
  <c r="AU48" i="7"/>
  <c r="AU49" i="7"/>
  <c r="AU50" i="7"/>
  <c r="AU51" i="7"/>
  <c r="AU52" i="7"/>
  <c r="AU53" i="7"/>
  <c r="AU54" i="7"/>
  <c r="AU55" i="7"/>
  <c r="AU56" i="7"/>
  <c r="AU57" i="7"/>
  <c r="AU58" i="7"/>
  <c r="AU59" i="7"/>
  <c r="AU60" i="7"/>
  <c r="AU61" i="7"/>
  <c r="AU62" i="7"/>
  <c r="AU63" i="7"/>
  <c r="AU64" i="7"/>
  <c r="AU65" i="7"/>
  <c r="AU66" i="7"/>
  <c r="AU67" i="7"/>
  <c r="AU68" i="7"/>
  <c r="AU69" i="7"/>
  <c r="AU70" i="7"/>
  <c r="AU71" i="7"/>
  <c r="AU72" i="7"/>
  <c r="AU73" i="7"/>
  <c r="AU74" i="7"/>
  <c r="AU75" i="7"/>
  <c r="AU76" i="7"/>
  <c r="AU77" i="7"/>
  <c r="AU78" i="7"/>
  <c r="AU79" i="7"/>
  <c r="AU80" i="7"/>
  <c r="AU81" i="7"/>
  <c r="AU82" i="7"/>
  <c r="AU83" i="7"/>
  <c r="AU84" i="7"/>
  <c r="AU85" i="7"/>
  <c r="AU86" i="7"/>
  <c r="AU87" i="7"/>
  <c r="AU88" i="7"/>
  <c r="AU89" i="7"/>
  <c r="AU90" i="7"/>
  <c r="AU91" i="7"/>
  <c r="AU92" i="7"/>
  <c r="AU93" i="7"/>
  <c r="AU94" i="7"/>
  <c r="AU95" i="7"/>
  <c r="AU96" i="7"/>
  <c r="AU97" i="7"/>
  <c r="AU98" i="7"/>
  <c r="AU99" i="7"/>
  <c r="AU100" i="7"/>
  <c r="AU101" i="7"/>
  <c r="AU102" i="7"/>
  <c r="AU103" i="7"/>
  <c r="AU104" i="7"/>
  <c r="AU105" i="7"/>
  <c r="AU106" i="7"/>
  <c r="AU107" i="7"/>
  <c r="AU108" i="7"/>
  <c r="AU109" i="7"/>
  <c r="AU110" i="7"/>
  <c r="AU111" i="7"/>
  <c r="AU112" i="7"/>
  <c r="AU113" i="7"/>
  <c r="AU114" i="7"/>
  <c r="AU115" i="7"/>
  <c r="AU116" i="7"/>
  <c r="AU117" i="7"/>
  <c r="AU118" i="7"/>
  <c r="AU119" i="7"/>
  <c r="AU120" i="7"/>
  <c r="AU121" i="7"/>
  <c r="AU122" i="7"/>
  <c r="AU123" i="7"/>
  <c r="AU124" i="7"/>
  <c r="AU125" i="7"/>
  <c r="AU126" i="7"/>
  <c r="AU127" i="7"/>
  <c r="AU128" i="7"/>
  <c r="AU129" i="7"/>
  <c r="AU130" i="7"/>
  <c r="AU131" i="7"/>
  <c r="AU132" i="7"/>
  <c r="AU133" i="7"/>
  <c r="AU134" i="7"/>
  <c r="AU135" i="7"/>
  <c r="AU136" i="7"/>
  <c r="AU137" i="7"/>
  <c r="AU138" i="7"/>
  <c r="AU139" i="7"/>
  <c r="AU140" i="7"/>
  <c r="AU141" i="7"/>
  <c r="AU142" i="7"/>
  <c r="AU143" i="7"/>
  <c r="AU144" i="7"/>
  <c r="AU145" i="7"/>
  <c r="AU146" i="7"/>
  <c r="AU147" i="7"/>
  <c r="AU148" i="7"/>
  <c r="AU149" i="7"/>
  <c r="AU150" i="7"/>
  <c r="AU151" i="7"/>
  <c r="AU152" i="7"/>
  <c r="AU153" i="7"/>
  <c r="AU154" i="7"/>
  <c r="AU155" i="7"/>
  <c r="AU156" i="7"/>
  <c r="AU157" i="7"/>
  <c r="AU158" i="7"/>
  <c r="AU159" i="7"/>
  <c r="AU160" i="7"/>
  <c r="AU161" i="7"/>
  <c r="AU162" i="7"/>
  <c r="AU163" i="7"/>
  <c r="AU164" i="7"/>
  <c r="AU165" i="7"/>
  <c r="AU166" i="7"/>
  <c r="AU167" i="7"/>
  <c r="AU168" i="7"/>
  <c r="AU169" i="7"/>
  <c r="AU170" i="7"/>
  <c r="AU171" i="7"/>
  <c r="AU172" i="7"/>
  <c r="AU173" i="7"/>
  <c r="AU174" i="7"/>
  <c r="AU175" i="7"/>
  <c r="AU176" i="7"/>
  <c r="AU177" i="7"/>
  <c r="AU178" i="7"/>
  <c r="AU179" i="7"/>
  <c r="AU180" i="7"/>
  <c r="AU181" i="7"/>
  <c r="AU182" i="7"/>
  <c r="AU183" i="7"/>
  <c r="AU184" i="7"/>
  <c r="AU185" i="7"/>
  <c r="AU186" i="7"/>
  <c r="AU187" i="7"/>
  <c r="AU188" i="7"/>
  <c r="AU189" i="7"/>
  <c r="AU190" i="7"/>
  <c r="AU191" i="7"/>
  <c r="AU192" i="7"/>
  <c r="AU193" i="7"/>
  <c r="AU194" i="7"/>
  <c r="AU195" i="7"/>
  <c r="AU196" i="7"/>
  <c r="AU197" i="7"/>
  <c r="AU198" i="7"/>
  <c r="AU199" i="7"/>
  <c r="AU200" i="7"/>
  <c r="AU201" i="7"/>
  <c r="AU202" i="7"/>
  <c r="AU203" i="7"/>
  <c r="AU204" i="7"/>
  <c r="AU205" i="7"/>
  <c r="AU206" i="7"/>
  <c r="AU207" i="7"/>
  <c r="AU208" i="7"/>
  <c r="AU209" i="7"/>
  <c r="AU210" i="7"/>
  <c r="AU211" i="7"/>
  <c r="AU212" i="7"/>
  <c r="AU213" i="7"/>
  <c r="AU214" i="7"/>
  <c r="AU215" i="7"/>
  <c r="AU216" i="7"/>
  <c r="AU217" i="7"/>
  <c r="AU218" i="7"/>
  <c r="AU219" i="7"/>
  <c r="AU220" i="7"/>
  <c r="AU221" i="7"/>
  <c r="AU222" i="7"/>
  <c r="AU223" i="7"/>
  <c r="AU224" i="7"/>
  <c r="AU225" i="7"/>
  <c r="AU226" i="7"/>
  <c r="AU227" i="7"/>
  <c r="AU228" i="7"/>
  <c r="AU229" i="7"/>
  <c r="AU230" i="7"/>
  <c r="AU231" i="7"/>
  <c r="AU232" i="7"/>
  <c r="AU233" i="7"/>
  <c r="AU234" i="7"/>
  <c r="AU235" i="7"/>
  <c r="AU236" i="7"/>
  <c r="AU237" i="7"/>
  <c r="AU238" i="7"/>
  <c r="AU239" i="7"/>
  <c r="AU240" i="7"/>
  <c r="AU241" i="7"/>
  <c r="AU242" i="7"/>
  <c r="AU243" i="7"/>
  <c r="AU244" i="7"/>
  <c r="AU245" i="7"/>
  <c r="AU246" i="7"/>
  <c r="AU247" i="7"/>
  <c r="AU248" i="7"/>
  <c r="AU249" i="7"/>
  <c r="AU250" i="7"/>
  <c r="AU251" i="7"/>
  <c r="AU252" i="7"/>
  <c r="AU253" i="7"/>
  <c r="AU254" i="7"/>
  <c r="AU255" i="7"/>
  <c r="AU256" i="7"/>
  <c r="AU257" i="7"/>
  <c r="AU258" i="7"/>
  <c r="AU259" i="7"/>
  <c r="AU260" i="7"/>
  <c r="AU261" i="7"/>
  <c r="AU262" i="7"/>
  <c r="AU263" i="7"/>
  <c r="AU264" i="7"/>
  <c r="AU265" i="7"/>
  <c r="AU266" i="7"/>
  <c r="AU267" i="7"/>
  <c r="AU268" i="7"/>
  <c r="AU269" i="7"/>
  <c r="AU270" i="7"/>
  <c r="AU271" i="7"/>
  <c r="AU272" i="7"/>
  <c r="AU273" i="7"/>
  <c r="AU274" i="7"/>
  <c r="AU275" i="7"/>
  <c r="AU276" i="7"/>
  <c r="AU277" i="7"/>
  <c r="AU278" i="7"/>
  <c r="AU279" i="7"/>
  <c r="AU280" i="7"/>
  <c r="AU281" i="7"/>
  <c r="AU282" i="7"/>
  <c r="AU283" i="7"/>
  <c r="AU284" i="7"/>
  <c r="AU285" i="7"/>
  <c r="AU286" i="7"/>
  <c r="AU287" i="7"/>
  <c r="AU288" i="7"/>
  <c r="AU289" i="7"/>
  <c r="AU290" i="7"/>
  <c r="AU291" i="7"/>
  <c r="AU292" i="7"/>
  <c r="AU293" i="7"/>
  <c r="AU294" i="7"/>
  <c r="AU295" i="7"/>
  <c r="AU296" i="7"/>
  <c r="AU297" i="7"/>
  <c r="AU298" i="7"/>
  <c r="AU299" i="7"/>
  <c r="AU300" i="7"/>
  <c r="AU301" i="7"/>
  <c r="AU302" i="7"/>
  <c r="AU303" i="7"/>
  <c r="AU304" i="7"/>
  <c r="AU305" i="7"/>
  <c r="AU306" i="7"/>
  <c r="AU307" i="7"/>
  <c r="AU308" i="7"/>
  <c r="AU309" i="7"/>
  <c r="AU310" i="7"/>
  <c r="AU311" i="7"/>
  <c r="AU312" i="7"/>
  <c r="AU313" i="7"/>
  <c r="AU314" i="7"/>
  <c r="AU315" i="7"/>
  <c r="AU316" i="7"/>
  <c r="AU317" i="7"/>
  <c r="AU318" i="7"/>
  <c r="AU319" i="7"/>
  <c r="AU320" i="7"/>
  <c r="AU321" i="7"/>
  <c r="AU322" i="7"/>
  <c r="AU323" i="7"/>
  <c r="AU324" i="7"/>
  <c r="AU325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AV110" i="7"/>
  <c r="AV111" i="7"/>
  <c r="AV112" i="7"/>
  <c r="AV113" i="7"/>
  <c r="AV114" i="7"/>
  <c r="AV115" i="7"/>
  <c r="AV116" i="7"/>
  <c r="AV117" i="7"/>
  <c r="AV118" i="7"/>
  <c r="AV119" i="7"/>
  <c r="AV120" i="7"/>
  <c r="AV121" i="7"/>
  <c r="AV122" i="7"/>
  <c r="AV123" i="7"/>
  <c r="AV124" i="7"/>
  <c r="AV125" i="7"/>
  <c r="AV126" i="7"/>
  <c r="AV127" i="7"/>
  <c r="AV128" i="7"/>
  <c r="AV129" i="7"/>
  <c r="AV130" i="7"/>
  <c r="AV131" i="7"/>
  <c r="AV132" i="7"/>
  <c r="AV133" i="7"/>
  <c r="AV134" i="7"/>
  <c r="AV135" i="7"/>
  <c r="AV136" i="7"/>
  <c r="AV137" i="7"/>
  <c r="AV138" i="7"/>
  <c r="AV139" i="7"/>
  <c r="AV140" i="7"/>
  <c r="AV141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69" i="7"/>
  <c r="AV170" i="7"/>
  <c r="AV171" i="7"/>
  <c r="AV172" i="7"/>
  <c r="AV173" i="7"/>
  <c r="AV174" i="7"/>
  <c r="AV175" i="7"/>
  <c r="AV176" i="7"/>
  <c r="AV177" i="7"/>
  <c r="AV178" i="7"/>
  <c r="AV179" i="7"/>
  <c r="AV180" i="7"/>
  <c r="AV181" i="7"/>
  <c r="AV182" i="7"/>
  <c r="AV183" i="7"/>
  <c r="AV184" i="7"/>
  <c r="AV185" i="7"/>
  <c r="AV186" i="7"/>
  <c r="AV187" i="7"/>
  <c r="AV188" i="7"/>
  <c r="AV189" i="7"/>
  <c r="AV190" i="7"/>
  <c r="AV191" i="7"/>
  <c r="AV192" i="7"/>
  <c r="AV193" i="7"/>
  <c r="AV194" i="7"/>
  <c r="AV195" i="7"/>
  <c r="AV196" i="7"/>
  <c r="AV197" i="7"/>
  <c r="AV198" i="7"/>
  <c r="AV199" i="7"/>
  <c r="AV200" i="7"/>
  <c r="AV201" i="7"/>
  <c r="AV202" i="7"/>
  <c r="AV203" i="7"/>
  <c r="AV204" i="7"/>
  <c r="AV205" i="7"/>
  <c r="AV206" i="7"/>
  <c r="AV207" i="7"/>
  <c r="AV208" i="7"/>
  <c r="AV209" i="7"/>
  <c r="AV210" i="7"/>
  <c r="AV211" i="7"/>
  <c r="AV212" i="7"/>
  <c r="AV213" i="7"/>
  <c r="AV214" i="7"/>
  <c r="AV215" i="7"/>
  <c r="AV216" i="7"/>
  <c r="AV217" i="7"/>
  <c r="AV218" i="7"/>
  <c r="AV219" i="7"/>
  <c r="AV220" i="7"/>
  <c r="AV221" i="7"/>
  <c r="AV222" i="7"/>
  <c r="AV223" i="7"/>
  <c r="AV224" i="7"/>
  <c r="AV225" i="7"/>
  <c r="AV226" i="7"/>
  <c r="AV227" i="7"/>
  <c r="AV228" i="7"/>
  <c r="AV229" i="7"/>
  <c r="AV230" i="7"/>
  <c r="AV231" i="7"/>
  <c r="AV232" i="7"/>
  <c r="AV233" i="7"/>
  <c r="AV234" i="7"/>
  <c r="AV235" i="7"/>
  <c r="AV236" i="7"/>
  <c r="AV237" i="7"/>
  <c r="AV238" i="7"/>
  <c r="AV239" i="7"/>
  <c r="AV240" i="7"/>
  <c r="AV241" i="7"/>
  <c r="AV242" i="7"/>
  <c r="AV243" i="7"/>
  <c r="AV244" i="7"/>
  <c r="AV245" i="7"/>
  <c r="AV246" i="7"/>
  <c r="AV247" i="7"/>
  <c r="AV248" i="7"/>
  <c r="AV249" i="7"/>
  <c r="AV250" i="7"/>
  <c r="AV251" i="7"/>
  <c r="AV252" i="7"/>
  <c r="AV253" i="7"/>
  <c r="AV254" i="7"/>
  <c r="AV255" i="7"/>
  <c r="AV256" i="7"/>
  <c r="AV257" i="7"/>
  <c r="AV258" i="7"/>
  <c r="AV259" i="7"/>
  <c r="AV260" i="7"/>
  <c r="AV261" i="7"/>
  <c r="AV262" i="7"/>
  <c r="AV263" i="7"/>
  <c r="AV264" i="7"/>
  <c r="AV265" i="7"/>
  <c r="AV266" i="7"/>
  <c r="AV267" i="7"/>
  <c r="AV268" i="7"/>
  <c r="AV269" i="7"/>
  <c r="AV270" i="7"/>
  <c r="AV271" i="7"/>
  <c r="AV272" i="7"/>
  <c r="AV273" i="7"/>
  <c r="AV274" i="7"/>
  <c r="AV275" i="7"/>
  <c r="AV276" i="7"/>
  <c r="AV277" i="7"/>
  <c r="AV278" i="7"/>
  <c r="AV279" i="7"/>
  <c r="AV280" i="7"/>
  <c r="AV281" i="7"/>
  <c r="AV282" i="7"/>
  <c r="AV283" i="7"/>
  <c r="AV284" i="7"/>
  <c r="AV285" i="7"/>
  <c r="AV286" i="7"/>
  <c r="AV287" i="7"/>
  <c r="AV288" i="7"/>
  <c r="AV289" i="7"/>
  <c r="AV290" i="7"/>
  <c r="AV291" i="7"/>
  <c r="AV292" i="7"/>
  <c r="AV293" i="7"/>
  <c r="AV294" i="7"/>
  <c r="AV295" i="7"/>
  <c r="AV296" i="7"/>
  <c r="AV297" i="7"/>
  <c r="AV298" i="7"/>
  <c r="AV299" i="7"/>
  <c r="AV300" i="7"/>
  <c r="AV301" i="7"/>
  <c r="AV302" i="7"/>
  <c r="AV303" i="7"/>
  <c r="AV304" i="7"/>
  <c r="AV305" i="7"/>
  <c r="AV306" i="7"/>
  <c r="AV307" i="7"/>
  <c r="AV308" i="7"/>
  <c r="AV309" i="7"/>
  <c r="AV310" i="7"/>
  <c r="AV311" i="7"/>
  <c r="AV312" i="7"/>
  <c r="AV313" i="7"/>
  <c r="AV314" i="7"/>
  <c r="AV315" i="7"/>
  <c r="AV316" i="7"/>
  <c r="AV317" i="7"/>
  <c r="AV318" i="7"/>
  <c r="AV319" i="7"/>
  <c r="AV320" i="7"/>
  <c r="AV321" i="7"/>
  <c r="AV322" i="7"/>
  <c r="AV323" i="7"/>
  <c r="AV324" i="7"/>
  <c r="AV325" i="7"/>
  <c r="AW6" i="7"/>
  <c r="AW7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100" i="7"/>
  <c r="AW101" i="7"/>
  <c r="AW102" i="7"/>
  <c r="AW103" i="7"/>
  <c r="AW104" i="7"/>
  <c r="AW105" i="7"/>
  <c r="AW106" i="7"/>
  <c r="AW107" i="7"/>
  <c r="AW108" i="7"/>
  <c r="AW109" i="7"/>
  <c r="AW110" i="7"/>
  <c r="AW111" i="7"/>
  <c r="AW112" i="7"/>
  <c r="AW113" i="7"/>
  <c r="AW114" i="7"/>
  <c r="AW115" i="7"/>
  <c r="AW116" i="7"/>
  <c r="AW117" i="7"/>
  <c r="AW118" i="7"/>
  <c r="AW119" i="7"/>
  <c r="AW120" i="7"/>
  <c r="AW121" i="7"/>
  <c r="AW122" i="7"/>
  <c r="AW123" i="7"/>
  <c r="AW124" i="7"/>
  <c r="AW125" i="7"/>
  <c r="AW126" i="7"/>
  <c r="AW127" i="7"/>
  <c r="AW128" i="7"/>
  <c r="AW129" i="7"/>
  <c r="AW130" i="7"/>
  <c r="AW131" i="7"/>
  <c r="AW132" i="7"/>
  <c r="AW133" i="7"/>
  <c r="AW134" i="7"/>
  <c r="AW135" i="7"/>
  <c r="AW136" i="7"/>
  <c r="AW137" i="7"/>
  <c r="AW138" i="7"/>
  <c r="AW139" i="7"/>
  <c r="AW140" i="7"/>
  <c r="AW141" i="7"/>
  <c r="AW142" i="7"/>
  <c r="AW143" i="7"/>
  <c r="AW144" i="7"/>
  <c r="AW145" i="7"/>
  <c r="AW146" i="7"/>
  <c r="AW147" i="7"/>
  <c r="AW148" i="7"/>
  <c r="AW149" i="7"/>
  <c r="AW150" i="7"/>
  <c r="AW151" i="7"/>
  <c r="AW152" i="7"/>
  <c r="AW153" i="7"/>
  <c r="AW154" i="7"/>
  <c r="AW155" i="7"/>
  <c r="AW156" i="7"/>
  <c r="AW157" i="7"/>
  <c r="AW158" i="7"/>
  <c r="AW159" i="7"/>
  <c r="AW160" i="7"/>
  <c r="AW161" i="7"/>
  <c r="AW162" i="7"/>
  <c r="AW163" i="7"/>
  <c r="AW164" i="7"/>
  <c r="AW165" i="7"/>
  <c r="AW166" i="7"/>
  <c r="AW167" i="7"/>
  <c r="AW168" i="7"/>
  <c r="AW169" i="7"/>
  <c r="AW170" i="7"/>
  <c r="AW171" i="7"/>
  <c r="AW172" i="7"/>
  <c r="AW173" i="7"/>
  <c r="AW174" i="7"/>
  <c r="AW175" i="7"/>
  <c r="AW176" i="7"/>
  <c r="AW177" i="7"/>
  <c r="AW178" i="7"/>
  <c r="AW179" i="7"/>
  <c r="AW180" i="7"/>
  <c r="AW181" i="7"/>
  <c r="AW182" i="7"/>
  <c r="AW183" i="7"/>
  <c r="AW184" i="7"/>
  <c r="AW185" i="7"/>
  <c r="AW186" i="7"/>
  <c r="AW187" i="7"/>
  <c r="AW188" i="7"/>
  <c r="AW189" i="7"/>
  <c r="AW190" i="7"/>
  <c r="AW191" i="7"/>
  <c r="AW192" i="7"/>
  <c r="AW193" i="7"/>
  <c r="AW194" i="7"/>
  <c r="AW195" i="7"/>
  <c r="AW196" i="7"/>
  <c r="AW197" i="7"/>
  <c r="AW198" i="7"/>
  <c r="AW199" i="7"/>
  <c r="AW200" i="7"/>
  <c r="AW201" i="7"/>
  <c r="AW202" i="7"/>
  <c r="AW203" i="7"/>
  <c r="AW204" i="7"/>
  <c r="AW205" i="7"/>
  <c r="AW206" i="7"/>
  <c r="AW207" i="7"/>
  <c r="AW208" i="7"/>
  <c r="AW209" i="7"/>
  <c r="AW210" i="7"/>
  <c r="AW211" i="7"/>
  <c r="AW212" i="7"/>
  <c r="AW213" i="7"/>
  <c r="AW214" i="7"/>
  <c r="AW215" i="7"/>
  <c r="AW216" i="7"/>
  <c r="AW217" i="7"/>
  <c r="AW218" i="7"/>
  <c r="AW219" i="7"/>
  <c r="AW220" i="7"/>
  <c r="AW221" i="7"/>
  <c r="AW222" i="7"/>
  <c r="AW223" i="7"/>
  <c r="AW224" i="7"/>
  <c r="AW225" i="7"/>
  <c r="AW226" i="7"/>
  <c r="AW227" i="7"/>
  <c r="AW228" i="7"/>
  <c r="AW229" i="7"/>
  <c r="AW230" i="7"/>
  <c r="AW231" i="7"/>
  <c r="AW232" i="7"/>
  <c r="AW233" i="7"/>
  <c r="AW234" i="7"/>
  <c r="AW235" i="7"/>
  <c r="AW236" i="7"/>
  <c r="AW237" i="7"/>
  <c r="AW238" i="7"/>
  <c r="AW239" i="7"/>
  <c r="AW240" i="7"/>
  <c r="AW241" i="7"/>
  <c r="AW242" i="7"/>
  <c r="AW243" i="7"/>
  <c r="AW244" i="7"/>
  <c r="AW245" i="7"/>
  <c r="AW246" i="7"/>
  <c r="AW247" i="7"/>
  <c r="AW248" i="7"/>
  <c r="AW249" i="7"/>
  <c r="AW250" i="7"/>
  <c r="AW251" i="7"/>
  <c r="AW252" i="7"/>
  <c r="AW253" i="7"/>
  <c r="AW254" i="7"/>
  <c r="AW255" i="7"/>
  <c r="AW256" i="7"/>
  <c r="AW257" i="7"/>
  <c r="AW258" i="7"/>
  <c r="AW259" i="7"/>
  <c r="AW260" i="7"/>
  <c r="AW261" i="7"/>
  <c r="AW262" i="7"/>
  <c r="AW263" i="7"/>
  <c r="AW264" i="7"/>
  <c r="AW265" i="7"/>
  <c r="AW266" i="7"/>
  <c r="AW267" i="7"/>
  <c r="AW268" i="7"/>
  <c r="AW269" i="7"/>
  <c r="AW270" i="7"/>
  <c r="AW271" i="7"/>
  <c r="AW272" i="7"/>
  <c r="AW273" i="7"/>
  <c r="AW274" i="7"/>
  <c r="AW275" i="7"/>
  <c r="AW276" i="7"/>
  <c r="AW277" i="7"/>
  <c r="AW278" i="7"/>
  <c r="AW279" i="7"/>
  <c r="AW280" i="7"/>
  <c r="AW281" i="7"/>
  <c r="AW282" i="7"/>
  <c r="AW283" i="7"/>
  <c r="AW284" i="7"/>
  <c r="AW285" i="7"/>
  <c r="AW286" i="7"/>
  <c r="AW287" i="7"/>
  <c r="AW288" i="7"/>
  <c r="AW289" i="7"/>
  <c r="AW290" i="7"/>
  <c r="AW291" i="7"/>
  <c r="AW292" i="7"/>
  <c r="AW293" i="7"/>
  <c r="AW294" i="7"/>
  <c r="AW295" i="7"/>
  <c r="AW296" i="7"/>
  <c r="AW297" i="7"/>
  <c r="AW298" i="7"/>
  <c r="AW299" i="7"/>
  <c r="AW300" i="7"/>
  <c r="AW301" i="7"/>
  <c r="AW302" i="7"/>
  <c r="AW303" i="7"/>
  <c r="AW304" i="7"/>
  <c r="AW305" i="7"/>
  <c r="AW306" i="7"/>
  <c r="AW307" i="7"/>
  <c r="AW308" i="7"/>
  <c r="AW309" i="7"/>
  <c r="AW310" i="7"/>
  <c r="AW311" i="7"/>
  <c r="AW312" i="7"/>
  <c r="AW313" i="7"/>
  <c r="AW314" i="7"/>
  <c r="AW315" i="7"/>
  <c r="AW316" i="7"/>
  <c r="AW317" i="7"/>
  <c r="AW318" i="7"/>
  <c r="AW319" i="7"/>
  <c r="AW320" i="7"/>
  <c r="AW321" i="7"/>
  <c r="AW322" i="7"/>
  <c r="AW323" i="7"/>
  <c r="AW324" i="7"/>
  <c r="AW32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36" i="7"/>
  <c r="AZ237" i="7"/>
  <c r="AZ238" i="7"/>
  <c r="AZ239" i="7"/>
  <c r="AZ240" i="7"/>
  <c r="AZ241" i="7"/>
  <c r="AZ242" i="7"/>
  <c r="AZ243" i="7"/>
  <c r="AZ244" i="7"/>
  <c r="AZ245" i="7"/>
  <c r="AZ246" i="7"/>
  <c r="AZ247" i="7"/>
  <c r="AZ248" i="7"/>
  <c r="AZ249" i="7"/>
  <c r="AZ250" i="7"/>
  <c r="AZ251" i="7"/>
  <c r="AZ252" i="7"/>
  <c r="AZ253" i="7"/>
  <c r="AZ254" i="7"/>
  <c r="AZ255" i="7"/>
  <c r="AZ256" i="7"/>
  <c r="AZ257" i="7"/>
  <c r="AZ258" i="7"/>
  <c r="AZ259" i="7"/>
  <c r="AZ260" i="7"/>
  <c r="AZ261" i="7"/>
  <c r="AZ262" i="7"/>
  <c r="AZ263" i="7"/>
  <c r="AZ264" i="7"/>
  <c r="AZ265" i="7"/>
  <c r="AZ266" i="7"/>
  <c r="AZ267" i="7"/>
  <c r="AZ268" i="7"/>
  <c r="AZ269" i="7"/>
  <c r="AZ270" i="7"/>
  <c r="AZ271" i="7"/>
  <c r="AZ272" i="7"/>
  <c r="AZ273" i="7"/>
  <c r="AZ274" i="7"/>
  <c r="AZ275" i="7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BB6" i="7"/>
  <c r="D312" i="40" l="1"/>
  <c r="L312" i="40" s="1"/>
  <c r="C312" i="21"/>
  <c r="D308" i="40"/>
  <c r="L308" i="40" s="1"/>
  <c r="C308" i="21"/>
  <c r="D304" i="40"/>
  <c r="C306" i="21"/>
  <c r="D300" i="40"/>
  <c r="C303" i="21"/>
  <c r="D296" i="40"/>
  <c r="L296" i="40" s="1"/>
  <c r="C301" i="21"/>
  <c r="D292" i="40"/>
  <c r="C114" i="21"/>
  <c r="D289" i="40"/>
  <c r="C297" i="21"/>
  <c r="D286" i="40"/>
  <c r="L286" i="40" s="1"/>
  <c r="C30" i="21"/>
  <c r="D282" i="40"/>
  <c r="C292" i="21"/>
  <c r="D278" i="40"/>
  <c r="C59" i="21"/>
  <c r="D274" i="40"/>
  <c r="L274" i="40" s="1"/>
  <c r="C169" i="21"/>
  <c r="D270" i="40"/>
  <c r="C133" i="21"/>
  <c r="D266" i="40"/>
  <c r="C285" i="21"/>
  <c r="D262" i="40"/>
  <c r="C282" i="21"/>
  <c r="D258" i="40"/>
  <c r="L258" i="40" s="1"/>
  <c r="C111" i="21"/>
  <c r="D254" i="40"/>
  <c r="L254" i="40" s="1"/>
  <c r="C279" i="21"/>
  <c r="D250" i="40"/>
  <c r="C65" i="21"/>
  <c r="D246" i="40"/>
  <c r="C27" i="21"/>
  <c r="D243" i="40"/>
  <c r="L243" i="40" s="1"/>
  <c r="C273" i="21"/>
  <c r="D239" i="40"/>
  <c r="C270" i="21"/>
  <c r="D235" i="40"/>
  <c r="L235" i="40" s="1"/>
  <c r="C167" i="21"/>
  <c r="D231" i="40"/>
  <c r="L231" i="40" s="1"/>
  <c r="C266" i="21"/>
  <c r="D227" i="40"/>
  <c r="C166" i="21"/>
  <c r="D224" i="40"/>
  <c r="L224" i="40" s="1"/>
  <c r="C105" i="21"/>
  <c r="D220" i="40"/>
  <c r="C24" i="21"/>
  <c r="D216" i="40"/>
  <c r="L216" i="40" s="1"/>
  <c r="C165" i="21"/>
  <c r="D213" i="40"/>
  <c r="C129" i="21"/>
  <c r="D210" i="40"/>
  <c r="C50" i="21"/>
  <c r="D206" i="40"/>
  <c r="C49" i="21"/>
  <c r="D202" i="40"/>
  <c r="C256" i="21"/>
  <c r="D199" i="40"/>
  <c r="L199" i="40" s="1"/>
  <c r="C253" i="21"/>
  <c r="D195" i="40"/>
  <c r="L195" i="40" s="1"/>
  <c r="C250" i="21"/>
  <c r="D191" i="40"/>
  <c r="C6" i="21"/>
  <c r="D187" i="40"/>
  <c r="L187" i="40" s="1"/>
  <c r="C64" i="21"/>
  <c r="D183" i="40"/>
  <c r="L183" i="40" s="1"/>
  <c r="C247" i="21"/>
  <c r="D179" i="40"/>
  <c r="C23" i="21"/>
  <c r="D175" i="40"/>
  <c r="C245" i="21"/>
  <c r="D172" i="40"/>
  <c r="C242" i="21"/>
  <c r="D168" i="40"/>
  <c r="L168" i="40" s="1"/>
  <c r="C240" i="21"/>
  <c r="D164" i="40"/>
  <c r="L164" i="40" s="1"/>
  <c r="C45" i="21"/>
  <c r="D160" i="40"/>
  <c r="C238" i="21"/>
  <c r="D157" i="40"/>
  <c r="L157" i="40" s="1"/>
  <c r="C236" i="21"/>
  <c r="D153" i="40"/>
  <c r="C20" i="21"/>
  <c r="D149" i="40"/>
  <c r="L149" i="40" s="1"/>
  <c r="C94" i="21"/>
  <c r="D145" i="40"/>
  <c r="L145" i="40" s="1"/>
  <c r="C43" i="21"/>
  <c r="D141" i="40"/>
  <c r="L141" i="40" s="1"/>
  <c r="C232" i="21"/>
  <c r="D134" i="40"/>
  <c r="C123" i="21"/>
  <c r="D130" i="40"/>
  <c r="C18" i="21"/>
  <c r="D126" i="40"/>
  <c r="L126" i="40" s="1"/>
  <c r="C226" i="21"/>
  <c r="D122" i="40"/>
  <c r="L122" i="40" s="1"/>
  <c r="C223" i="21"/>
  <c r="D119" i="40"/>
  <c r="C89" i="21"/>
  <c r="D115" i="40"/>
  <c r="L115" i="40" s="1"/>
  <c r="C141" i="21"/>
  <c r="D111" i="40"/>
  <c r="C219" i="21"/>
  <c r="D107" i="40"/>
  <c r="C216" i="21"/>
  <c r="D103" i="40"/>
  <c r="C83" i="21"/>
  <c r="D99" i="40"/>
  <c r="L99" i="40" s="1"/>
  <c r="C62" i="21"/>
  <c r="D95" i="40"/>
  <c r="C211" i="21"/>
  <c r="D91" i="40"/>
  <c r="C140" i="21"/>
  <c r="D87" i="40"/>
  <c r="L87" i="40" s="1"/>
  <c r="C210" i="21"/>
  <c r="D84" i="40"/>
  <c r="C119" i="21"/>
  <c r="D80" i="40"/>
  <c r="L80" i="40" s="1"/>
  <c r="C206" i="21"/>
  <c r="D76" i="40"/>
  <c r="L76" i="40" s="1"/>
  <c r="C82" i="21"/>
  <c r="D72" i="40"/>
  <c r="C157" i="21"/>
  <c r="D68" i="40"/>
  <c r="C79" i="21"/>
  <c r="D64" i="40"/>
  <c r="L64" i="40" s="1"/>
  <c r="C198" i="21"/>
  <c r="D60" i="40"/>
  <c r="L60" i="40" s="1"/>
  <c r="C196" i="21"/>
  <c r="D57" i="40"/>
  <c r="L57" i="40" s="1"/>
  <c r="C155" i="21"/>
  <c r="D53" i="40"/>
  <c r="L53" i="40" s="1"/>
  <c r="C34" i="21"/>
  <c r="D49" i="40"/>
  <c r="L49" i="40" s="1"/>
  <c r="C14" i="21"/>
  <c r="D45" i="40"/>
  <c r="L45" i="40" s="1"/>
  <c r="C137" i="21"/>
  <c r="D41" i="40"/>
  <c r="C189" i="21"/>
  <c r="D37" i="40"/>
  <c r="C187" i="21"/>
  <c r="D34" i="40"/>
  <c r="L34" i="40" s="1"/>
  <c r="C184" i="21"/>
  <c r="D30" i="40"/>
  <c r="C135" i="21"/>
  <c r="D26" i="40"/>
  <c r="C117" i="21"/>
  <c r="D22" i="40"/>
  <c r="L22" i="40" s="1"/>
  <c r="C179" i="21"/>
  <c r="D18" i="40"/>
  <c r="C177" i="21"/>
  <c r="D14" i="40"/>
  <c r="L14" i="40" s="1"/>
  <c r="C176" i="21"/>
  <c r="D311" i="40"/>
  <c r="C311" i="21"/>
  <c r="D307" i="40"/>
  <c r="L307" i="40" s="1"/>
  <c r="C134" i="21"/>
  <c r="D303" i="40"/>
  <c r="C305" i="21"/>
  <c r="D299" i="40"/>
  <c r="L299" i="40" s="1"/>
  <c r="C172" i="21"/>
  <c r="D295" i="40"/>
  <c r="C61" i="21"/>
  <c r="D291" i="40"/>
  <c r="L291" i="40" s="1"/>
  <c r="C299" i="21"/>
  <c r="D288" i="40"/>
  <c r="C170" i="21"/>
  <c r="D285" i="40"/>
  <c r="L285" i="40" s="1"/>
  <c r="C60" i="21"/>
  <c r="D281" i="40"/>
  <c r="C113" i="21"/>
  <c r="D277" i="40"/>
  <c r="L277" i="40" s="1"/>
  <c r="C58" i="21"/>
  <c r="D273" i="40"/>
  <c r="L273" i="40" s="1"/>
  <c r="C57" i="21"/>
  <c r="D269" i="40"/>
  <c r="C66" i="21"/>
  <c r="D265" i="40"/>
  <c r="C284" i="21"/>
  <c r="D261" i="40"/>
  <c r="L261" i="40" s="1"/>
  <c r="C281" i="21"/>
  <c r="D257" i="40"/>
  <c r="L257" i="40" s="1"/>
  <c r="C28" i="21"/>
  <c r="D253" i="40"/>
  <c r="L253" i="40" s="1"/>
  <c r="C278" i="21"/>
  <c r="D249" i="40"/>
  <c r="L249" i="40" s="1"/>
  <c r="C276" i="21"/>
  <c r="D7" i="40"/>
  <c r="L7" i="40" s="1"/>
  <c r="C108" i="21"/>
  <c r="D242" i="40"/>
  <c r="L242" i="40" s="1"/>
  <c r="C272" i="21"/>
  <c r="D238" i="40"/>
  <c r="C269" i="21"/>
  <c r="D234" i="40"/>
  <c r="C106" i="21"/>
  <c r="D230" i="40"/>
  <c r="L230" i="40" s="1"/>
  <c r="C265" i="21"/>
  <c r="D10" i="40"/>
  <c r="C12" i="21"/>
  <c r="D223" i="40"/>
  <c r="L223" i="40" s="1"/>
  <c r="C104" i="21"/>
  <c r="D219" i="40"/>
  <c r="C53" i="21"/>
  <c r="D212" i="40"/>
  <c r="C128" i="21"/>
  <c r="D209" i="40"/>
  <c r="L209" i="40" s="1"/>
  <c r="C260" i="21"/>
  <c r="D205" i="40"/>
  <c r="C48" i="21"/>
  <c r="D198" i="40"/>
  <c r="C252" i="21"/>
  <c r="D194" i="40"/>
  <c r="L194" i="40" s="1"/>
  <c r="C8" i="21"/>
  <c r="D190" i="40"/>
  <c r="C249" i="21"/>
  <c r="D186" i="40"/>
  <c r="L186" i="40" s="1"/>
  <c r="C144" i="21"/>
  <c r="D182" i="40"/>
  <c r="L182" i="40" s="1"/>
  <c r="C126" i="21"/>
  <c r="D178" i="40"/>
  <c r="C22" i="21"/>
  <c r="D9" i="40"/>
  <c r="C5" i="21"/>
  <c r="D171" i="40"/>
  <c r="L171" i="40" s="1"/>
  <c r="C143" i="21"/>
  <c r="D167" i="40"/>
  <c r="L167" i="40" s="1"/>
  <c r="C125" i="21"/>
  <c r="D163" i="40"/>
  <c r="C239" i="21"/>
  <c r="D159" i="40"/>
  <c r="L159" i="40" s="1"/>
  <c r="C162" i="21"/>
  <c r="D156" i="40"/>
  <c r="L156" i="40" s="1"/>
  <c r="C97" i="21"/>
  <c r="D152" i="40"/>
  <c r="L152" i="40" s="1"/>
  <c r="C44" i="21"/>
  <c r="D148" i="40"/>
  <c r="L148" i="40" s="1"/>
  <c r="C124" i="21"/>
  <c r="D144" i="40"/>
  <c r="C233" i="21"/>
  <c r="D140" i="40"/>
  <c r="C93" i="21"/>
  <c r="D137" i="40"/>
  <c r="C231" i="21"/>
  <c r="D133" i="40"/>
  <c r="L133" i="40" s="1"/>
  <c r="C229" i="21"/>
  <c r="D129" i="40"/>
  <c r="L129" i="40" s="1"/>
  <c r="C122" i="21"/>
  <c r="D125" i="40"/>
  <c r="L125" i="40" s="1"/>
  <c r="C225" i="21"/>
  <c r="D6" i="40"/>
  <c r="C90" i="21"/>
  <c r="D118" i="40"/>
  <c r="L118" i="40" s="1"/>
  <c r="C221" i="21"/>
  <c r="D114" i="40"/>
  <c r="L114" i="40" s="1"/>
  <c r="C40" i="21"/>
  <c r="D110" i="40"/>
  <c r="C87" i="21"/>
  <c r="D106" i="40"/>
  <c r="C86" i="21"/>
  <c r="D102" i="40"/>
  <c r="L102" i="40" s="1"/>
  <c r="C215" i="21"/>
  <c r="D98" i="40"/>
  <c r="C37" i="21"/>
  <c r="D94" i="40"/>
  <c r="L94" i="40" s="1"/>
  <c r="C4" i="21"/>
  <c r="D90" i="40"/>
  <c r="C121" i="21"/>
  <c r="D86" i="40"/>
  <c r="L86" i="40" s="1"/>
  <c r="C36" i="21"/>
  <c r="D83" i="40"/>
  <c r="L83" i="40" s="1"/>
  <c r="C147" i="21"/>
  <c r="D79" i="40"/>
  <c r="L79" i="40" s="1"/>
  <c r="C17" i="21"/>
  <c r="D75" i="40"/>
  <c r="L75" i="40" s="1"/>
  <c r="C203" i="21"/>
  <c r="D71" i="40"/>
  <c r="C202" i="21"/>
  <c r="D67" i="40"/>
  <c r="C199" i="21"/>
  <c r="D63" i="40"/>
  <c r="L63" i="40" s="1"/>
  <c r="C35" i="21"/>
  <c r="D59" i="40"/>
  <c r="L59" i="40" s="1"/>
  <c r="C195" i="21"/>
  <c r="D56" i="40"/>
  <c r="L56" i="40" s="1"/>
  <c r="C313" i="21"/>
  <c r="D52" i="40"/>
  <c r="C33" i="21"/>
  <c r="D48" i="40"/>
  <c r="C67" i="21"/>
  <c r="D44" i="40"/>
  <c r="L44" i="40" s="1"/>
  <c r="C32" i="21"/>
  <c r="D40" i="40"/>
  <c r="L40" i="40" s="1"/>
  <c r="C75" i="21"/>
  <c r="D36" i="40"/>
  <c r="C74" i="21"/>
  <c r="D33" i="40"/>
  <c r="L33" i="40" s="1"/>
  <c r="C136" i="21"/>
  <c r="D29" i="40"/>
  <c r="C72" i="21"/>
  <c r="D25" i="40"/>
  <c r="C181" i="21"/>
  <c r="D21" i="40"/>
  <c r="C178" i="21"/>
  <c r="D17" i="40"/>
  <c r="L17" i="40" s="1"/>
  <c r="C7" i="21"/>
  <c r="D13" i="40"/>
  <c r="C175" i="21"/>
  <c r="D310" i="40"/>
  <c r="L310" i="40" s="1"/>
  <c r="C310" i="21"/>
  <c r="D306" i="40"/>
  <c r="C307" i="21"/>
  <c r="D302" i="40"/>
  <c r="L302" i="40" s="1"/>
  <c r="C304" i="21"/>
  <c r="D298" i="40"/>
  <c r="L298" i="40" s="1"/>
  <c r="C171" i="21"/>
  <c r="D294" i="40"/>
  <c r="L294" i="40" s="1"/>
  <c r="C10" i="21"/>
  <c r="D290" i="40"/>
  <c r="C298" i="21"/>
  <c r="D8" i="40"/>
  <c r="L8" i="40" s="1"/>
  <c r="C296" i="21"/>
  <c r="D284" i="40"/>
  <c r="L284" i="40" s="1"/>
  <c r="C294" i="21"/>
  <c r="D280" i="40"/>
  <c r="L280" i="40" s="1"/>
  <c r="C291" i="21"/>
  <c r="D276" i="40"/>
  <c r="L276" i="40" s="1"/>
  <c r="C289" i="21"/>
  <c r="D272" i="40"/>
  <c r="L272" i="40" s="1"/>
  <c r="C287" i="21"/>
  <c r="D268" i="40"/>
  <c r="C56" i="21"/>
  <c r="D264" i="40"/>
  <c r="C283" i="21"/>
  <c r="D260" i="40"/>
  <c r="L260" i="40" s="1"/>
  <c r="C132" i="21"/>
  <c r="D256" i="40"/>
  <c r="C110" i="21"/>
  <c r="D252" i="40"/>
  <c r="C277" i="21"/>
  <c r="D248" i="40"/>
  <c r="L248" i="40" s="1"/>
  <c r="C109" i="21"/>
  <c r="D245" i="40"/>
  <c r="L245" i="40" s="1"/>
  <c r="C274" i="21"/>
  <c r="D241" i="40"/>
  <c r="L241" i="40" s="1"/>
  <c r="C107" i="21"/>
  <c r="D237" i="40"/>
  <c r="C314" i="21"/>
  <c r="D233" i="40"/>
  <c r="C55" i="21"/>
  <c r="D229" i="40"/>
  <c r="L229" i="40" s="1"/>
  <c r="C264" i="21"/>
  <c r="D226" i="40"/>
  <c r="L226" i="40" s="1"/>
  <c r="C263" i="21"/>
  <c r="D222" i="40"/>
  <c r="C103" i="21"/>
  <c r="D218" i="40"/>
  <c r="C52" i="21"/>
  <c r="D215" i="40"/>
  <c r="C130" i="21"/>
  <c r="D211" i="40"/>
  <c r="C102" i="21"/>
  <c r="D208" i="40"/>
  <c r="L208" i="40" s="1"/>
  <c r="C101" i="21"/>
  <c r="D204" i="40"/>
  <c r="C258" i="21"/>
  <c r="D201" i="40"/>
  <c r="L201" i="40" s="1"/>
  <c r="C255" i="21"/>
  <c r="D197" i="40"/>
  <c r="L197" i="40" s="1"/>
  <c r="C47" i="21"/>
  <c r="D193" i="40"/>
  <c r="L193" i="40" s="1"/>
  <c r="C145" i="21"/>
  <c r="D189" i="40"/>
  <c r="C152" i="21"/>
  <c r="D185" i="40"/>
  <c r="L185" i="40" s="1"/>
  <c r="C127" i="21"/>
  <c r="D181" i="40"/>
  <c r="C9" i="21"/>
  <c r="D177" i="40"/>
  <c r="C246" i="21"/>
  <c r="D174" i="40"/>
  <c r="L174" i="40" s="1"/>
  <c r="C244" i="21"/>
  <c r="D170" i="40"/>
  <c r="L170" i="40" s="1"/>
  <c r="C241" i="21"/>
  <c r="D166" i="40"/>
  <c r="L166" i="40" s="1"/>
  <c r="C21" i="21"/>
  <c r="D162" i="40"/>
  <c r="C142" i="21"/>
  <c r="D158" i="40"/>
  <c r="L158" i="40" s="1"/>
  <c r="C237" i="21"/>
  <c r="D155" i="40"/>
  <c r="L155" i="40" s="1"/>
  <c r="C151" i="21"/>
  <c r="D151" i="40"/>
  <c r="L151" i="40" s="1"/>
  <c r="C96" i="21"/>
  <c r="D147" i="40"/>
  <c r="C235" i="21"/>
  <c r="D143" i="40"/>
  <c r="L143" i="40" s="1"/>
  <c r="C150" i="21"/>
  <c r="D139" i="40"/>
  <c r="C92" i="21"/>
  <c r="D136" i="40"/>
  <c r="L136" i="40" s="1"/>
  <c r="C160" i="21"/>
  <c r="D132" i="40"/>
  <c r="L132" i="40" s="1"/>
  <c r="C228" i="21"/>
  <c r="D128" i="40"/>
  <c r="L128" i="40" s="1"/>
  <c r="C91" i="21"/>
  <c r="D124" i="40"/>
  <c r="C224" i="21"/>
  <c r="D121" i="40"/>
  <c r="L121" i="40" s="1"/>
  <c r="C222" i="21"/>
  <c r="D117" i="40"/>
  <c r="L117" i="40" s="1"/>
  <c r="C159" i="21"/>
  <c r="D113" i="40"/>
  <c r="L113" i="40" s="1"/>
  <c r="C88" i="21"/>
  <c r="D109" i="40"/>
  <c r="L109" i="40" s="1"/>
  <c r="C218" i="21"/>
  <c r="D105" i="40"/>
  <c r="C85" i="21"/>
  <c r="D101" i="40"/>
  <c r="C214" i="21"/>
  <c r="D97" i="40"/>
  <c r="L97" i="40" s="1"/>
  <c r="C213" i="21"/>
  <c r="D93" i="40"/>
  <c r="C158" i="21"/>
  <c r="D89" i="40"/>
  <c r="L89" i="40" s="1"/>
  <c r="C148" i="21"/>
  <c r="D85" i="40"/>
  <c r="L85" i="40" s="1"/>
  <c r="C209" i="21"/>
  <c r="D82" i="40"/>
  <c r="C208" i="21"/>
  <c r="D78" i="40"/>
  <c r="C205" i="21"/>
  <c r="D74" i="40"/>
  <c r="L74" i="40" s="1"/>
  <c r="C81" i="21"/>
  <c r="D70" i="40"/>
  <c r="C201" i="21"/>
  <c r="D66" i="40"/>
  <c r="L66" i="40" s="1"/>
  <c r="C78" i="21"/>
  <c r="D62" i="40"/>
  <c r="L62" i="40" s="1"/>
  <c r="C197" i="21"/>
  <c r="D58" i="40"/>
  <c r="C194" i="21"/>
  <c r="D55" i="40"/>
  <c r="L55" i="40" s="1"/>
  <c r="C193" i="21"/>
  <c r="D51" i="40"/>
  <c r="C15" i="21"/>
  <c r="D47" i="40"/>
  <c r="C191" i="21"/>
  <c r="D43" i="40"/>
  <c r="L43" i="40" s="1"/>
  <c r="C76" i="21"/>
  <c r="D39" i="40"/>
  <c r="L39" i="40" s="1"/>
  <c r="C188" i="21"/>
  <c r="D35" i="40"/>
  <c r="L35" i="40" s="1"/>
  <c r="C186" i="21"/>
  <c r="D32" i="40"/>
  <c r="C73" i="21"/>
  <c r="D28" i="40"/>
  <c r="C182" i="21"/>
  <c r="D24" i="40"/>
  <c r="C180" i="21"/>
  <c r="D20" i="40"/>
  <c r="L20" i="40" s="1"/>
  <c r="C153" i="21"/>
  <c r="D16" i="40"/>
  <c r="C71" i="21"/>
  <c r="D12" i="40"/>
  <c r="C174" i="21"/>
  <c r="D313" i="40"/>
  <c r="L313" i="40" s="1"/>
  <c r="C116" i="21"/>
  <c r="D309" i="40"/>
  <c r="L309" i="40" s="1"/>
  <c r="C309" i="21"/>
  <c r="D305" i="40"/>
  <c r="C115" i="21"/>
  <c r="D301" i="40"/>
  <c r="L301" i="40" s="1"/>
  <c r="C31" i="21"/>
  <c r="D297" i="40"/>
  <c r="L297" i="40" s="1"/>
  <c r="C302" i="21"/>
  <c r="D293" i="40"/>
  <c r="C300" i="21"/>
  <c r="D287" i="40"/>
  <c r="C295" i="21"/>
  <c r="D283" i="40"/>
  <c r="L283" i="40" s="1"/>
  <c r="C293" i="21"/>
  <c r="D279" i="40"/>
  <c r="L279" i="40" s="1"/>
  <c r="C290" i="21"/>
  <c r="D275" i="40"/>
  <c r="L275" i="40" s="1"/>
  <c r="C288" i="21"/>
  <c r="D271" i="40"/>
  <c r="C168" i="21"/>
  <c r="D267" i="40"/>
  <c r="L267" i="40" s="1"/>
  <c r="C286" i="21"/>
  <c r="D263" i="40"/>
  <c r="L263" i="40" s="1"/>
  <c r="C29" i="21"/>
  <c r="D259" i="40"/>
  <c r="L259" i="40" s="1"/>
  <c r="C112" i="21"/>
  <c r="D255" i="40"/>
  <c r="C280" i="21"/>
  <c r="D251" i="40"/>
  <c r="C131" i="21"/>
  <c r="D247" i="40"/>
  <c r="C275" i="21"/>
  <c r="D244" i="40"/>
  <c r="L244" i="40" s="1"/>
  <c r="C26" i="21"/>
  <c r="D240" i="40"/>
  <c r="C271" i="21"/>
  <c r="D236" i="40"/>
  <c r="L236" i="40" s="1"/>
  <c r="C268" i="21"/>
  <c r="D232" i="40"/>
  <c r="C267" i="21"/>
  <c r="D228" i="40"/>
  <c r="L228" i="40" s="1"/>
  <c r="C25" i="21"/>
  <c r="D225" i="40"/>
  <c r="C262" i="21"/>
  <c r="D221" i="40"/>
  <c r="L221" i="40" s="1"/>
  <c r="C54" i="21"/>
  <c r="D217" i="40"/>
  <c r="L217" i="40" s="1"/>
  <c r="C51" i="21"/>
  <c r="D214" i="40"/>
  <c r="C261" i="21"/>
  <c r="D207" i="40"/>
  <c r="C259" i="21"/>
  <c r="D203" i="40"/>
  <c r="C257" i="21"/>
  <c r="D200" i="40"/>
  <c r="C254" i="21"/>
  <c r="D196" i="40"/>
  <c r="L196" i="40" s="1"/>
  <c r="C251" i="21"/>
  <c r="D192" i="40"/>
  <c r="L192" i="40" s="1"/>
  <c r="C100" i="21"/>
  <c r="D188" i="40"/>
  <c r="L188" i="40" s="1"/>
  <c r="C46" i="21"/>
  <c r="D184" i="40"/>
  <c r="C248" i="21"/>
  <c r="D180" i="40"/>
  <c r="L180" i="40" s="1"/>
  <c r="C63" i="21"/>
  <c r="D176" i="40"/>
  <c r="C99" i="21"/>
  <c r="D173" i="40"/>
  <c r="C243" i="21"/>
  <c r="D169" i="40"/>
  <c r="L169" i="40" s="1"/>
  <c r="C98" i="21"/>
  <c r="D165" i="40"/>
  <c r="L165" i="40" s="1"/>
  <c r="C164" i="21"/>
  <c r="D161" i="40"/>
  <c r="C163" i="21"/>
  <c r="D154" i="40"/>
  <c r="L154" i="40" s="1"/>
  <c r="C11" i="21"/>
  <c r="D150" i="40"/>
  <c r="C95" i="21"/>
  <c r="D146" i="40"/>
  <c r="L146" i="40" s="1"/>
  <c r="C234" i="21"/>
  <c r="D142" i="40"/>
  <c r="L142" i="40" s="1"/>
  <c r="C161" i="21"/>
  <c r="D138" i="40"/>
  <c r="L138" i="40" s="1"/>
  <c r="C42" i="21"/>
  <c r="D135" i="40"/>
  <c r="C230" i="21"/>
  <c r="D131" i="40"/>
  <c r="C19" i="21"/>
  <c r="D127" i="40"/>
  <c r="L127" i="40" s="1"/>
  <c r="C227" i="21"/>
  <c r="D123" i="40"/>
  <c r="C69" i="21"/>
  <c r="D120" i="40"/>
  <c r="C41" i="21"/>
  <c r="D116" i="40"/>
  <c r="C220" i="21"/>
  <c r="D112" i="40"/>
  <c r="L112" i="40" s="1"/>
  <c r="C39" i="21"/>
  <c r="D108" i="40"/>
  <c r="L108" i="40" s="1"/>
  <c r="C217" i="21"/>
  <c r="D104" i="40"/>
  <c r="C84" i="21"/>
  <c r="D100" i="40"/>
  <c r="L100" i="40" s="1"/>
  <c r="C38" i="21"/>
  <c r="D96" i="40"/>
  <c r="C212" i="21"/>
  <c r="D92" i="40"/>
  <c r="L92" i="40" s="1"/>
  <c r="C149" i="21"/>
  <c r="D88" i="40"/>
  <c r="C120" i="21"/>
  <c r="D81" i="40"/>
  <c r="C207" i="21"/>
  <c r="D77" i="40"/>
  <c r="L77" i="40" s="1"/>
  <c r="C204" i="21"/>
  <c r="D73" i="40"/>
  <c r="C80" i="21"/>
  <c r="D69" i="40"/>
  <c r="C200" i="21"/>
  <c r="D65" i="40"/>
  <c r="L65" i="40" s="1"/>
  <c r="C139" i="21"/>
  <c r="D61" i="40"/>
  <c r="C156" i="21"/>
  <c r="D5" i="40"/>
  <c r="L5" i="40" s="1"/>
  <c r="C138" i="21"/>
  <c r="D4" i="40"/>
  <c r="C68" i="21"/>
  <c r="D54" i="40"/>
  <c r="L54" i="40" s="1"/>
  <c r="C16" i="21"/>
  <c r="D50" i="40"/>
  <c r="C192" i="21"/>
  <c r="D46" i="40"/>
  <c r="C77" i="21"/>
  <c r="D42" i="40"/>
  <c r="C190" i="21"/>
  <c r="D38" i="40"/>
  <c r="L38" i="40" s="1"/>
  <c r="C13" i="21"/>
  <c r="D3" i="40"/>
  <c r="L3" i="40" s="1"/>
  <c r="C185" i="21"/>
  <c r="D31" i="40"/>
  <c r="L31" i="40" s="1"/>
  <c r="C183" i="21"/>
  <c r="D27" i="40"/>
  <c r="C118" i="21"/>
  <c r="D23" i="40"/>
  <c r="L23" i="40" s="1"/>
  <c r="C146" i="21"/>
  <c r="D19" i="40"/>
  <c r="C154" i="21"/>
  <c r="D15" i="40"/>
  <c r="C70" i="21"/>
  <c r="D11" i="40"/>
  <c r="L11" i="40" s="1"/>
  <c r="C173" i="21"/>
  <c r="D311" i="39"/>
  <c r="O311" i="39" s="1"/>
  <c r="D312" i="38"/>
  <c r="G311" i="39" s="1"/>
  <c r="D303" i="39"/>
  <c r="D305" i="38"/>
  <c r="D58" i="39"/>
  <c r="O58" i="39" s="1"/>
  <c r="D302" i="38"/>
  <c r="G58" i="39" s="1"/>
  <c r="D297" i="39"/>
  <c r="O297" i="39" s="1"/>
  <c r="D298" i="38"/>
  <c r="G297" i="39" s="1"/>
  <c r="D294" i="39"/>
  <c r="D295" i="38"/>
  <c r="D291" i="39"/>
  <c r="D292" i="38"/>
  <c r="D27" i="39"/>
  <c r="O27" i="39" s="1"/>
  <c r="D64" i="38"/>
  <c r="G27" i="39" s="1"/>
  <c r="D286" i="39"/>
  <c r="D287" i="38"/>
  <c r="G286" i="39" s="1"/>
  <c r="D282" i="39"/>
  <c r="O282" i="39" s="1"/>
  <c r="D284" i="38"/>
  <c r="G282" i="39" s="1"/>
  <c r="D19" i="39"/>
  <c r="O19" i="39" s="1"/>
  <c r="D63" i="38"/>
  <c r="D278" i="39"/>
  <c r="O278" i="39" s="1"/>
  <c r="D280" i="38"/>
  <c r="G278" i="39" s="1"/>
  <c r="D274" i="39"/>
  <c r="D73" i="38"/>
  <c r="D270" i="39"/>
  <c r="D273" i="38"/>
  <c r="G270" i="39" s="1"/>
  <c r="D268" i="39"/>
  <c r="O268" i="39" s="1"/>
  <c r="D271" i="38"/>
  <c r="G268" i="39" s="1"/>
  <c r="D264" i="39"/>
  <c r="O264" i="39" s="1"/>
  <c r="D267" i="38"/>
  <c r="D260" i="39"/>
  <c r="D263" i="38"/>
  <c r="G260" i="39" s="1"/>
  <c r="D256" i="39"/>
  <c r="D259" i="38"/>
  <c r="G256" i="39" s="1"/>
  <c r="D7" i="39"/>
  <c r="O7" i="39" s="1"/>
  <c r="D62" i="38"/>
  <c r="D250" i="39"/>
  <c r="D254" i="38"/>
  <c r="D246" i="39"/>
  <c r="O246" i="39" s="1"/>
  <c r="D250" i="38"/>
  <c r="D30" i="39"/>
  <c r="D61" i="38"/>
  <c r="D54" i="39"/>
  <c r="O54" i="39" s="1"/>
  <c r="D60" i="38"/>
  <c r="G54" i="39" s="1"/>
  <c r="D241" i="39"/>
  <c r="O241" i="39" s="1"/>
  <c r="D245" i="38"/>
  <c r="G241" i="39" s="1"/>
  <c r="D238" i="39"/>
  <c r="D241" i="38"/>
  <c r="G238" i="39" s="1"/>
  <c r="D234" i="39"/>
  <c r="O234" i="39" s="1"/>
  <c r="D237" i="38"/>
  <c r="G234" i="39" s="1"/>
  <c r="D231" i="39"/>
  <c r="O231" i="39" s="1"/>
  <c r="D235" i="38"/>
  <c r="G231" i="39" s="1"/>
  <c r="D228" i="39"/>
  <c r="O228" i="39" s="1"/>
  <c r="D232" i="38"/>
  <c r="G228" i="39" s="1"/>
  <c r="D225" i="39"/>
  <c r="D228" i="38"/>
  <c r="G225" i="39" s="1"/>
  <c r="D221" i="39"/>
  <c r="D224" i="38"/>
  <c r="D219" i="39"/>
  <c r="O219" i="39" s="1"/>
  <c r="D222" i="38"/>
  <c r="G219" i="39" s="1"/>
  <c r="D214" i="39"/>
  <c r="O214" i="39" s="1"/>
  <c r="D218" i="38"/>
  <c r="G214" i="39" s="1"/>
  <c r="D33" i="39"/>
  <c r="O33" i="39" s="1"/>
  <c r="D57" i="38"/>
  <c r="D209" i="39"/>
  <c r="O209" i="39" s="1"/>
  <c r="D214" i="38"/>
  <c r="G209" i="39" s="1"/>
  <c r="D206" i="39"/>
  <c r="O206" i="39" s="1"/>
  <c r="D211" i="38"/>
  <c r="G206" i="39" s="1"/>
  <c r="D203" i="39"/>
  <c r="D16" i="38"/>
  <c r="G203" i="39" s="1"/>
  <c r="D199" i="39"/>
  <c r="D206" i="38"/>
  <c r="D195" i="39"/>
  <c r="D203" i="38"/>
  <c r="D17" i="39"/>
  <c r="O17" i="39" s="1"/>
  <c r="D71" i="38"/>
  <c r="D48" i="39"/>
  <c r="O48" i="39" s="1"/>
  <c r="D198" i="38"/>
  <c r="G48" i="39" s="1"/>
  <c r="D187" i="39"/>
  <c r="D194" i="38"/>
  <c r="G187" i="39" s="1"/>
  <c r="D184" i="39"/>
  <c r="O184" i="39" s="1"/>
  <c r="D191" i="38"/>
  <c r="G184" i="39" s="1"/>
  <c r="D183" i="39"/>
  <c r="O183" i="39" s="1"/>
  <c r="D14" i="38"/>
  <c r="D181" i="39"/>
  <c r="O181" i="39" s="1"/>
  <c r="D187" i="38"/>
  <c r="G181" i="39" s="1"/>
  <c r="D177" i="39"/>
  <c r="O177" i="39" s="1"/>
  <c r="D185" i="38"/>
  <c r="G177" i="39" s="1"/>
  <c r="D174" i="39"/>
  <c r="O174" i="39" s="1"/>
  <c r="D182" i="38"/>
  <c r="G174" i="39" s="1"/>
  <c r="D31" i="39"/>
  <c r="O31" i="39" s="1"/>
  <c r="D54" i="38"/>
  <c r="G31" i="39" s="1"/>
  <c r="D165" i="39"/>
  <c r="D172" i="38"/>
  <c r="D162" i="39"/>
  <c r="O162" i="39" s="1"/>
  <c r="D169" i="38"/>
  <c r="G162" i="39" s="1"/>
  <c r="D158" i="39"/>
  <c r="O158" i="39" s="1"/>
  <c r="D165" i="38"/>
  <c r="G158" i="39" s="1"/>
  <c r="D155" i="39"/>
  <c r="D162" i="38"/>
  <c r="G155" i="39" s="1"/>
  <c r="D151" i="39"/>
  <c r="O151" i="39" s="1"/>
  <c r="D158" i="38"/>
  <c r="G151" i="39" s="1"/>
  <c r="D149" i="39"/>
  <c r="O149" i="39" s="1"/>
  <c r="D155" i="38"/>
  <c r="G149" i="39" s="1"/>
  <c r="D145" i="39"/>
  <c r="O145" i="39" s="1"/>
  <c r="D151" i="38"/>
  <c r="G145" i="39" s="1"/>
  <c r="D141" i="39"/>
  <c r="O141" i="39" s="1"/>
  <c r="D147" i="38"/>
  <c r="G141" i="39" s="1"/>
  <c r="D138" i="39"/>
  <c r="O138" i="39" s="1"/>
  <c r="D143" i="38"/>
  <c r="G138" i="39" s="1"/>
  <c r="D134" i="39"/>
  <c r="D139" i="38"/>
  <c r="G134" i="39" s="1"/>
  <c r="D131" i="39"/>
  <c r="D136" i="38"/>
  <c r="G131" i="39" s="1"/>
  <c r="D127" i="39"/>
  <c r="O127" i="39" s="1"/>
  <c r="D132" i="38"/>
  <c r="D125" i="39"/>
  <c r="O125" i="39" s="1"/>
  <c r="D130" i="38"/>
  <c r="G125" i="39" s="1"/>
  <c r="D122" i="39"/>
  <c r="O122" i="39" s="1"/>
  <c r="D10" i="38"/>
  <c r="D118" i="39"/>
  <c r="O118" i="39" s="1"/>
  <c r="D124" i="38"/>
  <c r="G118" i="39" s="1"/>
  <c r="D40" i="39"/>
  <c r="O40" i="39" s="1"/>
  <c r="D121" i="38"/>
  <c r="D3" i="39"/>
  <c r="D43" i="38"/>
  <c r="D108" i="39"/>
  <c r="O108" i="39" s="1"/>
  <c r="D117" i="38"/>
  <c r="D104" i="39"/>
  <c r="O104" i="39" s="1"/>
  <c r="D114" i="38"/>
  <c r="G104" i="39" s="1"/>
  <c r="D101" i="39"/>
  <c r="O101" i="39" s="1"/>
  <c r="D112" i="38"/>
  <c r="G101" i="39" s="1"/>
  <c r="D98" i="39"/>
  <c r="O98" i="39" s="1"/>
  <c r="D110" i="38"/>
  <c r="G98" i="39" s="1"/>
  <c r="D38" i="39"/>
  <c r="O38" i="39" s="1"/>
  <c r="D107" i="38"/>
  <c r="G38" i="39" s="1"/>
  <c r="D92" i="39"/>
  <c r="O92" i="39" s="1"/>
  <c r="D104" i="38"/>
  <c r="D89" i="39"/>
  <c r="D101" i="38"/>
  <c r="D86" i="39"/>
  <c r="O86" i="39" s="1"/>
  <c r="D98" i="38"/>
  <c r="G86" i="39" s="1"/>
  <c r="D82" i="39"/>
  <c r="O82" i="39" s="1"/>
  <c r="D96" i="38"/>
  <c r="G82" i="39" s="1"/>
  <c r="D78" i="39"/>
  <c r="D92" i="38"/>
  <c r="G78" i="39" s="1"/>
  <c r="D74" i="39"/>
  <c r="O74" i="39" s="1"/>
  <c r="D88" i="38"/>
  <c r="G74" i="39" s="1"/>
  <c r="D70" i="39"/>
  <c r="O70" i="39" s="1"/>
  <c r="D84" i="38"/>
  <c r="G70" i="39" s="1"/>
  <c r="D67" i="39"/>
  <c r="D81" i="38"/>
  <c r="D64" i="39"/>
  <c r="O64" i="39" s="1"/>
  <c r="D78" i="38"/>
  <c r="G64" i="39" s="1"/>
  <c r="D306" i="39"/>
  <c r="O306" i="39" s="1"/>
  <c r="D308" i="38"/>
  <c r="G306" i="39" s="1"/>
  <c r="D300" i="39"/>
  <c r="O300" i="39" s="1"/>
  <c r="D301" i="38"/>
  <c r="G300" i="39" s="1"/>
  <c r="D296" i="39"/>
  <c r="D297" i="38"/>
  <c r="D293" i="39"/>
  <c r="O293" i="39" s="1"/>
  <c r="D294" i="38"/>
  <c r="G293" i="39" s="1"/>
  <c r="D290" i="39"/>
  <c r="D291" i="38"/>
  <c r="D26" i="39"/>
  <c r="O26" i="39" s="1"/>
  <c r="D289" i="38"/>
  <c r="G26" i="39" s="1"/>
  <c r="D285" i="39"/>
  <c r="O285" i="39" s="1"/>
  <c r="D286" i="38"/>
  <c r="G285" i="39" s="1"/>
  <c r="D281" i="39"/>
  <c r="O281" i="39" s="1"/>
  <c r="D283" i="38"/>
  <c r="G281" i="39" s="1"/>
  <c r="D25" i="39"/>
  <c r="O25" i="39" s="1"/>
  <c r="D25" i="38"/>
  <c r="D277" i="39"/>
  <c r="D279" i="38"/>
  <c r="G277" i="39" s="1"/>
  <c r="D273" i="39"/>
  <c r="O273" i="39" s="1"/>
  <c r="D276" i="38"/>
  <c r="G273" i="39" s="1"/>
  <c r="D269" i="39"/>
  <c r="O269" i="39" s="1"/>
  <c r="D272" i="38"/>
  <c r="G269" i="39" s="1"/>
  <c r="D267" i="39"/>
  <c r="O267" i="39" s="1"/>
  <c r="D270" i="38"/>
  <c r="G267" i="39" s="1"/>
  <c r="D263" i="39"/>
  <c r="O263" i="39" s="1"/>
  <c r="D266" i="38"/>
  <c r="D259" i="39"/>
  <c r="O259" i="39" s="1"/>
  <c r="D262" i="38"/>
  <c r="G259" i="39" s="1"/>
  <c r="D8" i="39"/>
  <c r="O8" i="39" s="1"/>
  <c r="D40" i="38"/>
  <c r="D253" i="39"/>
  <c r="O253" i="39" s="1"/>
  <c r="D257" i="38"/>
  <c r="G253" i="39" s="1"/>
  <c r="D249" i="39"/>
  <c r="D253" i="38"/>
  <c r="D245" i="39"/>
  <c r="D249" i="38"/>
  <c r="G245" i="39" s="1"/>
  <c r="D29" i="39"/>
  <c r="D38" i="38"/>
  <c r="D53" i="39"/>
  <c r="O53" i="39" s="1"/>
  <c r="D59" i="38"/>
  <c r="D240" i="39"/>
  <c r="O240" i="39" s="1"/>
  <c r="D244" i="38"/>
  <c r="G240" i="39" s="1"/>
  <c r="D237" i="39"/>
  <c r="D240" i="38"/>
  <c r="G237" i="39" s="1"/>
  <c r="D230" i="39"/>
  <c r="O230" i="39" s="1"/>
  <c r="D234" i="38"/>
  <c r="G230" i="39" s="1"/>
  <c r="D227" i="39"/>
  <c r="O227" i="39" s="1"/>
  <c r="D231" i="38"/>
  <c r="G227" i="39" s="1"/>
  <c r="D224" i="39"/>
  <c r="D227" i="38"/>
  <c r="D218" i="39"/>
  <c r="O218" i="39" s="1"/>
  <c r="D221" i="38"/>
  <c r="G218" i="39" s="1"/>
  <c r="D51" i="39"/>
  <c r="O51" i="39" s="1"/>
  <c r="D46" i="38"/>
  <c r="D6" i="39"/>
  <c r="O6" i="39" s="1"/>
  <c r="D37" i="38"/>
  <c r="D208" i="39"/>
  <c r="O208" i="39" s="1"/>
  <c r="D213" i="38"/>
  <c r="G208" i="39" s="1"/>
  <c r="D32" i="39"/>
  <c r="O32" i="39" s="1"/>
  <c r="D17" i="38"/>
  <c r="D202" i="39"/>
  <c r="O202" i="39" s="1"/>
  <c r="D209" i="38"/>
  <c r="D198" i="39"/>
  <c r="O198" i="39" s="1"/>
  <c r="D45" i="38"/>
  <c r="D194" i="39"/>
  <c r="O194" i="39" s="1"/>
  <c r="D202" i="38"/>
  <c r="D24" i="39"/>
  <c r="O24" i="39" s="1"/>
  <c r="D56" i="38"/>
  <c r="D190" i="39"/>
  <c r="D197" i="38"/>
  <c r="D186" i="39"/>
  <c r="O186" i="39" s="1"/>
  <c r="D193" i="38"/>
  <c r="G186" i="39" s="1"/>
  <c r="D47" i="39"/>
  <c r="O47" i="39" s="1"/>
  <c r="D35" i="38"/>
  <c r="D182" i="39"/>
  <c r="O182" i="39" s="1"/>
  <c r="D190" i="38"/>
  <c r="G182" i="39" s="1"/>
  <c r="D180" i="39"/>
  <c r="O180" i="39" s="1"/>
  <c r="D33" i="38"/>
  <c r="D176" i="39"/>
  <c r="D184" i="38"/>
  <c r="D173" i="39"/>
  <c r="D181" i="38"/>
  <c r="G173" i="39" s="1"/>
  <c r="D170" i="39"/>
  <c r="O170" i="39" s="1"/>
  <c r="D178" i="38"/>
  <c r="G170" i="39" s="1"/>
  <c r="D168" i="39"/>
  <c r="O168" i="39" s="1"/>
  <c r="D175" i="38"/>
  <c r="G168" i="39" s="1"/>
  <c r="D44" i="39"/>
  <c r="O44" i="39" s="1"/>
  <c r="D171" i="38"/>
  <c r="G44" i="39" s="1"/>
  <c r="D161" i="39"/>
  <c r="O161" i="39" s="1"/>
  <c r="D168" i="38"/>
  <c r="G161" i="39" s="1"/>
  <c r="D15" i="39"/>
  <c r="O15" i="39" s="1"/>
  <c r="D53" i="38"/>
  <c r="D154" i="39"/>
  <c r="O154" i="39" s="1"/>
  <c r="D161" i="38"/>
  <c r="G154" i="39" s="1"/>
  <c r="D150" i="39"/>
  <c r="O150" i="39" s="1"/>
  <c r="D157" i="38"/>
  <c r="G150" i="39" s="1"/>
  <c r="D148" i="39"/>
  <c r="O148" i="39" s="1"/>
  <c r="D154" i="38"/>
  <c r="G148" i="39" s="1"/>
  <c r="D144" i="39"/>
  <c r="O144" i="39" s="1"/>
  <c r="D150" i="38"/>
  <c r="G144" i="39" s="1"/>
  <c r="D140" i="39"/>
  <c r="O140" i="39" s="1"/>
  <c r="D146" i="38"/>
  <c r="G140" i="39" s="1"/>
  <c r="D137" i="39"/>
  <c r="D142" i="38"/>
  <c r="G137" i="39" s="1"/>
  <c r="D21" i="39"/>
  <c r="O21" i="39" s="1"/>
  <c r="D52" i="38"/>
  <c r="D130" i="39"/>
  <c r="O130" i="39" s="1"/>
  <c r="D135" i="38"/>
  <c r="G130" i="39" s="1"/>
  <c r="D126" i="39"/>
  <c r="O126" i="39" s="1"/>
  <c r="D131" i="38"/>
  <c r="D41" i="39"/>
  <c r="O41" i="39" s="1"/>
  <c r="D129" i="38"/>
  <c r="G41" i="39" s="1"/>
  <c r="D121" i="39"/>
  <c r="O121" i="39" s="1"/>
  <c r="D126" i="38"/>
  <c r="G121" i="39" s="1"/>
  <c r="D117" i="39"/>
  <c r="O117" i="39" s="1"/>
  <c r="D123" i="38"/>
  <c r="G117" i="39" s="1"/>
  <c r="D114" i="39"/>
  <c r="D120" i="38"/>
  <c r="G114" i="39" s="1"/>
  <c r="D111" i="39"/>
  <c r="D68" i="38"/>
  <c r="D107" i="39"/>
  <c r="O107" i="39" s="1"/>
  <c r="D116" i="38"/>
  <c r="D103" i="39"/>
  <c r="O103" i="39" s="1"/>
  <c r="D113" i="38"/>
  <c r="G103" i="39" s="1"/>
  <c r="D100" i="39"/>
  <c r="O100" i="39" s="1"/>
  <c r="D111" i="38"/>
  <c r="G100" i="39" s="1"/>
  <c r="D97" i="39"/>
  <c r="O97" i="39" s="1"/>
  <c r="D109" i="38"/>
  <c r="G97" i="39" s="1"/>
  <c r="D95" i="39"/>
  <c r="D106" i="38"/>
  <c r="D91" i="39"/>
  <c r="O91" i="39" s="1"/>
  <c r="D103" i="38"/>
  <c r="D88" i="39"/>
  <c r="O88" i="39" s="1"/>
  <c r="D100" i="38"/>
  <c r="G88" i="39" s="1"/>
  <c r="D85" i="39"/>
  <c r="O85" i="39" s="1"/>
  <c r="D97" i="38"/>
  <c r="D81" i="39"/>
  <c r="O81" i="39" s="1"/>
  <c r="D95" i="38"/>
  <c r="G81" i="39" s="1"/>
  <c r="D77" i="39"/>
  <c r="D91" i="38"/>
  <c r="D73" i="39"/>
  <c r="D87" i="38"/>
  <c r="G73" i="39" s="1"/>
  <c r="D69" i="39"/>
  <c r="D83" i="38"/>
  <c r="D36" i="39"/>
  <c r="O36" i="39" s="1"/>
  <c r="D48" i="38"/>
  <c r="D63" i="39"/>
  <c r="D77" i="38"/>
  <c r="G63" i="39" s="1"/>
  <c r="D307" i="39"/>
  <c r="O307" i="39" s="1"/>
  <c r="D30" i="38"/>
  <c r="D302" i="39"/>
  <c r="D304" i="38"/>
  <c r="D305" i="39"/>
  <c r="D307" i="38"/>
  <c r="D299" i="39"/>
  <c r="O299" i="39" s="1"/>
  <c r="D300" i="38"/>
  <c r="G299" i="39" s="1"/>
  <c r="D10" i="39"/>
  <c r="O10" i="39" s="1"/>
  <c r="D65" i="38"/>
  <c r="D27" i="38"/>
  <c r="D284" i="39"/>
  <c r="O284" i="39" s="1"/>
  <c r="D280" i="39"/>
  <c r="O280" i="39" s="1"/>
  <c r="D282" i="38"/>
  <c r="G280" i="39" s="1"/>
  <c r="D11" i="39"/>
  <c r="D47" i="38"/>
  <c r="D276" i="39"/>
  <c r="D278" i="38"/>
  <c r="G276" i="39" s="1"/>
  <c r="D272" i="39"/>
  <c r="D275" i="38"/>
  <c r="G272" i="39" s="1"/>
  <c r="D9" i="39"/>
  <c r="O9" i="39" s="1"/>
  <c r="D41" i="38"/>
  <c r="D266" i="39"/>
  <c r="D269" i="38"/>
  <c r="G266" i="39" s="1"/>
  <c r="D262" i="39"/>
  <c r="O262" i="39" s="1"/>
  <c r="D265" i="38"/>
  <c r="G262" i="39" s="1"/>
  <c r="D258" i="39"/>
  <c r="O258" i="39" s="1"/>
  <c r="D261" i="38"/>
  <c r="G258" i="39" s="1"/>
  <c r="D255" i="39"/>
  <c r="O255" i="39" s="1"/>
  <c r="D23" i="38"/>
  <c r="D252" i="39"/>
  <c r="O252" i="39" s="1"/>
  <c r="D256" i="38"/>
  <c r="G252" i="39" s="1"/>
  <c r="D248" i="39"/>
  <c r="O248" i="39" s="1"/>
  <c r="D252" i="38"/>
  <c r="D244" i="39"/>
  <c r="D248" i="38"/>
  <c r="G244" i="39" s="1"/>
  <c r="D56" i="39"/>
  <c r="O56" i="39" s="1"/>
  <c r="D247" i="38"/>
  <c r="G56" i="39" s="1"/>
  <c r="D243" i="39"/>
  <c r="O243" i="39" s="1"/>
  <c r="D246" i="38"/>
  <c r="G243" i="39" s="1"/>
  <c r="D52" i="39"/>
  <c r="O52" i="39" s="1"/>
  <c r="D243" i="38"/>
  <c r="G52" i="39" s="1"/>
  <c r="D236" i="39"/>
  <c r="D239" i="38"/>
  <c r="G236" i="39" s="1"/>
  <c r="D233" i="39"/>
  <c r="D20" i="38"/>
  <c r="D229" i="39"/>
  <c r="D233" i="38"/>
  <c r="D35" i="39"/>
  <c r="O35" i="39" s="1"/>
  <c r="D230" i="38"/>
  <c r="G35" i="39" s="1"/>
  <c r="D223" i="39"/>
  <c r="O223" i="39" s="1"/>
  <c r="D226" i="38"/>
  <c r="G223" i="39" s="1"/>
  <c r="D217" i="39"/>
  <c r="O217" i="39" s="1"/>
  <c r="D220" i="38"/>
  <c r="G217" i="39" s="1"/>
  <c r="D216" i="39"/>
  <c r="O216" i="39" s="1"/>
  <c r="D219" i="38"/>
  <c r="G216" i="39" s="1"/>
  <c r="D213" i="39"/>
  <c r="O213" i="39" s="1"/>
  <c r="D58" i="38"/>
  <c r="D211" i="39"/>
  <c r="O211" i="39" s="1"/>
  <c r="D216" i="38"/>
  <c r="G211" i="39" s="1"/>
  <c r="D207" i="39"/>
  <c r="O207" i="39" s="1"/>
  <c r="D212" i="38"/>
  <c r="G207" i="39" s="1"/>
  <c r="D205" i="39"/>
  <c r="D36" i="38"/>
  <c r="D201" i="39"/>
  <c r="O201" i="39" s="1"/>
  <c r="D208" i="38"/>
  <c r="G201" i="39" s="1"/>
  <c r="D197" i="39"/>
  <c r="O197" i="39" s="1"/>
  <c r="D205" i="38"/>
  <c r="D49" i="39"/>
  <c r="O49" i="39" s="1"/>
  <c r="D72" i="38"/>
  <c r="D192" i="39"/>
  <c r="O192" i="39" s="1"/>
  <c r="D200" i="38"/>
  <c r="G192" i="39" s="1"/>
  <c r="D189" i="39"/>
  <c r="O189" i="39" s="1"/>
  <c r="D196" i="38"/>
  <c r="D185" i="39"/>
  <c r="O185" i="39" s="1"/>
  <c r="D192" i="38"/>
  <c r="G185" i="39" s="1"/>
  <c r="D15" i="38"/>
  <c r="D5" i="39"/>
  <c r="O5" i="39" s="1"/>
  <c r="D46" i="39"/>
  <c r="O46" i="39" s="1"/>
  <c r="D189" i="38"/>
  <c r="D179" i="39"/>
  <c r="O179" i="39" s="1"/>
  <c r="D186" i="38"/>
  <c r="G179" i="39" s="1"/>
  <c r="D23" i="39"/>
  <c r="O23" i="39" s="1"/>
  <c r="D55" i="38"/>
  <c r="D172" i="39"/>
  <c r="D180" i="38"/>
  <c r="G172" i="39" s="1"/>
  <c r="D169" i="39"/>
  <c r="O169" i="39" s="1"/>
  <c r="D177" i="38"/>
  <c r="G169" i="39" s="1"/>
  <c r="D167" i="39"/>
  <c r="O167" i="39" s="1"/>
  <c r="D174" i="38"/>
  <c r="G167" i="39" s="1"/>
  <c r="D164" i="39"/>
  <c r="O164" i="39" s="1"/>
  <c r="D170" i="38"/>
  <c r="G164" i="39" s="1"/>
  <c r="D160" i="39"/>
  <c r="O160" i="39" s="1"/>
  <c r="D167" i="38"/>
  <c r="D157" i="39"/>
  <c r="O157" i="39" s="1"/>
  <c r="D164" i="38"/>
  <c r="G157" i="39" s="1"/>
  <c r="D153" i="39"/>
  <c r="O153" i="39" s="1"/>
  <c r="D160" i="38"/>
  <c r="G153" i="39" s="1"/>
  <c r="D22" i="39"/>
  <c r="O22" i="39" s="1"/>
  <c r="D74" i="38"/>
  <c r="G22" i="39" s="1"/>
  <c r="D147" i="39"/>
  <c r="O147" i="39" s="1"/>
  <c r="D153" i="38"/>
  <c r="G147" i="39" s="1"/>
  <c r="D143" i="39"/>
  <c r="O143" i="39" s="1"/>
  <c r="D149" i="38"/>
  <c r="G143" i="39" s="1"/>
  <c r="D139" i="39"/>
  <c r="D145" i="38"/>
  <c r="G139" i="39" s="1"/>
  <c r="D136" i="39"/>
  <c r="O136" i="39" s="1"/>
  <c r="D141" i="38"/>
  <c r="G136" i="39" s="1"/>
  <c r="D133" i="39"/>
  <c r="O133" i="39" s="1"/>
  <c r="D138" i="38"/>
  <c r="G133" i="39" s="1"/>
  <c r="D129" i="39"/>
  <c r="O129" i="39" s="1"/>
  <c r="D134" i="38"/>
  <c r="G129" i="39" s="1"/>
  <c r="D11" i="38"/>
  <c r="D42" i="39"/>
  <c r="O42" i="39" s="1"/>
  <c r="D124" i="39"/>
  <c r="D128" i="38"/>
  <c r="G124" i="39" s="1"/>
  <c r="D120" i="39"/>
  <c r="O120" i="39" s="1"/>
  <c r="D9" i="38"/>
  <c r="D116" i="39"/>
  <c r="O116" i="39" s="1"/>
  <c r="D122" i="38"/>
  <c r="G116" i="39" s="1"/>
  <c r="D113" i="39"/>
  <c r="D69" i="38"/>
  <c r="D110" i="39"/>
  <c r="O110" i="39" s="1"/>
  <c r="D119" i="38"/>
  <c r="G110" i="39" s="1"/>
  <c r="D106" i="39"/>
  <c r="O106" i="39" s="1"/>
  <c r="D8" i="38"/>
  <c r="D102" i="39"/>
  <c r="O102" i="39" s="1"/>
  <c r="D67" i="38"/>
  <c r="D39" i="39"/>
  <c r="O39" i="39" s="1"/>
  <c r="D7" i="38"/>
  <c r="D96" i="39"/>
  <c r="D108" i="38"/>
  <c r="G96" i="39" s="1"/>
  <c r="D94" i="39"/>
  <c r="O94" i="39" s="1"/>
  <c r="D105" i="38"/>
  <c r="G94" i="39" s="1"/>
  <c r="D37" i="39"/>
  <c r="O37" i="39" s="1"/>
  <c r="D102" i="38"/>
  <c r="G37" i="39" s="1"/>
  <c r="D87" i="39"/>
  <c r="O87" i="39" s="1"/>
  <c r="D99" i="38"/>
  <c r="G87" i="39" s="1"/>
  <c r="D3" i="38"/>
  <c r="D84" i="39"/>
  <c r="O84" i="39" s="1"/>
  <c r="D80" i="39"/>
  <c r="D94" i="38"/>
  <c r="D76" i="39"/>
  <c r="D90" i="38"/>
  <c r="D72" i="39"/>
  <c r="D86" i="38"/>
  <c r="G72" i="39" s="1"/>
  <c r="D12" i="39"/>
  <c r="D49" i="38"/>
  <c r="D66" i="39"/>
  <c r="O66" i="39" s="1"/>
  <c r="D80" i="38"/>
  <c r="G66" i="39" s="1"/>
  <c r="D62" i="39"/>
  <c r="D76" i="38"/>
  <c r="G62" i="39" s="1"/>
  <c r="D310" i="39"/>
  <c r="O310" i="39" s="1"/>
  <c r="D311" i="38"/>
  <c r="G310" i="39" s="1"/>
  <c r="D309" i="39"/>
  <c r="O309" i="39" s="1"/>
  <c r="D310" i="38"/>
  <c r="G309" i="39" s="1"/>
  <c r="D301" i="39"/>
  <c r="O301" i="39" s="1"/>
  <c r="D303" i="38"/>
  <c r="G301" i="39" s="1"/>
  <c r="D28" i="39"/>
  <c r="O28" i="39" s="1"/>
  <c r="D42" i="38"/>
  <c r="D292" i="39"/>
  <c r="O292" i="39" s="1"/>
  <c r="D293" i="38"/>
  <c r="G292" i="39" s="1"/>
  <c r="D288" i="39"/>
  <c r="O288" i="39" s="1"/>
  <c r="D28" i="38"/>
  <c r="D312" i="39"/>
  <c r="O312" i="39" s="1"/>
  <c r="D313" i="38"/>
  <c r="G312" i="39" s="1"/>
  <c r="D308" i="39"/>
  <c r="O308" i="39" s="1"/>
  <c r="D309" i="38"/>
  <c r="G308" i="39" s="1"/>
  <c r="D304" i="39"/>
  <c r="O304" i="39" s="1"/>
  <c r="D306" i="38"/>
  <c r="G304" i="39" s="1"/>
  <c r="D59" i="39"/>
  <c r="O59" i="39" s="1"/>
  <c r="D29" i="38"/>
  <c r="D298" i="39"/>
  <c r="O298" i="39" s="1"/>
  <c r="D299" i="38"/>
  <c r="G298" i="39" s="1"/>
  <c r="D295" i="39"/>
  <c r="D296" i="38"/>
  <c r="D289" i="39"/>
  <c r="O289" i="39" s="1"/>
  <c r="D290" i="38"/>
  <c r="G289" i="39" s="1"/>
  <c r="D287" i="39"/>
  <c r="O287" i="39" s="1"/>
  <c r="D288" i="38"/>
  <c r="G287" i="39" s="1"/>
  <c r="D283" i="39"/>
  <c r="O283" i="39" s="1"/>
  <c r="D285" i="38"/>
  <c r="G283" i="39" s="1"/>
  <c r="D57" i="39"/>
  <c r="O57" i="39" s="1"/>
  <c r="D26" i="38"/>
  <c r="D279" i="39"/>
  <c r="O279" i="39" s="1"/>
  <c r="D281" i="38"/>
  <c r="G279" i="39" s="1"/>
  <c r="D275" i="39"/>
  <c r="O275" i="39" s="1"/>
  <c r="D277" i="38"/>
  <c r="G275" i="39" s="1"/>
  <c r="D271" i="39"/>
  <c r="O271" i="39" s="1"/>
  <c r="D274" i="38"/>
  <c r="D313" i="39"/>
  <c r="O313" i="39" s="1"/>
  <c r="D24" i="38"/>
  <c r="D265" i="39"/>
  <c r="D268" i="38"/>
  <c r="G265" i="39" s="1"/>
  <c r="D261" i="39"/>
  <c r="D264" i="38"/>
  <c r="G261" i="39" s="1"/>
  <c r="D257" i="39"/>
  <c r="D260" i="38"/>
  <c r="G257" i="39" s="1"/>
  <c r="D254" i="39"/>
  <c r="O254" i="39" s="1"/>
  <c r="D258" i="38"/>
  <c r="G254" i="39" s="1"/>
  <c r="D251" i="39"/>
  <c r="D255" i="38"/>
  <c r="D247" i="39"/>
  <c r="O247" i="39" s="1"/>
  <c r="D251" i="38"/>
  <c r="G247" i="39" s="1"/>
  <c r="D18" i="39"/>
  <c r="O18" i="39" s="1"/>
  <c r="D39" i="38"/>
  <c r="D55" i="39"/>
  <c r="O55" i="39" s="1"/>
  <c r="D22" i="38"/>
  <c r="D242" i="39"/>
  <c r="D21" i="38"/>
  <c r="D239" i="39"/>
  <c r="O239" i="39" s="1"/>
  <c r="D242" i="38"/>
  <c r="G239" i="39" s="1"/>
  <c r="D235" i="39"/>
  <c r="O235" i="39" s="1"/>
  <c r="D238" i="38"/>
  <c r="G235" i="39" s="1"/>
  <c r="D232" i="39"/>
  <c r="D236" i="38"/>
  <c r="G232" i="39" s="1"/>
  <c r="D226" i="39"/>
  <c r="O226" i="39" s="1"/>
  <c r="D229" i="38"/>
  <c r="G226" i="39" s="1"/>
  <c r="D222" i="39"/>
  <c r="D225" i="38"/>
  <c r="G222" i="39" s="1"/>
  <c r="D220" i="39"/>
  <c r="D223" i="38"/>
  <c r="G220" i="39" s="1"/>
  <c r="D215" i="39"/>
  <c r="O215" i="39" s="1"/>
  <c r="D19" i="38"/>
  <c r="D212" i="39"/>
  <c r="O212" i="39" s="1"/>
  <c r="D217" i="38"/>
  <c r="D210" i="39"/>
  <c r="O210" i="39" s="1"/>
  <c r="D215" i="38"/>
  <c r="G210" i="39" s="1"/>
  <c r="D50" i="39"/>
  <c r="O50" i="39" s="1"/>
  <c r="D18" i="38"/>
  <c r="D204" i="39"/>
  <c r="O204" i="39" s="1"/>
  <c r="D210" i="38"/>
  <c r="G204" i="39" s="1"/>
  <c r="D200" i="39"/>
  <c r="D207" i="38"/>
  <c r="D196" i="39"/>
  <c r="D204" i="38"/>
  <c r="D193" i="39"/>
  <c r="O193" i="39" s="1"/>
  <c r="D201" i="38"/>
  <c r="G193" i="39" s="1"/>
  <c r="D191" i="39"/>
  <c r="O191" i="39" s="1"/>
  <c r="D199" i="38"/>
  <c r="G191" i="39" s="1"/>
  <c r="D188" i="39"/>
  <c r="D195" i="38"/>
  <c r="G188" i="39" s="1"/>
  <c r="D16" i="39"/>
  <c r="O16" i="39" s="1"/>
  <c r="D34" i="38"/>
  <c r="D45" i="39"/>
  <c r="O45" i="39" s="1"/>
  <c r="D188" i="38"/>
  <c r="D178" i="39"/>
  <c r="O178" i="39" s="1"/>
  <c r="D13" i="38"/>
  <c r="D175" i="39"/>
  <c r="O175" i="39" s="1"/>
  <c r="D183" i="38"/>
  <c r="G175" i="39" s="1"/>
  <c r="D171" i="39"/>
  <c r="O171" i="39" s="1"/>
  <c r="D179" i="38"/>
  <c r="G171" i="39" s="1"/>
  <c r="D4" i="39"/>
  <c r="O4" i="39" s="1"/>
  <c r="D176" i="38"/>
  <c r="G4" i="39" s="1"/>
  <c r="D166" i="39"/>
  <c r="D173" i="38"/>
  <c r="D163" i="39"/>
  <c r="O163" i="39" s="1"/>
  <c r="D12" i="38"/>
  <c r="D159" i="39"/>
  <c r="D166" i="38"/>
  <c r="D156" i="39"/>
  <c r="O156" i="39" s="1"/>
  <c r="D163" i="38"/>
  <c r="G156" i="39" s="1"/>
  <c r="D152" i="39"/>
  <c r="D159" i="38"/>
  <c r="D60" i="39"/>
  <c r="O60" i="39" s="1"/>
  <c r="D156" i="38"/>
  <c r="G60" i="39" s="1"/>
  <c r="D146" i="39"/>
  <c r="O146" i="39" s="1"/>
  <c r="D152" i="38"/>
  <c r="G146" i="39" s="1"/>
  <c r="D142" i="39"/>
  <c r="O142" i="39" s="1"/>
  <c r="D148" i="38"/>
  <c r="G142" i="39" s="1"/>
  <c r="D43" i="39"/>
  <c r="O43" i="39" s="1"/>
  <c r="D144" i="38"/>
  <c r="G43" i="39" s="1"/>
  <c r="D135" i="39"/>
  <c r="D140" i="38"/>
  <c r="G135" i="39" s="1"/>
  <c r="D132" i="39"/>
  <c r="O132" i="39" s="1"/>
  <c r="D137" i="38"/>
  <c r="G132" i="39" s="1"/>
  <c r="D128" i="39"/>
  <c r="O128" i="39" s="1"/>
  <c r="D133" i="38"/>
  <c r="D123" i="39"/>
  <c r="D127" i="38"/>
  <c r="G123" i="39" s="1"/>
  <c r="D119" i="39"/>
  <c r="O119" i="39" s="1"/>
  <c r="D125" i="38"/>
  <c r="G119" i="39" s="1"/>
  <c r="D115" i="39"/>
  <c r="D70" i="38"/>
  <c r="D112" i="39"/>
  <c r="D44" i="38"/>
  <c r="D109" i="39"/>
  <c r="O109" i="39" s="1"/>
  <c r="D118" i="38"/>
  <c r="G109" i="39" s="1"/>
  <c r="D105" i="39"/>
  <c r="O105" i="39" s="1"/>
  <c r="D115" i="38"/>
  <c r="G105" i="39" s="1"/>
  <c r="D20" i="39"/>
  <c r="O20" i="39" s="1"/>
  <c r="D32" i="38"/>
  <c r="D14" i="39"/>
  <c r="O14" i="39" s="1"/>
  <c r="D31" i="38"/>
  <c r="D99" i="39"/>
  <c r="O99" i="39" s="1"/>
  <c r="D6" i="38"/>
  <c r="D13" i="39"/>
  <c r="O13" i="39" s="1"/>
  <c r="D66" i="38"/>
  <c r="D93" i="39"/>
  <c r="D5" i="38"/>
  <c r="D90" i="39"/>
  <c r="D4" i="38"/>
  <c r="G90" i="39" s="1"/>
  <c r="D34" i="39"/>
  <c r="O34" i="39" s="1"/>
  <c r="D51" i="38"/>
  <c r="D83" i="39"/>
  <c r="O83" i="39" s="1"/>
  <c r="D50" i="38"/>
  <c r="D79" i="39"/>
  <c r="O79" i="39" s="1"/>
  <c r="D93" i="38"/>
  <c r="G79" i="39" s="1"/>
  <c r="D75" i="39"/>
  <c r="O75" i="39" s="1"/>
  <c r="D89" i="38"/>
  <c r="D71" i="39"/>
  <c r="O71" i="39" s="1"/>
  <c r="D85" i="38"/>
  <c r="G71" i="39" s="1"/>
  <c r="D68" i="39"/>
  <c r="D82" i="38"/>
  <c r="D65" i="39"/>
  <c r="D79" i="38"/>
  <c r="G65" i="39" s="1"/>
  <c r="D61" i="39"/>
  <c r="O61" i="39" s="1"/>
  <c r="D75" i="38"/>
  <c r="G61" i="39" s="1"/>
  <c r="D134" i="37"/>
  <c r="X134" i="37" s="1"/>
  <c r="D268" i="36"/>
  <c r="D132" i="37"/>
  <c r="X132" i="37" s="1"/>
  <c r="D168" i="36"/>
  <c r="D43" i="37"/>
  <c r="X43" i="37" s="1"/>
  <c r="D172" i="36"/>
  <c r="D169" i="37"/>
  <c r="X169" i="37" s="1"/>
  <c r="D289" i="36"/>
  <c r="D127" i="37"/>
  <c r="D194" i="36"/>
  <c r="D148" i="37"/>
  <c r="X148" i="37" s="1"/>
  <c r="D154" i="36"/>
  <c r="D218" i="37"/>
  <c r="X218" i="37" s="1"/>
  <c r="D285" i="36"/>
  <c r="D12" i="37"/>
  <c r="X12" i="37" s="1"/>
  <c r="D11" i="36"/>
  <c r="D19" i="37"/>
  <c r="X19" i="37" s="1"/>
  <c r="D35" i="36"/>
  <c r="D234" i="37"/>
  <c r="X234" i="37" s="1"/>
  <c r="D236" i="36"/>
  <c r="D194" i="37"/>
  <c r="X194" i="37" s="1"/>
  <c r="D272" i="36"/>
  <c r="D30" i="37"/>
  <c r="D177" i="36"/>
  <c r="D83" i="37"/>
  <c r="X83" i="37" s="1"/>
  <c r="D12" i="36"/>
  <c r="D274" i="37"/>
  <c r="X274" i="37" s="1"/>
  <c r="D269" i="36"/>
  <c r="D272" i="37"/>
  <c r="D117" i="36"/>
  <c r="D181" i="36"/>
  <c r="D35" i="37"/>
  <c r="X35" i="37" s="1"/>
  <c r="D213" i="37"/>
  <c r="X213" i="37" s="1"/>
  <c r="D129" i="36"/>
  <c r="D110" i="37"/>
  <c r="X110" i="37" s="1"/>
  <c r="D249" i="36"/>
  <c r="D263" i="37"/>
  <c r="X263" i="37" s="1"/>
  <c r="D277" i="36"/>
  <c r="D171" i="37"/>
  <c r="X171" i="37" s="1"/>
  <c r="D308" i="36"/>
  <c r="D79" i="37"/>
  <c r="X79" i="37" s="1"/>
  <c r="D131" i="36"/>
  <c r="D255" i="37"/>
  <c r="X255" i="37" s="1"/>
  <c r="D301" i="36"/>
  <c r="D139" i="37"/>
  <c r="X139" i="37" s="1"/>
  <c r="D185" i="36"/>
  <c r="D149" i="37"/>
  <c r="X149" i="37" s="1"/>
  <c r="D95" i="36"/>
  <c r="D183" i="37"/>
  <c r="X183" i="37" s="1"/>
  <c r="D81" i="36"/>
  <c r="D222" i="37"/>
  <c r="X222" i="37" s="1"/>
  <c r="D232" i="36"/>
  <c r="D314" i="37"/>
  <c r="X314" i="37" s="1"/>
  <c r="D86" i="36"/>
  <c r="D143" i="37"/>
  <c r="X143" i="37" s="1"/>
  <c r="D195" i="36"/>
  <c r="D210" i="37"/>
  <c r="X210" i="37" s="1"/>
  <c r="D203" i="36"/>
  <c r="D163" i="37"/>
  <c r="X163" i="37" s="1"/>
  <c r="D126" i="36"/>
  <c r="D75" i="37"/>
  <c r="X75" i="37" s="1"/>
  <c r="D123" i="36"/>
  <c r="D305" i="37"/>
  <c r="X305" i="37" s="1"/>
  <c r="D312" i="36"/>
  <c r="D164" i="37"/>
  <c r="X164" i="37" s="1"/>
  <c r="D130" i="36"/>
  <c r="D34" i="37"/>
  <c r="X34" i="37" s="1"/>
  <c r="D230" i="36"/>
  <c r="D99" i="37"/>
  <c r="X99" i="37" s="1"/>
  <c r="D238" i="36"/>
  <c r="D73" i="37"/>
  <c r="X73" i="37" s="1"/>
  <c r="D206" i="36"/>
  <c r="D53" i="37"/>
  <c r="X53" i="37" s="1"/>
  <c r="D235" i="36"/>
  <c r="D72" i="37"/>
  <c r="X72" i="37" s="1"/>
  <c r="D247" i="36"/>
  <c r="D206" i="37"/>
  <c r="X206" i="37" s="1"/>
  <c r="D178" i="36"/>
  <c r="D204" i="37"/>
  <c r="X204" i="37" s="1"/>
  <c r="D210" i="36"/>
  <c r="D27" i="37"/>
  <c r="X27" i="37" s="1"/>
  <c r="D112" i="36"/>
  <c r="D203" i="37"/>
  <c r="X203" i="37" s="1"/>
  <c r="D202" i="36"/>
  <c r="D221" i="37"/>
  <c r="X221" i="37" s="1"/>
  <c r="D45" i="36"/>
  <c r="D6" i="37"/>
  <c r="D161" i="36"/>
  <c r="D201" i="37"/>
  <c r="X201" i="37" s="1"/>
  <c r="D260" i="36"/>
  <c r="D282" i="36"/>
  <c r="D295" i="37"/>
  <c r="X295" i="37" s="1"/>
  <c r="D128" i="37"/>
  <c r="X128" i="37" s="1"/>
  <c r="D186" i="36"/>
  <c r="D180" i="37"/>
  <c r="X180" i="37" s="1"/>
  <c r="D51" i="36"/>
  <c r="D11" i="37"/>
  <c r="X11" i="37" s="1"/>
  <c r="D5" i="36"/>
  <c r="D126" i="37"/>
  <c r="X126" i="37" s="1"/>
  <c r="D119" i="36"/>
  <c r="D68" i="37"/>
  <c r="X68" i="37" s="1"/>
  <c r="D263" i="36"/>
  <c r="D137" i="37"/>
  <c r="X137" i="37" s="1"/>
  <c r="D153" i="36"/>
  <c r="D44" i="37"/>
  <c r="X44" i="37" s="1"/>
  <c r="D65" i="36"/>
  <c r="D33" i="37"/>
  <c r="X33" i="37" s="1"/>
  <c r="D44" i="36"/>
  <c r="D197" i="37"/>
  <c r="X197" i="37" s="1"/>
  <c r="D184" i="36"/>
  <c r="D17" i="37"/>
  <c r="X17" i="37" s="1"/>
  <c r="D62" i="36"/>
  <c r="D177" i="37"/>
  <c r="X177" i="37" s="1"/>
  <c r="D139" i="36"/>
  <c r="D123" i="37"/>
  <c r="X123" i="37" s="1"/>
  <c r="D109" i="36"/>
  <c r="D97" i="37"/>
  <c r="X97" i="37" s="1"/>
  <c r="D14" i="36"/>
  <c r="D31" i="37"/>
  <c r="X31" i="37" s="1"/>
  <c r="D192" i="36"/>
  <c r="D15" i="37"/>
  <c r="X15" i="37" s="1"/>
  <c r="D137" i="36"/>
  <c r="D147" i="37"/>
  <c r="X147" i="37" s="1"/>
  <c r="D91" i="36"/>
  <c r="D85" i="37"/>
  <c r="X85" i="37" s="1"/>
  <c r="D133" i="36"/>
  <c r="D284" i="37"/>
  <c r="X284" i="37" s="1"/>
  <c r="D90" i="36"/>
  <c r="D174" i="37"/>
  <c r="X174" i="37" s="1"/>
  <c r="D208" i="36"/>
  <c r="D82" i="37"/>
  <c r="X82" i="37" s="1"/>
  <c r="D41" i="36"/>
  <c r="D29" i="37"/>
  <c r="X29" i="37" s="1"/>
  <c r="D147" i="36"/>
  <c r="D146" i="37"/>
  <c r="X146" i="37" s="1"/>
  <c r="D158" i="36"/>
  <c r="D280" i="37"/>
  <c r="X280" i="37" s="1"/>
  <c r="D211" i="36"/>
  <c r="D121" i="37"/>
  <c r="X121" i="37" s="1"/>
  <c r="D281" i="36"/>
  <c r="D192" i="37"/>
  <c r="X192" i="37" s="1"/>
  <c r="D187" i="36"/>
  <c r="D278" i="37"/>
  <c r="X278" i="37" s="1"/>
  <c r="D310" i="36"/>
  <c r="D154" i="37"/>
  <c r="X154" i="37" s="1"/>
  <c r="D21" i="36"/>
  <c r="D275" i="37"/>
  <c r="X275" i="37" s="1"/>
  <c r="D106" i="36"/>
  <c r="D93" i="37"/>
  <c r="X93" i="37" s="1"/>
  <c r="D152" i="36"/>
  <c r="D190" i="37"/>
  <c r="X190" i="37" s="1"/>
  <c r="D253" i="36"/>
  <c r="D37" i="37"/>
  <c r="X37" i="37" s="1"/>
  <c r="D270" i="36"/>
  <c r="D117" i="37"/>
  <c r="D278" i="36"/>
  <c r="D116" i="37"/>
  <c r="D221" i="36"/>
  <c r="D188" i="37"/>
  <c r="D217" i="36"/>
  <c r="D61" i="37"/>
  <c r="X61" i="37" s="1"/>
  <c r="D274" i="36"/>
  <c r="D286" i="36"/>
  <c r="D13" i="37"/>
  <c r="X13" i="37" s="1"/>
  <c r="D151" i="37"/>
  <c r="X151" i="37" s="1"/>
  <c r="D83" i="36"/>
  <c r="D47" i="37"/>
  <c r="X47" i="37" s="1"/>
  <c r="D128" i="36"/>
  <c r="D91" i="37"/>
  <c r="X91" i="37" s="1"/>
  <c r="D46" i="36"/>
  <c r="D60" i="37"/>
  <c r="X60" i="37" s="1"/>
  <c r="D175" i="36"/>
  <c r="D265" i="37"/>
  <c r="X265" i="37" s="1"/>
  <c r="D113" i="36"/>
  <c r="D264" i="37"/>
  <c r="X264" i="37" s="1"/>
  <c r="D214" i="36"/>
  <c r="D226" i="37"/>
  <c r="X226" i="37" s="1"/>
  <c r="D242" i="36"/>
  <c r="D59" i="37"/>
  <c r="X59" i="37" s="1"/>
  <c r="D135" i="36"/>
  <c r="D260" i="37"/>
  <c r="X260" i="37" s="1"/>
  <c r="D299" i="36"/>
  <c r="D259" i="37"/>
  <c r="X259" i="37" s="1"/>
  <c r="D298" i="36"/>
  <c r="D57" i="37"/>
  <c r="X57" i="37" s="1"/>
  <c r="D169" i="36"/>
  <c r="D55" i="37"/>
  <c r="X55" i="37" s="1"/>
  <c r="D254" i="36"/>
  <c r="D46" i="37"/>
  <c r="X46" i="37" s="1"/>
  <c r="D39" i="36"/>
  <c r="D105" i="37"/>
  <c r="X105" i="37" s="1"/>
  <c r="D107" i="36"/>
  <c r="D104" i="37"/>
  <c r="X104" i="37" s="1"/>
  <c r="D103" i="36"/>
  <c r="D140" i="37"/>
  <c r="X140" i="37" s="1"/>
  <c r="D193" i="36"/>
  <c r="D87" i="37"/>
  <c r="X87" i="37" s="1"/>
  <c r="D156" i="36"/>
  <c r="D252" i="37"/>
  <c r="X252" i="37" s="1"/>
  <c r="D102" i="36"/>
  <c r="D250" i="37"/>
  <c r="X250" i="37" s="1"/>
  <c r="D76" i="36"/>
  <c r="D16" i="37"/>
  <c r="X16" i="37" s="1"/>
  <c r="D60" i="36"/>
  <c r="D249" i="37"/>
  <c r="X249" i="37" s="1"/>
  <c r="D71" i="36"/>
  <c r="D315" i="37"/>
  <c r="X315" i="37" s="1"/>
  <c r="D87" i="36"/>
  <c r="D211" i="37"/>
  <c r="X211" i="37" s="1"/>
  <c r="D196" i="36"/>
  <c r="D310" i="37"/>
  <c r="X310" i="37" s="1"/>
  <c r="D94" i="36"/>
  <c r="D307" i="37"/>
  <c r="X307" i="37" s="1"/>
  <c r="D88" i="36"/>
  <c r="D304" i="37"/>
  <c r="X304" i="37" s="1"/>
  <c r="D275" i="36"/>
  <c r="D207" i="37"/>
  <c r="X207" i="37" s="1"/>
  <c r="D251" i="36"/>
  <c r="D160" i="37"/>
  <c r="X160" i="37" s="1"/>
  <c r="D63" i="36"/>
  <c r="D205" i="37"/>
  <c r="X205" i="37" s="1"/>
  <c r="D77" i="36"/>
  <c r="D214" i="37"/>
  <c r="X214" i="37" s="1"/>
  <c r="D132" i="36"/>
  <c r="D241" i="37"/>
  <c r="X241" i="37" s="1"/>
  <c r="D292" i="36"/>
  <c r="D238" i="37"/>
  <c r="X238" i="37" s="1"/>
  <c r="D149" i="36"/>
  <c r="D24" i="37"/>
  <c r="X24" i="37" s="1"/>
  <c r="D37" i="36"/>
  <c r="D66" i="37"/>
  <c r="X66" i="37" s="1"/>
  <c r="D182" i="36"/>
  <c r="D288" i="37"/>
  <c r="X288" i="37" s="1"/>
  <c r="D256" i="36"/>
  <c r="D100" i="36"/>
  <c r="D64" i="37"/>
  <c r="X64" i="37" s="1"/>
  <c r="D236" i="37"/>
  <c r="X236" i="37" s="1"/>
  <c r="D70" i="36"/>
  <c r="D23" i="37"/>
  <c r="X23" i="37" s="1"/>
  <c r="D8" i="36"/>
  <c r="D39" i="37"/>
  <c r="X39" i="37" s="1"/>
  <c r="D199" i="36"/>
  <c r="D279" i="37"/>
  <c r="X279" i="37" s="1"/>
  <c r="D99" i="36"/>
  <c r="D52" i="37"/>
  <c r="X52" i="37" s="1"/>
  <c r="D231" i="36"/>
  <c r="D118" i="37"/>
  <c r="X118" i="37" s="1"/>
  <c r="D171" i="36"/>
  <c r="D189" i="37"/>
  <c r="D222" i="36"/>
  <c r="D187" i="37"/>
  <c r="X187" i="37" s="1"/>
  <c r="D216" i="36"/>
  <c r="D141" i="37"/>
  <c r="X141" i="37" s="1"/>
  <c r="D82" i="36"/>
  <c r="D157" i="37"/>
  <c r="X157" i="37" s="1"/>
  <c r="D26" i="36"/>
  <c r="D261" i="37"/>
  <c r="X261" i="37" s="1"/>
  <c r="D295" i="36"/>
  <c r="D50" i="37"/>
  <c r="X50" i="37" s="1"/>
  <c r="D291" i="36"/>
  <c r="D257" i="37"/>
  <c r="X257" i="37" s="1"/>
  <c r="D73" i="36"/>
  <c r="D223" i="37"/>
  <c r="X223" i="37" s="1"/>
  <c r="D47" i="36"/>
  <c r="D313" i="37"/>
  <c r="D85" i="36"/>
  <c r="D311" i="37"/>
  <c r="X311" i="37" s="1"/>
  <c r="D180" i="36"/>
  <c r="D309" i="37"/>
  <c r="X309" i="37" s="1"/>
  <c r="D296" i="36"/>
  <c r="D176" i="37"/>
  <c r="X176" i="37" s="1"/>
  <c r="D125" i="36"/>
  <c r="D18" i="37"/>
  <c r="X18" i="37" s="1"/>
  <c r="D240" i="36"/>
  <c r="D208" i="37"/>
  <c r="X208" i="37" s="1"/>
  <c r="D283" i="36"/>
  <c r="D9" i="37"/>
  <c r="D69" i="36"/>
  <c r="D303" i="37"/>
  <c r="X303" i="37" s="1"/>
  <c r="D183" i="36"/>
  <c r="D182" i="37"/>
  <c r="X182" i="37" s="1"/>
  <c r="D159" i="36"/>
  <c r="D244" i="37"/>
  <c r="X244" i="37" s="1"/>
  <c r="D163" i="36"/>
  <c r="D155" i="36"/>
  <c r="D243" i="37"/>
  <c r="X243" i="37" s="1"/>
  <c r="D71" i="37"/>
  <c r="X71" i="37" s="1"/>
  <c r="D264" i="36"/>
  <c r="D300" i="37"/>
  <c r="X300" i="37" s="1"/>
  <c r="D244" i="36"/>
  <c r="D138" i="37"/>
  <c r="X138" i="37" s="1"/>
  <c r="D162" i="36"/>
  <c r="D131" i="37"/>
  <c r="X131" i="37" s="1"/>
  <c r="D167" i="36"/>
  <c r="D202" i="37"/>
  <c r="X202" i="37" s="1"/>
  <c r="D228" i="36"/>
  <c r="D130" i="37"/>
  <c r="X130" i="37" s="1"/>
  <c r="D201" i="36"/>
  <c r="D297" i="37"/>
  <c r="X297" i="37" s="1"/>
  <c r="D111" i="36"/>
  <c r="D129" i="37"/>
  <c r="X129" i="37" s="1"/>
  <c r="D205" i="36"/>
  <c r="D220" i="37"/>
  <c r="X220" i="37" s="1"/>
  <c r="D68" i="36"/>
  <c r="D70" i="37"/>
  <c r="X70" i="37" s="1"/>
  <c r="D80" i="36"/>
  <c r="D219" i="37"/>
  <c r="X219" i="37" s="1"/>
  <c r="D13" i="36"/>
  <c r="D294" i="37"/>
  <c r="X294" i="37" s="1"/>
  <c r="D303" i="36"/>
  <c r="D125" i="37"/>
  <c r="X125" i="37" s="1"/>
  <c r="D22" i="36"/>
  <c r="D32" i="37"/>
  <c r="X32" i="37" s="1"/>
  <c r="D191" i="36"/>
  <c r="D155" i="37"/>
  <c r="X155" i="37" s="1"/>
  <c r="D294" i="36"/>
  <c r="D98" i="37"/>
  <c r="X98" i="37" s="1"/>
  <c r="D141" i="36"/>
  <c r="D124" i="37"/>
  <c r="X124" i="37" s="1"/>
  <c r="D19" i="36"/>
  <c r="D291" i="37"/>
  <c r="X291" i="37" s="1"/>
  <c r="D170" i="36"/>
  <c r="D198" i="37"/>
  <c r="X198" i="37" s="1"/>
  <c r="D276" i="36"/>
  <c r="D65" i="37"/>
  <c r="X65" i="37" s="1"/>
  <c r="D266" i="36"/>
  <c r="D144" i="37"/>
  <c r="X144" i="37" s="1"/>
  <c r="D284" i="36"/>
  <c r="D86" i="37"/>
  <c r="X86" i="37" s="1"/>
  <c r="D136" i="36"/>
  <c r="D200" i="36"/>
  <c r="D142" i="37"/>
  <c r="X142" i="37" s="1"/>
  <c r="D10" i="37"/>
  <c r="X10" i="37" s="1"/>
  <c r="D36" i="36"/>
  <c r="D195" i="37"/>
  <c r="X195" i="37" s="1"/>
  <c r="D259" i="36"/>
  <c r="D285" i="37"/>
  <c r="X285" i="37" s="1"/>
  <c r="D96" i="36"/>
  <c r="D217" i="37"/>
  <c r="X217" i="37" s="1"/>
  <c r="D20" i="36"/>
  <c r="D189" i="36"/>
  <c r="D63" i="37"/>
  <c r="X63" i="37" s="1"/>
  <c r="D77" i="37"/>
  <c r="X77" i="37" s="1"/>
  <c r="D33" i="36"/>
  <c r="D282" i="37"/>
  <c r="X282" i="37" s="1"/>
  <c r="D305" i="36"/>
  <c r="D95" i="37"/>
  <c r="X95" i="37" s="1"/>
  <c r="D148" i="36"/>
  <c r="D81" i="37"/>
  <c r="X81" i="37" s="1"/>
  <c r="D28" i="36"/>
  <c r="D193" i="37"/>
  <c r="X193" i="37" s="1"/>
  <c r="D188" i="36"/>
  <c r="D94" i="37"/>
  <c r="X94" i="37" s="1"/>
  <c r="D234" i="36"/>
  <c r="D120" i="37"/>
  <c r="X120" i="37" s="1"/>
  <c r="D280" i="36"/>
  <c r="D161" i="37"/>
  <c r="X161" i="37" s="1"/>
  <c r="D224" i="36"/>
  <c r="D191" i="37"/>
  <c r="X191" i="37" s="1"/>
  <c r="D279" i="36"/>
  <c r="D119" i="37"/>
  <c r="X119" i="37" s="1"/>
  <c r="D246" i="36"/>
  <c r="D212" i="37"/>
  <c r="X212" i="37" s="1"/>
  <c r="D40" i="36"/>
  <c r="D273" i="37"/>
  <c r="X273" i="37" s="1"/>
  <c r="D105" i="36"/>
  <c r="D167" i="37"/>
  <c r="X167" i="37" s="1"/>
  <c r="D58" i="36"/>
  <c r="D92" i="37"/>
  <c r="X92" i="37" s="1"/>
  <c r="D237" i="36"/>
  <c r="D271" i="37"/>
  <c r="D223" i="36"/>
  <c r="D115" i="37"/>
  <c r="D220" i="36"/>
  <c r="D269" i="37"/>
  <c r="X269" i="37" s="1"/>
  <c r="D115" i="36"/>
  <c r="D268" i="37"/>
  <c r="X268" i="37" s="1"/>
  <c r="D176" i="36"/>
  <c r="D172" i="37"/>
  <c r="D309" i="36"/>
  <c r="D111" i="37"/>
  <c r="X111" i="37" s="1"/>
  <c r="D257" i="36"/>
  <c r="D230" i="37"/>
  <c r="X230" i="37" s="1"/>
  <c r="D53" i="36"/>
  <c r="D186" i="37"/>
  <c r="X186" i="37" s="1"/>
  <c r="D79" i="36"/>
  <c r="D185" i="37"/>
  <c r="X185" i="37" s="1"/>
  <c r="D204" i="36"/>
  <c r="D109" i="37"/>
  <c r="X109" i="37" s="1"/>
  <c r="D209" i="36"/>
  <c r="D228" i="37"/>
  <c r="X228" i="37" s="1"/>
  <c r="D50" i="36"/>
  <c r="D88" i="37"/>
  <c r="X88" i="37" s="1"/>
  <c r="D233" i="36"/>
  <c r="D262" i="37"/>
  <c r="X262" i="37" s="1"/>
  <c r="D306" i="36"/>
  <c r="D216" i="37"/>
  <c r="X216" i="37" s="1"/>
  <c r="D138" i="36"/>
  <c r="D258" i="37"/>
  <c r="X258" i="37" s="1"/>
  <c r="D25" i="36"/>
  <c r="D56" i="37"/>
  <c r="X56" i="37" s="1"/>
  <c r="D304" i="36"/>
  <c r="D184" i="37"/>
  <c r="X184" i="37" s="1"/>
  <c r="D265" i="36"/>
  <c r="D106" i="37"/>
  <c r="X106" i="37" s="1"/>
  <c r="D24" i="36"/>
  <c r="D256" i="37"/>
  <c r="X256" i="37" s="1"/>
  <c r="D307" i="36"/>
  <c r="D225" i="37"/>
  <c r="X225" i="37" s="1"/>
  <c r="D67" i="36"/>
  <c r="D76" i="37"/>
  <c r="X76" i="37" s="1"/>
  <c r="D127" i="36"/>
  <c r="D224" i="37"/>
  <c r="X224" i="37" s="1"/>
  <c r="D52" i="36"/>
  <c r="D251" i="37"/>
  <c r="X251" i="37" s="1"/>
  <c r="D101" i="36"/>
  <c r="D165" i="37"/>
  <c r="X165" i="37" s="1"/>
  <c r="D42" i="36"/>
  <c r="D102" i="37"/>
  <c r="X102" i="37" s="1"/>
  <c r="D114" i="36"/>
  <c r="D248" i="37"/>
  <c r="X248" i="37" s="1"/>
  <c r="D250" i="36"/>
  <c r="D209" i="37"/>
  <c r="D16" i="36"/>
  <c r="D135" i="37"/>
  <c r="X135" i="37" s="1"/>
  <c r="D122" i="36"/>
  <c r="D54" i="37"/>
  <c r="X54" i="37" s="1"/>
  <c r="D57" i="36"/>
  <c r="D74" i="37"/>
  <c r="X74" i="37" s="1"/>
  <c r="D207" i="36"/>
  <c r="D242" i="37"/>
  <c r="X242" i="37" s="1"/>
  <c r="D145" i="36"/>
  <c r="D26" i="37"/>
  <c r="X26" i="37" s="1"/>
  <c r="D38" i="36"/>
  <c r="D200" i="37"/>
  <c r="X200" i="37" s="1"/>
  <c r="D120" i="36"/>
  <c r="D158" i="37"/>
  <c r="X158" i="37" s="1"/>
  <c r="D10" i="36"/>
  <c r="D168" i="37"/>
  <c r="X168" i="37" s="1"/>
  <c r="D48" i="36"/>
  <c r="D41" i="37"/>
  <c r="X41" i="37" s="1"/>
  <c r="D97" i="36"/>
  <c r="D286" i="37"/>
  <c r="X286" i="37" s="1"/>
  <c r="D297" i="36"/>
  <c r="D237" i="37"/>
  <c r="X237" i="37" s="1"/>
  <c r="D55" i="36"/>
  <c r="D233" i="37"/>
  <c r="X233" i="37" s="1"/>
  <c r="D140" i="36"/>
  <c r="D283" i="37"/>
  <c r="X283" i="37" s="1"/>
  <c r="D164" i="36"/>
  <c r="D84" i="37"/>
  <c r="X84" i="37" s="1"/>
  <c r="D29" i="36"/>
  <c r="D276" i="37"/>
  <c r="X276" i="37" s="1"/>
  <c r="D300" i="36"/>
  <c r="D153" i="37"/>
  <c r="X153" i="37" s="1"/>
  <c r="D271" i="36"/>
  <c r="D113" i="37"/>
  <c r="D218" i="36"/>
  <c r="D152" i="37"/>
  <c r="X152" i="37" s="1"/>
  <c r="D173" i="36"/>
  <c r="D229" i="37"/>
  <c r="X229" i="37" s="1"/>
  <c r="D144" i="36"/>
  <c r="D89" i="37"/>
  <c r="X89" i="37" s="1"/>
  <c r="D146" i="36"/>
  <c r="D21" i="37"/>
  <c r="X21" i="37" s="1"/>
  <c r="D6" i="36"/>
  <c r="D254" i="37"/>
  <c r="X254" i="37" s="1"/>
  <c r="D110" i="36"/>
  <c r="D136" i="37"/>
  <c r="X136" i="37" s="1"/>
  <c r="D89" i="36"/>
  <c r="D312" i="37"/>
  <c r="D314" i="36"/>
  <c r="D100" i="37"/>
  <c r="X100" i="37" s="1"/>
  <c r="D157" i="36"/>
  <c r="D20" i="37"/>
  <c r="X20" i="37" s="1"/>
  <c r="D4" i="36"/>
  <c r="D308" i="37"/>
  <c r="X308" i="37" s="1"/>
  <c r="D124" i="36"/>
  <c r="D306" i="37"/>
  <c r="X306" i="37" s="1"/>
  <c r="D313" i="36"/>
  <c r="D245" i="37"/>
  <c r="X245" i="37" s="1"/>
  <c r="D150" i="36"/>
  <c r="D302" i="37"/>
  <c r="X302" i="37" s="1"/>
  <c r="D262" i="36"/>
  <c r="D301" i="37"/>
  <c r="X301" i="37" s="1"/>
  <c r="D229" i="36"/>
  <c r="D181" i="37"/>
  <c r="X181" i="37" s="1"/>
  <c r="D59" i="36"/>
  <c r="D261" i="36"/>
  <c r="D162" i="37"/>
  <c r="X162" i="37" s="1"/>
  <c r="D246" i="37"/>
  <c r="D311" i="36"/>
  <c r="D48" i="37"/>
  <c r="X48" i="37" s="1"/>
  <c r="D34" i="36"/>
  <c r="D133" i="37"/>
  <c r="X133" i="37" s="1"/>
  <c r="D23" i="36"/>
  <c r="D299" i="37"/>
  <c r="X299" i="37" s="1"/>
  <c r="D245" i="36"/>
  <c r="D156" i="37"/>
  <c r="X156" i="37" s="1"/>
  <c r="D104" i="36"/>
  <c r="D298" i="37"/>
  <c r="X298" i="37" s="1"/>
  <c r="D92" i="36"/>
  <c r="D42" i="37"/>
  <c r="X42" i="37" s="1"/>
  <c r="D267" i="36"/>
  <c r="D296" i="37"/>
  <c r="X296" i="37" s="1"/>
  <c r="D121" i="36"/>
  <c r="D240" i="37"/>
  <c r="X240" i="37" s="1"/>
  <c r="D56" i="36"/>
  <c r="D239" i="37"/>
  <c r="X239" i="37" s="1"/>
  <c r="D32" i="36"/>
  <c r="D25" i="37"/>
  <c r="X25" i="37" s="1"/>
  <c r="D9" i="36"/>
  <c r="D199" i="37"/>
  <c r="X199" i="37" s="1"/>
  <c r="D212" i="36"/>
  <c r="D69" i="37"/>
  <c r="X69" i="37" s="1"/>
  <c r="D227" i="36"/>
  <c r="D67" i="37"/>
  <c r="X67" i="37" s="1"/>
  <c r="D93" i="36"/>
  <c r="D293" i="37"/>
  <c r="X293" i="37" s="1"/>
  <c r="D74" i="36"/>
  <c r="D292" i="37"/>
  <c r="X292" i="37" s="1"/>
  <c r="D75" i="36"/>
  <c r="D290" i="37"/>
  <c r="X290" i="37" s="1"/>
  <c r="D165" i="36"/>
  <c r="D289" i="37"/>
  <c r="X289" i="37" s="1"/>
  <c r="D72" i="36"/>
  <c r="D287" i="37"/>
  <c r="X287" i="37" s="1"/>
  <c r="D174" i="36"/>
  <c r="D78" i="37"/>
  <c r="X78" i="37" s="1"/>
  <c r="D31" i="36"/>
  <c r="D45" i="37"/>
  <c r="X45" i="37" s="1"/>
  <c r="D54" i="36"/>
  <c r="D196" i="37"/>
  <c r="X196" i="37" s="1"/>
  <c r="D18" i="36"/>
  <c r="D40" i="37"/>
  <c r="X40" i="37" s="1"/>
  <c r="D273" i="36"/>
  <c r="D122" i="37"/>
  <c r="X122" i="37" s="1"/>
  <c r="D118" i="36"/>
  <c r="D235" i="37"/>
  <c r="X235" i="37" s="1"/>
  <c r="D64" i="36"/>
  <c r="D96" i="37"/>
  <c r="X96" i="37" s="1"/>
  <c r="D243" i="36"/>
  <c r="D175" i="37"/>
  <c r="X175" i="37" s="1"/>
  <c r="D226" i="36"/>
  <c r="D159" i="37"/>
  <c r="X159" i="37" s="1"/>
  <c r="D160" i="36"/>
  <c r="D14" i="37"/>
  <c r="X14" i="37" s="1"/>
  <c r="D43" i="36"/>
  <c r="D80" i="37"/>
  <c r="X80" i="37" s="1"/>
  <c r="D27" i="36"/>
  <c r="D281" i="37"/>
  <c r="X281" i="37" s="1"/>
  <c r="D84" i="36"/>
  <c r="D225" i="36"/>
  <c r="D173" i="37"/>
  <c r="X173" i="37" s="1"/>
  <c r="D62" i="37"/>
  <c r="X62" i="37" s="1"/>
  <c r="D255" i="36"/>
  <c r="D232" i="37"/>
  <c r="X232" i="37" s="1"/>
  <c r="D293" i="36"/>
  <c r="D28" i="37"/>
  <c r="X28" i="37" s="1"/>
  <c r="D134" i="36"/>
  <c r="D277" i="37"/>
  <c r="X277" i="37" s="1"/>
  <c r="D108" i="36"/>
  <c r="D51" i="37"/>
  <c r="X51" i="37" s="1"/>
  <c r="D143" i="36"/>
  <c r="D38" i="37"/>
  <c r="X38" i="37" s="1"/>
  <c r="D198" i="36"/>
  <c r="D179" i="37"/>
  <c r="X179" i="37" s="1"/>
  <c r="D239" i="36"/>
  <c r="D36" i="37"/>
  <c r="X36" i="37" s="1"/>
  <c r="D17" i="36"/>
  <c r="D270" i="37"/>
  <c r="D116" i="36"/>
  <c r="D114" i="37"/>
  <c r="D219" i="36"/>
  <c r="D22" i="37"/>
  <c r="X22" i="37" s="1"/>
  <c r="D7" i="36"/>
  <c r="D231" i="37"/>
  <c r="X231" i="37" s="1"/>
  <c r="D241" i="36"/>
  <c r="D112" i="37"/>
  <c r="X112" i="37" s="1"/>
  <c r="D215" i="36"/>
  <c r="D145" i="37"/>
  <c r="X145" i="37" s="1"/>
  <c r="D290" i="36"/>
  <c r="D267" i="37"/>
  <c r="X267" i="37" s="1"/>
  <c r="D166" i="36"/>
  <c r="D266" i="37"/>
  <c r="X266" i="37" s="1"/>
  <c r="D213" i="36"/>
  <c r="D90" i="37"/>
  <c r="X90" i="37" s="1"/>
  <c r="D142" i="36"/>
  <c r="D227" i="37"/>
  <c r="X227" i="37" s="1"/>
  <c r="D49" i="36"/>
  <c r="D108" i="37"/>
  <c r="X108" i="37" s="1"/>
  <c r="D258" i="36"/>
  <c r="D166" i="37"/>
  <c r="X166" i="37" s="1"/>
  <c r="D30" i="36"/>
  <c r="D287" i="36"/>
  <c r="D7" i="37"/>
  <c r="D5" i="37"/>
  <c r="X5" i="37" s="1"/>
  <c r="D61" i="36"/>
  <c r="D58" i="37"/>
  <c r="X58" i="37" s="1"/>
  <c r="D302" i="36"/>
  <c r="D178" i="37"/>
  <c r="X178" i="37" s="1"/>
  <c r="D151" i="36"/>
  <c r="D107" i="37"/>
  <c r="X107" i="37" s="1"/>
  <c r="D190" i="36"/>
  <c r="D215" i="37"/>
  <c r="X215" i="37" s="1"/>
  <c r="D288" i="36"/>
  <c r="D49" i="37"/>
  <c r="X49" i="37" s="1"/>
  <c r="D15" i="36"/>
  <c r="D8" i="37"/>
  <c r="D66" i="36"/>
  <c r="D253" i="37"/>
  <c r="X253" i="37" s="1"/>
  <c r="D197" i="36"/>
  <c r="D150" i="37"/>
  <c r="X150" i="37" s="1"/>
  <c r="D179" i="36"/>
  <c r="D103" i="37"/>
  <c r="X103" i="37" s="1"/>
  <c r="D98" i="36"/>
  <c r="D170" i="37"/>
  <c r="X170" i="37" s="1"/>
  <c r="D78" i="36"/>
  <c r="D101" i="37"/>
  <c r="X101" i="37" s="1"/>
  <c r="D248" i="36"/>
  <c r="D247" i="37"/>
  <c r="X247" i="37" s="1"/>
  <c r="D252" i="36"/>
  <c r="D244" i="17"/>
  <c r="D290" i="19"/>
  <c r="D52" i="13"/>
  <c r="D202" i="17"/>
  <c r="D299" i="19"/>
  <c r="D105" i="13"/>
  <c r="D88" i="17"/>
  <c r="D189" i="19"/>
  <c r="D218" i="13"/>
  <c r="D293" i="17"/>
  <c r="D248" i="19"/>
  <c r="D201" i="13"/>
  <c r="D30" i="17"/>
  <c r="D103" i="19"/>
  <c r="D19" i="13"/>
  <c r="D273" i="17"/>
  <c r="D298" i="19"/>
  <c r="D119" i="13"/>
  <c r="D62" i="17"/>
  <c r="D170" i="19"/>
  <c r="D183" i="13"/>
  <c r="D158" i="17"/>
  <c r="D62" i="19"/>
  <c r="D13" i="13"/>
  <c r="D152" i="17"/>
  <c r="D212" i="19"/>
  <c r="D267" i="13"/>
  <c r="D238" i="17"/>
  <c r="D66" i="19"/>
  <c r="D283" i="13"/>
  <c r="D208" i="17"/>
  <c r="D285" i="19"/>
  <c r="D84" i="13"/>
  <c r="D124" i="17"/>
  <c r="D210" i="19"/>
  <c r="D146" i="13"/>
  <c r="D226" i="17"/>
  <c r="D85" i="19"/>
  <c r="D262" i="13"/>
  <c r="D23" i="17"/>
  <c r="D163" i="19"/>
  <c r="D63" i="13"/>
  <c r="D47" i="17"/>
  <c r="D162" i="19"/>
  <c r="D151" i="13"/>
  <c r="D297" i="17"/>
  <c r="D67" i="19"/>
  <c r="D7" i="13"/>
  <c r="D204" i="17"/>
  <c r="D261" i="19"/>
  <c r="D216" i="13"/>
  <c r="D169" i="17"/>
  <c r="X169" i="17" s="1"/>
  <c r="D118" i="19"/>
  <c r="D289" i="13"/>
  <c r="D234" i="17"/>
  <c r="D70" i="19"/>
  <c r="D34" i="13"/>
  <c r="D156" i="17"/>
  <c r="D93" i="19"/>
  <c r="D44" i="13"/>
  <c r="D125" i="17"/>
  <c r="D214" i="19"/>
  <c r="D171" i="13"/>
  <c r="D21" i="17"/>
  <c r="D158" i="19"/>
  <c r="D89" i="13"/>
  <c r="D161" i="17"/>
  <c r="D117" i="19"/>
  <c r="D66" i="13"/>
  <c r="D113" i="17"/>
  <c r="D111" i="19"/>
  <c r="D142" i="13"/>
  <c r="D56" i="17"/>
  <c r="D154" i="19"/>
  <c r="D161" i="13"/>
  <c r="D32" i="17"/>
  <c r="D153" i="19"/>
  <c r="D141" i="13"/>
  <c r="D295" i="17"/>
  <c r="D94" i="19"/>
  <c r="D263" i="13"/>
  <c r="D288" i="17"/>
  <c r="D271" i="19"/>
  <c r="D199" i="13"/>
  <c r="D310" i="17"/>
  <c r="D269" i="19"/>
  <c r="D295" i="13"/>
  <c r="D11" i="17"/>
  <c r="D50" i="19"/>
  <c r="D30" i="13"/>
  <c r="D35" i="17"/>
  <c r="D152" i="19"/>
  <c r="D111" i="13"/>
  <c r="D183" i="17"/>
  <c r="D133" i="19"/>
  <c r="D69" i="13"/>
  <c r="D19" i="17"/>
  <c r="D4" i="19"/>
  <c r="D268" i="13"/>
  <c r="D190" i="17"/>
  <c r="D125" i="19"/>
  <c r="D312" i="13"/>
  <c r="D271" i="17"/>
  <c r="D126" i="19"/>
  <c r="D302" i="13"/>
  <c r="D233" i="17"/>
  <c r="D69" i="19"/>
  <c r="D14" i="13"/>
  <c r="D26" i="17"/>
  <c r="D168" i="19"/>
  <c r="D41" i="13"/>
  <c r="D265" i="17"/>
  <c r="D283" i="19"/>
  <c r="D74" i="13"/>
  <c r="D278" i="17"/>
  <c r="D264" i="19"/>
  <c r="D280" i="13"/>
  <c r="D50" i="17"/>
  <c r="D17" i="19"/>
  <c r="D173" i="13"/>
  <c r="D97" i="17"/>
  <c r="D90" i="19"/>
  <c r="D131" i="13"/>
  <c r="D44" i="17"/>
  <c r="D147" i="19"/>
  <c r="D155" i="13"/>
  <c r="D198" i="17"/>
  <c r="D254" i="19"/>
  <c r="D113" i="13"/>
  <c r="D96" i="17"/>
  <c r="D89" i="19"/>
  <c r="D31" i="13"/>
  <c r="D61" i="17"/>
  <c r="D99" i="19"/>
  <c r="D275" i="13"/>
  <c r="D306" i="17"/>
  <c r="D278" i="19"/>
  <c r="D296" i="13"/>
  <c r="D287" i="17"/>
  <c r="D252" i="19"/>
  <c r="D278" i="13"/>
  <c r="D121" i="17"/>
  <c r="D207" i="19"/>
  <c r="D150" i="13"/>
  <c r="D153" i="17"/>
  <c r="D188" i="19"/>
  <c r="D284" i="13"/>
  <c r="D216" i="17"/>
  <c r="D234" i="19"/>
  <c r="D213" i="13"/>
  <c r="D243" i="17"/>
  <c r="D231" i="19"/>
  <c r="D231" i="13"/>
  <c r="D115" i="17"/>
  <c r="D176" i="19"/>
  <c r="D227" i="13"/>
  <c r="D48" i="17"/>
  <c r="D140" i="19"/>
  <c r="D162" i="13"/>
  <c r="D240" i="17"/>
  <c r="D245" i="19"/>
  <c r="D225" i="13"/>
  <c r="D131" i="17"/>
  <c r="D196" i="19"/>
  <c r="D106" i="13"/>
  <c r="D225" i="17"/>
  <c r="D84" i="19"/>
  <c r="D129" i="13"/>
  <c r="D85" i="17"/>
  <c r="D213" i="19"/>
  <c r="D94" i="13"/>
  <c r="D232" i="17"/>
  <c r="D12" i="19"/>
  <c r="D134" i="13"/>
  <c r="D144" i="17"/>
  <c r="D200" i="19"/>
  <c r="D194" i="13"/>
  <c r="D166" i="17"/>
  <c r="D76" i="19"/>
  <c r="D60" i="13"/>
  <c r="D100" i="17"/>
  <c r="D41" i="19"/>
  <c r="D5" i="13"/>
  <c r="D263" i="17"/>
  <c r="X263" i="17" s="1"/>
  <c r="D242" i="19"/>
  <c r="D254" i="13"/>
  <c r="D304" i="17"/>
  <c r="D253" i="19"/>
  <c r="D293" i="13"/>
  <c r="D176" i="17"/>
  <c r="D218" i="19"/>
  <c r="D246" i="13"/>
  <c r="D74" i="17"/>
  <c r="D98" i="19"/>
  <c r="D292" i="13"/>
  <c r="D24" i="17"/>
  <c r="D138" i="19"/>
  <c r="D39" i="13"/>
  <c r="D93" i="17"/>
  <c r="D80" i="19"/>
  <c r="D130" i="13"/>
  <c r="D215" i="17"/>
  <c r="D297" i="19"/>
  <c r="D76" i="13"/>
  <c r="D299" i="17"/>
  <c r="D235" i="19"/>
  <c r="D303" i="13"/>
  <c r="D193" i="17"/>
  <c r="D229" i="19"/>
  <c r="D124" i="13"/>
  <c r="D130" i="17"/>
  <c r="D175" i="19"/>
  <c r="D136" i="13"/>
  <c r="D86" i="17"/>
  <c r="D172" i="19"/>
  <c r="D109" i="13"/>
  <c r="D192" i="17"/>
  <c r="D246" i="19"/>
  <c r="D93" i="13"/>
  <c r="D185" i="17"/>
  <c r="D124" i="19"/>
  <c r="D276" i="13"/>
  <c r="D272" i="17"/>
  <c r="D130" i="19"/>
  <c r="D188" i="13"/>
  <c r="D253" i="17"/>
  <c r="D31" i="19"/>
  <c r="D169" i="13"/>
  <c r="D206" i="17"/>
  <c r="D308" i="19"/>
  <c r="D97" i="13"/>
  <c r="D132" i="17"/>
  <c r="D215" i="19"/>
  <c r="D168" i="13"/>
  <c r="D210" i="17"/>
  <c r="X210" i="17" s="1"/>
  <c r="D302" i="19"/>
  <c r="D203" i="13"/>
  <c r="D162" i="17"/>
  <c r="D224" i="19"/>
  <c r="D222" i="13"/>
  <c r="D37" i="17"/>
  <c r="D134" i="19"/>
  <c r="D219" i="13"/>
  <c r="D314" i="17"/>
  <c r="D314" i="19"/>
  <c r="D250" i="13"/>
  <c r="D164" i="17"/>
  <c r="D83" i="19"/>
  <c r="D260" i="13"/>
  <c r="D60" i="17"/>
  <c r="D88" i="19"/>
  <c r="D21" i="13"/>
  <c r="D137" i="17"/>
  <c r="D112" i="19"/>
  <c r="D190" i="13"/>
  <c r="D58" i="17"/>
  <c r="D169" i="19"/>
  <c r="D182" i="13"/>
  <c r="D64" i="17"/>
  <c r="D6" i="19"/>
  <c r="D23" i="13"/>
  <c r="D71" i="17"/>
  <c r="D166" i="19"/>
  <c r="D88" i="13"/>
  <c r="D252" i="17"/>
  <c r="D296" i="19"/>
  <c r="D157" i="13"/>
  <c r="D251" i="17"/>
  <c r="D294" i="19"/>
  <c r="D187" i="13"/>
  <c r="D34" i="17"/>
  <c r="D164" i="19"/>
  <c r="D123" i="13"/>
  <c r="D203" i="17"/>
  <c r="X203" i="17" s="1"/>
  <c r="D292" i="19"/>
  <c r="D202" i="13"/>
  <c r="D178" i="17"/>
  <c r="D97" i="19"/>
  <c r="D271" i="13"/>
  <c r="D105" i="17"/>
  <c r="D43" i="19"/>
  <c r="D10" i="13"/>
  <c r="D282" i="17"/>
  <c r="D289" i="19"/>
  <c r="D258" i="13"/>
  <c r="D290" i="17"/>
  <c r="D260" i="19"/>
  <c r="D243" i="13"/>
  <c r="D127" i="17"/>
  <c r="D205" i="19"/>
  <c r="D137" i="13"/>
  <c r="D179" i="17"/>
  <c r="D46" i="19"/>
  <c r="D29" i="13"/>
  <c r="D20" i="17"/>
  <c r="D56" i="19"/>
  <c r="D38" i="13"/>
  <c r="D83" i="17"/>
  <c r="D194" i="19"/>
  <c r="D215" i="13"/>
  <c r="D69" i="17"/>
  <c r="D157" i="19"/>
  <c r="D154" i="13"/>
  <c r="D110" i="17"/>
  <c r="D110" i="19"/>
  <c r="D140" i="13"/>
  <c r="D16" i="17"/>
  <c r="D128" i="19"/>
  <c r="D83" i="13"/>
  <c r="D28" i="17"/>
  <c r="D87" i="19"/>
  <c r="D269" i="13"/>
  <c r="D249" i="17"/>
  <c r="D236" i="19"/>
  <c r="D163" i="13"/>
  <c r="D18" i="17"/>
  <c r="D39" i="19"/>
  <c r="D49" i="13"/>
  <c r="D227" i="17"/>
  <c r="D37" i="19"/>
  <c r="D4" i="13"/>
  <c r="D82" i="17"/>
  <c r="D198" i="19"/>
  <c r="D118" i="13"/>
  <c r="D107" i="17"/>
  <c r="D8" i="19"/>
  <c r="D33" i="13"/>
  <c r="D31" i="17"/>
  <c r="X31" i="17" s="1"/>
  <c r="D151" i="19"/>
  <c r="D180" i="13"/>
  <c r="D12" i="17"/>
  <c r="D34" i="19"/>
  <c r="D133" i="13"/>
  <c r="D147" i="17"/>
  <c r="X147" i="17" s="1"/>
  <c r="D109" i="19"/>
  <c r="D68" i="13"/>
  <c r="D98" i="17"/>
  <c r="D52" i="19"/>
  <c r="D20" i="13"/>
  <c r="D284" i="17"/>
  <c r="X284" i="17" s="1"/>
  <c r="D266" i="19"/>
  <c r="D90" i="13"/>
  <c r="D171" i="17"/>
  <c r="D225" i="19"/>
  <c r="D184" i="13"/>
  <c r="D77" i="17"/>
  <c r="D32" i="19"/>
  <c r="D43" i="13"/>
  <c r="D42" i="17"/>
  <c r="D101" i="19"/>
  <c r="D138" i="13"/>
  <c r="D15" i="17"/>
  <c r="D42" i="19"/>
  <c r="D144" i="13"/>
  <c r="D280" i="17"/>
  <c r="X280" i="17" s="1"/>
  <c r="D295" i="19"/>
  <c r="D277" i="13"/>
  <c r="D139" i="17"/>
  <c r="D202" i="19"/>
  <c r="D242" i="13"/>
  <c r="D246" i="17"/>
  <c r="D255" i="19"/>
  <c r="D164" i="13"/>
  <c r="D308" i="17"/>
  <c r="D258" i="19"/>
  <c r="D248" i="13"/>
  <c r="D154" i="17"/>
  <c r="D174" i="19"/>
  <c r="D55" i="13"/>
  <c r="D196" i="17"/>
  <c r="D272" i="19"/>
  <c r="D116" i="13"/>
  <c r="D108" i="17"/>
  <c r="D61" i="19"/>
  <c r="D17" i="13"/>
  <c r="D276" i="17"/>
  <c r="D250" i="19"/>
  <c r="D196" i="13"/>
  <c r="D65" i="17"/>
  <c r="D144" i="19"/>
  <c r="D279" i="13"/>
  <c r="D140" i="17"/>
  <c r="D180" i="19"/>
  <c r="D239" i="13"/>
  <c r="D118" i="17"/>
  <c r="D179" i="19"/>
  <c r="D230" i="13"/>
  <c r="D242" i="17"/>
  <c r="D230" i="19"/>
  <c r="D226" i="13"/>
  <c r="D63" i="17"/>
  <c r="D142" i="19"/>
  <c r="D198" i="13"/>
  <c r="D14" i="17"/>
  <c r="D51" i="19"/>
  <c r="D25" i="13"/>
  <c r="D89" i="17"/>
  <c r="D186" i="19"/>
  <c r="D100" i="13"/>
  <c r="D39" i="17"/>
  <c r="D78" i="19"/>
  <c r="D128" i="13"/>
  <c r="D78" i="17"/>
  <c r="D114" i="19"/>
  <c r="D45" i="13"/>
  <c r="D53" i="17"/>
  <c r="D141" i="19"/>
  <c r="D153" i="13"/>
  <c r="D194" i="17"/>
  <c r="D241" i="19"/>
  <c r="D206" i="13"/>
  <c r="D261" i="17"/>
  <c r="D288" i="19"/>
  <c r="D223" i="13"/>
  <c r="D269" i="17"/>
  <c r="D64" i="19"/>
  <c r="D311" i="13"/>
  <c r="D59" i="17"/>
  <c r="X59" i="17" s="1"/>
  <c r="D139" i="19"/>
  <c r="D103" i="13"/>
  <c r="D303" i="17"/>
  <c r="D240" i="19"/>
  <c r="D300" i="13"/>
  <c r="D302" i="17"/>
  <c r="D239" i="19"/>
  <c r="D299" i="13"/>
  <c r="D52" i="17"/>
  <c r="D137" i="19"/>
  <c r="D149" i="13"/>
  <c r="D55" i="17"/>
  <c r="X55" i="17" s="1"/>
  <c r="D135" i="19"/>
  <c r="D211" i="13"/>
  <c r="D29" i="17"/>
  <c r="D72" i="19"/>
  <c r="D65" i="13"/>
  <c r="D81" i="17"/>
  <c r="D182" i="19"/>
  <c r="D120" i="13"/>
  <c r="D104" i="17"/>
  <c r="X104" i="17" s="1"/>
  <c r="D181" i="19"/>
  <c r="D96" i="13"/>
  <c r="D126" i="17"/>
  <c r="D187" i="19"/>
  <c r="D170" i="13"/>
  <c r="D99" i="17"/>
  <c r="D104" i="19"/>
  <c r="D297" i="13"/>
  <c r="D213" i="17"/>
  <c r="D228" i="19"/>
  <c r="D159" i="13"/>
  <c r="D211" i="17"/>
  <c r="D311" i="19"/>
  <c r="D85" i="13"/>
  <c r="D10" i="17"/>
  <c r="D57" i="19"/>
  <c r="D48" i="13"/>
  <c r="D209" i="17"/>
  <c r="D243" i="19"/>
  <c r="D70" i="13"/>
  <c r="D224" i="17"/>
  <c r="D303" i="19"/>
  <c r="D125" i="13"/>
  <c r="D217" i="17"/>
  <c r="D307" i="19"/>
  <c r="D95" i="13"/>
  <c r="D311" i="17"/>
  <c r="X311" i="17" s="1"/>
  <c r="D305" i="19"/>
  <c r="D192" i="13"/>
  <c r="D315" i="17"/>
  <c r="D301" i="19"/>
  <c r="D294" i="13"/>
  <c r="D163" i="17"/>
  <c r="D223" i="19"/>
  <c r="D221" i="13"/>
  <c r="D13" i="17"/>
  <c r="D40" i="19"/>
  <c r="D28" i="13"/>
  <c r="D283" i="17"/>
  <c r="D313" i="19"/>
  <c r="D244" i="13"/>
  <c r="D8" i="17"/>
  <c r="D71" i="19"/>
  <c r="D9" i="13"/>
  <c r="D260" i="17"/>
  <c r="D27" i="19"/>
  <c r="D160" i="13"/>
  <c r="D231" i="17"/>
  <c r="D13" i="19"/>
  <c r="D145" i="13"/>
  <c r="D236" i="17"/>
  <c r="D131" i="19"/>
  <c r="D313" i="13"/>
  <c r="D235" i="17"/>
  <c r="D48" i="19"/>
  <c r="D18" i="13"/>
  <c r="D70" i="17"/>
  <c r="D165" i="19"/>
  <c r="D172" i="13"/>
  <c r="D292" i="17"/>
  <c r="D286" i="19"/>
  <c r="D72" i="13"/>
  <c r="D111" i="17"/>
  <c r="D44" i="19"/>
  <c r="D11" i="13"/>
  <c r="D129" i="17"/>
  <c r="D203" i="19"/>
  <c r="D81" i="13"/>
  <c r="D250" i="17"/>
  <c r="D263" i="19"/>
  <c r="D237" i="13"/>
  <c r="D123" i="17"/>
  <c r="D208" i="19"/>
  <c r="D177" i="13"/>
  <c r="D201" i="17"/>
  <c r="D23" i="19"/>
  <c r="D121" i="13"/>
  <c r="D122" i="17"/>
  <c r="D199" i="19"/>
  <c r="D178" i="13"/>
  <c r="D220" i="17"/>
  <c r="X220" i="17" s="1"/>
  <c r="D96" i="19"/>
  <c r="D32" i="13"/>
  <c r="D36" i="17"/>
  <c r="D159" i="19"/>
  <c r="D104" i="13"/>
  <c r="D229" i="17"/>
  <c r="D95" i="19"/>
  <c r="D51" i="13"/>
  <c r="D312" i="17"/>
  <c r="D287" i="19"/>
  <c r="D305" i="13"/>
  <c r="D149" i="17"/>
  <c r="D193" i="19"/>
  <c r="D56" i="13"/>
  <c r="D45" i="17"/>
  <c r="D156" i="19"/>
  <c r="D147" i="13"/>
  <c r="D155" i="17"/>
  <c r="D20" i="19"/>
  <c r="D102" i="13"/>
  <c r="D102" i="17"/>
  <c r="D106" i="19"/>
  <c r="D272" i="13"/>
  <c r="D120" i="17"/>
  <c r="D204" i="19"/>
  <c r="D36" i="13"/>
  <c r="D258" i="17"/>
  <c r="D279" i="19"/>
  <c r="D148" i="13"/>
  <c r="D281" i="17"/>
  <c r="D273" i="19"/>
  <c r="D287" i="13"/>
  <c r="D72" i="17"/>
  <c r="D160" i="19"/>
  <c r="D261" i="13"/>
  <c r="D157" i="17"/>
  <c r="D49" i="19"/>
  <c r="D288" i="13"/>
  <c r="D103" i="17"/>
  <c r="D91" i="19"/>
  <c r="D132" i="13"/>
  <c r="D128" i="17"/>
  <c r="D197" i="19"/>
  <c r="D176" i="13"/>
  <c r="D17" i="17"/>
  <c r="D38" i="19"/>
  <c r="D298" i="13"/>
  <c r="D279" i="17"/>
  <c r="D268" i="19"/>
  <c r="D255" i="13"/>
  <c r="D285" i="17"/>
  <c r="X285" i="17" s="1"/>
  <c r="D267" i="19"/>
  <c r="D91" i="13"/>
  <c r="D267" i="17"/>
  <c r="D55" i="19"/>
  <c r="D54" i="13"/>
  <c r="D54" i="17"/>
  <c r="D150" i="19"/>
  <c r="D167" i="13"/>
  <c r="D92" i="17"/>
  <c r="D74" i="19"/>
  <c r="D126" i="13"/>
  <c r="D309" i="17"/>
  <c r="D265" i="19"/>
  <c r="D306" i="13"/>
  <c r="D106" i="17"/>
  <c r="D9" i="19"/>
  <c r="D15" i="13"/>
  <c r="D95" i="17"/>
  <c r="D82" i="19"/>
  <c r="D50" i="13"/>
  <c r="D247" i="17"/>
  <c r="D256" i="19"/>
  <c r="D166" i="13"/>
  <c r="D135" i="17"/>
  <c r="D59" i="19"/>
  <c r="D22" i="13"/>
  <c r="D138" i="17"/>
  <c r="D201" i="19"/>
  <c r="D241" i="13"/>
  <c r="D167" i="17"/>
  <c r="D220" i="19"/>
  <c r="D233" i="13"/>
  <c r="D277" i="17"/>
  <c r="D257" i="19"/>
  <c r="D240" i="13"/>
  <c r="D148" i="17"/>
  <c r="D190" i="19"/>
  <c r="D191" i="13"/>
  <c r="D177" i="17"/>
  <c r="D77" i="19"/>
  <c r="D257" i="13"/>
  <c r="D195" i="17"/>
  <c r="D251" i="19"/>
  <c r="D115" i="13"/>
  <c r="D160" i="17"/>
  <c r="D116" i="19"/>
  <c r="D80" i="13"/>
  <c r="D133" i="17"/>
  <c r="D108" i="19"/>
  <c r="D24" i="13"/>
  <c r="D262" i="17"/>
  <c r="D233" i="19"/>
  <c r="D232" i="13"/>
  <c r="D117" i="17"/>
  <c r="D178" i="19"/>
  <c r="D229" i="13"/>
  <c r="D218" i="17"/>
  <c r="D282" i="19"/>
  <c r="D210" i="13"/>
  <c r="D256" i="17"/>
  <c r="D247" i="19"/>
  <c r="D156" i="13"/>
  <c r="D174" i="17"/>
  <c r="D219" i="19"/>
  <c r="D247" i="13"/>
  <c r="D146" i="17"/>
  <c r="D185" i="19"/>
  <c r="D200" i="13"/>
  <c r="D182" i="17"/>
  <c r="D11" i="19"/>
  <c r="D46" i="13"/>
  <c r="D191" i="17"/>
  <c r="D244" i="19"/>
  <c r="D98" i="13"/>
  <c r="D245" i="17"/>
  <c r="D21" i="19"/>
  <c r="D181" i="13"/>
  <c r="D114" i="17"/>
  <c r="D211" i="19"/>
  <c r="D186" i="13"/>
  <c r="D188" i="17"/>
  <c r="D65" i="19"/>
  <c r="D282" i="13"/>
  <c r="D134" i="17"/>
  <c r="D113" i="19"/>
  <c r="D189" i="13"/>
  <c r="D305" i="17"/>
  <c r="D29" i="19"/>
  <c r="D307" i="13"/>
  <c r="D228" i="17"/>
  <c r="D54" i="19"/>
  <c r="D270" i="13"/>
  <c r="D301" i="17"/>
  <c r="D26" i="19"/>
  <c r="D58" i="13"/>
  <c r="D73" i="17"/>
  <c r="D136" i="19"/>
  <c r="D185" i="13"/>
  <c r="D275" i="17"/>
  <c r="D237" i="19"/>
  <c r="D259" i="13"/>
  <c r="D142" i="17"/>
  <c r="D195" i="19"/>
  <c r="D57" i="13"/>
  <c r="D300" i="17"/>
  <c r="D238" i="19"/>
  <c r="D245" i="13"/>
  <c r="D181" i="17"/>
  <c r="D10" i="19"/>
  <c r="D87" i="13"/>
  <c r="D90" i="17"/>
  <c r="D73" i="19"/>
  <c r="D256" i="13"/>
  <c r="D186" i="17"/>
  <c r="D120" i="19"/>
  <c r="D286" i="13"/>
  <c r="D212" i="17"/>
  <c r="D227" i="19"/>
  <c r="D158" i="13"/>
  <c r="D159" i="17"/>
  <c r="D53" i="19"/>
  <c r="D6" i="13"/>
  <c r="D79" i="17"/>
  <c r="D191" i="19"/>
  <c r="D209" i="13"/>
  <c r="D274" i="17"/>
  <c r="D281" i="19"/>
  <c r="D110" i="13"/>
  <c r="D207" i="17"/>
  <c r="D309" i="19"/>
  <c r="D99" i="13"/>
  <c r="D84" i="17"/>
  <c r="D216" i="19"/>
  <c r="D107" i="13"/>
  <c r="D313" i="17"/>
  <c r="D306" i="19"/>
  <c r="D252" i="13"/>
  <c r="D109" i="17"/>
  <c r="D115" i="19"/>
  <c r="D143" i="13"/>
  <c r="D22" i="17"/>
  <c r="D7" i="19"/>
  <c r="D37" i="13"/>
  <c r="D205" i="17"/>
  <c r="D300" i="19"/>
  <c r="D220" i="13"/>
  <c r="D307" i="17"/>
  <c r="D249" i="19"/>
  <c r="D251" i="13"/>
  <c r="D237" i="17"/>
  <c r="D132" i="19"/>
  <c r="D139" i="13"/>
  <c r="D289" i="17"/>
  <c r="D310" i="19"/>
  <c r="D205" i="13"/>
  <c r="D259" i="17"/>
  <c r="D259" i="19"/>
  <c r="D238" i="13"/>
  <c r="D180" i="17"/>
  <c r="D14" i="19"/>
  <c r="D47" i="13"/>
  <c r="D173" i="17"/>
  <c r="D217" i="19"/>
  <c r="D204" i="13"/>
  <c r="D298" i="17"/>
  <c r="D304" i="19"/>
  <c r="D249" i="13"/>
  <c r="D41" i="17"/>
  <c r="D79" i="19"/>
  <c r="D127" i="13"/>
  <c r="D151" i="17"/>
  <c r="D19" i="19"/>
  <c r="D59" i="13"/>
  <c r="D291" i="17"/>
  <c r="D277" i="19"/>
  <c r="D82" i="13"/>
  <c r="D91" i="17"/>
  <c r="D209" i="19"/>
  <c r="D114" i="13"/>
  <c r="D223" i="17"/>
  <c r="D291" i="19"/>
  <c r="D122" i="13"/>
  <c r="D67" i="17"/>
  <c r="D161" i="19"/>
  <c r="D265" i="13"/>
  <c r="D222" i="17"/>
  <c r="D262" i="19"/>
  <c r="D217" i="13"/>
  <c r="D184" i="17"/>
  <c r="D129" i="19"/>
  <c r="D77" i="13"/>
  <c r="D239" i="17"/>
  <c r="X239" i="17" s="1"/>
  <c r="D47" i="19"/>
  <c r="D61" i="13"/>
  <c r="D27" i="17"/>
  <c r="D16" i="19"/>
  <c r="D42" i="13"/>
  <c r="D241" i="17"/>
  <c r="D28" i="19"/>
  <c r="D207" i="13"/>
  <c r="D57" i="17"/>
  <c r="D148" i="19"/>
  <c r="D236" i="13"/>
  <c r="D38" i="17"/>
  <c r="D155" i="19"/>
  <c r="D108" i="13"/>
  <c r="D221" i="17"/>
  <c r="D284" i="19"/>
  <c r="D79" i="13"/>
  <c r="D200" i="17"/>
  <c r="D280" i="19"/>
  <c r="D92" i="13"/>
  <c r="D266" i="17"/>
  <c r="D276" i="19"/>
  <c r="D71" i="13"/>
  <c r="D219" i="17"/>
  <c r="D275" i="19"/>
  <c r="D73" i="13"/>
  <c r="D257" i="17"/>
  <c r="D30" i="19"/>
  <c r="D152" i="13"/>
  <c r="D76" i="17"/>
  <c r="D75" i="19"/>
  <c r="D64" i="13"/>
  <c r="D33" i="17"/>
  <c r="D102" i="19"/>
  <c r="D67" i="13"/>
  <c r="D248" i="17"/>
  <c r="D25" i="19"/>
  <c r="D53" i="13"/>
  <c r="D66" i="17"/>
  <c r="D145" i="19"/>
  <c r="D285" i="13"/>
  <c r="D87" i="17"/>
  <c r="D192" i="19"/>
  <c r="D214" i="13"/>
  <c r="D189" i="17"/>
  <c r="D127" i="19"/>
  <c r="D301" i="13"/>
  <c r="D136" i="17"/>
  <c r="D107" i="19"/>
  <c r="D314" i="13"/>
  <c r="D172" i="17"/>
  <c r="D222" i="19"/>
  <c r="D235" i="13"/>
  <c r="D165" i="17"/>
  <c r="D119" i="19"/>
  <c r="D308" i="13"/>
  <c r="D9" i="17"/>
  <c r="D33" i="19"/>
  <c r="D12" i="13"/>
  <c r="D94" i="17"/>
  <c r="D81" i="19"/>
  <c r="D62" i="13"/>
  <c r="D199" i="17"/>
  <c r="D22" i="19"/>
  <c r="D101" i="13"/>
  <c r="D168" i="17"/>
  <c r="D221" i="19"/>
  <c r="D234" i="13"/>
  <c r="D68" i="17"/>
  <c r="D146" i="19"/>
  <c r="D197" i="13"/>
  <c r="D296" i="17"/>
  <c r="D123" i="19"/>
  <c r="D8" i="13"/>
  <c r="D40" i="17"/>
  <c r="D86" i="19"/>
  <c r="D264" i="13"/>
  <c r="D197" i="17"/>
  <c r="D24" i="19"/>
  <c r="D117" i="13"/>
  <c r="D43" i="17"/>
  <c r="D100" i="19"/>
  <c r="D274" i="13"/>
  <c r="D51" i="17"/>
  <c r="D149" i="19"/>
  <c r="D175" i="13"/>
  <c r="D268" i="17"/>
  <c r="D122" i="19"/>
  <c r="D309" i="13"/>
  <c r="D49" i="17"/>
  <c r="D167" i="19"/>
  <c r="D27" i="13"/>
  <c r="D214" i="17"/>
  <c r="D232" i="19"/>
  <c r="D212" i="13"/>
  <c r="D116" i="17"/>
  <c r="D177" i="19"/>
  <c r="D228" i="13"/>
  <c r="D25" i="17"/>
  <c r="D143" i="19"/>
  <c r="D40" i="13"/>
  <c r="D270" i="17"/>
  <c r="D121" i="19"/>
  <c r="D310" i="13"/>
  <c r="D119" i="17"/>
  <c r="D183" i="19"/>
  <c r="D224" i="13"/>
  <c r="D145" i="17"/>
  <c r="X145" i="17" s="1"/>
  <c r="D105" i="19"/>
  <c r="D290" i="13"/>
  <c r="D264" i="17"/>
  <c r="D274" i="19"/>
  <c r="D75" i="13"/>
  <c r="D255" i="17"/>
  <c r="D293" i="19"/>
  <c r="D208" i="13"/>
  <c r="D101" i="17"/>
  <c r="D60" i="19"/>
  <c r="D273" i="13"/>
  <c r="D187" i="17"/>
  <c r="D45" i="19"/>
  <c r="D281" i="13"/>
  <c r="D143" i="17"/>
  <c r="D184" i="19"/>
  <c r="D253" i="13"/>
  <c r="D175" i="17"/>
  <c r="D92" i="19"/>
  <c r="D291" i="13"/>
  <c r="D6" i="17"/>
  <c r="D36" i="19"/>
  <c r="D26" i="13"/>
  <c r="D5" i="17"/>
  <c r="X5" i="17" s="1"/>
  <c r="D35" i="19"/>
  <c r="D135" i="13"/>
  <c r="D75" i="17"/>
  <c r="D15" i="19"/>
  <c r="D304" i="13"/>
  <c r="D230" i="17"/>
  <c r="D68" i="19"/>
  <c r="D16" i="13"/>
  <c r="D112" i="17"/>
  <c r="D18" i="19"/>
  <c r="D165" i="13"/>
  <c r="D294" i="17"/>
  <c r="D5" i="19"/>
  <c r="D266" i="13"/>
  <c r="D46" i="17"/>
  <c r="D58" i="19"/>
  <c r="D35" i="13"/>
  <c r="D7" i="17"/>
  <c r="D63" i="19"/>
  <c r="D86" i="13"/>
  <c r="D254" i="17"/>
  <c r="D312" i="19"/>
  <c r="D174" i="13"/>
  <c r="D150" i="17"/>
  <c r="X150" i="17" s="1"/>
  <c r="D173" i="19"/>
  <c r="D179" i="13"/>
  <c r="D80" i="17"/>
  <c r="D171" i="19"/>
  <c r="D112" i="13"/>
  <c r="D170" i="17"/>
  <c r="X170" i="17" s="1"/>
  <c r="D226" i="19"/>
  <c r="D78" i="13"/>
  <c r="D141" i="17"/>
  <c r="D206" i="19"/>
  <c r="D193" i="13"/>
  <c r="D286" i="17"/>
  <c r="D270" i="19"/>
  <c r="D195" i="13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G30" i="7"/>
  <c r="BG31" i="7"/>
  <c r="BG32" i="7"/>
  <c r="BG33" i="7"/>
  <c r="BG34" i="7"/>
  <c r="BG35" i="7"/>
  <c r="BG36" i="7"/>
  <c r="BG37" i="7"/>
  <c r="BG38" i="7"/>
  <c r="BG39" i="7"/>
  <c r="BG40" i="7"/>
  <c r="BG41" i="7"/>
  <c r="BG42" i="7"/>
  <c r="BG43" i="7"/>
  <c r="BG44" i="7"/>
  <c r="BG45" i="7"/>
  <c r="BG46" i="7"/>
  <c r="BG47" i="7"/>
  <c r="BG48" i="7"/>
  <c r="BG49" i="7"/>
  <c r="BG50" i="7"/>
  <c r="BG51" i="7"/>
  <c r="BG52" i="7"/>
  <c r="BG53" i="7"/>
  <c r="BG54" i="7"/>
  <c r="BG55" i="7"/>
  <c r="BG56" i="7"/>
  <c r="BG57" i="7"/>
  <c r="BG58" i="7"/>
  <c r="BG59" i="7"/>
  <c r="BG60" i="7"/>
  <c r="BG61" i="7"/>
  <c r="BG62" i="7"/>
  <c r="BG63" i="7"/>
  <c r="BG64" i="7"/>
  <c r="BG65" i="7"/>
  <c r="BG66" i="7"/>
  <c r="BG67" i="7"/>
  <c r="BG68" i="7"/>
  <c r="BG69" i="7"/>
  <c r="BG70" i="7"/>
  <c r="BG71" i="7"/>
  <c r="BG72" i="7"/>
  <c r="BG73" i="7"/>
  <c r="BG74" i="7"/>
  <c r="BG75" i="7"/>
  <c r="BG76" i="7"/>
  <c r="BG77" i="7"/>
  <c r="BG78" i="7"/>
  <c r="BG79" i="7"/>
  <c r="BG80" i="7"/>
  <c r="BG81" i="7"/>
  <c r="BG82" i="7"/>
  <c r="BG83" i="7"/>
  <c r="BG84" i="7"/>
  <c r="BG85" i="7"/>
  <c r="BG86" i="7"/>
  <c r="BG87" i="7"/>
  <c r="BG88" i="7"/>
  <c r="BG89" i="7"/>
  <c r="BG90" i="7"/>
  <c r="BG91" i="7"/>
  <c r="BG92" i="7"/>
  <c r="BG93" i="7"/>
  <c r="BG94" i="7"/>
  <c r="BG95" i="7"/>
  <c r="BG96" i="7"/>
  <c r="BG97" i="7"/>
  <c r="BG98" i="7"/>
  <c r="BG99" i="7"/>
  <c r="BG100" i="7"/>
  <c r="BG101" i="7"/>
  <c r="BG102" i="7"/>
  <c r="BG103" i="7"/>
  <c r="BG104" i="7"/>
  <c r="BG105" i="7"/>
  <c r="BG106" i="7"/>
  <c r="BG107" i="7"/>
  <c r="BG108" i="7"/>
  <c r="BG109" i="7"/>
  <c r="BG110" i="7"/>
  <c r="BG111" i="7"/>
  <c r="BG112" i="7"/>
  <c r="BG113" i="7"/>
  <c r="BG114" i="7"/>
  <c r="BG115" i="7"/>
  <c r="BG116" i="7"/>
  <c r="BG117" i="7"/>
  <c r="BG118" i="7"/>
  <c r="BG119" i="7"/>
  <c r="BG120" i="7"/>
  <c r="BG121" i="7"/>
  <c r="BG122" i="7"/>
  <c r="BG123" i="7"/>
  <c r="BG124" i="7"/>
  <c r="BG125" i="7"/>
  <c r="BG126" i="7"/>
  <c r="BG127" i="7"/>
  <c r="BG128" i="7"/>
  <c r="BG129" i="7"/>
  <c r="BG130" i="7"/>
  <c r="BG131" i="7"/>
  <c r="BG132" i="7"/>
  <c r="BG133" i="7"/>
  <c r="BG134" i="7"/>
  <c r="BG135" i="7"/>
  <c r="BG136" i="7"/>
  <c r="BG137" i="7"/>
  <c r="BG138" i="7"/>
  <c r="BG139" i="7"/>
  <c r="BG140" i="7"/>
  <c r="BG141" i="7"/>
  <c r="BG142" i="7"/>
  <c r="BG143" i="7"/>
  <c r="BG144" i="7"/>
  <c r="BG145" i="7"/>
  <c r="BG146" i="7"/>
  <c r="BG147" i="7"/>
  <c r="BG148" i="7"/>
  <c r="BG149" i="7"/>
  <c r="BG150" i="7"/>
  <c r="BG151" i="7"/>
  <c r="BG152" i="7"/>
  <c r="BG153" i="7"/>
  <c r="BG154" i="7"/>
  <c r="BG155" i="7"/>
  <c r="BG156" i="7"/>
  <c r="BG157" i="7"/>
  <c r="BG158" i="7"/>
  <c r="BG159" i="7"/>
  <c r="BG160" i="7"/>
  <c r="BG161" i="7"/>
  <c r="BG162" i="7"/>
  <c r="BG163" i="7"/>
  <c r="BG164" i="7"/>
  <c r="BG165" i="7"/>
  <c r="BG166" i="7"/>
  <c r="BG167" i="7"/>
  <c r="BG168" i="7"/>
  <c r="BG169" i="7"/>
  <c r="BG170" i="7"/>
  <c r="BG171" i="7"/>
  <c r="BG172" i="7"/>
  <c r="BG173" i="7"/>
  <c r="BG174" i="7"/>
  <c r="BG175" i="7"/>
  <c r="BG176" i="7"/>
  <c r="BG177" i="7"/>
  <c r="BG178" i="7"/>
  <c r="BG179" i="7"/>
  <c r="BG180" i="7"/>
  <c r="BG181" i="7"/>
  <c r="BG182" i="7"/>
  <c r="BG183" i="7"/>
  <c r="BG184" i="7"/>
  <c r="BG185" i="7"/>
  <c r="BG186" i="7"/>
  <c r="BG187" i="7"/>
  <c r="BG188" i="7"/>
  <c r="BG189" i="7"/>
  <c r="BG190" i="7"/>
  <c r="BG191" i="7"/>
  <c r="BG192" i="7"/>
  <c r="BG193" i="7"/>
  <c r="BG194" i="7"/>
  <c r="BG195" i="7"/>
  <c r="BG196" i="7"/>
  <c r="BG197" i="7"/>
  <c r="BG198" i="7"/>
  <c r="BG199" i="7"/>
  <c r="BG200" i="7"/>
  <c r="BG201" i="7"/>
  <c r="BG202" i="7"/>
  <c r="BG203" i="7"/>
  <c r="BG204" i="7"/>
  <c r="BG205" i="7"/>
  <c r="BG206" i="7"/>
  <c r="BG207" i="7"/>
  <c r="BG208" i="7"/>
  <c r="BG209" i="7"/>
  <c r="BG210" i="7"/>
  <c r="BG211" i="7"/>
  <c r="BG212" i="7"/>
  <c r="BG213" i="7"/>
  <c r="BG214" i="7"/>
  <c r="BG215" i="7"/>
  <c r="BG216" i="7"/>
  <c r="BG217" i="7"/>
  <c r="BG218" i="7"/>
  <c r="BG219" i="7"/>
  <c r="BG220" i="7"/>
  <c r="BG221" i="7"/>
  <c r="BG222" i="7"/>
  <c r="BG223" i="7"/>
  <c r="BG224" i="7"/>
  <c r="BG225" i="7"/>
  <c r="BG226" i="7"/>
  <c r="BG227" i="7"/>
  <c r="BG228" i="7"/>
  <c r="BG229" i="7"/>
  <c r="BG230" i="7"/>
  <c r="BG231" i="7"/>
  <c r="BG232" i="7"/>
  <c r="BG233" i="7"/>
  <c r="BG234" i="7"/>
  <c r="BG235" i="7"/>
  <c r="BG236" i="7"/>
  <c r="BG237" i="7"/>
  <c r="BG238" i="7"/>
  <c r="BG239" i="7"/>
  <c r="BG240" i="7"/>
  <c r="BG241" i="7"/>
  <c r="BG242" i="7"/>
  <c r="BG243" i="7"/>
  <c r="BG244" i="7"/>
  <c r="BG245" i="7"/>
  <c r="BG246" i="7"/>
  <c r="BG247" i="7"/>
  <c r="BG248" i="7"/>
  <c r="BG249" i="7"/>
  <c r="BG250" i="7"/>
  <c r="BG251" i="7"/>
  <c r="BG252" i="7"/>
  <c r="BG253" i="7"/>
  <c r="BG254" i="7"/>
  <c r="BG255" i="7"/>
  <c r="BG256" i="7"/>
  <c r="BG257" i="7"/>
  <c r="BG258" i="7"/>
  <c r="BG259" i="7"/>
  <c r="BG260" i="7"/>
  <c r="BG261" i="7"/>
  <c r="BG262" i="7"/>
  <c r="BG263" i="7"/>
  <c r="BG264" i="7"/>
  <c r="BG265" i="7"/>
  <c r="BG266" i="7"/>
  <c r="BG267" i="7"/>
  <c r="BG268" i="7"/>
  <c r="BG269" i="7"/>
  <c r="BG270" i="7"/>
  <c r="BG271" i="7"/>
  <c r="BG272" i="7"/>
  <c r="BG273" i="7"/>
  <c r="BG274" i="7"/>
  <c r="BG275" i="7"/>
  <c r="BG276" i="7"/>
  <c r="BG277" i="7"/>
  <c r="BG278" i="7"/>
  <c r="BG279" i="7"/>
  <c r="BG280" i="7"/>
  <c r="BG281" i="7"/>
  <c r="BG282" i="7"/>
  <c r="BG283" i="7"/>
  <c r="BG284" i="7"/>
  <c r="BG285" i="7"/>
  <c r="BG286" i="7"/>
  <c r="BG287" i="7"/>
  <c r="BG288" i="7"/>
  <c r="BG289" i="7"/>
  <c r="BG290" i="7"/>
  <c r="BG291" i="7"/>
  <c r="BG292" i="7"/>
  <c r="BG293" i="7"/>
  <c r="BG294" i="7"/>
  <c r="BG295" i="7"/>
  <c r="BG296" i="7"/>
  <c r="BG297" i="7"/>
  <c r="BG298" i="7"/>
  <c r="BG299" i="7"/>
  <c r="BG300" i="7"/>
  <c r="BG301" i="7"/>
  <c r="BG302" i="7"/>
  <c r="BG303" i="7"/>
  <c r="BG304" i="7"/>
  <c r="BG305" i="7"/>
  <c r="BG306" i="7"/>
  <c r="BG307" i="7"/>
  <c r="BG308" i="7"/>
  <c r="BG309" i="7"/>
  <c r="BG310" i="7"/>
  <c r="BG311" i="7"/>
  <c r="BG312" i="7"/>
  <c r="BG313" i="7"/>
  <c r="BG314" i="7"/>
  <c r="BG315" i="7"/>
  <c r="BG316" i="7"/>
  <c r="BG317" i="7"/>
  <c r="BG318" i="7"/>
  <c r="BG319" i="7"/>
  <c r="BG320" i="7"/>
  <c r="BG321" i="7"/>
  <c r="BG322" i="7"/>
  <c r="BG323" i="7"/>
  <c r="BG324" i="7"/>
  <c r="BG325" i="7"/>
  <c r="BF6" i="7"/>
  <c r="BF7" i="7"/>
  <c r="BF8" i="7"/>
  <c r="BF9" i="7"/>
  <c r="BF10" i="7"/>
  <c r="BF11" i="7"/>
  <c r="BF12" i="7"/>
  <c r="BF13" i="7"/>
  <c r="BF14" i="7"/>
  <c r="BF15" i="7"/>
  <c r="BF16" i="7"/>
  <c r="BF17" i="7"/>
  <c r="BF18" i="7"/>
  <c r="BF19" i="7"/>
  <c r="BF20" i="7"/>
  <c r="BF21" i="7"/>
  <c r="BF22" i="7"/>
  <c r="BF23" i="7"/>
  <c r="BF24" i="7"/>
  <c r="BF25" i="7"/>
  <c r="BF26" i="7"/>
  <c r="BF27" i="7"/>
  <c r="BF28" i="7"/>
  <c r="BF29" i="7"/>
  <c r="BF30" i="7"/>
  <c r="BF31" i="7"/>
  <c r="BF32" i="7"/>
  <c r="BF33" i="7"/>
  <c r="BF34" i="7"/>
  <c r="BF35" i="7"/>
  <c r="BF36" i="7"/>
  <c r="BF37" i="7"/>
  <c r="BF38" i="7"/>
  <c r="BF39" i="7"/>
  <c r="BF40" i="7"/>
  <c r="BF41" i="7"/>
  <c r="BF42" i="7"/>
  <c r="BF43" i="7"/>
  <c r="BF44" i="7"/>
  <c r="BF45" i="7"/>
  <c r="BF46" i="7"/>
  <c r="BF47" i="7"/>
  <c r="BF48" i="7"/>
  <c r="BF49" i="7"/>
  <c r="BF50" i="7"/>
  <c r="BF51" i="7"/>
  <c r="BF52" i="7"/>
  <c r="BF53" i="7"/>
  <c r="BF54" i="7"/>
  <c r="BF55" i="7"/>
  <c r="BF56" i="7"/>
  <c r="BF57" i="7"/>
  <c r="BF58" i="7"/>
  <c r="BF59" i="7"/>
  <c r="BF60" i="7"/>
  <c r="BF61" i="7"/>
  <c r="BF62" i="7"/>
  <c r="BF63" i="7"/>
  <c r="BF64" i="7"/>
  <c r="BF65" i="7"/>
  <c r="BF66" i="7"/>
  <c r="BF67" i="7"/>
  <c r="BF68" i="7"/>
  <c r="BF69" i="7"/>
  <c r="BF70" i="7"/>
  <c r="BF71" i="7"/>
  <c r="BF72" i="7"/>
  <c r="BF73" i="7"/>
  <c r="BF74" i="7"/>
  <c r="BF75" i="7"/>
  <c r="BF76" i="7"/>
  <c r="BF77" i="7"/>
  <c r="BF78" i="7"/>
  <c r="BF79" i="7"/>
  <c r="BF80" i="7"/>
  <c r="BF81" i="7"/>
  <c r="BF82" i="7"/>
  <c r="BF83" i="7"/>
  <c r="BF84" i="7"/>
  <c r="BF85" i="7"/>
  <c r="BF86" i="7"/>
  <c r="BF87" i="7"/>
  <c r="BF88" i="7"/>
  <c r="BF89" i="7"/>
  <c r="BF90" i="7"/>
  <c r="BF91" i="7"/>
  <c r="BF92" i="7"/>
  <c r="BF93" i="7"/>
  <c r="BF94" i="7"/>
  <c r="BF95" i="7"/>
  <c r="BF96" i="7"/>
  <c r="BF97" i="7"/>
  <c r="BF98" i="7"/>
  <c r="BF99" i="7"/>
  <c r="BF100" i="7"/>
  <c r="BF101" i="7"/>
  <c r="BF102" i="7"/>
  <c r="BF103" i="7"/>
  <c r="BF104" i="7"/>
  <c r="BF105" i="7"/>
  <c r="BF106" i="7"/>
  <c r="BF107" i="7"/>
  <c r="BF108" i="7"/>
  <c r="BF109" i="7"/>
  <c r="BF110" i="7"/>
  <c r="BF111" i="7"/>
  <c r="BF112" i="7"/>
  <c r="BF113" i="7"/>
  <c r="BF114" i="7"/>
  <c r="BF115" i="7"/>
  <c r="BF116" i="7"/>
  <c r="BF117" i="7"/>
  <c r="BF118" i="7"/>
  <c r="BF119" i="7"/>
  <c r="BF120" i="7"/>
  <c r="BF121" i="7"/>
  <c r="BF122" i="7"/>
  <c r="BF123" i="7"/>
  <c r="BF124" i="7"/>
  <c r="BF125" i="7"/>
  <c r="BF126" i="7"/>
  <c r="BF127" i="7"/>
  <c r="BF128" i="7"/>
  <c r="BF129" i="7"/>
  <c r="BF130" i="7"/>
  <c r="BF131" i="7"/>
  <c r="BF132" i="7"/>
  <c r="BF133" i="7"/>
  <c r="BF134" i="7"/>
  <c r="BF135" i="7"/>
  <c r="BF136" i="7"/>
  <c r="BF137" i="7"/>
  <c r="BF138" i="7"/>
  <c r="BF139" i="7"/>
  <c r="BF140" i="7"/>
  <c r="BF141" i="7"/>
  <c r="BF142" i="7"/>
  <c r="BF143" i="7"/>
  <c r="BF144" i="7"/>
  <c r="BF145" i="7"/>
  <c r="BF146" i="7"/>
  <c r="BF147" i="7"/>
  <c r="BF148" i="7"/>
  <c r="BF149" i="7"/>
  <c r="BF150" i="7"/>
  <c r="BF151" i="7"/>
  <c r="BF152" i="7"/>
  <c r="BF153" i="7"/>
  <c r="BF154" i="7"/>
  <c r="BF155" i="7"/>
  <c r="BF156" i="7"/>
  <c r="BF157" i="7"/>
  <c r="BF158" i="7"/>
  <c r="BF159" i="7"/>
  <c r="BF160" i="7"/>
  <c r="BF161" i="7"/>
  <c r="BF162" i="7"/>
  <c r="BF163" i="7"/>
  <c r="BF164" i="7"/>
  <c r="BF165" i="7"/>
  <c r="BF166" i="7"/>
  <c r="BF167" i="7"/>
  <c r="BF168" i="7"/>
  <c r="BF169" i="7"/>
  <c r="BF170" i="7"/>
  <c r="BF171" i="7"/>
  <c r="BF172" i="7"/>
  <c r="BF173" i="7"/>
  <c r="BF174" i="7"/>
  <c r="BF175" i="7"/>
  <c r="BF176" i="7"/>
  <c r="BF177" i="7"/>
  <c r="BF178" i="7"/>
  <c r="BF179" i="7"/>
  <c r="BF180" i="7"/>
  <c r="BF181" i="7"/>
  <c r="BF182" i="7"/>
  <c r="BF183" i="7"/>
  <c r="BF184" i="7"/>
  <c r="BF185" i="7"/>
  <c r="BF186" i="7"/>
  <c r="BF187" i="7"/>
  <c r="BF188" i="7"/>
  <c r="BF189" i="7"/>
  <c r="BF190" i="7"/>
  <c r="BF191" i="7"/>
  <c r="BF192" i="7"/>
  <c r="BF193" i="7"/>
  <c r="BF194" i="7"/>
  <c r="BF195" i="7"/>
  <c r="BF196" i="7"/>
  <c r="BF197" i="7"/>
  <c r="BF198" i="7"/>
  <c r="BF199" i="7"/>
  <c r="BF200" i="7"/>
  <c r="BF201" i="7"/>
  <c r="BF202" i="7"/>
  <c r="BF203" i="7"/>
  <c r="BF204" i="7"/>
  <c r="BF205" i="7"/>
  <c r="BF206" i="7"/>
  <c r="BF207" i="7"/>
  <c r="BF208" i="7"/>
  <c r="BF209" i="7"/>
  <c r="BF210" i="7"/>
  <c r="BF211" i="7"/>
  <c r="BF212" i="7"/>
  <c r="BF213" i="7"/>
  <c r="BF214" i="7"/>
  <c r="BF215" i="7"/>
  <c r="BF216" i="7"/>
  <c r="BF217" i="7"/>
  <c r="BF218" i="7"/>
  <c r="BF219" i="7"/>
  <c r="BF220" i="7"/>
  <c r="BF221" i="7"/>
  <c r="BF222" i="7"/>
  <c r="BF223" i="7"/>
  <c r="BF224" i="7"/>
  <c r="BF225" i="7"/>
  <c r="BF226" i="7"/>
  <c r="BF227" i="7"/>
  <c r="BF228" i="7"/>
  <c r="BF229" i="7"/>
  <c r="BF230" i="7"/>
  <c r="BF231" i="7"/>
  <c r="BF232" i="7"/>
  <c r="BF233" i="7"/>
  <c r="BF234" i="7"/>
  <c r="BF235" i="7"/>
  <c r="BF236" i="7"/>
  <c r="BF237" i="7"/>
  <c r="BF238" i="7"/>
  <c r="BF239" i="7"/>
  <c r="BF240" i="7"/>
  <c r="BF241" i="7"/>
  <c r="BF242" i="7"/>
  <c r="BF243" i="7"/>
  <c r="BF244" i="7"/>
  <c r="BF245" i="7"/>
  <c r="BF246" i="7"/>
  <c r="BF247" i="7"/>
  <c r="BF248" i="7"/>
  <c r="BF249" i="7"/>
  <c r="BF250" i="7"/>
  <c r="BF251" i="7"/>
  <c r="BF252" i="7"/>
  <c r="BF253" i="7"/>
  <c r="BF254" i="7"/>
  <c r="BF255" i="7"/>
  <c r="BF256" i="7"/>
  <c r="BF257" i="7"/>
  <c r="BF258" i="7"/>
  <c r="BF259" i="7"/>
  <c r="BF260" i="7"/>
  <c r="BF261" i="7"/>
  <c r="BF262" i="7"/>
  <c r="BF263" i="7"/>
  <c r="BF264" i="7"/>
  <c r="BF265" i="7"/>
  <c r="BF266" i="7"/>
  <c r="BF267" i="7"/>
  <c r="BF268" i="7"/>
  <c r="BF269" i="7"/>
  <c r="BF270" i="7"/>
  <c r="BF271" i="7"/>
  <c r="BF272" i="7"/>
  <c r="BF273" i="7"/>
  <c r="BF274" i="7"/>
  <c r="BF275" i="7"/>
  <c r="BF276" i="7"/>
  <c r="BF277" i="7"/>
  <c r="BF278" i="7"/>
  <c r="BF279" i="7"/>
  <c r="BF280" i="7"/>
  <c r="BF281" i="7"/>
  <c r="BF282" i="7"/>
  <c r="BF283" i="7"/>
  <c r="BF284" i="7"/>
  <c r="BF285" i="7"/>
  <c r="BF286" i="7"/>
  <c r="BF287" i="7"/>
  <c r="BF288" i="7"/>
  <c r="BF289" i="7"/>
  <c r="BF290" i="7"/>
  <c r="BF291" i="7"/>
  <c r="BF292" i="7"/>
  <c r="BF293" i="7"/>
  <c r="BF294" i="7"/>
  <c r="BF295" i="7"/>
  <c r="BF296" i="7"/>
  <c r="BF297" i="7"/>
  <c r="BF298" i="7"/>
  <c r="BF299" i="7"/>
  <c r="BF300" i="7"/>
  <c r="BF301" i="7"/>
  <c r="BF302" i="7"/>
  <c r="BF303" i="7"/>
  <c r="BF304" i="7"/>
  <c r="BF305" i="7"/>
  <c r="BF306" i="7"/>
  <c r="BF307" i="7"/>
  <c r="BF308" i="7"/>
  <c r="BF309" i="7"/>
  <c r="BF310" i="7"/>
  <c r="BF311" i="7"/>
  <c r="BF312" i="7"/>
  <c r="BF313" i="7"/>
  <c r="BF314" i="7"/>
  <c r="BF315" i="7"/>
  <c r="BF316" i="7"/>
  <c r="BF317" i="7"/>
  <c r="BF318" i="7"/>
  <c r="BF319" i="7"/>
  <c r="BF320" i="7"/>
  <c r="BF321" i="7"/>
  <c r="BF322" i="7"/>
  <c r="BF323" i="7"/>
  <c r="BF324" i="7"/>
  <c r="BF325" i="7"/>
  <c r="BD6" i="7"/>
  <c r="BD7" i="7"/>
  <c r="BD8" i="7"/>
  <c r="BD9" i="7"/>
  <c r="BD10" i="7"/>
  <c r="BD11" i="7"/>
  <c r="BD12" i="7"/>
  <c r="BD13" i="7"/>
  <c r="BD14" i="7"/>
  <c r="BD15" i="7"/>
  <c r="BD16" i="7"/>
  <c r="BD17" i="7"/>
  <c r="BD18" i="7"/>
  <c r="BD19" i="7"/>
  <c r="BD20" i="7"/>
  <c r="BD21" i="7"/>
  <c r="BD22" i="7"/>
  <c r="BD23" i="7"/>
  <c r="BD24" i="7"/>
  <c r="BD25" i="7"/>
  <c r="BD26" i="7"/>
  <c r="BD27" i="7"/>
  <c r="BD28" i="7"/>
  <c r="BD29" i="7"/>
  <c r="BD30" i="7"/>
  <c r="BD31" i="7"/>
  <c r="BD32" i="7"/>
  <c r="BD33" i="7"/>
  <c r="BD34" i="7"/>
  <c r="BD35" i="7"/>
  <c r="BD36" i="7"/>
  <c r="BD37" i="7"/>
  <c r="BD38" i="7"/>
  <c r="BD39" i="7"/>
  <c r="BD40" i="7"/>
  <c r="BD41" i="7"/>
  <c r="BD42" i="7"/>
  <c r="BD43" i="7"/>
  <c r="BD44" i="7"/>
  <c r="BD45" i="7"/>
  <c r="BD46" i="7"/>
  <c r="BD47" i="7"/>
  <c r="BD48" i="7"/>
  <c r="BD49" i="7"/>
  <c r="BD50" i="7"/>
  <c r="BD51" i="7"/>
  <c r="BD52" i="7"/>
  <c r="BD53" i="7"/>
  <c r="BD54" i="7"/>
  <c r="BD55" i="7"/>
  <c r="BD56" i="7"/>
  <c r="BD57" i="7"/>
  <c r="BD58" i="7"/>
  <c r="BD59" i="7"/>
  <c r="BD60" i="7"/>
  <c r="BD61" i="7"/>
  <c r="BD62" i="7"/>
  <c r="BD63" i="7"/>
  <c r="BD64" i="7"/>
  <c r="BD65" i="7"/>
  <c r="BD66" i="7"/>
  <c r="BD67" i="7"/>
  <c r="BD68" i="7"/>
  <c r="BD69" i="7"/>
  <c r="BD70" i="7"/>
  <c r="BD71" i="7"/>
  <c r="BD72" i="7"/>
  <c r="BD73" i="7"/>
  <c r="BD74" i="7"/>
  <c r="BD75" i="7"/>
  <c r="BD76" i="7"/>
  <c r="BD77" i="7"/>
  <c r="BD78" i="7"/>
  <c r="BD79" i="7"/>
  <c r="BD80" i="7"/>
  <c r="BD81" i="7"/>
  <c r="BD82" i="7"/>
  <c r="BD83" i="7"/>
  <c r="BD84" i="7"/>
  <c r="BD85" i="7"/>
  <c r="BD86" i="7"/>
  <c r="BD87" i="7"/>
  <c r="BD88" i="7"/>
  <c r="BD89" i="7"/>
  <c r="BD90" i="7"/>
  <c r="BD91" i="7"/>
  <c r="BD92" i="7"/>
  <c r="BD93" i="7"/>
  <c r="BD94" i="7"/>
  <c r="BD95" i="7"/>
  <c r="BD96" i="7"/>
  <c r="BD97" i="7"/>
  <c r="BD98" i="7"/>
  <c r="BD99" i="7"/>
  <c r="BD100" i="7"/>
  <c r="BD101" i="7"/>
  <c r="BD102" i="7"/>
  <c r="BD103" i="7"/>
  <c r="BD104" i="7"/>
  <c r="BD105" i="7"/>
  <c r="BD106" i="7"/>
  <c r="BD107" i="7"/>
  <c r="BD108" i="7"/>
  <c r="BD109" i="7"/>
  <c r="BD110" i="7"/>
  <c r="BD111" i="7"/>
  <c r="BD112" i="7"/>
  <c r="BD113" i="7"/>
  <c r="BD114" i="7"/>
  <c r="BD115" i="7"/>
  <c r="BD116" i="7"/>
  <c r="BD117" i="7"/>
  <c r="BD118" i="7"/>
  <c r="BD119" i="7"/>
  <c r="BD120" i="7"/>
  <c r="BD121" i="7"/>
  <c r="BD122" i="7"/>
  <c r="BD123" i="7"/>
  <c r="BD124" i="7"/>
  <c r="BD125" i="7"/>
  <c r="BD126" i="7"/>
  <c r="BD127" i="7"/>
  <c r="BD128" i="7"/>
  <c r="BD129" i="7"/>
  <c r="BD130" i="7"/>
  <c r="BD131" i="7"/>
  <c r="BD132" i="7"/>
  <c r="BD133" i="7"/>
  <c r="BD134" i="7"/>
  <c r="BD135" i="7"/>
  <c r="BD136" i="7"/>
  <c r="BD137" i="7"/>
  <c r="BD138" i="7"/>
  <c r="BD139" i="7"/>
  <c r="BD140" i="7"/>
  <c r="BD141" i="7"/>
  <c r="BD142" i="7"/>
  <c r="BD143" i="7"/>
  <c r="BD144" i="7"/>
  <c r="BD145" i="7"/>
  <c r="BD146" i="7"/>
  <c r="BD147" i="7"/>
  <c r="BD148" i="7"/>
  <c r="BD149" i="7"/>
  <c r="BD150" i="7"/>
  <c r="BD151" i="7"/>
  <c r="BD152" i="7"/>
  <c r="BD153" i="7"/>
  <c r="BD154" i="7"/>
  <c r="BD155" i="7"/>
  <c r="BD156" i="7"/>
  <c r="BD157" i="7"/>
  <c r="BD158" i="7"/>
  <c r="BD159" i="7"/>
  <c r="BD160" i="7"/>
  <c r="BD161" i="7"/>
  <c r="BD162" i="7"/>
  <c r="BD163" i="7"/>
  <c r="BD164" i="7"/>
  <c r="BD165" i="7"/>
  <c r="BD166" i="7"/>
  <c r="BD167" i="7"/>
  <c r="BD168" i="7"/>
  <c r="BD169" i="7"/>
  <c r="BD170" i="7"/>
  <c r="BD171" i="7"/>
  <c r="BD172" i="7"/>
  <c r="BD173" i="7"/>
  <c r="BD174" i="7"/>
  <c r="BD175" i="7"/>
  <c r="BD176" i="7"/>
  <c r="BD177" i="7"/>
  <c r="BD178" i="7"/>
  <c r="BD179" i="7"/>
  <c r="BD180" i="7"/>
  <c r="BD181" i="7"/>
  <c r="BD182" i="7"/>
  <c r="BD183" i="7"/>
  <c r="BD184" i="7"/>
  <c r="BD185" i="7"/>
  <c r="BD186" i="7"/>
  <c r="BD187" i="7"/>
  <c r="BD188" i="7"/>
  <c r="BD189" i="7"/>
  <c r="BD190" i="7"/>
  <c r="BD191" i="7"/>
  <c r="BD192" i="7"/>
  <c r="BD193" i="7"/>
  <c r="BD194" i="7"/>
  <c r="BD195" i="7"/>
  <c r="BD196" i="7"/>
  <c r="BD197" i="7"/>
  <c r="BD198" i="7"/>
  <c r="BD199" i="7"/>
  <c r="BD200" i="7"/>
  <c r="BD201" i="7"/>
  <c r="BD202" i="7"/>
  <c r="BD203" i="7"/>
  <c r="BD204" i="7"/>
  <c r="BD205" i="7"/>
  <c r="BD206" i="7"/>
  <c r="BD207" i="7"/>
  <c r="BD208" i="7"/>
  <c r="BD209" i="7"/>
  <c r="BD210" i="7"/>
  <c r="BD211" i="7"/>
  <c r="BD212" i="7"/>
  <c r="BD213" i="7"/>
  <c r="BD214" i="7"/>
  <c r="BD215" i="7"/>
  <c r="BD216" i="7"/>
  <c r="BD217" i="7"/>
  <c r="BD218" i="7"/>
  <c r="BD219" i="7"/>
  <c r="BD220" i="7"/>
  <c r="BD221" i="7"/>
  <c r="BD222" i="7"/>
  <c r="BD223" i="7"/>
  <c r="BD224" i="7"/>
  <c r="BD225" i="7"/>
  <c r="BD226" i="7"/>
  <c r="BD227" i="7"/>
  <c r="BD228" i="7"/>
  <c r="BD229" i="7"/>
  <c r="BD230" i="7"/>
  <c r="BD231" i="7"/>
  <c r="BD232" i="7"/>
  <c r="BD233" i="7"/>
  <c r="BD234" i="7"/>
  <c r="BD235" i="7"/>
  <c r="BD236" i="7"/>
  <c r="BD237" i="7"/>
  <c r="BD238" i="7"/>
  <c r="BD239" i="7"/>
  <c r="BD240" i="7"/>
  <c r="BD241" i="7"/>
  <c r="BD242" i="7"/>
  <c r="BD243" i="7"/>
  <c r="BD244" i="7"/>
  <c r="BD245" i="7"/>
  <c r="BD246" i="7"/>
  <c r="BD247" i="7"/>
  <c r="BD248" i="7"/>
  <c r="BD249" i="7"/>
  <c r="BD250" i="7"/>
  <c r="BD251" i="7"/>
  <c r="BD252" i="7"/>
  <c r="BD253" i="7"/>
  <c r="BD254" i="7"/>
  <c r="BD255" i="7"/>
  <c r="BD256" i="7"/>
  <c r="BD257" i="7"/>
  <c r="BD258" i="7"/>
  <c r="BD259" i="7"/>
  <c r="BD260" i="7"/>
  <c r="BD261" i="7"/>
  <c r="BD262" i="7"/>
  <c r="BD263" i="7"/>
  <c r="BD264" i="7"/>
  <c r="BD265" i="7"/>
  <c r="BD266" i="7"/>
  <c r="BD267" i="7"/>
  <c r="BD268" i="7"/>
  <c r="BD269" i="7"/>
  <c r="BD270" i="7"/>
  <c r="BD271" i="7"/>
  <c r="BD272" i="7"/>
  <c r="BD273" i="7"/>
  <c r="BD274" i="7"/>
  <c r="BD275" i="7"/>
  <c r="BD276" i="7"/>
  <c r="BD277" i="7"/>
  <c r="BD278" i="7"/>
  <c r="BD279" i="7"/>
  <c r="BD280" i="7"/>
  <c r="BD281" i="7"/>
  <c r="BD282" i="7"/>
  <c r="BD283" i="7"/>
  <c r="BD284" i="7"/>
  <c r="BD285" i="7"/>
  <c r="BD286" i="7"/>
  <c r="BD287" i="7"/>
  <c r="BD288" i="7"/>
  <c r="BD289" i="7"/>
  <c r="BD290" i="7"/>
  <c r="BD291" i="7"/>
  <c r="BD292" i="7"/>
  <c r="BD293" i="7"/>
  <c r="BD294" i="7"/>
  <c r="BD295" i="7"/>
  <c r="BD296" i="7"/>
  <c r="BD297" i="7"/>
  <c r="BD298" i="7"/>
  <c r="BD299" i="7"/>
  <c r="BD300" i="7"/>
  <c r="BD301" i="7"/>
  <c r="BD302" i="7"/>
  <c r="BD303" i="7"/>
  <c r="BD304" i="7"/>
  <c r="BD305" i="7"/>
  <c r="BD306" i="7"/>
  <c r="BD307" i="7"/>
  <c r="BD308" i="7"/>
  <c r="BD309" i="7"/>
  <c r="BD310" i="7"/>
  <c r="BD311" i="7"/>
  <c r="BD312" i="7"/>
  <c r="BD313" i="7"/>
  <c r="BD314" i="7"/>
  <c r="BD315" i="7"/>
  <c r="BD316" i="7"/>
  <c r="BD317" i="7"/>
  <c r="BD318" i="7"/>
  <c r="BD319" i="7"/>
  <c r="BD320" i="7"/>
  <c r="BD321" i="7"/>
  <c r="BD322" i="7"/>
  <c r="BD323" i="7"/>
  <c r="BD324" i="7"/>
  <c r="BD325" i="7"/>
  <c r="BB7" i="7"/>
  <c r="BB8" i="7"/>
  <c r="BB9" i="7"/>
  <c r="BB10" i="7"/>
  <c r="BB11" i="7"/>
  <c r="BB12" i="7"/>
  <c r="BB13" i="7"/>
  <c r="BB14" i="7"/>
  <c r="BB15" i="7"/>
  <c r="BB16" i="7"/>
  <c r="BB17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B37" i="7"/>
  <c r="BB38" i="7"/>
  <c r="BB39" i="7"/>
  <c r="BB40" i="7"/>
  <c r="BB41" i="7"/>
  <c r="BB42" i="7"/>
  <c r="BB43" i="7"/>
  <c r="BB44" i="7"/>
  <c r="BB45" i="7"/>
  <c r="BB46" i="7"/>
  <c r="BB47" i="7"/>
  <c r="BB48" i="7"/>
  <c r="BB49" i="7"/>
  <c r="BB50" i="7"/>
  <c r="BB51" i="7"/>
  <c r="BB52" i="7"/>
  <c r="BB53" i="7"/>
  <c r="BB54" i="7"/>
  <c r="BB55" i="7"/>
  <c r="BB56" i="7"/>
  <c r="BB57" i="7"/>
  <c r="BB58" i="7"/>
  <c r="BB59" i="7"/>
  <c r="BB60" i="7"/>
  <c r="BB61" i="7"/>
  <c r="BB62" i="7"/>
  <c r="BB63" i="7"/>
  <c r="BB64" i="7"/>
  <c r="BB65" i="7"/>
  <c r="BB66" i="7"/>
  <c r="BB67" i="7"/>
  <c r="BB68" i="7"/>
  <c r="BB69" i="7"/>
  <c r="BB70" i="7"/>
  <c r="BB71" i="7"/>
  <c r="BB72" i="7"/>
  <c r="BB73" i="7"/>
  <c r="BB74" i="7"/>
  <c r="BB75" i="7"/>
  <c r="BB76" i="7"/>
  <c r="BB77" i="7"/>
  <c r="BB78" i="7"/>
  <c r="BB79" i="7"/>
  <c r="BB80" i="7"/>
  <c r="BB81" i="7"/>
  <c r="BB82" i="7"/>
  <c r="BB83" i="7"/>
  <c r="BB84" i="7"/>
  <c r="BB85" i="7"/>
  <c r="BB86" i="7"/>
  <c r="BB87" i="7"/>
  <c r="BB88" i="7"/>
  <c r="BB89" i="7"/>
  <c r="BB90" i="7"/>
  <c r="BB91" i="7"/>
  <c r="BB92" i="7"/>
  <c r="BB93" i="7"/>
  <c r="BB94" i="7"/>
  <c r="BB95" i="7"/>
  <c r="BB96" i="7"/>
  <c r="BB97" i="7"/>
  <c r="BB98" i="7"/>
  <c r="BB99" i="7"/>
  <c r="BB100" i="7"/>
  <c r="BB101" i="7"/>
  <c r="BB102" i="7"/>
  <c r="BB103" i="7"/>
  <c r="BB104" i="7"/>
  <c r="BB105" i="7"/>
  <c r="BB106" i="7"/>
  <c r="BB107" i="7"/>
  <c r="BB108" i="7"/>
  <c r="BB109" i="7"/>
  <c r="BB110" i="7"/>
  <c r="BB111" i="7"/>
  <c r="BB112" i="7"/>
  <c r="BB113" i="7"/>
  <c r="BB114" i="7"/>
  <c r="BB115" i="7"/>
  <c r="BB116" i="7"/>
  <c r="BB117" i="7"/>
  <c r="BB118" i="7"/>
  <c r="BB119" i="7"/>
  <c r="BB120" i="7"/>
  <c r="BB121" i="7"/>
  <c r="BB122" i="7"/>
  <c r="BB123" i="7"/>
  <c r="BB124" i="7"/>
  <c r="BB125" i="7"/>
  <c r="BB126" i="7"/>
  <c r="BB127" i="7"/>
  <c r="BB128" i="7"/>
  <c r="BB129" i="7"/>
  <c r="BB130" i="7"/>
  <c r="BB131" i="7"/>
  <c r="BB132" i="7"/>
  <c r="BB133" i="7"/>
  <c r="BB134" i="7"/>
  <c r="BB135" i="7"/>
  <c r="BB136" i="7"/>
  <c r="BB137" i="7"/>
  <c r="BB138" i="7"/>
  <c r="BB139" i="7"/>
  <c r="BB140" i="7"/>
  <c r="BB141" i="7"/>
  <c r="BB142" i="7"/>
  <c r="BB143" i="7"/>
  <c r="BB144" i="7"/>
  <c r="BB145" i="7"/>
  <c r="BB146" i="7"/>
  <c r="BB147" i="7"/>
  <c r="BB148" i="7"/>
  <c r="BB149" i="7"/>
  <c r="BB150" i="7"/>
  <c r="BB151" i="7"/>
  <c r="BB152" i="7"/>
  <c r="BB153" i="7"/>
  <c r="BB154" i="7"/>
  <c r="BB155" i="7"/>
  <c r="BB156" i="7"/>
  <c r="BB157" i="7"/>
  <c r="BB158" i="7"/>
  <c r="BB159" i="7"/>
  <c r="BB160" i="7"/>
  <c r="BB161" i="7"/>
  <c r="BB162" i="7"/>
  <c r="BB163" i="7"/>
  <c r="BB164" i="7"/>
  <c r="BB165" i="7"/>
  <c r="BB166" i="7"/>
  <c r="BB167" i="7"/>
  <c r="BB168" i="7"/>
  <c r="BB169" i="7"/>
  <c r="BB170" i="7"/>
  <c r="BB171" i="7"/>
  <c r="BB172" i="7"/>
  <c r="BB173" i="7"/>
  <c r="BB174" i="7"/>
  <c r="BB175" i="7"/>
  <c r="BB176" i="7"/>
  <c r="BB177" i="7"/>
  <c r="BB178" i="7"/>
  <c r="BB179" i="7"/>
  <c r="BB180" i="7"/>
  <c r="BB181" i="7"/>
  <c r="BB182" i="7"/>
  <c r="BB183" i="7"/>
  <c r="BB184" i="7"/>
  <c r="BB185" i="7"/>
  <c r="BB186" i="7"/>
  <c r="BB187" i="7"/>
  <c r="BB188" i="7"/>
  <c r="BB189" i="7"/>
  <c r="BB190" i="7"/>
  <c r="BB191" i="7"/>
  <c r="BB192" i="7"/>
  <c r="BB193" i="7"/>
  <c r="BB194" i="7"/>
  <c r="BB195" i="7"/>
  <c r="BB196" i="7"/>
  <c r="BB197" i="7"/>
  <c r="BB198" i="7"/>
  <c r="BB199" i="7"/>
  <c r="BB200" i="7"/>
  <c r="BB201" i="7"/>
  <c r="BB202" i="7"/>
  <c r="BB203" i="7"/>
  <c r="BB204" i="7"/>
  <c r="BB205" i="7"/>
  <c r="BB206" i="7"/>
  <c r="BB207" i="7"/>
  <c r="BB208" i="7"/>
  <c r="BB209" i="7"/>
  <c r="BB210" i="7"/>
  <c r="BB211" i="7"/>
  <c r="BB212" i="7"/>
  <c r="BB213" i="7"/>
  <c r="BB214" i="7"/>
  <c r="BB215" i="7"/>
  <c r="BB216" i="7"/>
  <c r="BB217" i="7"/>
  <c r="BB218" i="7"/>
  <c r="BB219" i="7"/>
  <c r="BB220" i="7"/>
  <c r="BB221" i="7"/>
  <c r="BB222" i="7"/>
  <c r="BB223" i="7"/>
  <c r="BB224" i="7"/>
  <c r="BB225" i="7"/>
  <c r="BB226" i="7"/>
  <c r="BB227" i="7"/>
  <c r="BB228" i="7"/>
  <c r="BB229" i="7"/>
  <c r="BB230" i="7"/>
  <c r="BB231" i="7"/>
  <c r="BB232" i="7"/>
  <c r="BB233" i="7"/>
  <c r="BB234" i="7"/>
  <c r="BB235" i="7"/>
  <c r="BB236" i="7"/>
  <c r="BB237" i="7"/>
  <c r="BB238" i="7"/>
  <c r="BB239" i="7"/>
  <c r="BB240" i="7"/>
  <c r="BB241" i="7"/>
  <c r="BB242" i="7"/>
  <c r="BB243" i="7"/>
  <c r="BB244" i="7"/>
  <c r="BB245" i="7"/>
  <c r="BB246" i="7"/>
  <c r="BB247" i="7"/>
  <c r="BB248" i="7"/>
  <c r="BB249" i="7"/>
  <c r="BB250" i="7"/>
  <c r="BB251" i="7"/>
  <c r="BB252" i="7"/>
  <c r="BB253" i="7"/>
  <c r="BB254" i="7"/>
  <c r="BB255" i="7"/>
  <c r="BB256" i="7"/>
  <c r="BB257" i="7"/>
  <c r="BB258" i="7"/>
  <c r="BB259" i="7"/>
  <c r="BB260" i="7"/>
  <c r="BB261" i="7"/>
  <c r="BB262" i="7"/>
  <c r="BB263" i="7"/>
  <c r="BB264" i="7"/>
  <c r="BB265" i="7"/>
  <c r="BB266" i="7"/>
  <c r="BB267" i="7"/>
  <c r="BB268" i="7"/>
  <c r="BB269" i="7"/>
  <c r="BB270" i="7"/>
  <c r="BB271" i="7"/>
  <c r="BB272" i="7"/>
  <c r="BB273" i="7"/>
  <c r="BB274" i="7"/>
  <c r="BB275" i="7"/>
  <c r="BB276" i="7"/>
  <c r="BB277" i="7"/>
  <c r="BB278" i="7"/>
  <c r="BB279" i="7"/>
  <c r="BB280" i="7"/>
  <c r="BB281" i="7"/>
  <c r="BB282" i="7"/>
  <c r="BB283" i="7"/>
  <c r="BB284" i="7"/>
  <c r="BB285" i="7"/>
  <c r="BB286" i="7"/>
  <c r="BB287" i="7"/>
  <c r="BB288" i="7"/>
  <c r="BB289" i="7"/>
  <c r="BB290" i="7"/>
  <c r="BB291" i="7"/>
  <c r="BB292" i="7"/>
  <c r="BB293" i="7"/>
  <c r="BB294" i="7"/>
  <c r="BB295" i="7"/>
  <c r="BB296" i="7"/>
  <c r="BB297" i="7"/>
  <c r="BB298" i="7"/>
  <c r="BB299" i="7"/>
  <c r="BB300" i="7"/>
  <c r="BB301" i="7"/>
  <c r="BB302" i="7"/>
  <c r="BB303" i="7"/>
  <c r="BB304" i="7"/>
  <c r="BB305" i="7"/>
  <c r="BB306" i="7"/>
  <c r="BB307" i="7"/>
  <c r="BB308" i="7"/>
  <c r="BB309" i="7"/>
  <c r="BB310" i="7"/>
  <c r="BB311" i="7"/>
  <c r="BB312" i="7"/>
  <c r="BB313" i="7"/>
  <c r="BB314" i="7"/>
  <c r="BB315" i="7"/>
  <c r="BB316" i="7"/>
  <c r="BB317" i="7"/>
  <c r="BB318" i="7"/>
  <c r="BB319" i="7"/>
  <c r="BB320" i="7"/>
  <c r="BB321" i="7"/>
  <c r="BB322" i="7"/>
  <c r="BB323" i="7"/>
  <c r="BB324" i="7"/>
  <c r="BB325" i="7"/>
  <c r="M14" i="21"/>
  <c r="M15" i="21"/>
  <c r="M33" i="21"/>
  <c r="M34" i="21"/>
  <c r="M16" i="21"/>
  <c r="M68" i="21"/>
  <c r="M35" i="21"/>
  <c r="M17" i="21"/>
  <c r="M36" i="21"/>
  <c r="M37" i="21"/>
  <c r="M62" i="21"/>
  <c r="M38" i="21"/>
  <c r="M39" i="21"/>
  <c r="M40" i="21"/>
  <c r="M41" i="21"/>
  <c r="M69" i="21"/>
  <c r="M18" i="21"/>
  <c r="M19" i="21"/>
  <c r="M42" i="21"/>
  <c r="M43" i="21"/>
  <c r="M44" i="21"/>
  <c r="M20" i="21"/>
  <c r="M45" i="21"/>
  <c r="M21" i="21"/>
  <c r="M22" i="21"/>
  <c r="M23" i="21"/>
  <c r="M63" i="21"/>
  <c r="M64" i="21"/>
  <c r="M46" i="21"/>
  <c r="M47" i="21"/>
  <c r="M48" i="21"/>
  <c r="M49" i="21"/>
  <c r="M50" i="21"/>
  <c r="M51" i="21"/>
  <c r="M52" i="21"/>
  <c r="M53" i="21"/>
  <c r="M24" i="21"/>
  <c r="M54" i="21"/>
  <c r="M25" i="21"/>
  <c r="M55" i="21"/>
  <c r="M26" i="21"/>
  <c r="M27" i="21"/>
  <c r="M65" i="21"/>
  <c r="M28" i="21"/>
  <c r="M29" i="21"/>
  <c r="M56" i="21"/>
  <c r="M66" i="21"/>
  <c r="M57" i="21"/>
  <c r="M58" i="21"/>
  <c r="M59" i="21"/>
  <c r="M60" i="21"/>
  <c r="M30" i="21"/>
  <c r="M61" i="21"/>
  <c r="M31" i="21"/>
  <c r="M70" i="21"/>
  <c r="M71" i="21"/>
  <c r="M146" i="21"/>
  <c r="M117" i="21"/>
  <c r="M118" i="21"/>
  <c r="M72" i="21"/>
  <c r="M135" i="21"/>
  <c r="M73" i="21"/>
  <c r="M136" i="21"/>
  <c r="M74" i="21"/>
  <c r="M75" i="21"/>
  <c r="M76" i="21"/>
  <c r="M137" i="21"/>
  <c r="M77" i="21"/>
  <c r="M138" i="21"/>
  <c r="M139" i="21"/>
  <c r="M78" i="21"/>
  <c r="M79" i="21"/>
  <c r="M80" i="21"/>
  <c r="M81" i="21"/>
  <c r="M82" i="21"/>
  <c r="M147" i="21"/>
  <c r="M119" i="21"/>
  <c r="M120" i="21"/>
  <c r="M148" i="21"/>
  <c r="M121" i="21"/>
  <c r="M140" i="21"/>
  <c r="M149" i="21"/>
  <c r="M83" i="21"/>
  <c r="M84" i="21"/>
  <c r="M85" i="21"/>
  <c r="M86" i="21"/>
  <c r="M87" i="21"/>
  <c r="M88" i="21"/>
  <c r="M141" i="21"/>
  <c r="M89" i="21"/>
  <c r="M90" i="21"/>
  <c r="M91" i="21"/>
  <c r="M122" i="21"/>
  <c r="M123" i="21"/>
  <c r="M92" i="21"/>
  <c r="M93" i="21"/>
  <c r="M150" i="21"/>
  <c r="M124" i="21"/>
  <c r="M94" i="21"/>
  <c r="M95" i="21"/>
  <c r="M96" i="21"/>
  <c r="M151" i="21"/>
  <c r="M97" i="21"/>
  <c r="M142" i="21"/>
  <c r="M125" i="21"/>
  <c r="M98" i="21"/>
  <c r="M143" i="21"/>
  <c r="M99" i="21"/>
  <c r="M126" i="21"/>
  <c r="M127" i="21"/>
  <c r="M144" i="21"/>
  <c r="M152" i="21"/>
  <c r="M100" i="21"/>
  <c r="M145" i="21"/>
  <c r="M101" i="21"/>
  <c r="M102" i="21"/>
  <c r="M128" i="21"/>
  <c r="M129" i="21"/>
  <c r="M130" i="21"/>
  <c r="M103" i="21"/>
  <c r="M104" i="21"/>
  <c r="M105" i="21"/>
  <c r="M106" i="21"/>
  <c r="M107" i="21"/>
  <c r="M108" i="21"/>
  <c r="M109" i="21"/>
  <c r="M131" i="21"/>
  <c r="M110" i="21"/>
  <c r="M111" i="21"/>
  <c r="M112" i="21"/>
  <c r="M132" i="21"/>
  <c r="M133" i="21"/>
  <c r="M113" i="21"/>
  <c r="M114" i="21"/>
  <c r="M115" i="21"/>
  <c r="M134" i="21"/>
  <c r="M116" i="21"/>
  <c r="M154" i="21"/>
  <c r="M153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31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314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7" i="21"/>
  <c r="M4" i="21"/>
  <c r="M11" i="21"/>
  <c r="M5" i="21"/>
  <c r="M9" i="21"/>
  <c r="M6" i="21"/>
  <c r="M8" i="21"/>
  <c r="M12" i="21"/>
  <c r="M10" i="21"/>
  <c r="M13" i="21"/>
  <c r="M32" i="21"/>
  <c r="O29" i="39" l="1"/>
  <c r="J29" i="39"/>
  <c r="O30" i="39"/>
  <c r="J30" i="39"/>
  <c r="O11" i="39"/>
  <c r="J11" i="39"/>
  <c r="O12" i="39"/>
  <c r="L12" i="39"/>
  <c r="O68" i="39"/>
  <c r="N68" i="39"/>
  <c r="J68" i="39"/>
  <c r="O90" i="39"/>
  <c r="N90" i="39"/>
  <c r="J90" i="39"/>
  <c r="O112" i="39"/>
  <c r="N112" i="39"/>
  <c r="J112" i="39"/>
  <c r="O135" i="39"/>
  <c r="J135" i="39"/>
  <c r="N135" i="39"/>
  <c r="O188" i="39"/>
  <c r="N188" i="39"/>
  <c r="J188" i="39"/>
  <c r="O200" i="39"/>
  <c r="N200" i="39"/>
  <c r="J200" i="39"/>
  <c r="O220" i="39"/>
  <c r="J220" i="39"/>
  <c r="N220" i="39"/>
  <c r="O242" i="39"/>
  <c r="N242" i="39"/>
  <c r="J242" i="39"/>
  <c r="O251" i="39"/>
  <c r="J251" i="39"/>
  <c r="N251" i="39"/>
  <c r="O257" i="39"/>
  <c r="N257" i="39"/>
  <c r="J257" i="39"/>
  <c r="O265" i="39"/>
  <c r="N265" i="39"/>
  <c r="J265" i="39"/>
  <c r="O72" i="39"/>
  <c r="J72" i="39"/>
  <c r="N72" i="39"/>
  <c r="O80" i="39"/>
  <c r="N80" i="39"/>
  <c r="J80" i="39"/>
  <c r="O113" i="39"/>
  <c r="J113" i="39"/>
  <c r="N113" i="39"/>
  <c r="O139" i="39"/>
  <c r="N139" i="39"/>
  <c r="J139" i="39"/>
  <c r="O172" i="39"/>
  <c r="J172" i="39"/>
  <c r="N172" i="39"/>
  <c r="O233" i="39"/>
  <c r="J233" i="39"/>
  <c r="N233" i="39"/>
  <c r="O276" i="39"/>
  <c r="J276" i="39"/>
  <c r="N276" i="39"/>
  <c r="O305" i="39"/>
  <c r="N305" i="39"/>
  <c r="J305" i="39"/>
  <c r="O73" i="39"/>
  <c r="N73" i="39"/>
  <c r="J73" i="39"/>
  <c r="O95" i="39"/>
  <c r="N95" i="39"/>
  <c r="J95" i="39"/>
  <c r="O114" i="39"/>
  <c r="J114" i="39"/>
  <c r="N114" i="39"/>
  <c r="O173" i="39"/>
  <c r="N173" i="39"/>
  <c r="J173" i="39"/>
  <c r="O190" i="39"/>
  <c r="J190" i="39"/>
  <c r="N190" i="39"/>
  <c r="O224" i="39"/>
  <c r="N224" i="39"/>
  <c r="J224" i="39"/>
  <c r="O249" i="39"/>
  <c r="J249" i="39"/>
  <c r="N249" i="39"/>
  <c r="O277" i="39"/>
  <c r="N277" i="39"/>
  <c r="J277" i="39"/>
  <c r="O78" i="39"/>
  <c r="J78" i="39"/>
  <c r="N78" i="39"/>
  <c r="O3" i="39"/>
  <c r="J3" i="39"/>
  <c r="N3" i="39"/>
  <c r="O131" i="39"/>
  <c r="J131" i="39"/>
  <c r="N131" i="39"/>
  <c r="O165" i="39"/>
  <c r="N165" i="39"/>
  <c r="J165" i="39"/>
  <c r="O195" i="39"/>
  <c r="N195" i="39"/>
  <c r="J195" i="39"/>
  <c r="O203" i="39"/>
  <c r="J203" i="39"/>
  <c r="N203" i="39"/>
  <c r="O221" i="39"/>
  <c r="N221" i="39"/>
  <c r="J221" i="39"/>
  <c r="O250" i="39"/>
  <c r="N250" i="39"/>
  <c r="J250" i="39"/>
  <c r="O270" i="39"/>
  <c r="N270" i="39"/>
  <c r="J270" i="39"/>
  <c r="O294" i="39"/>
  <c r="J294" i="39"/>
  <c r="N294" i="39"/>
  <c r="L46" i="40"/>
  <c r="Q46" i="40"/>
  <c r="L73" i="40"/>
  <c r="Q73" i="40"/>
  <c r="L81" i="40"/>
  <c r="Q81" i="40"/>
  <c r="L116" i="40"/>
  <c r="Q116" i="40"/>
  <c r="Q123" i="40"/>
  <c r="L123" i="40"/>
  <c r="Q131" i="40"/>
  <c r="L131" i="40"/>
  <c r="L173" i="40"/>
  <c r="Q173" i="40"/>
  <c r="L203" i="40"/>
  <c r="Q203" i="40"/>
  <c r="Q214" i="40"/>
  <c r="L214" i="40"/>
  <c r="Q293" i="40"/>
  <c r="L293" i="40"/>
  <c r="L12" i="40"/>
  <c r="Q12" i="40"/>
  <c r="L28" i="40"/>
  <c r="Q28" i="40"/>
  <c r="Q51" i="40"/>
  <c r="L51" i="40"/>
  <c r="L82" i="40"/>
  <c r="Q82" i="40"/>
  <c r="L181" i="40"/>
  <c r="Q181" i="40"/>
  <c r="L211" i="40"/>
  <c r="Q211" i="40"/>
  <c r="L218" i="40"/>
  <c r="Q218" i="40"/>
  <c r="Q233" i="40"/>
  <c r="L233" i="40"/>
  <c r="L256" i="40"/>
  <c r="Q256" i="40"/>
  <c r="Q264" i="40"/>
  <c r="L264" i="40"/>
  <c r="Q25" i="40"/>
  <c r="L25" i="40"/>
  <c r="L48" i="40"/>
  <c r="Q48" i="40"/>
  <c r="L71" i="40"/>
  <c r="Q71" i="40"/>
  <c r="L140" i="40"/>
  <c r="Q140" i="40"/>
  <c r="L163" i="40"/>
  <c r="Q163" i="40"/>
  <c r="Q205" i="40"/>
  <c r="L205" i="40"/>
  <c r="L238" i="40"/>
  <c r="Q238" i="40"/>
  <c r="L269" i="40"/>
  <c r="Q269" i="40"/>
  <c r="Q30" i="40"/>
  <c r="L30" i="40"/>
  <c r="L68" i="40"/>
  <c r="Q68" i="40"/>
  <c r="Q91" i="40"/>
  <c r="L91" i="40"/>
  <c r="L130" i="40"/>
  <c r="Q130" i="40"/>
  <c r="Q172" i="40"/>
  <c r="L172" i="40"/>
  <c r="Q179" i="40"/>
  <c r="L179" i="40"/>
  <c r="L202" i="40"/>
  <c r="Q202" i="40"/>
  <c r="Q239" i="40"/>
  <c r="L239" i="40"/>
  <c r="L262" i="40"/>
  <c r="Q262" i="40"/>
  <c r="Q292" i="40"/>
  <c r="L292" i="40"/>
  <c r="O93" i="39"/>
  <c r="N93" i="39"/>
  <c r="J93" i="39"/>
  <c r="O115" i="39"/>
  <c r="J115" i="39"/>
  <c r="N115" i="39"/>
  <c r="O123" i="39"/>
  <c r="J123" i="39"/>
  <c r="N123" i="39"/>
  <c r="O152" i="39"/>
  <c r="N152" i="39"/>
  <c r="J152" i="39"/>
  <c r="O159" i="39"/>
  <c r="N159" i="39"/>
  <c r="J159" i="39"/>
  <c r="O166" i="39"/>
  <c r="J166" i="39"/>
  <c r="N166" i="39"/>
  <c r="O196" i="39"/>
  <c r="J196" i="39"/>
  <c r="N196" i="39"/>
  <c r="O222" i="39"/>
  <c r="N222" i="39"/>
  <c r="J222" i="39"/>
  <c r="O232" i="39"/>
  <c r="N232" i="39"/>
  <c r="J232" i="39"/>
  <c r="O295" i="39"/>
  <c r="N295" i="39"/>
  <c r="J295" i="39"/>
  <c r="O62" i="39"/>
  <c r="J62" i="39"/>
  <c r="N62" i="39"/>
  <c r="O76" i="39"/>
  <c r="N76" i="39"/>
  <c r="J76" i="39"/>
  <c r="O96" i="39"/>
  <c r="N96" i="39"/>
  <c r="J96" i="39"/>
  <c r="O124" i="39"/>
  <c r="J124" i="39"/>
  <c r="N124" i="39"/>
  <c r="O205" i="39"/>
  <c r="J205" i="39"/>
  <c r="N205" i="39"/>
  <c r="O229" i="39"/>
  <c r="J229" i="39"/>
  <c r="N229" i="39"/>
  <c r="O236" i="39"/>
  <c r="N236" i="39"/>
  <c r="J236" i="39"/>
  <c r="O244" i="39"/>
  <c r="N244" i="39"/>
  <c r="J244" i="39"/>
  <c r="O266" i="39"/>
  <c r="N266" i="39"/>
  <c r="J266" i="39"/>
  <c r="O272" i="39"/>
  <c r="N272" i="39"/>
  <c r="J272" i="39"/>
  <c r="O302" i="39"/>
  <c r="N302" i="39"/>
  <c r="J302" i="39"/>
  <c r="O63" i="39"/>
  <c r="N63" i="39"/>
  <c r="J63" i="39"/>
  <c r="O69" i="39"/>
  <c r="J69" i="39"/>
  <c r="N69" i="39"/>
  <c r="O77" i="39"/>
  <c r="N77" i="39"/>
  <c r="J77" i="39"/>
  <c r="O111" i="39"/>
  <c r="N111" i="39"/>
  <c r="J111" i="39"/>
  <c r="O137" i="39"/>
  <c r="J137" i="39"/>
  <c r="N137" i="39"/>
  <c r="O176" i="39"/>
  <c r="N176" i="39"/>
  <c r="J176" i="39"/>
  <c r="O237" i="39"/>
  <c r="J237" i="39"/>
  <c r="N237" i="39"/>
  <c r="O245" i="39"/>
  <c r="J245" i="39"/>
  <c r="N245" i="39"/>
  <c r="O290" i="39"/>
  <c r="J290" i="39"/>
  <c r="N290" i="39"/>
  <c r="O296" i="39"/>
  <c r="N296" i="39"/>
  <c r="J296" i="39"/>
  <c r="O67" i="39"/>
  <c r="J67" i="39"/>
  <c r="N67" i="39"/>
  <c r="O89" i="39"/>
  <c r="N89" i="39"/>
  <c r="J89" i="39"/>
  <c r="O134" i="39"/>
  <c r="N134" i="39"/>
  <c r="J134" i="39"/>
  <c r="O187" i="39"/>
  <c r="J187" i="39"/>
  <c r="N187" i="39"/>
  <c r="O199" i="39"/>
  <c r="N199" i="39"/>
  <c r="J199" i="39"/>
  <c r="O225" i="39"/>
  <c r="J225" i="39"/>
  <c r="N225" i="39"/>
  <c r="O238" i="39"/>
  <c r="N238" i="39"/>
  <c r="J238" i="39"/>
  <c r="O274" i="39"/>
  <c r="N274" i="39"/>
  <c r="J274" i="39"/>
  <c r="O286" i="39"/>
  <c r="N286" i="39"/>
  <c r="J286" i="39"/>
  <c r="O291" i="39"/>
  <c r="N291" i="39"/>
  <c r="J291" i="39"/>
  <c r="O303" i="39"/>
  <c r="N303" i="39"/>
  <c r="J303" i="39"/>
  <c r="Q19" i="40"/>
  <c r="L19" i="40"/>
  <c r="L42" i="40"/>
  <c r="Q42" i="40"/>
  <c r="L69" i="40"/>
  <c r="Q69" i="40"/>
  <c r="L96" i="40"/>
  <c r="Q96" i="40"/>
  <c r="Q161" i="40"/>
  <c r="L161" i="40"/>
  <c r="L176" i="40"/>
  <c r="Q176" i="40"/>
  <c r="L200" i="40"/>
  <c r="Q200" i="40"/>
  <c r="L225" i="40"/>
  <c r="Q225" i="40"/>
  <c r="Q240" i="40"/>
  <c r="L240" i="40"/>
  <c r="L247" i="40"/>
  <c r="Q247" i="40"/>
  <c r="Q255" i="40"/>
  <c r="L255" i="40"/>
  <c r="L24" i="40"/>
  <c r="Q24" i="40"/>
  <c r="Q32" i="40"/>
  <c r="L32" i="40"/>
  <c r="Q70" i="40"/>
  <c r="L70" i="40"/>
  <c r="L101" i="40"/>
  <c r="Q101" i="40"/>
  <c r="Q139" i="40"/>
  <c r="L139" i="40"/>
  <c r="L215" i="40"/>
  <c r="Q215" i="40"/>
  <c r="L268" i="40"/>
  <c r="Q268" i="40"/>
  <c r="Q306" i="40"/>
  <c r="L306" i="40"/>
  <c r="L13" i="40"/>
  <c r="Q13" i="40"/>
  <c r="Q21" i="40"/>
  <c r="L21" i="40"/>
  <c r="L29" i="40"/>
  <c r="Q29" i="40"/>
  <c r="L67" i="40"/>
  <c r="Q67" i="40"/>
  <c r="L98" i="40"/>
  <c r="Q98" i="40"/>
  <c r="L144" i="40"/>
  <c r="Q144" i="40"/>
  <c r="L219" i="40"/>
  <c r="Q219" i="40"/>
  <c r="L234" i="40"/>
  <c r="Q234" i="40"/>
  <c r="Q288" i="40"/>
  <c r="L288" i="40"/>
  <c r="L295" i="40"/>
  <c r="Q295" i="40"/>
  <c r="Q303" i="40"/>
  <c r="L303" i="40"/>
  <c r="L18" i="40"/>
  <c r="Q18" i="40"/>
  <c r="L41" i="40"/>
  <c r="Q41" i="40"/>
  <c r="Q95" i="40"/>
  <c r="L95" i="40"/>
  <c r="Q160" i="40"/>
  <c r="L160" i="40"/>
  <c r="L175" i="40"/>
  <c r="Q175" i="40"/>
  <c r="L206" i="40"/>
  <c r="Q206" i="40"/>
  <c r="Q220" i="40"/>
  <c r="L220" i="40"/>
  <c r="L266" i="40"/>
  <c r="Q266" i="40"/>
  <c r="L282" i="40"/>
  <c r="Q282" i="40"/>
  <c r="L289" i="40"/>
  <c r="Q289" i="40"/>
  <c r="L304" i="40"/>
  <c r="Q304" i="40"/>
  <c r="N256" i="39"/>
  <c r="J256" i="39"/>
  <c r="O256" i="39"/>
  <c r="L15" i="40"/>
  <c r="Q15" i="40"/>
  <c r="L251" i="40"/>
  <c r="Q251" i="40"/>
  <c r="L246" i="40"/>
  <c r="Q246" i="40"/>
  <c r="J65" i="39"/>
  <c r="O65" i="39"/>
  <c r="N65" i="39"/>
  <c r="J261" i="39"/>
  <c r="O261" i="39"/>
  <c r="N261" i="39"/>
  <c r="N155" i="39"/>
  <c r="J155" i="39"/>
  <c r="O155" i="39"/>
  <c r="O260" i="39"/>
  <c r="J260" i="39"/>
  <c r="N260" i="39"/>
  <c r="L119" i="40"/>
  <c r="Q119" i="40"/>
  <c r="L250" i="40"/>
  <c r="Q250" i="40"/>
  <c r="AA5" i="17"/>
  <c r="J23" i="40"/>
  <c r="K23" i="40"/>
  <c r="J31" i="40"/>
  <c r="K31" i="40"/>
  <c r="J38" i="40"/>
  <c r="K38" i="40"/>
  <c r="J54" i="40"/>
  <c r="K54" i="40"/>
  <c r="K5" i="40"/>
  <c r="J65" i="40"/>
  <c r="K65" i="40"/>
  <c r="J92" i="40"/>
  <c r="K92" i="40"/>
  <c r="J100" i="40"/>
  <c r="K100" i="40"/>
  <c r="J108" i="40"/>
  <c r="K108" i="40"/>
  <c r="J138" i="40"/>
  <c r="K138" i="40"/>
  <c r="J146" i="40"/>
  <c r="K146" i="40"/>
  <c r="J154" i="40"/>
  <c r="K154" i="40"/>
  <c r="J165" i="40"/>
  <c r="K165" i="40"/>
  <c r="J180" i="40"/>
  <c r="K180" i="40"/>
  <c r="J188" i="40"/>
  <c r="K188" i="40"/>
  <c r="J196" i="40"/>
  <c r="K196" i="40"/>
  <c r="J221" i="40"/>
  <c r="K221" i="40"/>
  <c r="J228" i="40"/>
  <c r="K228" i="40"/>
  <c r="J236" i="40"/>
  <c r="K236" i="40"/>
  <c r="J244" i="40"/>
  <c r="K244" i="40"/>
  <c r="J259" i="40"/>
  <c r="K259" i="40"/>
  <c r="J267" i="40"/>
  <c r="K267" i="40"/>
  <c r="J275" i="40"/>
  <c r="K275" i="40"/>
  <c r="J283" i="40"/>
  <c r="K283" i="40"/>
  <c r="J301" i="40"/>
  <c r="K301" i="40"/>
  <c r="J309" i="40"/>
  <c r="K309" i="40"/>
  <c r="J20" i="40"/>
  <c r="K20" i="40"/>
  <c r="J35" i="40"/>
  <c r="K35" i="40"/>
  <c r="J43" i="40"/>
  <c r="K43" i="40"/>
  <c r="J66" i="40"/>
  <c r="K66" i="40"/>
  <c r="J74" i="40"/>
  <c r="K74" i="40"/>
  <c r="J89" i="40"/>
  <c r="K89" i="40"/>
  <c r="J97" i="40"/>
  <c r="K97" i="40"/>
  <c r="J113" i="40"/>
  <c r="K113" i="40"/>
  <c r="J121" i="40"/>
  <c r="K121" i="40"/>
  <c r="J128" i="40"/>
  <c r="K128" i="40"/>
  <c r="J136" i="40"/>
  <c r="K136" i="40"/>
  <c r="J143" i="40"/>
  <c r="K143" i="40"/>
  <c r="J151" i="40"/>
  <c r="K151" i="40"/>
  <c r="J158" i="40"/>
  <c r="K158" i="40"/>
  <c r="J166" i="40"/>
  <c r="K166" i="40"/>
  <c r="J174" i="40"/>
  <c r="K174" i="40"/>
  <c r="J197" i="40"/>
  <c r="K197" i="40"/>
  <c r="J226" i="40"/>
  <c r="K226" i="40"/>
  <c r="J241" i="40"/>
  <c r="K241" i="40"/>
  <c r="J248" i="40"/>
  <c r="K248" i="40"/>
  <c r="J272" i="40"/>
  <c r="K272" i="40"/>
  <c r="J280" i="40"/>
  <c r="K280" i="40"/>
  <c r="K8" i="40"/>
  <c r="J294" i="40"/>
  <c r="K294" i="40"/>
  <c r="J302" i="40"/>
  <c r="K302" i="40"/>
  <c r="J310" i="40"/>
  <c r="K310" i="40"/>
  <c r="J17" i="40"/>
  <c r="K17" i="40"/>
  <c r="J33" i="40"/>
  <c r="K33" i="40"/>
  <c r="J40" i="40"/>
  <c r="K40" i="40"/>
  <c r="J56" i="40"/>
  <c r="K56" i="40"/>
  <c r="J63" i="40"/>
  <c r="K63" i="40"/>
  <c r="J79" i="40"/>
  <c r="K79" i="40"/>
  <c r="J86" i="40"/>
  <c r="K86" i="40"/>
  <c r="J94" i="40"/>
  <c r="K94" i="40"/>
  <c r="J102" i="40"/>
  <c r="K102" i="40"/>
  <c r="J118" i="40"/>
  <c r="K118" i="40"/>
  <c r="J125" i="40"/>
  <c r="K125" i="40"/>
  <c r="J133" i="40"/>
  <c r="K133" i="40"/>
  <c r="J148" i="40"/>
  <c r="K148" i="40"/>
  <c r="J156" i="40"/>
  <c r="K156" i="40"/>
  <c r="J171" i="40"/>
  <c r="K171" i="40"/>
  <c r="J186" i="40"/>
  <c r="K186" i="40"/>
  <c r="J194" i="40"/>
  <c r="K194" i="40"/>
  <c r="J223" i="40"/>
  <c r="K223" i="40"/>
  <c r="J230" i="40"/>
  <c r="K230" i="40"/>
  <c r="K7" i="40"/>
  <c r="J253" i="40"/>
  <c r="K253" i="40"/>
  <c r="J261" i="40"/>
  <c r="K261" i="40"/>
  <c r="J277" i="40"/>
  <c r="K277" i="40"/>
  <c r="J285" i="40"/>
  <c r="K285" i="40"/>
  <c r="J291" i="40"/>
  <c r="K291" i="40"/>
  <c r="J299" i="40"/>
  <c r="K299" i="40"/>
  <c r="J307" i="40"/>
  <c r="K307" i="40"/>
  <c r="J14" i="40"/>
  <c r="K14" i="40"/>
  <c r="J22" i="40"/>
  <c r="K22" i="40"/>
  <c r="J45" i="40"/>
  <c r="K45" i="40"/>
  <c r="J53" i="40"/>
  <c r="K53" i="40"/>
  <c r="J60" i="40"/>
  <c r="K60" i="40"/>
  <c r="J76" i="40"/>
  <c r="K76" i="40"/>
  <c r="J99" i="40"/>
  <c r="K99" i="40"/>
  <c r="J115" i="40"/>
  <c r="K115" i="40"/>
  <c r="J122" i="40"/>
  <c r="K122" i="40"/>
  <c r="J141" i="40"/>
  <c r="K141" i="40"/>
  <c r="J149" i="40"/>
  <c r="K149" i="40"/>
  <c r="J157" i="40"/>
  <c r="K157" i="40"/>
  <c r="J164" i="40"/>
  <c r="K164" i="40"/>
  <c r="J187" i="40"/>
  <c r="K187" i="40"/>
  <c r="J195" i="40"/>
  <c r="K195" i="40"/>
  <c r="J216" i="40"/>
  <c r="K216" i="40"/>
  <c r="J224" i="40"/>
  <c r="K224" i="40"/>
  <c r="J231" i="40"/>
  <c r="K231" i="40"/>
  <c r="J254" i="40"/>
  <c r="K254" i="40"/>
  <c r="J286" i="40"/>
  <c r="K286" i="40"/>
  <c r="J308" i="40"/>
  <c r="K308" i="40"/>
  <c r="J11" i="40"/>
  <c r="K11" i="40"/>
  <c r="K3" i="40"/>
  <c r="J77" i="40"/>
  <c r="K77" i="40"/>
  <c r="J112" i="40"/>
  <c r="K112" i="40"/>
  <c r="J127" i="40"/>
  <c r="K127" i="40"/>
  <c r="J142" i="40"/>
  <c r="K142" i="40"/>
  <c r="J169" i="40"/>
  <c r="K169" i="40"/>
  <c r="J192" i="40"/>
  <c r="K192" i="40"/>
  <c r="J217" i="40"/>
  <c r="K217" i="40"/>
  <c r="J263" i="40"/>
  <c r="K263" i="40"/>
  <c r="J279" i="40"/>
  <c r="K279" i="40"/>
  <c r="J297" i="40"/>
  <c r="K297" i="40"/>
  <c r="J313" i="40"/>
  <c r="K313" i="40"/>
  <c r="J39" i="40"/>
  <c r="K39" i="40"/>
  <c r="J55" i="40"/>
  <c r="K55" i="40"/>
  <c r="J62" i="40"/>
  <c r="K62" i="40"/>
  <c r="J85" i="40"/>
  <c r="K85" i="40"/>
  <c r="J109" i="40"/>
  <c r="K109" i="40"/>
  <c r="J117" i="40"/>
  <c r="K117" i="40"/>
  <c r="J132" i="40"/>
  <c r="K132" i="40"/>
  <c r="J155" i="40"/>
  <c r="K155" i="40"/>
  <c r="J170" i="40"/>
  <c r="K170" i="40"/>
  <c r="J185" i="40"/>
  <c r="K185" i="40"/>
  <c r="J193" i="40"/>
  <c r="K193" i="40"/>
  <c r="J201" i="40"/>
  <c r="K201" i="40"/>
  <c r="J208" i="40"/>
  <c r="K208" i="40"/>
  <c r="J229" i="40"/>
  <c r="K229" i="40"/>
  <c r="J245" i="40"/>
  <c r="K245" i="40"/>
  <c r="J260" i="40"/>
  <c r="K260" i="40"/>
  <c r="J276" i="40"/>
  <c r="K276" i="40"/>
  <c r="J284" i="40"/>
  <c r="K284" i="40"/>
  <c r="J298" i="40"/>
  <c r="K298" i="40"/>
  <c r="J44" i="40"/>
  <c r="K44" i="40"/>
  <c r="J59" i="40"/>
  <c r="K59" i="40"/>
  <c r="J75" i="40"/>
  <c r="K75" i="40"/>
  <c r="J83" i="40"/>
  <c r="K83" i="40"/>
  <c r="J114" i="40"/>
  <c r="K114" i="40"/>
  <c r="J129" i="40"/>
  <c r="K129" i="40"/>
  <c r="J152" i="40"/>
  <c r="K152" i="40"/>
  <c r="J159" i="40"/>
  <c r="K159" i="40"/>
  <c r="J167" i="40"/>
  <c r="K167" i="40"/>
  <c r="J182" i="40"/>
  <c r="K182" i="40"/>
  <c r="J209" i="40"/>
  <c r="K209" i="40"/>
  <c r="J242" i="40"/>
  <c r="K242" i="40"/>
  <c r="J249" i="40"/>
  <c r="K249" i="40"/>
  <c r="J257" i="40"/>
  <c r="K257" i="40"/>
  <c r="J273" i="40"/>
  <c r="K273" i="40"/>
  <c r="J34" i="40"/>
  <c r="K34" i="40"/>
  <c r="J49" i="40"/>
  <c r="K49" i="40"/>
  <c r="J57" i="40"/>
  <c r="K57" i="40"/>
  <c r="J64" i="40"/>
  <c r="K64" i="40"/>
  <c r="J80" i="40"/>
  <c r="K80" i="40"/>
  <c r="J87" i="40"/>
  <c r="K87" i="40"/>
  <c r="J126" i="40"/>
  <c r="K126" i="40"/>
  <c r="J145" i="40"/>
  <c r="K145" i="40"/>
  <c r="J168" i="40"/>
  <c r="K168" i="40"/>
  <c r="J183" i="40"/>
  <c r="K183" i="40"/>
  <c r="J199" i="40"/>
  <c r="K199" i="40"/>
  <c r="J235" i="40"/>
  <c r="K235" i="40"/>
  <c r="J243" i="40"/>
  <c r="K243" i="40"/>
  <c r="J258" i="40"/>
  <c r="K258" i="40"/>
  <c r="J274" i="40"/>
  <c r="K274" i="40"/>
  <c r="J296" i="40"/>
  <c r="K296" i="40"/>
  <c r="J312" i="40"/>
  <c r="K312" i="40"/>
  <c r="H23" i="40"/>
  <c r="I23" i="40"/>
  <c r="H31" i="40"/>
  <c r="I31" i="40"/>
  <c r="H38" i="40"/>
  <c r="I38" i="40"/>
  <c r="H54" i="40"/>
  <c r="I54" i="40"/>
  <c r="I5" i="40"/>
  <c r="H65" i="40"/>
  <c r="I65" i="40"/>
  <c r="H92" i="40"/>
  <c r="I92" i="40"/>
  <c r="H100" i="40"/>
  <c r="I100" i="40"/>
  <c r="H108" i="40"/>
  <c r="I108" i="40"/>
  <c r="H138" i="40"/>
  <c r="I138" i="40"/>
  <c r="H146" i="40"/>
  <c r="I146" i="40"/>
  <c r="H154" i="40"/>
  <c r="I154" i="40"/>
  <c r="H165" i="40"/>
  <c r="I165" i="40"/>
  <c r="H180" i="40"/>
  <c r="I180" i="40"/>
  <c r="H188" i="40"/>
  <c r="I188" i="40"/>
  <c r="H196" i="40"/>
  <c r="I196" i="40"/>
  <c r="H221" i="40"/>
  <c r="I221" i="40"/>
  <c r="H228" i="40"/>
  <c r="I228" i="40"/>
  <c r="H236" i="40"/>
  <c r="I236" i="40"/>
  <c r="H244" i="40"/>
  <c r="I244" i="40"/>
  <c r="H259" i="40"/>
  <c r="I259" i="40"/>
  <c r="H267" i="40"/>
  <c r="I267" i="40"/>
  <c r="H275" i="40"/>
  <c r="I275" i="40"/>
  <c r="H283" i="40"/>
  <c r="I283" i="40"/>
  <c r="H301" i="40"/>
  <c r="I301" i="40"/>
  <c r="H309" i="40"/>
  <c r="I309" i="40"/>
  <c r="H20" i="40"/>
  <c r="I20" i="40"/>
  <c r="H35" i="40"/>
  <c r="I35" i="40"/>
  <c r="H43" i="40"/>
  <c r="I43" i="40"/>
  <c r="H66" i="40"/>
  <c r="I66" i="40"/>
  <c r="H74" i="40"/>
  <c r="I74" i="40"/>
  <c r="H89" i="40"/>
  <c r="I89" i="40"/>
  <c r="H97" i="40"/>
  <c r="I97" i="40"/>
  <c r="H113" i="40"/>
  <c r="I113" i="40"/>
  <c r="H121" i="40"/>
  <c r="I121" i="40"/>
  <c r="H128" i="40"/>
  <c r="I128" i="40"/>
  <c r="H136" i="40"/>
  <c r="I136" i="40"/>
  <c r="H143" i="40"/>
  <c r="I143" i="40"/>
  <c r="H151" i="40"/>
  <c r="I151" i="40"/>
  <c r="H158" i="40"/>
  <c r="I158" i="40"/>
  <c r="H166" i="40"/>
  <c r="I166" i="40"/>
  <c r="H174" i="40"/>
  <c r="I174" i="40"/>
  <c r="H197" i="40"/>
  <c r="I197" i="40"/>
  <c r="H226" i="40"/>
  <c r="I226" i="40"/>
  <c r="H241" i="40"/>
  <c r="I241" i="40"/>
  <c r="H248" i="40"/>
  <c r="I248" i="40"/>
  <c r="H272" i="40"/>
  <c r="I272" i="40"/>
  <c r="H280" i="40"/>
  <c r="I280" i="40"/>
  <c r="I8" i="40"/>
  <c r="H294" i="40"/>
  <c r="I294" i="40"/>
  <c r="H302" i="40"/>
  <c r="I302" i="40"/>
  <c r="H310" i="40"/>
  <c r="I310" i="40"/>
  <c r="H17" i="40"/>
  <c r="I17" i="40"/>
  <c r="H33" i="40"/>
  <c r="I33" i="40"/>
  <c r="H40" i="40"/>
  <c r="I40" i="40"/>
  <c r="H56" i="40"/>
  <c r="I56" i="40"/>
  <c r="H63" i="40"/>
  <c r="I63" i="40"/>
  <c r="H79" i="40"/>
  <c r="I79" i="40"/>
  <c r="H86" i="40"/>
  <c r="I86" i="40"/>
  <c r="H94" i="40"/>
  <c r="I94" i="40"/>
  <c r="H102" i="40"/>
  <c r="I102" i="40"/>
  <c r="H118" i="40"/>
  <c r="I118" i="40"/>
  <c r="H125" i="40"/>
  <c r="I125" i="40"/>
  <c r="H133" i="40"/>
  <c r="I133" i="40"/>
  <c r="H148" i="40"/>
  <c r="I148" i="40"/>
  <c r="H156" i="40"/>
  <c r="I156" i="40"/>
  <c r="H171" i="40"/>
  <c r="I171" i="40"/>
  <c r="H186" i="40"/>
  <c r="I186" i="40"/>
  <c r="H194" i="40"/>
  <c r="I194" i="40"/>
  <c r="H223" i="40"/>
  <c r="I223" i="40"/>
  <c r="H230" i="40"/>
  <c r="I230" i="40"/>
  <c r="I7" i="40"/>
  <c r="H253" i="40"/>
  <c r="I253" i="40"/>
  <c r="H261" i="40"/>
  <c r="I261" i="40"/>
  <c r="H277" i="40"/>
  <c r="I277" i="40"/>
  <c r="H285" i="40"/>
  <c r="I285" i="40"/>
  <c r="H291" i="40"/>
  <c r="I291" i="40"/>
  <c r="H299" i="40"/>
  <c r="I299" i="40"/>
  <c r="H307" i="40"/>
  <c r="I307" i="40"/>
  <c r="H14" i="40"/>
  <c r="I14" i="40"/>
  <c r="H22" i="40"/>
  <c r="I22" i="40"/>
  <c r="H45" i="40"/>
  <c r="I45" i="40"/>
  <c r="H53" i="40"/>
  <c r="I53" i="40"/>
  <c r="H60" i="40"/>
  <c r="I60" i="40"/>
  <c r="H76" i="40"/>
  <c r="I76" i="40"/>
  <c r="H99" i="40"/>
  <c r="I99" i="40"/>
  <c r="H115" i="40"/>
  <c r="I115" i="40"/>
  <c r="H122" i="40"/>
  <c r="I122" i="40"/>
  <c r="H141" i="40"/>
  <c r="I141" i="40"/>
  <c r="H149" i="40"/>
  <c r="I149" i="40"/>
  <c r="H157" i="40"/>
  <c r="I157" i="40"/>
  <c r="H164" i="40"/>
  <c r="I164" i="40"/>
  <c r="H187" i="40"/>
  <c r="I187" i="40"/>
  <c r="H195" i="40"/>
  <c r="I195" i="40"/>
  <c r="H216" i="40"/>
  <c r="I216" i="40"/>
  <c r="H224" i="40"/>
  <c r="I224" i="40"/>
  <c r="H231" i="40"/>
  <c r="I231" i="40"/>
  <c r="H254" i="40"/>
  <c r="I254" i="40"/>
  <c r="H286" i="40"/>
  <c r="I286" i="40"/>
  <c r="H308" i="40"/>
  <c r="I308" i="40"/>
  <c r="H11" i="40"/>
  <c r="I11" i="40"/>
  <c r="I3" i="40"/>
  <c r="H77" i="40"/>
  <c r="I77" i="40"/>
  <c r="H112" i="40"/>
  <c r="I112" i="40"/>
  <c r="H127" i="40"/>
  <c r="I127" i="40"/>
  <c r="H142" i="40"/>
  <c r="I142" i="40"/>
  <c r="H169" i="40"/>
  <c r="I169" i="40"/>
  <c r="H192" i="40"/>
  <c r="I192" i="40"/>
  <c r="H217" i="40"/>
  <c r="I217" i="40"/>
  <c r="H263" i="40"/>
  <c r="I263" i="40"/>
  <c r="H279" i="40"/>
  <c r="I279" i="40"/>
  <c r="H297" i="40"/>
  <c r="I297" i="40"/>
  <c r="H313" i="40"/>
  <c r="I313" i="40"/>
  <c r="H39" i="40"/>
  <c r="I39" i="40"/>
  <c r="H55" i="40"/>
  <c r="I55" i="40"/>
  <c r="H62" i="40"/>
  <c r="I62" i="40"/>
  <c r="H85" i="40"/>
  <c r="I85" i="40"/>
  <c r="H109" i="40"/>
  <c r="I109" i="40"/>
  <c r="H117" i="40"/>
  <c r="I117" i="40"/>
  <c r="H132" i="40"/>
  <c r="I132" i="40"/>
  <c r="H155" i="40"/>
  <c r="I155" i="40"/>
  <c r="H170" i="40"/>
  <c r="I170" i="40"/>
  <c r="H185" i="40"/>
  <c r="I185" i="40"/>
  <c r="H193" i="40"/>
  <c r="I193" i="40"/>
  <c r="H201" i="40"/>
  <c r="I201" i="40"/>
  <c r="H208" i="40"/>
  <c r="I208" i="40"/>
  <c r="H229" i="40"/>
  <c r="I229" i="40"/>
  <c r="H245" i="40"/>
  <c r="I245" i="40"/>
  <c r="H260" i="40"/>
  <c r="I260" i="40"/>
  <c r="H276" i="40"/>
  <c r="I276" i="40"/>
  <c r="H284" i="40"/>
  <c r="I284" i="40"/>
  <c r="H298" i="40"/>
  <c r="I298" i="40"/>
  <c r="H44" i="40"/>
  <c r="I44" i="40"/>
  <c r="H59" i="40"/>
  <c r="I59" i="40"/>
  <c r="H75" i="40"/>
  <c r="I75" i="40"/>
  <c r="H83" i="40"/>
  <c r="I83" i="40"/>
  <c r="H114" i="40"/>
  <c r="I114" i="40"/>
  <c r="H129" i="40"/>
  <c r="I129" i="40"/>
  <c r="H152" i="40"/>
  <c r="I152" i="40"/>
  <c r="H159" i="40"/>
  <c r="I159" i="40"/>
  <c r="H167" i="40"/>
  <c r="I167" i="40"/>
  <c r="H182" i="40"/>
  <c r="I182" i="40"/>
  <c r="H209" i="40"/>
  <c r="I209" i="40"/>
  <c r="H242" i="40"/>
  <c r="I242" i="40"/>
  <c r="H249" i="40"/>
  <c r="I249" i="40"/>
  <c r="H257" i="40"/>
  <c r="I257" i="40"/>
  <c r="H273" i="40"/>
  <c r="I273" i="40"/>
  <c r="H34" i="40"/>
  <c r="I34" i="40"/>
  <c r="H49" i="40"/>
  <c r="I49" i="40"/>
  <c r="H57" i="40"/>
  <c r="I57" i="40"/>
  <c r="H64" i="40"/>
  <c r="I64" i="40"/>
  <c r="H80" i="40"/>
  <c r="I80" i="40"/>
  <c r="H87" i="40"/>
  <c r="I87" i="40"/>
  <c r="H126" i="40"/>
  <c r="I126" i="40"/>
  <c r="H145" i="40"/>
  <c r="I145" i="40"/>
  <c r="H168" i="40"/>
  <c r="I168" i="40"/>
  <c r="H183" i="40"/>
  <c r="I183" i="40"/>
  <c r="H199" i="40"/>
  <c r="I199" i="40"/>
  <c r="H235" i="40"/>
  <c r="I235" i="40"/>
  <c r="H243" i="40"/>
  <c r="I243" i="40"/>
  <c r="H258" i="40"/>
  <c r="I258" i="40"/>
  <c r="H274" i="40"/>
  <c r="I274" i="40"/>
  <c r="H296" i="40"/>
  <c r="I296" i="40"/>
  <c r="H312" i="40"/>
  <c r="I312" i="40"/>
  <c r="L58" i="40"/>
  <c r="M105" i="40"/>
  <c r="L105" i="40"/>
  <c r="L189" i="40"/>
  <c r="L204" i="40"/>
  <c r="M110" i="40"/>
  <c r="L110" i="40"/>
  <c r="L178" i="40"/>
  <c r="L212" i="40"/>
  <c r="L37" i="40"/>
  <c r="L84" i="40"/>
  <c r="L107" i="40"/>
  <c r="L210" i="40"/>
  <c r="L270" i="40"/>
  <c r="L278" i="40"/>
  <c r="L300" i="40"/>
  <c r="L27" i="40"/>
  <c r="L50" i="40"/>
  <c r="L4" i="40"/>
  <c r="L61" i="40"/>
  <c r="L88" i="40"/>
  <c r="L104" i="40"/>
  <c r="L120" i="40"/>
  <c r="L135" i="40"/>
  <c r="L150" i="40"/>
  <c r="L184" i="40"/>
  <c r="L207" i="40"/>
  <c r="L232" i="40"/>
  <c r="L271" i="40"/>
  <c r="L287" i="40"/>
  <c r="L305" i="40"/>
  <c r="L16" i="40"/>
  <c r="L47" i="40"/>
  <c r="L78" i="40"/>
  <c r="M93" i="40"/>
  <c r="L93" i="40"/>
  <c r="L124" i="40"/>
  <c r="L147" i="40"/>
  <c r="L162" i="40"/>
  <c r="L177" i="40"/>
  <c r="L222" i="40"/>
  <c r="L237" i="40"/>
  <c r="L252" i="40"/>
  <c r="L290" i="40"/>
  <c r="L36" i="40"/>
  <c r="L52" i="40"/>
  <c r="L90" i="40"/>
  <c r="N106" i="40"/>
  <c r="L106" i="40"/>
  <c r="L6" i="40"/>
  <c r="L137" i="40"/>
  <c r="L9" i="40"/>
  <c r="L190" i="40"/>
  <c r="L198" i="40"/>
  <c r="L10" i="40"/>
  <c r="L265" i="40"/>
  <c r="L281" i="40"/>
  <c r="L311" i="40"/>
  <c r="L26" i="40"/>
  <c r="L72" i="40"/>
  <c r="N103" i="40"/>
  <c r="L103" i="40"/>
  <c r="L111" i="40"/>
  <c r="L134" i="40"/>
  <c r="L153" i="40"/>
  <c r="L191" i="40"/>
  <c r="L213" i="40"/>
  <c r="L227" i="40"/>
  <c r="J46" i="39"/>
  <c r="I46" i="39" s="1"/>
  <c r="J197" i="39"/>
  <c r="I197" i="39" s="1"/>
  <c r="J85" i="39"/>
  <c r="I85" i="39" s="1"/>
  <c r="J108" i="39"/>
  <c r="I108" i="39" s="1"/>
  <c r="J40" i="39"/>
  <c r="I40" i="39" s="1"/>
  <c r="J246" i="39"/>
  <c r="I246" i="39" s="1"/>
  <c r="J75" i="39"/>
  <c r="I75" i="39" s="1"/>
  <c r="J105" i="39"/>
  <c r="I105" i="39" s="1"/>
  <c r="J128" i="39"/>
  <c r="I128" i="39" s="1"/>
  <c r="J45" i="39"/>
  <c r="I45" i="39" s="1"/>
  <c r="J212" i="39"/>
  <c r="I212" i="39" s="1"/>
  <c r="J271" i="39"/>
  <c r="I271" i="39" s="1"/>
  <c r="J189" i="39"/>
  <c r="I189" i="39" s="1"/>
  <c r="J248" i="39"/>
  <c r="I248" i="39" s="1"/>
  <c r="J107" i="39"/>
  <c r="I107" i="39" s="1"/>
  <c r="J194" i="39"/>
  <c r="I194" i="39" s="1"/>
  <c r="J202" i="39"/>
  <c r="I202" i="39" s="1"/>
  <c r="J263" i="39"/>
  <c r="I263" i="39" s="1"/>
  <c r="J181" i="39"/>
  <c r="I181" i="39" s="1"/>
  <c r="Q23" i="40"/>
  <c r="Q31" i="40"/>
  <c r="Q38" i="40"/>
  <c r="Q54" i="40"/>
  <c r="Q5" i="40"/>
  <c r="Q65" i="40"/>
  <c r="Q92" i="40"/>
  <c r="Q100" i="40"/>
  <c r="Q108" i="40"/>
  <c r="Q138" i="40"/>
  <c r="Q146" i="40"/>
  <c r="Q154" i="40"/>
  <c r="Q165" i="40"/>
  <c r="Q180" i="40"/>
  <c r="Q188" i="40"/>
  <c r="Q196" i="40"/>
  <c r="Q221" i="40"/>
  <c r="Q228" i="40"/>
  <c r="Q236" i="40"/>
  <c r="Q244" i="40"/>
  <c r="Q259" i="40"/>
  <c r="Q267" i="40"/>
  <c r="Q275" i="40"/>
  <c r="Q283" i="40"/>
  <c r="Q301" i="40"/>
  <c r="Q309" i="40"/>
  <c r="Q20" i="40"/>
  <c r="Q35" i="40"/>
  <c r="Q43" i="40"/>
  <c r="Q58" i="40"/>
  <c r="Q66" i="40"/>
  <c r="Q74" i="40"/>
  <c r="Q89" i="40"/>
  <c r="Q97" i="40"/>
  <c r="Q105" i="40"/>
  <c r="Q113" i="40"/>
  <c r="Q121" i="40"/>
  <c r="Q128" i="40"/>
  <c r="Q136" i="40"/>
  <c r="Q143" i="40"/>
  <c r="Q151" i="40"/>
  <c r="Q158" i="40"/>
  <c r="Q166" i="40"/>
  <c r="Q174" i="40"/>
  <c r="Q189" i="40"/>
  <c r="Q197" i="40"/>
  <c r="Q204" i="40"/>
  <c r="Q226" i="40"/>
  <c r="Q241" i="40"/>
  <c r="Q248" i="40"/>
  <c r="Q272" i="40"/>
  <c r="Q280" i="40"/>
  <c r="Q8" i="40"/>
  <c r="Q294" i="40"/>
  <c r="Q302" i="40"/>
  <c r="M310" i="40"/>
  <c r="Q310" i="40"/>
  <c r="Q17" i="40"/>
  <c r="Q33" i="40"/>
  <c r="Q40" i="40"/>
  <c r="Q56" i="40"/>
  <c r="Q63" i="40"/>
  <c r="Q79" i="40"/>
  <c r="Q86" i="40"/>
  <c r="Q94" i="40"/>
  <c r="Q102" i="40"/>
  <c r="Q110" i="40"/>
  <c r="Q118" i="40"/>
  <c r="Q125" i="40"/>
  <c r="Q133" i="40"/>
  <c r="Q148" i="40"/>
  <c r="Q156" i="40"/>
  <c r="Q171" i="40"/>
  <c r="Q178" i="40"/>
  <c r="Q186" i="40"/>
  <c r="Q194" i="40"/>
  <c r="Q212" i="40"/>
  <c r="Q223" i="40"/>
  <c r="Q230" i="40"/>
  <c r="Q7" i="40"/>
  <c r="Q253" i="40"/>
  <c r="Q261" i="40"/>
  <c r="Q277" i="40"/>
  <c r="Q285" i="40"/>
  <c r="Q291" i="40"/>
  <c r="Q299" i="40"/>
  <c r="Q307" i="40"/>
  <c r="Q14" i="40"/>
  <c r="Q22" i="40"/>
  <c r="Q37" i="40"/>
  <c r="Q45" i="40"/>
  <c r="Q53" i="40"/>
  <c r="Q60" i="40"/>
  <c r="Q76" i="40"/>
  <c r="Q84" i="40"/>
  <c r="Q99" i="40"/>
  <c r="M107" i="40"/>
  <c r="Q107" i="40"/>
  <c r="Q115" i="40"/>
  <c r="Q122" i="40"/>
  <c r="Q141" i="40"/>
  <c r="Q149" i="40"/>
  <c r="Q157" i="40"/>
  <c r="Q164" i="40"/>
  <c r="Q187" i="40"/>
  <c r="Q195" i="40"/>
  <c r="Q210" i="40"/>
  <c r="Q216" i="40"/>
  <c r="Q224" i="40"/>
  <c r="Q231" i="40"/>
  <c r="Q254" i="40"/>
  <c r="Q270" i="40"/>
  <c r="Q278" i="40"/>
  <c r="Q286" i="40"/>
  <c r="M300" i="40"/>
  <c r="Q300" i="40"/>
  <c r="Q308" i="40"/>
  <c r="Q11" i="40"/>
  <c r="Q27" i="40"/>
  <c r="Q3" i="40"/>
  <c r="Q50" i="40"/>
  <c r="Q4" i="40"/>
  <c r="Q61" i="40"/>
  <c r="Q77" i="40"/>
  <c r="Q88" i="40"/>
  <c r="Q104" i="40"/>
  <c r="Q112" i="40"/>
  <c r="Q120" i="40"/>
  <c r="Q127" i="40"/>
  <c r="Q135" i="40"/>
  <c r="Q142" i="40"/>
  <c r="Q150" i="40"/>
  <c r="Q169" i="40"/>
  <c r="Q184" i="40"/>
  <c r="Q192" i="40"/>
  <c r="Q207" i="40"/>
  <c r="Q217" i="40"/>
  <c r="Q232" i="40"/>
  <c r="Q263" i="40"/>
  <c r="Q271" i="40"/>
  <c r="Q279" i="40"/>
  <c r="Q287" i="40"/>
  <c r="Q297" i="40"/>
  <c r="Q305" i="40"/>
  <c r="Q313" i="40"/>
  <c r="Q16" i="40"/>
  <c r="Q39" i="40"/>
  <c r="Q47" i="40"/>
  <c r="Q55" i="40"/>
  <c r="Q62" i="40"/>
  <c r="Q78" i="40"/>
  <c r="Q85" i="40"/>
  <c r="Q93" i="40"/>
  <c r="N109" i="40"/>
  <c r="Q109" i="40"/>
  <c r="Q117" i="40"/>
  <c r="Q124" i="40"/>
  <c r="Q132" i="40"/>
  <c r="Q147" i="40"/>
  <c r="Q155" i="40"/>
  <c r="Q162" i="40"/>
  <c r="Q170" i="40"/>
  <c r="Q177" i="40"/>
  <c r="Q185" i="40"/>
  <c r="Q193" i="40"/>
  <c r="Q201" i="40"/>
  <c r="Q208" i="40"/>
  <c r="Q222" i="40"/>
  <c r="Q229" i="40"/>
  <c r="Q237" i="40"/>
  <c r="Q245" i="40"/>
  <c r="Q252" i="40"/>
  <c r="Q260" i="40"/>
  <c r="Q276" i="40"/>
  <c r="Q284" i="40"/>
  <c r="Q290" i="40"/>
  <c r="Q298" i="40"/>
  <c r="Q36" i="40"/>
  <c r="Q44" i="40"/>
  <c r="Q52" i="40"/>
  <c r="Q59" i="40"/>
  <c r="Q75" i="40"/>
  <c r="Q83" i="40"/>
  <c r="Q90" i="40"/>
  <c r="Q106" i="40"/>
  <c r="Q114" i="40"/>
  <c r="Q6" i="40"/>
  <c r="Q129" i="40"/>
  <c r="Q137" i="40"/>
  <c r="Q152" i="40"/>
  <c r="Q159" i="40"/>
  <c r="Q167" i="40"/>
  <c r="Q9" i="40"/>
  <c r="Q182" i="40"/>
  <c r="Q190" i="40"/>
  <c r="Q198" i="40"/>
  <c r="C209" i="40"/>
  <c r="G209" i="40" s="1"/>
  <c r="Q209" i="40"/>
  <c r="Q10" i="40"/>
  <c r="Q242" i="40"/>
  <c r="Q249" i="40"/>
  <c r="Q257" i="40"/>
  <c r="Q265" i="40"/>
  <c r="Q273" i="40"/>
  <c r="Q281" i="40"/>
  <c r="Q311" i="40"/>
  <c r="Q26" i="40"/>
  <c r="Q34" i="40"/>
  <c r="Q49" i="40"/>
  <c r="Q57" i="40"/>
  <c r="Q64" i="40"/>
  <c r="Q72" i="40"/>
  <c r="Q80" i="40"/>
  <c r="Q87" i="40"/>
  <c r="Q103" i="40"/>
  <c r="Q111" i="40"/>
  <c r="Q126" i="40"/>
  <c r="Q134" i="40"/>
  <c r="Q145" i="40"/>
  <c r="Q153" i="40"/>
  <c r="Q168" i="40"/>
  <c r="Q183" i="40"/>
  <c r="Q191" i="40"/>
  <c r="Q199" i="40"/>
  <c r="Q213" i="40"/>
  <c r="Q227" i="40"/>
  <c r="Q235" i="40"/>
  <c r="Q243" i="40"/>
  <c r="Q258" i="40"/>
  <c r="Q274" i="40"/>
  <c r="Q296" i="40"/>
  <c r="Q312" i="40"/>
  <c r="N4" i="40"/>
  <c r="M111" i="40"/>
  <c r="N104" i="40"/>
  <c r="M109" i="40"/>
  <c r="M106" i="40"/>
  <c r="M103" i="40"/>
  <c r="N111" i="40"/>
  <c r="M4" i="40"/>
  <c r="M104" i="40"/>
  <c r="N93" i="40"/>
  <c r="N105" i="40"/>
  <c r="N102" i="40"/>
  <c r="M102" i="40"/>
  <c r="N110" i="40"/>
  <c r="J38" i="39"/>
  <c r="I38" i="39" s="1"/>
  <c r="J31" i="39"/>
  <c r="I31" i="39" s="1"/>
  <c r="J39" i="39"/>
  <c r="I39" i="39" s="1"/>
  <c r="N108" i="40"/>
  <c r="M108" i="40"/>
  <c r="N267" i="40"/>
  <c r="M267" i="40"/>
  <c r="N107" i="40"/>
  <c r="N300" i="40"/>
  <c r="N309" i="40"/>
  <c r="M309" i="40"/>
  <c r="N310" i="40"/>
  <c r="G84" i="39"/>
  <c r="G284" i="39"/>
  <c r="G68" i="39"/>
  <c r="G75" i="39"/>
  <c r="G83" i="39"/>
  <c r="G13" i="39"/>
  <c r="G14" i="39"/>
  <c r="G112" i="39"/>
  <c r="G128" i="39"/>
  <c r="G163" i="39"/>
  <c r="G45" i="39"/>
  <c r="G200" i="39"/>
  <c r="G50" i="39"/>
  <c r="G212" i="39"/>
  <c r="G242" i="39"/>
  <c r="G18" i="39"/>
  <c r="G251" i="39"/>
  <c r="G271" i="39"/>
  <c r="G80" i="39"/>
  <c r="G39" i="39"/>
  <c r="G106" i="39"/>
  <c r="G113" i="39"/>
  <c r="G120" i="39"/>
  <c r="G160" i="39"/>
  <c r="G189" i="39"/>
  <c r="G49" i="39"/>
  <c r="G213" i="39"/>
  <c r="G233" i="39"/>
  <c r="G248" i="39"/>
  <c r="G255" i="39"/>
  <c r="G9" i="39"/>
  <c r="G10" i="39"/>
  <c r="G305" i="39"/>
  <c r="G307" i="39"/>
  <c r="G36" i="39"/>
  <c r="G95" i="39"/>
  <c r="G107" i="39"/>
  <c r="G126" i="39"/>
  <c r="G21" i="39"/>
  <c r="G180" i="39"/>
  <c r="G47" i="39"/>
  <c r="G190" i="39"/>
  <c r="G194" i="39"/>
  <c r="G202" i="39"/>
  <c r="G51" i="39"/>
  <c r="G224" i="39"/>
  <c r="G29" i="39"/>
  <c r="G249" i="39"/>
  <c r="G8" i="39"/>
  <c r="G263" i="39"/>
  <c r="G92" i="39"/>
  <c r="G3" i="39"/>
  <c r="G165" i="39"/>
  <c r="G195" i="39"/>
  <c r="G221" i="39"/>
  <c r="G30" i="39"/>
  <c r="G250" i="39"/>
  <c r="G264" i="39"/>
  <c r="G294" i="39"/>
  <c r="G42" i="39"/>
  <c r="G5" i="39"/>
  <c r="G34" i="39"/>
  <c r="G93" i="39"/>
  <c r="G99" i="39"/>
  <c r="G20" i="39"/>
  <c r="G115" i="39"/>
  <c r="G152" i="39"/>
  <c r="G159" i="39"/>
  <c r="G166" i="39"/>
  <c r="G178" i="39"/>
  <c r="G16" i="39"/>
  <c r="G196" i="39"/>
  <c r="G215" i="39"/>
  <c r="G55" i="39"/>
  <c r="G313" i="39"/>
  <c r="G57" i="39"/>
  <c r="G295" i="39"/>
  <c r="G59" i="39"/>
  <c r="G288" i="39"/>
  <c r="G28" i="39"/>
  <c r="G12" i="39"/>
  <c r="G76" i="39"/>
  <c r="G102" i="39"/>
  <c r="G23" i="39"/>
  <c r="G46" i="39"/>
  <c r="G197" i="39"/>
  <c r="G205" i="39"/>
  <c r="G229" i="39"/>
  <c r="G11" i="39"/>
  <c r="G302" i="39"/>
  <c r="G69" i="39"/>
  <c r="G77" i="39"/>
  <c r="G85" i="39"/>
  <c r="G91" i="39"/>
  <c r="G111" i="39"/>
  <c r="G15" i="39"/>
  <c r="G176" i="39"/>
  <c r="G24" i="39"/>
  <c r="G198" i="39"/>
  <c r="G32" i="39"/>
  <c r="G6" i="39"/>
  <c r="G53" i="39"/>
  <c r="G25" i="39"/>
  <c r="G290" i="39"/>
  <c r="G296" i="39"/>
  <c r="G67" i="39"/>
  <c r="G89" i="39"/>
  <c r="G108" i="39"/>
  <c r="G40" i="39"/>
  <c r="G122" i="39"/>
  <c r="G127" i="39"/>
  <c r="G183" i="39"/>
  <c r="G17" i="39"/>
  <c r="G199" i="39"/>
  <c r="G33" i="39"/>
  <c r="G246" i="39"/>
  <c r="G7" i="39"/>
  <c r="G274" i="39"/>
  <c r="G19" i="39"/>
  <c r="G291" i="39"/>
  <c r="G303" i="39"/>
  <c r="J61" i="39"/>
  <c r="I61" i="39" s="1"/>
  <c r="N61" i="39"/>
  <c r="N75" i="39"/>
  <c r="N83" i="39"/>
  <c r="J83" i="39"/>
  <c r="I83" i="39" s="1"/>
  <c r="J13" i="39"/>
  <c r="I13" i="39" s="1"/>
  <c r="N13" i="39"/>
  <c r="N14" i="39"/>
  <c r="J14" i="39"/>
  <c r="I14" i="39" s="1"/>
  <c r="N105" i="39"/>
  <c r="N119" i="39"/>
  <c r="J119" i="39"/>
  <c r="I119" i="39" s="1"/>
  <c r="N128" i="39"/>
  <c r="N142" i="39"/>
  <c r="J142" i="39"/>
  <c r="I142" i="39" s="1"/>
  <c r="J60" i="39"/>
  <c r="I60" i="39" s="1"/>
  <c r="N60" i="39"/>
  <c r="N156" i="39"/>
  <c r="J156" i="39"/>
  <c r="I156" i="39" s="1"/>
  <c r="N163" i="39"/>
  <c r="J163" i="39"/>
  <c r="I163" i="39" s="1"/>
  <c r="N4" i="39"/>
  <c r="J4" i="39"/>
  <c r="I4" i="39" s="1"/>
  <c r="N175" i="39"/>
  <c r="J175" i="39"/>
  <c r="I175" i="39" s="1"/>
  <c r="N45" i="39"/>
  <c r="N193" i="39"/>
  <c r="J193" i="39"/>
  <c r="I193" i="39" s="1"/>
  <c r="N50" i="39"/>
  <c r="J50" i="39"/>
  <c r="I50" i="39" s="1"/>
  <c r="N212" i="39"/>
  <c r="N226" i="39"/>
  <c r="J226" i="39"/>
  <c r="I226" i="39" s="1"/>
  <c r="J235" i="39"/>
  <c r="I235" i="39" s="1"/>
  <c r="N235" i="39"/>
  <c r="N18" i="39"/>
  <c r="J18" i="39"/>
  <c r="I18" i="39" s="1"/>
  <c r="N271" i="39"/>
  <c r="N279" i="39"/>
  <c r="J279" i="39"/>
  <c r="I279" i="39" s="1"/>
  <c r="N283" i="39"/>
  <c r="J283" i="39"/>
  <c r="I283" i="39" s="1"/>
  <c r="N289" i="39"/>
  <c r="J289" i="39"/>
  <c r="I289" i="39" s="1"/>
  <c r="N298" i="39"/>
  <c r="J298" i="39"/>
  <c r="I298" i="39" s="1"/>
  <c r="J304" i="39"/>
  <c r="I304" i="39" s="1"/>
  <c r="N304" i="39"/>
  <c r="J312" i="39"/>
  <c r="I312" i="39" s="1"/>
  <c r="N312" i="39"/>
  <c r="J292" i="39"/>
  <c r="I292" i="39" s="1"/>
  <c r="N292" i="39"/>
  <c r="N301" i="39"/>
  <c r="J301" i="39"/>
  <c r="I301" i="39" s="1"/>
  <c r="N310" i="39"/>
  <c r="J310" i="39"/>
  <c r="I310" i="39" s="1"/>
  <c r="N66" i="39"/>
  <c r="J66" i="39"/>
  <c r="I66" i="39" s="1"/>
  <c r="N87" i="39"/>
  <c r="J87" i="39"/>
  <c r="I87" i="39" s="1"/>
  <c r="N94" i="39"/>
  <c r="J94" i="39"/>
  <c r="I94" i="39" s="1"/>
  <c r="N39" i="39"/>
  <c r="N106" i="39"/>
  <c r="J106" i="39"/>
  <c r="I106" i="39" s="1"/>
  <c r="N120" i="39"/>
  <c r="J120" i="39"/>
  <c r="I120" i="39" s="1"/>
  <c r="J133" i="39"/>
  <c r="I133" i="39" s="1"/>
  <c r="N133" i="39"/>
  <c r="N147" i="39"/>
  <c r="J147" i="39"/>
  <c r="I147" i="39" s="1"/>
  <c r="N153" i="39"/>
  <c r="J153" i="39"/>
  <c r="I153" i="39" s="1"/>
  <c r="N160" i="39"/>
  <c r="J160" i="39"/>
  <c r="I160" i="39" s="1"/>
  <c r="N167" i="39"/>
  <c r="J167" i="39"/>
  <c r="I167" i="39" s="1"/>
  <c r="N179" i="39"/>
  <c r="J179" i="39"/>
  <c r="I179" i="39" s="1"/>
  <c r="N189" i="39"/>
  <c r="J49" i="39"/>
  <c r="I49" i="39" s="1"/>
  <c r="N49" i="39"/>
  <c r="N201" i="39"/>
  <c r="J201" i="39"/>
  <c r="I201" i="39" s="1"/>
  <c r="N207" i="39"/>
  <c r="J207" i="39"/>
  <c r="I207" i="39" s="1"/>
  <c r="N213" i="39"/>
  <c r="J213" i="39"/>
  <c r="I213" i="39" s="1"/>
  <c r="J217" i="39"/>
  <c r="I217" i="39" s="1"/>
  <c r="N217" i="39"/>
  <c r="J35" i="39"/>
  <c r="I35" i="39" s="1"/>
  <c r="N35" i="39"/>
  <c r="N52" i="39"/>
  <c r="J52" i="39"/>
  <c r="I52" i="39" s="1"/>
  <c r="N56" i="39"/>
  <c r="J56" i="39"/>
  <c r="I56" i="39" s="1"/>
  <c r="N248" i="39"/>
  <c r="N255" i="39"/>
  <c r="J255" i="39"/>
  <c r="I255" i="39" s="1"/>
  <c r="N262" i="39"/>
  <c r="J262" i="39"/>
  <c r="I262" i="39" s="1"/>
  <c r="N9" i="39"/>
  <c r="J9" i="39"/>
  <c r="J280" i="39"/>
  <c r="I280" i="39" s="1"/>
  <c r="N280" i="39"/>
  <c r="J10" i="39"/>
  <c r="I10" i="39" s="1"/>
  <c r="N10" i="39"/>
  <c r="N307" i="39"/>
  <c r="J307" i="39"/>
  <c r="I307" i="39" s="1"/>
  <c r="N36" i="39"/>
  <c r="J36" i="39"/>
  <c r="N81" i="39"/>
  <c r="J81" i="39"/>
  <c r="I81" i="39" s="1"/>
  <c r="N88" i="39"/>
  <c r="J88" i="39"/>
  <c r="I88" i="39" s="1"/>
  <c r="N100" i="39"/>
  <c r="J100" i="39"/>
  <c r="I100" i="39" s="1"/>
  <c r="N107" i="39"/>
  <c r="J121" i="39"/>
  <c r="I121" i="39" s="1"/>
  <c r="N121" i="39"/>
  <c r="J126" i="39"/>
  <c r="I126" i="39" s="1"/>
  <c r="N126" i="39"/>
  <c r="J21" i="39"/>
  <c r="I21" i="39" s="1"/>
  <c r="N21" i="39"/>
  <c r="J140" i="39"/>
  <c r="I140" i="39" s="1"/>
  <c r="N140" i="39"/>
  <c r="J148" i="39"/>
  <c r="I148" i="39" s="1"/>
  <c r="N148" i="39"/>
  <c r="N154" i="39"/>
  <c r="J154" i="39"/>
  <c r="I154" i="39" s="1"/>
  <c r="N161" i="39"/>
  <c r="J161" i="39"/>
  <c r="I161" i="39" s="1"/>
  <c r="J168" i="39"/>
  <c r="I168" i="39" s="1"/>
  <c r="N168" i="39"/>
  <c r="N180" i="39"/>
  <c r="J180" i="39"/>
  <c r="I180" i="39" s="1"/>
  <c r="N47" i="39"/>
  <c r="J47" i="39"/>
  <c r="N194" i="39"/>
  <c r="N202" i="39"/>
  <c r="J208" i="39"/>
  <c r="I208" i="39" s="1"/>
  <c r="N208" i="39"/>
  <c r="N51" i="39"/>
  <c r="J51" i="39"/>
  <c r="I51" i="39" s="1"/>
  <c r="N230" i="39"/>
  <c r="J230" i="39"/>
  <c r="I230" i="39" s="1"/>
  <c r="N240" i="39"/>
  <c r="J240" i="39"/>
  <c r="I240" i="39" s="1"/>
  <c r="N29" i="39"/>
  <c r="N8" i="39"/>
  <c r="J8" i="39"/>
  <c r="I8" i="39" s="1"/>
  <c r="N263" i="39"/>
  <c r="J269" i="39"/>
  <c r="I269" i="39" s="1"/>
  <c r="N269" i="39"/>
  <c r="J281" i="39"/>
  <c r="I281" i="39" s="1"/>
  <c r="N281" i="39"/>
  <c r="N26" i="39"/>
  <c r="J26" i="39"/>
  <c r="I26" i="39" s="1"/>
  <c r="N293" i="39"/>
  <c r="J293" i="39"/>
  <c r="I293" i="39" s="1"/>
  <c r="J300" i="39"/>
  <c r="I300" i="39" s="1"/>
  <c r="N300" i="39"/>
  <c r="N64" i="39"/>
  <c r="J64" i="39"/>
  <c r="I64" i="39" s="1"/>
  <c r="N70" i="39"/>
  <c r="J70" i="39"/>
  <c r="I70" i="39" s="1"/>
  <c r="N86" i="39"/>
  <c r="J86" i="39"/>
  <c r="I86" i="39" s="1"/>
  <c r="N92" i="39"/>
  <c r="J92" i="39"/>
  <c r="I92" i="39" s="1"/>
  <c r="N98" i="39"/>
  <c r="J98" i="39"/>
  <c r="I98" i="39" s="1"/>
  <c r="N104" i="39"/>
  <c r="J104" i="39"/>
  <c r="I104" i="39" s="1"/>
  <c r="J118" i="39"/>
  <c r="I118" i="39" s="1"/>
  <c r="N118" i="39"/>
  <c r="J125" i="39"/>
  <c r="I125" i="39" s="1"/>
  <c r="N125" i="39"/>
  <c r="N138" i="39"/>
  <c r="J138" i="39"/>
  <c r="I138" i="39" s="1"/>
  <c r="N145" i="39"/>
  <c r="J145" i="39"/>
  <c r="I145" i="39" s="1"/>
  <c r="N151" i="39"/>
  <c r="J151" i="39"/>
  <c r="I151" i="39" s="1"/>
  <c r="N158" i="39"/>
  <c r="J158" i="39"/>
  <c r="I158" i="39" s="1"/>
  <c r="J174" i="39"/>
  <c r="I174" i="39" s="1"/>
  <c r="N174" i="39"/>
  <c r="N181" i="39"/>
  <c r="J184" i="39"/>
  <c r="I184" i="39" s="1"/>
  <c r="N184" i="39"/>
  <c r="N48" i="39"/>
  <c r="J48" i="39"/>
  <c r="I48" i="39" s="1"/>
  <c r="J209" i="39"/>
  <c r="I209" i="39" s="1"/>
  <c r="N209" i="39"/>
  <c r="N214" i="39"/>
  <c r="J214" i="39"/>
  <c r="I214" i="39" s="1"/>
  <c r="N228" i="39"/>
  <c r="J228" i="39"/>
  <c r="I228" i="39" s="1"/>
  <c r="J234" i="39"/>
  <c r="I234" i="39" s="1"/>
  <c r="N234" i="39"/>
  <c r="J241" i="39"/>
  <c r="I241" i="39" s="1"/>
  <c r="N241" i="39"/>
  <c r="N30" i="39"/>
  <c r="J264" i="39"/>
  <c r="I264" i="39" s="1"/>
  <c r="N264" i="39"/>
  <c r="N278" i="39"/>
  <c r="J278" i="39"/>
  <c r="I278" i="39" s="1"/>
  <c r="N282" i="39"/>
  <c r="J282" i="39"/>
  <c r="I282" i="39" s="1"/>
  <c r="N27" i="39"/>
  <c r="J27" i="39"/>
  <c r="I27" i="39" s="1"/>
  <c r="J58" i="39"/>
  <c r="I58" i="39" s="1"/>
  <c r="N58" i="39"/>
  <c r="N311" i="39"/>
  <c r="J311" i="39"/>
  <c r="I311" i="39" s="1"/>
  <c r="N84" i="39"/>
  <c r="J84" i="39"/>
  <c r="I84" i="39" s="1"/>
  <c r="J284" i="39"/>
  <c r="I284" i="39" s="1"/>
  <c r="N284" i="39"/>
  <c r="N71" i="39"/>
  <c r="J71" i="39"/>
  <c r="I71" i="39" s="1"/>
  <c r="N79" i="39"/>
  <c r="J79" i="39"/>
  <c r="I79" i="39" s="1"/>
  <c r="J34" i="39"/>
  <c r="N34" i="39"/>
  <c r="J99" i="39"/>
  <c r="I99" i="39" s="1"/>
  <c r="N99" i="39"/>
  <c r="N20" i="39"/>
  <c r="J20" i="39"/>
  <c r="I20" i="39" s="1"/>
  <c r="N109" i="39"/>
  <c r="J109" i="39"/>
  <c r="I109" i="39" s="1"/>
  <c r="J132" i="39"/>
  <c r="I132" i="39" s="1"/>
  <c r="N132" i="39"/>
  <c r="J43" i="39"/>
  <c r="I43" i="39" s="1"/>
  <c r="N43" i="39"/>
  <c r="J146" i="39"/>
  <c r="I146" i="39" s="1"/>
  <c r="N146" i="39"/>
  <c r="N171" i="39"/>
  <c r="J171" i="39"/>
  <c r="I171" i="39" s="1"/>
  <c r="N178" i="39"/>
  <c r="J178" i="39"/>
  <c r="I178" i="39" s="1"/>
  <c r="J16" i="39"/>
  <c r="I16" i="39" s="1"/>
  <c r="N16" i="39"/>
  <c r="N191" i="39"/>
  <c r="J191" i="39"/>
  <c r="I191" i="39" s="1"/>
  <c r="J204" i="39"/>
  <c r="I204" i="39" s="1"/>
  <c r="N204" i="39"/>
  <c r="N210" i="39"/>
  <c r="J210" i="39"/>
  <c r="I210" i="39" s="1"/>
  <c r="J215" i="39"/>
  <c r="I215" i="39" s="1"/>
  <c r="N215" i="39"/>
  <c r="J239" i="39"/>
  <c r="I239" i="39" s="1"/>
  <c r="N239" i="39"/>
  <c r="J55" i="39"/>
  <c r="I55" i="39" s="1"/>
  <c r="N55" i="39"/>
  <c r="J247" i="39"/>
  <c r="I247" i="39" s="1"/>
  <c r="N247" i="39"/>
  <c r="N254" i="39"/>
  <c r="J254" i="39"/>
  <c r="I254" i="39" s="1"/>
  <c r="N313" i="39"/>
  <c r="J313" i="39"/>
  <c r="N275" i="39"/>
  <c r="J275" i="39"/>
  <c r="I275" i="39" s="1"/>
  <c r="N57" i="39"/>
  <c r="J57" i="39"/>
  <c r="I57" i="39" s="1"/>
  <c r="N287" i="39"/>
  <c r="J287" i="39"/>
  <c r="I287" i="39" s="1"/>
  <c r="J59" i="39"/>
  <c r="I59" i="39" s="1"/>
  <c r="N59" i="39"/>
  <c r="N308" i="39"/>
  <c r="J308" i="39"/>
  <c r="I308" i="39" s="1"/>
  <c r="N288" i="39"/>
  <c r="J288" i="39"/>
  <c r="I288" i="39" s="1"/>
  <c r="N28" i="39"/>
  <c r="J28" i="39"/>
  <c r="I28" i="39" s="1"/>
  <c r="N309" i="39"/>
  <c r="J309" i="39"/>
  <c r="I309" i="39" s="1"/>
  <c r="J12" i="39"/>
  <c r="I12" i="39" s="1"/>
  <c r="N12" i="39"/>
  <c r="J37" i="39"/>
  <c r="I37" i="39" s="1"/>
  <c r="N37" i="39"/>
  <c r="J102" i="39"/>
  <c r="I102" i="39" s="1"/>
  <c r="N102" i="39"/>
  <c r="N110" i="39"/>
  <c r="J110" i="39"/>
  <c r="I110" i="39" s="1"/>
  <c r="N116" i="39"/>
  <c r="J116" i="39"/>
  <c r="I116" i="39" s="1"/>
  <c r="N129" i="39"/>
  <c r="J129" i="39"/>
  <c r="I129" i="39" s="1"/>
  <c r="N136" i="39"/>
  <c r="J136" i="39"/>
  <c r="I136" i="39" s="1"/>
  <c r="J143" i="39"/>
  <c r="I143" i="39" s="1"/>
  <c r="N143" i="39"/>
  <c r="N22" i="39"/>
  <c r="J22" i="39"/>
  <c r="I22" i="39" s="1"/>
  <c r="N157" i="39"/>
  <c r="J157" i="39"/>
  <c r="I157" i="39" s="1"/>
  <c r="N164" i="39"/>
  <c r="J164" i="39"/>
  <c r="I164" i="39" s="1"/>
  <c r="J169" i="39"/>
  <c r="I169" i="39" s="1"/>
  <c r="N169" i="39"/>
  <c r="J23" i="39"/>
  <c r="I23" i="39" s="1"/>
  <c r="N23" i="39"/>
  <c r="N46" i="39"/>
  <c r="N185" i="39"/>
  <c r="J185" i="39"/>
  <c r="I185" i="39" s="1"/>
  <c r="N192" i="39"/>
  <c r="J192" i="39"/>
  <c r="I192" i="39" s="1"/>
  <c r="N197" i="39"/>
  <c r="J211" i="39"/>
  <c r="I211" i="39" s="1"/>
  <c r="N211" i="39"/>
  <c r="N216" i="39"/>
  <c r="J216" i="39"/>
  <c r="I216" i="39" s="1"/>
  <c r="J223" i="39"/>
  <c r="I223" i="39" s="1"/>
  <c r="N223" i="39"/>
  <c r="J243" i="39"/>
  <c r="I243" i="39" s="1"/>
  <c r="N243" i="39"/>
  <c r="N252" i="39"/>
  <c r="J252" i="39"/>
  <c r="N258" i="39"/>
  <c r="J258" i="39"/>
  <c r="I258" i="39" s="1"/>
  <c r="N11" i="39"/>
  <c r="N299" i="39"/>
  <c r="J299" i="39"/>
  <c r="I299" i="39" s="1"/>
  <c r="N85" i="39"/>
  <c r="N91" i="39"/>
  <c r="J91" i="39"/>
  <c r="I91" i="39" s="1"/>
  <c r="J97" i="39"/>
  <c r="N97" i="39"/>
  <c r="N103" i="39"/>
  <c r="J103" i="39"/>
  <c r="I103" i="39" s="1"/>
  <c r="N117" i="39"/>
  <c r="J117" i="39"/>
  <c r="I117" i="39" s="1"/>
  <c r="J41" i="39"/>
  <c r="I41" i="39" s="1"/>
  <c r="N41" i="39"/>
  <c r="N130" i="39"/>
  <c r="J130" i="39"/>
  <c r="I130" i="39" s="1"/>
  <c r="J144" i="39"/>
  <c r="I144" i="39" s="1"/>
  <c r="N144" i="39"/>
  <c r="J150" i="39"/>
  <c r="I150" i="39" s="1"/>
  <c r="N150" i="39"/>
  <c r="J15" i="39"/>
  <c r="I15" i="39" s="1"/>
  <c r="N15" i="39"/>
  <c r="J44" i="39"/>
  <c r="I44" i="39" s="1"/>
  <c r="N44" i="39"/>
  <c r="N170" i="39"/>
  <c r="J170" i="39"/>
  <c r="I170" i="39" s="1"/>
  <c r="N182" i="39"/>
  <c r="J182" i="39"/>
  <c r="I182" i="39" s="1"/>
  <c r="N186" i="39"/>
  <c r="J186" i="39"/>
  <c r="I186" i="39" s="1"/>
  <c r="J24" i="39"/>
  <c r="I24" i="39" s="1"/>
  <c r="N24" i="39"/>
  <c r="N198" i="39"/>
  <c r="J198" i="39"/>
  <c r="J32" i="39"/>
  <c r="I32" i="39" s="1"/>
  <c r="N32" i="39"/>
  <c r="N6" i="39"/>
  <c r="J6" i="39"/>
  <c r="I6" i="39" s="1"/>
  <c r="J218" i="39"/>
  <c r="I218" i="39" s="1"/>
  <c r="N218" i="39"/>
  <c r="N227" i="39"/>
  <c r="J227" i="39"/>
  <c r="I227" i="39" s="1"/>
  <c r="N53" i="39"/>
  <c r="J53" i="39"/>
  <c r="I53" i="39" s="1"/>
  <c r="N253" i="39"/>
  <c r="J253" i="39"/>
  <c r="I253" i="39" s="1"/>
  <c r="N259" i="39"/>
  <c r="J259" i="39"/>
  <c r="I259" i="39" s="1"/>
  <c r="N267" i="39"/>
  <c r="J267" i="39"/>
  <c r="I267" i="39" s="1"/>
  <c r="J273" i="39"/>
  <c r="I273" i="39" s="1"/>
  <c r="N273" i="39"/>
  <c r="N25" i="39"/>
  <c r="J25" i="39"/>
  <c r="I25" i="39" s="1"/>
  <c r="N285" i="39"/>
  <c r="J285" i="39"/>
  <c r="I285" i="39" s="1"/>
  <c r="N306" i="39"/>
  <c r="J306" i="39"/>
  <c r="I306" i="39" s="1"/>
  <c r="N74" i="39"/>
  <c r="J74" i="39"/>
  <c r="I74" i="39" s="1"/>
  <c r="N82" i="39"/>
  <c r="J82" i="39"/>
  <c r="I82" i="39" s="1"/>
  <c r="N38" i="39"/>
  <c r="N101" i="39"/>
  <c r="J101" i="39"/>
  <c r="I101" i="39" s="1"/>
  <c r="N108" i="39"/>
  <c r="N40" i="39"/>
  <c r="N122" i="39"/>
  <c r="J122" i="39"/>
  <c r="I122" i="39" s="1"/>
  <c r="J127" i="39"/>
  <c r="I127" i="39" s="1"/>
  <c r="N127" i="39"/>
  <c r="N141" i="39"/>
  <c r="J141" i="39"/>
  <c r="I141" i="39" s="1"/>
  <c r="N149" i="39"/>
  <c r="J149" i="39"/>
  <c r="I149" i="39" s="1"/>
  <c r="J162" i="39"/>
  <c r="I162" i="39" s="1"/>
  <c r="N162" i="39"/>
  <c r="N31" i="39"/>
  <c r="N177" i="39"/>
  <c r="J177" i="39"/>
  <c r="I177" i="39" s="1"/>
  <c r="J183" i="39"/>
  <c r="I183" i="39" s="1"/>
  <c r="N183" i="39"/>
  <c r="J17" i="39"/>
  <c r="I17" i="39" s="1"/>
  <c r="N17" i="39"/>
  <c r="J206" i="39"/>
  <c r="I206" i="39" s="1"/>
  <c r="N206" i="39"/>
  <c r="J33" i="39"/>
  <c r="I33" i="39" s="1"/>
  <c r="N33" i="39"/>
  <c r="J219" i="39"/>
  <c r="N219" i="39"/>
  <c r="N231" i="39"/>
  <c r="J231" i="39"/>
  <c r="I231" i="39" s="1"/>
  <c r="N54" i="39"/>
  <c r="J54" i="39"/>
  <c r="I54" i="39" s="1"/>
  <c r="N246" i="39"/>
  <c r="N7" i="39"/>
  <c r="J7" i="39"/>
  <c r="I7" i="39" s="1"/>
  <c r="N268" i="39"/>
  <c r="J268" i="39"/>
  <c r="N19" i="39"/>
  <c r="J19" i="39"/>
  <c r="I19" i="39" s="1"/>
  <c r="J297" i="39"/>
  <c r="I297" i="39" s="1"/>
  <c r="N297" i="39"/>
  <c r="N42" i="39"/>
  <c r="J42" i="39"/>
  <c r="I42" i="39" s="1"/>
  <c r="N5" i="39"/>
  <c r="J5" i="39"/>
  <c r="I5" i="39" s="1"/>
  <c r="AB77" i="21"/>
  <c r="AB16" i="21"/>
  <c r="AB138" i="21"/>
  <c r="AB234" i="21"/>
  <c r="AB11" i="21"/>
  <c r="AB251" i="21"/>
  <c r="AB25" i="21"/>
  <c r="AB112" i="21"/>
  <c r="AB288" i="21"/>
  <c r="AB31" i="21"/>
  <c r="AB294" i="21"/>
  <c r="AB10" i="21"/>
  <c r="AB88" i="21"/>
  <c r="AB9" i="21"/>
  <c r="AB287" i="21"/>
  <c r="AB5" i="21"/>
  <c r="AB126" i="21"/>
  <c r="AB249" i="21"/>
  <c r="AB57" i="21"/>
  <c r="AB206" i="21"/>
  <c r="AB186" i="21"/>
  <c r="AB291" i="21"/>
  <c r="AB68" i="21"/>
  <c r="AB200" i="21"/>
  <c r="AB227" i="21"/>
  <c r="AB248" i="21"/>
  <c r="AB267" i="21"/>
  <c r="AB197" i="21"/>
  <c r="AB205" i="21"/>
  <c r="AB130" i="21"/>
  <c r="AB274" i="21"/>
  <c r="AB132" i="21"/>
  <c r="AB308" i="21"/>
  <c r="AB124" i="21"/>
  <c r="AB97" i="21"/>
  <c r="AB8" i="21"/>
  <c r="AB265" i="21"/>
  <c r="AB108" i="21"/>
  <c r="AB79" i="21"/>
  <c r="AB209" i="21"/>
  <c r="AB151" i="21"/>
  <c r="AA17" i="37"/>
  <c r="AA7" i="37"/>
  <c r="AA20" i="37"/>
  <c r="AA23" i="37"/>
  <c r="AA22" i="37"/>
  <c r="AA25" i="37"/>
  <c r="AA27" i="37"/>
  <c r="AA32" i="37"/>
  <c r="AA13" i="37"/>
  <c r="AA6" i="37"/>
  <c r="AA16" i="37"/>
  <c r="AA19" i="37"/>
  <c r="AA18" i="37"/>
  <c r="AA8" i="37"/>
  <c r="AA11" i="37"/>
  <c r="AA9" i="37"/>
  <c r="AA5" i="37"/>
  <c r="AA12" i="37"/>
  <c r="AA15" i="37"/>
  <c r="AA14" i="37"/>
  <c r="AA24" i="37"/>
  <c r="AA10" i="37"/>
  <c r="AA29" i="37"/>
  <c r="AA30" i="37"/>
  <c r="AA59" i="37"/>
  <c r="AB59" i="37" s="1"/>
  <c r="AA52" i="37"/>
  <c r="AB52" i="37" s="1"/>
  <c r="AC52" i="37" s="1"/>
  <c r="AA49" i="37"/>
  <c r="AB49" i="37" s="1"/>
  <c r="AC49" i="37" s="1"/>
  <c r="AA66" i="37"/>
  <c r="AB66" i="37" s="1"/>
  <c r="AC66" i="37" s="1"/>
  <c r="AA99" i="37"/>
  <c r="AB99" i="37" s="1"/>
  <c r="AC99" i="37" s="1"/>
  <c r="AA88" i="37"/>
  <c r="AB88" i="37" s="1"/>
  <c r="AC88" i="37" s="1"/>
  <c r="AA136" i="37"/>
  <c r="AB136" i="37" s="1"/>
  <c r="AC136" i="37" s="1"/>
  <c r="AA127" i="37"/>
  <c r="AB127" i="37" s="1"/>
  <c r="AC127" i="37" s="1"/>
  <c r="AA233" i="37"/>
  <c r="AB233" i="37" s="1"/>
  <c r="AC233" i="37" s="1"/>
  <c r="AA203" i="37"/>
  <c r="AA184" i="37"/>
  <c r="AB184" i="37" s="1"/>
  <c r="AC184" i="37" s="1"/>
  <c r="AA196" i="37"/>
  <c r="AB196" i="37" s="1"/>
  <c r="AC196" i="37" s="1"/>
  <c r="AA211" i="37"/>
  <c r="AB211" i="37" s="1"/>
  <c r="AC211" i="37" s="1"/>
  <c r="AA190" i="37"/>
  <c r="AB190" i="37" s="1"/>
  <c r="AC190" i="37" s="1"/>
  <c r="AA244" i="37"/>
  <c r="AB244" i="37" s="1"/>
  <c r="AC244" i="37" s="1"/>
  <c r="AA285" i="37"/>
  <c r="AA298" i="37"/>
  <c r="AB298" i="37" s="1"/>
  <c r="AC298" i="37" s="1"/>
  <c r="AA315" i="37"/>
  <c r="AB315" i="37" s="1"/>
  <c r="AC315" i="37" s="1"/>
  <c r="AA60" i="37"/>
  <c r="AB60" i="37" s="1"/>
  <c r="AC60" i="37" s="1"/>
  <c r="AA63" i="37"/>
  <c r="AB63" i="37" s="1"/>
  <c r="AC63" i="37" s="1"/>
  <c r="AA97" i="37"/>
  <c r="AB97" i="37" s="1"/>
  <c r="AC97" i="37" s="1"/>
  <c r="AA102" i="37"/>
  <c r="AB102" i="37" s="1"/>
  <c r="AC102" i="37" s="1"/>
  <c r="AA129" i="37"/>
  <c r="AB129" i="37" s="1"/>
  <c r="AC129" i="37" s="1"/>
  <c r="AA122" i="37"/>
  <c r="AB122" i="37" s="1"/>
  <c r="AC122" i="37" s="1"/>
  <c r="AA124" i="37"/>
  <c r="AB124" i="37" s="1"/>
  <c r="AC124" i="37" s="1"/>
  <c r="AA173" i="37"/>
  <c r="AB173" i="37" s="1"/>
  <c r="AC173" i="37" s="1"/>
  <c r="AA164" i="37"/>
  <c r="AB164" i="37" s="1"/>
  <c r="AC164" i="37" s="1"/>
  <c r="AA157" i="37"/>
  <c r="AB157" i="37" s="1"/>
  <c r="AC157" i="37" s="1"/>
  <c r="AA166" i="37"/>
  <c r="AB166" i="37" s="1"/>
  <c r="AC166" i="37" s="1"/>
  <c r="AA230" i="37"/>
  <c r="AB230" i="37" s="1"/>
  <c r="AC230" i="37" s="1"/>
  <c r="AA259" i="37"/>
  <c r="AB259" i="37" s="1"/>
  <c r="AC259" i="37" s="1"/>
  <c r="AA228" i="37"/>
  <c r="AB228" i="37" s="1"/>
  <c r="AC228" i="37" s="1"/>
  <c r="AA255" i="37"/>
  <c r="AB255" i="37" s="1"/>
  <c r="AC255" i="37" s="1"/>
  <c r="AA264" i="37"/>
  <c r="AB264" i="37" s="1"/>
  <c r="AC264" i="37" s="1"/>
  <c r="AA287" i="37"/>
  <c r="AB287" i="37" s="1"/>
  <c r="AC287" i="37" s="1"/>
  <c r="AA305" i="37"/>
  <c r="AB305" i="37" s="1"/>
  <c r="AC305" i="37" s="1"/>
  <c r="AA44" i="37"/>
  <c r="AA69" i="37"/>
  <c r="AB69" i="37" s="1"/>
  <c r="AC69" i="37" s="1"/>
  <c r="AA74" i="37"/>
  <c r="AB74" i="37" s="1"/>
  <c r="AC74" i="37" s="1"/>
  <c r="AA107" i="37"/>
  <c r="AB107" i="37" s="1"/>
  <c r="AC107" i="37" s="1"/>
  <c r="AA96" i="37"/>
  <c r="AB96" i="37" s="1"/>
  <c r="AC96" i="37" s="1"/>
  <c r="AA181" i="37"/>
  <c r="AB181" i="37" s="1"/>
  <c r="AC181" i="37" s="1"/>
  <c r="AA134" i="37"/>
  <c r="AB134" i="37" s="1"/>
  <c r="AC134" i="37" s="1"/>
  <c r="AA257" i="37"/>
  <c r="AB257" i="37" s="1"/>
  <c r="AC257" i="37" s="1"/>
  <c r="AA209" i="37"/>
  <c r="AB209" i="37" s="1"/>
  <c r="AC209" i="37" s="1"/>
  <c r="AA138" i="37"/>
  <c r="AB138" i="37" s="1"/>
  <c r="AC138" i="37" s="1"/>
  <c r="AA204" i="37"/>
  <c r="AB204" i="37" s="1"/>
  <c r="AC204" i="37" s="1"/>
  <c r="AA219" i="37"/>
  <c r="AB219" i="37" s="1"/>
  <c r="AC219" i="37" s="1"/>
  <c r="AA198" i="37"/>
  <c r="AB198" i="37" s="1"/>
  <c r="AC198" i="37" s="1"/>
  <c r="AA250" i="37"/>
  <c r="AB250" i="37" s="1"/>
  <c r="AC250" i="37" s="1"/>
  <c r="AA242" i="37"/>
  <c r="AB242" i="37" s="1"/>
  <c r="AC242" i="37" s="1"/>
  <c r="AA275" i="37"/>
  <c r="AB275" i="37" s="1"/>
  <c r="AC275" i="37" s="1"/>
  <c r="AA292" i="37"/>
  <c r="AB292" i="37" s="1"/>
  <c r="AC292" i="37" s="1"/>
  <c r="AA34" i="37"/>
  <c r="AA45" i="37"/>
  <c r="AB45" i="37" s="1"/>
  <c r="AC45" i="37" s="1"/>
  <c r="AA62" i="37"/>
  <c r="AB62" i="37" s="1"/>
  <c r="AC62" i="37" s="1"/>
  <c r="AA95" i="37"/>
  <c r="AB95" i="37" s="1"/>
  <c r="AC95" i="37" s="1"/>
  <c r="AA84" i="37"/>
  <c r="AB84" i="37" s="1"/>
  <c r="AC84" i="37" s="1"/>
  <c r="AA163" i="37"/>
  <c r="AB163" i="37" s="1"/>
  <c r="AC163" i="37" s="1"/>
  <c r="AA125" i="37"/>
  <c r="AB125" i="37" s="1"/>
  <c r="AC125" i="37" s="1"/>
  <c r="AA229" i="37"/>
  <c r="AB229" i="37" s="1"/>
  <c r="AC229" i="37" s="1"/>
  <c r="AA201" i="37"/>
  <c r="AB201" i="37" s="1"/>
  <c r="AC201" i="37" s="1"/>
  <c r="AA183" i="37"/>
  <c r="AB183" i="37" s="1"/>
  <c r="AC183" i="37" s="1"/>
  <c r="AA192" i="37"/>
  <c r="AB192" i="37" s="1"/>
  <c r="AC192" i="37" s="1"/>
  <c r="AA205" i="37"/>
  <c r="AB205" i="37" s="1"/>
  <c r="AC205" i="37" s="1"/>
  <c r="AA188" i="37"/>
  <c r="AB188" i="37" s="1"/>
  <c r="AC188" i="37" s="1"/>
  <c r="AA240" i="37"/>
  <c r="AB240" i="37" s="1"/>
  <c r="AC240" i="37" s="1"/>
  <c r="AA282" i="37"/>
  <c r="AB282" i="37" s="1"/>
  <c r="AC282" i="37" s="1"/>
  <c r="AA289" i="37"/>
  <c r="AB289" i="37" s="1"/>
  <c r="AC289" i="37" s="1"/>
  <c r="AA311" i="37"/>
  <c r="AB311" i="37" s="1"/>
  <c r="AC311" i="37" s="1"/>
  <c r="AA31" i="37"/>
  <c r="AA35" i="37"/>
  <c r="AA83" i="37"/>
  <c r="AB83" i="37" s="1"/>
  <c r="AC83" i="37" s="1"/>
  <c r="AA155" i="37"/>
  <c r="AB155" i="37" s="1"/>
  <c r="AC155" i="37" s="1"/>
  <c r="AA169" i="37"/>
  <c r="AA271" i="37"/>
  <c r="AB271" i="37" s="1"/>
  <c r="AC271" i="37" s="1"/>
  <c r="AA274" i="37"/>
  <c r="AB274" i="37" s="1"/>
  <c r="AC274" i="37" s="1"/>
  <c r="AA53" i="37"/>
  <c r="AB53" i="37" s="1"/>
  <c r="AC53" i="37" s="1"/>
  <c r="AA112" i="37"/>
  <c r="AB112" i="37" s="1"/>
  <c r="AC112" i="37" s="1"/>
  <c r="AA143" i="37"/>
  <c r="AB143" i="37" s="1"/>
  <c r="AC143" i="37" s="1"/>
  <c r="AA150" i="37"/>
  <c r="AA212" i="37"/>
  <c r="AB212" i="37" s="1"/>
  <c r="AC212" i="37" s="1"/>
  <c r="AA293" i="37"/>
  <c r="AB293" i="37" s="1"/>
  <c r="AC293" i="37" s="1"/>
  <c r="AA43" i="37"/>
  <c r="AA91" i="37"/>
  <c r="AB91" i="37" s="1"/>
  <c r="AC91" i="37" s="1"/>
  <c r="AA185" i="37"/>
  <c r="AB185" i="37" s="1"/>
  <c r="AC185" i="37" s="1"/>
  <c r="AA179" i="37"/>
  <c r="AB179" i="37" s="1"/>
  <c r="AC179" i="37" s="1"/>
  <c r="AA186" i="37"/>
  <c r="AB186" i="37" s="1"/>
  <c r="AC186" i="37" s="1"/>
  <c r="AA276" i="37"/>
  <c r="AB276" i="37" s="1"/>
  <c r="AC276" i="37" s="1"/>
  <c r="AA307" i="37"/>
  <c r="AB307" i="37" s="1"/>
  <c r="AC307" i="37" s="1"/>
  <c r="AA105" i="37"/>
  <c r="AB105" i="37" s="1"/>
  <c r="AC105" i="37" s="1"/>
  <c r="AA128" i="37"/>
  <c r="AB128" i="37" s="1"/>
  <c r="AC128" i="37" s="1"/>
  <c r="AA174" i="37"/>
  <c r="AB174" i="37" s="1"/>
  <c r="AC174" i="37" s="1"/>
  <c r="AA238" i="37"/>
  <c r="AB238" i="37" s="1"/>
  <c r="AC238" i="37" s="1"/>
  <c r="AA265" i="37"/>
  <c r="AB265" i="37" s="1"/>
  <c r="AC265" i="37" s="1"/>
  <c r="AA313" i="37"/>
  <c r="AB313" i="37" s="1"/>
  <c r="AC313" i="37" s="1"/>
  <c r="AA26" i="37"/>
  <c r="AA21" i="37"/>
  <c r="AA37" i="37"/>
  <c r="AA61" i="37"/>
  <c r="AB61" i="37" s="1"/>
  <c r="AC61" i="37" s="1"/>
  <c r="AA77" i="37"/>
  <c r="AB77" i="37" s="1"/>
  <c r="AC77" i="37" s="1"/>
  <c r="AA82" i="37"/>
  <c r="AB82" i="37" s="1"/>
  <c r="AC82" i="37" s="1"/>
  <c r="AA111" i="37"/>
  <c r="AB111" i="37" s="1"/>
  <c r="AC111" i="37" s="1"/>
  <c r="AA104" i="37"/>
  <c r="AA189" i="37"/>
  <c r="AB189" i="37" s="1"/>
  <c r="AC189" i="37" s="1"/>
  <c r="AA140" i="37"/>
  <c r="AB140" i="37" s="1"/>
  <c r="AC140" i="37" s="1"/>
  <c r="AA312" i="37"/>
  <c r="AB312" i="37" s="1"/>
  <c r="AC312" i="37" s="1"/>
  <c r="AA137" i="37"/>
  <c r="AB137" i="37" s="1"/>
  <c r="AC137" i="37" s="1"/>
  <c r="AA146" i="37"/>
  <c r="AB146" i="37" s="1"/>
  <c r="AC146" i="37" s="1"/>
  <c r="AA210" i="37"/>
  <c r="AB210" i="37" s="1"/>
  <c r="AC210" i="37" s="1"/>
  <c r="AA227" i="37"/>
  <c r="AB227" i="37" s="1"/>
  <c r="AC227" i="37" s="1"/>
  <c r="AA206" i="37"/>
  <c r="AB206" i="37" s="1"/>
  <c r="AC206" i="37" s="1"/>
  <c r="AA258" i="37"/>
  <c r="AB258" i="37" s="1"/>
  <c r="AC258" i="37" s="1"/>
  <c r="AA252" i="37"/>
  <c r="AB252" i="37" s="1"/>
  <c r="AC252" i="37" s="1"/>
  <c r="AA290" i="37"/>
  <c r="AB290" i="37" s="1"/>
  <c r="AC290" i="37" s="1"/>
  <c r="AA300" i="37"/>
  <c r="AB300" i="37" s="1"/>
  <c r="AC300" i="37" s="1"/>
  <c r="AA41" i="37"/>
  <c r="AA39" i="37"/>
  <c r="AA54" i="37"/>
  <c r="AB54" i="37" s="1"/>
  <c r="AC54" i="37" s="1"/>
  <c r="AA87" i="37"/>
  <c r="AB87" i="37" s="1"/>
  <c r="AC87" i="37" s="1"/>
  <c r="AA76" i="37"/>
  <c r="AB76" i="37" s="1"/>
  <c r="AC76" i="37" s="1"/>
  <c r="AA144" i="37"/>
  <c r="AB144" i="37" s="1"/>
  <c r="AC144" i="37" s="1"/>
  <c r="AA177" i="37"/>
  <c r="AB177" i="37" s="1"/>
  <c r="AC177" i="37" s="1"/>
  <c r="AA221" i="37"/>
  <c r="AB221" i="37" s="1"/>
  <c r="AC221" i="37" s="1"/>
  <c r="AA197" i="37"/>
  <c r="AB197" i="37" s="1"/>
  <c r="AC197" i="37" s="1"/>
  <c r="AA175" i="37"/>
  <c r="AB175" i="37" s="1"/>
  <c r="AC175" i="37" s="1"/>
  <c r="AA180" i="37"/>
  <c r="AB180" i="37" s="1"/>
  <c r="AC180" i="37" s="1"/>
  <c r="AA261" i="37"/>
  <c r="AB261" i="37" s="1"/>
  <c r="AC261" i="37" s="1"/>
  <c r="AA182" i="37"/>
  <c r="AB182" i="37" s="1"/>
  <c r="AC182" i="37" s="1"/>
  <c r="AA241" i="37"/>
  <c r="AB241" i="37" s="1"/>
  <c r="AC241" i="37" s="1"/>
  <c r="AA273" i="37"/>
  <c r="AB273" i="37" s="1"/>
  <c r="AC273" i="37" s="1"/>
  <c r="AA278" i="37"/>
  <c r="AB278" i="37" s="1"/>
  <c r="AC278" i="37" s="1"/>
  <c r="AA303" i="37"/>
  <c r="AB303" i="37" s="1"/>
  <c r="AC303" i="37" s="1"/>
  <c r="AA55" i="37"/>
  <c r="AB55" i="37" s="1"/>
  <c r="AC55" i="37" s="1"/>
  <c r="AA85" i="37"/>
  <c r="AB85" i="37" s="1"/>
  <c r="AC85" i="37" s="1"/>
  <c r="AA90" i="37"/>
  <c r="AB90" i="37" s="1"/>
  <c r="AC90" i="37" s="1"/>
  <c r="AA113" i="37"/>
  <c r="AB113" i="37" s="1"/>
  <c r="AC113" i="37" s="1"/>
  <c r="AA116" i="37"/>
  <c r="AB116" i="37" s="1"/>
  <c r="AC116" i="37" s="1"/>
  <c r="AA110" i="37"/>
  <c r="AB110" i="37" s="1"/>
  <c r="AC110" i="37" s="1"/>
  <c r="AA151" i="37"/>
  <c r="AB151" i="37" s="1"/>
  <c r="AC151" i="37" s="1"/>
  <c r="AA152" i="37"/>
  <c r="AB152" i="37" s="1"/>
  <c r="AC152" i="37" s="1"/>
  <c r="AA145" i="37"/>
  <c r="AA154" i="37"/>
  <c r="AB154" i="37" s="1"/>
  <c r="AC154" i="37" s="1"/>
  <c r="AA218" i="37"/>
  <c r="AB218" i="37" s="1"/>
  <c r="AC218" i="37" s="1"/>
  <c r="AA235" i="37"/>
  <c r="AB235" i="37" s="1"/>
  <c r="AC235" i="37" s="1"/>
  <c r="AA216" i="37"/>
  <c r="AB216" i="37" s="1"/>
  <c r="AC216" i="37" s="1"/>
  <c r="AA245" i="37"/>
  <c r="AB245" i="37" s="1"/>
  <c r="AC245" i="37" s="1"/>
  <c r="AA277" i="37"/>
  <c r="AB277" i="37" s="1"/>
  <c r="AC277" i="37" s="1"/>
  <c r="AA302" i="37"/>
  <c r="AB302" i="37" s="1"/>
  <c r="AC302" i="37" s="1"/>
  <c r="AA308" i="37"/>
  <c r="AB308" i="37" s="1"/>
  <c r="AC308" i="37" s="1"/>
  <c r="AA36" i="37"/>
  <c r="AA48" i="37"/>
  <c r="AB48" i="37" s="1"/>
  <c r="AC48" i="37" s="1"/>
  <c r="AA73" i="37"/>
  <c r="AB73" i="37" s="1"/>
  <c r="AC73" i="37" s="1"/>
  <c r="AA78" i="37"/>
  <c r="AB78" i="37" s="1"/>
  <c r="AC78" i="37" s="1"/>
  <c r="AA109" i="37"/>
  <c r="AB109" i="37" s="1"/>
  <c r="AC109" i="37" s="1"/>
  <c r="AA100" i="37"/>
  <c r="AB100" i="37" s="1"/>
  <c r="AC100" i="37" s="1"/>
  <c r="AA187" i="37"/>
  <c r="AB187" i="37" s="1"/>
  <c r="AC187" i="37" s="1"/>
  <c r="AA135" i="37"/>
  <c r="AB135" i="37" s="1"/>
  <c r="AC135" i="37" s="1"/>
  <c r="AA310" i="37"/>
  <c r="AB310" i="37" s="1"/>
  <c r="AC310" i="37" s="1"/>
  <c r="AA133" i="37"/>
  <c r="AB133" i="37" s="1"/>
  <c r="AC133" i="37" s="1"/>
  <c r="AA142" i="37"/>
  <c r="AB142" i="37" s="1"/>
  <c r="AC142" i="37" s="1"/>
  <c r="AA208" i="37"/>
  <c r="AB208" i="37" s="1"/>
  <c r="AC208" i="37" s="1"/>
  <c r="AA223" i="37"/>
  <c r="AB223" i="37" s="1"/>
  <c r="AC223" i="37" s="1"/>
  <c r="AA202" i="37"/>
  <c r="AB202" i="37" s="1"/>
  <c r="AC202" i="37" s="1"/>
  <c r="AA254" i="37"/>
  <c r="AB254" i="37" s="1"/>
  <c r="AC254" i="37" s="1"/>
  <c r="AA248" i="37"/>
  <c r="AB248" i="37" s="1"/>
  <c r="AC248" i="37" s="1"/>
  <c r="AA279" i="37"/>
  <c r="AB279" i="37" s="1"/>
  <c r="AC279" i="37" s="1"/>
  <c r="AA296" i="37"/>
  <c r="AB296" i="37" s="1"/>
  <c r="AC296" i="37" s="1"/>
  <c r="AA33" i="37"/>
  <c r="AA38" i="37"/>
  <c r="AA123" i="37"/>
  <c r="AB123" i="37" s="1"/>
  <c r="AC123" i="37" s="1"/>
  <c r="AA132" i="37"/>
  <c r="AB132" i="37" s="1"/>
  <c r="AC132" i="37" s="1"/>
  <c r="AA213" i="37"/>
  <c r="AB213" i="37" s="1"/>
  <c r="AC213" i="37" s="1"/>
  <c r="AA176" i="37"/>
  <c r="AB176" i="37" s="1"/>
  <c r="AC176" i="37" s="1"/>
  <c r="AA239" i="37"/>
  <c r="AA299" i="37"/>
  <c r="AB299" i="37" s="1"/>
  <c r="AC299" i="37" s="1"/>
  <c r="AA81" i="37"/>
  <c r="AB81" i="37" s="1"/>
  <c r="AC81" i="37" s="1"/>
  <c r="AA108" i="37"/>
  <c r="AB108" i="37" s="1"/>
  <c r="AC108" i="37" s="1"/>
  <c r="AA148" i="37"/>
  <c r="AB148" i="37" s="1"/>
  <c r="AC148" i="37" s="1"/>
  <c r="AA214" i="37"/>
  <c r="AB214" i="37" s="1"/>
  <c r="AC214" i="37" s="1"/>
  <c r="AA256" i="37"/>
  <c r="AB256" i="37" s="1"/>
  <c r="AC256" i="37" s="1"/>
  <c r="AA47" i="37"/>
  <c r="AB47" i="37" s="1"/>
  <c r="AC47" i="37" s="1"/>
  <c r="AA147" i="37"/>
  <c r="AA199" i="37"/>
  <c r="AB199" i="37" s="1"/>
  <c r="AC199" i="37" s="1"/>
  <c r="AA281" i="37"/>
  <c r="AB281" i="37" s="1"/>
  <c r="AC281" i="37" s="1"/>
  <c r="AA51" i="37"/>
  <c r="AB51" i="37" s="1"/>
  <c r="AC51" i="37" s="1"/>
  <c r="AA68" i="37"/>
  <c r="AB68" i="37" s="1"/>
  <c r="AC68" i="37" s="1"/>
  <c r="AA195" i="37"/>
  <c r="AB195" i="37" s="1"/>
  <c r="AC195" i="37" s="1"/>
  <c r="AA172" i="37"/>
  <c r="AB172" i="37" s="1"/>
  <c r="AC172" i="37" s="1"/>
  <c r="AA236" i="37"/>
  <c r="AB236" i="37" s="1"/>
  <c r="AC236" i="37" s="1"/>
  <c r="AA295" i="37"/>
  <c r="AB295" i="37" s="1"/>
  <c r="AC295" i="37" s="1"/>
  <c r="AA28" i="37"/>
  <c r="AA79" i="37"/>
  <c r="AB79" i="37" s="1"/>
  <c r="AC79" i="37" s="1"/>
  <c r="AA75" i="37"/>
  <c r="AB75" i="37" s="1"/>
  <c r="AC75" i="37" s="1"/>
  <c r="AA93" i="37"/>
  <c r="AB93" i="37" s="1"/>
  <c r="AC93" i="37" s="1"/>
  <c r="AA98" i="37"/>
  <c r="AB98" i="37" s="1"/>
  <c r="AC98" i="37" s="1"/>
  <c r="AA121" i="37"/>
  <c r="AB121" i="37" s="1"/>
  <c r="AC121" i="37" s="1"/>
  <c r="AA118" i="37"/>
  <c r="AB118" i="37" s="1"/>
  <c r="AC118" i="37" s="1"/>
  <c r="AA120" i="37"/>
  <c r="AB120" i="37" s="1"/>
  <c r="AC120" i="37" s="1"/>
  <c r="AA171" i="37"/>
  <c r="AB171" i="37" s="1"/>
  <c r="AC171" i="37" s="1"/>
  <c r="AA160" i="37"/>
  <c r="AB160" i="37" s="1"/>
  <c r="AC160" i="37" s="1"/>
  <c r="AA153" i="37"/>
  <c r="AB153" i="37" s="1"/>
  <c r="AC153" i="37" s="1"/>
  <c r="AA162" i="37"/>
  <c r="AB162" i="37" s="1"/>
  <c r="AC162" i="37" s="1"/>
  <c r="AA226" i="37"/>
  <c r="AB226" i="37" s="1"/>
  <c r="AC226" i="37" s="1"/>
  <c r="AA249" i="37"/>
  <c r="AB249" i="37" s="1"/>
  <c r="AC249" i="37" s="1"/>
  <c r="AA224" i="37"/>
  <c r="AB224" i="37" s="1"/>
  <c r="AC224" i="37" s="1"/>
  <c r="AA251" i="37"/>
  <c r="AB251" i="37" s="1"/>
  <c r="AC251" i="37" s="1"/>
  <c r="AA260" i="37"/>
  <c r="AB260" i="37" s="1"/>
  <c r="AC260" i="37" s="1"/>
  <c r="AA283" i="37"/>
  <c r="AB283" i="37" s="1"/>
  <c r="AC283" i="37" s="1"/>
  <c r="AA301" i="37"/>
  <c r="AB301" i="37" s="1"/>
  <c r="AC301" i="37" s="1"/>
  <c r="AA42" i="37"/>
  <c r="AA65" i="37"/>
  <c r="AB65" i="37" s="1"/>
  <c r="AC65" i="37" s="1"/>
  <c r="AA70" i="37"/>
  <c r="AB70" i="37" s="1"/>
  <c r="AC70" i="37" s="1"/>
  <c r="AA103" i="37"/>
  <c r="AB103" i="37" s="1"/>
  <c r="AC103" i="37" s="1"/>
  <c r="AA92" i="37"/>
  <c r="AB92" i="37" s="1"/>
  <c r="AC92" i="37" s="1"/>
  <c r="AA159" i="37"/>
  <c r="AB159" i="37" s="1"/>
  <c r="AC159" i="37" s="1"/>
  <c r="AA131" i="37"/>
  <c r="AB131" i="37" s="1"/>
  <c r="AC131" i="37" s="1"/>
  <c r="AA237" i="37"/>
  <c r="AB237" i="37" s="1"/>
  <c r="AC237" i="37" s="1"/>
  <c r="AA207" i="37"/>
  <c r="AB207" i="37" s="1"/>
  <c r="AC207" i="37" s="1"/>
  <c r="AA284" i="37"/>
  <c r="AB284" i="37" s="1"/>
  <c r="AC284" i="37" s="1"/>
  <c r="AA200" i="37"/>
  <c r="AB200" i="37" s="1"/>
  <c r="AC200" i="37" s="1"/>
  <c r="AA215" i="37"/>
  <c r="AB215" i="37" s="1"/>
  <c r="AC215" i="37" s="1"/>
  <c r="AA194" i="37"/>
  <c r="AB194" i="37" s="1"/>
  <c r="AC194" i="37" s="1"/>
  <c r="AA246" i="37"/>
  <c r="AB246" i="37" s="1"/>
  <c r="AC246" i="37" s="1"/>
  <c r="AA294" i="37"/>
  <c r="AB294" i="37" s="1"/>
  <c r="AC294" i="37" s="1"/>
  <c r="AA314" i="37"/>
  <c r="AB314" i="37" s="1"/>
  <c r="AC314" i="37" s="1"/>
  <c r="AA288" i="37"/>
  <c r="AB288" i="37" s="1"/>
  <c r="AC288" i="37" s="1"/>
  <c r="AA50" i="37"/>
  <c r="AB50" i="37" s="1"/>
  <c r="AC50" i="37" s="1"/>
  <c r="AA67" i="37"/>
  <c r="AB67" i="37" s="1"/>
  <c r="AC67" i="37" s="1"/>
  <c r="AA101" i="37"/>
  <c r="AB101" i="37" s="1"/>
  <c r="AC101" i="37" s="1"/>
  <c r="AA106" i="37"/>
  <c r="AB106" i="37" s="1"/>
  <c r="AC106" i="37" s="1"/>
  <c r="AA64" i="37"/>
  <c r="AB64" i="37" s="1"/>
  <c r="AC64" i="37" s="1"/>
  <c r="AA126" i="37"/>
  <c r="AB126" i="37" s="1"/>
  <c r="AC126" i="37" s="1"/>
  <c r="AA130" i="37"/>
  <c r="AB130" i="37" s="1"/>
  <c r="AC130" i="37" s="1"/>
  <c r="AA191" i="37"/>
  <c r="AB191" i="37" s="1"/>
  <c r="AC191" i="37" s="1"/>
  <c r="AA168" i="37"/>
  <c r="AB168" i="37" s="1"/>
  <c r="AC168" i="37" s="1"/>
  <c r="AA161" i="37"/>
  <c r="AB161" i="37" s="1"/>
  <c r="AC161" i="37" s="1"/>
  <c r="AA170" i="37"/>
  <c r="AB170" i="37" s="1"/>
  <c r="AC170" i="37" s="1"/>
  <c r="AA234" i="37"/>
  <c r="AB234" i="37" s="1"/>
  <c r="AC234" i="37" s="1"/>
  <c r="AA262" i="37"/>
  <c r="AB262" i="37" s="1"/>
  <c r="AC262" i="37" s="1"/>
  <c r="AA232" i="37"/>
  <c r="AB232" i="37" s="1"/>
  <c r="AC232" i="37" s="1"/>
  <c r="AA263" i="37"/>
  <c r="AA268" i="37"/>
  <c r="AB268" i="37" s="1"/>
  <c r="AC268" i="37" s="1"/>
  <c r="AA291" i="37"/>
  <c r="AB291" i="37" s="1"/>
  <c r="AC291" i="37" s="1"/>
  <c r="AA309" i="37"/>
  <c r="AB309" i="37" s="1"/>
  <c r="AC309" i="37" s="1"/>
  <c r="AA57" i="37"/>
  <c r="AB57" i="37" s="1"/>
  <c r="AC57" i="37" s="1"/>
  <c r="AA56" i="37"/>
  <c r="AB56" i="37" s="1"/>
  <c r="AC56" i="37" s="1"/>
  <c r="AA89" i="37"/>
  <c r="AB89" i="37" s="1"/>
  <c r="AC89" i="37" s="1"/>
  <c r="AA94" i="37"/>
  <c r="AB94" i="37" s="1"/>
  <c r="AC94" i="37" s="1"/>
  <c r="AA115" i="37"/>
  <c r="AB115" i="37" s="1"/>
  <c r="AC115" i="37" s="1"/>
  <c r="AA117" i="37"/>
  <c r="AB117" i="37" s="1"/>
  <c r="AC117" i="37" s="1"/>
  <c r="AA114" i="37"/>
  <c r="AB114" i="37" s="1"/>
  <c r="AC114" i="37" s="1"/>
  <c r="AA167" i="37"/>
  <c r="AB167" i="37" s="1"/>
  <c r="AC167" i="37" s="1"/>
  <c r="AA156" i="37"/>
  <c r="AB156" i="37" s="1"/>
  <c r="AC156" i="37" s="1"/>
  <c r="AA149" i="37"/>
  <c r="AB149" i="37" s="1"/>
  <c r="AC149" i="37" s="1"/>
  <c r="AA158" i="37"/>
  <c r="AB158" i="37" s="1"/>
  <c r="AC158" i="37" s="1"/>
  <c r="AA222" i="37"/>
  <c r="AB222" i="37" s="1"/>
  <c r="AC222" i="37" s="1"/>
  <c r="AA243" i="37"/>
  <c r="AB243" i="37" s="1"/>
  <c r="AC243" i="37" s="1"/>
  <c r="AA220" i="37"/>
  <c r="AB220" i="37" s="1"/>
  <c r="AA247" i="37"/>
  <c r="AB247" i="37" s="1"/>
  <c r="AC247" i="37" s="1"/>
  <c r="AA280" i="37"/>
  <c r="AB280" i="37" s="1"/>
  <c r="AC280" i="37" s="1"/>
  <c r="AA306" i="37"/>
  <c r="AB306" i="37" s="1"/>
  <c r="AC306" i="37" s="1"/>
  <c r="AA297" i="37"/>
  <c r="AB297" i="37" s="1"/>
  <c r="AC297" i="37" s="1"/>
  <c r="AA40" i="37"/>
  <c r="AA72" i="37"/>
  <c r="AB72" i="37" s="1"/>
  <c r="AC72" i="37" s="1"/>
  <c r="AA178" i="37"/>
  <c r="AB178" i="37" s="1"/>
  <c r="AC178" i="37" s="1"/>
  <c r="AA253" i="37"/>
  <c r="AB253" i="37" s="1"/>
  <c r="AC253" i="37" s="1"/>
  <c r="AA266" i="37"/>
  <c r="AB266" i="37" s="1"/>
  <c r="AC266" i="37" s="1"/>
  <c r="AA46" i="37"/>
  <c r="AB46" i="37" s="1"/>
  <c r="AC46" i="37" s="1"/>
  <c r="AA86" i="37"/>
  <c r="AB86" i="37" s="1"/>
  <c r="AC86" i="37" s="1"/>
  <c r="AA193" i="37"/>
  <c r="AB193" i="37" s="1"/>
  <c r="AC193" i="37" s="1"/>
  <c r="AA141" i="37"/>
  <c r="AB141" i="37" s="1"/>
  <c r="AC141" i="37" s="1"/>
  <c r="AA231" i="37"/>
  <c r="AB231" i="37" s="1"/>
  <c r="AC231" i="37" s="1"/>
  <c r="AA272" i="37"/>
  <c r="AB272" i="37" s="1"/>
  <c r="AC272" i="37" s="1"/>
  <c r="AA304" i="37"/>
  <c r="AB304" i="37" s="1"/>
  <c r="AC304" i="37" s="1"/>
  <c r="AA58" i="37"/>
  <c r="AB58" i="37" s="1"/>
  <c r="AC58" i="37" s="1"/>
  <c r="AA80" i="37"/>
  <c r="AB80" i="37" s="1"/>
  <c r="AC80" i="37" s="1"/>
  <c r="AA225" i="37"/>
  <c r="AB225" i="37" s="1"/>
  <c r="AC225" i="37" s="1"/>
  <c r="AA217" i="37"/>
  <c r="AB217" i="37" s="1"/>
  <c r="AC217" i="37" s="1"/>
  <c r="AA267" i="37"/>
  <c r="AB267" i="37" s="1"/>
  <c r="AC267" i="37" s="1"/>
  <c r="AA286" i="37"/>
  <c r="AB286" i="37" s="1"/>
  <c r="AC286" i="37" s="1"/>
  <c r="AA71" i="37"/>
  <c r="AB71" i="37" s="1"/>
  <c r="AC71" i="37" s="1"/>
  <c r="AA119" i="37"/>
  <c r="AB119" i="37" s="1"/>
  <c r="AC119" i="37" s="1"/>
  <c r="AA139" i="37"/>
  <c r="AB139" i="37" s="1"/>
  <c r="AC139" i="37" s="1"/>
  <c r="AA165" i="37"/>
  <c r="AB165" i="37" s="1"/>
  <c r="AC165" i="37" s="1"/>
  <c r="AA269" i="37"/>
  <c r="AB269" i="37" s="1"/>
  <c r="AC269" i="37" s="1"/>
  <c r="AA270" i="37"/>
  <c r="AB270" i="37" s="1"/>
  <c r="AC270" i="37" s="1"/>
  <c r="AG7" i="7"/>
  <c r="I248" i="37" s="1"/>
  <c r="C248" i="37" s="1"/>
  <c r="AG8" i="7"/>
  <c r="I249" i="37" s="1"/>
  <c r="C249" i="37" s="1"/>
  <c r="AG9" i="7"/>
  <c r="I222" i="37" s="1"/>
  <c r="C222" i="37" s="1"/>
  <c r="AG10" i="7"/>
  <c r="I101" i="37" s="1"/>
  <c r="C101" i="37" s="1"/>
  <c r="AG11" i="7"/>
  <c r="I102" i="37" s="1"/>
  <c r="C102" i="37" s="1"/>
  <c r="AG12" i="7"/>
  <c r="I16" i="37" s="1"/>
  <c r="AG13" i="7"/>
  <c r="I223" i="37" s="1"/>
  <c r="C223" i="37" s="1"/>
  <c r="AG14" i="7"/>
  <c r="I170" i="37" s="1"/>
  <c r="C170" i="37" s="1"/>
  <c r="C19" i="40" s="1"/>
  <c r="G19" i="40" s="1"/>
  <c r="AG15" i="7"/>
  <c r="I165" i="37" s="1"/>
  <c r="C165" i="37" s="1"/>
  <c r="AG16" i="7"/>
  <c r="I250" i="37" s="1"/>
  <c r="C250" i="37" s="1"/>
  <c r="AG17" i="7"/>
  <c r="I183" i="37" s="1"/>
  <c r="C183" i="37" s="1"/>
  <c r="AG18" i="7"/>
  <c r="I103" i="37" s="1"/>
  <c r="AG19" i="7"/>
  <c r="I251" i="37" s="1"/>
  <c r="AG20" i="7"/>
  <c r="I252" i="37" s="1"/>
  <c r="C252" i="37" s="1"/>
  <c r="AG21" i="7"/>
  <c r="I149" i="37" s="1"/>
  <c r="AG22" i="7"/>
  <c r="I150" i="37" s="1"/>
  <c r="C150" i="37" s="1"/>
  <c r="C27" i="40" s="1"/>
  <c r="G27" i="40" s="1"/>
  <c r="AG23" i="7"/>
  <c r="I224" i="37" s="1"/>
  <c r="C224" i="37" s="1"/>
  <c r="AG24" i="7"/>
  <c r="I87" i="37" s="1"/>
  <c r="C87" i="37" s="1"/>
  <c r="AG25" i="7"/>
  <c r="I139" i="37" s="1"/>
  <c r="AG26" i="7"/>
  <c r="I253" i="37" s="1"/>
  <c r="AG27" i="7"/>
  <c r="I76" i="37" s="1"/>
  <c r="C76" i="37" s="1"/>
  <c r="AG28" i="7"/>
  <c r="I140" i="37" s="1"/>
  <c r="AG29" i="7"/>
  <c r="I254" i="37" s="1"/>
  <c r="AG30" i="7"/>
  <c r="I8" i="37" s="1"/>
  <c r="AG31" i="7"/>
  <c r="I225" i="37" s="1"/>
  <c r="C225" i="37" s="1"/>
  <c r="AG32" i="7"/>
  <c r="I104" i="37" s="1"/>
  <c r="AG33" i="7"/>
  <c r="I255" i="37" s="1"/>
  <c r="AG34" i="7"/>
  <c r="I49" i="37" s="1"/>
  <c r="C49" i="37" s="1"/>
  <c r="AG35" i="7"/>
  <c r="I256" i="37" s="1"/>
  <c r="C256" i="37" s="1"/>
  <c r="AG36" i="7"/>
  <c r="I105" i="37" s="1"/>
  <c r="AG37" i="7"/>
  <c r="I257" i="37" s="1"/>
  <c r="AG38" i="7"/>
  <c r="I215" i="37" s="1"/>
  <c r="AG39" i="7"/>
  <c r="I106" i="37" s="1"/>
  <c r="C106" i="37" s="1"/>
  <c r="AG40" i="7"/>
  <c r="I46" i="37" s="1"/>
  <c r="AG41" i="7"/>
  <c r="I79" i="37" s="1"/>
  <c r="C79" i="37" s="1"/>
  <c r="AG42" i="7"/>
  <c r="I107" i="37" s="1"/>
  <c r="C107" i="37" s="1"/>
  <c r="AG43" i="7"/>
  <c r="I184" i="37" s="1"/>
  <c r="AG44" i="7"/>
  <c r="I55" i="37" s="1"/>
  <c r="C55" i="37" s="1"/>
  <c r="C48" i="40" s="1"/>
  <c r="G48" i="40" s="1"/>
  <c r="AG45" i="7"/>
  <c r="I21" i="37" s="1"/>
  <c r="C21" i="37" s="1"/>
  <c r="AG46" i="7"/>
  <c r="I178" i="37" s="1"/>
  <c r="C178" i="37" s="1"/>
  <c r="AG47" i="7"/>
  <c r="I56" i="37" s="1"/>
  <c r="AG48" i="7"/>
  <c r="I57" i="37" s="1"/>
  <c r="AG49" i="7"/>
  <c r="I50" i="37" s="1"/>
  <c r="AG50" i="7"/>
  <c r="I58" i="37" s="1"/>
  <c r="C58" i="37" s="1"/>
  <c r="AG51" i="7"/>
  <c r="I258" i="37" s="1"/>
  <c r="C258" i="37" s="1"/>
  <c r="AG52" i="7"/>
  <c r="I259" i="37" s="1"/>
  <c r="AG53" i="7"/>
  <c r="I171" i="37" s="1"/>
  <c r="C171" i="37" s="1"/>
  <c r="AG54" i="7"/>
  <c r="I5" i="37" s="1"/>
  <c r="AG55" i="7"/>
  <c r="AG56" i="7"/>
  <c r="AG57" i="7"/>
  <c r="AG58" i="7"/>
  <c r="I7" i="37" s="1"/>
  <c r="AG59" i="7"/>
  <c r="I216" i="37" s="1"/>
  <c r="C216" i="37" s="1"/>
  <c r="AG60" i="7"/>
  <c r="I260" i="37" s="1"/>
  <c r="AG61" i="7"/>
  <c r="I261" i="37" s="1"/>
  <c r="AG62" i="7"/>
  <c r="I166" i="37" s="1"/>
  <c r="AG63" i="7"/>
  <c r="I262" i="37" s="1"/>
  <c r="AG64" i="7"/>
  <c r="I59" i="37" s="1"/>
  <c r="AG65" i="7"/>
  <c r="I263" i="37" s="1"/>
  <c r="AG66" i="7"/>
  <c r="I108" i="37" s="1"/>
  <c r="C108" i="37" s="1"/>
  <c r="AG67" i="7"/>
  <c r="I88" i="37" s="1"/>
  <c r="AG68" i="7"/>
  <c r="I226" i="37" s="1"/>
  <c r="C226" i="37" s="1"/>
  <c r="AG69" i="7"/>
  <c r="I89" i="37" s="1"/>
  <c r="C89" i="37" s="1"/>
  <c r="AG70" i="7"/>
  <c r="I227" i="37" s="1"/>
  <c r="C227" i="37" s="1"/>
  <c r="AG71" i="7"/>
  <c r="I228" i="37" s="1"/>
  <c r="C228" i="37" s="1"/>
  <c r="AG72" i="7"/>
  <c r="I264" i="37" s="1"/>
  <c r="C264" i="37" s="1"/>
  <c r="AG73" i="7"/>
  <c r="I157" i="37" s="1"/>
  <c r="AG74" i="7"/>
  <c r="I90" i="37" s="1"/>
  <c r="AG75" i="7"/>
  <c r="I109" i="37" s="1"/>
  <c r="C109" i="37" s="1"/>
  <c r="AG76" i="7"/>
  <c r="I265" i="37" s="1"/>
  <c r="C265" i="37" s="1"/>
  <c r="AG77" i="7"/>
  <c r="I110" i="37" s="1"/>
  <c r="C110" i="37" s="1"/>
  <c r="AG78" i="7"/>
  <c r="I266" i="37" s="1"/>
  <c r="AG79" i="7"/>
  <c r="I185" i="37" s="1"/>
  <c r="AG80" i="7"/>
  <c r="I60" i="37" s="1"/>
  <c r="AG81" i="7"/>
  <c r="I229" i="37" s="1"/>
  <c r="C229" i="37" s="1"/>
  <c r="AG82" i="7"/>
  <c r="I267" i="37" s="1"/>
  <c r="C267" i="37" s="1"/>
  <c r="AG83" i="7"/>
  <c r="I186" i="37" s="1"/>
  <c r="AG84" i="7"/>
  <c r="I91" i="37" s="1"/>
  <c r="AG85" i="7"/>
  <c r="I141" i="37" s="1"/>
  <c r="C141" i="37" s="1"/>
  <c r="AG86" i="7"/>
  <c r="I230" i="37" s="1"/>
  <c r="C230" i="37" s="1"/>
  <c r="AG87" i="7"/>
  <c r="I47" i="37" s="1"/>
  <c r="AG88" i="7"/>
  <c r="I213" i="37" s="1"/>
  <c r="C213" i="37" s="1"/>
  <c r="AG89" i="7"/>
  <c r="I145" i="37" s="1"/>
  <c r="AG90" i="7"/>
  <c r="I111" i="37" s="1"/>
  <c r="AG91" i="7"/>
  <c r="I151" i="37" s="1"/>
  <c r="C151" i="37" s="1"/>
  <c r="AG92" i="7"/>
  <c r="I152" i="37" s="1"/>
  <c r="AG93" i="7"/>
  <c r="I112" i="37" s="1"/>
  <c r="C112" i="37" s="1"/>
  <c r="AG94" i="7"/>
  <c r="I172" i="37" s="1"/>
  <c r="C172" i="37" s="1"/>
  <c r="AG95" i="7"/>
  <c r="I13" i="37" s="1"/>
  <c r="AG96" i="7"/>
  <c r="I187" i="37" s="1"/>
  <c r="C187" i="37" s="1"/>
  <c r="AG97" i="7"/>
  <c r="I231" i="37" s="1"/>
  <c r="AG98" i="7"/>
  <c r="I268" i="37" s="1"/>
  <c r="AG99" i="7"/>
  <c r="I61" i="37" s="1"/>
  <c r="AG100" i="7"/>
  <c r="I35" i="37" s="1"/>
  <c r="C35" i="37" s="1"/>
  <c r="AG101" i="7"/>
  <c r="I22" i="37" s="1"/>
  <c r="AG102" i="7"/>
  <c r="I269" i="37" s="1"/>
  <c r="C269" i="37" s="1"/>
  <c r="AG103" i="7"/>
  <c r="I188" i="37" s="1"/>
  <c r="C188" i="37" s="1"/>
  <c r="AG104" i="7"/>
  <c r="I113" i="37" s="1"/>
  <c r="C113" i="37" s="1"/>
  <c r="AG105" i="7"/>
  <c r="I114" i="37" s="1"/>
  <c r="C114" i="37" s="1"/>
  <c r="AG106" i="7"/>
  <c r="I115" i="37" s="1"/>
  <c r="C115" i="37" s="1"/>
  <c r="AG107" i="7"/>
  <c r="I116" i="37" s="1"/>
  <c r="C116" i="37" s="1"/>
  <c r="AG108" i="7"/>
  <c r="I189" i="37" s="1"/>
  <c r="C189" i="37" s="1"/>
  <c r="AG109" i="7"/>
  <c r="I270" i="37" s="1"/>
  <c r="C270" i="37" s="1"/>
  <c r="AG110" i="7"/>
  <c r="I271" i="37" s="1"/>
  <c r="C271" i="37" s="1"/>
  <c r="AG111" i="7"/>
  <c r="I117" i="37" s="1"/>
  <c r="C117" i="37" s="1"/>
  <c r="AG112" i="7"/>
  <c r="I272" i="37" s="1"/>
  <c r="C272" i="37" s="1"/>
  <c r="AG113" i="7"/>
  <c r="I36" i="37" s="1"/>
  <c r="C36" i="37" s="1"/>
  <c r="AG114" i="7"/>
  <c r="I92" i="37" s="1"/>
  <c r="C92" i="37" s="1"/>
  <c r="AG115" i="7"/>
  <c r="I37" i="37" s="1"/>
  <c r="AG116" i="7"/>
  <c r="I153" i="37" s="1"/>
  <c r="AG117" i="7"/>
  <c r="I179" i="37" s="1"/>
  <c r="C179" i="37" s="1"/>
  <c r="AG118" i="7"/>
  <c r="I167" i="37" s="1"/>
  <c r="AG119" i="7"/>
  <c r="I190" i="37" s="1"/>
  <c r="C190" i="37" s="1"/>
  <c r="AG120" i="7"/>
  <c r="I118" i="37" s="1"/>
  <c r="C118" i="37" s="1"/>
  <c r="AG121" i="7"/>
  <c r="I38" i="37" s="1"/>
  <c r="C38" i="37" s="1"/>
  <c r="AG122" i="7"/>
  <c r="I273" i="37" s="1"/>
  <c r="AG123" i="7"/>
  <c r="I93" i="37" s="1"/>
  <c r="AG124" i="7"/>
  <c r="I274" i="37" s="1"/>
  <c r="AG125" i="7"/>
  <c r="I51" i="37" s="1"/>
  <c r="C51" i="37" s="1"/>
  <c r="AG126" i="7"/>
  <c r="I212" i="37" s="1"/>
  <c r="AG127" i="7"/>
  <c r="I275" i="37" s="1"/>
  <c r="C275" i="37" s="1"/>
  <c r="AG128" i="7"/>
  <c r="I276" i="37" s="1"/>
  <c r="AG129" i="7"/>
  <c r="I277" i="37" s="1"/>
  <c r="C277" i="37" s="1"/>
  <c r="AG130" i="7"/>
  <c r="I119" i="37" s="1"/>
  <c r="AG131" i="7"/>
  <c r="I154" i="37" s="1"/>
  <c r="AG132" i="7"/>
  <c r="I52" i="37" s="1"/>
  <c r="AG133" i="7"/>
  <c r="I28" i="37" s="1"/>
  <c r="C28" i="37" s="1"/>
  <c r="AG134" i="7"/>
  <c r="I191" i="37" s="1"/>
  <c r="C191" i="37" s="1"/>
  <c r="AG135" i="7"/>
  <c r="I278" i="37" s="1"/>
  <c r="C278" i="37" s="1"/>
  <c r="AG136" i="7"/>
  <c r="I83" i="37" s="1"/>
  <c r="C83" i="37" s="1"/>
  <c r="AG137" i="7"/>
  <c r="I232" i="37" s="1"/>
  <c r="AG138" i="7"/>
  <c r="I161" i="37" s="1"/>
  <c r="C161" i="37" s="1"/>
  <c r="AG139" i="7"/>
  <c r="I192" i="37" s="1"/>
  <c r="C192" i="37" s="1"/>
  <c r="AG140" i="7"/>
  <c r="AG141" i="7"/>
  <c r="I62" i="37" s="1"/>
  <c r="AG142" i="7"/>
  <c r="I120" i="37" s="1"/>
  <c r="C120" i="37" s="1"/>
  <c r="AG143" i="7"/>
  <c r="I121" i="37" s="1"/>
  <c r="C121" i="37" s="1"/>
  <c r="AG144" i="7"/>
  <c r="I279" i="37" s="1"/>
  <c r="AG145" i="7"/>
  <c r="I173" i="37" s="1"/>
  <c r="C173" i="37" s="1"/>
  <c r="AG146" i="7"/>
  <c r="I94" i="37" s="1"/>
  <c r="C94" i="37" s="1"/>
  <c r="AG147" i="7"/>
  <c r="I280" i="37" s="1"/>
  <c r="C280" i="37" s="1"/>
  <c r="C144" i="40" s="1"/>
  <c r="G144" i="40" s="1"/>
  <c r="AG148" i="7"/>
  <c r="I30" i="37" s="1"/>
  <c r="AG149" i="7"/>
  <c r="I281" i="37" s="1"/>
  <c r="C281" i="37" s="1"/>
  <c r="AG150" i="7"/>
  <c r="I193" i="37" s="1"/>
  <c r="AG151" i="7"/>
  <c r="I146" i="37" s="1"/>
  <c r="AG152" i="7"/>
  <c r="I84" i="37" s="1"/>
  <c r="AG153" i="7"/>
  <c r="I80" i="37" s="1"/>
  <c r="AG154" i="7"/>
  <c r="I81" i="37" s="1"/>
  <c r="AG155" i="7"/>
  <c r="I29" i="37" s="1"/>
  <c r="C29" i="37" s="1"/>
  <c r="AG156" i="7"/>
  <c r="I39" i="37" s="1"/>
  <c r="C39" i="37" s="1"/>
  <c r="AG157" i="7"/>
  <c r="I14" i="37" s="1"/>
  <c r="AG158" i="7"/>
  <c r="I95" i="37" s="1"/>
  <c r="C95" i="37" s="1"/>
  <c r="AG159" i="7"/>
  <c r="AG160" i="7"/>
  <c r="I194" i="37" s="1"/>
  <c r="AG161" i="7"/>
  <c r="AG162" i="7"/>
  <c r="I282" i="37" s="1"/>
  <c r="C282" i="37" s="1"/>
  <c r="AG163" i="7"/>
  <c r="I174" i="37" s="1"/>
  <c r="AG164" i="7"/>
  <c r="I283" i="37" s="1"/>
  <c r="C283" i="37" s="1"/>
  <c r="AG165" i="7"/>
  <c r="I159" i="37" s="1"/>
  <c r="AG166" i="7"/>
  <c r="I77" i="37" s="1"/>
  <c r="AG167" i="7"/>
  <c r="I284" i="37" s="1"/>
  <c r="AG168" i="7"/>
  <c r="I23" i="37" s="1"/>
  <c r="C23" i="37" s="1"/>
  <c r="AG169" i="7"/>
  <c r="I175" i="37" s="1"/>
  <c r="C175" i="37" s="1"/>
  <c r="AG170" i="7"/>
  <c r="I63" i="37" s="1"/>
  <c r="C63" i="37" s="1"/>
  <c r="AG171" i="7"/>
  <c r="I85" i="37" s="1"/>
  <c r="C85" i="37" s="1"/>
  <c r="AG172" i="7"/>
  <c r="I233" i="37" s="1"/>
  <c r="C233" i="37" s="1"/>
  <c r="AG173" i="7"/>
  <c r="I96" i="37" s="1"/>
  <c r="C96" i="37" s="1"/>
  <c r="AG174" i="7"/>
  <c r="I217" i="37" s="1"/>
  <c r="C217" i="37" s="1"/>
  <c r="AG175" i="7"/>
  <c r="I147" i="37" s="1"/>
  <c r="AG176" i="7"/>
  <c r="I234" i="37" s="1"/>
  <c r="C234" i="37" s="1"/>
  <c r="AG177" i="7"/>
  <c r="I235" i="37" s="1"/>
  <c r="C235" i="37" s="1"/>
  <c r="AG178" i="7"/>
  <c r="I285" i="37" s="1"/>
  <c r="AG179" i="7"/>
  <c r="I15" i="37" s="1"/>
  <c r="AG180" i="7"/>
  <c r="I236" i="37" s="1"/>
  <c r="C236" i="37" s="1"/>
  <c r="AG181" i="7"/>
  <c r="I122" i="37" s="1"/>
  <c r="C122" i="37" s="1"/>
  <c r="AG182" i="7"/>
  <c r="I195" i="37" s="1"/>
  <c r="AG183" i="7"/>
  <c r="I31" i="37" s="1"/>
  <c r="AG184" i="7"/>
  <c r="I19" i="37" s="1"/>
  <c r="C19" i="37" s="1"/>
  <c r="AG185" i="7"/>
  <c r="I40" i="37" s="1"/>
  <c r="AG186" i="7"/>
  <c r="I10" i="37" s="1"/>
  <c r="AG187" i="7"/>
  <c r="I97" i="37" s="1"/>
  <c r="C97" i="37" s="1"/>
  <c r="AG188" i="7"/>
  <c r="I237" i="37" s="1"/>
  <c r="C237" i="37" s="1"/>
  <c r="AG189" i="7"/>
  <c r="I196" i="37" s="1"/>
  <c r="C196" i="37" s="1"/>
  <c r="AG190" i="7"/>
  <c r="I142" i="37" s="1"/>
  <c r="AG191" i="7"/>
  <c r="I123" i="37" s="1"/>
  <c r="AG192" i="7"/>
  <c r="I64" i="37" s="1"/>
  <c r="AG193" i="7"/>
  <c r="I45" i="37" s="1"/>
  <c r="AG194" i="7"/>
  <c r="I86" i="37" s="1"/>
  <c r="AG195" i="7"/>
  <c r="I177" i="37" s="1"/>
  <c r="AG196" i="7"/>
  <c r="I12" i="37" s="1"/>
  <c r="AG197" i="7"/>
  <c r="I78" i="37" s="1"/>
  <c r="C78" i="37" s="1"/>
  <c r="AG198" i="7"/>
  <c r="I144" i="37" s="1"/>
  <c r="C144" i="37" s="1"/>
  <c r="AG199" i="7"/>
  <c r="I17" i="37" s="1"/>
  <c r="AG200" i="7"/>
  <c r="I286" i="37" s="1"/>
  <c r="AG201" i="7"/>
  <c r="I287" i="37" s="1"/>
  <c r="C287" i="37" s="1"/>
  <c r="AG202" i="7"/>
  <c r="I65" i="37" s="1"/>
  <c r="C65" i="37" s="1"/>
  <c r="AG203" i="7"/>
  <c r="I197" i="37" s="1"/>
  <c r="C197" i="37" s="1"/>
  <c r="AG204" i="7"/>
  <c r="I288" i="37" s="1"/>
  <c r="C288" i="37" s="1"/>
  <c r="AG205" i="7"/>
  <c r="I289" i="37" s="1"/>
  <c r="C289" i="37" s="1"/>
  <c r="AG206" i="7"/>
  <c r="I198" i="37" s="1"/>
  <c r="C198" i="37" s="1"/>
  <c r="AG207" i="7"/>
  <c r="AG208" i="7"/>
  <c r="I218" i="37" s="1"/>
  <c r="C218" i="37" s="1"/>
  <c r="AG209" i="7"/>
  <c r="I290" i="37" s="1"/>
  <c r="C290" i="37" s="1"/>
  <c r="AG210" i="7"/>
  <c r="I291" i="37" s="1"/>
  <c r="AG211" i="7"/>
  <c r="I33" i="37" s="1"/>
  <c r="AG212" i="7"/>
  <c r="I41" i="37" s="1"/>
  <c r="AG213" i="7"/>
  <c r="I292" i="37" s="1"/>
  <c r="AG214" i="7"/>
  <c r="I124" i="37" s="1"/>
  <c r="AG215" i="7"/>
  <c r="I44" i="37" s="1"/>
  <c r="AG216" i="7"/>
  <c r="I66" i="37" s="1"/>
  <c r="AG217" i="7"/>
  <c r="AG218" i="7"/>
  <c r="I98" i="37" s="1"/>
  <c r="C98" i="37" s="1"/>
  <c r="AG219" i="7"/>
  <c r="I137" i="37" s="1"/>
  <c r="AG220" i="7"/>
  <c r="I148" i="37" s="1"/>
  <c r="AG221" i="7"/>
  <c r="I293" i="37" s="1"/>
  <c r="C293" i="37" s="1"/>
  <c r="AG222" i="7"/>
  <c r="I155" i="37" s="1"/>
  <c r="AG223" i="7"/>
  <c r="AG224" i="7"/>
  <c r="I168" i="37" s="1"/>
  <c r="AG225" i="7"/>
  <c r="I67" i="37" s="1"/>
  <c r="AG226" i="7"/>
  <c r="I32" i="37" s="1"/>
  <c r="AG227" i="7"/>
  <c r="I68" i="37" s="1"/>
  <c r="AG228" i="7"/>
  <c r="I24" i="37" s="1"/>
  <c r="AG229" i="7"/>
  <c r="I69" i="37" s="1"/>
  <c r="C69" i="37" s="1"/>
  <c r="AG230" i="7"/>
  <c r="I125" i="37" s="1"/>
  <c r="C125" i="37" s="1"/>
  <c r="AG231" i="7"/>
  <c r="I126" i="37" s="1"/>
  <c r="C126" i="37" s="1"/>
  <c r="AG232" i="7"/>
  <c r="I127" i="37" s="1"/>
  <c r="C127" i="37" s="1"/>
  <c r="AG233" i="7"/>
  <c r="I199" i="37" s="1"/>
  <c r="C199" i="37" s="1"/>
  <c r="AG234" i="7"/>
  <c r="I294" i="37" s="1"/>
  <c r="AG235" i="7"/>
  <c r="I11" i="37" s="1"/>
  <c r="AG236" i="7"/>
  <c r="I158" i="37" s="1"/>
  <c r="AG237" i="7"/>
  <c r="I25" i="37" s="1"/>
  <c r="C25" i="37" s="1"/>
  <c r="AG238" i="7"/>
  <c r="I219" i="37" s="1"/>
  <c r="C219" i="37" s="1"/>
  <c r="AG239" i="7"/>
  <c r="I180" i="37" s="1"/>
  <c r="C180" i="37" s="1"/>
  <c r="AG240" i="7"/>
  <c r="I238" i="37" s="1"/>
  <c r="AG241" i="7"/>
  <c r="I239" i="37" s="1"/>
  <c r="AG242" i="7"/>
  <c r="I70" i="37" s="1"/>
  <c r="C70" i="37" s="1"/>
  <c r="AG243" i="7"/>
  <c r="I128" i="37" s="1"/>
  <c r="C128" i="37" s="1"/>
  <c r="AG244" i="7"/>
  <c r="I169" i="37" s="1"/>
  <c r="AG245" i="7"/>
  <c r="I240" i="37" s="1"/>
  <c r="AG246" i="7"/>
  <c r="I220" i="37" s="1"/>
  <c r="C220" i="37" s="1"/>
  <c r="C237" i="40" s="1"/>
  <c r="G237" i="40" s="1"/>
  <c r="AG247" i="7"/>
  <c r="I295" i="37" s="1"/>
  <c r="C295" i="37" s="1"/>
  <c r="AG248" i="7"/>
  <c r="I200" i="37" s="1"/>
  <c r="C200" i="37" s="1"/>
  <c r="AG249" i="7"/>
  <c r="I296" i="37" s="1"/>
  <c r="C296" i="37" s="1"/>
  <c r="AG250" i="7"/>
  <c r="I129" i="37" s="1"/>
  <c r="C129" i="37" s="1"/>
  <c r="AG251" i="7"/>
  <c r="I201" i="37" s="1"/>
  <c r="AG252" i="7"/>
  <c r="I241" i="37" s="1"/>
  <c r="C241" i="37" s="1"/>
  <c r="AG253" i="7"/>
  <c r="I42" i="37" s="1"/>
  <c r="AG254" i="7"/>
  <c r="I297" i="37" s="1"/>
  <c r="C297" i="37" s="1"/>
  <c r="AG255" i="7"/>
  <c r="I6" i="37" s="1"/>
  <c r="AG256" i="7"/>
  <c r="I43" i="37" s="1"/>
  <c r="AG257" i="7"/>
  <c r="I298" i="37" s="1"/>
  <c r="AG258" i="7"/>
  <c r="I130" i="37" s="1"/>
  <c r="AG259" i="7"/>
  <c r="I221" i="37" s="1"/>
  <c r="C221" i="37" s="1"/>
  <c r="AG260" i="7"/>
  <c r="I26" i="37" s="1"/>
  <c r="AG261" i="7"/>
  <c r="I156" i="37" s="1"/>
  <c r="AG262" i="7"/>
  <c r="I202" i="37" s="1"/>
  <c r="C202" i="37" s="1"/>
  <c r="AG263" i="7"/>
  <c r="I203" i="37" s="1"/>
  <c r="AG264" i="7"/>
  <c r="I214" i="37" s="1"/>
  <c r="C214" i="37" s="1"/>
  <c r="AG265" i="7"/>
  <c r="I299" i="37" s="1"/>
  <c r="C299" i="37" s="1"/>
  <c r="AG266" i="7"/>
  <c r="I131" i="37" s="1"/>
  <c r="C131" i="37" s="1"/>
  <c r="AG267" i="7"/>
  <c r="I27" i="37" s="1"/>
  <c r="C27" i="37" s="1"/>
  <c r="AG268" i="7"/>
  <c r="I132" i="37" s="1"/>
  <c r="AG269" i="7"/>
  <c r="I133" i="37" s="1"/>
  <c r="C133" i="37" s="1"/>
  <c r="AG270" i="7"/>
  <c r="I138" i="37" s="1"/>
  <c r="AG271" i="7"/>
  <c r="I204" i="37" s="1"/>
  <c r="AG272" i="7"/>
  <c r="I205" i="37" s="1"/>
  <c r="C205" i="37" s="1"/>
  <c r="AG273" i="7"/>
  <c r="I48" i="37" s="1"/>
  <c r="AG274" i="7"/>
  <c r="I300" i="37" s="1"/>
  <c r="C300" i="37" s="1"/>
  <c r="AG275" i="7"/>
  <c r="I206" i="37" s="1"/>
  <c r="AG276" i="7"/>
  <c r="I242" i="37" s="1"/>
  <c r="AG277" i="7"/>
  <c r="I246" i="37" s="1"/>
  <c r="C246" i="37" s="1"/>
  <c r="AG278" i="7"/>
  <c r="I71" i="37" s="1"/>
  <c r="AG279" i="7"/>
  <c r="I72" i="37" s="1"/>
  <c r="C72" i="37" s="1"/>
  <c r="AG280" i="7"/>
  <c r="I134" i="37" s="1"/>
  <c r="AG281" i="7"/>
  <c r="I162" i="37" s="1"/>
  <c r="AG282" i="7"/>
  <c r="I243" i="37" s="1"/>
  <c r="AG283" i="7"/>
  <c r="I53" i="37" s="1"/>
  <c r="C53" i="37" s="1"/>
  <c r="AG284" i="7"/>
  <c r="I160" i="37" s="1"/>
  <c r="C160" i="37" s="1"/>
  <c r="AG285" i="7"/>
  <c r="I181" i="37" s="1"/>
  <c r="C181" i="37" s="1"/>
  <c r="AG286" i="7"/>
  <c r="I244" i="37" s="1"/>
  <c r="AG287" i="7"/>
  <c r="I73" i="37" s="1"/>
  <c r="C73" i="37" s="1"/>
  <c r="AG288" i="7"/>
  <c r="I74" i="37" s="1"/>
  <c r="C74" i="37" s="1"/>
  <c r="AG289" i="7"/>
  <c r="I301" i="37" s="1"/>
  <c r="C301" i="37" s="1"/>
  <c r="AG290" i="7"/>
  <c r="I182" i="37" s="1"/>
  <c r="C182" i="37" s="1"/>
  <c r="AG291" i="7"/>
  <c r="I99" i="37" s="1"/>
  <c r="AG292" i="7"/>
  <c r="I207" i="37" s="1"/>
  <c r="AG293" i="7"/>
  <c r="I302" i="37" s="1"/>
  <c r="C302" i="37" s="1"/>
  <c r="AG294" i="7"/>
  <c r="I303" i="37" s="1"/>
  <c r="C303" i="37" s="1"/>
  <c r="AG295" i="7"/>
  <c r="I34" i="37" s="1"/>
  <c r="C34" i="37" s="1"/>
  <c r="AG296" i="7"/>
  <c r="I54" i="37" s="1"/>
  <c r="C54" i="37" s="1"/>
  <c r="AG297" i="7"/>
  <c r="I245" i="37" s="1"/>
  <c r="AG298" i="7"/>
  <c r="I9" i="37" s="1"/>
  <c r="AG299" i="7"/>
  <c r="I164" i="37" s="1"/>
  <c r="AG300" i="7"/>
  <c r="I304" i="37" s="1"/>
  <c r="C304" i="37" s="1"/>
  <c r="AG301" i="7"/>
  <c r="AG302" i="7"/>
  <c r="I208" i="37" s="1"/>
  <c r="C208" i="37" s="1"/>
  <c r="AG303" i="7"/>
  <c r="I305" i="37" s="1"/>
  <c r="C305" i="37" s="1"/>
  <c r="AG304" i="7"/>
  <c r="I135" i="37" s="1"/>
  <c r="C135" i="37" s="1"/>
  <c r="AG305" i="7"/>
  <c r="I306" i="37" s="1"/>
  <c r="C306" i="37" s="1"/>
  <c r="AG306" i="7"/>
  <c r="I18" i="37" s="1"/>
  <c r="AG307" i="7"/>
  <c r="I75" i="37" s="1"/>
  <c r="C75" i="37" s="1"/>
  <c r="AG308" i="7"/>
  <c r="I307" i="37" s="1"/>
  <c r="AG309" i="7"/>
  <c r="I308" i="37" s="1"/>
  <c r="C308" i="37" s="1"/>
  <c r="AG310" i="7"/>
  <c r="I176" i="37" s="1"/>
  <c r="C176" i="37" s="1"/>
  <c r="AG311" i="7"/>
  <c r="I163" i="37" s="1"/>
  <c r="C163" i="37" s="1"/>
  <c r="AG312" i="7"/>
  <c r="I209" i="37" s="1"/>
  <c r="C209" i="37" s="1"/>
  <c r="AG313" i="7"/>
  <c r="I20" i="37" s="1"/>
  <c r="C20" i="37" s="1"/>
  <c r="AG314" i="7"/>
  <c r="I309" i="37" s="1"/>
  <c r="AG315" i="7"/>
  <c r="I210" i="37" s="1"/>
  <c r="AG316" i="7"/>
  <c r="I310" i="37" s="1"/>
  <c r="C310" i="37" s="1"/>
  <c r="AG317" i="7"/>
  <c r="I100" i="37" s="1"/>
  <c r="AG318" i="7"/>
  <c r="I311" i="37" s="1"/>
  <c r="C311" i="37" s="1"/>
  <c r="C306" i="40" s="1"/>
  <c r="G306" i="40" s="1"/>
  <c r="AG319" i="7"/>
  <c r="I143" i="37" s="1"/>
  <c r="AG320" i="7"/>
  <c r="I211" i="37" s="1"/>
  <c r="AG321" i="7"/>
  <c r="I312" i="37" s="1"/>
  <c r="C312" i="37" s="1"/>
  <c r="AG322" i="7"/>
  <c r="I313" i="37" s="1"/>
  <c r="C313" i="37" s="1"/>
  <c r="AG323" i="7"/>
  <c r="I314" i="37" s="1"/>
  <c r="C314" i="37" s="1"/>
  <c r="AG324" i="7"/>
  <c r="I315" i="37" s="1"/>
  <c r="C315" i="37" s="1"/>
  <c r="AG325" i="7"/>
  <c r="I136" i="37" s="1"/>
  <c r="I82" i="37" l="1"/>
  <c r="I30" i="39"/>
  <c r="I29" i="39"/>
  <c r="I268" i="39"/>
  <c r="I97" i="39"/>
  <c r="I313" i="39"/>
  <c r="I198" i="39"/>
  <c r="I34" i="39"/>
  <c r="I9" i="39"/>
  <c r="I219" i="39"/>
  <c r="I11" i="39"/>
  <c r="I252" i="39"/>
  <c r="I47" i="39"/>
  <c r="I36" i="39"/>
  <c r="O110" i="40"/>
  <c r="AD87" i="21" s="1"/>
  <c r="K304" i="40"/>
  <c r="H304" i="40"/>
  <c r="J304" i="40"/>
  <c r="I304" i="40"/>
  <c r="I266" i="40"/>
  <c r="K266" i="40"/>
  <c r="H266" i="40"/>
  <c r="J266" i="40"/>
  <c r="K219" i="40"/>
  <c r="I219" i="40"/>
  <c r="J219" i="40"/>
  <c r="H219" i="40"/>
  <c r="K29" i="40"/>
  <c r="I29" i="40"/>
  <c r="J29" i="40"/>
  <c r="H29" i="40"/>
  <c r="K306" i="40"/>
  <c r="J306" i="40"/>
  <c r="H306" i="40"/>
  <c r="I306" i="40"/>
  <c r="K289" i="40"/>
  <c r="I289" i="40"/>
  <c r="J289" i="40"/>
  <c r="H289" i="40"/>
  <c r="K220" i="40"/>
  <c r="J220" i="40"/>
  <c r="H220" i="40"/>
  <c r="I220" i="40"/>
  <c r="K95" i="40"/>
  <c r="I95" i="40"/>
  <c r="J95" i="40"/>
  <c r="H95" i="40"/>
  <c r="K41" i="40"/>
  <c r="I41" i="40"/>
  <c r="J41" i="40"/>
  <c r="H41" i="40"/>
  <c r="K18" i="40"/>
  <c r="J18" i="40"/>
  <c r="I18" i="40"/>
  <c r="H18" i="40"/>
  <c r="K295" i="40"/>
  <c r="I295" i="40"/>
  <c r="J295" i="40"/>
  <c r="H295" i="40"/>
  <c r="I144" i="40"/>
  <c r="K144" i="40"/>
  <c r="H144" i="40"/>
  <c r="J144" i="40"/>
  <c r="K98" i="40"/>
  <c r="J98" i="40"/>
  <c r="H98" i="40"/>
  <c r="I98" i="40"/>
  <c r="I13" i="40"/>
  <c r="K13" i="40"/>
  <c r="H13" i="40"/>
  <c r="J13" i="40"/>
  <c r="K268" i="40"/>
  <c r="H268" i="40"/>
  <c r="J268" i="40"/>
  <c r="I268" i="40"/>
  <c r="K206" i="40"/>
  <c r="I206" i="40"/>
  <c r="J206" i="40"/>
  <c r="H206" i="40"/>
  <c r="K160" i="40"/>
  <c r="I160" i="40"/>
  <c r="J160" i="40"/>
  <c r="H160" i="40"/>
  <c r="K288" i="40"/>
  <c r="J288" i="40"/>
  <c r="H288" i="40"/>
  <c r="I288" i="40"/>
  <c r="K21" i="40"/>
  <c r="I21" i="40"/>
  <c r="J21" i="40"/>
  <c r="H21" i="40"/>
  <c r="K282" i="40"/>
  <c r="I282" i="40"/>
  <c r="J282" i="40"/>
  <c r="H282" i="40"/>
  <c r="K175" i="40"/>
  <c r="I175" i="40"/>
  <c r="J175" i="40"/>
  <c r="H175" i="40"/>
  <c r="K303" i="40"/>
  <c r="I303" i="40"/>
  <c r="J303" i="40"/>
  <c r="H303" i="40"/>
  <c r="K234" i="40"/>
  <c r="H234" i="40"/>
  <c r="J234" i="40"/>
  <c r="I234" i="40"/>
  <c r="K67" i="40"/>
  <c r="I67" i="40"/>
  <c r="J67" i="40"/>
  <c r="H67" i="40"/>
  <c r="K215" i="40"/>
  <c r="I215" i="40"/>
  <c r="J215" i="40"/>
  <c r="H215" i="40"/>
  <c r="I139" i="40"/>
  <c r="J139" i="40"/>
  <c r="K139" i="40"/>
  <c r="H139" i="40"/>
  <c r="I247" i="40"/>
  <c r="K247" i="40"/>
  <c r="H247" i="40"/>
  <c r="J247" i="40"/>
  <c r="I176" i="40"/>
  <c r="K176" i="40"/>
  <c r="H176" i="40"/>
  <c r="J176" i="40"/>
  <c r="I69" i="40"/>
  <c r="J69" i="40"/>
  <c r="K69" i="40"/>
  <c r="H69" i="40"/>
  <c r="I225" i="39"/>
  <c r="H225" i="39"/>
  <c r="I187" i="39"/>
  <c r="H187" i="39"/>
  <c r="I67" i="39"/>
  <c r="H67" i="39"/>
  <c r="I245" i="39"/>
  <c r="H245" i="39"/>
  <c r="I237" i="39"/>
  <c r="H237" i="39"/>
  <c r="I69" i="39"/>
  <c r="H69" i="39"/>
  <c r="I205" i="39"/>
  <c r="H205" i="39"/>
  <c r="I124" i="39"/>
  <c r="H124" i="39"/>
  <c r="I62" i="39"/>
  <c r="H62" i="39"/>
  <c r="I166" i="39"/>
  <c r="H166" i="39"/>
  <c r="I115" i="39"/>
  <c r="H115" i="39"/>
  <c r="K239" i="40"/>
  <c r="J239" i="40"/>
  <c r="I239" i="40"/>
  <c r="H239" i="40"/>
  <c r="I130" i="40"/>
  <c r="K130" i="40"/>
  <c r="H130" i="40"/>
  <c r="J130" i="40"/>
  <c r="K140" i="40"/>
  <c r="H140" i="40"/>
  <c r="I140" i="40"/>
  <c r="J140" i="40"/>
  <c r="I233" i="40"/>
  <c r="J233" i="40"/>
  <c r="K233" i="40"/>
  <c r="H233" i="40"/>
  <c r="K211" i="40"/>
  <c r="I211" i="40"/>
  <c r="J211" i="40"/>
  <c r="H211" i="40"/>
  <c r="K181" i="40"/>
  <c r="H181" i="40"/>
  <c r="I181" i="40"/>
  <c r="J181" i="40"/>
  <c r="K51" i="40"/>
  <c r="H51" i="40"/>
  <c r="J51" i="40"/>
  <c r="I51" i="40"/>
  <c r="K28" i="40"/>
  <c r="I28" i="40"/>
  <c r="J28" i="40"/>
  <c r="H28" i="40"/>
  <c r="I293" i="40"/>
  <c r="K293" i="40"/>
  <c r="H293" i="40"/>
  <c r="J293" i="40"/>
  <c r="J203" i="40"/>
  <c r="H203" i="40"/>
  <c r="K203" i="40"/>
  <c r="I203" i="40"/>
  <c r="I116" i="40"/>
  <c r="K116" i="40"/>
  <c r="H116" i="40"/>
  <c r="J116" i="40"/>
  <c r="I270" i="39"/>
  <c r="H270" i="39"/>
  <c r="I221" i="39"/>
  <c r="H221" i="39"/>
  <c r="I165" i="39"/>
  <c r="H165" i="39"/>
  <c r="I277" i="39"/>
  <c r="H277" i="39"/>
  <c r="I173" i="39"/>
  <c r="H173" i="39"/>
  <c r="I139" i="39"/>
  <c r="H139" i="39"/>
  <c r="I257" i="39"/>
  <c r="H257" i="39"/>
  <c r="I242" i="39"/>
  <c r="H242" i="39"/>
  <c r="I200" i="39"/>
  <c r="H200" i="39"/>
  <c r="I188" i="39"/>
  <c r="H188" i="39"/>
  <c r="I112" i="39"/>
  <c r="H112" i="39"/>
  <c r="I90" i="39"/>
  <c r="H90" i="39"/>
  <c r="I68" i="39"/>
  <c r="H68" i="39"/>
  <c r="K101" i="40"/>
  <c r="I101" i="40"/>
  <c r="J101" i="40"/>
  <c r="H101" i="40"/>
  <c r="I200" i="40"/>
  <c r="J200" i="40"/>
  <c r="K200" i="40"/>
  <c r="H200" i="40"/>
  <c r="K161" i="40"/>
  <c r="I161" i="40"/>
  <c r="J161" i="40"/>
  <c r="H161" i="40"/>
  <c r="J19" i="40"/>
  <c r="H19" i="40"/>
  <c r="K19" i="40"/>
  <c r="I19" i="40"/>
  <c r="I179" i="40"/>
  <c r="K179" i="40"/>
  <c r="H179" i="40"/>
  <c r="J179" i="40"/>
  <c r="K91" i="40"/>
  <c r="H91" i="40"/>
  <c r="J91" i="40"/>
  <c r="I91" i="40"/>
  <c r="K68" i="40"/>
  <c r="H68" i="40"/>
  <c r="J68" i="40"/>
  <c r="I68" i="40"/>
  <c r="I238" i="40"/>
  <c r="K238" i="40"/>
  <c r="H238" i="40"/>
  <c r="J238" i="40"/>
  <c r="J264" i="40"/>
  <c r="H264" i="40"/>
  <c r="K264" i="40"/>
  <c r="I264" i="40"/>
  <c r="I256" i="40"/>
  <c r="J256" i="40"/>
  <c r="K256" i="40"/>
  <c r="H256" i="40"/>
  <c r="J214" i="40"/>
  <c r="H214" i="40"/>
  <c r="K214" i="40"/>
  <c r="I214" i="40"/>
  <c r="K173" i="40"/>
  <c r="I173" i="40"/>
  <c r="J173" i="40"/>
  <c r="H173" i="40"/>
  <c r="I81" i="40"/>
  <c r="K81" i="40"/>
  <c r="H81" i="40"/>
  <c r="J81" i="40"/>
  <c r="I250" i="39"/>
  <c r="H250" i="39"/>
  <c r="I203" i="39"/>
  <c r="H203" i="39"/>
  <c r="I195" i="39"/>
  <c r="H195" i="39"/>
  <c r="I224" i="39"/>
  <c r="H224" i="39"/>
  <c r="I95" i="39"/>
  <c r="H95" i="39"/>
  <c r="I73" i="39"/>
  <c r="H73" i="39"/>
  <c r="I305" i="39"/>
  <c r="H305" i="39"/>
  <c r="I233" i="39"/>
  <c r="H233" i="39"/>
  <c r="I172" i="39"/>
  <c r="H172" i="39"/>
  <c r="I113" i="39"/>
  <c r="H113" i="39"/>
  <c r="I80" i="39"/>
  <c r="H80" i="39"/>
  <c r="I72" i="39"/>
  <c r="H72" i="39"/>
  <c r="I265" i="39"/>
  <c r="H265" i="39"/>
  <c r="I251" i="39"/>
  <c r="H251" i="39"/>
  <c r="I135" i="39"/>
  <c r="H135" i="39"/>
  <c r="K70" i="40"/>
  <c r="I70" i="40"/>
  <c r="J70" i="40"/>
  <c r="H70" i="40"/>
  <c r="K24" i="40"/>
  <c r="I24" i="40"/>
  <c r="J24" i="40"/>
  <c r="H24" i="40"/>
  <c r="K225" i="40"/>
  <c r="I225" i="40"/>
  <c r="J225" i="40"/>
  <c r="H225" i="40"/>
  <c r="K96" i="40"/>
  <c r="I96" i="40"/>
  <c r="J96" i="40"/>
  <c r="H96" i="40"/>
  <c r="I42" i="40"/>
  <c r="K42" i="40"/>
  <c r="H42" i="40"/>
  <c r="J42" i="40"/>
  <c r="I303" i="39"/>
  <c r="H303" i="39"/>
  <c r="I286" i="39"/>
  <c r="H286" i="39"/>
  <c r="I274" i="39"/>
  <c r="H274" i="39"/>
  <c r="I238" i="39"/>
  <c r="H238" i="39"/>
  <c r="I199" i="39"/>
  <c r="H199" i="39"/>
  <c r="I296" i="39"/>
  <c r="H296" i="39"/>
  <c r="I77" i="39"/>
  <c r="H77" i="39"/>
  <c r="I272" i="39"/>
  <c r="H272" i="39"/>
  <c r="I266" i="39"/>
  <c r="H266" i="39"/>
  <c r="I96" i="39"/>
  <c r="H96" i="39"/>
  <c r="I232" i="39"/>
  <c r="H232" i="39"/>
  <c r="I222" i="39"/>
  <c r="H222" i="39"/>
  <c r="I152" i="39"/>
  <c r="H152" i="39"/>
  <c r="K292" i="40"/>
  <c r="J292" i="40"/>
  <c r="H292" i="40"/>
  <c r="I292" i="40"/>
  <c r="K202" i="40"/>
  <c r="J202" i="40"/>
  <c r="I202" i="40"/>
  <c r="H202" i="40"/>
  <c r="I30" i="40"/>
  <c r="K30" i="40"/>
  <c r="H30" i="40"/>
  <c r="J30" i="40"/>
  <c r="K48" i="40"/>
  <c r="I48" i="40"/>
  <c r="J48" i="40"/>
  <c r="H48" i="40"/>
  <c r="I82" i="40"/>
  <c r="K82" i="40"/>
  <c r="H82" i="40"/>
  <c r="J82" i="40"/>
  <c r="K12" i="40"/>
  <c r="H12" i="40"/>
  <c r="I12" i="40"/>
  <c r="J12" i="40"/>
  <c r="K131" i="40"/>
  <c r="I131" i="40"/>
  <c r="J131" i="40"/>
  <c r="H131" i="40"/>
  <c r="I73" i="40"/>
  <c r="K73" i="40"/>
  <c r="H73" i="40"/>
  <c r="J73" i="40"/>
  <c r="I294" i="39"/>
  <c r="H294" i="39"/>
  <c r="I131" i="39"/>
  <c r="H131" i="39"/>
  <c r="I3" i="39"/>
  <c r="I78" i="39"/>
  <c r="H78" i="39"/>
  <c r="I249" i="39"/>
  <c r="H249" i="39"/>
  <c r="I190" i="39"/>
  <c r="H190" i="39"/>
  <c r="I114" i="39"/>
  <c r="H114" i="39"/>
  <c r="I276" i="39"/>
  <c r="H276" i="39"/>
  <c r="I220" i="39"/>
  <c r="H220" i="39"/>
  <c r="K32" i="40"/>
  <c r="I32" i="40"/>
  <c r="J32" i="40"/>
  <c r="H32" i="40"/>
  <c r="K255" i="40"/>
  <c r="H255" i="40"/>
  <c r="I255" i="40"/>
  <c r="J255" i="40"/>
  <c r="K240" i="40"/>
  <c r="I240" i="40"/>
  <c r="J240" i="40"/>
  <c r="H240" i="40"/>
  <c r="I291" i="39"/>
  <c r="H291" i="39"/>
  <c r="I134" i="39"/>
  <c r="H134" i="39"/>
  <c r="I89" i="39"/>
  <c r="H89" i="39"/>
  <c r="I290" i="39"/>
  <c r="H290" i="39"/>
  <c r="I176" i="39"/>
  <c r="H176" i="39"/>
  <c r="I137" i="39"/>
  <c r="H137" i="39"/>
  <c r="I111" i="39"/>
  <c r="H111" i="39"/>
  <c r="I63" i="39"/>
  <c r="H63" i="39"/>
  <c r="I302" i="39"/>
  <c r="H302" i="39"/>
  <c r="I244" i="39"/>
  <c r="H244" i="39"/>
  <c r="I236" i="39"/>
  <c r="H236" i="39"/>
  <c r="I229" i="39"/>
  <c r="H229" i="39"/>
  <c r="I76" i="39"/>
  <c r="H76" i="39"/>
  <c r="I295" i="39"/>
  <c r="H295" i="39"/>
  <c r="I196" i="39"/>
  <c r="H196" i="39"/>
  <c r="I159" i="39"/>
  <c r="H159" i="39"/>
  <c r="I123" i="39"/>
  <c r="H123" i="39"/>
  <c r="I93" i="39"/>
  <c r="H93" i="39"/>
  <c r="I262" i="40"/>
  <c r="J262" i="40"/>
  <c r="K262" i="40"/>
  <c r="H262" i="40"/>
  <c r="K172" i="40"/>
  <c r="H172" i="40"/>
  <c r="J172" i="40"/>
  <c r="I172" i="40"/>
  <c r="I269" i="40"/>
  <c r="K269" i="40"/>
  <c r="H269" i="40"/>
  <c r="J269" i="40"/>
  <c r="K205" i="40"/>
  <c r="H205" i="40"/>
  <c r="J205" i="40"/>
  <c r="I205" i="40"/>
  <c r="I163" i="40"/>
  <c r="K163" i="40"/>
  <c r="H163" i="40"/>
  <c r="J163" i="40"/>
  <c r="K71" i="40"/>
  <c r="H71" i="40"/>
  <c r="I71" i="40"/>
  <c r="J71" i="40"/>
  <c r="K25" i="40"/>
  <c r="H25" i="40"/>
  <c r="I25" i="40"/>
  <c r="J25" i="40"/>
  <c r="I218" i="40"/>
  <c r="K218" i="40"/>
  <c r="H218" i="40"/>
  <c r="J218" i="40"/>
  <c r="K123" i="40"/>
  <c r="I123" i="40"/>
  <c r="J123" i="40"/>
  <c r="H123" i="40"/>
  <c r="K46" i="40"/>
  <c r="I46" i="40"/>
  <c r="J46" i="40"/>
  <c r="H46" i="40"/>
  <c r="K119" i="40"/>
  <c r="I119" i="40"/>
  <c r="J119" i="40"/>
  <c r="H119" i="40"/>
  <c r="I261" i="39"/>
  <c r="H261" i="39"/>
  <c r="I65" i="39"/>
  <c r="H65" i="39"/>
  <c r="J250" i="40"/>
  <c r="H250" i="40"/>
  <c r="K250" i="40"/>
  <c r="I250" i="40"/>
  <c r="K246" i="40"/>
  <c r="I246" i="40"/>
  <c r="J246" i="40"/>
  <c r="H246" i="40"/>
  <c r="I256" i="39"/>
  <c r="H256" i="39"/>
  <c r="I260" i="39"/>
  <c r="H260" i="39"/>
  <c r="I155" i="39"/>
  <c r="H155" i="39"/>
  <c r="J251" i="40"/>
  <c r="H251" i="40"/>
  <c r="K251" i="40"/>
  <c r="I251" i="40"/>
  <c r="J15" i="40"/>
  <c r="H15" i="40"/>
  <c r="K15" i="40"/>
  <c r="I15" i="40"/>
  <c r="O105" i="40"/>
  <c r="AD85" i="21" s="1"/>
  <c r="O93" i="40"/>
  <c r="AD158" i="21" s="1"/>
  <c r="O103" i="40"/>
  <c r="AD83" i="21" s="1"/>
  <c r="O104" i="40"/>
  <c r="AD84" i="21" s="1"/>
  <c r="O106" i="40"/>
  <c r="AD86" i="21" s="1"/>
  <c r="J227" i="40"/>
  <c r="K227" i="40"/>
  <c r="J134" i="40"/>
  <c r="K134" i="40"/>
  <c r="J72" i="40"/>
  <c r="K72" i="40"/>
  <c r="J265" i="40"/>
  <c r="K265" i="40"/>
  <c r="J9" i="40"/>
  <c r="K9" i="40"/>
  <c r="J290" i="40"/>
  <c r="K290" i="40"/>
  <c r="J177" i="40"/>
  <c r="K177" i="40"/>
  <c r="J93" i="40"/>
  <c r="K93" i="40"/>
  <c r="J16" i="40"/>
  <c r="K16" i="40"/>
  <c r="J232" i="40"/>
  <c r="K232" i="40"/>
  <c r="J135" i="40"/>
  <c r="K135" i="40"/>
  <c r="J61" i="40"/>
  <c r="K61" i="40"/>
  <c r="J300" i="40"/>
  <c r="K300" i="40"/>
  <c r="J107" i="40"/>
  <c r="K107" i="40"/>
  <c r="J178" i="40"/>
  <c r="K178" i="40"/>
  <c r="J189" i="40"/>
  <c r="K189" i="40"/>
  <c r="O111" i="40"/>
  <c r="AD219" i="21" s="1"/>
  <c r="J213" i="40"/>
  <c r="K213" i="40"/>
  <c r="J111" i="40"/>
  <c r="K111" i="40"/>
  <c r="J26" i="40"/>
  <c r="K26" i="40"/>
  <c r="K10" i="40"/>
  <c r="J137" i="40"/>
  <c r="K137" i="40"/>
  <c r="J90" i="40"/>
  <c r="K90" i="40"/>
  <c r="J252" i="40"/>
  <c r="K252" i="40"/>
  <c r="J162" i="40"/>
  <c r="K162" i="40"/>
  <c r="J305" i="40"/>
  <c r="K305" i="40"/>
  <c r="J207" i="40"/>
  <c r="K207" i="40"/>
  <c r="J120" i="40"/>
  <c r="K120" i="40"/>
  <c r="J4" i="40"/>
  <c r="K4" i="40"/>
  <c r="J278" i="40"/>
  <c r="K278" i="40"/>
  <c r="J84" i="40"/>
  <c r="K84" i="40"/>
  <c r="J110" i="40"/>
  <c r="K110" i="40"/>
  <c r="J105" i="40"/>
  <c r="K105" i="40"/>
  <c r="J191" i="40"/>
  <c r="K191" i="40"/>
  <c r="J103" i="40"/>
  <c r="K103" i="40"/>
  <c r="J311" i="40"/>
  <c r="K311" i="40"/>
  <c r="J198" i="40"/>
  <c r="K198" i="40"/>
  <c r="K6" i="40"/>
  <c r="J52" i="40"/>
  <c r="K52" i="40"/>
  <c r="J237" i="40"/>
  <c r="K237" i="40"/>
  <c r="J147" i="40"/>
  <c r="K147" i="40"/>
  <c r="J78" i="40"/>
  <c r="K78" i="40"/>
  <c r="J287" i="40"/>
  <c r="K287" i="40"/>
  <c r="J184" i="40"/>
  <c r="K184" i="40"/>
  <c r="J104" i="40"/>
  <c r="K104" i="40"/>
  <c r="J50" i="40"/>
  <c r="K50" i="40"/>
  <c r="J270" i="40"/>
  <c r="K270" i="40"/>
  <c r="J37" i="40"/>
  <c r="K37" i="40"/>
  <c r="J153" i="40"/>
  <c r="K153" i="40"/>
  <c r="J281" i="40"/>
  <c r="K281" i="40"/>
  <c r="J190" i="40"/>
  <c r="K190" i="40"/>
  <c r="J106" i="40"/>
  <c r="K106" i="40"/>
  <c r="J36" i="40"/>
  <c r="K36" i="40"/>
  <c r="J222" i="40"/>
  <c r="K222" i="40"/>
  <c r="J124" i="40"/>
  <c r="K124" i="40"/>
  <c r="J47" i="40"/>
  <c r="K47" i="40"/>
  <c r="J271" i="40"/>
  <c r="K271" i="40"/>
  <c r="J150" i="40"/>
  <c r="K150" i="40"/>
  <c r="J88" i="40"/>
  <c r="K88" i="40"/>
  <c r="J27" i="40"/>
  <c r="K27" i="40"/>
  <c r="J210" i="40"/>
  <c r="K210" i="40"/>
  <c r="J212" i="40"/>
  <c r="K212" i="40"/>
  <c r="J204" i="40"/>
  <c r="K204" i="40"/>
  <c r="J58" i="40"/>
  <c r="K58" i="40"/>
  <c r="H227" i="40"/>
  <c r="I227" i="40"/>
  <c r="H72" i="40"/>
  <c r="I72" i="40"/>
  <c r="I10" i="40"/>
  <c r="I6" i="40"/>
  <c r="H290" i="40"/>
  <c r="I290" i="40"/>
  <c r="H177" i="40"/>
  <c r="I177" i="40"/>
  <c r="H93" i="40"/>
  <c r="I93" i="40"/>
  <c r="H184" i="40"/>
  <c r="I184" i="40"/>
  <c r="H135" i="40"/>
  <c r="I135" i="40"/>
  <c r="H104" i="40"/>
  <c r="I104" i="40"/>
  <c r="H61" i="40"/>
  <c r="I61" i="40"/>
  <c r="H278" i="40"/>
  <c r="I278" i="40"/>
  <c r="H212" i="40"/>
  <c r="I212" i="40"/>
  <c r="H110" i="40"/>
  <c r="I110" i="40"/>
  <c r="H105" i="40"/>
  <c r="I105" i="40"/>
  <c r="H153" i="40"/>
  <c r="I153" i="40"/>
  <c r="H111" i="40"/>
  <c r="I111" i="40"/>
  <c r="H26" i="40"/>
  <c r="I26" i="40"/>
  <c r="H281" i="40"/>
  <c r="I281" i="40"/>
  <c r="H9" i="40"/>
  <c r="I9" i="40"/>
  <c r="H106" i="40"/>
  <c r="I106" i="40"/>
  <c r="H52" i="40"/>
  <c r="I52" i="40"/>
  <c r="H252" i="40"/>
  <c r="I252" i="40"/>
  <c r="H162" i="40"/>
  <c r="I162" i="40"/>
  <c r="H16" i="40"/>
  <c r="I16" i="40"/>
  <c r="H287" i="40"/>
  <c r="I287" i="40"/>
  <c r="H232" i="40"/>
  <c r="I232" i="40"/>
  <c r="H27" i="40"/>
  <c r="I27" i="40"/>
  <c r="H270" i="40"/>
  <c r="I270" i="40"/>
  <c r="H84" i="40"/>
  <c r="I84" i="40"/>
  <c r="H213" i="40"/>
  <c r="I213" i="40"/>
  <c r="H103" i="40"/>
  <c r="I103" i="40"/>
  <c r="H198" i="40"/>
  <c r="I198" i="40"/>
  <c r="H237" i="40"/>
  <c r="I237" i="40"/>
  <c r="H147" i="40"/>
  <c r="I147" i="40"/>
  <c r="H78" i="40"/>
  <c r="I78" i="40"/>
  <c r="H207" i="40"/>
  <c r="I207" i="40"/>
  <c r="H150" i="40"/>
  <c r="I150" i="40"/>
  <c r="H120" i="40"/>
  <c r="I120" i="40"/>
  <c r="H88" i="40"/>
  <c r="I88" i="40"/>
  <c r="H4" i="40"/>
  <c r="I4" i="40"/>
  <c r="H210" i="40"/>
  <c r="I210" i="40"/>
  <c r="H37" i="40"/>
  <c r="I37" i="40"/>
  <c r="H178" i="40"/>
  <c r="I178" i="40"/>
  <c r="H204" i="40"/>
  <c r="I204" i="40"/>
  <c r="H58" i="40"/>
  <c r="I58" i="40"/>
  <c r="H191" i="40"/>
  <c r="I191" i="40"/>
  <c r="H134" i="40"/>
  <c r="I134" i="40"/>
  <c r="H311" i="40"/>
  <c r="I311" i="40"/>
  <c r="H265" i="40"/>
  <c r="I265" i="40"/>
  <c r="H190" i="40"/>
  <c r="I190" i="40"/>
  <c r="H137" i="40"/>
  <c r="I137" i="40"/>
  <c r="H90" i="40"/>
  <c r="I90" i="40"/>
  <c r="H36" i="40"/>
  <c r="I36" i="40"/>
  <c r="H222" i="40"/>
  <c r="I222" i="40"/>
  <c r="H124" i="40"/>
  <c r="I124" i="40"/>
  <c r="H47" i="40"/>
  <c r="I47" i="40"/>
  <c r="H305" i="40"/>
  <c r="I305" i="40"/>
  <c r="H271" i="40"/>
  <c r="I271" i="40"/>
  <c r="H50" i="40"/>
  <c r="I50" i="40"/>
  <c r="H300" i="40"/>
  <c r="I300" i="40"/>
  <c r="H107" i="40"/>
  <c r="I107" i="40"/>
  <c r="H189" i="40"/>
  <c r="I189" i="40"/>
  <c r="H297" i="39"/>
  <c r="H54" i="39"/>
  <c r="H127" i="39"/>
  <c r="H82" i="39"/>
  <c r="H306" i="39"/>
  <c r="H267" i="39"/>
  <c r="H253" i="39"/>
  <c r="H227" i="39"/>
  <c r="H198" i="39"/>
  <c r="H186" i="39"/>
  <c r="H170" i="39"/>
  <c r="H103" i="39"/>
  <c r="H91" i="39"/>
  <c r="H243" i="39"/>
  <c r="H192" i="39"/>
  <c r="H169" i="39"/>
  <c r="H143" i="39"/>
  <c r="H37" i="39"/>
  <c r="H59" i="39"/>
  <c r="H247" i="39"/>
  <c r="H239" i="39"/>
  <c r="H146" i="39"/>
  <c r="H132" i="39"/>
  <c r="H34" i="39"/>
  <c r="H58" i="39"/>
  <c r="H264" i="39"/>
  <c r="H241" i="39"/>
  <c r="H209" i="39"/>
  <c r="H184" i="39"/>
  <c r="H158" i="39"/>
  <c r="H145" i="39"/>
  <c r="H104" i="39"/>
  <c r="H92" i="39"/>
  <c r="H70" i="39"/>
  <c r="H148" i="39"/>
  <c r="H121" i="39"/>
  <c r="H88" i="39"/>
  <c r="H255" i="39"/>
  <c r="H35" i="39"/>
  <c r="H179" i="39"/>
  <c r="H160" i="39"/>
  <c r="H147" i="39"/>
  <c r="H120" i="39"/>
  <c r="H292" i="39"/>
  <c r="H304" i="39"/>
  <c r="H156" i="39"/>
  <c r="H142" i="39"/>
  <c r="H38" i="39"/>
  <c r="H202" i="39"/>
  <c r="H189" i="39"/>
  <c r="H128" i="39"/>
  <c r="H40" i="39"/>
  <c r="H219" i="39"/>
  <c r="H206" i="39"/>
  <c r="H183" i="39"/>
  <c r="H141" i="39"/>
  <c r="H122" i="39"/>
  <c r="H101" i="39"/>
  <c r="H144" i="39"/>
  <c r="H252" i="39"/>
  <c r="H164" i="39"/>
  <c r="H136" i="39"/>
  <c r="H116" i="39"/>
  <c r="H308" i="39"/>
  <c r="H287" i="39"/>
  <c r="H275" i="39"/>
  <c r="H254" i="39"/>
  <c r="H171" i="39"/>
  <c r="H109" i="39"/>
  <c r="H79" i="39"/>
  <c r="H311" i="39"/>
  <c r="H278" i="39"/>
  <c r="H214" i="39"/>
  <c r="H48" i="39"/>
  <c r="H125" i="39"/>
  <c r="H300" i="39"/>
  <c r="H269" i="39"/>
  <c r="H230" i="39"/>
  <c r="H154" i="39"/>
  <c r="H52" i="39"/>
  <c r="H207" i="39"/>
  <c r="H94" i="39"/>
  <c r="H66" i="39"/>
  <c r="H301" i="39"/>
  <c r="H298" i="39"/>
  <c r="H283" i="39"/>
  <c r="H235" i="39"/>
  <c r="H50" i="39"/>
  <c r="H194" i="39"/>
  <c r="H271" i="39"/>
  <c r="H105" i="39"/>
  <c r="H108" i="39"/>
  <c r="H231" i="39"/>
  <c r="H177" i="39"/>
  <c r="H162" i="39"/>
  <c r="H74" i="39"/>
  <c r="H285" i="39"/>
  <c r="H259" i="39"/>
  <c r="H53" i="39"/>
  <c r="H182" i="39"/>
  <c r="H130" i="39"/>
  <c r="H117" i="39"/>
  <c r="H223" i="39"/>
  <c r="H211" i="39"/>
  <c r="H185" i="39"/>
  <c r="H102" i="39"/>
  <c r="H55" i="39"/>
  <c r="H215" i="39"/>
  <c r="H204" i="39"/>
  <c r="H43" i="39"/>
  <c r="H99" i="39"/>
  <c r="H284" i="39"/>
  <c r="H234" i="39"/>
  <c r="H151" i="39"/>
  <c r="H138" i="39"/>
  <c r="H98" i="39"/>
  <c r="H86" i="39"/>
  <c r="H64" i="39"/>
  <c r="H293" i="39"/>
  <c r="H208" i="39"/>
  <c r="H168" i="39"/>
  <c r="H140" i="39"/>
  <c r="H126" i="39"/>
  <c r="H100" i="39"/>
  <c r="H81" i="39"/>
  <c r="H307" i="39"/>
  <c r="H262" i="39"/>
  <c r="H217" i="39"/>
  <c r="H49" i="39"/>
  <c r="H167" i="39"/>
  <c r="H153" i="39"/>
  <c r="H106" i="39"/>
  <c r="H312" i="39"/>
  <c r="H226" i="39"/>
  <c r="H175" i="39"/>
  <c r="H163" i="39"/>
  <c r="H83" i="39"/>
  <c r="H61" i="39"/>
  <c r="H39" i="39"/>
  <c r="H181" i="39"/>
  <c r="H107" i="39"/>
  <c r="H212" i="39"/>
  <c r="H75" i="39"/>
  <c r="H85" i="39"/>
  <c r="H268" i="39"/>
  <c r="H33" i="39"/>
  <c r="H149" i="39"/>
  <c r="H273" i="39"/>
  <c r="H218" i="39"/>
  <c r="H32" i="39"/>
  <c r="H44" i="39"/>
  <c r="H150" i="39"/>
  <c r="H97" i="39"/>
  <c r="H299" i="39"/>
  <c r="H258" i="39"/>
  <c r="H216" i="39"/>
  <c r="H157" i="39"/>
  <c r="H129" i="39"/>
  <c r="H110" i="39"/>
  <c r="H309" i="39"/>
  <c r="H288" i="39"/>
  <c r="H313" i="39"/>
  <c r="H210" i="39"/>
  <c r="H191" i="39"/>
  <c r="H178" i="39"/>
  <c r="H71" i="39"/>
  <c r="H84" i="39"/>
  <c r="H282" i="39"/>
  <c r="H228" i="39"/>
  <c r="H174" i="39"/>
  <c r="H118" i="39"/>
  <c r="H281" i="39"/>
  <c r="H240" i="39"/>
  <c r="H180" i="39"/>
  <c r="H161" i="39"/>
  <c r="H280" i="39"/>
  <c r="H56" i="39"/>
  <c r="H213" i="39"/>
  <c r="H201" i="39"/>
  <c r="H133" i="39"/>
  <c r="H87" i="39"/>
  <c r="H310" i="39"/>
  <c r="H289" i="39"/>
  <c r="H279" i="39"/>
  <c r="H193" i="39"/>
  <c r="H60" i="39"/>
  <c r="H119" i="39"/>
  <c r="H31" i="39"/>
  <c r="H263" i="39"/>
  <c r="H248" i="39"/>
  <c r="H45" i="39"/>
  <c r="H246" i="39"/>
  <c r="H197" i="39"/>
  <c r="O300" i="40"/>
  <c r="AD303" i="21" s="1"/>
  <c r="O310" i="40"/>
  <c r="AD310" i="21" s="1"/>
  <c r="O107" i="40"/>
  <c r="AD216" i="21" s="1"/>
  <c r="W9" i="42"/>
  <c r="W13" i="42"/>
  <c r="W7" i="42"/>
  <c r="V9" i="42"/>
  <c r="O109" i="40"/>
  <c r="AD218" i="21" s="1"/>
  <c r="U11" i="42"/>
  <c r="U10" i="42"/>
  <c r="U4" i="42"/>
  <c r="V7" i="42"/>
  <c r="W11" i="42"/>
  <c r="U3" i="42"/>
  <c r="U9" i="42"/>
  <c r="V13" i="42"/>
  <c r="W5" i="42"/>
  <c r="U5" i="42"/>
  <c r="V5" i="42"/>
  <c r="V11" i="42"/>
  <c r="O102" i="40"/>
  <c r="AD215" i="21" s="1"/>
  <c r="O4" i="40"/>
  <c r="V10" i="42" s="1"/>
  <c r="O108" i="40"/>
  <c r="AD217" i="21" s="1"/>
  <c r="O309" i="40"/>
  <c r="AD309" i="21" s="1"/>
  <c r="O267" i="40"/>
  <c r="AD286" i="21" s="1"/>
  <c r="AB262" i="21"/>
  <c r="AB20" i="21"/>
  <c r="AB193" i="21"/>
  <c r="Q4" i="42"/>
  <c r="Q3" i="42"/>
  <c r="K12" i="42"/>
  <c r="K18" i="42" s="1"/>
  <c r="K11" i="42"/>
  <c r="K17" i="42" s="1"/>
  <c r="K10" i="42"/>
  <c r="K16" i="42" s="1"/>
  <c r="K13" i="42"/>
  <c r="K19" i="42" s="1"/>
  <c r="K9" i="42"/>
  <c r="I13" i="42"/>
  <c r="I19" i="42" s="1"/>
  <c r="O9" i="42"/>
  <c r="Q9" i="42"/>
  <c r="O10" i="42"/>
  <c r="Q10" i="42"/>
  <c r="I11" i="42"/>
  <c r="H4" i="50" s="1"/>
  <c r="J9" i="42"/>
  <c r="I10" i="42"/>
  <c r="I12" i="42"/>
  <c r="I9" i="42"/>
  <c r="D4" i="50" s="1"/>
  <c r="J10" i="42"/>
  <c r="O4" i="42"/>
  <c r="O3" i="42"/>
  <c r="AC104" i="37"/>
  <c r="AC285" i="37"/>
  <c r="AC220" i="37"/>
  <c r="AC147" i="37"/>
  <c r="AC239" i="37"/>
  <c r="AC169" i="37"/>
  <c r="AC263" i="37"/>
  <c r="AC145" i="37"/>
  <c r="AC203" i="37"/>
  <c r="AC150" i="37"/>
  <c r="AC59" i="37"/>
  <c r="X304" i="21"/>
  <c r="W304" i="21"/>
  <c r="X309" i="21"/>
  <c r="W309" i="21"/>
  <c r="X302" i="21"/>
  <c r="W302" i="21"/>
  <c r="X295" i="21"/>
  <c r="W295" i="21"/>
  <c r="X288" i="21"/>
  <c r="W288" i="21"/>
  <c r="X312" i="21"/>
  <c r="W312" i="21"/>
  <c r="X308" i="21"/>
  <c r="W308" i="21"/>
  <c r="X306" i="21"/>
  <c r="W306" i="21"/>
  <c r="X303" i="21"/>
  <c r="W303" i="21"/>
  <c r="X301" i="21"/>
  <c r="W301" i="21"/>
  <c r="X114" i="21"/>
  <c r="W114" i="21"/>
  <c r="X297" i="21"/>
  <c r="W297" i="21"/>
  <c r="X30" i="21"/>
  <c r="W30" i="21"/>
  <c r="X292" i="21"/>
  <c r="W292" i="21"/>
  <c r="X59" i="21"/>
  <c r="W59" i="21"/>
  <c r="X169" i="21"/>
  <c r="W169" i="21"/>
  <c r="X133" i="21"/>
  <c r="W133" i="21"/>
  <c r="X285" i="21"/>
  <c r="W285" i="21"/>
  <c r="X282" i="21"/>
  <c r="W282" i="21"/>
  <c r="X111" i="21"/>
  <c r="W111" i="21"/>
  <c r="X279" i="21"/>
  <c r="W279" i="21"/>
  <c r="X65" i="21"/>
  <c r="W65" i="21"/>
  <c r="X310" i="21"/>
  <c r="W310" i="21"/>
  <c r="X171" i="21"/>
  <c r="W171" i="21"/>
  <c r="X115" i="21"/>
  <c r="W115" i="21"/>
  <c r="X311" i="21"/>
  <c r="W311" i="21"/>
  <c r="X134" i="21"/>
  <c r="W134" i="21"/>
  <c r="X305" i="21"/>
  <c r="W305" i="21"/>
  <c r="X172" i="21"/>
  <c r="W172" i="21"/>
  <c r="X61" i="21"/>
  <c r="W61" i="21"/>
  <c r="X299" i="21"/>
  <c r="W299" i="21"/>
  <c r="X170" i="21"/>
  <c r="W170" i="21"/>
  <c r="X60" i="21"/>
  <c r="W60" i="21"/>
  <c r="X113" i="21"/>
  <c r="W113" i="21"/>
  <c r="X58" i="21"/>
  <c r="W58" i="21"/>
  <c r="X57" i="21"/>
  <c r="W57" i="21"/>
  <c r="X66" i="21"/>
  <c r="W66" i="21"/>
  <c r="X284" i="21"/>
  <c r="W284" i="21"/>
  <c r="X281" i="21"/>
  <c r="W281" i="21"/>
  <c r="X28" i="21"/>
  <c r="W28" i="21"/>
  <c r="X278" i="21"/>
  <c r="W278" i="21"/>
  <c r="X10" i="21"/>
  <c r="W10" i="21"/>
  <c r="X298" i="21"/>
  <c r="W298" i="21"/>
  <c r="X296" i="21"/>
  <c r="W296" i="21"/>
  <c r="X294" i="21"/>
  <c r="W294" i="21"/>
  <c r="X291" i="21"/>
  <c r="W291" i="21"/>
  <c r="X289" i="21"/>
  <c r="W289" i="21"/>
  <c r="X287" i="21"/>
  <c r="W287" i="21"/>
  <c r="X56" i="21"/>
  <c r="W56" i="21"/>
  <c r="X283" i="21"/>
  <c r="W283" i="21"/>
  <c r="X132" i="21"/>
  <c r="W132" i="21"/>
  <c r="X110" i="21"/>
  <c r="W110" i="21"/>
  <c r="X277" i="21"/>
  <c r="W277" i="21"/>
  <c r="X109" i="21"/>
  <c r="W109" i="21"/>
  <c r="X274" i="21"/>
  <c r="W274" i="21"/>
  <c r="X107" i="21"/>
  <c r="W107" i="21"/>
  <c r="X314" i="21"/>
  <c r="W314" i="21"/>
  <c r="X307" i="21"/>
  <c r="W307" i="21"/>
  <c r="X116" i="21"/>
  <c r="W116" i="21"/>
  <c r="X31" i="21"/>
  <c r="W31" i="21"/>
  <c r="X300" i="21"/>
  <c r="W300" i="21"/>
  <c r="X293" i="21"/>
  <c r="W293" i="21"/>
  <c r="X290" i="21"/>
  <c r="W290" i="21"/>
  <c r="X168" i="21"/>
  <c r="W168" i="21"/>
  <c r="X286" i="21"/>
  <c r="W286" i="21"/>
  <c r="X29" i="21"/>
  <c r="W29" i="21"/>
  <c r="X112" i="21"/>
  <c r="W112" i="21"/>
  <c r="X280" i="21"/>
  <c r="W280" i="21"/>
  <c r="X131" i="21"/>
  <c r="W131" i="21"/>
  <c r="X275" i="21"/>
  <c r="W275" i="21"/>
  <c r="X26" i="21"/>
  <c r="W26" i="21"/>
  <c r="X271" i="21"/>
  <c r="W271" i="21"/>
  <c r="X268" i="21"/>
  <c r="W268" i="21"/>
  <c r="X267" i="21"/>
  <c r="W267" i="21"/>
  <c r="X27" i="21"/>
  <c r="W27" i="21"/>
  <c r="X273" i="21"/>
  <c r="W273" i="21"/>
  <c r="X270" i="21"/>
  <c r="W270" i="21"/>
  <c r="X167" i="21"/>
  <c r="W167" i="21"/>
  <c r="X266" i="21"/>
  <c r="W266" i="21"/>
  <c r="X166" i="21"/>
  <c r="W166" i="21"/>
  <c r="X105" i="21"/>
  <c r="W105" i="21"/>
  <c r="X24" i="21"/>
  <c r="W24" i="21"/>
  <c r="X165" i="21"/>
  <c r="W165" i="21"/>
  <c r="X129" i="21"/>
  <c r="W129" i="21"/>
  <c r="X50" i="21"/>
  <c r="W50" i="21"/>
  <c r="X49" i="21"/>
  <c r="W49" i="21"/>
  <c r="X256" i="21"/>
  <c r="W256" i="21"/>
  <c r="X253" i="21"/>
  <c r="W253" i="21"/>
  <c r="X250" i="21"/>
  <c r="W250" i="21"/>
  <c r="X6" i="21"/>
  <c r="W6" i="21"/>
  <c r="X64" i="21"/>
  <c r="W64" i="21"/>
  <c r="X247" i="21"/>
  <c r="W247" i="21"/>
  <c r="X23" i="21"/>
  <c r="W23" i="21"/>
  <c r="X245" i="21"/>
  <c r="W245" i="21"/>
  <c r="X242" i="21"/>
  <c r="W242" i="21"/>
  <c r="X240" i="21"/>
  <c r="W240" i="21"/>
  <c r="X45" i="21"/>
  <c r="W45" i="21"/>
  <c r="X238" i="21"/>
  <c r="W238" i="21"/>
  <c r="X236" i="21"/>
  <c r="W236" i="21"/>
  <c r="X20" i="21"/>
  <c r="W20" i="21"/>
  <c r="X94" i="21"/>
  <c r="W94" i="21"/>
  <c r="X43" i="21"/>
  <c r="W43" i="21"/>
  <c r="X232" i="21"/>
  <c r="W232" i="21"/>
  <c r="X123" i="21"/>
  <c r="W123" i="21"/>
  <c r="X18" i="21"/>
  <c r="W18" i="21"/>
  <c r="X226" i="21"/>
  <c r="W226" i="21"/>
  <c r="X223" i="21"/>
  <c r="W223" i="21"/>
  <c r="X89" i="21"/>
  <c r="W89" i="21"/>
  <c r="X141" i="21"/>
  <c r="W141" i="21"/>
  <c r="X219" i="21"/>
  <c r="W219" i="21"/>
  <c r="X216" i="21"/>
  <c r="W216" i="21"/>
  <c r="X83" i="21"/>
  <c r="W83" i="21"/>
  <c r="W62" i="21"/>
  <c r="X62" i="21"/>
  <c r="X211" i="21"/>
  <c r="W211" i="21"/>
  <c r="X140" i="21"/>
  <c r="W140" i="21"/>
  <c r="X210" i="21"/>
  <c r="W210" i="21"/>
  <c r="X119" i="21"/>
  <c r="W119" i="21"/>
  <c r="X206" i="21"/>
  <c r="W206" i="21"/>
  <c r="X82" i="21"/>
  <c r="W82" i="21"/>
  <c r="X157" i="21"/>
  <c r="W157" i="21"/>
  <c r="X79" i="21"/>
  <c r="W79" i="21"/>
  <c r="X198" i="21"/>
  <c r="W198" i="21"/>
  <c r="X196" i="21"/>
  <c r="W196" i="21"/>
  <c r="X155" i="21"/>
  <c r="W155" i="21"/>
  <c r="W34" i="21"/>
  <c r="X34" i="21"/>
  <c r="X14" i="21"/>
  <c r="W14" i="21"/>
  <c r="X137" i="21"/>
  <c r="W137" i="21"/>
  <c r="X189" i="21"/>
  <c r="W189" i="21"/>
  <c r="X187" i="21"/>
  <c r="W187" i="21"/>
  <c r="X184" i="21"/>
  <c r="W184" i="21"/>
  <c r="X135" i="21"/>
  <c r="W135" i="21"/>
  <c r="X117" i="21"/>
  <c r="W117" i="21"/>
  <c r="X179" i="21"/>
  <c r="W179" i="21"/>
  <c r="X177" i="21"/>
  <c r="W177" i="21"/>
  <c r="X176" i="21"/>
  <c r="W176" i="21"/>
  <c r="X276" i="21"/>
  <c r="W276" i="21"/>
  <c r="X108" i="21"/>
  <c r="W108" i="21"/>
  <c r="X272" i="21"/>
  <c r="W272" i="21"/>
  <c r="X269" i="21"/>
  <c r="W269" i="21"/>
  <c r="X106" i="21"/>
  <c r="W106" i="21"/>
  <c r="X265" i="21"/>
  <c r="W265" i="21"/>
  <c r="W12" i="21"/>
  <c r="X12" i="21"/>
  <c r="X104" i="21"/>
  <c r="W104" i="21"/>
  <c r="X53" i="21"/>
  <c r="W53" i="21"/>
  <c r="X128" i="21"/>
  <c r="W128" i="21"/>
  <c r="X260" i="21"/>
  <c r="W260" i="21"/>
  <c r="X48" i="21"/>
  <c r="W48" i="21"/>
  <c r="X252" i="21"/>
  <c r="W252" i="21"/>
  <c r="W8" i="21"/>
  <c r="X8" i="21"/>
  <c r="X249" i="21"/>
  <c r="W249" i="21"/>
  <c r="X144" i="21"/>
  <c r="W144" i="21"/>
  <c r="X126" i="21"/>
  <c r="W126" i="21"/>
  <c r="X22" i="21"/>
  <c r="W22" i="21"/>
  <c r="W5" i="21"/>
  <c r="X5" i="21"/>
  <c r="X143" i="21"/>
  <c r="W143" i="21"/>
  <c r="X125" i="21"/>
  <c r="W125" i="21"/>
  <c r="X239" i="21"/>
  <c r="W239" i="21"/>
  <c r="X162" i="21"/>
  <c r="W162" i="21"/>
  <c r="X97" i="21"/>
  <c r="W97" i="21"/>
  <c r="X44" i="21"/>
  <c r="W44" i="21"/>
  <c r="X124" i="21"/>
  <c r="W124" i="21"/>
  <c r="X233" i="21"/>
  <c r="W233" i="21"/>
  <c r="X93" i="21"/>
  <c r="W93" i="21"/>
  <c r="X231" i="21"/>
  <c r="W231" i="21"/>
  <c r="X229" i="21"/>
  <c r="W229" i="21"/>
  <c r="X122" i="21"/>
  <c r="W122" i="21"/>
  <c r="X225" i="21"/>
  <c r="W225" i="21"/>
  <c r="X90" i="21"/>
  <c r="W90" i="21"/>
  <c r="X221" i="21"/>
  <c r="W221" i="21"/>
  <c r="X40" i="21"/>
  <c r="W40" i="21"/>
  <c r="X87" i="21"/>
  <c r="W87" i="21"/>
  <c r="X86" i="21"/>
  <c r="W86" i="21"/>
  <c r="X215" i="21"/>
  <c r="W215" i="21"/>
  <c r="X37" i="21"/>
  <c r="W37" i="21"/>
  <c r="X4" i="21"/>
  <c r="W4" i="21"/>
  <c r="X121" i="21"/>
  <c r="W121" i="21"/>
  <c r="X36" i="21"/>
  <c r="W36" i="21"/>
  <c r="X147" i="21"/>
  <c r="W147" i="21"/>
  <c r="W17" i="21"/>
  <c r="X17" i="21"/>
  <c r="X203" i="21"/>
  <c r="W203" i="21"/>
  <c r="X202" i="21"/>
  <c r="W202" i="21"/>
  <c r="X199" i="21"/>
  <c r="W199" i="21"/>
  <c r="W35" i="21"/>
  <c r="X35" i="21"/>
  <c r="X195" i="21"/>
  <c r="W195" i="21"/>
  <c r="X313" i="21"/>
  <c r="W313" i="21"/>
  <c r="W33" i="21"/>
  <c r="X33" i="21"/>
  <c r="W67" i="21"/>
  <c r="X67" i="21"/>
  <c r="W32" i="21"/>
  <c r="X32" i="21"/>
  <c r="X75" i="21"/>
  <c r="W75" i="21"/>
  <c r="X74" i="21"/>
  <c r="W74" i="21"/>
  <c r="X136" i="21"/>
  <c r="W136" i="21"/>
  <c r="X72" i="21"/>
  <c r="W72" i="21"/>
  <c r="X181" i="21"/>
  <c r="W181" i="21"/>
  <c r="X178" i="21"/>
  <c r="W178" i="21"/>
  <c r="X7" i="21"/>
  <c r="W7" i="21"/>
  <c r="X175" i="21"/>
  <c r="W175" i="21"/>
  <c r="X55" i="21"/>
  <c r="W55" i="21"/>
  <c r="X264" i="21"/>
  <c r="W264" i="21"/>
  <c r="X263" i="21"/>
  <c r="W263" i="21"/>
  <c r="X103" i="21"/>
  <c r="W103" i="21"/>
  <c r="X52" i="21"/>
  <c r="W52" i="21"/>
  <c r="X130" i="21"/>
  <c r="W130" i="21"/>
  <c r="X102" i="21"/>
  <c r="W102" i="21"/>
  <c r="X101" i="21"/>
  <c r="W101" i="21"/>
  <c r="X258" i="21"/>
  <c r="W258" i="21"/>
  <c r="X255" i="21"/>
  <c r="W255" i="21"/>
  <c r="X47" i="21"/>
  <c r="W47" i="21"/>
  <c r="X145" i="21"/>
  <c r="W145" i="21"/>
  <c r="X152" i="21"/>
  <c r="W152" i="21"/>
  <c r="X127" i="21"/>
  <c r="W127" i="21"/>
  <c r="X9" i="21"/>
  <c r="W9" i="21"/>
  <c r="X246" i="21"/>
  <c r="W246" i="21"/>
  <c r="X244" i="21"/>
  <c r="W244" i="21"/>
  <c r="X241" i="21"/>
  <c r="W241" i="21"/>
  <c r="X21" i="21"/>
  <c r="W21" i="21"/>
  <c r="X142" i="21"/>
  <c r="W142" i="21"/>
  <c r="X237" i="21"/>
  <c r="W237" i="21"/>
  <c r="X151" i="21"/>
  <c r="W151" i="21"/>
  <c r="X96" i="21"/>
  <c r="W96" i="21"/>
  <c r="X235" i="21"/>
  <c r="W235" i="21"/>
  <c r="X150" i="21"/>
  <c r="W150" i="21"/>
  <c r="X92" i="21"/>
  <c r="W92" i="21"/>
  <c r="X160" i="21"/>
  <c r="W160" i="21"/>
  <c r="X228" i="21"/>
  <c r="W228" i="21"/>
  <c r="X91" i="21"/>
  <c r="W91" i="21"/>
  <c r="X224" i="21"/>
  <c r="W224" i="21"/>
  <c r="X222" i="21"/>
  <c r="W222" i="21"/>
  <c r="X159" i="21"/>
  <c r="W159" i="21"/>
  <c r="X88" i="21"/>
  <c r="W88" i="21"/>
  <c r="X218" i="21"/>
  <c r="W218" i="21"/>
  <c r="X85" i="21"/>
  <c r="W85" i="21"/>
  <c r="X214" i="21"/>
  <c r="W214" i="21"/>
  <c r="X213" i="21"/>
  <c r="W213" i="21"/>
  <c r="X158" i="21"/>
  <c r="W158" i="21"/>
  <c r="X148" i="21"/>
  <c r="W148" i="21"/>
  <c r="X209" i="21"/>
  <c r="W209" i="21"/>
  <c r="X208" i="21"/>
  <c r="W208" i="21"/>
  <c r="X205" i="21"/>
  <c r="W205" i="21"/>
  <c r="X81" i="21"/>
  <c r="W81" i="21"/>
  <c r="X201" i="21"/>
  <c r="W201" i="21"/>
  <c r="X78" i="21"/>
  <c r="W78" i="21"/>
  <c r="X197" i="21"/>
  <c r="W197" i="21"/>
  <c r="X194" i="21"/>
  <c r="W194" i="21"/>
  <c r="X193" i="21"/>
  <c r="W193" i="21"/>
  <c r="X15" i="21"/>
  <c r="W15" i="21"/>
  <c r="X191" i="21"/>
  <c r="W191" i="21"/>
  <c r="X76" i="21"/>
  <c r="W76" i="21"/>
  <c r="X188" i="21"/>
  <c r="W188" i="21"/>
  <c r="X186" i="21"/>
  <c r="W186" i="21"/>
  <c r="X73" i="21"/>
  <c r="W73" i="21"/>
  <c r="X182" i="21"/>
  <c r="W182" i="21"/>
  <c r="X180" i="21"/>
  <c r="W180" i="21"/>
  <c r="X153" i="21"/>
  <c r="W153" i="21"/>
  <c r="X71" i="21"/>
  <c r="W71" i="21"/>
  <c r="X174" i="21"/>
  <c r="W174" i="21"/>
  <c r="X25" i="21"/>
  <c r="W25" i="21"/>
  <c r="X262" i="21"/>
  <c r="W262" i="21"/>
  <c r="X54" i="21"/>
  <c r="W54" i="21"/>
  <c r="X51" i="21"/>
  <c r="W51" i="21"/>
  <c r="X261" i="21"/>
  <c r="W261" i="21"/>
  <c r="X259" i="21"/>
  <c r="W259" i="21"/>
  <c r="X257" i="21"/>
  <c r="W257" i="21"/>
  <c r="X254" i="21"/>
  <c r="W254" i="21"/>
  <c r="X251" i="21"/>
  <c r="W251" i="21"/>
  <c r="X100" i="21"/>
  <c r="W100" i="21"/>
  <c r="X46" i="21"/>
  <c r="W46" i="21"/>
  <c r="X248" i="21"/>
  <c r="W248" i="21"/>
  <c r="X63" i="21"/>
  <c r="W63" i="21"/>
  <c r="X99" i="21"/>
  <c r="W99" i="21"/>
  <c r="X243" i="21"/>
  <c r="W243" i="21"/>
  <c r="X98" i="21"/>
  <c r="W98" i="21"/>
  <c r="X164" i="21"/>
  <c r="W164" i="21"/>
  <c r="X163" i="21"/>
  <c r="W163" i="21"/>
  <c r="W11" i="21"/>
  <c r="X11" i="21"/>
  <c r="X95" i="21"/>
  <c r="W95" i="21"/>
  <c r="X234" i="21"/>
  <c r="W234" i="21"/>
  <c r="X161" i="21"/>
  <c r="W161" i="21"/>
  <c r="X42" i="21"/>
  <c r="W42" i="21"/>
  <c r="X230" i="21"/>
  <c r="W230" i="21"/>
  <c r="X19" i="21"/>
  <c r="W19" i="21"/>
  <c r="X227" i="21"/>
  <c r="W227" i="21"/>
  <c r="W69" i="21"/>
  <c r="X69" i="21"/>
  <c r="X41" i="21"/>
  <c r="W41" i="21"/>
  <c r="X220" i="21"/>
  <c r="W220" i="21"/>
  <c r="X39" i="21"/>
  <c r="W39" i="21"/>
  <c r="X217" i="21"/>
  <c r="W217" i="21"/>
  <c r="X84" i="21"/>
  <c r="W84" i="21"/>
  <c r="W38" i="21"/>
  <c r="X38" i="21"/>
  <c r="X212" i="21"/>
  <c r="W212" i="21"/>
  <c r="X149" i="21"/>
  <c r="W149" i="21"/>
  <c r="X120" i="21"/>
  <c r="W120" i="21"/>
  <c r="X207" i="21"/>
  <c r="W207" i="21"/>
  <c r="X204" i="21"/>
  <c r="W204" i="21"/>
  <c r="X80" i="21"/>
  <c r="W80" i="21"/>
  <c r="X200" i="21"/>
  <c r="W200" i="21"/>
  <c r="X139" i="21"/>
  <c r="W139" i="21"/>
  <c r="X156" i="21"/>
  <c r="W156" i="21"/>
  <c r="X138" i="21"/>
  <c r="W138" i="21"/>
  <c r="X68" i="21"/>
  <c r="W68" i="21"/>
  <c r="X16" i="21"/>
  <c r="W16" i="21"/>
  <c r="X192" i="21"/>
  <c r="W192" i="21"/>
  <c r="X77" i="21"/>
  <c r="W77" i="21"/>
  <c r="X190" i="21"/>
  <c r="W190" i="21"/>
  <c r="X13" i="21"/>
  <c r="W13" i="21"/>
  <c r="X185" i="21"/>
  <c r="W185" i="21"/>
  <c r="X183" i="21"/>
  <c r="W183" i="21"/>
  <c r="X118" i="21"/>
  <c r="W118" i="21"/>
  <c r="X146" i="21"/>
  <c r="W146" i="21"/>
  <c r="X154" i="21"/>
  <c r="W154" i="21"/>
  <c r="X70" i="21"/>
  <c r="W70" i="21"/>
  <c r="I286" i="17"/>
  <c r="C286" i="17" s="1"/>
  <c r="C11" i="40" s="1"/>
  <c r="G11" i="40" s="1"/>
  <c r="X173" i="21"/>
  <c r="W173" i="21"/>
  <c r="B2" i="12"/>
  <c r="B3" i="12"/>
  <c r="B4" i="12"/>
  <c r="B5" i="12"/>
  <c r="B6" i="12"/>
  <c r="B7" i="12"/>
  <c r="B8" i="12"/>
  <c r="B9" i="12"/>
  <c r="B10" i="12"/>
  <c r="B11" i="12"/>
  <c r="B12" i="12"/>
  <c r="B13" i="12"/>
  <c r="W92" i="37" s="1"/>
  <c r="U92" i="37" s="1"/>
  <c r="V92" i="37" s="1"/>
  <c r="B14" i="12"/>
  <c r="B15" i="12"/>
  <c r="B16" i="12"/>
  <c r="B17" i="12"/>
  <c r="B18" i="12"/>
  <c r="B19" i="12"/>
  <c r="B20" i="12"/>
  <c r="W44" i="37" s="1"/>
  <c r="U44" i="37" s="1"/>
  <c r="V44" i="37" s="1"/>
  <c r="W17" i="42" l="1"/>
  <c r="W19" i="42"/>
  <c r="V19" i="42"/>
  <c r="AA3" i="42"/>
  <c r="AD68" i="21"/>
  <c r="U15" i="42"/>
  <c r="U16" i="42"/>
  <c r="AA4" i="42"/>
  <c r="Q16" i="42"/>
  <c r="Q15" i="42"/>
  <c r="I14" i="42"/>
  <c r="I20" i="42" s="1"/>
  <c r="K15" i="42"/>
  <c r="K20" i="42" s="1"/>
  <c r="K14" i="42"/>
  <c r="AA9" i="42"/>
  <c r="AA10" i="42"/>
  <c r="W190" i="37"/>
  <c r="U190" i="37" s="1"/>
  <c r="V190" i="37" s="1"/>
  <c r="W141" i="37"/>
  <c r="U141" i="37" s="1"/>
  <c r="V141" i="37" s="1"/>
  <c r="W283" i="37"/>
  <c r="U283" i="37" s="1"/>
  <c r="V283" i="37" s="1"/>
  <c r="W216" i="37"/>
  <c r="U216" i="37" s="1"/>
  <c r="V216" i="37" s="1"/>
  <c r="W101" i="37"/>
  <c r="U101" i="37" s="1"/>
  <c r="V101" i="37" s="1"/>
  <c r="W120" i="37"/>
  <c r="U120" i="37" s="1"/>
  <c r="V120" i="37" s="1"/>
  <c r="W278" i="37"/>
  <c r="U278" i="37" s="1"/>
  <c r="V278" i="37" s="1"/>
  <c r="W258" i="37"/>
  <c r="U258" i="37" s="1"/>
  <c r="V258" i="37" s="1"/>
  <c r="W287" i="37"/>
  <c r="U287" i="37" s="1"/>
  <c r="V287" i="37" s="1"/>
  <c r="W228" i="37"/>
  <c r="U228" i="37" s="1"/>
  <c r="V228" i="37" s="1"/>
  <c r="W133" i="37"/>
  <c r="U133" i="37" s="1"/>
  <c r="V133" i="37" s="1"/>
  <c r="W303" i="37"/>
  <c r="U303" i="37" s="1"/>
  <c r="V303" i="37" s="1"/>
  <c r="W126" i="37"/>
  <c r="U126" i="37" s="1"/>
  <c r="V126" i="37" s="1"/>
  <c r="W230" i="37"/>
  <c r="U230" i="37" s="1"/>
  <c r="V230" i="37" s="1"/>
  <c r="W208" i="37"/>
  <c r="U208" i="37" s="1"/>
  <c r="V208" i="37" s="1"/>
  <c r="W178" i="37"/>
  <c r="U178" i="37" s="1"/>
  <c r="V178" i="37" s="1"/>
  <c r="W109" i="37"/>
  <c r="U109" i="37" s="1"/>
  <c r="V109" i="37" s="1"/>
  <c r="W275" i="37"/>
  <c r="U275" i="37" s="1"/>
  <c r="V275" i="37" s="1"/>
  <c r="W214" i="37"/>
  <c r="U214" i="37" s="1"/>
  <c r="V214" i="37" s="1"/>
  <c r="W96" i="37"/>
  <c r="U96" i="37" s="1"/>
  <c r="V96" i="37" s="1"/>
  <c r="W187" i="37"/>
  <c r="U187" i="37" s="1"/>
  <c r="V187" i="37" s="1"/>
  <c r="W280" i="37"/>
  <c r="U280" i="37" s="1"/>
  <c r="W250" i="37"/>
  <c r="U250" i="37" s="1"/>
  <c r="V250" i="37" s="1"/>
  <c r="W51" i="37"/>
  <c r="U51" i="37" s="1"/>
  <c r="V51" i="37" s="1"/>
  <c r="W265" i="37"/>
  <c r="U265" i="37" s="1"/>
  <c r="V265" i="37" s="1"/>
  <c r="W297" i="37"/>
  <c r="U297" i="37" s="1"/>
  <c r="V297" i="37" s="1"/>
  <c r="W128" i="37"/>
  <c r="U128" i="37" s="1"/>
  <c r="V128" i="37" s="1"/>
  <c r="W226" i="37"/>
  <c r="U226" i="37" s="1"/>
  <c r="V226" i="37" s="1"/>
  <c r="W205" i="37"/>
  <c r="U205" i="37" s="1"/>
  <c r="V205" i="37" s="1"/>
  <c r="W79" i="37"/>
  <c r="U79" i="37" s="1"/>
  <c r="V79" i="37" s="1"/>
  <c r="W144" i="37"/>
  <c r="U144" i="37" s="1"/>
  <c r="V144" i="37" s="1"/>
  <c r="W224" i="37"/>
  <c r="U224" i="37" s="1"/>
  <c r="V224" i="37" s="1"/>
  <c r="W179" i="37"/>
  <c r="U179" i="37" s="1"/>
  <c r="V179" i="37" s="1"/>
  <c r="W35" i="37"/>
  <c r="U35" i="37" s="1"/>
  <c r="V35" i="37" s="1"/>
  <c r="W28" i="37"/>
  <c r="U28" i="37" s="1"/>
  <c r="V28" i="37" s="1"/>
  <c r="W20" i="37"/>
  <c r="U20" i="37" s="1"/>
  <c r="V20" i="37" s="1"/>
  <c r="W21" i="37"/>
  <c r="U21" i="37" s="1"/>
  <c r="V21" i="37" s="1"/>
  <c r="W19" i="37"/>
  <c r="U19" i="37" s="1"/>
  <c r="V19" i="37" s="1"/>
  <c r="W38" i="37"/>
  <c r="U38" i="37" s="1"/>
  <c r="V38" i="37" s="1"/>
  <c r="W25" i="37"/>
  <c r="U25" i="37" s="1"/>
  <c r="V25" i="37" s="1"/>
  <c r="W29" i="37"/>
  <c r="U29" i="37" s="1"/>
  <c r="V29" i="37" s="1"/>
  <c r="W34" i="37"/>
  <c r="U34" i="37" s="1"/>
  <c r="V34" i="37" s="1"/>
  <c r="W23" i="37"/>
  <c r="U23" i="37" s="1"/>
  <c r="V23" i="37" s="1"/>
  <c r="W27" i="37"/>
  <c r="U27" i="37" s="1"/>
  <c r="V27" i="37" s="1"/>
  <c r="W39" i="37"/>
  <c r="U39" i="37" s="1"/>
  <c r="V39" i="37" s="1"/>
  <c r="W36" i="37"/>
  <c r="U36" i="37" s="1"/>
  <c r="V36" i="37" s="1"/>
  <c r="W196" i="37"/>
  <c r="U196" i="37" s="1"/>
  <c r="V196" i="37" s="1"/>
  <c r="W305" i="37"/>
  <c r="U305" i="37" s="1"/>
  <c r="V305" i="37" s="1"/>
  <c r="W125" i="37"/>
  <c r="U125" i="37" s="1"/>
  <c r="V125" i="37" s="1"/>
  <c r="W300" i="37"/>
  <c r="U300" i="37" s="1"/>
  <c r="V300" i="37" s="1"/>
  <c r="W151" i="37"/>
  <c r="U151" i="37" s="1"/>
  <c r="V151" i="37" s="1"/>
  <c r="W202" i="37"/>
  <c r="U202" i="37" s="1"/>
  <c r="V202" i="37" s="1"/>
  <c r="W199" i="37"/>
  <c r="U199" i="37" s="1"/>
  <c r="V199" i="37" s="1"/>
  <c r="W65" i="37"/>
  <c r="U65" i="37" s="1"/>
  <c r="V65" i="37" s="1"/>
  <c r="W58" i="37"/>
  <c r="U58" i="37" s="1"/>
  <c r="V58" i="37" s="1"/>
  <c r="W198" i="37"/>
  <c r="U198" i="37" s="1"/>
  <c r="V198" i="37" s="1"/>
  <c r="W289" i="37"/>
  <c r="U289" i="37" s="1"/>
  <c r="V289" i="37" s="1"/>
  <c r="W76" i="37"/>
  <c r="U76" i="37" s="1"/>
  <c r="V76" i="37" s="1"/>
  <c r="W235" i="37"/>
  <c r="U235" i="37" s="1"/>
  <c r="V235" i="37" s="1"/>
  <c r="W213" i="37"/>
  <c r="U213" i="37" s="1"/>
  <c r="V213" i="37" s="1"/>
  <c r="W121" i="37"/>
  <c r="U121" i="37" s="1"/>
  <c r="V121" i="37" s="1"/>
  <c r="W70" i="37"/>
  <c r="U70" i="37" s="1"/>
  <c r="V70" i="37" s="1"/>
  <c r="W161" i="37"/>
  <c r="U161" i="37" s="1"/>
  <c r="V161" i="37" s="1"/>
  <c r="W72" i="37"/>
  <c r="U72" i="37" s="1"/>
  <c r="V72" i="37" s="1"/>
  <c r="W315" i="37"/>
  <c r="U315" i="37" s="1"/>
  <c r="V315" i="37" s="1"/>
  <c r="W264" i="37"/>
  <c r="U264" i="37" s="1"/>
  <c r="V264" i="37" s="1"/>
  <c r="W311" i="37"/>
  <c r="U311" i="37" s="1"/>
  <c r="W175" i="37"/>
  <c r="U175" i="37" s="1"/>
  <c r="V175" i="37" s="1"/>
  <c r="W308" i="37"/>
  <c r="U308" i="37" s="1"/>
  <c r="V308" i="37" s="1"/>
  <c r="W248" i="37"/>
  <c r="U248" i="37" s="1"/>
  <c r="V248" i="37" s="1"/>
  <c r="W236" i="37"/>
  <c r="U236" i="37" s="1"/>
  <c r="V236" i="37" s="1"/>
  <c r="W301" i="37"/>
  <c r="U301" i="37" s="1"/>
  <c r="V301" i="37" s="1"/>
  <c r="W170" i="37"/>
  <c r="U170" i="37" s="1"/>
  <c r="W225" i="37"/>
  <c r="U225" i="37" s="1"/>
  <c r="V225" i="37" s="1"/>
  <c r="W129" i="37"/>
  <c r="U129" i="37" s="1"/>
  <c r="V129" i="37" s="1"/>
  <c r="W290" i="37"/>
  <c r="U290" i="37" s="1"/>
  <c r="V290" i="37" s="1"/>
  <c r="W106" i="37"/>
  <c r="U106" i="37" s="1"/>
  <c r="V106" i="37" s="1"/>
  <c r="W49" i="37"/>
  <c r="U49" i="37" s="1"/>
  <c r="V49" i="37" s="1"/>
  <c r="W54" i="37"/>
  <c r="U54" i="37" s="1"/>
  <c r="V54" i="37" s="1"/>
  <c r="W234" i="37"/>
  <c r="U234" i="37" s="1"/>
  <c r="V234" i="37" s="1"/>
  <c r="W293" i="37"/>
  <c r="U293" i="37" s="1"/>
  <c r="V293" i="37" s="1"/>
  <c r="W295" i="37"/>
  <c r="U295" i="37" s="1"/>
  <c r="V295" i="37" s="1"/>
  <c r="W63" i="37"/>
  <c r="U63" i="37" s="1"/>
  <c r="V63" i="37" s="1"/>
  <c r="W107" i="37"/>
  <c r="U107" i="37" s="1"/>
  <c r="V107" i="37" s="1"/>
  <c r="W192" i="37"/>
  <c r="U192" i="37" s="1"/>
  <c r="V192" i="37" s="1"/>
  <c r="W87" i="37"/>
  <c r="U87" i="37" s="1"/>
  <c r="V87" i="37" s="1"/>
  <c r="W218" i="37"/>
  <c r="U218" i="37" s="1"/>
  <c r="V218" i="37" s="1"/>
  <c r="W296" i="37"/>
  <c r="U296" i="37" s="1"/>
  <c r="V296" i="37" s="1"/>
  <c r="W98" i="37"/>
  <c r="U98" i="37" s="1"/>
  <c r="V98" i="37" s="1"/>
  <c r="W89" i="37"/>
  <c r="U89" i="37" s="1"/>
  <c r="V89" i="37" s="1"/>
  <c r="W267" i="37"/>
  <c r="U267" i="37" s="1"/>
  <c r="V267" i="37" s="1"/>
  <c r="W233" i="37"/>
  <c r="U233" i="37" s="1"/>
  <c r="V233" i="37" s="1"/>
  <c r="W95" i="37"/>
  <c r="U95" i="37" s="1"/>
  <c r="V95" i="37" s="1"/>
  <c r="W83" i="37"/>
  <c r="U83" i="37" s="1"/>
  <c r="V83" i="37" s="1"/>
  <c r="W197" i="37"/>
  <c r="U197" i="37" s="1"/>
  <c r="V197" i="37" s="1"/>
  <c r="W302" i="37"/>
  <c r="U302" i="37" s="1"/>
  <c r="V302" i="37" s="1"/>
  <c r="W256" i="37"/>
  <c r="U256" i="37" s="1"/>
  <c r="V256" i="37" s="1"/>
  <c r="W160" i="37"/>
  <c r="U160" i="37" s="1"/>
  <c r="V160" i="37" s="1"/>
  <c r="W131" i="37"/>
  <c r="U131" i="37" s="1"/>
  <c r="V131" i="37" s="1"/>
  <c r="W94" i="37"/>
  <c r="U94" i="37" s="1"/>
  <c r="V94" i="37" s="1"/>
  <c r="W165" i="37"/>
  <c r="U165" i="37" s="1"/>
  <c r="V165" i="37" s="1"/>
  <c r="W102" i="37"/>
  <c r="U102" i="37" s="1"/>
  <c r="V102" i="37" s="1"/>
  <c r="W69" i="37"/>
  <c r="U69" i="37" s="1"/>
  <c r="V69" i="37" s="1"/>
  <c r="W53" i="37"/>
  <c r="U53" i="37" s="1"/>
  <c r="V53" i="37" s="1"/>
  <c r="W241" i="37"/>
  <c r="U241" i="37" s="1"/>
  <c r="V241" i="37" s="1"/>
  <c r="W78" i="37"/>
  <c r="U78" i="37" s="1"/>
  <c r="V78" i="37" s="1"/>
  <c r="W176" i="37"/>
  <c r="U176" i="37" s="1"/>
  <c r="V176" i="37" s="1"/>
  <c r="W75" i="37"/>
  <c r="U75" i="37" s="1"/>
  <c r="V75" i="37" s="1"/>
  <c r="W237" i="37"/>
  <c r="U237" i="37" s="1"/>
  <c r="V237" i="37" s="1"/>
  <c r="W269" i="37"/>
  <c r="U269" i="37" s="1"/>
  <c r="V269" i="37" s="1"/>
  <c r="W74" i="37"/>
  <c r="U74" i="37" s="1"/>
  <c r="V74" i="37" s="1"/>
  <c r="W85" i="37"/>
  <c r="U85" i="37" s="1"/>
  <c r="V85" i="37" s="1"/>
  <c r="W220" i="37"/>
  <c r="U220" i="37" s="1"/>
  <c r="M237" i="40" s="1"/>
  <c r="W163" i="37"/>
  <c r="U163" i="37" s="1"/>
  <c r="V163" i="37" s="1"/>
  <c r="W110" i="37"/>
  <c r="U110" i="37" s="1"/>
  <c r="V110" i="37" s="1"/>
  <c r="W304" i="37"/>
  <c r="U304" i="37" s="1"/>
  <c r="V304" i="37" s="1"/>
  <c r="W227" i="37"/>
  <c r="U227" i="37" s="1"/>
  <c r="V227" i="37" s="1"/>
  <c r="W288" i="37"/>
  <c r="U288" i="37" s="1"/>
  <c r="V288" i="37" s="1"/>
  <c r="W122" i="37"/>
  <c r="U122" i="37" s="1"/>
  <c r="V122" i="37" s="1"/>
  <c r="W219" i="37"/>
  <c r="U219" i="37" s="1"/>
  <c r="V219" i="37" s="1"/>
  <c r="W282" i="37"/>
  <c r="U282" i="37" s="1"/>
  <c r="V282" i="37" s="1"/>
  <c r="W221" i="37"/>
  <c r="U221" i="37" s="1"/>
  <c r="V221" i="37" s="1"/>
  <c r="W277" i="37"/>
  <c r="U277" i="37" s="1"/>
  <c r="V277" i="37" s="1"/>
  <c r="W299" i="37"/>
  <c r="U299" i="37" s="1"/>
  <c r="V299" i="37" s="1"/>
  <c r="W171" i="37"/>
  <c r="U171" i="37" s="1"/>
  <c r="V171" i="37" s="1"/>
  <c r="W247" i="37"/>
  <c r="U247" i="37" s="1"/>
  <c r="V247" i="37" s="1"/>
  <c r="W97" i="37"/>
  <c r="U97" i="37" s="1"/>
  <c r="V97" i="37" s="1"/>
  <c r="W229" i="37"/>
  <c r="U229" i="37" s="1"/>
  <c r="V229" i="37" s="1"/>
  <c r="W150" i="37"/>
  <c r="U150" i="37" s="1"/>
  <c r="M27" i="40" s="1"/>
  <c r="W182" i="37"/>
  <c r="U182" i="37" s="1"/>
  <c r="V182" i="37" s="1"/>
  <c r="W73" i="37"/>
  <c r="U73" i="37" s="1"/>
  <c r="V73" i="37" s="1"/>
  <c r="W281" i="37"/>
  <c r="U281" i="37" s="1"/>
  <c r="V281" i="37" s="1"/>
  <c r="W249" i="37"/>
  <c r="U249" i="37" s="1"/>
  <c r="V249" i="37" s="1"/>
  <c r="W200" i="37"/>
  <c r="U200" i="37" s="1"/>
  <c r="V200" i="37" s="1"/>
  <c r="W222" i="37"/>
  <c r="U222" i="37" s="1"/>
  <c r="V222" i="37" s="1"/>
  <c r="W173" i="37"/>
  <c r="U173" i="37" s="1"/>
  <c r="V173" i="37" s="1"/>
  <c r="W181" i="37"/>
  <c r="U181" i="37" s="1"/>
  <c r="V181" i="37" s="1"/>
  <c r="W252" i="37"/>
  <c r="U252" i="37" s="1"/>
  <c r="V252" i="37" s="1"/>
  <c r="W55" i="37"/>
  <c r="U55" i="37" s="1"/>
  <c r="W135" i="37"/>
  <c r="U135" i="37" s="1"/>
  <c r="V135" i="37" s="1"/>
  <c r="W108" i="37"/>
  <c r="U108" i="37" s="1"/>
  <c r="V108" i="37" s="1"/>
  <c r="W118" i="37"/>
  <c r="U118" i="37" s="1"/>
  <c r="V118" i="37" s="1"/>
  <c r="W314" i="37"/>
  <c r="U314" i="37" s="1"/>
  <c r="V314" i="37" s="1"/>
  <c r="W306" i="37"/>
  <c r="U306" i="37" s="1"/>
  <c r="V306" i="37" s="1"/>
  <c r="W183" i="37"/>
  <c r="U183" i="37" s="1"/>
  <c r="V183" i="37" s="1"/>
  <c r="W310" i="37"/>
  <c r="U310" i="37" s="1"/>
  <c r="V310" i="37" s="1"/>
  <c r="W217" i="37"/>
  <c r="U217" i="37" s="1"/>
  <c r="V217" i="37" s="1"/>
  <c r="W112" i="37"/>
  <c r="U112" i="37" s="1"/>
  <c r="V112" i="37" s="1"/>
  <c r="W223" i="37"/>
  <c r="U223" i="37" s="1"/>
  <c r="V223" i="37" s="1"/>
  <c r="W180" i="37"/>
  <c r="U180" i="37" s="1"/>
  <c r="V180" i="37" s="1"/>
  <c r="W191" i="37"/>
  <c r="U191" i="37" s="1"/>
  <c r="V191" i="37" s="1"/>
  <c r="D20" i="12"/>
  <c r="E20" i="12" s="1"/>
  <c r="V55" i="37" l="1"/>
  <c r="N48" i="40" s="1"/>
  <c r="M48" i="40"/>
  <c r="V311" i="37"/>
  <c r="N306" i="40" s="1"/>
  <c r="M306" i="40"/>
  <c r="V280" i="37"/>
  <c r="N144" i="40" s="1"/>
  <c r="M144" i="40"/>
  <c r="V170" i="37"/>
  <c r="N19" i="40" s="1"/>
  <c r="M19" i="40"/>
  <c r="AA16" i="42"/>
  <c r="AA15" i="42"/>
  <c r="V220" i="37"/>
  <c r="V150" i="37"/>
  <c r="D2" i="12"/>
  <c r="E2" i="12" s="1"/>
  <c r="D3" i="12"/>
  <c r="E3" i="12" s="1"/>
  <c r="D4" i="12"/>
  <c r="E4" i="12" s="1"/>
  <c r="D5" i="12"/>
  <c r="E5" i="12" s="1"/>
  <c r="D6" i="12"/>
  <c r="E6" i="12" s="1"/>
  <c r="D7" i="12"/>
  <c r="E7" i="12" s="1"/>
  <c r="D8" i="12"/>
  <c r="E8" i="12" s="1"/>
  <c r="D9" i="12"/>
  <c r="E9" i="12" s="1"/>
  <c r="D10" i="12"/>
  <c r="E10" i="12" s="1"/>
  <c r="D11" i="12"/>
  <c r="E11" i="12" s="1"/>
  <c r="D12" i="12"/>
  <c r="E12" i="12" s="1"/>
  <c r="D13" i="12"/>
  <c r="E13" i="12" s="1"/>
  <c r="D14" i="12"/>
  <c r="E14" i="12" s="1"/>
  <c r="D15" i="12"/>
  <c r="E15" i="12" s="1"/>
  <c r="D16" i="12"/>
  <c r="E16" i="12" s="1"/>
  <c r="D17" i="12"/>
  <c r="E17" i="12" s="1"/>
  <c r="D18" i="12"/>
  <c r="E18" i="12" s="1"/>
  <c r="D19" i="12"/>
  <c r="E19" i="12" s="1"/>
  <c r="O19" i="40" l="1"/>
  <c r="AD154" i="21" s="1"/>
  <c r="O306" i="40"/>
  <c r="AD307" i="21" s="1"/>
  <c r="O144" i="40"/>
  <c r="AD233" i="21" s="1"/>
  <c r="O48" i="40"/>
  <c r="AD67" i="21" s="1"/>
  <c r="N27" i="40"/>
  <c r="N237" i="40"/>
  <c r="K6" i="7"/>
  <c r="M6" i="7" s="1"/>
  <c r="M7" i="7"/>
  <c r="K8" i="7"/>
  <c r="M8" i="7" s="1"/>
  <c r="K9" i="7"/>
  <c r="M9" i="7" s="1"/>
  <c r="K10" i="7"/>
  <c r="M10" i="7" s="1"/>
  <c r="K11" i="7"/>
  <c r="M11" i="7" s="1"/>
  <c r="K12" i="7"/>
  <c r="M12" i="7" s="1"/>
  <c r="K13" i="7"/>
  <c r="M13" i="7" s="1"/>
  <c r="K14" i="7"/>
  <c r="M14" i="7" s="1"/>
  <c r="K15" i="7"/>
  <c r="M15" i="7" s="1"/>
  <c r="K16" i="7"/>
  <c r="M16" i="7" s="1"/>
  <c r="K17" i="7"/>
  <c r="M17" i="7" s="1"/>
  <c r="K18" i="7"/>
  <c r="M18" i="7" s="1"/>
  <c r="K19" i="7"/>
  <c r="M19" i="7" s="1"/>
  <c r="K20" i="7"/>
  <c r="M20" i="7" s="1"/>
  <c r="K21" i="7"/>
  <c r="M21" i="7" s="1"/>
  <c r="K22" i="7"/>
  <c r="M22" i="7" s="1"/>
  <c r="K23" i="7"/>
  <c r="M23" i="7" s="1"/>
  <c r="K24" i="7"/>
  <c r="M24" i="7" s="1"/>
  <c r="K25" i="7"/>
  <c r="M25" i="7" s="1"/>
  <c r="K26" i="7"/>
  <c r="M26" i="7" s="1"/>
  <c r="K27" i="7"/>
  <c r="M27" i="7" s="1"/>
  <c r="K28" i="7"/>
  <c r="M28" i="7" s="1"/>
  <c r="K29" i="7"/>
  <c r="M29" i="7" s="1"/>
  <c r="K30" i="7"/>
  <c r="M30" i="7" s="1"/>
  <c r="K31" i="7"/>
  <c r="M31" i="7" s="1"/>
  <c r="K32" i="7"/>
  <c r="M32" i="7" s="1"/>
  <c r="K33" i="7"/>
  <c r="M33" i="7" s="1"/>
  <c r="K34" i="7"/>
  <c r="M34" i="7" s="1"/>
  <c r="K35" i="7"/>
  <c r="M35" i="7" s="1"/>
  <c r="K36" i="7"/>
  <c r="M36" i="7" s="1"/>
  <c r="K37" i="7"/>
  <c r="M37" i="7" s="1"/>
  <c r="K38" i="7"/>
  <c r="M38" i="7" s="1"/>
  <c r="K39" i="7"/>
  <c r="M39" i="7" s="1"/>
  <c r="K40" i="7"/>
  <c r="M40" i="7" s="1"/>
  <c r="K41" i="7"/>
  <c r="M41" i="7" s="1"/>
  <c r="K42" i="7"/>
  <c r="M42" i="7" s="1"/>
  <c r="K43" i="7"/>
  <c r="M43" i="7" s="1"/>
  <c r="K44" i="7"/>
  <c r="M44" i="7" s="1"/>
  <c r="K45" i="7"/>
  <c r="M45" i="7" s="1"/>
  <c r="K46" i="7"/>
  <c r="M46" i="7" s="1"/>
  <c r="K47" i="7"/>
  <c r="M47" i="7" s="1"/>
  <c r="K48" i="7"/>
  <c r="M48" i="7" s="1"/>
  <c r="K49" i="7"/>
  <c r="M49" i="7" s="1"/>
  <c r="K50" i="7"/>
  <c r="M50" i="7" s="1"/>
  <c r="K51" i="7"/>
  <c r="M51" i="7" s="1"/>
  <c r="K52" i="7"/>
  <c r="M52" i="7" s="1"/>
  <c r="K53" i="7"/>
  <c r="M53" i="7" s="1"/>
  <c r="K54" i="7"/>
  <c r="M54" i="7" s="1"/>
  <c r="K55" i="7"/>
  <c r="M55" i="7" s="1"/>
  <c r="K56" i="7"/>
  <c r="M56" i="7" s="1"/>
  <c r="K57" i="7"/>
  <c r="M57" i="7" s="1"/>
  <c r="K58" i="7"/>
  <c r="M58" i="7" s="1"/>
  <c r="K59" i="7"/>
  <c r="M59" i="7" s="1"/>
  <c r="K60" i="7"/>
  <c r="M60" i="7" s="1"/>
  <c r="K61" i="7"/>
  <c r="M61" i="7" s="1"/>
  <c r="K62" i="7"/>
  <c r="M62" i="7" s="1"/>
  <c r="K63" i="7"/>
  <c r="M63" i="7" s="1"/>
  <c r="K64" i="7"/>
  <c r="M64" i="7" s="1"/>
  <c r="K65" i="7"/>
  <c r="M65" i="7" s="1"/>
  <c r="K66" i="7"/>
  <c r="M66" i="7" s="1"/>
  <c r="K67" i="7"/>
  <c r="M67" i="7" s="1"/>
  <c r="K68" i="7"/>
  <c r="M68" i="7" s="1"/>
  <c r="K69" i="7"/>
  <c r="M69" i="7" s="1"/>
  <c r="K70" i="7"/>
  <c r="M70" i="7" s="1"/>
  <c r="K71" i="7"/>
  <c r="M71" i="7" s="1"/>
  <c r="K72" i="7"/>
  <c r="M72" i="7" s="1"/>
  <c r="K73" i="7"/>
  <c r="M73" i="7" s="1"/>
  <c r="K74" i="7"/>
  <c r="M74" i="7" s="1"/>
  <c r="K75" i="7"/>
  <c r="M75" i="7" s="1"/>
  <c r="K76" i="7"/>
  <c r="M76" i="7" s="1"/>
  <c r="K77" i="7"/>
  <c r="M77" i="7" s="1"/>
  <c r="K78" i="7"/>
  <c r="M78" i="7" s="1"/>
  <c r="K79" i="7"/>
  <c r="M79" i="7" s="1"/>
  <c r="K80" i="7"/>
  <c r="M80" i="7" s="1"/>
  <c r="K81" i="7"/>
  <c r="M81" i="7" s="1"/>
  <c r="K82" i="7"/>
  <c r="M82" i="7" s="1"/>
  <c r="K83" i="7"/>
  <c r="M83" i="7" s="1"/>
  <c r="K84" i="7"/>
  <c r="M84" i="7" s="1"/>
  <c r="K85" i="7"/>
  <c r="M85" i="7" s="1"/>
  <c r="K86" i="7"/>
  <c r="M86" i="7" s="1"/>
  <c r="K87" i="7"/>
  <c r="M87" i="7" s="1"/>
  <c r="K88" i="7"/>
  <c r="M88" i="7" s="1"/>
  <c r="K89" i="7"/>
  <c r="M89" i="7" s="1"/>
  <c r="K90" i="7"/>
  <c r="M90" i="7" s="1"/>
  <c r="K91" i="7"/>
  <c r="M91" i="7" s="1"/>
  <c r="K92" i="7"/>
  <c r="M92" i="7" s="1"/>
  <c r="K93" i="7"/>
  <c r="M93" i="7" s="1"/>
  <c r="K94" i="7"/>
  <c r="M94" i="7" s="1"/>
  <c r="K95" i="7"/>
  <c r="M95" i="7" s="1"/>
  <c r="K96" i="7"/>
  <c r="M96" i="7" s="1"/>
  <c r="K97" i="7"/>
  <c r="M97" i="7" s="1"/>
  <c r="K98" i="7"/>
  <c r="M98" i="7" s="1"/>
  <c r="K99" i="7"/>
  <c r="M99" i="7" s="1"/>
  <c r="K100" i="7"/>
  <c r="M100" i="7" s="1"/>
  <c r="K101" i="7"/>
  <c r="M101" i="7" s="1"/>
  <c r="K102" i="7"/>
  <c r="M102" i="7" s="1"/>
  <c r="K103" i="7"/>
  <c r="M103" i="7" s="1"/>
  <c r="K104" i="7"/>
  <c r="M104" i="7" s="1"/>
  <c r="K105" i="7"/>
  <c r="M105" i="7" s="1"/>
  <c r="K106" i="7"/>
  <c r="M106" i="7" s="1"/>
  <c r="K107" i="7"/>
  <c r="M107" i="7" s="1"/>
  <c r="K108" i="7"/>
  <c r="M108" i="7" s="1"/>
  <c r="K109" i="7"/>
  <c r="M109" i="7" s="1"/>
  <c r="K110" i="7"/>
  <c r="M110" i="7" s="1"/>
  <c r="K111" i="7"/>
  <c r="M111" i="7" s="1"/>
  <c r="K112" i="7"/>
  <c r="M112" i="7" s="1"/>
  <c r="K113" i="7"/>
  <c r="M113" i="7" s="1"/>
  <c r="K114" i="7"/>
  <c r="M114" i="7" s="1"/>
  <c r="K115" i="7"/>
  <c r="M115" i="7" s="1"/>
  <c r="K116" i="7"/>
  <c r="M116" i="7" s="1"/>
  <c r="K117" i="7"/>
  <c r="M117" i="7" s="1"/>
  <c r="K118" i="7"/>
  <c r="M118" i="7" s="1"/>
  <c r="K119" i="7"/>
  <c r="M119" i="7" s="1"/>
  <c r="K120" i="7"/>
  <c r="M120" i="7" s="1"/>
  <c r="K121" i="7"/>
  <c r="M121" i="7" s="1"/>
  <c r="K122" i="7"/>
  <c r="M122" i="7" s="1"/>
  <c r="K123" i="7"/>
  <c r="M123" i="7" s="1"/>
  <c r="K124" i="7"/>
  <c r="M124" i="7" s="1"/>
  <c r="K125" i="7"/>
  <c r="M125" i="7" s="1"/>
  <c r="K126" i="7"/>
  <c r="M126" i="7" s="1"/>
  <c r="K127" i="7"/>
  <c r="M127" i="7" s="1"/>
  <c r="K128" i="7"/>
  <c r="M128" i="7" s="1"/>
  <c r="K129" i="7"/>
  <c r="M129" i="7" s="1"/>
  <c r="K130" i="7"/>
  <c r="M130" i="7" s="1"/>
  <c r="K131" i="7"/>
  <c r="M131" i="7" s="1"/>
  <c r="K132" i="7"/>
  <c r="M132" i="7" s="1"/>
  <c r="K133" i="7"/>
  <c r="M133" i="7" s="1"/>
  <c r="K134" i="7"/>
  <c r="M134" i="7" s="1"/>
  <c r="K135" i="7"/>
  <c r="M135" i="7" s="1"/>
  <c r="K136" i="7"/>
  <c r="M136" i="7" s="1"/>
  <c r="K137" i="7"/>
  <c r="M137" i="7" s="1"/>
  <c r="K138" i="7"/>
  <c r="M138" i="7" s="1"/>
  <c r="K139" i="7"/>
  <c r="M139" i="7" s="1"/>
  <c r="K140" i="7"/>
  <c r="M140" i="7" s="1"/>
  <c r="K141" i="7"/>
  <c r="M141" i="7" s="1"/>
  <c r="K142" i="7"/>
  <c r="M142" i="7" s="1"/>
  <c r="K143" i="7"/>
  <c r="M143" i="7" s="1"/>
  <c r="K144" i="7"/>
  <c r="M144" i="7" s="1"/>
  <c r="K145" i="7"/>
  <c r="M145" i="7" s="1"/>
  <c r="K146" i="7"/>
  <c r="M146" i="7" s="1"/>
  <c r="K147" i="7"/>
  <c r="M147" i="7" s="1"/>
  <c r="K148" i="7"/>
  <c r="M148" i="7" s="1"/>
  <c r="K149" i="7"/>
  <c r="M149" i="7" s="1"/>
  <c r="K150" i="7"/>
  <c r="M150" i="7" s="1"/>
  <c r="K151" i="7"/>
  <c r="M151" i="7" s="1"/>
  <c r="K152" i="7"/>
  <c r="M152" i="7" s="1"/>
  <c r="K153" i="7"/>
  <c r="M153" i="7" s="1"/>
  <c r="K154" i="7"/>
  <c r="M154" i="7" s="1"/>
  <c r="K155" i="7"/>
  <c r="M155" i="7" s="1"/>
  <c r="K156" i="7"/>
  <c r="M156" i="7" s="1"/>
  <c r="K157" i="7"/>
  <c r="M157" i="7" s="1"/>
  <c r="K158" i="7"/>
  <c r="M158" i="7" s="1"/>
  <c r="K159" i="7"/>
  <c r="M159" i="7" s="1"/>
  <c r="K160" i="7"/>
  <c r="M160" i="7" s="1"/>
  <c r="K161" i="7"/>
  <c r="M161" i="7" s="1"/>
  <c r="K162" i="7"/>
  <c r="M162" i="7" s="1"/>
  <c r="K163" i="7"/>
  <c r="M163" i="7" s="1"/>
  <c r="K164" i="7"/>
  <c r="M164" i="7" s="1"/>
  <c r="K165" i="7"/>
  <c r="M165" i="7" s="1"/>
  <c r="K166" i="7"/>
  <c r="M166" i="7" s="1"/>
  <c r="K167" i="7"/>
  <c r="M167" i="7" s="1"/>
  <c r="K168" i="7"/>
  <c r="M168" i="7" s="1"/>
  <c r="K169" i="7"/>
  <c r="M169" i="7" s="1"/>
  <c r="K170" i="7"/>
  <c r="M170" i="7" s="1"/>
  <c r="K171" i="7"/>
  <c r="M171" i="7" s="1"/>
  <c r="K172" i="7"/>
  <c r="M172" i="7" s="1"/>
  <c r="K173" i="7"/>
  <c r="M173" i="7" s="1"/>
  <c r="K174" i="7"/>
  <c r="M174" i="7" s="1"/>
  <c r="K175" i="7"/>
  <c r="M175" i="7" s="1"/>
  <c r="K176" i="7"/>
  <c r="M176" i="7" s="1"/>
  <c r="K177" i="7"/>
  <c r="M177" i="7" s="1"/>
  <c r="K178" i="7"/>
  <c r="M178" i="7" s="1"/>
  <c r="K179" i="7"/>
  <c r="M179" i="7" s="1"/>
  <c r="K180" i="7"/>
  <c r="M180" i="7" s="1"/>
  <c r="K181" i="7"/>
  <c r="M181" i="7" s="1"/>
  <c r="K182" i="7"/>
  <c r="M182" i="7" s="1"/>
  <c r="K183" i="7"/>
  <c r="M183" i="7" s="1"/>
  <c r="K184" i="7"/>
  <c r="M184" i="7" s="1"/>
  <c r="K185" i="7"/>
  <c r="M185" i="7" s="1"/>
  <c r="K186" i="7"/>
  <c r="M186" i="7" s="1"/>
  <c r="K187" i="7"/>
  <c r="M187" i="7" s="1"/>
  <c r="K188" i="7"/>
  <c r="M188" i="7" s="1"/>
  <c r="K189" i="7"/>
  <c r="M189" i="7" s="1"/>
  <c r="K190" i="7"/>
  <c r="M190" i="7" s="1"/>
  <c r="K191" i="7"/>
  <c r="M191" i="7" s="1"/>
  <c r="K192" i="7"/>
  <c r="M192" i="7" s="1"/>
  <c r="K193" i="7"/>
  <c r="M193" i="7" s="1"/>
  <c r="K194" i="7"/>
  <c r="M194" i="7" s="1"/>
  <c r="K195" i="7"/>
  <c r="M195" i="7" s="1"/>
  <c r="K196" i="7"/>
  <c r="M196" i="7" s="1"/>
  <c r="K197" i="7"/>
  <c r="M197" i="7" s="1"/>
  <c r="K198" i="7"/>
  <c r="M198" i="7" s="1"/>
  <c r="K199" i="7"/>
  <c r="M199" i="7" s="1"/>
  <c r="K200" i="7"/>
  <c r="M200" i="7" s="1"/>
  <c r="K201" i="7"/>
  <c r="M201" i="7" s="1"/>
  <c r="K202" i="7"/>
  <c r="M202" i="7" s="1"/>
  <c r="K203" i="7"/>
  <c r="M203" i="7" s="1"/>
  <c r="K204" i="7"/>
  <c r="M204" i="7" s="1"/>
  <c r="K205" i="7"/>
  <c r="M205" i="7" s="1"/>
  <c r="K206" i="7"/>
  <c r="M206" i="7" s="1"/>
  <c r="K207" i="7"/>
  <c r="M207" i="7" s="1"/>
  <c r="K208" i="7"/>
  <c r="M208" i="7" s="1"/>
  <c r="K209" i="7"/>
  <c r="M209" i="7" s="1"/>
  <c r="K210" i="7"/>
  <c r="M210" i="7" s="1"/>
  <c r="K211" i="7"/>
  <c r="M211" i="7" s="1"/>
  <c r="K212" i="7"/>
  <c r="M212" i="7" s="1"/>
  <c r="K213" i="7"/>
  <c r="M213" i="7" s="1"/>
  <c r="K214" i="7"/>
  <c r="M214" i="7" s="1"/>
  <c r="K215" i="7"/>
  <c r="M215" i="7" s="1"/>
  <c r="K216" i="7"/>
  <c r="M216" i="7" s="1"/>
  <c r="K217" i="7"/>
  <c r="M217" i="7" s="1"/>
  <c r="K218" i="7"/>
  <c r="M218" i="7" s="1"/>
  <c r="K219" i="7"/>
  <c r="M219" i="7" s="1"/>
  <c r="K220" i="7"/>
  <c r="M220" i="7" s="1"/>
  <c r="K221" i="7"/>
  <c r="M221" i="7" s="1"/>
  <c r="K222" i="7"/>
  <c r="M222" i="7" s="1"/>
  <c r="K223" i="7"/>
  <c r="M223" i="7" s="1"/>
  <c r="K224" i="7"/>
  <c r="M224" i="7" s="1"/>
  <c r="K225" i="7"/>
  <c r="M225" i="7" s="1"/>
  <c r="K226" i="7"/>
  <c r="M226" i="7" s="1"/>
  <c r="K227" i="7"/>
  <c r="M227" i="7" s="1"/>
  <c r="K228" i="7"/>
  <c r="M228" i="7" s="1"/>
  <c r="K229" i="7"/>
  <c r="M229" i="7" s="1"/>
  <c r="K230" i="7"/>
  <c r="M230" i="7" s="1"/>
  <c r="K231" i="7"/>
  <c r="M231" i="7" s="1"/>
  <c r="K232" i="7"/>
  <c r="M232" i="7" s="1"/>
  <c r="K233" i="7"/>
  <c r="M233" i="7" s="1"/>
  <c r="K234" i="7"/>
  <c r="M234" i="7" s="1"/>
  <c r="K235" i="7"/>
  <c r="M235" i="7" s="1"/>
  <c r="K236" i="7"/>
  <c r="M236" i="7" s="1"/>
  <c r="K237" i="7"/>
  <c r="M237" i="7" s="1"/>
  <c r="K238" i="7"/>
  <c r="M238" i="7" s="1"/>
  <c r="K239" i="7"/>
  <c r="M239" i="7" s="1"/>
  <c r="K240" i="7"/>
  <c r="M240" i="7" s="1"/>
  <c r="K241" i="7"/>
  <c r="M241" i="7" s="1"/>
  <c r="K242" i="7"/>
  <c r="M242" i="7" s="1"/>
  <c r="K243" i="7"/>
  <c r="M243" i="7" s="1"/>
  <c r="K244" i="7"/>
  <c r="M244" i="7" s="1"/>
  <c r="K245" i="7"/>
  <c r="M245" i="7" s="1"/>
  <c r="K246" i="7"/>
  <c r="M246" i="7" s="1"/>
  <c r="K247" i="7"/>
  <c r="M247" i="7" s="1"/>
  <c r="K248" i="7"/>
  <c r="M248" i="7" s="1"/>
  <c r="K249" i="7"/>
  <c r="M249" i="7" s="1"/>
  <c r="K250" i="7"/>
  <c r="M250" i="7" s="1"/>
  <c r="K251" i="7"/>
  <c r="M251" i="7" s="1"/>
  <c r="K252" i="7"/>
  <c r="M252" i="7" s="1"/>
  <c r="K253" i="7"/>
  <c r="M253" i="7" s="1"/>
  <c r="K254" i="7"/>
  <c r="M254" i="7" s="1"/>
  <c r="K255" i="7"/>
  <c r="M255" i="7" s="1"/>
  <c r="K256" i="7"/>
  <c r="M256" i="7" s="1"/>
  <c r="K257" i="7"/>
  <c r="M257" i="7" s="1"/>
  <c r="K258" i="7"/>
  <c r="M258" i="7" s="1"/>
  <c r="K259" i="7"/>
  <c r="M259" i="7" s="1"/>
  <c r="K260" i="7"/>
  <c r="M260" i="7" s="1"/>
  <c r="K261" i="7"/>
  <c r="M261" i="7" s="1"/>
  <c r="K262" i="7"/>
  <c r="M262" i="7" s="1"/>
  <c r="K263" i="7"/>
  <c r="M263" i="7" s="1"/>
  <c r="K264" i="7"/>
  <c r="M264" i="7" s="1"/>
  <c r="K265" i="7"/>
  <c r="M265" i="7" s="1"/>
  <c r="K266" i="7"/>
  <c r="M266" i="7" s="1"/>
  <c r="K267" i="7"/>
  <c r="M267" i="7" s="1"/>
  <c r="K268" i="7"/>
  <c r="M268" i="7" s="1"/>
  <c r="K269" i="7"/>
  <c r="M269" i="7" s="1"/>
  <c r="K270" i="7"/>
  <c r="M270" i="7" s="1"/>
  <c r="K271" i="7"/>
  <c r="M271" i="7" s="1"/>
  <c r="K272" i="7"/>
  <c r="M272" i="7" s="1"/>
  <c r="K273" i="7"/>
  <c r="M273" i="7" s="1"/>
  <c r="K274" i="7"/>
  <c r="M274" i="7" s="1"/>
  <c r="K275" i="7"/>
  <c r="M275" i="7" s="1"/>
  <c r="K276" i="7"/>
  <c r="M276" i="7" s="1"/>
  <c r="K277" i="7"/>
  <c r="M277" i="7" s="1"/>
  <c r="K278" i="7"/>
  <c r="M278" i="7" s="1"/>
  <c r="K279" i="7"/>
  <c r="M279" i="7" s="1"/>
  <c r="K280" i="7"/>
  <c r="M280" i="7" s="1"/>
  <c r="K281" i="7"/>
  <c r="M281" i="7" s="1"/>
  <c r="K282" i="7"/>
  <c r="M282" i="7" s="1"/>
  <c r="K283" i="7"/>
  <c r="M283" i="7" s="1"/>
  <c r="K284" i="7"/>
  <c r="M284" i="7" s="1"/>
  <c r="K285" i="7"/>
  <c r="M285" i="7" s="1"/>
  <c r="K286" i="7"/>
  <c r="M286" i="7" s="1"/>
  <c r="K287" i="7"/>
  <c r="M287" i="7" s="1"/>
  <c r="K288" i="7"/>
  <c r="M288" i="7" s="1"/>
  <c r="K289" i="7"/>
  <c r="M289" i="7" s="1"/>
  <c r="K290" i="7"/>
  <c r="M290" i="7" s="1"/>
  <c r="K291" i="7"/>
  <c r="M291" i="7" s="1"/>
  <c r="K292" i="7"/>
  <c r="M292" i="7" s="1"/>
  <c r="K293" i="7"/>
  <c r="M293" i="7" s="1"/>
  <c r="K294" i="7"/>
  <c r="M294" i="7" s="1"/>
  <c r="K295" i="7"/>
  <c r="M295" i="7" s="1"/>
  <c r="K296" i="7"/>
  <c r="M296" i="7" s="1"/>
  <c r="K297" i="7"/>
  <c r="M297" i="7" s="1"/>
  <c r="K298" i="7"/>
  <c r="M298" i="7" s="1"/>
  <c r="K299" i="7"/>
  <c r="M299" i="7" s="1"/>
  <c r="K300" i="7"/>
  <c r="M300" i="7" s="1"/>
  <c r="K301" i="7"/>
  <c r="M301" i="7" s="1"/>
  <c r="K302" i="7"/>
  <c r="M302" i="7" s="1"/>
  <c r="K303" i="7"/>
  <c r="M303" i="7" s="1"/>
  <c r="K304" i="7"/>
  <c r="M304" i="7" s="1"/>
  <c r="K305" i="7"/>
  <c r="M305" i="7" s="1"/>
  <c r="K306" i="7"/>
  <c r="M306" i="7" s="1"/>
  <c r="K307" i="7"/>
  <c r="M307" i="7" s="1"/>
  <c r="K308" i="7"/>
  <c r="M308" i="7" s="1"/>
  <c r="K309" i="7"/>
  <c r="M309" i="7" s="1"/>
  <c r="K310" i="7"/>
  <c r="M310" i="7" s="1"/>
  <c r="K311" i="7"/>
  <c r="M311" i="7" s="1"/>
  <c r="K312" i="7"/>
  <c r="M312" i="7" s="1"/>
  <c r="K313" i="7"/>
  <c r="M313" i="7" s="1"/>
  <c r="K314" i="7"/>
  <c r="M314" i="7" s="1"/>
  <c r="K315" i="7"/>
  <c r="M315" i="7" s="1"/>
  <c r="K316" i="7"/>
  <c r="M316" i="7" s="1"/>
  <c r="K317" i="7"/>
  <c r="M317" i="7" s="1"/>
  <c r="K318" i="7"/>
  <c r="M318" i="7" s="1"/>
  <c r="K319" i="7"/>
  <c r="M319" i="7" s="1"/>
  <c r="K320" i="7"/>
  <c r="M320" i="7" s="1"/>
  <c r="K321" i="7"/>
  <c r="M321" i="7" s="1"/>
  <c r="K322" i="7"/>
  <c r="M322" i="7" s="1"/>
  <c r="K323" i="7"/>
  <c r="M323" i="7" s="1"/>
  <c r="K324" i="7"/>
  <c r="M324" i="7" s="1"/>
  <c r="K325" i="7"/>
  <c r="M325" i="7" s="1"/>
  <c r="J6" i="7"/>
  <c r="J7" i="7"/>
  <c r="J8" i="7"/>
  <c r="J9" i="7"/>
  <c r="J10" i="7"/>
  <c r="J11" i="7"/>
  <c r="M114" i="36" s="1"/>
  <c r="N114" i="36" s="1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M307" i="36" s="1"/>
  <c r="N307" i="36" s="1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M214" i="36" s="1"/>
  <c r="N214" i="36" s="1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M215" i="36" s="1"/>
  <c r="N215" i="36" s="1"/>
  <c r="J94" i="7"/>
  <c r="M309" i="36" s="1"/>
  <c r="N309" i="36" s="1"/>
  <c r="J95" i="7"/>
  <c r="J96" i="7"/>
  <c r="M216" i="36" s="1"/>
  <c r="N216" i="36" s="1"/>
  <c r="J97" i="7"/>
  <c r="J98" i="7"/>
  <c r="J99" i="7"/>
  <c r="J100" i="7"/>
  <c r="J101" i="7"/>
  <c r="J102" i="7"/>
  <c r="M115" i="36" s="1"/>
  <c r="N115" i="36" s="1"/>
  <c r="J103" i="7"/>
  <c r="M217" i="36" s="1"/>
  <c r="N217" i="36" s="1"/>
  <c r="J104" i="7"/>
  <c r="M218" i="36" s="1"/>
  <c r="N218" i="36" s="1"/>
  <c r="J105" i="7"/>
  <c r="M219" i="36" s="1"/>
  <c r="N219" i="36" s="1"/>
  <c r="J106" i="7"/>
  <c r="M220" i="36" s="1"/>
  <c r="N220" i="36" s="1"/>
  <c r="J107" i="7"/>
  <c r="M221" i="36" s="1"/>
  <c r="N221" i="36" s="1"/>
  <c r="J108" i="7"/>
  <c r="M222" i="36" s="1"/>
  <c r="N222" i="36" s="1"/>
  <c r="J109" i="7"/>
  <c r="M116" i="36" s="1"/>
  <c r="N116" i="36" s="1"/>
  <c r="J110" i="7"/>
  <c r="M223" i="36" s="1"/>
  <c r="N223" i="36" s="1"/>
  <c r="J111" i="7"/>
  <c r="M278" i="36" s="1"/>
  <c r="N278" i="36" s="1"/>
  <c r="J112" i="7"/>
  <c r="M117" i="36" s="1"/>
  <c r="N117" i="36" s="1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M279" i="36" s="1"/>
  <c r="N279" i="36" s="1"/>
  <c r="J135" i="7"/>
  <c r="M310" i="36" s="1"/>
  <c r="N310" i="36" s="1"/>
  <c r="J136" i="7"/>
  <c r="J137" i="7"/>
  <c r="J138" i="7"/>
  <c r="M224" i="36" s="1"/>
  <c r="N224" i="36" s="1"/>
  <c r="J139" i="7"/>
  <c r="J140" i="7"/>
  <c r="J141" i="7"/>
  <c r="J142" i="7"/>
  <c r="M280" i="36" s="1"/>
  <c r="N280" i="36" s="1"/>
  <c r="J143" i="7"/>
  <c r="M281" i="36" s="1"/>
  <c r="N281" i="36" s="1"/>
  <c r="J144" i="7"/>
  <c r="J145" i="7"/>
  <c r="M225" i="36" s="1"/>
  <c r="N225" i="36" s="1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M226" i="36" s="1"/>
  <c r="N226" i="36" s="1"/>
  <c r="J170" i="7"/>
  <c r="J171" i="7"/>
  <c r="J172" i="7"/>
  <c r="J173" i="7"/>
  <c r="M243" i="36" s="1"/>
  <c r="N243" i="36" s="1"/>
  <c r="J174" i="7"/>
  <c r="J175" i="7"/>
  <c r="J176" i="7"/>
  <c r="J177" i="7"/>
  <c r="J178" i="7"/>
  <c r="J179" i="7"/>
  <c r="J180" i="7"/>
  <c r="M70" i="36" s="1"/>
  <c r="N70" i="36" s="1"/>
  <c r="J181" i="7"/>
  <c r="M118" i="36" s="1"/>
  <c r="N118" i="36" s="1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M227" i="36" s="1"/>
  <c r="N227" i="36" s="1"/>
  <c r="J230" i="7"/>
  <c r="J231" i="7"/>
  <c r="M119" i="36" s="1"/>
  <c r="N119" i="36" s="1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M282" i="36" s="1"/>
  <c r="N282" i="36" s="1"/>
  <c r="J248" i="7"/>
  <c r="M120" i="36" s="1"/>
  <c r="N120" i="36" s="1"/>
  <c r="J249" i="7"/>
  <c r="M121" i="36" s="1"/>
  <c r="N121" i="36" s="1"/>
  <c r="J250" i="7"/>
  <c r="J251" i="7"/>
  <c r="J252" i="7"/>
  <c r="J253" i="7"/>
  <c r="J254" i="7"/>
  <c r="J256" i="7"/>
  <c r="J257" i="7"/>
  <c r="J258" i="7"/>
  <c r="J259" i="7"/>
  <c r="M45" i="36" s="1"/>
  <c r="N45" i="36" s="1"/>
  <c r="J260" i="7"/>
  <c r="J261" i="7"/>
  <c r="J262" i="7"/>
  <c r="M228" i="36" s="1"/>
  <c r="N228" i="36" s="1"/>
  <c r="J263" i="7"/>
  <c r="J264" i="7"/>
  <c r="M132" i="36" s="1"/>
  <c r="N132" i="36" s="1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M311" i="36" s="1"/>
  <c r="N311" i="36" s="1"/>
  <c r="J278" i="7"/>
  <c r="J279" i="7"/>
  <c r="J280" i="7"/>
  <c r="J281" i="7"/>
  <c r="J282" i="7"/>
  <c r="J283" i="7"/>
  <c r="J284" i="7"/>
  <c r="J285" i="7"/>
  <c r="J286" i="7"/>
  <c r="M163" i="36" s="1"/>
  <c r="N163" i="36" s="1"/>
  <c r="J287" i="7"/>
  <c r="J288" i="7"/>
  <c r="J289" i="7"/>
  <c r="M229" i="36" s="1"/>
  <c r="N229" i="36" s="1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M283" i="36" s="1"/>
  <c r="N283" i="36" s="1"/>
  <c r="J303" i="7"/>
  <c r="M312" i="36" s="1"/>
  <c r="N312" i="36" s="1"/>
  <c r="J304" i="7"/>
  <c r="M122" i="36" s="1"/>
  <c r="N122" i="36" s="1"/>
  <c r="J305" i="7"/>
  <c r="M313" i="36" s="1"/>
  <c r="N313" i="36" s="1"/>
  <c r="J306" i="7"/>
  <c r="J307" i="7"/>
  <c r="M123" i="36" s="1"/>
  <c r="N123" i="36" s="1"/>
  <c r="J308" i="7"/>
  <c r="J309" i="7"/>
  <c r="M124" i="36" s="1"/>
  <c r="N124" i="36" s="1"/>
  <c r="J310" i="7"/>
  <c r="M125" i="36" s="1"/>
  <c r="N125" i="36" s="1"/>
  <c r="J311" i="7"/>
  <c r="M126" i="36" s="1"/>
  <c r="N126" i="36" s="1"/>
  <c r="J312" i="7"/>
  <c r="J313" i="7"/>
  <c r="J314" i="7"/>
  <c r="J315" i="7"/>
  <c r="J316" i="7"/>
  <c r="J317" i="7"/>
  <c r="J318" i="7"/>
  <c r="J319" i="7"/>
  <c r="J320" i="7"/>
  <c r="J321" i="7"/>
  <c r="M314" i="36" s="1"/>
  <c r="N314" i="36" s="1"/>
  <c r="J322" i="7"/>
  <c r="J323" i="7"/>
  <c r="J324" i="7"/>
  <c r="J32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X6" i="7"/>
  <c r="X7" i="7"/>
  <c r="X8" i="7"/>
  <c r="X9" i="7"/>
  <c r="X10" i="7"/>
  <c r="X11" i="7"/>
  <c r="X12" i="7"/>
  <c r="X13" i="7"/>
  <c r="Z13" i="7" s="1"/>
  <c r="X14" i="7"/>
  <c r="X15" i="7"/>
  <c r="X16" i="7"/>
  <c r="X17" i="7"/>
  <c r="AA17" i="7" s="1"/>
  <c r="X18" i="7"/>
  <c r="X19" i="7"/>
  <c r="X20" i="7"/>
  <c r="X21" i="7"/>
  <c r="AE21" i="7" s="1"/>
  <c r="X22" i="7"/>
  <c r="X23" i="7"/>
  <c r="X24" i="7"/>
  <c r="X25" i="7"/>
  <c r="AA25" i="7" s="1"/>
  <c r="X26" i="7"/>
  <c r="X27" i="7"/>
  <c r="X28" i="7"/>
  <c r="X29" i="7"/>
  <c r="Z29" i="7" s="1"/>
  <c r="X30" i="7"/>
  <c r="X31" i="7"/>
  <c r="X32" i="7"/>
  <c r="X33" i="7"/>
  <c r="AA33" i="7" s="1"/>
  <c r="X34" i="7"/>
  <c r="X35" i="7"/>
  <c r="X36" i="7"/>
  <c r="X37" i="7"/>
  <c r="Z37" i="7" s="1"/>
  <c r="X38" i="7"/>
  <c r="X39" i="7"/>
  <c r="X40" i="7"/>
  <c r="X41" i="7"/>
  <c r="Z41" i="7" s="1"/>
  <c r="X42" i="7"/>
  <c r="X43" i="7"/>
  <c r="X44" i="7"/>
  <c r="X45" i="7"/>
  <c r="Z45" i="7" s="1"/>
  <c r="X46" i="7"/>
  <c r="X47" i="7"/>
  <c r="X48" i="7"/>
  <c r="X49" i="7"/>
  <c r="AA49" i="7" s="1"/>
  <c r="X50" i="7"/>
  <c r="X51" i="7"/>
  <c r="X52" i="7"/>
  <c r="X53" i="7"/>
  <c r="AE53" i="7" s="1"/>
  <c r="X54" i="7"/>
  <c r="X55" i="7"/>
  <c r="X56" i="7"/>
  <c r="X57" i="7"/>
  <c r="AA57" i="7" s="1"/>
  <c r="X58" i="7"/>
  <c r="X59" i="7"/>
  <c r="X60" i="7"/>
  <c r="X61" i="7"/>
  <c r="Z61" i="7" s="1"/>
  <c r="X62" i="7"/>
  <c r="X63" i="7"/>
  <c r="X64" i="7"/>
  <c r="X65" i="7"/>
  <c r="AA65" i="7" s="1"/>
  <c r="X66" i="7"/>
  <c r="X67" i="7"/>
  <c r="X68" i="7"/>
  <c r="X69" i="7"/>
  <c r="AE69" i="7" s="1"/>
  <c r="X70" i="7"/>
  <c r="X71" i="7"/>
  <c r="X72" i="7"/>
  <c r="X73" i="7"/>
  <c r="Z73" i="7" s="1"/>
  <c r="X74" i="7"/>
  <c r="X75" i="7"/>
  <c r="X76" i="7"/>
  <c r="X77" i="7"/>
  <c r="Z77" i="7" s="1"/>
  <c r="X78" i="7"/>
  <c r="X79" i="7"/>
  <c r="X80" i="7"/>
  <c r="X81" i="7"/>
  <c r="AA81" i="7" s="1"/>
  <c r="X82" i="7"/>
  <c r="X83" i="7"/>
  <c r="AD83" i="7" s="1"/>
  <c r="X84" i="7"/>
  <c r="X85" i="7"/>
  <c r="AE85" i="7" s="1"/>
  <c r="X86" i="7"/>
  <c r="X87" i="7"/>
  <c r="X88" i="7"/>
  <c r="AA88" i="7" s="1"/>
  <c r="X89" i="7"/>
  <c r="X90" i="7"/>
  <c r="X91" i="7"/>
  <c r="X92" i="7"/>
  <c r="Z92" i="7" s="1"/>
  <c r="X93" i="7"/>
  <c r="X94" i="7"/>
  <c r="X95" i="7"/>
  <c r="X96" i="7"/>
  <c r="AA96" i="7" s="1"/>
  <c r="X97" i="7"/>
  <c r="X98" i="7"/>
  <c r="X99" i="7"/>
  <c r="X100" i="7"/>
  <c r="Z100" i="7" s="1"/>
  <c r="X101" i="7"/>
  <c r="X102" i="7"/>
  <c r="X103" i="7"/>
  <c r="X104" i="7"/>
  <c r="Z104" i="7" s="1"/>
  <c r="X105" i="7"/>
  <c r="X106" i="7"/>
  <c r="X107" i="7"/>
  <c r="X108" i="7"/>
  <c r="Z108" i="7" s="1"/>
  <c r="X109" i="7"/>
  <c r="X110" i="7"/>
  <c r="X111" i="7"/>
  <c r="X112" i="7"/>
  <c r="AA112" i="7" s="1"/>
  <c r="X113" i="7"/>
  <c r="X114" i="7"/>
  <c r="X115" i="7"/>
  <c r="X116" i="7"/>
  <c r="AE116" i="7" s="1"/>
  <c r="X117" i="7"/>
  <c r="X118" i="7"/>
  <c r="X119" i="7"/>
  <c r="X120" i="7"/>
  <c r="AA120" i="7" s="1"/>
  <c r="X121" i="7"/>
  <c r="X122" i="7"/>
  <c r="X123" i="7"/>
  <c r="X124" i="7"/>
  <c r="Z124" i="7" s="1"/>
  <c r="X125" i="7"/>
  <c r="X126" i="7"/>
  <c r="X127" i="7"/>
  <c r="X128" i="7"/>
  <c r="AA128" i="7" s="1"/>
  <c r="X129" i="7"/>
  <c r="X130" i="7"/>
  <c r="X131" i="7"/>
  <c r="X132" i="7"/>
  <c r="AE132" i="7" s="1"/>
  <c r="X133" i="7"/>
  <c r="X134" i="7"/>
  <c r="X135" i="7"/>
  <c r="X136" i="7"/>
  <c r="Z136" i="7" s="1"/>
  <c r="X137" i="7"/>
  <c r="X138" i="7"/>
  <c r="X139" i="7"/>
  <c r="X140" i="7"/>
  <c r="Z140" i="7" s="1"/>
  <c r="X141" i="7"/>
  <c r="X142" i="7"/>
  <c r="X143" i="7"/>
  <c r="X144" i="7"/>
  <c r="X145" i="7"/>
  <c r="X146" i="7"/>
  <c r="Z146" i="7" s="1"/>
  <c r="X147" i="7"/>
  <c r="X148" i="7"/>
  <c r="AE148" i="7" s="1"/>
  <c r="X149" i="7"/>
  <c r="X150" i="7"/>
  <c r="X151" i="7"/>
  <c r="X152" i="7"/>
  <c r="AA152" i="7" s="1"/>
  <c r="X153" i="7"/>
  <c r="X154" i="7"/>
  <c r="X155" i="7"/>
  <c r="X156" i="7"/>
  <c r="X157" i="7"/>
  <c r="X158" i="7"/>
  <c r="Z158" i="7" s="1"/>
  <c r="X159" i="7"/>
  <c r="X160" i="7"/>
  <c r="AA160" i="7" s="1"/>
  <c r="X161" i="7"/>
  <c r="X162" i="7"/>
  <c r="X163" i="7"/>
  <c r="X164" i="7"/>
  <c r="X165" i="7"/>
  <c r="X166" i="7"/>
  <c r="X167" i="7"/>
  <c r="X168" i="7"/>
  <c r="Z168" i="7" s="1"/>
  <c r="X169" i="7"/>
  <c r="X170" i="7"/>
  <c r="X171" i="7"/>
  <c r="X172" i="7"/>
  <c r="Z172" i="7" s="1"/>
  <c r="X173" i="7"/>
  <c r="X174" i="7"/>
  <c r="X175" i="7"/>
  <c r="X176" i="7"/>
  <c r="AA176" i="7" s="1"/>
  <c r="X177" i="7"/>
  <c r="X178" i="7"/>
  <c r="X179" i="7"/>
  <c r="X180" i="7"/>
  <c r="AE180" i="7" s="1"/>
  <c r="X181" i="7"/>
  <c r="X182" i="7"/>
  <c r="X183" i="7"/>
  <c r="X184" i="7"/>
  <c r="AA184" i="7" s="1"/>
  <c r="X185" i="7"/>
  <c r="X186" i="7"/>
  <c r="Z186" i="7" s="1"/>
  <c r="X187" i="7"/>
  <c r="X188" i="7"/>
  <c r="Z188" i="7" s="1"/>
  <c r="X189" i="7"/>
  <c r="X190" i="7"/>
  <c r="X191" i="7"/>
  <c r="X192" i="7"/>
  <c r="AA192" i="7" s="1"/>
  <c r="X193" i="7"/>
  <c r="X194" i="7"/>
  <c r="X195" i="7"/>
  <c r="X196" i="7"/>
  <c r="AE196" i="7" s="1"/>
  <c r="X197" i="7"/>
  <c r="X198" i="7"/>
  <c r="X199" i="7"/>
  <c r="X200" i="7"/>
  <c r="Z200" i="7" s="1"/>
  <c r="X201" i="7"/>
  <c r="X202" i="7"/>
  <c r="X203" i="7"/>
  <c r="X204" i="7"/>
  <c r="X205" i="7"/>
  <c r="X206" i="7"/>
  <c r="Z206" i="7" s="1"/>
  <c r="X207" i="7"/>
  <c r="X208" i="7"/>
  <c r="AA208" i="7" s="1"/>
  <c r="X209" i="7"/>
  <c r="X210" i="7"/>
  <c r="AD210" i="7" s="1"/>
  <c r="X211" i="7"/>
  <c r="X212" i="7"/>
  <c r="AE212" i="7" s="1"/>
  <c r="X213" i="7"/>
  <c r="X214" i="7"/>
  <c r="X215" i="7"/>
  <c r="X216" i="7"/>
  <c r="AA216" i="7" s="1"/>
  <c r="X217" i="7"/>
  <c r="X218" i="7"/>
  <c r="Z218" i="7" s="1"/>
  <c r="X219" i="7"/>
  <c r="X220" i="7"/>
  <c r="Z220" i="7" s="1"/>
  <c r="X221" i="7"/>
  <c r="X222" i="7"/>
  <c r="X223" i="7"/>
  <c r="X224" i="7"/>
  <c r="AA224" i="7" s="1"/>
  <c r="X225" i="7"/>
  <c r="X226" i="7"/>
  <c r="X227" i="7"/>
  <c r="X228" i="7"/>
  <c r="Z228" i="7" s="1"/>
  <c r="X229" i="7"/>
  <c r="X230" i="7"/>
  <c r="Z230" i="7" s="1"/>
  <c r="X231" i="7"/>
  <c r="X232" i="7"/>
  <c r="Z232" i="7" s="1"/>
  <c r="X233" i="7"/>
  <c r="X234" i="7"/>
  <c r="X235" i="7"/>
  <c r="X236" i="7"/>
  <c r="Z236" i="7" s="1"/>
  <c r="X237" i="7"/>
  <c r="X238" i="7"/>
  <c r="X239" i="7"/>
  <c r="X240" i="7"/>
  <c r="AA240" i="7" s="1"/>
  <c r="X241" i="7"/>
  <c r="X242" i="7"/>
  <c r="X243" i="7"/>
  <c r="X244" i="7"/>
  <c r="AE244" i="7" s="1"/>
  <c r="X245" i="7"/>
  <c r="X246" i="7"/>
  <c r="X247" i="7"/>
  <c r="X248" i="7"/>
  <c r="AA248" i="7" s="1"/>
  <c r="X249" i="7"/>
  <c r="AD249" i="7" s="1"/>
  <c r="X250" i="7"/>
  <c r="X251" i="7"/>
  <c r="X252" i="7"/>
  <c r="Z252" i="7" s="1"/>
  <c r="X253" i="7"/>
  <c r="X254" i="7"/>
  <c r="X255" i="7"/>
  <c r="X256" i="7"/>
  <c r="AA256" i="7" s="1"/>
  <c r="X257" i="7"/>
  <c r="AD257" i="7" s="1"/>
  <c r="X258" i="7"/>
  <c r="X259" i="7"/>
  <c r="X260" i="7"/>
  <c r="AE260" i="7" s="1"/>
  <c r="X261" i="7"/>
  <c r="X262" i="7"/>
  <c r="Z262" i="7" s="1"/>
  <c r="X263" i="7"/>
  <c r="X264" i="7"/>
  <c r="Z264" i="7" s="1"/>
  <c r="X265" i="7"/>
  <c r="X266" i="7"/>
  <c r="X267" i="7"/>
  <c r="X268" i="7"/>
  <c r="Z268" i="7" s="1"/>
  <c r="X269" i="7"/>
  <c r="X270" i="7"/>
  <c r="X271" i="7"/>
  <c r="X272" i="7"/>
  <c r="X273" i="7"/>
  <c r="X274" i="7"/>
  <c r="X275" i="7"/>
  <c r="X276" i="7"/>
  <c r="AE276" i="7" s="1"/>
  <c r="X277" i="7"/>
  <c r="X278" i="7"/>
  <c r="Z278" i="7" s="1"/>
  <c r="X279" i="7"/>
  <c r="X280" i="7"/>
  <c r="X281" i="7"/>
  <c r="AD281" i="7" s="1"/>
  <c r="X282" i="7"/>
  <c r="X283" i="7"/>
  <c r="X284" i="7"/>
  <c r="Z284" i="7" s="1"/>
  <c r="X285" i="7"/>
  <c r="X286" i="7"/>
  <c r="X287" i="7"/>
  <c r="X288" i="7"/>
  <c r="AA288" i="7" s="1"/>
  <c r="X289" i="7"/>
  <c r="AD289" i="7" s="1"/>
  <c r="X290" i="7"/>
  <c r="Z290" i="7" s="1"/>
  <c r="X291" i="7"/>
  <c r="X292" i="7"/>
  <c r="X293" i="7"/>
  <c r="X294" i="7"/>
  <c r="X295" i="7"/>
  <c r="X296" i="7"/>
  <c r="Z296" i="7" s="1"/>
  <c r="X297" i="7"/>
  <c r="X298" i="7"/>
  <c r="X299" i="7"/>
  <c r="X300" i="7"/>
  <c r="Z300" i="7" s="1"/>
  <c r="X301" i="7"/>
  <c r="X302" i="7"/>
  <c r="Z302" i="7" s="1"/>
  <c r="X303" i="7"/>
  <c r="X304" i="7"/>
  <c r="AA304" i="7" s="1"/>
  <c r="X305" i="7"/>
  <c r="X306" i="7"/>
  <c r="X307" i="7"/>
  <c r="X308" i="7"/>
  <c r="AE308" i="7" s="1"/>
  <c r="X309" i="7"/>
  <c r="X310" i="7"/>
  <c r="X311" i="7"/>
  <c r="X312" i="7"/>
  <c r="AA312" i="7" s="1"/>
  <c r="X313" i="7"/>
  <c r="AD313" i="7" s="1"/>
  <c r="X314" i="7"/>
  <c r="Z314" i="7" s="1"/>
  <c r="X315" i="7"/>
  <c r="X316" i="7"/>
  <c r="Z316" i="7" s="1"/>
  <c r="X317" i="7"/>
  <c r="AA317" i="7" s="1"/>
  <c r="X318" i="7"/>
  <c r="X319" i="7"/>
  <c r="X320" i="7"/>
  <c r="Z320" i="7" s="1"/>
  <c r="X321" i="7"/>
  <c r="AD321" i="7" s="1"/>
  <c r="X322" i="7"/>
  <c r="X323" i="7"/>
  <c r="X324" i="7"/>
  <c r="AE324" i="7" s="1"/>
  <c r="X32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T55" i="7" s="1"/>
  <c r="G56" i="7"/>
  <c r="T56" i="7" s="1"/>
  <c r="G57" i="7"/>
  <c r="T57" i="7" s="1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T140" i="7" s="1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T161" i="7" s="1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T207" i="7" s="1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E6" i="7"/>
  <c r="I252" i="36" s="1"/>
  <c r="E7" i="7"/>
  <c r="I250" i="36" s="1"/>
  <c r="E8" i="7"/>
  <c r="I71" i="36" s="1"/>
  <c r="E9" i="7"/>
  <c r="I232" i="36" s="1"/>
  <c r="E10" i="7"/>
  <c r="I248" i="36" s="1"/>
  <c r="E11" i="7"/>
  <c r="I114" i="36" s="1"/>
  <c r="E12" i="7"/>
  <c r="E13" i="7"/>
  <c r="I47" i="36" s="1"/>
  <c r="E14" i="7"/>
  <c r="I78" i="36" s="1"/>
  <c r="E15" i="7"/>
  <c r="I42" i="36" s="1"/>
  <c r="E16" i="7"/>
  <c r="I76" i="36" s="1"/>
  <c r="E17" i="7"/>
  <c r="I81" i="36" s="1"/>
  <c r="E18" i="7"/>
  <c r="I98" i="36" s="1"/>
  <c r="E19" i="7"/>
  <c r="I101" i="36" s="1"/>
  <c r="E20" i="7"/>
  <c r="I102" i="36" s="1"/>
  <c r="E21" i="7"/>
  <c r="I95" i="36" s="1"/>
  <c r="E22" i="7"/>
  <c r="I179" i="36" s="1"/>
  <c r="E23" i="7"/>
  <c r="I52" i="36" s="1"/>
  <c r="E24" i="7"/>
  <c r="I156" i="36" s="1"/>
  <c r="E25" i="7"/>
  <c r="I185" i="36" s="1"/>
  <c r="E26" i="7"/>
  <c r="I197" i="36" s="1"/>
  <c r="E27" i="7"/>
  <c r="I127" i="36" s="1"/>
  <c r="E28" i="7"/>
  <c r="I193" i="36" s="1"/>
  <c r="E29" i="7"/>
  <c r="I110" i="36" s="1"/>
  <c r="E30" i="7"/>
  <c r="I66" i="36" s="1"/>
  <c r="E31" i="7"/>
  <c r="I67" i="36" s="1"/>
  <c r="E32" i="7"/>
  <c r="I103" i="36" s="1"/>
  <c r="E33" i="7"/>
  <c r="I301" i="36" s="1"/>
  <c r="E34" i="7"/>
  <c r="I15" i="36" s="1"/>
  <c r="E35" i="7"/>
  <c r="I307" i="36" s="1"/>
  <c r="E36" i="7"/>
  <c r="I107" i="36" s="1"/>
  <c r="E37" i="7"/>
  <c r="I73" i="36" s="1"/>
  <c r="E38" i="7"/>
  <c r="I288" i="36" s="1"/>
  <c r="E39" i="7"/>
  <c r="I24" i="36" s="1"/>
  <c r="E40" i="7"/>
  <c r="I39" i="36" s="1"/>
  <c r="E41" i="7"/>
  <c r="I131" i="36" s="1"/>
  <c r="E42" i="7"/>
  <c r="I190" i="36" s="1"/>
  <c r="E43" i="7"/>
  <c r="I265" i="36" s="1"/>
  <c r="E44" i="7"/>
  <c r="I254" i="36" s="1"/>
  <c r="E45" i="7"/>
  <c r="I6" i="36" s="1"/>
  <c r="E46" i="7"/>
  <c r="I151" i="36" s="1"/>
  <c r="E47" i="7"/>
  <c r="I304" i="36" s="1"/>
  <c r="E48" i="7"/>
  <c r="I169" i="36" s="1"/>
  <c r="E49" i="7"/>
  <c r="I291" i="36" s="1"/>
  <c r="E50" i="7"/>
  <c r="I302" i="36" s="1"/>
  <c r="E51" i="7"/>
  <c r="I25" i="36" s="1"/>
  <c r="E52" i="7"/>
  <c r="I298" i="36" s="1"/>
  <c r="E53" i="7"/>
  <c r="I308" i="36" s="1"/>
  <c r="E54" i="7"/>
  <c r="I61" i="36" s="1"/>
  <c r="E55" i="7"/>
  <c r="BC55" i="7" s="1"/>
  <c r="E56" i="7"/>
  <c r="BC56" i="7" s="1"/>
  <c r="E57" i="7"/>
  <c r="BC57" i="7" s="1"/>
  <c r="E58" i="7"/>
  <c r="I287" i="36" s="1"/>
  <c r="E59" i="7"/>
  <c r="I138" i="36" s="1"/>
  <c r="E60" i="7"/>
  <c r="I299" i="36" s="1"/>
  <c r="E61" i="7"/>
  <c r="I295" i="36" s="1"/>
  <c r="E62" i="7"/>
  <c r="I30" i="36" s="1"/>
  <c r="E63" i="7"/>
  <c r="I306" i="36" s="1"/>
  <c r="E64" i="7"/>
  <c r="I135" i="36" s="1"/>
  <c r="E65" i="7"/>
  <c r="I277" i="36" s="1"/>
  <c r="E66" i="7"/>
  <c r="I258" i="36" s="1"/>
  <c r="E67" i="7"/>
  <c r="I233" i="36" s="1"/>
  <c r="E68" i="7"/>
  <c r="I242" i="36" s="1"/>
  <c r="E69" i="7"/>
  <c r="I146" i="36" s="1"/>
  <c r="E70" i="7"/>
  <c r="I49" i="36" s="1"/>
  <c r="E71" i="7"/>
  <c r="I50" i="36" s="1"/>
  <c r="E72" i="7"/>
  <c r="I214" i="36" s="1"/>
  <c r="E73" i="7"/>
  <c r="I26" i="36" s="1"/>
  <c r="E74" i="7"/>
  <c r="I142" i="36" s="1"/>
  <c r="E75" i="7"/>
  <c r="I209" i="36" s="1"/>
  <c r="E76" i="7"/>
  <c r="I113" i="36" s="1"/>
  <c r="E77" i="7"/>
  <c r="I249" i="36" s="1"/>
  <c r="E78" i="7"/>
  <c r="I213" i="36" s="1"/>
  <c r="E79" i="7"/>
  <c r="I204" i="36" s="1"/>
  <c r="E80" i="7"/>
  <c r="I175" i="36" s="1"/>
  <c r="E81" i="7"/>
  <c r="I144" i="36" s="1"/>
  <c r="E82" i="7"/>
  <c r="I166" i="36" s="1"/>
  <c r="E83" i="7"/>
  <c r="I79" i="36" s="1"/>
  <c r="E84" i="7"/>
  <c r="I46" i="36" s="1"/>
  <c r="E85" i="7"/>
  <c r="I82" i="36" s="1"/>
  <c r="E86" i="7"/>
  <c r="I53" i="36" s="1"/>
  <c r="E87" i="7"/>
  <c r="I128" i="36" s="1"/>
  <c r="E88" i="7"/>
  <c r="I129" i="36" s="1"/>
  <c r="E89" i="7"/>
  <c r="I290" i="36" s="1"/>
  <c r="E90" i="7"/>
  <c r="I257" i="36" s="1"/>
  <c r="E91" i="7"/>
  <c r="I83" i="36" s="1"/>
  <c r="E92" i="7"/>
  <c r="I173" i="36" s="1"/>
  <c r="E93" i="7"/>
  <c r="I215" i="36" s="1"/>
  <c r="E94" i="7"/>
  <c r="I309" i="36" s="1"/>
  <c r="E95" i="7"/>
  <c r="E96" i="7"/>
  <c r="I216" i="36" s="1"/>
  <c r="E97" i="7"/>
  <c r="I241" i="36" s="1"/>
  <c r="E98" i="7"/>
  <c r="I176" i="36" s="1"/>
  <c r="E99" i="7"/>
  <c r="I274" i="36" s="1"/>
  <c r="E100" i="7"/>
  <c r="I181" i="36" s="1"/>
  <c r="E101" i="7"/>
  <c r="I7" i="36" s="1"/>
  <c r="E102" i="7"/>
  <c r="I115" i="36" s="1"/>
  <c r="E103" i="7"/>
  <c r="I217" i="36" s="1"/>
  <c r="E104" i="7"/>
  <c r="I218" i="36" s="1"/>
  <c r="E105" i="7"/>
  <c r="I219" i="36" s="1"/>
  <c r="E106" i="7"/>
  <c r="I220" i="36" s="1"/>
  <c r="E107" i="7"/>
  <c r="I221" i="36" s="1"/>
  <c r="E108" i="7"/>
  <c r="I222" i="36" s="1"/>
  <c r="E109" i="7"/>
  <c r="I116" i="36" s="1"/>
  <c r="E110" i="7"/>
  <c r="I223" i="36" s="1"/>
  <c r="E111" i="7"/>
  <c r="I278" i="36" s="1"/>
  <c r="E112" i="7"/>
  <c r="I117" i="36" s="1"/>
  <c r="E113" i="7"/>
  <c r="I17" i="36" s="1"/>
  <c r="E114" i="7"/>
  <c r="I237" i="36" s="1"/>
  <c r="E115" i="7"/>
  <c r="I270" i="36" s="1"/>
  <c r="E116" i="7"/>
  <c r="I271" i="36" s="1"/>
  <c r="E117" i="7"/>
  <c r="I239" i="36" s="1"/>
  <c r="E118" i="7"/>
  <c r="I58" i="36" s="1"/>
  <c r="E119" i="7"/>
  <c r="I253" i="36" s="1"/>
  <c r="E120" i="7"/>
  <c r="I171" i="36" s="1"/>
  <c r="E121" i="7"/>
  <c r="I198" i="36" s="1"/>
  <c r="E122" i="7"/>
  <c r="I105" i="36" s="1"/>
  <c r="E123" i="7"/>
  <c r="I152" i="36" s="1"/>
  <c r="E124" i="7"/>
  <c r="I269" i="36" s="1"/>
  <c r="E125" i="7"/>
  <c r="I143" i="36" s="1"/>
  <c r="E126" i="7"/>
  <c r="I40" i="36" s="1"/>
  <c r="E127" i="7"/>
  <c r="I106" i="36" s="1"/>
  <c r="E128" i="7"/>
  <c r="I300" i="36" s="1"/>
  <c r="E129" i="7"/>
  <c r="I108" i="36" s="1"/>
  <c r="E130" i="7"/>
  <c r="I246" i="36" s="1"/>
  <c r="E131" i="7"/>
  <c r="I21" i="36" s="1"/>
  <c r="E132" i="7"/>
  <c r="I231" i="36" s="1"/>
  <c r="E133" i="7"/>
  <c r="I134" i="36" s="1"/>
  <c r="E134" i="7"/>
  <c r="I279" i="36" s="1"/>
  <c r="E135" i="7"/>
  <c r="I310" i="36" s="1"/>
  <c r="E136" i="7"/>
  <c r="I12" i="36" s="1"/>
  <c r="E137" i="7"/>
  <c r="I293" i="36" s="1"/>
  <c r="E138" i="7"/>
  <c r="I224" i="36" s="1"/>
  <c r="E139" i="7"/>
  <c r="I187" i="36" s="1"/>
  <c r="E140" i="7"/>
  <c r="BC140" i="7" s="1"/>
  <c r="E141" i="7"/>
  <c r="I255" i="36" s="1"/>
  <c r="E142" i="7"/>
  <c r="I280" i="36" s="1"/>
  <c r="E143" i="7"/>
  <c r="I281" i="36" s="1"/>
  <c r="E144" i="7"/>
  <c r="I99" i="36" s="1"/>
  <c r="E145" i="7"/>
  <c r="I225" i="36" s="1"/>
  <c r="E146" i="7"/>
  <c r="I234" i="36" s="1"/>
  <c r="E147" i="7"/>
  <c r="I211" i="36" s="1"/>
  <c r="E148" i="7"/>
  <c r="I177" i="36" s="1"/>
  <c r="E149" i="7"/>
  <c r="I84" i="36" s="1"/>
  <c r="E150" i="7"/>
  <c r="I188" i="36" s="1"/>
  <c r="E151" i="7"/>
  <c r="E152" i="7"/>
  <c r="I29" i="36" s="1"/>
  <c r="E153" i="7"/>
  <c r="I27" i="36" s="1"/>
  <c r="E154" i="7"/>
  <c r="I28" i="36" s="1"/>
  <c r="E155" i="7"/>
  <c r="I147" i="36" s="1"/>
  <c r="E156" i="7"/>
  <c r="I199" i="36" s="1"/>
  <c r="E157" i="7"/>
  <c r="E158" i="7"/>
  <c r="E159" i="7"/>
  <c r="I41" i="36" s="1"/>
  <c r="E160" i="7"/>
  <c r="I272" i="36" s="1"/>
  <c r="E161" i="7"/>
  <c r="BC161" i="7" s="1"/>
  <c r="E162" i="7"/>
  <c r="I305" i="36" s="1"/>
  <c r="E163" i="7"/>
  <c r="I208" i="36" s="1"/>
  <c r="E164" i="7"/>
  <c r="I164" i="36" s="1"/>
  <c r="E165" i="7"/>
  <c r="I160" i="36" s="1"/>
  <c r="E166" i="7"/>
  <c r="I33" i="36" s="1"/>
  <c r="E167" i="7"/>
  <c r="I90" i="36" s="1"/>
  <c r="E168" i="7"/>
  <c r="I8" i="36" s="1"/>
  <c r="E169" i="7"/>
  <c r="I226" i="36" s="1"/>
  <c r="E170" i="7"/>
  <c r="I189" i="36" s="1"/>
  <c r="E171" i="7"/>
  <c r="I133" i="36" s="1"/>
  <c r="E172" i="7"/>
  <c r="I140" i="36" s="1"/>
  <c r="E173" i="7"/>
  <c r="I243" i="36" s="1"/>
  <c r="E174" i="7"/>
  <c r="I20" i="36" s="1"/>
  <c r="E175" i="7"/>
  <c r="I91" i="36" s="1"/>
  <c r="E176" i="7"/>
  <c r="I236" i="36" s="1"/>
  <c r="E177" i="7"/>
  <c r="I64" i="36" s="1"/>
  <c r="E178" i="7"/>
  <c r="I96" i="36" s="1"/>
  <c r="E179" i="7"/>
  <c r="E180" i="7"/>
  <c r="I70" i="36" s="1"/>
  <c r="E181" i="7"/>
  <c r="I118" i="36" s="1"/>
  <c r="E182" i="7"/>
  <c r="I259" i="36" s="1"/>
  <c r="E183" i="7"/>
  <c r="I192" i="36" s="1"/>
  <c r="E184" i="7"/>
  <c r="I35" i="36" s="1"/>
  <c r="E185" i="7"/>
  <c r="I273" i="36" s="1"/>
  <c r="E186" i="7"/>
  <c r="I36" i="36" s="1"/>
  <c r="E187" i="7"/>
  <c r="I14" i="36" s="1"/>
  <c r="E188" i="7"/>
  <c r="I55" i="36" s="1"/>
  <c r="E189" i="7"/>
  <c r="I18" i="36" s="1"/>
  <c r="E190" i="7"/>
  <c r="I200" i="36" s="1"/>
  <c r="E191" i="7"/>
  <c r="I109" i="36" s="1"/>
  <c r="E192" i="7"/>
  <c r="I100" i="36" s="1"/>
  <c r="E193" i="7"/>
  <c r="I54" i="36" s="1"/>
  <c r="E194" i="7"/>
  <c r="I136" i="36" s="1"/>
  <c r="E195" i="7"/>
  <c r="E196" i="7"/>
  <c r="E197" i="7"/>
  <c r="I31" i="36" s="1"/>
  <c r="E198" i="7"/>
  <c r="E199" i="7"/>
  <c r="I62" i="36" s="1"/>
  <c r="E200" i="7"/>
  <c r="I297" i="36" s="1"/>
  <c r="E201" i="7"/>
  <c r="I174" i="36" s="1"/>
  <c r="E202" i="7"/>
  <c r="I266" i="36" s="1"/>
  <c r="E203" i="7"/>
  <c r="I184" i="36" s="1"/>
  <c r="E204" i="7"/>
  <c r="I256" i="36" s="1"/>
  <c r="E205" i="7"/>
  <c r="I72" i="36" s="1"/>
  <c r="E206" i="7"/>
  <c r="I276" i="36" s="1"/>
  <c r="E207" i="7"/>
  <c r="BC207" i="7" s="1"/>
  <c r="E208" i="7"/>
  <c r="I285" i="36" s="1"/>
  <c r="E209" i="7"/>
  <c r="I165" i="36" s="1"/>
  <c r="E210" i="7"/>
  <c r="I170" i="36" s="1"/>
  <c r="E211" i="7"/>
  <c r="I44" i="36" s="1"/>
  <c r="E212" i="7"/>
  <c r="I97" i="36" s="1"/>
  <c r="E213" i="7"/>
  <c r="I75" i="36" s="1"/>
  <c r="E214" i="7"/>
  <c r="I19" i="36" s="1"/>
  <c r="E215" i="7"/>
  <c r="I65" i="36" s="1"/>
  <c r="E216" i="7"/>
  <c r="I182" i="36" s="1"/>
  <c r="E217" i="7"/>
  <c r="BC217" i="7" s="1"/>
  <c r="E218" i="7"/>
  <c r="I141" i="36" s="1"/>
  <c r="E219" i="7"/>
  <c r="I153" i="36" s="1"/>
  <c r="E220" i="7"/>
  <c r="I154" i="36" s="1"/>
  <c r="E221" i="7"/>
  <c r="I74" i="36" s="1"/>
  <c r="E222" i="7"/>
  <c r="I294" i="36" s="1"/>
  <c r="E223" i="7"/>
  <c r="BC223" i="7" s="1"/>
  <c r="E224" i="7"/>
  <c r="I48" i="36" s="1"/>
  <c r="E225" i="7"/>
  <c r="I93" i="36" s="1"/>
  <c r="E226" i="7"/>
  <c r="I191" i="36" s="1"/>
  <c r="E227" i="7"/>
  <c r="I263" i="36" s="1"/>
  <c r="E228" i="7"/>
  <c r="I37" i="36" s="1"/>
  <c r="E229" i="7"/>
  <c r="I227" i="36" s="1"/>
  <c r="E230" i="7"/>
  <c r="I22" i="36" s="1"/>
  <c r="E231" i="7"/>
  <c r="I119" i="36" s="1"/>
  <c r="E232" i="7"/>
  <c r="I194" i="36" s="1"/>
  <c r="E233" i="7"/>
  <c r="I212" i="36" s="1"/>
  <c r="E234" i="7"/>
  <c r="I303" i="36" s="1"/>
  <c r="E235" i="7"/>
  <c r="I5" i="36" s="1"/>
  <c r="E236" i="7"/>
  <c r="I10" i="36" s="1"/>
  <c r="E237" i="7"/>
  <c r="I9" i="36" s="1"/>
  <c r="E238" i="7"/>
  <c r="I13" i="36" s="1"/>
  <c r="E239" i="7"/>
  <c r="I51" i="36" s="1"/>
  <c r="E240" i="7"/>
  <c r="I149" i="36" s="1"/>
  <c r="E241" i="7"/>
  <c r="I32" i="36" s="1"/>
  <c r="E242" i="7"/>
  <c r="I80" i="36" s="1"/>
  <c r="E243" i="7"/>
  <c r="I186" i="36" s="1"/>
  <c r="E244" i="7"/>
  <c r="I289" i="36" s="1"/>
  <c r="E245" i="7"/>
  <c r="I56" i="36" s="1"/>
  <c r="E246" i="7"/>
  <c r="I68" i="36" s="1"/>
  <c r="E247" i="7"/>
  <c r="I282" i="36" s="1"/>
  <c r="E248" i="7"/>
  <c r="I120" i="36" s="1"/>
  <c r="E249" i="7"/>
  <c r="I121" i="36" s="1"/>
  <c r="E250" i="7"/>
  <c r="I205" i="36" s="1"/>
  <c r="E251" i="7"/>
  <c r="I260" i="36" s="1"/>
  <c r="E252" i="7"/>
  <c r="I292" i="36" s="1"/>
  <c r="E253" i="7"/>
  <c r="I267" i="36" s="1"/>
  <c r="E254" i="7"/>
  <c r="I111" i="36" s="1"/>
  <c r="E255" i="7"/>
  <c r="I161" i="36" s="1"/>
  <c r="E256" i="7"/>
  <c r="I172" i="36" s="1"/>
  <c r="E257" i="7"/>
  <c r="I92" i="36" s="1"/>
  <c r="E258" i="7"/>
  <c r="I201" i="36" s="1"/>
  <c r="E259" i="7"/>
  <c r="I45" i="36" s="1"/>
  <c r="E260" i="7"/>
  <c r="I38" i="36" s="1"/>
  <c r="E261" i="7"/>
  <c r="I104" i="36" s="1"/>
  <c r="E262" i="7"/>
  <c r="I228" i="36" s="1"/>
  <c r="E263" i="7"/>
  <c r="I202" i="36" s="1"/>
  <c r="E264" i="7"/>
  <c r="I132" i="36" s="1"/>
  <c r="E265" i="7"/>
  <c r="I245" i="36" s="1"/>
  <c r="E266" i="7"/>
  <c r="I167" i="36" s="1"/>
  <c r="E267" i="7"/>
  <c r="I112" i="36" s="1"/>
  <c r="E268" i="7"/>
  <c r="I168" i="36" s="1"/>
  <c r="E269" i="7"/>
  <c r="I23" i="36" s="1"/>
  <c r="E270" i="7"/>
  <c r="I162" i="36" s="1"/>
  <c r="E271" i="7"/>
  <c r="I210" i="36" s="1"/>
  <c r="E272" i="7"/>
  <c r="I77" i="36" s="1"/>
  <c r="E273" i="7"/>
  <c r="I34" i="36" s="1"/>
  <c r="E274" i="7"/>
  <c r="I244" i="36" s="1"/>
  <c r="E275" i="7"/>
  <c r="I178" i="36" s="1"/>
  <c r="E276" i="7"/>
  <c r="I145" i="36" s="1"/>
  <c r="E277" i="7"/>
  <c r="I311" i="36" s="1"/>
  <c r="E278" i="7"/>
  <c r="I264" i="36" s="1"/>
  <c r="E279" i="7"/>
  <c r="I247" i="36" s="1"/>
  <c r="E280" i="7"/>
  <c r="I268" i="36" s="1"/>
  <c r="E281" i="7"/>
  <c r="I261" i="36" s="1"/>
  <c r="E282" i="7"/>
  <c r="I155" i="36" s="1"/>
  <c r="E283" i="7"/>
  <c r="I235" i="36" s="1"/>
  <c r="E284" i="7"/>
  <c r="E285" i="7"/>
  <c r="I59" i="36" s="1"/>
  <c r="E286" i="7"/>
  <c r="I163" i="36" s="1"/>
  <c r="E287" i="7"/>
  <c r="I206" i="36" s="1"/>
  <c r="E288" i="7"/>
  <c r="I207" i="36" s="1"/>
  <c r="E289" i="7"/>
  <c r="I229" i="36" s="1"/>
  <c r="E290" i="7"/>
  <c r="I159" i="36" s="1"/>
  <c r="E291" i="7"/>
  <c r="I238" i="36" s="1"/>
  <c r="E292" i="7"/>
  <c r="I251" i="36" s="1"/>
  <c r="E293" i="7"/>
  <c r="I262" i="36" s="1"/>
  <c r="E294" i="7"/>
  <c r="I183" i="36" s="1"/>
  <c r="E295" i="7"/>
  <c r="I230" i="36" s="1"/>
  <c r="E296" i="7"/>
  <c r="I57" i="36" s="1"/>
  <c r="E297" i="7"/>
  <c r="I150" i="36" s="1"/>
  <c r="E298" i="7"/>
  <c r="I69" i="36" s="1"/>
  <c r="E299" i="7"/>
  <c r="I130" i="36" s="1"/>
  <c r="E300" i="7"/>
  <c r="I275" i="36" s="1"/>
  <c r="E301" i="7"/>
  <c r="BC301" i="7" s="1"/>
  <c r="E302" i="7"/>
  <c r="I283" i="36" s="1"/>
  <c r="E303" i="7"/>
  <c r="I312" i="36" s="1"/>
  <c r="E304" i="7"/>
  <c r="I122" i="36" s="1"/>
  <c r="E305" i="7"/>
  <c r="I313" i="36" s="1"/>
  <c r="E306" i="7"/>
  <c r="E307" i="7"/>
  <c r="I123" i="36" s="1"/>
  <c r="E308" i="7"/>
  <c r="I88" i="36" s="1"/>
  <c r="E309" i="7"/>
  <c r="I124" i="36" s="1"/>
  <c r="E310" i="7"/>
  <c r="I125" i="36" s="1"/>
  <c r="E311" i="7"/>
  <c r="I126" i="36" s="1"/>
  <c r="E312" i="7"/>
  <c r="I16" i="36" s="1"/>
  <c r="E313" i="7"/>
  <c r="I4" i="36" s="1"/>
  <c r="E314" i="7"/>
  <c r="I296" i="36" s="1"/>
  <c r="E315" i="7"/>
  <c r="I203" i="36" s="1"/>
  <c r="E316" i="7"/>
  <c r="I94" i="36" s="1"/>
  <c r="E317" i="7"/>
  <c r="I157" i="36" s="1"/>
  <c r="E318" i="7"/>
  <c r="I180" i="36" s="1"/>
  <c r="E319" i="7"/>
  <c r="I195" i="36" s="1"/>
  <c r="E320" i="7"/>
  <c r="I196" i="36" s="1"/>
  <c r="E321" i="7"/>
  <c r="I314" i="36" s="1"/>
  <c r="E322" i="7"/>
  <c r="I85" i="36" s="1"/>
  <c r="E323" i="7"/>
  <c r="I86" i="36" s="1"/>
  <c r="E324" i="7"/>
  <c r="I87" i="36" s="1"/>
  <c r="E325" i="7"/>
  <c r="I89" i="36" s="1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5" i="40" s="1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9" i="17" s="1"/>
  <c r="B158" i="7"/>
  <c r="B159" i="7"/>
  <c r="B156" i="40" s="1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2" i="40" s="1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74" i="40" s="1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M308" i="36" l="1"/>
  <c r="N308" i="36" s="1"/>
  <c r="I63" i="36"/>
  <c r="I11" i="36"/>
  <c r="I60" i="36"/>
  <c r="I139" i="36"/>
  <c r="I137" i="36"/>
  <c r="I158" i="36"/>
  <c r="I286" i="36"/>
  <c r="I240" i="36"/>
  <c r="I284" i="36"/>
  <c r="I148" i="36"/>
  <c r="I43" i="36"/>
  <c r="E305" i="18"/>
  <c r="O305" i="18" s="1"/>
  <c r="E286" i="18"/>
  <c r="O286" i="18" s="1"/>
  <c r="E282" i="18"/>
  <c r="O282" i="18" s="1"/>
  <c r="E271" i="18"/>
  <c r="O271" i="18" s="1"/>
  <c r="E263" i="18"/>
  <c r="O263" i="18" s="1"/>
  <c r="E259" i="18"/>
  <c r="O259" i="18" s="1"/>
  <c r="E243" i="18"/>
  <c r="O243" i="18" s="1"/>
  <c r="E231" i="18"/>
  <c r="O231" i="18" s="1"/>
  <c r="E227" i="18"/>
  <c r="O227" i="18" s="1"/>
  <c r="E167" i="18"/>
  <c r="O167" i="18" s="1"/>
  <c r="E159" i="18"/>
  <c r="O159" i="18" s="1"/>
  <c r="E145" i="18"/>
  <c r="O145" i="18" s="1"/>
  <c r="E141" i="18"/>
  <c r="O141" i="18" s="1"/>
  <c r="E134" i="18"/>
  <c r="O134" i="18" s="1"/>
  <c r="E78" i="18"/>
  <c r="O78" i="18" s="1"/>
  <c r="E53" i="18"/>
  <c r="O53" i="18" s="1"/>
  <c r="E41" i="18"/>
  <c r="O41" i="18" s="1"/>
  <c r="E26" i="18"/>
  <c r="O26" i="18" s="1"/>
  <c r="E14" i="18"/>
  <c r="O14" i="18" s="1"/>
  <c r="E304" i="18"/>
  <c r="O304" i="18" s="1"/>
  <c r="E296" i="18"/>
  <c r="O296" i="18" s="1"/>
  <c r="E285" i="18"/>
  <c r="O285" i="18" s="1"/>
  <c r="E266" i="18"/>
  <c r="O266" i="18" s="1"/>
  <c r="E258" i="18"/>
  <c r="O258" i="18" s="1"/>
  <c r="E246" i="18"/>
  <c r="O246" i="18" s="1"/>
  <c r="E230" i="18"/>
  <c r="O230" i="18" s="1"/>
  <c r="E226" i="18"/>
  <c r="O226" i="18" s="1"/>
  <c r="E174" i="18"/>
  <c r="O174" i="18" s="1"/>
  <c r="E166" i="18"/>
  <c r="O166" i="18" s="1"/>
  <c r="E144" i="18"/>
  <c r="O144" i="18" s="1"/>
  <c r="E140" i="18"/>
  <c r="O140" i="18" s="1"/>
  <c r="E121" i="18"/>
  <c r="O121" i="18" s="1"/>
  <c r="E117" i="18"/>
  <c r="O117" i="18" s="1"/>
  <c r="E105" i="18"/>
  <c r="O105" i="18" s="1"/>
  <c r="E57" i="18"/>
  <c r="O57" i="18" s="1"/>
  <c r="E52" i="18"/>
  <c r="O52" i="18" s="1"/>
  <c r="E25" i="18"/>
  <c r="O25" i="18" s="1"/>
  <c r="E17" i="18"/>
  <c r="O17" i="18" s="1"/>
  <c r="E9" i="18"/>
  <c r="O9" i="18" s="1"/>
  <c r="E303" i="18"/>
  <c r="O303" i="18" s="1"/>
  <c r="E288" i="18"/>
  <c r="O288" i="18" s="1"/>
  <c r="E273" i="18"/>
  <c r="O273" i="18" s="1"/>
  <c r="E265" i="18"/>
  <c r="O265" i="18" s="1"/>
  <c r="E261" i="18"/>
  <c r="O261" i="18" s="1"/>
  <c r="E253" i="18"/>
  <c r="O253" i="18" s="1"/>
  <c r="E233" i="18"/>
  <c r="O233" i="18" s="1"/>
  <c r="E196" i="18"/>
  <c r="O196" i="18" s="1"/>
  <c r="E169" i="18"/>
  <c r="O169" i="18" s="1"/>
  <c r="E165" i="18"/>
  <c r="O165" i="18" s="1"/>
  <c r="E155" i="18"/>
  <c r="O155" i="18" s="1"/>
  <c r="E143" i="18"/>
  <c r="O143" i="18" s="1"/>
  <c r="E139" i="18"/>
  <c r="O139" i="18" s="1"/>
  <c r="E112" i="18"/>
  <c r="O112" i="18" s="1"/>
  <c r="E100" i="18"/>
  <c r="O100" i="18" s="1"/>
  <c r="E55" i="18"/>
  <c r="O55" i="18" s="1"/>
  <c r="E47" i="18"/>
  <c r="O47" i="18" s="1"/>
  <c r="E35" i="18"/>
  <c r="O35" i="18" s="1"/>
  <c r="E32" i="18"/>
  <c r="O32" i="18" s="1"/>
  <c r="E16" i="18"/>
  <c r="O16" i="18" s="1"/>
  <c r="E283" i="18"/>
  <c r="O283" i="18" s="1"/>
  <c r="E260" i="18"/>
  <c r="O260" i="18" s="1"/>
  <c r="E244" i="18"/>
  <c r="O244" i="18" s="1"/>
  <c r="E232" i="18"/>
  <c r="O232" i="18" s="1"/>
  <c r="E224" i="18"/>
  <c r="O224" i="18" s="1"/>
  <c r="E213" i="18"/>
  <c r="O213" i="18" s="1"/>
  <c r="E168" i="18"/>
  <c r="O168" i="18" s="1"/>
  <c r="E154" i="18"/>
  <c r="O154" i="18" s="1"/>
  <c r="E138" i="18"/>
  <c r="O138" i="18" s="1"/>
  <c r="E119" i="18"/>
  <c r="O119" i="18" s="1"/>
  <c r="E111" i="18"/>
  <c r="O111" i="18" s="1"/>
  <c r="E99" i="18"/>
  <c r="O99" i="18" s="1"/>
  <c r="E42" i="18"/>
  <c r="O42" i="18" s="1"/>
  <c r="E38" i="18"/>
  <c r="O38" i="18" s="1"/>
  <c r="B308" i="40"/>
  <c r="B309" i="18"/>
  <c r="B292" i="40"/>
  <c r="B293" i="18"/>
  <c r="B282" i="40"/>
  <c r="B282" i="18"/>
  <c r="B266" i="40"/>
  <c r="B267" i="18"/>
  <c r="B250" i="40"/>
  <c r="B251" i="18"/>
  <c r="B246" i="40"/>
  <c r="B247" i="18"/>
  <c r="B243" i="40"/>
  <c r="B243" i="18"/>
  <c r="B239" i="40"/>
  <c r="B239" i="18"/>
  <c r="B235" i="40"/>
  <c r="B235" i="18"/>
  <c r="B231" i="40"/>
  <c r="B231" i="18"/>
  <c r="B227" i="40"/>
  <c r="B227" i="18"/>
  <c r="B224" i="40"/>
  <c r="B223" i="18"/>
  <c r="B220" i="40"/>
  <c r="B219" i="18"/>
  <c r="B216" i="40"/>
  <c r="B215" i="18"/>
  <c r="B213" i="40"/>
  <c r="B212" i="18"/>
  <c r="B210" i="40"/>
  <c r="B209" i="18"/>
  <c r="B206" i="40"/>
  <c r="B205" i="18"/>
  <c r="B202" i="40"/>
  <c r="B201" i="18"/>
  <c r="B199" i="40"/>
  <c r="B199" i="18"/>
  <c r="B195" i="40"/>
  <c r="B194" i="18"/>
  <c r="B191" i="40"/>
  <c r="B190" i="18"/>
  <c r="B187" i="40"/>
  <c r="B186" i="18"/>
  <c r="B183" i="40"/>
  <c r="B182" i="18"/>
  <c r="B179" i="40"/>
  <c r="B179" i="18"/>
  <c r="B175" i="40"/>
  <c r="B175" i="18"/>
  <c r="B172" i="40"/>
  <c r="B171" i="18"/>
  <c r="B168" i="40"/>
  <c r="B167" i="18"/>
  <c r="B164" i="40"/>
  <c r="B163" i="18"/>
  <c r="B160" i="40"/>
  <c r="B159" i="18"/>
  <c r="B157" i="40"/>
  <c r="B156" i="18"/>
  <c r="B153" i="40"/>
  <c r="B153" i="18"/>
  <c r="B149" i="40"/>
  <c r="B149" i="18"/>
  <c r="B145" i="40"/>
  <c r="B145" i="18"/>
  <c r="B141" i="40"/>
  <c r="B141" i="18"/>
  <c r="B134" i="40"/>
  <c r="B134" i="18"/>
  <c r="B130" i="40"/>
  <c r="B130" i="18"/>
  <c r="B126" i="40"/>
  <c r="B126" i="18"/>
  <c r="B122" i="40"/>
  <c r="B122" i="18"/>
  <c r="B119" i="40"/>
  <c r="B118" i="18"/>
  <c r="B115" i="40"/>
  <c r="B114" i="18"/>
  <c r="B111" i="40"/>
  <c r="B110" i="18"/>
  <c r="B107" i="40"/>
  <c r="B106" i="18"/>
  <c r="B103" i="40"/>
  <c r="B102" i="18"/>
  <c r="B99" i="40"/>
  <c r="B98" i="18"/>
  <c r="B95" i="40"/>
  <c r="B94" i="18"/>
  <c r="B91" i="40"/>
  <c r="B90" i="18"/>
  <c r="B87" i="40"/>
  <c r="B86" i="18"/>
  <c r="B84" i="40"/>
  <c r="B83" i="18"/>
  <c r="B80" i="40"/>
  <c r="B79" i="18"/>
  <c r="B76" i="40"/>
  <c r="B75" i="18"/>
  <c r="B72" i="40"/>
  <c r="B71" i="18"/>
  <c r="B68" i="40"/>
  <c r="B67" i="18"/>
  <c r="B64" i="40"/>
  <c r="B63" i="18"/>
  <c r="B60" i="40"/>
  <c r="B59" i="18"/>
  <c r="B57" i="40"/>
  <c r="B54" i="18"/>
  <c r="B53" i="40"/>
  <c r="B50" i="18"/>
  <c r="B49" i="40"/>
  <c r="B46" i="18"/>
  <c r="B45" i="40"/>
  <c r="B42" i="18"/>
  <c r="B41" i="40"/>
  <c r="B38" i="18"/>
  <c r="B37" i="40"/>
  <c r="B34" i="18"/>
  <c r="B34" i="40"/>
  <c r="B31" i="18"/>
  <c r="B30" i="40"/>
  <c r="B27" i="18"/>
  <c r="B26" i="40"/>
  <c r="B23" i="18"/>
  <c r="B22" i="40"/>
  <c r="B19" i="18"/>
  <c r="B18" i="40"/>
  <c r="B15" i="18"/>
  <c r="B14" i="40"/>
  <c r="B11" i="18"/>
  <c r="H86" i="36"/>
  <c r="E312" i="18"/>
  <c r="O312" i="18" s="1"/>
  <c r="H195" i="36"/>
  <c r="E308" i="18"/>
  <c r="O308" i="18" s="1"/>
  <c r="H126" i="36"/>
  <c r="E300" i="18"/>
  <c r="O300" i="18" s="1"/>
  <c r="H312" i="36"/>
  <c r="E292" i="18"/>
  <c r="O292" i="18" s="1"/>
  <c r="H130" i="36"/>
  <c r="E289" i="18"/>
  <c r="O289" i="18" s="1"/>
  <c r="H238" i="36"/>
  <c r="E281" i="18"/>
  <c r="O281" i="18" s="1"/>
  <c r="H206" i="36"/>
  <c r="E277" i="18"/>
  <c r="O277" i="18" s="1"/>
  <c r="H235" i="36"/>
  <c r="E274" i="18"/>
  <c r="O274" i="18" s="1"/>
  <c r="H247" i="36"/>
  <c r="E270" i="18"/>
  <c r="O270" i="18" s="1"/>
  <c r="H210" i="36"/>
  <c r="E262" i="18"/>
  <c r="O262" i="18" s="1"/>
  <c r="H202" i="36"/>
  <c r="E254" i="18"/>
  <c r="O254" i="18" s="1"/>
  <c r="H45" i="36"/>
  <c r="E250" i="18"/>
  <c r="O250" i="18" s="1"/>
  <c r="H260" i="36"/>
  <c r="E242" i="18"/>
  <c r="O242" i="18" s="1"/>
  <c r="H282" i="36"/>
  <c r="E238" i="18"/>
  <c r="O238" i="18" s="1"/>
  <c r="H186" i="36"/>
  <c r="E234" i="18"/>
  <c r="O234" i="18" s="1"/>
  <c r="H119" i="36"/>
  <c r="E222" i="18"/>
  <c r="O222" i="18" s="1"/>
  <c r="H263" i="36"/>
  <c r="E218" i="18"/>
  <c r="O218" i="18" s="1"/>
  <c r="H153" i="36"/>
  <c r="E211" i="18"/>
  <c r="O211" i="18" s="1"/>
  <c r="H65" i="36"/>
  <c r="E208" i="18"/>
  <c r="O208" i="18" s="1"/>
  <c r="H44" i="36"/>
  <c r="E204" i="18"/>
  <c r="O204" i="18" s="1"/>
  <c r="H184" i="36"/>
  <c r="E198" i="18"/>
  <c r="O198" i="18" s="1"/>
  <c r="H62" i="36"/>
  <c r="E193" i="18"/>
  <c r="O193" i="18" s="1"/>
  <c r="H139" i="36"/>
  <c r="E189" i="18"/>
  <c r="O189" i="18" s="1"/>
  <c r="H109" i="36"/>
  <c r="E185" i="18"/>
  <c r="O185" i="18" s="1"/>
  <c r="H192" i="36"/>
  <c r="E178" i="18"/>
  <c r="O178" i="18" s="1"/>
  <c r="H91" i="36"/>
  <c r="E170" i="18"/>
  <c r="O170" i="18" s="1"/>
  <c r="H90" i="36"/>
  <c r="E162" i="18"/>
  <c r="O162" i="18" s="1"/>
  <c r="H208" i="36"/>
  <c r="E158" i="18"/>
  <c r="O158" i="18" s="1"/>
  <c r="T155" i="7"/>
  <c r="E152" i="18"/>
  <c r="O152" i="18" s="1"/>
  <c r="H158" i="36"/>
  <c r="E148" i="18"/>
  <c r="O148" i="18" s="1"/>
  <c r="H187" i="36"/>
  <c r="E137" i="18"/>
  <c r="O137" i="18" s="1"/>
  <c r="H310" i="36"/>
  <c r="E133" i="18"/>
  <c r="O133" i="18" s="1"/>
  <c r="H21" i="36"/>
  <c r="E129" i="18"/>
  <c r="O129" i="18" s="1"/>
  <c r="H106" i="36"/>
  <c r="E125" i="18"/>
  <c r="O125" i="18" s="1"/>
  <c r="H270" i="36"/>
  <c r="E113" i="18"/>
  <c r="O113" i="18" s="1"/>
  <c r="H278" i="36"/>
  <c r="E109" i="18"/>
  <c r="O109" i="18" s="1"/>
  <c r="H217" i="36"/>
  <c r="E101" i="18"/>
  <c r="O101" i="18" s="1"/>
  <c r="H274" i="36"/>
  <c r="E97" i="18"/>
  <c r="O97" i="18" s="1"/>
  <c r="H286" i="36"/>
  <c r="E93" i="18"/>
  <c r="O93" i="18" s="1"/>
  <c r="H83" i="36"/>
  <c r="E89" i="18"/>
  <c r="O89" i="18" s="1"/>
  <c r="H128" i="36"/>
  <c r="E85" i="18"/>
  <c r="O85" i="18" s="1"/>
  <c r="H46" i="36"/>
  <c r="E82" i="18"/>
  <c r="O82" i="18" s="1"/>
  <c r="H113" i="36"/>
  <c r="E74" i="18"/>
  <c r="O74" i="18" s="1"/>
  <c r="H214" i="36"/>
  <c r="E70" i="18"/>
  <c r="O70" i="18" s="1"/>
  <c r="H242" i="36"/>
  <c r="E66" i="18"/>
  <c r="O66" i="18" s="1"/>
  <c r="H135" i="36"/>
  <c r="E62" i="18"/>
  <c r="O62" i="18" s="1"/>
  <c r="H299" i="36"/>
  <c r="E58" i="18"/>
  <c r="O58" i="18" s="1"/>
  <c r="T48" i="7"/>
  <c r="E49" i="18"/>
  <c r="O49" i="18" s="1"/>
  <c r="H254" i="36"/>
  <c r="E45" i="18"/>
  <c r="O45" i="18" s="1"/>
  <c r="H107" i="36"/>
  <c r="E37" i="18"/>
  <c r="O37" i="18" s="1"/>
  <c r="H103" i="36"/>
  <c r="E33" i="18"/>
  <c r="O33" i="18" s="1"/>
  <c r="H193" i="36"/>
  <c r="E30" i="18"/>
  <c r="O30" i="18" s="1"/>
  <c r="T20" i="7"/>
  <c r="E22" i="18"/>
  <c r="O22" i="18" s="1"/>
  <c r="H76" i="36"/>
  <c r="E18" i="18"/>
  <c r="O18" i="18" s="1"/>
  <c r="H71" i="36"/>
  <c r="E10" i="18"/>
  <c r="O10" i="18" s="1"/>
  <c r="B304" i="40"/>
  <c r="B305" i="18"/>
  <c r="B289" i="40"/>
  <c r="B290" i="18"/>
  <c r="B278" i="40"/>
  <c r="B278" i="18"/>
  <c r="B262" i="40"/>
  <c r="B263" i="18"/>
  <c r="B311" i="40"/>
  <c r="B312" i="18"/>
  <c r="B299" i="40"/>
  <c r="B300" i="18"/>
  <c r="B295" i="40"/>
  <c r="B296" i="18"/>
  <c r="B291" i="40"/>
  <c r="B292" i="18"/>
  <c r="B288" i="40"/>
  <c r="B289" i="18"/>
  <c r="B285" i="40"/>
  <c r="B285" i="18"/>
  <c r="B281" i="40"/>
  <c r="B281" i="18"/>
  <c r="B277" i="40"/>
  <c r="B277" i="18"/>
  <c r="B273" i="40"/>
  <c r="B274" i="18"/>
  <c r="B269" i="40"/>
  <c r="B270" i="18"/>
  <c r="B265" i="40"/>
  <c r="B266" i="18"/>
  <c r="B261" i="40"/>
  <c r="B262" i="18"/>
  <c r="B257" i="40"/>
  <c r="B258" i="18"/>
  <c r="B253" i="40"/>
  <c r="B254" i="18"/>
  <c r="B249" i="40"/>
  <c r="B250" i="18"/>
  <c r="B7" i="40"/>
  <c r="B246" i="18"/>
  <c r="B242" i="40"/>
  <c r="B242" i="18"/>
  <c r="B238" i="40"/>
  <c r="B238" i="18"/>
  <c r="B234" i="40"/>
  <c r="B234" i="18"/>
  <c r="B230" i="40"/>
  <c r="B230" i="18"/>
  <c r="B10" i="40"/>
  <c r="B226" i="18"/>
  <c r="B223" i="40"/>
  <c r="B222" i="18"/>
  <c r="B219" i="40"/>
  <c r="B218" i="18"/>
  <c r="B212" i="40"/>
  <c r="B211" i="18"/>
  <c r="B209" i="40"/>
  <c r="B208" i="18"/>
  <c r="B205" i="40"/>
  <c r="B204" i="18"/>
  <c r="B198" i="40"/>
  <c r="B198" i="18"/>
  <c r="B194" i="40"/>
  <c r="B193" i="18"/>
  <c r="B190" i="40"/>
  <c r="B189" i="18"/>
  <c r="B186" i="40"/>
  <c r="B185" i="18"/>
  <c r="B178" i="40"/>
  <c r="B178" i="18"/>
  <c r="B9" i="40"/>
  <c r="B174" i="18"/>
  <c r="B171" i="40"/>
  <c r="B170" i="18"/>
  <c r="B167" i="40"/>
  <c r="B166" i="18"/>
  <c r="B163" i="40"/>
  <c r="B162" i="18"/>
  <c r="B159" i="40"/>
  <c r="B158" i="18"/>
  <c r="B152" i="40"/>
  <c r="B152" i="18"/>
  <c r="B148" i="40"/>
  <c r="B148" i="18"/>
  <c r="B144" i="40"/>
  <c r="B144" i="18"/>
  <c r="B140" i="40"/>
  <c r="B140" i="18"/>
  <c r="B137" i="40"/>
  <c r="B137" i="18"/>
  <c r="B133" i="40"/>
  <c r="B133" i="18"/>
  <c r="B129" i="40"/>
  <c r="B129" i="18"/>
  <c r="B125" i="40"/>
  <c r="B125" i="18"/>
  <c r="B6" i="40"/>
  <c r="B121" i="18"/>
  <c r="B118" i="40"/>
  <c r="B117" i="18"/>
  <c r="B114" i="40"/>
  <c r="B113" i="18"/>
  <c r="B110" i="40"/>
  <c r="B109" i="18"/>
  <c r="B106" i="40"/>
  <c r="B105" i="18"/>
  <c r="B102" i="40"/>
  <c r="B101" i="18"/>
  <c r="B98" i="40"/>
  <c r="B97" i="18"/>
  <c r="B94" i="40"/>
  <c r="B93" i="18"/>
  <c r="B90" i="40"/>
  <c r="B89" i="18"/>
  <c r="B86" i="40"/>
  <c r="B85" i="18"/>
  <c r="B83" i="40"/>
  <c r="B82" i="18"/>
  <c r="B79" i="40"/>
  <c r="B78" i="18"/>
  <c r="B75" i="40"/>
  <c r="B74" i="18"/>
  <c r="B71" i="40"/>
  <c r="B70" i="18"/>
  <c r="B67" i="40"/>
  <c r="B66" i="18"/>
  <c r="B63" i="40"/>
  <c r="B62" i="18"/>
  <c r="B59" i="40"/>
  <c r="B58" i="18"/>
  <c r="B56" i="40"/>
  <c r="B53" i="18"/>
  <c r="B52" i="40"/>
  <c r="B49" i="18"/>
  <c r="B48" i="40"/>
  <c r="B45" i="18"/>
  <c r="B44" i="40"/>
  <c r="B41" i="18"/>
  <c r="B40" i="40"/>
  <c r="B37" i="18"/>
  <c r="B36" i="40"/>
  <c r="B33" i="18"/>
  <c r="B33" i="40"/>
  <c r="B30" i="18"/>
  <c r="B29" i="40"/>
  <c r="B26" i="18"/>
  <c r="B25" i="40"/>
  <c r="B22" i="18"/>
  <c r="B21" i="40"/>
  <c r="B18" i="18"/>
  <c r="B17" i="40"/>
  <c r="B14" i="18"/>
  <c r="B13" i="40"/>
  <c r="B10" i="18"/>
  <c r="H85" i="36"/>
  <c r="E311" i="18"/>
  <c r="O311" i="18" s="1"/>
  <c r="H180" i="36"/>
  <c r="E307" i="18"/>
  <c r="O307" i="18" s="1"/>
  <c r="H125" i="36"/>
  <c r="E299" i="18"/>
  <c r="O299" i="18" s="1"/>
  <c r="H240" i="36"/>
  <c r="E295" i="18"/>
  <c r="O295" i="18" s="1"/>
  <c r="H283" i="36"/>
  <c r="E291" i="18"/>
  <c r="O291" i="18" s="1"/>
  <c r="H183" i="36"/>
  <c r="E284" i="18"/>
  <c r="O284" i="18" s="1"/>
  <c r="H159" i="36"/>
  <c r="E280" i="18"/>
  <c r="O280" i="18" s="1"/>
  <c r="H163" i="36"/>
  <c r="E276" i="18"/>
  <c r="O276" i="18" s="1"/>
  <c r="H264" i="36"/>
  <c r="E269" i="18"/>
  <c r="O269" i="18" s="1"/>
  <c r="T266" i="7"/>
  <c r="E257" i="18"/>
  <c r="O257" i="18" s="1"/>
  <c r="H201" i="36"/>
  <c r="E249" i="18"/>
  <c r="O249" i="18" s="1"/>
  <c r="H111" i="36"/>
  <c r="E245" i="18"/>
  <c r="O245" i="18" s="1"/>
  <c r="T250" i="7"/>
  <c r="E241" i="18"/>
  <c r="O241" i="18" s="1"/>
  <c r="H68" i="36"/>
  <c r="E237" i="18"/>
  <c r="O237" i="18" s="1"/>
  <c r="H13" i="36"/>
  <c r="E229" i="18"/>
  <c r="O229" i="18" s="1"/>
  <c r="H303" i="36"/>
  <c r="E225" i="18"/>
  <c r="O225" i="18" s="1"/>
  <c r="H22" i="36"/>
  <c r="E221" i="18"/>
  <c r="O221" i="18" s="1"/>
  <c r="H191" i="36"/>
  <c r="E217" i="18"/>
  <c r="O217" i="18" s="1"/>
  <c r="H294" i="36"/>
  <c r="E214" i="18"/>
  <c r="O214" i="18" s="1"/>
  <c r="H141" i="36"/>
  <c r="E210" i="18"/>
  <c r="O210" i="18" s="1"/>
  <c r="H19" i="36"/>
  <c r="E207" i="18"/>
  <c r="O207" i="18" s="1"/>
  <c r="H170" i="36"/>
  <c r="E203" i="18"/>
  <c r="O203" i="18" s="1"/>
  <c r="H276" i="36"/>
  <c r="E197" i="18"/>
  <c r="O197" i="18" s="1"/>
  <c r="H284" i="36"/>
  <c r="E192" i="18"/>
  <c r="O192" i="18" s="1"/>
  <c r="H136" i="36"/>
  <c r="E188" i="18"/>
  <c r="O188" i="18" s="1"/>
  <c r="H200" i="36"/>
  <c r="E184" i="18"/>
  <c r="O184" i="18" s="1"/>
  <c r="H36" i="36"/>
  <c r="E181" i="18"/>
  <c r="O181" i="18" s="1"/>
  <c r="H259" i="36"/>
  <c r="E177" i="18"/>
  <c r="O177" i="18" s="1"/>
  <c r="H96" i="36"/>
  <c r="E173" i="18"/>
  <c r="O173" i="18" s="1"/>
  <c r="H33" i="36"/>
  <c r="E161" i="18"/>
  <c r="O161" i="18" s="1"/>
  <c r="H305" i="36"/>
  <c r="E157" i="18"/>
  <c r="O157" i="18" s="1"/>
  <c r="H28" i="36"/>
  <c r="E151" i="18"/>
  <c r="O151" i="18" s="1"/>
  <c r="H188" i="36"/>
  <c r="E147" i="18"/>
  <c r="O147" i="18" s="1"/>
  <c r="H224" i="36"/>
  <c r="E136" i="18"/>
  <c r="O136" i="18" s="1"/>
  <c r="H279" i="36"/>
  <c r="E132" i="18"/>
  <c r="O132" i="18" s="1"/>
  <c r="H246" i="36"/>
  <c r="E128" i="18"/>
  <c r="O128" i="18" s="1"/>
  <c r="H40" i="36"/>
  <c r="E124" i="18"/>
  <c r="O124" i="18" s="1"/>
  <c r="H105" i="36"/>
  <c r="E120" i="18"/>
  <c r="O120" i="18" s="1"/>
  <c r="H58" i="36"/>
  <c r="E116" i="18"/>
  <c r="O116" i="18" s="1"/>
  <c r="H223" i="36"/>
  <c r="E108" i="18"/>
  <c r="O108" i="18" s="1"/>
  <c r="H220" i="36"/>
  <c r="E104" i="18"/>
  <c r="O104" i="18" s="1"/>
  <c r="H176" i="36"/>
  <c r="E96" i="18"/>
  <c r="O96" i="18" s="1"/>
  <c r="H309" i="36"/>
  <c r="E92" i="18"/>
  <c r="O92" i="18" s="1"/>
  <c r="H257" i="36"/>
  <c r="E88" i="18"/>
  <c r="O88" i="18" s="1"/>
  <c r="H53" i="36"/>
  <c r="E84" i="18"/>
  <c r="O84" i="18" s="1"/>
  <c r="H79" i="36"/>
  <c r="E81" i="18"/>
  <c r="O81" i="18" s="1"/>
  <c r="H204" i="36"/>
  <c r="E77" i="18"/>
  <c r="O77" i="18" s="1"/>
  <c r="H209" i="36"/>
  <c r="E73" i="18"/>
  <c r="O73" i="18" s="1"/>
  <c r="H50" i="36"/>
  <c r="E69" i="18"/>
  <c r="O69" i="18" s="1"/>
  <c r="H233" i="36"/>
  <c r="E65" i="18"/>
  <c r="O65" i="18" s="1"/>
  <c r="H306" i="36"/>
  <c r="E61" i="18"/>
  <c r="O61" i="18" s="1"/>
  <c r="H304" i="36"/>
  <c r="E48" i="18"/>
  <c r="O48" i="18" s="1"/>
  <c r="H265" i="36"/>
  <c r="E44" i="18"/>
  <c r="O44" i="18" s="1"/>
  <c r="H24" i="36"/>
  <c r="E40" i="18"/>
  <c r="O40" i="18" s="1"/>
  <c r="H307" i="36"/>
  <c r="E36" i="18"/>
  <c r="O36" i="18" s="1"/>
  <c r="H127" i="36"/>
  <c r="E29" i="18"/>
  <c r="O29" i="18" s="1"/>
  <c r="T19" i="7"/>
  <c r="E21" i="18"/>
  <c r="O21" i="18" s="1"/>
  <c r="H114" i="36"/>
  <c r="E13" i="18"/>
  <c r="O13" i="18" s="1"/>
  <c r="B296" i="40"/>
  <c r="B297" i="18"/>
  <c r="B286" i="40"/>
  <c r="B286" i="18"/>
  <c r="B270" i="40"/>
  <c r="B271" i="18"/>
  <c r="B254" i="40"/>
  <c r="B255" i="18"/>
  <c r="B303" i="40"/>
  <c r="B304" i="18"/>
  <c r="B306" i="40"/>
  <c r="B307" i="18"/>
  <c r="B298" i="40"/>
  <c r="B299" i="18"/>
  <c r="B294" i="40"/>
  <c r="B295" i="18"/>
  <c r="B290" i="40"/>
  <c r="B291" i="18"/>
  <c r="B8" i="40"/>
  <c r="B288" i="18"/>
  <c r="B284" i="40"/>
  <c r="B284" i="18"/>
  <c r="B280" i="40"/>
  <c r="B280" i="18"/>
  <c r="B276" i="40"/>
  <c r="B276" i="18"/>
  <c r="B272" i="40"/>
  <c r="B273" i="18"/>
  <c r="B268" i="40"/>
  <c r="B269" i="18"/>
  <c r="B264" i="40"/>
  <c r="B265" i="18"/>
  <c r="B260" i="40"/>
  <c r="B261" i="18"/>
  <c r="B256" i="40"/>
  <c r="B257" i="18"/>
  <c r="B252" i="40"/>
  <c r="B253" i="18"/>
  <c r="B248" i="40"/>
  <c r="B249" i="18"/>
  <c r="B245" i="40"/>
  <c r="B245" i="18"/>
  <c r="B241" i="40"/>
  <c r="B241" i="18"/>
  <c r="B237" i="40"/>
  <c r="B237" i="18"/>
  <c r="B233" i="40"/>
  <c r="B233" i="18"/>
  <c r="B229" i="40"/>
  <c r="B229" i="18"/>
  <c r="B226" i="40"/>
  <c r="B225" i="18"/>
  <c r="B222" i="40"/>
  <c r="B221" i="18"/>
  <c r="B218" i="40"/>
  <c r="B217" i="18"/>
  <c r="B215" i="40"/>
  <c r="B214" i="18"/>
  <c r="B211" i="40"/>
  <c r="B210" i="18"/>
  <c r="B208" i="40"/>
  <c r="B207" i="18"/>
  <c r="B204" i="40"/>
  <c r="B203" i="18"/>
  <c r="B201" i="40"/>
  <c r="B197" i="18"/>
  <c r="B197" i="40"/>
  <c r="B196" i="18"/>
  <c r="B193" i="40"/>
  <c r="B192" i="18"/>
  <c r="B189" i="40"/>
  <c r="B188" i="18"/>
  <c r="B185" i="40"/>
  <c r="B184" i="18"/>
  <c r="B181" i="40"/>
  <c r="B181" i="18"/>
  <c r="B177" i="40"/>
  <c r="B177" i="18"/>
  <c r="B174" i="40"/>
  <c r="B173" i="18"/>
  <c r="B170" i="40"/>
  <c r="B169" i="18"/>
  <c r="B166" i="40"/>
  <c r="B165" i="18"/>
  <c r="B162" i="40"/>
  <c r="B161" i="18"/>
  <c r="B158" i="40"/>
  <c r="B157" i="18"/>
  <c r="B155" i="40"/>
  <c r="B155" i="18"/>
  <c r="B151" i="40"/>
  <c r="B151" i="18"/>
  <c r="B147" i="40"/>
  <c r="B147" i="18"/>
  <c r="B143" i="40"/>
  <c r="B143" i="18"/>
  <c r="B139" i="40"/>
  <c r="B139" i="18"/>
  <c r="B136" i="40"/>
  <c r="B136" i="18"/>
  <c r="B132" i="40"/>
  <c r="B132" i="18"/>
  <c r="B128" i="40"/>
  <c r="B128" i="18"/>
  <c r="B124" i="40"/>
  <c r="B124" i="18"/>
  <c r="B121" i="40"/>
  <c r="B120" i="18"/>
  <c r="B117" i="40"/>
  <c r="B116" i="18"/>
  <c r="B113" i="40"/>
  <c r="B112" i="18"/>
  <c r="B109" i="40"/>
  <c r="B108" i="18"/>
  <c r="B105" i="40"/>
  <c r="B104" i="18"/>
  <c r="B101" i="40"/>
  <c r="B100" i="18"/>
  <c r="B97" i="40"/>
  <c r="B96" i="18"/>
  <c r="B93" i="40"/>
  <c r="B92" i="18"/>
  <c r="B89" i="40"/>
  <c r="B88" i="18"/>
  <c r="B85" i="40"/>
  <c r="B84" i="18"/>
  <c r="B82" i="40"/>
  <c r="B81" i="18"/>
  <c r="B78" i="40"/>
  <c r="B77" i="18"/>
  <c r="B74" i="40"/>
  <c r="B73" i="18"/>
  <c r="B70" i="40"/>
  <c r="B69" i="18"/>
  <c r="B66" i="40"/>
  <c r="B65" i="18"/>
  <c r="B62" i="40"/>
  <c r="B61" i="18"/>
  <c r="B58" i="40"/>
  <c r="B57" i="18"/>
  <c r="B55" i="40"/>
  <c r="B52" i="18"/>
  <c r="B51" i="40"/>
  <c r="B48" i="18"/>
  <c r="B47" i="40"/>
  <c r="B44" i="18"/>
  <c r="B43" i="40"/>
  <c r="B40" i="18"/>
  <c r="B39" i="40"/>
  <c r="B36" i="18"/>
  <c r="B32" i="40"/>
  <c r="B29" i="18"/>
  <c r="B28" i="40"/>
  <c r="B25" i="18"/>
  <c r="B24" i="40"/>
  <c r="B21" i="18"/>
  <c r="B20" i="40"/>
  <c r="B17" i="18"/>
  <c r="B16" i="40"/>
  <c r="B13" i="18"/>
  <c r="B12" i="40"/>
  <c r="B9" i="18"/>
  <c r="H89" i="36"/>
  <c r="E314" i="18"/>
  <c r="O314" i="18" s="1"/>
  <c r="H314" i="36"/>
  <c r="E310" i="18"/>
  <c r="O310" i="18" s="1"/>
  <c r="H157" i="36"/>
  <c r="E306" i="18"/>
  <c r="O306" i="18" s="1"/>
  <c r="H4" i="36"/>
  <c r="E302" i="18"/>
  <c r="O302" i="18" s="1"/>
  <c r="H124" i="36"/>
  <c r="E298" i="18"/>
  <c r="O298" i="18" s="1"/>
  <c r="H313" i="36"/>
  <c r="E294" i="18"/>
  <c r="O294" i="18" s="1"/>
  <c r="H150" i="36"/>
  <c r="E287" i="18"/>
  <c r="O287" i="18" s="1"/>
  <c r="H229" i="36"/>
  <c r="E279" i="18"/>
  <c r="O279" i="18" s="1"/>
  <c r="H59" i="36"/>
  <c r="E275" i="18"/>
  <c r="O275" i="18" s="1"/>
  <c r="H261" i="36"/>
  <c r="E272" i="18"/>
  <c r="O272" i="18" s="1"/>
  <c r="H311" i="36"/>
  <c r="E268" i="18"/>
  <c r="O268" i="18" s="1"/>
  <c r="H34" i="36"/>
  <c r="E264" i="18"/>
  <c r="O264" i="18" s="1"/>
  <c r="T265" i="7"/>
  <c r="E256" i="18"/>
  <c r="O256" i="18" s="1"/>
  <c r="H104" i="36"/>
  <c r="E252" i="18"/>
  <c r="O252" i="18" s="1"/>
  <c r="H92" i="36"/>
  <c r="E248" i="18"/>
  <c r="O248" i="18" s="1"/>
  <c r="H121" i="36"/>
  <c r="E240" i="18"/>
  <c r="O240" i="18" s="1"/>
  <c r="H56" i="36"/>
  <c r="E236" i="18"/>
  <c r="O236" i="18" s="1"/>
  <c r="H9" i="36"/>
  <c r="E228" i="18"/>
  <c r="O228" i="18" s="1"/>
  <c r="H227" i="36"/>
  <c r="E220" i="18"/>
  <c r="O220" i="18" s="1"/>
  <c r="H93" i="36"/>
  <c r="E216" i="18"/>
  <c r="O216" i="18" s="1"/>
  <c r="H75" i="36"/>
  <c r="E206" i="18"/>
  <c r="O206" i="18" s="1"/>
  <c r="T209" i="7"/>
  <c r="E202" i="18"/>
  <c r="O202" i="18" s="1"/>
  <c r="T205" i="7"/>
  <c r="E200" i="18"/>
  <c r="O200" i="18" s="1"/>
  <c r="H174" i="36"/>
  <c r="E195" i="18"/>
  <c r="O195" i="18" s="1"/>
  <c r="H31" i="36"/>
  <c r="E191" i="18"/>
  <c r="O191" i="18" s="1"/>
  <c r="H54" i="36"/>
  <c r="E187" i="18"/>
  <c r="O187" i="18" s="1"/>
  <c r="H18" i="36"/>
  <c r="E183" i="18"/>
  <c r="O183" i="18" s="1"/>
  <c r="H273" i="36"/>
  <c r="E180" i="18"/>
  <c r="O180" i="18" s="1"/>
  <c r="H118" i="36"/>
  <c r="E176" i="18"/>
  <c r="O176" i="18" s="1"/>
  <c r="H64" i="36"/>
  <c r="E172" i="18"/>
  <c r="O172" i="18" s="1"/>
  <c r="H226" i="36"/>
  <c r="E164" i="18"/>
  <c r="O164" i="18" s="1"/>
  <c r="H160" i="36"/>
  <c r="E160" i="18"/>
  <c r="O160" i="18" s="1"/>
  <c r="H27" i="36"/>
  <c r="E150" i="18"/>
  <c r="O150" i="18" s="1"/>
  <c r="H84" i="36"/>
  <c r="E146" i="18"/>
  <c r="O146" i="18" s="1"/>
  <c r="H225" i="36"/>
  <c r="E142" i="18"/>
  <c r="O142" i="18" s="1"/>
  <c r="H293" i="36"/>
  <c r="E135" i="18"/>
  <c r="O135" i="18" s="1"/>
  <c r="H134" i="36"/>
  <c r="E131" i="18"/>
  <c r="O131" i="18" s="1"/>
  <c r="H108" i="36"/>
  <c r="E127" i="18"/>
  <c r="O127" i="18" s="1"/>
  <c r="H143" i="36"/>
  <c r="E123" i="18"/>
  <c r="O123" i="18" s="1"/>
  <c r="H239" i="36"/>
  <c r="E115" i="18"/>
  <c r="O115" i="18" s="1"/>
  <c r="H116" i="36"/>
  <c r="E107" i="18"/>
  <c r="O107" i="18" s="1"/>
  <c r="H219" i="36"/>
  <c r="E103" i="18"/>
  <c r="O103" i="18" s="1"/>
  <c r="H241" i="36"/>
  <c r="E95" i="18"/>
  <c r="O95" i="18" s="1"/>
  <c r="H215" i="36"/>
  <c r="E91" i="18"/>
  <c r="O91" i="18" s="1"/>
  <c r="H290" i="36"/>
  <c r="E87" i="18"/>
  <c r="O87" i="18" s="1"/>
  <c r="T82" i="7"/>
  <c r="E80" i="18"/>
  <c r="O80" i="18" s="1"/>
  <c r="H213" i="36"/>
  <c r="E76" i="18"/>
  <c r="O76" i="18" s="1"/>
  <c r="H142" i="36"/>
  <c r="E72" i="18"/>
  <c r="O72" i="18" s="1"/>
  <c r="H49" i="36"/>
  <c r="E68" i="18"/>
  <c r="O68" i="18" s="1"/>
  <c r="H258" i="36"/>
  <c r="E64" i="18"/>
  <c r="O64" i="18" s="1"/>
  <c r="H30" i="36"/>
  <c r="E60" i="18"/>
  <c r="O60" i="18" s="1"/>
  <c r="H287" i="36"/>
  <c r="E56" i="18"/>
  <c r="O56" i="18" s="1"/>
  <c r="H302" i="36"/>
  <c r="E51" i="18"/>
  <c r="O51" i="18" s="1"/>
  <c r="H190" i="36"/>
  <c r="E43" i="18"/>
  <c r="O43" i="18" s="1"/>
  <c r="H288" i="36"/>
  <c r="E39" i="18"/>
  <c r="O39" i="18" s="1"/>
  <c r="H197" i="36"/>
  <c r="E28" i="18"/>
  <c r="O28" i="18" s="1"/>
  <c r="H179" i="36"/>
  <c r="E24" i="18"/>
  <c r="O24" i="18" s="1"/>
  <c r="H98" i="36"/>
  <c r="E20" i="18"/>
  <c r="O20" i="18" s="1"/>
  <c r="H248" i="36"/>
  <c r="E12" i="18"/>
  <c r="O12" i="18" s="1"/>
  <c r="H252" i="36"/>
  <c r="E8" i="18"/>
  <c r="O8" i="18" s="1"/>
  <c r="B312" i="40"/>
  <c r="B313" i="18"/>
  <c r="B300" i="40"/>
  <c r="B301" i="18"/>
  <c r="B258" i="40"/>
  <c r="B259" i="18"/>
  <c r="B307" i="40"/>
  <c r="B308" i="18"/>
  <c r="B310" i="40"/>
  <c r="B311" i="18"/>
  <c r="B302" i="40"/>
  <c r="B303" i="18"/>
  <c r="B313" i="40"/>
  <c r="B314" i="18"/>
  <c r="B309" i="40"/>
  <c r="B310" i="18"/>
  <c r="B305" i="40"/>
  <c r="B306" i="18"/>
  <c r="B301" i="40"/>
  <c r="B302" i="18"/>
  <c r="B297" i="40"/>
  <c r="B298" i="18"/>
  <c r="B293" i="40"/>
  <c r="B294" i="18"/>
  <c r="B287" i="40"/>
  <c r="B287" i="18"/>
  <c r="B283" i="40"/>
  <c r="B283" i="18"/>
  <c r="B279" i="40"/>
  <c r="B279" i="18"/>
  <c r="B275" i="40"/>
  <c r="B275" i="18"/>
  <c r="B271" i="40"/>
  <c r="B272" i="18"/>
  <c r="B267" i="40"/>
  <c r="B268" i="18"/>
  <c r="B263" i="40"/>
  <c r="B264" i="18"/>
  <c r="B259" i="40"/>
  <c r="B260" i="18"/>
  <c r="B255" i="40"/>
  <c r="B256" i="18"/>
  <c r="B251" i="40"/>
  <c r="B252" i="18"/>
  <c r="B247" i="40"/>
  <c r="B248" i="18"/>
  <c r="B244" i="40"/>
  <c r="B244" i="18"/>
  <c r="B240" i="40"/>
  <c r="B240" i="18"/>
  <c r="B236" i="40"/>
  <c r="B236" i="18"/>
  <c r="B232" i="40"/>
  <c r="B232" i="18"/>
  <c r="B228" i="40"/>
  <c r="B228" i="18"/>
  <c r="B225" i="40"/>
  <c r="B224" i="18"/>
  <c r="B221" i="40"/>
  <c r="B220" i="18"/>
  <c r="B217" i="40"/>
  <c r="B216" i="18"/>
  <c r="B214" i="40"/>
  <c r="B213" i="18"/>
  <c r="B207" i="40"/>
  <c r="B206" i="18"/>
  <c r="B203" i="40"/>
  <c r="B202" i="18"/>
  <c r="B200" i="40"/>
  <c r="B200" i="18"/>
  <c r="B196" i="40"/>
  <c r="B195" i="18"/>
  <c r="B192" i="40"/>
  <c r="B191" i="18"/>
  <c r="B188" i="40"/>
  <c r="B187" i="18"/>
  <c r="B184" i="40"/>
  <c r="B183" i="18"/>
  <c r="B180" i="40"/>
  <c r="B180" i="18"/>
  <c r="B176" i="40"/>
  <c r="B176" i="18"/>
  <c r="B173" i="40"/>
  <c r="B172" i="18"/>
  <c r="B169" i="40"/>
  <c r="B168" i="18"/>
  <c r="B165" i="40"/>
  <c r="B164" i="18"/>
  <c r="B161" i="40"/>
  <c r="B160" i="18"/>
  <c r="B154" i="40"/>
  <c r="B154" i="18"/>
  <c r="B150" i="40"/>
  <c r="B150" i="18"/>
  <c r="B146" i="40"/>
  <c r="B146" i="18"/>
  <c r="B142" i="40"/>
  <c r="B142" i="18"/>
  <c r="B138" i="40"/>
  <c r="B138" i="18"/>
  <c r="B135" i="40"/>
  <c r="B135" i="18"/>
  <c r="B131" i="40"/>
  <c r="B131" i="18"/>
  <c r="B127" i="40"/>
  <c r="B127" i="18"/>
  <c r="B123" i="40"/>
  <c r="B123" i="18"/>
  <c r="B120" i="40"/>
  <c r="B119" i="18"/>
  <c r="B116" i="40"/>
  <c r="B115" i="18"/>
  <c r="B112" i="40"/>
  <c r="B111" i="18"/>
  <c r="B108" i="40"/>
  <c r="B107" i="18"/>
  <c r="B104" i="40"/>
  <c r="B103" i="18"/>
  <c r="B100" i="40"/>
  <c r="B99" i="18"/>
  <c r="B96" i="40"/>
  <c r="B95" i="18"/>
  <c r="B92" i="40"/>
  <c r="B91" i="18"/>
  <c r="B88" i="40"/>
  <c r="B87" i="18"/>
  <c r="B81" i="40"/>
  <c r="B80" i="18"/>
  <c r="B77" i="40"/>
  <c r="B76" i="18"/>
  <c r="B73" i="40"/>
  <c r="B72" i="18"/>
  <c r="B69" i="40"/>
  <c r="B68" i="18"/>
  <c r="B65" i="40"/>
  <c r="B64" i="18"/>
  <c r="B61" i="40"/>
  <c r="B60" i="18"/>
  <c r="B5" i="40"/>
  <c r="B56" i="18"/>
  <c r="B4" i="40"/>
  <c r="B55" i="18"/>
  <c r="B54" i="40"/>
  <c r="B51" i="18"/>
  <c r="B50" i="40"/>
  <c r="B47" i="18"/>
  <c r="B46" i="40"/>
  <c r="B43" i="18"/>
  <c r="B42" i="40"/>
  <c r="B39" i="18"/>
  <c r="B38" i="40"/>
  <c r="B35" i="18"/>
  <c r="B3" i="40"/>
  <c r="B32" i="18"/>
  <c r="B31" i="40"/>
  <c r="B28" i="18"/>
  <c r="B27" i="40"/>
  <c r="B24" i="18"/>
  <c r="B23" i="40"/>
  <c r="B20" i="18"/>
  <c r="B19" i="40"/>
  <c r="B16" i="18"/>
  <c r="B15" i="40"/>
  <c r="B12" i="18"/>
  <c r="B11" i="40"/>
  <c r="B8" i="18"/>
  <c r="H87" i="36"/>
  <c r="E313" i="18"/>
  <c r="O313" i="18" s="1"/>
  <c r="H196" i="36"/>
  <c r="E309" i="18"/>
  <c r="O309" i="18" s="1"/>
  <c r="H16" i="36"/>
  <c r="E301" i="18"/>
  <c r="O301" i="18" s="1"/>
  <c r="H88" i="36"/>
  <c r="E297" i="18"/>
  <c r="O297" i="18" s="1"/>
  <c r="H122" i="36"/>
  <c r="E293" i="18"/>
  <c r="O293" i="18" s="1"/>
  <c r="H275" i="36"/>
  <c r="E290" i="18"/>
  <c r="O290" i="18" s="1"/>
  <c r="H207" i="36"/>
  <c r="E278" i="18"/>
  <c r="O278" i="18" s="1"/>
  <c r="H145" i="36"/>
  <c r="E267" i="18"/>
  <c r="O267" i="18" s="1"/>
  <c r="H132" i="36"/>
  <c r="E255" i="18"/>
  <c r="O255" i="18" s="1"/>
  <c r="H38" i="36"/>
  <c r="E251" i="18"/>
  <c r="O251" i="18" s="1"/>
  <c r="H172" i="36"/>
  <c r="E247" i="18"/>
  <c r="O247" i="18" s="1"/>
  <c r="H120" i="36"/>
  <c r="E239" i="18"/>
  <c r="O239" i="18" s="1"/>
  <c r="H289" i="36"/>
  <c r="E235" i="18"/>
  <c r="O235" i="18" s="1"/>
  <c r="H194" i="36"/>
  <c r="E223" i="18"/>
  <c r="O223" i="18" s="1"/>
  <c r="H37" i="36"/>
  <c r="E219" i="18"/>
  <c r="O219" i="18" s="1"/>
  <c r="H48" i="36"/>
  <c r="E215" i="18"/>
  <c r="O215" i="18" s="1"/>
  <c r="H154" i="36"/>
  <c r="E212" i="18"/>
  <c r="O212" i="18" s="1"/>
  <c r="H182" i="36"/>
  <c r="E209" i="18"/>
  <c r="O209" i="18" s="1"/>
  <c r="H97" i="36"/>
  <c r="E205" i="18"/>
  <c r="O205" i="18" s="1"/>
  <c r="H285" i="36"/>
  <c r="E201" i="18"/>
  <c r="O201" i="18" s="1"/>
  <c r="T204" i="7"/>
  <c r="E199" i="18"/>
  <c r="O199" i="18" s="1"/>
  <c r="H297" i="36"/>
  <c r="E194" i="18"/>
  <c r="O194" i="18" s="1"/>
  <c r="H11" i="36"/>
  <c r="E190" i="18"/>
  <c r="O190" i="18" s="1"/>
  <c r="H100" i="36"/>
  <c r="E186" i="18"/>
  <c r="O186" i="18" s="1"/>
  <c r="H55" i="36"/>
  <c r="E182" i="18"/>
  <c r="O182" i="18" s="1"/>
  <c r="H35" i="36"/>
  <c r="E179" i="18"/>
  <c r="O179" i="18" s="1"/>
  <c r="H70" i="36"/>
  <c r="E175" i="18"/>
  <c r="O175" i="18" s="1"/>
  <c r="H236" i="36"/>
  <c r="E171" i="18"/>
  <c r="O171" i="18" s="1"/>
  <c r="H8" i="36"/>
  <c r="E163" i="18"/>
  <c r="O163" i="18" s="1"/>
  <c r="H272" i="36"/>
  <c r="E156" i="18"/>
  <c r="O156" i="18" s="1"/>
  <c r="T156" i="7"/>
  <c r="E153" i="18"/>
  <c r="O153" i="18" s="1"/>
  <c r="H29" i="36"/>
  <c r="E149" i="18"/>
  <c r="O149" i="18" s="1"/>
  <c r="H231" i="36"/>
  <c r="E130" i="18"/>
  <c r="O130" i="18" s="1"/>
  <c r="H300" i="36"/>
  <c r="E126" i="18"/>
  <c r="O126" i="18" s="1"/>
  <c r="H269" i="36"/>
  <c r="E122" i="18"/>
  <c r="O122" i="18" s="1"/>
  <c r="H171" i="36"/>
  <c r="E118" i="18"/>
  <c r="O118" i="18" s="1"/>
  <c r="H271" i="36"/>
  <c r="E114" i="18"/>
  <c r="O114" i="18" s="1"/>
  <c r="H117" i="36"/>
  <c r="E110" i="18"/>
  <c r="O110" i="18" s="1"/>
  <c r="H222" i="36"/>
  <c r="E106" i="18"/>
  <c r="O106" i="18" s="1"/>
  <c r="H218" i="36"/>
  <c r="E102" i="18"/>
  <c r="O102" i="18" s="1"/>
  <c r="H181" i="36"/>
  <c r="E98" i="18"/>
  <c r="O98" i="18" s="1"/>
  <c r="H216" i="36"/>
  <c r="E94" i="18"/>
  <c r="O94" i="18" s="1"/>
  <c r="H173" i="36"/>
  <c r="E90" i="18"/>
  <c r="O90" i="18" s="1"/>
  <c r="H129" i="36"/>
  <c r="E86" i="18"/>
  <c r="O86" i="18" s="1"/>
  <c r="H82" i="36"/>
  <c r="E83" i="18"/>
  <c r="O83" i="18" s="1"/>
  <c r="H144" i="36"/>
  <c r="E79" i="18"/>
  <c r="O79" i="18" s="1"/>
  <c r="H249" i="36"/>
  <c r="E75" i="18"/>
  <c r="O75" i="18" s="1"/>
  <c r="H26" i="36"/>
  <c r="E71" i="18"/>
  <c r="O71" i="18" s="1"/>
  <c r="H146" i="36"/>
  <c r="E67" i="18"/>
  <c r="O67" i="18" s="1"/>
  <c r="H277" i="36"/>
  <c r="E63" i="18"/>
  <c r="O63" i="18" s="1"/>
  <c r="H295" i="36"/>
  <c r="E59" i="18"/>
  <c r="O59" i="18" s="1"/>
  <c r="H308" i="36"/>
  <c r="E54" i="18"/>
  <c r="O54" i="18" s="1"/>
  <c r="H291" i="36"/>
  <c r="E50" i="18"/>
  <c r="O50" i="18" s="1"/>
  <c r="H6" i="36"/>
  <c r="E46" i="18"/>
  <c r="O46" i="18" s="1"/>
  <c r="H301" i="36"/>
  <c r="E34" i="18"/>
  <c r="O34" i="18" s="1"/>
  <c r="H110" i="36"/>
  <c r="E31" i="18"/>
  <c r="O31" i="18" s="1"/>
  <c r="H185" i="36"/>
  <c r="E27" i="18"/>
  <c r="O27" i="18" s="1"/>
  <c r="H95" i="36"/>
  <c r="E23" i="18"/>
  <c r="O23" i="18" s="1"/>
  <c r="H81" i="36"/>
  <c r="E19" i="18"/>
  <c r="O19" i="18" s="1"/>
  <c r="H47" i="36"/>
  <c r="E15" i="18"/>
  <c r="O15" i="18" s="1"/>
  <c r="H232" i="36"/>
  <c r="E11" i="18"/>
  <c r="O11" i="18" s="1"/>
  <c r="H203" i="36"/>
  <c r="T315" i="7"/>
  <c r="H123" i="36"/>
  <c r="T307" i="7"/>
  <c r="H230" i="36"/>
  <c r="T295" i="7"/>
  <c r="H178" i="36"/>
  <c r="T275" i="7"/>
  <c r="H112" i="36"/>
  <c r="T267" i="7"/>
  <c r="H161" i="36"/>
  <c r="T255" i="7"/>
  <c r="H51" i="36"/>
  <c r="T239" i="7"/>
  <c r="H5" i="36"/>
  <c r="T235" i="7"/>
  <c r="H14" i="36"/>
  <c r="T187" i="7"/>
  <c r="H137" i="36"/>
  <c r="T179" i="7"/>
  <c r="H133" i="36"/>
  <c r="T171" i="7"/>
  <c r="H41" i="36"/>
  <c r="T159" i="7"/>
  <c r="H211" i="36"/>
  <c r="T147" i="7"/>
  <c r="H152" i="36"/>
  <c r="T123" i="7"/>
  <c r="H221" i="36"/>
  <c r="T107" i="7"/>
  <c r="H175" i="36"/>
  <c r="T80" i="7"/>
  <c r="H39" i="36"/>
  <c r="T40" i="7"/>
  <c r="H156" i="36"/>
  <c r="T24" i="7"/>
  <c r="H60" i="36"/>
  <c r="T12" i="7"/>
  <c r="H296" i="36"/>
  <c r="T314" i="7"/>
  <c r="H69" i="36"/>
  <c r="T298" i="7"/>
  <c r="H155" i="36"/>
  <c r="T282" i="7"/>
  <c r="H162" i="36"/>
  <c r="T270" i="7"/>
  <c r="H228" i="36"/>
  <c r="T262" i="7"/>
  <c r="H20" i="36"/>
  <c r="T174" i="7"/>
  <c r="H148" i="36"/>
  <c r="T158" i="7"/>
  <c r="H234" i="36"/>
  <c r="T146" i="7"/>
  <c r="H237" i="36"/>
  <c r="T114" i="7"/>
  <c r="H138" i="36"/>
  <c r="T59" i="7"/>
  <c r="H67" i="36"/>
  <c r="T31" i="7"/>
  <c r="H52" i="36"/>
  <c r="T23" i="7"/>
  <c r="H42" i="36"/>
  <c r="T15" i="7"/>
  <c r="H23" i="36"/>
  <c r="T269" i="7"/>
  <c r="H32" i="36"/>
  <c r="T241" i="7"/>
  <c r="H243" i="36"/>
  <c r="T173" i="7"/>
  <c r="H43" i="36"/>
  <c r="T157" i="7"/>
  <c r="H7" i="36"/>
  <c r="T101" i="7"/>
  <c r="H61" i="36"/>
  <c r="T54" i="7"/>
  <c r="H151" i="36"/>
  <c r="T46" i="7"/>
  <c r="H15" i="36"/>
  <c r="T34" i="7"/>
  <c r="H66" i="36"/>
  <c r="T30" i="7"/>
  <c r="H78" i="36"/>
  <c r="T14" i="7"/>
  <c r="H94" i="36"/>
  <c r="T316" i="7"/>
  <c r="H57" i="36"/>
  <c r="T296" i="7"/>
  <c r="H63" i="36"/>
  <c r="T284" i="7"/>
  <c r="H168" i="36"/>
  <c r="T268" i="7"/>
  <c r="H292" i="36"/>
  <c r="T252" i="7"/>
  <c r="H149" i="36"/>
  <c r="T240" i="7"/>
  <c r="H10" i="36"/>
  <c r="T236" i="7"/>
  <c r="H140" i="36"/>
  <c r="T172" i="7"/>
  <c r="H177" i="36"/>
  <c r="T148" i="7"/>
  <c r="H12" i="36"/>
  <c r="T136" i="7"/>
  <c r="H131" i="36"/>
  <c r="T41" i="7"/>
  <c r="H73" i="36"/>
  <c r="T37" i="7"/>
  <c r="O237" i="40"/>
  <c r="AD314" i="21" s="1"/>
  <c r="O27" i="40"/>
  <c r="AD118" i="21" s="1"/>
  <c r="H147" i="36"/>
  <c r="H281" i="36"/>
  <c r="H253" i="36"/>
  <c r="H298" i="36"/>
  <c r="H169" i="36"/>
  <c r="H102" i="36"/>
  <c r="Z292" i="7"/>
  <c r="AA280" i="7"/>
  <c r="AA272" i="7"/>
  <c r="Z204" i="7"/>
  <c r="Z164" i="7"/>
  <c r="Z156" i="7"/>
  <c r="AA144" i="7"/>
  <c r="H244" i="36"/>
  <c r="H167" i="36"/>
  <c r="H205" i="36"/>
  <c r="H80" i="36"/>
  <c r="H266" i="36"/>
  <c r="H189" i="36"/>
  <c r="H280" i="36"/>
  <c r="H115" i="36"/>
  <c r="H25" i="36"/>
  <c r="H101" i="36"/>
  <c r="H250" i="36"/>
  <c r="H262" i="36"/>
  <c r="H245" i="36"/>
  <c r="H267" i="36"/>
  <c r="H212" i="36"/>
  <c r="H74" i="36"/>
  <c r="H165" i="36"/>
  <c r="H72" i="36"/>
  <c r="H255" i="36"/>
  <c r="H198" i="36"/>
  <c r="H17" i="36"/>
  <c r="H166" i="36"/>
  <c r="Z250" i="7"/>
  <c r="Z242" i="7"/>
  <c r="AD19" i="7"/>
  <c r="Z7" i="7"/>
  <c r="H251" i="36"/>
  <c r="H268" i="36"/>
  <c r="H77" i="36"/>
  <c r="H256" i="36"/>
  <c r="H164" i="36"/>
  <c r="H199" i="36"/>
  <c r="H99" i="36"/>
  <c r="J1" i="7"/>
  <c r="B299" i="39"/>
  <c r="B300" i="38"/>
  <c r="B288" i="39"/>
  <c r="B28" i="38"/>
  <c r="B276" i="39"/>
  <c r="B278" i="38"/>
  <c r="B262" i="39"/>
  <c r="B265" i="38"/>
  <c r="B248" i="39"/>
  <c r="B252" i="38"/>
  <c r="B52" i="39"/>
  <c r="B243" i="38"/>
  <c r="B35" i="39"/>
  <c r="B230" i="38"/>
  <c r="B213" i="39"/>
  <c r="B58" i="38"/>
  <c r="B201" i="39"/>
  <c r="B208" i="38"/>
  <c r="B189" i="39"/>
  <c r="B196" i="38"/>
  <c r="B179" i="39"/>
  <c r="B186" i="38"/>
  <c r="B167" i="39"/>
  <c r="B174" i="38"/>
  <c r="B22" i="39"/>
  <c r="B74" i="38"/>
  <c r="B136" i="39"/>
  <c r="B141" i="38"/>
  <c r="B124" i="39"/>
  <c r="B128" i="38"/>
  <c r="B110" i="39"/>
  <c r="B119" i="38"/>
  <c r="B39" i="39"/>
  <c r="B7" i="38"/>
  <c r="B87" i="39"/>
  <c r="B99" i="38"/>
  <c r="B312" i="39"/>
  <c r="B313" i="38"/>
  <c r="B59" i="39"/>
  <c r="B29" i="38"/>
  <c r="B283" i="39"/>
  <c r="B285" i="38"/>
  <c r="B275" i="39"/>
  <c r="B277" i="38"/>
  <c r="B261" i="39"/>
  <c r="B264" i="38"/>
  <c r="B247" i="39"/>
  <c r="B251" i="38"/>
  <c r="B242" i="39"/>
  <c r="B21" i="38"/>
  <c r="B232" i="39"/>
  <c r="B236" i="38"/>
  <c r="B222" i="39"/>
  <c r="B225" i="38"/>
  <c r="B212" i="39"/>
  <c r="B217" i="38"/>
  <c r="B204" i="39"/>
  <c r="B210" i="38"/>
  <c r="B196" i="39"/>
  <c r="B204" i="38"/>
  <c r="B193" i="39"/>
  <c r="B201" i="38"/>
  <c r="B191" i="39"/>
  <c r="B199" i="38"/>
  <c r="B188" i="39"/>
  <c r="B195" i="38"/>
  <c r="B16" i="39"/>
  <c r="B34" i="38"/>
  <c r="B45" i="39"/>
  <c r="B188" i="38"/>
  <c r="B178" i="39"/>
  <c r="B13" i="38"/>
  <c r="B175" i="39"/>
  <c r="B183" i="38"/>
  <c r="B171" i="39"/>
  <c r="B179" i="38"/>
  <c r="B4" i="39"/>
  <c r="B176" i="38"/>
  <c r="B166" i="39"/>
  <c r="B173" i="38"/>
  <c r="B163" i="39"/>
  <c r="B12" i="38"/>
  <c r="B159" i="39"/>
  <c r="B166" i="38"/>
  <c r="B156" i="39"/>
  <c r="B163" i="38"/>
  <c r="B152" i="39"/>
  <c r="B159" i="38"/>
  <c r="B60" i="39"/>
  <c r="B156" i="38"/>
  <c r="B146" i="39"/>
  <c r="B152" i="38"/>
  <c r="B142" i="39"/>
  <c r="B148" i="38"/>
  <c r="B43" i="39"/>
  <c r="B144" i="38"/>
  <c r="B135" i="39"/>
  <c r="B140" i="38"/>
  <c r="B132" i="39"/>
  <c r="B137" i="38"/>
  <c r="B128" i="39"/>
  <c r="B133" i="38"/>
  <c r="B123" i="39"/>
  <c r="B127" i="38"/>
  <c r="B119" i="39"/>
  <c r="B125" i="38"/>
  <c r="B115" i="39"/>
  <c r="B70" i="38"/>
  <c r="B112" i="39"/>
  <c r="B44" i="38"/>
  <c r="B109" i="39"/>
  <c r="B118" i="38"/>
  <c r="B105" i="39"/>
  <c r="B115" i="38"/>
  <c r="B20" i="39"/>
  <c r="B32" i="38"/>
  <c r="B14" i="39"/>
  <c r="B31" i="38"/>
  <c r="B99" i="39"/>
  <c r="B6" i="38"/>
  <c r="B13" i="39"/>
  <c r="B66" i="38"/>
  <c r="B93" i="39"/>
  <c r="B5" i="38"/>
  <c r="B90" i="39"/>
  <c r="B4" i="38"/>
  <c r="B34" i="39"/>
  <c r="B51" i="38"/>
  <c r="B83" i="39"/>
  <c r="B50" i="38"/>
  <c r="B79" i="39"/>
  <c r="B93" i="38"/>
  <c r="B75" i="39"/>
  <c r="B89" i="38"/>
  <c r="B71" i="39"/>
  <c r="B85" i="38"/>
  <c r="B68" i="39"/>
  <c r="B82" i="38"/>
  <c r="B65" i="39"/>
  <c r="B79" i="38"/>
  <c r="B61" i="39"/>
  <c r="B75" i="38"/>
  <c r="B309" i="39"/>
  <c r="B310" i="38"/>
  <c r="B28" i="39"/>
  <c r="B42" i="38"/>
  <c r="B284" i="39"/>
  <c r="B27" i="38"/>
  <c r="B272" i="39"/>
  <c r="B275" i="38"/>
  <c r="B258" i="39"/>
  <c r="B261" i="38"/>
  <c r="B244" i="39"/>
  <c r="B248" i="38"/>
  <c r="B236" i="39"/>
  <c r="B239" i="38"/>
  <c r="B223" i="39"/>
  <c r="B226" i="38"/>
  <c r="B211" i="39"/>
  <c r="B216" i="38"/>
  <c r="B197" i="39"/>
  <c r="B205" i="38"/>
  <c r="B185" i="39"/>
  <c r="B192" i="38"/>
  <c r="B23" i="39"/>
  <c r="B55" i="38"/>
  <c r="B164" i="39"/>
  <c r="B170" i="38"/>
  <c r="B153" i="39"/>
  <c r="B160" i="38"/>
  <c r="B139" i="39"/>
  <c r="B145" i="38"/>
  <c r="B42" i="39"/>
  <c r="B11" i="38"/>
  <c r="B113" i="39"/>
  <c r="B69" i="38"/>
  <c r="B37" i="39"/>
  <c r="B102" i="38"/>
  <c r="B76" i="39"/>
  <c r="B90" i="38"/>
  <c r="B12" i="39"/>
  <c r="B49" i="38"/>
  <c r="B304" i="39"/>
  <c r="B306" i="38"/>
  <c r="B295" i="39"/>
  <c r="B296" i="38"/>
  <c r="B289" i="39"/>
  <c r="B290" i="38"/>
  <c r="B279" i="39"/>
  <c r="B281" i="38"/>
  <c r="B313" i="39"/>
  <c r="B24" i="38"/>
  <c r="B257" i="39"/>
  <c r="B260" i="38"/>
  <c r="B251" i="39"/>
  <c r="B255" i="38"/>
  <c r="B55" i="39"/>
  <c r="B22" i="38"/>
  <c r="B235" i="39"/>
  <c r="B238" i="38"/>
  <c r="B226" i="39"/>
  <c r="B229" i="38"/>
  <c r="B215" i="39"/>
  <c r="B19" i="38"/>
  <c r="B50" i="39"/>
  <c r="B18" i="38"/>
  <c r="B311" i="39"/>
  <c r="B312" i="38"/>
  <c r="B303" i="39"/>
  <c r="B305" i="38"/>
  <c r="B297" i="39"/>
  <c r="B298" i="38"/>
  <c r="B294" i="39"/>
  <c r="B295" i="38"/>
  <c r="B291" i="39"/>
  <c r="B292" i="38"/>
  <c r="B27" i="39"/>
  <c r="B64" i="38"/>
  <c r="B286" i="39"/>
  <c r="B287" i="38"/>
  <c r="B282" i="39"/>
  <c r="B284" i="38"/>
  <c r="B19" i="39"/>
  <c r="B63" i="38"/>
  <c r="B278" i="39"/>
  <c r="B280" i="38"/>
  <c r="B274" i="39"/>
  <c r="B73" i="38"/>
  <c r="B270" i="39"/>
  <c r="B273" i="38"/>
  <c r="B268" i="39"/>
  <c r="B271" i="38"/>
  <c r="B264" i="39"/>
  <c r="B267" i="38"/>
  <c r="B260" i="39"/>
  <c r="B263" i="38"/>
  <c r="B256" i="39"/>
  <c r="B259" i="38"/>
  <c r="B7" i="39"/>
  <c r="B62" i="38"/>
  <c r="B250" i="39"/>
  <c r="B254" i="38"/>
  <c r="B246" i="39"/>
  <c r="B250" i="38"/>
  <c r="B30" i="39"/>
  <c r="B61" i="38"/>
  <c r="B54" i="39"/>
  <c r="B60" i="38"/>
  <c r="B241" i="39"/>
  <c r="B245" i="38"/>
  <c r="B238" i="39"/>
  <c r="B241" i="38"/>
  <c r="B234" i="39"/>
  <c r="B237" i="38"/>
  <c r="B231" i="39"/>
  <c r="B235" i="38"/>
  <c r="B228" i="39"/>
  <c r="B232" i="38"/>
  <c r="B225" i="39"/>
  <c r="B228" i="38"/>
  <c r="B221" i="39"/>
  <c r="B224" i="38"/>
  <c r="B219" i="39"/>
  <c r="B222" i="38"/>
  <c r="B214" i="39"/>
  <c r="B218" i="38"/>
  <c r="B33" i="39"/>
  <c r="B57" i="38"/>
  <c r="B209" i="39"/>
  <c r="B214" i="38"/>
  <c r="B206" i="39"/>
  <c r="B211" i="38"/>
  <c r="B203" i="39"/>
  <c r="B16" i="38"/>
  <c r="B199" i="39"/>
  <c r="B206" i="38"/>
  <c r="B195" i="39"/>
  <c r="B203" i="38"/>
  <c r="B17" i="39"/>
  <c r="B71" i="38"/>
  <c r="B48" i="39"/>
  <c r="B198" i="38"/>
  <c r="B187" i="39"/>
  <c r="B194" i="38"/>
  <c r="B184" i="39"/>
  <c r="B191" i="38"/>
  <c r="B183" i="39"/>
  <c r="B14" i="38"/>
  <c r="B181" i="39"/>
  <c r="B187" i="38"/>
  <c r="B177" i="39"/>
  <c r="B185" i="38"/>
  <c r="B174" i="39"/>
  <c r="B182" i="38"/>
  <c r="B31" i="39"/>
  <c r="B54" i="38"/>
  <c r="B165" i="39"/>
  <c r="B172" i="38"/>
  <c r="B162" i="39"/>
  <c r="B169" i="38"/>
  <c r="B158" i="39"/>
  <c r="B165" i="38"/>
  <c r="B155" i="39"/>
  <c r="B162" i="38"/>
  <c r="B151" i="39"/>
  <c r="B158" i="38"/>
  <c r="B149" i="39"/>
  <c r="B155" i="38"/>
  <c r="B145" i="39"/>
  <c r="B151" i="38"/>
  <c r="B141" i="39"/>
  <c r="B147" i="38"/>
  <c r="B138" i="39"/>
  <c r="B143" i="38"/>
  <c r="B134" i="39"/>
  <c r="B139" i="38"/>
  <c r="B131" i="39"/>
  <c r="B136" i="38"/>
  <c r="B127" i="39"/>
  <c r="B132" i="38"/>
  <c r="B125" i="39"/>
  <c r="B130" i="38"/>
  <c r="B122" i="39"/>
  <c r="B10" i="38"/>
  <c r="B118" i="39"/>
  <c r="B124" i="38"/>
  <c r="B40" i="39"/>
  <c r="B121" i="38"/>
  <c r="B3" i="39"/>
  <c r="B43" i="38"/>
  <c r="B108" i="39"/>
  <c r="B117" i="38"/>
  <c r="B104" i="39"/>
  <c r="B114" i="38"/>
  <c r="B101" i="39"/>
  <c r="B112" i="38"/>
  <c r="B98" i="39"/>
  <c r="B110" i="38"/>
  <c r="B38" i="39"/>
  <c r="B107" i="38"/>
  <c r="B92" i="39"/>
  <c r="B104" i="38"/>
  <c r="B89" i="39"/>
  <c r="B101" i="38"/>
  <c r="B86" i="39"/>
  <c r="B98" i="38"/>
  <c r="B82" i="39"/>
  <c r="B96" i="38"/>
  <c r="B78" i="39"/>
  <c r="B92" i="38"/>
  <c r="B74" i="39"/>
  <c r="B88" i="38"/>
  <c r="B70" i="39"/>
  <c r="B84" i="38"/>
  <c r="B67" i="39"/>
  <c r="B81" i="38"/>
  <c r="B64" i="39"/>
  <c r="B78" i="38"/>
  <c r="B301" i="39"/>
  <c r="B303" i="38"/>
  <c r="B10" i="39"/>
  <c r="B65" i="38"/>
  <c r="B11" i="39"/>
  <c r="B47" i="38"/>
  <c r="B266" i="39"/>
  <c r="B269" i="38"/>
  <c r="B252" i="39"/>
  <c r="B256" i="38"/>
  <c r="B243" i="39"/>
  <c r="B246" i="38"/>
  <c r="B229" i="39"/>
  <c r="B233" i="38"/>
  <c r="B216" i="39"/>
  <c r="B219" i="38"/>
  <c r="B205" i="39"/>
  <c r="B36" i="38"/>
  <c r="B192" i="39"/>
  <c r="B200" i="38"/>
  <c r="B46" i="39"/>
  <c r="B189" i="38"/>
  <c r="B169" i="39"/>
  <c r="B177" i="38"/>
  <c r="B157" i="39"/>
  <c r="B164" i="38"/>
  <c r="B143" i="39"/>
  <c r="B149" i="38"/>
  <c r="B133" i="39"/>
  <c r="B138" i="38"/>
  <c r="B120" i="39"/>
  <c r="B9" i="38"/>
  <c r="B106" i="39"/>
  <c r="B8" i="38"/>
  <c r="B96" i="39"/>
  <c r="B108" i="38"/>
  <c r="B84" i="39"/>
  <c r="B3" i="38"/>
  <c r="B308" i="39"/>
  <c r="B309" i="38"/>
  <c r="B298" i="39"/>
  <c r="B299" i="38"/>
  <c r="B287" i="39"/>
  <c r="B288" i="38"/>
  <c r="B57" i="39"/>
  <c r="B26" i="38"/>
  <c r="B271" i="39"/>
  <c r="B274" i="38"/>
  <c r="B265" i="39"/>
  <c r="B268" i="38"/>
  <c r="B254" i="39"/>
  <c r="B258" i="38"/>
  <c r="B18" i="39"/>
  <c r="B39" i="38"/>
  <c r="B239" i="39"/>
  <c r="B242" i="38"/>
  <c r="B220" i="39"/>
  <c r="B223" i="38"/>
  <c r="B210" i="39"/>
  <c r="B215" i="38"/>
  <c r="B200" i="39"/>
  <c r="B207" i="38"/>
  <c r="B307" i="39"/>
  <c r="B30" i="38"/>
  <c r="B58" i="39"/>
  <c r="B302" i="38"/>
  <c r="B310" i="39"/>
  <c r="B311" i="38"/>
  <c r="B306" i="39"/>
  <c r="B308" i="38"/>
  <c r="B302" i="39"/>
  <c r="B304" i="38"/>
  <c r="B300" i="39"/>
  <c r="B301" i="38"/>
  <c r="B296" i="39"/>
  <c r="B297" i="38"/>
  <c r="B293" i="39"/>
  <c r="B294" i="38"/>
  <c r="B290" i="39"/>
  <c r="B291" i="38"/>
  <c r="B26" i="39"/>
  <c r="B289" i="38"/>
  <c r="B285" i="39"/>
  <c r="B286" i="38"/>
  <c r="B281" i="39"/>
  <c r="B283" i="38"/>
  <c r="B25" i="39"/>
  <c r="B25" i="38"/>
  <c r="B277" i="39"/>
  <c r="B279" i="38"/>
  <c r="B273" i="39"/>
  <c r="B276" i="38"/>
  <c r="B269" i="39"/>
  <c r="B272" i="38"/>
  <c r="B267" i="39"/>
  <c r="B270" i="38"/>
  <c r="B263" i="39"/>
  <c r="B266" i="38"/>
  <c r="B259" i="39"/>
  <c r="B262" i="38"/>
  <c r="B8" i="39"/>
  <c r="B40" i="38"/>
  <c r="B253" i="39"/>
  <c r="B257" i="38"/>
  <c r="B249" i="39"/>
  <c r="B253" i="38"/>
  <c r="B245" i="39"/>
  <c r="B249" i="38"/>
  <c r="B29" i="39"/>
  <c r="B38" i="38"/>
  <c r="B53" i="39"/>
  <c r="B59" i="38"/>
  <c r="B240" i="39"/>
  <c r="B244" i="38"/>
  <c r="B237" i="39"/>
  <c r="B240" i="38"/>
  <c r="B230" i="39"/>
  <c r="B234" i="38"/>
  <c r="B227" i="39"/>
  <c r="B231" i="38"/>
  <c r="B224" i="39"/>
  <c r="B227" i="38"/>
  <c r="B218" i="39"/>
  <c r="B221" i="38"/>
  <c r="B51" i="39"/>
  <c r="B46" i="38"/>
  <c r="B6" i="39"/>
  <c r="B37" i="38"/>
  <c r="B208" i="39"/>
  <c r="B213" i="38"/>
  <c r="B32" i="39"/>
  <c r="B17" i="38"/>
  <c r="B202" i="39"/>
  <c r="B209" i="38"/>
  <c r="B198" i="39"/>
  <c r="B45" i="38"/>
  <c r="B194" i="39"/>
  <c r="B202" i="38"/>
  <c r="B24" i="39"/>
  <c r="B56" i="38"/>
  <c r="B190" i="39"/>
  <c r="B197" i="38"/>
  <c r="B186" i="39"/>
  <c r="B193" i="38"/>
  <c r="B47" i="39"/>
  <c r="B35" i="38"/>
  <c r="B182" i="39"/>
  <c r="B190" i="38"/>
  <c r="B180" i="39"/>
  <c r="B33" i="38"/>
  <c r="B176" i="39"/>
  <c r="B184" i="38"/>
  <c r="B173" i="39"/>
  <c r="B181" i="38"/>
  <c r="B170" i="39"/>
  <c r="B178" i="38"/>
  <c r="B168" i="39"/>
  <c r="B175" i="38"/>
  <c r="B44" i="39"/>
  <c r="B171" i="38"/>
  <c r="B161" i="39"/>
  <c r="B168" i="38"/>
  <c r="B15" i="39"/>
  <c r="B53" i="38"/>
  <c r="B154" i="39"/>
  <c r="B161" i="38"/>
  <c r="B150" i="39"/>
  <c r="B157" i="38"/>
  <c r="B148" i="39"/>
  <c r="B154" i="38"/>
  <c r="B144" i="39"/>
  <c r="B150" i="38"/>
  <c r="B140" i="39"/>
  <c r="B146" i="38"/>
  <c r="B137" i="39"/>
  <c r="B142" i="38"/>
  <c r="B21" i="39"/>
  <c r="B52" i="38"/>
  <c r="B130" i="39"/>
  <c r="B135" i="38"/>
  <c r="B126" i="39"/>
  <c r="B131" i="38"/>
  <c r="B41" i="39"/>
  <c r="B129" i="38"/>
  <c r="B121" i="39"/>
  <c r="B126" i="38"/>
  <c r="B117" i="39"/>
  <c r="B123" i="38"/>
  <c r="B114" i="39"/>
  <c r="B120" i="38"/>
  <c r="B111" i="39"/>
  <c r="B68" i="38"/>
  <c r="B107" i="39"/>
  <c r="B116" i="38"/>
  <c r="B103" i="39"/>
  <c r="B113" i="38"/>
  <c r="B100" i="39"/>
  <c r="B111" i="38"/>
  <c r="B97" i="39"/>
  <c r="B109" i="38"/>
  <c r="B95" i="39"/>
  <c r="B106" i="38"/>
  <c r="B91" i="39"/>
  <c r="B103" i="38"/>
  <c r="B88" i="39"/>
  <c r="B100" i="38"/>
  <c r="B85" i="39"/>
  <c r="B97" i="38"/>
  <c r="B81" i="39"/>
  <c r="B95" i="38"/>
  <c r="B77" i="39"/>
  <c r="B91" i="38"/>
  <c r="B73" i="39"/>
  <c r="B87" i="38"/>
  <c r="B69" i="39"/>
  <c r="B83" i="38"/>
  <c r="B36" i="39"/>
  <c r="B48" i="38"/>
  <c r="B63" i="39"/>
  <c r="B77" i="38"/>
  <c r="B305" i="39"/>
  <c r="B307" i="38"/>
  <c r="B292" i="39"/>
  <c r="B293" i="38"/>
  <c r="B280" i="39"/>
  <c r="B282" i="38"/>
  <c r="B9" i="39"/>
  <c r="B41" i="38"/>
  <c r="B255" i="39"/>
  <c r="B23" i="38"/>
  <c r="B56" i="39"/>
  <c r="B247" i="38"/>
  <c r="B233" i="39"/>
  <c r="B20" i="38"/>
  <c r="B217" i="39"/>
  <c r="B220" i="38"/>
  <c r="B207" i="39"/>
  <c r="B212" i="38"/>
  <c r="B49" i="39"/>
  <c r="B72" i="38"/>
  <c r="B5" i="39"/>
  <c r="B15" i="38"/>
  <c r="B172" i="39"/>
  <c r="B180" i="38"/>
  <c r="B160" i="39"/>
  <c r="B167" i="38"/>
  <c r="B147" i="39"/>
  <c r="B153" i="38"/>
  <c r="B129" i="39"/>
  <c r="B134" i="38"/>
  <c r="B116" i="39"/>
  <c r="B122" i="38"/>
  <c r="B102" i="39"/>
  <c r="B67" i="38"/>
  <c r="B94" i="39"/>
  <c r="B105" i="38"/>
  <c r="B80" i="39"/>
  <c r="B94" i="38"/>
  <c r="B72" i="39"/>
  <c r="B86" i="38"/>
  <c r="B66" i="39"/>
  <c r="B80" i="38"/>
  <c r="B62" i="39"/>
  <c r="B76" i="38"/>
  <c r="B100" i="37"/>
  <c r="B157" i="36"/>
  <c r="B181" i="37"/>
  <c r="B59" i="36"/>
  <c r="B133" i="37"/>
  <c r="B23" i="36"/>
  <c r="B42" i="37"/>
  <c r="B267" i="36"/>
  <c r="B25" i="37"/>
  <c r="B9" i="36"/>
  <c r="B293" i="37"/>
  <c r="B74" i="36"/>
  <c r="B287" i="37"/>
  <c r="B174" i="36"/>
  <c r="B40" i="37"/>
  <c r="B273" i="36"/>
  <c r="B226" i="36"/>
  <c r="B175" i="37"/>
  <c r="B173" i="37"/>
  <c r="B225" i="36"/>
  <c r="B101" i="37"/>
  <c r="B248" i="36"/>
  <c r="B20" i="37"/>
  <c r="B4" i="36"/>
  <c r="B245" i="37"/>
  <c r="B150" i="36"/>
  <c r="B162" i="37"/>
  <c r="B261" i="36"/>
  <c r="B299" i="37"/>
  <c r="B245" i="36"/>
  <c r="B296" i="37"/>
  <c r="B121" i="36"/>
  <c r="B199" i="37"/>
  <c r="B212" i="36"/>
  <c r="B289" i="37"/>
  <c r="B72" i="36"/>
  <c r="B196" i="37"/>
  <c r="B18" i="36"/>
  <c r="B96" i="37"/>
  <c r="B243" i="36"/>
  <c r="B14" i="37"/>
  <c r="B43" i="36"/>
  <c r="B232" i="37"/>
  <c r="B293" i="36"/>
  <c r="B51" i="37"/>
  <c r="B143" i="36"/>
  <c r="B179" i="37"/>
  <c r="B239" i="36"/>
  <c r="B22" i="37"/>
  <c r="B7" i="36"/>
  <c r="B145" i="37"/>
  <c r="B290" i="36"/>
  <c r="B266" i="37"/>
  <c r="B213" i="36"/>
  <c r="B108" i="37"/>
  <c r="B258" i="36"/>
  <c r="B5" i="37"/>
  <c r="B61" i="36"/>
  <c r="B215" i="37"/>
  <c r="B288" i="36"/>
  <c r="B315" i="37"/>
  <c r="B87" i="36"/>
  <c r="B307" i="37"/>
  <c r="B88" i="36"/>
  <c r="B304" i="37"/>
  <c r="B275" i="36"/>
  <c r="B74" i="37"/>
  <c r="B207" i="36"/>
  <c r="B242" i="37"/>
  <c r="B145" i="36"/>
  <c r="B26" i="37"/>
  <c r="B38" i="36"/>
  <c r="B200" i="37"/>
  <c r="B120" i="36"/>
  <c r="B158" i="37"/>
  <c r="B10" i="36"/>
  <c r="B168" i="37"/>
  <c r="B48" i="36"/>
  <c r="B41" i="37"/>
  <c r="B97" i="36"/>
  <c r="B288" i="37"/>
  <c r="B256" i="36"/>
  <c r="B64" i="37"/>
  <c r="B100" i="36"/>
  <c r="B236" i="37"/>
  <c r="B70" i="36"/>
  <c r="B23" i="37"/>
  <c r="B8" i="36"/>
  <c r="B84" i="37"/>
  <c r="B29" i="36"/>
  <c r="B276" i="37"/>
  <c r="B300" i="36"/>
  <c r="B153" i="37"/>
  <c r="B271" i="36"/>
  <c r="B35" i="37"/>
  <c r="B181" i="36"/>
  <c r="B213" i="37"/>
  <c r="B129" i="36"/>
  <c r="B249" i="36"/>
  <c r="B110" i="37"/>
  <c r="B263" i="37"/>
  <c r="B277" i="36"/>
  <c r="B171" i="37"/>
  <c r="B308" i="36"/>
  <c r="B255" i="37"/>
  <c r="B301" i="36"/>
  <c r="B312" i="37"/>
  <c r="B314" i="36"/>
  <c r="B306" i="37"/>
  <c r="B313" i="36"/>
  <c r="B301" i="37"/>
  <c r="B229" i="36"/>
  <c r="B48" i="37"/>
  <c r="B34" i="36"/>
  <c r="B298" i="37"/>
  <c r="B92" i="36"/>
  <c r="B239" i="37"/>
  <c r="B32" i="36"/>
  <c r="B69" i="37"/>
  <c r="B227" i="36"/>
  <c r="B290" i="37"/>
  <c r="B165" i="36"/>
  <c r="B45" i="37"/>
  <c r="B54" i="36"/>
  <c r="B235" i="37"/>
  <c r="B64" i="36"/>
  <c r="B281" i="37"/>
  <c r="B84" i="36"/>
  <c r="B28" i="37"/>
  <c r="B134" i="36"/>
  <c r="B38" i="37"/>
  <c r="B198" i="36"/>
  <c r="B270" i="37"/>
  <c r="B116" i="36"/>
  <c r="B231" i="37"/>
  <c r="B241" i="36"/>
  <c r="B90" i="37"/>
  <c r="B142" i="36"/>
  <c r="B166" i="37"/>
  <c r="B30" i="36"/>
  <c r="B58" i="37"/>
  <c r="B302" i="36"/>
  <c r="B107" i="37"/>
  <c r="B190" i="36"/>
  <c r="B253" i="37"/>
  <c r="B197" i="36"/>
  <c r="B211" i="37"/>
  <c r="B196" i="36"/>
  <c r="B209" i="37"/>
  <c r="B16" i="36"/>
  <c r="B54" i="37"/>
  <c r="B57" i="36"/>
  <c r="B160" i="37"/>
  <c r="B63" i="36"/>
  <c r="B205" i="37"/>
  <c r="B77" i="36"/>
  <c r="B214" i="37"/>
  <c r="B132" i="36"/>
  <c r="B241" i="37"/>
  <c r="B292" i="36"/>
  <c r="B238" i="37"/>
  <c r="B149" i="36"/>
  <c r="B24" i="37"/>
  <c r="B37" i="36"/>
  <c r="B66" i="37"/>
  <c r="B182" i="36"/>
  <c r="B286" i="37"/>
  <c r="B297" i="36"/>
  <c r="B237" i="37"/>
  <c r="B55" i="36"/>
  <c r="B233" i="37"/>
  <c r="B140" i="36"/>
  <c r="B194" i="37"/>
  <c r="B272" i="36"/>
  <c r="B30" i="37"/>
  <c r="B177" i="36"/>
  <c r="B83" i="37"/>
  <c r="B12" i="36"/>
  <c r="B274" i="37"/>
  <c r="B269" i="36"/>
  <c r="B272" i="37"/>
  <c r="B117" i="36"/>
  <c r="B113" i="37"/>
  <c r="B218" i="36"/>
  <c r="B152" i="37"/>
  <c r="B173" i="36"/>
  <c r="B229" i="37"/>
  <c r="B144" i="36"/>
  <c r="B89" i="37"/>
  <c r="B146" i="36"/>
  <c r="B21" i="37"/>
  <c r="B6" i="36"/>
  <c r="B257" i="37"/>
  <c r="B73" i="36"/>
  <c r="B139" i="37"/>
  <c r="B185" i="36"/>
  <c r="B149" i="37"/>
  <c r="B95" i="36"/>
  <c r="B183" i="37"/>
  <c r="B81" i="36"/>
  <c r="B223" i="37"/>
  <c r="B47" i="36"/>
  <c r="B222" i="37"/>
  <c r="B232" i="36"/>
  <c r="B314" i="37"/>
  <c r="B86" i="36"/>
  <c r="B143" i="37"/>
  <c r="B195" i="36"/>
  <c r="B210" i="37"/>
  <c r="B203" i="36"/>
  <c r="B163" i="37"/>
  <c r="B126" i="36"/>
  <c r="B75" i="37"/>
  <c r="B123" i="36"/>
  <c r="B305" i="37"/>
  <c r="B312" i="36"/>
  <c r="B164" i="37"/>
  <c r="B130" i="36"/>
  <c r="B34" i="37"/>
  <c r="B230" i="36"/>
  <c r="B99" i="37"/>
  <c r="B238" i="36"/>
  <c r="B73" i="37"/>
  <c r="B206" i="36"/>
  <c r="B53" i="37"/>
  <c r="B235" i="36"/>
  <c r="B72" i="37"/>
  <c r="B247" i="36"/>
  <c r="B206" i="37"/>
  <c r="B178" i="36"/>
  <c r="B204" i="37"/>
  <c r="B210" i="36"/>
  <c r="B27" i="37"/>
  <c r="B112" i="36"/>
  <c r="B203" i="37"/>
  <c r="B202" i="36"/>
  <c r="B221" i="37"/>
  <c r="B45" i="36"/>
  <c r="B6" i="37"/>
  <c r="B161" i="36"/>
  <c r="B201" i="37"/>
  <c r="B260" i="36"/>
  <c r="B295" i="37"/>
  <c r="B282" i="36"/>
  <c r="B186" i="36"/>
  <c r="B128" i="37"/>
  <c r="B180" i="37"/>
  <c r="B51" i="36"/>
  <c r="B11" i="37"/>
  <c r="B5" i="36"/>
  <c r="B126" i="37"/>
  <c r="B119" i="36"/>
  <c r="B68" i="37"/>
  <c r="B263" i="36"/>
  <c r="B137" i="37"/>
  <c r="B153" i="36"/>
  <c r="B44" i="37"/>
  <c r="B65" i="36"/>
  <c r="B33" i="37"/>
  <c r="B44" i="36"/>
  <c r="B197" i="37"/>
  <c r="B184" i="36"/>
  <c r="B17" i="37"/>
  <c r="B62" i="36"/>
  <c r="B177" i="37"/>
  <c r="B139" i="36"/>
  <c r="B123" i="37"/>
  <c r="B109" i="36"/>
  <c r="B97" i="37"/>
  <c r="B14" i="36"/>
  <c r="B31" i="37"/>
  <c r="B192" i="36"/>
  <c r="B15" i="37"/>
  <c r="B137" i="36"/>
  <c r="B147" i="37"/>
  <c r="B91" i="36"/>
  <c r="B85" i="37"/>
  <c r="B133" i="36"/>
  <c r="B284" i="37"/>
  <c r="B90" i="36"/>
  <c r="B174" i="37"/>
  <c r="B208" i="36"/>
  <c r="B82" i="37"/>
  <c r="B41" i="36"/>
  <c r="B29" i="37"/>
  <c r="B147" i="36"/>
  <c r="B146" i="37"/>
  <c r="B158" i="36"/>
  <c r="B280" i="37"/>
  <c r="B211" i="36"/>
  <c r="B281" i="36"/>
  <c r="B121" i="37"/>
  <c r="B192" i="37"/>
  <c r="B187" i="36"/>
  <c r="B278" i="37"/>
  <c r="B310" i="36"/>
  <c r="B154" i="37"/>
  <c r="B21" i="36"/>
  <c r="B275" i="37"/>
  <c r="B106" i="36"/>
  <c r="B93" i="37"/>
  <c r="B152" i="36"/>
  <c r="B190" i="37"/>
  <c r="B253" i="36"/>
  <c r="B37" i="37"/>
  <c r="B270" i="36"/>
  <c r="B117" i="37"/>
  <c r="B278" i="36"/>
  <c r="B116" i="37"/>
  <c r="B221" i="36"/>
  <c r="B188" i="37"/>
  <c r="B217" i="36"/>
  <c r="B61" i="37"/>
  <c r="B274" i="36"/>
  <c r="B286" i="36"/>
  <c r="B13" i="37"/>
  <c r="B151" i="37"/>
  <c r="B83" i="36"/>
  <c r="B47" i="37"/>
  <c r="B128" i="36"/>
  <c r="B91" i="37"/>
  <c r="B46" i="36"/>
  <c r="B60" i="37"/>
  <c r="B175" i="36"/>
  <c r="B265" i="37"/>
  <c r="B113" i="36"/>
  <c r="B264" i="37"/>
  <c r="B214" i="36"/>
  <c r="B226" i="37"/>
  <c r="B242" i="36"/>
  <c r="B59" i="37"/>
  <c r="B135" i="36"/>
  <c r="B299" i="36"/>
  <c r="B260" i="37"/>
  <c r="B259" i="37"/>
  <c r="B298" i="36"/>
  <c r="B57" i="37"/>
  <c r="B169" i="36"/>
  <c r="B55" i="37"/>
  <c r="B254" i="36"/>
  <c r="B46" i="37"/>
  <c r="B39" i="36"/>
  <c r="B105" i="37"/>
  <c r="B107" i="36"/>
  <c r="B104" i="37"/>
  <c r="B103" i="36"/>
  <c r="B140" i="37"/>
  <c r="B193" i="36"/>
  <c r="B87" i="37"/>
  <c r="B156" i="36"/>
  <c r="B252" i="37"/>
  <c r="B102" i="36"/>
  <c r="B250" i="37"/>
  <c r="B76" i="36"/>
  <c r="B16" i="37"/>
  <c r="B60" i="36"/>
  <c r="B249" i="37"/>
  <c r="B71" i="36"/>
  <c r="B136" i="37"/>
  <c r="B89" i="36"/>
  <c r="B308" i="37"/>
  <c r="B124" i="36"/>
  <c r="B302" i="37"/>
  <c r="B262" i="36"/>
  <c r="B246" i="37"/>
  <c r="B311" i="36"/>
  <c r="B156" i="37"/>
  <c r="B104" i="36"/>
  <c r="B240" i="37"/>
  <c r="B56" i="36"/>
  <c r="B67" i="37"/>
  <c r="B93" i="36"/>
  <c r="B292" i="37"/>
  <c r="B75" i="36"/>
  <c r="B78" i="37"/>
  <c r="B31" i="36"/>
  <c r="B122" i="37"/>
  <c r="B118" i="36"/>
  <c r="B159" i="37"/>
  <c r="B160" i="36"/>
  <c r="B80" i="37"/>
  <c r="B27" i="36"/>
  <c r="B62" i="37"/>
  <c r="B255" i="36"/>
  <c r="B277" i="37"/>
  <c r="B108" i="36"/>
  <c r="B36" i="37"/>
  <c r="B17" i="36"/>
  <c r="B114" i="37"/>
  <c r="B219" i="36"/>
  <c r="B112" i="37"/>
  <c r="B215" i="36"/>
  <c r="B267" i="37"/>
  <c r="B166" i="36"/>
  <c r="B227" i="37"/>
  <c r="B49" i="36"/>
  <c r="B7" i="37"/>
  <c r="B287" i="36"/>
  <c r="B178" i="37"/>
  <c r="B151" i="36"/>
  <c r="B49" i="37"/>
  <c r="B15" i="36"/>
  <c r="B66" i="36"/>
  <c r="B8" i="37"/>
  <c r="B150" i="37"/>
  <c r="B179" i="36"/>
  <c r="B103" i="37"/>
  <c r="B98" i="36"/>
  <c r="B170" i="37"/>
  <c r="B78" i="36"/>
  <c r="B247" i="37"/>
  <c r="B252" i="36"/>
  <c r="B310" i="37"/>
  <c r="B94" i="36"/>
  <c r="B135" i="37"/>
  <c r="B122" i="36"/>
  <c r="B207" i="37"/>
  <c r="B251" i="36"/>
  <c r="B134" i="37"/>
  <c r="B268" i="36"/>
  <c r="B132" i="37"/>
  <c r="B168" i="36"/>
  <c r="B43" i="37"/>
  <c r="B172" i="36"/>
  <c r="B169" i="37"/>
  <c r="B289" i="36"/>
  <c r="B127" i="37"/>
  <c r="B194" i="36"/>
  <c r="B148" i="37"/>
  <c r="B154" i="36"/>
  <c r="B218" i="37"/>
  <c r="B285" i="36"/>
  <c r="B12" i="37"/>
  <c r="B11" i="36"/>
  <c r="B19" i="37"/>
  <c r="B35" i="36"/>
  <c r="B234" i="37"/>
  <c r="B236" i="36"/>
  <c r="B283" i="37"/>
  <c r="B164" i="36"/>
  <c r="B199" i="36"/>
  <c r="B39" i="37"/>
  <c r="B279" i="37"/>
  <c r="B99" i="36"/>
  <c r="B52" i="37"/>
  <c r="B231" i="36"/>
  <c r="B118" i="37"/>
  <c r="B171" i="36"/>
  <c r="B222" i="36"/>
  <c r="B189" i="37"/>
  <c r="B187" i="37"/>
  <c r="B216" i="36"/>
  <c r="B141" i="37"/>
  <c r="B82" i="36"/>
  <c r="B157" i="37"/>
  <c r="B26" i="36"/>
  <c r="B261" i="37"/>
  <c r="B295" i="36"/>
  <c r="B50" i="37"/>
  <c r="B291" i="36"/>
  <c r="B79" i="37"/>
  <c r="B131" i="36"/>
  <c r="B254" i="37"/>
  <c r="B110" i="36"/>
  <c r="B313" i="37"/>
  <c r="B85" i="36"/>
  <c r="B311" i="37"/>
  <c r="B180" i="36"/>
  <c r="B309" i="37"/>
  <c r="B296" i="36"/>
  <c r="B176" i="37"/>
  <c r="B125" i="36"/>
  <c r="B18" i="37"/>
  <c r="B240" i="36"/>
  <c r="B208" i="37"/>
  <c r="B283" i="36"/>
  <c r="B69" i="36"/>
  <c r="B9" i="37"/>
  <c r="B303" i="37"/>
  <c r="B183" i="36"/>
  <c r="B182" i="37"/>
  <c r="B159" i="36"/>
  <c r="B244" i="37"/>
  <c r="B163" i="36"/>
  <c r="B243" i="37"/>
  <c r="B155" i="36"/>
  <c r="B71" i="37"/>
  <c r="B264" i="36"/>
  <c r="B300" i="37"/>
  <c r="B244" i="36"/>
  <c r="B138" i="37"/>
  <c r="B162" i="36"/>
  <c r="B131" i="37"/>
  <c r="B167" i="36"/>
  <c r="B202" i="37"/>
  <c r="B228" i="36"/>
  <c r="B130" i="37"/>
  <c r="B201" i="36"/>
  <c r="B297" i="37"/>
  <c r="B111" i="36"/>
  <c r="B129" i="37"/>
  <c r="B205" i="36"/>
  <c r="B220" i="37"/>
  <c r="B68" i="36"/>
  <c r="B70" i="37"/>
  <c r="B80" i="36"/>
  <c r="B219" i="37"/>
  <c r="B13" i="36"/>
  <c r="B294" i="37"/>
  <c r="B303" i="36"/>
  <c r="B125" i="37"/>
  <c r="B22" i="36"/>
  <c r="B32" i="37"/>
  <c r="B191" i="36"/>
  <c r="B155" i="37"/>
  <c r="B294" i="36"/>
  <c r="B98" i="37"/>
  <c r="B141" i="36"/>
  <c r="B124" i="37"/>
  <c r="B19" i="36"/>
  <c r="B291" i="37"/>
  <c r="B170" i="36"/>
  <c r="B198" i="37"/>
  <c r="B276" i="36"/>
  <c r="B65" i="37"/>
  <c r="B266" i="36"/>
  <c r="B144" i="37"/>
  <c r="B284" i="36"/>
  <c r="B86" i="37"/>
  <c r="B136" i="36"/>
  <c r="B142" i="37"/>
  <c r="B200" i="36"/>
  <c r="B10" i="37"/>
  <c r="B36" i="36"/>
  <c r="B195" i="37"/>
  <c r="B259" i="36"/>
  <c r="B285" i="37"/>
  <c r="B96" i="36"/>
  <c r="B217" i="37"/>
  <c r="B20" i="36"/>
  <c r="B63" i="37"/>
  <c r="B189" i="36"/>
  <c r="B77" i="37"/>
  <c r="B33" i="36"/>
  <c r="B305" i="36"/>
  <c r="B282" i="37"/>
  <c r="B95" i="37"/>
  <c r="B148" i="36"/>
  <c r="B81" i="37"/>
  <c r="B28" i="36"/>
  <c r="B193" i="37"/>
  <c r="B188" i="36"/>
  <c r="B94" i="37"/>
  <c r="B234" i="36"/>
  <c r="B120" i="37"/>
  <c r="B280" i="36"/>
  <c r="B161" i="37"/>
  <c r="B224" i="36"/>
  <c r="B191" i="37"/>
  <c r="B279" i="36"/>
  <c r="B119" i="37"/>
  <c r="B246" i="36"/>
  <c r="B212" i="37"/>
  <c r="B40" i="36"/>
  <c r="B273" i="37"/>
  <c r="B105" i="36"/>
  <c r="B167" i="37"/>
  <c r="B58" i="36"/>
  <c r="B92" i="37"/>
  <c r="B237" i="36"/>
  <c r="B271" i="37"/>
  <c r="B223" i="36"/>
  <c r="B115" i="37"/>
  <c r="B220" i="36"/>
  <c r="B269" i="37"/>
  <c r="B115" i="36"/>
  <c r="B268" i="37"/>
  <c r="B176" i="36"/>
  <c r="B172" i="37"/>
  <c r="B309" i="36"/>
  <c r="B111" i="37"/>
  <c r="B257" i="36"/>
  <c r="B230" i="37"/>
  <c r="B53" i="36"/>
  <c r="B186" i="37"/>
  <c r="B79" i="36"/>
  <c r="B185" i="37"/>
  <c r="B204" i="36"/>
  <c r="B109" i="37"/>
  <c r="B209" i="36"/>
  <c r="B228" i="37"/>
  <c r="B50" i="36"/>
  <c r="B88" i="37"/>
  <c r="B233" i="36"/>
  <c r="B262" i="37"/>
  <c r="B306" i="36"/>
  <c r="B216" i="37"/>
  <c r="B138" i="36"/>
  <c r="B258" i="37"/>
  <c r="B25" i="36"/>
  <c r="B56" i="37"/>
  <c r="B304" i="36"/>
  <c r="B184" i="37"/>
  <c r="B265" i="36"/>
  <c r="B106" i="37"/>
  <c r="B24" i="36"/>
  <c r="B256" i="37"/>
  <c r="B307" i="36"/>
  <c r="B225" i="37"/>
  <c r="B67" i="36"/>
  <c r="B76" i="37"/>
  <c r="B127" i="36"/>
  <c r="B224" i="37"/>
  <c r="B52" i="36"/>
  <c r="B251" i="37"/>
  <c r="B101" i="36"/>
  <c r="B165" i="37"/>
  <c r="B42" i="36"/>
  <c r="B102" i="37"/>
  <c r="B114" i="36"/>
  <c r="B248" i="37"/>
  <c r="B250" i="36"/>
  <c r="H99" i="13"/>
  <c r="H169" i="13"/>
  <c r="H52" i="13"/>
  <c r="H105" i="13"/>
  <c r="H218" i="13"/>
  <c r="H201" i="13"/>
  <c r="H119" i="13"/>
  <c r="H183" i="13"/>
  <c r="H267" i="13"/>
  <c r="H283" i="13"/>
  <c r="H84" i="13"/>
  <c r="H262" i="13"/>
  <c r="H63" i="13"/>
  <c r="H151" i="13"/>
  <c r="H216" i="13"/>
  <c r="H289" i="13"/>
  <c r="H171" i="13"/>
  <c r="H89" i="13"/>
  <c r="H66" i="13"/>
  <c r="H142" i="13"/>
  <c r="H161" i="13"/>
  <c r="H141" i="13"/>
  <c r="H263" i="13"/>
  <c r="H295" i="13"/>
  <c r="H30" i="13"/>
  <c r="H111" i="13"/>
  <c r="H69" i="13"/>
  <c r="H268" i="13"/>
  <c r="H312" i="13"/>
  <c r="H302" i="13"/>
  <c r="H41" i="13"/>
  <c r="H74" i="13"/>
  <c r="H280" i="13"/>
  <c r="H131" i="13"/>
  <c r="H113" i="13"/>
  <c r="H275" i="13"/>
  <c r="H296" i="13"/>
  <c r="H278" i="13"/>
  <c r="H150" i="13"/>
  <c r="H284" i="13"/>
  <c r="H213" i="13"/>
  <c r="H231" i="13"/>
  <c r="H227" i="13"/>
  <c r="H162" i="13"/>
  <c r="H225" i="13"/>
  <c r="H106" i="13"/>
  <c r="H129" i="13"/>
  <c r="H94" i="13"/>
  <c r="H134" i="13"/>
  <c r="H194" i="13"/>
  <c r="H60" i="13"/>
  <c r="H5" i="13"/>
  <c r="H254" i="13"/>
  <c r="H293" i="13"/>
  <c r="H246" i="13"/>
  <c r="H292" i="13"/>
  <c r="H39" i="13"/>
  <c r="H303" i="13"/>
  <c r="H124" i="13"/>
  <c r="H136" i="13"/>
  <c r="H109" i="13"/>
  <c r="H93" i="13"/>
  <c r="H276" i="13"/>
  <c r="H188" i="13"/>
  <c r="H97" i="13"/>
  <c r="H168" i="13"/>
  <c r="H222" i="13"/>
  <c r="H250" i="13"/>
  <c r="H260" i="13"/>
  <c r="H190" i="13"/>
  <c r="H182" i="13"/>
  <c r="H23" i="13"/>
  <c r="H88" i="13"/>
  <c r="H187" i="13"/>
  <c r="H202" i="13"/>
  <c r="H271" i="13"/>
  <c r="H258" i="13"/>
  <c r="H243" i="13"/>
  <c r="H137" i="13"/>
  <c r="H215" i="13"/>
  <c r="H154" i="13"/>
  <c r="H140" i="13"/>
  <c r="H83" i="13"/>
  <c r="H269" i="13"/>
  <c r="H163" i="13"/>
  <c r="H49" i="13"/>
  <c r="H4" i="13"/>
  <c r="H118" i="13"/>
  <c r="H180" i="13"/>
  <c r="H68" i="13"/>
  <c r="H90" i="13"/>
  <c r="H184" i="13"/>
  <c r="H144" i="13"/>
  <c r="H242" i="13"/>
  <c r="H164" i="13"/>
  <c r="H248" i="13"/>
  <c r="H55" i="13"/>
  <c r="H116" i="13"/>
  <c r="H196" i="13"/>
  <c r="H279" i="13"/>
  <c r="H239" i="13"/>
  <c r="H226" i="13"/>
  <c r="H198" i="13"/>
  <c r="H25" i="13"/>
  <c r="H100" i="13"/>
  <c r="H128" i="13"/>
  <c r="H45" i="13"/>
  <c r="H206" i="13"/>
  <c r="H223" i="13"/>
  <c r="H311" i="13"/>
  <c r="H103" i="13"/>
  <c r="H300" i="13"/>
  <c r="H299" i="13"/>
  <c r="H211" i="13"/>
  <c r="H120" i="13"/>
  <c r="H96" i="13"/>
  <c r="H170" i="13"/>
  <c r="H85" i="13"/>
  <c r="H70" i="13"/>
  <c r="H95" i="13"/>
  <c r="H192" i="13"/>
  <c r="H221" i="13"/>
  <c r="H28" i="13"/>
  <c r="H244" i="13"/>
  <c r="H160" i="13"/>
  <c r="H145" i="13"/>
  <c r="H313" i="13"/>
  <c r="H172" i="13"/>
  <c r="H72" i="13"/>
  <c r="H177" i="13"/>
  <c r="H121" i="13"/>
  <c r="H32" i="13"/>
  <c r="H104" i="13"/>
  <c r="H51" i="13"/>
  <c r="H305" i="13"/>
  <c r="H56" i="13"/>
  <c r="H147" i="13"/>
  <c r="H102" i="13"/>
  <c r="H272" i="13"/>
  <c r="H36" i="13"/>
  <c r="H148" i="13"/>
  <c r="H287" i="13"/>
  <c r="H261" i="13"/>
  <c r="H288" i="13"/>
  <c r="H132" i="13"/>
  <c r="H176" i="13"/>
  <c r="H298" i="13"/>
  <c r="H255" i="13"/>
  <c r="H91" i="13"/>
  <c r="H167" i="13"/>
  <c r="H126" i="13"/>
  <c r="H306" i="13"/>
  <c r="H50" i="13"/>
  <c r="H166" i="13"/>
  <c r="H241" i="13"/>
  <c r="H233" i="13"/>
  <c r="H240" i="13"/>
  <c r="H191" i="13"/>
  <c r="H257" i="13"/>
  <c r="H115" i="13"/>
  <c r="H80" i="13"/>
  <c r="H232" i="13"/>
  <c r="H229" i="13"/>
  <c r="H210" i="13"/>
  <c r="H156" i="13"/>
  <c r="H247" i="13"/>
  <c r="H200" i="13"/>
  <c r="H46" i="13"/>
  <c r="H98" i="13"/>
  <c r="H181" i="13"/>
  <c r="H186" i="13"/>
  <c r="H282" i="13"/>
  <c r="H189" i="13"/>
  <c r="H307" i="13"/>
  <c r="H58" i="13"/>
  <c r="H185" i="13"/>
  <c r="H259" i="13"/>
  <c r="H57" i="13"/>
  <c r="H245" i="13"/>
  <c r="H256" i="13"/>
  <c r="H209" i="13"/>
  <c r="H110" i="13"/>
  <c r="H107" i="13"/>
  <c r="H252" i="13"/>
  <c r="H143" i="13"/>
  <c r="H37" i="13"/>
  <c r="H220" i="13"/>
  <c r="H251" i="13"/>
  <c r="H139" i="13"/>
  <c r="H205" i="13"/>
  <c r="H238" i="13"/>
  <c r="H47" i="13"/>
  <c r="H204" i="13"/>
  <c r="H249" i="13"/>
  <c r="H127" i="13"/>
  <c r="H114" i="13"/>
  <c r="H122" i="13"/>
  <c r="H265" i="13"/>
  <c r="H217" i="13"/>
  <c r="H77" i="13"/>
  <c r="H42" i="13"/>
  <c r="H207" i="13"/>
  <c r="H236" i="13"/>
  <c r="H108" i="13"/>
  <c r="H79" i="13"/>
  <c r="H92" i="13"/>
  <c r="H152" i="13"/>
  <c r="H64" i="13"/>
  <c r="H67" i="13"/>
  <c r="H53" i="13"/>
  <c r="H285" i="13"/>
  <c r="H214" i="13"/>
  <c r="H301" i="13"/>
  <c r="H235" i="13"/>
  <c r="H308" i="13"/>
  <c r="H62" i="13"/>
  <c r="H101" i="13"/>
  <c r="H234" i="13"/>
  <c r="H197" i="13"/>
  <c r="H8" i="13"/>
  <c r="H264" i="13"/>
  <c r="H117" i="13"/>
  <c r="H274" i="13"/>
  <c r="H175" i="13"/>
  <c r="H309" i="13"/>
  <c r="H27" i="13"/>
  <c r="H212" i="13"/>
  <c r="H228" i="13"/>
  <c r="H310" i="13"/>
  <c r="H224" i="13"/>
  <c r="H290" i="13"/>
  <c r="H208" i="13"/>
  <c r="H273" i="13"/>
  <c r="H281" i="13"/>
  <c r="H253" i="13"/>
  <c r="H291" i="13"/>
  <c r="H26" i="13"/>
  <c r="H304" i="13"/>
  <c r="H165" i="13"/>
  <c r="H266" i="13"/>
  <c r="H174" i="13"/>
  <c r="H179" i="13"/>
  <c r="H112" i="13"/>
  <c r="H193" i="13"/>
  <c r="H195" i="13"/>
  <c r="BC322" i="7"/>
  <c r="I95" i="13"/>
  <c r="BC318" i="7"/>
  <c r="I192" i="13"/>
  <c r="BC314" i="7"/>
  <c r="I294" i="13"/>
  <c r="BC310" i="7"/>
  <c r="I221" i="13"/>
  <c r="BC306" i="7"/>
  <c r="I28" i="13"/>
  <c r="BC302" i="7"/>
  <c r="I244" i="13"/>
  <c r="BC298" i="7"/>
  <c r="I9" i="13"/>
  <c r="BC294" i="7"/>
  <c r="I160" i="13"/>
  <c r="BC290" i="7"/>
  <c r="I145" i="13"/>
  <c r="BC286" i="7"/>
  <c r="I313" i="13"/>
  <c r="BC282" i="7"/>
  <c r="I18" i="13"/>
  <c r="BC278" i="7"/>
  <c r="I172" i="13"/>
  <c r="BC274" i="7"/>
  <c r="I72" i="13"/>
  <c r="BC270" i="7"/>
  <c r="I11" i="13"/>
  <c r="BC266" i="7"/>
  <c r="I81" i="13"/>
  <c r="BC262" i="7"/>
  <c r="I237" i="13"/>
  <c r="BC258" i="7"/>
  <c r="I177" i="13"/>
  <c r="BC254" i="7"/>
  <c r="I121" i="13"/>
  <c r="BC250" i="7"/>
  <c r="I178" i="13"/>
  <c r="BC246" i="7"/>
  <c r="I32" i="13"/>
  <c r="BC242" i="7"/>
  <c r="I104" i="13"/>
  <c r="BC238" i="7"/>
  <c r="I51" i="13"/>
  <c r="BC234" i="7"/>
  <c r="I305" i="13"/>
  <c r="BC230" i="7"/>
  <c r="I56" i="13"/>
  <c r="BC226" i="7"/>
  <c r="I147" i="13"/>
  <c r="BC222" i="7"/>
  <c r="I102" i="13"/>
  <c r="BC218" i="7"/>
  <c r="I272" i="13"/>
  <c r="BC214" i="7"/>
  <c r="I36" i="13"/>
  <c r="BC210" i="7"/>
  <c r="I148" i="13"/>
  <c r="BC206" i="7"/>
  <c r="I287" i="13"/>
  <c r="BC202" i="7"/>
  <c r="I261" i="13"/>
  <c r="BC198" i="7"/>
  <c r="I288" i="13"/>
  <c r="BC194" i="7"/>
  <c r="I132" i="13"/>
  <c r="BC190" i="7"/>
  <c r="I176" i="13"/>
  <c r="BC186" i="7"/>
  <c r="I298" i="13"/>
  <c r="BC182" i="7"/>
  <c r="I255" i="13"/>
  <c r="BC178" i="7"/>
  <c r="I91" i="13"/>
  <c r="BC174" i="7"/>
  <c r="I54" i="13"/>
  <c r="BC170" i="7"/>
  <c r="I167" i="13"/>
  <c r="BC166" i="7"/>
  <c r="I126" i="13"/>
  <c r="BC162" i="7"/>
  <c r="I306" i="13"/>
  <c r="BC158" i="7"/>
  <c r="I15" i="13"/>
  <c r="BC154" i="7"/>
  <c r="I50" i="13"/>
  <c r="BC150" i="7"/>
  <c r="I166" i="13"/>
  <c r="BC146" i="7"/>
  <c r="I22" i="13"/>
  <c r="BC142" i="7"/>
  <c r="I241" i="13"/>
  <c r="BC138" i="7"/>
  <c r="I233" i="13"/>
  <c r="BC134" i="7"/>
  <c r="I240" i="13"/>
  <c r="BC130" i="7"/>
  <c r="I191" i="13"/>
  <c r="BC126" i="7"/>
  <c r="I257" i="13"/>
  <c r="BC122" i="7"/>
  <c r="I115" i="13"/>
  <c r="BC118" i="7"/>
  <c r="I80" i="13"/>
  <c r="BC114" i="7"/>
  <c r="I24" i="13"/>
  <c r="BC110" i="7"/>
  <c r="I232" i="13"/>
  <c r="BC106" i="7"/>
  <c r="I229" i="13"/>
  <c r="BC102" i="7"/>
  <c r="I210" i="13"/>
  <c r="BC98" i="7"/>
  <c r="I156" i="13"/>
  <c r="BC94" i="7"/>
  <c r="I247" i="13"/>
  <c r="BC90" i="7"/>
  <c r="I200" i="13"/>
  <c r="BC86" i="7"/>
  <c r="I46" i="13"/>
  <c r="BC83" i="7"/>
  <c r="I98" i="13"/>
  <c r="BC79" i="7"/>
  <c r="I181" i="13"/>
  <c r="BC75" i="7"/>
  <c r="I186" i="13"/>
  <c r="BC71" i="7"/>
  <c r="I282" i="13"/>
  <c r="BC67" i="7"/>
  <c r="I189" i="13"/>
  <c r="BC63" i="7"/>
  <c r="I307" i="13"/>
  <c r="BC59" i="7"/>
  <c r="I270" i="13"/>
  <c r="BC51" i="7"/>
  <c r="I58" i="13"/>
  <c r="BC47" i="7"/>
  <c r="I185" i="13"/>
  <c r="BC43" i="7"/>
  <c r="I259" i="13"/>
  <c r="BC39" i="7"/>
  <c r="I57" i="13"/>
  <c r="BC35" i="7"/>
  <c r="I245" i="13"/>
  <c r="BC31" i="7"/>
  <c r="I87" i="13"/>
  <c r="BC27" i="7"/>
  <c r="I256" i="13"/>
  <c r="BC23" i="7"/>
  <c r="I286" i="13"/>
  <c r="BC19" i="7"/>
  <c r="I158" i="13"/>
  <c r="BC15" i="7"/>
  <c r="I6" i="13"/>
  <c r="BC11" i="7"/>
  <c r="I209" i="13"/>
  <c r="BC7" i="7"/>
  <c r="I110" i="13"/>
  <c r="H125" i="13"/>
  <c r="H19" i="13"/>
  <c r="H13" i="13"/>
  <c r="H146" i="13"/>
  <c r="H7" i="13"/>
  <c r="H34" i="13"/>
  <c r="H44" i="13"/>
  <c r="H199" i="13"/>
  <c r="H14" i="13"/>
  <c r="H173" i="13"/>
  <c r="H155" i="13"/>
  <c r="H31" i="13"/>
  <c r="H130" i="13"/>
  <c r="H76" i="13"/>
  <c r="BC325" i="7"/>
  <c r="I107" i="13"/>
  <c r="BC321" i="7"/>
  <c r="I252" i="13"/>
  <c r="BC317" i="7"/>
  <c r="I143" i="13"/>
  <c r="BC313" i="7"/>
  <c r="I37" i="13"/>
  <c r="BC309" i="7"/>
  <c r="I220" i="13"/>
  <c r="BC305" i="7"/>
  <c r="I251" i="13"/>
  <c r="BC297" i="7"/>
  <c r="I139" i="13"/>
  <c r="BC293" i="7"/>
  <c r="I205" i="13"/>
  <c r="BC289" i="7"/>
  <c r="I238" i="13"/>
  <c r="BC285" i="7"/>
  <c r="I47" i="13"/>
  <c r="BC281" i="7"/>
  <c r="I204" i="13"/>
  <c r="BC277" i="7"/>
  <c r="I249" i="13"/>
  <c r="BC273" i="7"/>
  <c r="I127" i="13"/>
  <c r="BC269" i="7"/>
  <c r="I59" i="13"/>
  <c r="BC265" i="7"/>
  <c r="I82" i="13"/>
  <c r="BC261" i="7"/>
  <c r="I114" i="13"/>
  <c r="BC257" i="7"/>
  <c r="I122" i="13"/>
  <c r="BC253" i="7"/>
  <c r="I265" i="13"/>
  <c r="BC249" i="7"/>
  <c r="I217" i="13"/>
  <c r="BC245" i="7"/>
  <c r="I77" i="13"/>
  <c r="BC241" i="7"/>
  <c r="I61" i="13"/>
  <c r="BC237" i="7"/>
  <c r="I42" i="13"/>
  <c r="BC233" i="7"/>
  <c r="I207" i="13"/>
  <c r="BC229" i="7"/>
  <c r="I236" i="13"/>
  <c r="BC225" i="7"/>
  <c r="I108" i="13"/>
  <c r="BC221" i="7"/>
  <c r="I79" i="13"/>
  <c r="BC213" i="7"/>
  <c r="I92" i="13"/>
  <c r="BC209" i="7"/>
  <c r="I71" i="13"/>
  <c r="BC205" i="7"/>
  <c r="I73" i="13"/>
  <c r="BC201" i="7"/>
  <c r="I152" i="13"/>
  <c r="BC197" i="7"/>
  <c r="I64" i="13"/>
  <c r="BC193" i="7"/>
  <c r="I67" i="13"/>
  <c r="BC189" i="7"/>
  <c r="I53" i="13"/>
  <c r="BC185" i="7"/>
  <c r="I285" i="13"/>
  <c r="BC181" i="7"/>
  <c r="I214" i="13"/>
  <c r="BC177" i="7"/>
  <c r="I301" i="13"/>
  <c r="BC173" i="7"/>
  <c r="I314" i="13"/>
  <c r="BC169" i="7"/>
  <c r="I235" i="13"/>
  <c r="BC165" i="7"/>
  <c r="I308" i="13"/>
  <c r="BC157" i="7"/>
  <c r="I12" i="13"/>
  <c r="BC153" i="7"/>
  <c r="I62" i="13"/>
  <c r="BC149" i="7"/>
  <c r="I101" i="13"/>
  <c r="BC145" i="7"/>
  <c r="I234" i="13"/>
  <c r="BC141" i="7"/>
  <c r="I197" i="13"/>
  <c r="BC137" i="7"/>
  <c r="I8" i="13"/>
  <c r="BC133" i="7"/>
  <c r="I264" i="13"/>
  <c r="BC129" i="7"/>
  <c r="I117" i="13"/>
  <c r="BC125" i="7"/>
  <c r="I274" i="13"/>
  <c r="BC121" i="7"/>
  <c r="I175" i="13"/>
  <c r="BC117" i="7"/>
  <c r="I309" i="13"/>
  <c r="BC113" i="7"/>
  <c r="I27" i="13"/>
  <c r="BC109" i="7"/>
  <c r="I212" i="13"/>
  <c r="BC105" i="7"/>
  <c r="I228" i="13"/>
  <c r="BC101" i="7"/>
  <c r="I40" i="13"/>
  <c r="BC97" i="7"/>
  <c r="I310" i="13"/>
  <c r="BC93" i="7"/>
  <c r="I224" i="13"/>
  <c r="BC89" i="7"/>
  <c r="I290" i="13"/>
  <c r="BC82" i="7"/>
  <c r="I75" i="13"/>
  <c r="BC78" i="7"/>
  <c r="I208" i="13"/>
  <c r="BC74" i="7"/>
  <c r="I273" i="13"/>
  <c r="BC70" i="7"/>
  <c r="I281" i="13"/>
  <c r="BC66" i="7"/>
  <c r="I253" i="13"/>
  <c r="BC62" i="7"/>
  <c r="I291" i="13"/>
  <c r="BC58" i="7"/>
  <c r="I26" i="13"/>
  <c r="BC54" i="7"/>
  <c r="I135" i="13"/>
  <c r="BC50" i="7"/>
  <c r="I304" i="13"/>
  <c r="BC46" i="7"/>
  <c r="I16" i="13"/>
  <c r="BC42" i="7"/>
  <c r="I165" i="13"/>
  <c r="BC38" i="7"/>
  <c r="I266" i="13"/>
  <c r="BC34" i="7"/>
  <c r="I35" i="13"/>
  <c r="BC30" i="7"/>
  <c r="I86" i="13"/>
  <c r="BC26" i="7"/>
  <c r="I174" i="13"/>
  <c r="BC22" i="7"/>
  <c r="I179" i="13"/>
  <c r="BC18" i="7"/>
  <c r="I112" i="13"/>
  <c r="BC14" i="7"/>
  <c r="I78" i="13"/>
  <c r="BC10" i="7"/>
  <c r="I193" i="13"/>
  <c r="BC6" i="7"/>
  <c r="I195" i="13"/>
  <c r="H203" i="13"/>
  <c r="H219" i="13"/>
  <c r="H21" i="13"/>
  <c r="H157" i="13"/>
  <c r="H123" i="13"/>
  <c r="H10" i="13"/>
  <c r="H29" i="13"/>
  <c r="H38" i="13"/>
  <c r="H33" i="13"/>
  <c r="H133" i="13"/>
  <c r="H20" i="13"/>
  <c r="H43" i="13"/>
  <c r="H138" i="13"/>
  <c r="H277" i="13"/>
  <c r="H17" i="13"/>
  <c r="H230" i="13"/>
  <c r="H153" i="13"/>
  <c r="H149" i="13"/>
  <c r="H65" i="13"/>
  <c r="H297" i="13"/>
  <c r="H159" i="13"/>
  <c r="H48" i="13"/>
  <c r="BC324" i="7"/>
  <c r="I99" i="13"/>
  <c r="BC320" i="7"/>
  <c r="I169" i="13"/>
  <c r="BC316" i="7"/>
  <c r="I125" i="13"/>
  <c r="BC312" i="7"/>
  <c r="I52" i="13"/>
  <c r="BC308" i="7"/>
  <c r="I105" i="13"/>
  <c r="BC304" i="7"/>
  <c r="I218" i="13"/>
  <c r="BC300" i="7"/>
  <c r="I201" i="13"/>
  <c r="BC296" i="7"/>
  <c r="I19" i="13"/>
  <c r="BC292" i="7"/>
  <c r="I119" i="13"/>
  <c r="BC288" i="7"/>
  <c r="I183" i="13"/>
  <c r="BC284" i="7"/>
  <c r="I13" i="13"/>
  <c r="BC280" i="7"/>
  <c r="I267" i="13"/>
  <c r="BC276" i="7"/>
  <c r="I283" i="13"/>
  <c r="BC272" i="7"/>
  <c r="I84" i="13"/>
  <c r="BC268" i="7"/>
  <c r="I146" i="13"/>
  <c r="BC264" i="7"/>
  <c r="I262" i="13"/>
  <c r="BC260" i="7"/>
  <c r="I63" i="13"/>
  <c r="BC256" i="7"/>
  <c r="I151" i="13"/>
  <c r="BC252" i="7"/>
  <c r="I7" i="13"/>
  <c r="BC248" i="7"/>
  <c r="I216" i="13"/>
  <c r="BC244" i="7"/>
  <c r="I289" i="13"/>
  <c r="BC240" i="7"/>
  <c r="I34" i="13"/>
  <c r="BC236" i="7"/>
  <c r="I44" i="13"/>
  <c r="BC232" i="7"/>
  <c r="I171" i="13"/>
  <c r="BC228" i="7"/>
  <c r="I89" i="13"/>
  <c r="BC224" i="7"/>
  <c r="I66" i="13"/>
  <c r="BC220" i="7"/>
  <c r="I142" i="13"/>
  <c r="BC216" i="7"/>
  <c r="I161" i="13"/>
  <c r="BC212" i="7"/>
  <c r="I141" i="13"/>
  <c r="BC208" i="7"/>
  <c r="I263" i="13"/>
  <c r="BC204" i="7"/>
  <c r="I199" i="13"/>
  <c r="BC200" i="7"/>
  <c r="I295" i="13"/>
  <c r="BC196" i="7"/>
  <c r="I30" i="13"/>
  <c r="BC192" i="7"/>
  <c r="I111" i="13"/>
  <c r="BC188" i="7"/>
  <c r="I69" i="13"/>
  <c r="BC184" i="7"/>
  <c r="I268" i="13"/>
  <c r="BC180" i="7"/>
  <c r="I312" i="13"/>
  <c r="BC176" i="7"/>
  <c r="I302" i="13"/>
  <c r="BC172" i="7"/>
  <c r="I14" i="13"/>
  <c r="BC168" i="7"/>
  <c r="I41" i="13"/>
  <c r="BC164" i="7"/>
  <c r="I74" i="13"/>
  <c r="BC160" i="7"/>
  <c r="I280" i="13"/>
  <c r="BC156" i="7"/>
  <c r="I173" i="13"/>
  <c r="BC152" i="7"/>
  <c r="I131" i="13"/>
  <c r="BC148" i="7"/>
  <c r="I155" i="13"/>
  <c r="BC144" i="7"/>
  <c r="I113" i="13"/>
  <c r="BC136" i="7"/>
  <c r="I31" i="13"/>
  <c r="BC132" i="7"/>
  <c r="I275" i="13"/>
  <c r="BC128" i="7"/>
  <c r="I296" i="13"/>
  <c r="BC124" i="7"/>
  <c r="I278" i="13"/>
  <c r="BC120" i="7"/>
  <c r="I150" i="13"/>
  <c r="BC116" i="7"/>
  <c r="I284" i="13"/>
  <c r="BC112" i="7"/>
  <c r="I213" i="13"/>
  <c r="BC108" i="7"/>
  <c r="I231" i="13"/>
  <c r="BC104" i="7"/>
  <c r="I227" i="13"/>
  <c r="BC100" i="7"/>
  <c r="I162" i="13"/>
  <c r="BC96" i="7"/>
  <c r="I225" i="13"/>
  <c r="BC92" i="7"/>
  <c r="I106" i="13"/>
  <c r="BC88" i="7"/>
  <c r="I129" i="13"/>
  <c r="BC85" i="7"/>
  <c r="I94" i="13"/>
  <c r="BC81" i="7"/>
  <c r="I134" i="13"/>
  <c r="BC77" i="7"/>
  <c r="I194" i="13"/>
  <c r="BC73" i="7"/>
  <c r="I60" i="13"/>
  <c r="BC69" i="7"/>
  <c r="I5" i="13"/>
  <c r="BC65" i="7"/>
  <c r="I254" i="13"/>
  <c r="BC61" i="7"/>
  <c r="I293" i="13"/>
  <c r="BC53" i="7"/>
  <c r="I246" i="13"/>
  <c r="BC49" i="7"/>
  <c r="I292" i="13"/>
  <c r="BC45" i="7"/>
  <c r="I39" i="13"/>
  <c r="BC41" i="7"/>
  <c r="I130" i="13"/>
  <c r="BC37" i="7"/>
  <c r="I76" i="13"/>
  <c r="BC33" i="7"/>
  <c r="I303" i="13"/>
  <c r="BC29" i="7"/>
  <c r="I124" i="13"/>
  <c r="BC25" i="7"/>
  <c r="I136" i="13"/>
  <c r="BC21" i="7"/>
  <c r="I109" i="13"/>
  <c r="BC17" i="7"/>
  <c r="I93" i="13"/>
  <c r="BC13" i="7"/>
  <c r="I276" i="13"/>
  <c r="BC9" i="7"/>
  <c r="I188" i="13"/>
  <c r="H294" i="13"/>
  <c r="H9" i="13"/>
  <c r="H18" i="13"/>
  <c r="H11" i="13"/>
  <c r="H81" i="13"/>
  <c r="H237" i="13"/>
  <c r="H178" i="13"/>
  <c r="H54" i="13"/>
  <c r="H15" i="13"/>
  <c r="H22" i="13"/>
  <c r="H24" i="13"/>
  <c r="H270" i="13"/>
  <c r="H87" i="13"/>
  <c r="H286" i="13"/>
  <c r="H158" i="13"/>
  <c r="H6" i="13"/>
  <c r="BC323" i="7"/>
  <c r="I97" i="13"/>
  <c r="BC319" i="7"/>
  <c r="I168" i="13"/>
  <c r="BC315" i="7"/>
  <c r="I203" i="13"/>
  <c r="BC311" i="7"/>
  <c r="I222" i="13"/>
  <c r="BC307" i="7"/>
  <c r="I219" i="13"/>
  <c r="BC303" i="7"/>
  <c r="I250" i="13"/>
  <c r="BC299" i="7"/>
  <c r="I260" i="13"/>
  <c r="BC295" i="7"/>
  <c r="I21" i="13"/>
  <c r="BC291" i="7"/>
  <c r="I190" i="13"/>
  <c r="BC287" i="7"/>
  <c r="I182" i="13"/>
  <c r="BC283" i="7"/>
  <c r="I23" i="13"/>
  <c r="BC279" i="7"/>
  <c r="I88" i="13"/>
  <c r="BC275" i="7"/>
  <c r="I157" i="13"/>
  <c r="BC271" i="7"/>
  <c r="I187" i="13"/>
  <c r="BC267" i="7"/>
  <c r="I123" i="13"/>
  <c r="BC263" i="7"/>
  <c r="I202" i="13"/>
  <c r="BC259" i="7"/>
  <c r="I271" i="13"/>
  <c r="BC255" i="7"/>
  <c r="I10" i="13"/>
  <c r="BC251" i="7"/>
  <c r="I258" i="13"/>
  <c r="BC247" i="7"/>
  <c r="I243" i="13"/>
  <c r="BC243" i="7"/>
  <c r="I137" i="13"/>
  <c r="BC239" i="7"/>
  <c r="I29" i="13"/>
  <c r="BC235" i="7"/>
  <c r="I38" i="13"/>
  <c r="BC231" i="7"/>
  <c r="I215" i="13"/>
  <c r="BC227" i="7"/>
  <c r="I154" i="13"/>
  <c r="BC219" i="7"/>
  <c r="I140" i="13"/>
  <c r="BC215" i="7"/>
  <c r="I83" i="13"/>
  <c r="BC211" i="7"/>
  <c r="I269" i="13"/>
  <c r="BC203" i="7"/>
  <c r="I163" i="13"/>
  <c r="BC199" i="7"/>
  <c r="I49" i="13"/>
  <c r="BC195" i="7"/>
  <c r="I4" i="13"/>
  <c r="BC191" i="7"/>
  <c r="I118" i="13"/>
  <c r="BC187" i="7"/>
  <c r="I33" i="13"/>
  <c r="BC183" i="7"/>
  <c r="I180" i="13"/>
  <c r="BC179" i="7"/>
  <c r="I133" i="13"/>
  <c r="BC175" i="7"/>
  <c r="I68" i="13"/>
  <c r="BC171" i="7"/>
  <c r="I20" i="13"/>
  <c r="BC167" i="7"/>
  <c r="I90" i="13"/>
  <c r="BC163" i="7"/>
  <c r="I184" i="13"/>
  <c r="BC159" i="7"/>
  <c r="I43" i="13"/>
  <c r="BC155" i="7"/>
  <c r="I138" i="13"/>
  <c r="BC151" i="7"/>
  <c r="I144" i="13"/>
  <c r="BC147" i="7"/>
  <c r="I277" i="13"/>
  <c r="BC143" i="7"/>
  <c r="I242" i="13"/>
  <c r="BC139" i="7"/>
  <c r="I164" i="13"/>
  <c r="BC135" i="7"/>
  <c r="I248" i="13"/>
  <c r="BC131" i="7"/>
  <c r="I55" i="13"/>
  <c r="BC127" i="7"/>
  <c r="I116" i="13"/>
  <c r="BC123" i="7"/>
  <c r="I17" i="13"/>
  <c r="BC119" i="7"/>
  <c r="I196" i="13"/>
  <c r="BC115" i="7"/>
  <c r="I279" i="13"/>
  <c r="BC111" i="7"/>
  <c r="I239" i="13"/>
  <c r="BC107" i="7"/>
  <c r="I230" i="13"/>
  <c r="BC103" i="7"/>
  <c r="I226" i="13"/>
  <c r="BC99" i="7"/>
  <c r="I198" i="13"/>
  <c r="BC95" i="7"/>
  <c r="I25" i="13"/>
  <c r="BC91" i="7"/>
  <c r="I100" i="13"/>
  <c r="BC87" i="7"/>
  <c r="I128" i="13"/>
  <c r="BC84" i="7"/>
  <c r="I45" i="13"/>
  <c r="BC80" i="7"/>
  <c r="I153" i="13"/>
  <c r="BC76" i="7"/>
  <c r="I206" i="13"/>
  <c r="BC72" i="7"/>
  <c r="I223" i="13"/>
  <c r="BC68" i="7"/>
  <c r="I311" i="13"/>
  <c r="BC64" i="7"/>
  <c r="I103" i="13"/>
  <c r="BC60" i="7"/>
  <c r="I300" i="13"/>
  <c r="BC52" i="7"/>
  <c r="I299" i="13"/>
  <c r="BC48" i="7"/>
  <c r="I149" i="13"/>
  <c r="BC44" i="7"/>
  <c r="I211" i="13"/>
  <c r="BC40" i="7"/>
  <c r="I65" i="13"/>
  <c r="BC36" i="7"/>
  <c r="I120" i="13"/>
  <c r="BC32" i="7"/>
  <c r="I96" i="13"/>
  <c r="BC28" i="7"/>
  <c r="I170" i="13"/>
  <c r="BC24" i="7"/>
  <c r="I297" i="13"/>
  <c r="BC20" i="7"/>
  <c r="I159" i="13"/>
  <c r="BC16" i="7"/>
  <c r="I85" i="13"/>
  <c r="BC12" i="7"/>
  <c r="I48" i="13"/>
  <c r="BC8" i="7"/>
  <c r="I70" i="13"/>
  <c r="H59" i="13"/>
  <c r="H82" i="13"/>
  <c r="H61" i="13"/>
  <c r="H71" i="13"/>
  <c r="H73" i="13"/>
  <c r="H314" i="13"/>
  <c r="H12" i="13"/>
  <c r="H40" i="13"/>
  <c r="H75" i="13"/>
  <c r="H135" i="13"/>
  <c r="H16" i="13"/>
  <c r="H35" i="13"/>
  <c r="H86" i="13"/>
  <c r="H78" i="13"/>
  <c r="M221" i="13"/>
  <c r="M244" i="13"/>
  <c r="M313" i="13"/>
  <c r="M237" i="13"/>
  <c r="M241" i="13"/>
  <c r="N241" i="13" s="1"/>
  <c r="M233" i="13"/>
  <c r="M240" i="13"/>
  <c r="M232" i="13"/>
  <c r="M229" i="13"/>
  <c r="M210" i="13"/>
  <c r="N210" i="13" s="1"/>
  <c r="M247" i="13"/>
  <c r="L55" i="7"/>
  <c r="M245" i="13"/>
  <c r="M209" i="13"/>
  <c r="M252" i="13"/>
  <c r="M220" i="13"/>
  <c r="M251" i="13"/>
  <c r="N251" i="13" s="1"/>
  <c r="L301" i="7"/>
  <c r="M238" i="13"/>
  <c r="M249" i="13"/>
  <c r="M217" i="13"/>
  <c r="N217" i="13" s="1"/>
  <c r="M236" i="13"/>
  <c r="L217" i="7"/>
  <c r="M214" i="13"/>
  <c r="N214" i="13" s="1"/>
  <c r="M314" i="13"/>
  <c r="M235" i="13"/>
  <c r="L161" i="7"/>
  <c r="M234" i="13"/>
  <c r="M212" i="13"/>
  <c r="M228" i="13"/>
  <c r="M224" i="13"/>
  <c r="M218" i="13"/>
  <c r="N218" i="13" s="1"/>
  <c r="M262" i="13"/>
  <c r="M216" i="13"/>
  <c r="N216" i="13" s="1"/>
  <c r="M312" i="13"/>
  <c r="N312" i="13" s="1"/>
  <c r="L140" i="7"/>
  <c r="M213" i="13"/>
  <c r="M231" i="13"/>
  <c r="M227" i="13"/>
  <c r="M225" i="13"/>
  <c r="N225" i="13" s="1"/>
  <c r="L57" i="7"/>
  <c r="M246" i="13"/>
  <c r="M222" i="13"/>
  <c r="M219" i="13"/>
  <c r="N219" i="13" s="1"/>
  <c r="M250" i="13"/>
  <c r="M271" i="13"/>
  <c r="M243" i="13"/>
  <c r="N243" i="13" s="1"/>
  <c r="M215" i="13"/>
  <c r="L223" i="7"/>
  <c r="L207" i="7"/>
  <c r="M242" i="13"/>
  <c r="N242" i="13" s="1"/>
  <c r="M248" i="13"/>
  <c r="M239" i="13"/>
  <c r="M230" i="13"/>
  <c r="M226" i="13"/>
  <c r="M223" i="13"/>
  <c r="N223" i="13" s="1"/>
  <c r="L56" i="7"/>
  <c r="L323" i="7"/>
  <c r="M97" i="13" s="1"/>
  <c r="U311" i="21"/>
  <c r="V311" i="21"/>
  <c r="L319" i="7"/>
  <c r="M168" i="13" s="1"/>
  <c r="U134" i="21"/>
  <c r="V134" i="21"/>
  <c r="L315" i="7"/>
  <c r="M203" i="13" s="1"/>
  <c r="N203" i="13" s="1"/>
  <c r="U305" i="21"/>
  <c r="V305" i="21"/>
  <c r="L311" i="7"/>
  <c r="U172" i="21"/>
  <c r="V172" i="21"/>
  <c r="L307" i="7"/>
  <c r="U61" i="21"/>
  <c r="V61" i="21"/>
  <c r="L303" i="7"/>
  <c r="U299" i="21"/>
  <c r="V299" i="21"/>
  <c r="L299" i="7"/>
  <c r="M260" i="13" s="1"/>
  <c r="U170" i="21"/>
  <c r="V170" i="21"/>
  <c r="L295" i="7"/>
  <c r="M21" i="13" s="1"/>
  <c r="U60" i="21"/>
  <c r="V60" i="21"/>
  <c r="L291" i="7"/>
  <c r="M190" i="13" s="1"/>
  <c r="U113" i="21"/>
  <c r="V113" i="21"/>
  <c r="L287" i="7"/>
  <c r="M182" i="13" s="1"/>
  <c r="U58" i="21"/>
  <c r="V58" i="21"/>
  <c r="L283" i="7"/>
  <c r="M23" i="13" s="1"/>
  <c r="U57" i="21"/>
  <c r="V57" i="21"/>
  <c r="L279" i="7"/>
  <c r="M88" i="13" s="1"/>
  <c r="U66" i="21"/>
  <c r="V66" i="21"/>
  <c r="L275" i="7"/>
  <c r="M157" i="13" s="1"/>
  <c r="U284" i="21"/>
  <c r="V284" i="21"/>
  <c r="L271" i="7"/>
  <c r="M187" i="13" s="1"/>
  <c r="U281" i="21"/>
  <c r="V281" i="21"/>
  <c r="L267" i="7"/>
  <c r="M123" i="13" s="1"/>
  <c r="U28" i="21"/>
  <c r="V28" i="21"/>
  <c r="L263" i="7"/>
  <c r="M202" i="13" s="1"/>
  <c r="N202" i="13" s="1"/>
  <c r="U278" i="21"/>
  <c r="V278" i="21"/>
  <c r="L259" i="7"/>
  <c r="U276" i="21"/>
  <c r="V276" i="21"/>
  <c r="L255" i="7"/>
  <c r="M10" i="13" s="1"/>
  <c r="U108" i="21"/>
  <c r="V108" i="21"/>
  <c r="L251" i="7"/>
  <c r="M258" i="13" s="1"/>
  <c r="U272" i="21"/>
  <c r="V272" i="21"/>
  <c r="L247" i="7"/>
  <c r="U269" i="21"/>
  <c r="V269" i="21"/>
  <c r="L243" i="7"/>
  <c r="M137" i="13" s="1"/>
  <c r="U106" i="21"/>
  <c r="V106" i="21"/>
  <c r="L239" i="7"/>
  <c r="M29" i="13" s="1"/>
  <c r="U265" i="21"/>
  <c r="V265" i="21"/>
  <c r="L235" i="7"/>
  <c r="M38" i="13" s="1"/>
  <c r="U12" i="21"/>
  <c r="V12" i="21"/>
  <c r="L231" i="7"/>
  <c r="U104" i="21"/>
  <c r="V104" i="21"/>
  <c r="L227" i="7"/>
  <c r="M154" i="13" s="1"/>
  <c r="V53" i="21"/>
  <c r="U53" i="21"/>
  <c r="L219" i="7"/>
  <c r="M140" i="13" s="1"/>
  <c r="U128" i="21"/>
  <c r="V128" i="21"/>
  <c r="L215" i="7"/>
  <c r="M83" i="13" s="1"/>
  <c r="U260" i="21"/>
  <c r="V260" i="21"/>
  <c r="L211" i="7"/>
  <c r="M269" i="13" s="1"/>
  <c r="N269" i="13" s="1"/>
  <c r="U48" i="21"/>
  <c r="V48" i="21"/>
  <c r="L203" i="7"/>
  <c r="M163" i="13" s="1"/>
  <c r="U252" i="21"/>
  <c r="V252" i="21"/>
  <c r="L199" i="7"/>
  <c r="M49" i="13" s="1"/>
  <c r="U8" i="21"/>
  <c r="V8" i="21"/>
  <c r="L195" i="7"/>
  <c r="M4" i="13" s="1"/>
  <c r="U249" i="21"/>
  <c r="V249" i="21"/>
  <c r="L191" i="7"/>
  <c r="M118" i="13" s="1"/>
  <c r="U144" i="21"/>
  <c r="V144" i="21"/>
  <c r="L187" i="7"/>
  <c r="M33" i="13" s="1"/>
  <c r="U126" i="21"/>
  <c r="V126" i="21"/>
  <c r="L183" i="7"/>
  <c r="M180" i="13" s="1"/>
  <c r="N180" i="13" s="1"/>
  <c r="V22" i="21"/>
  <c r="U22" i="21"/>
  <c r="L179" i="7"/>
  <c r="M133" i="13" s="1"/>
  <c r="U5" i="21"/>
  <c r="V5" i="21"/>
  <c r="L175" i="7"/>
  <c r="M68" i="13" s="1"/>
  <c r="N68" i="13" s="1"/>
  <c r="U143" i="21"/>
  <c r="V143" i="21"/>
  <c r="L171" i="7"/>
  <c r="M20" i="13" s="1"/>
  <c r="U125" i="21"/>
  <c r="V125" i="21"/>
  <c r="L167" i="7"/>
  <c r="M90" i="13" s="1"/>
  <c r="N90" i="13" s="1"/>
  <c r="U239" i="21"/>
  <c r="V239" i="21"/>
  <c r="L163" i="7"/>
  <c r="M184" i="13" s="1"/>
  <c r="U162" i="21"/>
  <c r="V162" i="21"/>
  <c r="L159" i="7"/>
  <c r="M43" i="13" s="1"/>
  <c r="U97" i="21"/>
  <c r="V97" i="21"/>
  <c r="L155" i="7"/>
  <c r="M138" i="13" s="1"/>
  <c r="V44" i="21"/>
  <c r="U44" i="21"/>
  <c r="L151" i="7"/>
  <c r="M144" i="13" s="1"/>
  <c r="U124" i="21"/>
  <c r="V124" i="21"/>
  <c r="L147" i="7"/>
  <c r="M277" i="13" s="1"/>
  <c r="N277" i="13" s="1"/>
  <c r="U233" i="21"/>
  <c r="V233" i="21"/>
  <c r="L143" i="7"/>
  <c r="U93" i="21"/>
  <c r="V93" i="21"/>
  <c r="L139" i="7"/>
  <c r="M164" i="13" s="1"/>
  <c r="U231" i="21"/>
  <c r="V231" i="21"/>
  <c r="L135" i="7"/>
  <c r="U229" i="21"/>
  <c r="V229" i="21"/>
  <c r="L131" i="7"/>
  <c r="M55" i="13" s="1"/>
  <c r="U122" i="21"/>
  <c r="V122" i="21"/>
  <c r="L127" i="7"/>
  <c r="M116" i="13" s="1"/>
  <c r="U225" i="21"/>
  <c r="V225" i="21"/>
  <c r="L123" i="7"/>
  <c r="M17" i="13" s="1"/>
  <c r="U90" i="21"/>
  <c r="V90" i="21"/>
  <c r="L119" i="7"/>
  <c r="M196" i="13" s="1"/>
  <c r="U221" i="21"/>
  <c r="V221" i="21"/>
  <c r="L115" i="7"/>
  <c r="M279" i="13" s="1"/>
  <c r="U40" i="21"/>
  <c r="V40" i="21"/>
  <c r="L111" i="7"/>
  <c r="U87" i="21"/>
  <c r="V87" i="21"/>
  <c r="L107" i="7"/>
  <c r="U86" i="21"/>
  <c r="V86" i="21"/>
  <c r="L103" i="7"/>
  <c r="U215" i="21"/>
  <c r="V215" i="21"/>
  <c r="L99" i="7"/>
  <c r="M198" i="13" s="1"/>
  <c r="U37" i="21"/>
  <c r="V37" i="21"/>
  <c r="L95" i="7"/>
  <c r="M25" i="13" s="1"/>
  <c r="U4" i="21"/>
  <c r="V4" i="21"/>
  <c r="L91" i="7"/>
  <c r="M100" i="13" s="1"/>
  <c r="U121" i="21"/>
  <c r="V121" i="21"/>
  <c r="L87" i="7"/>
  <c r="M128" i="13" s="1"/>
  <c r="U36" i="21"/>
  <c r="V36" i="21"/>
  <c r="L84" i="7"/>
  <c r="M45" i="13" s="1"/>
  <c r="U147" i="21"/>
  <c r="V147" i="21"/>
  <c r="L80" i="7"/>
  <c r="M153" i="13" s="1"/>
  <c r="U17" i="21"/>
  <c r="V17" i="21"/>
  <c r="L76" i="7"/>
  <c r="M206" i="13" s="1"/>
  <c r="U203" i="21"/>
  <c r="V203" i="21"/>
  <c r="L72" i="7"/>
  <c r="U202" i="21"/>
  <c r="V202" i="21"/>
  <c r="L68" i="7"/>
  <c r="M311" i="13" s="1"/>
  <c r="N311" i="13" s="1"/>
  <c r="U199" i="21"/>
  <c r="V199" i="21"/>
  <c r="L64" i="7"/>
  <c r="M103" i="13" s="1"/>
  <c r="N103" i="13" s="1"/>
  <c r="U35" i="21"/>
  <c r="V35" i="21"/>
  <c r="L60" i="7"/>
  <c r="M300" i="13" s="1"/>
  <c r="U195" i="21"/>
  <c r="V195" i="21"/>
  <c r="L52" i="7"/>
  <c r="M299" i="13" s="1"/>
  <c r="U313" i="21"/>
  <c r="V313" i="21"/>
  <c r="L48" i="7"/>
  <c r="M149" i="13" s="1"/>
  <c r="U33" i="21"/>
  <c r="V33" i="21"/>
  <c r="L44" i="7"/>
  <c r="M211" i="13" s="1"/>
  <c r="N211" i="13" s="1"/>
  <c r="V67" i="21"/>
  <c r="U67" i="21"/>
  <c r="L40" i="7"/>
  <c r="M65" i="13" s="1"/>
  <c r="U32" i="21"/>
  <c r="V32" i="21"/>
  <c r="L36" i="7"/>
  <c r="M120" i="13" s="1"/>
  <c r="U75" i="21"/>
  <c r="V75" i="21"/>
  <c r="L32" i="7"/>
  <c r="M96" i="13" s="1"/>
  <c r="N96" i="13" s="1"/>
  <c r="U74" i="21"/>
  <c r="V74" i="21"/>
  <c r="L28" i="7"/>
  <c r="M170" i="13" s="1"/>
  <c r="U136" i="21"/>
  <c r="V136" i="21"/>
  <c r="L24" i="7"/>
  <c r="M297" i="13" s="1"/>
  <c r="U72" i="21"/>
  <c r="V72" i="21"/>
  <c r="L20" i="7"/>
  <c r="M159" i="13" s="1"/>
  <c r="U181" i="21"/>
  <c r="V181" i="21"/>
  <c r="L16" i="7"/>
  <c r="M85" i="13" s="1"/>
  <c r="U178" i="21"/>
  <c r="V178" i="21"/>
  <c r="L12" i="7"/>
  <c r="M48" i="13" s="1"/>
  <c r="U7" i="21"/>
  <c r="V7" i="21"/>
  <c r="L8" i="7"/>
  <c r="M70" i="13" s="1"/>
  <c r="U175" i="21"/>
  <c r="V175" i="21"/>
  <c r="L322" i="7"/>
  <c r="M95" i="13" s="1"/>
  <c r="U310" i="21"/>
  <c r="V310" i="21"/>
  <c r="L318" i="7"/>
  <c r="M192" i="13" s="1"/>
  <c r="N192" i="13" s="1"/>
  <c r="U307" i="21"/>
  <c r="V307" i="21"/>
  <c r="L314" i="7"/>
  <c r="M294" i="13" s="1"/>
  <c r="U304" i="21"/>
  <c r="V304" i="21"/>
  <c r="L310" i="7"/>
  <c r="U171" i="21"/>
  <c r="V171" i="21"/>
  <c r="L306" i="7"/>
  <c r="M28" i="13" s="1"/>
  <c r="U10" i="21"/>
  <c r="V10" i="21"/>
  <c r="L302" i="7"/>
  <c r="U298" i="21"/>
  <c r="V298" i="21"/>
  <c r="L298" i="7"/>
  <c r="M9" i="13" s="1"/>
  <c r="U296" i="21"/>
  <c r="V296" i="21"/>
  <c r="L294" i="7"/>
  <c r="M160" i="13" s="1"/>
  <c r="U294" i="21"/>
  <c r="V294" i="21"/>
  <c r="L290" i="7"/>
  <c r="M145" i="13" s="1"/>
  <c r="U291" i="21"/>
  <c r="V291" i="21"/>
  <c r="L286" i="7"/>
  <c r="U289" i="21"/>
  <c r="V289" i="21"/>
  <c r="L282" i="7"/>
  <c r="M18" i="13" s="1"/>
  <c r="U287" i="21"/>
  <c r="V287" i="21"/>
  <c r="L278" i="7"/>
  <c r="M172" i="13" s="1"/>
  <c r="U56" i="21"/>
  <c r="V56" i="21"/>
  <c r="L274" i="7"/>
  <c r="M72" i="13" s="1"/>
  <c r="U283" i="21"/>
  <c r="V283" i="21"/>
  <c r="L270" i="7"/>
  <c r="M11" i="13" s="1"/>
  <c r="U132" i="21"/>
  <c r="V132" i="21"/>
  <c r="L266" i="7"/>
  <c r="M81" i="13" s="1"/>
  <c r="U110" i="21"/>
  <c r="V110" i="21"/>
  <c r="L262" i="7"/>
  <c r="U277" i="21"/>
  <c r="V277" i="21"/>
  <c r="L258" i="7"/>
  <c r="M177" i="13" s="1"/>
  <c r="U109" i="21"/>
  <c r="V109" i="21"/>
  <c r="L254" i="7"/>
  <c r="M121" i="13" s="1"/>
  <c r="U274" i="21"/>
  <c r="V274" i="21"/>
  <c r="L250" i="7"/>
  <c r="M178" i="13" s="1"/>
  <c r="U107" i="21"/>
  <c r="V107" i="21"/>
  <c r="L246" i="7"/>
  <c r="M32" i="13" s="1"/>
  <c r="N32" i="13" s="1"/>
  <c r="U314" i="21"/>
  <c r="V314" i="21"/>
  <c r="L242" i="7"/>
  <c r="M104" i="13" s="1"/>
  <c r="U55" i="21"/>
  <c r="V55" i="21"/>
  <c r="L238" i="7"/>
  <c r="M51" i="13" s="1"/>
  <c r="U264" i="21"/>
  <c r="V264" i="21"/>
  <c r="L234" i="7"/>
  <c r="M305" i="13" s="1"/>
  <c r="U263" i="21"/>
  <c r="V263" i="21"/>
  <c r="L230" i="7"/>
  <c r="M56" i="13" s="1"/>
  <c r="U103" i="21"/>
  <c r="V103" i="21"/>
  <c r="L226" i="7"/>
  <c r="M147" i="13" s="1"/>
  <c r="U52" i="21"/>
  <c r="V52" i="21"/>
  <c r="L222" i="7"/>
  <c r="M102" i="13" s="1"/>
  <c r="U130" i="21"/>
  <c r="V130" i="21"/>
  <c r="L218" i="7"/>
  <c r="M272" i="13" s="1"/>
  <c r="U102" i="21"/>
  <c r="V102" i="21"/>
  <c r="L214" i="7"/>
  <c r="M36" i="13" s="1"/>
  <c r="U101" i="21"/>
  <c r="V101" i="21"/>
  <c r="L210" i="7"/>
  <c r="M148" i="13" s="1"/>
  <c r="U258" i="21"/>
  <c r="V258" i="21"/>
  <c r="L206" i="7"/>
  <c r="M287" i="13" s="1"/>
  <c r="U255" i="21"/>
  <c r="V255" i="21"/>
  <c r="L202" i="7"/>
  <c r="M261" i="13" s="1"/>
  <c r="V47" i="21"/>
  <c r="U47" i="21"/>
  <c r="L198" i="7"/>
  <c r="M288" i="13" s="1"/>
  <c r="U145" i="21"/>
  <c r="V145" i="21"/>
  <c r="L194" i="7"/>
  <c r="M132" i="13" s="1"/>
  <c r="U152" i="21"/>
  <c r="V152" i="21"/>
  <c r="L190" i="7"/>
  <c r="M176" i="13" s="1"/>
  <c r="U127" i="21"/>
  <c r="V127" i="21"/>
  <c r="L186" i="7"/>
  <c r="M298" i="13" s="1"/>
  <c r="U9" i="21"/>
  <c r="V9" i="21"/>
  <c r="L182" i="7"/>
  <c r="M255" i="13" s="1"/>
  <c r="U246" i="21"/>
  <c r="V246" i="21"/>
  <c r="L178" i="7"/>
  <c r="M91" i="13" s="1"/>
  <c r="N91" i="13" s="1"/>
  <c r="U244" i="21"/>
  <c r="V244" i="21"/>
  <c r="L174" i="7"/>
  <c r="M54" i="13" s="1"/>
  <c r="U241" i="21"/>
  <c r="V241" i="21"/>
  <c r="L170" i="7"/>
  <c r="M167" i="13" s="1"/>
  <c r="V21" i="21"/>
  <c r="U21" i="21"/>
  <c r="L166" i="7"/>
  <c r="M126" i="13" s="1"/>
  <c r="U142" i="21"/>
  <c r="V142" i="21"/>
  <c r="L162" i="7"/>
  <c r="M306" i="13" s="1"/>
  <c r="U237" i="21"/>
  <c r="V237" i="21"/>
  <c r="L158" i="7"/>
  <c r="M15" i="13" s="1"/>
  <c r="U151" i="21"/>
  <c r="V151" i="21"/>
  <c r="L154" i="7"/>
  <c r="M50" i="13" s="1"/>
  <c r="U96" i="21"/>
  <c r="V96" i="21"/>
  <c r="L150" i="7"/>
  <c r="M166" i="13" s="1"/>
  <c r="U235" i="21"/>
  <c r="V235" i="21"/>
  <c r="L146" i="7"/>
  <c r="M22" i="13" s="1"/>
  <c r="U150" i="21"/>
  <c r="V150" i="21"/>
  <c r="L142" i="7"/>
  <c r="U92" i="21"/>
  <c r="V92" i="21"/>
  <c r="L138" i="7"/>
  <c r="U160" i="21"/>
  <c r="V160" i="21"/>
  <c r="L134" i="7"/>
  <c r="U228" i="21"/>
  <c r="V228" i="21"/>
  <c r="L130" i="7"/>
  <c r="M191" i="13" s="1"/>
  <c r="U91" i="21"/>
  <c r="V91" i="21"/>
  <c r="L126" i="7"/>
  <c r="M257" i="13" s="1"/>
  <c r="U224" i="21"/>
  <c r="V224" i="21"/>
  <c r="L122" i="7"/>
  <c r="M115" i="13" s="1"/>
  <c r="U222" i="21"/>
  <c r="V222" i="21"/>
  <c r="L118" i="7"/>
  <c r="M80" i="13" s="1"/>
  <c r="U159" i="21"/>
  <c r="V159" i="21"/>
  <c r="L114" i="7"/>
  <c r="M24" i="13" s="1"/>
  <c r="U88" i="21"/>
  <c r="V88" i="21"/>
  <c r="L110" i="7"/>
  <c r="U218" i="21"/>
  <c r="V218" i="21"/>
  <c r="L106" i="7"/>
  <c r="U85" i="21"/>
  <c r="V85" i="21"/>
  <c r="L102" i="7"/>
  <c r="U214" i="21"/>
  <c r="V214" i="21"/>
  <c r="L98" i="7"/>
  <c r="M156" i="13" s="1"/>
  <c r="U213" i="21"/>
  <c r="V213" i="21"/>
  <c r="L94" i="7"/>
  <c r="U158" i="21"/>
  <c r="V158" i="21"/>
  <c r="L90" i="7"/>
  <c r="M200" i="13" s="1"/>
  <c r="U148" i="21"/>
  <c r="V148" i="21"/>
  <c r="L86" i="7"/>
  <c r="M46" i="13" s="1"/>
  <c r="U209" i="21"/>
  <c r="V209" i="21"/>
  <c r="L83" i="7"/>
  <c r="M98" i="13" s="1"/>
  <c r="U208" i="21"/>
  <c r="V208" i="21"/>
  <c r="L79" i="7"/>
  <c r="M181" i="13" s="1"/>
  <c r="U205" i="21"/>
  <c r="V205" i="21"/>
  <c r="L75" i="7"/>
  <c r="M186" i="13" s="1"/>
  <c r="U81" i="21"/>
  <c r="V81" i="21"/>
  <c r="L71" i="7"/>
  <c r="M282" i="13" s="1"/>
  <c r="U201" i="21"/>
  <c r="V201" i="21"/>
  <c r="L67" i="7"/>
  <c r="M189" i="13" s="1"/>
  <c r="U78" i="21"/>
  <c r="V78" i="21"/>
  <c r="L63" i="7"/>
  <c r="M307" i="13" s="1"/>
  <c r="U197" i="21"/>
  <c r="V197" i="21"/>
  <c r="L59" i="7"/>
  <c r="M270" i="13" s="1"/>
  <c r="U194" i="21"/>
  <c r="V194" i="21"/>
  <c r="L51" i="7"/>
  <c r="M58" i="13" s="1"/>
  <c r="U193" i="21"/>
  <c r="V193" i="21"/>
  <c r="L47" i="7"/>
  <c r="M185" i="13" s="1"/>
  <c r="U15" i="21"/>
  <c r="V15" i="21"/>
  <c r="L43" i="7"/>
  <c r="M259" i="13" s="1"/>
  <c r="U191" i="21"/>
  <c r="V191" i="21"/>
  <c r="L39" i="7"/>
  <c r="M57" i="13" s="1"/>
  <c r="U76" i="21"/>
  <c r="V76" i="21"/>
  <c r="L35" i="7"/>
  <c r="U188" i="21"/>
  <c r="V188" i="21"/>
  <c r="L31" i="7"/>
  <c r="M87" i="13" s="1"/>
  <c r="U186" i="21"/>
  <c r="V186" i="21"/>
  <c r="L27" i="7"/>
  <c r="M256" i="13" s="1"/>
  <c r="U73" i="21"/>
  <c r="V73" i="21"/>
  <c r="L23" i="7"/>
  <c r="M286" i="13" s="1"/>
  <c r="U182" i="21"/>
  <c r="V182" i="21"/>
  <c r="L19" i="7"/>
  <c r="M158" i="13" s="1"/>
  <c r="U180" i="21"/>
  <c r="V180" i="21"/>
  <c r="L15" i="7"/>
  <c r="M6" i="13" s="1"/>
  <c r="U153" i="21"/>
  <c r="V153" i="21"/>
  <c r="L11" i="7"/>
  <c r="U71" i="21"/>
  <c r="V71" i="21"/>
  <c r="L7" i="7"/>
  <c r="M110" i="13" s="1"/>
  <c r="U174" i="21"/>
  <c r="V174" i="21"/>
  <c r="L325" i="7"/>
  <c r="M107" i="13" s="1"/>
  <c r="U116" i="21"/>
  <c r="V116" i="21"/>
  <c r="L321" i="7"/>
  <c r="U309" i="21"/>
  <c r="V309" i="21"/>
  <c r="L317" i="7"/>
  <c r="M143" i="13" s="1"/>
  <c r="U115" i="21"/>
  <c r="V115" i="21"/>
  <c r="L313" i="7"/>
  <c r="M37" i="13" s="1"/>
  <c r="U31" i="21"/>
  <c r="V31" i="21"/>
  <c r="L309" i="7"/>
  <c r="U302" i="21"/>
  <c r="V302" i="21"/>
  <c r="L305" i="7"/>
  <c r="U300" i="21"/>
  <c r="V300" i="21"/>
  <c r="L297" i="7"/>
  <c r="M139" i="13" s="1"/>
  <c r="U295" i="21"/>
  <c r="V295" i="21"/>
  <c r="L293" i="7"/>
  <c r="M205" i="13" s="1"/>
  <c r="U293" i="21"/>
  <c r="V293" i="21"/>
  <c r="L289" i="7"/>
  <c r="U290" i="21"/>
  <c r="V290" i="21"/>
  <c r="L285" i="7"/>
  <c r="M47" i="13" s="1"/>
  <c r="U288" i="21"/>
  <c r="V288" i="21"/>
  <c r="L281" i="7"/>
  <c r="M204" i="13" s="1"/>
  <c r="U168" i="21"/>
  <c r="V168" i="21"/>
  <c r="L277" i="7"/>
  <c r="U286" i="21"/>
  <c r="V286" i="21"/>
  <c r="L273" i="7"/>
  <c r="M127" i="13" s="1"/>
  <c r="U29" i="21"/>
  <c r="V29" i="21"/>
  <c r="L269" i="7"/>
  <c r="M59" i="13" s="1"/>
  <c r="U112" i="21"/>
  <c r="V112" i="21"/>
  <c r="L265" i="7"/>
  <c r="M82" i="13" s="1"/>
  <c r="U280" i="21"/>
  <c r="V280" i="21"/>
  <c r="L261" i="7"/>
  <c r="M114" i="13" s="1"/>
  <c r="U131" i="21"/>
  <c r="V131" i="21"/>
  <c r="L257" i="7"/>
  <c r="M122" i="13" s="1"/>
  <c r="U275" i="21"/>
  <c r="V275" i="21"/>
  <c r="L253" i="7"/>
  <c r="M265" i="13" s="1"/>
  <c r="U26" i="21"/>
  <c r="V26" i="21"/>
  <c r="L249" i="7"/>
  <c r="U271" i="21"/>
  <c r="V271" i="21"/>
  <c r="L245" i="7"/>
  <c r="M77" i="13" s="1"/>
  <c r="U268" i="21"/>
  <c r="V268" i="21"/>
  <c r="L241" i="7"/>
  <c r="M61" i="13" s="1"/>
  <c r="N61" i="13" s="1"/>
  <c r="U267" i="21"/>
  <c r="V267" i="21"/>
  <c r="L237" i="7"/>
  <c r="M42" i="13" s="1"/>
  <c r="U25" i="21"/>
  <c r="V25" i="21"/>
  <c r="L233" i="7"/>
  <c r="M207" i="13" s="1"/>
  <c r="N207" i="13" s="1"/>
  <c r="U262" i="21"/>
  <c r="V262" i="21"/>
  <c r="L229" i="7"/>
  <c r="V54" i="21"/>
  <c r="U54" i="21"/>
  <c r="L225" i="7"/>
  <c r="M108" i="13" s="1"/>
  <c r="V51" i="21"/>
  <c r="U51" i="21"/>
  <c r="L221" i="7"/>
  <c r="M79" i="13" s="1"/>
  <c r="U261" i="21"/>
  <c r="V261" i="21"/>
  <c r="L213" i="7"/>
  <c r="M92" i="13" s="1"/>
  <c r="U259" i="21"/>
  <c r="V259" i="21"/>
  <c r="L209" i="7"/>
  <c r="M71" i="13" s="1"/>
  <c r="U257" i="21"/>
  <c r="V257" i="21"/>
  <c r="L205" i="7"/>
  <c r="M73" i="13" s="1"/>
  <c r="U254" i="21"/>
  <c r="V254" i="21"/>
  <c r="L201" i="7"/>
  <c r="M152" i="13" s="1"/>
  <c r="U251" i="21"/>
  <c r="V251" i="21"/>
  <c r="L197" i="7"/>
  <c r="M64" i="13" s="1"/>
  <c r="U100" i="21"/>
  <c r="V100" i="21"/>
  <c r="L193" i="7"/>
  <c r="M67" i="13" s="1"/>
  <c r="V46" i="21"/>
  <c r="U46" i="21"/>
  <c r="L189" i="7"/>
  <c r="M53" i="13" s="1"/>
  <c r="U248" i="21"/>
  <c r="V248" i="21"/>
  <c r="L185" i="7"/>
  <c r="M285" i="13" s="1"/>
  <c r="U63" i="21"/>
  <c r="V63" i="21"/>
  <c r="L181" i="7"/>
  <c r="U99" i="21"/>
  <c r="V99" i="21"/>
  <c r="L177" i="7"/>
  <c r="M301" i="13" s="1"/>
  <c r="U243" i="21"/>
  <c r="V243" i="21"/>
  <c r="L173" i="7"/>
  <c r="U98" i="21"/>
  <c r="V98" i="21"/>
  <c r="L169" i="7"/>
  <c r="U164" i="21"/>
  <c r="V164" i="21"/>
  <c r="L165" i="7"/>
  <c r="M308" i="13" s="1"/>
  <c r="U163" i="21"/>
  <c r="V163" i="21"/>
  <c r="L157" i="7"/>
  <c r="M12" i="13" s="1"/>
  <c r="U11" i="21"/>
  <c r="V11" i="21"/>
  <c r="L153" i="7"/>
  <c r="M62" i="13" s="1"/>
  <c r="U95" i="21"/>
  <c r="V95" i="21"/>
  <c r="L149" i="7"/>
  <c r="M101" i="13" s="1"/>
  <c r="U234" i="21"/>
  <c r="V234" i="21"/>
  <c r="L145" i="7"/>
  <c r="U161" i="21"/>
  <c r="V161" i="21"/>
  <c r="L141" i="7"/>
  <c r="M197" i="13" s="1"/>
  <c r="U42" i="21"/>
  <c r="V42" i="21"/>
  <c r="L137" i="7"/>
  <c r="M8" i="13" s="1"/>
  <c r="U230" i="21"/>
  <c r="V230" i="21"/>
  <c r="L133" i="7"/>
  <c r="M264" i="13" s="1"/>
  <c r="U19" i="21"/>
  <c r="V19" i="21"/>
  <c r="L129" i="7"/>
  <c r="M117" i="13" s="1"/>
  <c r="U227" i="21"/>
  <c r="V227" i="21"/>
  <c r="L125" i="7"/>
  <c r="M274" i="13" s="1"/>
  <c r="U69" i="21"/>
  <c r="V69" i="21"/>
  <c r="L121" i="7"/>
  <c r="M175" i="13" s="1"/>
  <c r="U41" i="21"/>
  <c r="V41" i="21"/>
  <c r="L117" i="7"/>
  <c r="M309" i="13" s="1"/>
  <c r="U220" i="21"/>
  <c r="V220" i="21"/>
  <c r="L113" i="7"/>
  <c r="M27" i="13" s="1"/>
  <c r="U39" i="21"/>
  <c r="V39" i="21"/>
  <c r="L109" i="7"/>
  <c r="U217" i="21"/>
  <c r="V217" i="21"/>
  <c r="L105" i="7"/>
  <c r="U84" i="21"/>
  <c r="V84" i="21"/>
  <c r="L101" i="7"/>
  <c r="M40" i="13" s="1"/>
  <c r="V38" i="21"/>
  <c r="U38" i="21"/>
  <c r="L97" i="7"/>
  <c r="M310" i="13" s="1"/>
  <c r="N310" i="13" s="1"/>
  <c r="U212" i="21"/>
  <c r="V212" i="21"/>
  <c r="L93" i="7"/>
  <c r="U149" i="21"/>
  <c r="V149" i="21"/>
  <c r="L89" i="7"/>
  <c r="M290" i="13" s="1"/>
  <c r="N290" i="13" s="1"/>
  <c r="U120" i="21"/>
  <c r="V120" i="21"/>
  <c r="L82" i="7"/>
  <c r="M75" i="13" s="1"/>
  <c r="U207" i="21"/>
  <c r="V207" i="21"/>
  <c r="L78" i="7"/>
  <c r="M208" i="13" s="1"/>
  <c r="U204" i="21"/>
  <c r="V204" i="21"/>
  <c r="L74" i="7"/>
  <c r="M273" i="13" s="1"/>
  <c r="U80" i="21"/>
  <c r="V80" i="21"/>
  <c r="L70" i="7"/>
  <c r="M281" i="13" s="1"/>
  <c r="U200" i="21"/>
  <c r="V200" i="21"/>
  <c r="L66" i="7"/>
  <c r="M253" i="13" s="1"/>
  <c r="U139" i="21"/>
  <c r="V139" i="21"/>
  <c r="L62" i="7"/>
  <c r="M291" i="13" s="1"/>
  <c r="U156" i="21"/>
  <c r="V156" i="21"/>
  <c r="L58" i="7"/>
  <c r="M26" i="13" s="1"/>
  <c r="U138" i="21"/>
  <c r="V138" i="21"/>
  <c r="L54" i="7"/>
  <c r="M135" i="13" s="1"/>
  <c r="N135" i="13" s="1"/>
  <c r="U68" i="21"/>
  <c r="V68" i="21"/>
  <c r="L50" i="7"/>
  <c r="M304" i="13" s="1"/>
  <c r="U16" i="21"/>
  <c r="V16" i="21"/>
  <c r="L46" i="7"/>
  <c r="M16" i="13" s="1"/>
  <c r="U192" i="21"/>
  <c r="V192" i="21"/>
  <c r="L42" i="7"/>
  <c r="M165" i="13" s="1"/>
  <c r="U77" i="21"/>
  <c r="V77" i="21"/>
  <c r="L38" i="7"/>
  <c r="M266" i="13" s="1"/>
  <c r="U190" i="21"/>
  <c r="V190" i="21"/>
  <c r="L34" i="7"/>
  <c r="M35" i="13" s="1"/>
  <c r="U13" i="21"/>
  <c r="V13" i="21"/>
  <c r="L30" i="7"/>
  <c r="M86" i="13" s="1"/>
  <c r="U185" i="21"/>
  <c r="V185" i="21"/>
  <c r="L26" i="7"/>
  <c r="M174" i="13" s="1"/>
  <c r="U183" i="21"/>
  <c r="V183" i="21"/>
  <c r="L22" i="7"/>
  <c r="M179" i="13" s="1"/>
  <c r="N179" i="13" s="1"/>
  <c r="U118" i="21"/>
  <c r="V118" i="21"/>
  <c r="L18" i="7"/>
  <c r="M112" i="13" s="1"/>
  <c r="U146" i="21"/>
  <c r="V146" i="21"/>
  <c r="L14" i="7"/>
  <c r="M78" i="13" s="1"/>
  <c r="N78" i="13" s="1"/>
  <c r="U154" i="21"/>
  <c r="V154" i="21"/>
  <c r="L10" i="7"/>
  <c r="M193" i="13" s="1"/>
  <c r="U70" i="21"/>
  <c r="V70" i="21"/>
  <c r="L6" i="7"/>
  <c r="M195" i="13" s="1"/>
  <c r="U173" i="21"/>
  <c r="V173" i="21"/>
  <c r="L324" i="7"/>
  <c r="M99" i="13" s="1"/>
  <c r="U312" i="21"/>
  <c r="V312" i="21"/>
  <c r="L320" i="7"/>
  <c r="M169" i="13" s="1"/>
  <c r="U308" i="21"/>
  <c r="V308" i="21"/>
  <c r="L316" i="7"/>
  <c r="M125" i="13" s="1"/>
  <c r="U306" i="21"/>
  <c r="V306" i="21"/>
  <c r="L312" i="7"/>
  <c r="M52" i="13" s="1"/>
  <c r="U303" i="21"/>
  <c r="V303" i="21"/>
  <c r="L308" i="7"/>
  <c r="M105" i="13" s="1"/>
  <c r="U301" i="21"/>
  <c r="V301" i="21"/>
  <c r="L304" i="7"/>
  <c r="U114" i="21"/>
  <c r="V114" i="21"/>
  <c r="L300" i="7"/>
  <c r="M201" i="13" s="1"/>
  <c r="U297" i="21"/>
  <c r="V297" i="21"/>
  <c r="L296" i="7"/>
  <c r="M19" i="13" s="1"/>
  <c r="U30" i="21"/>
  <c r="V30" i="21"/>
  <c r="L292" i="7"/>
  <c r="M119" i="13" s="1"/>
  <c r="U292" i="21"/>
  <c r="V292" i="21"/>
  <c r="L288" i="7"/>
  <c r="M183" i="13" s="1"/>
  <c r="U59" i="21"/>
  <c r="V59" i="21"/>
  <c r="L284" i="7"/>
  <c r="M13" i="13" s="1"/>
  <c r="U169" i="21"/>
  <c r="V169" i="21"/>
  <c r="L280" i="7"/>
  <c r="M267" i="13" s="1"/>
  <c r="U133" i="21"/>
  <c r="V133" i="21"/>
  <c r="L276" i="7"/>
  <c r="M283" i="13" s="1"/>
  <c r="U285" i="21"/>
  <c r="V285" i="21"/>
  <c r="L272" i="7"/>
  <c r="M84" i="13" s="1"/>
  <c r="U282" i="21"/>
  <c r="V282" i="21"/>
  <c r="L268" i="7"/>
  <c r="M146" i="13" s="1"/>
  <c r="U111" i="21"/>
  <c r="V111" i="21"/>
  <c r="L264" i="7"/>
  <c r="U279" i="21"/>
  <c r="V279" i="21"/>
  <c r="L260" i="7"/>
  <c r="M63" i="13" s="1"/>
  <c r="U65" i="21"/>
  <c r="V65" i="21"/>
  <c r="L256" i="7"/>
  <c r="M151" i="13" s="1"/>
  <c r="V27" i="21"/>
  <c r="U27" i="21"/>
  <c r="L252" i="7"/>
  <c r="M7" i="13" s="1"/>
  <c r="U273" i="21"/>
  <c r="V273" i="21"/>
  <c r="L248" i="7"/>
  <c r="U270" i="21"/>
  <c r="V270" i="21"/>
  <c r="L244" i="7"/>
  <c r="M289" i="13" s="1"/>
  <c r="N289" i="13" s="1"/>
  <c r="U167" i="21"/>
  <c r="V167" i="21"/>
  <c r="L240" i="7"/>
  <c r="M34" i="13" s="1"/>
  <c r="U266" i="21"/>
  <c r="V266" i="21"/>
  <c r="L236" i="7"/>
  <c r="M44" i="13" s="1"/>
  <c r="U166" i="21"/>
  <c r="V166" i="21"/>
  <c r="L232" i="7"/>
  <c r="M171" i="13" s="1"/>
  <c r="U105" i="21"/>
  <c r="V105" i="21"/>
  <c r="L228" i="7"/>
  <c r="M89" i="13" s="1"/>
  <c r="U24" i="21"/>
  <c r="V24" i="21"/>
  <c r="L224" i="7"/>
  <c r="M66" i="13" s="1"/>
  <c r="U165" i="21"/>
  <c r="V165" i="21"/>
  <c r="L220" i="7"/>
  <c r="M142" i="13" s="1"/>
  <c r="U129" i="21"/>
  <c r="V129" i="21"/>
  <c r="L216" i="7"/>
  <c r="M161" i="13" s="1"/>
  <c r="U50" i="21"/>
  <c r="V50" i="21"/>
  <c r="L212" i="7"/>
  <c r="M141" i="13" s="1"/>
  <c r="V49" i="21"/>
  <c r="U49" i="21"/>
  <c r="L208" i="7"/>
  <c r="M263" i="13" s="1"/>
  <c r="U256" i="21"/>
  <c r="V256" i="21"/>
  <c r="L204" i="7"/>
  <c r="M199" i="13" s="1"/>
  <c r="U253" i="21"/>
  <c r="V253" i="21"/>
  <c r="L200" i="7"/>
  <c r="M295" i="13" s="1"/>
  <c r="U250" i="21"/>
  <c r="V250" i="21"/>
  <c r="L196" i="7"/>
  <c r="M30" i="13" s="1"/>
  <c r="U6" i="21"/>
  <c r="V6" i="21"/>
  <c r="L192" i="7"/>
  <c r="M111" i="13" s="1"/>
  <c r="V64" i="21"/>
  <c r="U64" i="21"/>
  <c r="L188" i="7"/>
  <c r="M69" i="13" s="1"/>
  <c r="U247" i="21"/>
  <c r="V247" i="21"/>
  <c r="L184" i="7"/>
  <c r="M268" i="13" s="1"/>
  <c r="V23" i="21"/>
  <c r="U23" i="21"/>
  <c r="L180" i="7"/>
  <c r="U245" i="21"/>
  <c r="V245" i="21"/>
  <c r="L176" i="7"/>
  <c r="M302" i="13" s="1"/>
  <c r="U242" i="21"/>
  <c r="V242" i="21"/>
  <c r="L172" i="7"/>
  <c r="M14" i="13" s="1"/>
  <c r="U240" i="21"/>
  <c r="V240" i="21"/>
  <c r="L168" i="7"/>
  <c r="M41" i="13" s="1"/>
  <c r="U45" i="21"/>
  <c r="V45" i="21"/>
  <c r="L164" i="7"/>
  <c r="M74" i="13" s="1"/>
  <c r="U238" i="21"/>
  <c r="V238" i="21"/>
  <c r="L160" i="7"/>
  <c r="M280" i="13" s="1"/>
  <c r="U236" i="21"/>
  <c r="V236" i="21"/>
  <c r="L156" i="7"/>
  <c r="M173" i="13" s="1"/>
  <c r="U20" i="21"/>
  <c r="V20" i="21"/>
  <c r="L152" i="7"/>
  <c r="M131" i="13" s="1"/>
  <c r="U94" i="21"/>
  <c r="V94" i="21"/>
  <c r="L148" i="7"/>
  <c r="M155" i="13" s="1"/>
  <c r="V43" i="21"/>
  <c r="U43" i="21"/>
  <c r="L144" i="7"/>
  <c r="M113" i="13" s="1"/>
  <c r="U232" i="21"/>
  <c r="V232" i="21"/>
  <c r="L136" i="7"/>
  <c r="M31" i="13" s="1"/>
  <c r="U123" i="21"/>
  <c r="V123" i="21"/>
  <c r="L132" i="7"/>
  <c r="M275" i="13" s="1"/>
  <c r="U18" i="21"/>
  <c r="V18" i="21"/>
  <c r="L128" i="7"/>
  <c r="M296" i="13" s="1"/>
  <c r="U226" i="21"/>
  <c r="V226" i="21"/>
  <c r="L124" i="7"/>
  <c r="M278" i="13" s="1"/>
  <c r="U223" i="21"/>
  <c r="V223" i="21"/>
  <c r="L120" i="7"/>
  <c r="M150" i="13" s="1"/>
  <c r="U89" i="21"/>
  <c r="V89" i="21"/>
  <c r="L116" i="7"/>
  <c r="M284" i="13" s="1"/>
  <c r="U141" i="21"/>
  <c r="V141" i="21"/>
  <c r="L112" i="7"/>
  <c r="U219" i="21"/>
  <c r="V219" i="21"/>
  <c r="L108" i="7"/>
  <c r="U216" i="21"/>
  <c r="V216" i="21"/>
  <c r="L104" i="7"/>
  <c r="U83" i="21"/>
  <c r="V83" i="21"/>
  <c r="L100" i="7"/>
  <c r="M162" i="13" s="1"/>
  <c r="U62" i="21"/>
  <c r="V62" i="21"/>
  <c r="L96" i="7"/>
  <c r="U211" i="21"/>
  <c r="V211" i="21"/>
  <c r="L92" i="7"/>
  <c r="M106" i="13" s="1"/>
  <c r="U140" i="21"/>
  <c r="V140" i="21"/>
  <c r="L88" i="7"/>
  <c r="M129" i="13" s="1"/>
  <c r="U210" i="21"/>
  <c r="V210" i="21"/>
  <c r="L85" i="7"/>
  <c r="M94" i="13" s="1"/>
  <c r="U119" i="21"/>
  <c r="V119" i="21"/>
  <c r="L81" i="7"/>
  <c r="M134" i="13" s="1"/>
  <c r="U206" i="21"/>
  <c r="V206" i="21"/>
  <c r="L77" i="7"/>
  <c r="M194" i="13" s="1"/>
  <c r="U82" i="21"/>
  <c r="V82" i="21"/>
  <c r="L73" i="7"/>
  <c r="M60" i="13" s="1"/>
  <c r="U157" i="21"/>
  <c r="V157" i="21"/>
  <c r="L69" i="7"/>
  <c r="M5" i="13" s="1"/>
  <c r="U79" i="21"/>
  <c r="V79" i="21"/>
  <c r="L65" i="7"/>
  <c r="M254" i="13" s="1"/>
  <c r="N254" i="13" s="1"/>
  <c r="U198" i="21"/>
  <c r="V198" i="21"/>
  <c r="L61" i="7"/>
  <c r="M293" i="13" s="1"/>
  <c r="U196" i="21"/>
  <c r="V196" i="21"/>
  <c r="L53" i="7"/>
  <c r="U155" i="21"/>
  <c r="V155" i="21"/>
  <c r="L49" i="7"/>
  <c r="M292" i="13" s="1"/>
  <c r="V34" i="21"/>
  <c r="U34" i="21"/>
  <c r="L45" i="7"/>
  <c r="M39" i="13" s="1"/>
  <c r="U14" i="21"/>
  <c r="V14" i="21"/>
  <c r="L41" i="7"/>
  <c r="M130" i="13" s="1"/>
  <c r="U137" i="21"/>
  <c r="V137" i="21"/>
  <c r="L37" i="7"/>
  <c r="M76" i="13" s="1"/>
  <c r="U189" i="21"/>
  <c r="V189" i="21"/>
  <c r="L33" i="7"/>
  <c r="M303" i="13" s="1"/>
  <c r="U187" i="21"/>
  <c r="V187" i="21"/>
  <c r="L29" i="7"/>
  <c r="M124" i="13" s="1"/>
  <c r="U184" i="21"/>
  <c r="V184" i="21"/>
  <c r="L25" i="7"/>
  <c r="M136" i="13" s="1"/>
  <c r="U135" i="21"/>
  <c r="V135" i="21"/>
  <c r="L21" i="7"/>
  <c r="M109" i="13" s="1"/>
  <c r="U117" i="21"/>
  <c r="V117" i="21"/>
  <c r="L17" i="7"/>
  <c r="M93" i="13" s="1"/>
  <c r="U179" i="21"/>
  <c r="V179" i="21"/>
  <c r="L13" i="7"/>
  <c r="M276" i="13" s="1"/>
  <c r="U177" i="21"/>
  <c r="V177" i="21"/>
  <c r="L9" i="7"/>
  <c r="M188" i="13" s="1"/>
  <c r="U176" i="21"/>
  <c r="V176" i="21"/>
  <c r="Z57" i="7"/>
  <c r="Z25" i="7"/>
  <c r="Z69" i="7"/>
  <c r="Z53" i="7"/>
  <c r="Z21" i="7"/>
  <c r="Z65" i="7"/>
  <c r="Z49" i="7"/>
  <c r="Z33" i="7"/>
  <c r="Z17" i="7"/>
  <c r="AE322" i="7"/>
  <c r="AD322" i="7"/>
  <c r="AE306" i="7"/>
  <c r="AA306" i="7"/>
  <c r="AD306" i="7"/>
  <c r="AE294" i="7"/>
  <c r="AA294" i="7"/>
  <c r="AD294" i="7"/>
  <c r="AE286" i="7"/>
  <c r="AA286" i="7"/>
  <c r="AD286" i="7"/>
  <c r="AE274" i="7"/>
  <c r="AA274" i="7"/>
  <c r="AD274" i="7"/>
  <c r="AE266" i="7"/>
  <c r="AA266" i="7"/>
  <c r="AD266" i="7"/>
  <c r="AE254" i="7"/>
  <c r="AA254" i="7"/>
  <c r="AD254" i="7"/>
  <c r="AE238" i="7"/>
  <c r="AD238" i="7"/>
  <c r="AA238" i="7"/>
  <c r="AE226" i="7"/>
  <c r="AA226" i="7"/>
  <c r="AE214" i="7"/>
  <c r="AD214" i="7"/>
  <c r="AA214" i="7"/>
  <c r="AE202" i="7"/>
  <c r="AA202" i="7"/>
  <c r="AD202" i="7"/>
  <c r="AE194" i="7"/>
  <c r="AA194" i="7"/>
  <c r="AE182" i="7"/>
  <c r="AD182" i="7"/>
  <c r="AA182" i="7"/>
  <c r="AE170" i="7"/>
  <c r="AA170" i="7"/>
  <c r="AD170" i="7"/>
  <c r="AE162" i="7"/>
  <c r="AA162" i="7"/>
  <c r="AE150" i="7"/>
  <c r="AD150" i="7"/>
  <c r="AA150" i="7"/>
  <c r="AD323" i="7"/>
  <c r="AE323" i="7"/>
  <c r="AD319" i="7"/>
  <c r="AE319" i="7"/>
  <c r="AD315" i="7"/>
  <c r="AE315" i="7"/>
  <c r="AA315" i="7"/>
  <c r="AD311" i="7"/>
  <c r="AA311" i="7"/>
  <c r="AE311" i="7"/>
  <c r="AD307" i="7"/>
  <c r="AE307" i="7"/>
  <c r="AA307" i="7"/>
  <c r="AD303" i="7"/>
  <c r="AA303" i="7"/>
  <c r="AE303" i="7"/>
  <c r="AD299" i="7"/>
  <c r="AE299" i="7"/>
  <c r="AA299" i="7"/>
  <c r="AD295" i="7"/>
  <c r="AA295" i="7"/>
  <c r="AE295" i="7"/>
  <c r="AD291" i="7"/>
  <c r="AE291" i="7"/>
  <c r="AA291" i="7"/>
  <c r="AD287" i="7"/>
  <c r="AA287" i="7"/>
  <c r="AE287" i="7"/>
  <c r="AD283" i="7"/>
  <c r="AE283" i="7"/>
  <c r="AA283" i="7"/>
  <c r="AD279" i="7"/>
  <c r="AA279" i="7"/>
  <c r="AE279" i="7"/>
  <c r="AD275" i="7"/>
  <c r="AE275" i="7"/>
  <c r="AA275" i="7"/>
  <c r="AD271" i="7"/>
  <c r="AA271" i="7"/>
  <c r="AE271" i="7"/>
  <c r="AD267" i="7"/>
  <c r="AE267" i="7"/>
  <c r="AA267" i="7"/>
  <c r="AD263" i="7"/>
  <c r="AA263" i="7"/>
  <c r="AE263" i="7"/>
  <c r="AD259" i="7"/>
  <c r="AE259" i="7"/>
  <c r="AA259" i="7"/>
  <c r="AD255" i="7"/>
  <c r="AA255" i="7"/>
  <c r="AE255" i="7"/>
  <c r="AD251" i="7"/>
  <c r="AE251" i="7"/>
  <c r="AA251" i="7"/>
  <c r="AD247" i="7"/>
  <c r="AA247" i="7"/>
  <c r="AE247" i="7"/>
  <c r="AD243" i="7"/>
  <c r="AE243" i="7"/>
  <c r="AA243" i="7"/>
  <c r="AD239" i="7"/>
  <c r="AA239" i="7"/>
  <c r="AE239" i="7"/>
  <c r="AD235" i="7"/>
  <c r="AE235" i="7"/>
  <c r="AA235" i="7"/>
  <c r="AD231" i="7"/>
  <c r="AA231" i="7"/>
  <c r="AE231" i="7"/>
  <c r="AD227" i="7"/>
  <c r="AE227" i="7"/>
  <c r="AA227" i="7"/>
  <c r="AD223" i="7"/>
  <c r="AA223" i="7"/>
  <c r="AE223" i="7"/>
  <c r="AD219" i="7"/>
  <c r="AE219" i="7"/>
  <c r="AA219" i="7"/>
  <c r="AD215" i="7"/>
  <c r="AA215" i="7"/>
  <c r="AE215" i="7"/>
  <c r="AD211" i="7"/>
  <c r="AE211" i="7"/>
  <c r="AA211" i="7"/>
  <c r="AD207" i="7"/>
  <c r="AA207" i="7"/>
  <c r="AE207" i="7"/>
  <c r="AD203" i="7"/>
  <c r="AE203" i="7"/>
  <c r="AA203" i="7"/>
  <c r="AD199" i="7"/>
  <c r="AA199" i="7"/>
  <c r="AE199" i="7"/>
  <c r="AD195" i="7"/>
  <c r="AE195" i="7"/>
  <c r="AA195" i="7"/>
  <c r="AD191" i="7"/>
  <c r="AA191" i="7"/>
  <c r="AE191" i="7"/>
  <c r="AD187" i="7"/>
  <c r="AE187" i="7"/>
  <c r="AA187" i="7"/>
  <c r="AD183" i="7"/>
  <c r="AA183" i="7"/>
  <c r="AE183" i="7"/>
  <c r="AD179" i="7"/>
  <c r="AE179" i="7"/>
  <c r="AA179" i="7"/>
  <c r="AD175" i="7"/>
  <c r="AA175" i="7"/>
  <c r="AE175" i="7"/>
  <c r="AD171" i="7"/>
  <c r="AE171" i="7"/>
  <c r="AA171" i="7"/>
  <c r="AD167" i="7"/>
  <c r="AA167" i="7"/>
  <c r="AE167" i="7"/>
  <c r="AD163" i="7"/>
  <c r="AE163" i="7"/>
  <c r="AA163" i="7"/>
  <c r="AD159" i="7"/>
  <c r="AA159" i="7"/>
  <c r="AE159" i="7"/>
  <c r="AD155" i="7"/>
  <c r="AE155" i="7"/>
  <c r="AA155" i="7"/>
  <c r="AD151" i="7"/>
  <c r="AA151" i="7"/>
  <c r="AE151" i="7"/>
  <c r="AD147" i="7"/>
  <c r="AE147" i="7"/>
  <c r="AA147" i="7"/>
  <c r="AD143" i="7"/>
  <c r="AA143" i="7"/>
  <c r="AE143" i="7"/>
  <c r="AD139" i="7"/>
  <c r="AE139" i="7"/>
  <c r="AA139" i="7"/>
  <c r="AD135" i="7"/>
  <c r="AA135" i="7"/>
  <c r="AE135" i="7"/>
  <c r="AD131" i="7"/>
  <c r="AE131" i="7"/>
  <c r="AA131" i="7"/>
  <c r="AD127" i="7"/>
  <c r="AA127" i="7"/>
  <c r="AE127" i="7"/>
  <c r="AD123" i="7"/>
  <c r="AE123" i="7"/>
  <c r="AA123" i="7"/>
  <c r="AD119" i="7"/>
  <c r="AA119" i="7"/>
  <c r="AE119" i="7"/>
  <c r="AD115" i="7"/>
  <c r="AE115" i="7"/>
  <c r="AA115" i="7"/>
  <c r="AD111" i="7"/>
  <c r="AA111" i="7"/>
  <c r="AE111" i="7"/>
  <c r="AD107" i="7"/>
  <c r="AE107" i="7"/>
  <c r="AA107" i="7"/>
  <c r="AD103" i="7"/>
  <c r="AA103" i="7"/>
  <c r="AE103" i="7"/>
  <c r="AD99" i="7"/>
  <c r="AE99" i="7"/>
  <c r="AA99" i="7"/>
  <c r="AD95" i="7"/>
  <c r="AA95" i="7"/>
  <c r="AE95" i="7"/>
  <c r="AD91" i="7"/>
  <c r="AE91" i="7"/>
  <c r="AA91" i="7"/>
  <c r="AD87" i="7"/>
  <c r="AA87" i="7"/>
  <c r="AE87" i="7"/>
  <c r="AD84" i="7"/>
  <c r="AE84" i="7"/>
  <c r="AA84" i="7"/>
  <c r="AD80" i="7"/>
  <c r="AA80" i="7"/>
  <c r="AE80" i="7"/>
  <c r="AD76" i="7"/>
  <c r="AE76" i="7"/>
  <c r="AA76" i="7"/>
  <c r="AD72" i="7"/>
  <c r="AA72" i="7"/>
  <c r="AE72" i="7"/>
  <c r="AD68" i="7"/>
  <c r="AE68" i="7"/>
  <c r="AA68" i="7"/>
  <c r="AD64" i="7"/>
  <c r="AA64" i="7"/>
  <c r="AE64" i="7"/>
  <c r="AD60" i="7"/>
  <c r="AE60" i="7"/>
  <c r="AA60" i="7"/>
  <c r="AD56" i="7"/>
  <c r="AA56" i="7"/>
  <c r="AE56" i="7"/>
  <c r="AD52" i="7"/>
  <c r="AE52" i="7"/>
  <c r="AA52" i="7"/>
  <c r="AD48" i="7"/>
  <c r="AA48" i="7"/>
  <c r="AE48" i="7"/>
  <c r="AD44" i="7"/>
  <c r="AE44" i="7"/>
  <c r="AA44" i="7"/>
  <c r="AD40" i="7"/>
  <c r="AA40" i="7"/>
  <c r="AE40" i="7"/>
  <c r="AD36" i="7"/>
  <c r="AE36" i="7"/>
  <c r="AA36" i="7"/>
  <c r="AD32" i="7"/>
  <c r="AA32" i="7"/>
  <c r="AE32" i="7"/>
  <c r="AD28" i="7"/>
  <c r="AE28" i="7"/>
  <c r="AA28" i="7"/>
  <c r="AD24" i="7"/>
  <c r="AA24" i="7"/>
  <c r="AE24" i="7"/>
  <c r="AD20" i="7"/>
  <c r="AE20" i="7"/>
  <c r="AA20" i="7"/>
  <c r="AD16" i="7"/>
  <c r="AA16" i="7"/>
  <c r="AE16" i="7"/>
  <c r="AD12" i="7"/>
  <c r="AE12" i="7"/>
  <c r="AA12" i="7"/>
  <c r="AD8" i="7"/>
  <c r="AA8" i="7"/>
  <c r="AE8" i="7"/>
  <c r="Z324" i="7"/>
  <c r="Z312" i="7"/>
  <c r="Z308" i="7"/>
  <c r="Z304" i="7"/>
  <c r="Z288" i="7"/>
  <c r="Z280" i="7"/>
  <c r="Z276" i="7"/>
  <c r="Z272" i="7"/>
  <c r="Z260" i="7"/>
  <c r="Z256" i="7"/>
  <c r="Z248" i="7"/>
  <c r="Z244" i="7"/>
  <c r="Z240" i="7"/>
  <c r="Z224" i="7"/>
  <c r="Z216" i="7"/>
  <c r="Z212" i="7"/>
  <c r="Z208" i="7"/>
  <c r="Z196" i="7"/>
  <c r="Z192" i="7"/>
  <c r="Z184" i="7"/>
  <c r="Z180" i="7"/>
  <c r="Z176" i="7"/>
  <c r="Z160" i="7"/>
  <c r="Z152" i="7"/>
  <c r="Z148" i="7"/>
  <c r="Z144" i="7"/>
  <c r="Z132" i="7"/>
  <c r="Z128" i="7"/>
  <c r="Z120" i="7"/>
  <c r="Z116" i="7"/>
  <c r="Z112" i="7"/>
  <c r="Z96" i="7"/>
  <c r="Z88" i="7"/>
  <c r="Z85" i="7"/>
  <c r="Z81" i="7"/>
  <c r="AD146" i="7"/>
  <c r="AE142" i="7"/>
  <c r="AD142" i="7"/>
  <c r="AA142" i="7"/>
  <c r="AE138" i="7"/>
  <c r="AA138" i="7"/>
  <c r="AD138" i="7"/>
  <c r="AE134" i="7"/>
  <c r="AD134" i="7"/>
  <c r="AA134" i="7"/>
  <c r="AE130" i="7"/>
  <c r="AA130" i="7"/>
  <c r="AE126" i="7"/>
  <c r="AD126" i="7"/>
  <c r="AA126" i="7"/>
  <c r="AE122" i="7"/>
  <c r="AA122" i="7"/>
  <c r="AD122" i="7"/>
  <c r="AE118" i="7"/>
  <c r="AD118" i="7"/>
  <c r="AA118" i="7"/>
  <c r="AE114" i="7"/>
  <c r="AA114" i="7"/>
  <c r="AE110" i="7"/>
  <c r="AD110" i="7"/>
  <c r="AA110" i="7"/>
  <c r="AE106" i="7"/>
  <c r="AA106" i="7"/>
  <c r="AD106" i="7"/>
  <c r="AE102" i="7"/>
  <c r="AD102" i="7"/>
  <c r="AA102" i="7"/>
  <c r="AE98" i="7"/>
  <c r="AA98" i="7"/>
  <c r="AE94" i="7"/>
  <c r="AD94" i="7"/>
  <c r="AA94" i="7"/>
  <c r="AE90" i="7"/>
  <c r="AA90" i="7"/>
  <c r="AD90" i="7"/>
  <c r="AE86" i="7"/>
  <c r="AD86" i="7"/>
  <c r="AA86" i="7"/>
  <c r="AE83" i="7"/>
  <c r="AA83" i="7"/>
  <c r="AE79" i="7"/>
  <c r="AD79" i="7"/>
  <c r="AA79" i="7"/>
  <c r="AE75" i="7"/>
  <c r="AA75" i="7"/>
  <c r="AD75" i="7"/>
  <c r="AE71" i="7"/>
  <c r="AD71" i="7"/>
  <c r="AA71" i="7"/>
  <c r="AE67" i="7"/>
  <c r="AA67" i="7"/>
  <c r="AE63" i="7"/>
  <c r="AD63" i="7"/>
  <c r="AA63" i="7"/>
  <c r="AE59" i="7"/>
  <c r="AA59" i="7"/>
  <c r="AD59" i="7"/>
  <c r="AE55" i="7"/>
  <c r="AD55" i="7"/>
  <c r="AA55" i="7"/>
  <c r="AE51" i="7"/>
  <c r="AA51" i="7"/>
  <c r="AE47" i="7"/>
  <c r="AD47" i="7"/>
  <c r="AA47" i="7"/>
  <c r="AE43" i="7"/>
  <c r="AA43" i="7"/>
  <c r="AD43" i="7"/>
  <c r="AE39" i="7"/>
  <c r="AD39" i="7"/>
  <c r="AA39" i="7"/>
  <c r="AE35" i="7"/>
  <c r="AA35" i="7"/>
  <c r="AE31" i="7"/>
  <c r="AD31" i="7"/>
  <c r="AA31" i="7"/>
  <c r="AE27" i="7"/>
  <c r="AA27" i="7"/>
  <c r="AD27" i="7"/>
  <c r="AE23" i="7"/>
  <c r="AD23" i="7"/>
  <c r="AA23" i="7"/>
  <c r="AE19" i="7"/>
  <c r="AA19" i="7"/>
  <c r="AE15" i="7"/>
  <c r="AD15" i="7"/>
  <c r="AA15" i="7"/>
  <c r="AE11" i="7"/>
  <c r="AA11" i="7"/>
  <c r="AD11" i="7"/>
  <c r="AE7" i="7"/>
  <c r="AD7" i="7"/>
  <c r="AA7" i="7"/>
  <c r="Z323" i="7"/>
  <c r="Z319" i="7"/>
  <c r="Z315" i="7"/>
  <c r="Z311" i="7"/>
  <c r="Z307" i="7"/>
  <c r="Z303" i="7"/>
  <c r="Z299" i="7"/>
  <c r="Z295" i="7"/>
  <c r="Z291" i="7"/>
  <c r="Z287" i="7"/>
  <c r="Z283" i="7"/>
  <c r="Z279" i="7"/>
  <c r="Z275" i="7"/>
  <c r="Z271" i="7"/>
  <c r="Z267" i="7"/>
  <c r="Z263" i="7"/>
  <c r="Z259" i="7"/>
  <c r="Z255" i="7"/>
  <c r="Z251" i="7"/>
  <c r="Z247" i="7"/>
  <c r="Z243" i="7"/>
  <c r="Z239" i="7"/>
  <c r="Z235" i="7"/>
  <c r="Z231" i="7"/>
  <c r="Z227" i="7"/>
  <c r="Z223" i="7"/>
  <c r="Z219" i="7"/>
  <c r="Z215" i="7"/>
  <c r="Z211" i="7"/>
  <c r="Z207" i="7"/>
  <c r="Z203" i="7"/>
  <c r="Z199" i="7"/>
  <c r="Z195" i="7"/>
  <c r="Z191" i="7"/>
  <c r="Z187" i="7"/>
  <c r="Z183" i="7"/>
  <c r="Z179" i="7"/>
  <c r="Z175" i="7"/>
  <c r="Z171" i="7"/>
  <c r="Z167" i="7"/>
  <c r="Z163" i="7"/>
  <c r="Z159" i="7"/>
  <c r="Z155" i="7"/>
  <c r="Z151" i="7"/>
  <c r="Z147" i="7"/>
  <c r="Z143" i="7"/>
  <c r="Z139" i="7"/>
  <c r="Z135" i="7"/>
  <c r="Z131" i="7"/>
  <c r="Z127" i="7"/>
  <c r="Z123" i="7"/>
  <c r="Z119" i="7"/>
  <c r="Z115" i="7"/>
  <c r="Z111" i="7"/>
  <c r="Z107" i="7"/>
  <c r="Z103" i="7"/>
  <c r="Z99" i="7"/>
  <c r="Z95" i="7"/>
  <c r="Z91" i="7"/>
  <c r="Z87" i="7"/>
  <c r="Z84" i="7"/>
  <c r="Z80" i="7"/>
  <c r="Z76" i="7"/>
  <c r="Z72" i="7"/>
  <c r="Z68" i="7"/>
  <c r="Z64" i="7"/>
  <c r="Z60" i="7"/>
  <c r="Z56" i="7"/>
  <c r="Z52" i="7"/>
  <c r="Z48" i="7"/>
  <c r="Z44" i="7"/>
  <c r="Z40" i="7"/>
  <c r="Z36" i="7"/>
  <c r="Z32" i="7"/>
  <c r="Z28" i="7"/>
  <c r="Z24" i="7"/>
  <c r="Z20" i="7"/>
  <c r="Z16" i="7"/>
  <c r="Z12" i="7"/>
  <c r="AA323" i="7"/>
  <c r="AD194" i="7"/>
  <c r="AD130" i="7"/>
  <c r="AD67" i="7"/>
  <c r="AE318" i="7"/>
  <c r="AA318" i="7"/>
  <c r="AD318" i="7"/>
  <c r="AE310" i="7"/>
  <c r="AA310" i="7"/>
  <c r="AD310" i="7"/>
  <c r="AE298" i="7"/>
  <c r="AA298" i="7"/>
  <c r="AD298" i="7"/>
  <c r="AE282" i="7"/>
  <c r="AA282" i="7"/>
  <c r="AD282" i="7"/>
  <c r="AE270" i="7"/>
  <c r="AA270" i="7"/>
  <c r="AD270" i="7"/>
  <c r="AE258" i="7"/>
  <c r="AA258" i="7"/>
  <c r="AD258" i="7"/>
  <c r="AE246" i="7"/>
  <c r="AA246" i="7"/>
  <c r="AD246" i="7"/>
  <c r="AE234" i="7"/>
  <c r="AA234" i="7"/>
  <c r="AD234" i="7"/>
  <c r="AE222" i="7"/>
  <c r="AD222" i="7"/>
  <c r="AA222" i="7"/>
  <c r="AE210" i="7"/>
  <c r="AA210" i="7"/>
  <c r="AE198" i="7"/>
  <c r="AD198" i="7"/>
  <c r="AA198" i="7"/>
  <c r="AE190" i="7"/>
  <c r="AD190" i="7"/>
  <c r="AA190" i="7"/>
  <c r="AE178" i="7"/>
  <c r="AA178" i="7"/>
  <c r="AE174" i="7"/>
  <c r="AD174" i="7"/>
  <c r="AA174" i="7"/>
  <c r="AE166" i="7"/>
  <c r="AD166" i="7"/>
  <c r="AA166" i="7"/>
  <c r="AE154" i="7"/>
  <c r="AA154" i="7"/>
  <c r="AD154" i="7"/>
  <c r="AE325" i="7"/>
  <c r="AD325" i="7"/>
  <c r="AA325" i="7"/>
  <c r="AE321" i="7"/>
  <c r="AA321" i="7"/>
  <c r="AE317" i="7"/>
  <c r="AD317" i="7"/>
  <c r="AE313" i="7"/>
  <c r="AA313" i="7"/>
  <c r="AE309" i="7"/>
  <c r="AD309" i="7"/>
  <c r="AA309" i="7"/>
  <c r="AE305" i="7"/>
  <c r="AA305" i="7"/>
  <c r="AE301" i="7"/>
  <c r="AD301" i="7"/>
  <c r="AA301" i="7"/>
  <c r="AE297" i="7"/>
  <c r="AA297" i="7"/>
  <c r="AE293" i="7"/>
  <c r="AD293" i="7"/>
  <c r="AA293" i="7"/>
  <c r="AE289" i="7"/>
  <c r="AA289" i="7"/>
  <c r="AE285" i="7"/>
  <c r="AD285" i="7"/>
  <c r="AA285" i="7"/>
  <c r="AE281" i="7"/>
  <c r="AA281" i="7"/>
  <c r="AE277" i="7"/>
  <c r="AD277" i="7"/>
  <c r="AA277" i="7"/>
  <c r="AE273" i="7"/>
  <c r="AA273" i="7"/>
  <c r="AE269" i="7"/>
  <c r="AD269" i="7"/>
  <c r="AA269" i="7"/>
  <c r="AE265" i="7"/>
  <c r="AA265" i="7"/>
  <c r="AE261" i="7"/>
  <c r="AD261" i="7"/>
  <c r="AA261" i="7"/>
  <c r="AE257" i="7"/>
  <c r="AA257" i="7"/>
  <c r="AE253" i="7"/>
  <c r="AD253" i="7"/>
  <c r="AA253" i="7"/>
  <c r="AE249" i="7"/>
  <c r="AA249" i="7"/>
  <c r="AE245" i="7"/>
  <c r="AD245" i="7"/>
  <c r="AA245" i="7"/>
  <c r="AE241" i="7"/>
  <c r="AA241" i="7"/>
  <c r="AE237" i="7"/>
  <c r="AD237" i="7"/>
  <c r="AA237" i="7"/>
  <c r="AE233" i="7"/>
  <c r="AD233" i="7"/>
  <c r="AA233" i="7"/>
  <c r="AE229" i="7"/>
  <c r="AA229" i="7"/>
  <c r="AD229" i="7"/>
  <c r="AE225" i="7"/>
  <c r="AD225" i="7"/>
  <c r="AA225" i="7"/>
  <c r="AE221" i="7"/>
  <c r="AD221" i="7"/>
  <c r="AA221" i="7"/>
  <c r="AE217" i="7"/>
  <c r="AD217" i="7"/>
  <c r="AA217" i="7"/>
  <c r="AE213" i="7"/>
  <c r="AA213" i="7"/>
  <c r="AD213" i="7"/>
  <c r="AE209" i="7"/>
  <c r="AD209" i="7"/>
  <c r="AA209" i="7"/>
  <c r="AE205" i="7"/>
  <c r="AD205" i="7"/>
  <c r="AA205" i="7"/>
  <c r="AE201" i="7"/>
  <c r="AD201" i="7"/>
  <c r="AA201" i="7"/>
  <c r="AE197" i="7"/>
  <c r="AA197" i="7"/>
  <c r="AD197" i="7"/>
  <c r="AE193" i="7"/>
  <c r="AD193" i="7"/>
  <c r="AA193" i="7"/>
  <c r="AE189" i="7"/>
  <c r="AD189" i="7"/>
  <c r="AA189" i="7"/>
  <c r="AE185" i="7"/>
  <c r="AD185" i="7"/>
  <c r="AA185" i="7"/>
  <c r="AE181" i="7"/>
  <c r="AA181" i="7"/>
  <c r="AD181" i="7"/>
  <c r="AE177" i="7"/>
  <c r="AD177" i="7"/>
  <c r="AA177" i="7"/>
  <c r="AE173" i="7"/>
  <c r="AD173" i="7"/>
  <c r="AA173" i="7"/>
  <c r="AE169" i="7"/>
  <c r="AD169" i="7"/>
  <c r="AA169" i="7"/>
  <c r="AE165" i="7"/>
  <c r="AA165" i="7"/>
  <c r="AD165" i="7"/>
  <c r="AE161" i="7"/>
  <c r="AD161" i="7"/>
  <c r="AA161" i="7"/>
  <c r="AE157" i="7"/>
  <c r="AD157" i="7"/>
  <c r="AA157" i="7"/>
  <c r="AE153" i="7"/>
  <c r="AD153" i="7"/>
  <c r="AA153" i="7"/>
  <c r="AE149" i="7"/>
  <c r="AA149" i="7"/>
  <c r="AD149" i="7"/>
  <c r="AE145" i="7"/>
  <c r="AD145" i="7"/>
  <c r="AA145" i="7"/>
  <c r="AE141" i="7"/>
  <c r="AD141" i="7"/>
  <c r="AA141" i="7"/>
  <c r="AE137" i="7"/>
  <c r="AD137" i="7"/>
  <c r="AA137" i="7"/>
  <c r="AE133" i="7"/>
  <c r="AA133" i="7"/>
  <c r="AD133" i="7"/>
  <c r="AE129" i="7"/>
  <c r="AD129" i="7"/>
  <c r="AA129" i="7"/>
  <c r="AE125" i="7"/>
  <c r="AD125" i="7"/>
  <c r="AA125" i="7"/>
  <c r="AE121" i="7"/>
  <c r="AD121" i="7"/>
  <c r="AA121" i="7"/>
  <c r="AE117" i="7"/>
  <c r="AA117" i="7"/>
  <c r="AD117" i="7"/>
  <c r="AE113" i="7"/>
  <c r="AD113" i="7"/>
  <c r="AA113" i="7"/>
  <c r="AE109" i="7"/>
  <c r="AD109" i="7"/>
  <c r="AA109" i="7"/>
  <c r="AE105" i="7"/>
  <c r="AD105" i="7"/>
  <c r="AA105" i="7"/>
  <c r="AE101" i="7"/>
  <c r="AA101" i="7"/>
  <c r="AD101" i="7"/>
  <c r="AE97" i="7"/>
  <c r="AD97" i="7"/>
  <c r="AA97" i="7"/>
  <c r="AE93" i="7"/>
  <c r="AD93" i="7"/>
  <c r="AA93" i="7"/>
  <c r="AE89" i="7"/>
  <c r="AD89" i="7"/>
  <c r="AA89" i="7"/>
  <c r="AE82" i="7"/>
  <c r="AD82" i="7"/>
  <c r="AA82" i="7"/>
  <c r="AE78" i="7"/>
  <c r="AD78" i="7"/>
  <c r="AA78" i="7"/>
  <c r="AE74" i="7"/>
  <c r="AD74" i="7"/>
  <c r="AA74" i="7"/>
  <c r="AE70" i="7"/>
  <c r="AA70" i="7"/>
  <c r="AD70" i="7"/>
  <c r="AE66" i="7"/>
  <c r="AD66" i="7"/>
  <c r="AA66" i="7"/>
  <c r="AE62" i="7"/>
  <c r="AD62" i="7"/>
  <c r="AA62" i="7"/>
  <c r="AE58" i="7"/>
  <c r="AD58" i="7"/>
  <c r="AA58" i="7"/>
  <c r="AE54" i="7"/>
  <c r="AA54" i="7"/>
  <c r="AD54" i="7"/>
  <c r="AE50" i="7"/>
  <c r="AD50" i="7"/>
  <c r="AA50" i="7"/>
  <c r="AE46" i="7"/>
  <c r="AD46" i="7"/>
  <c r="AA46" i="7"/>
  <c r="AE42" i="7"/>
  <c r="AD42" i="7"/>
  <c r="AA42" i="7"/>
  <c r="AE38" i="7"/>
  <c r="AA38" i="7"/>
  <c r="AD38" i="7"/>
  <c r="AE34" i="7"/>
  <c r="AD34" i="7"/>
  <c r="AA34" i="7"/>
  <c r="AE30" i="7"/>
  <c r="AD30" i="7"/>
  <c r="AA30" i="7"/>
  <c r="AE26" i="7"/>
  <c r="AD26" i="7"/>
  <c r="AA26" i="7"/>
  <c r="AE22" i="7"/>
  <c r="AA22" i="7"/>
  <c r="AD22" i="7"/>
  <c r="AE18" i="7"/>
  <c r="AD18" i="7"/>
  <c r="AA18" i="7"/>
  <c r="AE14" i="7"/>
  <c r="AD14" i="7"/>
  <c r="AA14" i="7"/>
  <c r="AE10" i="7"/>
  <c r="AD10" i="7"/>
  <c r="Z10" i="7"/>
  <c r="AA10" i="7"/>
  <c r="AE6" i="7"/>
  <c r="AA6" i="7"/>
  <c r="Z6" i="7"/>
  <c r="AD6" i="7"/>
  <c r="Z322" i="7"/>
  <c r="Z318" i="7"/>
  <c r="Z310" i="7"/>
  <c r="Z306" i="7"/>
  <c r="Z298" i="7"/>
  <c r="Z294" i="7"/>
  <c r="Z286" i="7"/>
  <c r="Z282" i="7"/>
  <c r="Z274" i="7"/>
  <c r="Z270" i="7"/>
  <c r="Z266" i="7"/>
  <c r="Z258" i="7"/>
  <c r="Z254" i="7"/>
  <c r="Z246" i="7"/>
  <c r="Z238" i="7"/>
  <c r="Z234" i="7"/>
  <c r="Z226" i="7"/>
  <c r="Z222" i="7"/>
  <c r="Z214" i="7"/>
  <c r="Z210" i="7"/>
  <c r="Z202" i="7"/>
  <c r="Z198" i="7"/>
  <c r="Z194" i="7"/>
  <c r="Z190" i="7"/>
  <c r="Z182" i="7"/>
  <c r="Z178" i="7"/>
  <c r="Z174" i="7"/>
  <c r="Z170" i="7"/>
  <c r="Z166" i="7"/>
  <c r="Z162" i="7"/>
  <c r="Z154" i="7"/>
  <c r="Z150" i="7"/>
  <c r="Z142" i="7"/>
  <c r="Z138" i="7"/>
  <c r="Z134" i="7"/>
  <c r="Z130" i="7"/>
  <c r="Z126" i="7"/>
  <c r="Z122" i="7"/>
  <c r="Z118" i="7"/>
  <c r="Z114" i="7"/>
  <c r="Z110" i="7"/>
  <c r="Z106" i="7"/>
  <c r="Z102" i="7"/>
  <c r="Z98" i="7"/>
  <c r="Z94" i="7"/>
  <c r="Z90" i="7"/>
  <c r="Z86" i="7"/>
  <c r="Z83" i="7"/>
  <c r="Z79" i="7"/>
  <c r="Z75" i="7"/>
  <c r="Z71" i="7"/>
  <c r="Z67" i="7"/>
  <c r="Z63" i="7"/>
  <c r="Z59" i="7"/>
  <c r="Z55" i="7"/>
  <c r="Z51" i="7"/>
  <c r="Z47" i="7"/>
  <c r="Z43" i="7"/>
  <c r="Z39" i="7"/>
  <c r="Z35" i="7"/>
  <c r="Z31" i="7"/>
  <c r="Z27" i="7"/>
  <c r="Z23" i="7"/>
  <c r="Z19" i="7"/>
  <c r="Z15" i="7"/>
  <c r="Z11" i="7"/>
  <c r="AA322" i="7"/>
  <c r="AD305" i="7"/>
  <c r="AD273" i="7"/>
  <c r="AD241" i="7"/>
  <c r="AD178" i="7"/>
  <c r="AD114" i="7"/>
  <c r="AD51" i="7"/>
  <c r="AE314" i="7"/>
  <c r="AA314" i="7"/>
  <c r="AD314" i="7"/>
  <c r="AE302" i="7"/>
  <c r="AA302" i="7"/>
  <c r="AD302" i="7"/>
  <c r="AE290" i="7"/>
  <c r="AA290" i="7"/>
  <c r="AD290" i="7"/>
  <c r="AE278" i="7"/>
  <c r="AA278" i="7"/>
  <c r="AD278" i="7"/>
  <c r="AE262" i="7"/>
  <c r="AA262" i="7"/>
  <c r="AD262" i="7"/>
  <c r="AE250" i="7"/>
  <c r="AA250" i="7"/>
  <c r="AD250" i="7"/>
  <c r="AE242" i="7"/>
  <c r="AA242" i="7"/>
  <c r="AD242" i="7"/>
  <c r="AE230" i="7"/>
  <c r="AD230" i="7"/>
  <c r="AA230" i="7"/>
  <c r="AE218" i="7"/>
  <c r="AA218" i="7"/>
  <c r="AD218" i="7"/>
  <c r="AE206" i="7"/>
  <c r="AD206" i="7"/>
  <c r="AA206" i="7"/>
  <c r="AE186" i="7"/>
  <c r="AA186" i="7"/>
  <c r="AD186" i="7"/>
  <c r="AE158" i="7"/>
  <c r="AD158" i="7"/>
  <c r="AA158" i="7"/>
  <c r="AE146" i="7"/>
  <c r="AA146" i="7"/>
  <c r="AD324" i="7"/>
  <c r="AA324" i="7"/>
  <c r="AE320" i="7"/>
  <c r="AD320" i="7"/>
  <c r="AA320" i="7"/>
  <c r="AD316" i="7"/>
  <c r="AE316" i="7"/>
  <c r="AA316" i="7"/>
  <c r="AE312" i="7"/>
  <c r="AD312" i="7"/>
  <c r="AD308" i="7"/>
  <c r="AA308" i="7"/>
  <c r="AE304" i="7"/>
  <c r="AD304" i="7"/>
  <c r="AD300" i="7"/>
  <c r="AE300" i="7"/>
  <c r="AA300" i="7"/>
  <c r="AE296" i="7"/>
  <c r="AD296" i="7"/>
  <c r="AD292" i="7"/>
  <c r="AA292" i="7"/>
  <c r="AE288" i="7"/>
  <c r="AD288" i="7"/>
  <c r="AD284" i="7"/>
  <c r="AE284" i="7"/>
  <c r="AA284" i="7"/>
  <c r="AE280" i="7"/>
  <c r="AD280" i="7"/>
  <c r="AD276" i="7"/>
  <c r="AA276" i="7"/>
  <c r="AE272" i="7"/>
  <c r="AD272" i="7"/>
  <c r="AD268" i="7"/>
  <c r="AE268" i="7"/>
  <c r="AA268" i="7"/>
  <c r="AE264" i="7"/>
  <c r="AD264" i="7"/>
  <c r="AD260" i="7"/>
  <c r="AA260" i="7"/>
  <c r="AE256" i="7"/>
  <c r="AD256" i="7"/>
  <c r="AD252" i="7"/>
  <c r="AE252" i="7"/>
  <c r="AA252" i="7"/>
  <c r="AE248" i="7"/>
  <c r="AD248" i="7"/>
  <c r="AD244" i="7"/>
  <c r="AA244" i="7"/>
  <c r="AD240" i="7"/>
  <c r="AE240" i="7"/>
  <c r="AD236" i="7"/>
  <c r="AE236" i="7"/>
  <c r="AA236" i="7"/>
  <c r="AD232" i="7"/>
  <c r="AE232" i="7"/>
  <c r="AD228" i="7"/>
  <c r="AA228" i="7"/>
  <c r="AD224" i="7"/>
  <c r="AE224" i="7"/>
  <c r="AD220" i="7"/>
  <c r="AE220" i="7"/>
  <c r="AA220" i="7"/>
  <c r="AD216" i="7"/>
  <c r="AE216" i="7"/>
  <c r="AD212" i="7"/>
  <c r="AA212" i="7"/>
  <c r="AD208" i="7"/>
  <c r="AE208" i="7"/>
  <c r="AD204" i="7"/>
  <c r="AE204" i="7"/>
  <c r="AA204" i="7"/>
  <c r="AD200" i="7"/>
  <c r="AE200" i="7"/>
  <c r="AD196" i="7"/>
  <c r="AA196" i="7"/>
  <c r="AD192" i="7"/>
  <c r="AE192" i="7"/>
  <c r="AD188" i="7"/>
  <c r="AE188" i="7"/>
  <c r="AA188" i="7"/>
  <c r="AD184" i="7"/>
  <c r="AE184" i="7"/>
  <c r="AD180" i="7"/>
  <c r="AA180" i="7"/>
  <c r="AD176" i="7"/>
  <c r="AE176" i="7"/>
  <c r="AD172" i="7"/>
  <c r="AE172" i="7"/>
  <c r="AA172" i="7"/>
  <c r="AD168" i="7"/>
  <c r="AE168" i="7"/>
  <c r="AD164" i="7"/>
  <c r="AA164" i="7"/>
  <c r="AD160" i="7"/>
  <c r="AE160" i="7"/>
  <c r="AD156" i="7"/>
  <c r="AE156" i="7"/>
  <c r="AA156" i="7"/>
  <c r="AD152" i="7"/>
  <c r="AE152" i="7"/>
  <c r="AD148" i="7"/>
  <c r="AA148" i="7"/>
  <c r="AD144" i="7"/>
  <c r="AE144" i="7"/>
  <c r="AD140" i="7"/>
  <c r="AE140" i="7"/>
  <c r="AA140" i="7"/>
  <c r="AD136" i="7"/>
  <c r="AE136" i="7"/>
  <c r="AD132" i="7"/>
  <c r="AA132" i="7"/>
  <c r="AD128" i="7"/>
  <c r="AE128" i="7"/>
  <c r="AD124" i="7"/>
  <c r="AE124" i="7"/>
  <c r="AA124" i="7"/>
  <c r="AD120" i="7"/>
  <c r="AE120" i="7"/>
  <c r="AD116" i="7"/>
  <c r="AA116" i="7"/>
  <c r="AD112" i="7"/>
  <c r="AE112" i="7"/>
  <c r="AD108" i="7"/>
  <c r="AE108" i="7"/>
  <c r="AA108" i="7"/>
  <c r="AD104" i="7"/>
  <c r="AE104" i="7"/>
  <c r="AD100" i="7"/>
  <c r="AA100" i="7"/>
  <c r="AD96" i="7"/>
  <c r="AE96" i="7"/>
  <c r="AD92" i="7"/>
  <c r="AE92" i="7"/>
  <c r="AA92" i="7"/>
  <c r="AD88" i="7"/>
  <c r="AE88" i="7"/>
  <c r="AD85" i="7"/>
  <c r="AA85" i="7"/>
  <c r="AD81" i="7"/>
  <c r="AE81" i="7"/>
  <c r="AD77" i="7"/>
  <c r="AE77" i="7"/>
  <c r="AA77" i="7"/>
  <c r="AD73" i="7"/>
  <c r="AE73" i="7"/>
  <c r="AD69" i="7"/>
  <c r="AA69" i="7"/>
  <c r="AD65" i="7"/>
  <c r="AE65" i="7"/>
  <c r="AD61" i="7"/>
  <c r="AE61" i="7"/>
  <c r="AA61" i="7"/>
  <c r="AD57" i="7"/>
  <c r="AE57" i="7"/>
  <c r="AD53" i="7"/>
  <c r="AA53" i="7"/>
  <c r="AD49" i="7"/>
  <c r="AE49" i="7"/>
  <c r="AD45" i="7"/>
  <c r="AE45" i="7"/>
  <c r="AA45" i="7"/>
  <c r="AD41" i="7"/>
  <c r="AE41" i="7"/>
  <c r="AD37" i="7"/>
  <c r="AA37" i="7"/>
  <c r="AD33" i="7"/>
  <c r="AE33" i="7"/>
  <c r="AD29" i="7"/>
  <c r="AE29" i="7"/>
  <c r="AA29" i="7"/>
  <c r="AD25" i="7"/>
  <c r="AE25" i="7"/>
  <c r="AD21" i="7"/>
  <c r="AA21" i="7"/>
  <c r="AD17" i="7"/>
  <c r="AE17" i="7"/>
  <c r="AD13" i="7"/>
  <c r="AE13" i="7"/>
  <c r="AA13" i="7"/>
  <c r="AD9" i="7"/>
  <c r="AE9" i="7"/>
  <c r="Z9" i="7"/>
  <c r="Z325" i="7"/>
  <c r="Z321" i="7"/>
  <c r="Z317" i="7"/>
  <c r="Z313" i="7"/>
  <c r="Z309" i="7"/>
  <c r="Z305" i="7"/>
  <c r="Z301" i="7"/>
  <c r="Z297" i="7"/>
  <c r="Z293" i="7"/>
  <c r="Z289" i="7"/>
  <c r="Z285" i="7"/>
  <c r="Z281" i="7"/>
  <c r="Z277" i="7"/>
  <c r="Z273" i="7"/>
  <c r="Z269" i="7"/>
  <c r="Z265" i="7"/>
  <c r="Z261" i="7"/>
  <c r="Z257" i="7"/>
  <c r="Z253" i="7"/>
  <c r="Z249" i="7"/>
  <c r="Z245" i="7"/>
  <c r="Z241" i="7"/>
  <c r="Z237" i="7"/>
  <c r="Z233" i="7"/>
  <c r="Z229" i="7"/>
  <c r="Z225" i="7"/>
  <c r="Z221" i="7"/>
  <c r="Z217" i="7"/>
  <c r="Z213" i="7"/>
  <c r="Z209" i="7"/>
  <c r="Z205" i="7"/>
  <c r="Z201" i="7"/>
  <c r="Z197" i="7"/>
  <c r="Z193" i="7"/>
  <c r="Z189" i="7"/>
  <c r="Z185" i="7"/>
  <c r="Z181" i="7"/>
  <c r="Z177" i="7"/>
  <c r="Z173" i="7"/>
  <c r="Z169" i="7"/>
  <c r="Z165" i="7"/>
  <c r="Z161" i="7"/>
  <c r="Z157" i="7"/>
  <c r="Z153" i="7"/>
  <c r="Z149" i="7"/>
  <c r="Z145" i="7"/>
  <c r="Z141" i="7"/>
  <c r="Z137" i="7"/>
  <c r="Z133" i="7"/>
  <c r="Z129" i="7"/>
  <c r="Z125" i="7"/>
  <c r="Z121" i="7"/>
  <c r="Z117" i="7"/>
  <c r="Z113" i="7"/>
  <c r="Z109" i="7"/>
  <c r="Z105" i="7"/>
  <c r="Z101" i="7"/>
  <c r="Z97" i="7"/>
  <c r="Z93" i="7"/>
  <c r="Z89" i="7"/>
  <c r="Z82" i="7"/>
  <c r="Z78" i="7"/>
  <c r="Z74" i="7"/>
  <c r="Z70" i="7"/>
  <c r="Z66" i="7"/>
  <c r="Z62" i="7"/>
  <c r="Z58" i="7"/>
  <c r="Z54" i="7"/>
  <c r="Z50" i="7"/>
  <c r="Z46" i="7"/>
  <c r="Z42" i="7"/>
  <c r="Z38" i="7"/>
  <c r="Z34" i="7"/>
  <c r="Z30" i="7"/>
  <c r="Z26" i="7"/>
  <c r="Z22" i="7"/>
  <c r="Z18" i="7"/>
  <c r="Z14" i="7"/>
  <c r="Z8" i="7"/>
  <c r="AA319" i="7"/>
  <c r="AA296" i="7"/>
  <c r="AA264" i="7"/>
  <c r="AA232" i="7"/>
  <c r="AA200" i="7"/>
  <c r="AA168" i="7"/>
  <c r="AA136" i="7"/>
  <c r="AA104" i="7"/>
  <c r="AA73" i="7"/>
  <c r="AA41" i="7"/>
  <c r="AA9" i="7"/>
  <c r="AD297" i="7"/>
  <c r="AD265" i="7"/>
  <c r="AD226" i="7"/>
  <c r="AD162" i="7"/>
  <c r="AD98" i="7"/>
  <c r="AD35" i="7"/>
  <c r="AE292" i="7"/>
  <c r="AE228" i="7"/>
  <c r="AE164" i="7"/>
  <c r="AE100" i="7"/>
  <c r="AE37" i="7"/>
  <c r="S73" i="21"/>
  <c r="S32" i="21"/>
  <c r="S157" i="21"/>
  <c r="S224" i="21"/>
  <c r="S142" i="21"/>
  <c r="S100" i="21"/>
  <c r="S145" i="21"/>
  <c r="S137" i="21"/>
  <c r="S36" i="21"/>
  <c r="S210" i="21"/>
  <c r="S95" i="21"/>
  <c r="S96" i="21"/>
  <c r="S97" i="21"/>
  <c r="S6" i="21"/>
  <c r="S279" i="21"/>
  <c r="S29" i="21"/>
  <c r="S170" i="21"/>
  <c r="S153" i="21"/>
  <c r="S190" i="21"/>
  <c r="S68" i="21"/>
  <c r="S138" i="21"/>
  <c r="S194" i="21"/>
  <c r="S156" i="21"/>
  <c r="S4" i="21"/>
  <c r="S19" i="21"/>
  <c r="S123" i="21"/>
  <c r="S94" i="21"/>
  <c r="S11" i="21"/>
  <c r="S125" i="21"/>
  <c r="S241" i="21"/>
  <c r="S5" i="21"/>
  <c r="S23" i="21"/>
  <c r="S152" i="21"/>
  <c r="S249" i="21"/>
  <c r="S256" i="21"/>
  <c r="S48" i="21"/>
  <c r="S166" i="21"/>
  <c r="S264" i="21"/>
  <c r="S314" i="21"/>
  <c r="S276" i="21"/>
  <c r="S60" i="21"/>
  <c r="S176" i="21"/>
  <c r="S7" i="21"/>
  <c r="S177" i="21"/>
  <c r="S182" i="21"/>
  <c r="S72" i="21"/>
  <c r="S185" i="21"/>
  <c r="S186" i="21"/>
  <c r="S13" i="21"/>
  <c r="S192" i="21"/>
  <c r="S34" i="21"/>
  <c r="S78" i="21"/>
  <c r="S199" i="21"/>
  <c r="S79" i="21"/>
  <c r="S200" i="21"/>
  <c r="S201" i="21"/>
  <c r="S80" i="21"/>
  <c r="S206" i="21"/>
  <c r="S147" i="21"/>
  <c r="S209" i="21"/>
  <c r="S120" i="21"/>
  <c r="S212" i="21"/>
  <c r="S88" i="21"/>
  <c r="S220" i="21"/>
  <c r="S159" i="21"/>
  <c r="S90" i="21"/>
  <c r="S69" i="21"/>
  <c r="S18" i="21"/>
  <c r="S230" i="21"/>
  <c r="S150" i="21"/>
  <c r="S124" i="21"/>
  <c r="S44" i="21"/>
  <c r="S151" i="21"/>
  <c r="S163" i="21"/>
  <c r="S240" i="21"/>
  <c r="S98" i="21"/>
  <c r="S143" i="21"/>
  <c r="S242" i="21"/>
  <c r="S243" i="21"/>
  <c r="S245" i="21"/>
  <c r="S9" i="21"/>
  <c r="S126" i="21"/>
  <c r="S247" i="21"/>
  <c r="S46" i="21"/>
  <c r="S8" i="21"/>
  <c r="S260" i="21"/>
  <c r="S102" i="21"/>
  <c r="S128" i="21"/>
  <c r="S129" i="21"/>
  <c r="S165" i="21"/>
  <c r="S12" i="21"/>
  <c r="S265" i="21"/>
  <c r="S266" i="21"/>
  <c r="S267" i="21"/>
  <c r="S167" i="21"/>
  <c r="S268" i="21"/>
  <c r="S273" i="21"/>
  <c r="S108" i="21"/>
  <c r="S132" i="21"/>
  <c r="S285" i="21"/>
  <c r="S287" i="21"/>
  <c r="S57" i="21"/>
  <c r="S169" i="21"/>
  <c r="S288" i="21"/>
  <c r="S289" i="21"/>
  <c r="S291" i="21"/>
  <c r="S113" i="21"/>
  <c r="S30" i="21"/>
  <c r="S295" i="21"/>
  <c r="S296" i="21"/>
  <c r="S10" i="21"/>
  <c r="S31" i="21"/>
  <c r="S115" i="21"/>
  <c r="S173" i="21"/>
  <c r="S174" i="21"/>
  <c r="S175" i="21"/>
  <c r="S70" i="21"/>
  <c r="S71" i="21"/>
  <c r="S154" i="21"/>
  <c r="S178" i="21"/>
  <c r="S179" i="21"/>
  <c r="S146" i="21"/>
  <c r="S180" i="21"/>
  <c r="S181" i="21"/>
  <c r="S117" i="21"/>
  <c r="S118" i="21"/>
  <c r="S135" i="21"/>
  <c r="S183" i="21"/>
  <c r="S136" i="21"/>
  <c r="S184" i="21"/>
  <c r="S74" i="21"/>
  <c r="S187" i="21"/>
  <c r="S188" i="21"/>
  <c r="S75" i="21"/>
  <c r="S189" i="21"/>
  <c r="S76" i="21"/>
  <c r="S77" i="21"/>
  <c r="S191" i="21"/>
  <c r="S67" i="21"/>
  <c r="S14" i="21"/>
  <c r="S15" i="21"/>
  <c r="S33" i="21"/>
  <c r="S16" i="21"/>
  <c r="S193" i="21"/>
  <c r="S313" i="21"/>
  <c r="S155" i="21"/>
  <c r="S195" i="21"/>
  <c r="S196" i="21"/>
  <c r="S197" i="21"/>
  <c r="S35" i="21"/>
  <c r="S198" i="21"/>
  <c r="S139" i="21"/>
  <c r="S202" i="21"/>
  <c r="S81" i="21"/>
  <c r="S203" i="21"/>
  <c r="S82" i="21"/>
  <c r="S204" i="21"/>
  <c r="S205" i="21"/>
  <c r="S17" i="21"/>
  <c r="S207" i="21"/>
  <c r="S208" i="21"/>
  <c r="S119" i="21"/>
  <c r="S148" i="21"/>
  <c r="S121" i="21"/>
  <c r="S140" i="21"/>
  <c r="S149" i="21"/>
  <c r="S158" i="21"/>
  <c r="S211" i="21"/>
  <c r="S213" i="21"/>
  <c r="S37" i="21"/>
  <c r="S62" i="21"/>
  <c r="S38" i="21"/>
  <c r="S214" i="21"/>
  <c r="S215" i="21"/>
  <c r="S83" i="21"/>
  <c r="S84" i="21"/>
  <c r="S85" i="21"/>
  <c r="S86" i="21"/>
  <c r="S216" i="21"/>
  <c r="S217" i="21"/>
  <c r="S218" i="21"/>
  <c r="S87" i="21"/>
  <c r="S219" i="21"/>
  <c r="S39" i="21"/>
  <c r="S40" i="21"/>
  <c r="S141" i="21"/>
  <c r="S221" i="21"/>
  <c r="S89" i="21"/>
  <c r="S41" i="21"/>
  <c r="S222" i="21"/>
  <c r="S223" i="21"/>
  <c r="S225" i="21"/>
  <c r="S226" i="21"/>
  <c r="S227" i="21"/>
  <c r="S91" i="21"/>
  <c r="S122" i="21"/>
  <c r="S228" i="21"/>
  <c r="S229" i="21"/>
  <c r="S160" i="21"/>
  <c r="S231" i="21"/>
  <c r="S42" i="21"/>
  <c r="S92" i="21"/>
  <c r="S93" i="21"/>
  <c r="S232" i="21"/>
  <c r="S161" i="21"/>
  <c r="S233" i="21"/>
  <c r="S43" i="21"/>
  <c r="S234" i="21"/>
  <c r="S235" i="21"/>
  <c r="S20" i="21"/>
  <c r="S236" i="21"/>
  <c r="S237" i="21"/>
  <c r="S162" i="21"/>
  <c r="S238" i="21"/>
  <c r="S239" i="21"/>
  <c r="S45" i="21"/>
  <c r="S164" i="21"/>
  <c r="S21" i="21"/>
  <c r="S244" i="21"/>
  <c r="S99" i="21"/>
  <c r="S246" i="21"/>
  <c r="S22" i="21"/>
  <c r="S63" i="21"/>
  <c r="S248" i="21"/>
  <c r="S127" i="21"/>
  <c r="S144" i="21"/>
  <c r="S64" i="21"/>
  <c r="S250" i="21"/>
  <c r="S251" i="21"/>
  <c r="S47" i="21"/>
  <c r="S252" i="21"/>
  <c r="S253" i="21"/>
  <c r="S254" i="21"/>
  <c r="S255" i="21"/>
  <c r="S257" i="21"/>
  <c r="S258" i="21"/>
  <c r="S49" i="21"/>
  <c r="S259" i="21"/>
  <c r="S101" i="21"/>
  <c r="S50" i="21"/>
  <c r="S261" i="21"/>
  <c r="S130" i="21"/>
  <c r="S51" i="21"/>
  <c r="S52" i="21"/>
  <c r="S53" i="21"/>
  <c r="S24" i="21"/>
  <c r="S54" i="21"/>
  <c r="S103" i="21"/>
  <c r="S104" i="21"/>
  <c r="S105" i="21"/>
  <c r="S262" i="21"/>
  <c r="S263" i="21"/>
  <c r="S25" i="21"/>
  <c r="S55" i="21"/>
  <c r="S106" i="21"/>
  <c r="S269" i="21"/>
  <c r="S270" i="21"/>
  <c r="S271" i="21"/>
  <c r="S107" i="21"/>
  <c r="S272" i="21"/>
  <c r="S26" i="21"/>
  <c r="S274" i="21"/>
  <c r="S27" i="21"/>
  <c r="S275" i="21"/>
  <c r="S109" i="21"/>
  <c r="S65" i="21"/>
  <c r="S131" i="21"/>
  <c r="S277" i="21"/>
  <c r="S278" i="21"/>
  <c r="S280" i="21"/>
  <c r="S110" i="21"/>
  <c r="S28" i="21"/>
  <c r="S111" i="21"/>
  <c r="S112" i="21"/>
  <c r="S281" i="21"/>
  <c r="S282" i="21"/>
  <c r="S283" i="21"/>
  <c r="S284" i="21"/>
  <c r="S286" i="21"/>
  <c r="S56" i="21"/>
  <c r="S66" i="21"/>
  <c r="S133" i="21"/>
  <c r="S168" i="21"/>
  <c r="S58" i="21"/>
  <c r="S59" i="21"/>
  <c r="S290" i="21"/>
  <c r="S292" i="21"/>
  <c r="S293" i="21"/>
  <c r="S294" i="21"/>
  <c r="S297" i="21"/>
  <c r="S298" i="21"/>
  <c r="S299" i="21"/>
  <c r="S114" i="21"/>
  <c r="S300" i="21"/>
  <c r="S61" i="21"/>
  <c r="S301" i="21"/>
  <c r="S302" i="21"/>
  <c r="S171" i="21"/>
  <c r="S172" i="21"/>
  <c r="S303" i="21"/>
  <c r="S304" i="21"/>
  <c r="S305" i="21"/>
  <c r="S306" i="21"/>
  <c r="S307" i="21"/>
  <c r="S134" i="21"/>
  <c r="S308" i="21"/>
  <c r="S309" i="21"/>
  <c r="S310" i="21"/>
  <c r="S311" i="21"/>
  <c r="S312" i="21"/>
  <c r="S116" i="21"/>
  <c r="N7" i="13" l="1"/>
  <c r="N270" i="13"/>
  <c r="N9" i="13"/>
  <c r="N226" i="13"/>
  <c r="N222" i="13"/>
  <c r="N227" i="13"/>
  <c r="N234" i="13"/>
  <c r="N249" i="13"/>
  <c r="N220" i="13"/>
  <c r="N232" i="13"/>
  <c r="N237" i="13"/>
  <c r="N8" i="13"/>
  <c r="N206" i="13"/>
  <c r="N230" i="13"/>
  <c r="N271" i="13"/>
  <c r="N246" i="13"/>
  <c r="N231" i="13"/>
  <c r="N224" i="13"/>
  <c r="N238" i="13"/>
  <c r="N252" i="13"/>
  <c r="N247" i="13"/>
  <c r="N240" i="13"/>
  <c r="N313" i="13"/>
  <c r="N28" i="13"/>
  <c r="N10" i="13"/>
  <c r="N239" i="13"/>
  <c r="N250" i="13"/>
  <c r="N213" i="13"/>
  <c r="N262" i="13"/>
  <c r="N228" i="13"/>
  <c r="N235" i="13"/>
  <c r="N236" i="13"/>
  <c r="N209" i="13"/>
  <c r="N233" i="13"/>
  <c r="N244" i="13"/>
  <c r="N208" i="13"/>
  <c r="N257" i="13"/>
  <c r="N11" i="13"/>
  <c r="N4" i="13"/>
  <c r="N248" i="13"/>
  <c r="N215" i="13"/>
  <c r="N212" i="13"/>
  <c r="N314" i="13"/>
  <c r="N245" i="13"/>
  <c r="N229" i="13"/>
  <c r="N221" i="13"/>
  <c r="M95" i="36"/>
  <c r="N95" i="36" s="1"/>
  <c r="M73" i="36"/>
  <c r="N73" i="36" s="1"/>
  <c r="M295" i="36"/>
  <c r="N295" i="36" s="1"/>
  <c r="M249" i="36"/>
  <c r="N249" i="36" s="1"/>
  <c r="M173" i="36"/>
  <c r="N173" i="36" s="1"/>
  <c r="M269" i="36"/>
  <c r="N269" i="36" s="1"/>
  <c r="M99" i="36"/>
  <c r="N99" i="36" s="1"/>
  <c r="M272" i="36"/>
  <c r="N272" i="36" s="1"/>
  <c r="M236" i="36"/>
  <c r="N236" i="36" s="1"/>
  <c r="M11" i="36"/>
  <c r="N11" i="36" s="1"/>
  <c r="R11" i="36" s="1"/>
  <c r="M97" i="36"/>
  <c r="N97" i="36" s="1"/>
  <c r="M37" i="36"/>
  <c r="N37" i="36" s="1"/>
  <c r="M289" i="36"/>
  <c r="M168" i="36"/>
  <c r="N168" i="36" s="1"/>
  <c r="M63" i="36"/>
  <c r="N63" i="36" s="1"/>
  <c r="M275" i="36"/>
  <c r="N275" i="36" s="1"/>
  <c r="M196" i="36"/>
  <c r="N196" i="36" s="1"/>
  <c r="M78" i="36"/>
  <c r="N78" i="36" s="1"/>
  <c r="M66" i="36"/>
  <c r="N66" i="36" s="1"/>
  <c r="M151" i="36"/>
  <c r="N151" i="36" s="1"/>
  <c r="M30" i="36"/>
  <c r="N30" i="36" s="1"/>
  <c r="M213" i="36"/>
  <c r="N213" i="36" s="1"/>
  <c r="M7" i="36"/>
  <c r="N7" i="36" s="1"/>
  <c r="R7" i="36" s="1"/>
  <c r="M143" i="36"/>
  <c r="N143" i="36" s="1"/>
  <c r="M255" i="36"/>
  <c r="N255" i="36" s="1"/>
  <c r="M160" i="36"/>
  <c r="N160" i="36" s="1"/>
  <c r="M54" i="36"/>
  <c r="N54" i="36" s="1"/>
  <c r="M165" i="36"/>
  <c r="N165" i="36" s="1"/>
  <c r="M212" i="36"/>
  <c r="N212" i="36" s="1"/>
  <c r="M267" i="36"/>
  <c r="N267" i="36" s="1"/>
  <c r="M23" i="36"/>
  <c r="N23" i="36" s="1"/>
  <c r="R23" i="36" s="1"/>
  <c r="M262" i="36"/>
  <c r="N262" i="36" s="1"/>
  <c r="M89" i="36"/>
  <c r="N89" i="36" s="1"/>
  <c r="M52" i="36"/>
  <c r="N52" i="36" s="1"/>
  <c r="M265" i="36"/>
  <c r="N265" i="36" s="1"/>
  <c r="M306" i="36"/>
  <c r="N306" i="36" s="1"/>
  <c r="M204" i="36"/>
  <c r="N204" i="36" s="1"/>
  <c r="M176" i="36"/>
  <c r="N176" i="36" s="1"/>
  <c r="M40" i="36"/>
  <c r="N40" i="36" s="1"/>
  <c r="M28" i="36"/>
  <c r="N28" i="36" s="1"/>
  <c r="M189" i="36"/>
  <c r="N189" i="36" s="1"/>
  <c r="M36" i="36"/>
  <c r="N36" i="36" s="1"/>
  <c r="M266" i="36"/>
  <c r="N266" i="36" s="1"/>
  <c r="M141" i="36"/>
  <c r="N141" i="36" s="1"/>
  <c r="M303" i="36"/>
  <c r="N303" i="36" s="1"/>
  <c r="M205" i="36"/>
  <c r="N205" i="36" s="1"/>
  <c r="M162" i="36"/>
  <c r="N162" i="36" s="1"/>
  <c r="M159" i="36"/>
  <c r="N159" i="36" s="1"/>
  <c r="M296" i="36"/>
  <c r="N296" i="36" s="1"/>
  <c r="M60" i="36"/>
  <c r="N60" i="36" s="1"/>
  <c r="M193" i="36"/>
  <c r="N193" i="36" s="1"/>
  <c r="M254" i="36"/>
  <c r="N254" i="36" s="1"/>
  <c r="M135" i="36"/>
  <c r="M46" i="36"/>
  <c r="N46" i="36" s="1"/>
  <c r="M274" i="36"/>
  <c r="N274" i="36" s="1"/>
  <c r="M106" i="36"/>
  <c r="N106" i="36" s="1"/>
  <c r="M158" i="36"/>
  <c r="N158" i="36" s="1"/>
  <c r="M90" i="36"/>
  <c r="N90" i="36" s="1"/>
  <c r="M192" i="36"/>
  <c r="M62" i="36"/>
  <c r="N62" i="36" s="1"/>
  <c r="M153" i="36"/>
  <c r="N153" i="36" s="1"/>
  <c r="M186" i="36"/>
  <c r="N186" i="36" s="1"/>
  <c r="M112" i="36"/>
  <c r="N112" i="36" s="1"/>
  <c r="M235" i="36"/>
  <c r="N235" i="36" s="1"/>
  <c r="M130" i="36"/>
  <c r="N130" i="36" s="1"/>
  <c r="M232" i="36"/>
  <c r="N232" i="36" s="1"/>
  <c r="M185" i="36"/>
  <c r="N185" i="36" s="1"/>
  <c r="M131" i="36"/>
  <c r="N131" i="36" s="1"/>
  <c r="M277" i="36"/>
  <c r="M144" i="36"/>
  <c r="N144" i="36" s="1"/>
  <c r="M181" i="36"/>
  <c r="N181" i="36" s="1"/>
  <c r="M300" i="36"/>
  <c r="N300" i="36" s="1"/>
  <c r="M177" i="36"/>
  <c r="N177" i="36" s="1"/>
  <c r="M164" i="36"/>
  <c r="N164" i="36" s="1"/>
  <c r="M35" i="36"/>
  <c r="N35" i="36" s="1"/>
  <c r="M297" i="36"/>
  <c r="N297" i="36" s="1"/>
  <c r="M182" i="36"/>
  <c r="N182" i="36" s="1"/>
  <c r="M194" i="36"/>
  <c r="N194" i="36" s="1"/>
  <c r="M292" i="36"/>
  <c r="N292" i="36" s="1"/>
  <c r="M77" i="36"/>
  <c r="N77" i="36" s="1"/>
  <c r="M207" i="36"/>
  <c r="N207" i="36" s="1"/>
  <c r="M88" i="36"/>
  <c r="N88" i="36" s="1"/>
  <c r="M87" i="36"/>
  <c r="N87" i="36" s="1"/>
  <c r="M98" i="36"/>
  <c r="N98" i="36" s="1"/>
  <c r="M15" i="36"/>
  <c r="N15" i="36" s="1"/>
  <c r="R15" i="36" s="1"/>
  <c r="M302" i="36"/>
  <c r="N302" i="36" s="1"/>
  <c r="M258" i="36"/>
  <c r="N258" i="36" s="1"/>
  <c r="M166" i="36"/>
  <c r="N166" i="36" s="1"/>
  <c r="M17" i="36"/>
  <c r="N17" i="36" s="1"/>
  <c r="R17" i="36" s="1"/>
  <c r="M108" i="36"/>
  <c r="N108" i="36" s="1"/>
  <c r="M84" i="36"/>
  <c r="N84" i="36" s="1"/>
  <c r="M64" i="36"/>
  <c r="N64" i="36" s="1"/>
  <c r="M31" i="36"/>
  <c r="N31" i="36" s="1"/>
  <c r="M75" i="36"/>
  <c r="N75" i="36" s="1"/>
  <c r="M9" i="36"/>
  <c r="N9" i="36" s="1"/>
  <c r="R9" i="36" s="1"/>
  <c r="M92" i="36"/>
  <c r="N92" i="36" s="1"/>
  <c r="M34" i="36"/>
  <c r="N34" i="36" s="1"/>
  <c r="M150" i="36"/>
  <c r="N150" i="36" s="1"/>
  <c r="M250" i="36"/>
  <c r="N250" i="36" s="1"/>
  <c r="M127" i="36"/>
  <c r="N127" i="36" s="1"/>
  <c r="M304" i="36"/>
  <c r="N304" i="36" s="1"/>
  <c r="M233" i="36"/>
  <c r="N233" i="36" s="1"/>
  <c r="M79" i="36"/>
  <c r="N79" i="36" s="1"/>
  <c r="M237" i="36"/>
  <c r="N237" i="36" s="1"/>
  <c r="M246" i="36"/>
  <c r="N246" i="36" s="1"/>
  <c r="M148" i="36"/>
  <c r="N148" i="36" s="1"/>
  <c r="M20" i="36"/>
  <c r="N20" i="36" s="1"/>
  <c r="R20" i="36" s="1"/>
  <c r="M200" i="36"/>
  <c r="N200" i="36" s="1"/>
  <c r="M276" i="36"/>
  <c r="N276" i="36" s="1"/>
  <c r="M294" i="36"/>
  <c r="N294" i="36" s="1"/>
  <c r="M13" i="36"/>
  <c r="N13" i="36" s="1"/>
  <c r="R13" i="36" s="1"/>
  <c r="M111" i="36"/>
  <c r="N111" i="36" s="1"/>
  <c r="M244" i="36"/>
  <c r="N244" i="36" s="1"/>
  <c r="M183" i="36"/>
  <c r="N183" i="36" s="1"/>
  <c r="M180" i="36"/>
  <c r="N180" i="36" s="1"/>
  <c r="M76" i="36"/>
  <c r="N76" i="36" s="1"/>
  <c r="M103" i="36"/>
  <c r="M169" i="36"/>
  <c r="N169" i="36" s="1"/>
  <c r="M242" i="36"/>
  <c r="N242" i="36" s="1"/>
  <c r="M128" i="36"/>
  <c r="N128" i="36" s="1"/>
  <c r="M270" i="36"/>
  <c r="N270" i="36" s="1"/>
  <c r="M21" i="36"/>
  <c r="N21" i="36" s="1"/>
  <c r="R21" i="36" s="1"/>
  <c r="M147" i="36"/>
  <c r="N147" i="36" s="1"/>
  <c r="M133" i="36"/>
  <c r="N133" i="36" s="1"/>
  <c r="M14" i="36"/>
  <c r="N14" i="36" s="1"/>
  <c r="R14" i="36" s="1"/>
  <c r="M184" i="36"/>
  <c r="N184" i="36" s="1"/>
  <c r="M263" i="36"/>
  <c r="N263" i="36" s="1"/>
  <c r="M260" i="36"/>
  <c r="N260" i="36" s="1"/>
  <c r="M210" i="36"/>
  <c r="N210" i="36" s="1"/>
  <c r="M206" i="36"/>
  <c r="N206" i="36" s="1"/>
  <c r="M203" i="36"/>
  <c r="N203" i="36" s="1"/>
  <c r="M47" i="36"/>
  <c r="N47" i="36" s="1"/>
  <c r="M110" i="36"/>
  <c r="N110" i="36" s="1"/>
  <c r="M6" i="36"/>
  <c r="N6" i="36" s="1"/>
  <c r="R6" i="36" s="1"/>
  <c r="M146" i="36"/>
  <c r="N146" i="36" s="1"/>
  <c r="M82" i="36"/>
  <c r="N82" i="36" s="1"/>
  <c r="M271" i="36"/>
  <c r="N271" i="36" s="1"/>
  <c r="M231" i="36"/>
  <c r="N231" i="36" s="1"/>
  <c r="M29" i="36"/>
  <c r="N29" i="36" s="1"/>
  <c r="M8" i="36"/>
  <c r="N8" i="36" s="1"/>
  <c r="R8" i="36" s="1"/>
  <c r="M55" i="36"/>
  <c r="N55" i="36" s="1"/>
  <c r="M256" i="36"/>
  <c r="N256" i="36" s="1"/>
  <c r="M154" i="36"/>
  <c r="N154" i="36" s="1"/>
  <c r="M10" i="36"/>
  <c r="N10" i="36" s="1"/>
  <c r="R10" i="36" s="1"/>
  <c r="M172" i="36"/>
  <c r="N172" i="36" s="1"/>
  <c r="M145" i="36"/>
  <c r="N145" i="36" s="1"/>
  <c r="M251" i="36"/>
  <c r="N251" i="36" s="1"/>
  <c r="M16" i="36"/>
  <c r="N16" i="36" s="1"/>
  <c r="R16" i="36" s="1"/>
  <c r="M252" i="36"/>
  <c r="N252" i="36" s="1"/>
  <c r="M179" i="36"/>
  <c r="M288" i="36"/>
  <c r="N288" i="36" s="1"/>
  <c r="M61" i="36"/>
  <c r="M49" i="36"/>
  <c r="N49" i="36" s="1"/>
  <c r="M290" i="36"/>
  <c r="M239" i="36"/>
  <c r="N239" i="36" s="1"/>
  <c r="M134" i="36"/>
  <c r="N134" i="36" s="1"/>
  <c r="M27" i="36"/>
  <c r="N27" i="36" s="1"/>
  <c r="M273" i="36"/>
  <c r="N273" i="36" s="1"/>
  <c r="M174" i="36"/>
  <c r="N174" i="36" s="1"/>
  <c r="M74" i="36"/>
  <c r="N74" i="36" s="1"/>
  <c r="M32" i="36"/>
  <c r="M104" i="36"/>
  <c r="N104" i="36" s="1"/>
  <c r="M261" i="36"/>
  <c r="N261" i="36" s="1"/>
  <c r="M4" i="36"/>
  <c r="N4" i="36" s="1"/>
  <c r="R4" i="36" s="1"/>
  <c r="M42" i="36"/>
  <c r="N42" i="36" s="1"/>
  <c r="M67" i="36"/>
  <c r="N67" i="36" s="1"/>
  <c r="M25" i="36"/>
  <c r="N25" i="36" s="1"/>
  <c r="R25" i="36" s="1"/>
  <c r="M50" i="36"/>
  <c r="N50" i="36" s="1"/>
  <c r="M53" i="36"/>
  <c r="N53" i="36" s="1"/>
  <c r="M58" i="36"/>
  <c r="N58" i="36" s="1"/>
  <c r="M234" i="36"/>
  <c r="N234" i="36" s="1"/>
  <c r="M305" i="36"/>
  <c r="N305" i="36" s="1"/>
  <c r="M96" i="36"/>
  <c r="M136" i="36"/>
  <c r="N136" i="36" s="1"/>
  <c r="M170" i="36"/>
  <c r="N170" i="36" s="1"/>
  <c r="M191" i="36"/>
  <c r="N191" i="36" s="1"/>
  <c r="M80" i="36"/>
  <c r="N80" i="36" s="1"/>
  <c r="M201" i="36"/>
  <c r="N201" i="36" s="1"/>
  <c r="M264" i="36"/>
  <c r="N264" i="36" s="1"/>
  <c r="M69" i="36"/>
  <c r="N69" i="36" s="1"/>
  <c r="M85" i="36"/>
  <c r="N85" i="36" s="1"/>
  <c r="M102" i="36"/>
  <c r="N102" i="36" s="1"/>
  <c r="M107" i="36"/>
  <c r="N107" i="36" s="1"/>
  <c r="M298" i="36"/>
  <c r="N298" i="36" s="1"/>
  <c r="M113" i="36"/>
  <c r="N113" i="36" s="1"/>
  <c r="M83" i="36"/>
  <c r="N83" i="36" s="1"/>
  <c r="M253" i="36"/>
  <c r="N253" i="36" s="1"/>
  <c r="M187" i="36"/>
  <c r="N187" i="36" s="1"/>
  <c r="M41" i="36"/>
  <c r="N41" i="36" s="1"/>
  <c r="M91" i="36"/>
  <c r="M109" i="36"/>
  <c r="N109" i="36" s="1"/>
  <c r="M44" i="36"/>
  <c r="N44" i="36" s="1"/>
  <c r="M5" i="36"/>
  <c r="N5" i="36" s="1"/>
  <c r="R5" i="36" s="1"/>
  <c r="M161" i="36"/>
  <c r="N161" i="36" s="1"/>
  <c r="M178" i="36"/>
  <c r="N178" i="36" s="1"/>
  <c r="M238" i="36"/>
  <c r="N238" i="36" s="1"/>
  <c r="M195" i="36"/>
  <c r="N195" i="36" s="1"/>
  <c r="M81" i="36"/>
  <c r="N81" i="36" s="1"/>
  <c r="M301" i="36"/>
  <c r="N301" i="36" s="1"/>
  <c r="M291" i="36"/>
  <c r="N291" i="36" s="1"/>
  <c r="M26" i="36"/>
  <c r="N26" i="36" s="1"/>
  <c r="M129" i="36"/>
  <c r="N129" i="36" s="1"/>
  <c r="M171" i="36"/>
  <c r="N171" i="36" s="1"/>
  <c r="M12" i="36"/>
  <c r="N12" i="36" s="1"/>
  <c r="R12" i="36" s="1"/>
  <c r="M199" i="36"/>
  <c r="N199" i="36" s="1"/>
  <c r="M140" i="36"/>
  <c r="N140" i="36" s="1"/>
  <c r="M100" i="36"/>
  <c r="N100" i="36" s="1"/>
  <c r="M285" i="36"/>
  <c r="N285" i="36" s="1"/>
  <c r="M48" i="36"/>
  <c r="N48" i="36" s="1"/>
  <c r="M149" i="36"/>
  <c r="N149" i="36" s="1"/>
  <c r="M38" i="36"/>
  <c r="N38" i="36" s="1"/>
  <c r="M268" i="36"/>
  <c r="N268" i="36" s="1"/>
  <c r="M57" i="36"/>
  <c r="N57" i="36" s="1"/>
  <c r="M94" i="36"/>
  <c r="N94" i="36" s="1"/>
  <c r="M248" i="36"/>
  <c r="N248" i="36" s="1"/>
  <c r="M197" i="36"/>
  <c r="N197" i="36" s="1"/>
  <c r="M190" i="36"/>
  <c r="N190" i="36" s="1"/>
  <c r="M287" i="36"/>
  <c r="N287" i="36" s="1"/>
  <c r="M142" i="36"/>
  <c r="N142" i="36" s="1"/>
  <c r="M241" i="36"/>
  <c r="N241" i="36" s="1"/>
  <c r="M198" i="36"/>
  <c r="N198" i="36" s="1"/>
  <c r="M293" i="36"/>
  <c r="N293" i="36" s="1"/>
  <c r="M43" i="36"/>
  <c r="N43" i="36" s="1"/>
  <c r="M18" i="36"/>
  <c r="N18" i="36" s="1"/>
  <c r="R18" i="36" s="1"/>
  <c r="M72" i="36"/>
  <c r="N72" i="36" s="1"/>
  <c r="M93" i="36"/>
  <c r="N93" i="36" s="1"/>
  <c r="M56" i="36"/>
  <c r="N56" i="36" s="1"/>
  <c r="M245" i="36"/>
  <c r="N245" i="36" s="1"/>
  <c r="M59" i="36"/>
  <c r="N59" i="36" s="1"/>
  <c r="M157" i="36"/>
  <c r="N157" i="36" s="1"/>
  <c r="M101" i="36"/>
  <c r="N101" i="36" s="1"/>
  <c r="M24" i="36"/>
  <c r="N24" i="36" s="1"/>
  <c r="R24" i="36" s="1"/>
  <c r="M138" i="36"/>
  <c r="N138" i="36" s="1"/>
  <c r="M209" i="36"/>
  <c r="N209" i="36" s="1"/>
  <c r="M257" i="36"/>
  <c r="N257" i="36" s="1"/>
  <c r="M105" i="36"/>
  <c r="N105" i="36" s="1"/>
  <c r="M188" i="36"/>
  <c r="N188" i="36" s="1"/>
  <c r="M33" i="36"/>
  <c r="N33" i="36" s="1"/>
  <c r="M259" i="36"/>
  <c r="N259" i="36" s="1"/>
  <c r="M284" i="36"/>
  <c r="N284" i="36" s="1"/>
  <c r="M19" i="36"/>
  <c r="N19" i="36" s="1"/>
  <c r="R19" i="36" s="1"/>
  <c r="M22" i="36"/>
  <c r="N22" i="36" s="1"/>
  <c r="R22" i="36" s="1"/>
  <c r="M68" i="36"/>
  <c r="M167" i="36"/>
  <c r="N167" i="36" s="1"/>
  <c r="M155" i="36"/>
  <c r="N155" i="36" s="1"/>
  <c r="M240" i="36"/>
  <c r="N240" i="36" s="1"/>
  <c r="M71" i="36"/>
  <c r="N71" i="36" s="1"/>
  <c r="M156" i="36"/>
  <c r="N156" i="36" s="1"/>
  <c r="M39" i="36"/>
  <c r="N39" i="36" s="1"/>
  <c r="M299" i="36"/>
  <c r="N299" i="36" s="1"/>
  <c r="M175" i="36"/>
  <c r="N175" i="36" s="1"/>
  <c r="M286" i="36"/>
  <c r="N286" i="36" s="1"/>
  <c r="M152" i="36"/>
  <c r="N152" i="36" s="1"/>
  <c r="M211" i="36"/>
  <c r="N211" i="36" s="1"/>
  <c r="M208" i="36"/>
  <c r="N208" i="36" s="1"/>
  <c r="M137" i="36"/>
  <c r="N137" i="36" s="1"/>
  <c r="M139" i="36"/>
  <c r="N139" i="36" s="1"/>
  <c r="M65" i="36"/>
  <c r="N65" i="36" s="1"/>
  <c r="M51" i="36"/>
  <c r="N51" i="36" s="1"/>
  <c r="M202" i="36"/>
  <c r="M247" i="36"/>
  <c r="N247" i="36" s="1"/>
  <c r="M230" i="36"/>
  <c r="N230" i="36" s="1"/>
  <c r="M86" i="36"/>
  <c r="N86" i="36" s="1"/>
  <c r="Q100" i="19"/>
  <c r="S100" i="19" s="1"/>
  <c r="Q307" i="19"/>
  <c r="S307" i="19" s="1"/>
  <c r="Q259" i="19"/>
  <c r="S259" i="19" s="1"/>
  <c r="Q260" i="19"/>
  <c r="S260" i="19" s="1"/>
  <c r="Q133" i="19"/>
  <c r="S133" i="19" s="1"/>
  <c r="Q257" i="19"/>
  <c r="S257" i="19" s="1"/>
  <c r="Q245" i="19"/>
  <c r="S245" i="19" s="1"/>
  <c r="Q312" i="19"/>
  <c r="S312" i="19" s="1"/>
  <c r="Q93" i="19"/>
  <c r="S93" i="19" s="1"/>
  <c r="H60" i="38" s="1"/>
  <c r="Q189" i="19"/>
  <c r="S189" i="19" s="1"/>
  <c r="Q75" i="19"/>
  <c r="S75" i="19" s="1"/>
  <c r="Q207" i="19"/>
  <c r="S207" i="19" s="1"/>
  <c r="Q211" i="19"/>
  <c r="S211" i="19" s="1"/>
  <c r="Q134" i="19"/>
  <c r="S134" i="19" s="1"/>
  <c r="Q156" i="19"/>
  <c r="S156" i="19" s="1"/>
  <c r="Q99" i="19"/>
  <c r="S99" i="19" s="1"/>
  <c r="Q306" i="19"/>
  <c r="S306" i="19" s="1"/>
  <c r="Q131" i="19"/>
  <c r="S131" i="19" s="1"/>
  <c r="Q96" i="19"/>
  <c r="S96" i="19" s="1"/>
  <c r="Q268" i="19"/>
  <c r="S268" i="19" s="1"/>
  <c r="Q278" i="19"/>
  <c r="S278" i="19" s="1"/>
  <c r="Q84" i="19"/>
  <c r="S84" i="19" s="1"/>
  <c r="Q120" i="19"/>
  <c r="S120" i="19" s="1"/>
  <c r="Q117" i="19"/>
  <c r="S117" i="19" s="1"/>
  <c r="Q112" i="19"/>
  <c r="S112" i="19" s="1"/>
  <c r="Q91" i="19"/>
  <c r="S91" i="19" s="1"/>
  <c r="Q188" i="19"/>
  <c r="S188" i="19" s="1"/>
  <c r="Q113" i="19"/>
  <c r="S113" i="19" s="1"/>
  <c r="Q103" i="19"/>
  <c r="S103" i="19" s="1"/>
  <c r="H64" i="38" s="1"/>
  <c r="Q155" i="19"/>
  <c r="S155" i="19" s="1"/>
  <c r="Q4" i="19"/>
  <c r="Q24" i="19"/>
  <c r="Q36" i="19"/>
  <c r="Q60" i="19"/>
  <c r="Q66" i="19"/>
  <c r="Q149" i="19"/>
  <c r="S149" i="19" s="1"/>
  <c r="Q21" i="19"/>
  <c r="Q39" i="19"/>
  <c r="Q50" i="19"/>
  <c r="Q55" i="19"/>
  <c r="Q15" i="19"/>
  <c r="Q12" i="19"/>
  <c r="Q40" i="19"/>
  <c r="Q56" i="19"/>
  <c r="Q70" i="19"/>
  <c r="Q167" i="19"/>
  <c r="S167" i="19" s="1"/>
  <c r="Q26" i="19"/>
  <c r="Q34" i="19"/>
  <c r="Q57" i="19"/>
  <c r="Q65" i="19"/>
  <c r="Q142" i="19"/>
  <c r="S142" i="19" s="1"/>
  <c r="Q309" i="19"/>
  <c r="S309" i="19" s="1"/>
  <c r="Q310" i="19"/>
  <c r="S310" i="19" s="1"/>
  <c r="Q262" i="19"/>
  <c r="S262" i="19" s="1"/>
  <c r="Q236" i="19"/>
  <c r="S236" i="19" s="1"/>
  <c r="Q123" i="19"/>
  <c r="S123" i="19" s="1"/>
  <c r="Q247" i="19"/>
  <c r="S247" i="19" s="1"/>
  <c r="Q235" i="19"/>
  <c r="S235" i="19" s="1"/>
  <c r="Q217" i="19"/>
  <c r="S217" i="19" s="1"/>
  <c r="Q215" i="19"/>
  <c r="S215" i="19" s="1"/>
  <c r="Q106" i="19"/>
  <c r="S106" i="19" s="1"/>
  <c r="Q174" i="19"/>
  <c r="S174" i="19" s="1"/>
  <c r="Q114" i="19"/>
  <c r="S114" i="19" s="1"/>
  <c r="Q191" i="19"/>
  <c r="S191" i="19" s="1"/>
  <c r="Q158" i="19"/>
  <c r="S158" i="19" s="1"/>
  <c r="Q146" i="19"/>
  <c r="S146" i="19" s="1"/>
  <c r="Q308" i="19"/>
  <c r="S308" i="19" s="1"/>
  <c r="Q298" i="19"/>
  <c r="S298" i="19" s="1"/>
  <c r="Q261" i="19"/>
  <c r="S261" i="19" s="1"/>
  <c r="Q269" i="19"/>
  <c r="S269" i="19" s="1"/>
  <c r="Q258" i="19"/>
  <c r="S258" i="19" s="1"/>
  <c r="Q121" i="19"/>
  <c r="S121" i="19" s="1"/>
  <c r="Q229" i="19"/>
  <c r="S229" i="19" s="1"/>
  <c r="Q118" i="19"/>
  <c r="S118" i="19" s="1"/>
  <c r="Q115" i="19"/>
  <c r="S115" i="19" s="1"/>
  <c r="Q204" i="19"/>
  <c r="S204" i="19" s="1"/>
  <c r="Q190" i="19"/>
  <c r="S190" i="19" s="1"/>
  <c r="Q206" i="19"/>
  <c r="S206" i="19" s="1"/>
  <c r="Q86" i="19"/>
  <c r="S86" i="19" s="1"/>
  <c r="Q267" i="19"/>
  <c r="S267" i="19" s="1"/>
  <c r="Q227" i="19"/>
  <c r="S227" i="19" s="1"/>
  <c r="Q197" i="19"/>
  <c r="S197" i="19" s="1"/>
  <c r="Q302" i="19"/>
  <c r="Q286" i="19"/>
  <c r="S286" i="19" s="1"/>
  <c r="Q287" i="19"/>
  <c r="S287" i="19" s="1"/>
  <c r="Q127" i="19"/>
  <c r="S127" i="19" s="1"/>
  <c r="Q252" i="19"/>
  <c r="S252" i="19" s="1"/>
  <c r="Q293" i="19"/>
  <c r="S293" i="19" s="1"/>
  <c r="Q246" i="19"/>
  <c r="S246" i="19" s="1"/>
  <c r="Q225" i="19"/>
  <c r="S225" i="19" s="1"/>
  <c r="Q203" i="19"/>
  <c r="S203" i="19" s="1"/>
  <c r="Q192" i="19"/>
  <c r="S192" i="19" s="1"/>
  <c r="Q179" i="19"/>
  <c r="S179" i="19" s="1"/>
  <c r="Q195" i="19"/>
  <c r="S195" i="19" s="1"/>
  <c r="Q169" i="19"/>
  <c r="S169" i="19" s="1"/>
  <c r="Q87" i="19"/>
  <c r="S87" i="19" s="1"/>
  <c r="Q301" i="19"/>
  <c r="Q285" i="19"/>
  <c r="S285" i="19" s="1"/>
  <c r="Q284" i="19"/>
  <c r="S284" i="19" s="1"/>
  <c r="Q126" i="19"/>
  <c r="S126" i="19" s="1"/>
  <c r="Q251" i="19"/>
  <c r="S251" i="19" s="1"/>
  <c r="Q241" i="19"/>
  <c r="S241" i="19" s="1"/>
  <c r="Q311" i="19"/>
  <c r="S311" i="19" s="1"/>
  <c r="Q221" i="19"/>
  <c r="S221" i="19" s="1"/>
  <c r="Q209" i="19"/>
  <c r="S209" i="19" s="1"/>
  <c r="Q109" i="19"/>
  <c r="S109" i="19" s="1"/>
  <c r="Q178" i="19"/>
  <c r="S178" i="19" s="1"/>
  <c r="Q182" i="19"/>
  <c r="S182" i="19" s="1"/>
  <c r="Q166" i="19"/>
  <c r="S166" i="19" s="1"/>
  <c r="Q160" i="19"/>
  <c r="S160" i="19" s="1"/>
  <c r="Q18" i="19"/>
  <c r="Q28" i="19"/>
  <c r="Q43" i="19"/>
  <c r="Q49" i="19"/>
  <c r="Q138" i="19"/>
  <c r="S138" i="19" s="1"/>
  <c r="Q16" i="19"/>
  <c r="Q22" i="19"/>
  <c r="Q41" i="19"/>
  <c r="Q61" i="19"/>
  <c r="Q71" i="19"/>
  <c r="Q6" i="19"/>
  <c r="Q25" i="19"/>
  <c r="Q42" i="19"/>
  <c r="Q59" i="19"/>
  <c r="Q72" i="19"/>
  <c r="S72" i="19" s="1"/>
  <c r="Q17" i="19"/>
  <c r="Q11" i="19"/>
  <c r="Q35" i="19"/>
  <c r="Q58" i="19"/>
  <c r="Q67" i="19"/>
  <c r="Q144" i="19"/>
  <c r="S144" i="19" s="1"/>
  <c r="Q305" i="19"/>
  <c r="S305" i="19" s="1"/>
  <c r="Q304" i="19"/>
  <c r="S304" i="19" s="1"/>
  <c r="Q129" i="19"/>
  <c r="S129" i="19" s="1"/>
  <c r="Q125" i="19"/>
  <c r="S125" i="19" s="1"/>
  <c r="Q272" i="19"/>
  <c r="S272" i="19" s="1"/>
  <c r="Q244" i="19"/>
  <c r="S244" i="19" s="1"/>
  <c r="Q228" i="19"/>
  <c r="S228" i="19" s="1"/>
  <c r="Q222" i="19"/>
  <c r="S222" i="19" s="1"/>
  <c r="Q212" i="19"/>
  <c r="S212" i="19" s="1"/>
  <c r="Q198" i="19"/>
  <c r="S198" i="19" s="1"/>
  <c r="Q108" i="19"/>
  <c r="S108" i="19" s="1"/>
  <c r="H74" i="38" s="1"/>
  <c r="Q184" i="19"/>
  <c r="S184" i="19" s="1"/>
  <c r="Q88" i="19"/>
  <c r="S88" i="19" s="1"/>
  <c r="Q154" i="19"/>
  <c r="S154" i="19" s="1"/>
  <c r="Q143" i="19"/>
  <c r="S143" i="19" s="1"/>
  <c r="Q303" i="19"/>
  <c r="Q95" i="19"/>
  <c r="S95" i="19" s="1"/>
  <c r="Q77" i="19"/>
  <c r="S77" i="19" s="1"/>
  <c r="Q210" i="19"/>
  <c r="S210" i="19" s="1"/>
  <c r="Q299" i="19"/>
  <c r="S299" i="19" s="1"/>
  <c r="Q85" i="19"/>
  <c r="S85" i="19" s="1"/>
  <c r="Q279" i="19"/>
  <c r="S279" i="19" s="1"/>
  <c r="Q265" i="19"/>
  <c r="S265" i="19" s="1"/>
  <c r="Q234" i="19"/>
  <c r="S234" i="19" s="1"/>
  <c r="Q253" i="19"/>
  <c r="S253" i="19" s="1"/>
  <c r="Q243" i="19"/>
  <c r="S243" i="19" s="1"/>
  <c r="Q219" i="19"/>
  <c r="S219" i="19" s="1"/>
  <c r="Q205" i="19"/>
  <c r="S205" i="19" s="1"/>
  <c r="Q82" i="19"/>
  <c r="S82" i="19" s="1"/>
  <c r="Q183" i="19"/>
  <c r="S183" i="19" s="1"/>
  <c r="Q73" i="19"/>
  <c r="S73" i="19" s="1"/>
  <c r="Q164" i="19"/>
  <c r="S164" i="19" s="1"/>
  <c r="Q145" i="19"/>
  <c r="S145" i="19" s="1"/>
  <c r="Q249" i="19"/>
  <c r="S249" i="19" s="1"/>
  <c r="Q292" i="19"/>
  <c r="S292" i="19" s="1"/>
  <c r="Q276" i="19"/>
  <c r="S276" i="19" s="1"/>
  <c r="Q264" i="19"/>
  <c r="S264" i="19" s="1"/>
  <c r="Q233" i="19"/>
  <c r="S233" i="19" s="1"/>
  <c r="Q240" i="19"/>
  <c r="S240" i="19" s="1"/>
  <c r="Q281" i="19"/>
  <c r="S281" i="19" s="1"/>
  <c r="Q76" i="19"/>
  <c r="S76" i="19" s="1"/>
  <c r="Q214" i="19"/>
  <c r="S214" i="19" s="1"/>
  <c r="Q81" i="19"/>
  <c r="S81" i="19" s="1"/>
  <c r="Q196" i="19"/>
  <c r="S196" i="19" s="1"/>
  <c r="Q175" i="19"/>
  <c r="S175" i="19" s="1"/>
  <c r="Q163" i="19"/>
  <c r="S163" i="19" s="1"/>
  <c r="Q151" i="19"/>
  <c r="S151" i="19" s="1"/>
  <c r="Q19" i="19"/>
  <c r="Q27" i="19"/>
  <c r="Q46" i="19"/>
  <c r="Q68" i="19"/>
  <c r="Q139" i="19"/>
  <c r="S139" i="19" s="1"/>
  <c r="Q9" i="19"/>
  <c r="Q23" i="19"/>
  <c r="Q44" i="19"/>
  <c r="Q53" i="19"/>
  <c r="Q136" i="19"/>
  <c r="S136" i="19" s="1"/>
  <c r="Q8" i="19"/>
  <c r="Q14" i="19"/>
  <c r="Q45" i="19"/>
  <c r="Q62" i="19"/>
  <c r="Q137" i="19"/>
  <c r="S137" i="19" s="1"/>
  <c r="Q248" i="19"/>
  <c r="S248" i="19" s="1"/>
  <c r="Q291" i="19"/>
  <c r="S291" i="19" s="1"/>
  <c r="Q275" i="19"/>
  <c r="S275" i="19" s="1"/>
  <c r="Q254" i="19"/>
  <c r="S254" i="19" s="1"/>
  <c r="Q230" i="19"/>
  <c r="S230" i="19" s="1"/>
  <c r="Q297" i="19"/>
  <c r="S297" i="19" s="1"/>
  <c r="Q223" i="19"/>
  <c r="S223" i="19" s="1"/>
  <c r="Q226" i="19"/>
  <c r="S226" i="19" s="1"/>
  <c r="Q111" i="19"/>
  <c r="S111" i="19" s="1"/>
  <c r="Q201" i="19"/>
  <c r="S201" i="19" s="1"/>
  <c r="Q105" i="19"/>
  <c r="S105" i="19" s="1"/>
  <c r="Q172" i="19"/>
  <c r="S172" i="19" s="1"/>
  <c r="Q159" i="19"/>
  <c r="S159" i="19" s="1"/>
  <c r="Q101" i="19"/>
  <c r="S101" i="19" s="1"/>
  <c r="Q132" i="19"/>
  <c r="S132" i="19" s="1"/>
  <c r="Q289" i="19"/>
  <c r="S289" i="19" s="1"/>
  <c r="Q271" i="19"/>
  <c r="S271" i="19" s="1"/>
  <c r="Q255" i="19"/>
  <c r="S255" i="19" s="1"/>
  <c r="Q282" i="19"/>
  <c r="S282" i="19" s="1"/>
  <c r="Q238" i="19"/>
  <c r="S238" i="19" s="1"/>
  <c r="Q83" i="19"/>
  <c r="S83" i="19" s="1"/>
  <c r="Q216" i="19"/>
  <c r="S216" i="19" s="1"/>
  <c r="Q110" i="19"/>
  <c r="S110" i="19" s="1"/>
  <c r="Q89" i="19"/>
  <c r="S89" i="19" s="1"/>
  <c r="H54" i="38" s="1"/>
  <c r="Q213" i="19"/>
  <c r="S213" i="19" s="1"/>
  <c r="Q171" i="19"/>
  <c r="S171" i="19" s="1"/>
  <c r="Q148" i="19"/>
  <c r="S148" i="19" s="1"/>
  <c r="Q147" i="19"/>
  <c r="S147" i="19" s="1"/>
  <c r="Q29" i="19"/>
  <c r="Q38" i="19"/>
  <c r="Q51" i="19"/>
  <c r="Q69" i="19"/>
  <c r="Q140" i="19"/>
  <c r="S140" i="19" s="1"/>
  <c r="Q10" i="19"/>
  <c r="Q31" i="19"/>
  <c r="Q47" i="19"/>
  <c r="Q54" i="19"/>
  <c r="Q141" i="19"/>
  <c r="S141" i="19" s="1"/>
  <c r="Q5" i="19"/>
  <c r="Q33" i="19"/>
  <c r="Q48" i="19"/>
  <c r="Q64" i="19"/>
  <c r="Q78" i="19"/>
  <c r="S78" i="19" s="1"/>
  <c r="Q20" i="19"/>
  <c r="Q13" i="19"/>
  <c r="Q37" i="19"/>
  <c r="Q63" i="19"/>
  <c r="Q98" i="19"/>
  <c r="S98" i="19" s="1"/>
  <c r="Q314" i="19"/>
  <c r="S314" i="19" s="1"/>
  <c r="Q263" i="19"/>
  <c r="S263" i="19" s="1"/>
  <c r="Q94" i="19"/>
  <c r="S94" i="19" s="1"/>
  <c r="Q256" i="19"/>
  <c r="S256" i="19" s="1"/>
  <c r="Q232" i="19"/>
  <c r="S232" i="19" s="1"/>
  <c r="Q239" i="19"/>
  <c r="S239" i="19" s="1"/>
  <c r="Q270" i="19"/>
  <c r="S270" i="19" s="1"/>
  <c r="Q92" i="19"/>
  <c r="S92" i="19" s="1"/>
  <c r="Q194" i="19"/>
  <c r="S194" i="19" s="1"/>
  <c r="Q90" i="19"/>
  <c r="S90" i="19" s="1"/>
  <c r="Q186" i="19"/>
  <c r="S186" i="19" s="1"/>
  <c r="Q104" i="19"/>
  <c r="S104" i="19" s="1"/>
  <c r="Q162" i="19"/>
  <c r="S162" i="19" s="1"/>
  <c r="Q150" i="19"/>
  <c r="S150" i="19" s="1"/>
  <c r="Q313" i="19"/>
  <c r="S313" i="19" s="1"/>
  <c r="Q97" i="19"/>
  <c r="S97" i="19" s="1"/>
  <c r="Q273" i="19"/>
  <c r="S273" i="19" s="1"/>
  <c r="Q295" i="19"/>
  <c r="S295" i="19" s="1"/>
  <c r="Q231" i="19"/>
  <c r="S231" i="19" s="1"/>
  <c r="Q237" i="19"/>
  <c r="S237" i="19" s="1"/>
  <c r="Q224" i="19"/>
  <c r="S224" i="19" s="1"/>
  <c r="Q218" i="19"/>
  <c r="S218" i="19" s="1"/>
  <c r="Q193" i="19"/>
  <c r="S193" i="19" s="1"/>
  <c r="Q202" i="19"/>
  <c r="S202" i="19" s="1"/>
  <c r="Q185" i="19"/>
  <c r="S185" i="19" s="1"/>
  <c r="Q173" i="19"/>
  <c r="S173" i="19" s="1"/>
  <c r="Q161" i="19"/>
  <c r="S161" i="19" s="1"/>
  <c r="Q168" i="19"/>
  <c r="S168" i="19" s="1"/>
  <c r="Q200" i="19"/>
  <c r="S200" i="19" s="1"/>
  <c r="Q157" i="19"/>
  <c r="S157" i="19" s="1"/>
  <c r="Q296" i="19"/>
  <c r="S296" i="19" s="1"/>
  <c r="Q274" i="19"/>
  <c r="S274" i="19" s="1"/>
  <c r="Q119" i="19"/>
  <c r="S119" i="19" s="1"/>
  <c r="Q7" i="19"/>
  <c r="Q135" i="19"/>
  <c r="S135" i="19" s="1"/>
  <c r="Q128" i="19"/>
  <c r="S128" i="19" s="1"/>
  <c r="Q124" i="19"/>
  <c r="S124" i="19" s="1"/>
  <c r="Q177" i="19"/>
  <c r="S177" i="19" s="1"/>
  <c r="Q283" i="19"/>
  <c r="S283" i="19" s="1"/>
  <c r="Q116" i="19"/>
  <c r="S116" i="19" s="1"/>
  <c r="Q176" i="19"/>
  <c r="S176" i="19" s="1"/>
  <c r="Q32" i="19"/>
  <c r="Q250" i="19"/>
  <c r="S250" i="19" s="1"/>
  <c r="Q277" i="19"/>
  <c r="S277" i="19" s="1"/>
  <c r="Q187" i="19"/>
  <c r="S187" i="19" s="1"/>
  <c r="Q30" i="19"/>
  <c r="Q266" i="19"/>
  <c r="S266" i="19" s="1"/>
  <c r="Q220" i="19"/>
  <c r="S220" i="19" s="1"/>
  <c r="Q181" i="19"/>
  <c r="S181" i="19" s="1"/>
  <c r="Q300" i="19"/>
  <c r="Q122" i="19"/>
  <c r="S122" i="19" s="1"/>
  <c r="Q199" i="19"/>
  <c r="S199" i="19" s="1"/>
  <c r="Q80" i="19"/>
  <c r="S80" i="19" s="1"/>
  <c r="Q153" i="19"/>
  <c r="S153" i="19" s="1"/>
  <c r="Q208" i="19"/>
  <c r="S208" i="19" s="1"/>
  <c r="Q74" i="19"/>
  <c r="S74" i="19" s="1"/>
  <c r="Q52" i="19"/>
  <c r="Q294" i="19"/>
  <c r="S294" i="19" s="1"/>
  <c r="Q288" i="19"/>
  <c r="S288" i="19" s="1"/>
  <c r="Q107" i="19"/>
  <c r="S107" i="19" s="1"/>
  <c r="Q102" i="19"/>
  <c r="S102" i="19" s="1"/>
  <c r="Q280" i="19"/>
  <c r="S280" i="19" s="1"/>
  <c r="Q130" i="19"/>
  <c r="S130" i="19" s="1"/>
  <c r="Q180" i="19"/>
  <c r="S180" i="19" s="1"/>
  <c r="Q170" i="19"/>
  <c r="S170" i="19" s="1"/>
  <c r="Q79" i="19"/>
  <c r="S79" i="19" s="1"/>
  <c r="Q290" i="19"/>
  <c r="Q165" i="19"/>
  <c r="S165" i="19" s="1"/>
  <c r="Q242" i="19"/>
  <c r="S242" i="19" s="1"/>
  <c r="Q152" i="19"/>
  <c r="S152" i="19" s="1"/>
  <c r="Y173" i="21"/>
  <c r="Z173" i="21" s="1"/>
  <c r="Y174" i="21"/>
  <c r="Z174" i="21" s="1"/>
  <c r="Y175" i="21"/>
  <c r="Z175" i="21" s="1"/>
  <c r="Y176" i="21"/>
  <c r="Z176" i="21" s="1"/>
  <c r="Y70" i="21"/>
  <c r="Z70" i="21" s="1"/>
  <c r="Y71" i="21"/>
  <c r="Z71" i="21" s="1"/>
  <c r="Y7" i="21"/>
  <c r="Z7" i="21" s="1"/>
  <c r="Y177" i="21"/>
  <c r="Z177" i="21" s="1"/>
  <c r="Y154" i="21"/>
  <c r="Z154" i="21" s="1"/>
  <c r="Y153" i="21"/>
  <c r="Z153" i="21" s="1"/>
  <c r="Y178" i="21"/>
  <c r="Z178" i="21" s="1"/>
  <c r="Y179" i="21"/>
  <c r="Z179" i="21" s="1"/>
  <c r="Y146" i="21"/>
  <c r="Z146" i="21" s="1"/>
  <c r="Y180" i="21"/>
  <c r="Z180" i="21" s="1"/>
  <c r="Y181" i="21"/>
  <c r="Z181" i="21" s="1"/>
  <c r="Y117" i="21"/>
  <c r="Z117" i="21" s="1"/>
  <c r="Y118" i="21"/>
  <c r="Z118" i="21" s="1"/>
  <c r="Y182" i="21"/>
  <c r="Z182" i="21" s="1"/>
  <c r="Y72" i="21"/>
  <c r="Z72" i="21" s="1"/>
  <c r="Y135" i="21"/>
  <c r="Z135" i="21" s="1"/>
  <c r="Y183" i="21"/>
  <c r="Z183" i="21" s="1"/>
  <c r="Y73" i="21"/>
  <c r="Z73" i="21" s="1"/>
  <c r="Y136" i="21"/>
  <c r="Z136" i="21" s="1"/>
  <c r="Y184" i="21"/>
  <c r="Z184" i="21" s="1"/>
  <c r="Y185" i="21"/>
  <c r="Z185" i="21" s="1"/>
  <c r="Y186" i="21"/>
  <c r="Z186" i="21" s="1"/>
  <c r="Y74" i="21"/>
  <c r="Z74" i="21" s="1"/>
  <c r="Y187" i="21"/>
  <c r="Z187" i="21" s="1"/>
  <c r="Y13" i="21"/>
  <c r="Z13" i="21" s="1"/>
  <c r="Y188" i="21"/>
  <c r="Z188" i="21" s="1"/>
  <c r="Y75" i="21"/>
  <c r="Z75" i="21" s="1"/>
  <c r="Y189" i="21"/>
  <c r="Z189" i="21" s="1"/>
  <c r="Y190" i="21"/>
  <c r="Z190" i="21" s="1"/>
  <c r="Y76" i="21"/>
  <c r="Z76" i="21" s="1"/>
  <c r="Y32" i="21"/>
  <c r="Z32" i="21" s="1"/>
  <c r="Y137" i="21"/>
  <c r="Z137" i="21" s="1"/>
  <c r="Y77" i="21"/>
  <c r="Z77" i="21" s="1"/>
  <c r="Y191" i="21"/>
  <c r="Z191" i="21" s="1"/>
  <c r="Y67" i="21"/>
  <c r="Z67" i="21" s="1"/>
  <c r="Y14" i="21"/>
  <c r="Z14" i="21" s="1"/>
  <c r="Y192" i="21"/>
  <c r="Z192" i="21" s="1"/>
  <c r="Y15" i="21"/>
  <c r="Z15" i="21" s="1"/>
  <c r="Y33" i="21"/>
  <c r="Z33" i="21" s="1"/>
  <c r="Y34" i="21"/>
  <c r="Z34" i="21" s="1"/>
  <c r="Y16" i="21"/>
  <c r="Z16" i="21" s="1"/>
  <c r="Y193" i="21"/>
  <c r="Z193" i="21" s="1"/>
  <c r="Y313" i="21"/>
  <c r="Z313" i="21" s="1"/>
  <c r="Y155" i="21"/>
  <c r="Z155" i="21" s="1"/>
  <c r="Y68" i="21"/>
  <c r="Z68" i="21" s="1"/>
  <c r="Y138" i="21"/>
  <c r="Z138" i="21" s="1"/>
  <c r="Y194" i="21"/>
  <c r="Z194" i="21" s="1"/>
  <c r="Y195" i="21"/>
  <c r="Z195" i="21" s="1"/>
  <c r="Y196" i="21"/>
  <c r="Z196" i="21" s="1"/>
  <c r="Y156" i="21"/>
  <c r="Z156" i="21" s="1"/>
  <c r="Y197" i="21"/>
  <c r="Z197" i="21" s="1"/>
  <c r="Y35" i="21"/>
  <c r="Z35" i="21" s="1"/>
  <c r="Y198" i="21"/>
  <c r="Z198" i="21" s="1"/>
  <c r="Y139" i="21"/>
  <c r="Z139" i="21" s="1"/>
  <c r="Y78" i="21"/>
  <c r="Z78" i="21" s="1"/>
  <c r="Y199" i="21"/>
  <c r="Z199" i="21" s="1"/>
  <c r="Y79" i="21"/>
  <c r="Z79" i="21" s="1"/>
  <c r="Y200" i="21"/>
  <c r="Z200" i="21" s="1"/>
  <c r="Y201" i="21"/>
  <c r="Z201" i="21" s="1"/>
  <c r="Y202" i="21"/>
  <c r="Z202" i="21" s="1"/>
  <c r="Y157" i="21"/>
  <c r="Z157" i="21" s="1"/>
  <c r="Y80" i="21"/>
  <c r="Z80" i="21" s="1"/>
  <c r="Y81" i="21"/>
  <c r="Z81" i="21" s="1"/>
  <c r="Y203" i="21"/>
  <c r="Z203" i="21" s="1"/>
  <c r="Y82" i="21"/>
  <c r="Z82" i="21" s="1"/>
  <c r="Y204" i="21"/>
  <c r="Z204" i="21" s="1"/>
  <c r="Y205" i="21"/>
  <c r="Z205" i="21" s="1"/>
  <c r="Y17" i="21"/>
  <c r="Z17" i="21" s="1"/>
  <c r="Y206" i="21"/>
  <c r="Z206" i="21" s="1"/>
  <c r="Y207" i="21"/>
  <c r="Z207" i="21" s="1"/>
  <c r="Y208" i="21"/>
  <c r="Z208" i="21" s="1"/>
  <c r="Y147" i="21"/>
  <c r="Z147" i="21" s="1"/>
  <c r="Y119" i="21"/>
  <c r="Z119" i="21" s="1"/>
  <c r="Y209" i="21"/>
  <c r="Z209" i="21" s="1"/>
  <c r="Y36" i="21"/>
  <c r="Z36" i="21" s="1"/>
  <c r="Y210" i="21"/>
  <c r="Z210" i="21" s="1"/>
  <c r="Y120" i="21"/>
  <c r="Z120" i="21" s="1"/>
  <c r="Y148" i="21"/>
  <c r="Z148" i="21" s="1"/>
  <c r="Y121" i="21"/>
  <c r="Z121" i="21" s="1"/>
  <c r="Y140" i="21"/>
  <c r="Z140" i="21" s="1"/>
  <c r="Y149" i="21"/>
  <c r="Z149" i="21" s="1"/>
  <c r="Y158" i="21"/>
  <c r="Z158" i="21" s="1"/>
  <c r="Y4" i="21"/>
  <c r="Z4" i="21" s="1"/>
  <c r="Y211" i="21"/>
  <c r="Z211" i="21" s="1"/>
  <c r="Y212" i="21"/>
  <c r="Z212" i="21" s="1"/>
  <c r="Y213" i="21"/>
  <c r="Z213" i="21" s="1"/>
  <c r="Y37" i="21"/>
  <c r="Z37" i="21" s="1"/>
  <c r="Y62" i="21"/>
  <c r="Z62" i="21" s="1"/>
  <c r="Y38" i="21"/>
  <c r="Z38" i="21" s="1"/>
  <c r="Y214" i="21"/>
  <c r="Z214" i="21" s="1"/>
  <c r="Y215" i="21"/>
  <c r="Z215" i="21" s="1"/>
  <c r="Y83" i="21"/>
  <c r="Z83" i="21" s="1"/>
  <c r="Y84" i="21"/>
  <c r="Z84" i="21" s="1"/>
  <c r="Y85" i="21"/>
  <c r="Z85" i="21" s="1"/>
  <c r="Y86" i="21"/>
  <c r="Z86" i="21" s="1"/>
  <c r="Y216" i="21"/>
  <c r="Z216" i="21" s="1"/>
  <c r="Y217" i="21"/>
  <c r="Z217" i="21" s="1"/>
  <c r="Y218" i="21"/>
  <c r="Z218" i="21" s="1"/>
  <c r="Y87" i="21"/>
  <c r="Z87" i="21" s="1"/>
  <c r="Y219" i="21"/>
  <c r="Z219" i="21" s="1"/>
  <c r="Y39" i="21"/>
  <c r="Z39" i="21" s="1"/>
  <c r="Y88" i="21"/>
  <c r="Z88" i="21" s="1"/>
  <c r="Y40" i="21"/>
  <c r="Z40" i="21" s="1"/>
  <c r="Y141" i="21"/>
  <c r="Z141" i="21" s="1"/>
  <c r="Y220" i="21"/>
  <c r="Z220" i="21" s="1"/>
  <c r="Y159" i="21"/>
  <c r="Z159" i="21" s="1"/>
  <c r="Y221" i="21"/>
  <c r="Z221" i="21" s="1"/>
  <c r="Y89" i="21"/>
  <c r="Z89" i="21" s="1"/>
  <c r="Y41" i="21"/>
  <c r="Z41" i="21" s="1"/>
  <c r="Y222" i="21"/>
  <c r="Z222" i="21" s="1"/>
  <c r="Y90" i="21"/>
  <c r="Z90" i="21" s="1"/>
  <c r="Y223" i="21"/>
  <c r="Z223" i="21" s="1"/>
  <c r="Y69" i="21"/>
  <c r="Z69" i="21" s="1"/>
  <c r="Y224" i="21"/>
  <c r="Z224" i="21" s="1"/>
  <c r="Y225" i="21"/>
  <c r="Z225" i="21" s="1"/>
  <c r="Y226" i="21"/>
  <c r="Z226" i="21" s="1"/>
  <c r="Y227" i="21"/>
  <c r="Z227" i="21" s="1"/>
  <c r="Y91" i="21"/>
  <c r="Z91" i="21" s="1"/>
  <c r="Y122" i="21"/>
  <c r="Z122" i="21" s="1"/>
  <c r="Y18" i="21"/>
  <c r="Z18" i="21" s="1"/>
  <c r="Y19" i="21"/>
  <c r="Z19" i="21" s="1"/>
  <c r="Y228" i="21"/>
  <c r="Z228" i="21" s="1"/>
  <c r="Y229" i="21"/>
  <c r="Z229" i="21" s="1"/>
  <c r="Y123" i="21"/>
  <c r="Z123" i="21" s="1"/>
  <c r="Y230" i="21"/>
  <c r="Z230" i="21" s="1"/>
  <c r="Y160" i="21"/>
  <c r="Z160" i="21" s="1"/>
  <c r="Y231" i="21"/>
  <c r="Z231" i="21" s="1"/>
  <c r="Y42" i="21"/>
  <c r="Z42" i="21" s="1"/>
  <c r="Y92" i="21"/>
  <c r="Z92" i="21" s="1"/>
  <c r="Y93" i="21"/>
  <c r="Z93" i="21" s="1"/>
  <c r="Y232" i="21"/>
  <c r="Z232" i="21" s="1"/>
  <c r="Y161" i="21"/>
  <c r="Z161" i="21" s="1"/>
  <c r="Y150" i="21"/>
  <c r="Z150" i="21" s="1"/>
  <c r="Y233" i="21"/>
  <c r="Z233" i="21" s="1"/>
  <c r="Y43" i="21"/>
  <c r="Z43" i="21" s="1"/>
  <c r="Y234" i="21"/>
  <c r="Z234" i="21" s="1"/>
  <c r="Y235" i="21"/>
  <c r="Z235" i="21" s="1"/>
  <c r="Y124" i="21"/>
  <c r="Z124" i="21" s="1"/>
  <c r="Y94" i="21"/>
  <c r="Z94" i="21" s="1"/>
  <c r="Y95" i="21"/>
  <c r="Z95" i="21" s="1"/>
  <c r="Y96" i="21"/>
  <c r="Z96" i="21" s="1"/>
  <c r="Y44" i="21"/>
  <c r="Z44" i="21" s="1"/>
  <c r="Y20" i="21"/>
  <c r="Z20" i="21" s="1"/>
  <c r="Y11" i="21"/>
  <c r="Z11" i="21" s="1"/>
  <c r="Y151" i="21"/>
  <c r="Z151" i="21" s="1"/>
  <c r="Y97" i="21"/>
  <c r="Z97" i="21" s="1"/>
  <c r="Y236" i="21"/>
  <c r="Z236" i="21" s="1"/>
  <c r="Y237" i="21"/>
  <c r="Z237" i="21" s="1"/>
  <c r="Y162" i="21"/>
  <c r="Z162" i="21" s="1"/>
  <c r="Y238" i="21"/>
  <c r="Z238" i="21" s="1"/>
  <c r="Y163" i="21"/>
  <c r="Z163" i="21" s="1"/>
  <c r="Y142" i="21"/>
  <c r="Z142" i="21" s="1"/>
  <c r="Y239" i="21"/>
  <c r="Z239" i="21" s="1"/>
  <c r="Y45" i="21"/>
  <c r="Z45" i="21" s="1"/>
  <c r="Y164" i="21"/>
  <c r="Z164" i="21" s="1"/>
  <c r="Y21" i="21"/>
  <c r="Z21" i="21" s="1"/>
  <c r="Y125" i="21"/>
  <c r="Z125" i="21" s="1"/>
  <c r="Y240" i="21"/>
  <c r="Z240" i="21" s="1"/>
  <c r="Y98" i="21"/>
  <c r="Z98" i="21" s="1"/>
  <c r="Y241" i="21"/>
  <c r="Z241" i="21" s="1"/>
  <c r="Y143" i="21"/>
  <c r="Z143" i="21" s="1"/>
  <c r="Y242" i="21"/>
  <c r="Z242" i="21" s="1"/>
  <c r="Y243" i="21"/>
  <c r="Z243" i="21" s="1"/>
  <c r="Y244" i="21"/>
  <c r="Z244" i="21" s="1"/>
  <c r="Y5" i="21"/>
  <c r="Z5" i="21" s="1"/>
  <c r="Y245" i="21"/>
  <c r="Z245" i="21" s="1"/>
  <c r="Y99" i="21"/>
  <c r="Z99" i="21" s="1"/>
  <c r="Y246" i="21"/>
  <c r="Z246" i="21" s="1"/>
  <c r="Y22" i="21"/>
  <c r="Z22" i="21" s="1"/>
  <c r="Y23" i="21"/>
  <c r="Z23" i="21" s="1"/>
  <c r="Y63" i="21"/>
  <c r="Z63" i="21" s="1"/>
  <c r="Y9" i="21"/>
  <c r="Z9" i="21" s="1"/>
  <c r="Y126" i="21"/>
  <c r="Z126" i="21" s="1"/>
  <c r="Y247" i="21"/>
  <c r="Z247" i="21" s="1"/>
  <c r="Y248" i="21"/>
  <c r="Z248" i="21" s="1"/>
  <c r="Y127" i="21"/>
  <c r="Z127" i="21" s="1"/>
  <c r="Y144" i="21"/>
  <c r="Z144" i="21" s="1"/>
  <c r="Y64" i="21"/>
  <c r="Z64" i="21" s="1"/>
  <c r="Y46" i="21"/>
  <c r="Z46" i="21" s="1"/>
  <c r="Y152" i="21"/>
  <c r="Z152" i="21" s="1"/>
  <c r="Y249" i="21"/>
  <c r="Z249" i="21" s="1"/>
  <c r="Y6" i="21"/>
  <c r="Z6" i="21" s="1"/>
  <c r="Y100" i="21"/>
  <c r="Z100" i="21" s="1"/>
  <c r="Y145" i="21"/>
  <c r="Z145" i="21" s="1"/>
  <c r="Y8" i="21"/>
  <c r="Z8" i="21" s="1"/>
  <c r="Y250" i="21"/>
  <c r="Z250" i="21" s="1"/>
  <c r="Y251" i="21"/>
  <c r="Z251" i="21" s="1"/>
  <c r="Y47" i="21"/>
  <c r="Z47" i="21" s="1"/>
  <c r="Y252" i="21"/>
  <c r="Z252" i="21" s="1"/>
  <c r="Y253" i="21"/>
  <c r="Z253" i="21" s="1"/>
  <c r="Y254" i="21"/>
  <c r="Z254" i="21" s="1"/>
  <c r="Y255" i="21"/>
  <c r="Z255" i="21" s="1"/>
  <c r="Y256" i="21"/>
  <c r="Z256" i="21" s="1"/>
  <c r="Y257" i="21"/>
  <c r="Z257" i="21" s="1"/>
  <c r="Y258" i="21"/>
  <c r="Z258" i="21" s="1"/>
  <c r="Y48" i="21"/>
  <c r="Z48" i="21" s="1"/>
  <c r="Y49" i="21"/>
  <c r="Z49" i="21" s="1"/>
  <c r="Y259" i="21"/>
  <c r="Z259" i="21" s="1"/>
  <c r="Y101" i="21"/>
  <c r="Z101" i="21" s="1"/>
  <c r="Y260" i="21"/>
  <c r="Z260" i="21" s="1"/>
  <c r="Y50" i="21"/>
  <c r="Z50" i="21" s="1"/>
  <c r="Y102" i="21"/>
  <c r="Z102" i="21" s="1"/>
  <c r="Y128" i="21"/>
  <c r="Z128" i="21" s="1"/>
  <c r="Y129" i="21"/>
  <c r="Z129" i="21" s="1"/>
  <c r="Y261" i="21"/>
  <c r="Z261" i="21" s="1"/>
  <c r="Y130" i="21"/>
  <c r="Z130" i="21" s="1"/>
  <c r="Y165" i="21"/>
  <c r="Z165" i="21" s="1"/>
  <c r="Y51" i="21"/>
  <c r="Z51" i="21" s="1"/>
  <c r="Y52" i="21"/>
  <c r="Z52" i="21" s="1"/>
  <c r="Y53" i="21"/>
  <c r="Z53" i="21" s="1"/>
  <c r="Y24" i="21"/>
  <c r="Z24" i="21" s="1"/>
  <c r="Y54" i="21"/>
  <c r="Z54" i="21" s="1"/>
  <c r="Y103" i="21"/>
  <c r="Z103" i="21" s="1"/>
  <c r="Y104" i="21"/>
  <c r="Z104" i="21" s="1"/>
  <c r="Y105" i="21"/>
  <c r="Z105" i="21" s="1"/>
  <c r="Y262" i="21"/>
  <c r="Z262" i="21" s="1"/>
  <c r="Y263" i="21"/>
  <c r="Z263" i="21" s="1"/>
  <c r="Y12" i="21"/>
  <c r="Z12" i="21" s="1"/>
  <c r="Y166" i="21"/>
  <c r="Z166" i="21" s="1"/>
  <c r="Y25" i="21"/>
  <c r="Z25" i="21" s="1"/>
  <c r="Y264" i="21"/>
  <c r="Z264" i="21" s="1"/>
  <c r="Y265" i="21"/>
  <c r="Z265" i="21" s="1"/>
  <c r="Y266" i="21"/>
  <c r="Z266" i="21" s="1"/>
  <c r="Y267" i="21"/>
  <c r="Z267" i="21" s="1"/>
  <c r="Y55" i="21"/>
  <c r="Z55" i="21" s="1"/>
  <c r="Y106" i="21"/>
  <c r="Z106" i="21" s="1"/>
  <c r="Y167" i="21"/>
  <c r="Z167" i="21" s="1"/>
  <c r="Y268" i="21"/>
  <c r="Z268" i="21" s="1"/>
  <c r="Y314" i="21"/>
  <c r="Z314" i="21" s="1"/>
  <c r="Y269" i="21"/>
  <c r="Z269" i="21" s="1"/>
  <c r="Y270" i="21"/>
  <c r="Z270" i="21" s="1"/>
  <c r="Y271" i="21"/>
  <c r="Z271" i="21" s="1"/>
  <c r="Y107" i="21"/>
  <c r="Z107" i="21" s="1"/>
  <c r="Y272" i="21"/>
  <c r="Z272" i="21" s="1"/>
  <c r="Y273" i="21"/>
  <c r="Z273" i="21" s="1"/>
  <c r="Y26" i="21"/>
  <c r="Z26" i="21" s="1"/>
  <c r="Y274" i="21"/>
  <c r="Z274" i="21" s="1"/>
  <c r="Y108" i="21"/>
  <c r="Z108" i="21" s="1"/>
  <c r="Y27" i="21"/>
  <c r="Z27" i="21" s="1"/>
  <c r="Y275" i="21"/>
  <c r="Z275" i="21" s="1"/>
  <c r="Y109" i="21"/>
  <c r="Z109" i="21" s="1"/>
  <c r="Y276" i="21"/>
  <c r="Z276" i="21" s="1"/>
  <c r="Y65" i="21"/>
  <c r="Z65" i="21" s="1"/>
  <c r="Y131" i="21"/>
  <c r="Z131" i="21" s="1"/>
  <c r="Y277" i="21"/>
  <c r="Z277" i="21" s="1"/>
  <c r="Y278" i="21"/>
  <c r="Z278" i="21" s="1"/>
  <c r="Y279" i="21"/>
  <c r="Z279" i="21" s="1"/>
  <c r="Y280" i="21"/>
  <c r="Z280" i="21" s="1"/>
  <c r="Y110" i="21"/>
  <c r="Z110" i="21" s="1"/>
  <c r="Y28" i="21"/>
  <c r="Z28" i="21" s="1"/>
  <c r="Y111" i="21"/>
  <c r="Z111" i="21" s="1"/>
  <c r="Y112" i="21"/>
  <c r="Z112" i="21" s="1"/>
  <c r="Y132" i="21"/>
  <c r="Z132" i="21" s="1"/>
  <c r="Y281" i="21"/>
  <c r="Z281" i="21" s="1"/>
  <c r="Y282" i="21"/>
  <c r="Z282" i="21" s="1"/>
  <c r="Y29" i="21"/>
  <c r="Z29" i="21" s="1"/>
  <c r="Y283" i="21"/>
  <c r="Z283" i="21" s="1"/>
  <c r="Y284" i="21"/>
  <c r="Z284" i="21" s="1"/>
  <c r="Y285" i="21"/>
  <c r="Z285" i="21" s="1"/>
  <c r="Y286" i="21"/>
  <c r="Z286" i="21" s="1"/>
  <c r="Y56" i="21"/>
  <c r="Z56" i="21" s="1"/>
  <c r="Y66" i="21"/>
  <c r="Z66" i="21" s="1"/>
  <c r="Y133" i="21"/>
  <c r="Z133" i="21" s="1"/>
  <c r="Y168" i="21"/>
  <c r="Z168" i="21" s="1"/>
  <c r="Y287" i="21"/>
  <c r="Z287" i="21" s="1"/>
  <c r="Y57" i="21"/>
  <c r="Z57" i="21" s="1"/>
  <c r="Y169" i="21"/>
  <c r="Z169" i="21" s="1"/>
  <c r="Y288" i="21"/>
  <c r="Z288" i="21" s="1"/>
  <c r="Y289" i="21"/>
  <c r="Z289" i="21" s="1"/>
  <c r="Y58" i="21"/>
  <c r="Z58" i="21" s="1"/>
  <c r="Y59" i="21"/>
  <c r="Z59" i="21" s="1"/>
  <c r="Y290" i="21"/>
  <c r="Z290" i="21" s="1"/>
  <c r="Y291" i="21"/>
  <c r="Z291" i="21" s="1"/>
  <c r="Y113" i="21"/>
  <c r="Z113" i="21" s="1"/>
  <c r="Y292" i="21"/>
  <c r="Z292" i="21" s="1"/>
  <c r="Y293" i="21"/>
  <c r="Z293" i="21" s="1"/>
  <c r="Y294" i="21"/>
  <c r="Z294" i="21" s="1"/>
  <c r="Y60" i="21"/>
  <c r="Z60" i="21" s="1"/>
  <c r="Y30" i="21"/>
  <c r="Z30" i="21" s="1"/>
  <c r="Y295" i="21"/>
  <c r="Z295" i="21" s="1"/>
  <c r="Y296" i="21"/>
  <c r="Z296" i="21" s="1"/>
  <c r="Y170" i="21"/>
  <c r="Z170" i="21" s="1"/>
  <c r="Y297" i="21"/>
  <c r="Z297" i="21" s="1"/>
  <c r="Y298" i="21"/>
  <c r="Z298" i="21" s="1"/>
  <c r="Y299" i="21"/>
  <c r="Z299" i="21" s="1"/>
  <c r="Y114" i="21"/>
  <c r="Z114" i="21" s="1"/>
  <c r="Y300" i="21"/>
  <c r="Z300" i="21" s="1"/>
  <c r="Y10" i="21"/>
  <c r="Z10" i="21" s="1"/>
  <c r="Y61" i="21"/>
  <c r="Z61" i="21" s="1"/>
  <c r="Y301" i="21"/>
  <c r="Z301" i="21" s="1"/>
  <c r="Y302" i="21"/>
  <c r="Z302" i="21" s="1"/>
  <c r="Y171" i="21"/>
  <c r="Z171" i="21" s="1"/>
  <c r="Y172" i="21"/>
  <c r="Z172" i="21" s="1"/>
  <c r="Y303" i="21"/>
  <c r="Z303" i="21" s="1"/>
  <c r="Y31" i="21"/>
  <c r="Z31" i="21" s="1"/>
  <c r="Y304" i="21"/>
  <c r="Z304" i="21" s="1"/>
  <c r="Y305" i="21"/>
  <c r="Z305" i="21" s="1"/>
  <c r="Y306" i="21"/>
  <c r="Z306" i="21" s="1"/>
  <c r="Y115" i="21"/>
  <c r="Z115" i="21" s="1"/>
  <c r="Y307" i="21"/>
  <c r="Z307" i="21" s="1"/>
  <c r="Y134" i="21"/>
  <c r="Z134" i="21" s="1"/>
  <c r="Y308" i="21"/>
  <c r="Z308" i="21" s="1"/>
  <c r="Y309" i="21"/>
  <c r="Z309" i="21" s="1"/>
  <c r="Y310" i="21"/>
  <c r="Z310" i="21" s="1"/>
  <c r="Y311" i="21"/>
  <c r="Z311" i="21" s="1"/>
  <c r="Y312" i="21"/>
  <c r="Z312" i="21" s="1"/>
  <c r="Y116" i="21"/>
  <c r="Z116" i="21" s="1"/>
  <c r="S4" i="13" l="1"/>
  <c r="N61" i="36"/>
  <c r="N202" i="36"/>
  <c r="N68" i="36"/>
  <c r="N192" i="36"/>
  <c r="N91" i="36"/>
  <c r="N290" i="36"/>
  <c r="N179" i="36"/>
  <c r="N96" i="36"/>
  <c r="N32" i="36"/>
  <c r="N103" i="36"/>
  <c r="N277" i="36"/>
  <c r="N135" i="36"/>
  <c r="N289" i="36"/>
  <c r="S5" i="36"/>
  <c r="S29" i="36"/>
  <c r="S28" i="36"/>
  <c r="S7" i="36"/>
  <c r="S11" i="36"/>
  <c r="S4" i="36"/>
  <c r="S27" i="36"/>
  <c r="S30" i="36"/>
  <c r="S20" i="36"/>
  <c r="S22" i="36"/>
  <c r="S13" i="36"/>
  <c r="S24" i="36"/>
  <c r="S9" i="36"/>
  <c r="S26" i="36"/>
  <c r="S10" i="36"/>
  <c r="S18" i="36"/>
  <c r="S14" i="36"/>
  <c r="S6" i="36"/>
  <c r="S12" i="36"/>
  <c r="S8" i="36"/>
  <c r="S23" i="36"/>
  <c r="S16" i="36"/>
  <c r="S25" i="36"/>
  <c r="S15" i="36"/>
  <c r="S17" i="36"/>
  <c r="S19" i="36"/>
  <c r="S21" i="36"/>
  <c r="S31" i="36"/>
  <c r="S303" i="19"/>
  <c r="S302" i="19"/>
  <c r="S290" i="19"/>
  <c r="S300" i="19"/>
  <c r="S301" i="19"/>
  <c r="AA117" i="21"/>
  <c r="AA175" i="21"/>
  <c r="AA176" i="21"/>
  <c r="AA70" i="21"/>
  <c r="AA71" i="21"/>
  <c r="AA177" i="21"/>
  <c r="AA178" i="21"/>
  <c r="AA179" i="21"/>
  <c r="AA146" i="21"/>
  <c r="AA135" i="21"/>
  <c r="AA183" i="21"/>
  <c r="AA73" i="21"/>
  <c r="AA184" i="21"/>
  <c r="AA186" i="21"/>
  <c r="AA187" i="21"/>
  <c r="AA188" i="21"/>
  <c r="AA191" i="21"/>
  <c r="AA67" i="21"/>
  <c r="AA14" i="21"/>
  <c r="AA15" i="21"/>
  <c r="AA34" i="21"/>
  <c r="AA193" i="21"/>
  <c r="AA313" i="21"/>
  <c r="AA155" i="21"/>
  <c r="AA138" i="21"/>
  <c r="AA195" i="21"/>
  <c r="AA196" i="21"/>
  <c r="AA156" i="21"/>
  <c r="AA197" i="21"/>
  <c r="AA139" i="21"/>
  <c r="AA78" i="21"/>
  <c r="AA199" i="21"/>
  <c r="AA79" i="21"/>
  <c r="AA200" i="21"/>
  <c r="AA201" i="21"/>
  <c r="AA202" i="21"/>
  <c r="AA80" i="21"/>
  <c r="AA81" i="21"/>
  <c r="AA203" i="21"/>
  <c r="AA82" i="21"/>
  <c r="AA204" i="21"/>
  <c r="AA205" i="21"/>
  <c r="AA206" i="21"/>
  <c r="AA208" i="21"/>
  <c r="AA147" i="21"/>
  <c r="AA119" i="21"/>
  <c r="AA209" i="21"/>
  <c r="AA148" i="21"/>
  <c r="AA121" i="21"/>
  <c r="AA140" i="21"/>
  <c r="AA149" i="21"/>
  <c r="AA158" i="21"/>
  <c r="AA4" i="21"/>
  <c r="AA211" i="21"/>
  <c r="AA212" i="21"/>
  <c r="AA213" i="21"/>
  <c r="AA37" i="21"/>
  <c r="AA62" i="21"/>
  <c r="AA214" i="21"/>
  <c r="AA215" i="21"/>
  <c r="AA83" i="21"/>
  <c r="AA84" i="21"/>
  <c r="AA85" i="21"/>
  <c r="AA216" i="21"/>
  <c r="AA217" i="21"/>
  <c r="AA218" i="21"/>
  <c r="AA87" i="21"/>
  <c r="AA219" i="21"/>
  <c r="AA39" i="21"/>
  <c r="AA40" i="21"/>
  <c r="AA141" i="21"/>
  <c r="AA220" i="21"/>
  <c r="AA159" i="21"/>
  <c r="AA221" i="21"/>
  <c r="AA89" i="21"/>
  <c r="AA41" i="21"/>
  <c r="AA222" i="21"/>
  <c r="AA223" i="21"/>
  <c r="AA69" i="21"/>
  <c r="AA225" i="21"/>
  <c r="AA226" i="21"/>
  <c r="AA91" i="21"/>
  <c r="AA18" i="21"/>
  <c r="AA19" i="21"/>
  <c r="AA228" i="21"/>
  <c r="AA229" i="21"/>
  <c r="AA230" i="21"/>
  <c r="AA160" i="21"/>
  <c r="AA231" i="21"/>
  <c r="AA42" i="21"/>
  <c r="AA232" i="21"/>
  <c r="AA161" i="21"/>
  <c r="AA235" i="21"/>
  <c r="AA124" i="21"/>
  <c r="AA94" i="21"/>
  <c r="AA236" i="21"/>
  <c r="AA237" i="21"/>
  <c r="AA162" i="21"/>
  <c r="AA238" i="21"/>
  <c r="AA163" i="21"/>
  <c r="AA239" i="21"/>
  <c r="AA45" i="21"/>
  <c r="AA164" i="21"/>
  <c r="AA21" i="21"/>
  <c r="AA242" i="21"/>
  <c r="AA243" i="21"/>
  <c r="AA244" i="21"/>
  <c r="AA245" i="21"/>
  <c r="AA99" i="21"/>
  <c r="AA246" i="21"/>
  <c r="AA22" i="21"/>
  <c r="AA63" i="21"/>
  <c r="AA9" i="21"/>
  <c r="AA126" i="21"/>
  <c r="AA247" i="21"/>
  <c r="AA64" i="21"/>
  <c r="AA46" i="21"/>
  <c r="AA152" i="21"/>
  <c r="AA249" i="21"/>
  <c r="AA6" i="21"/>
  <c r="AA100" i="21"/>
  <c r="AA8" i="21"/>
  <c r="AA250" i="21"/>
  <c r="AA47" i="21"/>
  <c r="AA252" i="21"/>
  <c r="AA255" i="21"/>
  <c r="AA256" i="21"/>
  <c r="AA258" i="21"/>
  <c r="AA48" i="21"/>
  <c r="AA49" i="21"/>
  <c r="AA259" i="21"/>
  <c r="AA260" i="21"/>
  <c r="AA102" i="21"/>
  <c r="AA128" i="21"/>
  <c r="AA129" i="21"/>
  <c r="AA261" i="21"/>
  <c r="AA165" i="21"/>
  <c r="AA263" i="21"/>
  <c r="AA264" i="21"/>
  <c r="AA106" i="21"/>
  <c r="AA167" i="21"/>
  <c r="AA268" i="21"/>
  <c r="AA314" i="21"/>
  <c r="AA269" i="21"/>
  <c r="AA270" i="21"/>
  <c r="AA271" i="21"/>
  <c r="AA272" i="21"/>
  <c r="AA275" i="21"/>
  <c r="AA109" i="21"/>
  <c r="AA276" i="21"/>
  <c r="AA131" i="21"/>
  <c r="AA278" i="21"/>
  <c r="AA279" i="21"/>
  <c r="AA281" i="21"/>
  <c r="AA282" i="21"/>
  <c r="AA29" i="21"/>
  <c r="AA283" i="21"/>
  <c r="AA285" i="21"/>
  <c r="AA286" i="21"/>
  <c r="AA133" i="21"/>
  <c r="AA168" i="21"/>
  <c r="AA57" i="21"/>
  <c r="AA169" i="21"/>
  <c r="AA288" i="21"/>
  <c r="AA289" i="21"/>
  <c r="AA290" i="21"/>
  <c r="AA291" i="21"/>
  <c r="AA113" i="21"/>
  <c r="AA292" i="21"/>
  <c r="AA293" i="21"/>
  <c r="AA294" i="21"/>
  <c r="AA295" i="21"/>
  <c r="AA170" i="21"/>
  <c r="AA297" i="21"/>
  <c r="AA298" i="21"/>
  <c r="AA299" i="21"/>
  <c r="AA114" i="21"/>
  <c r="AA300" i="21"/>
  <c r="AA10" i="21"/>
  <c r="AA301" i="21"/>
  <c r="AA302" i="21"/>
  <c r="AA171" i="21"/>
  <c r="AA172" i="21"/>
  <c r="AA303" i="21"/>
  <c r="AA31" i="21"/>
  <c r="AA115" i="21"/>
  <c r="AA134" i="21"/>
  <c r="AA308" i="21"/>
  <c r="AA309" i="21"/>
  <c r="AA310" i="21"/>
  <c r="AA311" i="21"/>
  <c r="AA312" i="21"/>
  <c r="AA116" i="21"/>
  <c r="M67" i="21"/>
  <c r="K174" i="21"/>
  <c r="K175" i="21"/>
  <c r="K176" i="21"/>
  <c r="K70" i="21"/>
  <c r="K71" i="21"/>
  <c r="K7" i="21"/>
  <c r="K177" i="21"/>
  <c r="K154" i="21"/>
  <c r="K153" i="21"/>
  <c r="K178" i="21"/>
  <c r="K179" i="21"/>
  <c r="K146" i="21"/>
  <c r="K180" i="21"/>
  <c r="K181" i="21"/>
  <c r="K117" i="21"/>
  <c r="K118" i="21"/>
  <c r="K182" i="21"/>
  <c r="K72" i="21"/>
  <c r="K135" i="21"/>
  <c r="K183" i="21"/>
  <c r="K73" i="21"/>
  <c r="K136" i="21"/>
  <c r="K184" i="21"/>
  <c r="K185" i="21"/>
  <c r="K186" i="21"/>
  <c r="K74" i="21"/>
  <c r="K187" i="21"/>
  <c r="K13" i="21"/>
  <c r="K188" i="21"/>
  <c r="K75" i="21"/>
  <c r="K189" i="21"/>
  <c r="K190" i="21"/>
  <c r="K76" i="21"/>
  <c r="K32" i="21"/>
  <c r="K137" i="21"/>
  <c r="K77" i="21"/>
  <c r="K191" i="21"/>
  <c r="K67" i="21"/>
  <c r="K14" i="21"/>
  <c r="K192" i="21"/>
  <c r="K15" i="21"/>
  <c r="K33" i="21"/>
  <c r="K34" i="21"/>
  <c r="K16" i="21"/>
  <c r="K193" i="21"/>
  <c r="K313" i="21"/>
  <c r="K155" i="21"/>
  <c r="K68" i="21"/>
  <c r="K138" i="21"/>
  <c r="K194" i="21"/>
  <c r="K195" i="21"/>
  <c r="K196" i="21"/>
  <c r="K156" i="21"/>
  <c r="K197" i="21"/>
  <c r="K35" i="21"/>
  <c r="K198" i="21"/>
  <c r="K139" i="21"/>
  <c r="K78" i="21"/>
  <c r="K199" i="21"/>
  <c r="K79" i="21"/>
  <c r="K200" i="21"/>
  <c r="K201" i="21"/>
  <c r="K202" i="21"/>
  <c r="K157" i="21"/>
  <c r="K80" i="21"/>
  <c r="K81" i="21"/>
  <c r="K203" i="21"/>
  <c r="K82" i="21"/>
  <c r="K204" i="21"/>
  <c r="K205" i="21"/>
  <c r="K17" i="21"/>
  <c r="K206" i="21"/>
  <c r="K207" i="21"/>
  <c r="K208" i="21"/>
  <c r="K147" i="21"/>
  <c r="K119" i="21"/>
  <c r="K209" i="21"/>
  <c r="K36" i="21"/>
  <c r="K210" i="21"/>
  <c r="K120" i="21"/>
  <c r="K148" i="21"/>
  <c r="K121" i="21"/>
  <c r="K140" i="21"/>
  <c r="K149" i="21"/>
  <c r="K158" i="21"/>
  <c r="K4" i="21"/>
  <c r="K211" i="21"/>
  <c r="K212" i="21"/>
  <c r="K213" i="21"/>
  <c r="K37" i="21"/>
  <c r="K62" i="21"/>
  <c r="K38" i="21"/>
  <c r="K214" i="21"/>
  <c r="K215" i="21"/>
  <c r="K83" i="21"/>
  <c r="K84" i="21"/>
  <c r="K85" i="21"/>
  <c r="K86" i="21"/>
  <c r="K216" i="21"/>
  <c r="K217" i="21"/>
  <c r="K218" i="21"/>
  <c r="K87" i="21"/>
  <c r="K219" i="21"/>
  <c r="K39" i="21"/>
  <c r="K88" i="21"/>
  <c r="K40" i="21"/>
  <c r="K141" i="21"/>
  <c r="K220" i="21"/>
  <c r="K159" i="21"/>
  <c r="K221" i="21"/>
  <c r="K89" i="21"/>
  <c r="K41" i="21"/>
  <c r="K222" i="21"/>
  <c r="K90" i="21"/>
  <c r="K223" i="21"/>
  <c r="K69" i="21"/>
  <c r="K224" i="21"/>
  <c r="K225" i="21"/>
  <c r="K226" i="21"/>
  <c r="K227" i="21"/>
  <c r="K91" i="21"/>
  <c r="K122" i="21"/>
  <c r="K18" i="21"/>
  <c r="K19" i="21"/>
  <c r="K228" i="21"/>
  <c r="K229" i="21"/>
  <c r="K123" i="21"/>
  <c r="K230" i="21"/>
  <c r="K160" i="21"/>
  <c r="K231" i="21"/>
  <c r="K42" i="21"/>
  <c r="K92" i="21"/>
  <c r="K93" i="21"/>
  <c r="K232" i="21"/>
  <c r="K161" i="21"/>
  <c r="K150" i="21"/>
  <c r="K233" i="21"/>
  <c r="K43" i="21"/>
  <c r="K234" i="21"/>
  <c r="K235" i="21"/>
  <c r="K124" i="21"/>
  <c r="K94" i="21"/>
  <c r="K95" i="21"/>
  <c r="K96" i="21"/>
  <c r="K44" i="21"/>
  <c r="K20" i="21"/>
  <c r="K11" i="21"/>
  <c r="K151" i="21"/>
  <c r="K97" i="21"/>
  <c r="K236" i="21"/>
  <c r="K237" i="21"/>
  <c r="K162" i="21"/>
  <c r="K238" i="21"/>
  <c r="K163" i="21"/>
  <c r="K142" i="21"/>
  <c r="K239" i="21"/>
  <c r="K45" i="21"/>
  <c r="K164" i="21"/>
  <c r="K21" i="21"/>
  <c r="K125" i="21"/>
  <c r="K240" i="21"/>
  <c r="K98" i="21"/>
  <c r="K241" i="21"/>
  <c r="K143" i="21"/>
  <c r="K242" i="21"/>
  <c r="K243" i="21"/>
  <c r="K244" i="21"/>
  <c r="K5" i="21"/>
  <c r="K245" i="21"/>
  <c r="K99" i="21"/>
  <c r="K246" i="21"/>
  <c r="K22" i="21"/>
  <c r="K23" i="21"/>
  <c r="K63" i="21"/>
  <c r="K9" i="21"/>
  <c r="K126" i="21"/>
  <c r="K247" i="21"/>
  <c r="K248" i="21"/>
  <c r="K127" i="21"/>
  <c r="K144" i="21"/>
  <c r="K64" i="21"/>
  <c r="K46" i="21"/>
  <c r="K152" i="21"/>
  <c r="K249" i="21"/>
  <c r="K6" i="21"/>
  <c r="K100" i="21"/>
  <c r="K145" i="21"/>
  <c r="K8" i="21"/>
  <c r="K250" i="21"/>
  <c r="K251" i="21"/>
  <c r="K47" i="21"/>
  <c r="K252" i="21"/>
  <c r="K253" i="21"/>
  <c r="K254" i="21"/>
  <c r="K255" i="21"/>
  <c r="K256" i="21"/>
  <c r="K257" i="21"/>
  <c r="K258" i="21"/>
  <c r="K48" i="21"/>
  <c r="K49" i="21"/>
  <c r="K259" i="21"/>
  <c r="K101" i="21"/>
  <c r="K260" i="21"/>
  <c r="K50" i="21"/>
  <c r="K102" i="21"/>
  <c r="K128" i="21"/>
  <c r="K129" i="21"/>
  <c r="K261" i="21"/>
  <c r="K130" i="21"/>
  <c r="K165" i="21"/>
  <c r="K51" i="21"/>
  <c r="K52" i="21"/>
  <c r="K53" i="21"/>
  <c r="K24" i="21"/>
  <c r="K54" i="21"/>
  <c r="K103" i="21"/>
  <c r="K104" i="21"/>
  <c r="K105" i="21"/>
  <c r="K262" i="21"/>
  <c r="K263" i="21"/>
  <c r="K12" i="21"/>
  <c r="K166" i="21"/>
  <c r="K25" i="21"/>
  <c r="K264" i="21"/>
  <c r="K265" i="21"/>
  <c r="K266" i="21"/>
  <c r="K267" i="21"/>
  <c r="K55" i="21"/>
  <c r="K106" i="21"/>
  <c r="K167" i="21"/>
  <c r="K268" i="21"/>
  <c r="K314" i="21"/>
  <c r="K269" i="21"/>
  <c r="K270" i="21"/>
  <c r="K271" i="21"/>
  <c r="K107" i="21"/>
  <c r="K272" i="21"/>
  <c r="K273" i="21"/>
  <c r="K26" i="21"/>
  <c r="K274" i="21"/>
  <c r="K108" i="21"/>
  <c r="K27" i="21"/>
  <c r="K275" i="21"/>
  <c r="K109" i="21"/>
  <c r="K276" i="21"/>
  <c r="K65" i="21"/>
  <c r="K131" i="21"/>
  <c r="K277" i="21"/>
  <c r="K278" i="21"/>
  <c r="K279" i="21"/>
  <c r="K280" i="21"/>
  <c r="K110" i="21"/>
  <c r="K28" i="21"/>
  <c r="K111" i="21"/>
  <c r="K112" i="21"/>
  <c r="K132" i="21"/>
  <c r="K281" i="21"/>
  <c r="K282" i="21"/>
  <c r="K29" i="21"/>
  <c r="K283" i="21"/>
  <c r="K284" i="21"/>
  <c r="K285" i="21"/>
  <c r="K286" i="21"/>
  <c r="K56" i="21"/>
  <c r="K66" i="21"/>
  <c r="K133" i="21"/>
  <c r="K168" i="21"/>
  <c r="K287" i="21"/>
  <c r="K57" i="21"/>
  <c r="K169" i="21"/>
  <c r="K288" i="21"/>
  <c r="K289" i="21"/>
  <c r="K58" i="21"/>
  <c r="K59" i="21"/>
  <c r="K290" i="21"/>
  <c r="K291" i="21"/>
  <c r="K113" i="21"/>
  <c r="K292" i="21"/>
  <c r="K293" i="21"/>
  <c r="K294" i="21"/>
  <c r="K60" i="21"/>
  <c r="K30" i="21"/>
  <c r="K295" i="21"/>
  <c r="K296" i="21"/>
  <c r="K170" i="21"/>
  <c r="K297" i="21"/>
  <c r="K298" i="21"/>
  <c r="K299" i="21"/>
  <c r="K114" i="21"/>
  <c r="K300" i="21"/>
  <c r="K10" i="21"/>
  <c r="K61" i="21"/>
  <c r="K301" i="21"/>
  <c r="K302" i="21"/>
  <c r="K171" i="21"/>
  <c r="K172" i="21"/>
  <c r="K303" i="21"/>
  <c r="K31" i="21"/>
  <c r="K304" i="21"/>
  <c r="K305" i="21"/>
  <c r="K306" i="21"/>
  <c r="K115" i="21"/>
  <c r="K307" i="21"/>
  <c r="K134" i="21"/>
  <c r="K308" i="21"/>
  <c r="K309" i="21"/>
  <c r="K310" i="21"/>
  <c r="K311" i="21"/>
  <c r="K312" i="21"/>
  <c r="K116" i="21"/>
  <c r="K173" i="21"/>
  <c r="U29" i="36" l="1"/>
  <c r="R29" i="36" s="1"/>
  <c r="U31" i="36"/>
  <c r="R31" i="36" s="1"/>
  <c r="U30" i="36"/>
  <c r="R30" i="36" s="1"/>
  <c r="U27" i="36"/>
  <c r="R27" i="36" s="1"/>
  <c r="U28" i="36"/>
  <c r="R28" i="36" s="1"/>
  <c r="U26" i="36"/>
  <c r="R26" i="36" s="1"/>
  <c r="S42" i="36"/>
  <c r="K9" i="31"/>
  <c r="K15" i="31" s="1"/>
  <c r="J9" i="31"/>
  <c r="J15" i="31" s="1"/>
  <c r="M9" i="31"/>
  <c r="M15" i="31" s="1"/>
  <c r="L9" i="31"/>
  <c r="L15" i="31" s="1"/>
  <c r="I9" i="31"/>
  <c r="I15" i="31" s="1"/>
  <c r="S51" i="36"/>
  <c r="S56" i="36"/>
  <c r="S44" i="36"/>
  <c r="S46" i="36"/>
  <c r="S38" i="36"/>
  <c r="S35" i="36"/>
  <c r="S47" i="36"/>
  <c r="S59" i="36"/>
  <c r="S40" i="36"/>
  <c r="S60" i="36"/>
  <c r="S37" i="36"/>
  <c r="S36" i="36"/>
  <c r="S39" i="36"/>
  <c r="S49" i="36"/>
  <c r="S54" i="36"/>
  <c r="S57" i="36"/>
  <c r="S86" i="36"/>
  <c r="S34" i="36"/>
  <c r="S41" i="36"/>
  <c r="S68" i="36"/>
  <c r="U68" i="36" s="1"/>
  <c r="S52" i="36"/>
  <c r="S43" i="36"/>
  <c r="S50" i="36"/>
  <c r="S85" i="36"/>
  <c r="S297" i="36"/>
  <c r="S73" i="36"/>
  <c r="S72" i="36"/>
  <c r="S65" i="36"/>
  <c r="S225" i="36"/>
  <c r="S76" i="36"/>
  <c r="S66" i="36"/>
  <c r="S63" i="36"/>
  <c r="S70" i="36"/>
  <c r="S32" i="36"/>
  <c r="H18" i="39" s="1"/>
  <c r="S109" i="36"/>
  <c r="S88" i="36"/>
  <c r="S71" i="36"/>
  <c r="S91" i="36"/>
  <c r="U91" i="36" s="1"/>
  <c r="R91" i="36" s="1"/>
  <c r="S80" i="36"/>
  <c r="S69" i="36"/>
  <c r="S83" i="36"/>
  <c r="S81" i="36"/>
  <c r="S77" i="36"/>
  <c r="S82" i="36"/>
  <c r="S67" i="36"/>
  <c r="S147" i="36"/>
  <c r="S62" i="36"/>
  <c r="S170" i="36"/>
  <c r="S58" i="36"/>
  <c r="S45" i="36"/>
  <c r="S53" i="36"/>
  <c r="S55" i="36"/>
  <c r="S48" i="36"/>
  <c r="S64" i="36"/>
  <c r="S33" i="36"/>
  <c r="S89" i="36"/>
  <c r="S79" i="36"/>
  <c r="S87" i="36"/>
  <c r="S248" i="36"/>
  <c r="S93" i="36"/>
  <c r="S213" i="36"/>
  <c r="S119" i="36"/>
  <c r="S293" i="36"/>
  <c r="S133" i="36"/>
  <c r="S252" i="36"/>
  <c r="S94" i="36"/>
  <c r="S309" i="36"/>
  <c r="S168" i="36"/>
  <c r="S138" i="36"/>
  <c r="S254" i="36"/>
  <c r="S249" i="36"/>
  <c r="S301" i="36"/>
  <c r="S288" i="36"/>
  <c r="S258" i="36"/>
  <c r="S282" i="36"/>
  <c r="S120" i="36"/>
  <c r="S111" i="36"/>
  <c r="S209" i="36"/>
  <c r="S205" i="36"/>
  <c r="S276" i="36"/>
  <c r="S306" i="36"/>
  <c r="S259" i="36"/>
  <c r="S143" i="36"/>
  <c r="S105" i="36"/>
  <c r="S217" i="36"/>
  <c r="S241" i="36"/>
  <c r="S99" i="36"/>
  <c r="S291" i="36"/>
  <c r="S101" i="36"/>
  <c r="S308" i="36"/>
  <c r="S172" i="36"/>
  <c r="S160" i="36"/>
  <c r="S195" i="36"/>
  <c r="S121" i="36"/>
  <c r="S135" i="36"/>
  <c r="U135" i="36" s="1"/>
  <c r="S246" i="36"/>
  <c r="S185" i="36"/>
  <c r="S221" i="36"/>
  <c r="S219" i="36"/>
  <c r="S154" i="36"/>
  <c r="S201" i="36"/>
  <c r="S284" i="36"/>
  <c r="S247" i="36"/>
  <c r="S104" i="36"/>
  <c r="S142" i="36"/>
  <c r="S106" i="36"/>
  <c r="S238" i="36"/>
  <c r="S208" i="36"/>
  <c r="S153" i="36"/>
  <c r="S61" i="36"/>
  <c r="H14" i="39" s="1"/>
  <c r="S260" i="36"/>
  <c r="S287" i="36"/>
  <c r="S100" i="36"/>
  <c r="S202" i="36"/>
  <c r="U202" i="36" s="1"/>
  <c r="R202" i="36" s="1"/>
  <c r="S222" i="36"/>
  <c r="S311" i="36"/>
  <c r="S289" i="36"/>
  <c r="U289" i="36" s="1"/>
  <c r="R289" i="36" s="1"/>
  <c r="S240" i="36"/>
  <c r="S176" i="36"/>
  <c r="S273" i="36"/>
  <c r="S125" i="36"/>
  <c r="S242" i="36"/>
  <c r="S150" i="36"/>
  <c r="S175" i="36"/>
  <c r="S169" i="36"/>
  <c r="S189" i="36"/>
  <c r="S118" i="36"/>
  <c r="S198" i="36"/>
  <c r="S237" i="36"/>
  <c r="S220" i="36"/>
  <c r="S117" i="36"/>
  <c r="S182" i="36"/>
  <c r="S305" i="36"/>
  <c r="S300" i="36"/>
  <c r="S158" i="36"/>
  <c r="S148" i="36"/>
  <c r="S116" i="36"/>
  <c r="S194" i="36"/>
  <c r="S166" i="36"/>
  <c r="S122" i="36"/>
  <c r="S114" i="36"/>
  <c r="S107" i="36"/>
  <c r="S224" i="36"/>
  <c r="S179" i="36"/>
  <c r="U179" i="36" s="1"/>
  <c r="R179" i="36" s="1"/>
  <c r="S174" i="36"/>
  <c r="S214" i="36"/>
  <c r="S146" i="36"/>
  <c r="S152" i="36"/>
  <c r="S141" i="36"/>
  <c r="S223" i="36"/>
  <c r="S266" i="36"/>
  <c r="S108" i="36"/>
  <c r="S270" i="36"/>
  <c r="S294" i="36"/>
  <c r="S134" i="36"/>
  <c r="S132" i="36"/>
  <c r="S313" i="36"/>
  <c r="S295" i="36"/>
  <c r="S159" i="36"/>
  <c r="S277" i="36"/>
  <c r="U277" i="36" s="1"/>
  <c r="R277" i="36" s="1"/>
  <c r="S310" i="36"/>
  <c r="S96" i="36"/>
  <c r="U96" i="36" s="1"/>
  <c r="R96" i="36" s="1"/>
  <c r="S190" i="36"/>
  <c r="S130" i="36"/>
  <c r="S236" i="36"/>
  <c r="S200" i="36"/>
  <c r="S269" i="36"/>
  <c r="S255" i="36"/>
  <c r="S290" i="36"/>
  <c r="U290" i="36" s="1"/>
  <c r="R290" i="36" s="1"/>
  <c r="S230" i="36"/>
  <c r="S183" i="36"/>
  <c r="S139" i="36"/>
  <c r="S188" i="36"/>
  <c r="S231" i="36"/>
  <c r="S123" i="36"/>
  <c r="S131" i="36"/>
  <c r="S307" i="36"/>
  <c r="S178" i="36"/>
  <c r="S171" i="36"/>
  <c r="S113" i="36"/>
  <c r="S212" i="36"/>
  <c r="S137" i="36"/>
  <c r="S145" i="36"/>
  <c r="S245" i="36"/>
  <c r="S234" i="36"/>
  <c r="S268" i="36"/>
  <c r="S272" i="36"/>
  <c r="S243" i="36"/>
  <c r="S275" i="36"/>
  <c r="S296" i="36"/>
  <c r="S285" i="36"/>
  <c r="S211" i="36"/>
  <c r="S177" i="36"/>
  <c r="S95" i="36"/>
  <c r="S184" i="36"/>
  <c r="S196" i="36"/>
  <c r="S281" i="36"/>
  <c r="S286" i="36"/>
  <c r="S292" i="36"/>
  <c r="S274" i="36"/>
  <c r="S264" i="36"/>
  <c r="S257" i="36"/>
  <c r="S216" i="36"/>
  <c r="S227" i="36"/>
  <c r="S261" i="36"/>
  <c r="S250" i="36"/>
  <c r="S278" i="36"/>
  <c r="S187" i="36"/>
  <c r="S280" i="36"/>
  <c r="S127" i="36"/>
  <c r="S226" i="36"/>
  <c r="S263" i="36"/>
  <c r="S267" i="36"/>
  <c r="S186" i="36"/>
  <c r="S151" i="36"/>
  <c r="S298" i="36"/>
  <c r="S197" i="36"/>
  <c r="S126" i="36"/>
  <c r="S128" i="36"/>
  <c r="S215" i="36"/>
  <c r="S262" i="36"/>
  <c r="S312" i="36"/>
  <c r="S253" i="36"/>
  <c r="S218" i="36"/>
  <c r="S244" i="36"/>
  <c r="S299" i="36"/>
  <c r="S265" i="36"/>
  <c r="S271" i="36"/>
  <c r="S144" i="36"/>
  <c r="S256" i="36"/>
  <c r="S157" i="36"/>
  <c r="S239" i="36"/>
  <c r="S229" i="36"/>
  <c r="S97" i="36"/>
  <c r="S302" i="36"/>
  <c r="S251" i="36"/>
  <c r="S161" i="36"/>
  <c r="S199" i="36"/>
  <c r="S136" i="36"/>
  <c r="S165" i="36"/>
  <c r="S283" i="36"/>
  <c r="S124" i="36"/>
  <c r="S192" i="36"/>
  <c r="U192" i="36" s="1"/>
  <c r="R192" i="36" s="1"/>
  <c r="S140" i="36"/>
  <c r="S304" i="36"/>
  <c r="S92" i="36"/>
  <c r="S163" i="36"/>
  <c r="S149" i="36"/>
  <c r="S203" i="36"/>
  <c r="S235" i="36"/>
  <c r="S191" i="36"/>
  <c r="S193" i="36"/>
  <c r="S228" i="36"/>
  <c r="S279" i="36"/>
  <c r="S173" i="36"/>
  <c r="S162" i="36"/>
  <c r="S204" i="36"/>
  <c r="S156" i="36"/>
  <c r="S78" i="36"/>
  <c r="S110" i="36"/>
  <c r="S206" i="36"/>
  <c r="S74" i="36"/>
  <c r="S90" i="36"/>
  <c r="S164" i="36"/>
  <c r="S232" i="36"/>
  <c r="S84" i="36"/>
  <c r="S180" i="36"/>
  <c r="S115" i="36"/>
  <c r="S129" i="36"/>
  <c r="S210" i="36"/>
  <c r="S112" i="36"/>
  <c r="S75" i="36"/>
  <c r="S98" i="36"/>
  <c r="S155" i="36"/>
  <c r="S181" i="36"/>
  <c r="S303" i="36"/>
  <c r="S314" i="36"/>
  <c r="S207" i="36"/>
  <c r="S167" i="36"/>
  <c r="S233" i="36"/>
  <c r="S103" i="36"/>
  <c r="U103" i="36" s="1"/>
  <c r="R103" i="36" s="1"/>
  <c r="S102" i="36"/>
  <c r="V4" i="36"/>
  <c r="V5" i="36" s="1"/>
  <c r="V6" i="36" s="1"/>
  <c r="V7" i="36" s="1"/>
  <c r="V8" i="36" s="1"/>
  <c r="V9" i="36" s="1"/>
  <c r="V10" i="36" s="1"/>
  <c r="V11" i="36" s="1"/>
  <c r="V12" i="36" s="1"/>
  <c r="V13" i="36" s="1"/>
  <c r="V14" i="36" s="1"/>
  <c r="V15" i="36" s="1"/>
  <c r="V16" i="36" s="1"/>
  <c r="V17" i="36" s="1"/>
  <c r="V18" i="36" s="1"/>
  <c r="V19" i="36" s="1"/>
  <c r="V20" i="36" s="1"/>
  <c r="V21" i="36" s="1"/>
  <c r="V22" i="36" s="1"/>
  <c r="V23" i="36" s="1"/>
  <c r="V24" i="36" s="1"/>
  <c r="V25" i="36" s="1"/>
  <c r="AF6" i="7"/>
  <c r="AF7" i="7"/>
  <c r="I274" i="17" s="1"/>
  <c r="AF8" i="7"/>
  <c r="I209" i="17" s="1"/>
  <c r="AF9" i="7"/>
  <c r="I272" i="17" s="1"/>
  <c r="C272" i="17" s="1"/>
  <c r="C14" i="40" s="1"/>
  <c r="G14" i="40" s="1"/>
  <c r="AF10" i="7"/>
  <c r="I141" i="17" s="1"/>
  <c r="AF11" i="7"/>
  <c r="I79" i="17" s="1"/>
  <c r="C79" i="17" s="1"/>
  <c r="C16" i="40" s="1"/>
  <c r="G16" i="40" s="1"/>
  <c r="AF12" i="7"/>
  <c r="I10" i="17" s="1"/>
  <c r="AF13" i="7"/>
  <c r="I185" i="17" s="1"/>
  <c r="C185" i="17" s="1"/>
  <c r="C18" i="40" s="1"/>
  <c r="G18" i="40" s="1"/>
  <c r="AF14" i="7"/>
  <c r="I170" i="17" s="1"/>
  <c r="C170" i="17" s="1"/>
  <c r="AF15" i="7"/>
  <c r="I159" i="17" s="1"/>
  <c r="C159" i="17" s="1"/>
  <c r="C20" i="40" s="1"/>
  <c r="G20" i="40" s="1"/>
  <c r="AF16" i="7"/>
  <c r="I211" i="17" s="1"/>
  <c r="C211" i="17" s="1"/>
  <c r="C21" i="40" s="1"/>
  <c r="G21" i="40" s="1"/>
  <c r="AF17" i="7"/>
  <c r="I192" i="17" s="1"/>
  <c r="C192" i="17" s="1"/>
  <c r="C22" i="40" s="1"/>
  <c r="G22" i="40" s="1"/>
  <c r="AF18" i="7"/>
  <c r="I80" i="17" s="1"/>
  <c r="AF19" i="7"/>
  <c r="I212" i="17" s="1"/>
  <c r="AF20" i="7"/>
  <c r="I213" i="17" s="1"/>
  <c r="AF21" i="7"/>
  <c r="I86" i="17" s="1"/>
  <c r="AF22" i="7"/>
  <c r="I150" i="17" s="1"/>
  <c r="C150" i="17" s="1"/>
  <c r="AF23" i="7"/>
  <c r="I186" i="17" s="1"/>
  <c r="C186" i="17" s="1"/>
  <c r="C28" i="40" s="1"/>
  <c r="AF24" i="7"/>
  <c r="I99" i="17" s="1"/>
  <c r="C99" i="17" s="1"/>
  <c r="C29" i="40" s="1"/>
  <c r="AF25" i="7"/>
  <c r="I130" i="17" s="1"/>
  <c r="AF26" i="7"/>
  <c r="I254" i="17" s="1"/>
  <c r="AF27" i="7"/>
  <c r="I90" i="17" s="1"/>
  <c r="AF28" i="7"/>
  <c r="I126" i="17" s="1"/>
  <c r="AF29" i="7"/>
  <c r="I193" i="17" s="1"/>
  <c r="AF30" i="7"/>
  <c r="I7" i="17" s="1"/>
  <c r="AF31" i="7"/>
  <c r="I181" i="17" s="1"/>
  <c r="C181" i="17" s="1"/>
  <c r="C35" i="40" s="1"/>
  <c r="G35" i="40" s="1"/>
  <c r="AF32" i="7"/>
  <c r="I104" i="17" s="1"/>
  <c r="AF33" i="7"/>
  <c r="I299" i="17" s="1"/>
  <c r="AF34" i="7"/>
  <c r="I46" i="17" s="1"/>
  <c r="C46" i="17" s="1"/>
  <c r="C38" i="40" s="1"/>
  <c r="AF35" i="7"/>
  <c r="I300" i="17" s="1"/>
  <c r="C300" i="17" s="1"/>
  <c r="C39" i="40" s="1"/>
  <c r="G39" i="40" s="1"/>
  <c r="AF36" i="7"/>
  <c r="I81" i="17" s="1"/>
  <c r="AF37" i="7"/>
  <c r="I215" i="17" s="1"/>
  <c r="AF38" i="7"/>
  <c r="I294" i="17" s="1"/>
  <c r="AF39" i="7"/>
  <c r="I142" i="17" s="1"/>
  <c r="C142" i="17" s="1"/>
  <c r="C43" i="40" s="1"/>
  <c r="G43" i="40" s="1"/>
  <c r="AF40" i="7"/>
  <c r="I29" i="17" s="1"/>
  <c r="AF41" i="7"/>
  <c r="I93" i="17" s="1"/>
  <c r="C93" i="17" s="1"/>
  <c r="C45" i="40" s="1"/>
  <c r="G45" i="40" s="1"/>
  <c r="AF42" i="7"/>
  <c r="I112" i="17" s="1"/>
  <c r="AF43" i="7"/>
  <c r="I275" i="17" s="1"/>
  <c r="AF44" i="7"/>
  <c r="I55" i="17" s="1"/>
  <c r="AF45" i="7"/>
  <c r="I24" i="17" s="1"/>
  <c r="C24" i="17" s="1"/>
  <c r="C49" i="40" s="1"/>
  <c r="G49" i="40" s="1"/>
  <c r="AF46" i="7"/>
  <c r="I230" i="17" s="1"/>
  <c r="C230" i="17" s="1"/>
  <c r="C50" i="40" s="1"/>
  <c r="G50" i="40" s="1"/>
  <c r="AF47" i="7"/>
  <c r="I73" i="17" s="1"/>
  <c r="AF48" i="7"/>
  <c r="I52" i="17" s="1"/>
  <c r="AF49" i="7"/>
  <c r="I74" i="17" s="1"/>
  <c r="AF50" i="7"/>
  <c r="I75" i="17" s="1"/>
  <c r="C75" i="17" s="1"/>
  <c r="C54" i="40" s="1"/>
  <c r="G54" i="40" s="1"/>
  <c r="AF51" i="7"/>
  <c r="I301" i="17" s="1"/>
  <c r="C301" i="17" s="1"/>
  <c r="C55" i="40" s="1"/>
  <c r="AF52" i="7"/>
  <c r="I302" i="17" s="1"/>
  <c r="AF53" i="7"/>
  <c r="I176" i="17" s="1"/>
  <c r="C176" i="17" s="1"/>
  <c r="C57" i="40" s="1"/>
  <c r="G57" i="40" s="1"/>
  <c r="AF54" i="7"/>
  <c r="I5" i="17" s="1"/>
  <c r="AF55" i="7"/>
  <c r="AF56" i="7"/>
  <c r="AF57" i="7"/>
  <c r="AF58" i="7"/>
  <c r="I6" i="17" s="1"/>
  <c r="AF59" i="7"/>
  <c r="I228" i="17" s="1"/>
  <c r="C228" i="17" s="1"/>
  <c r="C58" i="40" s="1"/>
  <c r="G58" i="40" s="1"/>
  <c r="AF60" i="7"/>
  <c r="I303" i="17" s="1"/>
  <c r="AF61" i="7"/>
  <c r="I304" i="17" s="1"/>
  <c r="AF62" i="7"/>
  <c r="I175" i="17" s="1"/>
  <c r="AF63" i="7"/>
  <c r="I305" i="17" s="1"/>
  <c r="AF64" i="7"/>
  <c r="I59" i="17" s="1"/>
  <c r="AF65" i="7"/>
  <c r="I263" i="17" s="1"/>
  <c r="AF66" i="7"/>
  <c r="I143" i="17" s="1"/>
  <c r="C143" i="17" s="1"/>
  <c r="C65" i="40" s="1"/>
  <c r="G65" i="40" s="1"/>
  <c r="AF67" i="7"/>
  <c r="I134" i="17" s="1"/>
  <c r="AF68" i="7"/>
  <c r="I269" i="17" s="1"/>
  <c r="AF69" i="7"/>
  <c r="I100" i="17" s="1"/>
  <c r="AF70" i="7"/>
  <c r="I187" i="17" s="1"/>
  <c r="AF71" i="7"/>
  <c r="I188" i="17" s="1"/>
  <c r="AF72" i="7"/>
  <c r="I261" i="17" s="1"/>
  <c r="AF73" i="7"/>
  <c r="I166" i="17" s="1"/>
  <c r="AF74" i="7"/>
  <c r="I101" i="17" s="1"/>
  <c r="AF75" i="7"/>
  <c r="I114" i="17" s="1"/>
  <c r="C114" i="17" s="1"/>
  <c r="C74" i="40" s="1"/>
  <c r="G74" i="40" s="1"/>
  <c r="AF76" i="7"/>
  <c r="I194" i="17" s="1"/>
  <c r="C194" i="17" s="1"/>
  <c r="C75" i="40" s="1"/>
  <c r="G75" i="40" s="1"/>
  <c r="AF77" i="7"/>
  <c r="I144" i="17" s="1"/>
  <c r="C144" i="17" s="1"/>
  <c r="C76" i="40" s="1"/>
  <c r="G76" i="40" s="1"/>
  <c r="AF78" i="7"/>
  <c r="I255" i="17" s="1"/>
  <c r="AF79" i="7"/>
  <c r="I245" i="17" s="1"/>
  <c r="AF80" i="7"/>
  <c r="I53" i="17" s="1"/>
  <c r="AF81" i="7"/>
  <c r="I232" i="17" s="1"/>
  <c r="C232" i="17" s="1"/>
  <c r="C80" i="40" s="1"/>
  <c r="G80" i="40" s="1"/>
  <c r="AF82" i="7"/>
  <c r="I264" i="17" s="1"/>
  <c r="AF83" i="7"/>
  <c r="I191" i="17" s="1"/>
  <c r="AF84" i="7"/>
  <c r="I78" i="17" s="1"/>
  <c r="AF85" i="7"/>
  <c r="I85" i="17" s="1"/>
  <c r="C85" i="17" s="1"/>
  <c r="C84" i="40" s="1"/>
  <c r="G84" i="40" s="1"/>
  <c r="AF86" i="7"/>
  <c r="I182" i="17" s="1"/>
  <c r="C182" i="17" s="1"/>
  <c r="C85" i="40" s="1"/>
  <c r="G85" i="40" s="1"/>
  <c r="AF87" i="7"/>
  <c r="I39" i="17" s="1"/>
  <c r="AF88" i="7"/>
  <c r="I225" i="17" s="1"/>
  <c r="C225" i="17" s="1"/>
  <c r="C87" i="40" s="1"/>
  <c r="G87" i="40" s="1"/>
  <c r="AF89" i="7"/>
  <c r="I145" i="17" s="1"/>
  <c r="AF90" i="7"/>
  <c r="I146" i="17" s="1"/>
  <c r="AF91" i="7"/>
  <c r="I89" i="17" s="1"/>
  <c r="C89" i="17" s="1"/>
  <c r="C90" i="40" s="1"/>
  <c r="G90" i="40" s="1"/>
  <c r="AF92" i="7"/>
  <c r="I131" i="17" s="1"/>
  <c r="AF93" i="7"/>
  <c r="I119" i="17" s="1"/>
  <c r="C119" i="17" s="1"/>
  <c r="C92" i="40" s="1"/>
  <c r="G92" i="40" s="1"/>
  <c r="AF94" i="7"/>
  <c r="I174" i="17" s="1"/>
  <c r="AF95" i="7"/>
  <c r="I14" i="17" s="1"/>
  <c r="AF96" i="7"/>
  <c r="I240" i="17" s="1"/>
  <c r="AF97" i="7"/>
  <c r="I270" i="17" s="1"/>
  <c r="AF98" i="7"/>
  <c r="I256" i="17" s="1"/>
  <c r="AF99" i="7"/>
  <c r="I63" i="17" s="1"/>
  <c r="AF100" i="7"/>
  <c r="I48" i="17" s="1"/>
  <c r="C48" i="17" s="1"/>
  <c r="C99" i="40" s="1"/>
  <c r="G99" i="40" s="1"/>
  <c r="AF101" i="7"/>
  <c r="I25" i="17" s="1"/>
  <c r="AF102" i="7"/>
  <c r="I218" i="17" s="1"/>
  <c r="AF103" i="7"/>
  <c r="I242" i="17" s="1"/>
  <c r="AF104" i="7"/>
  <c r="I115" i="17" s="1"/>
  <c r="AF105" i="7"/>
  <c r="I116" i="17" s="1"/>
  <c r="AF106" i="7"/>
  <c r="I117" i="17" s="1"/>
  <c r="AF107" i="7"/>
  <c r="I118" i="17" s="1"/>
  <c r="AF108" i="7"/>
  <c r="I243" i="17" s="1"/>
  <c r="AF109" i="7"/>
  <c r="I214" i="17" s="1"/>
  <c r="AF110" i="7"/>
  <c r="I262" i="17" s="1"/>
  <c r="AF111" i="7"/>
  <c r="I140" i="17" s="1"/>
  <c r="AF112" i="7"/>
  <c r="I216" i="17" s="1"/>
  <c r="AF113" i="7"/>
  <c r="I49" i="17" s="1"/>
  <c r="C49" i="17" s="1"/>
  <c r="C112" i="40" s="1"/>
  <c r="AF114" i="7"/>
  <c r="I133" i="17" s="1"/>
  <c r="C133" i="17" s="1"/>
  <c r="C113" i="40" s="1"/>
  <c r="G113" i="40" s="1"/>
  <c r="AF115" i="7"/>
  <c r="I65" i="17" s="1"/>
  <c r="AF116" i="7"/>
  <c r="I153" i="17" s="1"/>
  <c r="AF117" i="7"/>
  <c r="I268" i="17" s="1"/>
  <c r="AF118" i="7"/>
  <c r="I160" i="17" s="1"/>
  <c r="AF119" i="7"/>
  <c r="I276" i="17" s="1"/>
  <c r="C276" i="17" s="1"/>
  <c r="C118" i="40" s="1"/>
  <c r="AF120" i="7"/>
  <c r="I121" i="17" s="1"/>
  <c r="AF121" i="7"/>
  <c r="I51" i="17" s="1"/>
  <c r="C51" i="17" s="1"/>
  <c r="C120" i="40" s="1"/>
  <c r="AF122" i="7"/>
  <c r="I195" i="17" s="1"/>
  <c r="AF123" i="7"/>
  <c r="I108" i="17" s="1"/>
  <c r="AF124" i="7"/>
  <c r="I287" i="17" s="1"/>
  <c r="AF125" i="7"/>
  <c r="I43" i="17" s="1"/>
  <c r="AF126" i="7"/>
  <c r="I177" i="17" s="1"/>
  <c r="AF127" i="7"/>
  <c r="I196" i="17" s="1"/>
  <c r="C196" i="17" s="1"/>
  <c r="C125" i="40" s="1"/>
  <c r="G125" i="40" s="1"/>
  <c r="AF128" i="7"/>
  <c r="I306" i="17" s="1"/>
  <c r="AF129" i="7"/>
  <c r="I197" i="17" s="1"/>
  <c r="C197" i="17" s="1"/>
  <c r="C127" i="40" s="1"/>
  <c r="G127" i="40" s="1"/>
  <c r="AF130" i="7"/>
  <c r="I148" i="17" s="1"/>
  <c r="AF131" i="7"/>
  <c r="I154" i="17" s="1"/>
  <c r="AF132" i="7"/>
  <c r="I61" i="17" s="1"/>
  <c r="AF133" i="7"/>
  <c r="I40" i="17" s="1"/>
  <c r="AF134" i="7"/>
  <c r="I277" i="17" s="1"/>
  <c r="C277" i="17" s="1"/>
  <c r="C132" i="40" s="1"/>
  <c r="G132" i="40" s="1"/>
  <c r="AF135" i="7"/>
  <c r="I308" i="17" s="1"/>
  <c r="C308" i="17" s="1"/>
  <c r="C133" i="40" s="1"/>
  <c r="G133" i="40" s="1"/>
  <c r="AF136" i="7"/>
  <c r="I96" i="17" s="1"/>
  <c r="C96" i="17" s="1"/>
  <c r="C134" i="40" s="1"/>
  <c r="G134" i="40" s="1"/>
  <c r="AF137" i="7"/>
  <c r="I296" i="17" s="1"/>
  <c r="AF138" i="7"/>
  <c r="I167" i="17" s="1"/>
  <c r="C167" i="17" s="1"/>
  <c r="C136" i="40" s="1"/>
  <c r="G136" i="40" s="1"/>
  <c r="AF139" i="7"/>
  <c r="I246" i="17" s="1"/>
  <c r="C246" i="17" s="1"/>
  <c r="C137" i="40" s="1"/>
  <c r="G137" i="40" s="1"/>
  <c r="AF140" i="7"/>
  <c r="AF141" i="7"/>
  <c r="I68" i="17" s="1"/>
  <c r="AF142" i="7"/>
  <c r="I138" i="17" s="1"/>
  <c r="AF143" i="7"/>
  <c r="I139" i="17" s="1"/>
  <c r="AF144" i="7"/>
  <c r="I198" i="17" s="1"/>
  <c r="AF145" i="7"/>
  <c r="I168" i="17" s="1"/>
  <c r="C168" i="17" s="1"/>
  <c r="C142" i="40" s="1"/>
  <c r="G142" i="40" s="1"/>
  <c r="AF146" i="7"/>
  <c r="I135" i="17" s="1"/>
  <c r="C135" i="17" s="1"/>
  <c r="C143" i="40" s="1"/>
  <c r="G143" i="40" s="1"/>
  <c r="AF147" i="7"/>
  <c r="I280" i="17" s="1"/>
  <c r="AF148" i="7"/>
  <c r="I44" i="17" s="1"/>
  <c r="AF149" i="7"/>
  <c r="I199" i="17" s="1"/>
  <c r="C199" i="17" s="1"/>
  <c r="C146" i="40" s="1"/>
  <c r="G146" i="40" s="1"/>
  <c r="AF150" i="7"/>
  <c r="I247" i="17" s="1"/>
  <c r="AF151" i="7"/>
  <c r="I15" i="17" s="1"/>
  <c r="AF152" i="7"/>
  <c r="I97" i="17" s="1"/>
  <c r="AF153" i="7"/>
  <c r="I94" i="17" s="1"/>
  <c r="AF154" i="7"/>
  <c r="I95" i="17" s="1"/>
  <c r="AF155" i="7"/>
  <c r="I42" i="17" s="1"/>
  <c r="C42" i="17" s="1"/>
  <c r="C152" i="40" s="1"/>
  <c r="AF156" i="7"/>
  <c r="I50" i="17" s="1"/>
  <c r="C50" i="17" s="1"/>
  <c r="C153" i="40" s="1"/>
  <c r="AF157" i="7"/>
  <c r="I9" i="17" s="1"/>
  <c r="AF158" i="7"/>
  <c r="I106" i="17" s="1"/>
  <c r="C106" i="17" s="1"/>
  <c r="C155" i="40" s="1"/>
  <c r="G155" i="40" s="1"/>
  <c r="AF159" i="7"/>
  <c r="I77" i="17" s="1"/>
  <c r="AF160" i="7"/>
  <c r="I278" i="17" s="1"/>
  <c r="AF161" i="7"/>
  <c r="AF162" i="7"/>
  <c r="I309" i="17" s="1"/>
  <c r="C309" i="17" s="1"/>
  <c r="C158" i="40" s="1"/>
  <c r="G158" i="40" s="1"/>
  <c r="AF163" i="7"/>
  <c r="I171" i="17" s="1"/>
  <c r="AF164" i="7"/>
  <c r="I265" i="17" s="1"/>
  <c r="AF165" i="7"/>
  <c r="I165" i="17" s="1"/>
  <c r="AF166" i="7"/>
  <c r="I92" i="17" s="1"/>
  <c r="AF167" i="7"/>
  <c r="I284" i="17" s="1"/>
  <c r="AF168" i="7"/>
  <c r="I26" i="17" s="1"/>
  <c r="C26" i="17" s="1"/>
  <c r="C164" i="40" s="1"/>
  <c r="G164" i="40" s="1"/>
  <c r="AF169" i="7"/>
  <c r="I172" i="17" s="1"/>
  <c r="C172" i="17" s="1"/>
  <c r="C165" i="40" s="1"/>
  <c r="G165" i="40" s="1"/>
  <c r="AF170" i="7"/>
  <c r="I54" i="17" s="1"/>
  <c r="C54" i="17" s="1"/>
  <c r="C166" i="40" s="1"/>
  <c r="AF171" i="7"/>
  <c r="I98" i="17" s="1"/>
  <c r="C98" i="17" s="1"/>
  <c r="C167" i="40" s="1"/>
  <c r="G167" i="40" s="1"/>
  <c r="AF172" i="7"/>
  <c r="I233" i="17" s="1"/>
  <c r="C233" i="17" s="1"/>
  <c r="C168" i="40" s="1"/>
  <c r="G168" i="40" s="1"/>
  <c r="AF173" i="7"/>
  <c r="I136" i="17" s="1"/>
  <c r="C136" i="17" s="1"/>
  <c r="C169" i="40" s="1"/>
  <c r="G169" i="40" s="1"/>
  <c r="AF174" i="7"/>
  <c r="I267" i="17" s="1"/>
  <c r="C267" i="17" s="1"/>
  <c r="C170" i="40" s="1"/>
  <c r="G170" i="40" s="1"/>
  <c r="AF175" i="7"/>
  <c r="I147" i="17" s="1"/>
  <c r="AF176" i="7"/>
  <c r="I271" i="17" s="1"/>
  <c r="AF177" i="7"/>
  <c r="I189" i="17" s="1"/>
  <c r="AF178" i="7"/>
  <c r="I285" i="17" s="1"/>
  <c r="AF179" i="7"/>
  <c r="I12" i="17" s="1"/>
  <c r="AF180" i="7"/>
  <c r="I190" i="17" s="1"/>
  <c r="AF181" i="7"/>
  <c r="I87" i="17" s="1"/>
  <c r="AF182" i="7"/>
  <c r="I279" i="17" s="1"/>
  <c r="AF183" i="7"/>
  <c r="I31" i="17" s="1"/>
  <c r="AF184" i="7"/>
  <c r="I19" i="17" s="1"/>
  <c r="AF185" i="7"/>
  <c r="I66" i="17" s="1"/>
  <c r="AF186" i="7"/>
  <c r="I17" i="17" s="1"/>
  <c r="AF187" i="7"/>
  <c r="I107" i="17" s="1"/>
  <c r="C107" i="17" s="1"/>
  <c r="C182" i="40" s="1"/>
  <c r="G182" i="40" s="1"/>
  <c r="AF188" i="7"/>
  <c r="I183" i="17" s="1"/>
  <c r="C183" i="17" s="1"/>
  <c r="C183" i="40" s="1"/>
  <c r="G183" i="40" s="1"/>
  <c r="AF189" i="7"/>
  <c r="I248" i="17" s="1"/>
  <c r="C248" i="17" s="1"/>
  <c r="C184" i="40" s="1"/>
  <c r="G184" i="40" s="1"/>
  <c r="AF190" i="7"/>
  <c r="I128" i="17" s="1"/>
  <c r="AF191" i="7"/>
  <c r="I82" i="17" s="1"/>
  <c r="AF192" i="7"/>
  <c r="I35" i="17" s="1"/>
  <c r="AF193" i="7"/>
  <c r="I33" i="17" s="1"/>
  <c r="AF194" i="7"/>
  <c r="I103" i="17" s="1"/>
  <c r="AF195" i="7"/>
  <c r="I227" i="17" s="1"/>
  <c r="AF196" i="7"/>
  <c r="I11" i="17" s="1"/>
  <c r="AF197" i="7"/>
  <c r="I76" i="17" s="1"/>
  <c r="C76" i="17" s="1"/>
  <c r="C192" i="40" s="1"/>
  <c r="G192" i="40" s="1"/>
  <c r="AF198" i="7"/>
  <c r="I157" i="17" s="1"/>
  <c r="C157" i="17" s="1"/>
  <c r="C193" i="40" s="1"/>
  <c r="G193" i="40" s="1"/>
  <c r="AF199" i="7"/>
  <c r="I18" i="17" s="1"/>
  <c r="AF200" i="7"/>
  <c r="I310" i="17" s="1"/>
  <c r="AF201" i="7"/>
  <c r="I257" i="17" s="1"/>
  <c r="C257" i="17" s="1"/>
  <c r="C196" i="40" s="1"/>
  <c r="G196" i="40" s="1"/>
  <c r="AF202" i="7"/>
  <c r="I72" i="17" s="1"/>
  <c r="C72" i="17" s="1"/>
  <c r="C197" i="40" s="1"/>
  <c r="AF203" i="7"/>
  <c r="I249" i="17" s="1"/>
  <c r="C249" i="17" s="1"/>
  <c r="C198" i="40" s="1"/>
  <c r="G198" i="40" s="1"/>
  <c r="AF204" i="7"/>
  <c r="I288" i="17" s="1"/>
  <c r="C288" i="17" s="1"/>
  <c r="C199" i="40" s="1"/>
  <c r="AF205" i="7"/>
  <c r="I219" i="17" s="1"/>
  <c r="AF206" i="7"/>
  <c r="I281" i="17" s="1"/>
  <c r="C281" i="17" s="1"/>
  <c r="C201" i="40" s="1"/>
  <c r="G201" i="40" s="1"/>
  <c r="AF207" i="7"/>
  <c r="AF208" i="7"/>
  <c r="I295" i="17" s="1"/>
  <c r="AF209" i="7"/>
  <c r="I266" i="17" s="1"/>
  <c r="AF210" i="7"/>
  <c r="I258" i="17" s="1"/>
  <c r="AF211" i="7"/>
  <c r="I28" i="17" s="1"/>
  <c r="AF212" i="7"/>
  <c r="I32" i="17" s="1"/>
  <c r="AF213" i="7"/>
  <c r="I200" i="17" s="1"/>
  <c r="AF214" i="7"/>
  <c r="I120" i="17" s="1"/>
  <c r="AF215" i="7"/>
  <c r="I16" i="17" s="1"/>
  <c r="AF216" i="7"/>
  <c r="I56" i="17" s="1"/>
  <c r="AF217" i="7"/>
  <c r="AF218" i="7"/>
  <c r="I102" i="17" s="1"/>
  <c r="AF219" i="7"/>
  <c r="I110" i="17" s="1"/>
  <c r="AF220" i="7"/>
  <c r="I113" i="17" s="1"/>
  <c r="AF221" i="7"/>
  <c r="I221" i="17" s="1"/>
  <c r="AF222" i="7"/>
  <c r="I155" i="17" s="1"/>
  <c r="AF223" i="7"/>
  <c r="AF224" i="7"/>
  <c r="I161" i="17" s="1"/>
  <c r="AF225" i="7"/>
  <c r="I38" i="17" s="1"/>
  <c r="AF226" i="7"/>
  <c r="I45" i="17" s="1"/>
  <c r="AF227" i="7"/>
  <c r="I69" i="17" s="1"/>
  <c r="AF228" i="7"/>
  <c r="I21" i="17" s="1"/>
  <c r="AF229" i="7"/>
  <c r="I57" i="17" s="1"/>
  <c r="C57" i="17" s="1"/>
  <c r="C221" i="40" s="1"/>
  <c r="G221" i="40" s="1"/>
  <c r="AF230" i="7"/>
  <c r="I149" i="17" s="1"/>
  <c r="C149" i="17" s="1"/>
  <c r="C222" i="40" s="1"/>
  <c r="G222" i="40" s="1"/>
  <c r="AF231" i="7"/>
  <c r="I83" i="17" s="1"/>
  <c r="C83" i="17" s="1"/>
  <c r="C223" i="40" s="1"/>
  <c r="G223" i="40" s="1"/>
  <c r="AF232" i="7"/>
  <c r="I125" i="17" s="1"/>
  <c r="AF233" i="7"/>
  <c r="I241" i="17" s="1"/>
  <c r="AF234" i="7"/>
  <c r="I312" i="17" s="1"/>
  <c r="AF235" i="7"/>
  <c r="I20" i="17" s="1"/>
  <c r="AF236" i="7"/>
  <c r="I156" i="17" s="1"/>
  <c r="AF237" i="7"/>
  <c r="I27" i="17" s="1"/>
  <c r="C27" i="17" s="1"/>
  <c r="C228" i="40" s="1"/>
  <c r="G228" i="40" s="1"/>
  <c r="AF238" i="7"/>
  <c r="I229" i="17" s="1"/>
  <c r="C229" i="17" s="1"/>
  <c r="C229" i="40" s="1"/>
  <c r="G229" i="40" s="1"/>
  <c r="AF239" i="7"/>
  <c r="I179" i="17" s="1"/>
  <c r="C179" i="17" s="1"/>
  <c r="C230" i="40" s="1"/>
  <c r="AF240" i="7"/>
  <c r="I234" i="17" s="1"/>
  <c r="AF241" i="7"/>
  <c r="I239" i="17" s="1"/>
  <c r="AF242" i="7"/>
  <c r="I36" i="17" s="1"/>
  <c r="AF243" i="7"/>
  <c r="I127" i="17" s="1"/>
  <c r="AF244" i="7"/>
  <c r="I169" i="17" s="1"/>
  <c r="AF245" i="7"/>
  <c r="I184" i="17" s="1"/>
  <c r="AF246" i="7"/>
  <c r="I220" i="17" s="1"/>
  <c r="C220" i="17" s="1"/>
  <c r="AF247" i="7"/>
  <c r="I290" i="17" s="1"/>
  <c r="AF248" i="7"/>
  <c r="I204" i="17" s="1"/>
  <c r="AF249" i="7"/>
  <c r="I222" i="17" s="1"/>
  <c r="AF250" i="7"/>
  <c r="I122" i="17" s="1"/>
  <c r="C122" i="17" s="1"/>
  <c r="C241" i="40" s="1"/>
  <c r="AF251" i="7"/>
  <c r="I282" i="17" s="1"/>
  <c r="AF252" i="7"/>
  <c r="I297" i="17" s="1"/>
  <c r="C297" i="17" s="1"/>
  <c r="C243" i="40" s="1"/>
  <c r="G243" i="40" s="1"/>
  <c r="AF253" i="7"/>
  <c r="I67" i="17" s="1"/>
  <c r="AF254" i="7"/>
  <c r="I201" i="17" s="1"/>
  <c r="C201" i="17" s="1"/>
  <c r="C245" i="40" s="1"/>
  <c r="G245" i="40" s="1"/>
  <c r="AF255" i="7"/>
  <c r="I105" i="17" s="1"/>
  <c r="AF256" i="7"/>
  <c r="I47" i="17" s="1"/>
  <c r="AF257" i="7"/>
  <c r="I223" i="17" s="1"/>
  <c r="AF258" i="7"/>
  <c r="I123" i="17" s="1"/>
  <c r="AF259" i="7"/>
  <c r="I178" i="17" s="1"/>
  <c r="C178" i="17" s="1"/>
  <c r="C249" i="40" s="1"/>
  <c r="G249" i="40" s="1"/>
  <c r="AF260" i="7"/>
  <c r="I23" i="17" s="1"/>
  <c r="AF261" i="7"/>
  <c r="I91" i="17" s="1"/>
  <c r="AF262" i="7"/>
  <c r="I250" i="17" s="1"/>
  <c r="C250" i="17" s="1"/>
  <c r="C252" i="40" s="1"/>
  <c r="G252" i="40" s="1"/>
  <c r="AF263" i="7"/>
  <c r="I203" i="17" s="1"/>
  <c r="AF264" i="7"/>
  <c r="I226" i="17" s="1"/>
  <c r="C226" i="17" s="1"/>
  <c r="C254" i="40" s="1"/>
  <c r="G254" i="40" s="1"/>
  <c r="AF265" i="7"/>
  <c r="I291" i="17" s="1"/>
  <c r="AF266" i="7"/>
  <c r="I129" i="17" s="1"/>
  <c r="AF267" i="7"/>
  <c r="I34" i="17" s="1"/>
  <c r="C34" i="17" s="1"/>
  <c r="C257" i="40" s="1"/>
  <c r="G257" i="40" s="1"/>
  <c r="AF268" i="7"/>
  <c r="I124" i="17" s="1"/>
  <c r="AF269" i="7"/>
  <c r="I151" i="17" s="1"/>
  <c r="C151" i="17" s="1"/>
  <c r="C259" i="40" s="1"/>
  <c r="AF270" i="7"/>
  <c r="I111" i="17" s="1"/>
  <c r="AF271" i="7"/>
  <c r="I251" i="17" s="1"/>
  <c r="AF272" i="7"/>
  <c r="I208" i="17" s="1"/>
  <c r="AF273" i="7"/>
  <c r="I41" i="17" s="1"/>
  <c r="AF274" i="7"/>
  <c r="I292" i="17" s="1"/>
  <c r="AF275" i="7"/>
  <c r="I252" i="17" s="1"/>
  <c r="AF276" i="7"/>
  <c r="I238" i="17" s="1"/>
  <c r="AF277" i="7"/>
  <c r="I298" i="17" s="1"/>
  <c r="AF278" i="7"/>
  <c r="I70" i="17" s="1"/>
  <c r="AF279" i="7"/>
  <c r="I71" i="17" s="1"/>
  <c r="AF280" i="7"/>
  <c r="I152" i="17" s="1"/>
  <c r="AF281" i="7"/>
  <c r="I173" i="17" s="1"/>
  <c r="AF282" i="7"/>
  <c r="I235" i="17" s="1"/>
  <c r="AF283" i="7"/>
  <c r="I64" i="17" s="1"/>
  <c r="C64" i="17" s="1"/>
  <c r="C273" i="40" s="1"/>
  <c r="G273" i="40" s="1"/>
  <c r="AF284" i="7"/>
  <c r="I158" i="17" s="1"/>
  <c r="C158" i="17" s="1"/>
  <c r="C274" i="40" s="1"/>
  <c r="G274" i="40" s="1"/>
  <c r="AF285" i="7"/>
  <c r="I180" i="17" s="1"/>
  <c r="C180" i="17" s="1"/>
  <c r="C275" i="40" s="1"/>
  <c r="G275" i="40" s="1"/>
  <c r="AF286" i="7"/>
  <c r="I236" i="17" s="1"/>
  <c r="AF287" i="7"/>
  <c r="I58" i="17" s="1"/>
  <c r="C58" i="17" s="1"/>
  <c r="C277" i="40" s="1"/>
  <c r="G277" i="40" s="1"/>
  <c r="AF288" i="7"/>
  <c r="I62" i="17" s="1"/>
  <c r="C62" i="17" s="1"/>
  <c r="C278" i="40" s="1"/>
  <c r="G278" i="40" s="1"/>
  <c r="AF289" i="7"/>
  <c r="I259" i="17" s="1"/>
  <c r="C259" i="17" s="1"/>
  <c r="C279" i="40" s="1"/>
  <c r="G279" i="40" s="1"/>
  <c r="AF290" i="7"/>
  <c r="I231" i="17" s="1"/>
  <c r="C231" i="17" s="1"/>
  <c r="C280" i="40" s="1"/>
  <c r="G280" i="40" s="1"/>
  <c r="AF291" i="7"/>
  <c r="I137" i="17" s="1"/>
  <c r="AF292" i="7"/>
  <c r="I273" i="17" s="1"/>
  <c r="AF293" i="7"/>
  <c r="I289" i="17" s="1"/>
  <c r="C289" i="17" s="1"/>
  <c r="C283" i="40" s="1"/>
  <c r="AF294" i="7"/>
  <c r="I260" i="17" s="1"/>
  <c r="C260" i="17" s="1"/>
  <c r="C284" i="40" s="1"/>
  <c r="G284" i="40" s="1"/>
  <c r="AF295" i="7"/>
  <c r="I60" i="17" s="1"/>
  <c r="C60" i="17" s="1"/>
  <c r="C285" i="40" s="1"/>
  <c r="G285" i="40" s="1"/>
  <c r="AF296" i="7"/>
  <c r="I30" i="17" s="1"/>
  <c r="C30" i="17" s="1"/>
  <c r="C286" i="40" s="1"/>
  <c r="G286" i="40" s="1"/>
  <c r="AF297" i="7"/>
  <c r="I237" i="17" s="1"/>
  <c r="AF298" i="7"/>
  <c r="I8" i="17" s="1"/>
  <c r="AF299" i="7"/>
  <c r="I164" i="17" s="1"/>
  <c r="AF300" i="7"/>
  <c r="I293" i="17" s="1"/>
  <c r="AF301" i="7"/>
  <c r="AF302" i="7"/>
  <c r="I283" i="17" s="1"/>
  <c r="C283" i="17" s="1"/>
  <c r="C290" i="40" s="1"/>
  <c r="G290" i="40" s="1"/>
  <c r="AF303" i="7"/>
  <c r="I314" i="17" s="1"/>
  <c r="C314" i="17" s="1"/>
  <c r="C291" i="40" s="1"/>
  <c r="G291" i="40" s="1"/>
  <c r="AF304" i="7"/>
  <c r="I88" i="17" s="1"/>
  <c r="AF305" i="7"/>
  <c r="I307" i="17" s="1"/>
  <c r="AF306" i="7"/>
  <c r="I13" i="17" s="1"/>
  <c r="AF307" i="7"/>
  <c r="I37" i="17" s="1"/>
  <c r="AF308" i="7"/>
  <c r="I202" i="17" s="1"/>
  <c r="AF309" i="7"/>
  <c r="I205" i="17" s="1"/>
  <c r="C205" i="17" s="1"/>
  <c r="C297" i="40" s="1"/>
  <c r="G297" i="40" s="1"/>
  <c r="AF310" i="7"/>
  <c r="I163" i="17" s="1"/>
  <c r="C163" i="17" s="1"/>
  <c r="C298" i="40" s="1"/>
  <c r="G298" i="40" s="1"/>
  <c r="AF311" i="7"/>
  <c r="I162" i="17" s="1"/>
  <c r="C162" i="17" s="1"/>
  <c r="C299" i="40" s="1"/>
  <c r="G299" i="40" s="1"/>
  <c r="AF312" i="7"/>
  <c r="I244" i="17" s="1"/>
  <c r="AF313" i="7"/>
  <c r="I22" i="17" s="1"/>
  <c r="C22" i="17" s="1"/>
  <c r="C301" i="40" s="1"/>
  <c r="G301" i="40" s="1"/>
  <c r="AF314" i="7"/>
  <c r="I315" i="17" s="1"/>
  <c r="AF315" i="7"/>
  <c r="I210" i="17" s="1"/>
  <c r="AF316" i="7"/>
  <c r="I224" i="17" s="1"/>
  <c r="AF317" i="7"/>
  <c r="I109" i="17" s="1"/>
  <c r="AF318" i="7"/>
  <c r="I311" i="17" s="1"/>
  <c r="AF319" i="7"/>
  <c r="I132" i="17" s="1"/>
  <c r="AF320" i="7"/>
  <c r="I253" i="17" s="1"/>
  <c r="AF321" i="7"/>
  <c r="I313" i="17" s="1"/>
  <c r="AF322" i="7"/>
  <c r="I217" i="17" s="1"/>
  <c r="AF323" i="7"/>
  <c r="I206" i="17" s="1"/>
  <c r="C206" i="17" s="1"/>
  <c r="C311" i="40" s="1"/>
  <c r="G311" i="40" s="1"/>
  <c r="AF324" i="7"/>
  <c r="I207" i="17" s="1"/>
  <c r="C207" i="17" s="1"/>
  <c r="C312" i="40" s="1"/>
  <c r="G312" i="40" s="1"/>
  <c r="AF325" i="7"/>
  <c r="I84" i="17" s="1"/>
  <c r="R135" i="36" l="1"/>
  <c r="L107" i="39" s="1"/>
  <c r="AC35" i="21" s="1"/>
  <c r="R68" i="36"/>
  <c r="L248" i="39" s="1"/>
  <c r="AC314" i="21" s="1"/>
  <c r="G38" i="40"/>
  <c r="G259" i="40"/>
  <c r="G29" i="40"/>
  <c r="G230" i="40"/>
  <c r="G28" i="40"/>
  <c r="V26" i="36"/>
  <c r="V27" i="36" s="1"/>
  <c r="V28" i="36" s="1"/>
  <c r="V29" i="36" s="1"/>
  <c r="V30" i="36" s="1"/>
  <c r="V31" i="36" s="1"/>
  <c r="U102" i="36"/>
  <c r="R102" i="36" s="1"/>
  <c r="U207" i="36"/>
  <c r="R207" i="36" s="1"/>
  <c r="U155" i="36"/>
  <c r="R155" i="36" s="1"/>
  <c r="U210" i="36"/>
  <c r="R210" i="36" s="1"/>
  <c r="U84" i="36"/>
  <c r="R84" i="36" s="1"/>
  <c r="U74" i="36"/>
  <c r="R74" i="36" s="1"/>
  <c r="U156" i="36"/>
  <c r="R156" i="36" s="1"/>
  <c r="U279" i="36"/>
  <c r="R279" i="36" s="1"/>
  <c r="U235" i="36"/>
  <c r="R235" i="36" s="1"/>
  <c r="U92" i="36"/>
  <c r="R92" i="36" s="1"/>
  <c r="U124" i="36"/>
  <c r="R124" i="36" s="1"/>
  <c r="U199" i="36"/>
  <c r="R199" i="36" s="1"/>
  <c r="U97" i="36"/>
  <c r="R97" i="36" s="1"/>
  <c r="U256" i="36"/>
  <c r="R256" i="36" s="1"/>
  <c r="U299" i="36"/>
  <c r="R299" i="36" s="1"/>
  <c r="U312" i="36"/>
  <c r="R312" i="36" s="1"/>
  <c r="U126" i="36"/>
  <c r="R126" i="36" s="1"/>
  <c r="U186" i="36"/>
  <c r="R186" i="36" s="1"/>
  <c r="U127" i="36"/>
  <c r="R127" i="36" s="1"/>
  <c r="U250" i="36"/>
  <c r="R250" i="36" s="1"/>
  <c r="U257" i="36"/>
  <c r="R257" i="36" s="1"/>
  <c r="U286" i="36"/>
  <c r="R286" i="36" s="1"/>
  <c r="U95" i="36"/>
  <c r="R95" i="36" s="1"/>
  <c r="U296" i="36"/>
  <c r="R296" i="36" s="1"/>
  <c r="U268" i="36"/>
  <c r="R268" i="36" s="1"/>
  <c r="U137" i="36"/>
  <c r="R137" i="36" s="1"/>
  <c r="U178" i="36"/>
  <c r="R178" i="36" s="1"/>
  <c r="U231" i="36"/>
  <c r="R231" i="36" s="1"/>
  <c r="U230" i="36"/>
  <c r="R230" i="36" s="1"/>
  <c r="U200" i="36"/>
  <c r="R200" i="36" s="1"/>
  <c r="U295" i="36"/>
  <c r="R295" i="36" s="1"/>
  <c r="U294" i="36"/>
  <c r="R294" i="36" s="1"/>
  <c r="U223" i="36"/>
  <c r="R223" i="36" s="1"/>
  <c r="U214" i="36"/>
  <c r="R214" i="36" s="1"/>
  <c r="U107" i="36"/>
  <c r="R107" i="36" s="1"/>
  <c r="U194" i="36"/>
  <c r="R194" i="36" s="1"/>
  <c r="U300" i="36"/>
  <c r="R300" i="36" s="1"/>
  <c r="U220" i="36"/>
  <c r="R220" i="36" s="1"/>
  <c r="U189" i="36"/>
  <c r="R189" i="36" s="1"/>
  <c r="U242" i="36"/>
  <c r="R242" i="36" s="1"/>
  <c r="U240" i="36"/>
  <c r="R240" i="36" s="1"/>
  <c r="U106" i="36"/>
  <c r="R106" i="36" s="1"/>
  <c r="U284" i="36"/>
  <c r="R284" i="36" s="1"/>
  <c r="U221" i="36"/>
  <c r="R221" i="36" s="1"/>
  <c r="U121" i="36"/>
  <c r="R121" i="36" s="1"/>
  <c r="U308" i="36"/>
  <c r="R308" i="36" s="1"/>
  <c r="U241" i="36"/>
  <c r="R241" i="36" s="1"/>
  <c r="U259" i="36"/>
  <c r="R259" i="36" s="1"/>
  <c r="U209" i="36"/>
  <c r="R209" i="36" s="1"/>
  <c r="U258" i="36"/>
  <c r="R258" i="36" s="1"/>
  <c r="U254" i="36"/>
  <c r="U94" i="36"/>
  <c r="R94" i="36" s="1"/>
  <c r="U119" i="36"/>
  <c r="R119" i="36" s="1"/>
  <c r="U87" i="36"/>
  <c r="R87" i="36" s="1"/>
  <c r="U64" i="36"/>
  <c r="R64" i="36" s="1"/>
  <c r="U45" i="36"/>
  <c r="R45" i="36" s="1"/>
  <c r="U147" i="36"/>
  <c r="R147" i="36" s="1"/>
  <c r="U81" i="36"/>
  <c r="R81" i="36" s="1"/>
  <c r="U76" i="36"/>
  <c r="R76" i="36" s="1"/>
  <c r="U73" i="36"/>
  <c r="R73" i="36" s="1"/>
  <c r="U43" i="36"/>
  <c r="R43" i="36" s="1"/>
  <c r="U34" i="36"/>
  <c r="R34" i="36" s="1"/>
  <c r="U49" i="36"/>
  <c r="R49" i="36" s="1"/>
  <c r="U60" i="36"/>
  <c r="R60" i="36" s="1"/>
  <c r="U35" i="36"/>
  <c r="R35" i="36" s="1"/>
  <c r="U56" i="36"/>
  <c r="R56" i="36" s="1"/>
  <c r="U314" i="36"/>
  <c r="R314" i="36" s="1"/>
  <c r="U98" i="36"/>
  <c r="R98" i="36" s="1"/>
  <c r="U129" i="36"/>
  <c r="R129" i="36" s="1"/>
  <c r="U232" i="36"/>
  <c r="R232" i="36" s="1"/>
  <c r="U206" i="36"/>
  <c r="R206" i="36" s="1"/>
  <c r="U204" i="36"/>
  <c r="R204" i="36" s="1"/>
  <c r="U228" i="36"/>
  <c r="R228" i="36" s="1"/>
  <c r="U203" i="36"/>
  <c r="U304" i="36"/>
  <c r="R304" i="36" s="1"/>
  <c r="U283" i="36"/>
  <c r="R283" i="36" s="1"/>
  <c r="U161" i="36"/>
  <c r="R161" i="36" s="1"/>
  <c r="U229" i="36"/>
  <c r="R229" i="36" s="1"/>
  <c r="U144" i="36"/>
  <c r="R144" i="36" s="1"/>
  <c r="U244" i="36"/>
  <c r="R244" i="36" s="1"/>
  <c r="U262" i="36"/>
  <c r="R262" i="36" s="1"/>
  <c r="U197" i="36"/>
  <c r="R197" i="36" s="1"/>
  <c r="U267" i="36"/>
  <c r="R267" i="36" s="1"/>
  <c r="U280" i="36"/>
  <c r="R280" i="36" s="1"/>
  <c r="U261" i="36"/>
  <c r="R261" i="36" s="1"/>
  <c r="U264" i="36"/>
  <c r="R264" i="36" s="1"/>
  <c r="U281" i="36"/>
  <c r="R281" i="36" s="1"/>
  <c r="U177" i="36"/>
  <c r="R177" i="36" s="1"/>
  <c r="U275" i="36"/>
  <c r="R275" i="36" s="1"/>
  <c r="U234" i="36"/>
  <c r="R234" i="36" s="1"/>
  <c r="U212" i="36"/>
  <c r="R212" i="36" s="1"/>
  <c r="U307" i="36"/>
  <c r="R307" i="36" s="1"/>
  <c r="U188" i="36"/>
  <c r="R188" i="36" s="1"/>
  <c r="U236" i="36"/>
  <c r="R236" i="36" s="1"/>
  <c r="U310" i="36"/>
  <c r="R310" i="36" s="1"/>
  <c r="U313" i="36"/>
  <c r="R313" i="36" s="1"/>
  <c r="U270" i="36"/>
  <c r="R270" i="36" s="1"/>
  <c r="U141" i="36"/>
  <c r="R141" i="36" s="1"/>
  <c r="U174" i="36"/>
  <c r="R174" i="36" s="1"/>
  <c r="U114" i="36"/>
  <c r="R114" i="36" s="1"/>
  <c r="U116" i="36"/>
  <c r="R116" i="36" s="1"/>
  <c r="U305" i="36"/>
  <c r="R305" i="36" s="1"/>
  <c r="U237" i="36"/>
  <c r="R237" i="36" s="1"/>
  <c r="U169" i="36"/>
  <c r="R169" i="36" s="1"/>
  <c r="U125" i="36"/>
  <c r="R125" i="36" s="1"/>
  <c r="U100" i="36"/>
  <c r="R100" i="36" s="1"/>
  <c r="U153" i="36"/>
  <c r="R153" i="36" s="1"/>
  <c r="U142" i="36"/>
  <c r="R142" i="36" s="1"/>
  <c r="U201" i="36"/>
  <c r="R201" i="36" s="1"/>
  <c r="U185" i="36"/>
  <c r="R185" i="36" s="1"/>
  <c r="U195" i="36"/>
  <c r="R195" i="36" s="1"/>
  <c r="U101" i="36"/>
  <c r="R101" i="36" s="1"/>
  <c r="U217" i="36"/>
  <c r="R217" i="36" s="1"/>
  <c r="U306" i="36"/>
  <c r="R306" i="36" s="1"/>
  <c r="U111" i="36"/>
  <c r="R111" i="36" s="1"/>
  <c r="U288" i="36"/>
  <c r="R288" i="36" s="1"/>
  <c r="U138" i="36"/>
  <c r="R138" i="36" s="1"/>
  <c r="U252" i="36"/>
  <c r="R252" i="36" s="1"/>
  <c r="U213" i="36"/>
  <c r="R213" i="36" s="1"/>
  <c r="U79" i="36"/>
  <c r="R79" i="36" s="1"/>
  <c r="U48" i="36"/>
  <c r="R48" i="36" s="1"/>
  <c r="U58" i="36"/>
  <c r="R58" i="36" s="1"/>
  <c r="U67" i="36"/>
  <c r="R67" i="36" s="1"/>
  <c r="U83" i="36"/>
  <c r="R83" i="36" s="1"/>
  <c r="U71" i="36"/>
  <c r="R71" i="36" s="1"/>
  <c r="U70" i="36"/>
  <c r="R70" i="36" s="1"/>
  <c r="U225" i="36"/>
  <c r="R225" i="36" s="1"/>
  <c r="U297" i="36"/>
  <c r="R297" i="36" s="1"/>
  <c r="U52" i="36"/>
  <c r="R52" i="36" s="1"/>
  <c r="U86" i="36"/>
  <c r="R86" i="36" s="1"/>
  <c r="U39" i="36"/>
  <c r="R39" i="36" s="1"/>
  <c r="U40" i="36"/>
  <c r="R40" i="36" s="1"/>
  <c r="U38" i="36"/>
  <c r="R38" i="36" s="1"/>
  <c r="U51" i="36"/>
  <c r="R51" i="36" s="1"/>
  <c r="U233" i="36"/>
  <c r="R233" i="36" s="1"/>
  <c r="U303" i="36"/>
  <c r="R303" i="36" s="1"/>
  <c r="U75" i="36"/>
  <c r="R75" i="36" s="1"/>
  <c r="U115" i="36"/>
  <c r="R115" i="36" s="1"/>
  <c r="U164" i="36"/>
  <c r="R164" i="36" s="1"/>
  <c r="U110" i="36"/>
  <c r="R110" i="36" s="1"/>
  <c r="U162" i="36"/>
  <c r="R162" i="36" s="1"/>
  <c r="U193" i="36"/>
  <c r="R193" i="36" s="1"/>
  <c r="U149" i="36"/>
  <c r="R149" i="36" s="1"/>
  <c r="U140" i="36"/>
  <c r="R140" i="36" s="1"/>
  <c r="U165" i="36"/>
  <c r="R165" i="36" s="1"/>
  <c r="U251" i="36"/>
  <c r="R251" i="36" s="1"/>
  <c r="U239" i="36"/>
  <c r="R239" i="36" s="1"/>
  <c r="U271" i="36"/>
  <c r="R271" i="36" s="1"/>
  <c r="U218" i="36"/>
  <c r="R218" i="36" s="1"/>
  <c r="U215" i="36"/>
  <c r="R215" i="36" s="1"/>
  <c r="U298" i="36"/>
  <c r="R298" i="36" s="1"/>
  <c r="U263" i="36"/>
  <c r="R263" i="36" s="1"/>
  <c r="U187" i="36"/>
  <c r="R187" i="36" s="1"/>
  <c r="U227" i="36"/>
  <c r="R227" i="36" s="1"/>
  <c r="U274" i="36"/>
  <c r="R274" i="36" s="1"/>
  <c r="U196" i="36"/>
  <c r="R196" i="36" s="1"/>
  <c r="U211" i="36"/>
  <c r="U243" i="36"/>
  <c r="R243" i="36" s="1"/>
  <c r="U245" i="36"/>
  <c r="R245" i="36" s="1"/>
  <c r="U113" i="36"/>
  <c r="R113" i="36" s="1"/>
  <c r="U131" i="36"/>
  <c r="R131" i="36" s="1"/>
  <c r="U139" i="36"/>
  <c r="R139" i="36" s="1"/>
  <c r="U255" i="36"/>
  <c r="R255" i="36" s="1"/>
  <c r="U130" i="36"/>
  <c r="R130" i="36" s="1"/>
  <c r="U132" i="36"/>
  <c r="R132" i="36" s="1"/>
  <c r="U108" i="36"/>
  <c r="R108" i="36" s="1"/>
  <c r="U152" i="36"/>
  <c r="R152" i="36" s="1"/>
  <c r="U122" i="36"/>
  <c r="R122" i="36" s="1"/>
  <c r="U148" i="36"/>
  <c r="R148" i="36" s="1"/>
  <c r="U182" i="36"/>
  <c r="R182" i="36" s="1"/>
  <c r="U198" i="36"/>
  <c r="R198" i="36" s="1"/>
  <c r="U175" i="36"/>
  <c r="R175" i="36" s="1"/>
  <c r="U273" i="36"/>
  <c r="R273" i="36" s="1"/>
  <c r="U311" i="36"/>
  <c r="R311" i="36" s="1"/>
  <c r="U287" i="36"/>
  <c r="R287" i="36" s="1"/>
  <c r="U208" i="36"/>
  <c r="R208" i="36" s="1"/>
  <c r="U104" i="36"/>
  <c r="R104" i="36" s="1"/>
  <c r="U154" i="36"/>
  <c r="R154" i="36" s="1"/>
  <c r="U246" i="36"/>
  <c r="R246" i="36" s="1"/>
  <c r="U160" i="36"/>
  <c r="R160" i="36" s="1"/>
  <c r="U291" i="36"/>
  <c r="R291" i="36" s="1"/>
  <c r="U105" i="36"/>
  <c r="R105" i="36" s="1"/>
  <c r="U276" i="36"/>
  <c r="R276" i="36" s="1"/>
  <c r="U120" i="36"/>
  <c r="R120" i="36" s="1"/>
  <c r="U301" i="36"/>
  <c r="R301" i="36" s="1"/>
  <c r="U168" i="36"/>
  <c r="R168" i="36" s="1"/>
  <c r="U133" i="36"/>
  <c r="R133" i="36" s="1"/>
  <c r="U93" i="36"/>
  <c r="R93" i="36" s="1"/>
  <c r="U89" i="36"/>
  <c r="R89" i="36" s="1"/>
  <c r="U55" i="36"/>
  <c r="R55" i="36" s="1"/>
  <c r="U170" i="36"/>
  <c r="R170" i="36" s="1"/>
  <c r="U82" i="36"/>
  <c r="R82" i="36" s="1"/>
  <c r="U69" i="36"/>
  <c r="R69" i="36" s="1"/>
  <c r="U88" i="36"/>
  <c r="R88" i="36" s="1"/>
  <c r="U63" i="36"/>
  <c r="R63" i="36" s="1"/>
  <c r="U65" i="36"/>
  <c r="R65" i="36" s="1"/>
  <c r="U85" i="36"/>
  <c r="R85" i="36" s="1"/>
  <c r="U57" i="36"/>
  <c r="R57" i="36" s="1"/>
  <c r="U36" i="36"/>
  <c r="R36" i="36" s="1"/>
  <c r="U59" i="36"/>
  <c r="R59" i="36" s="1"/>
  <c r="U46" i="36"/>
  <c r="R46" i="36" s="1"/>
  <c r="U167" i="36"/>
  <c r="R167" i="36" s="1"/>
  <c r="U181" i="36"/>
  <c r="R181" i="36" s="1"/>
  <c r="U112" i="36"/>
  <c r="R112" i="36" s="1"/>
  <c r="U180" i="36"/>
  <c r="U90" i="36"/>
  <c r="U78" i="36"/>
  <c r="U173" i="36"/>
  <c r="R173" i="36" s="1"/>
  <c r="U191" i="36"/>
  <c r="R191" i="36" s="1"/>
  <c r="U163" i="36"/>
  <c r="R163" i="36" s="1"/>
  <c r="U136" i="36"/>
  <c r="R136" i="36" s="1"/>
  <c r="U302" i="36"/>
  <c r="R302" i="36" s="1"/>
  <c r="U157" i="36"/>
  <c r="R157" i="36" s="1"/>
  <c r="U265" i="36"/>
  <c r="R265" i="36" s="1"/>
  <c r="U253" i="36"/>
  <c r="R253" i="36" s="1"/>
  <c r="U128" i="36"/>
  <c r="R128" i="36" s="1"/>
  <c r="U151" i="36"/>
  <c r="R151" i="36" s="1"/>
  <c r="U226" i="36"/>
  <c r="R226" i="36" s="1"/>
  <c r="U278" i="36"/>
  <c r="R278" i="36" s="1"/>
  <c r="U216" i="36"/>
  <c r="R216" i="36" s="1"/>
  <c r="U292" i="36"/>
  <c r="R292" i="36" s="1"/>
  <c r="U184" i="36"/>
  <c r="R184" i="36" s="1"/>
  <c r="U285" i="36"/>
  <c r="R285" i="36" s="1"/>
  <c r="U272" i="36"/>
  <c r="R272" i="36" s="1"/>
  <c r="U145" i="36"/>
  <c r="R145" i="36" s="1"/>
  <c r="U171" i="36"/>
  <c r="R171" i="36" s="1"/>
  <c r="U123" i="36"/>
  <c r="R123" i="36" s="1"/>
  <c r="U183" i="36"/>
  <c r="R183" i="36" s="1"/>
  <c r="U269" i="36"/>
  <c r="R269" i="36" s="1"/>
  <c r="U190" i="36"/>
  <c r="R190" i="36" s="1"/>
  <c r="U159" i="36"/>
  <c r="R159" i="36" s="1"/>
  <c r="U134" i="36"/>
  <c r="R134" i="36" s="1"/>
  <c r="U266" i="36"/>
  <c r="R266" i="36" s="1"/>
  <c r="U146" i="36"/>
  <c r="R146" i="36" s="1"/>
  <c r="U224" i="36"/>
  <c r="R224" i="36" s="1"/>
  <c r="U166" i="36"/>
  <c r="R166" i="36" s="1"/>
  <c r="U158" i="36"/>
  <c r="R158" i="36" s="1"/>
  <c r="U117" i="36"/>
  <c r="R117" i="36" s="1"/>
  <c r="U118" i="36"/>
  <c r="R118" i="36" s="1"/>
  <c r="U150" i="36"/>
  <c r="R150" i="36" s="1"/>
  <c r="U176" i="36"/>
  <c r="R176" i="36" s="1"/>
  <c r="U222" i="36"/>
  <c r="R222" i="36" s="1"/>
  <c r="U260" i="36"/>
  <c r="R260" i="36" s="1"/>
  <c r="U238" i="36"/>
  <c r="R238" i="36" s="1"/>
  <c r="U247" i="36"/>
  <c r="R247" i="36" s="1"/>
  <c r="U219" i="36"/>
  <c r="R219" i="36" s="1"/>
  <c r="U172" i="36"/>
  <c r="R172" i="36" s="1"/>
  <c r="U99" i="36"/>
  <c r="R99" i="36" s="1"/>
  <c r="U143" i="36"/>
  <c r="R143" i="36" s="1"/>
  <c r="U205" i="36"/>
  <c r="R205" i="36" s="1"/>
  <c r="U282" i="36"/>
  <c r="R282" i="36" s="1"/>
  <c r="U249" i="36"/>
  <c r="R249" i="36" s="1"/>
  <c r="U309" i="36"/>
  <c r="R309" i="36" s="1"/>
  <c r="U293" i="36"/>
  <c r="R293" i="36" s="1"/>
  <c r="U248" i="36"/>
  <c r="R248" i="36" s="1"/>
  <c r="U33" i="36"/>
  <c r="R33" i="36" s="1"/>
  <c r="U53" i="36"/>
  <c r="R53" i="36" s="1"/>
  <c r="U62" i="36"/>
  <c r="R62" i="36" s="1"/>
  <c r="U77" i="36"/>
  <c r="R77" i="36" s="1"/>
  <c r="U80" i="36"/>
  <c r="R80" i="36" s="1"/>
  <c r="U109" i="36"/>
  <c r="R109" i="36" s="1"/>
  <c r="U66" i="36"/>
  <c r="R66" i="36" s="1"/>
  <c r="U72" i="36"/>
  <c r="R72" i="36" s="1"/>
  <c r="U50" i="36"/>
  <c r="R50" i="36" s="1"/>
  <c r="U41" i="36"/>
  <c r="R41" i="36" s="1"/>
  <c r="U54" i="36"/>
  <c r="R54" i="36" s="1"/>
  <c r="U37" i="36"/>
  <c r="R37" i="36" s="1"/>
  <c r="U47" i="36"/>
  <c r="R47" i="36" s="1"/>
  <c r="U44" i="36"/>
  <c r="R44" i="36" s="1"/>
  <c r="U42" i="36"/>
  <c r="R42" i="36" s="1"/>
  <c r="G283" i="40"/>
  <c r="G120" i="40"/>
  <c r="G112" i="40"/>
  <c r="G241" i="40"/>
  <c r="G199" i="40"/>
  <c r="G153" i="40"/>
  <c r="G152" i="40"/>
  <c r="G118" i="40"/>
  <c r="G197" i="40"/>
  <c r="G166" i="40"/>
  <c r="G55" i="40"/>
  <c r="L197" i="39"/>
  <c r="L263" i="39"/>
  <c r="L18" i="39"/>
  <c r="L14" i="39"/>
  <c r="L194" i="39"/>
  <c r="L108" i="39"/>
  <c r="L75" i="39"/>
  <c r="L202" i="39"/>
  <c r="L128" i="39"/>
  <c r="L246" i="39"/>
  <c r="L85" i="39"/>
  <c r="P9" i="42" l="1"/>
  <c r="R90" i="36"/>
  <c r="L190" i="39" s="1"/>
  <c r="AC239" i="21" s="1"/>
  <c r="R180" i="36"/>
  <c r="L305" i="39" s="1"/>
  <c r="AC307" i="21" s="1"/>
  <c r="R211" i="36"/>
  <c r="L176" i="39" s="1"/>
  <c r="AC233" i="21" s="1"/>
  <c r="R254" i="36"/>
  <c r="L95" i="39" s="1"/>
  <c r="AC67" i="21" s="1"/>
  <c r="R203" i="36"/>
  <c r="L302" i="39" s="1"/>
  <c r="AC305" i="21" s="1"/>
  <c r="R78" i="36"/>
  <c r="P10" i="42"/>
  <c r="AC22" i="21"/>
  <c r="AC118" i="21"/>
  <c r="AC167" i="21"/>
  <c r="AC278" i="21"/>
  <c r="AC267" i="21"/>
  <c r="AC198" i="21"/>
  <c r="AC120" i="21"/>
  <c r="AC143" i="21"/>
  <c r="AC244" i="21"/>
  <c r="AC68" i="21"/>
  <c r="V32" i="36"/>
  <c r="V62" i="36" s="1"/>
  <c r="V63" i="36" s="1"/>
  <c r="V64" i="36" s="1"/>
  <c r="V65" i="36" s="1"/>
  <c r="V66" i="36" s="1"/>
  <c r="V67" i="36" s="1"/>
  <c r="AC74" i="21"/>
  <c r="J286" i="17"/>
  <c r="J274" i="17"/>
  <c r="J209" i="17"/>
  <c r="J141" i="17"/>
  <c r="J79" i="17"/>
  <c r="J170" i="17"/>
  <c r="J211" i="17"/>
  <c r="J192" i="17"/>
  <c r="J80" i="17"/>
  <c r="J212" i="17"/>
  <c r="J213" i="17"/>
  <c r="J86" i="17"/>
  <c r="J150" i="17"/>
  <c r="J130" i="17"/>
  <c r="J254" i="17"/>
  <c r="J126" i="17"/>
  <c r="J193" i="17"/>
  <c r="J104" i="17"/>
  <c r="J299" i="17"/>
  <c r="J300" i="17"/>
  <c r="J81" i="17"/>
  <c r="J215" i="17"/>
  <c r="J142" i="17"/>
  <c r="J112" i="17"/>
  <c r="J275" i="17"/>
  <c r="J55" i="17"/>
  <c r="J24" i="17"/>
  <c r="J73" i="17"/>
  <c r="J52" i="17"/>
  <c r="J75" i="17"/>
  <c r="J301" i="17"/>
  <c r="J302" i="17"/>
  <c r="J176" i="17"/>
  <c r="J303" i="17"/>
  <c r="J304" i="17"/>
  <c r="J305" i="17"/>
  <c r="J59" i="17"/>
  <c r="J263" i="17"/>
  <c r="J143" i="17"/>
  <c r="J261" i="17"/>
  <c r="J114" i="17"/>
  <c r="J194" i="17"/>
  <c r="J144" i="17"/>
  <c r="J255" i="17"/>
  <c r="J245" i="17"/>
  <c r="J53" i="17"/>
  <c r="J264" i="17"/>
  <c r="J191" i="17"/>
  <c r="J85" i="17"/>
  <c r="J146" i="17"/>
  <c r="J89" i="17"/>
  <c r="J131" i="17"/>
  <c r="J119" i="17"/>
  <c r="J174" i="17"/>
  <c r="J240" i="17"/>
  <c r="J256" i="17"/>
  <c r="J63" i="17"/>
  <c r="J48" i="17"/>
  <c r="J25" i="17"/>
  <c r="J218" i="17"/>
  <c r="J242" i="17"/>
  <c r="J115" i="17"/>
  <c r="J116" i="17"/>
  <c r="J117" i="17"/>
  <c r="J118" i="17"/>
  <c r="J243" i="17"/>
  <c r="J214" i="17"/>
  <c r="J262" i="17"/>
  <c r="J140" i="17"/>
  <c r="J216" i="17"/>
  <c r="J49" i="17"/>
  <c r="J65" i="17"/>
  <c r="J153" i="17"/>
  <c r="J276" i="17"/>
  <c r="J121" i="17"/>
  <c r="J51" i="17"/>
  <c r="J195" i="17"/>
  <c r="J287" i="17"/>
  <c r="J196" i="17"/>
  <c r="J306" i="17"/>
  <c r="J197" i="17"/>
  <c r="J148" i="17"/>
  <c r="J154" i="17"/>
  <c r="J277" i="17"/>
  <c r="J308" i="17"/>
  <c r="J167" i="17"/>
  <c r="J246" i="17"/>
  <c r="J68" i="17"/>
  <c r="J138" i="17"/>
  <c r="J139" i="17"/>
  <c r="J198" i="17"/>
  <c r="J168" i="17"/>
  <c r="J280" i="17"/>
  <c r="J44" i="17"/>
  <c r="J199" i="17"/>
  <c r="J247" i="17"/>
  <c r="J50" i="17"/>
  <c r="J278" i="17"/>
  <c r="J309" i="17"/>
  <c r="J171" i="17"/>
  <c r="J265" i="17"/>
  <c r="J284" i="17"/>
  <c r="J26" i="17"/>
  <c r="J172" i="17"/>
  <c r="J54" i="17"/>
  <c r="J285" i="17"/>
  <c r="J87" i="17"/>
  <c r="J279" i="17"/>
  <c r="J31" i="17"/>
  <c r="J66" i="17"/>
  <c r="J248" i="17"/>
  <c r="J128" i="17"/>
  <c r="J82" i="17"/>
  <c r="J35" i="17"/>
  <c r="J310" i="17"/>
  <c r="J257" i="17"/>
  <c r="J72" i="17"/>
  <c r="J249" i="17"/>
  <c r="J288" i="17"/>
  <c r="J219" i="17"/>
  <c r="J281" i="17"/>
  <c r="J266" i="17"/>
  <c r="J258" i="17"/>
  <c r="J32" i="17"/>
  <c r="J200" i="17"/>
  <c r="J120" i="17"/>
  <c r="J56" i="17"/>
  <c r="J221" i="17"/>
  <c r="J155" i="17"/>
  <c r="J38" i="17"/>
  <c r="J45" i="17"/>
  <c r="J69" i="17"/>
  <c r="J21" i="17"/>
  <c r="J57" i="17"/>
  <c r="J149" i="17"/>
  <c r="J83" i="17"/>
  <c r="J125" i="17"/>
  <c r="J241" i="17"/>
  <c r="J312" i="17"/>
  <c r="J27" i="17"/>
  <c r="J36" i="17"/>
  <c r="J127" i="17"/>
  <c r="J290" i="17"/>
  <c r="J204" i="17"/>
  <c r="J222" i="17"/>
  <c r="J122" i="17"/>
  <c r="J282" i="17"/>
  <c r="J67" i="17"/>
  <c r="J201" i="17"/>
  <c r="J47" i="17"/>
  <c r="J223" i="17"/>
  <c r="J123" i="17"/>
  <c r="J23" i="17"/>
  <c r="J91" i="17"/>
  <c r="J250" i="17"/>
  <c r="J203" i="17"/>
  <c r="J291" i="17"/>
  <c r="J129" i="17"/>
  <c r="J34" i="17"/>
  <c r="J124" i="17"/>
  <c r="J151" i="17"/>
  <c r="J251" i="17"/>
  <c r="J208" i="17"/>
  <c r="J292" i="17"/>
  <c r="J252" i="17"/>
  <c r="J298" i="17"/>
  <c r="J70" i="17"/>
  <c r="J71" i="17"/>
  <c r="J152" i="17"/>
  <c r="J173" i="17"/>
  <c r="J58" i="17"/>
  <c r="J62" i="17"/>
  <c r="J259" i="17"/>
  <c r="J273" i="17"/>
  <c r="J289" i="17"/>
  <c r="J260" i="17"/>
  <c r="J293" i="17"/>
  <c r="J283" i="17"/>
  <c r="J314" i="17"/>
  <c r="J88" i="17"/>
  <c r="J307" i="17"/>
  <c r="J37" i="17"/>
  <c r="J202" i="17"/>
  <c r="J205" i="17"/>
  <c r="J163" i="17"/>
  <c r="J162" i="17"/>
  <c r="J244" i="17"/>
  <c r="J315" i="17"/>
  <c r="J210" i="17"/>
  <c r="J224" i="17"/>
  <c r="J311" i="17"/>
  <c r="J132" i="17"/>
  <c r="J253" i="17"/>
  <c r="J313" i="17"/>
  <c r="J217" i="17"/>
  <c r="J206" i="17"/>
  <c r="J207" i="17"/>
  <c r="J84" i="17"/>
  <c r="J9" i="17"/>
  <c r="J12" i="17"/>
  <c r="J13" i="17"/>
  <c r="J17" i="17"/>
  <c r="J227" i="17"/>
  <c r="J20" i="17"/>
  <c r="J10" i="17"/>
  <c r="J159" i="17"/>
  <c r="J186" i="17"/>
  <c r="J99" i="17"/>
  <c r="J7" i="17"/>
  <c r="J181" i="17"/>
  <c r="J46" i="17"/>
  <c r="J230" i="17"/>
  <c r="J5" i="17"/>
  <c r="J6" i="17"/>
  <c r="J228" i="17"/>
  <c r="J269" i="17"/>
  <c r="J100" i="17"/>
  <c r="J187" i="17"/>
  <c r="J188" i="17"/>
  <c r="J101" i="17"/>
  <c r="J14" i="17"/>
  <c r="J133" i="17"/>
  <c r="J108" i="17"/>
  <c r="J96" i="17"/>
  <c r="J296" i="17"/>
  <c r="J135" i="17"/>
  <c r="J15" i="17"/>
  <c r="J106" i="17"/>
  <c r="J77" i="17"/>
  <c r="J98" i="17"/>
  <c r="J233" i="17"/>
  <c r="J136" i="17"/>
  <c r="J267" i="17"/>
  <c r="J190" i="17"/>
  <c r="J107" i="17"/>
  <c r="J11" i="17"/>
  <c r="J157" i="17"/>
  <c r="J18" i="17"/>
  <c r="J156" i="17"/>
  <c r="J179" i="17"/>
  <c r="J234" i="17"/>
  <c r="J239" i="17"/>
  <c r="J297" i="17"/>
  <c r="J105" i="17"/>
  <c r="J111" i="17"/>
  <c r="J238" i="17"/>
  <c r="J235" i="17"/>
  <c r="J64" i="17"/>
  <c r="J158" i="17"/>
  <c r="J60" i="17"/>
  <c r="J30" i="17"/>
  <c r="J8" i="17"/>
  <c r="J166" i="17"/>
  <c r="J175" i="17"/>
  <c r="J145" i="17"/>
  <c r="J270" i="17"/>
  <c r="J177" i="17"/>
  <c r="J97" i="17"/>
  <c r="J94" i="17"/>
  <c r="J95" i="17"/>
  <c r="J92" i="17"/>
  <c r="J147" i="17"/>
  <c r="J183" i="17"/>
  <c r="J16" i="17"/>
  <c r="J161" i="17"/>
  <c r="J184" i="17"/>
  <c r="J41" i="17"/>
  <c r="J237" i="17"/>
  <c r="J272" i="17"/>
  <c r="J232" i="17"/>
  <c r="J165" i="17"/>
  <c r="J76" i="17"/>
  <c r="J229" i="17"/>
  <c r="J220" i="17"/>
  <c r="J231" i="17"/>
  <c r="J137" i="17"/>
  <c r="J164" i="17"/>
  <c r="J22" i="17"/>
  <c r="J109" i="17"/>
  <c r="J185" i="17"/>
  <c r="J90" i="17"/>
  <c r="J294" i="17"/>
  <c r="J29" i="17"/>
  <c r="J93" i="17"/>
  <c r="J74" i="17"/>
  <c r="J134" i="17"/>
  <c r="J78" i="17"/>
  <c r="J182" i="17"/>
  <c r="J39" i="17"/>
  <c r="J225" i="17"/>
  <c r="J268" i="17"/>
  <c r="J160" i="17"/>
  <c r="J43" i="17"/>
  <c r="J61" i="17"/>
  <c r="J40" i="17"/>
  <c r="J42" i="17"/>
  <c r="J271" i="17"/>
  <c r="J189" i="17"/>
  <c r="J19" i="17"/>
  <c r="J33" i="17"/>
  <c r="J103" i="17"/>
  <c r="J295" i="17"/>
  <c r="J28" i="17"/>
  <c r="J102" i="17"/>
  <c r="J110" i="17"/>
  <c r="J113" i="17"/>
  <c r="J169" i="17"/>
  <c r="J178" i="17"/>
  <c r="J226" i="17"/>
  <c r="J180" i="17"/>
  <c r="J236" i="17"/>
  <c r="E286" i="17"/>
  <c r="E274" i="17"/>
  <c r="E209" i="17"/>
  <c r="E141" i="17"/>
  <c r="E79" i="17"/>
  <c r="E170" i="17"/>
  <c r="E211" i="17"/>
  <c r="E192" i="17"/>
  <c r="E80" i="17"/>
  <c r="E212" i="17"/>
  <c r="E213" i="17"/>
  <c r="E86" i="17"/>
  <c r="E150" i="17"/>
  <c r="E130" i="17"/>
  <c r="E254" i="17"/>
  <c r="E126" i="17"/>
  <c r="E193" i="17"/>
  <c r="E104" i="17"/>
  <c r="E299" i="17"/>
  <c r="E300" i="17"/>
  <c r="E81" i="17"/>
  <c r="E215" i="17"/>
  <c r="E142" i="17"/>
  <c r="E112" i="17"/>
  <c r="E275" i="17"/>
  <c r="E55" i="17"/>
  <c r="E24" i="17"/>
  <c r="E73" i="17"/>
  <c r="E52" i="17"/>
  <c r="E75" i="17"/>
  <c r="E301" i="17"/>
  <c r="E302" i="17"/>
  <c r="E176" i="17"/>
  <c r="E303" i="17"/>
  <c r="E304" i="17"/>
  <c r="E305" i="17"/>
  <c r="E59" i="17"/>
  <c r="E263" i="17"/>
  <c r="E143" i="17"/>
  <c r="E261" i="17"/>
  <c r="E114" i="17"/>
  <c r="E194" i="17"/>
  <c r="E144" i="17"/>
  <c r="E255" i="17"/>
  <c r="E245" i="17"/>
  <c r="E53" i="17"/>
  <c r="E264" i="17"/>
  <c r="E191" i="17"/>
  <c r="E85" i="17"/>
  <c r="E146" i="17"/>
  <c r="E89" i="17"/>
  <c r="E131" i="17"/>
  <c r="E119" i="17"/>
  <c r="E174" i="17"/>
  <c r="E240" i="17"/>
  <c r="E256" i="17"/>
  <c r="E63" i="17"/>
  <c r="E48" i="17"/>
  <c r="E25" i="17"/>
  <c r="E218" i="17"/>
  <c r="E242" i="17"/>
  <c r="E115" i="17"/>
  <c r="E116" i="17"/>
  <c r="E117" i="17"/>
  <c r="E118" i="17"/>
  <c r="E243" i="17"/>
  <c r="E214" i="17"/>
  <c r="E262" i="17"/>
  <c r="E140" i="17"/>
  <c r="E216" i="17"/>
  <c r="E49" i="17"/>
  <c r="E65" i="17"/>
  <c r="E153" i="17"/>
  <c r="E276" i="17"/>
  <c r="E121" i="17"/>
  <c r="E51" i="17"/>
  <c r="E195" i="17"/>
  <c r="E287" i="17"/>
  <c r="E196" i="17"/>
  <c r="E306" i="17"/>
  <c r="E197" i="17"/>
  <c r="E148" i="17"/>
  <c r="E154" i="17"/>
  <c r="E277" i="17"/>
  <c r="E308" i="17"/>
  <c r="E167" i="17"/>
  <c r="E246" i="17"/>
  <c r="E68" i="17"/>
  <c r="E138" i="17"/>
  <c r="E139" i="17"/>
  <c r="E198" i="17"/>
  <c r="E168" i="17"/>
  <c r="E280" i="17"/>
  <c r="E44" i="17"/>
  <c r="E199" i="17"/>
  <c r="E247" i="17"/>
  <c r="E50" i="17"/>
  <c r="E278" i="17"/>
  <c r="E309" i="17"/>
  <c r="E171" i="17"/>
  <c r="E265" i="17"/>
  <c r="E284" i="17"/>
  <c r="E26" i="17"/>
  <c r="E172" i="17"/>
  <c r="E54" i="17"/>
  <c r="E285" i="17"/>
  <c r="E87" i="17"/>
  <c r="E279" i="17"/>
  <c r="E31" i="17"/>
  <c r="E66" i="17"/>
  <c r="E248" i="17"/>
  <c r="E128" i="17"/>
  <c r="E82" i="17"/>
  <c r="E35" i="17"/>
  <c r="E310" i="17"/>
  <c r="E257" i="17"/>
  <c r="E72" i="17"/>
  <c r="E249" i="17"/>
  <c r="E288" i="17"/>
  <c r="E219" i="17"/>
  <c r="E281" i="17"/>
  <c r="E266" i="17"/>
  <c r="E258" i="17"/>
  <c r="E32" i="17"/>
  <c r="E200" i="17"/>
  <c r="E120" i="17"/>
  <c r="E56" i="17"/>
  <c r="E221" i="17"/>
  <c r="E155" i="17"/>
  <c r="E38" i="17"/>
  <c r="E45" i="17"/>
  <c r="E69" i="17"/>
  <c r="E21" i="17"/>
  <c r="E57" i="17"/>
  <c r="E149" i="17"/>
  <c r="E83" i="17"/>
  <c r="E125" i="17"/>
  <c r="E241" i="17"/>
  <c r="E312" i="17"/>
  <c r="E27" i="17"/>
  <c r="E36" i="17"/>
  <c r="E127" i="17"/>
  <c r="E290" i="17"/>
  <c r="E204" i="17"/>
  <c r="E222" i="17"/>
  <c r="E122" i="17"/>
  <c r="E282" i="17"/>
  <c r="E67" i="17"/>
  <c r="E201" i="17"/>
  <c r="E47" i="17"/>
  <c r="E223" i="17"/>
  <c r="E123" i="17"/>
  <c r="E23" i="17"/>
  <c r="E91" i="17"/>
  <c r="E250" i="17"/>
  <c r="E203" i="17"/>
  <c r="E291" i="17"/>
  <c r="E129" i="17"/>
  <c r="E34" i="17"/>
  <c r="E124" i="17"/>
  <c r="E151" i="17"/>
  <c r="E251" i="17"/>
  <c r="E208" i="17"/>
  <c r="E292" i="17"/>
  <c r="E252" i="17"/>
  <c r="E298" i="17"/>
  <c r="E70" i="17"/>
  <c r="E71" i="17"/>
  <c r="E152" i="17"/>
  <c r="E173" i="17"/>
  <c r="E58" i="17"/>
  <c r="E62" i="17"/>
  <c r="E259" i="17"/>
  <c r="E273" i="17"/>
  <c r="E289" i="17"/>
  <c r="E260" i="17"/>
  <c r="E293" i="17"/>
  <c r="E283" i="17"/>
  <c r="E314" i="17"/>
  <c r="E88" i="17"/>
  <c r="E307" i="17"/>
  <c r="E37" i="17"/>
  <c r="E202" i="17"/>
  <c r="E205" i="17"/>
  <c r="E163" i="17"/>
  <c r="E162" i="17"/>
  <c r="E244" i="17"/>
  <c r="E315" i="17"/>
  <c r="E210" i="17"/>
  <c r="E224" i="17"/>
  <c r="E311" i="17"/>
  <c r="E132" i="17"/>
  <c r="E253" i="17"/>
  <c r="E313" i="17"/>
  <c r="E217" i="17"/>
  <c r="E206" i="17"/>
  <c r="E207" i="17"/>
  <c r="E84" i="17"/>
  <c r="V1" i="36" l="1"/>
  <c r="L68" i="39"/>
  <c r="AC154" i="21" s="1"/>
  <c r="V68" i="36"/>
  <c r="V33" i="36" s="1"/>
  <c r="V34" i="36" s="1"/>
  <c r="V35" i="36" s="1"/>
  <c r="V36" i="36" s="1"/>
  <c r="V37" i="36" s="1"/>
  <c r="V38" i="36" s="1"/>
  <c r="V39" i="36" s="1"/>
  <c r="V40" i="36" s="1"/>
  <c r="V41" i="36" s="1"/>
  <c r="V42" i="36" s="1"/>
  <c r="V43" i="36" s="1"/>
  <c r="V44" i="36" s="1"/>
  <c r="V45" i="36" s="1"/>
  <c r="V46" i="36" s="1"/>
  <c r="V47" i="36" s="1"/>
  <c r="V48" i="36" s="1"/>
  <c r="V49" i="36" s="1"/>
  <c r="V50" i="36" s="1"/>
  <c r="V51" i="36" s="1"/>
  <c r="V52" i="36" s="1"/>
  <c r="V53" i="36" s="1"/>
  <c r="V54" i="36" s="1"/>
  <c r="V55" i="36" s="1"/>
  <c r="V56" i="36" s="1"/>
  <c r="V57" i="36" s="1"/>
  <c r="V58" i="36" s="1"/>
  <c r="V59" i="36" s="1"/>
  <c r="V60" i="36" s="1"/>
  <c r="O34" i="19"/>
  <c r="O1" i="19" l="1"/>
  <c r="K45" i="38"/>
  <c r="N5" i="18"/>
  <c r="E270" i="19"/>
  <c r="E281" i="19"/>
  <c r="E243" i="19"/>
  <c r="E130" i="19"/>
  <c r="E206" i="19"/>
  <c r="E191" i="19"/>
  <c r="E57" i="19"/>
  <c r="E124" i="19"/>
  <c r="E226" i="19"/>
  <c r="E53" i="19"/>
  <c r="E311" i="19"/>
  <c r="E246" i="19"/>
  <c r="E171" i="19"/>
  <c r="E227" i="19"/>
  <c r="E228" i="19"/>
  <c r="E172" i="19"/>
  <c r="E173" i="19"/>
  <c r="E120" i="19"/>
  <c r="E104" i="19"/>
  <c r="E175" i="19"/>
  <c r="E312" i="19"/>
  <c r="E73" i="19"/>
  <c r="E187" i="19"/>
  <c r="E229" i="19"/>
  <c r="E63" i="19"/>
  <c r="E10" i="19"/>
  <c r="E181" i="19"/>
  <c r="E235" i="19"/>
  <c r="E58" i="19"/>
  <c r="E238" i="19"/>
  <c r="E182" i="19"/>
  <c r="E297" i="19"/>
  <c r="E5" i="19"/>
  <c r="E195" i="19"/>
  <c r="E72" i="19"/>
  <c r="E80" i="19"/>
  <c r="E18" i="19"/>
  <c r="E237" i="19"/>
  <c r="E135" i="19"/>
  <c r="E138" i="19"/>
  <c r="E68" i="19"/>
  <c r="E136" i="19"/>
  <c r="E137" i="19"/>
  <c r="E98" i="19"/>
  <c r="E15" i="19"/>
  <c r="E26" i="19"/>
  <c r="E239" i="19"/>
  <c r="E218" i="19"/>
  <c r="E35" i="19"/>
  <c r="E36" i="19"/>
  <c r="E54" i="19"/>
  <c r="E240" i="19"/>
  <c r="E253" i="19"/>
  <c r="E92" i="19"/>
  <c r="E29" i="19"/>
  <c r="E139" i="19"/>
  <c r="E242" i="19"/>
  <c r="E184" i="19"/>
  <c r="E113" i="19"/>
  <c r="E64" i="19"/>
  <c r="E41" i="19"/>
  <c r="E45" i="19"/>
  <c r="E65" i="19"/>
  <c r="E288" i="19"/>
  <c r="E76" i="19"/>
  <c r="E60" i="19"/>
  <c r="E211" i="19"/>
  <c r="E241" i="19"/>
  <c r="E200" i="19"/>
  <c r="E293" i="19"/>
  <c r="E21" i="19"/>
  <c r="E141" i="19"/>
  <c r="E12" i="19"/>
  <c r="E274" i="19"/>
  <c r="E244" i="19"/>
  <c r="E114" i="19"/>
  <c r="E213" i="19"/>
  <c r="E11" i="19"/>
  <c r="E78" i="19"/>
  <c r="E84" i="19"/>
  <c r="E105" i="19"/>
  <c r="E185" i="19"/>
  <c r="E186" i="19"/>
  <c r="E196" i="19"/>
  <c r="E183" i="19"/>
  <c r="E219" i="19"/>
  <c r="E51" i="19"/>
  <c r="E245" i="19"/>
  <c r="E121" i="19"/>
  <c r="E247" i="19"/>
  <c r="E142" i="19"/>
  <c r="E140" i="19"/>
  <c r="E143" i="19"/>
  <c r="E282" i="19"/>
  <c r="E230" i="19"/>
  <c r="E176" i="19"/>
  <c r="E177" i="19"/>
  <c r="E178" i="19"/>
  <c r="E179" i="19"/>
  <c r="E231" i="19"/>
  <c r="E232" i="19"/>
  <c r="E233" i="19"/>
  <c r="E180" i="19"/>
  <c r="E234" i="19"/>
  <c r="E167" i="19"/>
  <c r="E108" i="19"/>
  <c r="E144" i="19"/>
  <c r="E188" i="19"/>
  <c r="E122" i="19"/>
  <c r="E116" i="19"/>
  <c r="E250" i="19"/>
  <c r="E207" i="19"/>
  <c r="E149" i="19"/>
  <c r="E251" i="19"/>
  <c r="E61" i="19"/>
  <c r="E252" i="19"/>
  <c r="E100" i="19"/>
  <c r="E77" i="19"/>
  <c r="E272" i="19"/>
  <c r="E278" i="19"/>
  <c r="E24" i="19"/>
  <c r="E190" i="19"/>
  <c r="E174" i="19"/>
  <c r="E99" i="19"/>
  <c r="E86" i="19"/>
  <c r="E257" i="19"/>
  <c r="E258" i="19"/>
  <c r="E89" i="19"/>
  <c r="E123" i="19"/>
  <c r="E220" i="19"/>
  <c r="E255" i="19"/>
  <c r="E146" i="19"/>
  <c r="E201" i="19"/>
  <c r="E202" i="19"/>
  <c r="E254" i="19"/>
  <c r="E221" i="19"/>
  <c r="E59" i="19"/>
  <c r="E295" i="19"/>
  <c r="E147" i="19"/>
  <c r="E22" i="19"/>
  <c r="E256" i="19"/>
  <c r="E42" i="19"/>
  <c r="E90" i="19"/>
  <c r="E81" i="19"/>
  <c r="E82" i="19"/>
  <c r="E101" i="19"/>
  <c r="E17" i="19"/>
  <c r="E33" i="19"/>
  <c r="E9" i="19"/>
  <c r="E32" i="19"/>
  <c r="E264" i="19"/>
  <c r="E265" i="19"/>
  <c r="E225" i="19"/>
  <c r="E283" i="19"/>
  <c r="E119" i="19"/>
  <c r="E74" i="19"/>
  <c r="E266" i="19"/>
  <c r="E168" i="19"/>
  <c r="E222" i="19"/>
  <c r="E150" i="19"/>
  <c r="E52" i="19"/>
  <c r="E69" i="19"/>
  <c r="E107" i="19"/>
  <c r="E55" i="19"/>
  <c r="E109" i="19"/>
  <c r="E126" i="19"/>
  <c r="E127" i="19"/>
  <c r="E267" i="19"/>
  <c r="E34" i="19"/>
  <c r="E125" i="19"/>
  <c r="E192" i="19"/>
  <c r="E268" i="19"/>
  <c r="E151" i="19"/>
  <c r="E4" i="19"/>
  <c r="E145" i="19"/>
  <c r="E38" i="19"/>
  <c r="E8" i="19"/>
  <c r="E133" i="19"/>
  <c r="E25" i="19"/>
  <c r="E197" i="19"/>
  <c r="E198" i="19"/>
  <c r="E152" i="19"/>
  <c r="E102" i="19"/>
  <c r="E91" i="19"/>
  <c r="E37" i="19"/>
  <c r="E50" i="19"/>
  <c r="E75" i="19"/>
  <c r="E49" i="19"/>
  <c r="E39" i="19"/>
  <c r="E269" i="19"/>
  <c r="E30" i="19"/>
  <c r="E160" i="19"/>
  <c r="E236" i="19"/>
  <c r="E271" i="19"/>
  <c r="E275" i="19"/>
  <c r="E273" i="19"/>
  <c r="E94" i="19"/>
  <c r="E276" i="19"/>
  <c r="E279" i="19"/>
  <c r="E87" i="19"/>
  <c r="E153" i="19"/>
  <c r="E280" i="19"/>
  <c r="E204" i="19"/>
  <c r="E128" i="19"/>
  <c r="E154" i="19"/>
  <c r="E106" i="19"/>
  <c r="E110" i="19"/>
  <c r="E111" i="19"/>
  <c r="E284" i="19"/>
  <c r="E20" i="19"/>
  <c r="E117" i="19"/>
  <c r="E155" i="19"/>
  <c r="E156" i="19"/>
  <c r="E157" i="19"/>
  <c r="E158" i="19"/>
  <c r="E148" i="19"/>
  <c r="E193" i="19"/>
  <c r="E194" i="19"/>
  <c r="E214" i="19"/>
  <c r="E28" i="19"/>
  <c r="E287" i="19"/>
  <c r="E56" i="19"/>
  <c r="E93" i="19"/>
  <c r="E16" i="19"/>
  <c r="E95" i="19"/>
  <c r="E46" i="19"/>
  <c r="E70" i="19"/>
  <c r="E47" i="19"/>
  <c r="E159" i="19"/>
  <c r="E205" i="19"/>
  <c r="E118" i="19"/>
  <c r="E129" i="19"/>
  <c r="E96" i="19"/>
  <c r="E260" i="19"/>
  <c r="E261" i="19"/>
  <c r="E262" i="19"/>
  <c r="E199" i="19"/>
  <c r="E289" i="19"/>
  <c r="E67" i="19"/>
  <c r="E161" i="19"/>
  <c r="E23" i="19"/>
  <c r="E43" i="19"/>
  <c r="E162" i="19"/>
  <c r="E291" i="19"/>
  <c r="E208" i="19"/>
  <c r="E97" i="19"/>
  <c r="E163" i="19"/>
  <c r="E209" i="19"/>
  <c r="E263" i="19"/>
  <c r="E292" i="19"/>
  <c r="E85" i="19"/>
  <c r="E277" i="19"/>
  <c r="E203" i="19"/>
  <c r="E164" i="19"/>
  <c r="E210" i="19"/>
  <c r="E19" i="19"/>
  <c r="E44" i="19"/>
  <c r="E294" i="19"/>
  <c r="E285" i="19"/>
  <c r="E79" i="19"/>
  <c r="E286" i="19"/>
  <c r="E296" i="19"/>
  <c r="E66" i="19"/>
  <c r="E304" i="19"/>
  <c r="E165" i="19"/>
  <c r="E166" i="19"/>
  <c r="E212" i="19"/>
  <c r="E217" i="19"/>
  <c r="E48" i="19"/>
  <c r="E6" i="19"/>
  <c r="E62" i="19"/>
  <c r="E14" i="19"/>
  <c r="E131" i="19"/>
  <c r="E169" i="19"/>
  <c r="E170" i="19"/>
  <c r="E259" i="19"/>
  <c r="E13" i="19"/>
  <c r="E112" i="19"/>
  <c r="E298" i="19"/>
  <c r="E310" i="19"/>
  <c r="E27" i="19"/>
  <c r="E88" i="19"/>
  <c r="E103" i="19"/>
  <c r="E132" i="19"/>
  <c r="E71" i="19"/>
  <c r="E83" i="19"/>
  <c r="E248" i="19"/>
  <c r="E313" i="19"/>
  <c r="E314" i="19"/>
  <c r="E189" i="19"/>
  <c r="E249" i="19"/>
  <c r="E40" i="19"/>
  <c r="E134" i="19"/>
  <c r="E299" i="19"/>
  <c r="E300" i="19"/>
  <c r="E223" i="19"/>
  <c r="E224" i="19"/>
  <c r="E290" i="19"/>
  <c r="E7" i="19"/>
  <c r="E301" i="19"/>
  <c r="E302" i="19"/>
  <c r="E303" i="19"/>
  <c r="E115" i="19"/>
  <c r="E305" i="19"/>
  <c r="E215" i="19"/>
  <c r="E31" i="19"/>
  <c r="E306" i="19"/>
  <c r="E307" i="19"/>
  <c r="E308" i="19"/>
  <c r="E309" i="19"/>
  <c r="E216" i="19"/>
  <c r="N6" i="18"/>
  <c r="N4" i="18"/>
  <c r="G4" i="18"/>
  <c r="G7" i="18"/>
  <c r="G5" i="18"/>
  <c r="G6" i="18"/>
  <c r="H4" i="18"/>
  <c r="H7" i="18"/>
  <c r="H5" i="18"/>
  <c r="H6" i="18"/>
  <c r="D9" i="42" l="1"/>
  <c r="AB9" i="42" s="1"/>
  <c r="K1" i="38"/>
  <c r="D10" i="42"/>
  <c r="AB10" i="42" s="1"/>
  <c r="N1" i="18"/>
  <c r="E109" i="17"/>
  <c r="E22" i="17"/>
  <c r="E60" i="17"/>
  <c r="E30" i="17"/>
  <c r="E8" i="17"/>
  <c r="E164" i="17"/>
  <c r="E231" i="17"/>
  <c r="E137" i="17"/>
  <c r="E235" i="17"/>
  <c r="E64" i="17"/>
  <c r="E158" i="17"/>
  <c r="E180" i="17"/>
  <c r="E236" i="17"/>
  <c r="E238" i="17"/>
  <c r="E111" i="17"/>
  <c r="E226" i="17"/>
  <c r="E178" i="17"/>
  <c r="E105" i="17"/>
  <c r="E297" i="17"/>
  <c r="E169" i="17"/>
  <c r="E220" i="17"/>
  <c r="E229" i="17"/>
  <c r="E179" i="17"/>
  <c r="E234" i="17"/>
  <c r="E239" i="17"/>
  <c r="E156" i="17"/>
  <c r="E102" i="17"/>
  <c r="E110" i="17"/>
  <c r="E113" i="17"/>
  <c r="E28" i="17"/>
  <c r="E295" i="17"/>
  <c r="E33" i="17"/>
  <c r="E103" i="17"/>
  <c r="E11" i="17"/>
  <c r="E76" i="17"/>
  <c r="E157" i="17"/>
  <c r="E18" i="17"/>
  <c r="E107" i="17"/>
  <c r="E19" i="17"/>
  <c r="E190" i="17"/>
  <c r="E98" i="17"/>
  <c r="E233" i="17"/>
  <c r="E136" i="17"/>
  <c r="E267" i="17"/>
  <c r="E271" i="17"/>
  <c r="E189" i="17"/>
  <c r="E165" i="17"/>
  <c r="E106" i="17"/>
  <c r="E77" i="17"/>
  <c r="E15" i="17"/>
  <c r="E42" i="17"/>
  <c r="E135" i="17"/>
  <c r="E96" i="17"/>
  <c r="E296" i="17"/>
  <c r="E61" i="17"/>
  <c r="E40" i="17"/>
  <c r="E43" i="17"/>
  <c r="E108" i="17"/>
  <c r="E268" i="17"/>
  <c r="E160" i="17"/>
  <c r="E133" i="17"/>
  <c r="E14" i="17"/>
  <c r="E182" i="17"/>
  <c r="E39" i="17"/>
  <c r="E225" i="17"/>
  <c r="E78" i="17"/>
  <c r="E232" i="17"/>
  <c r="E101" i="17"/>
  <c r="E134" i="17"/>
  <c r="E269" i="17"/>
  <c r="E100" i="17"/>
  <c r="E187" i="17"/>
  <c r="E188" i="17"/>
  <c r="E6" i="17"/>
  <c r="E228" i="17"/>
  <c r="E5" i="17"/>
  <c r="E74" i="17"/>
  <c r="E230" i="17"/>
  <c r="E29" i="17"/>
  <c r="E93" i="17"/>
  <c r="E294" i="17"/>
  <c r="E46" i="17"/>
  <c r="E7" i="17"/>
  <c r="E181" i="17"/>
  <c r="E90" i="17"/>
  <c r="E186" i="17"/>
  <c r="E99" i="17"/>
  <c r="E159" i="17"/>
  <c r="E10" i="17"/>
  <c r="E185" i="17"/>
  <c r="E272" i="17"/>
  <c r="E237" i="17" l="1"/>
  <c r="E41" i="17"/>
  <c r="E184" i="17"/>
  <c r="E161" i="17"/>
  <c r="E16" i="17"/>
  <c r="E183" i="17"/>
  <c r="E147" i="17"/>
  <c r="E92" i="17"/>
  <c r="E95" i="17"/>
  <c r="E20" i="17"/>
  <c r="E227" i="17"/>
  <c r="E17" i="17" l="1"/>
  <c r="E94" i="17"/>
  <c r="E97" i="17"/>
  <c r="E177" i="17"/>
  <c r="E13" i="17"/>
  <c r="E12" i="17"/>
  <c r="E270" i="17" l="1"/>
  <c r="E9" i="17"/>
  <c r="E166" i="17"/>
  <c r="E175" i="17"/>
  <c r="E145" i="17"/>
  <c r="D324" i="14" l="1"/>
  <c r="D323" i="14"/>
  <c r="D322" i="14"/>
  <c r="D320" i="14"/>
  <c r="D319" i="14"/>
  <c r="D316" i="14"/>
  <c r="D314" i="14"/>
  <c r="D313" i="14"/>
  <c r="D312" i="14"/>
  <c r="D311" i="14"/>
  <c r="D310" i="14"/>
  <c r="D309" i="14"/>
  <c r="D308" i="14"/>
  <c r="D305" i="14"/>
  <c r="D304" i="14"/>
  <c r="D302" i="14"/>
  <c r="D301" i="14"/>
  <c r="D298" i="14"/>
  <c r="D297" i="14"/>
  <c r="D295" i="14"/>
  <c r="D294" i="14"/>
  <c r="D293" i="14"/>
  <c r="D291" i="14"/>
  <c r="D288" i="14"/>
  <c r="D287" i="14"/>
  <c r="D286" i="14"/>
  <c r="D285" i="14"/>
  <c r="D283" i="14"/>
  <c r="D282" i="14"/>
  <c r="D280" i="14"/>
  <c r="D279" i="14"/>
  <c r="D278" i="14"/>
  <c r="D277" i="14"/>
  <c r="D274" i="14"/>
  <c r="D270" i="14"/>
  <c r="D269" i="14"/>
  <c r="D267" i="14"/>
  <c r="D266" i="14"/>
  <c r="D265" i="14"/>
  <c r="D264" i="14"/>
  <c r="D258" i="14"/>
  <c r="D255" i="14"/>
  <c r="D254" i="14"/>
  <c r="D253" i="14"/>
  <c r="D252" i="14"/>
  <c r="D251" i="14"/>
  <c r="D250" i="14"/>
  <c r="D248" i="14"/>
  <c r="D247" i="14"/>
  <c r="D245" i="14"/>
  <c r="D244" i="14"/>
  <c r="D239" i="14"/>
  <c r="D238" i="14"/>
  <c r="D237" i="14"/>
  <c r="D236" i="14"/>
  <c r="D235" i="14"/>
  <c r="D233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4" i="14"/>
  <c r="D213" i="14"/>
  <c r="D210" i="14"/>
  <c r="D209" i="14"/>
  <c r="D208" i="14"/>
  <c r="D207" i="14"/>
  <c r="D205" i="14"/>
  <c r="D202" i="14"/>
  <c r="D201" i="14"/>
  <c r="D200" i="14"/>
  <c r="D199" i="14"/>
  <c r="D198" i="14"/>
  <c r="D195" i="14"/>
  <c r="D194" i="14"/>
  <c r="D191" i="14"/>
  <c r="D190" i="14"/>
  <c r="D188" i="14"/>
  <c r="D187" i="14"/>
  <c r="D186" i="14"/>
  <c r="D185" i="14"/>
  <c r="D184" i="14"/>
  <c r="D182" i="14"/>
  <c r="D181" i="14"/>
  <c r="D180" i="14"/>
  <c r="D179" i="14"/>
  <c r="D173" i="14"/>
  <c r="D169" i="14"/>
  <c r="D168" i="14"/>
  <c r="D167" i="14"/>
  <c r="D166" i="14"/>
  <c r="D165" i="14"/>
  <c r="D162" i="14"/>
  <c r="D161" i="14"/>
  <c r="D160" i="14"/>
  <c r="D159" i="14"/>
  <c r="D151" i="14"/>
  <c r="D148" i="14"/>
  <c r="D147" i="14"/>
  <c r="D146" i="14"/>
  <c r="D144" i="14"/>
  <c r="D140" i="14"/>
  <c r="D139" i="14"/>
  <c r="D138" i="14"/>
  <c r="D137" i="14"/>
  <c r="D129" i="14"/>
  <c r="D128" i="14"/>
  <c r="D127" i="14"/>
  <c r="D126" i="14"/>
  <c r="D125" i="14"/>
  <c r="D124" i="14"/>
  <c r="D123" i="14"/>
  <c r="D122" i="14"/>
  <c r="D120" i="14"/>
  <c r="D119" i="14"/>
  <c r="D117" i="14"/>
  <c r="D116" i="14"/>
  <c r="D115" i="14"/>
  <c r="D113" i="14"/>
  <c r="D112" i="14"/>
  <c r="D108" i="14"/>
  <c r="D107" i="14"/>
  <c r="D106" i="14"/>
  <c r="D104" i="14"/>
  <c r="D103" i="14"/>
  <c r="D102" i="14"/>
  <c r="D101" i="14"/>
  <c r="D100" i="14"/>
  <c r="D99" i="14"/>
  <c r="D98" i="14"/>
  <c r="D97" i="14"/>
  <c r="D96" i="14"/>
  <c r="D95" i="14"/>
  <c r="D92" i="14"/>
  <c r="D87" i="14"/>
  <c r="D86" i="14"/>
  <c r="D82" i="14"/>
  <c r="D81" i="14"/>
  <c r="D80" i="14"/>
  <c r="D79" i="14"/>
  <c r="D78" i="14"/>
  <c r="D76" i="14"/>
  <c r="D75" i="14"/>
  <c r="D73" i="14"/>
  <c r="D72" i="14"/>
  <c r="D71" i="14"/>
  <c r="D69" i="14"/>
  <c r="D68" i="14"/>
  <c r="D67" i="14"/>
  <c r="D66" i="14"/>
  <c r="D64" i="14"/>
  <c r="D63" i="14"/>
  <c r="D62" i="14"/>
  <c r="D61" i="14"/>
  <c r="D60" i="14"/>
  <c r="D58" i="14"/>
  <c r="D57" i="14"/>
  <c r="D55" i="14"/>
  <c r="D54" i="14"/>
  <c r="D52" i="14"/>
  <c r="D51" i="14"/>
  <c r="D50" i="14"/>
  <c r="D49" i="14"/>
  <c r="D48" i="14"/>
  <c r="D42" i="14"/>
  <c r="D41" i="14"/>
  <c r="D40" i="14"/>
  <c r="D37" i="14"/>
  <c r="D36" i="14"/>
  <c r="D35" i="14"/>
  <c r="D29" i="14"/>
  <c r="D27" i="14"/>
  <c r="D26" i="14"/>
  <c r="D25" i="14"/>
  <c r="D24" i="14"/>
  <c r="D22" i="14"/>
  <c r="D21" i="14"/>
  <c r="D20" i="14"/>
  <c r="D19" i="14"/>
  <c r="D18" i="14"/>
  <c r="D17" i="14"/>
  <c r="D15" i="14"/>
  <c r="D14" i="14"/>
  <c r="D13" i="14"/>
  <c r="D11" i="14"/>
  <c r="D10" i="14"/>
  <c r="D9" i="14"/>
  <c r="D8" i="14"/>
  <c r="D7" i="14"/>
  <c r="D6" i="14"/>
  <c r="D5" i="14"/>
  <c r="D4" i="14"/>
  <c r="E324" i="14"/>
  <c r="E323" i="14"/>
  <c r="E322" i="14"/>
  <c r="E320" i="14"/>
  <c r="E319" i="14"/>
  <c r="E316" i="14"/>
  <c r="E314" i="14"/>
  <c r="E313" i="14"/>
  <c r="E312" i="14"/>
  <c r="E311" i="14"/>
  <c r="E310" i="14"/>
  <c r="E309" i="14"/>
  <c r="E308" i="14"/>
  <c r="E305" i="14"/>
  <c r="E304" i="14"/>
  <c r="E302" i="14"/>
  <c r="E301" i="14"/>
  <c r="E298" i="14"/>
  <c r="E297" i="14"/>
  <c r="E295" i="14"/>
  <c r="E294" i="14"/>
  <c r="E293" i="14"/>
  <c r="E291" i="14"/>
  <c r="E288" i="14"/>
  <c r="E287" i="14"/>
  <c r="E286" i="14"/>
  <c r="E285" i="14"/>
  <c r="E283" i="14"/>
  <c r="E282" i="14"/>
  <c r="E280" i="14"/>
  <c r="E279" i="14"/>
  <c r="E278" i="14"/>
  <c r="E277" i="14"/>
  <c r="E274" i="14"/>
  <c r="E270" i="14"/>
  <c r="E269" i="14"/>
  <c r="E267" i="14"/>
  <c r="E266" i="14"/>
  <c r="E265" i="14"/>
  <c r="E264" i="14"/>
  <c r="E258" i="14"/>
  <c r="E255" i="14"/>
  <c r="E254" i="14"/>
  <c r="E253" i="14"/>
  <c r="E252" i="14"/>
  <c r="E251" i="14"/>
  <c r="E250" i="14"/>
  <c r="E248" i="14"/>
  <c r="E247" i="14"/>
  <c r="E245" i="14"/>
  <c r="E244" i="14"/>
  <c r="E239" i="14"/>
  <c r="E238" i="14"/>
  <c r="E237" i="14"/>
  <c r="E236" i="14"/>
  <c r="E235" i="14"/>
  <c r="E233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4" i="14"/>
  <c r="E213" i="14"/>
  <c r="E210" i="14"/>
  <c r="E209" i="14"/>
  <c r="E208" i="14"/>
  <c r="E207" i="14"/>
  <c r="E205" i="14"/>
  <c r="E202" i="14"/>
  <c r="E201" i="14"/>
  <c r="E200" i="14"/>
  <c r="E199" i="14"/>
  <c r="E198" i="14"/>
  <c r="E195" i="14"/>
  <c r="E194" i="14"/>
  <c r="E191" i="14"/>
  <c r="E190" i="14"/>
  <c r="E188" i="14"/>
  <c r="E187" i="14"/>
  <c r="E186" i="14"/>
  <c r="E185" i="14"/>
  <c r="E184" i="14"/>
  <c r="E182" i="14"/>
  <c r="E181" i="14"/>
  <c r="E180" i="14"/>
  <c r="E179" i="14"/>
  <c r="E173" i="14"/>
  <c r="E169" i="14"/>
  <c r="E168" i="14"/>
  <c r="E167" i="14"/>
  <c r="E166" i="14"/>
  <c r="E165" i="14"/>
  <c r="E162" i="14"/>
  <c r="E161" i="14"/>
  <c r="E160" i="14"/>
  <c r="E159" i="14"/>
  <c r="E151" i="14"/>
  <c r="E148" i="14"/>
  <c r="E147" i="14"/>
  <c r="E146" i="14"/>
  <c r="E144" i="14"/>
  <c r="E140" i="14"/>
  <c r="E139" i="14"/>
  <c r="E138" i="14"/>
  <c r="E137" i="14"/>
  <c r="E129" i="14"/>
  <c r="E128" i="14"/>
  <c r="E127" i="14"/>
  <c r="E126" i="14"/>
  <c r="E125" i="14"/>
  <c r="E124" i="14"/>
  <c r="E123" i="14"/>
  <c r="E122" i="14"/>
  <c r="E120" i="14"/>
  <c r="E119" i="14"/>
  <c r="E117" i="14"/>
  <c r="E116" i="14"/>
  <c r="E115" i="14"/>
  <c r="E113" i="14"/>
  <c r="E112" i="14"/>
  <c r="E108" i="14"/>
  <c r="E107" i="14"/>
  <c r="E106" i="14"/>
  <c r="E104" i="14"/>
  <c r="E103" i="14"/>
  <c r="E102" i="14"/>
  <c r="E101" i="14"/>
  <c r="E100" i="14"/>
  <c r="E99" i="14"/>
  <c r="E98" i="14"/>
  <c r="E97" i="14"/>
  <c r="E96" i="14"/>
  <c r="E95" i="14"/>
  <c r="E92" i="14"/>
  <c r="E87" i="14"/>
  <c r="E86" i="14"/>
  <c r="E82" i="14"/>
  <c r="E81" i="14"/>
  <c r="E80" i="14"/>
  <c r="E79" i="14"/>
  <c r="E78" i="14"/>
  <c r="E76" i="14"/>
  <c r="E75" i="14"/>
  <c r="E73" i="14"/>
  <c r="E72" i="14"/>
  <c r="E71" i="14"/>
  <c r="E69" i="14"/>
  <c r="E68" i="14"/>
  <c r="E67" i="14"/>
  <c r="E66" i="14"/>
  <c r="E64" i="14"/>
  <c r="E63" i="14"/>
  <c r="E62" i="14"/>
  <c r="E61" i="14"/>
  <c r="E60" i="14"/>
  <c r="E58" i="14"/>
  <c r="E57" i="14"/>
  <c r="E55" i="14"/>
  <c r="E54" i="14"/>
  <c r="E52" i="14"/>
  <c r="E51" i="14"/>
  <c r="E50" i="14"/>
  <c r="E49" i="14"/>
  <c r="E48" i="14"/>
  <c r="E42" i="14"/>
  <c r="E41" i="14"/>
  <c r="E40" i="14"/>
  <c r="E37" i="14"/>
  <c r="E36" i="14"/>
  <c r="E35" i="14"/>
  <c r="E29" i="14"/>
  <c r="E27" i="14"/>
  <c r="E26" i="14"/>
  <c r="E25" i="14"/>
  <c r="E24" i="14"/>
  <c r="E22" i="14"/>
  <c r="E21" i="14"/>
  <c r="E20" i="14"/>
  <c r="E19" i="14"/>
  <c r="E18" i="14"/>
  <c r="E17" i="14"/>
  <c r="E15" i="14"/>
  <c r="E14" i="14"/>
  <c r="E13" i="14"/>
  <c r="E11" i="14"/>
  <c r="E10" i="14"/>
  <c r="E9" i="14"/>
  <c r="E8" i="14"/>
  <c r="E7" i="14"/>
  <c r="E6" i="14"/>
  <c r="E5" i="14"/>
  <c r="E4" i="14"/>
  <c r="E195" i="13"/>
  <c r="E110" i="13"/>
  <c r="E70" i="13"/>
  <c r="E193" i="13"/>
  <c r="E209" i="13"/>
  <c r="E78" i="13"/>
  <c r="E85" i="13"/>
  <c r="E93" i="13"/>
  <c r="E112" i="13"/>
  <c r="E158" i="13"/>
  <c r="E159" i="13"/>
  <c r="E109" i="13"/>
  <c r="E179" i="13"/>
  <c r="E136" i="13"/>
  <c r="E174" i="13"/>
  <c r="E170" i="13"/>
  <c r="E124" i="13"/>
  <c r="E96" i="13"/>
  <c r="E303" i="13"/>
  <c r="E245" i="13"/>
  <c r="E120" i="13"/>
  <c r="E76" i="13"/>
  <c r="E57" i="13"/>
  <c r="E165" i="13"/>
  <c r="E259" i="13"/>
  <c r="E211" i="13"/>
  <c r="E39" i="13"/>
  <c r="E185" i="13"/>
  <c r="E149" i="13"/>
  <c r="E304" i="13"/>
  <c r="E58" i="13"/>
  <c r="E299" i="13"/>
  <c r="E246" i="13"/>
  <c r="E300" i="13"/>
  <c r="E293" i="13"/>
  <c r="E307" i="13"/>
  <c r="E103" i="13"/>
  <c r="E254" i="13"/>
  <c r="E253" i="13"/>
  <c r="E223" i="13"/>
  <c r="E186" i="13"/>
  <c r="E206" i="13"/>
  <c r="E194" i="13"/>
  <c r="E208" i="13"/>
  <c r="E181" i="13"/>
  <c r="E153" i="13"/>
  <c r="E75" i="13"/>
  <c r="E98" i="13"/>
  <c r="E94" i="13"/>
  <c r="E200" i="13"/>
  <c r="E100" i="13"/>
  <c r="E106" i="13"/>
  <c r="E224" i="13"/>
  <c r="E247" i="13"/>
  <c r="E225" i="13"/>
  <c r="E156" i="13"/>
  <c r="E198" i="13"/>
  <c r="E162" i="13"/>
  <c r="E40" i="13"/>
  <c r="E210" i="13"/>
  <c r="E226" i="13"/>
  <c r="E227" i="13"/>
  <c r="E228" i="13"/>
  <c r="E229" i="13"/>
  <c r="E230" i="13"/>
  <c r="E231" i="13"/>
  <c r="E212" i="13"/>
  <c r="E232" i="13"/>
  <c r="E239" i="13"/>
  <c r="E213" i="13"/>
  <c r="E27" i="13"/>
  <c r="E279" i="13"/>
  <c r="E284" i="13"/>
  <c r="E196" i="13"/>
  <c r="E150" i="13"/>
  <c r="E175" i="13"/>
  <c r="E115" i="13"/>
  <c r="E278" i="13"/>
  <c r="E116" i="13"/>
  <c r="E296" i="13"/>
  <c r="E117" i="13"/>
  <c r="E191" i="13"/>
  <c r="E55" i="13"/>
  <c r="E240" i="13"/>
  <c r="E248" i="13"/>
  <c r="E233" i="13"/>
  <c r="E164" i="13"/>
  <c r="E197" i="13"/>
  <c r="E241" i="13"/>
  <c r="E242" i="13"/>
  <c r="E113" i="13"/>
  <c r="E234" i="13"/>
  <c r="E277" i="13"/>
  <c r="E155" i="13"/>
  <c r="E101" i="13"/>
  <c r="E166" i="13"/>
  <c r="E173" i="13"/>
  <c r="E280" i="13"/>
  <c r="E306" i="13"/>
  <c r="E184" i="13"/>
  <c r="E74" i="13"/>
  <c r="E90" i="13"/>
  <c r="E41" i="13"/>
  <c r="E235" i="13"/>
  <c r="E167" i="13"/>
  <c r="E91" i="13"/>
  <c r="E214" i="13"/>
  <c r="E255" i="13"/>
  <c r="E180" i="13"/>
  <c r="E285" i="13"/>
  <c r="E53" i="13"/>
  <c r="E176" i="13"/>
  <c r="E118" i="13"/>
  <c r="E111" i="13"/>
  <c r="E295" i="13"/>
  <c r="E152" i="13"/>
  <c r="E261" i="13"/>
  <c r="E163" i="13"/>
  <c r="E199" i="13"/>
  <c r="E73" i="13"/>
  <c r="E287" i="13"/>
  <c r="E71" i="13"/>
  <c r="E148" i="13"/>
  <c r="E141" i="13"/>
  <c r="E92" i="13"/>
  <c r="E36" i="13"/>
  <c r="E161" i="13"/>
  <c r="E79" i="13"/>
  <c r="E102" i="13"/>
  <c r="E108" i="13"/>
  <c r="E147" i="13"/>
  <c r="E154" i="13"/>
  <c r="E89" i="13"/>
  <c r="E236" i="13"/>
  <c r="E56" i="13"/>
  <c r="E215" i="13"/>
  <c r="E171" i="13"/>
  <c r="E207" i="13"/>
  <c r="E305" i="13"/>
  <c r="E42" i="13"/>
  <c r="E104" i="13"/>
  <c r="E137" i="13"/>
  <c r="E243" i="13"/>
  <c r="E216" i="13"/>
  <c r="E217" i="13"/>
  <c r="E178" i="13"/>
  <c r="E258" i="13"/>
  <c r="E265" i="13"/>
  <c r="E121" i="13"/>
  <c r="E151" i="13"/>
  <c r="E122" i="13"/>
  <c r="E177" i="13"/>
  <c r="E63" i="13"/>
  <c r="E114" i="13"/>
  <c r="E237" i="13"/>
  <c r="E202" i="13"/>
  <c r="E82" i="13"/>
  <c r="E81" i="13"/>
  <c r="E123" i="13"/>
  <c r="E146" i="13"/>
  <c r="E59" i="13"/>
  <c r="E187" i="13"/>
  <c r="E84" i="13"/>
  <c r="E72" i="13"/>
  <c r="E157" i="13"/>
  <c r="E249" i="13"/>
  <c r="E172" i="13"/>
  <c r="E88" i="13"/>
  <c r="E267" i="13"/>
  <c r="E204" i="13"/>
  <c r="E182" i="13"/>
  <c r="E183" i="13"/>
  <c r="E238" i="13"/>
  <c r="E119" i="13"/>
  <c r="E205" i="13"/>
  <c r="E160" i="13"/>
  <c r="E201" i="13"/>
  <c r="E244" i="13"/>
  <c r="E250" i="13"/>
  <c r="E218" i="13"/>
  <c r="E251" i="13"/>
  <c r="E219" i="13"/>
  <c r="E105" i="13"/>
  <c r="E220" i="13"/>
  <c r="E221" i="13"/>
  <c r="E222" i="13"/>
  <c r="E52" i="13"/>
  <c r="E294" i="13"/>
  <c r="E203" i="13"/>
  <c r="E125" i="13"/>
  <c r="E192" i="13"/>
  <c r="E168" i="13"/>
  <c r="E169" i="13"/>
  <c r="E252" i="13"/>
  <c r="E95" i="13"/>
  <c r="E97" i="13"/>
  <c r="E99" i="13"/>
  <c r="E107" i="13"/>
  <c r="G12" i="16"/>
  <c r="G13" i="16"/>
  <c r="G4" i="16"/>
  <c r="C2" i="5" l="1"/>
  <c r="M180" i="5"/>
  <c r="M181" i="5"/>
  <c r="M182" i="5"/>
  <c r="D41" i="5"/>
  <c r="D42" i="5"/>
  <c r="D43" i="5"/>
  <c r="D105" i="5"/>
  <c r="D44" i="5"/>
  <c r="D45" i="5"/>
  <c r="D117" i="5"/>
  <c r="D107" i="5"/>
  <c r="D47" i="5"/>
  <c r="D128" i="5"/>
  <c r="D48" i="5"/>
  <c r="D51" i="5"/>
  <c r="D93" i="5"/>
  <c r="D52" i="5"/>
  <c r="D118" i="5"/>
  <c r="D54" i="5"/>
  <c r="D56" i="5"/>
  <c r="D58" i="5"/>
  <c r="D59" i="5"/>
  <c r="D60" i="5"/>
  <c r="D96" i="5"/>
  <c r="D63" i="5"/>
  <c r="D65" i="5"/>
  <c r="D130" i="5"/>
  <c r="D66" i="5"/>
  <c r="D132" i="5"/>
  <c r="D133" i="5"/>
  <c r="D110" i="5"/>
  <c r="D68" i="5"/>
  <c r="D69" i="5"/>
  <c r="D70" i="5"/>
  <c r="D71" i="5"/>
  <c r="D73" i="5"/>
  <c r="E41" i="5"/>
  <c r="E42" i="5"/>
  <c r="E43" i="5"/>
  <c r="E105" i="5"/>
  <c r="E44" i="5"/>
  <c r="E45" i="5"/>
  <c r="E117" i="5"/>
  <c r="E107" i="5"/>
  <c r="E47" i="5"/>
  <c r="E128" i="5"/>
  <c r="E48" i="5"/>
  <c r="E51" i="5"/>
  <c r="E93" i="5"/>
  <c r="E52" i="5"/>
  <c r="E118" i="5"/>
  <c r="E54" i="5"/>
  <c r="E56" i="5"/>
  <c r="E58" i="5"/>
  <c r="E59" i="5"/>
  <c r="E60" i="5"/>
  <c r="E96" i="5"/>
  <c r="E63" i="5"/>
  <c r="E65" i="5"/>
  <c r="E130" i="5"/>
  <c r="E66" i="5"/>
  <c r="E132" i="5"/>
  <c r="E133" i="5"/>
  <c r="E110" i="5"/>
  <c r="E68" i="5"/>
  <c r="E69" i="5"/>
  <c r="E70" i="5"/>
  <c r="E71" i="5"/>
  <c r="E73" i="5"/>
  <c r="J41" i="5"/>
  <c r="J42" i="5"/>
  <c r="J43" i="5"/>
  <c r="J105" i="5"/>
  <c r="J44" i="5"/>
  <c r="J45" i="5"/>
  <c r="J117" i="5"/>
  <c r="J107" i="5"/>
  <c r="J47" i="5"/>
  <c r="J128" i="5"/>
  <c r="J48" i="5"/>
  <c r="J51" i="5"/>
  <c r="J93" i="5"/>
  <c r="J52" i="5"/>
  <c r="J118" i="5"/>
  <c r="J54" i="5"/>
  <c r="J56" i="5"/>
  <c r="J58" i="5"/>
  <c r="J59" i="5"/>
  <c r="J60" i="5"/>
  <c r="J96" i="5"/>
  <c r="J63" i="5"/>
  <c r="J65" i="5"/>
  <c r="J130" i="5"/>
  <c r="J66" i="5"/>
  <c r="J132" i="5"/>
  <c r="J133" i="5"/>
  <c r="J110" i="5"/>
  <c r="J68" i="5"/>
  <c r="J69" i="5"/>
  <c r="J70" i="5"/>
  <c r="J71" i="5"/>
  <c r="J73" i="5"/>
  <c r="E321" i="14"/>
  <c r="E318" i="14"/>
  <c r="E317" i="14"/>
  <c r="E315" i="14"/>
  <c r="E307" i="14"/>
  <c r="E306" i="14"/>
  <c r="E303" i="14"/>
  <c r="E300" i="14"/>
  <c r="E299" i="14"/>
  <c r="E296" i="14"/>
  <c r="E292" i="14"/>
  <c r="E290" i="14"/>
  <c r="E289" i="14"/>
  <c r="E284" i="14"/>
  <c r="E281" i="14"/>
  <c r="E276" i="14"/>
  <c r="E275" i="14"/>
  <c r="E273" i="14"/>
  <c r="E272" i="14"/>
  <c r="E271" i="14"/>
  <c r="E268" i="14"/>
  <c r="E263" i="14"/>
  <c r="E262" i="14"/>
  <c r="E261" i="14"/>
  <c r="E260" i="14"/>
  <c r="E259" i="14"/>
  <c r="E257" i="14"/>
  <c r="E256" i="14"/>
  <c r="E249" i="14"/>
  <c r="E246" i="14"/>
  <c r="E243" i="14"/>
  <c r="E242" i="14"/>
  <c r="E241" i="14"/>
  <c r="E240" i="14"/>
  <c r="E234" i="14"/>
  <c r="E232" i="14"/>
  <c r="E215" i="14"/>
  <c r="E212" i="14"/>
  <c r="E211" i="14"/>
  <c r="E206" i="14"/>
  <c r="E204" i="14"/>
  <c r="E203" i="14"/>
  <c r="E197" i="14"/>
  <c r="E196" i="14"/>
  <c r="E193" i="14"/>
  <c r="E192" i="14"/>
  <c r="E189" i="14"/>
  <c r="E183" i="14"/>
  <c r="E178" i="14"/>
  <c r="E177" i="14"/>
  <c r="E176" i="14"/>
  <c r="E175" i="14"/>
  <c r="E174" i="14"/>
  <c r="E172" i="14"/>
  <c r="E171" i="14"/>
  <c r="E170" i="14"/>
  <c r="E164" i="14"/>
  <c r="E163" i="14"/>
  <c r="E158" i="14"/>
  <c r="E157" i="14"/>
  <c r="E156" i="14"/>
  <c r="E155" i="14"/>
  <c r="E154" i="14"/>
  <c r="E153" i="14"/>
  <c r="E152" i="14"/>
  <c r="E150" i="14"/>
  <c r="E149" i="14"/>
  <c r="E145" i="14"/>
  <c r="E143" i="14"/>
  <c r="E142" i="14"/>
  <c r="E141" i="14"/>
  <c r="E136" i="14"/>
  <c r="E135" i="14"/>
  <c r="E134" i="14"/>
  <c r="E133" i="14"/>
  <c r="E132" i="14"/>
  <c r="E131" i="14"/>
  <c r="E130" i="14"/>
  <c r="E121" i="14"/>
  <c r="E118" i="14"/>
  <c r="E114" i="14"/>
  <c r="E111" i="14"/>
  <c r="E110" i="14"/>
  <c r="E109" i="14"/>
  <c r="E105" i="14"/>
  <c r="E94" i="14"/>
  <c r="E93" i="14"/>
  <c r="E91" i="14"/>
  <c r="E90" i="14"/>
  <c r="E89" i="14"/>
  <c r="E88" i="14"/>
  <c r="E85" i="14"/>
  <c r="E84" i="14"/>
  <c r="E83" i="14"/>
  <c r="E77" i="14"/>
  <c r="E74" i="14"/>
  <c r="E70" i="14"/>
  <c r="E65" i="14"/>
  <c r="E59" i="14"/>
  <c r="E56" i="14"/>
  <c r="E53" i="14"/>
  <c r="E47" i="14"/>
  <c r="E46" i="14"/>
  <c r="E45" i="14"/>
  <c r="E44" i="14"/>
  <c r="E43" i="14"/>
  <c r="E39" i="14"/>
  <c r="E38" i="14"/>
  <c r="E34" i="14"/>
  <c r="E33" i="14"/>
  <c r="E32" i="14"/>
  <c r="E31" i="14"/>
  <c r="E30" i="14"/>
  <c r="E28" i="14"/>
  <c r="E23" i="14"/>
  <c r="E16" i="14"/>
  <c r="E12" i="14"/>
  <c r="D321" i="14"/>
  <c r="D318" i="14"/>
  <c r="D317" i="14"/>
  <c r="D315" i="14"/>
  <c r="D307" i="14"/>
  <c r="D306" i="14"/>
  <c r="D303" i="14"/>
  <c r="D300" i="14"/>
  <c r="D299" i="14"/>
  <c r="D296" i="14"/>
  <c r="D292" i="14"/>
  <c r="D290" i="14"/>
  <c r="D289" i="14"/>
  <c r="D284" i="14"/>
  <c r="D281" i="14"/>
  <c r="D276" i="14"/>
  <c r="D275" i="14"/>
  <c r="D273" i="14"/>
  <c r="D272" i="14"/>
  <c r="D271" i="14"/>
  <c r="D268" i="14"/>
  <c r="D263" i="14"/>
  <c r="D262" i="14"/>
  <c r="D261" i="14"/>
  <c r="D260" i="14"/>
  <c r="D259" i="14"/>
  <c r="D257" i="14"/>
  <c r="D256" i="14"/>
  <c r="D249" i="14"/>
  <c r="D246" i="14"/>
  <c r="D243" i="14"/>
  <c r="D242" i="14"/>
  <c r="D241" i="14"/>
  <c r="D240" i="14"/>
  <c r="D234" i="14"/>
  <c r="D232" i="14"/>
  <c r="D215" i="14"/>
  <c r="D212" i="14"/>
  <c r="D211" i="14"/>
  <c r="D206" i="14"/>
  <c r="D204" i="14"/>
  <c r="D203" i="14"/>
  <c r="D197" i="14"/>
  <c r="D196" i="14"/>
  <c r="D193" i="14"/>
  <c r="D192" i="14"/>
  <c r="D189" i="14"/>
  <c r="D183" i="14"/>
  <c r="D178" i="14"/>
  <c r="D177" i="14"/>
  <c r="D176" i="14"/>
  <c r="D175" i="14"/>
  <c r="D174" i="14"/>
  <c r="D172" i="14"/>
  <c r="D171" i="14"/>
  <c r="D170" i="14"/>
  <c r="D164" i="14"/>
  <c r="D163" i="14"/>
  <c r="D158" i="14"/>
  <c r="D157" i="14"/>
  <c r="D156" i="14"/>
  <c r="D155" i="14"/>
  <c r="D154" i="14"/>
  <c r="D153" i="14"/>
  <c r="D152" i="14"/>
  <c r="D150" i="14"/>
  <c r="D149" i="14"/>
  <c r="D145" i="14"/>
  <c r="D143" i="14"/>
  <c r="D142" i="14"/>
  <c r="D141" i="14"/>
  <c r="D136" i="14"/>
  <c r="D135" i="14"/>
  <c r="D134" i="14"/>
  <c r="D133" i="14"/>
  <c r="D132" i="14"/>
  <c r="D131" i="14"/>
  <c r="D130" i="14"/>
  <c r="D121" i="14"/>
  <c r="D118" i="14"/>
  <c r="D114" i="14"/>
  <c r="D111" i="14"/>
  <c r="D110" i="14"/>
  <c r="D109" i="14"/>
  <c r="D105" i="14"/>
  <c r="D94" i="14"/>
  <c r="D93" i="14"/>
  <c r="D91" i="14"/>
  <c r="D90" i="14"/>
  <c r="D89" i="14"/>
  <c r="D88" i="14"/>
  <c r="D85" i="14"/>
  <c r="D84" i="14"/>
  <c r="D83" i="14"/>
  <c r="D77" i="14"/>
  <c r="D74" i="14"/>
  <c r="D70" i="14"/>
  <c r="D65" i="14"/>
  <c r="D59" i="14"/>
  <c r="D56" i="14"/>
  <c r="D53" i="14"/>
  <c r="D47" i="14"/>
  <c r="D46" i="14"/>
  <c r="D45" i="14"/>
  <c r="D44" i="14"/>
  <c r="D43" i="14"/>
  <c r="D39" i="14"/>
  <c r="D38" i="14"/>
  <c r="D34" i="14"/>
  <c r="D33" i="14"/>
  <c r="D32" i="14"/>
  <c r="D31" i="14"/>
  <c r="D30" i="14"/>
  <c r="D28" i="14"/>
  <c r="D23" i="14"/>
  <c r="D16" i="14"/>
  <c r="D12" i="14"/>
  <c r="E288" i="13"/>
  <c r="E262" i="13"/>
  <c r="E271" i="13"/>
  <c r="E313" i="13"/>
  <c r="E312" i="13"/>
  <c r="E314" i="13"/>
  <c r="E30" i="13"/>
  <c r="E44" i="13"/>
  <c r="E31" i="13"/>
  <c r="E51" i="13"/>
  <c r="E263" i="13"/>
  <c r="E33" i="13"/>
  <c r="E14" i="13"/>
  <c r="E35" i="13"/>
  <c r="E54" i="13"/>
  <c r="E20" i="13"/>
  <c r="E272" i="13"/>
  <c r="E45" i="13"/>
  <c r="E273" i="13"/>
  <c r="E274" i="13"/>
  <c r="E275" i="13"/>
  <c r="E134" i="13"/>
  <c r="E276" i="13"/>
  <c r="E264" i="13"/>
  <c r="E37" i="13"/>
  <c r="E283" i="13"/>
  <c r="E282" i="13"/>
  <c r="E281" i="13"/>
  <c r="E189" i="13"/>
  <c r="E188" i="13"/>
  <c r="E66" i="13"/>
  <c r="E5" i="13"/>
  <c r="E25" i="13"/>
  <c r="E34" i="13"/>
  <c r="E29" i="13"/>
  <c r="E15" i="13"/>
  <c r="E138" i="13"/>
  <c r="E127" i="13"/>
  <c r="E62" i="13"/>
  <c r="E26" i="13"/>
  <c r="E139" i="13"/>
  <c r="E16" i="13"/>
  <c r="E286" i="13"/>
  <c r="E64" i="13"/>
  <c r="E126" i="13"/>
  <c r="E60" i="13"/>
  <c r="E50" i="13"/>
  <c r="E32" i="13"/>
  <c r="E131" i="13"/>
  <c r="E135" i="13"/>
  <c r="E6" i="13"/>
  <c r="E77" i="13"/>
  <c r="E289" i="13"/>
  <c r="E67" i="13"/>
  <c r="E69" i="13"/>
  <c r="E22" i="13"/>
  <c r="E129" i="13"/>
  <c r="E128" i="13"/>
  <c r="E21" i="13"/>
  <c r="E132" i="13"/>
  <c r="E291" i="13"/>
  <c r="E266" i="13"/>
  <c r="E19" i="13"/>
  <c r="E46" i="13"/>
  <c r="E47" i="13"/>
  <c r="E17" i="13"/>
  <c r="E80" i="13"/>
  <c r="E290" i="13"/>
  <c r="E18" i="13"/>
  <c r="E61" i="13"/>
  <c r="E142" i="13"/>
  <c r="E140" i="13"/>
  <c r="E292" i="13"/>
  <c r="E48" i="13"/>
  <c r="E297" i="13"/>
  <c r="E43" i="13"/>
  <c r="E143" i="13"/>
  <c r="E49" i="13"/>
  <c r="E12" i="13"/>
  <c r="E13" i="13"/>
  <c r="E23" i="13"/>
  <c r="E298" i="13"/>
  <c r="E301" i="13"/>
  <c r="E302" i="13"/>
  <c r="E144" i="13"/>
  <c r="E24" i="13"/>
  <c r="E190" i="13"/>
  <c r="E145" i="13"/>
  <c r="E83" i="13"/>
  <c r="E133" i="13"/>
  <c r="E260" i="13"/>
  <c r="E38" i="13"/>
  <c r="E68" i="13"/>
  <c r="E308" i="13"/>
  <c r="E87" i="13"/>
  <c r="E86" i="13"/>
  <c r="E65" i="13"/>
  <c r="E256" i="13"/>
  <c r="E130" i="13"/>
  <c r="E268" i="13"/>
  <c r="E309" i="13"/>
  <c r="E28" i="13"/>
  <c r="E269" i="13"/>
  <c r="E257" i="13"/>
  <c r="E310" i="13"/>
  <c r="E270" i="13"/>
  <c r="E7" i="13"/>
  <c r="E4" i="13"/>
  <c r="E9" i="13"/>
  <c r="E11" i="13"/>
  <c r="E10" i="13"/>
  <c r="E8" i="13"/>
  <c r="E311" i="13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75" i="5"/>
  <c r="E76" i="5"/>
  <c r="E34" i="5"/>
  <c r="E35" i="5"/>
  <c r="E36" i="5"/>
  <c r="E37" i="5"/>
  <c r="E38" i="5"/>
  <c r="E39" i="5"/>
  <c r="E57" i="5"/>
  <c r="E77" i="5"/>
  <c r="E78" i="5"/>
  <c r="E80" i="5"/>
  <c r="E84" i="5"/>
  <c r="E88" i="5"/>
  <c r="E89" i="5"/>
  <c r="E91" i="5"/>
  <c r="E92" i="5"/>
  <c r="E193" i="5"/>
  <c r="E195" i="5"/>
  <c r="E201" i="5"/>
  <c r="E183" i="5"/>
  <c r="E184" i="5"/>
  <c r="E185" i="5"/>
  <c r="E186" i="5"/>
  <c r="E187" i="5"/>
  <c r="E188" i="5"/>
  <c r="E189" i="5"/>
  <c r="E190" i="5"/>
  <c r="E191" i="5"/>
  <c r="E192" i="5"/>
  <c r="E194" i="5"/>
  <c r="E196" i="5"/>
  <c r="E197" i="5"/>
  <c r="E198" i="5"/>
  <c r="E199" i="5"/>
  <c r="E200" i="5"/>
  <c r="E212" i="5"/>
  <c r="E213" i="5"/>
  <c r="E215" i="5"/>
  <c r="E216" i="5"/>
  <c r="E219" i="5"/>
  <c r="E221" i="5"/>
  <c r="E224" i="5"/>
  <c r="E202" i="5"/>
  <c r="E203" i="5"/>
  <c r="E204" i="5"/>
  <c r="E205" i="5"/>
  <c r="E206" i="5"/>
  <c r="E207" i="5"/>
  <c r="E208" i="5"/>
  <c r="E209" i="5"/>
  <c r="E210" i="5"/>
  <c r="E211" i="5"/>
  <c r="E214" i="5"/>
  <c r="E217" i="5"/>
  <c r="E218" i="5"/>
  <c r="E220" i="5"/>
  <c r="E222" i="5"/>
  <c r="E223" i="5"/>
  <c r="E225" i="5"/>
  <c r="E226" i="5"/>
  <c r="E227" i="5"/>
  <c r="E228" i="5"/>
  <c r="E229" i="5"/>
  <c r="E230" i="5"/>
  <c r="E231" i="5"/>
  <c r="E232" i="5"/>
  <c r="E233" i="5"/>
  <c r="E234" i="5"/>
  <c r="E235" i="5"/>
  <c r="E237" i="5"/>
  <c r="E238" i="5"/>
  <c r="E240" i="5"/>
  <c r="E241" i="5"/>
  <c r="E243" i="5"/>
  <c r="E246" i="5"/>
  <c r="E249" i="5"/>
  <c r="E258" i="5"/>
  <c r="E260" i="5"/>
  <c r="E264" i="5"/>
  <c r="E268" i="5"/>
  <c r="E236" i="5"/>
  <c r="E239" i="5"/>
  <c r="E242" i="5"/>
  <c r="E244" i="5"/>
  <c r="E245" i="5"/>
  <c r="E247" i="5"/>
  <c r="E248" i="5"/>
  <c r="E250" i="5"/>
  <c r="E251" i="5"/>
  <c r="E252" i="5"/>
  <c r="E253" i="5"/>
  <c r="E254" i="5"/>
  <c r="E255" i="5"/>
  <c r="E256" i="5"/>
  <c r="E257" i="5"/>
  <c r="E259" i="5"/>
  <c r="E261" i="5"/>
  <c r="E262" i="5"/>
  <c r="E263" i="5"/>
  <c r="E265" i="5"/>
  <c r="E266" i="5"/>
  <c r="E267" i="5"/>
  <c r="E269" i="5"/>
  <c r="E270" i="5"/>
  <c r="E271" i="5"/>
  <c r="E272" i="5"/>
  <c r="E273" i="5"/>
  <c r="E274" i="5"/>
  <c r="E104" i="5"/>
  <c r="E108" i="5"/>
  <c r="E61" i="5"/>
  <c r="E123" i="5"/>
  <c r="E40" i="5"/>
  <c r="E106" i="5"/>
  <c r="E127" i="5"/>
  <c r="E46" i="5"/>
  <c r="E49" i="5"/>
  <c r="E50" i="5"/>
  <c r="E53" i="5"/>
  <c r="E94" i="5"/>
  <c r="E55" i="5"/>
  <c r="E129" i="5"/>
  <c r="E119" i="5"/>
  <c r="E95" i="5"/>
  <c r="E109" i="5"/>
  <c r="E62" i="5"/>
  <c r="E64" i="5"/>
  <c r="E131" i="5"/>
  <c r="E97" i="5"/>
  <c r="E120" i="5"/>
  <c r="E134" i="5"/>
  <c r="E67" i="5"/>
  <c r="E135" i="5"/>
  <c r="E121" i="5"/>
  <c r="E72" i="5"/>
  <c r="E122" i="5"/>
  <c r="E136" i="5"/>
  <c r="E74" i="5"/>
  <c r="E98" i="5"/>
  <c r="E180" i="5"/>
  <c r="E181" i="5"/>
  <c r="E182" i="5"/>
  <c r="E142" i="5"/>
  <c r="E124" i="5"/>
  <c r="E113" i="5"/>
  <c r="E163" i="5"/>
  <c r="E179" i="5"/>
  <c r="E111" i="5"/>
  <c r="E152" i="5"/>
  <c r="E139" i="5"/>
  <c r="E100" i="5"/>
  <c r="E154" i="5"/>
  <c r="E176" i="5"/>
  <c r="E177" i="5"/>
  <c r="E143" i="5"/>
  <c r="E125" i="5"/>
  <c r="E144" i="5"/>
  <c r="E172" i="5"/>
  <c r="E140" i="5"/>
  <c r="E173" i="5"/>
  <c r="E146" i="5"/>
  <c r="E141" i="5"/>
  <c r="E165" i="5"/>
  <c r="E115" i="5"/>
  <c r="E83" i="5"/>
  <c r="E148" i="5"/>
  <c r="E145" i="5"/>
  <c r="E126" i="5"/>
  <c r="E166" i="5"/>
  <c r="E167" i="5"/>
  <c r="E138" i="5"/>
  <c r="E175" i="5"/>
  <c r="E116" i="5"/>
  <c r="E16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8" i="5"/>
  <c r="E291" i="5"/>
  <c r="E292" i="5"/>
  <c r="E293" i="5"/>
  <c r="E294" i="5"/>
  <c r="E295" i="5"/>
  <c r="E296" i="5"/>
  <c r="E297" i="5"/>
  <c r="E299" i="5"/>
  <c r="E300" i="5"/>
  <c r="E301" i="5"/>
  <c r="E302" i="5"/>
  <c r="E303" i="5"/>
  <c r="E99" i="5"/>
  <c r="E168" i="5"/>
  <c r="E151" i="5"/>
  <c r="E169" i="5"/>
  <c r="E170" i="5"/>
  <c r="E159" i="5"/>
  <c r="E112" i="5"/>
  <c r="E79" i="5"/>
  <c r="E153" i="5"/>
  <c r="E149" i="5"/>
  <c r="E150" i="5"/>
  <c r="E171" i="5"/>
  <c r="E155" i="5"/>
  <c r="E101" i="5"/>
  <c r="E102" i="5"/>
  <c r="E103" i="5"/>
  <c r="E114" i="5"/>
  <c r="E161" i="5"/>
  <c r="E162" i="5"/>
  <c r="E174" i="5"/>
  <c r="E147" i="5"/>
  <c r="E156" i="5"/>
  <c r="E81" i="5"/>
  <c r="E178" i="5"/>
  <c r="E82" i="5"/>
  <c r="E160" i="5"/>
  <c r="E158" i="5"/>
  <c r="E137" i="5"/>
  <c r="E85" i="5"/>
  <c r="E86" i="5"/>
  <c r="E157" i="5"/>
  <c r="E87" i="5"/>
  <c r="E90" i="5"/>
  <c r="D25" i="5"/>
  <c r="D26" i="5"/>
  <c r="D27" i="5"/>
  <c r="D28" i="5"/>
  <c r="D29" i="5"/>
  <c r="D30" i="5"/>
  <c r="D31" i="5"/>
  <c r="D32" i="5"/>
  <c r="D33" i="5"/>
  <c r="D75" i="5"/>
  <c r="D76" i="5"/>
  <c r="D34" i="5"/>
  <c r="D35" i="5"/>
  <c r="D36" i="5"/>
  <c r="D37" i="5"/>
  <c r="D38" i="5"/>
  <c r="D39" i="5"/>
  <c r="D57" i="5"/>
  <c r="D77" i="5"/>
  <c r="D78" i="5"/>
  <c r="D80" i="5"/>
  <c r="D84" i="5"/>
  <c r="D88" i="5"/>
  <c r="D89" i="5"/>
  <c r="D91" i="5"/>
  <c r="D92" i="5"/>
  <c r="D193" i="5"/>
  <c r="D195" i="5"/>
  <c r="D201" i="5"/>
  <c r="D183" i="5"/>
  <c r="D184" i="5"/>
  <c r="D185" i="5"/>
  <c r="D186" i="5"/>
  <c r="D187" i="5"/>
  <c r="D188" i="5"/>
  <c r="D189" i="5"/>
  <c r="D190" i="5"/>
  <c r="D191" i="5"/>
  <c r="D192" i="5"/>
  <c r="D194" i="5"/>
  <c r="D196" i="5"/>
  <c r="D197" i="5"/>
  <c r="D198" i="5"/>
  <c r="D199" i="5"/>
  <c r="D200" i="5"/>
  <c r="D212" i="5"/>
  <c r="D213" i="5"/>
  <c r="D215" i="5"/>
  <c r="D216" i="5"/>
  <c r="D219" i="5"/>
  <c r="D221" i="5"/>
  <c r="D224" i="5"/>
  <c r="D202" i="5"/>
  <c r="D203" i="5"/>
  <c r="D204" i="5"/>
  <c r="D205" i="5"/>
  <c r="D206" i="5"/>
  <c r="D207" i="5"/>
  <c r="D208" i="5"/>
  <c r="D209" i="5"/>
  <c r="D210" i="5"/>
  <c r="D211" i="5"/>
  <c r="D214" i="5"/>
  <c r="D217" i="5"/>
  <c r="D218" i="5"/>
  <c r="D220" i="5"/>
  <c r="D222" i="5"/>
  <c r="D223" i="5"/>
  <c r="D225" i="5"/>
  <c r="D226" i="5"/>
  <c r="D227" i="5"/>
  <c r="D228" i="5"/>
  <c r="D229" i="5"/>
  <c r="D230" i="5"/>
  <c r="D231" i="5"/>
  <c r="D232" i="5"/>
  <c r="D233" i="5"/>
  <c r="D234" i="5"/>
  <c r="D235" i="5"/>
  <c r="D237" i="5"/>
  <c r="D238" i="5"/>
  <c r="D240" i="5"/>
  <c r="D241" i="5"/>
  <c r="D243" i="5"/>
  <c r="D246" i="5"/>
  <c r="D249" i="5"/>
  <c r="D258" i="5"/>
  <c r="D260" i="5"/>
  <c r="D264" i="5"/>
  <c r="D268" i="5"/>
  <c r="D236" i="5"/>
  <c r="D239" i="5"/>
  <c r="D242" i="5"/>
  <c r="D244" i="5"/>
  <c r="D245" i="5"/>
  <c r="D247" i="5"/>
  <c r="D248" i="5"/>
  <c r="D250" i="5"/>
  <c r="D251" i="5"/>
  <c r="D252" i="5"/>
  <c r="D253" i="5"/>
  <c r="D254" i="5"/>
  <c r="D255" i="5"/>
  <c r="D256" i="5"/>
  <c r="D257" i="5"/>
  <c r="D259" i="5"/>
  <c r="D261" i="5"/>
  <c r="D262" i="5"/>
  <c r="D263" i="5"/>
  <c r="D265" i="5"/>
  <c r="D266" i="5"/>
  <c r="D267" i="5"/>
  <c r="D269" i="5"/>
  <c r="D270" i="5"/>
  <c r="D271" i="5"/>
  <c r="D272" i="5"/>
  <c r="D273" i="5"/>
  <c r="D274" i="5"/>
  <c r="D104" i="5"/>
  <c r="D108" i="5"/>
  <c r="D61" i="5"/>
  <c r="D123" i="5"/>
  <c r="D40" i="5"/>
  <c r="D106" i="5"/>
  <c r="D127" i="5"/>
  <c r="D46" i="5"/>
  <c r="D49" i="5"/>
  <c r="D50" i="5"/>
  <c r="D53" i="5"/>
  <c r="D94" i="5"/>
  <c r="D55" i="5"/>
  <c r="D129" i="5"/>
  <c r="D119" i="5"/>
  <c r="D95" i="5"/>
  <c r="D109" i="5"/>
  <c r="D62" i="5"/>
  <c r="D64" i="5"/>
  <c r="D131" i="5"/>
  <c r="D97" i="5"/>
  <c r="D120" i="5"/>
  <c r="D134" i="5"/>
  <c r="D67" i="5"/>
  <c r="D135" i="5"/>
  <c r="D121" i="5"/>
  <c r="D72" i="5"/>
  <c r="D122" i="5"/>
  <c r="D136" i="5"/>
  <c r="D74" i="5"/>
  <c r="D98" i="5"/>
  <c r="D180" i="5"/>
  <c r="D181" i="5"/>
  <c r="D182" i="5"/>
  <c r="D142" i="5"/>
  <c r="D124" i="5"/>
  <c r="D113" i="5"/>
  <c r="D163" i="5"/>
  <c r="D179" i="5"/>
  <c r="D111" i="5"/>
  <c r="D152" i="5"/>
  <c r="D139" i="5"/>
  <c r="D100" i="5"/>
  <c r="D154" i="5"/>
  <c r="D176" i="5"/>
  <c r="D177" i="5"/>
  <c r="D143" i="5"/>
  <c r="D125" i="5"/>
  <c r="D144" i="5"/>
  <c r="D172" i="5"/>
  <c r="D140" i="5"/>
  <c r="D173" i="5"/>
  <c r="D146" i="5"/>
  <c r="D141" i="5"/>
  <c r="D165" i="5"/>
  <c r="D115" i="5"/>
  <c r="D83" i="5"/>
  <c r="D148" i="5"/>
  <c r="D145" i="5"/>
  <c r="D126" i="5"/>
  <c r="D166" i="5"/>
  <c r="D167" i="5"/>
  <c r="D138" i="5"/>
  <c r="D175" i="5"/>
  <c r="D116" i="5"/>
  <c r="D16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8" i="5"/>
  <c r="D291" i="5"/>
  <c r="D292" i="5"/>
  <c r="D293" i="5"/>
  <c r="D294" i="5"/>
  <c r="D295" i="5"/>
  <c r="D296" i="5"/>
  <c r="D297" i="5"/>
  <c r="D299" i="5"/>
  <c r="D300" i="5"/>
  <c r="D301" i="5"/>
  <c r="D302" i="5"/>
  <c r="D303" i="5"/>
  <c r="D99" i="5"/>
  <c r="D168" i="5"/>
  <c r="D151" i="5"/>
  <c r="D169" i="5"/>
  <c r="D170" i="5"/>
  <c r="D159" i="5"/>
  <c r="D112" i="5"/>
  <c r="D79" i="5"/>
  <c r="D153" i="5"/>
  <c r="D149" i="5"/>
  <c r="D150" i="5"/>
  <c r="D171" i="5"/>
  <c r="D155" i="5"/>
  <c r="D101" i="5"/>
  <c r="D102" i="5"/>
  <c r="D103" i="5"/>
  <c r="D114" i="5"/>
  <c r="D161" i="5"/>
  <c r="D162" i="5"/>
  <c r="D174" i="5"/>
  <c r="D147" i="5"/>
  <c r="D156" i="5"/>
  <c r="D81" i="5"/>
  <c r="D178" i="5"/>
  <c r="D82" i="5"/>
  <c r="D160" i="5"/>
  <c r="D158" i="5"/>
  <c r="D137" i="5"/>
  <c r="D85" i="5"/>
  <c r="D86" i="5"/>
  <c r="D157" i="5"/>
  <c r="D87" i="5"/>
  <c r="D90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5" i="5"/>
  <c r="G9" i="16"/>
  <c r="G7" i="16"/>
  <c r="G2" i="16"/>
  <c r="F5" i="11"/>
  <c r="F4" i="15"/>
  <c r="G10" i="16"/>
  <c r="F3" i="11"/>
  <c r="F3" i="15"/>
  <c r="F2" i="15"/>
  <c r="G1" i="16"/>
  <c r="G5" i="16"/>
  <c r="G8" i="16"/>
  <c r="G11" i="16"/>
  <c r="F4" i="11"/>
  <c r="G3" i="16"/>
  <c r="G6" i="16"/>
  <c r="F2" i="11"/>
  <c r="C6" i="7" l="1"/>
  <c r="F173" i="21" s="1"/>
  <c r="C7" i="7"/>
  <c r="F174" i="21" s="1"/>
  <c r="C8" i="7"/>
  <c r="F175" i="21" s="1"/>
  <c r="C10" i="7"/>
  <c r="F70" i="21" s="1"/>
  <c r="C11" i="7"/>
  <c r="F71" i="21" s="1"/>
  <c r="C14" i="7"/>
  <c r="F154" i="21" s="1"/>
  <c r="C16" i="7"/>
  <c r="F178" i="21" s="1"/>
  <c r="C17" i="7"/>
  <c r="F179" i="21" s="1"/>
  <c r="C18" i="7"/>
  <c r="F146" i="21" s="1"/>
  <c r="C19" i="7"/>
  <c r="F180" i="21" s="1"/>
  <c r="C20" i="7"/>
  <c r="F181" i="21" s="1"/>
  <c r="C21" i="7"/>
  <c r="F117" i="21" s="1"/>
  <c r="C22" i="7"/>
  <c r="F118" i="21" s="1"/>
  <c r="C25" i="7"/>
  <c r="F135" i="21" s="1"/>
  <c r="C26" i="7"/>
  <c r="F183" i="21" s="1"/>
  <c r="C28" i="7"/>
  <c r="F136" i="21" s="1"/>
  <c r="C29" i="7"/>
  <c r="F184" i="21" s="1"/>
  <c r="C32" i="7"/>
  <c r="F74" i="21" s="1"/>
  <c r="C33" i="7"/>
  <c r="F187" i="21" s="1"/>
  <c r="C35" i="7"/>
  <c r="F188" i="21" s="1"/>
  <c r="C36" i="7"/>
  <c r="F75" i="21" s="1"/>
  <c r="C37" i="7"/>
  <c r="F189" i="21" s="1"/>
  <c r="C39" i="7"/>
  <c r="F76" i="21" s="1"/>
  <c r="C42" i="7"/>
  <c r="F77" i="21" s="1"/>
  <c r="C43" i="7"/>
  <c r="F191" i="21" s="1"/>
  <c r="C44" i="7"/>
  <c r="F67" i="21" s="1"/>
  <c r="C45" i="7"/>
  <c r="F14" i="21" s="1"/>
  <c r="C47" i="7"/>
  <c r="F15" i="21" s="1"/>
  <c r="C48" i="7"/>
  <c r="F33" i="21" s="1"/>
  <c r="C50" i="7"/>
  <c r="F16" i="21" s="1"/>
  <c r="C51" i="7"/>
  <c r="F193" i="21" s="1"/>
  <c r="C52" i="7"/>
  <c r="F313" i="21" s="1"/>
  <c r="C53" i="7"/>
  <c r="F155" i="21" s="1"/>
  <c r="C56" i="7"/>
  <c r="C60" i="7"/>
  <c r="F195" i="21" s="1"/>
  <c r="C61" i="7"/>
  <c r="F196" i="21" s="1"/>
  <c r="C63" i="7"/>
  <c r="F197" i="21" s="1"/>
  <c r="C64" i="7"/>
  <c r="F35" i="21" s="1"/>
  <c r="C65" i="7"/>
  <c r="F198" i="21" s="1"/>
  <c r="C66" i="7"/>
  <c r="F139" i="21" s="1"/>
  <c r="C72" i="7"/>
  <c r="F202" i="21" s="1"/>
  <c r="C75" i="7"/>
  <c r="F81" i="21" s="1"/>
  <c r="C76" i="7"/>
  <c r="F203" i="21" s="1"/>
  <c r="C77" i="7"/>
  <c r="F82" i="21" s="1"/>
  <c r="C78" i="7"/>
  <c r="F204" i="21" s="1"/>
  <c r="C79" i="7"/>
  <c r="F205" i="21" s="1"/>
  <c r="C80" i="7"/>
  <c r="F17" i="21" s="1"/>
  <c r="C82" i="7"/>
  <c r="F207" i="21" s="1"/>
  <c r="C83" i="7"/>
  <c r="F208" i="21" s="1"/>
  <c r="C85" i="7"/>
  <c r="F119" i="21" s="1"/>
  <c r="C90" i="7"/>
  <c r="F148" i="21" s="1"/>
  <c r="C91" i="7"/>
  <c r="F121" i="21" s="1"/>
  <c r="C92" i="7"/>
  <c r="F140" i="21" s="1"/>
  <c r="C93" i="7"/>
  <c r="F149" i="21" s="1"/>
  <c r="C94" i="7"/>
  <c r="F158" i="21" s="1"/>
  <c r="C96" i="7"/>
  <c r="F211" i="21" s="1"/>
  <c r="C98" i="7"/>
  <c r="F213" i="21" s="1"/>
  <c r="C99" i="7"/>
  <c r="F37" i="21" s="1"/>
  <c r="C100" i="7"/>
  <c r="F62" i="21" s="1"/>
  <c r="C101" i="7"/>
  <c r="F38" i="21" s="1"/>
  <c r="C102" i="7"/>
  <c r="F214" i="21" s="1"/>
  <c r="C103" i="7"/>
  <c r="F215" i="21" s="1"/>
  <c r="C104" i="7"/>
  <c r="F83" i="21" s="1"/>
  <c r="C105" i="7"/>
  <c r="F84" i="21" s="1"/>
  <c r="C106" i="7"/>
  <c r="F85" i="21" s="1"/>
  <c r="C107" i="7"/>
  <c r="F86" i="21" s="1"/>
  <c r="C108" i="7"/>
  <c r="F216" i="21" s="1"/>
  <c r="C109" i="7"/>
  <c r="F217" i="21" s="1"/>
  <c r="C110" i="7"/>
  <c r="F218" i="21" s="1"/>
  <c r="C111" i="7"/>
  <c r="F87" i="21" s="1"/>
  <c r="C112" i="7"/>
  <c r="F219" i="21" s="1"/>
  <c r="C113" i="7"/>
  <c r="F39" i="21" s="1"/>
  <c r="C115" i="7"/>
  <c r="F40" i="21" s="1"/>
  <c r="C116" i="7"/>
  <c r="F141" i="21" s="1"/>
  <c r="C119" i="7"/>
  <c r="F221" i="21" s="1"/>
  <c r="C120" i="7"/>
  <c r="F89" i="21" s="1"/>
  <c r="C121" i="7"/>
  <c r="F41" i="21" s="1"/>
  <c r="C122" i="7"/>
  <c r="F222" i="21" s="1"/>
  <c r="C124" i="7"/>
  <c r="F223" i="21" s="1"/>
  <c r="C127" i="7"/>
  <c r="F225" i="21" s="1"/>
  <c r="C128" i="7"/>
  <c r="F226" i="21" s="1"/>
  <c r="C129" i="7"/>
  <c r="F227" i="21" s="1"/>
  <c r="C130" i="7"/>
  <c r="F91" i="21" s="1"/>
  <c r="C131" i="7"/>
  <c r="F122" i="21" s="1"/>
  <c r="C134" i="7"/>
  <c r="F228" i="21" s="1"/>
  <c r="C135" i="7"/>
  <c r="F229" i="21" s="1"/>
  <c r="C138" i="7"/>
  <c r="F160" i="21" s="1"/>
  <c r="C139" i="7"/>
  <c r="F231" i="21" s="1"/>
  <c r="C140" i="7"/>
  <c r="C141" i="7"/>
  <c r="F42" i="21" s="1"/>
  <c r="C142" i="7"/>
  <c r="F92" i="21" s="1"/>
  <c r="C143" i="7"/>
  <c r="F93" i="21" s="1"/>
  <c r="C144" i="7"/>
  <c r="F232" i="21" s="1"/>
  <c r="C145" i="7"/>
  <c r="F161" i="21" s="1"/>
  <c r="C147" i="7"/>
  <c r="F233" i="21" s="1"/>
  <c r="C148" i="7"/>
  <c r="F43" i="21" s="1"/>
  <c r="C149" i="7"/>
  <c r="F234" i="21" s="1"/>
  <c r="C150" i="7"/>
  <c r="F235" i="21" s="1"/>
  <c r="C156" i="7"/>
  <c r="F20" i="21" s="1"/>
  <c r="C160" i="7"/>
  <c r="F236" i="21" s="1"/>
  <c r="C162" i="7"/>
  <c r="F237" i="21" s="1"/>
  <c r="C164" i="7"/>
  <c r="F238" i="21" s="1"/>
  <c r="C167" i="7"/>
  <c r="F239" i="21" s="1"/>
  <c r="C168" i="7"/>
  <c r="F45" i="21" s="1"/>
  <c r="C169" i="7"/>
  <c r="F164" i="21" s="1"/>
  <c r="C170" i="7"/>
  <c r="F21" i="21" s="1"/>
  <c r="C178" i="7"/>
  <c r="F244" i="21" s="1"/>
  <c r="C181" i="7"/>
  <c r="F99" i="21" s="1"/>
  <c r="C182" i="7"/>
  <c r="F246" i="21" s="1"/>
  <c r="C183" i="7"/>
  <c r="F22" i="21" s="1"/>
  <c r="C185" i="7"/>
  <c r="F63" i="21" s="1"/>
  <c r="C189" i="7"/>
  <c r="F248" i="21" s="1"/>
  <c r="C190" i="7"/>
  <c r="F127" i="21" s="1"/>
  <c r="C191" i="7"/>
  <c r="F144" i="21" s="1"/>
  <c r="C192" i="7"/>
  <c r="F64" i="21" s="1"/>
  <c r="C200" i="7"/>
  <c r="F250" i="21" s="1"/>
  <c r="C201" i="7"/>
  <c r="F251" i="21" s="1"/>
  <c r="C202" i="7"/>
  <c r="F47" i="21" s="1"/>
  <c r="C203" i="7"/>
  <c r="F252" i="21" s="1"/>
  <c r="C204" i="7"/>
  <c r="F253" i="21" s="1"/>
  <c r="C205" i="7"/>
  <c r="F254" i="21" s="1"/>
  <c r="C206" i="7"/>
  <c r="F255" i="21" s="1"/>
  <c r="C207" i="7"/>
  <c r="C209" i="7"/>
  <c r="F257" i="21" s="1"/>
  <c r="C210" i="7"/>
  <c r="F258" i="21" s="1"/>
  <c r="C212" i="7"/>
  <c r="F49" i="21" s="1"/>
  <c r="C213" i="7"/>
  <c r="F259" i="21" s="1"/>
  <c r="C214" i="7"/>
  <c r="F101" i="21" s="1"/>
  <c r="C216" i="7"/>
  <c r="F50" i="21" s="1"/>
  <c r="C221" i="7"/>
  <c r="F261" i="21" s="1"/>
  <c r="C222" i="7"/>
  <c r="F130" i="21" s="1"/>
  <c r="C225" i="7"/>
  <c r="F51" i="21" s="1"/>
  <c r="C226" i="7"/>
  <c r="F52" i="21" s="1"/>
  <c r="C227" i="7"/>
  <c r="F53" i="21" s="1"/>
  <c r="C228" i="7"/>
  <c r="F24" i="21" s="1"/>
  <c r="C229" i="7"/>
  <c r="F54" i="21" s="1"/>
  <c r="C230" i="7"/>
  <c r="F103" i="21" s="1"/>
  <c r="C232" i="7"/>
  <c r="F105" i="21" s="1"/>
  <c r="C233" i="7"/>
  <c r="F262" i="21" s="1"/>
  <c r="C234" i="7"/>
  <c r="F263" i="21" s="1"/>
  <c r="C237" i="7"/>
  <c r="F25" i="21" s="1"/>
  <c r="C242" i="7"/>
  <c r="F55" i="21" s="1"/>
  <c r="C243" i="7"/>
  <c r="F106" i="21" s="1"/>
  <c r="C247" i="7"/>
  <c r="F269" i="21" s="1"/>
  <c r="C248" i="7"/>
  <c r="F270" i="21" s="1"/>
  <c r="C249" i="7"/>
  <c r="F271" i="21" s="1"/>
  <c r="C250" i="7"/>
  <c r="F107" i="21" s="1"/>
  <c r="C251" i="7"/>
  <c r="F272" i="21" s="1"/>
  <c r="C253" i="7"/>
  <c r="F26" i="21" s="1"/>
  <c r="C254" i="7"/>
  <c r="F274" i="21" s="1"/>
  <c r="C256" i="7"/>
  <c r="F27" i="21" s="1"/>
  <c r="C257" i="7"/>
  <c r="F275" i="21" s="1"/>
  <c r="C258" i="7"/>
  <c r="F109" i="21" s="1"/>
  <c r="C260" i="7"/>
  <c r="F65" i="21" s="1"/>
  <c r="C261" i="7"/>
  <c r="F131" i="21" s="1"/>
  <c r="C262" i="7"/>
  <c r="F277" i="21" s="1"/>
  <c r="C263" i="7"/>
  <c r="F278" i="21" s="1"/>
  <c r="C265" i="7"/>
  <c r="F280" i="21" s="1"/>
  <c r="C266" i="7"/>
  <c r="F110" i="21" s="1"/>
  <c r="C267" i="7"/>
  <c r="F28" i="21" s="1"/>
  <c r="C271" i="7"/>
  <c r="F281" i="21" s="1"/>
  <c r="C272" i="7"/>
  <c r="F282" i="21" s="1"/>
  <c r="C274" i="7"/>
  <c r="F283" i="21" s="1"/>
  <c r="C275" i="7"/>
  <c r="F284" i="21" s="1"/>
  <c r="C277" i="7"/>
  <c r="F286" i="21" s="1"/>
  <c r="C278" i="7"/>
  <c r="F56" i="21" s="1"/>
  <c r="C279" i="7"/>
  <c r="F66" i="21" s="1"/>
  <c r="C280" i="7"/>
  <c r="F133" i="21" s="1"/>
  <c r="C281" i="7"/>
  <c r="F168" i="21" s="1"/>
  <c r="C287" i="7"/>
  <c r="F58" i="21" s="1"/>
  <c r="C288" i="7"/>
  <c r="F59" i="21" s="1"/>
  <c r="C289" i="7"/>
  <c r="F290" i="21" s="1"/>
  <c r="C292" i="7"/>
  <c r="F292" i="21" s="1"/>
  <c r="C293" i="7"/>
  <c r="F293" i="21" s="1"/>
  <c r="C294" i="7"/>
  <c r="F294" i="21" s="1"/>
  <c r="C300" i="7"/>
  <c r="F297" i="21" s="1"/>
  <c r="C302" i="7"/>
  <c r="F298" i="21" s="1"/>
  <c r="C303" i="7"/>
  <c r="F299" i="21" s="1"/>
  <c r="C304" i="7"/>
  <c r="F114" i="21" s="1"/>
  <c r="C305" i="7"/>
  <c r="F300" i="21" s="1"/>
  <c r="C307" i="7"/>
  <c r="F61" i="21" s="1"/>
  <c r="C308" i="7"/>
  <c r="F301" i="21" s="1"/>
  <c r="C309" i="7"/>
  <c r="F302" i="21" s="1"/>
  <c r="C310" i="7"/>
  <c r="F171" i="21" s="1"/>
  <c r="C311" i="7"/>
  <c r="F172" i="21" s="1"/>
  <c r="C312" i="7"/>
  <c r="F303" i="21" s="1"/>
  <c r="C314" i="7"/>
  <c r="F304" i="21" s="1"/>
  <c r="C315" i="7"/>
  <c r="F305" i="21" s="1"/>
  <c r="C316" i="7"/>
  <c r="F306" i="21" s="1"/>
  <c r="C318" i="7"/>
  <c r="F307" i="21" s="1"/>
  <c r="C319" i="7"/>
  <c r="F134" i="21" s="1"/>
  <c r="C320" i="7"/>
  <c r="F308" i="21" s="1"/>
  <c r="C321" i="7"/>
  <c r="F309" i="21" s="1"/>
  <c r="C322" i="7"/>
  <c r="F310" i="21" s="1"/>
  <c r="C323" i="7"/>
  <c r="F311" i="21" s="1"/>
  <c r="C324" i="7"/>
  <c r="F312" i="21" s="1"/>
  <c r="C325" i="7"/>
  <c r="F116" i="21" s="1"/>
  <c r="T173" i="21"/>
  <c r="T174" i="21"/>
  <c r="T175" i="21"/>
  <c r="T70" i="21"/>
  <c r="T71" i="21"/>
  <c r="T154" i="21"/>
  <c r="T178" i="21"/>
  <c r="T179" i="21"/>
  <c r="T146" i="21"/>
  <c r="T180" i="21"/>
  <c r="T181" i="21"/>
  <c r="T117" i="21"/>
  <c r="T118" i="21"/>
  <c r="T135" i="21"/>
  <c r="T183" i="21"/>
  <c r="T136" i="21"/>
  <c r="T184" i="21"/>
  <c r="T74" i="21"/>
  <c r="T187" i="21"/>
  <c r="T188" i="21"/>
  <c r="T75" i="21"/>
  <c r="T189" i="21"/>
  <c r="T76" i="21"/>
  <c r="T77" i="21"/>
  <c r="T191" i="21"/>
  <c r="T67" i="21"/>
  <c r="T14" i="21"/>
  <c r="T15" i="21"/>
  <c r="T33" i="21"/>
  <c r="T16" i="21"/>
  <c r="T193" i="21"/>
  <c r="T313" i="21"/>
  <c r="T155" i="21"/>
  <c r="T195" i="21"/>
  <c r="T196" i="21"/>
  <c r="T197" i="21"/>
  <c r="T35" i="21"/>
  <c r="T198" i="21"/>
  <c r="T139" i="21"/>
  <c r="T202" i="21"/>
  <c r="T81" i="21"/>
  <c r="T203" i="21"/>
  <c r="T82" i="21"/>
  <c r="T204" i="21"/>
  <c r="T205" i="21"/>
  <c r="T17" i="21"/>
  <c r="T207" i="21"/>
  <c r="T208" i="21"/>
  <c r="T119" i="21"/>
  <c r="T148" i="21"/>
  <c r="T121" i="21"/>
  <c r="T140" i="21"/>
  <c r="T149" i="21"/>
  <c r="T158" i="21"/>
  <c r="T211" i="21"/>
  <c r="T213" i="21"/>
  <c r="T37" i="21"/>
  <c r="T62" i="21"/>
  <c r="T38" i="21"/>
  <c r="T214" i="21"/>
  <c r="T215" i="21"/>
  <c r="T83" i="21"/>
  <c r="T84" i="21"/>
  <c r="T85" i="21"/>
  <c r="T86" i="21"/>
  <c r="T216" i="21"/>
  <c r="T217" i="21"/>
  <c r="T218" i="21"/>
  <c r="T87" i="21"/>
  <c r="T219" i="21"/>
  <c r="T39" i="21"/>
  <c r="T40" i="21"/>
  <c r="T141" i="21"/>
  <c r="T221" i="21"/>
  <c r="T89" i="21"/>
  <c r="T41" i="21"/>
  <c r="T222" i="21"/>
  <c r="T223" i="21"/>
  <c r="T225" i="21"/>
  <c r="T226" i="21"/>
  <c r="T227" i="21"/>
  <c r="T91" i="21"/>
  <c r="T122" i="21"/>
  <c r="T228" i="21"/>
  <c r="T229" i="21"/>
  <c r="T160" i="21"/>
  <c r="T231" i="21"/>
  <c r="T42" i="21"/>
  <c r="T92" i="21"/>
  <c r="T93" i="21"/>
  <c r="T232" i="21"/>
  <c r="T161" i="21"/>
  <c r="T233" i="21"/>
  <c r="T43" i="21"/>
  <c r="T234" i="21"/>
  <c r="T235" i="21"/>
  <c r="T20" i="21"/>
  <c r="T236" i="21"/>
  <c r="T237" i="21"/>
  <c r="T238" i="21"/>
  <c r="T239" i="21"/>
  <c r="T45" i="21"/>
  <c r="T164" i="21"/>
  <c r="T21" i="21"/>
  <c r="T244" i="21"/>
  <c r="T99" i="21"/>
  <c r="T246" i="21"/>
  <c r="T22" i="21"/>
  <c r="T63" i="21"/>
  <c r="T248" i="21"/>
  <c r="T127" i="21"/>
  <c r="T144" i="21"/>
  <c r="T64" i="21"/>
  <c r="T250" i="21"/>
  <c r="T251" i="21"/>
  <c r="T47" i="21"/>
  <c r="T252" i="21"/>
  <c r="T253" i="21"/>
  <c r="T254" i="21"/>
  <c r="T255" i="21"/>
  <c r="T257" i="21"/>
  <c r="T258" i="21"/>
  <c r="T49" i="21"/>
  <c r="T259" i="21"/>
  <c r="T101" i="21"/>
  <c r="T50" i="21"/>
  <c r="T261" i="21"/>
  <c r="T130" i="21"/>
  <c r="T51" i="21"/>
  <c r="T52" i="21"/>
  <c r="T53" i="21"/>
  <c r="T24" i="21"/>
  <c r="T54" i="21"/>
  <c r="T103" i="21"/>
  <c r="T105" i="21"/>
  <c r="T262" i="21"/>
  <c r="T263" i="21"/>
  <c r="T25" i="21"/>
  <c r="T55" i="21"/>
  <c r="T106" i="21"/>
  <c r="T269" i="21"/>
  <c r="T270" i="21"/>
  <c r="T271" i="21"/>
  <c r="T107" i="21"/>
  <c r="T272" i="21"/>
  <c r="T26" i="21"/>
  <c r="T274" i="21"/>
  <c r="T27" i="21"/>
  <c r="T275" i="21"/>
  <c r="T109" i="21"/>
  <c r="T65" i="21"/>
  <c r="T131" i="21"/>
  <c r="T277" i="21"/>
  <c r="T278" i="21"/>
  <c r="T280" i="21"/>
  <c r="T110" i="21"/>
  <c r="T28" i="21"/>
  <c r="T281" i="21"/>
  <c r="T282" i="21"/>
  <c r="T283" i="21"/>
  <c r="T284" i="21"/>
  <c r="T286" i="21"/>
  <c r="T56" i="21"/>
  <c r="T66" i="21"/>
  <c r="T133" i="21"/>
  <c r="T168" i="21"/>
  <c r="T58" i="21"/>
  <c r="T59" i="21"/>
  <c r="T290" i="21"/>
  <c r="T292" i="21"/>
  <c r="T293" i="21"/>
  <c r="T294" i="21"/>
  <c r="T297" i="21"/>
  <c r="T298" i="21"/>
  <c r="T299" i="21"/>
  <c r="T114" i="21"/>
  <c r="T300" i="21"/>
  <c r="T61" i="21"/>
  <c r="T301" i="21"/>
  <c r="T302" i="21"/>
  <c r="T171" i="21"/>
  <c r="T172" i="21"/>
  <c r="T303" i="21"/>
  <c r="T304" i="21"/>
  <c r="T305" i="21"/>
  <c r="T306" i="21"/>
  <c r="T307" i="21"/>
  <c r="T134" i="21"/>
  <c r="T308" i="21"/>
  <c r="T309" i="21"/>
  <c r="T310" i="21"/>
  <c r="T311" i="21"/>
  <c r="T312" i="21"/>
  <c r="T116" i="21"/>
  <c r="R173" i="21"/>
  <c r="R174" i="21"/>
  <c r="R175" i="21"/>
  <c r="R70" i="21"/>
  <c r="R71" i="21"/>
  <c r="R154" i="21"/>
  <c r="R178" i="21"/>
  <c r="R179" i="21"/>
  <c r="R146" i="21"/>
  <c r="R180" i="21"/>
  <c r="R181" i="21"/>
  <c r="R117" i="21"/>
  <c r="R118" i="21"/>
  <c r="R135" i="21"/>
  <c r="R183" i="21"/>
  <c r="R136" i="21"/>
  <c r="R184" i="21"/>
  <c r="R74" i="21"/>
  <c r="R187" i="21"/>
  <c r="R188" i="21"/>
  <c r="R75" i="21"/>
  <c r="R189" i="21"/>
  <c r="R76" i="21"/>
  <c r="R77" i="21"/>
  <c r="R191" i="21"/>
  <c r="R67" i="21"/>
  <c r="R14" i="21"/>
  <c r="R15" i="21"/>
  <c r="R33" i="21"/>
  <c r="R16" i="21"/>
  <c r="R193" i="21"/>
  <c r="R313" i="21"/>
  <c r="R155" i="21"/>
  <c r="R195" i="21"/>
  <c r="R196" i="21"/>
  <c r="R197" i="21"/>
  <c r="R35" i="21"/>
  <c r="R198" i="21"/>
  <c r="R139" i="21"/>
  <c r="R202" i="21"/>
  <c r="R81" i="21"/>
  <c r="R203" i="21"/>
  <c r="R82" i="21"/>
  <c r="R204" i="21"/>
  <c r="R205" i="21"/>
  <c r="R17" i="21"/>
  <c r="R207" i="21"/>
  <c r="R208" i="21"/>
  <c r="R119" i="21"/>
  <c r="R148" i="21"/>
  <c r="R121" i="21"/>
  <c r="R140" i="21"/>
  <c r="R149" i="21"/>
  <c r="R158" i="21"/>
  <c r="R211" i="21"/>
  <c r="R213" i="21"/>
  <c r="R37" i="21"/>
  <c r="R62" i="21"/>
  <c r="R38" i="21"/>
  <c r="R214" i="21"/>
  <c r="R215" i="21"/>
  <c r="R83" i="21"/>
  <c r="R84" i="21"/>
  <c r="R85" i="21"/>
  <c r="R86" i="21"/>
  <c r="R216" i="21"/>
  <c r="R217" i="21"/>
  <c r="R218" i="21"/>
  <c r="R87" i="21"/>
  <c r="R219" i="21"/>
  <c r="R39" i="21"/>
  <c r="R40" i="21"/>
  <c r="R141" i="21"/>
  <c r="R221" i="21"/>
  <c r="R89" i="21"/>
  <c r="R41" i="21"/>
  <c r="R222" i="21"/>
  <c r="R223" i="21"/>
  <c r="R225" i="21"/>
  <c r="R226" i="21"/>
  <c r="R227" i="21"/>
  <c r="R91" i="21"/>
  <c r="R122" i="21"/>
  <c r="R228" i="21"/>
  <c r="R229" i="21"/>
  <c r="R160" i="21"/>
  <c r="R231" i="21"/>
  <c r="R42" i="21"/>
  <c r="R92" i="21"/>
  <c r="R93" i="21"/>
  <c r="R232" i="21"/>
  <c r="R161" i="21"/>
  <c r="R233" i="21"/>
  <c r="R43" i="21"/>
  <c r="R234" i="21"/>
  <c r="R235" i="21"/>
  <c r="R20" i="21"/>
  <c r="R236" i="21"/>
  <c r="R237" i="21"/>
  <c r="R238" i="21"/>
  <c r="R239" i="21"/>
  <c r="R45" i="21"/>
  <c r="R164" i="21"/>
  <c r="R21" i="21"/>
  <c r="R244" i="21"/>
  <c r="R99" i="21"/>
  <c r="R246" i="21"/>
  <c r="R22" i="21"/>
  <c r="R63" i="21"/>
  <c r="R248" i="21"/>
  <c r="R127" i="21"/>
  <c r="R144" i="21"/>
  <c r="R64" i="21"/>
  <c r="R250" i="21"/>
  <c r="R251" i="21"/>
  <c r="R47" i="21"/>
  <c r="R252" i="21"/>
  <c r="R253" i="21"/>
  <c r="R254" i="21"/>
  <c r="R255" i="21"/>
  <c r="R257" i="21"/>
  <c r="R258" i="21"/>
  <c r="R49" i="21"/>
  <c r="R259" i="21"/>
  <c r="R101" i="21"/>
  <c r="R50" i="21"/>
  <c r="R261" i="21"/>
  <c r="R130" i="21"/>
  <c r="R51" i="21"/>
  <c r="R52" i="21"/>
  <c r="R53" i="21"/>
  <c r="R24" i="21"/>
  <c r="R54" i="21"/>
  <c r="R103" i="21"/>
  <c r="R105" i="21"/>
  <c r="R262" i="21"/>
  <c r="R263" i="21"/>
  <c r="R25" i="21"/>
  <c r="R55" i="21"/>
  <c r="R106" i="21"/>
  <c r="R269" i="21"/>
  <c r="R270" i="21"/>
  <c r="R271" i="21"/>
  <c r="R107" i="21"/>
  <c r="R272" i="21"/>
  <c r="R26" i="21"/>
  <c r="R274" i="21"/>
  <c r="R27" i="21"/>
  <c r="R275" i="21"/>
  <c r="R109" i="21"/>
  <c r="R65" i="21"/>
  <c r="R131" i="21"/>
  <c r="R277" i="21"/>
  <c r="R278" i="21"/>
  <c r="R280" i="21"/>
  <c r="R110" i="21"/>
  <c r="R28" i="21"/>
  <c r="R281" i="21"/>
  <c r="R282" i="21"/>
  <c r="R283" i="21"/>
  <c r="R284" i="21"/>
  <c r="R286" i="21"/>
  <c r="R56" i="21"/>
  <c r="R66" i="21"/>
  <c r="R133" i="21"/>
  <c r="R168" i="21"/>
  <c r="R58" i="21"/>
  <c r="R59" i="21"/>
  <c r="R290" i="21"/>
  <c r="R292" i="21"/>
  <c r="R293" i="21"/>
  <c r="R294" i="21"/>
  <c r="R297" i="21"/>
  <c r="R298" i="21"/>
  <c r="R299" i="21"/>
  <c r="R114" i="21"/>
  <c r="R300" i="21"/>
  <c r="R61" i="21"/>
  <c r="R301" i="21"/>
  <c r="R302" i="21"/>
  <c r="R171" i="21"/>
  <c r="R172" i="21"/>
  <c r="R303" i="21"/>
  <c r="R304" i="21"/>
  <c r="R305" i="21"/>
  <c r="R306" i="21"/>
  <c r="R307" i="21"/>
  <c r="R134" i="21"/>
  <c r="R308" i="21"/>
  <c r="R309" i="21"/>
  <c r="R310" i="21"/>
  <c r="R311" i="21"/>
  <c r="R312" i="21"/>
  <c r="R116" i="21"/>
  <c r="P6" i="7"/>
  <c r="P7" i="7"/>
  <c r="P8" i="7"/>
  <c r="P10" i="7"/>
  <c r="P11" i="7"/>
  <c r="P14" i="7"/>
  <c r="P16" i="7"/>
  <c r="P17" i="7"/>
  <c r="P18" i="7"/>
  <c r="P19" i="7"/>
  <c r="P20" i="7"/>
  <c r="P21" i="7"/>
  <c r="P22" i="7"/>
  <c r="P25" i="7"/>
  <c r="P26" i="7"/>
  <c r="P28" i="7"/>
  <c r="P29" i="7"/>
  <c r="P32" i="7"/>
  <c r="P33" i="7"/>
  <c r="P35" i="7"/>
  <c r="P36" i="7"/>
  <c r="P37" i="7"/>
  <c r="P39" i="7"/>
  <c r="P42" i="7"/>
  <c r="P43" i="7"/>
  <c r="P44" i="7"/>
  <c r="P45" i="7"/>
  <c r="P47" i="7"/>
  <c r="P48" i="7"/>
  <c r="P50" i="7"/>
  <c r="P51" i="7"/>
  <c r="P52" i="7"/>
  <c r="P53" i="7"/>
  <c r="P56" i="7"/>
  <c r="P60" i="7"/>
  <c r="P61" i="7"/>
  <c r="P63" i="7"/>
  <c r="P64" i="7"/>
  <c r="P65" i="7"/>
  <c r="P66" i="7"/>
  <c r="P72" i="7"/>
  <c r="P75" i="7"/>
  <c r="P76" i="7"/>
  <c r="P77" i="7"/>
  <c r="P78" i="7"/>
  <c r="P79" i="7"/>
  <c r="P80" i="7"/>
  <c r="P82" i="7"/>
  <c r="P83" i="7"/>
  <c r="P85" i="7"/>
  <c r="P90" i="7"/>
  <c r="P91" i="7"/>
  <c r="P92" i="7"/>
  <c r="P93" i="7"/>
  <c r="P94" i="7"/>
  <c r="P96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5" i="7"/>
  <c r="P116" i="7"/>
  <c r="P119" i="7"/>
  <c r="P120" i="7"/>
  <c r="P121" i="7"/>
  <c r="P122" i="7"/>
  <c r="P124" i="7"/>
  <c r="P127" i="7"/>
  <c r="P128" i="7"/>
  <c r="P129" i="7"/>
  <c r="P130" i="7"/>
  <c r="P131" i="7"/>
  <c r="P134" i="7"/>
  <c r="P135" i="7"/>
  <c r="P138" i="7"/>
  <c r="P139" i="7"/>
  <c r="P140" i="7"/>
  <c r="P141" i="7"/>
  <c r="P142" i="7"/>
  <c r="P143" i="7"/>
  <c r="P144" i="7"/>
  <c r="P145" i="7"/>
  <c r="P147" i="7"/>
  <c r="P148" i="7"/>
  <c r="P149" i="7"/>
  <c r="P150" i="7"/>
  <c r="P156" i="7"/>
  <c r="P160" i="7"/>
  <c r="P161" i="7"/>
  <c r="P162" i="7"/>
  <c r="P164" i="7"/>
  <c r="P167" i="7"/>
  <c r="P168" i="7"/>
  <c r="P169" i="7"/>
  <c r="P170" i="7"/>
  <c r="P178" i="7"/>
  <c r="P181" i="7"/>
  <c r="P182" i="7"/>
  <c r="P183" i="7"/>
  <c r="P185" i="7"/>
  <c r="P189" i="7"/>
  <c r="P190" i="7"/>
  <c r="P191" i="7"/>
  <c r="P192" i="7"/>
  <c r="P200" i="7"/>
  <c r="P201" i="7"/>
  <c r="P202" i="7"/>
  <c r="P203" i="7"/>
  <c r="P204" i="7"/>
  <c r="P205" i="7"/>
  <c r="P206" i="7"/>
  <c r="P207" i="7"/>
  <c r="P209" i="7"/>
  <c r="P210" i="7"/>
  <c r="P212" i="7"/>
  <c r="P213" i="7"/>
  <c r="P214" i="7"/>
  <c r="P216" i="7"/>
  <c r="P217" i="7"/>
  <c r="P221" i="7"/>
  <c r="P222" i="7"/>
  <c r="P223" i="7"/>
  <c r="P225" i="7"/>
  <c r="P226" i="7"/>
  <c r="P227" i="7"/>
  <c r="P228" i="7"/>
  <c r="P229" i="7"/>
  <c r="P230" i="7"/>
  <c r="P232" i="7"/>
  <c r="P233" i="7"/>
  <c r="P234" i="7"/>
  <c r="P237" i="7"/>
  <c r="P242" i="7"/>
  <c r="P243" i="7"/>
  <c r="P247" i="7"/>
  <c r="P248" i="7"/>
  <c r="P249" i="7"/>
  <c r="P250" i="7"/>
  <c r="P251" i="7"/>
  <c r="P253" i="7"/>
  <c r="P254" i="7"/>
  <c r="P256" i="7"/>
  <c r="P257" i="7"/>
  <c r="P258" i="7"/>
  <c r="P260" i="7"/>
  <c r="P261" i="7"/>
  <c r="P262" i="7"/>
  <c r="P263" i="7"/>
  <c r="P265" i="7"/>
  <c r="P266" i="7"/>
  <c r="P267" i="7"/>
  <c r="P271" i="7"/>
  <c r="P272" i="7"/>
  <c r="P274" i="7"/>
  <c r="P275" i="7"/>
  <c r="P277" i="7"/>
  <c r="P278" i="7"/>
  <c r="P279" i="7"/>
  <c r="P280" i="7"/>
  <c r="P281" i="7"/>
  <c r="P287" i="7"/>
  <c r="P288" i="7"/>
  <c r="P289" i="7"/>
  <c r="P292" i="7"/>
  <c r="P293" i="7"/>
  <c r="P294" i="7"/>
  <c r="P300" i="7"/>
  <c r="P302" i="7"/>
  <c r="P303" i="7"/>
  <c r="P304" i="7"/>
  <c r="P305" i="7"/>
  <c r="P307" i="7"/>
  <c r="P308" i="7"/>
  <c r="P309" i="7"/>
  <c r="P310" i="7"/>
  <c r="P311" i="7"/>
  <c r="P312" i="7"/>
  <c r="P314" i="7"/>
  <c r="P315" i="7"/>
  <c r="P316" i="7"/>
  <c r="P318" i="7"/>
  <c r="P319" i="7"/>
  <c r="P320" i="7"/>
  <c r="P321" i="7"/>
  <c r="P322" i="7"/>
  <c r="P323" i="7"/>
  <c r="P324" i="7"/>
  <c r="P325" i="7"/>
  <c r="Q6" i="7"/>
  <c r="Q7" i="7"/>
  <c r="Q8" i="7"/>
  <c r="Q10" i="7"/>
  <c r="Q11" i="7"/>
  <c r="Q14" i="7"/>
  <c r="Q16" i="7"/>
  <c r="Q17" i="7"/>
  <c r="Q18" i="7"/>
  <c r="Q19" i="7"/>
  <c r="Q20" i="7"/>
  <c r="Q21" i="7"/>
  <c r="Q22" i="7"/>
  <c r="Q25" i="7"/>
  <c r="Q26" i="7"/>
  <c r="Q28" i="7"/>
  <c r="Q29" i="7"/>
  <c r="Q32" i="7"/>
  <c r="Q33" i="7"/>
  <c r="Q35" i="7"/>
  <c r="Q36" i="7"/>
  <c r="Q37" i="7"/>
  <c r="Q39" i="7"/>
  <c r="Q42" i="7"/>
  <c r="Q43" i="7"/>
  <c r="Q44" i="7"/>
  <c r="Q45" i="7"/>
  <c r="Q47" i="7"/>
  <c r="Q48" i="7"/>
  <c r="Q50" i="7"/>
  <c r="Q51" i="7"/>
  <c r="Q52" i="7"/>
  <c r="Q53" i="7"/>
  <c r="Q56" i="7"/>
  <c r="Q60" i="7"/>
  <c r="Q61" i="7"/>
  <c r="Q63" i="7"/>
  <c r="Q64" i="7"/>
  <c r="Q65" i="7"/>
  <c r="Q66" i="7"/>
  <c r="Q72" i="7"/>
  <c r="Q75" i="7"/>
  <c r="Q76" i="7"/>
  <c r="Q77" i="7"/>
  <c r="Q78" i="7"/>
  <c r="Q79" i="7"/>
  <c r="Q80" i="7"/>
  <c r="Q82" i="7"/>
  <c r="Q83" i="7"/>
  <c r="Q85" i="7"/>
  <c r="Q90" i="7"/>
  <c r="Q91" i="7"/>
  <c r="Q92" i="7"/>
  <c r="Q93" i="7"/>
  <c r="Q94" i="7"/>
  <c r="Q96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5" i="7"/>
  <c r="Q116" i="7"/>
  <c r="Q119" i="7"/>
  <c r="Q120" i="7"/>
  <c r="Q121" i="7"/>
  <c r="Q122" i="7"/>
  <c r="Q124" i="7"/>
  <c r="Q127" i="7"/>
  <c r="Q128" i="7"/>
  <c r="Q129" i="7"/>
  <c r="Q130" i="7"/>
  <c r="Q131" i="7"/>
  <c r="Q134" i="7"/>
  <c r="Q135" i="7"/>
  <c r="Q138" i="7"/>
  <c r="Q139" i="7"/>
  <c r="Q140" i="7"/>
  <c r="Q141" i="7"/>
  <c r="Q142" i="7"/>
  <c r="Q143" i="7"/>
  <c r="Q144" i="7"/>
  <c r="Q145" i="7"/>
  <c r="Q147" i="7"/>
  <c r="Q148" i="7"/>
  <c r="Q149" i="7"/>
  <c r="Q150" i="7"/>
  <c r="Q156" i="7"/>
  <c r="Q160" i="7"/>
  <c r="Q161" i="7"/>
  <c r="Q162" i="7"/>
  <c r="Q164" i="7"/>
  <c r="Q167" i="7"/>
  <c r="Q168" i="7"/>
  <c r="Q169" i="7"/>
  <c r="Q170" i="7"/>
  <c r="Q178" i="7"/>
  <c r="Q181" i="7"/>
  <c r="Q182" i="7"/>
  <c r="Q183" i="7"/>
  <c r="Q185" i="7"/>
  <c r="Q189" i="7"/>
  <c r="Q190" i="7"/>
  <c r="Q191" i="7"/>
  <c r="Q192" i="7"/>
  <c r="Q200" i="7"/>
  <c r="Q201" i="7"/>
  <c r="Q202" i="7"/>
  <c r="Q203" i="7"/>
  <c r="Q204" i="7"/>
  <c r="Q205" i="7"/>
  <c r="Q206" i="7"/>
  <c r="Q207" i="7"/>
  <c r="Q209" i="7"/>
  <c r="Q210" i="7"/>
  <c r="Q212" i="7"/>
  <c r="Q213" i="7"/>
  <c r="Q214" i="7"/>
  <c r="Q216" i="7"/>
  <c r="Q217" i="7"/>
  <c r="Q221" i="7"/>
  <c r="Q222" i="7"/>
  <c r="Q223" i="7"/>
  <c r="Q225" i="7"/>
  <c r="Q226" i="7"/>
  <c r="Q227" i="7"/>
  <c r="Q228" i="7"/>
  <c r="Q229" i="7"/>
  <c r="Q230" i="7"/>
  <c r="Q232" i="7"/>
  <c r="Q233" i="7"/>
  <c r="Q234" i="7"/>
  <c r="Q237" i="7"/>
  <c r="Q242" i="7"/>
  <c r="Q243" i="7"/>
  <c r="Q247" i="7"/>
  <c r="Q248" i="7"/>
  <c r="Q249" i="7"/>
  <c r="Q250" i="7"/>
  <c r="Q251" i="7"/>
  <c r="Q253" i="7"/>
  <c r="Q254" i="7"/>
  <c r="Q256" i="7"/>
  <c r="Q257" i="7"/>
  <c r="Q258" i="7"/>
  <c r="Q260" i="7"/>
  <c r="Q261" i="7"/>
  <c r="Q262" i="7"/>
  <c r="Q263" i="7"/>
  <c r="Q265" i="7"/>
  <c r="Q266" i="7"/>
  <c r="Q267" i="7"/>
  <c r="Q271" i="7"/>
  <c r="Q272" i="7"/>
  <c r="Q274" i="7"/>
  <c r="Q275" i="7"/>
  <c r="Q277" i="7"/>
  <c r="Q278" i="7"/>
  <c r="Q279" i="7"/>
  <c r="Q280" i="7"/>
  <c r="Q281" i="7"/>
  <c r="Q287" i="7"/>
  <c r="Q288" i="7"/>
  <c r="Q289" i="7"/>
  <c r="Q292" i="7"/>
  <c r="Q293" i="7"/>
  <c r="Q294" i="7"/>
  <c r="Q300" i="7"/>
  <c r="Q302" i="7"/>
  <c r="Q303" i="7"/>
  <c r="Q304" i="7"/>
  <c r="Q305" i="7"/>
  <c r="Q307" i="7"/>
  <c r="Q308" i="7"/>
  <c r="Q309" i="7"/>
  <c r="Q310" i="7"/>
  <c r="Q311" i="7"/>
  <c r="Q312" i="7"/>
  <c r="Q314" i="7"/>
  <c r="Q315" i="7"/>
  <c r="Q316" i="7"/>
  <c r="Q318" i="7"/>
  <c r="Q319" i="7"/>
  <c r="Q320" i="7"/>
  <c r="Q321" i="7"/>
  <c r="Q322" i="7"/>
  <c r="Q323" i="7"/>
  <c r="Q324" i="7"/>
  <c r="Q325" i="7"/>
  <c r="R6" i="7"/>
  <c r="R7" i="7"/>
  <c r="R8" i="7"/>
  <c r="R10" i="7"/>
  <c r="R11" i="7"/>
  <c r="R14" i="7"/>
  <c r="R16" i="7"/>
  <c r="R17" i="7"/>
  <c r="R18" i="7"/>
  <c r="R19" i="7"/>
  <c r="R20" i="7"/>
  <c r="R21" i="7"/>
  <c r="R22" i="7"/>
  <c r="R25" i="7"/>
  <c r="R26" i="7"/>
  <c r="R28" i="7"/>
  <c r="R29" i="7"/>
  <c r="R32" i="7"/>
  <c r="R33" i="7"/>
  <c r="R35" i="7"/>
  <c r="R36" i="7"/>
  <c r="R37" i="7"/>
  <c r="R39" i="7"/>
  <c r="R42" i="7"/>
  <c r="R43" i="7"/>
  <c r="R44" i="7"/>
  <c r="R45" i="7"/>
  <c r="R47" i="7"/>
  <c r="R48" i="7"/>
  <c r="R50" i="7"/>
  <c r="R51" i="7"/>
  <c r="R52" i="7"/>
  <c r="R53" i="7"/>
  <c r="R56" i="7"/>
  <c r="R60" i="7"/>
  <c r="R61" i="7"/>
  <c r="R63" i="7"/>
  <c r="R64" i="7"/>
  <c r="R65" i="7"/>
  <c r="R66" i="7"/>
  <c r="R72" i="7"/>
  <c r="R75" i="7"/>
  <c r="R76" i="7"/>
  <c r="R77" i="7"/>
  <c r="R78" i="7"/>
  <c r="R79" i="7"/>
  <c r="R80" i="7"/>
  <c r="R82" i="7"/>
  <c r="R83" i="7"/>
  <c r="R85" i="7"/>
  <c r="R90" i="7"/>
  <c r="R91" i="7"/>
  <c r="R92" i="7"/>
  <c r="R93" i="7"/>
  <c r="R94" i="7"/>
  <c r="R96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5" i="7"/>
  <c r="R116" i="7"/>
  <c r="R119" i="7"/>
  <c r="R120" i="7"/>
  <c r="R121" i="7"/>
  <c r="R122" i="7"/>
  <c r="R124" i="7"/>
  <c r="R127" i="7"/>
  <c r="R128" i="7"/>
  <c r="R129" i="7"/>
  <c r="R130" i="7"/>
  <c r="R131" i="7"/>
  <c r="R134" i="7"/>
  <c r="R135" i="7"/>
  <c r="R138" i="7"/>
  <c r="R139" i="7"/>
  <c r="R140" i="7"/>
  <c r="R141" i="7"/>
  <c r="R142" i="7"/>
  <c r="R143" i="7"/>
  <c r="R144" i="7"/>
  <c r="R145" i="7"/>
  <c r="R147" i="7"/>
  <c r="R148" i="7"/>
  <c r="R149" i="7"/>
  <c r="R150" i="7"/>
  <c r="R156" i="7"/>
  <c r="R160" i="7"/>
  <c r="R161" i="7"/>
  <c r="R162" i="7"/>
  <c r="R164" i="7"/>
  <c r="R167" i="7"/>
  <c r="R168" i="7"/>
  <c r="R169" i="7"/>
  <c r="R170" i="7"/>
  <c r="R178" i="7"/>
  <c r="R181" i="7"/>
  <c r="R182" i="7"/>
  <c r="R183" i="7"/>
  <c r="R185" i="7"/>
  <c r="R189" i="7"/>
  <c r="R190" i="7"/>
  <c r="R191" i="7"/>
  <c r="R192" i="7"/>
  <c r="R200" i="7"/>
  <c r="R201" i="7"/>
  <c r="R202" i="7"/>
  <c r="R203" i="7"/>
  <c r="R204" i="7"/>
  <c r="R205" i="7"/>
  <c r="R206" i="7"/>
  <c r="R207" i="7"/>
  <c r="R209" i="7"/>
  <c r="R210" i="7"/>
  <c r="R212" i="7"/>
  <c r="R213" i="7"/>
  <c r="R214" i="7"/>
  <c r="R216" i="7"/>
  <c r="R217" i="7"/>
  <c r="R221" i="7"/>
  <c r="R222" i="7"/>
  <c r="R223" i="7"/>
  <c r="R225" i="7"/>
  <c r="R226" i="7"/>
  <c r="R227" i="7"/>
  <c r="R228" i="7"/>
  <c r="R229" i="7"/>
  <c r="R230" i="7"/>
  <c r="R232" i="7"/>
  <c r="R233" i="7"/>
  <c r="R234" i="7"/>
  <c r="R237" i="7"/>
  <c r="R242" i="7"/>
  <c r="R243" i="7"/>
  <c r="R247" i="7"/>
  <c r="R248" i="7"/>
  <c r="R249" i="7"/>
  <c r="R250" i="7"/>
  <c r="R251" i="7"/>
  <c r="R253" i="7"/>
  <c r="R254" i="7"/>
  <c r="R256" i="7"/>
  <c r="R257" i="7"/>
  <c r="R258" i="7"/>
  <c r="R260" i="7"/>
  <c r="R261" i="7"/>
  <c r="R262" i="7"/>
  <c r="R263" i="7"/>
  <c r="R265" i="7"/>
  <c r="R266" i="7"/>
  <c r="R267" i="7"/>
  <c r="R271" i="7"/>
  <c r="R272" i="7"/>
  <c r="R274" i="7"/>
  <c r="R275" i="7"/>
  <c r="R277" i="7"/>
  <c r="R278" i="7"/>
  <c r="R279" i="7"/>
  <c r="R280" i="7"/>
  <c r="R281" i="7"/>
  <c r="R287" i="7"/>
  <c r="R288" i="7"/>
  <c r="R289" i="7"/>
  <c r="R292" i="7"/>
  <c r="R293" i="7"/>
  <c r="R294" i="7"/>
  <c r="R300" i="7"/>
  <c r="R302" i="7"/>
  <c r="R303" i="7"/>
  <c r="R304" i="7"/>
  <c r="R305" i="7"/>
  <c r="R307" i="7"/>
  <c r="R308" i="7"/>
  <c r="R309" i="7"/>
  <c r="R310" i="7"/>
  <c r="R311" i="7"/>
  <c r="R312" i="7"/>
  <c r="R314" i="7"/>
  <c r="R315" i="7"/>
  <c r="R316" i="7"/>
  <c r="R318" i="7"/>
  <c r="R319" i="7"/>
  <c r="R320" i="7"/>
  <c r="R321" i="7"/>
  <c r="R322" i="7"/>
  <c r="R323" i="7"/>
  <c r="R324" i="7"/>
  <c r="R325" i="7"/>
  <c r="S6" i="7"/>
  <c r="S7" i="7"/>
  <c r="S8" i="7"/>
  <c r="S10" i="7"/>
  <c r="S11" i="7"/>
  <c r="S14" i="7"/>
  <c r="S16" i="7"/>
  <c r="S17" i="7"/>
  <c r="S18" i="7"/>
  <c r="S19" i="7"/>
  <c r="S20" i="7"/>
  <c r="S21" i="7"/>
  <c r="S22" i="7"/>
  <c r="S25" i="7"/>
  <c r="S26" i="7"/>
  <c r="S28" i="7"/>
  <c r="S29" i="7"/>
  <c r="S32" i="7"/>
  <c r="S33" i="7"/>
  <c r="S35" i="7"/>
  <c r="S36" i="7"/>
  <c r="S37" i="7"/>
  <c r="S39" i="7"/>
  <c r="S42" i="7"/>
  <c r="S43" i="7"/>
  <c r="S44" i="7"/>
  <c r="S45" i="7"/>
  <c r="S47" i="7"/>
  <c r="S48" i="7"/>
  <c r="S50" i="7"/>
  <c r="S51" i="7"/>
  <c r="S52" i="7"/>
  <c r="S53" i="7"/>
  <c r="S56" i="7"/>
  <c r="S60" i="7"/>
  <c r="S61" i="7"/>
  <c r="S63" i="7"/>
  <c r="S64" i="7"/>
  <c r="S65" i="7"/>
  <c r="S66" i="7"/>
  <c r="S72" i="7"/>
  <c r="S75" i="7"/>
  <c r="S76" i="7"/>
  <c r="S77" i="7"/>
  <c r="S78" i="7"/>
  <c r="S79" i="7"/>
  <c r="S80" i="7"/>
  <c r="S82" i="7"/>
  <c r="S83" i="7"/>
  <c r="S85" i="7"/>
  <c r="S90" i="7"/>
  <c r="S91" i="7"/>
  <c r="S92" i="7"/>
  <c r="S93" i="7"/>
  <c r="S94" i="7"/>
  <c r="S96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5" i="7"/>
  <c r="S116" i="7"/>
  <c r="S119" i="7"/>
  <c r="S120" i="7"/>
  <c r="S121" i="7"/>
  <c r="S122" i="7"/>
  <c r="S124" i="7"/>
  <c r="S127" i="7"/>
  <c r="S128" i="7"/>
  <c r="S129" i="7"/>
  <c r="S130" i="7"/>
  <c r="S131" i="7"/>
  <c r="S134" i="7"/>
  <c r="S135" i="7"/>
  <c r="S138" i="7"/>
  <c r="S139" i="7"/>
  <c r="S140" i="7"/>
  <c r="S141" i="7"/>
  <c r="S142" i="7"/>
  <c r="S143" i="7"/>
  <c r="S144" i="7"/>
  <c r="S145" i="7"/>
  <c r="S147" i="7"/>
  <c r="S148" i="7"/>
  <c r="S149" i="7"/>
  <c r="S150" i="7"/>
  <c r="S156" i="7"/>
  <c r="S160" i="7"/>
  <c r="S161" i="7"/>
  <c r="S162" i="7"/>
  <c r="S164" i="7"/>
  <c r="S167" i="7"/>
  <c r="S168" i="7"/>
  <c r="S169" i="7"/>
  <c r="S170" i="7"/>
  <c r="S178" i="7"/>
  <c r="S181" i="7"/>
  <c r="S182" i="7"/>
  <c r="S183" i="7"/>
  <c r="S185" i="7"/>
  <c r="S189" i="7"/>
  <c r="S190" i="7"/>
  <c r="S191" i="7"/>
  <c r="S192" i="7"/>
  <c r="S200" i="7"/>
  <c r="S201" i="7"/>
  <c r="S202" i="7"/>
  <c r="S203" i="7"/>
  <c r="S204" i="7"/>
  <c r="S205" i="7"/>
  <c r="S206" i="7"/>
  <c r="S207" i="7"/>
  <c r="S209" i="7"/>
  <c r="S210" i="7"/>
  <c r="S212" i="7"/>
  <c r="S213" i="7"/>
  <c r="S214" i="7"/>
  <c r="S216" i="7"/>
  <c r="S217" i="7"/>
  <c r="S221" i="7"/>
  <c r="S222" i="7"/>
  <c r="S223" i="7"/>
  <c r="S225" i="7"/>
  <c r="S226" i="7"/>
  <c r="S227" i="7"/>
  <c r="S228" i="7"/>
  <c r="S229" i="7"/>
  <c r="S230" i="7"/>
  <c r="S232" i="7"/>
  <c r="S233" i="7"/>
  <c r="S234" i="7"/>
  <c r="S237" i="7"/>
  <c r="S242" i="7"/>
  <c r="S243" i="7"/>
  <c r="S247" i="7"/>
  <c r="S248" i="7"/>
  <c r="S249" i="7"/>
  <c r="S250" i="7"/>
  <c r="S251" i="7"/>
  <c r="S253" i="7"/>
  <c r="S254" i="7"/>
  <c r="S256" i="7"/>
  <c r="S257" i="7"/>
  <c r="S258" i="7"/>
  <c r="S260" i="7"/>
  <c r="S261" i="7"/>
  <c r="S262" i="7"/>
  <c r="S263" i="7"/>
  <c r="S265" i="7"/>
  <c r="S266" i="7"/>
  <c r="S267" i="7"/>
  <c r="S271" i="7"/>
  <c r="S272" i="7"/>
  <c r="S274" i="7"/>
  <c r="S275" i="7"/>
  <c r="S277" i="7"/>
  <c r="S278" i="7"/>
  <c r="S279" i="7"/>
  <c r="S280" i="7"/>
  <c r="S281" i="7"/>
  <c r="S287" i="7"/>
  <c r="S288" i="7"/>
  <c r="S289" i="7"/>
  <c r="S292" i="7"/>
  <c r="S293" i="7"/>
  <c r="S294" i="7"/>
  <c r="S300" i="7"/>
  <c r="S302" i="7"/>
  <c r="S303" i="7"/>
  <c r="S304" i="7"/>
  <c r="S305" i="7"/>
  <c r="S307" i="7"/>
  <c r="S308" i="7"/>
  <c r="S309" i="7"/>
  <c r="S310" i="7"/>
  <c r="S311" i="7"/>
  <c r="S312" i="7"/>
  <c r="S314" i="7"/>
  <c r="S315" i="7"/>
  <c r="S316" i="7"/>
  <c r="S318" i="7"/>
  <c r="S319" i="7"/>
  <c r="S320" i="7"/>
  <c r="S321" i="7"/>
  <c r="S322" i="7"/>
  <c r="S323" i="7"/>
  <c r="S324" i="7"/>
  <c r="S325" i="7"/>
  <c r="S9" i="7"/>
  <c r="S12" i="7"/>
  <c r="S13" i="7"/>
  <c r="S15" i="7"/>
  <c r="S23" i="7"/>
  <c r="S24" i="7"/>
  <c r="S27" i="7"/>
  <c r="S30" i="7"/>
  <c r="S31" i="7"/>
  <c r="S34" i="7"/>
  <c r="S38" i="7"/>
  <c r="S40" i="7"/>
  <c r="S41" i="7"/>
  <c r="S46" i="7"/>
  <c r="S49" i="7"/>
  <c r="S54" i="7"/>
  <c r="S55" i="7"/>
  <c r="S57" i="7"/>
  <c r="S58" i="7"/>
  <c r="S59" i="7"/>
  <c r="S62" i="7"/>
  <c r="S67" i="7"/>
  <c r="S68" i="7"/>
  <c r="S69" i="7"/>
  <c r="S70" i="7"/>
  <c r="S71" i="7"/>
  <c r="S73" i="7"/>
  <c r="S74" i="7"/>
  <c r="S81" i="7"/>
  <c r="S84" i="7"/>
  <c r="S86" i="7"/>
  <c r="S87" i="7"/>
  <c r="S88" i="7"/>
  <c r="S89" i="7"/>
  <c r="S95" i="7"/>
  <c r="S97" i="7"/>
  <c r="S114" i="7"/>
  <c r="S117" i="7"/>
  <c r="S118" i="7"/>
  <c r="S123" i="7"/>
  <c r="S125" i="7"/>
  <c r="S126" i="7"/>
  <c r="S132" i="7"/>
  <c r="S133" i="7"/>
  <c r="S136" i="7"/>
  <c r="S137" i="7"/>
  <c r="S146" i="7"/>
  <c r="S151" i="7"/>
  <c r="S152" i="7"/>
  <c r="S153" i="7"/>
  <c r="S154" i="7"/>
  <c r="S155" i="7"/>
  <c r="S157" i="7"/>
  <c r="S158" i="7"/>
  <c r="S159" i="7"/>
  <c r="S163" i="7"/>
  <c r="S165" i="7"/>
  <c r="S166" i="7"/>
  <c r="S171" i="7"/>
  <c r="S172" i="7"/>
  <c r="S173" i="7"/>
  <c r="S174" i="7"/>
  <c r="S175" i="7"/>
  <c r="S176" i="7"/>
  <c r="S177" i="7"/>
  <c r="S179" i="7"/>
  <c r="S180" i="7"/>
  <c r="S184" i="7"/>
  <c r="S186" i="7"/>
  <c r="S187" i="7"/>
  <c r="S188" i="7"/>
  <c r="S193" i="7"/>
  <c r="S194" i="7"/>
  <c r="S195" i="7"/>
  <c r="S196" i="7"/>
  <c r="S197" i="7"/>
  <c r="S198" i="7"/>
  <c r="S199" i="7"/>
  <c r="S208" i="7"/>
  <c r="S211" i="7"/>
  <c r="S215" i="7"/>
  <c r="S218" i="7"/>
  <c r="S219" i="7"/>
  <c r="S220" i="7"/>
  <c r="S224" i="7"/>
  <c r="S235" i="7"/>
  <c r="S236" i="7"/>
  <c r="S238" i="7"/>
  <c r="S239" i="7"/>
  <c r="S240" i="7"/>
  <c r="S241" i="7"/>
  <c r="S244" i="7"/>
  <c r="S245" i="7"/>
  <c r="S246" i="7"/>
  <c r="S252" i="7"/>
  <c r="S255" i="7"/>
  <c r="S259" i="7"/>
  <c r="S264" i="7"/>
  <c r="S268" i="7"/>
  <c r="S269" i="7"/>
  <c r="S270" i="7"/>
  <c r="S273" i="7"/>
  <c r="S276" i="7"/>
  <c r="S282" i="7"/>
  <c r="S283" i="7"/>
  <c r="S284" i="7"/>
  <c r="S285" i="7"/>
  <c r="S286" i="7"/>
  <c r="S290" i="7"/>
  <c r="S291" i="7"/>
  <c r="S295" i="7"/>
  <c r="S296" i="7"/>
  <c r="S297" i="7"/>
  <c r="S298" i="7"/>
  <c r="S299" i="7"/>
  <c r="S301" i="7"/>
  <c r="S306" i="7"/>
  <c r="S313" i="7"/>
  <c r="S317" i="7"/>
  <c r="S231" i="7"/>
  <c r="R9" i="7"/>
  <c r="R12" i="7"/>
  <c r="R13" i="7"/>
  <c r="R15" i="7"/>
  <c r="R23" i="7"/>
  <c r="R24" i="7"/>
  <c r="R27" i="7"/>
  <c r="R30" i="7"/>
  <c r="R31" i="7"/>
  <c r="R34" i="7"/>
  <c r="R38" i="7"/>
  <c r="R40" i="7"/>
  <c r="R41" i="7"/>
  <c r="R46" i="7"/>
  <c r="R49" i="7"/>
  <c r="R54" i="7"/>
  <c r="R55" i="7"/>
  <c r="R57" i="7"/>
  <c r="R58" i="7"/>
  <c r="R59" i="7"/>
  <c r="R62" i="7"/>
  <c r="R67" i="7"/>
  <c r="R68" i="7"/>
  <c r="R69" i="7"/>
  <c r="R70" i="7"/>
  <c r="R71" i="7"/>
  <c r="R73" i="7"/>
  <c r="R74" i="7"/>
  <c r="R81" i="7"/>
  <c r="R84" i="7"/>
  <c r="R86" i="7"/>
  <c r="R87" i="7"/>
  <c r="R88" i="7"/>
  <c r="R89" i="7"/>
  <c r="R95" i="7"/>
  <c r="R97" i="7"/>
  <c r="R114" i="7"/>
  <c r="R117" i="7"/>
  <c r="R118" i="7"/>
  <c r="R123" i="7"/>
  <c r="R125" i="7"/>
  <c r="R126" i="7"/>
  <c r="R132" i="7"/>
  <c r="R133" i="7"/>
  <c r="R136" i="7"/>
  <c r="R137" i="7"/>
  <c r="R146" i="7"/>
  <c r="R151" i="7"/>
  <c r="R152" i="7"/>
  <c r="R153" i="7"/>
  <c r="R154" i="7"/>
  <c r="R155" i="7"/>
  <c r="R157" i="7"/>
  <c r="R158" i="7"/>
  <c r="R159" i="7"/>
  <c r="R163" i="7"/>
  <c r="R165" i="7"/>
  <c r="R166" i="7"/>
  <c r="R171" i="7"/>
  <c r="R172" i="7"/>
  <c r="R173" i="7"/>
  <c r="R174" i="7"/>
  <c r="R175" i="7"/>
  <c r="R176" i="7"/>
  <c r="R177" i="7"/>
  <c r="R179" i="7"/>
  <c r="R180" i="7"/>
  <c r="R184" i="7"/>
  <c r="R186" i="7"/>
  <c r="R187" i="7"/>
  <c r="R188" i="7"/>
  <c r="R193" i="7"/>
  <c r="R194" i="7"/>
  <c r="R195" i="7"/>
  <c r="R196" i="7"/>
  <c r="R197" i="7"/>
  <c r="R198" i="7"/>
  <c r="R199" i="7"/>
  <c r="R208" i="7"/>
  <c r="R211" i="7"/>
  <c r="R215" i="7"/>
  <c r="R218" i="7"/>
  <c r="R219" i="7"/>
  <c r="R220" i="7"/>
  <c r="R224" i="7"/>
  <c r="R235" i="7"/>
  <c r="R236" i="7"/>
  <c r="R238" i="7"/>
  <c r="R239" i="7"/>
  <c r="R240" i="7"/>
  <c r="R241" i="7"/>
  <c r="R244" i="7"/>
  <c r="R245" i="7"/>
  <c r="R246" i="7"/>
  <c r="R252" i="7"/>
  <c r="R255" i="7"/>
  <c r="R259" i="7"/>
  <c r="R264" i="7"/>
  <c r="R268" i="7"/>
  <c r="R269" i="7"/>
  <c r="R270" i="7"/>
  <c r="R273" i="7"/>
  <c r="R276" i="7"/>
  <c r="R282" i="7"/>
  <c r="R283" i="7"/>
  <c r="R284" i="7"/>
  <c r="R285" i="7"/>
  <c r="R286" i="7"/>
  <c r="R290" i="7"/>
  <c r="R291" i="7"/>
  <c r="R295" i="7"/>
  <c r="R296" i="7"/>
  <c r="R297" i="7"/>
  <c r="R298" i="7"/>
  <c r="R299" i="7"/>
  <c r="R301" i="7"/>
  <c r="R306" i="7"/>
  <c r="R313" i="7"/>
  <c r="R317" i="7"/>
  <c r="R231" i="7"/>
  <c r="F1" i="15"/>
  <c r="F312" i="18" l="1"/>
  <c r="F308" i="18"/>
  <c r="F303" i="18"/>
  <c r="F298" i="18"/>
  <c r="F293" i="18"/>
  <c r="F284" i="18"/>
  <c r="F278" i="18"/>
  <c r="F270" i="18"/>
  <c r="F265" i="18"/>
  <c r="F257" i="18"/>
  <c r="F252" i="18"/>
  <c r="F247" i="18"/>
  <c r="F241" i="18"/>
  <c r="F234" i="18"/>
  <c r="F224" i="18"/>
  <c r="F219" i="18"/>
  <c r="F209" i="18"/>
  <c r="F203" i="18"/>
  <c r="F200" i="18"/>
  <c r="F195" i="18"/>
  <c r="F184" i="18"/>
  <c r="F177" i="18"/>
  <c r="F164" i="18"/>
  <c r="F157" i="18"/>
  <c r="F147" i="18"/>
  <c r="F142" i="18"/>
  <c r="F138" i="18"/>
  <c r="F133" i="18"/>
  <c r="F127" i="18"/>
  <c r="F120" i="18"/>
  <c r="F114" i="18"/>
  <c r="F109" i="18"/>
  <c r="F105" i="18"/>
  <c r="F101" i="18"/>
  <c r="F97" i="18"/>
  <c r="F91" i="18"/>
  <c r="F78" i="18"/>
  <c r="F74" i="18"/>
  <c r="F63" i="18"/>
  <c r="F58" i="18"/>
  <c r="F52" i="18"/>
  <c r="F46" i="18"/>
  <c r="F40" i="18"/>
  <c r="F34" i="18"/>
  <c r="F28" i="18"/>
  <c r="F22" i="18"/>
  <c r="F18" i="18"/>
  <c r="F10" i="18"/>
  <c r="F311" i="18"/>
  <c r="F307" i="18"/>
  <c r="F301" i="18"/>
  <c r="F297" i="18"/>
  <c r="F292" i="18"/>
  <c r="F283" i="18"/>
  <c r="F277" i="18"/>
  <c r="F269" i="18"/>
  <c r="F263" i="18"/>
  <c r="F256" i="18"/>
  <c r="F251" i="18"/>
  <c r="F245" i="18"/>
  <c r="F240" i="18"/>
  <c r="F233" i="18"/>
  <c r="F223" i="18"/>
  <c r="F218" i="18"/>
  <c r="F214" i="18"/>
  <c r="F207" i="18"/>
  <c r="F202" i="18"/>
  <c r="F199" i="18"/>
  <c r="F194" i="18"/>
  <c r="F183" i="18"/>
  <c r="F176" i="18"/>
  <c r="F163" i="18"/>
  <c r="F146" i="18"/>
  <c r="F141" i="18"/>
  <c r="F132" i="18"/>
  <c r="F126" i="18"/>
  <c r="F119" i="18"/>
  <c r="F113" i="18"/>
  <c r="F108" i="18"/>
  <c r="F104" i="18"/>
  <c r="F100" i="18"/>
  <c r="F96" i="18"/>
  <c r="F90" i="18"/>
  <c r="F83" i="18"/>
  <c r="F77" i="18"/>
  <c r="F73" i="18"/>
  <c r="F62" i="18"/>
  <c r="F51" i="18"/>
  <c r="F45" i="18"/>
  <c r="F38" i="18"/>
  <c r="F33" i="18"/>
  <c r="F27" i="18"/>
  <c r="F21" i="18"/>
  <c r="F16" i="18"/>
  <c r="F9" i="18"/>
  <c r="F314" i="18"/>
  <c r="F310" i="18"/>
  <c r="F305" i="18"/>
  <c r="F300" i="18"/>
  <c r="F296" i="18"/>
  <c r="F291" i="18"/>
  <c r="F282" i="18"/>
  <c r="F272" i="18"/>
  <c r="F268" i="18"/>
  <c r="F262" i="18"/>
  <c r="F254" i="18"/>
  <c r="F249" i="18"/>
  <c r="F244" i="18"/>
  <c r="F239" i="18"/>
  <c r="F228" i="18"/>
  <c r="F221" i="18"/>
  <c r="F217" i="18"/>
  <c r="F213" i="18"/>
  <c r="F206" i="18"/>
  <c r="F198" i="18"/>
  <c r="F186" i="18"/>
  <c r="F180" i="18"/>
  <c r="F173" i="18"/>
  <c r="F162" i="18"/>
  <c r="F156" i="18"/>
  <c r="F145" i="18"/>
  <c r="F140" i="18"/>
  <c r="F137" i="18"/>
  <c r="F129" i="18"/>
  <c r="F125" i="18"/>
  <c r="F118" i="18"/>
  <c r="F111" i="18"/>
  <c r="F107" i="18"/>
  <c r="F103" i="18"/>
  <c r="F99" i="18"/>
  <c r="F94" i="18"/>
  <c r="F89" i="18"/>
  <c r="F81" i="18"/>
  <c r="F76" i="18"/>
  <c r="F70" i="18"/>
  <c r="F61" i="18"/>
  <c r="F54" i="18"/>
  <c r="F49" i="18"/>
  <c r="F44" i="18"/>
  <c r="F37" i="18"/>
  <c r="F31" i="18"/>
  <c r="F24" i="18"/>
  <c r="F20" i="18"/>
  <c r="F13" i="18"/>
  <c r="F8" i="18"/>
  <c r="F313" i="18"/>
  <c r="F309" i="18"/>
  <c r="F304" i="18"/>
  <c r="F299" i="18"/>
  <c r="F294" i="18"/>
  <c r="F290" i="18"/>
  <c r="F279" i="18"/>
  <c r="F271" i="18"/>
  <c r="F266" i="18"/>
  <c r="F258" i="18"/>
  <c r="F253" i="18"/>
  <c r="F248" i="18"/>
  <c r="F242" i="18"/>
  <c r="F238" i="18"/>
  <c r="F225" i="18"/>
  <c r="F220" i="18"/>
  <c r="F216" i="18"/>
  <c r="F205" i="18"/>
  <c r="F197" i="18"/>
  <c r="F196" i="18"/>
  <c r="F185" i="18"/>
  <c r="F178" i="18"/>
  <c r="F165" i="18"/>
  <c r="F159" i="18"/>
  <c r="F153" i="18"/>
  <c r="F144" i="18"/>
  <c r="F139" i="18"/>
  <c r="F136" i="18"/>
  <c r="F128" i="18"/>
  <c r="F122" i="18"/>
  <c r="F117" i="18"/>
  <c r="F110" i="18"/>
  <c r="F106" i="18"/>
  <c r="F102" i="18"/>
  <c r="F98" i="18"/>
  <c r="F92" i="18"/>
  <c r="F88" i="18"/>
  <c r="F80" i="18"/>
  <c r="F75" i="18"/>
  <c r="F64" i="18"/>
  <c r="F59" i="18"/>
  <c r="F53" i="18"/>
  <c r="F48" i="18"/>
  <c r="F43" i="18"/>
  <c r="F36" i="18"/>
  <c r="F30" i="18"/>
  <c r="F23" i="18"/>
  <c r="F19" i="18"/>
  <c r="F12" i="18"/>
  <c r="AC31" i="17"/>
  <c r="K95" i="13"/>
  <c r="P310" i="21"/>
  <c r="Q310" i="21" s="1"/>
  <c r="P307" i="21"/>
  <c r="Q307" i="21" s="1"/>
  <c r="K192" i="13"/>
  <c r="L192" i="13" s="1"/>
  <c r="K52" i="13"/>
  <c r="P303" i="21"/>
  <c r="Q303" i="21" s="1"/>
  <c r="K105" i="13"/>
  <c r="P301" i="21"/>
  <c r="Q301" i="21" s="1"/>
  <c r="K250" i="13"/>
  <c r="L250" i="13" s="1"/>
  <c r="P299" i="21"/>
  <c r="Q299" i="21" s="1"/>
  <c r="P293" i="21"/>
  <c r="Q293" i="21" s="1"/>
  <c r="K205" i="13"/>
  <c r="K182" i="13"/>
  <c r="L182" i="13" s="1"/>
  <c r="P58" i="21"/>
  <c r="Q58" i="21" s="1"/>
  <c r="K172" i="13"/>
  <c r="L172" i="13" s="1"/>
  <c r="P56" i="21"/>
  <c r="Q56" i="21" s="1"/>
  <c r="P282" i="21"/>
  <c r="Q282" i="21" s="1"/>
  <c r="K84" i="13"/>
  <c r="L84" i="13" s="1"/>
  <c r="M291" i="17"/>
  <c r="N291" i="17" s="1"/>
  <c r="P280" i="21"/>
  <c r="Q280" i="21" s="1"/>
  <c r="K82" i="13"/>
  <c r="L82" i="13" s="1"/>
  <c r="P65" i="21"/>
  <c r="Q65" i="21" s="1"/>
  <c r="K63" i="13"/>
  <c r="L63" i="13" s="1"/>
  <c r="K121" i="13"/>
  <c r="P274" i="21"/>
  <c r="Q274" i="21" s="1"/>
  <c r="K217" i="13"/>
  <c r="L217" i="13" s="1"/>
  <c r="P271" i="21"/>
  <c r="Q271" i="21" s="1"/>
  <c r="K104" i="13"/>
  <c r="L104" i="13" s="1"/>
  <c r="P55" i="21"/>
  <c r="Q55" i="21" s="1"/>
  <c r="P105" i="21"/>
  <c r="Q105" i="21" s="1"/>
  <c r="K171" i="13"/>
  <c r="K154" i="13"/>
  <c r="L154" i="13" s="1"/>
  <c r="P53" i="21"/>
  <c r="Q53" i="21" s="1"/>
  <c r="K102" i="13"/>
  <c r="L102" i="13" s="1"/>
  <c r="P130" i="21"/>
  <c r="Q130" i="21" s="1"/>
  <c r="P101" i="21"/>
  <c r="Q101" i="21" s="1"/>
  <c r="K36" i="13"/>
  <c r="M266" i="17"/>
  <c r="N266" i="17" s="1"/>
  <c r="K71" i="13"/>
  <c r="L71" i="13" s="1"/>
  <c r="P257" i="21"/>
  <c r="Q257" i="21" s="1"/>
  <c r="M288" i="17"/>
  <c r="N288" i="17" s="1"/>
  <c r="K199" i="13"/>
  <c r="P253" i="21"/>
  <c r="Q253" i="21" s="1"/>
  <c r="K295" i="13"/>
  <c r="L295" i="13" s="1"/>
  <c r="P250" i="21"/>
  <c r="Q250" i="21" s="1"/>
  <c r="K53" i="13"/>
  <c r="L53" i="13" s="1"/>
  <c r="P248" i="21"/>
  <c r="Q248" i="21" s="1"/>
  <c r="K214" i="13"/>
  <c r="L214" i="13" s="1"/>
  <c r="P99" i="21"/>
  <c r="Q99" i="21" s="1"/>
  <c r="K41" i="13"/>
  <c r="L41" i="13" s="1"/>
  <c r="P45" i="21"/>
  <c r="Q45" i="21" s="1"/>
  <c r="P234" i="21"/>
  <c r="Q234" i="21" s="1"/>
  <c r="K101" i="13"/>
  <c r="P232" i="21"/>
  <c r="Q232" i="21" s="1"/>
  <c r="K113" i="13"/>
  <c r="K240" i="13"/>
  <c r="L240" i="13" s="1"/>
  <c r="P228" i="21"/>
  <c r="Q228" i="21" s="1"/>
  <c r="K296" i="13"/>
  <c r="P226" i="21"/>
  <c r="Q226" i="21" s="1"/>
  <c r="K175" i="13"/>
  <c r="P41" i="21"/>
  <c r="Q41" i="21" s="1"/>
  <c r="P40" i="21"/>
  <c r="Q40" i="21" s="1"/>
  <c r="K279" i="13"/>
  <c r="L279" i="13" s="1"/>
  <c r="K232" i="13"/>
  <c r="L232" i="13" s="1"/>
  <c r="P218" i="21"/>
  <c r="Q218" i="21" s="1"/>
  <c r="K229" i="13"/>
  <c r="L229" i="13" s="1"/>
  <c r="P85" i="21"/>
  <c r="Q85" i="21" s="1"/>
  <c r="K210" i="13"/>
  <c r="L210" i="13" s="1"/>
  <c r="P214" i="21"/>
  <c r="Q214" i="21" s="1"/>
  <c r="K156" i="13"/>
  <c r="L156" i="13" s="1"/>
  <c r="P213" i="21"/>
  <c r="Q213" i="21" s="1"/>
  <c r="P140" i="21"/>
  <c r="Q140" i="21" s="1"/>
  <c r="K106" i="13"/>
  <c r="L106" i="13" s="1"/>
  <c r="K94" i="13"/>
  <c r="P119" i="21"/>
  <c r="Q119" i="21" s="1"/>
  <c r="K181" i="13"/>
  <c r="P205" i="21"/>
  <c r="Q205" i="21" s="1"/>
  <c r="K186" i="13"/>
  <c r="P81" i="21"/>
  <c r="Q81" i="21" s="1"/>
  <c r="K103" i="13"/>
  <c r="L103" i="13" s="1"/>
  <c r="P35" i="21"/>
  <c r="Q35" i="21" s="1"/>
  <c r="P16" i="21"/>
  <c r="Q16" i="21" s="1"/>
  <c r="K304" i="13"/>
  <c r="P67" i="21"/>
  <c r="Q67" i="21" s="1"/>
  <c r="K211" i="13"/>
  <c r="L211" i="13" s="1"/>
  <c r="M215" i="17"/>
  <c r="N215" i="17" s="1"/>
  <c r="P189" i="21"/>
  <c r="Q189" i="21" s="1"/>
  <c r="K76" i="13"/>
  <c r="L76" i="13" s="1"/>
  <c r="K96" i="13"/>
  <c r="L96" i="13" s="1"/>
  <c r="P74" i="21"/>
  <c r="Q74" i="21" s="1"/>
  <c r="P135" i="21"/>
  <c r="Q135" i="21" s="1"/>
  <c r="K136" i="13"/>
  <c r="L136" i="13" s="1"/>
  <c r="M212" i="17"/>
  <c r="N212" i="17" s="1"/>
  <c r="K158" i="13"/>
  <c r="L158" i="13" s="1"/>
  <c r="P180" i="21"/>
  <c r="Q180" i="21" s="1"/>
  <c r="M170" i="17"/>
  <c r="N170" i="17" s="1"/>
  <c r="K78" i="13"/>
  <c r="L78" i="13" s="1"/>
  <c r="P154" i="21"/>
  <c r="Q154" i="21" s="1"/>
  <c r="K110" i="13"/>
  <c r="L110" i="13" s="1"/>
  <c r="P174" i="21"/>
  <c r="Q174" i="21" s="1"/>
  <c r="D312" i="21"/>
  <c r="D308" i="21"/>
  <c r="D171" i="21"/>
  <c r="D300" i="21"/>
  <c r="D297" i="21"/>
  <c r="D290" i="21"/>
  <c r="D133" i="21"/>
  <c r="D275" i="21"/>
  <c r="D272" i="21"/>
  <c r="D269" i="21"/>
  <c r="D263" i="21"/>
  <c r="D54" i="21"/>
  <c r="D51" i="21"/>
  <c r="D49" i="21"/>
  <c r="D255" i="21"/>
  <c r="D47" i="21"/>
  <c r="D144" i="21"/>
  <c r="D22" i="21"/>
  <c r="D21" i="21"/>
  <c r="D238" i="21"/>
  <c r="D92" i="21"/>
  <c r="D160" i="21"/>
  <c r="D91" i="21"/>
  <c r="D223" i="21"/>
  <c r="D221" i="21"/>
  <c r="D219" i="21"/>
  <c r="D216" i="21"/>
  <c r="D83" i="21"/>
  <c r="D62" i="21"/>
  <c r="D158" i="21"/>
  <c r="D148" i="21"/>
  <c r="D82" i="21"/>
  <c r="D139" i="21"/>
  <c r="D196" i="21"/>
  <c r="D313" i="21"/>
  <c r="D15" i="21"/>
  <c r="D77" i="21"/>
  <c r="D188" i="21"/>
  <c r="D136" i="21"/>
  <c r="D117" i="21"/>
  <c r="D179" i="21"/>
  <c r="D70" i="21"/>
  <c r="K107" i="13"/>
  <c r="P116" i="21"/>
  <c r="Q116" i="21" s="1"/>
  <c r="P309" i="21"/>
  <c r="Q309" i="21" s="1"/>
  <c r="K252" i="13"/>
  <c r="L252" i="13" s="1"/>
  <c r="M224" i="17"/>
  <c r="N224" i="17" s="1"/>
  <c r="K125" i="13"/>
  <c r="L125" i="13" s="1"/>
  <c r="P306" i="21"/>
  <c r="Q306" i="21" s="1"/>
  <c r="K222" i="13"/>
  <c r="L222" i="13" s="1"/>
  <c r="P172" i="21"/>
  <c r="Q172" i="21" s="1"/>
  <c r="M37" i="17"/>
  <c r="N37" i="17" s="1"/>
  <c r="P61" i="21"/>
  <c r="Q61" i="21" s="1"/>
  <c r="K219" i="13"/>
  <c r="L219" i="13" s="1"/>
  <c r="P298" i="21"/>
  <c r="Q298" i="21" s="1"/>
  <c r="K244" i="13"/>
  <c r="L244" i="13" s="1"/>
  <c r="P292" i="21"/>
  <c r="Q292" i="21" s="1"/>
  <c r="K119" i="13"/>
  <c r="L119" i="13" s="1"/>
  <c r="K204" i="13"/>
  <c r="P168" i="21"/>
  <c r="Q168" i="21" s="1"/>
  <c r="K249" i="13"/>
  <c r="L249" i="13" s="1"/>
  <c r="P286" i="21"/>
  <c r="Q286" i="21" s="1"/>
  <c r="K187" i="13"/>
  <c r="P281" i="21"/>
  <c r="Q281" i="21" s="1"/>
  <c r="K202" i="13"/>
  <c r="L202" i="13" s="1"/>
  <c r="P278" i="21"/>
  <c r="Q278" i="21" s="1"/>
  <c r="K177" i="13"/>
  <c r="P109" i="21"/>
  <c r="Q109" i="21" s="1"/>
  <c r="P26" i="21"/>
  <c r="Q26" i="21" s="1"/>
  <c r="K265" i="13"/>
  <c r="L265" i="13" s="1"/>
  <c r="K216" i="13"/>
  <c r="L216" i="13" s="1"/>
  <c r="P270" i="21"/>
  <c r="Q270" i="21" s="1"/>
  <c r="P25" i="21"/>
  <c r="Q25" i="21" s="1"/>
  <c r="K42" i="13"/>
  <c r="K56" i="13"/>
  <c r="P103" i="21"/>
  <c r="Q103" i="21" s="1"/>
  <c r="K147" i="13"/>
  <c r="L147" i="13" s="1"/>
  <c r="P52" i="21"/>
  <c r="Q52" i="21" s="1"/>
  <c r="P261" i="21"/>
  <c r="Q261" i="21" s="1"/>
  <c r="K79" i="13"/>
  <c r="L79" i="13" s="1"/>
  <c r="K92" i="13"/>
  <c r="P259" i="21"/>
  <c r="Q259" i="21" s="1"/>
  <c r="K163" i="13"/>
  <c r="L163" i="13" s="1"/>
  <c r="P252" i="21"/>
  <c r="Q252" i="21" s="1"/>
  <c r="K111" i="13"/>
  <c r="L111" i="13" s="1"/>
  <c r="P64" i="21"/>
  <c r="Q64" i="21" s="1"/>
  <c r="K285" i="13"/>
  <c r="L285" i="13" s="1"/>
  <c r="P63" i="21"/>
  <c r="Q63" i="21" s="1"/>
  <c r="P244" i="21"/>
  <c r="Q244" i="21" s="1"/>
  <c r="K91" i="13"/>
  <c r="L91" i="13" s="1"/>
  <c r="P239" i="21"/>
  <c r="Q239" i="21" s="1"/>
  <c r="K90" i="13"/>
  <c r="L90" i="13" s="1"/>
  <c r="P236" i="21"/>
  <c r="Q236" i="21" s="1"/>
  <c r="K280" i="13"/>
  <c r="M44" i="17"/>
  <c r="N44" i="17" s="1"/>
  <c r="P43" i="21"/>
  <c r="Q43" i="21" s="1"/>
  <c r="K155" i="13"/>
  <c r="K242" i="13"/>
  <c r="L242" i="13" s="1"/>
  <c r="P93" i="21"/>
  <c r="Q93" i="21" s="1"/>
  <c r="P231" i="21"/>
  <c r="Q231" i="21" s="1"/>
  <c r="K164" i="13"/>
  <c r="P122" i="21"/>
  <c r="Q122" i="21" s="1"/>
  <c r="K55" i="13"/>
  <c r="P225" i="21"/>
  <c r="Q225" i="21" s="1"/>
  <c r="K116" i="13"/>
  <c r="L116" i="13" s="1"/>
  <c r="K150" i="13"/>
  <c r="L150" i="13" s="1"/>
  <c r="P89" i="21"/>
  <c r="Q89" i="21" s="1"/>
  <c r="K27" i="13"/>
  <c r="L27" i="13" s="1"/>
  <c r="P39" i="21"/>
  <c r="Q39" i="21" s="1"/>
  <c r="K212" i="13"/>
  <c r="L212" i="13" s="1"/>
  <c r="P217" i="21"/>
  <c r="Q217" i="21" s="1"/>
  <c r="K228" i="13"/>
  <c r="L228" i="13" s="1"/>
  <c r="P84" i="21"/>
  <c r="Q84" i="21" s="1"/>
  <c r="M25" i="17"/>
  <c r="N25" i="17" s="1"/>
  <c r="P38" i="21"/>
  <c r="Q38" i="21" s="1"/>
  <c r="K40" i="13"/>
  <c r="L40" i="13" s="1"/>
  <c r="K225" i="13"/>
  <c r="L225" i="13" s="1"/>
  <c r="P211" i="21"/>
  <c r="Q211" i="21" s="1"/>
  <c r="P121" i="21"/>
  <c r="Q121" i="21" s="1"/>
  <c r="K100" i="13"/>
  <c r="L100" i="13" s="1"/>
  <c r="P208" i="21"/>
  <c r="Q208" i="21" s="1"/>
  <c r="K98" i="13"/>
  <c r="L98" i="13" s="1"/>
  <c r="K208" i="13"/>
  <c r="L208" i="13" s="1"/>
  <c r="P204" i="21"/>
  <c r="Q204" i="21" s="1"/>
  <c r="K223" i="13"/>
  <c r="L223" i="13" s="1"/>
  <c r="P202" i="21"/>
  <c r="Q202" i="21" s="1"/>
  <c r="P197" i="21"/>
  <c r="Q197" i="21" s="1"/>
  <c r="K307" i="13"/>
  <c r="P155" i="21"/>
  <c r="Q155" i="21" s="1"/>
  <c r="K246" i="13"/>
  <c r="L246" i="13" s="1"/>
  <c r="M52" i="17"/>
  <c r="N52" i="17" s="1"/>
  <c r="P33" i="21"/>
  <c r="Q33" i="21" s="1"/>
  <c r="K149" i="13"/>
  <c r="L149" i="13" s="1"/>
  <c r="K259" i="13"/>
  <c r="P191" i="21"/>
  <c r="Q191" i="21" s="1"/>
  <c r="P75" i="21"/>
  <c r="Q75" i="21" s="1"/>
  <c r="K120" i="13"/>
  <c r="K124" i="13"/>
  <c r="P184" i="21"/>
  <c r="Q184" i="21" s="1"/>
  <c r="K179" i="13"/>
  <c r="L179" i="13" s="1"/>
  <c r="P118" i="21"/>
  <c r="Q118" i="21" s="1"/>
  <c r="K112" i="13"/>
  <c r="P146" i="21"/>
  <c r="Q146" i="21" s="1"/>
  <c r="K209" i="13"/>
  <c r="L209" i="13" s="1"/>
  <c r="P71" i="21"/>
  <c r="Q71" i="21" s="1"/>
  <c r="P173" i="21"/>
  <c r="Q173" i="21" s="1"/>
  <c r="K195" i="13"/>
  <c r="D311" i="21"/>
  <c r="D134" i="21"/>
  <c r="D302" i="21"/>
  <c r="D114" i="21"/>
  <c r="D294" i="21"/>
  <c r="D59" i="21"/>
  <c r="D66" i="21"/>
  <c r="D283" i="21"/>
  <c r="D131" i="21"/>
  <c r="D27" i="21"/>
  <c r="D106" i="21"/>
  <c r="D262" i="21"/>
  <c r="D24" i="21"/>
  <c r="D50" i="21"/>
  <c r="D258" i="21"/>
  <c r="D251" i="21"/>
  <c r="D127" i="21"/>
  <c r="D246" i="21"/>
  <c r="D164" i="21"/>
  <c r="D237" i="21"/>
  <c r="D235" i="21"/>
  <c r="D161" i="21"/>
  <c r="D42" i="21"/>
  <c r="D229" i="21"/>
  <c r="D227" i="21"/>
  <c r="D222" i="21"/>
  <c r="D141" i="21"/>
  <c r="D87" i="21"/>
  <c r="D215" i="21"/>
  <c r="D37" i="21"/>
  <c r="D149" i="21"/>
  <c r="D203" i="21"/>
  <c r="D198" i="21"/>
  <c r="D195" i="21"/>
  <c r="D193" i="21"/>
  <c r="D14" i="21"/>
  <c r="D76" i="21"/>
  <c r="D187" i="21"/>
  <c r="D183" i="21"/>
  <c r="D178" i="21"/>
  <c r="D175" i="21"/>
  <c r="K99" i="13"/>
  <c r="P312" i="21"/>
  <c r="Q312" i="21" s="1"/>
  <c r="K169" i="13"/>
  <c r="P308" i="21"/>
  <c r="Q308" i="21" s="1"/>
  <c r="M210" i="17"/>
  <c r="N210" i="17" s="1"/>
  <c r="K203" i="13"/>
  <c r="L203" i="13" s="1"/>
  <c r="P305" i="21"/>
  <c r="Q305" i="21" s="1"/>
  <c r="K221" i="13"/>
  <c r="L221" i="13" s="1"/>
  <c r="P171" i="21"/>
  <c r="Q171" i="21" s="1"/>
  <c r="P300" i="21"/>
  <c r="Q300" i="21" s="1"/>
  <c r="K251" i="13"/>
  <c r="L251" i="13" s="1"/>
  <c r="P297" i="21"/>
  <c r="Q297" i="21" s="1"/>
  <c r="K201" i="13"/>
  <c r="L201" i="13" s="1"/>
  <c r="P290" i="21"/>
  <c r="Q290" i="21" s="1"/>
  <c r="K238" i="13"/>
  <c r="L238" i="13" s="1"/>
  <c r="P133" i="21"/>
  <c r="Q133" i="21" s="1"/>
  <c r="K267" i="13"/>
  <c r="M252" i="17"/>
  <c r="N252" i="17" s="1"/>
  <c r="K157" i="13"/>
  <c r="P284" i="21"/>
  <c r="Q284" i="21" s="1"/>
  <c r="M34" i="17"/>
  <c r="N34" i="17" s="1"/>
  <c r="K123" i="13"/>
  <c r="P28" i="21"/>
  <c r="Q28" i="21" s="1"/>
  <c r="M250" i="17"/>
  <c r="N250" i="17" s="1"/>
  <c r="K237" i="13"/>
  <c r="L237" i="13" s="1"/>
  <c r="P277" i="21"/>
  <c r="Q277" i="21" s="1"/>
  <c r="P275" i="21"/>
  <c r="Q275" i="21" s="1"/>
  <c r="K122" i="13"/>
  <c r="L122" i="13" s="1"/>
  <c r="K258" i="13"/>
  <c r="P272" i="21"/>
  <c r="Q272" i="21" s="1"/>
  <c r="K243" i="13"/>
  <c r="L243" i="13" s="1"/>
  <c r="P269" i="21"/>
  <c r="Q269" i="21" s="1"/>
  <c r="K305" i="13"/>
  <c r="P263" i="21"/>
  <c r="Q263" i="21" s="1"/>
  <c r="P54" i="21"/>
  <c r="Q54" i="21" s="1"/>
  <c r="K236" i="13"/>
  <c r="L236" i="13" s="1"/>
  <c r="P51" i="21"/>
  <c r="Q51" i="21" s="1"/>
  <c r="K108" i="13"/>
  <c r="K141" i="13"/>
  <c r="L141" i="13" s="1"/>
  <c r="P49" i="21"/>
  <c r="Q49" i="21" s="1"/>
  <c r="K287" i="13"/>
  <c r="L287" i="13" s="1"/>
  <c r="P255" i="21"/>
  <c r="Q255" i="21" s="1"/>
  <c r="P47" i="21"/>
  <c r="Q47" i="21" s="1"/>
  <c r="K261" i="13"/>
  <c r="L261" i="13" s="1"/>
  <c r="K118" i="13"/>
  <c r="P144" i="21"/>
  <c r="Q144" i="21" s="1"/>
  <c r="K180" i="13"/>
  <c r="L180" i="13" s="1"/>
  <c r="P22" i="21"/>
  <c r="Q22" i="21" s="1"/>
  <c r="K167" i="13"/>
  <c r="P21" i="21"/>
  <c r="Q21" i="21" s="1"/>
  <c r="K74" i="13"/>
  <c r="L74" i="13" s="1"/>
  <c r="P238" i="21"/>
  <c r="Q238" i="21" s="1"/>
  <c r="M50" i="17"/>
  <c r="N50" i="17" s="1"/>
  <c r="P20" i="21"/>
  <c r="Q20" i="21" s="1"/>
  <c r="K173" i="13"/>
  <c r="M280" i="17"/>
  <c r="N280" i="17" s="1"/>
  <c r="K277" i="13"/>
  <c r="L277" i="13" s="1"/>
  <c r="P233" i="21"/>
  <c r="Q233" i="21" s="1"/>
  <c r="P92" i="21"/>
  <c r="Q92" i="21" s="1"/>
  <c r="K241" i="13"/>
  <c r="L241" i="13" s="1"/>
  <c r="K233" i="13"/>
  <c r="L233" i="13" s="1"/>
  <c r="P160" i="21"/>
  <c r="Q160" i="21" s="1"/>
  <c r="K191" i="13"/>
  <c r="L191" i="13" s="1"/>
  <c r="P91" i="21"/>
  <c r="Q91" i="21" s="1"/>
  <c r="K278" i="13"/>
  <c r="L278" i="13" s="1"/>
  <c r="P223" i="21"/>
  <c r="Q223" i="21" s="1"/>
  <c r="K196" i="13"/>
  <c r="P221" i="21"/>
  <c r="Q221" i="21" s="1"/>
  <c r="P219" i="21"/>
  <c r="Q219" i="21" s="1"/>
  <c r="K213" i="13"/>
  <c r="L213" i="13" s="1"/>
  <c r="P216" i="21"/>
  <c r="Q216" i="21" s="1"/>
  <c r="K231" i="13"/>
  <c r="L231" i="13" s="1"/>
  <c r="P83" i="21"/>
  <c r="Q83" i="21" s="1"/>
  <c r="K227" i="13"/>
  <c r="L227" i="13" s="1"/>
  <c r="P62" i="21"/>
  <c r="Q62" i="21" s="1"/>
  <c r="K162" i="13"/>
  <c r="K247" i="13"/>
  <c r="L247" i="13" s="1"/>
  <c r="P158" i="21"/>
  <c r="Q158" i="21" s="1"/>
  <c r="K200" i="13"/>
  <c r="P148" i="21"/>
  <c r="Q148" i="21" s="1"/>
  <c r="M264" i="17"/>
  <c r="N264" i="17" s="1"/>
  <c r="K75" i="13"/>
  <c r="L75" i="13" s="1"/>
  <c r="P207" i="21"/>
  <c r="Q207" i="21" s="1"/>
  <c r="K194" i="13"/>
  <c r="L194" i="13" s="1"/>
  <c r="P82" i="21"/>
  <c r="Q82" i="21" s="1"/>
  <c r="K253" i="13"/>
  <c r="P139" i="21"/>
  <c r="Q139" i="21" s="1"/>
  <c r="K293" i="13"/>
  <c r="L293" i="13" s="1"/>
  <c r="P196" i="21"/>
  <c r="Q196" i="21" s="1"/>
  <c r="P313" i="21"/>
  <c r="Q313" i="21" s="1"/>
  <c r="K299" i="13"/>
  <c r="L299" i="13" s="1"/>
  <c r="K185" i="13"/>
  <c r="L185" i="13" s="1"/>
  <c r="P15" i="21"/>
  <c r="Q15" i="21" s="1"/>
  <c r="K165" i="13"/>
  <c r="L165" i="13" s="1"/>
  <c r="P77" i="21"/>
  <c r="Q77" i="21" s="1"/>
  <c r="K245" i="13"/>
  <c r="L245" i="13" s="1"/>
  <c r="P188" i="21"/>
  <c r="Q188" i="21" s="1"/>
  <c r="P136" i="21"/>
  <c r="Q136" i="21" s="1"/>
  <c r="K170" i="13"/>
  <c r="K109" i="13"/>
  <c r="P117" i="21"/>
  <c r="Q117" i="21" s="1"/>
  <c r="K93" i="13"/>
  <c r="P179" i="21"/>
  <c r="Q179" i="21" s="1"/>
  <c r="P70" i="21"/>
  <c r="Q70" i="21" s="1"/>
  <c r="K193" i="13"/>
  <c r="L193" i="13" s="1"/>
  <c r="D310" i="21"/>
  <c r="D307" i="21"/>
  <c r="D303" i="21"/>
  <c r="D301" i="21"/>
  <c r="D299" i="21"/>
  <c r="D293" i="21"/>
  <c r="D58" i="21"/>
  <c r="D56" i="21"/>
  <c r="D282" i="21"/>
  <c r="D65" i="21"/>
  <c r="D274" i="21"/>
  <c r="D271" i="21"/>
  <c r="D55" i="21"/>
  <c r="D105" i="21"/>
  <c r="D53" i="21"/>
  <c r="D130" i="21"/>
  <c r="D101" i="21"/>
  <c r="D250" i="21"/>
  <c r="D248" i="21"/>
  <c r="D99" i="21"/>
  <c r="D45" i="21"/>
  <c r="D234" i="21"/>
  <c r="D232" i="21"/>
  <c r="D228" i="21"/>
  <c r="D226" i="21"/>
  <c r="D41" i="21"/>
  <c r="D40" i="21"/>
  <c r="D218" i="21"/>
  <c r="D85" i="21"/>
  <c r="D214" i="21"/>
  <c r="D213" i="21"/>
  <c r="D140" i="21"/>
  <c r="D119" i="21"/>
  <c r="D205" i="21"/>
  <c r="D81" i="21"/>
  <c r="D35" i="21"/>
  <c r="D16" i="21"/>
  <c r="D67" i="21"/>
  <c r="D74" i="21"/>
  <c r="D135" i="21"/>
  <c r="D174" i="21"/>
  <c r="K97" i="13"/>
  <c r="P311" i="21"/>
  <c r="Q311" i="21" s="1"/>
  <c r="P134" i="21"/>
  <c r="Q134" i="21" s="1"/>
  <c r="K168" i="13"/>
  <c r="M315" i="17"/>
  <c r="N315" i="17" s="1"/>
  <c r="P304" i="21"/>
  <c r="Q304" i="21" s="1"/>
  <c r="K294" i="13"/>
  <c r="K220" i="13"/>
  <c r="L220" i="13" s="1"/>
  <c r="P302" i="21"/>
  <c r="Q302" i="21" s="1"/>
  <c r="K218" i="13"/>
  <c r="L218" i="13" s="1"/>
  <c r="P114" i="21"/>
  <c r="Q114" i="21" s="1"/>
  <c r="P294" i="21"/>
  <c r="Q294" i="21" s="1"/>
  <c r="K160" i="13"/>
  <c r="K183" i="13"/>
  <c r="L183" i="13" s="1"/>
  <c r="P59" i="21"/>
  <c r="Q59" i="21" s="1"/>
  <c r="K88" i="13"/>
  <c r="L88" i="13" s="1"/>
  <c r="P66" i="21"/>
  <c r="Q66" i="21" s="1"/>
  <c r="K72" i="13"/>
  <c r="L72" i="13" s="1"/>
  <c r="P283" i="21"/>
  <c r="Q283" i="21" s="1"/>
  <c r="M129" i="17"/>
  <c r="N129" i="17" s="1"/>
  <c r="K81" i="13"/>
  <c r="L81" i="13" s="1"/>
  <c r="P110" i="21"/>
  <c r="Q110" i="21" s="1"/>
  <c r="K114" i="13"/>
  <c r="L114" i="13" s="1"/>
  <c r="P131" i="21"/>
  <c r="Q131" i="21" s="1"/>
  <c r="P27" i="21"/>
  <c r="Q27" i="21" s="1"/>
  <c r="K151" i="13"/>
  <c r="L151" i="13" s="1"/>
  <c r="M122" i="17"/>
  <c r="N122" i="17" s="1"/>
  <c r="K178" i="13"/>
  <c r="P107" i="21"/>
  <c r="Q107" i="21" s="1"/>
  <c r="K137" i="13"/>
  <c r="L137" i="13" s="1"/>
  <c r="P106" i="21"/>
  <c r="Q106" i="21" s="1"/>
  <c r="K207" i="13"/>
  <c r="L207" i="13" s="1"/>
  <c r="P262" i="21"/>
  <c r="Q262" i="21" s="1"/>
  <c r="P24" i="21"/>
  <c r="Q24" i="21" s="1"/>
  <c r="K89" i="13"/>
  <c r="L89" i="13" s="1"/>
  <c r="K161" i="13"/>
  <c r="L161" i="13" s="1"/>
  <c r="P50" i="21"/>
  <c r="Q50" i="21" s="1"/>
  <c r="K148" i="13"/>
  <c r="L148" i="13" s="1"/>
  <c r="P258" i="21"/>
  <c r="Q258" i="21" s="1"/>
  <c r="M219" i="17"/>
  <c r="N219" i="17" s="1"/>
  <c r="P254" i="21"/>
  <c r="Q254" i="21" s="1"/>
  <c r="K73" i="13"/>
  <c r="L73" i="13" s="1"/>
  <c r="P251" i="21"/>
  <c r="Q251" i="21" s="1"/>
  <c r="K152" i="13"/>
  <c r="K176" i="13"/>
  <c r="P127" i="21"/>
  <c r="Q127" i="21" s="1"/>
  <c r="P246" i="21"/>
  <c r="Q246" i="21" s="1"/>
  <c r="K255" i="13"/>
  <c r="L255" i="13" s="1"/>
  <c r="P164" i="21"/>
  <c r="Q164" i="21" s="1"/>
  <c r="K235" i="13"/>
  <c r="L235" i="13" s="1"/>
  <c r="P237" i="21"/>
  <c r="Q237" i="21" s="1"/>
  <c r="K306" i="13"/>
  <c r="P235" i="21"/>
  <c r="Q235" i="21" s="1"/>
  <c r="K166" i="13"/>
  <c r="K234" i="13"/>
  <c r="L234" i="13" s="1"/>
  <c r="P161" i="21"/>
  <c r="Q161" i="21" s="1"/>
  <c r="K197" i="13"/>
  <c r="L197" i="13" s="1"/>
  <c r="P42" i="21"/>
  <c r="Q42" i="21" s="1"/>
  <c r="P229" i="21"/>
  <c r="Q229" i="21" s="1"/>
  <c r="K248" i="13"/>
  <c r="L248" i="13" s="1"/>
  <c r="K117" i="13"/>
  <c r="P227" i="21"/>
  <c r="Q227" i="21" s="1"/>
  <c r="K115" i="13"/>
  <c r="L115" i="13" s="1"/>
  <c r="P222" i="21"/>
  <c r="Q222" i="21" s="1"/>
  <c r="P141" i="21"/>
  <c r="Q141" i="21" s="1"/>
  <c r="K284" i="13"/>
  <c r="P87" i="21"/>
  <c r="Q87" i="21" s="1"/>
  <c r="K239" i="13"/>
  <c r="L239" i="13" s="1"/>
  <c r="M118" i="17"/>
  <c r="N118" i="17" s="1"/>
  <c r="P86" i="21"/>
  <c r="Q86" i="21" s="1"/>
  <c r="K230" i="13"/>
  <c r="L230" i="13" s="1"/>
  <c r="P215" i="21"/>
  <c r="Q215" i="21" s="1"/>
  <c r="K226" i="13"/>
  <c r="L226" i="13" s="1"/>
  <c r="K198" i="13"/>
  <c r="L198" i="13" s="1"/>
  <c r="P37" i="21"/>
  <c r="Q37" i="21" s="1"/>
  <c r="K224" i="13"/>
  <c r="L224" i="13" s="1"/>
  <c r="P149" i="21"/>
  <c r="Q149" i="21" s="1"/>
  <c r="M53" i="17"/>
  <c r="N53" i="17" s="1"/>
  <c r="P17" i="21"/>
  <c r="Q17" i="21" s="1"/>
  <c r="K153" i="13"/>
  <c r="L153" i="13" s="1"/>
  <c r="K206" i="13"/>
  <c r="L206" i="13" s="1"/>
  <c r="P203" i="21"/>
  <c r="Q203" i="21" s="1"/>
  <c r="K254" i="13"/>
  <c r="L254" i="13" s="1"/>
  <c r="P198" i="21"/>
  <c r="Q198" i="21" s="1"/>
  <c r="P195" i="21"/>
  <c r="Q195" i="21" s="1"/>
  <c r="K300" i="13"/>
  <c r="K58" i="13"/>
  <c r="P193" i="21"/>
  <c r="Q193" i="21" s="1"/>
  <c r="K39" i="13"/>
  <c r="P14" i="21"/>
  <c r="Q14" i="21" s="1"/>
  <c r="K57" i="13"/>
  <c r="P76" i="21"/>
  <c r="Q76" i="21" s="1"/>
  <c r="K303" i="13"/>
  <c r="L303" i="13" s="1"/>
  <c r="P187" i="21"/>
  <c r="Q187" i="21" s="1"/>
  <c r="K174" i="13"/>
  <c r="P183" i="21"/>
  <c r="Q183" i="21" s="1"/>
  <c r="M213" i="17"/>
  <c r="N213" i="17" s="1"/>
  <c r="P181" i="21"/>
  <c r="Q181" i="21" s="1"/>
  <c r="K159" i="13"/>
  <c r="L159" i="13" s="1"/>
  <c r="P178" i="21"/>
  <c r="Q178" i="21" s="1"/>
  <c r="K85" i="13"/>
  <c r="L85" i="13" s="1"/>
  <c r="P175" i="21"/>
  <c r="Q175" i="21" s="1"/>
  <c r="K70" i="13"/>
  <c r="L70" i="13" s="1"/>
  <c r="D116" i="21"/>
  <c r="D309" i="21"/>
  <c r="D172" i="21"/>
  <c r="D298" i="21"/>
  <c r="D292" i="21"/>
  <c r="D168" i="21"/>
  <c r="D286" i="21"/>
  <c r="D281" i="21"/>
  <c r="D278" i="21"/>
  <c r="D109" i="21"/>
  <c r="D26" i="21"/>
  <c r="D270" i="21"/>
  <c r="D25" i="21"/>
  <c r="D103" i="21"/>
  <c r="D52" i="21"/>
  <c r="D261" i="21"/>
  <c r="D259" i="21"/>
  <c r="D252" i="21"/>
  <c r="D64" i="21"/>
  <c r="D63" i="21"/>
  <c r="D244" i="21"/>
  <c r="D239" i="21"/>
  <c r="D236" i="21"/>
  <c r="D93" i="21"/>
  <c r="D231" i="21"/>
  <c r="D122" i="21"/>
  <c r="D225" i="21"/>
  <c r="D89" i="21"/>
  <c r="D39" i="21"/>
  <c r="D217" i="21"/>
  <c r="D84" i="21"/>
  <c r="D211" i="21"/>
  <c r="D121" i="21"/>
  <c r="D208" i="21"/>
  <c r="D204" i="21"/>
  <c r="D202" i="21"/>
  <c r="D197" i="21"/>
  <c r="D155" i="21"/>
  <c r="D191" i="21"/>
  <c r="D75" i="21"/>
  <c r="D184" i="21"/>
  <c r="D118" i="21"/>
  <c r="D146" i="21"/>
  <c r="D71" i="21"/>
  <c r="D173" i="21"/>
  <c r="B210" i="17"/>
  <c r="D305" i="21"/>
  <c r="B252" i="17"/>
  <c r="D284" i="21"/>
  <c r="B34" i="17"/>
  <c r="D28" i="21"/>
  <c r="B250" i="17"/>
  <c r="D277" i="21"/>
  <c r="B50" i="17"/>
  <c r="D20" i="21"/>
  <c r="B280" i="17"/>
  <c r="D233" i="21"/>
  <c r="B264" i="17"/>
  <c r="D207" i="21"/>
  <c r="B315" i="17"/>
  <c r="D304" i="21"/>
  <c r="B129" i="17"/>
  <c r="D110" i="21"/>
  <c r="B122" i="17"/>
  <c r="D107" i="21"/>
  <c r="B219" i="17"/>
  <c r="D254" i="21"/>
  <c r="B118" i="17"/>
  <c r="D86" i="21"/>
  <c r="B53" i="17"/>
  <c r="D17" i="21"/>
  <c r="B213" i="17"/>
  <c r="D181" i="21"/>
  <c r="B291" i="17"/>
  <c r="D280" i="21"/>
  <c r="B266" i="17"/>
  <c r="D257" i="21"/>
  <c r="B288" i="17"/>
  <c r="D253" i="21"/>
  <c r="B215" i="17"/>
  <c r="D189" i="21"/>
  <c r="B212" i="17"/>
  <c r="D180" i="21"/>
  <c r="B170" i="17"/>
  <c r="D154" i="21"/>
  <c r="B224" i="17"/>
  <c r="D306" i="21"/>
  <c r="B37" i="17"/>
  <c r="D61" i="21"/>
  <c r="B44" i="17"/>
  <c r="D43" i="21"/>
  <c r="B25" i="17"/>
  <c r="D38" i="21"/>
  <c r="B52" i="17"/>
  <c r="D33" i="21"/>
  <c r="J308" i="19"/>
  <c r="P308" i="19" s="1"/>
  <c r="L311" i="38" s="1"/>
  <c r="M206" i="17"/>
  <c r="N206" i="17" s="1"/>
  <c r="J215" i="19"/>
  <c r="P215" i="19" s="1"/>
  <c r="L308" i="38" s="1"/>
  <c r="M132" i="17"/>
  <c r="N132" i="17" s="1"/>
  <c r="J300" i="19"/>
  <c r="P300" i="19" s="1"/>
  <c r="L299" i="38" s="1"/>
  <c r="M205" i="17"/>
  <c r="N205" i="17" s="1"/>
  <c r="J189" i="19"/>
  <c r="P189" i="19" s="1"/>
  <c r="L295" i="38" s="1"/>
  <c r="AB114" i="21" s="1"/>
  <c r="M88" i="17"/>
  <c r="N88" i="17" s="1"/>
  <c r="J27" i="19"/>
  <c r="K27" i="19" s="1"/>
  <c r="M260" i="17"/>
  <c r="N260" i="17" s="1"/>
  <c r="J170" i="19"/>
  <c r="P170" i="19" s="1"/>
  <c r="L284" i="38" s="1"/>
  <c r="M62" i="17"/>
  <c r="N62" i="17" s="1"/>
  <c r="J166" i="19"/>
  <c r="P166" i="19" s="1"/>
  <c r="L279" i="38" s="1"/>
  <c r="M71" i="17"/>
  <c r="N71" i="17" s="1"/>
  <c r="J286" i="19"/>
  <c r="P286" i="19" s="1"/>
  <c r="L275" i="38" s="1"/>
  <c r="M292" i="17"/>
  <c r="N292" i="17" s="1"/>
  <c r="J209" i="19"/>
  <c r="P209" i="19" s="1"/>
  <c r="L264" i="38" s="1"/>
  <c r="M91" i="17"/>
  <c r="N91" i="17" s="1"/>
  <c r="J162" i="19"/>
  <c r="P162" i="19" s="1"/>
  <c r="L259" i="38" s="1"/>
  <c r="M47" i="17"/>
  <c r="N47" i="17" s="1"/>
  <c r="J205" i="19"/>
  <c r="P205" i="19" s="1"/>
  <c r="L249" i="38" s="1"/>
  <c r="M127" i="17"/>
  <c r="N127" i="17" s="1"/>
  <c r="J28" i="19"/>
  <c r="K28" i="19" s="1"/>
  <c r="M241" i="17"/>
  <c r="N241" i="17" s="1"/>
  <c r="J158" i="19"/>
  <c r="P158" i="19" s="1"/>
  <c r="L241" i="38" s="1"/>
  <c r="M21" i="17"/>
  <c r="N21" i="17" s="1"/>
  <c r="J154" i="19"/>
  <c r="P154" i="19" s="1"/>
  <c r="L232" i="38" s="1"/>
  <c r="M56" i="17"/>
  <c r="N56" i="17" s="1"/>
  <c r="J279" i="19"/>
  <c r="P279" i="19" s="1"/>
  <c r="L226" i="38" s="1"/>
  <c r="M258" i="17"/>
  <c r="N258" i="17" s="1"/>
  <c r="J30" i="19"/>
  <c r="K30" i="19" s="1"/>
  <c r="M257" i="17"/>
  <c r="N257" i="17" s="1"/>
  <c r="J197" i="19"/>
  <c r="P197" i="19" s="1"/>
  <c r="L212" i="38" s="1"/>
  <c r="M128" i="17"/>
  <c r="N128" i="17" s="1"/>
  <c r="J268" i="19"/>
  <c r="P268" i="19" s="1"/>
  <c r="L208" i="38" s="1"/>
  <c r="M279" i="17"/>
  <c r="N279" i="17" s="1"/>
  <c r="J222" i="19"/>
  <c r="P222" i="19" s="1"/>
  <c r="L199" i="38" s="1"/>
  <c r="M172" i="17"/>
  <c r="N172" i="17" s="1"/>
  <c r="J265" i="19"/>
  <c r="P265" i="19" s="1"/>
  <c r="L192" i="38" s="1"/>
  <c r="M309" i="17"/>
  <c r="N309" i="17" s="1"/>
  <c r="J256" i="19"/>
  <c r="P256" i="19" s="1"/>
  <c r="L186" i="38" s="1"/>
  <c r="M247" i="17"/>
  <c r="N247" i="17" s="1"/>
  <c r="J221" i="19"/>
  <c r="P221" i="19" s="1"/>
  <c r="L183" i="38" s="1"/>
  <c r="M168" i="17"/>
  <c r="N168" i="17" s="1"/>
  <c r="J146" i="19"/>
  <c r="P146" i="19" s="1"/>
  <c r="L179" i="38" s="1"/>
  <c r="M68" i="17"/>
  <c r="N68" i="17" s="1"/>
  <c r="J258" i="19"/>
  <c r="P258" i="19" s="1"/>
  <c r="L175" i="38" s="1"/>
  <c r="M308" i="17"/>
  <c r="N308" i="17" s="1"/>
  <c r="J24" i="19"/>
  <c r="K24" i="19" s="1"/>
  <c r="M197" i="17"/>
  <c r="N197" i="17" s="1"/>
  <c r="J251" i="19"/>
  <c r="P251" i="19" s="1"/>
  <c r="L164" i="38" s="1"/>
  <c r="M195" i="17"/>
  <c r="N195" i="17" s="1"/>
  <c r="J188" i="19"/>
  <c r="P188" i="19" s="1"/>
  <c r="L158" i="38" s="1"/>
  <c r="M153" i="17"/>
  <c r="N153" i="17" s="1"/>
  <c r="J180" i="19"/>
  <c r="P180" i="19" s="1"/>
  <c r="L154" i="38" s="1"/>
  <c r="M140" i="17"/>
  <c r="N140" i="17" s="1"/>
  <c r="J230" i="19"/>
  <c r="P230" i="19" s="1"/>
  <c r="L146" i="38" s="1"/>
  <c r="M242" i="17"/>
  <c r="N242" i="17" s="1"/>
  <c r="J142" i="19"/>
  <c r="P142" i="19" s="1"/>
  <c r="L142" i="38" s="1"/>
  <c r="M63" i="17"/>
  <c r="N63" i="17" s="1"/>
  <c r="J183" i="19"/>
  <c r="P183" i="19" s="1"/>
  <c r="L137" i="38" s="1"/>
  <c r="M119" i="17"/>
  <c r="N119" i="17" s="1"/>
  <c r="J241" i="19"/>
  <c r="P241" i="19" s="1"/>
  <c r="L123" i="38" s="1"/>
  <c r="M194" i="17"/>
  <c r="N194" i="17" s="1"/>
  <c r="J242" i="19"/>
  <c r="P242" i="19" s="1"/>
  <c r="M263" i="17"/>
  <c r="N263" i="17" s="1"/>
  <c r="J240" i="19"/>
  <c r="P240" i="19" s="1"/>
  <c r="L113" i="38" s="1"/>
  <c r="M303" i="17"/>
  <c r="N303" i="17" s="1"/>
  <c r="J26" i="19"/>
  <c r="K26" i="19" s="1"/>
  <c r="M301" i="17"/>
  <c r="N301" i="17" s="1"/>
  <c r="J138" i="19"/>
  <c r="P138" i="19" s="1"/>
  <c r="L107" i="38" s="1"/>
  <c r="M24" i="17"/>
  <c r="N24" i="17" s="1"/>
  <c r="J195" i="19"/>
  <c r="P195" i="19" s="1"/>
  <c r="L102" i="38" s="1"/>
  <c r="M142" i="17"/>
  <c r="N142" i="17" s="1"/>
  <c r="J235" i="19"/>
  <c r="P235" i="19" s="1"/>
  <c r="L98" i="38" s="1"/>
  <c r="M299" i="17"/>
  <c r="N299" i="17" s="1"/>
  <c r="J312" i="19"/>
  <c r="P312" i="19" s="1"/>
  <c r="L93" i="38" s="1"/>
  <c r="M254" i="17"/>
  <c r="N254" i="17" s="1"/>
  <c r="J311" i="19"/>
  <c r="P311" i="19" s="1"/>
  <c r="L83" i="38" s="1"/>
  <c r="AB178" i="21" s="1"/>
  <c r="M211" i="17"/>
  <c r="N211" i="17" s="1"/>
  <c r="J243" i="19"/>
  <c r="P243" i="19" s="1"/>
  <c r="L77" i="38" s="1"/>
  <c r="M209" i="17"/>
  <c r="N209" i="17" s="1"/>
  <c r="B216" i="19"/>
  <c r="B84" i="17"/>
  <c r="B306" i="19"/>
  <c r="B313" i="17"/>
  <c r="B224" i="19"/>
  <c r="B162" i="17"/>
  <c r="B313" i="19"/>
  <c r="B283" i="17"/>
  <c r="B298" i="19"/>
  <c r="B273" i="17"/>
  <c r="B217" i="19"/>
  <c r="B173" i="17"/>
  <c r="B304" i="19"/>
  <c r="B298" i="17"/>
  <c r="B294" i="19"/>
  <c r="B251" i="17"/>
  <c r="B292" i="19"/>
  <c r="B203" i="17"/>
  <c r="B208" i="19"/>
  <c r="B123" i="17"/>
  <c r="B161" i="19"/>
  <c r="B67" i="17"/>
  <c r="B261" i="19"/>
  <c r="B204" i="17"/>
  <c r="B16" i="19"/>
  <c r="B27" i="17"/>
  <c r="B193" i="19"/>
  <c r="B149" i="17"/>
  <c r="B156" i="19"/>
  <c r="B45" i="17"/>
  <c r="B284" i="19"/>
  <c r="B221" i="17"/>
  <c r="B280" i="19"/>
  <c r="B200" i="17"/>
  <c r="B236" i="19"/>
  <c r="B249" i="17"/>
  <c r="B152" i="19"/>
  <c r="B35" i="17"/>
  <c r="B145" i="19"/>
  <c r="B66" i="17"/>
  <c r="B267" i="19"/>
  <c r="B285" i="17"/>
  <c r="B266" i="19"/>
  <c r="B284" i="17"/>
  <c r="B264" i="19"/>
  <c r="B278" i="17"/>
  <c r="B202" i="19"/>
  <c r="B139" i="17"/>
  <c r="B255" i="19"/>
  <c r="B246" i="17"/>
  <c r="B174" i="19"/>
  <c r="B154" i="17"/>
  <c r="B272" i="19"/>
  <c r="B196" i="17"/>
  <c r="B207" i="19"/>
  <c r="B121" i="17"/>
  <c r="B167" i="19"/>
  <c r="B49" i="17"/>
  <c r="B232" i="19"/>
  <c r="B214" i="17"/>
  <c r="B177" i="19"/>
  <c r="B116" i="17"/>
  <c r="B245" i="19"/>
  <c r="B240" i="17"/>
  <c r="B186" i="19"/>
  <c r="B89" i="17"/>
  <c r="B244" i="19"/>
  <c r="B191" i="17"/>
  <c r="B293" i="19"/>
  <c r="B255" i="17"/>
  <c r="B288" i="19"/>
  <c r="B261" i="17"/>
  <c r="B29" i="19"/>
  <c r="B305" i="17"/>
  <c r="B218" i="19"/>
  <c r="B176" i="17"/>
  <c r="B237" i="19"/>
  <c r="B275" i="17"/>
  <c r="B182" i="19"/>
  <c r="B81" i="17"/>
  <c r="B229" i="19"/>
  <c r="B193" i="17"/>
  <c r="B173" i="19"/>
  <c r="B150" i="17"/>
  <c r="B171" i="19"/>
  <c r="B80" i="17"/>
  <c r="B191" i="19"/>
  <c r="B79" i="17"/>
  <c r="B270" i="19"/>
  <c r="B286" i="17"/>
  <c r="J307" i="19"/>
  <c r="P307" i="19" s="1"/>
  <c r="L310" i="38" s="1"/>
  <c r="M217" i="17"/>
  <c r="N217" i="17" s="1"/>
  <c r="J305" i="19"/>
  <c r="P305" i="19" s="1"/>
  <c r="L307" i="38" s="1"/>
  <c r="AB307" i="21" s="1"/>
  <c r="M311" i="17"/>
  <c r="N311" i="17" s="1"/>
  <c r="J290" i="19"/>
  <c r="P290" i="19" s="1"/>
  <c r="L302" i="38" s="1"/>
  <c r="M244" i="17"/>
  <c r="N244" i="17" s="1"/>
  <c r="J299" i="19"/>
  <c r="P299" i="19" s="1"/>
  <c r="L298" i="38" s="1"/>
  <c r="M202" i="17"/>
  <c r="N202" i="17" s="1"/>
  <c r="J314" i="19"/>
  <c r="P314" i="19" s="1"/>
  <c r="L294" i="38" s="1"/>
  <c r="M314" i="17"/>
  <c r="N314" i="17" s="1"/>
  <c r="J310" i="19"/>
  <c r="P310" i="19" s="1"/>
  <c r="L288" i="38" s="1"/>
  <c r="M289" i="17"/>
  <c r="N289" i="17" s="1"/>
  <c r="J169" i="19"/>
  <c r="P169" i="19" s="1"/>
  <c r="L283" i="38" s="1"/>
  <c r="M58" i="17"/>
  <c r="N58" i="17" s="1"/>
  <c r="J165" i="19"/>
  <c r="P165" i="19" s="1"/>
  <c r="L278" i="38" s="1"/>
  <c r="M70" i="17"/>
  <c r="N70" i="17" s="1"/>
  <c r="J285" i="19"/>
  <c r="P285" i="19" s="1"/>
  <c r="L273" i="38" s="1"/>
  <c r="M208" i="17"/>
  <c r="N208" i="17" s="1"/>
  <c r="J163" i="19"/>
  <c r="P163" i="19" s="1"/>
  <c r="L263" i="38" s="1"/>
  <c r="M23" i="17"/>
  <c r="N23" i="17" s="1"/>
  <c r="J23" i="19"/>
  <c r="K23" i="19" s="1"/>
  <c r="M201" i="17"/>
  <c r="N201" i="17" s="1"/>
  <c r="J262" i="19"/>
  <c r="P262" i="19" s="1"/>
  <c r="L255" i="38" s="1"/>
  <c r="AB271" i="21" s="1"/>
  <c r="M222" i="17"/>
  <c r="N222" i="17" s="1"/>
  <c r="J159" i="19"/>
  <c r="P159" i="19" s="1"/>
  <c r="L248" i="38" s="1"/>
  <c r="M36" i="17"/>
  <c r="N36" i="17" s="1"/>
  <c r="J214" i="19"/>
  <c r="P214" i="19" s="1"/>
  <c r="L245" i="38" s="1"/>
  <c r="M125" i="17"/>
  <c r="N125" i="17" s="1"/>
  <c r="J157" i="19"/>
  <c r="P157" i="19" s="1"/>
  <c r="L240" i="38" s="1"/>
  <c r="M69" i="17"/>
  <c r="N69" i="17" s="1"/>
  <c r="J20" i="19"/>
  <c r="K20" i="19" s="1"/>
  <c r="M155" i="17"/>
  <c r="N155" i="17" s="1"/>
  <c r="J204" i="19"/>
  <c r="P204" i="19" s="1"/>
  <c r="L230" i="38" s="1"/>
  <c r="M120" i="17"/>
  <c r="N120" i="17" s="1"/>
  <c r="J269" i="19"/>
  <c r="P269" i="19" s="1"/>
  <c r="L218" i="38" s="1"/>
  <c r="M310" i="17"/>
  <c r="N310" i="17" s="1"/>
  <c r="J25" i="19"/>
  <c r="K25" i="19" s="1"/>
  <c r="M248" i="17"/>
  <c r="N248" i="17" s="1"/>
  <c r="J192" i="19"/>
  <c r="P192" i="19" s="1"/>
  <c r="L207" i="38" s="1"/>
  <c r="M87" i="17"/>
  <c r="N87" i="17" s="1"/>
  <c r="J168" i="19"/>
  <c r="P168" i="19" s="1"/>
  <c r="L198" i="38" s="1"/>
  <c r="M26" i="17"/>
  <c r="N26" i="17" s="1"/>
  <c r="J22" i="19"/>
  <c r="K22" i="19" s="1"/>
  <c r="M199" i="17"/>
  <c r="N199" i="17" s="1"/>
  <c r="J254" i="19"/>
  <c r="P254" i="19" s="1"/>
  <c r="L182" i="38" s="1"/>
  <c r="M198" i="17"/>
  <c r="N198" i="17" s="1"/>
  <c r="J257" i="19"/>
  <c r="P257" i="19" s="1"/>
  <c r="L174" i="38" s="1"/>
  <c r="M277" i="17"/>
  <c r="N277" i="17" s="1"/>
  <c r="J278" i="19"/>
  <c r="P278" i="19" s="1"/>
  <c r="L169" i="38" s="1"/>
  <c r="M306" i="17"/>
  <c r="N306" i="17" s="1"/>
  <c r="J149" i="19"/>
  <c r="P149" i="19" s="1"/>
  <c r="L163" i="38" s="1"/>
  <c r="M51" i="17"/>
  <c r="N51" i="17" s="1"/>
  <c r="J144" i="19"/>
  <c r="P144" i="19" s="1"/>
  <c r="L157" i="38" s="1"/>
  <c r="M65" i="17"/>
  <c r="N65" i="17" s="1"/>
  <c r="J233" i="19"/>
  <c r="P233" i="19" s="1"/>
  <c r="L153" i="38" s="1"/>
  <c r="M262" i="17"/>
  <c r="N262" i="17" s="1"/>
  <c r="J178" i="19"/>
  <c r="P178" i="19" s="1"/>
  <c r="L149" i="38" s="1"/>
  <c r="M117" i="17"/>
  <c r="N117" i="17" s="1"/>
  <c r="J282" i="19"/>
  <c r="P282" i="19" s="1"/>
  <c r="L145" i="38" s="1"/>
  <c r="M218" i="17"/>
  <c r="N218" i="17" s="1"/>
  <c r="J247" i="19"/>
  <c r="P247" i="19" s="1"/>
  <c r="L141" i="38" s="1"/>
  <c r="M256" i="17"/>
  <c r="N256" i="17" s="1"/>
  <c r="J196" i="19"/>
  <c r="P196" i="19" s="1"/>
  <c r="L136" i="38" s="1"/>
  <c r="M131" i="17"/>
  <c r="N131" i="17" s="1"/>
  <c r="J213" i="19"/>
  <c r="P213" i="19" s="1"/>
  <c r="L130" i="38" s="1"/>
  <c r="M85" i="17"/>
  <c r="N85" i="17" s="1"/>
  <c r="J21" i="19"/>
  <c r="K21" i="19" s="1"/>
  <c r="M245" i="17"/>
  <c r="N245" i="17" s="1"/>
  <c r="J211" i="19"/>
  <c r="P211" i="19" s="1"/>
  <c r="L122" i="38" s="1"/>
  <c r="M114" i="17"/>
  <c r="N114" i="17" s="1"/>
  <c r="J139" i="19"/>
  <c r="P139" i="19" s="1"/>
  <c r="M59" i="17"/>
  <c r="N59" i="17" s="1"/>
  <c r="J15" i="19"/>
  <c r="K15" i="19" s="1"/>
  <c r="M75" i="17"/>
  <c r="N75" i="17" s="1"/>
  <c r="J135" i="19"/>
  <c r="P135" i="19" s="1"/>
  <c r="L106" i="38" s="1"/>
  <c r="AB67" i="21" s="1"/>
  <c r="M55" i="17"/>
  <c r="N55" i="17" s="1"/>
  <c r="J181" i="19"/>
  <c r="P181" i="19" s="1"/>
  <c r="M104" i="17"/>
  <c r="N104" i="17" s="1"/>
  <c r="J175" i="19"/>
  <c r="P175" i="19" s="1"/>
  <c r="L92" i="38" s="1"/>
  <c r="M130" i="17"/>
  <c r="N130" i="17" s="1"/>
  <c r="J281" i="19"/>
  <c r="P281" i="19" s="1"/>
  <c r="L76" i="38" s="1"/>
  <c r="M274" i="17"/>
  <c r="N274" i="17" s="1"/>
  <c r="B309" i="19"/>
  <c r="B207" i="17"/>
  <c r="B31" i="19"/>
  <c r="B253" i="17"/>
  <c r="B223" i="19"/>
  <c r="B163" i="17"/>
  <c r="B249" i="19"/>
  <c r="B307" i="17"/>
  <c r="B248" i="19"/>
  <c r="B293" i="17"/>
  <c r="B259" i="19"/>
  <c r="B259" i="17"/>
  <c r="B212" i="19"/>
  <c r="B152" i="17"/>
  <c r="B291" i="19"/>
  <c r="B223" i="17"/>
  <c r="B289" i="19"/>
  <c r="B282" i="17"/>
  <c r="B260" i="19"/>
  <c r="B290" i="17"/>
  <c r="B287" i="19"/>
  <c r="B312" i="17"/>
  <c r="B148" i="19"/>
  <c r="B57" i="17"/>
  <c r="B155" i="19"/>
  <c r="B38" i="17"/>
  <c r="B153" i="19"/>
  <c r="B32" i="17"/>
  <c r="B273" i="19"/>
  <c r="B281" i="17"/>
  <c r="B160" i="19"/>
  <c r="B72" i="17"/>
  <c r="B198" i="19"/>
  <c r="B82" i="17"/>
  <c r="B151" i="19"/>
  <c r="B31" i="17"/>
  <c r="B150" i="19"/>
  <c r="B54" i="17"/>
  <c r="B283" i="19"/>
  <c r="B265" i="17"/>
  <c r="B201" i="19"/>
  <c r="B138" i="17"/>
  <c r="B220" i="19"/>
  <c r="B167" i="17"/>
  <c r="B190" i="19"/>
  <c r="B148" i="17"/>
  <c r="B252" i="19"/>
  <c r="B287" i="17"/>
  <c r="B250" i="19"/>
  <c r="B276" i="17"/>
  <c r="B234" i="19"/>
  <c r="B216" i="17"/>
  <c r="B231" i="19"/>
  <c r="B243" i="17"/>
  <c r="B176" i="19"/>
  <c r="B115" i="17"/>
  <c r="B140" i="19"/>
  <c r="B48" i="17"/>
  <c r="B219" i="19"/>
  <c r="B174" i="17"/>
  <c r="B185" i="19"/>
  <c r="B146" i="17"/>
  <c r="B200" i="19"/>
  <c r="B144" i="17"/>
  <c r="B184" i="19"/>
  <c r="B143" i="17"/>
  <c r="B253" i="19"/>
  <c r="B304" i="17"/>
  <c r="B239" i="19"/>
  <c r="B302" i="17"/>
  <c r="B136" i="19"/>
  <c r="B73" i="17"/>
  <c r="B18" i="19"/>
  <c r="B112" i="17"/>
  <c r="B238" i="19"/>
  <c r="B300" i="17"/>
  <c r="B187" i="19"/>
  <c r="B126" i="17"/>
  <c r="B172" i="19"/>
  <c r="B86" i="17"/>
  <c r="B246" i="19"/>
  <c r="B192" i="17"/>
  <c r="B206" i="19"/>
  <c r="B141" i="17"/>
  <c r="J216" i="19"/>
  <c r="P216" i="19" s="1"/>
  <c r="L313" i="38" s="1"/>
  <c r="M84" i="17"/>
  <c r="N84" i="17" s="1"/>
  <c r="J306" i="19"/>
  <c r="P306" i="19" s="1"/>
  <c r="L309" i="38" s="1"/>
  <c r="M313" i="17"/>
  <c r="N313" i="17" s="1"/>
  <c r="J224" i="19"/>
  <c r="P224" i="19" s="1"/>
  <c r="L301" i="38" s="1"/>
  <c r="M162" i="17"/>
  <c r="N162" i="17" s="1"/>
  <c r="J313" i="19"/>
  <c r="P313" i="19" s="1"/>
  <c r="L293" i="38" s="1"/>
  <c r="M283" i="17"/>
  <c r="N283" i="17" s="1"/>
  <c r="J298" i="19"/>
  <c r="P298" i="19" s="1"/>
  <c r="L287" i="38" s="1"/>
  <c r="M273" i="17"/>
  <c r="N273" i="17" s="1"/>
  <c r="J217" i="19"/>
  <c r="P217" i="19" s="1"/>
  <c r="L281" i="38" s="1"/>
  <c r="M173" i="17"/>
  <c r="N173" i="17" s="1"/>
  <c r="J304" i="19"/>
  <c r="P304" i="19" s="1"/>
  <c r="L277" i="38" s="1"/>
  <c r="M298" i="17"/>
  <c r="N298" i="17" s="1"/>
  <c r="J294" i="19"/>
  <c r="P294" i="19" s="1"/>
  <c r="L272" i="38" s="1"/>
  <c r="M251" i="17"/>
  <c r="N251" i="17" s="1"/>
  <c r="J292" i="19"/>
  <c r="P292" i="19" s="1"/>
  <c r="M203" i="17"/>
  <c r="N203" i="17" s="1"/>
  <c r="J208" i="19"/>
  <c r="P208" i="19" s="1"/>
  <c r="L261" i="38" s="1"/>
  <c r="M123" i="17"/>
  <c r="N123" i="17" s="1"/>
  <c r="J161" i="19"/>
  <c r="P161" i="19" s="1"/>
  <c r="L258" i="38" s="1"/>
  <c r="M67" i="17"/>
  <c r="N67" i="17" s="1"/>
  <c r="J261" i="19"/>
  <c r="P261" i="19" s="1"/>
  <c r="L254" i="38" s="1"/>
  <c r="AB270" i="21" s="1"/>
  <c r="M204" i="17"/>
  <c r="N204" i="17" s="1"/>
  <c r="J16" i="19"/>
  <c r="K16" i="19" s="1"/>
  <c r="M27" i="17"/>
  <c r="N27" i="17" s="1"/>
  <c r="J193" i="19"/>
  <c r="P193" i="19" s="1"/>
  <c r="L243" i="38" s="1"/>
  <c r="M149" i="17"/>
  <c r="N149" i="17" s="1"/>
  <c r="J156" i="19"/>
  <c r="P156" i="19" s="1"/>
  <c r="L239" i="38" s="1"/>
  <c r="M45" i="17"/>
  <c r="N45" i="17" s="1"/>
  <c r="J284" i="19"/>
  <c r="P284" i="19" s="1"/>
  <c r="L236" i="38" s="1"/>
  <c r="M221" i="17"/>
  <c r="N221" i="17" s="1"/>
  <c r="J280" i="19"/>
  <c r="P280" i="19" s="1"/>
  <c r="L229" i="38" s="1"/>
  <c r="M200" i="17"/>
  <c r="N200" i="17" s="1"/>
  <c r="J236" i="19"/>
  <c r="P236" i="19" s="1"/>
  <c r="L221" i="38" s="1"/>
  <c r="M249" i="17"/>
  <c r="N249" i="17" s="1"/>
  <c r="J152" i="19"/>
  <c r="P152" i="19" s="1"/>
  <c r="L214" i="38" s="1"/>
  <c r="M35" i="17"/>
  <c r="N35" i="17" s="1"/>
  <c r="J145" i="19"/>
  <c r="P145" i="19" s="1"/>
  <c r="L210" i="38" s="1"/>
  <c r="M66" i="17"/>
  <c r="N66" i="17" s="1"/>
  <c r="J267" i="19"/>
  <c r="P267" i="19" s="1"/>
  <c r="M285" i="17"/>
  <c r="N285" i="17" s="1"/>
  <c r="J266" i="19"/>
  <c r="P266" i="19" s="1"/>
  <c r="L197" i="38" s="1"/>
  <c r="AB239" i="21" s="1"/>
  <c r="M284" i="17"/>
  <c r="N284" i="17" s="1"/>
  <c r="J264" i="19"/>
  <c r="P264" i="19" s="1"/>
  <c r="L191" i="38" s="1"/>
  <c r="M278" i="17"/>
  <c r="N278" i="17" s="1"/>
  <c r="J202" i="19"/>
  <c r="P202" i="19" s="1"/>
  <c r="L181" i="38" s="1"/>
  <c r="M139" i="17"/>
  <c r="N139" i="17" s="1"/>
  <c r="J255" i="19"/>
  <c r="P255" i="19" s="1"/>
  <c r="L178" i="38" s="1"/>
  <c r="M246" i="17"/>
  <c r="N246" i="17" s="1"/>
  <c r="J174" i="19"/>
  <c r="P174" i="19" s="1"/>
  <c r="L171" i="38" s="1"/>
  <c r="M154" i="17"/>
  <c r="N154" i="17" s="1"/>
  <c r="J272" i="19"/>
  <c r="P272" i="19" s="1"/>
  <c r="L168" i="38" s="1"/>
  <c r="M196" i="17"/>
  <c r="N196" i="17" s="1"/>
  <c r="J207" i="19"/>
  <c r="P207" i="19" s="1"/>
  <c r="L162" i="38" s="1"/>
  <c r="M121" i="17"/>
  <c r="N121" i="17" s="1"/>
  <c r="J167" i="19"/>
  <c r="P167" i="19" s="1"/>
  <c r="L156" i="38" s="1"/>
  <c r="M49" i="17"/>
  <c r="N49" i="17" s="1"/>
  <c r="J232" i="19"/>
  <c r="P232" i="19" s="1"/>
  <c r="L152" i="38" s="1"/>
  <c r="M214" i="17"/>
  <c r="N214" i="17" s="1"/>
  <c r="J177" i="19"/>
  <c r="P177" i="19" s="1"/>
  <c r="L148" i="38" s="1"/>
  <c r="M116" i="17"/>
  <c r="N116" i="17" s="1"/>
  <c r="J245" i="19"/>
  <c r="P245" i="19" s="1"/>
  <c r="L139" i="38" s="1"/>
  <c r="M240" i="17"/>
  <c r="N240" i="17" s="1"/>
  <c r="J186" i="19"/>
  <c r="P186" i="19" s="1"/>
  <c r="L135" i="38" s="1"/>
  <c r="M89" i="17"/>
  <c r="N89" i="17" s="1"/>
  <c r="J244" i="19"/>
  <c r="P244" i="19" s="1"/>
  <c r="L128" i="38" s="1"/>
  <c r="M191" i="17"/>
  <c r="N191" i="17" s="1"/>
  <c r="J293" i="19"/>
  <c r="P293" i="19" s="1"/>
  <c r="L125" i="38" s="1"/>
  <c r="M255" i="17"/>
  <c r="N255" i="17" s="1"/>
  <c r="J288" i="19"/>
  <c r="P288" i="19" s="1"/>
  <c r="L120" i="38" s="1"/>
  <c r="M261" i="17"/>
  <c r="N261" i="17" s="1"/>
  <c r="J29" i="19"/>
  <c r="K29" i="19" s="1"/>
  <c r="M305" i="17"/>
  <c r="N305" i="17" s="1"/>
  <c r="J218" i="19"/>
  <c r="P218" i="19" s="1"/>
  <c r="L112" i="38" s="1"/>
  <c r="M176" i="17"/>
  <c r="N176" i="17" s="1"/>
  <c r="J237" i="19"/>
  <c r="P237" i="19" s="1"/>
  <c r="L105" i="38" s="1"/>
  <c r="M275" i="17"/>
  <c r="N275" i="17" s="1"/>
  <c r="J182" i="19"/>
  <c r="P182" i="19" s="1"/>
  <c r="L100" i="38" s="1"/>
  <c r="M81" i="17"/>
  <c r="N81" i="17" s="1"/>
  <c r="J229" i="19"/>
  <c r="P229" i="19" s="1"/>
  <c r="L96" i="38" s="1"/>
  <c r="M193" i="17"/>
  <c r="N193" i="17" s="1"/>
  <c r="J173" i="19"/>
  <c r="P173" i="19" s="1"/>
  <c r="M150" i="17"/>
  <c r="N150" i="17" s="1"/>
  <c r="J171" i="19"/>
  <c r="P171" i="19" s="1"/>
  <c r="L85" i="38" s="1"/>
  <c r="M80" i="17"/>
  <c r="N80" i="17" s="1"/>
  <c r="J191" i="19"/>
  <c r="P191" i="19" s="1"/>
  <c r="L80" i="38" s="1"/>
  <c r="M79" i="17"/>
  <c r="N79" i="17" s="1"/>
  <c r="J270" i="19"/>
  <c r="P270" i="19" s="1"/>
  <c r="L75" i="38" s="1"/>
  <c r="M286" i="17"/>
  <c r="N286" i="17" s="1"/>
  <c r="B308" i="19"/>
  <c r="B206" i="17"/>
  <c r="B215" i="19"/>
  <c r="B132" i="17"/>
  <c r="B300" i="19"/>
  <c r="B205" i="17"/>
  <c r="B189" i="19"/>
  <c r="B88" i="17"/>
  <c r="B27" i="19"/>
  <c r="B260" i="17"/>
  <c r="B170" i="19"/>
  <c r="B62" i="17"/>
  <c r="B166" i="19"/>
  <c r="B71" i="17"/>
  <c r="B286" i="19"/>
  <c r="B292" i="17"/>
  <c r="B209" i="19"/>
  <c r="B91" i="17"/>
  <c r="B162" i="19"/>
  <c r="B47" i="17"/>
  <c r="B205" i="19"/>
  <c r="B127" i="17"/>
  <c r="B28" i="19"/>
  <c r="B241" i="17"/>
  <c r="B158" i="19"/>
  <c r="B21" i="17"/>
  <c r="B154" i="19"/>
  <c r="B56" i="17"/>
  <c r="B279" i="19"/>
  <c r="B258" i="17"/>
  <c r="B30" i="19"/>
  <c r="B257" i="17"/>
  <c r="B197" i="19"/>
  <c r="B128" i="17"/>
  <c r="B268" i="19"/>
  <c r="B279" i="17"/>
  <c r="B222" i="19"/>
  <c r="B172" i="17"/>
  <c r="B265" i="19"/>
  <c r="B309" i="17"/>
  <c r="B256" i="19"/>
  <c r="B247" i="17"/>
  <c r="B221" i="19"/>
  <c r="B168" i="17"/>
  <c r="B146" i="19"/>
  <c r="B68" i="17"/>
  <c r="B258" i="19"/>
  <c r="B308" i="17"/>
  <c r="B24" i="19"/>
  <c r="B197" i="17"/>
  <c r="B251" i="19"/>
  <c r="B195" i="17"/>
  <c r="B188" i="19"/>
  <c r="B153" i="17"/>
  <c r="B180" i="19"/>
  <c r="B140" i="17"/>
  <c r="B230" i="19"/>
  <c r="B242" i="17"/>
  <c r="B142" i="19"/>
  <c r="B63" i="17"/>
  <c r="B183" i="19"/>
  <c r="B119" i="17"/>
  <c r="B241" i="19"/>
  <c r="B194" i="17"/>
  <c r="B242" i="19"/>
  <c r="B263" i="17"/>
  <c r="B240" i="19"/>
  <c r="B303" i="17"/>
  <c r="B26" i="19"/>
  <c r="B301" i="17"/>
  <c r="B138" i="19"/>
  <c r="B24" i="17"/>
  <c r="B195" i="19"/>
  <c r="B142" i="17"/>
  <c r="B235" i="19"/>
  <c r="B299" i="17"/>
  <c r="B312" i="19"/>
  <c r="B254" i="17"/>
  <c r="B311" i="19"/>
  <c r="B211" i="17"/>
  <c r="B243" i="19"/>
  <c r="B209" i="17"/>
  <c r="J309" i="19"/>
  <c r="P309" i="19" s="1"/>
  <c r="L312" i="38" s="1"/>
  <c r="M207" i="17"/>
  <c r="N207" i="17" s="1"/>
  <c r="J31" i="19"/>
  <c r="K31" i="19" s="1"/>
  <c r="M253" i="17"/>
  <c r="N253" i="17" s="1"/>
  <c r="J223" i="19"/>
  <c r="P223" i="19" s="1"/>
  <c r="L300" i="38" s="1"/>
  <c r="M163" i="17"/>
  <c r="N163" i="17" s="1"/>
  <c r="J249" i="19"/>
  <c r="P249" i="19" s="1"/>
  <c r="L296" i="38" s="1"/>
  <c r="AB300" i="21" s="1"/>
  <c r="M307" i="17"/>
  <c r="N307" i="17" s="1"/>
  <c r="J248" i="19"/>
  <c r="P248" i="19" s="1"/>
  <c r="L292" i="38" s="1"/>
  <c r="AB297" i="21" s="1"/>
  <c r="M293" i="17"/>
  <c r="N293" i="17" s="1"/>
  <c r="J259" i="19"/>
  <c r="P259" i="19" s="1"/>
  <c r="L285" i="38" s="1"/>
  <c r="M259" i="17"/>
  <c r="N259" i="17" s="1"/>
  <c r="J212" i="19"/>
  <c r="P212" i="19" s="1"/>
  <c r="L280" i="38" s="1"/>
  <c r="M152" i="17"/>
  <c r="N152" i="17" s="1"/>
  <c r="J291" i="19"/>
  <c r="P291" i="19" s="1"/>
  <c r="L260" i="38" s="1"/>
  <c r="M223" i="17"/>
  <c r="N223" i="17" s="1"/>
  <c r="J289" i="19"/>
  <c r="P289" i="19" s="1"/>
  <c r="L257" i="38" s="1"/>
  <c r="M282" i="17"/>
  <c r="N282" i="17" s="1"/>
  <c r="J260" i="19"/>
  <c r="P260" i="19" s="1"/>
  <c r="L253" i="38" s="1"/>
  <c r="AB269" i="21" s="1"/>
  <c r="M290" i="17"/>
  <c r="N290" i="17" s="1"/>
  <c r="J287" i="19"/>
  <c r="P287" i="19" s="1"/>
  <c r="L246" i="38" s="1"/>
  <c r="M312" i="17"/>
  <c r="N312" i="17" s="1"/>
  <c r="J148" i="19"/>
  <c r="P148" i="19" s="1"/>
  <c r="L242" i="38" s="1"/>
  <c r="M57" i="17"/>
  <c r="N57" i="17" s="1"/>
  <c r="J155" i="19"/>
  <c r="P155" i="19" s="1"/>
  <c r="L238" i="38" s="1"/>
  <c r="M38" i="17"/>
  <c r="N38" i="17" s="1"/>
  <c r="J153" i="19"/>
  <c r="P153" i="19" s="1"/>
  <c r="L228" i="38" s="1"/>
  <c r="M32" i="17"/>
  <c r="N32" i="17" s="1"/>
  <c r="J273" i="19"/>
  <c r="P273" i="19" s="1"/>
  <c r="L220" i="38" s="1"/>
  <c r="M281" i="17"/>
  <c r="N281" i="17" s="1"/>
  <c r="J160" i="19"/>
  <c r="P160" i="19" s="1"/>
  <c r="L219" i="38" s="1"/>
  <c r="M72" i="17"/>
  <c r="N72" i="17" s="1"/>
  <c r="J198" i="19"/>
  <c r="P198" i="19" s="1"/>
  <c r="L213" i="38" s="1"/>
  <c r="M82" i="17"/>
  <c r="N82" i="17" s="1"/>
  <c r="J151" i="19"/>
  <c r="P151" i="19" s="1"/>
  <c r="M31" i="17"/>
  <c r="N31" i="17" s="1"/>
  <c r="J150" i="19"/>
  <c r="P150" i="19" s="1"/>
  <c r="L200" i="38" s="1"/>
  <c r="M54" i="17"/>
  <c r="N54" i="17" s="1"/>
  <c r="J283" i="19"/>
  <c r="P283" i="19" s="1"/>
  <c r="L194" i="38" s="1"/>
  <c r="M265" i="17"/>
  <c r="N265" i="17" s="1"/>
  <c r="J201" i="19"/>
  <c r="P201" i="19" s="1"/>
  <c r="L180" i="38" s="1"/>
  <c r="M138" i="17"/>
  <c r="N138" i="17" s="1"/>
  <c r="J220" i="19"/>
  <c r="P220" i="19" s="1"/>
  <c r="L177" i="38" s="1"/>
  <c r="M167" i="17"/>
  <c r="N167" i="17" s="1"/>
  <c r="J190" i="19"/>
  <c r="P190" i="19" s="1"/>
  <c r="L170" i="38" s="1"/>
  <c r="M148" i="17"/>
  <c r="N148" i="17" s="1"/>
  <c r="J252" i="19"/>
  <c r="P252" i="19" s="1"/>
  <c r="L165" i="38" s="1"/>
  <c r="M287" i="17"/>
  <c r="N287" i="17" s="1"/>
  <c r="J250" i="19"/>
  <c r="P250" i="19" s="1"/>
  <c r="L161" i="38" s="1"/>
  <c r="M276" i="17"/>
  <c r="N276" i="17" s="1"/>
  <c r="J234" i="19"/>
  <c r="P234" i="19" s="1"/>
  <c r="L155" i="38" s="1"/>
  <c r="M216" i="17"/>
  <c r="N216" i="17" s="1"/>
  <c r="J231" i="19"/>
  <c r="P231" i="19" s="1"/>
  <c r="L151" i="38" s="1"/>
  <c r="M243" i="17"/>
  <c r="N243" i="17" s="1"/>
  <c r="J176" i="19"/>
  <c r="P176" i="19" s="1"/>
  <c r="L147" i="38" s="1"/>
  <c r="M115" i="17"/>
  <c r="N115" i="17" s="1"/>
  <c r="J140" i="19"/>
  <c r="P140" i="19" s="1"/>
  <c r="L143" i="38" s="1"/>
  <c r="M48" i="17"/>
  <c r="N48" i="17" s="1"/>
  <c r="J219" i="19"/>
  <c r="P219" i="19" s="1"/>
  <c r="L138" i="38" s="1"/>
  <c r="M174" i="17"/>
  <c r="N174" i="17" s="1"/>
  <c r="J185" i="19"/>
  <c r="P185" i="19" s="1"/>
  <c r="L134" i="38" s="1"/>
  <c r="M146" i="17"/>
  <c r="N146" i="17" s="1"/>
  <c r="J200" i="19"/>
  <c r="P200" i="19" s="1"/>
  <c r="L124" i="38" s="1"/>
  <c r="M144" i="17"/>
  <c r="N144" i="17" s="1"/>
  <c r="J184" i="19"/>
  <c r="P184" i="19" s="1"/>
  <c r="L118" i="38" s="1"/>
  <c r="M143" i="17"/>
  <c r="N143" i="17" s="1"/>
  <c r="J253" i="19"/>
  <c r="P253" i="19" s="1"/>
  <c r="L114" i="38" s="1"/>
  <c r="M304" i="17"/>
  <c r="N304" i="17" s="1"/>
  <c r="J239" i="19"/>
  <c r="P239" i="19" s="1"/>
  <c r="L111" i="38" s="1"/>
  <c r="M302" i="17"/>
  <c r="N302" i="17" s="1"/>
  <c r="J136" i="19"/>
  <c r="P136" i="19" s="1"/>
  <c r="L108" i="38" s="1"/>
  <c r="M73" i="17"/>
  <c r="N73" i="17" s="1"/>
  <c r="J18" i="19"/>
  <c r="K18" i="19" s="1"/>
  <c r="M112" i="17"/>
  <c r="N112" i="17" s="1"/>
  <c r="J238" i="19"/>
  <c r="P238" i="19" s="1"/>
  <c r="L99" i="38" s="1"/>
  <c r="M300" i="17"/>
  <c r="N300" i="17" s="1"/>
  <c r="J187" i="19"/>
  <c r="P187" i="19" s="1"/>
  <c r="L95" i="38" s="1"/>
  <c r="M126" i="17"/>
  <c r="N126" i="17" s="1"/>
  <c r="J172" i="19"/>
  <c r="P172" i="19" s="1"/>
  <c r="L88" i="38" s="1"/>
  <c r="M86" i="17"/>
  <c r="N86" i="17" s="1"/>
  <c r="J246" i="19"/>
  <c r="P246" i="19" s="1"/>
  <c r="L84" i="38" s="1"/>
  <c r="M192" i="17"/>
  <c r="N192" i="17" s="1"/>
  <c r="J206" i="19"/>
  <c r="P206" i="19" s="1"/>
  <c r="L79" i="38" s="1"/>
  <c r="M141" i="17"/>
  <c r="N141" i="17" s="1"/>
  <c r="B307" i="19"/>
  <c r="B217" i="17"/>
  <c r="B305" i="19"/>
  <c r="B311" i="17"/>
  <c r="B290" i="19"/>
  <c r="B244" i="17"/>
  <c r="B299" i="19"/>
  <c r="B202" i="17"/>
  <c r="B314" i="19"/>
  <c r="B314" i="17"/>
  <c r="B310" i="19"/>
  <c r="B289" i="17"/>
  <c r="B169" i="19"/>
  <c r="B58" i="17"/>
  <c r="B165" i="19"/>
  <c r="B70" i="17"/>
  <c r="B285" i="19"/>
  <c r="B208" i="17"/>
  <c r="B163" i="19"/>
  <c r="B23" i="17"/>
  <c r="B23" i="19"/>
  <c r="B201" i="17"/>
  <c r="B262" i="19"/>
  <c r="B222" i="17"/>
  <c r="B159" i="19"/>
  <c r="B36" i="17"/>
  <c r="B214" i="19"/>
  <c r="B125" i="17"/>
  <c r="B157" i="19"/>
  <c r="B69" i="17"/>
  <c r="B20" i="19"/>
  <c r="B155" i="17"/>
  <c r="B204" i="19"/>
  <c r="B120" i="17"/>
  <c r="B269" i="19"/>
  <c r="B310" i="17"/>
  <c r="B25" i="19"/>
  <c r="B248" i="17"/>
  <c r="B192" i="19"/>
  <c r="B87" i="17"/>
  <c r="B168" i="19"/>
  <c r="B26" i="17"/>
  <c r="B22" i="19"/>
  <c r="B199" i="17"/>
  <c r="B254" i="19"/>
  <c r="B198" i="17"/>
  <c r="B257" i="19"/>
  <c r="B277" i="17"/>
  <c r="B278" i="19"/>
  <c r="B306" i="17"/>
  <c r="B149" i="19"/>
  <c r="B51" i="17"/>
  <c r="B144" i="19"/>
  <c r="B65" i="17"/>
  <c r="B233" i="19"/>
  <c r="B262" i="17"/>
  <c r="B178" i="19"/>
  <c r="B117" i="17"/>
  <c r="B282" i="19"/>
  <c r="B218" i="17"/>
  <c r="B247" i="19"/>
  <c r="B256" i="17"/>
  <c r="B196" i="19"/>
  <c r="B131" i="17"/>
  <c r="B213" i="19"/>
  <c r="B85" i="17"/>
  <c r="B21" i="19"/>
  <c r="B245" i="17"/>
  <c r="B211" i="19"/>
  <c r="B114" i="17"/>
  <c r="B139" i="19"/>
  <c r="B59" i="17"/>
  <c r="B15" i="19"/>
  <c r="B75" i="17"/>
  <c r="B135" i="19"/>
  <c r="B55" i="17"/>
  <c r="B181" i="19"/>
  <c r="B104" i="17"/>
  <c r="B175" i="19"/>
  <c r="B130" i="17"/>
  <c r="B281" i="19"/>
  <c r="B274" i="17"/>
  <c r="J302" i="19"/>
  <c r="P302" i="19" s="1"/>
  <c r="L304" i="38" s="1"/>
  <c r="AB305" i="21" s="1"/>
  <c r="J296" i="19"/>
  <c r="P296" i="19" s="1"/>
  <c r="L276" i="38" s="1"/>
  <c r="J164" i="19"/>
  <c r="P164" i="19" s="1"/>
  <c r="L270" i="38" s="1"/>
  <c r="J263" i="19"/>
  <c r="P263" i="19" s="1"/>
  <c r="L265" i="38" s="1"/>
  <c r="J17" i="19"/>
  <c r="K17" i="19" s="1"/>
  <c r="J295" i="19"/>
  <c r="P295" i="19" s="1"/>
  <c r="L184" i="38" s="1"/>
  <c r="AB233" i="21" s="1"/>
  <c r="J274" i="19"/>
  <c r="P274" i="19" s="1"/>
  <c r="L127" i="38" s="1"/>
  <c r="B277" i="19"/>
  <c r="B276" i="19"/>
  <c r="B271" i="19"/>
  <c r="B297" i="19"/>
  <c r="B227" i="19"/>
  <c r="B226" i="19"/>
  <c r="J301" i="19"/>
  <c r="P301" i="19" s="1"/>
  <c r="L303" i="38" s="1"/>
  <c r="J203" i="19"/>
  <c r="P203" i="19" s="1"/>
  <c r="L269" i="38" s="1"/>
  <c r="J199" i="19"/>
  <c r="P199" i="19" s="1"/>
  <c r="L256" i="38" s="1"/>
  <c r="J275" i="19"/>
  <c r="P275" i="19" s="1"/>
  <c r="L223" i="38" s="1"/>
  <c r="J179" i="19"/>
  <c r="P179" i="19" s="1"/>
  <c r="L150" i="38" s="1"/>
  <c r="J141" i="19"/>
  <c r="P141" i="19" s="1"/>
  <c r="L126" i="38" s="1"/>
  <c r="J228" i="19"/>
  <c r="P228" i="19" s="1"/>
  <c r="L87" i="38" s="1"/>
  <c r="B303" i="19"/>
  <c r="B134" i="19"/>
  <c r="B147" i="19"/>
  <c r="B143" i="19"/>
  <c r="B137" i="19"/>
  <c r="J277" i="19"/>
  <c r="P277" i="19" s="1"/>
  <c r="L268" i="38" s="1"/>
  <c r="J276" i="19"/>
  <c r="P276" i="19" s="1"/>
  <c r="L225" i="38" s="1"/>
  <c r="J271" i="19"/>
  <c r="P271" i="19" s="1"/>
  <c r="L222" i="38" s="1"/>
  <c r="J297" i="19"/>
  <c r="P297" i="19" s="1"/>
  <c r="L101" i="38" s="1"/>
  <c r="AB189" i="21" s="1"/>
  <c r="J227" i="19"/>
  <c r="P227" i="19" s="1"/>
  <c r="L86" i="38" s="1"/>
  <c r="J226" i="19"/>
  <c r="P226" i="19" s="1"/>
  <c r="L82" i="38" s="1"/>
  <c r="AB154" i="21" s="1"/>
  <c r="B302" i="19"/>
  <c r="B296" i="19"/>
  <c r="B164" i="19"/>
  <c r="B263" i="19"/>
  <c r="B17" i="19"/>
  <c r="B295" i="19"/>
  <c r="B274" i="19"/>
  <c r="J303" i="19"/>
  <c r="P303" i="19" s="1"/>
  <c r="L305" i="38" s="1"/>
  <c r="AB306" i="21" s="1"/>
  <c r="J134" i="19"/>
  <c r="P134" i="19" s="1"/>
  <c r="L297" i="38" s="1"/>
  <c r="AB61" i="21" s="1"/>
  <c r="J147" i="19"/>
  <c r="P147" i="19" s="1"/>
  <c r="L185" i="38" s="1"/>
  <c r="J143" i="19"/>
  <c r="P143" i="19" s="1"/>
  <c r="L144" i="38" s="1"/>
  <c r="J137" i="19"/>
  <c r="P137" i="19" s="1"/>
  <c r="L109" i="38" s="1"/>
  <c r="B301" i="19"/>
  <c r="B203" i="19"/>
  <c r="B199" i="19"/>
  <c r="B275" i="19"/>
  <c r="B179" i="19"/>
  <c r="B141" i="19"/>
  <c r="B228" i="19"/>
  <c r="F7" i="14"/>
  <c r="F11" i="14"/>
  <c r="F17" i="14"/>
  <c r="F21" i="14"/>
  <c r="F26" i="14"/>
  <c r="F36" i="14"/>
  <c r="F42" i="14"/>
  <c r="F51" i="14"/>
  <c r="F57" i="14"/>
  <c r="F64" i="14"/>
  <c r="F69" i="14"/>
  <c r="F75" i="14"/>
  <c r="F80" i="14"/>
  <c r="F87" i="14"/>
  <c r="F97" i="14"/>
  <c r="F102" i="14"/>
  <c r="F107" i="14"/>
  <c r="F115" i="14"/>
  <c r="F120" i="14"/>
  <c r="F125" i="14"/>
  <c r="F129" i="14"/>
  <c r="F140" i="14"/>
  <c r="F148" i="14"/>
  <c r="F161" i="14"/>
  <c r="F168" i="14"/>
  <c r="F180" i="14"/>
  <c r="F185" i="14"/>
  <c r="F189" i="14"/>
  <c r="F195" i="14"/>
  <c r="F201" i="14"/>
  <c r="F208" i="14"/>
  <c r="F214" i="14"/>
  <c r="F219" i="14"/>
  <c r="F223" i="14"/>
  <c r="F227" i="14"/>
  <c r="F231" i="14"/>
  <c r="F237" i="14"/>
  <c r="F245" i="14"/>
  <c r="F251" i="14"/>
  <c r="F255" i="14"/>
  <c r="F266" i="14"/>
  <c r="F274" i="14"/>
  <c r="F280" i="14"/>
  <c r="F286" i="14"/>
  <c r="F293" i="14"/>
  <c r="F298" i="14"/>
  <c r="F305" i="14"/>
  <c r="F311" i="14"/>
  <c r="F316" i="14"/>
  <c r="F323" i="14"/>
  <c r="B5" i="14"/>
  <c r="B99" i="13"/>
  <c r="B9" i="14"/>
  <c r="B169" i="13"/>
  <c r="B14" i="14"/>
  <c r="B203" i="13"/>
  <c r="B19" i="14"/>
  <c r="B221" i="13"/>
  <c r="B24" i="14"/>
  <c r="B251" i="13"/>
  <c r="B29" i="14"/>
  <c r="B201" i="13"/>
  <c r="B40" i="14"/>
  <c r="B238" i="13"/>
  <c r="B49" i="14"/>
  <c r="B267" i="13"/>
  <c r="B54" i="14"/>
  <c r="B157" i="13"/>
  <c r="B62" i="14"/>
  <c r="B123" i="13"/>
  <c r="B67" i="14"/>
  <c r="B237" i="13"/>
  <c r="B72" i="14"/>
  <c r="B122" i="13"/>
  <c r="B78" i="14"/>
  <c r="B258" i="13"/>
  <c r="B82" i="14"/>
  <c r="B243" i="13"/>
  <c r="B95" i="14"/>
  <c r="B305" i="13"/>
  <c r="B100" i="14"/>
  <c r="B236" i="13"/>
  <c r="B104" i="14"/>
  <c r="B108" i="13"/>
  <c r="B112" i="14"/>
  <c r="B117" i="14"/>
  <c r="B141" i="13"/>
  <c r="B123" i="14"/>
  <c r="B287" i="13"/>
  <c r="B127" i="14"/>
  <c r="B261" i="13"/>
  <c r="B138" i="14"/>
  <c r="B118" i="13"/>
  <c r="B146" i="14"/>
  <c r="B180" i="13"/>
  <c r="B159" i="14"/>
  <c r="B167" i="13"/>
  <c r="B165" i="14"/>
  <c r="B74" i="13"/>
  <c r="B173" i="14"/>
  <c r="B173" i="13"/>
  <c r="B182" i="14"/>
  <c r="B277" i="13"/>
  <c r="B187" i="14"/>
  <c r="B241" i="13"/>
  <c r="B191" i="14"/>
  <c r="B233" i="13"/>
  <c r="B199" i="14"/>
  <c r="B191" i="13"/>
  <c r="B205" i="14"/>
  <c r="B278" i="13"/>
  <c r="B210" i="14"/>
  <c r="B196" i="13"/>
  <c r="B217" i="14"/>
  <c r="B213" i="13"/>
  <c r="B221" i="14"/>
  <c r="B231" i="13"/>
  <c r="B225" i="14"/>
  <c r="B227" i="13"/>
  <c r="B229" i="14"/>
  <c r="B162" i="13"/>
  <c r="B235" i="14"/>
  <c r="B247" i="13"/>
  <c r="B239" i="14"/>
  <c r="B200" i="13"/>
  <c r="B248" i="14"/>
  <c r="B75" i="13"/>
  <c r="B253" i="14"/>
  <c r="B194" i="13"/>
  <c r="B264" i="14"/>
  <c r="B253" i="13"/>
  <c r="B269" i="14"/>
  <c r="B293" i="13"/>
  <c r="B278" i="14"/>
  <c r="B299" i="13"/>
  <c r="B283" i="14"/>
  <c r="B185" i="13"/>
  <c r="B288" i="14"/>
  <c r="B165" i="13"/>
  <c r="B295" i="14"/>
  <c r="B245" i="13"/>
  <c r="B302" i="14"/>
  <c r="B170" i="13"/>
  <c r="B309" i="14"/>
  <c r="B109" i="13"/>
  <c r="B313" i="14"/>
  <c r="B93" i="13"/>
  <c r="B320" i="14"/>
  <c r="B193" i="13"/>
  <c r="F4" i="14"/>
  <c r="F8" i="14"/>
  <c r="F13" i="14"/>
  <c r="F18" i="14"/>
  <c r="F22" i="14"/>
  <c r="F27" i="14"/>
  <c r="F37" i="14"/>
  <c r="F48" i="14"/>
  <c r="F52" i="14"/>
  <c r="F58" i="14"/>
  <c r="F66" i="14"/>
  <c r="F71" i="14"/>
  <c r="F76" i="14"/>
  <c r="F81" i="14"/>
  <c r="F92" i="14"/>
  <c r="F99" i="14"/>
  <c r="F103" i="14"/>
  <c r="F108" i="14"/>
  <c r="F116" i="14"/>
  <c r="F122" i="14"/>
  <c r="F126" i="14"/>
  <c r="F137" i="14"/>
  <c r="F144" i="14"/>
  <c r="F151" i="14"/>
  <c r="F162" i="14"/>
  <c r="F169" i="14"/>
  <c r="F181" i="14"/>
  <c r="F186" i="14"/>
  <c r="F190" i="14"/>
  <c r="F198" i="14"/>
  <c r="F202" i="14"/>
  <c r="F209" i="14"/>
  <c r="F216" i="14"/>
  <c r="F220" i="14"/>
  <c r="F224" i="14"/>
  <c r="F228" i="14"/>
  <c r="F233" i="14"/>
  <c r="F238" i="14"/>
  <c r="F247" i="14"/>
  <c r="F252" i="14"/>
  <c r="F258" i="14"/>
  <c r="F267" i="14"/>
  <c r="F277" i="14"/>
  <c r="F282" i="14"/>
  <c r="F287" i="14"/>
  <c r="F294" i="14"/>
  <c r="F301" i="14"/>
  <c r="F308" i="14"/>
  <c r="F312" i="14"/>
  <c r="F319" i="14"/>
  <c r="F324" i="14"/>
  <c r="B6" i="14"/>
  <c r="B97" i="13"/>
  <c r="B10" i="14"/>
  <c r="B168" i="13"/>
  <c r="B15" i="14"/>
  <c r="B294" i="13"/>
  <c r="B20" i="14"/>
  <c r="B220" i="13"/>
  <c r="B25" i="14"/>
  <c r="B218" i="13"/>
  <c r="B35" i="14"/>
  <c r="B160" i="13"/>
  <c r="B41" i="14"/>
  <c r="B183" i="13"/>
  <c r="B50" i="14"/>
  <c r="B88" i="13"/>
  <c r="B55" i="14"/>
  <c r="B72" i="13"/>
  <c r="B63" i="14"/>
  <c r="B81" i="13"/>
  <c r="B68" i="14"/>
  <c r="B114" i="13"/>
  <c r="B73" i="14"/>
  <c r="B151" i="13"/>
  <c r="B79" i="14"/>
  <c r="B178" i="13"/>
  <c r="B86" i="14"/>
  <c r="B137" i="13"/>
  <c r="B96" i="14"/>
  <c r="B207" i="13"/>
  <c r="B101" i="14"/>
  <c r="B89" i="13"/>
  <c r="B106" i="14"/>
  <c r="B113" i="14"/>
  <c r="B161" i="13"/>
  <c r="B119" i="14"/>
  <c r="B148" i="13"/>
  <c r="B124" i="14"/>
  <c r="B73" i="13"/>
  <c r="B128" i="14"/>
  <c r="B152" i="13"/>
  <c r="B139" i="14"/>
  <c r="B176" i="13"/>
  <c r="B147" i="14"/>
  <c r="B255" i="13"/>
  <c r="B160" i="14"/>
  <c r="B235" i="13"/>
  <c r="B167" i="14"/>
  <c r="B306" i="13"/>
  <c r="B179" i="14"/>
  <c r="B166" i="13"/>
  <c r="B184" i="14"/>
  <c r="B234" i="13"/>
  <c r="B188" i="14"/>
  <c r="B197" i="13"/>
  <c r="B194" i="14"/>
  <c r="B248" i="13"/>
  <c r="B200" i="14"/>
  <c r="B117" i="13"/>
  <c r="B207" i="14"/>
  <c r="B115" i="13"/>
  <c r="B213" i="14"/>
  <c r="B284" i="13"/>
  <c r="B218" i="14"/>
  <c r="B239" i="13"/>
  <c r="B222" i="14"/>
  <c r="B230" i="13"/>
  <c r="B226" i="14"/>
  <c r="B226" i="13"/>
  <c r="B230" i="14"/>
  <c r="B198" i="13"/>
  <c r="B236" i="14"/>
  <c r="B224" i="13"/>
  <c r="B244" i="14"/>
  <c r="B250" i="14"/>
  <c r="B153" i="13"/>
  <c r="B254" i="14"/>
  <c r="B206" i="13"/>
  <c r="B265" i="14"/>
  <c r="B254" i="13"/>
  <c r="B270" i="14"/>
  <c r="B300" i="13"/>
  <c r="B279" i="14"/>
  <c r="B58" i="13"/>
  <c r="B285" i="14"/>
  <c r="B39" i="13"/>
  <c r="B291" i="14"/>
  <c r="B57" i="13"/>
  <c r="B297" i="14"/>
  <c r="B303" i="13"/>
  <c r="B304" i="14"/>
  <c r="B174" i="13"/>
  <c r="B310" i="14"/>
  <c r="B159" i="13"/>
  <c r="B314" i="14"/>
  <c r="B85" i="13"/>
  <c r="B322" i="14"/>
  <c r="B70" i="13"/>
  <c r="F5" i="14"/>
  <c r="F9" i="14"/>
  <c r="F14" i="14"/>
  <c r="F19" i="14"/>
  <c r="F24" i="14"/>
  <c r="F29" i="14"/>
  <c r="F40" i="14"/>
  <c r="F49" i="14"/>
  <c r="F54" i="14"/>
  <c r="F62" i="14"/>
  <c r="F67" i="14"/>
  <c r="F72" i="14"/>
  <c r="F78" i="14"/>
  <c r="F82" i="14"/>
  <c r="F95" i="14"/>
  <c r="F100" i="14"/>
  <c r="F104" i="14"/>
  <c r="F112" i="14"/>
  <c r="F117" i="14"/>
  <c r="F123" i="14"/>
  <c r="F127" i="14"/>
  <c r="F138" i="14"/>
  <c r="F146" i="14"/>
  <c r="F159" i="14"/>
  <c r="F165" i="14"/>
  <c r="F173" i="14"/>
  <c r="F182" i="14"/>
  <c r="F187" i="14"/>
  <c r="F191" i="14"/>
  <c r="F199" i="14"/>
  <c r="F205" i="14"/>
  <c r="F210" i="14"/>
  <c r="F217" i="14"/>
  <c r="F221" i="14"/>
  <c r="F225" i="14"/>
  <c r="F229" i="14"/>
  <c r="F235" i="14"/>
  <c r="F239" i="14"/>
  <c r="F248" i="14"/>
  <c r="F253" i="14"/>
  <c r="F264" i="14"/>
  <c r="F269" i="14"/>
  <c r="F278" i="14"/>
  <c r="F283" i="14"/>
  <c r="F288" i="14"/>
  <c r="F295" i="14"/>
  <c r="F302" i="14"/>
  <c r="F309" i="14"/>
  <c r="F313" i="14"/>
  <c r="F320" i="14"/>
  <c r="B7" i="14"/>
  <c r="B95" i="13"/>
  <c r="B11" i="14"/>
  <c r="B192" i="13"/>
  <c r="B17" i="14"/>
  <c r="B52" i="13"/>
  <c r="B21" i="14"/>
  <c r="B105" i="13"/>
  <c r="B26" i="14"/>
  <c r="B250" i="13"/>
  <c r="B36" i="14"/>
  <c r="B205" i="13"/>
  <c r="B42" i="14"/>
  <c r="B182" i="13"/>
  <c r="B51" i="14"/>
  <c r="B172" i="13"/>
  <c r="B57" i="14"/>
  <c r="B84" i="13"/>
  <c r="B64" i="14"/>
  <c r="B82" i="13"/>
  <c r="B69" i="14"/>
  <c r="B63" i="13"/>
  <c r="B75" i="14"/>
  <c r="B121" i="13"/>
  <c r="B80" i="14"/>
  <c r="B217" i="13"/>
  <c r="B87" i="14"/>
  <c r="B104" i="13"/>
  <c r="B97" i="14"/>
  <c r="B171" i="13"/>
  <c r="B102" i="14"/>
  <c r="B154" i="13"/>
  <c r="B107" i="14"/>
  <c r="B102" i="13"/>
  <c r="B115" i="14"/>
  <c r="B36" i="13"/>
  <c r="B120" i="14"/>
  <c r="B71" i="13"/>
  <c r="B125" i="14"/>
  <c r="B199" i="13"/>
  <c r="B129" i="14"/>
  <c r="B295" i="13"/>
  <c r="B140" i="14"/>
  <c r="B53" i="13"/>
  <c r="B148" i="14"/>
  <c r="B214" i="13"/>
  <c r="B161" i="14"/>
  <c r="B41" i="13"/>
  <c r="B168" i="14"/>
  <c r="B180" i="14"/>
  <c r="B101" i="13"/>
  <c r="B185" i="14"/>
  <c r="B113" i="13"/>
  <c r="B195" i="14"/>
  <c r="B240" i="13"/>
  <c r="B201" i="14"/>
  <c r="B296" i="13"/>
  <c r="B208" i="14"/>
  <c r="B175" i="13"/>
  <c r="B214" i="14"/>
  <c r="B279" i="13"/>
  <c r="B219" i="14"/>
  <c r="B232" i="13"/>
  <c r="B223" i="14"/>
  <c r="B229" i="13"/>
  <c r="B227" i="14"/>
  <c r="B210" i="13"/>
  <c r="B231" i="14"/>
  <c r="B156" i="13"/>
  <c r="B237" i="14"/>
  <c r="B106" i="13"/>
  <c r="B245" i="14"/>
  <c r="B94" i="13"/>
  <c r="B181" i="13"/>
  <c r="B251" i="14"/>
  <c r="B255" i="14"/>
  <c r="B186" i="13"/>
  <c r="B266" i="14"/>
  <c r="B103" i="13"/>
  <c r="B274" i="14"/>
  <c r="B280" i="14"/>
  <c r="B304" i="13"/>
  <c r="B286" i="14"/>
  <c r="B211" i="13"/>
  <c r="B293" i="14"/>
  <c r="B76" i="13"/>
  <c r="B298" i="14"/>
  <c r="B96" i="13"/>
  <c r="B305" i="14"/>
  <c r="B136" i="13"/>
  <c r="B311" i="14"/>
  <c r="B158" i="13"/>
  <c r="B316" i="14"/>
  <c r="B78" i="13"/>
  <c r="B323" i="14"/>
  <c r="B110" i="13"/>
  <c r="F6" i="14"/>
  <c r="F10" i="14"/>
  <c r="F15" i="14"/>
  <c r="F20" i="14"/>
  <c r="F25" i="14"/>
  <c r="F35" i="14"/>
  <c r="F41" i="14"/>
  <c r="F50" i="14"/>
  <c r="F55" i="14"/>
  <c r="F63" i="14"/>
  <c r="F68" i="14"/>
  <c r="F73" i="14"/>
  <c r="F79" i="14"/>
  <c r="F86" i="14"/>
  <c r="F96" i="14"/>
  <c r="F101" i="14"/>
  <c r="F106" i="14"/>
  <c r="F113" i="14"/>
  <c r="F119" i="14"/>
  <c r="F124" i="14"/>
  <c r="F128" i="14"/>
  <c r="F139" i="14"/>
  <c r="F147" i="14"/>
  <c r="F160" i="14"/>
  <c r="F167" i="14"/>
  <c r="F179" i="14"/>
  <c r="F184" i="14"/>
  <c r="F188" i="14"/>
  <c r="F194" i="14"/>
  <c r="F200" i="14"/>
  <c r="F207" i="14"/>
  <c r="F213" i="14"/>
  <c r="F218" i="14"/>
  <c r="F222" i="14"/>
  <c r="F226" i="14"/>
  <c r="F230" i="14"/>
  <c r="F236" i="14"/>
  <c r="F244" i="14"/>
  <c r="F250" i="14"/>
  <c r="F254" i="14"/>
  <c r="F265" i="14"/>
  <c r="F270" i="14"/>
  <c r="F279" i="14"/>
  <c r="F285" i="14"/>
  <c r="F291" i="14"/>
  <c r="F297" i="14"/>
  <c r="F304" i="14"/>
  <c r="F310" i="14"/>
  <c r="F314" i="14"/>
  <c r="F322" i="14"/>
  <c r="B4" i="14"/>
  <c r="B107" i="13"/>
  <c r="B8" i="14"/>
  <c r="B252" i="13"/>
  <c r="B13" i="14"/>
  <c r="B125" i="13"/>
  <c r="B18" i="14"/>
  <c r="B222" i="13"/>
  <c r="B22" i="14"/>
  <c r="B219" i="13"/>
  <c r="B27" i="14"/>
  <c r="B244" i="13"/>
  <c r="B37" i="14"/>
  <c r="B119" i="13"/>
  <c r="B48" i="14"/>
  <c r="B204" i="13"/>
  <c r="B52" i="14"/>
  <c r="B249" i="13"/>
  <c r="B58" i="14"/>
  <c r="B187" i="13"/>
  <c r="B66" i="14"/>
  <c r="B202" i="13"/>
  <c r="B71" i="14"/>
  <c r="B177" i="13"/>
  <c r="B76" i="14"/>
  <c r="B265" i="13"/>
  <c r="B81" i="14"/>
  <c r="B216" i="13"/>
  <c r="B92" i="14"/>
  <c r="B42" i="13"/>
  <c r="B99" i="14"/>
  <c r="B56" i="13"/>
  <c r="B103" i="14"/>
  <c r="B147" i="13"/>
  <c r="B108" i="14"/>
  <c r="B79" i="13"/>
  <c r="B116" i="14"/>
  <c r="B92" i="13"/>
  <c r="B122" i="14"/>
  <c r="B126" i="14"/>
  <c r="B163" i="13"/>
  <c r="B137" i="14"/>
  <c r="B111" i="13"/>
  <c r="B144" i="14"/>
  <c r="B285" i="13"/>
  <c r="B151" i="14"/>
  <c r="B91" i="13"/>
  <c r="B162" i="14"/>
  <c r="B90" i="13"/>
  <c r="B169" i="14"/>
  <c r="B280" i="13"/>
  <c r="B181" i="14"/>
  <c r="B155" i="13"/>
  <c r="B186" i="14"/>
  <c r="B242" i="13"/>
  <c r="B190" i="14"/>
  <c r="B164" i="13"/>
  <c r="B198" i="14"/>
  <c r="B55" i="13"/>
  <c r="B202" i="14"/>
  <c r="B116" i="13"/>
  <c r="B209" i="14"/>
  <c r="B150" i="13"/>
  <c r="B216" i="14"/>
  <c r="B27" i="13"/>
  <c r="B220" i="14"/>
  <c r="B212" i="13"/>
  <c r="B224" i="14"/>
  <c r="B228" i="13"/>
  <c r="B228" i="14"/>
  <c r="B40" i="13"/>
  <c r="B233" i="14"/>
  <c r="B225" i="13"/>
  <c r="B238" i="14"/>
  <c r="B100" i="13"/>
  <c r="B247" i="14"/>
  <c r="B98" i="13"/>
  <c r="B252" i="14"/>
  <c r="B208" i="13"/>
  <c r="B258" i="14"/>
  <c r="B223" i="13"/>
  <c r="B267" i="14"/>
  <c r="B307" i="13"/>
  <c r="B277" i="14"/>
  <c r="B246" i="13"/>
  <c r="B282" i="14"/>
  <c r="B149" i="13"/>
  <c r="B287" i="14"/>
  <c r="B259" i="13"/>
  <c r="B294" i="14"/>
  <c r="B120" i="13"/>
  <c r="B301" i="14"/>
  <c r="B124" i="13"/>
  <c r="B308" i="14"/>
  <c r="B179" i="13"/>
  <c r="B312" i="14"/>
  <c r="B112" i="13"/>
  <c r="B319" i="14"/>
  <c r="B209" i="13"/>
  <c r="B324" i="14"/>
  <c r="B195" i="13"/>
  <c r="B189" i="14"/>
  <c r="I1" i="6"/>
  <c r="J4" i="6"/>
  <c r="J1" i="6" s="1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183" i="6"/>
  <c r="J184" i="6"/>
  <c r="J185" i="6"/>
  <c r="J186" i="6"/>
  <c r="J187" i="6"/>
  <c r="J188" i="6"/>
  <c r="J189" i="6"/>
  <c r="J190" i="6"/>
  <c r="J191" i="6"/>
  <c r="J192" i="6"/>
  <c r="J193" i="6"/>
  <c r="Q9" i="7"/>
  <c r="Q12" i="7"/>
  <c r="Q13" i="7"/>
  <c r="Q15" i="7"/>
  <c r="Q23" i="7"/>
  <c r="Q24" i="7"/>
  <c r="Q27" i="7"/>
  <c r="Q30" i="7"/>
  <c r="Q31" i="7"/>
  <c r="Q34" i="7"/>
  <c r="Q38" i="7"/>
  <c r="Q40" i="7"/>
  <c r="Q41" i="7"/>
  <c r="Q46" i="7"/>
  <c r="Q49" i="7"/>
  <c r="Q54" i="7"/>
  <c r="Q55" i="7"/>
  <c r="Q57" i="7"/>
  <c r="Q58" i="7"/>
  <c r="Q59" i="7"/>
  <c r="Q62" i="7"/>
  <c r="Q67" i="7"/>
  <c r="Q68" i="7"/>
  <c r="Q69" i="7"/>
  <c r="Q70" i="7"/>
  <c r="Q71" i="7"/>
  <c r="Q73" i="7"/>
  <c r="Q74" i="7"/>
  <c r="Q81" i="7"/>
  <c r="Q84" i="7"/>
  <c r="Q86" i="7"/>
  <c r="Q87" i="7"/>
  <c r="Q88" i="7"/>
  <c r="Q89" i="7"/>
  <c r="Q95" i="7"/>
  <c r="Q97" i="7"/>
  <c r="Q114" i="7"/>
  <c r="Q117" i="7"/>
  <c r="Q118" i="7"/>
  <c r="Q123" i="7"/>
  <c r="Q125" i="7"/>
  <c r="Q126" i="7"/>
  <c r="Q132" i="7"/>
  <c r="Q133" i="7"/>
  <c r="Q136" i="7"/>
  <c r="Q137" i="7"/>
  <c r="Q146" i="7"/>
  <c r="Q151" i="7"/>
  <c r="Q152" i="7"/>
  <c r="Q153" i="7"/>
  <c r="Q154" i="7"/>
  <c r="Q155" i="7"/>
  <c r="Q157" i="7"/>
  <c r="Q158" i="7"/>
  <c r="Q159" i="7"/>
  <c r="Q163" i="7"/>
  <c r="Q165" i="7"/>
  <c r="Q166" i="7"/>
  <c r="Q171" i="7"/>
  <c r="Q172" i="7"/>
  <c r="Q173" i="7"/>
  <c r="Q174" i="7"/>
  <c r="Q175" i="7"/>
  <c r="Q176" i="7"/>
  <c r="Q177" i="7"/>
  <c r="Q179" i="7"/>
  <c r="Q180" i="7"/>
  <c r="Q184" i="7"/>
  <c r="Q186" i="7"/>
  <c r="Q187" i="7"/>
  <c r="Q188" i="7"/>
  <c r="Q193" i="7"/>
  <c r="Q194" i="7"/>
  <c r="Q195" i="7"/>
  <c r="Q196" i="7"/>
  <c r="Q197" i="7"/>
  <c r="Q198" i="7"/>
  <c r="Q199" i="7"/>
  <c r="Q208" i="7"/>
  <c r="Q211" i="7"/>
  <c r="Q215" i="7"/>
  <c r="Q218" i="7"/>
  <c r="Q219" i="7"/>
  <c r="Q220" i="7"/>
  <c r="Q224" i="7"/>
  <c r="Q235" i="7"/>
  <c r="Q236" i="7"/>
  <c r="Q238" i="7"/>
  <c r="Q239" i="7"/>
  <c r="Q240" i="7"/>
  <c r="Q241" i="7"/>
  <c r="Q244" i="7"/>
  <c r="Q245" i="7"/>
  <c r="Q246" i="7"/>
  <c r="Q252" i="7"/>
  <c r="Q255" i="7"/>
  <c r="Q259" i="7"/>
  <c r="Q264" i="7"/>
  <c r="Q268" i="7"/>
  <c r="Q269" i="7"/>
  <c r="Q270" i="7"/>
  <c r="Q273" i="7"/>
  <c r="Q276" i="7"/>
  <c r="Q282" i="7"/>
  <c r="Q283" i="7"/>
  <c r="Q284" i="7"/>
  <c r="Q285" i="7"/>
  <c r="Q286" i="7"/>
  <c r="Q290" i="7"/>
  <c r="Q291" i="7"/>
  <c r="Q295" i="7"/>
  <c r="Q296" i="7"/>
  <c r="Q297" i="7"/>
  <c r="Q298" i="7"/>
  <c r="Q299" i="7"/>
  <c r="Q301" i="7"/>
  <c r="Q306" i="7"/>
  <c r="Q313" i="7"/>
  <c r="Q317" i="7"/>
  <c r="Q231" i="7"/>
  <c r="P12" i="7"/>
  <c r="P13" i="7"/>
  <c r="P15" i="7"/>
  <c r="P23" i="7"/>
  <c r="P24" i="7"/>
  <c r="P27" i="7"/>
  <c r="P30" i="7"/>
  <c r="P31" i="7"/>
  <c r="P34" i="7"/>
  <c r="P38" i="7"/>
  <c r="P40" i="7"/>
  <c r="P41" i="7"/>
  <c r="P46" i="7"/>
  <c r="P49" i="7"/>
  <c r="P54" i="7"/>
  <c r="P55" i="7"/>
  <c r="P57" i="7"/>
  <c r="P58" i="7"/>
  <c r="P59" i="7"/>
  <c r="P62" i="7"/>
  <c r="P67" i="7"/>
  <c r="P68" i="7"/>
  <c r="P69" i="7"/>
  <c r="P70" i="7"/>
  <c r="P71" i="7"/>
  <c r="P73" i="7"/>
  <c r="P74" i="7"/>
  <c r="P81" i="7"/>
  <c r="P84" i="7"/>
  <c r="P86" i="7"/>
  <c r="P87" i="7"/>
  <c r="P88" i="7"/>
  <c r="P89" i="7"/>
  <c r="P95" i="7"/>
  <c r="P97" i="7"/>
  <c r="P114" i="7"/>
  <c r="P117" i="7"/>
  <c r="P118" i="7"/>
  <c r="P123" i="7"/>
  <c r="P125" i="7"/>
  <c r="P126" i="7"/>
  <c r="P132" i="7"/>
  <c r="P133" i="7"/>
  <c r="P136" i="7"/>
  <c r="P137" i="7"/>
  <c r="P146" i="7"/>
  <c r="P151" i="7"/>
  <c r="P152" i="7"/>
  <c r="P153" i="7"/>
  <c r="P154" i="7"/>
  <c r="P155" i="7"/>
  <c r="P157" i="7"/>
  <c r="P158" i="7"/>
  <c r="P159" i="7"/>
  <c r="P163" i="7"/>
  <c r="P165" i="7"/>
  <c r="P166" i="7"/>
  <c r="P171" i="7"/>
  <c r="P172" i="7"/>
  <c r="P173" i="7"/>
  <c r="P174" i="7"/>
  <c r="P175" i="7"/>
  <c r="P176" i="7"/>
  <c r="P177" i="7"/>
  <c r="P179" i="7"/>
  <c r="P180" i="7"/>
  <c r="P184" i="7"/>
  <c r="P186" i="7"/>
  <c r="P187" i="7"/>
  <c r="P188" i="7"/>
  <c r="P193" i="7"/>
  <c r="P194" i="7"/>
  <c r="P195" i="7"/>
  <c r="P196" i="7"/>
  <c r="P197" i="7"/>
  <c r="P198" i="7"/>
  <c r="P199" i="7"/>
  <c r="P208" i="7"/>
  <c r="P211" i="7"/>
  <c r="P215" i="7"/>
  <c r="P218" i="7"/>
  <c r="P219" i="7"/>
  <c r="P220" i="7"/>
  <c r="P224" i="7"/>
  <c r="P235" i="7"/>
  <c r="P236" i="7"/>
  <c r="P238" i="7"/>
  <c r="P239" i="7"/>
  <c r="P240" i="7"/>
  <c r="P241" i="7"/>
  <c r="P244" i="7"/>
  <c r="P245" i="7"/>
  <c r="P246" i="7"/>
  <c r="P252" i="7"/>
  <c r="P255" i="7"/>
  <c r="P259" i="7"/>
  <c r="P264" i="7"/>
  <c r="P268" i="7"/>
  <c r="P269" i="7"/>
  <c r="P270" i="7"/>
  <c r="P273" i="7"/>
  <c r="P276" i="7"/>
  <c r="P282" i="7"/>
  <c r="P283" i="7"/>
  <c r="P284" i="7"/>
  <c r="P285" i="7"/>
  <c r="P286" i="7"/>
  <c r="P290" i="7"/>
  <c r="P291" i="7"/>
  <c r="P295" i="7"/>
  <c r="P296" i="7"/>
  <c r="P297" i="7"/>
  <c r="P298" i="7"/>
  <c r="P299" i="7"/>
  <c r="P301" i="7"/>
  <c r="P306" i="7"/>
  <c r="P313" i="7"/>
  <c r="P317" i="7"/>
  <c r="P231" i="7"/>
  <c r="P9" i="7"/>
  <c r="AB99" i="21" l="1"/>
  <c r="N174" i="13"/>
  <c r="L174" i="13"/>
  <c r="N57" i="13"/>
  <c r="R57" i="13" s="1"/>
  <c r="L37" i="39" s="1"/>
  <c r="L57" i="13"/>
  <c r="N58" i="13"/>
  <c r="R58" i="13" s="1"/>
  <c r="L39" i="39" s="1"/>
  <c r="L58" i="13"/>
  <c r="N294" i="13"/>
  <c r="L294" i="13"/>
  <c r="N167" i="13"/>
  <c r="L167" i="13"/>
  <c r="N118" i="13"/>
  <c r="L118" i="13"/>
  <c r="N305" i="13"/>
  <c r="L305" i="13"/>
  <c r="N258" i="13"/>
  <c r="L258" i="13"/>
  <c r="N267" i="13"/>
  <c r="L267" i="13"/>
  <c r="N99" i="13"/>
  <c r="L99" i="13"/>
  <c r="N120" i="13"/>
  <c r="L120" i="13"/>
  <c r="N164" i="13"/>
  <c r="L164" i="13"/>
  <c r="N155" i="13"/>
  <c r="L155" i="13"/>
  <c r="N92" i="13"/>
  <c r="L92" i="13"/>
  <c r="N101" i="13"/>
  <c r="L101" i="13"/>
  <c r="N36" i="13"/>
  <c r="L36" i="13"/>
  <c r="N52" i="13"/>
  <c r="R52" i="13" s="1"/>
  <c r="L58" i="39" s="1"/>
  <c r="L52" i="13"/>
  <c r="N95" i="13"/>
  <c r="L95" i="13"/>
  <c r="N300" i="13"/>
  <c r="L300" i="13"/>
  <c r="N284" i="13"/>
  <c r="L284" i="13"/>
  <c r="N166" i="13"/>
  <c r="L166" i="13"/>
  <c r="N109" i="13"/>
  <c r="L109" i="13"/>
  <c r="N162" i="13"/>
  <c r="L162" i="13"/>
  <c r="N307" i="13"/>
  <c r="L307" i="13"/>
  <c r="N181" i="13"/>
  <c r="L181" i="13"/>
  <c r="N175" i="13"/>
  <c r="L175" i="13"/>
  <c r="N121" i="13"/>
  <c r="L121" i="13"/>
  <c r="N205" i="13"/>
  <c r="L205" i="13"/>
  <c r="N39" i="13"/>
  <c r="R39" i="13" s="1"/>
  <c r="L38" i="39" s="1"/>
  <c r="L39" i="13"/>
  <c r="N117" i="13"/>
  <c r="L117" i="13"/>
  <c r="N176" i="13"/>
  <c r="L176" i="13"/>
  <c r="N160" i="13"/>
  <c r="L160" i="13"/>
  <c r="N97" i="13"/>
  <c r="L97" i="13"/>
  <c r="N170" i="13"/>
  <c r="L170" i="13"/>
  <c r="N200" i="13"/>
  <c r="L200" i="13"/>
  <c r="N196" i="13"/>
  <c r="L196" i="13"/>
  <c r="N173" i="13"/>
  <c r="L173" i="13"/>
  <c r="N157" i="13"/>
  <c r="L157" i="13"/>
  <c r="N169" i="13"/>
  <c r="L169" i="13"/>
  <c r="N195" i="13"/>
  <c r="L195" i="13"/>
  <c r="N55" i="13"/>
  <c r="R55" i="13" s="1"/>
  <c r="L44" i="39" s="1"/>
  <c r="L55" i="13"/>
  <c r="N56" i="13"/>
  <c r="R56" i="13" s="1"/>
  <c r="L52" i="39" s="1"/>
  <c r="L56" i="13"/>
  <c r="N177" i="13"/>
  <c r="L177" i="13"/>
  <c r="N187" i="13"/>
  <c r="L187" i="13"/>
  <c r="N204" i="13"/>
  <c r="L204" i="13"/>
  <c r="N107" i="13"/>
  <c r="L107" i="13"/>
  <c r="N304" i="13"/>
  <c r="L304" i="13"/>
  <c r="N113" i="13"/>
  <c r="L113" i="13"/>
  <c r="N171" i="13"/>
  <c r="L171" i="13"/>
  <c r="N105" i="13"/>
  <c r="L105" i="13"/>
  <c r="N306" i="13"/>
  <c r="L306" i="13"/>
  <c r="N152" i="13"/>
  <c r="L152" i="13"/>
  <c r="N178" i="13"/>
  <c r="L178" i="13"/>
  <c r="N168" i="13"/>
  <c r="L168" i="13"/>
  <c r="N93" i="13"/>
  <c r="L93" i="13"/>
  <c r="N253" i="13"/>
  <c r="L253" i="13"/>
  <c r="N108" i="13"/>
  <c r="L108" i="13"/>
  <c r="N123" i="13"/>
  <c r="L123" i="13"/>
  <c r="N112" i="13"/>
  <c r="L112" i="13"/>
  <c r="N124" i="13"/>
  <c r="L124" i="13"/>
  <c r="N259" i="13"/>
  <c r="L259" i="13"/>
  <c r="N280" i="13"/>
  <c r="L280" i="13"/>
  <c r="N42" i="13"/>
  <c r="R42" i="13" s="1"/>
  <c r="L55" i="39" s="1"/>
  <c r="L42" i="13"/>
  <c r="N186" i="13"/>
  <c r="L186" i="13"/>
  <c r="N94" i="13"/>
  <c r="L94" i="13"/>
  <c r="N296" i="13"/>
  <c r="L296" i="13"/>
  <c r="N199" i="13"/>
  <c r="L199" i="13"/>
  <c r="X213" i="17"/>
  <c r="X315" i="17"/>
  <c r="X52" i="17"/>
  <c r="X86" i="17"/>
  <c r="X73" i="17"/>
  <c r="X304" i="17"/>
  <c r="X287" i="17"/>
  <c r="X72" i="17"/>
  <c r="X32" i="17"/>
  <c r="X223" i="17"/>
  <c r="X253" i="17"/>
  <c r="X81" i="17"/>
  <c r="X191" i="17"/>
  <c r="X154" i="17"/>
  <c r="X66" i="17"/>
  <c r="X123" i="17"/>
  <c r="X251" i="17"/>
  <c r="X274" i="17"/>
  <c r="X256" i="17"/>
  <c r="X65" i="17"/>
  <c r="X306" i="17"/>
  <c r="X198" i="17"/>
  <c r="X120" i="17"/>
  <c r="X69" i="17"/>
  <c r="X254" i="17"/>
  <c r="X153" i="17"/>
  <c r="X68" i="17"/>
  <c r="X247" i="17"/>
  <c r="X128" i="17"/>
  <c r="X258" i="17"/>
  <c r="X91" i="17"/>
  <c r="X252" i="17"/>
  <c r="X25" i="17"/>
  <c r="X215" i="17"/>
  <c r="X34" i="17"/>
  <c r="X126" i="17"/>
  <c r="X302" i="17"/>
  <c r="X146" i="17"/>
  <c r="X48" i="17"/>
  <c r="X148" i="17"/>
  <c r="X54" i="17"/>
  <c r="X38" i="17"/>
  <c r="X312" i="17"/>
  <c r="X282" i="17"/>
  <c r="X152" i="17"/>
  <c r="X80" i="17"/>
  <c r="X193" i="17"/>
  <c r="X275" i="17"/>
  <c r="X305" i="17"/>
  <c r="X255" i="17"/>
  <c r="X278" i="17"/>
  <c r="X35" i="17"/>
  <c r="X67" i="17"/>
  <c r="X84" i="17"/>
  <c r="X130" i="17"/>
  <c r="X245" i="17"/>
  <c r="X131" i="17"/>
  <c r="X310" i="17"/>
  <c r="X70" i="17"/>
  <c r="X202" i="17"/>
  <c r="X299" i="17"/>
  <c r="X303" i="17"/>
  <c r="X63" i="17"/>
  <c r="X195" i="17"/>
  <c r="X279" i="17"/>
  <c r="X56" i="17"/>
  <c r="X47" i="17"/>
  <c r="X132" i="17"/>
  <c r="X53" i="17"/>
  <c r="L205" i="38"/>
  <c r="AB244" i="21" s="1"/>
  <c r="L97" i="38"/>
  <c r="AB74" i="21" s="1"/>
  <c r="L117" i="38"/>
  <c r="AB198" i="21" s="1"/>
  <c r="L209" i="38"/>
  <c r="AB22" i="21" s="1"/>
  <c r="L89" i="38"/>
  <c r="AB118" i="21" s="1"/>
  <c r="L266" i="38"/>
  <c r="AB278" i="21" s="1"/>
  <c r="L116" i="38"/>
  <c r="AB35" i="21" s="1"/>
  <c r="AB38" i="21"/>
  <c r="AB86" i="21"/>
  <c r="AB304" i="21"/>
  <c r="AB28" i="21"/>
  <c r="AB179" i="21"/>
  <c r="AB136" i="21"/>
  <c r="AB139" i="21"/>
  <c r="AB148" i="21"/>
  <c r="AB62" i="21"/>
  <c r="AB216" i="21"/>
  <c r="AB91" i="21"/>
  <c r="AB144" i="21"/>
  <c r="AB255" i="21"/>
  <c r="AB51" i="21"/>
  <c r="AB263" i="21"/>
  <c r="AB272" i="21"/>
  <c r="AB171" i="21"/>
  <c r="AB312" i="21"/>
  <c r="AB146" i="21"/>
  <c r="AB184" i="21"/>
  <c r="AB191" i="21"/>
  <c r="AB204" i="21"/>
  <c r="AB121" i="21"/>
  <c r="AB84" i="21"/>
  <c r="AB225" i="21"/>
  <c r="AB231" i="21"/>
  <c r="AB236" i="21"/>
  <c r="AB64" i="21"/>
  <c r="AB259" i="21"/>
  <c r="AB52" i="21"/>
  <c r="AB286" i="21"/>
  <c r="AB172" i="21"/>
  <c r="AB116" i="21"/>
  <c r="AB135" i="21"/>
  <c r="AB140" i="21"/>
  <c r="AB218" i="21"/>
  <c r="AB228" i="21"/>
  <c r="AB250" i="21"/>
  <c r="AB105" i="21"/>
  <c r="AB65" i="21"/>
  <c r="AB56" i="21"/>
  <c r="AB301" i="21"/>
  <c r="AB187" i="21"/>
  <c r="AB14" i="21"/>
  <c r="AB195" i="21"/>
  <c r="AB203" i="21"/>
  <c r="AB37" i="21"/>
  <c r="AB87" i="21"/>
  <c r="AB222" i="21"/>
  <c r="AB229" i="21"/>
  <c r="AB161" i="21"/>
  <c r="AB237" i="21"/>
  <c r="AB246" i="21"/>
  <c r="AB50" i="21"/>
  <c r="AB27" i="21"/>
  <c r="AB59" i="21"/>
  <c r="AB134" i="21"/>
  <c r="AB43" i="21"/>
  <c r="AB17" i="21"/>
  <c r="AB277" i="21"/>
  <c r="AB284" i="21"/>
  <c r="AB117" i="21"/>
  <c r="AB188" i="21"/>
  <c r="AB196" i="21"/>
  <c r="AB82" i="21"/>
  <c r="AB158" i="21"/>
  <c r="AB83" i="21"/>
  <c r="AB219" i="21"/>
  <c r="AB223" i="21"/>
  <c r="AB160" i="21"/>
  <c r="AB49" i="21"/>
  <c r="AB54" i="21"/>
  <c r="AB275" i="21"/>
  <c r="AB290" i="21"/>
  <c r="AB71" i="21"/>
  <c r="AB75" i="21"/>
  <c r="AB155" i="21"/>
  <c r="AB202" i="21"/>
  <c r="AB208" i="21"/>
  <c r="AB211" i="21"/>
  <c r="AB217" i="21"/>
  <c r="AB89" i="21"/>
  <c r="AB122" i="21"/>
  <c r="AB63" i="21"/>
  <c r="AB252" i="21"/>
  <c r="AB103" i="21"/>
  <c r="AB109" i="21"/>
  <c r="AB281" i="21"/>
  <c r="AB168" i="21"/>
  <c r="AB298" i="21"/>
  <c r="AB309" i="21"/>
  <c r="AB81" i="21"/>
  <c r="AB119" i="21"/>
  <c r="AB213" i="21"/>
  <c r="AB85" i="21"/>
  <c r="AB40" i="21"/>
  <c r="AB226" i="21"/>
  <c r="AB45" i="21"/>
  <c r="AB101" i="21"/>
  <c r="AB53" i="21"/>
  <c r="AB58" i="21"/>
  <c r="AB299" i="21"/>
  <c r="AB303" i="21"/>
  <c r="AB310" i="21"/>
  <c r="AB175" i="21"/>
  <c r="AB183" i="21"/>
  <c r="AB76" i="21"/>
  <c r="AB149" i="21"/>
  <c r="AB215" i="21"/>
  <c r="AB141" i="21"/>
  <c r="AB235" i="21"/>
  <c r="AB164" i="21"/>
  <c r="AB127" i="21"/>
  <c r="AB24" i="21"/>
  <c r="AB106" i="21"/>
  <c r="AB131" i="21"/>
  <c r="AB66" i="21"/>
  <c r="AB302" i="21"/>
  <c r="AB311" i="21"/>
  <c r="N70" i="13"/>
  <c r="N159" i="13"/>
  <c r="N115" i="13"/>
  <c r="N89" i="13"/>
  <c r="N114" i="13"/>
  <c r="N165" i="13"/>
  <c r="N75" i="13"/>
  <c r="N285" i="13"/>
  <c r="N163" i="13"/>
  <c r="N136" i="13"/>
  <c r="N76" i="13"/>
  <c r="N295" i="13"/>
  <c r="N154" i="13"/>
  <c r="N104" i="13"/>
  <c r="N198" i="13"/>
  <c r="N73" i="13"/>
  <c r="N148" i="13"/>
  <c r="N137" i="13"/>
  <c r="N151" i="13"/>
  <c r="N72" i="13"/>
  <c r="N183" i="13"/>
  <c r="N193" i="13"/>
  <c r="N278" i="13"/>
  <c r="N287" i="13"/>
  <c r="N201" i="13"/>
  <c r="N98" i="13"/>
  <c r="N150" i="13"/>
  <c r="N265" i="13"/>
  <c r="N119" i="13"/>
  <c r="N110" i="13"/>
  <c r="N279" i="13"/>
  <c r="N71" i="13"/>
  <c r="N63" i="13"/>
  <c r="N172" i="13"/>
  <c r="N85" i="13"/>
  <c r="N303" i="13"/>
  <c r="N197" i="13"/>
  <c r="N81" i="13"/>
  <c r="N185" i="13"/>
  <c r="N293" i="13"/>
  <c r="N194" i="13"/>
  <c r="N261" i="13"/>
  <c r="N122" i="13"/>
  <c r="N149" i="13"/>
  <c r="N116" i="13"/>
  <c r="N111" i="13"/>
  <c r="N147" i="13"/>
  <c r="N158" i="13"/>
  <c r="N156" i="13"/>
  <c r="N102" i="13"/>
  <c r="N84" i="13"/>
  <c r="N153" i="13"/>
  <c r="N255" i="13"/>
  <c r="N161" i="13"/>
  <c r="N88" i="13"/>
  <c r="N299" i="13"/>
  <c r="N191" i="13"/>
  <c r="N74" i="13"/>
  <c r="N141" i="13"/>
  <c r="N100" i="13"/>
  <c r="N79" i="13"/>
  <c r="N125" i="13"/>
  <c r="N106" i="13"/>
  <c r="N82" i="13"/>
  <c r="N182" i="13"/>
  <c r="K301" i="19"/>
  <c r="K296" i="19"/>
  <c r="K238" i="19"/>
  <c r="K253" i="19"/>
  <c r="K219" i="19"/>
  <c r="K234" i="19"/>
  <c r="K220" i="19"/>
  <c r="K151" i="19"/>
  <c r="K153" i="19"/>
  <c r="K287" i="19"/>
  <c r="K212" i="19"/>
  <c r="K223" i="19"/>
  <c r="K270" i="19"/>
  <c r="K229" i="19"/>
  <c r="K237" i="19"/>
  <c r="K293" i="19"/>
  <c r="K167" i="19"/>
  <c r="K255" i="19"/>
  <c r="K267" i="19"/>
  <c r="K280" i="19"/>
  <c r="K292" i="19"/>
  <c r="K298" i="19"/>
  <c r="K224" i="19"/>
  <c r="K181" i="19"/>
  <c r="K211" i="19"/>
  <c r="K213" i="19"/>
  <c r="K144" i="19"/>
  <c r="K278" i="19"/>
  <c r="K168" i="19"/>
  <c r="K204" i="19"/>
  <c r="K159" i="19"/>
  <c r="K285" i="19"/>
  <c r="K169" i="19"/>
  <c r="K314" i="19"/>
  <c r="K290" i="19"/>
  <c r="K307" i="19"/>
  <c r="K243" i="19"/>
  <c r="K312" i="19"/>
  <c r="K195" i="19"/>
  <c r="K242" i="19"/>
  <c r="K142" i="19"/>
  <c r="K180" i="19"/>
  <c r="K251" i="19"/>
  <c r="K258" i="19"/>
  <c r="K221" i="19"/>
  <c r="K265" i="19"/>
  <c r="K268" i="19"/>
  <c r="K154" i="19"/>
  <c r="K158" i="19"/>
  <c r="K205" i="19"/>
  <c r="K209" i="19"/>
  <c r="K166" i="19"/>
  <c r="K300" i="19"/>
  <c r="K308" i="19"/>
  <c r="K143" i="19"/>
  <c r="K226" i="19"/>
  <c r="K276" i="19"/>
  <c r="K228" i="19"/>
  <c r="K179" i="19"/>
  <c r="K263" i="19"/>
  <c r="K206" i="19"/>
  <c r="K172" i="19"/>
  <c r="K136" i="19"/>
  <c r="K200" i="19"/>
  <c r="K176" i="19"/>
  <c r="K252" i="19"/>
  <c r="K283" i="19"/>
  <c r="K160" i="19"/>
  <c r="K155" i="19"/>
  <c r="K289" i="19"/>
  <c r="K309" i="19"/>
  <c r="K171" i="19"/>
  <c r="K186" i="19"/>
  <c r="K177" i="19"/>
  <c r="K272" i="19"/>
  <c r="K264" i="19"/>
  <c r="K152" i="19"/>
  <c r="K156" i="19"/>
  <c r="K161" i="19"/>
  <c r="K304" i="19"/>
  <c r="K216" i="19"/>
  <c r="K281" i="19"/>
  <c r="K247" i="19"/>
  <c r="K178" i="19"/>
  <c r="K254" i="19"/>
  <c r="K157" i="19"/>
  <c r="K199" i="19"/>
  <c r="K137" i="19"/>
  <c r="K147" i="19"/>
  <c r="K227" i="19"/>
  <c r="K277" i="19"/>
  <c r="K275" i="19"/>
  <c r="K164" i="19"/>
  <c r="K184" i="19"/>
  <c r="K140" i="19"/>
  <c r="K250" i="19"/>
  <c r="K201" i="19"/>
  <c r="K198" i="19"/>
  <c r="K260" i="19"/>
  <c r="K259" i="19"/>
  <c r="K249" i="19"/>
  <c r="K191" i="19"/>
  <c r="K182" i="19"/>
  <c r="K288" i="19"/>
  <c r="K245" i="19"/>
  <c r="K207" i="19"/>
  <c r="K202" i="19"/>
  <c r="K145" i="19"/>
  <c r="K284" i="19"/>
  <c r="K261" i="19"/>
  <c r="K294" i="19"/>
  <c r="K217" i="19"/>
  <c r="K306" i="19"/>
  <c r="K175" i="19"/>
  <c r="K135" i="19"/>
  <c r="K139" i="19"/>
  <c r="K196" i="19"/>
  <c r="K282" i="19"/>
  <c r="K233" i="19"/>
  <c r="K149" i="19"/>
  <c r="K257" i="19"/>
  <c r="K192" i="19"/>
  <c r="K269" i="19"/>
  <c r="K214" i="19"/>
  <c r="K262" i="19"/>
  <c r="K163" i="19"/>
  <c r="K165" i="19"/>
  <c r="K310" i="19"/>
  <c r="K299" i="19"/>
  <c r="K305" i="19"/>
  <c r="K311" i="19"/>
  <c r="K235" i="19"/>
  <c r="K138" i="19"/>
  <c r="K240" i="19"/>
  <c r="K241" i="19"/>
  <c r="K183" i="19"/>
  <c r="K230" i="19"/>
  <c r="K188" i="19"/>
  <c r="K146" i="19"/>
  <c r="K256" i="19"/>
  <c r="K222" i="19"/>
  <c r="K197" i="19"/>
  <c r="K279" i="19"/>
  <c r="K162" i="19"/>
  <c r="K286" i="19"/>
  <c r="K170" i="19"/>
  <c r="K189" i="19"/>
  <c r="K215" i="19"/>
  <c r="K297" i="19"/>
  <c r="K271" i="19"/>
  <c r="K141" i="19"/>
  <c r="K203" i="19"/>
  <c r="K274" i="19"/>
  <c r="K246" i="19"/>
  <c r="K187" i="19"/>
  <c r="K239" i="19"/>
  <c r="K185" i="19"/>
  <c r="K231" i="19"/>
  <c r="K190" i="19"/>
  <c r="K150" i="19"/>
  <c r="K273" i="19"/>
  <c r="K148" i="19"/>
  <c r="K291" i="19"/>
  <c r="K173" i="19"/>
  <c r="K218" i="19"/>
  <c r="K244" i="19"/>
  <c r="K232" i="19"/>
  <c r="K174" i="19"/>
  <c r="K266" i="19"/>
  <c r="K236" i="19"/>
  <c r="K193" i="19"/>
  <c r="K208" i="19"/>
  <c r="K313" i="19"/>
  <c r="K303" i="19"/>
  <c r="K295" i="19"/>
  <c r="K248" i="19"/>
  <c r="K134" i="19"/>
  <c r="K302" i="19"/>
  <c r="AA307" i="21"/>
  <c r="AA248" i="21"/>
  <c r="AA122" i="21"/>
  <c r="X250" i="17"/>
  <c r="X224" i="17"/>
  <c r="X212" i="17"/>
  <c r="X291" i="17"/>
  <c r="AA54" i="21"/>
  <c r="AA23" i="21"/>
  <c r="AA103" i="21"/>
  <c r="AA95" i="21"/>
  <c r="AA51" i="21"/>
  <c r="AA130" i="21"/>
  <c r="AA262" i="21"/>
  <c r="X192" i="17"/>
  <c r="X112" i="17"/>
  <c r="X143" i="17"/>
  <c r="X276" i="17"/>
  <c r="X138" i="17"/>
  <c r="X82" i="17"/>
  <c r="X281" i="17"/>
  <c r="X57" i="17"/>
  <c r="X290" i="17"/>
  <c r="X259" i="17"/>
  <c r="X307" i="17"/>
  <c r="X79" i="17"/>
  <c r="X176" i="17"/>
  <c r="X261" i="17"/>
  <c r="X240" i="17"/>
  <c r="X121" i="17"/>
  <c r="X139" i="17"/>
  <c r="X249" i="17"/>
  <c r="X221" i="17"/>
  <c r="X149" i="17"/>
  <c r="X204" i="17"/>
  <c r="X173" i="17"/>
  <c r="X283" i="17"/>
  <c r="X218" i="17"/>
  <c r="X51" i="17"/>
  <c r="X277" i="17"/>
  <c r="X199" i="17"/>
  <c r="X87" i="17"/>
  <c r="X155" i="17"/>
  <c r="X222" i="17"/>
  <c r="X23" i="17"/>
  <c r="X289" i="17"/>
  <c r="X211" i="17"/>
  <c r="X24" i="17"/>
  <c r="X194" i="17"/>
  <c r="X119" i="17"/>
  <c r="X197" i="17"/>
  <c r="X172" i="17"/>
  <c r="X241" i="17"/>
  <c r="X292" i="17"/>
  <c r="X62" i="17"/>
  <c r="X88" i="17"/>
  <c r="X219" i="17"/>
  <c r="X129" i="17"/>
  <c r="X266" i="17"/>
  <c r="AA38" i="21"/>
  <c r="AA75" i="21"/>
  <c r="AA144" i="21"/>
  <c r="AA173" i="21"/>
  <c r="X122" i="17"/>
  <c r="X288" i="17"/>
  <c r="AA104" i="21"/>
  <c r="AA92" i="21"/>
  <c r="AA120" i="21"/>
  <c r="AA59" i="21"/>
  <c r="AA65" i="21"/>
  <c r="AA56" i="21"/>
  <c r="X141" i="17"/>
  <c r="X300" i="17"/>
  <c r="X144" i="17"/>
  <c r="X167" i="17"/>
  <c r="X265" i="17"/>
  <c r="X293" i="17"/>
  <c r="X163" i="17"/>
  <c r="X207" i="17"/>
  <c r="X286" i="17"/>
  <c r="X89" i="17"/>
  <c r="X49" i="17"/>
  <c r="X196" i="17"/>
  <c r="X246" i="17"/>
  <c r="X200" i="17"/>
  <c r="X45" i="17"/>
  <c r="X27" i="17"/>
  <c r="X273" i="17"/>
  <c r="X162" i="17"/>
  <c r="X75" i="17"/>
  <c r="X114" i="17"/>
  <c r="X85" i="17"/>
  <c r="X26" i="17"/>
  <c r="X248" i="17"/>
  <c r="X36" i="17"/>
  <c r="X201" i="17"/>
  <c r="X208" i="17"/>
  <c r="X58" i="17"/>
  <c r="X314" i="17"/>
  <c r="X209" i="17"/>
  <c r="X142" i="17"/>
  <c r="X301" i="17"/>
  <c r="X308" i="17"/>
  <c r="X168" i="17"/>
  <c r="X309" i="17"/>
  <c r="X257" i="17"/>
  <c r="X21" i="17"/>
  <c r="X127" i="17"/>
  <c r="X71" i="17"/>
  <c r="X260" i="17"/>
  <c r="X205" i="17"/>
  <c r="X206" i="17"/>
  <c r="X264" i="17"/>
  <c r="X50" i="17"/>
  <c r="X37" i="17"/>
  <c r="K1" i="6"/>
  <c r="G200" i="14"/>
  <c r="G20" i="14"/>
  <c r="G182" i="14"/>
  <c r="I182" i="14" s="1"/>
  <c r="G95" i="14"/>
  <c r="G294" i="14"/>
  <c r="G314" i="14"/>
  <c r="G304" i="14"/>
  <c r="G291" i="14"/>
  <c r="G279" i="14"/>
  <c r="G265" i="14"/>
  <c r="G250" i="14"/>
  <c r="G236" i="14"/>
  <c r="G226" i="14"/>
  <c r="G218" i="14"/>
  <c r="G207" i="14"/>
  <c r="G194" i="14"/>
  <c r="G184" i="14"/>
  <c r="G167" i="14"/>
  <c r="G147" i="14"/>
  <c r="G128" i="14"/>
  <c r="G119" i="14"/>
  <c r="G96" i="14"/>
  <c r="I96" i="14" s="1"/>
  <c r="G79" i="14"/>
  <c r="G68" i="14"/>
  <c r="I68" i="14" s="1"/>
  <c r="G55" i="14"/>
  <c r="I55" i="14" s="1"/>
  <c r="G41" i="14"/>
  <c r="G15" i="14"/>
  <c r="G6" i="14"/>
  <c r="G320" i="14"/>
  <c r="I320" i="14" s="1"/>
  <c r="G309" i="14"/>
  <c r="G295" i="14"/>
  <c r="G283" i="14"/>
  <c r="I283" i="14" s="1"/>
  <c r="G269" i="14"/>
  <c r="G253" i="14"/>
  <c r="G239" i="14"/>
  <c r="G229" i="14"/>
  <c r="G221" i="14"/>
  <c r="G210" i="14"/>
  <c r="G199" i="14"/>
  <c r="G187" i="14"/>
  <c r="I187" i="14" s="1"/>
  <c r="G173" i="14"/>
  <c r="G159" i="14"/>
  <c r="G138" i="14"/>
  <c r="G123" i="14"/>
  <c r="G112" i="14"/>
  <c r="G100" i="14"/>
  <c r="G82" i="14"/>
  <c r="I82" i="14" s="1"/>
  <c r="G62" i="14"/>
  <c r="G49" i="14"/>
  <c r="G29" i="14"/>
  <c r="I29" i="14" s="1"/>
  <c r="G324" i="14"/>
  <c r="G312" i="14"/>
  <c r="G287" i="14"/>
  <c r="G277" i="14"/>
  <c r="G258" i="14"/>
  <c r="I258" i="14" s="1"/>
  <c r="G247" i="14"/>
  <c r="I247" i="14" s="1"/>
  <c r="G233" i="14"/>
  <c r="I233" i="14" s="1"/>
  <c r="G224" i="14"/>
  <c r="G216" i="14"/>
  <c r="G202" i="14"/>
  <c r="G190" i="14"/>
  <c r="G181" i="14"/>
  <c r="G162" i="14"/>
  <c r="I162" i="14" s="1"/>
  <c r="G144" i="14"/>
  <c r="G126" i="14"/>
  <c r="G116" i="14"/>
  <c r="G103" i="14"/>
  <c r="I103" i="14" s="1"/>
  <c r="G92" i="14"/>
  <c r="G76" i="14"/>
  <c r="G52" i="14"/>
  <c r="G37" i="14"/>
  <c r="I37" i="14" s="1"/>
  <c r="G22" i="14"/>
  <c r="I22" i="14" s="1"/>
  <c r="G13" i="14"/>
  <c r="I13" i="14" s="1"/>
  <c r="G4" i="14"/>
  <c r="G316" i="14"/>
  <c r="G305" i="14"/>
  <c r="I305" i="14" s="1"/>
  <c r="G293" i="14"/>
  <c r="G280" i="14"/>
  <c r="G266" i="14"/>
  <c r="G251" i="14"/>
  <c r="G237" i="14"/>
  <c r="I237" i="14" s="1"/>
  <c r="G227" i="14"/>
  <c r="I227" i="14" s="1"/>
  <c r="G219" i="14"/>
  <c r="G208" i="14"/>
  <c r="G195" i="14"/>
  <c r="G185" i="14"/>
  <c r="G168" i="14"/>
  <c r="G129" i="14"/>
  <c r="G120" i="14"/>
  <c r="I120" i="14" s="1"/>
  <c r="G107" i="14"/>
  <c r="I107" i="14" s="1"/>
  <c r="G80" i="14"/>
  <c r="I80" i="14" s="1"/>
  <c r="G69" i="14"/>
  <c r="I69" i="14" s="1"/>
  <c r="G57" i="14"/>
  <c r="I57" i="14" s="1"/>
  <c r="G42" i="14"/>
  <c r="G26" i="14"/>
  <c r="G17" i="14"/>
  <c r="G7" i="14"/>
  <c r="G106" i="14"/>
  <c r="G25" i="14"/>
  <c r="I25" i="14" s="1"/>
  <c r="G72" i="14"/>
  <c r="I72" i="14" s="1"/>
  <c r="G19" i="14"/>
  <c r="G9" i="14"/>
  <c r="G301" i="14"/>
  <c r="G66" i="14"/>
  <c r="G148" i="14"/>
  <c r="I148" i="14" s="1"/>
  <c r="G97" i="14"/>
  <c r="G322" i="14"/>
  <c r="I322" i="14" s="1"/>
  <c r="G310" i="14"/>
  <c r="I310" i="14" s="1"/>
  <c r="G297" i="14"/>
  <c r="G285" i="14"/>
  <c r="G270" i="14"/>
  <c r="G254" i="14"/>
  <c r="G244" i="14"/>
  <c r="G230" i="14"/>
  <c r="I230" i="14" s="1"/>
  <c r="G222" i="14"/>
  <c r="G213" i="14"/>
  <c r="G188" i="14"/>
  <c r="G179" i="14"/>
  <c r="G160" i="14"/>
  <c r="G139" i="14"/>
  <c r="G124" i="14"/>
  <c r="I124" i="14" s="1"/>
  <c r="G113" i="14"/>
  <c r="G101" i="14"/>
  <c r="I101" i="14" s="1"/>
  <c r="G86" i="14"/>
  <c r="I86" i="14" s="1"/>
  <c r="G73" i="14"/>
  <c r="G63" i="14"/>
  <c r="I63" i="14" s="1"/>
  <c r="G50" i="14"/>
  <c r="I50" i="14" s="1"/>
  <c r="G35" i="14"/>
  <c r="G10" i="14"/>
  <c r="G313" i="14"/>
  <c r="G302" i="14"/>
  <c r="G288" i="14"/>
  <c r="I288" i="14" s="1"/>
  <c r="G278" i="14"/>
  <c r="G264" i="14"/>
  <c r="G248" i="14"/>
  <c r="I248" i="14" s="1"/>
  <c r="G235" i="14"/>
  <c r="G225" i="14"/>
  <c r="G217" i="14"/>
  <c r="G205" i="14"/>
  <c r="G191" i="14"/>
  <c r="G165" i="14"/>
  <c r="I165" i="14" s="1"/>
  <c r="G146" i="14"/>
  <c r="G127" i="14"/>
  <c r="G117" i="14"/>
  <c r="I117" i="14" s="1"/>
  <c r="G104" i="14"/>
  <c r="G78" i="14"/>
  <c r="G67" i="14"/>
  <c r="G54" i="14"/>
  <c r="G40" i="14"/>
  <c r="G24" i="14"/>
  <c r="I24" i="14" s="1"/>
  <c r="G14" i="14"/>
  <c r="I14" i="14" s="1"/>
  <c r="G5" i="14"/>
  <c r="G319" i="14"/>
  <c r="G308" i="14"/>
  <c r="G282" i="14"/>
  <c r="G267" i="14"/>
  <c r="G252" i="14"/>
  <c r="G238" i="14"/>
  <c r="G228" i="14"/>
  <c r="G220" i="14"/>
  <c r="G209" i="14"/>
  <c r="I209" i="14" s="1"/>
  <c r="G198" i="14"/>
  <c r="G186" i="14"/>
  <c r="I186" i="14" s="1"/>
  <c r="G169" i="14"/>
  <c r="G151" i="14"/>
  <c r="G137" i="14"/>
  <c r="G122" i="14"/>
  <c r="I122" i="14" s="1"/>
  <c r="G108" i="14"/>
  <c r="I108" i="14" s="1"/>
  <c r="G99" i="14"/>
  <c r="G81" i="14"/>
  <c r="I81" i="14" s="1"/>
  <c r="G71" i="14"/>
  <c r="G58" i="14"/>
  <c r="G48" i="14"/>
  <c r="G27" i="14"/>
  <c r="G18" i="14"/>
  <c r="G8" i="14"/>
  <c r="G323" i="14"/>
  <c r="I323" i="14" s="1"/>
  <c r="G311" i="14"/>
  <c r="I311" i="14" s="1"/>
  <c r="G298" i="14"/>
  <c r="G286" i="14"/>
  <c r="I286" i="14" s="1"/>
  <c r="G274" i="14"/>
  <c r="G255" i="14"/>
  <c r="G245" i="14"/>
  <c r="G231" i="14"/>
  <c r="G223" i="14"/>
  <c r="G214" i="14"/>
  <c r="G201" i="14"/>
  <c r="G189" i="14"/>
  <c r="I189" i="14" s="1"/>
  <c r="G180" i="14"/>
  <c r="G161" i="14"/>
  <c r="G140" i="14"/>
  <c r="G125" i="14"/>
  <c r="G115" i="14"/>
  <c r="G102" i="14"/>
  <c r="I102" i="14" s="1"/>
  <c r="G87" i="14"/>
  <c r="I87" i="14" s="1"/>
  <c r="G75" i="14"/>
  <c r="G64" i="14"/>
  <c r="I64" i="14" s="1"/>
  <c r="G51" i="14"/>
  <c r="I51" i="14" s="1"/>
  <c r="G36" i="14"/>
  <c r="G21" i="14"/>
  <c r="G11" i="14"/>
  <c r="I11" i="14" s="1"/>
  <c r="J164" i="6"/>
  <c r="J156" i="6"/>
  <c r="J162" i="6"/>
  <c r="J160" i="6"/>
  <c r="J166" i="6"/>
  <c r="J158" i="6"/>
  <c r="J163" i="6"/>
  <c r="J159" i="6"/>
  <c r="J155" i="6"/>
  <c r="J165" i="6"/>
  <c r="J161" i="6"/>
  <c r="J157" i="6"/>
  <c r="J67" i="6"/>
  <c r="J177" i="6"/>
  <c r="J79" i="6"/>
  <c r="J181" i="6"/>
  <c r="J173" i="6"/>
  <c r="J75" i="6"/>
  <c r="J141" i="6"/>
  <c r="J153" i="6"/>
  <c r="J71" i="6"/>
  <c r="J169" i="6"/>
  <c r="J145" i="6"/>
  <c r="J180" i="6"/>
  <c r="J176" i="6"/>
  <c r="J172" i="6"/>
  <c r="J168" i="6"/>
  <c r="J152" i="6"/>
  <c r="J148" i="6"/>
  <c r="J144" i="6"/>
  <c r="J140" i="6"/>
  <c r="J78" i="6"/>
  <c r="J74" i="6"/>
  <c r="J70" i="6"/>
  <c r="J66" i="6"/>
  <c r="J149" i="6"/>
  <c r="J179" i="6"/>
  <c r="J175" i="6"/>
  <c r="J171" i="6"/>
  <c r="J167" i="6"/>
  <c r="J151" i="6"/>
  <c r="J147" i="6"/>
  <c r="J143" i="6"/>
  <c r="J139" i="6"/>
  <c r="J77" i="6"/>
  <c r="J73" i="6"/>
  <c r="J69" i="6"/>
  <c r="J65" i="6"/>
  <c r="J182" i="6"/>
  <c r="J178" i="6"/>
  <c r="J174" i="6"/>
  <c r="J170" i="6"/>
  <c r="J154" i="6"/>
  <c r="J150" i="6"/>
  <c r="J146" i="6"/>
  <c r="J142" i="6"/>
  <c r="J80" i="6"/>
  <c r="J76" i="6"/>
  <c r="J72" i="6"/>
  <c r="J68" i="6"/>
  <c r="R36" i="13" l="1"/>
  <c r="L35" i="39" s="1"/>
  <c r="AC101" i="21" s="1"/>
  <c r="H9" i="31"/>
  <c r="H15" i="31" s="1"/>
  <c r="E9" i="31"/>
  <c r="E15" i="31" s="1"/>
  <c r="AA174" i="21"/>
  <c r="AA233" i="21"/>
  <c r="AA52" i="21"/>
  <c r="AB221" i="21"/>
  <c r="AA33" i="21"/>
  <c r="AB292" i="21"/>
  <c r="AB293" i="21"/>
  <c r="AB42" i="21"/>
  <c r="AB55" i="21"/>
  <c r="AB232" i="21"/>
  <c r="AB238" i="21"/>
  <c r="AB180" i="21"/>
  <c r="AB283" i="21"/>
  <c r="AB93" i="21"/>
  <c r="AB253" i="21"/>
  <c r="AB41" i="21"/>
  <c r="AB39" i="21"/>
  <c r="AB21" i="21"/>
  <c r="AB313" i="21"/>
  <c r="AB207" i="21"/>
  <c r="AB181" i="21"/>
  <c r="AB261" i="21"/>
  <c r="AB110" i="21"/>
  <c r="AB33" i="21"/>
  <c r="AB26" i="21"/>
  <c r="AB92" i="21"/>
  <c r="AB282" i="21"/>
  <c r="AB174" i="21"/>
  <c r="AB254" i="21"/>
  <c r="AB257" i="21"/>
  <c r="AB214" i="21"/>
  <c r="AB133" i="21"/>
  <c r="AB107" i="21"/>
  <c r="AB280" i="21"/>
  <c r="AB47" i="21"/>
  <c r="AB258" i="21"/>
  <c r="AB15" i="21"/>
  <c r="AB173" i="21"/>
  <c r="AB70" i="21"/>
  <c r="AC14" i="21"/>
  <c r="AC103" i="21"/>
  <c r="AC122" i="21"/>
  <c r="AC76" i="21"/>
  <c r="AC303" i="21"/>
  <c r="AC25" i="21"/>
  <c r="AC193" i="21"/>
  <c r="N53" i="13"/>
  <c r="R53" i="13" s="1"/>
  <c r="L50" i="39" s="1"/>
  <c r="N27" i="13"/>
  <c r="N41" i="13"/>
  <c r="R41" i="13" s="1"/>
  <c r="L48" i="39" s="1"/>
  <c r="N40" i="13"/>
  <c r="R40" i="13" s="1"/>
  <c r="L43" i="39" s="1"/>
  <c r="AA189" i="21"/>
  <c r="AA110" i="21"/>
  <c r="AA107" i="21"/>
  <c r="AA154" i="21"/>
  <c r="AA28" i="21"/>
  <c r="AA207" i="21"/>
  <c r="AA181" i="21"/>
  <c r="AA305" i="21"/>
  <c r="AA280" i="21"/>
  <c r="AA254" i="21"/>
  <c r="AA277" i="21"/>
  <c r="AA180" i="21"/>
  <c r="AA257" i="21"/>
  <c r="AA20" i="21"/>
  <c r="AA253" i="21"/>
  <c r="AA17" i="21"/>
  <c r="AA284" i="21"/>
  <c r="AA43" i="21"/>
  <c r="AA304" i="21"/>
  <c r="AA86" i="21"/>
  <c r="C231" i="7"/>
  <c r="F104" i="21" s="1"/>
  <c r="T104" i="21"/>
  <c r="R104" i="21"/>
  <c r="C163" i="7"/>
  <c r="F162" i="21" s="1"/>
  <c r="T162" i="21"/>
  <c r="R162" i="21"/>
  <c r="R27" i="13" l="1"/>
  <c r="L60" i="39" s="1"/>
  <c r="AC39" i="21" s="1"/>
  <c r="F158" i="18"/>
  <c r="F222" i="18"/>
  <c r="AC248" i="21"/>
  <c r="AC38" i="21"/>
  <c r="AC45" i="21"/>
  <c r="D162" i="21"/>
  <c r="D104" i="21"/>
  <c r="M171" i="17"/>
  <c r="N171" i="17" s="1"/>
  <c r="K184" i="13"/>
  <c r="P162" i="21"/>
  <c r="Q162" i="21" s="1"/>
  <c r="K215" i="13"/>
  <c r="L215" i="13" s="1"/>
  <c r="P104" i="21"/>
  <c r="Q104" i="21" s="1"/>
  <c r="J194" i="19"/>
  <c r="P194" i="19" s="1"/>
  <c r="L244" i="38" s="1"/>
  <c r="M83" i="17"/>
  <c r="N83" i="17" s="1"/>
  <c r="B225" i="19"/>
  <c r="B171" i="17"/>
  <c r="B194" i="19"/>
  <c r="B83" i="17"/>
  <c r="F253" i="5"/>
  <c r="J225" i="19"/>
  <c r="P225" i="19" s="1"/>
  <c r="L193" i="38" s="1"/>
  <c r="F166" i="14"/>
  <c r="F98" i="14"/>
  <c r="B166" i="14"/>
  <c r="B184" i="13"/>
  <c r="A138" i="6"/>
  <c r="B98" i="14"/>
  <c r="B215" i="13"/>
  <c r="A81" i="6"/>
  <c r="A253" i="5"/>
  <c r="A109" i="6"/>
  <c r="A37" i="6"/>
  <c r="A110" i="6"/>
  <c r="N184" i="13" l="1"/>
  <c r="L184" i="13"/>
  <c r="X171" i="17"/>
  <c r="F9" i="31"/>
  <c r="F15" i="31" s="1"/>
  <c r="K194" i="19"/>
  <c r="K225" i="19"/>
  <c r="X83" i="17"/>
  <c r="G98" i="14"/>
  <c r="G166" i="14"/>
  <c r="J81" i="6"/>
  <c r="J109" i="6"/>
  <c r="AB104" i="21" l="1"/>
  <c r="AB162" i="21"/>
  <c r="J138" i="6"/>
  <c r="J110" i="6"/>
  <c r="J6" i="19" l="1"/>
  <c r="K6" i="19" s="1"/>
  <c r="K23" i="13"/>
  <c r="P57" i="21"/>
  <c r="Q57" i="21" s="1"/>
  <c r="J44" i="19"/>
  <c r="K44" i="19" s="1"/>
  <c r="K11" i="13"/>
  <c r="L11" i="13" s="1"/>
  <c r="P132" i="21"/>
  <c r="Q132" i="21" s="1"/>
  <c r="K271" i="13"/>
  <c r="L271" i="13" s="1"/>
  <c r="P276" i="21"/>
  <c r="Q276" i="21" s="1"/>
  <c r="K77" i="13"/>
  <c r="L77" i="13" s="1"/>
  <c r="P268" i="21"/>
  <c r="Q268" i="21" s="1"/>
  <c r="J46" i="19"/>
  <c r="K46" i="19" s="1"/>
  <c r="K29" i="13"/>
  <c r="P265" i="21"/>
  <c r="Q265" i="21" s="1"/>
  <c r="P165" i="21"/>
  <c r="Q165" i="21" s="1"/>
  <c r="K66" i="13"/>
  <c r="K83" i="13"/>
  <c r="P260" i="21"/>
  <c r="Q260" i="21" s="1"/>
  <c r="K288" i="13"/>
  <c r="P145" i="21"/>
  <c r="Q145" i="21" s="1"/>
  <c r="K132" i="13"/>
  <c r="L132" i="13" s="1"/>
  <c r="P152" i="21"/>
  <c r="Q152" i="21" s="1"/>
  <c r="K298" i="13"/>
  <c r="L298" i="13" s="1"/>
  <c r="P9" i="21"/>
  <c r="Q9" i="21" s="1"/>
  <c r="P243" i="21"/>
  <c r="Q243" i="21" s="1"/>
  <c r="K301" i="13"/>
  <c r="L301" i="13" s="1"/>
  <c r="J107" i="19"/>
  <c r="P107" i="19" s="1"/>
  <c r="L201" i="38" s="1"/>
  <c r="K314" i="13"/>
  <c r="L314" i="13" s="1"/>
  <c r="P98" i="21"/>
  <c r="Q98" i="21" s="1"/>
  <c r="P163" i="21"/>
  <c r="Q163" i="21" s="1"/>
  <c r="K308" i="13"/>
  <c r="L308" i="13" s="1"/>
  <c r="J101" i="19"/>
  <c r="P101" i="19" s="1"/>
  <c r="L190" i="38" s="1"/>
  <c r="K138" i="13"/>
  <c r="P44" i="21"/>
  <c r="Q44" i="21" s="1"/>
  <c r="J42" i="19"/>
  <c r="K42" i="19" s="1"/>
  <c r="K144" i="13"/>
  <c r="P124" i="21"/>
  <c r="Q124" i="21" s="1"/>
  <c r="K264" i="13"/>
  <c r="L264" i="13" s="1"/>
  <c r="P19" i="21"/>
  <c r="Q19" i="21" s="1"/>
  <c r="J61" i="19"/>
  <c r="P61" i="19" s="1"/>
  <c r="L53" i="38" s="1"/>
  <c r="P90" i="21"/>
  <c r="Q90" i="21" s="1"/>
  <c r="K17" i="13"/>
  <c r="K310" i="13"/>
  <c r="L310" i="13" s="1"/>
  <c r="P212" i="21"/>
  <c r="Q212" i="21" s="1"/>
  <c r="P36" i="21"/>
  <c r="Q36" i="21" s="1"/>
  <c r="K128" i="13"/>
  <c r="J60" i="19"/>
  <c r="P60" i="19" s="1"/>
  <c r="L70" i="38" s="1"/>
  <c r="K273" i="13"/>
  <c r="L273" i="13" s="1"/>
  <c r="P80" i="21"/>
  <c r="Q80" i="21" s="1"/>
  <c r="J41" i="19"/>
  <c r="K41" i="19" s="1"/>
  <c r="K5" i="13"/>
  <c r="L5" i="13" s="1"/>
  <c r="P79" i="21"/>
  <c r="Q79" i="21" s="1"/>
  <c r="J54" i="19"/>
  <c r="P54" i="19" s="1"/>
  <c r="L67" i="38" s="1"/>
  <c r="P194" i="21"/>
  <c r="Q194" i="21" s="1"/>
  <c r="K270" i="13"/>
  <c r="L270" i="13" s="1"/>
  <c r="J35" i="19"/>
  <c r="K35" i="19" s="1"/>
  <c r="P68" i="21"/>
  <c r="Q68" i="21" s="1"/>
  <c r="K135" i="13"/>
  <c r="L135" i="13" s="1"/>
  <c r="J72" i="19"/>
  <c r="P72" i="19" s="1"/>
  <c r="L103" i="38" s="1"/>
  <c r="P32" i="21"/>
  <c r="Q32" i="21" s="1"/>
  <c r="K65" i="13"/>
  <c r="L65" i="13" s="1"/>
  <c r="J63" i="19"/>
  <c r="P63" i="19" s="1"/>
  <c r="L50" i="38" s="1"/>
  <c r="P185" i="21"/>
  <c r="Q185" i="21" s="1"/>
  <c r="K86" i="13"/>
  <c r="J53" i="19"/>
  <c r="P53" i="19" s="1"/>
  <c r="L49" i="38" s="1"/>
  <c r="K6" i="13"/>
  <c r="P153" i="21"/>
  <c r="Q153" i="21" s="1"/>
  <c r="K28" i="13"/>
  <c r="L28" i="13" s="1"/>
  <c r="P10" i="21"/>
  <c r="Q10" i="21" s="1"/>
  <c r="K313" i="13"/>
  <c r="L313" i="13" s="1"/>
  <c r="P289" i="21"/>
  <c r="Q289" i="21" s="1"/>
  <c r="J48" i="19"/>
  <c r="K48" i="19" s="1"/>
  <c r="P287" i="21"/>
  <c r="Q287" i="21" s="1"/>
  <c r="K18" i="13"/>
  <c r="L18" i="13" s="1"/>
  <c r="M151" i="17"/>
  <c r="N151" i="17" s="1"/>
  <c r="K59" i="13"/>
  <c r="L59" i="13" s="1"/>
  <c r="P112" i="21"/>
  <c r="Q112" i="21" s="1"/>
  <c r="J43" i="19"/>
  <c r="K43" i="19" s="1"/>
  <c r="K10" i="13"/>
  <c r="L10" i="13" s="1"/>
  <c r="P108" i="21"/>
  <c r="Q108" i="21" s="1"/>
  <c r="P167" i="21"/>
  <c r="Q167" i="21" s="1"/>
  <c r="K289" i="13"/>
  <c r="L289" i="13" s="1"/>
  <c r="P264" i="21"/>
  <c r="Q264" i="21" s="1"/>
  <c r="K51" i="13"/>
  <c r="K142" i="13"/>
  <c r="L142" i="13" s="1"/>
  <c r="P129" i="21"/>
  <c r="Q129" i="21" s="1"/>
  <c r="P48" i="21"/>
  <c r="Q48" i="21" s="1"/>
  <c r="K269" i="13"/>
  <c r="L269" i="13" s="1"/>
  <c r="P100" i="21"/>
  <c r="Q100" i="21" s="1"/>
  <c r="K64" i="13"/>
  <c r="P46" i="21"/>
  <c r="Q46" i="21" s="1"/>
  <c r="K67" i="13"/>
  <c r="L67" i="13" s="1"/>
  <c r="K268" i="13"/>
  <c r="L268" i="13" s="1"/>
  <c r="P23" i="21"/>
  <c r="Q23" i="21" s="1"/>
  <c r="K302" i="13"/>
  <c r="L302" i="13" s="1"/>
  <c r="P242" i="21"/>
  <c r="Q242" i="21" s="1"/>
  <c r="J69" i="19"/>
  <c r="P69" i="19" s="1"/>
  <c r="L71" i="38" s="1"/>
  <c r="K14" i="13"/>
  <c r="L14" i="13" s="1"/>
  <c r="P240" i="21"/>
  <c r="Q240" i="21" s="1"/>
  <c r="J32" i="19"/>
  <c r="K32" i="19" s="1"/>
  <c r="K43" i="13"/>
  <c r="P97" i="21"/>
  <c r="Q97" i="21" s="1"/>
  <c r="K50" i="13"/>
  <c r="P96" i="21"/>
  <c r="Q96" i="21" s="1"/>
  <c r="J59" i="19"/>
  <c r="P59" i="19" s="1"/>
  <c r="L55" i="38" s="1"/>
  <c r="K22" i="13"/>
  <c r="P150" i="21"/>
  <c r="Q150" i="21" s="1"/>
  <c r="P18" i="21"/>
  <c r="Q18" i="21" s="1"/>
  <c r="K275" i="13"/>
  <c r="L275" i="13" s="1"/>
  <c r="K80" i="13"/>
  <c r="P159" i="21"/>
  <c r="Q159" i="21" s="1"/>
  <c r="P4" i="21"/>
  <c r="Q4" i="21" s="1"/>
  <c r="K25" i="13"/>
  <c r="K46" i="13"/>
  <c r="P209" i="21"/>
  <c r="Q209" i="21" s="1"/>
  <c r="P157" i="21"/>
  <c r="Q157" i="21" s="1"/>
  <c r="K60" i="13"/>
  <c r="J64" i="19"/>
  <c r="P64" i="19" s="1"/>
  <c r="L68" i="38" s="1"/>
  <c r="K311" i="13"/>
  <c r="L311" i="13" s="1"/>
  <c r="P199" i="21"/>
  <c r="Q199" i="21" s="1"/>
  <c r="K26" i="13"/>
  <c r="P138" i="21"/>
  <c r="Q138" i="21" s="1"/>
  <c r="P34" i="21"/>
  <c r="Q34" i="21" s="1"/>
  <c r="K292" i="13"/>
  <c r="K266" i="13"/>
  <c r="L266" i="13" s="1"/>
  <c r="P190" i="21"/>
  <c r="Q190" i="21" s="1"/>
  <c r="K256" i="13"/>
  <c r="L256" i="13" s="1"/>
  <c r="P73" i="21"/>
  <c r="Q73" i="21" s="1"/>
  <c r="K276" i="13"/>
  <c r="L276" i="13" s="1"/>
  <c r="P177" i="21"/>
  <c r="Q177" i="21" s="1"/>
  <c r="K139" i="13"/>
  <c r="L139" i="13" s="1"/>
  <c r="P295" i="21"/>
  <c r="Q295" i="21" s="1"/>
  <c r="K145" i="13"/>
  <c r="P291" i="21"/>
  <c r="Q291" i="21" s="1"/>
  <c r="J103" i="19"/>
  <c r="P103" i="19" s="1"/>
  <c r="L64" i="38" s="1"/>
  <c r="P30" i="21"/>
  <c r="Q30" i="21" s="1"/>
  <c r="K19" i="13"/>
  <c r="P115" i="21"/>
  <c r="Q115" i="21" s="1"/>
  <c r="K143" i="13"/>
  <c r="L143" i="13" s="1"/>
  <c r="K260" i="13"/>
  <c r="L260" i="13" s="1"/>
  <c r="P170" i="21"/>
  <c r="J88" i="19"/>
  <c r="P88" i="19" s="1"/>
  <c r="L289" i="38" s="1"/>
  <c r="K21" i="13"/>
  <c r="P60" i="21"/>
  <c r="Q60" i="21" s="1"/>
  <c r="P288" i="21"/>
  <c r="Q288" i="21" s="1"/>
  <c r="K47" i="13"/>
  <c r="L47" i="13" s="1"/>
  <c r="J66" i="19"/>
  <c r="P66" i="19" s="1"/>
  <c r="L73" i="38" s="1"/>
  <c r="K283" i="13"/>
  <c r="L283" i="13" s="1"/>
  <c r="P285" i="21"/>
  <c r="Q285" i="21" s="1"/>
  <c r="M124" i="17"/>
  <c r="N124" i="17" s="1"/>
  <c r="P111" i="21"/>
  <c r="Q111" i="21" s="1"/>
  <c r="K146" i="13"/>
  <c r="L146" i="13" s="1"/>
  <c r="J67" i="19"/>
  <c r="P67" i="19" s="1"/>
  <c r="L62" i="38" s="1"/>
  <c r="P273" i="21"/>
  <c r="Q273" i="21" s="1"/>
  <c r="K7" i="13"/>
  <c r="L7" i="13" s="1"/>
  <c r="J47" i="19"/>
  <c r="K47" i="19" s="1"/>
  <c r="K61" i="13"/>
  <c r="L61" i="13" s="1"/>
  <c r="P267" i="21"/>
  <c r="Q267" i="21" s="1"/>
  <c r="J93" i="19"/>
  <c r="P93" i="19" s="1"/>
  <c r="L60" i="38" s="1"/>
  <c r="P166" i="21"/>
  <c r="Q166" i="21" s="1"/>
  <c r="K44" i="13"/>
  <c r="P128" i="21"/>
  <c r="Q128" i="21" s="1"/>
  <c r="K140" i="13"/>
  <c r="L140" i="13" s="1"/>
  <c r="K263" i="13"/>
  <c r="L263" i="13" s="1"/>
  <c r="P256" i="21"/>
  <c r="Q256" i="21" s="1"/>
  <c r="K30" i="13"/>
  <c r="P6" i="21"/>
  <c r="Q6" i="21" s="1"/>
  <c r="K69" i="13"/>
  <c r="L69" i="13" s="1"/>
  <c r="P247" i="21"/>
  <c r="Q247" i="21" s="1"/>
  <c r="K312" i="13"/>
  <c r="L312" i="13" s="1"/>
  <c r="P245" i="21"/>
  <c r="Q245" i="21" s="1"/>
  <c r="K68" i="13"/>
  <c r="L68" i="13" s="1"/>
  <c r="P143" i="21"/>
  <c r="Q143" i="21" s="1"/>
  <c r="J52" i="19"/>
  <c r="P52" i="19" s="1"/>
  <c r="L56" i="38" s="1"/>
  <c r="P125" i="21"/>
  <c r="Q125" i="21" s="1"/>
  <c r="K20" i="13"/>
  <c r="J9" i="19"/>
  <c r="K9" i="19" s="1"/>
  <c r="K15" i="13"/>
  <c r="P151" i="21"/>
  <c r="Q151" i="21" s="1"/>
  <c r="P95" i="21"/>
  <c r="Q95" i="21" s="1"/>
  <c r="K62" i="13"/>
  <c r="L62" i="13" s="1"/>
  <c r="K8" i="13"/>
  <c r="L8" i="13" s="1"/>
  <c r="P230" i="21"/>
  <c r="Q230" i="21" s="1"/>
  <c r="K257" i="13"/>
  <c r="L257" i="13" s="1"/>
  <c r="P224" i="21"/>
  <c r="Q224" i="21" s="1"/>
  <c r="K309" i="13"/>
  <c r="L309" i="13" s="1"/>
  <c r="P220" i="21"/>
  <c r="Q220" i="21" s="1"/>
  <c r="K290" i="13"/>
  <c r="L290" i="13" s="1"/>
  <c r="P120" i="21"/>
  <c r="Q120" i="21" s="1"/>
  <c r="K45" i="13"/>
  <c r="L45" i="13" s="1"/>
  <c r="P147" i="21"/>
  <c r="Q147" i="21" s="1"/>
  <c r="J65" i="19"/>
  <c r="P65" i="19" s="1"/>
  <c r="L69" i="38" s="1"/>
  <c r="P201" i="21"/>
  <c r="Q201" i="21" s="1"/>
  <c r="K282" i="13"/>
  <c r="L282" i="13" s="1"/>
  <c r="P78" i="21"/>
  <c r="Q78" i="21" s="1"/>
  <c r="K189" i="13"/>
  <c r="L189" i="13" s="1"/>
  <c r="J68" i="19"/>
  <c r="P68" i="19" s="1"/>
  <c r="L66" i="38" s="1"/>
  <c r="K16" i="13"/>
  <c r="L16" i="13" s="1"/>
  <c r="P192" i="21"/>
  <c r="Q192" i="21" s="1"/>
  <c r="J58" i="19"/>
  <c r="P58" i="19" s="1"/>
  <c r="L51" i="38" s="1"/>
  <c r="K35" i="13"/>
  <c r="P13" i="21"/>
  <c r="Q13" i="21" s="1"/>
  <c r="J104" i="19"/>
  <c r="P104" i="19" s="1"/>
  <c r="L91" i="38" s="1"/>
  <c r="P72" i="21"/>
  <c r="Q72" i="21" s="1"/>
  <c r="K297" i="13"/>
  <c r="L297" i="13" s="1"/>
  <c r="J57" i="19"/>
  <c r="P57" i="19" s="1"/>
  <c r="L48" i="38" s="1"/>
  <c r="K48" i="13"/>
  <c r="P7" i="21"/>
  <c r="Q7" i="21" s="1"/>
  <c r="P31" i="21"/>
  <c r="Q31" i="21" s="1"/>
  <c r="K37" i="13"/>
  <c r="L37" i="13" s="1"/>
  <c r="J71" i="19"/>
  <c r="P71" i="19" s="1"/>
  <c r="L65" i="38" s="1"/>
  <c r="K9" i="13"/>
  <c r="L9" i="13" s="1"/>
  <c r="P296" i="21"/>
  <c r="Q296" i="21" s="1"/>
  <c r="K190" i="13"/>
  <c r="P113" i="21"/>
  <c r="Q113" i="21" s="1"/>
  <c r="J62" i="19"/>
  <c r="P62" i="19" s="1"/>
  <c r="L63" i="38" s="1"/>
  <c r="P169" i="21"/>
  <c r="Q169" i="21" s="1"/>
  <c r="K13" i="13"/>
  <c r="K127" i="13"/>
  <c r="L127" i="13" s="1"/>
  <c r="P29" i="21"/>
  <c r="Q29" i="21" s="1"/>
  <c r="P279" i="21"/>
  <c r="Q279" i="21" s="1"/>
  <c r="K262" i="13"/>
  <c r="L262" i="13" s="1"/>
  <c r="K32" i="13"/>
  <c r="L32" i="13" s="1"/>
  <c r="P314" i="21"/>
  <c r="Q314" i="21" s="1"/>
  <c r="J70" i="19"/>
  <c r="P70" i="19" s="1"/>
  <c r="L61" i="38" s="1"/>
  <c r="P266" i="21"/>
  <c r="Q266" i="21" s="1"/>
  <c r="K34" i="13"/>
  <c r="J56" i="19"/>
  <c r="P56" i="19" s="1"/>
  <c r="L59" i="38" s="1"/>
  <c r="K38" i="13"/>
  <c r="P12" i="21"/>
  <c r="Q12" i="21" s="1"/>
  <c r="K272" i="13"/>
  <c r="L272" i="13" s="1"/>
  <c r="P102" i="21"/>
  <c r="Q102" i="21" s="1"/>
  <c r="K49" i="13"/>
  <c r="P8" i="21"/>
  <c r="Q8" i="21" s="1"/>
  <c r="K4" i="13"/>
  <c r="L4" i="13" s="1"/>
  <c r="P249" i="21"/>
  <c r="Q249" i="21" s="1"/>
  <c r="J8" i="19"/>
  <c r="K8" i="19" s="1"/>
  <c r="K33" i="13"/>
  <c r="P126" i="21"/>
  <c r="Q126" i="21" s="1"/>
  <c r="J34" i="19"/>
  <c r="K34" i="19" s="1"/>
  <c r="K133" i="13"/>
  <c r="L133" i="13" s="1"/>
  <c r="P5" i="21"/>
  <c r="Q5" i="21" s="1"/>
  <c r="J55" i="19"/>
  <c r="P55" i="19" s="1"/>
  <c r="L72" i="38" s="1"/>
  <c r="P241" i="21"/>
  <c r="Q241" i="21" s="1"/>
  <c r="K54" i="13"/>
  <c r="L54" i="13" s="1"/>
  <c r="P142" i="21"/>
  <c r="Q142" i="21" s="1"/>
  <c r="K126" i="13"/>
  <c r="L126" i="13" s="1"/>
  <c r="J33" i="19"/>
  <c r="K33" i="19" s="1"/>
  <c r="K12" i="13"/>
  <c r="P11" i="21"/>
  <c r="Q11" i="21" s="1"/>
  <c r="P94" i="21"/>
  <c r="Q94" i="21" s="1"/>
  <c r="K131" i="13"/>
  <c r="L131" i="13" s="1"/>
  <c r="J89" i="19"/>
  <c r="P89" i="19" s="1"/>
  <c r="L54" i="38" s="1"/>
  <c r="P123" i="21"/>
  <c r="Q123" i="21" s="1"/>
  <c r="K31" i="13"/>
  <c r="K274" i="13"/>
  <c r="L274" i="13" s="1"/>
  <c r="P69" i="21"/>
  <c r="Q69" i="21" s="1"/>
  <c r="J108" i="19"/>
  <c r="K24" i="13"/>
  <c r="L24" i="13" s="1"/>
  <c r="P88" i="21"/>
  <c r="Q88" i="21" s="1"/>
  <c r="K129" i="13"/>
  <c r="P210" i="21"/>
  <c r="Q210" i="21" s="1"/>
  <c r="K134" i="13"/>
  <c r="L134" i="13" s="1"/>
  <c r="P206" i="21"/>
  <c r="Q206" i="21" s="1"/>
  <c r="J45" i="19"/>
  <c r="K45" i="19" s="1"/>
  <c r="K281" i="13"/>
  <c r="L281" i="13" s="1"/>
  <c r="P200" i="21"/>
  <c r="Q200" i="21" s="1"/>
  <c r="K291" i="13"/>
  <c r="L291" i="13" s="1"/>
  <c r="P156" i="21"/>
  <c r="Q156" i="21" s="1"/>
  <c r="J80" i="19"/>
  <c r="P80" i="19" s="1"/>
  <c r="L104" i="38" s="1"/>
  <c r="K130" i="13"/>
  <c r="L130" i="13" s="1"/>
  <c r="P137" i="21"/>
  <c r="Q137" i="21" s="1"/>
  <c r="J10" i="19"/>
  <c r="K10" i="19" s="1"/>
  <c r="K87" i="13"/>
  <c r="P186" i="21"/>
  <c r="Q186" i="21" s="1"/>
  <c r="J120" i="19"/>
  <c r="P120" i="19" s="1"/>
  <c r="L90" i="38" s="1"/>
  <c r="K286" i="13"/>
  <c r="L286" i="13" s="1"/>
  <c r="P182" i="21"/>
  <c r="Q182" i="21" s="1"/>
  <c r="K188" i="13"/>
  <c r="L188" i="13" s="1"/>
  <c r="P176" i="21"/>
  <c r="Q176" i="21" s="1"/>
  <c r="M11" i="17"/>
  <c r="N11" i="17" s="1"/>
  <c r="J50" i="19"/>
  <c r="P50" i="19" s="1"/>
  <c r="L57" i="38" s="1"/>
  <c r="M147" i="17"/>
  <c r="N147" i="17" s="1"/>
  <c r="J109" i="19"/>
  <c r="P109" i="19" s="1"/>
  <c r="M268" i="17"/>
  <c r="N268" i="17" s="1"/>
  <c r="J122" i="19"/>
  <c r="P122" i="19" s="1"/>
  <c r="L159" i="38" s="1"/>
  <c r="AB220" i="21" s="1"/>
  <c r="M78" i="17"/>
  <c r="N78" i="17" s="1"/>
  <c r="J114" i="19"/>
  <c r="P114" i="19" s="1"/>
  <c r="L129" i="38" s="1"/>
  <c r="M22" i="17"/>
  <c r="N22" i="17" s="1"/>
  <c r="J7" i="19"/>
  <c r="K7" i="19" s="1"/>
  <c r="M137" i="17"/>
  <c r="N137" i="17" s="1"/>
  <c r="J112" i="19"/>
  <c r="P112" i="19" s="1"/>
  <c r="L286" i="38" s="1"/>
  <c r="M41" i="17"/>
  <c r="N41" i="17" s="1"/>
  <c r="J79" i="19"/>
  <c r="P79" i="19" s="1"/>
  <c r="L274" i="38" s="1"/>
  <c r="M220" i="17"/>
  <c r="N220" i="17" s="1"/>
  <c r="J96" i="19"/>
  <c r="P96" i="19" s="1"/>
  <c r="M102" i="17"/>
  <c r="N102" i="17" s="1"/>
  <c r="J106" i="19"/>
  <c r="P106" i="19" s="1"/>
  <c r="L233" i="38" s="1"/>
  <c r="AB102" i="21" s="1"/>
  <c r="M18" i="17"/>
  <c r="N18" i="17" s="1"/>
  <c r="J39" i="19"/>
  <c r="K39" i="19" s="1"/>
  <c r="M227" i="17"/>
  <c r="N227" i="17" s="1"/>
  <c r="J37" i="19"/>
  <c r="K37" i="19" s="1"/>
  <c r="M92" i="17"/>
  <c r="N92" i="17" s="1"/>
  <c r="J74" i="19"/>
  <c r="P74" i="19" s="1"/>
  <c r="L196" i="38" s="1"/>
  <c r="M97" i="17"/>
  <c r="N97" i="17" s="1"/>
  <c r="J90" i="19"/>
  <c r="P90" i="19" s="1"/>
  <c r="L187" i="38" s="1"/>
  <c r="M43" i="17"/>
  <c r="N43" i="17" s="1"/>
  <c r="J100" i="19"/>
  <c r="P100" i="19" s="1"/>
  <c r="L166" i="38" s="1"/>
  <c r="AB69" i="21" s="1"/>
  <c r="M225" i="17"/>
  <c r="N225" i="17" s="1"/>
  <c r="J84" i="19"/>
  <c r="P84" i="19" s="1"/>
  <c r="L132" i="38" s="1"/>
  <c r="M232" i="17"/>
  <c r="N232" i="17" s="1"/>
  <c r="J12" i="19"/>
  <c r="K12" i="19" s="1"/>
  <c r="M175" i="17"/>
  <c r="N175" i="17" s="1"/>
  <c r="J92" i="19"/>
  <c r="P92" i="19" s="1"/>
  <c r="L115" i="38" s="1"/>
  <c r="M272" i="17"/>
  <c r="N272" i="17" s="1"/>
  <c r="J130" i="19"/>
  <c r="P130" i="19" s="1"/>
  <c r="L78" i="38" s="1"/>
  <c r="M164" i="17"/>
  <c r="N164" i="17" s="1"/>
  <c r="J83" i="19"/>
  <c r="P83" i="19" s="1"/>
  <c r="L291" i="38" s="1"/>
  <c r="M180" i="17"/>
  <c r="N180" i="17" s="1"/>
  <c r="J14" i="19"/>
  <c r="K14" i="19" s="1"/>
  <c r="J210" i="19"/>
  <c r="P210" i="19" s="1"/>
  <c r="L271" i="38" s="1"/>
  <c r="M295" i="17"/>
  <c r="N295" i="17" s="1"/>
  <c r="J94" i="19"/>
  <c r="P94" i="19" s="1"/>
  <c r="L224" i="38" s="1"/>
  <c r="AB256" i="21" s="1"/>
  <c r="M190" i="17"/>
  <c r="N190" i="17" s="1"/>
  <c r="J125" i="19"/>
  <c r="P125" i="19" s="1"/>
  <c r="L206" i="38" s="1"/>
  <c r="M94" i="17"/>
  <c r="N94" i="17" s="1"/>
  <c r="J81" i="19"/>
  <c r="P81" i="19" s="1"/>
  <c r="L188" i="38" s="1"/>
  <c r="M145" i="17"/>
  <c r="N145" i="17" s="1"/>
  <c r="J105" i="19"/>
  <c r="P105" i="19" s="1"/>
  <c r="M134" i="17"/>
  <c r="N134" i="17" s="1"/>
  <c r="J113" i="19"/>
  <c r="P113" i="19" s="1"/>
  <c r="L119" i="38" s="1"/>
  <c r="M226" i="17"/>
  <c r="N226" i="17" s="1"/>
  <c r="J85" i="19"/>
  <c r="P85" i="19" s="1"/>
  <c r="L267" i="38" s="1"/>
  <c r="M13" i="17"/>
  <c r="N13" i="17" s="1"/>
  <c r="J40" i="19"/>
  <c r="K40" i="19" s="1"/>
  <c r="M237" i="17"/>
  <c r="N237" i="17" s="1"/>
  <c r="J132" i="19"/>
  <c r="P132" i="19" s="1"/>
  <c r="L290" i="38" s="1"/>
  <c r="M231" i="17"/>
  <c r="N231" i="17" s="1"/>
  <c r="J13" i="19"/>
  <c r="K13" i="19" s="1"/>
  <c r="M178" i="17"/>
  <c r="N178" i="17" s="1"/>
  <c r="J97" i="19"/>
  <c r="P97" i="19" s="1"/>
  <c r="L262" i="38" s="1"/>
  <c r="M184" i="17"/>
  <c r="N184" i="17" s="1"/>
  <c r="J129" i="19"/>
  <c r="P129" i="19" s="1"/>
  <c r="L251" i="38" s="1"/>
  <c r="M161" i="17"/>
  <c r="N161" i="17" s="1"/>
  <c r="J117" i="19"/>
  <c r="P117" i="19" s="1"/>
  <c r="L237" i="38" s="1"/>
  <c r="M16" i="17"/>
  <c r="N16" i="17" s="1"/>
  <c r="J128" i="19"/>
  <c r="P128" i="19" s="1"/>
  <c r="L231" i="38" s="1"/>
  <c r="M157" i="17"/>
  <c r="N157" i="17" s="1"/>
  <c r="J49" i="19"/>
  <c r="P49" i="19" s="1"/>
  <c r="L58" i="38" s="1"/>
  <c r="M103" i="17"/>
  <c r="N103" i="17" s="1"/>
  <c r="J91" i="19"/>
  <c r="P91" i="19" s="1"/>
  <c r="L216" i="38" s="1"/>
  <c r="M17" i="17"/>
  <c r="N17" i="17" s="1"/>
  <c r="J38" i="19"/>
  <c r="K38" i="19" s="1"/>
  <c r="M189" i="17"/>
  <c r="N189" i="17" s="1"/>
  <c r="J127" i="19"/>
  <c r="P127" i="19" s="1"/>
  <c r="L204" i="38" s="1"/>
  <c r="AB243" i="21" s="1"/>
  <c r="M165" i="17"/>
  <c r="N165" i="17" s="1"/>
  <c r="J119" i="19"/>
  <c r="P119" i="19" s="1"/>
  <c r="L195" i="38" s="1"/>
  <c r="M40" i="17"/>
  <c r="N40" i="17" s="1"/>
  <c r="J86" i="19"/>
  <c r="P86" i="19" s="1"/>
  <c r="L173" i="38" s="1"/>
  <c r="AB19" i="21" s="1"/>
  <c r="M270" i="17"/>
  <c r="N270" i="17" s="1"/>
  <c r="J121" i="19"/>
  <c r="P121" i="19" s="1"/>
  <c r="L140" i="38" s="1"/>
  <c r="M39" i="17"/>
  <c r="N39" i="17" s="1"/>
  <c r="J78" i="19"/>
  <c r="P78" i="19" s="1"/>
  <c r="L131" i="38" s="1"/>
  <c r="M109" i="17"/>
  <c r="N109" i="17" s="1"/>
  <c r="J115" i="19"/>
  <c r="P115" i="19" s="1"/>
  <c r="L306" i="38" s="1"/>
  <c r="M110" i="17"/>
  <c r="N110" i="17" s="1"/>
  <c r="J110" i="19"/>
  <c r="P110" i="19" s="1"/>
  <c r="L234" i="38" s="1"/>
  <c r="M183" i="17"/>
  <c r="N183" i="17" s="1"/>
  <c r="J133" i="19"/>
  <c r="P133" i="19" s="1"/>
  <c r="L211" i="38" s="1"/>
  <c r="M296" i="17"/>
  <c r="N296" i="17" s="1"/>
  <c r="J123" i="19"/>
  <c r="P123" i="19" s="1"/>
  <c r="L176" i="38" s="1"/>
  <c r="M177" i="17"/>
  <c r="N177" i="17" s="1"/>
  <c r="J77" i="19"/>
  <c r="P77" i="19" s="1"/>
  <c r="L167" i="38" s="1"/>
  <c r="M236" i="17"/>
  <c r="N236" i="17" s="1"/>
  <c r="J131" i="19"/>
  <c r="P131" i="19" s="1"/>
  <c r="L282" i="38" s="1"/>
  <c r="J19" i="19"/>
  <c r="K19" i="19" s="1"/>
  <c r="M169" i="17"/>
  <c r="N169" i="17" s="1"/>
  <c r="J118" i="19"/>
  <c r="P118" i="19" s="1"/>
  <c r="M229" i="17"/>
  <c r="N229" i="17" s="1"/>
  <c r="J95" i="19"/>
  <c r="P95" i="19" s="1"/>
  <c r="L247" i="38" s="1"/>
  <c r="M113" i="17"/>
  <c r="N113" i="17" s="1"/>
  <c r="J111" i="19"/>
  <c r="P111" i="19" s="1"/>
  <c r="L235" i="38" s="1"/>
  <c r="M28" i="17"/>
  <c r="N28" i="17" s="1"/>
  <c r="J87" i="19"/>
  <c r="P87" i="19" s="1"/>
  <c r="L227" i="38" s="1"/>
  <c r="M76" i="17"/>
  <c r="N76" i="17" s="1"/>
  <c r="J75" i="19"/>
  <c r="P75" i="19" s="1"/>
  <c r="L217" i="38" s="1"/>
  <c r="M33" i="17"/>
  <c r="N33" i="17" s="1"/>
  <c r="J102" i="19"/>
  <c r="P102" i="19" s="1"/>
  <c r="L215" i="38" s="1"/>
  <c r="M19" i="17"/>
  <c r="N19" i="17" s="1"/>
  <c r="J4" i="19"/>
  <c r="K4" i="19" s="1"/>
  <c r="M271" i="17"/>
  <c r="N271" i="17" s="1"/>
  <c r="J126" i="19"/>
  <c r="P126" i="19" s="1"/>
  <c r="L203" i="38" s="1"/>
  <c r="AB242" i="21" s="1"/>
  <c r="M95" i="17"/>
  <c r="N95" i="17" s="1"/>
  <c r="J82" i="19"/>
  <c r="P82" i="19" s="1"/>
  <c r="L189" i="38" s="1"/>
  <c r="M61" i="17"/>
  <c r="N61" i="17" s="1"/>
  <c r="J99" i="19"/>
  <c r="P99" i="19" s="1"/>
  <c r="L172" i="38" s="1"/>
  <c r="AB18" i="21" s="1"/>
  <c r="M160" i="17"/>
  <c r="N160" i="17" s="1"/>
  <c r="J116" i="19"/>
  <c r="P116" i="19" s="1"/>
  <c r="L160" i="38" s="1"/>
  <c r="M14" i="17"/>
  <c r="N14" i="17" s="1"/>
  <c r="J51" i="19"/>
  <c r="P51" i="19" s="1"/>
  <c r="L52" i="38" s="1"/>
  <c r="M182" i="17"/>
  <c r="N182" i="17" s="1"/>
  <c r="J11" i="19"/>
  <c r="M166" i="17"/>
  <c r="N166" i="17" s="1"/>
  <c r="J76" i="19"/>
  <c r="P76" i="19" s="1"/>
  <c r="L121" i="38" s="1"/>
  <c r="M6" i="17"/>
  <c r="N6" i="17" s="1"/>
  <c r="J36" i="19"/>
  <c r="K36" i="19" s="1"/>
  <c r="M74" i="17"/>
  <c r="N74" i="17" s="1"/>
  <c r="J98" i="19"/>
  <c r="P98" i="19" s="1"/>
  <c r="L110" i="38" s="1"/>
  <c r="M294" i="17"/>
  <c r="N294" i="17" s="1"/>
  <c r="J5" i="19"/>
  <c r="K5" i="19" s="1"/>
  <c r="M90" i="17"/>
  <c r="N90" i="17" s="1"/>
  <c r="J73" i="19"/>
  <c r="P73" i="19" s="1"/>
  <c r="L94" i="38" s="1"/>
  <c r="AB73" i="21" s="1"/>
  <c r="M185" i="17"/>
  <c r="N185" i="17" s="1"/>
  <c r="J124" i="19"/>
  <c r="P124" i="19" s="1"/>
  <c r="L81" i="38" s="1"/>
  <c r="AB177" i="21" s="1"/>
  <c r="F89" i="5"/>
  <c r="M30" i="17"/>
  <c r="N30" i="17" s="1"/>
  <c r="M60" i="17"/>
  <c r="N60" i="17" s="1"/>
  <c r="F268" i="5"/>
  <c r="M238" i="17"/>
  <c r="N238" i="17" s="1"/>
  <c r="M297" i="17"/>
  <c r="N297" i="17" s="1"/>
  <c r="F17" i="5"/>
  <c r="M239" i="17"/>
  <c r="N239" i="17" s="1"/>
  <c r="F78" i="5"/>
  <c r="M156" i="17"/>
  <c r="N156" i="17" s="1"/>
  <c r="M98" i="17"/>
  <c r="N98" i="17" s="1"/>
  <c r="F76" i="5"/>
  <c r="M106" i="17"/>
  <c r="N106" i="17" s="1"/>
  <c r="F241" i="5"/>
  <c r="M188" i="17"/>
  <c r="N188" i="17" s="1"/>
  <c r="F30" i="5"/>
  <c r="M230" i="17"/>
  <c r="N230" i="17" s="1"/>
  <c r="F238" i="5"/>
  <c r="M46" i="17"/>
  <c r="N46" i="17" s="1"/>
  <c r="M99" i="17"/>
  <c r="N99" i="17" s="1"/>
  <c r="M10" i="17"/>
  <c r="N10" i="17" s="1"/>
  <c r="F39" i="5"/>
  <c r="M8" i="17"/>
  <c r="N8" i="17" s="1"/>
  <c r="I6" i="18"/>
  <c r="J6" i="18" s="1"/>
  <c r="M158" i="17"/>
  <c r="N158" i="17" s="1"/>
  <c r="F264" i="5"/>
  <c r="M234" i="17"/>
  <c r="N234" i="17" s="1"/>
  <c r="M20" i="17"/>
  <c r="N20" i="17" s="1"/>
  <c r="F23" i="5"/>
  <c r="I5" i="18"/>
  <c r="J5" i="18" s="1"/>
  <c r="M107" i="17"/>
  <c r="N107" i="17" s="1"/>
  <c r="M12" i="17"/>
  <c r="N12" i="17" s="1"/>
  <c r="F35" i="5"/>
  <c r="M267" i="17"/>
  <c r="N267" i="17" s="1"/>
  <c r="M9" i="17"/>
  <c r="N9" i="17" s="1"/>
  <c r="M96" i="17"/>
  <c r="N96" i="17" s="1"/>
  <c r="AA35" i="21"/>
  <c r="M133" i="17"/>
  <c r="N133" i="17" s="1"/>
  <c r="F8" i="5"/>
  <c r="M187" i="17"/>
  <c r="N187" i="17" s="1"/>
  <c r="M93" i="17"/>
  <c r="N93" i="17" s="1"/>
  <c r="F22" i="5"/>
  <c r="I4" i="18"/>
  <c r="M181" i="17"/>
  <c r="N181" i="17" s="1"/>
  <c r="M186" i="17"/>
  <c r="N186" i="17" s="1"/>
  <c r="F163" i="5"/>
  <c r="M64" i="17"/>
  <c r="N64" i="17" s="1"/>
  <c r="M111" i="17"/>
  <c r="N111" i="17" s="1"/>
  <c r="M179" i="17"/>
  <c r="N179" i="17" s="1"/>
  <c r="M136" i="17"/>
  <c r="N136" i="17" s="1"/>
  <c r="M42" i="17"/>
  <c r="N42" i="17" s="1"/>
  <c r="F9" i="5"/>
  <c r="M15" i="17"/>
  <c r="N15" i="17" s="1"/>
  <c r="F32" i="5"/>
  <c r="M108" i="17"/>
  <c r="N108" i="17" s="1"/>
  <c r="F243" i="5"/>
  <c r="M101" i="17"/>
  <c r="N101" i="17" s="1"/>
  <c r="F7" i="5"/>
  <c r="M100" i="17"/>
  <c r="N100" i="17" s="1"/>
  <c r="F31" i="5"/>
  <c r="M228" i="17"/>
  <c r="N228" i="17" s="1"/>
  <c r="M5" i="17"/>
  <c r="N5" i="17" s="1"/>
  <c r="M29" i="17"/>
  <c r="N29" i="17" s="1"/>
  <c r="F29" i="5"/>
  <c r="M7" i="17"/>
  <c r="N7" i="17" s="1"/>
  <c r="F28" i="5"/>
  <c r="M159" i="17"/>
  <c r="N159" i="17" s="1"/>
  <c r="F20" i="5"/>
  <c r="M235" i="17"/>
  <c r="N235" i="17" s="1"/>
  <c r="F18" i="5"/>
  <c r="M105" i="17"/>
  <c r="N105" i="17" s="1"/>
  <c r="X105" i="17" s="1"/>
  <c r="F34" i="5"/>
  <c r="M233" i="17"/>
  <c r="N233" i="17" s="1"/>
  <c r="I7" i="18"/>
  <c r="M77" i="17"/>
  <c r="N77" i="17" s="1"/>
  <c r="M135" i="17"/>
  <c r="N135" i="17" s="1"/>
  <c r="F240" i="5"/>
  <c r="M269" i="17"/>
  <c r="N269" i="17" s="1"/>
  <c r="F260" i="5"/>
  <c r="F84" i="5"/>
  <c r="F37" i="5"/>
  <c r="F195" i="5"/>
  <c r="R195" i="5" s="1"/>
  <c r="F258" i="5"/>
  <c r="F33" i="5"/>
  <c r="F80" i="5"/>
  <c r="F189" i="5"/>
  <c r="R189" i="5" s="1"/>
  <c r="F55" i="5"/>
  <c r="F125" i="5"/>
  <c r="F251" i="5"/>
  <c r="F208" i="5"/>
  <c r="R208" i="5" s="1"/>
  <c r="F281" i="5"/>
  <c r="R281" i="5" s="1"/>
  <c r="F229" i="5"/>
  <c r="R229" i="5" s="1"/>
  <c r="F295" i="5"/>
  <c r="R295" i="5" s="1"/>
  <c r="F248" i="5"/>
  <c r="F293" i="5"/>
  <c r="R293" i="5" s="1"/>
  <c r="F206" i="5"/>
  <c r="R206" i="5" s="1"/>
  <c r="F177" i="5"/>
  <c r="F53" i="5"/>
  <c r="F279" i="5"/>
  <c r="R279" i="5" s="1"/>
  <c r="F227" i="5"/>
  <c r="R227" i="5" s="1"/>
  <c r="F187" i="5"/>
  <c r="R187" i="5" s="1"/>
  <c r="F171" i="5"/>
  <c r="R171" i="5" s="1"/>
  <c r="F51" i="5"/>
  <c r="R51" i="5" s="1"/>
  <c r="F274" i="5"/>
  <c r="F98" i="5"/>
  <c r="F164" i="5"/>
  <c r="F27" i="5"/>
  <c r="R27" i="5" s="1"/>
  <c r="F88" i="5"/>
  <c r="F81" i="5"/>
  <c r="R81" i="5" s="1"/>
  <c r="F65" i="5"/>
  <c r="R65" i="5" s="1"/>
  <c r="F256" i="5"/>
  <c r="F192" i="5"/>
  <c r="R192" i="5" s="1"/>
  <c r="F284" i="5"/>
  <c r="R284" i="5" s="1"/>
  <c r="F211" i="5"/>
  <c r="R211" i="5" s="1"/>
  <c r="F173" i="5"/>
  <c r="F109" i="5"/>
  <c r="F72" i="5"/>
  <c r="F167" i="5"/>
  <c r="F270" i="5"/>
  <c r="F24" i="5"/>
  <c r="F38" i="5"/>
  <c r="F222" i="5"/>
  <c r="R222" i="5" s="1"/>
  <c r="F126" i="5"/>
  <c r="F135" i="5"/>
  <c r="F234" i="5"/>
  <c r="R234" i="5" s="1"/>
  <c r="F289" i="5"/>
  <c r="R289" i="5" s="1"/>
  <c r="F267" i="5"/>
  <c r="F301" i="5"/>
  <c r="R301" i="5" s="1"/>
  <c r="F199" i="5"/>
  <c r="R199" i="5" s="1"/>
  <c r="F69" i="5"/>
  <c r="F86" i="5"/>
  <c r="F67" i="5"/>
  <c r="F145" i="5"/>
  <c r="F266" i="5"/>
  <c r="F92" i="5"/>
  <c r="R92" i="5" s="1"/>
  <c r="F77" i="5"/>
  <c r="F26" i="5"/>
  <c r="R26" i="5" s="1"/>
  <c r="F36" i="5"/>
  <c r="F66" i="5"/>
  <c r="R66" i="5" s="1"/>
  <c r="F82" i="5"/>
  <c r="R82" i="5" s="1"/>
  <c r="F216" i="5"/>
  <c r="R216" i="5" s="1"/>
  <c r="F15" i="5"/>
  <c r="F215" i="5"/>
  <c r="R215" i="5" s="1"/>
  <c r="F14" i="5"/>
  <c r="F12" i="5"/>
  <c r="F298" i="5"/>
  <c r="R298" i="5" s="1"/>
  <c r="F193" i="5"/>
  <c r="R193" i="5" s="1"/>
  <c r="F212" i="5"/>
  <c r="R212" i="5" s="1"/>
  <c r="F182" i="5"/>
  <c r="F231" i="5"/>
  <c r="R231" i="5" s="1"/>
  <c r="F283" i="5"/>
  <c r="R283" i="5" s="1"/>
  <c r="F210" i="5"/>
  <c r="R210" i="5" s="1"/>
  <c r="F297" i="5"/>
  <c r="R297" i="5" s="1"/>
  <c r="F140" i="5"/>
  <c r="F255" i="5"/>
  <c r="F191" i="5"/>
  <c r="R191" i="5" s="1"/>
  <c r="F95" i="5"/>
  <c r="F75" i="5"/>
  <c r="F57" i="5"/>
  <c r="F25" i="5"/>
  <c r="R25" i="5" s="1"/>
  <c r="F91" i="5"/>
  <c r="R91" i="5" s="1"/>
  <c r="F10" i="5"/>
  <c r="F188" i="5"/>
  <c r="R188" i="5" s="1"/>
  <c r="F94" i="5"/>
  <c r="F228" i="5"/>
  <c r="R228" i="5" s="1"/>
  <c r="F294" i="5"/>
  <c r="R294" i="5" s="1"/>
  <c r="F250" i="5"/>
  <c r="F280" i="5"/>
  <c r="R280" i="5" s="1"/>
  <c r="F143" i="5"/>
  <c r="F207" i="5"/>
  <c r="R207" i="5" s="1"/>
  <c r="F52" i="5"/>
  <c r="R52" i="5" s="1"/>
  <c r="F101" i="5"/>
  <c r="R101" i="5" s="1"/>
  <c r="F48" i="5"/>
  <c r="F150" i="5"/>
  <c r="F100" i="5"/>
  <c r="F244" i="5"/>
  <c r="F46" i="5"/>
  <c r="F239" i="5"/>
  <c r="F291" i="5"/>
  <c r="R291" i="5" s="1"/>
  <c r="F202" i="5"/>
  <c r="R202" i="5" s="1"/>
  <c r="F152" i="5"/>
  <c r="F106" i="5"/>
  <c r="F275" i="5"/>
  <c r="R275" i="5" s="1"/>
  <c r="F183" i="5"/>
  <c r="R183" i="5" s="1"/>
  <c r="F225" i="5"/>
  <c r="R225" i="5" s="1"/>
  <c r="F44" i="5"/>
  <c r="F170" i="5"/>
  <c r="F111" i="5"/>
  <c r="F236" i="5"/>
  <c r="F40" i="5"/>
  <c r="F74" i="5"/>
  <c r="F273" i="5"/>
  <c r="F116" i="5"/>
  <c r="F21" i="5"/>
  <c r="F179" i="5"/>
  <c r="F201" i="5"/>
  <c r="R201" i="5" s="1"/>
  <c r="F224" i="5"/>
  <c r="R224" i="5" s="1"/>
  <c r="F123" i="5"/>
  <c r="F271" i="5"/>
  <c r="F302" i="5"/>
  <c r="R302" i="5" s="1"/>
  <c r="F235" i="5"/>
  <c r="R235" i="5" s="1"/>
  <c r="F200" i="5"/>
  <c r="R200" i="5" s="1"/>
  <c r="F122" i="5"/>
  <c r="F290" i="5"/>
  <c r="R290" i="5" s="1"/>
  <c r="F223" i="5"/>
  <c r="R223" i="5" s="1"/>
  <c r="F138" i="5"/>
  <c r="F269" i="5"/>
  <c r="F121" i="5"/>
  <c r="F166" i="5"/>
  <c r="F19" i="5"/>
  <c r="F221" i="5"/>
  <c r="R221" i="5" s="1"/>
  <c r="F85" i="5"/>
  <c r="F68" i="5"/>
  <c r="F220" i="5"/>
  <c r="R220" i="5" s="1"/>
  <c r="F148" i="5"/>
  <c r="F198" i="5"/>
  <c r="R198" i="5" s="1"/>
  <c r="F233" i="5"/>
  <c r="R233" i="5" s="1"/>
  <c r="F288" i="5"/>
  <c r="R288" i="5" s="1"/>
  <c r="F134" i="5"/>
  <c r="F265" i="5"/>
  <c r="F300" i="5"/>
  <c r="R300" i="5" s="1"/>
  <c r="F16" i="5"/>
  <c r="F219" i="5"/>
  <c r="R219" i="5" s="1"/>
  <c r="F262" i="5"/>
  <c r="F299" i="5"/>
  <c r="R299" i="5" s="1"/>
  <c r="F197" i="5"/>
  <c r="R197" i="5" s="1"/>
  <c r="F97" i="5"/>
  <c r="F232" i="5"/>
  <c r="R232" i="5" s="1"/>
  <c r="F218" i="5"/>
  <c r="R218" i="5" s="1"/>
  <c r="F115" i="5"/>
  <c r="F287" i="5"/>
  <c r="R287" i="5" s="1"/>
  <c r="F131" i="5"/>
  <c r="F196" i="5"/>
  <c r="R196" i="5" s="1"/>
  <c r="F165" i="5"/>
  <c r="F261" i="5"/>
  <c r="F217" i="5"/>
  <c r="R217" i="5" s="1"/>
  <c r="F286" i="5"/>
  <c r="R286" i="5" s="1"/>
  <c r="F156" i="5"/>
  <c r="F63" i="5"/>
  <c r="F13" i="5"/>
  <c r="F61" i="5"/>
  <c r="R61" i="5" s="1"/>
  <c r="F213" i="5"/>
  <c r="R213" i="5" s="1"/>
  <c r="F59" i="5"/>
  <c r="R59" i="5" s="1"/>
  <c r="F162" i="5"/>
  <c r="R162" i="5" s="1"/>
  <c r="F119" i="5"/>
  <c r="R119" i="5" s="1"/>
  <c r="F254" i="5"/>
  <c r="R254" i="5" s="1"/>
  <c r="F172" i="5"/>
  <c r="R172" i="5" s="1"/>
  <c r="F114" i="5"/>
  <c r="F56" i="5"/>
  <c r="F54" i="5"/>
  <c r="R54" i="5" s="1"/>
  <c r="F103" i="5"/>
  <c r="R103" i="5" s="1"/>
  <c r="F226" i="5"/>
  <c r="R226" i="5" s="1"/>
  <c r="F278" i="5"/>
  <c r="R278" i="5" s="1"/>
  <c r="F186" i="5"/>
  <c r="R186" i="5" s="1"/>
  <c r="F50" i="5"/>
  <c r="R50" i="5" s="1"/>
  <c r="F247" i="5"/>
  <c r="R247" i="5" s="1"/>
  <c r="F205" i="5"/>
  <c r="R205" i="5" s="1"/>
  <c r="F176" i="5"/>
  <c r="R176" i="5" s="1"/>
  <c r="F292" i="5"/>
  <c r="R292" i="5" s="1"/>
  <c r="F128" i="5"/>
  <c r="F149" i="5"/>
  <c r="F5" i="5"/>
  <c r="F142" i="5"/>
  <c r="F105" i="5"/>
  <c r="F169" i="5"/>
  <c r="F175" i="5"/>
  <c r="R175" i="5" s="1"/>
  <c r="F303" i="5"/>
  <c r="R303" i="5" s="1"/>
  <c r="F272" i="5"/>
  <c r="R272" i="5" s="1"/>
  <c r="F136" i="5"/>
  <c r="R136" i="5" s="1"/>
  <c r="F157" i="5"/>
  <c r="F70" i="5"/>
  <c r="F160" i="5"/>
  <c r="F132" i="5"/>
  <c r="F62" i="5"/>
  <c r="F257" i="5"/>
  <c r="F194" i="5"/>
  <c r="R194" i="5" s="1"/>
  <c r="F146" i="5"/>
  <c r="F214" i="5"/>
  <c r="R214" i="5" s="1"/>
  <c r="F285" i="5"/>
  <c r="R285" i="5" s="1"/>
  <c r="F49" i="5"/>
  <c r="F204" i="5"/>
  <c r="R204" i="5" s="1"/>
  <c r="F277" i="5"/>
  <c r="R277" i="5" s="1"/>
  <c r="F154" i="5"/>
  <c r="F245" i="5"/>
  <c r="F185" i="5"/>
  <c r="R185" i="5" s="1"/>
  <c r="F107" i="5"/>
  <c r="F79" i="5"/>
  <c r="F117" i="5"/>
  <c r="F112" i="5"/>
  <c r="F104" i="5"/>
  <c r="F237" i="5"/>
  <c r="F73" i="5"/>
  <c r="R73" i="5" s="1"/>
  <c r="F90" i="5"/>
  <c r="R90" i="5" s="1"/>
  <c r="F71" i="5"/>
  <c r="F87" i="5"/>
  <c r="F137" i="5"/>
  <c r="F110" i="5"/>
  <c r="F83" i="5"/>
  <c r="F120" i="5"/>
  <c r="F263" i="5"/>
  <c r="F133" i="5"/>
  <c r="F158" i="5"/>
  <c r="F130" i="5"/>
  <c r="F178" i="5"/>
  <c r="F64" i="5"/>
  <c r="F259" i="5"/>
  <c r="F141" i="5"/>
  <c r="F96" i="5"/>
  <c r="F147" i="5"/>
  <c r="F60" i="5"/>
  <c r="R60" i="5" s="1"/>
  <c r="F174" i="5"/>
  <c r="R174" i="5" s="1"/>
  <c r="F161" i="5"/>
  <c r="R161" i="5" s="1"/>
  <c r="F58" i="5"/>
  <c r="R58" i="5" s="1"/>
  <c r="F11" i="5"/>
  <c r="F181" i="5"/>
  <c r="F190" i="5"/>
  <c r="R190" i="5" s="1"/>
  <c r="F129" i="5"/>
  <c r="F230" i="5"/>
  <c r="R230" i="5" s="1"/>
  <c r="F296" i="5"/>
  <c r="R296" i="5" s="1"/>
  <c r="F252" i="5"/>
  <c r="F282" i="5"/>
  <c r="R282" i="5" s="1"/>
  <c r="F144" i="5"/>
  <c r="F209" i="5"/>
  <c r="R209" i="5" s="1"/>
  <c r="F249" i="5"/>
  <c r="F180" i="5"/>
  <c r="F118" i="5"/>
  <c r="R118" i="5" s="1"/>
  <c r="F102" i="5"/>
  <c r="R102" i="5" s="1"/>
  <c r="F155" i="5"/>
  <c r="F93" i="5"/>
  <c r="F108" i="5"/>
  <c r="F246" i="5"/>
  <c r="F113" i="5"/>
  <c r="F47" i="5"/>
  <c r="F153" i="5"/>
  <c r="F203" i="5"/>
  <c r="R203" i="5" s="1"/>
  <c r="F276" i="5"/>
  <c r="R276" i="5" s="1"/>
  <c r="F127" i="5"/>
  <c r="F139" i="5"/>
  <c r="F184" i="5"/>
  <c r="R184" i="5" s="1"/>
  <c r="F242" i="5"/>
  <c r="F6" i="5"/>
  <c r="F124" i="5"/>
  <c r="F159" i="5"/>
  <c r="F45" i="5"/>
  <c r="F43" i="5"/>
  <c r="R43" i="5" s="1"/>
  <c r="F151" i="5"/>
  <c r="R151" i="5" s="1"/>
  <c r="F168" i="5"/>
  <c r="R168" i="5" s="1"/>
  <c r="F42" i="5"/>
  <c r="R42" i="5" s="1"/>
  <c r="F41" i="5"/>
  <c r="F99" i="5"/>
  <c r="F28" i="14"/>
  <c r="F60" i="14"/>
  <c r="F91" i="14"/>
  <c r="F145" i="14"/>
  <c r="F175" i="14"/>
  <c r="F234" i="14"/>
  <c r="F272" i="14"/>
  <c r="F281" i="14"/>
  <c r="F12" i="14"/>
  <c r="F30" i="14"/>
  <c r="F34" i="14"/>
  <c r="F44" i="14"/>
  <c r="F53" i="14"/>
  <c r="F61" i="14"/>
  <c r="F77" i="14"/>
  <c r="F88" i="14"/>
  <c r="F93" i="14"/>
  <c r="F110" i="14"/>
  <c r="F121" i="14"/>
  <c r="F133" i="14"/>
  <c r="F141" i="14"/>
  <c r="F149" i="14"/>
  <c r="F154" i="14"/>
  <c r="F158" i="14"/>
  <c r="F171" i="14"/>
  <c r="F176" i="14"/>
  <c r="F192" i="14"/>
  <c r="F203" i="14"/>
  <c r="F212" i="14"/>
  <c r="F240" i="14"/>
  <c r="F246" i="14"/>
  <c r="F259" i="14"/>
  <c r="F263" i="14"/>
  <c r="F273" i="14"/>
  <c r="F284" i="14"/>
  <c r="F296" i="14"/>
  <c r="F306" i="14"/>
  <c r="F318" i="14"/>
  <c r="F33" i="14"/>
  <c r="F85" i="14"/>
  <c r="F132" i="14"/>
  <c r="F153" i="14"/>
  <c r="F183" i="14"/>
  <c r="F243" i="14"/>
  <c r="F16" i="14"/>
  <c r="F31" i="14"/>
  <c r="F38" i="14"/>
  <c r="F45" i="14"/>
  <c r="F56" i="14"/>
  <c r="F65" i="14"/>
  <c r="F83" i="14"/>
  <c r="F89" i="14"/>
  <c r="F94" i="14"/>
  <c r="F111" i="14"/>
  <c r="F130" i="14"/>
  <c r="F134" i="14"/>
  <c r="F142" i="14"/>
  <c r="F150" i="14"/>
  <c r="F155" i="14"/>
  <c r="F163" i="14"/>
  <c r="F172" i="14"/>
  <c r="F177" i="14"/>
  <c r="F193" i="14"/>
  <c r="F204" i="14"/>
  <c r="F215" i="14"/>
  <c r="F241" i="14"/>
  <c r="F249" i="14"/>
  <c r="F260" i="14"/>
  <c r="F268" i="14"/>
  <c r="F275" i="14"/>
  <c r="F289" i="14"/>
  <c r="F299" i="14"/>
  <c r="F307" i="14"/>
  <c r="F321" i="14"/>
  <c r="F47" i="14"/>
  <c r="F74" i="14"/>
  <c r="F118" i="14"/>
  <c r="F136" i="14"/>
  <c r="F157" i="14"/>
  <c r="F197" i="14"/>
  <c r="F257" i="14"/>
  <c r="F292" i="14"/>
  <c r="F23" i="14"/>
  <c r="F32" i="14"/>
  <c r="F39" i="14"/>
  <c r="F46" i="14"/>
  <c r="F59" i="14"/>
  <c r="F70" i="14"/>
  <c r="F84" i="14"/>
  <c r="F90" i="14"/>
  <c r="F105" i="14"/>
  <c r="F114" i="14"/>
  <c r="F131" i="14"/>
  <c r="F135" i="14"/>
  <c r="F143" i="14"/>
  <c r="F152" i="14"/>
  <c r="F156" i="14"/>
  <c r="F164" i="14"/>
  <c r="F174" i="14"/>
  <c r="F178" i="14"/>
  <c r="F196" i="14"/>
  <c r="F206" i="14"/>
  <c r="F232" i="14"/>
  <c r="F242" i="14"/>
  <c r="F256" i="14"/>
  <c r="F261" i="14"/>
  <c r="F271" i="14"/>
  <c r="F276" i="14"/>
  <c r="F290" i="14"/>
  <c r="F300" i="14"/>
  <c r="F315" i="14"/>
  <c r="F43" i="14"/>
  <c r="F109" i="14"/>
  <c r="F170" i="14"/>
  <c r="F211" i="14"/>
  <c r="F262" i="14"/>
  <c r="F303" i="14"/>
  <c r="F317" i="14"/>
  <c r="J106" i="6"/>
  <c r="J88" i="6"/>
  <c r="J100" i="6"/>
  <c r="J101" i="6"/>
  <c r="J93" i="6"/>
  <c r="J95" i="6"/>
  <c r="J104" i="6"/>
  <c r="J92" i="6"/>
  <c r="J105" i="6"/>
  <c r="J90" i="6"/>
  <c r="J87" i="6"/>
  <c r="J98" i="6"/>
  <c r="J94" i="6"/>
  <c r="J84" i="6"/>
  <c r="J86" i="6"/>
  <c r="J99" i="6"/>
  <c r="J107" i="6"/>
  <c r="J108" i="6"/>
  <c r="J83" i="6"/>
  <c r="J82" i="6"/>
  <c r="J89" i="6"/>
  <c r="J85" i="6"/>
  <c r="J102" i="6"/>
  <c r="J91" i="6"/>
  <c r="J97" i="6"/>
  <c r="J103" i="6"/>
  <c r="J96" i="6"/>
  <c r="F1" i="11"/>
  <c r="AB245" i="21" l="1"/>
  <c r="AB182" i="21"/>
  <c r="AB72" i="21"/>
  <c r="J13" i="42"/>
  <c r="J19" i="42" s="1"/>
  <c r="N129" i="13"/>
  <c r="L129" i="13"/>
  <c r="N12" i="13"/>
  <c r="L12" i="13"/>
  <c r="N49" i="13"/>
  <c r="L49" i="13"/>
  <c r="N38" i="13"/>
  <c r="R38" i="13" s="1"/>
  <c r="L53" i="39" s="1"/>
  <c r="L38" i="13"/>
  <c r="N35" i="13"/>
  <c r="L35" i="13"/>
  <c r="N44" i="13"/>
  <c r="R44" i="13" s="1"/>
  <c r="L54" i="39" s="1"/>
  <c r="AC166" i="21" s="1"/>
  <c r="L44" i="13"/>
  <c r="N19" i="13"/>
  <c r="L19" i="13"/>
  <c r="N145" i="13"/>
  <c r="L145" i="13"/>
  <c r="N26" i="13"/>
  <c r="L26" i="13"/>
  <c r="N60" i="13"/>
  <c r="L60" i="13"/>
  <c r="N25" i="13"/>
  <c r="L25" i="13"/>
  <c r="N43" i="13"/>
  <c r="L43" i="13"/>
  <c r="N138" i="13"/>
  <c r="L138" i="13"/>
  <c r="L83" i="13"/>
  <c r="N29" i="13"/>
  <c r="L29" i="13"/>
  <c r="N20" i="13"/>
  <c r="L20" i="13"/>
  <c r="N292" i="13"/>
  <c r="L292" i="13"/>
  <c r="N51" i="13"/>
  <c r="R51" i="13" s="1"/>
  <c r="L56" i="39" s="1"/>
  <c r="L51" i="13"/>
  <c r="N86" i="13"/>
  <c r="L86" i="13"/>
  <c r="N144" i="13"/>
  <c r="L144" i="13"/>
  <c r="N66" i="13"/>
  <c r="L66" i="13"/>
  <c r="N31" i="13"/>
  <c r="L31" i="13"/>
  <c r="N34" i="13"/>
  <c r="L34" i="13"/>
  <c r="N48" i="13"/>
  <c r="L48" i="13"/>
  <c r="N21" i="13"/>
  <c r="L21" i="13"/>
  <c r="N50" i="13"/>
  <c r="L50" i="13"/>
  <c r="N288" i="13"/>
  <c r="L288" i="13"/>
  <c r="N23" i="13"/>
  <c r="L23" i="13"/>
  <c r="N87" i="13"/>
  <c r="L87" i="13"/>
  <c r="N33" i="13"/>
  <c r="L33" i="13"/>
  <c r="N13" i="13"/>
  <c r="L13" i="13"/>
  <c r="N190" i="13"/>
  <c r="L190" i="13"/>
  <c r="N15" i="13"/>
  <c r="L15" i="13"/>
  <c r="N30" i="13"/>
  <c r="L30" i="13"/>
  <c r="N46" i="13"/>
  <c r="L46" i="13"/>
  <c r="N80" i="13"/>
  <c r="L80" i="13"/>
  <c r="N22" i="13"/>
  <c r="L22" i="13"/>
  <c r="N64" i="13"/>
  <c r="L64" i="13"/>
  <c r="N6" i="13"/>
  <c r="L6" i="13"/>
  <c r="N128" i="13"/>
  <c r="L128" i="13"/>
  <c r="N17" i="13"/>
  <c r="L17" i="13"/>
  <c r="X77" i="17"/>
  <c r="X159" i="17"/>
  <c r="X29" i="17"/>
  <c r="X100" i="17"/>
  <c r="X108" i="17"/>
  <c r="X42" i="17"/>
  <c r="X64" i="17"/>
  <c r="X9" i="17"/>
  <c r="X234" i="17"/>
  <c r="X46" i="17"/>
  <c r="X188" i="17"/>
  <c r="X98" i="17"/>
  <c r="X60" i="17"/>
  <c r="X294" i="17"/>
  <c r="X160" i="17"/>
  <c r="X95" i="17"/>
  <c r="X113" i="17"/>
  <c r="X164" i="17"/>
  <c r="X175" i="17"/>
  <c r="X97" i="17"/>
  <c r="X227" i="17"/>
  <c r="X41" i="17"/>
  <c r="X11" i="17"/>
  <c r="X269" i="17"/>
  <c r="X136" i="17"/>
  <c r="X267" i="17"/>
  <c r="X297" i="17"/>
  <c r="X30" i="17"/>
  <c r="X177" i="17"/>
  <c r="X109" i="17"/>
  <c r="X270" i="17"/>
  <c r="X165" i="17"/>
  <c r="X17" i="17"/>
  <c r="X161" i="17"/>
  <c r="X237" i="17"/>
  <c r="X190" i="17"/>
  <c r="X233" i="17"/>
  <c r="X235" i="17"/>
  <c r="X228" i="17"/>
  <c r="X101" i="17"/>
  <c r="X15" i="17"/>
  <c r="X179" i="17"/>
  <c r="X186" i="17"/>
  <c r="X93" i="17"/>
  <c r="X10" i="17"/>
  <c r="X230" i="17"/>
  <c r="X238" i="17"/>
  <c r="X74" i="17"/>
  <c r="X166" i="17"/>
  <c r="X14" i="17"/>
  <c r="X33" i="17"/>
  <c r="X28" i="17"/>
  <c r="X229" i="17"/>
  <c r="X92" i="17"/>
  <c r="X18" i="17"/>
  <c r="X78" i="17"/>
  <c r="X135" i="17"/>
  <c r="X111" i="17"/>
  <c r="X181" i="17"/>
  <c r="X187" i="17"/>
  <c r="X96" i="17"/>
  <c r="X12" i="17"/>
  <c r="X20" i="17"/>
  <c r="X99" i="17"/>
  <c r="X236" i="17"/>
  <c r="X296" i="17"/>
  <c r="X110" i="17"/>
  <c r="X39" i="17"/>
  <c r="X103" i="17"/>
  <c r="X16" i="17"/>
  <c r="X184" i="17"/>
  <c r="X231" i="17"/>
  <c r="X13" i="17"/>
  <c r="X134" i="17"/>
  <c r="X94" i="17"/>
  <c r="L252" i="38"/>
  <c r="AB314" i="21" s="1"/>
  <c r="L202" i="38"/>
  <c r="AB143" i="21" s="1"/>
  <c r="L250" i="38"/>
  <c r="AB167" i="21" s="1"/>
  <c r="L133" i="38"/>
  <c r="AB120" i="21" s="1"/>
  <c r="AB159" i="21"/>
  <c r="AB96" i="21"/>
  <c r="AB100" i="21"/>
  <c r="AB129" i="21"/>
  <c r="AB289" i="21"/>
  <c r="AB230" i="21"/>
  <c r="AB128" i="21"/>
  <c r="AB36" i="21"/>
  <c r="AB152" i="21"/>
  <c r="AB260" i="21"/>
  <c r="AB268" i="21"/>
  <c r="AB78" i="21"/>
  <c r="AB95" i="21"/>
  <c r="AB142" i="21"/>
  <c r="AB113" i="21"/>
  <c r="AB147" i="21"/>
  <c r="AB12" i="21"/>
  <c r="AB169" i="21"/>
  <c r="AB13" i="21"/>
  <c r="AB201" i="21"/>
  <c r="AB90" i="21"/>
  <c r="AB241" i="21"/>
  <c r="AB296" i="21"/>
  <c r="AB166" i="21"/>
  <c r="AB285" i="21"/>
  <c r="AB30" i="21"/>
  <c r="AB80" i="21"/>
  <c r="AB98" i="21"/>
  <c r="AB34" i="21"/>
  <c r="AB157" i="21"/>
  <c r="AB4" i="21"/>
  <c r="AB46" i="21"/>
  <c r="AB48" i="21"/>
  <c r="AB264" i="21"/>
  <c r="AB224" i="21"/>
  <c r="AB247" i="21"/>
  <c r="AB115" i="21"/>
  <c r="AB212" i="21"/>
  <c r="AB163" i="21"/>
  <c r="AB165" i="21"/>
  <c r="AB276" i="21"/>
  <c r="AB295" i="21"/>
  <c r="AB279" i="21"/>
  <c r="G9" i="31"/>
  <c r="G15" i="31" s="1"/>
  <c r="AB170" i="21"/>
  <c r="AB156" i="21"/>
  <c r="AB210" i="21"/>
  <c r="AB94" i="21"/>
  <c r="AB29" i="21"/>
  <c r="AB6" i="21"/>
  <c r="AB137" i="21"/>
  <c r="AB125" i="21"/>
  <c r="AB60" i="21"/>
  <c r="AB199" i="21"/>
  <c r="AB185" i="21"/>
  <c r="AB123" i="21"/>
  <c r="AB266" i="21"/>
  <c r="AB192" i="21"/>
  <c r="AB273" i="21"/>
  <c r="AB150" i="21"/>
  <c r="AB240" i="21"/>
  <c r="AB153" i="21"/>
  <c r="AB194" i="21"/>
  <c r="AB145" i="21"/>
  <c r="N291" i="13"/>
  <c r="N274" i="13"/>
  <c r="N131" i="13"/>
  <c r="N189" i="13"/>
  <c r="N69" i="13"/>
  <c r="N263" i="13"/>
  <c r="N146" i="13"/>
  <c r="N283" i="13"/>
  <c r="N260" i="13"/>
  <c r="N67" i="13"/>
  <c r="N59" i="13"/>
  <c r="L313" i="39"/>
  <c r="N273" i="13"/>
  <c r="N188" i="13"/>
  <c r="N130" i="13"/>
  <c r="N134" i="13"/>
  <c r="N24" i="13"/>
  <c r="L31" i="39"/>
  <c r="N126" i="13"/>
  <c r="N272" i="13"/>
  <c r="N127" i="13"/>
  <c r="N140" i="13"/>
  <c r="N143" i="13"/>
  <c r="N139" i="13"/>
  <c r="N256" i="13"/>
  <c r="N302" i="13"/>
  <c r="N5" i="13"/>
  <c r="N308" i="13"/>
  <c r="N298" i="13"/>
  <c r="N281" i="13"/>
  <c r="L32" i="39"/>
  <c r="N37" i="13"/>
  <c r="N16" i="13"/>
  <c r="N282" i="13"/>
  <c r="N45" i="13"/>
  <c r="N309" i="13"/>
  <c r="L33" i="39"/>
  <c r="N47" i="13"/>
  <c r="N14" i="13"/>
  <c r="N18" i="13"/>
  <c r="N264" i="13"/>
  <c r="N301" i="13"/>
  <c r="N77" i="13"/>
  <c r="N286" i="13"/>
  <c r="N133" i="13"/>
  <c r="N297" i="13"/>
  <c r="L34" i="39"/>
  <c r="N62" i="13"/>
  <c r="N276" i="13"/>
  <c r="N266" i="13"/>
  <c r="N275" i="13"/>
  <c r="N268" i="13"/>
  <c r="N142" i="13"/>
  <c r="N65" i="13"/>
  <c r="N132" i="13"/>
  <c r="K55" i="19"/>
  <c r="K71" i="19"/>
  <c r="K104" i="19"/>
  <c r="K67" i="19"/>
  <c r="K59" i="19"/>
  <c r="K69" i="19"/>
  <c r="K53" i="19"/>
  <c r="K54" i="19"/>
  <c r="K124" i="19"/>
  <c r="K11" i="19"/>
  <c r="K116" i="19"/>
  <c r="K82" i="19"/>
  <c r="K75" i="19"/>
  <c r="K111" i="19"/>
  <c r="K118" i="19"/>
  <c r="K131" i="19"/>
  <c r="K77" i="19"/>
  <c r="K133" i="19"/>
  <c r="K115" i="19"/>
  <c r="K121" i="19"/>
  <c r="K119" i="19"/>
  <c r="K49" i="19"/>
  <c r="K117" i="19"/>
  <c r="K97" i="19"/>
  <c r="K132" i="19"/>
  <c r="K85" i="19"/>
  <c r="K105" i="19"/>
  <c r="K125" i="19"/>
  <c r="K210" i="19"/>
  <c r="K83" i="19"/>
  <c r="K92" i="19"/>
  <c r="K84" i="19"/>
  <c r="K90" i="19"/>
  <c r="K106" i="19"/>
  <c r="K79" i="19"/>
  <c r="K122" i="19"/>
  <c r="K50" i="19"/>
  <c r="K120" i="19"/>
  <c r="K108" i="19"/>
  <c r="K57" i="19"/>
  <c r="K65" i="19"/>
  <c r="K61" i="19"/>
  <c r="K101" i="19"/>
  <c r="K89" i="19"/>
  <c r="K70" i="19"/>
  <c r="K68" i="19"/>
  <c r="K93" i="19"/>
  <c r="K66" i="19"/>
  <c r="K103" i="19"/>
  <c r="K72" i="19"/>
  <c r="K60" i="19"/>
  <c r="K107" i="19"/>
  <c r="K73" i="19"/>
  <c r="K98" i="19"/>
  <c r="K76" i="19"/>
  <c r="K51" i="19"/>
  <c r="K99" i="19"/>
  <c r="K126" i="19"/>
  <c r="K102" i="19"/>
  <c r="K87" i="19"/>
  <c r="K95" i="19"/>
  <c r="K123" i="19"/>
  <c r="K110" i="19"/>
  <c r="K78" i="19"/>
  <c r="K86" i="19"/>
  <c r="K127" i="19"/>
  <c r="K91" i="19"/>
  <c r="K128" i="19"/>
  <c r="K129" i="19"/>
  <c r="K113" i="19"/>
  <c r="K81" i="19"/>
  <c r="K94" i="19"/>
  <c r="K130" i="19"/>
  <c r="K100" i="19"/>
  <c r="K74" i="19"/>
  <c r="K96" i="19"/>
  <c r="K112" i="19"/>
  <c r="K114" i="19"/>
  <c r="K109" i="19"/>
  <c r="K80" i="19"/>
  <c r="K56" i="19"/>
  <c r="K62" i="19"/>
  <c r="K58" i="19"/>
  <c r="K52" i="19"/>
  <c r="K88" i="19"/>
  <c r="K64" i="19"/>
  <c r="K63" i="19"/>
  <c r="J4" i="18"/>
  <c r="X185" i="17"/>
  <c r="X183" i="17"/>
  <c r="X189" i="17"/>
  <c r="X43" i="17"/>
  <c r="X22" i="17"/>
  <c r="X182" i="17"/>
  <c r="X19" i="17"/>
  <c r="X76" i="17"/>
  <c r="X295" i="17"/>
  <c r="X225" i="17"/>
  <c r="X268" i="17"/>
  <c r="X90" i="17"/>
  <c r="X157" i="17"/>
  <c r="X178" i="17"/>
  <c r="X226" i="17"/>
  <c r="X180" i="17"/>
  <c r="X272" i="17"/>
  <c r="X137" i="17"/>
  <c r="X151" i="17"/>
  <c r="J7" i="18"/>
  <c r="AA306" i="21"/>
  <c r="X61" i="17"/>
  <c r="X271" i="17"/>
  <c r="X40" i="17"/>
  <c r="X232" i="17"/>
  <c r="X102" i="17"/>
  <c r="X124" i="17"/>
  <c r="G23" i="14"/>
  <c r="G212" i="14"/>
  <c r="I212" i="14" s="1"/>
  <c r="G317" i="14"/>
  <c r="G262" i="14"/>
  <c r="I262" i="14" s="1"/>
  <c r="G170" i="14"/>
  <c r="G43" i="14"/>
  <c r="G276" i="14"/>
  <c r="G261" i="14"/>
  <c r="I261" i="14" s="1"/>
  <c r="G242" i="14"/>
  <c r="G206" i="14"/>
  <c r="G178" i="14"/>
  <c r="G164" i="14"/>
  <c r="I164" i="14" s="1"/>
  <c r="G152" i="14"/>
  <c r="I152" i="14" s="1"/>
  <c r="G135" i="14"/>
  <c r="G114" i="14"/>
  <c r="G90" i="14"/>
  <c r="G70" i="14"/>
  <c r="G46" i="14"/>
  <c r="G32" i="14"/>
  <c r="G292" i="14"/>
  <c r="I292" i="14" s="1"/>
  <c r="G197" i="14"/>
  <c r="I197" i="14" s="1"/>
  <c r="G136" i="14"/>
  <c r="G74" i="14"/>
  <c r="G321" i="14"/>
  <c r="G299" i="14"/>
  <c r="G275" i="14"/>
  <c r="G260" i="14"/>
  <c r="I260" i="14" s="1"/>
  <c r="G241" i="14"/>
  <c r="G204" i="14"/>
  <c r="I204" i="14" s="1"/>
  <c r="G177" i="14"/>
  <c r="G163" i="14"/>
  <c r="G150" i="14"/>
  <c r="G134" i="14"/>
  <c r="G111" i="14"/>
  <c r="I111" i="14" s="1"/>
  <c r="G89" i="14"/>
  <c r="G65" i="14"/>
  <c r="G243" i="14"/>
  <c r="G153" i="14"/>
  <c r="I153" i="14" s="1"/>
  <c r="G85" i="14"/>
  <c r="G318" i="14"/>
  <c r="G296" i="14"/>
  <c r="G273" i="14"/>
  <c r="I273" i="14" s="1"/>
  <c r="G259" i="14"/>
  <c r="I259" i="14" s="1"/>
  <c r="G240" i="14"/>
  <c r="G203" i="14"/>
  <c r="G176" i="14"/>
  <c r="G158" i="14"/>
  <c r="G149" i="14"/>
  <c r="I149" i="14" s="1"/>
  <c r="G133" i="14"/>
  <c r="G110" i="14"/>
  <c r="G88" i="14"/>
  <c r="G61" i="14"/>
  <c r="G44" i="14"/>
  <c r="G281" i="14"/>
  <c r="G234" i="14"/>
  <c r="G145" i="14"/>
  <c r="I145" i="14" s="1"/>
  <c r="G60" i="14"/>
  <c r="G300" i="14"/>
  <c r="G45" i="14"/>
  <c r="G31" i="14"/>
  <c r="G30" i="14"/>
  <c r="I30" i="14" s="1"/>
  <c r="G315" i="14"/>
  <c r="G289" i="14"/>
  <c r="G303" i="14"/>
  <c r="I303" i="14" s="1"/>
  <c r="G211" i="14"/>
  <c r="G109" i="14"/>
  <c r="G290" i="14"/>
  <c r="G271" i="14"/>
  <c r="G256" i="14"/>
  <c r="I256" i="14" s="1"/>
  <c r="G232" i="14"/>
  <c r="I232" i="14" s="1"/>
  <c r="G196" i="14"/>
  <c r="I196" i="14" s="1"/>
  <c r="G174" i="14"/>
  <c r="G156" i="14"/>
  <c r="G143" i="14"/>
  <c r="I143" i="14" s="1"/>
  <c r="G131" i="14"/>
  <c r="G105" i="14"/>
  <c r="G84" i="14"/>
  <c r="G59" i="14"/>
  <c r="G39" i="14"/>
  <c r="G257" i="14"/>
  <c r="G157" i="14"/>
  <c r="G118" i="14"/>
  <c r="I118" i="14" s="1"/>
  <c r="G47" i="14"/>
  <c r="G307" i="14"/>
  <c r="G268" i="14"/>
  <c r="G249" i="14"/>
  <c r="G215" i="14"/>
  <c r="G193" i="14"/>
  <c r="G172" i="14"/>
  <c r="G155" i="14"/>
  <c r="G142" i="14"/>
  <c r="G130" i="14"/>
  <c r="G94" i="14"/>
  <c r="G83" i="14"/>
  <c r="G56" i="14"/>
  <c r="G38" i="14"/>
  <c r="G16" i="14"/>
  <c r="G183" i="14"/>
  <c r="G132" i="14"/>
  <c r="G33" i="14"/>
  <c r="G306" i="14"/>
  <c r="G284" i="14"/>
  <c r="G263" i="14"/>
  <c r="G246" i="14"/>
  <c r="G192" i="14"/>
  <c r="G171" i="14"/>
  <c r="G154" i="14"/>
  <c r="G141" i="14"/>
  <c r="G121" i="14"/>
  <c r="I121" i="14" s="1"/>
  <c r="G93" i="14"/>
  <c r="G77" i="14"/>
  <c r="G53" i="14"/>
  <c r="I53" i="14" s="1"/>
  <c r="G34" i="14"/>
  <c r="G12" i="14"/>
  <c r="G272" i="14"/>
  <c r="G175" i="14"/>
  <c r="G91" i="14"/>
  <c r="G28" i="14"/>
  <c r="I28" i="14" s="1"/>
  <c r="R176" i="21"/>
  <c r="R224" i="21"/>
  <c r="R128" i="21"/>
  <c r="R7" i="21"/>
  <c r="R177" i="21"/>
  <c r="R153" i="21"/>
  <c r="R182" i="21"/>
  <c r="R72" i="21"/>
  <c r="R73" i="21"/>
  <c r="R185" i="21"/>
  <c r="R186" i="21"/>
  <c r="R13" i="21"/>
  <c r="R190" i="21"/>
  <c r="R32" i="21"/>
  <c r="R137" i="21"/>
  <c r="R192" i="21"/>
  <c r="R34" i="21"/>
  <c r="R68" i="21"/>
  <c r="R138" i="21"/>
  <c r="R194" i="21"/>
  <c r="R156" i="21"/>
  <c r="R78" i="21"/>
  <c r="R199" i="21"/>
  <c r="R79" i="21"/>
  <c r="R200" i="21"/>
  <c r="R201" i="21"/>
  <c r="R157" i="21"/>
  <c r="R80" i="21"/>
  <c r="R206" i="21"/>
  <c r="R147" i="21"/>
  <c r="R209" i="21"/>
  <c r="R36" i="21"/>
  <c r="R210" i="21"/>
  <c r="R120" i="21"/>
  <c r="R4" i="21"/>
  <c r="R212" i="21"/>
  <c r="R88" i="21"/>
  <c r="R220" i="21"/>
  <c r="R159" i="21"/>
  <c r="R90" i="21"/>
  <c r="R69" i="21"/>
  <c r="R18" i="21"/>
  <c r="R19" i="21"/>
  <c r="R123" i="21"/>
  <c r="R230" i="21"/>
  <c r="R150" i="21"/>
  <c r="R124" i="21"/>
  <c r="R94" i="21"/>
  <c r="R95" i="21"/>
  <c r="R96" i="21"/>
  <c r="R44" i="21"/>
  <c r="R11" i="21"/>
  <c r="R151" i="21"/>
  <c r="R97" i="21"/>
  <c r="R163" i="21"/>
  <c r="R142" i="21"/>
  <c r="R125" i="21"/>
  <c r="R240" i="21"/>
  <c r="R98" i="21"/>
  <c r="R241" i="21"/>
  <c r="R143" i="21"/>
  <c r="R242" i="21"/>
  <c r="R243" i="21"/>
  <c r="R5" i="21"/>
  <c r="R245" i="21"/>
  <c r="R23" i="21"/>
  <c r="R9" i="21"/>
  <c r="R126" i="21"/>
  <c r="R247" i="21"/>
  <c r="R46" i="21"/>
  <c r="R152" i="21"/>
  <c r="R249" i="21"/>
  <c r="R6" i="21"/>
  <c r="R100" i="21"/>
  <c r="R145" i="21"/>
  <c r="R8" i="21"/>
  <c r="R256" i="21"/>
  <c r="R48" i="21"/>
  <c r="R260" i="21"/>
  <c r="R102" i="21"/>
  <c r="R129" i="21"/>
  <c r="R165" i="21"/>
  <c r="R12" i="21"/>
  <c r="R166" i="21"/>
  <c r="R264" i="21"/>
  <c r="R265" i="21"/>
  <c r="R266" i="21"/>
  <c r="R267" i="21"/>
  <c r="R268" i="21"/>
  <c r="R314" i="21"/>
  <c r="R273" i="21"/>
  <c r="R108" i="21"/>
  <c r="R276" i="21"/>
  <c r="R167" i="21"/>
  <c r="R279" i="21"/>
  <c r="R111" i="21"/>
  <c r="R112" i="21"/>
  <c r="R132" i="21"/>
  <c r="R29" i="21"/>
  <c r="R285" i="21"/>
  <c r="R287" i="21"/>
  <c r="R57" i="21"/>
  <c r="R169" i="21"/>
  <c r="R288" i="21"/>
  <c r="R289" i="21"/>
  <c r="R291" i="21"/>
  <c r="R113" i="21"/>
  <c r="R60" i="21"/>
  <c r="R30" i="21"/>
  <c r="R295" i="21"/>
  <c r="R296" i="21"/>
  <c r="R170" i="21"/>
  <c r="R10" i="21"/>
  <c r="R31" i="21"/>
  <c r="R115" i="21"/>
  <c r="T176" i="21"/>
  <c r="T224" i="21"/>
  <c r="T128" i="21"/>
  <c r="T7" i="21"/>
  <c r="T177" i="21"/>
  <c r="T153" i="21"/>
  <c r="T182" i="21"/>
  <c r="T72" i="21"/>
  <c r="T73" i="21"/>
  <c r="T185" i="21"/>
  <c r="T186" i="21"/>
  <c r="T13" i="21"/>
  <c r="T190" i="21"/>
  <c r="T32" i="21"/>
  <c r="T137" i="21"/>
  <c r="T192" i="21"/>
  <c r="T34" i="21"/>
  <c r="T68" i="21"/>
  <c r="T138" i="21"/>
  <c r="T194" i="21"/>
  <c r="T156" i="21"/>
  <c r="T78" i="21"/>
  <c r="T199" i="21"/>
  <c r="T79" i="21"/>
  <c r="T200" i="21"/>
  <c r="T201" i="21"/>
  <c r="T157" i="21"/>
  <c r="T80" i="21"/>
  <c r="T206" i="21"/>
  <c r="T147" i="21"/>
  <c r="T209" i="21"/>
  <c r="T36" i="21"/>
  <c r="T210" i="21"/>
  <c r="T120" i="21"/>
  <c r="T4" i="21"/>
  <c r="T212" i="21"/>
  <c r="T88" i="21"/>
  <c r="T220" i="21"/>
  <c r="T159" i="21"/>
  <c r="T90" i="21"/>
  <c r="T69" i="21"/>
  <c r="T18" i="21"/>
  <c r="T19" i="21"/>
  <c r="T123" i="21"/>
  <c r="T230" i="21"/>
  <c r="T150" i="21"/>
  <c r="T124" i="21"/>
  <c r="T94" i="21"/>
  <c r="T95" i="21"/>
  <c r="T96" i="21"/>
  <c r="T44" i="21"/>
  <c r="T11" i="21"/>
  <c r="T151" i="21"/>
  <c r="T97" i="21"/>
  <c r="T163" i="21"/>
  <c r="T142" i="21"/>
  <c r="T125" i="21"/>
  <c r="T240" i="21"/>
  <c r="T98" i="21"/>
  <c r="T241" i="21"/>
  <c r="T143" i="21"/>
  <c r="T242" i="21"/>
  <c r="T243" i="21"/>
  <c r="T5" i="21"/>
  <c r="T245" i="21"/>
  <c r="T23" i="21"/>
  <c r="T9" i="21"/>
  <c r="T126" i="21"/>
  <c r="T247" i="21"/>
  <c r="T46" i="21"/>
  <c r="T152" i="21"/>
  <c r="T249" i="21"/>
  <c r="T6" i="21"/>
  <c r="T100" i="21"/>
  <c r="T145" i="21"/>
  <c r="T8" i="21"/>
  <c r="T256" i="21"/>
  <c r="T48" i="21"/>
  <c r="T260" i="21"/>
  <c r="T102" i="21"/>
  <c r="T129" i="21"/>
  <c r="T165" i="21"/>
  <c r="T12" i="21"/>
  <c r="T166" i="21"/>
  <c r="T264" i="21"/>
  <c r="T265" i="21"/>
  <c r="T266" i="21"/>
  <c r="T267" i="21"/>
  <c r="T268" i="21"/>
  <c r="T314" i="21"/>
  <c r="T273" i="21"/>
  <c r="T108" i="21"/>
  <c r="T276" i="21"/>
  <c r="T167" i="21"/>
  <c r="T279" i="21"/>
  <c r="T111" i="21"/>
  <c r="T112" i="21"/>
  <c r="T132" i="21"/>
  <c r="T29" i="21"/>
  <c r="T285" i="21"/>
  <c r="T287" i="21"/>
  <c r="T57" i="21"/>
  <c r="T169" i="21"/>
  <c r="T288" i="21"/>
  <c r="T289" i="21"/>
  <c r="T291" i="21"/>
  <c r="T113" i="21"/>
  <c r="T60" i="21"/>
  <c r="T30" i="21"/>
  <c r="T295" i="21"/>
  <c r="T296" i="21"/>
  <c r="T170" i="21"/>
  <c r="T10" i="21"/>
  <c r="T31" i="21"/>
  <c r="T115" i="21"/>
  <c r="S16" i="13" l="1"/>
  <c r="S35" i="13"/>
  <c r="S25" i="13"/>
  <c r="S27" i="13"/>
  <c r="S41" i="13"/>
  <c r="S15" i="13"/>
  <c r="S19" i="13"/>
  <c r="S52" i="13"/>
  <c r="S26" i="13"/>
  <c r="S36" i="13"/>
  <c r="S8" i="13"/>
  <c r="S18" i="13"/>
  <c r="S12" i="13"/>
  <c r="S30" i="13"/>
  <c r="S43" i="13"/>
  <c r="S10" i="13"/>
  <c r="S23" i="13"/>
  <c r="S29" i="13"/>
  <c r="S33" i="13"/>
  <c r="S51" i="13"/>
  <c r="S20" i="13"/>
  <c r="S28" i="13"/>
  <c r="S40" i="13"/>
  <c r="S5" i="13"/>
  <c r="S22" i="13"/>
  <c r="S34" i="13"/>
  <c r="S6" i="13"/>
  <c r="S42" i="13"/>
  <c r="S7" i="13"/>
  <c r="S17" i="13"/>
  <c r="S53" i="13"/>
  <c r="S21" i="13"/>
  <c r="S32" i="13"/>
  <c r="U32" i="13" s="1"/>
  <c r="S50" i="13"/>
  <c r="S9" i="13"/>
  <c r="S13" i="13"/>
  <c r="S39" i="13"/>
  <c r="S14" i="13"/>
  <c r="S31" i="13"/>
  <c r="S44" i="13"/>
  <c r="S11" i="13"/>
  <c r="S24" i="13"/>
  <c r="AA6" i="17"/>
  <c r="AA7" i="17"/>
  <c r="AA8" i="17"/>
  <c r="AA20" i="17"/>
  <c r="AB20" i="17" s="1"/>
  <c r="AA10" i="17"/>
  <c r="AA18" i="17"/>
  <c r="AA12" i="17"/>
  <c r="AA9" i="17"/>
  <c r="AA11" i="17"/>
  <c r="AA17" i="17"/>
  <c r="AB17" i="17" s="1"/>
  <c r="AA14" i="17"/>
  <c r="AA15" i="17"/>
  <c r="AA13" i="17"/>
  <c r="AA242" i="17"/>
  <c r="AB242" i="17" s="1"/>
  <c r="AA137" i="17"/>
  <c r="AB137" i="17" s="1"/>
  <c r="AA176" i="17"/>
  <c r="AB176" i="17" s="1"/>
  <c r="AA281" i="17"/>
  <c r="AB281" i="17" s="1"/>
  <c r="AA30" i="17"/>
  <c r="AB30" i="17" s="1"/>
  <c r="AA161" i="17"/>
  <c r="AB161" i="17" s="1"/>
  <c r="AA85" i="17"/>
  <c r="AB85" i="17" s="1"/>
  <c r="AA22" i="17"/>
  <c r="AB22" i="17" s="1"/>
  <c r="AA76" i="17"/>
  <c r="AB76" i="17" s="1"/>
  <c r="AA123" i="17"/>
  <c r="AB123" i="17" s="1"/>
  <c r="AA254" i="17"/>
  <c r="AB254" i="17" s="1"/>
  <c r="AA43" i="17"/>
  <c r="AB43" i="17" s="1"/>
  <c r="AA218" i="17"/>
  <c r="AB218" i="17" s="1"/>
  <c r="AA221" i="17"/>
  <c r="AB221" i="17" s="1"/>
  <c r="AA313" i="17"/>
  <c r="AB313" i="17" s="1"/>
  <c r="AA60" i="17"/>
  <c r="AB60" i="17" s="1"/>
  <c r="AA284" i="17"/>
  <c r="AB284" i="17" s="1"/>
  <c r="AA288" i="17"/>
  <c r="AB288" i="17" s="1"/>
  <c r="AA268" i="17"/>
  <c r="AB268" i="17" s="1"/>
  <c r="AA113" i="17"/>
  <c r="AB113" i="17" s="1"/>
  <c r="AA227" i="17"/>
  <c r="AB227" i="17" s="1"/>
  <c r="AA98" i="17"/>
  <c r="AB98" i="17" s="1"/>
  <c r="AA97" i="17"/>
  <c r="AB97" i="17" s="1"/>
  <c r="AA257" i="17"/>
  <c r="AB257" i="17" s="1"/>
  <c r="AA61" i="17"/>
  <c r="AB61" i="17" s="1"/>
  <c r="AA188" i="17"/>
  <c r="AB188" i="17" s="1"/>
  <c r="AA245" i="17"/>
  <c r="AB245" i="17" s="1"/>
  <c r="AA92" i="17"/>
  <c r="AB92" i="17" s="1"/>
  <c r="AA168" i="17"/>
  <c r="AB168" i="17" s="1"/>
  <c r="AA197" i="17"/>
  <c r="AB197" i="17" s="1"/>
  <c r="AA250" i="17"/>
  <c r="AB250" i="17" s="1"/>
  <c r="AA289" i="17"/>
  <c r="AB289" i="17" s="1"/>
  <c r="AA45" i="17"/>
  <c r="AB45" i="17" s="1"/>
  <c r="AA101" i="17"/>
  <c r="AB101" i="17" s="1"/>
  <c r="AA164" i="17"/>
  <c r="AB164" i="17" s="1"/>
  <c r="AA273" i="17"/>
  <c r="AB273" i="17" s="1"/>
  <c r="AA290" i="17"/>
  <c r="AB290" i="17" s="1"/>
  <c r="AA35" i="17"/>
  <c r="AB35" i="17" s="1"/>
  <c r="AA103" i="17"/>
  <c r="AB103" i="17" s="1"/>
  <c r="AA162" i="17"/>
  <c r="AB162" i="17" s="1"/>
  <c r="AA229" i="17"/>
  <c r="AB229" i="17" s="1"/>
  <c r="AA287" i="17"/>
  <c r="AB287" i="17" s="1"/>
  <c r="AA54" i="17"/>
  <c r="AB54" i="17" s="1"/>
  <c r="AA115" i="17"/>
  <c r="AB115" i="17" s="1"/>
  <c r="AA179" i="17"/>
  <c r="AB179" i="17" s="1"/>
  <c r="AA238" i="17"/>
  <c r="AB238" i="17" s="1"/>
  <c r="AA307" i="17"/>
  <c r="AB307" i="17" s="1"/>
  <c r="AA134" i="17"/>
  <c r="AB134" i="17" s="1"/>
  <c r="AA88" i="17"/>
  <c r="AB88" i="17" s="1"/>
  <c r="AA243" i="17"/>
  <c r="AB243" i="17" s="1"/>
  <c r="AA269" i="17"/>
  <c r="AB269" i="17" s="1"/>
  <c r="AA73" i="17"/>
  <c r="AB73" i="17" s="1"/>
  <c r="AA133" i="17"/>
  <c r="AB133" i="17" s="1"/>
  <c r="AA200" i="17"/>
  <c r="AB200" i="17" s="1"/>
  <c r="AA223" i="17"/>
  <c r="AB223" i="17" s="1"/>
  <c r="AA23" i="17"/>
  <c r="AB23" i="17" s="1"/>
  <c r="AA89" i="17"/>
  <c r="AB89" i="17" s="1"/>
  <c r="AA150" i="17"/>
  <c r="AB150" i="17" s="1"/>
  <c r="AA213" i="17"/>
  <c r="AB213" i="17" s="1"/>
  <c r="AA275" i="17"/>
  <c r="AB275" i="17" s="1"/>
  <c r="AA55" i="17"/>
  <c r="AB55" i="17" s="1"/>
  <c r="AA120" i="17"/>
  <c r="AB120" i="17" s="1"/>
  <c r="AA183" i="17"/>
  <c r="AB183" i="17" s="1"/>
  <c r="AA248" i="17"/>
  <c r="AB248" i="17" s="1"/>
  <c r="AA311" i="17"/>
  <c r="AB311" i="17" s="1"/>
  <c r="AA153" i="17"/>
  <c r="AB153" i="17" s="1"/>
  <c r="AA109" i="17"/>
  <c r="AB109" i="17" s="1"/>
  <c r="AA295" i="17"/>
  <c r="AB295" i="17" s="1"/>
  <c r="AA262" i="17"/>
  <c r="AB262" i="17" s="1"/>
  <c r="AA78" i="17"/>
  <c r="AB78" i="17" s="1"/>
  <c r="AA142" i="17"/>
  <c r="AB142" i="17" s="1"/>
  <c r="AA204" i="17"/>
  <c r="AB204" i="17" s="1"/>
  <c r="AA259" i="17"/>
  <c r="AB259" i="17" s="1"/>
  <c r="AA75" i="17"/>
  <c r="AB75" i="17" s="1"/>
  <c r="AA135" i="17"/>
  <c r="AB135" i="17" s="1"/>
  <c r="AA201" i="17"/>
  <c r="AB201" i="17" s="1"/>
  <c r="AA224" i="17"/>
  <c r="AB224" i="17" s="1"/>
  <c r="AA29" i="17"/>
  <c r="AB29" i="17" s="1"/>
  <c r="AA87" i="17"/>
  <c r="AB87" i="17" s="1"/>
  <c r="AA155" i="17"/>
  <c r="AB155" i="17" s="1"/>
  <c r="AA225" i="17"/>
  <c r="AB225" i="17" s="1"/>
  <c r="AA279" i="17"/>
  <c r="AB279" i="17" s="1"/>
  <c r="AA25" i="17"/>
  <c r="AB25" i="17" s="1"/>
  <c r="AA293" i="17"/>
  <c r="AB293" i="17" s="1"/>
  <c r="AA253" i="17"/>
  <c r="AB253" i="17" s="1"/>
  <c r="AA160" i="17"/>
  <c r="AB160" i="17" s="1"/>
  <c r="AA166" i="17"/>
  <c r="AB166" i="17" s="1"/>
  <c r="AA52" i="17"/>
  <c r="AB52" i="17" s="1"/>
  <c r="AA114" i="17"/>
  <c r="AB114" i="17" s="1"/>
  <c r="AA178" i="17"/>
  <c r="AB178" i="17" s="1"/>
  <c r="AA236" i="17"/>
  <c r="AB236" i="17" s="1"/>
  <c r="AA305" i="17"/>
  <c r="AB305" i="17" s="1"/>
  <c r="AA49" i="17"/>
  <c r="AB49" i="17" s="1"/>
  <c r="AA111" i="17"/>
  <c r="AB111" i="17" s="1"/>
  <c r="AA174" i="17"/>
  <c r="AB174" i="17" s="1"/>
  <c r="AA234" i="17"/>
  <c r="AB234" i="17" s="1"/>
  <c r="AA310" i="17"/>
  <c r="AB310" i="17" s="1"/>
  <c r="AA66" i="17"/>
  <c r="AB66" i="17" s="1"/>
  <c r="AA127" i="17"/>
  <c r="AB127" i="17" s="1"/>
  <c r="AA190" i="17"/>
  <c r="AB190" i="17" s="1"/>
  <c r="AA256" i="17"/>
  <c r="AB256" i="17" s="1"/>
  <c r="AA28" i="17"/>
  <c r="AB28" i="17" s="1"/>
  <c r="AA249" i="17"/>
  <c r="AB249" i="17" s="1"/>
  <c r="AA202" i="17"/>
  <c r="AB202" i="17" s="1"/>
  <c r="AA112" i="17"/>
  <c r="AB112" i="17" s="1"/>
  <c r="AA100" i="17"/>
  <c r="AB100" i="17" s="1"/>
  <c r="AA57" i="17"/>
  <c r="AB57" i="17" s="1"/>
  <c r="AA117" i="17"/>
  <c r="AB117" i="17" s="1"/>
  <c r="AA181" i="17"/>
  <c r="AB181" i="17" s="1"/>
  <c r="AA246" i="17"/>
  <c r="AB246" i="17" s="1"/>
  <c r="AA309" i="17"/>
  <c r="AB309" i="17" s="1"/>
  <c r="AA53" i="17"/>
  <c r="AB53" i="17" s="1"/>
  <c r="AA119" i="17"/>
  <c r="AB119" i="17" s="1"/>
  <c r="AA16" i="17"/>
  <c r="AA237" i="17"/>
  <c r="AB237" i="17" s="1"/>
  <c r="AA32" i="17"/>
  <c r="AB32" i="17" s="1"/>
  <c r="AA68" i="17"/>
  <c r="AB68" i="17" s="1"/>
  <c r="AA140" i="17"/>
  <c r="AB140" i="17" s="1"/>
  <c r="AA194" i="17"/>
  <c r="AB194" i="17" s="1"/>
  <c r="AA274" i="17"/>
  <c r="AB274" i="17" s="1"/>
  <c r="AA199" i="17"/>
  <c r="AB199" i="17" s="1"/>
  <c r="AA156" i="17"/>
  <c r="AB156" i="17" s="1"/>
  <c r="AA36" i="17"/>
  <c r="AB36" i="17" s="1"/>
  <c r="AA56" i="17"/>
  <c r="AB56" i="17" s="1"/>
  <c r="AA26" i="17"/>
  <c r="AB26" i="17" s="1"/>
  <c r="AA93" i="17"/>
  <c r="AB93" i="17" s="1"/>
  <c r="AA154" i="17"/>
  <c r="AB154" i="17" s="1"/>
  <c r="AA216" i="17"/>
  <c r="AB216" i="17" s="1"/>
  <c r="AA277" i="17"/>
  <c r="AB277" i="17" s="1"/>
  <c r="AA47" i="17"/>
  <c r="AB47" i="17" s="1"/>
  <c r="AA102" i="17"/>
  <c r="AB102" i="17" s="1"/>
  <c r="AA167" i="17"/>
  <c r="AB167" i="17" s="1"/>
  <c r="AA294" i="17"/>
  <c r="AB294" i="17" s="1"/>
  <c r="AA291" i="17"/>
  <c r="AB291" i="17" s="1"/>
  <c r="AA71" i="17"/>
  <c r="AB71" i="17" s="1"/>
  <c r="AA131" i="17"/>
  <c r="AB131" i="17" s="1"/>
  <c r="AA198" i="17"/>
  <c r="AB198" i="17" s="1"/>
  <c r="AA263" i="17"/>
  <c r="AB263" i="17" s="1"/>
  <c r="AA215" i="17"/>
  <c r="AB215" i="17" s="1"/>
  <c r="AA173" i="17"/>
  <c r="AB173" i="17" s="1"/>
  <c r="AA81" i="17"/>
  <c r="AB81" i="17" s="1"/>
  <c r="AA72" i="17"/>
  <c r="AB72" i="17" s="1"/>
  <c r="AA33" i="17"/>
  <c r="AB33" i="17" s="1"/>
  <c r="AA91" i="17"/>
  <c r="AB91" i="17" s="1"/>
  <c r="AA159" i="17"/>
  <c r="AB159" i="17" s="1"/>
  <c r="AA226" i="17"/>
  <c r="AB226" i="17" s="1"/>
  <c r="AA285" i="17"/>
  <c r="AB285" i="17" s="1"/>
  <c r="AA27" i="17"/>
  <c r="AB27" i="17" s="1"/>
  <c r="AA94" i="17"/>
  <c r="AB94" i="17" s="1"/>
  <c r="AA157" i="17"/>
  <c r="AB157" i="17" s="1"/>
  <c r="AA217" i="17"/>
  <c r="AB217" i="17" s="1"/>
  <c r="AA278" i="17"/>
  <c r="AB278" i="17" s="1"/>
  <c r="AA46" i="17"/>
  <c r="AB46" i="17" s="1"/>
  <c r="AA107" i="17"/>
  <c r="AB107" i="17" s="1"/>
  <c r="AA172" i="17"/>
  <c r="AB172" i="17" s="1"/>
  <c r="AA231" i="17"/>
  <c r="AB231" i="17" s="1"/>
  <c r="AA299" i="17"/>
  <c r="AB299" i="17" s="1"/>
  <c r="AA104" i="17"/>
  <c r="AB104" i="17" s="1"/>
  <c r="AA64" i="17"/>
  <c r="AB64" i="17" s="1"/>
  <c r="AA149" i="17"/>
  <c r="AB149" i="17" s="1"/>
  <c r="AA240" i="17"/>
  <c r="AB240" i="17" s="1"/>
  <c r="AA267" i="17"/>
  <c r="AB267" i="17" s="1"/>
  <c r="AA37" i="17"/>
  <c r="AB37" i="17" s="1"/>
  <c r="AA138" i="17"/>
  <c r="AB138" i="17" s="1"/>
  <c r="AA192" i="17"/>
  <c r="AB192" i="17" s="1"/>
  <c r="AA270" i="17"/>
  <c r="AB270" i="17" s="1"/>
  <c r="AA306" i="17"/>
  <c r="AB306" i="17" s="1"/>
  <c r="AA65" i="17"/>
  <c r="AB65" i="17" s="1"/>
  <c r="AA128" i="17"/>
  <c r="AB128" i="17" s="1"/>
  <c r="AA189" i="17"/>
  <c r="AB189" i="17" s="1"/>
  <c r="AA255" i="17"/>
  <c r="AB255" i="17" s="1"/>
  <c r="AA80" i="17"/>
  <c r="AB80" i="17" s="1"/>
  <c r="AA144" i="17"/>
  <c r="AB144" i="17" s="1"/>
  <c r="AA206" i="17"/>
  <c r="AB206" i="17" s="1"/>
  <c r="AA261" i="17"/>
  <c r="AB261" i="17" s="1"/>
  <c r="AA62" i="17"/>
  <c r="AB62" i="17" s="1"/>
  <c r="AA312" i="17"/>
  <c r="AB312" i="17" s="1"/>
  <c r="AA258" i="17"/>
  <c r="AB258" i="17" s="1"/>
  <c r="AA177" i="17"/>
  <c r="AB177" i="17" s="1"/>
  <c r="AA180" i="17"/>
  <c r="AB180" i="17" s="1"/>
  <c r="AA69" i="17"/>
  <c r="AB69" i="17" s="1"/>
  <c r="AA129" i="17"/>
  <c r="AB129" i="17" s="1"/>
  <c r="AA196" i="17"/>
  <c r="AB196" i="17" s="1"/>
  <c r="AA298" i="17"/>
  <c r="AB298" i="17" s="1"/>
  <c r="AA314" i="17"/>
  <c r="AB314" i="17" s="1"/>
  <c r="AA67" i="17"/>
  <c r="AB67" i="17" s="1"/>
  <c r="AA139" i="17"/>
  <c r="AB139" i="17" s="1"/>
  <c r="AA193" i="17"/>
  <c r="AB193" i="17" s="1"/>
  <c r="AA271" i="17"/>
  <c r="AB271" i="17" s="1"/>
  <c r="AA19" i="17"/>
  <c r="AB19" i="17" s="1"/>
  <c r="AA84" i="17"/>
  <c r="AB84" i="17" s="1"/>
  <c r="AA147" i="17"/>
  <c r="AB147" i="17" s="1"/>
  <c r="AA209" i="17"/>
  <c r="AB209" i="17" s="1"/>
  <c r="AA266" i="17"/>
  <c r="AB266" i="17" s="1"/>
  <c r="AA44" i="17"/>
  <c r="AB44" i="17" s="1"/>
  <c r="AA222" i="17"/>
  <c r="AB222" i="17" s="1"/>
  <c r="AA220" i="17"/>
  <c r="AB220" i="17" s="1"/>
  <c r="AA141" i="17"/>
  <c r="AB141" i="17" s="1"/>
  <c r="AA116" i="17"/>
  <c r="AB116" i="17" s="1"/>
  <c r="AA41" i="17"/>
  <c r="AB41" i="17" s="1"/>
  <c r="AA108" i="17"/>
  <c r="AB108" i="17" s="1"/>
  <c r="AA169" i="17"/>
  <c r="AB169" i="17" s="1"/>
  <c r="AA219" i="17"/>
  <c r="AB219" i="17" s="1"/>
  <c r="AA296" i="17"/>
  <c r="AB296" i="17" s="1"/>
  <c r="AA58" i="17"/>
  <c r="AB58" i="17" s="1"/>
  <c r="AA118" i="17"/>
  <c r="AB118" i="17" s="1"/>
  <c r="AA182" i="17"/>
  <c r="AB182" i="17" s="1"/>
  <c r="AA247" i="17"/>
  <c r="AB247" i="17" s="1"/>
  <c r="AA24" i="17"/>
  <c r="AB24" i="17" s="1"/>
  <c r="AA90" i="17"/>
  <c r="AB90" i="17" s="1"/>
  <c r="AA152" i="17"/>
  <c r="AB152" i="17" s="1"/>
  <c r="AA214" i="17"/>
  <c r="AB214" i="17" s="1"/>
  <c r="AA276" i="17"/>
  <c r="AB276" i="17" s="1"/>
  <c r="AA39" i="17"/>
  <c r="AB39" i="17" s="1"/>
  <c r="AA280" i="17"/>
  <c r="AB280" i="17" s="1"/>
  <c r="AA232" i="17"/>
  <c r="AB232" i="17" s="1"/>
  <c r="AA146" i="17"/>
  <c r="AB146" i="17" s="1"/>
  <c r="AA132" i="17"/>
  <c r="AB132" i="17" s="1"/>
  <c r="AA48" i="17"/>
  <c r="AB48" i="17" s="1"/>
  <c r="AA110" i="17"/>
  <c r="AB110" i="17" s="1"/>
  <c r="AA175" i="17"/>
  <c r="AB175" i="17" s="1"/>
  <c r="AA233" i="17"/>
  <c r="AB233" i="17" s="1"/>
  <c r="AA301" i="17"/>
  <c r="AB301" i="17" s="1"/>
  <c r="AA42" i="17"/>
  <c r="AB42" i="17" s="1"/>
  <c r="AA106" i="17"/>
  <c r="AB106" i="17" s="1"/>
  <c r="AA170" i="17"/>
  <c r="AB170" i="17" s="1"/>
  <c r="AA230" i="17"/>
  <c r="AB230" i="17" s="1"/>
  <c r="AA302" i="17"/>
  <c r="AB302" i="17" s="1"/>
  <c r="AA59" i="17"/>
  <c r="AB59" i="17" s="1"/>
  <c r="AA124" i="17"/>
  <c r="AB124" i="17" s="1"/>
  <c r="AA186" i="17"/>
  <c r="AB186" i="17" s="1"/>
  <c r="AA252" i="17"/>
  <c r="AB252" i="17" s="1"/>
  <c r="AA315" i="17"/>
  <c r="AB315" i="17" s="1"/>
  <c r="AA171" i="17"/>
  <c r="AB171" i="17" s="1"/>
  <c r="AA126" i="17"/>
  <c r="AB126" i="17" s="1"/>
  <c r="AA308" i="17"/>
  <c r="AB308" i="17" s="1"/>
  <c r="AA283" i="17"/>
  <c r="AB283" i="17" s="1"/>
  <c r="AA82" i="17"/>
  <c r="AB82" i="17" s="1"/>
  <c r="AA145" i="17"/>
  <c r="AB145" i="17" s="1"/>
  <c r="AA208" i="17"/>
  <c r="AB208" i="17" s="1"/>
  <c r="AA264" i="17"/>
  <c r="AB264" i="17" s="1"/>
  <c r="AA79" i="17"/>
  <c r="AB79" i="17" s="1"/>
  <c r="AA143" i="17"/>
  <c r="AB143" i="17" s="1"/>
  <c r="AA205" i="17"/>
  <c r="AB205" i="17" s="1"/>
  <c r="AA260" i="17"/>
  <c r="AB260" i="17" s="1"/>
  <c r="AA31" i="17"/>
  <c r="AA96" i="17"/>
  <c r="AB96" i="17" s="1"/>
  <c r="AA165" i="17"/>
  <c r="AB165" i="17" s="1"/>
  <c r="AA228" i="17"/>
  <c r="AB228" i="17" s="1"/>
  <c r="AA282" i="17"/>
  <c r="AB282" i="17" s="1"/>
  <c r="AA121" i="17"/>
  <c r="AB121" i="17" s="1"/>
  <c r="AA77" i="17"/>
  <c r="AB77" i="17" s="1"/>
  <c r="AA195" i="17"/>
  <c r="AB195" i="17" s="1"/>
  <c r="AA235" i="17"/>
  <c r="AB235" i="17" s="1"/>
  <c r="AA21" i="17"/>
  <c r="AB21" i="17" s="1"/>
  <c r="AA86" i="17"/>
  <c r="AB86" i="17" s="1"/>
  <c r="AA151" i="17"/>
  <c r="AB151" i="17" s="1"/>
  <c r="AA212" i="17"/>
  <c r="AB212" i="17" s="1"/>
  <c r="AA272" i="17"/>
  <c r="AB272" i="17" s="1"/>
  <c r="AA83" i="17"/>
  <c r="AB83" i="17" s="1"/>
  <c r="AA148" i="17"/>
  <c r="AB148" i="17" s="1"/>
  <c r="AA210" i="17"/>
  <c r="AB210" i="17" s="1"/>
  <c r="AA265" i="17"/>
  <c r="AB265" i="17" s="1"/>
  <c r="AA40" i="17"/>
  <c r="AB40" i="17" s="1"/>
  <c r="AA99" i="17"/>
  <c r="AB99" i="17" s="1"/>
  <c r="AA304" i="17"/>
  <c r="AB304" i="17" s="1"/>
  <c r="AA303" i="17"/>
  <c r="AB303" i="17" s="1"/>
  <c r="AA51" i="17"/>
  <c r="AB51" i="17" s="1"/>
  <c r="AA158" i="17"/>
  <c r="AB158" i="17" s="1"/>
  <c r="AA286" i="17"/>
  <c r="AB286" i="17" s="1"/>
  <c r="AA34" i="17"/>
  <c r="AB34" i="17" s="1"/>
  <c r="AA187" i="17"/>
  <c r="AB187" i="17" s="1"/>
  <c r="AA203" i="17"/>
  <c r="AB203" i="17" s="1"/>
  <c r="AA251" i="17"/>
  <c r="AB251" i="17" s="1"/>
  <c r="AA125" i="17"/>
  <c r="AB125" i="17" s="1"/>
  <c r="AA207" i="17"/>
  <c r="AB207" i="17" s="1"/>
  <c r="AA105" i="17"/>
  <c r="AB105" i="17" s="1"/>
  <c r="AA130" i="17"/>
  <c r="AB130" i="17" s="1"/>
  <c r="AA184" i="17"/>
  <c r="AB184" i="17" s="1"/>
  <c r="AA211" i="17"/>
  <c r="AB211" i="17" s="1"/>
  <c r="AA74" i="17"/>
  <c r="AB74" i="17" s="1"/>
  <c r="AA163" i="17"/>
  <c r="AB163" i="17" s="1"/>
  <c r="AA50" i="17"/>
  <c r="AB50" i="17" s="1"/>
  <c r="AA239" i="17"/>
  <c r="AB239" i="17" s="1"/>
  <c r="AA95" i="17"/>
  <c r="AB95" i="17" s="1"/>
  <c r="AA241" i="17"/>
  <c r="AB241" i="17" s="1"/>
  <c r="AA244" i="17"/>
  <c r="AB244" i="17" s="1"/>
  <c r="AA136" i="17"/>
  <c r="AB136" i="17" s="1"/>
  <c r="AA185" i="17"/>
  <c r="AB185" i="17" s="1"/>
  <c r="AA297" i="17"/>
  <c r="AB297" i="17" s="1"/>
  <c r="AA63" i="17"/>
  <c r="AB63" i="17" s="1"/>
  <c r="AA300" i="17"/>
  <c r="AB300" i="17" s="1"/>
  <c r="AA292" i="17"/>
  <c r="AB292" i="17" s="1"/>
  <c r="AA38" i="17"/>
  <c r="AB38" i="17" s="1"/>
  <c r="AA70" i="17"/>
  <c r="AB70" i="17" s="1"/>
  <c r="AA122" i="17"/>
  <c r="AB122" i="17" s="1"/>
  <c r="AA191" i="17"/>
  <c r="AB191" i="17" s="1"/>
  <c r="C9" i="31"/>
  <c r="C15" i="31" s="1"/>
  <c r="D9" i="31"/>
  <c r="D15" i="31" s="1"/>
  <c r="AB44" i="21"/>
  <c r="AB32" i="21"/>
  <c r="J12" i="42"/>
  <c r="J11" i="42"/>
  <c r="AB111" i="21"/>
  <c r="AB176" i="21"/>
  <c r="AB7" i="21"/>
  <c r="L1" i="38"/>
  <c r="AC6" i="21"/>
  <c r="AC12" i="21"/>
  <c r="AC126" i="21"/>
  <c r="AC112" i="21"/>
  <c r="AC123" i="21"/>
  <c r="AC13" i="21"/>
  <c r="AC264" i="21"/>
  <c r="N54" i="13"/>
  <c r="S84" i="13" s="1"/>
  <c r="U84" i="13" s="1"/>
  <c r="R37" i="13"/>
  <c r="L59" i="39" s="1"/>
  <c r="AC10" i="17"/>
  <c r="AC18" i="17"/>
  <c r="AC13" i="17"/>
  <c r="AA274" i="21"/>
  <c r="AA66" i="21"/>
  <c r="AA142" i="21"/>
  <c r="AA36" i="21"/>
  <c r="AA61" i="21"/>
  <c r="E4" i="18"/>
  <c r="AA93" i="21"/>
  <c r="AA25" i="21"/>
  <c r="AA96" i="21"/>
  <c r="AA224" i="21"/>
  <c r="AA26" i="21"/>
  <c r="AA136" i="21"/>
  <c r="E5" i="18"/>
  <c r="AA190" i="21"/>
  <c r="AA24" i="21"/>
  <c r="AA157" i="21"/>
  <c r="AA198" i="21"/>
  <c r="AA50" i="21"/>
  <c r="AA234" i="21"/>
  <c r="AA127" i="21"/>
  <c r="AA76" i="21"/>
  <c r="AA58" i="21"/>
  <c r="E6" i="18"/>
  <c r="AA27" i="21"/>
  <c r="AA55" i="21"/>
  <c r="AA77" i="21"/>
  <c r="AA118" i="21"/>
  <c r="AA210" i="21"/>
  <c r="AA251" i="21"/>
  <c r="AA143" i="21"/>
  <c r="AA105" i="21"/>
  <c r="AA53" i="21"/>
  <c r="E7" i="18"/>
  <c r="O7" i="18" s="1"/>
  <c r="AA101" i="21"/>
  <c r="AA227" i="21"/>
  <c r="AA74" i="21"/>
  <c r="AA16" i="21"/>
  <c r="P1" i="19"/>
  <c r="R1" i="19" s="1"/>
  <c r="J126" i="6"/>
  <c r="J116" i="6"/>
  <c r="J112" i="6"/>
  <c r="J135" i="6"/>
  <c r="J128" i="6"/>
  <c r="J137" i="6"/>
  <c r="J124" i="6"/>
  <c r="J131" i="6"/>
  <c r="J125" i="6"/>
  <c r="J130" i="6"/>
  <c r="J121" i="6"/>
  <c r="J123" i="6"/>
  <c r="J127" i="6"/>
  <c r="J114" i="6"/>
  <c r="J132" i="6"/>
  <c r="J133" i="6"/>
  <c r="J118" i="6"/>
  <c r="J117" i="6"/>
  <c r="J115" i="6"/>
  <c r="J113" i="6"/>
  <c r="J120" i="6"/>
  <c r="J122" i="6"/>
  <c r="J111" i="6"/>
  <c r="J136" i="6"/>
  <c r="J129" i="6"/>
  <c r="J119" i="6"/>
  <c r="C7" i="50" l="1"/>
  <c r="S59" i="13"/>
  <c r="R7" i="18"/>
  <c r="AC24" i="17"/>
  <c r="W24" i="17" s="1"/>
  <c r="AC17" i="17"/>
  <c r="E9" i="42"/>
  <c r="S56" i="13"/>
  <c r="S58" i="13"/>
  <c r="S57" i="13"/>
  <c r="S55" i="13"/>
  <c r="S133" i="13"/>
  <c r="U133" i="13" s="1"/>
  <c r="S203" i="13"/>
  <c r="U203" i="13" s="1"/>
  <c r="S167" i="13"/>
  <c r="U167" i="13" s="1"/>
  <c r="S75" i="13"/>
  <c r="U75" i="13" s="1"/>
  <c r="S130" i="13"/>
  <c r="U130" i="13" s="1"/>
  <c r="S187" i="13"/>
  <c r="U187" i="13" s="1"/>
  <c r="S296" i="13"/>
  <c r="U296" i="13" s="1"/>
  <c r="S149" i="13"/>
  <c r="U149" i="13" s="1"/>
  <c r="S313" i="13"/>
  <c r="U313" i="13" s="1"/>
  <c r="S249" i="13"/>
  <c r="U249" i="13" s="1"/>
  <c r="S185" i="13"/>
  <c r="U185" i="13" s="1"/>
  <c r="S161" i="13"/>
  <c r="S48" i="13"/>
  <c r="S145" i="13"/>
  <c r="U145" i="13" s="1"/>
  <c r="S240" i="13"/>
  <c r="U240" i="13" s="1"/>
  <c r="S278" i="13"/>
  <c r="U278" i="13" s="1"/>
  <c r="S155" i="13"/>
  <c r="U155" i="13" s="1"/>
  <c r="S142" i="13"/>
  <c r="U142" i="13" s="1"/>
  <c r="S231" i="13"/>
  <c r="U231" i="13" s="1"/>
  <c r="S261" i="13"/>
  <c r="U261" i="13" s="1"/>
  <c r="S103" i="13"/>
  <c r="U103" i="13" s="1"/>
  <c r="S286" i="13"/>
  <c r="U286" i="13" s="1"/>
  <c r="S222" i="13"/>
  <c r="U222" i="13" s="1"/>
  <c r="S158" i="13"/>
  <c r="U158" i="13" s="1"/>
  <c r="S101" i="13"/>
  <c r="U101" i="13" s="1"/>
  <c r="S277" i="13"/>
  <c r="U277" i="13" s="1"/>
  <c r="S213" i="13"/>
  <c r="U213" i="13" s="1"/>
  <c r="S303" i="13"/>
  <c r="U303" i="13" s="1"/>
  <c r="S85" i="13"/>
  <c r="U85" i="13" s="1"/>
  <c r="S268" i="13"/>
  <c r="U268" i="13" s="1"/>
  <c r="S65" i="13"/>
  <c r="U65" i="13" s="1"/>
  <c r="S168" i="13"/>
  <c r="U168" i="13" s="1"/>
  <c r="S76" i="13"/>
  <c r="U76" i="13" s="1"/>
  <c r="S131" i="13"/>
  <c r="U131" i="13" s="1"/>
  <c r="S287" i="13"/>
  <c r="U287" i="13" s="1"/>
  <c r="S299" i="13"/>
  <c r="U299" i="13" s="1"/>
  <c r="S148" i="13"/>
  <c r="U148" i="13" s="1"/>
  <c r="S314" i="13"/>
  <c r="U314" i="13" s="1"/>
  <c r="S250" i="13"/>
  <c r="U250" i="13" s="1"/>
  <c r="S181" i="13"/>
  <c r="U181" i="13" s="1"/>
  <c r="S122" i="13"/>
  <c r="U122" i="13" s="1"/>
  <c r="S49" i="13"/>
  <c r="S190" i="13"/>
  <c r="U190" i="13" s="1"/>
  <c r="S241" i="13"/>
  <c r="U241" i="13" s="1"/>
  <c r="S123" i="13"/>
  <c r="U123" i="13" s="1"/>
  <c r="S197" i="13"/>
  <c r="U197" i="13" s="1"/>
  <c r="S292" i="13"/>
  <c r="U292" i="13" s="1"/>
  <c r="S232" i="13"/>
  <c r="U232" i="13" s="1"/>
  <c r="S265" i="13"/>
  <c r="U265" i="13" s="1"/>
  <c r="S104" i="13"/>
  <c r="U104" i="13" s="1"/>
  <c r="S67" i="13"/>
  <c r="U67" i="13" s="1"/>
  <c r="S223" i="13"/>
  <c r="U223" i="13" s="1"/>
  <c r="S159" i="13"/>
  <c r="U159" i="13" s="1"/>
  <c r="S152" i="13"/>
  <c r="U152" i="13" s="1"/>
  <c r="S134" i="13"/>
  <c r="U134" i="13" s="1"/>
  <c r="S214" i="13"/>
  <c r="U214" i="13" s="1"/>
  <c r="S63" i="13"/>
  <c r="U63" i="13" s="1"/>
  <c r="S99" i="13"/>
  <c r="U99" i="13" s="1"/>
  <c r="S269" i="13"/>
  <c r="U269" i="13" s="1"/>
  <c r="S127" i="13"/>
  <c r="U127" i="13" s="1"/>
  <c r="S141" i="13"/>
  <c r="U141" i="13" s="1"/>
  <c r="S94" i="13"/>
  <c r="U94" i="13" s="1"/>
  <c r="S260" i="13"/>
  <c r="U260" i="13" s="1"/>
  <c r="S307" i="13"/>
  <c r="U307" i="13" s="1"/>
  <c r="S112" i="13"/>
  <c r="U112" i="13" s="1"/>
  <c r="S68" i="13"/>
  <c r="U68" i="13" s="1"/>
  <c r="S251" i="13"/>
  <c r="U251" i="13" s="1"/>
  <c r="S178" i="13"/>
  <c r="U178" i="13" s="1"/>
  <c r="S199" i="13"/>
  <c r="U199" i="13" s="1"/>
  <c r="S38" i="13"/>
  <c r="S86" i="13"/>
  <c r="U86" i="13" s="1"/>
  <c r="S242" i="13"/>
  <c r="U242" i="13" s="1"/>
  <c r="S124" i="13"/>
  <c r="U124" i="13" s="1"/>
  <c r="S295" i="13"/>
  <c r="U295" i="13" s="1"/>
  <c r="S297" i="13"/>
  <c r="U297" i="13" s="1"/>
  <c r="S233" i="13"/>
  <c r="U233" i="13" s="1"/>
  <c r="S267" i="13"/>
  <c r="U267" i="13" s="1"/>
  <c r="S196" i="13"/>
  <c r="U196" i="13" s="1"/>
  <c r="S69" i="13"/>
  <c r="U69" i="13" s="1"/>
  <c r="S224" i="13"/>
  <c r="U224" i="13" s="1"/>
  <c r="S171" i="13"/>
  <c r="U171" i="13" s="1"/>
  <c r="S96" i="13"/>
  <c r="U96" i="13" s="1"/>
  <c r="S188" i="13"/>
  <c r="U188" i="13" s="1"/>
  <c r="S215" i="13"/>
  <c r="U215" i="13" s="1"/>
  <c r="S114" i="13"/>
  <c r="U114" i="13" s="1"/>
  <c r="S100" i="13"/>
  <c r="U100" i="13" s="1"/>
  <c r="S270" i="13"/>
  <c r="U270" i="13" s="1"/>
  <c r="S206" i="13"/>
  <c r="U206" i="13" s="1"/>
  <c r="S169" i="13"/>
  <c r="U169" i="13" s="1"/>
  <c r="S78" i="13"/>
  <c r="U78" i="13" s="1"/>
  <c r="S291" i="13"/>
  <c r="U291" i="13" s="1"/>
  <c r="S64" i="13"/>
  <c r="U64" i="13" s="1"/>
  <c r="S113" i="13"/>
  <c r="U113" i="13" s="1"/>
  <c r="S93" i="13"/>
  <c r="U93" i="13" s="1"/>
  <c r="S252" i="13"/>
  <c r="U252" i="13" s="1"/>
  <c r="S182" i="13"/>
  <c r="U182" i="13" s="1"/>
  <c r="S200" i="13"/>
  <c r="U200" i="13" s="1"/>
  <c r="S60" i="13"/>
  <c r="S87" i="13"/>
  <c r="U87" i="13" s="1"/>
  <c r="S243" i="13"/>
  <c r="U243" i="13" s="1"/>
  <c r="S179" i="13"/>
  <c r="U179" i="13" s="1"/>
  <c r="S108" i="13"/>
  <c r="U108" i="13" s="1"/>
  <c r="S298" i="13"/>
  <c r="U298" i="13" s="1"/>
  <c r="S234" i="13"/>
  <c r="U234" i="13" s="1"/>
  <c r="S304" i="13"/>
  <c r="U304" i="13" s="1"/>
  <c r="S106" i="13"/>
  <c r="U106" i="13" s="1"/>
  <c r="S289" i="13"/>
  <c r="U289" i="13" s="1"/>
  <c r="S225" i="13"/>
  <c r="U225" i="13" s="1"/>
  <c r="S173" i="13"/>
  <c r="U173" i="13" s="1"/>
  <c r="S193" i="13"/>
  <c r="U193" i="13" s="1"/>
  <c r="S66" i="13"/>
  <c r="U66" i="13" s="1"/>
  <c r="S216" i="13"/>
  <c r="U216" i="13" s="1"/>
  <c r="S115" i="13"/>
  <c r="U115" i="13" s="1"/>
  <c r="S88" i="13"/>
  <c r="U88" i="13" s="1"/>
  <c r="S271" i="13"/>
  <c r="U271" i="13" s="1"/>
  <c r="S207" i="13"/>
  <c r="U207" i="13" s="1"/>
  <c r="S253" i="13"/>
  <c r="U253" i="13" s="1"/>
  <c r="S79" i="13"/>
  <c r="U79" i="13" s="1"/>
  <c r="S262" i="13"/>
  <c r="U262" i="13" s="1"/>
  <c r="S198" i="13"/>
  <c r="U198" i="13" s="1"/>
  <c r="S164" i="13"/>
  <c r="U164" i="13" s="1"/>
  <c r="S70" i="13"/>
  <c r="U70" i="13" s="1"/>
  <c r="S128" i="13"/>
  <c r="U128" i="13" s="1"/>
  <c r="S183" i="13"/>
  <c r="U183" i="13" s="1"/>
  <c r="S125" i="13"/>
  <c r="U125" i="13" s="1"/>
  <c r="S61" i="13"/>
  <c r="U61" i="13" s="1"/>
  <c r="S308" i="13"/>
  <c r="U308" i="13" s="1"/>
  <c r="S244" i="13"/>
  <c r="U244" i="13" s="1"/>
  <c r="S180" i="13"/>
  <c r="U180" i="13" s="1"/>
  <c r="S109" i="13"/>
  <c r="U109" i="13" s="1"/>
  <c r="S54" i="13"/>
  <c r="S143" i="13"/>
  <c r="U143" i="13" s="1"/>
  <c r="S235" i="13"/>
  <c r="U235" i="13" s="1"/>
  <c r="S305" i="13"/>
  <c r="U305" i="13" s="1"/>
  <c r="S294" i="13"/>
  <c r="U294" i="13" s="1"/>
  <c r="S290" i="13"/>
  <c r="U290" i="13" s="1"/>
  <c r="S226" i="13"/>
  <c r="U226" i="13" s="1"/>
  <c r="S174" i="13"/>
  <c r="U174" i="13" s="1"/>
  <c r="S98" i="13"/>
  <c r="U98" i="13" s="1"/>
  <c r="S281" i="13"/>
  <c r="U281" i="13" s="1"/>
  <c r="S217" i="13"/>
  <c r="U217" i="13" s="1"/>
  <c r="S116" i="13"/>
  <c r="U116" i="13" s="1"/>
  <c r="S89" i="13"/>
  <c r="U89" i="13" s="1"/>
  <c r="S272" i="13"/>
  <c r="U272" i="13" s="1"/>
  <c r="S208" i="13"/>
  <c r="U208" i="13" s="1"/>
  <c r="S255" i="13"/>
  <c r="U255" i="13" s="1"/>
  <c r="S95" i="13"/>
  <c r="U95" i="13" s="1"/>
  <c r="S263" i="13"/>
  <c r="U263" i="13" s="1"/>
  <c r="S126" i="13"/>
  <c r="U126" i="13" s="1"/>
  <c r="S135" i="13"/>
  <c r="U135" i="13" s="1"/>
  <c r="S71" i="13"/>
  <c r="U71" i="13" s="1"/>
  <c r="S254" i="13"/>
  <c r="U254" i="13" s="1"/>
  <c r="S306" i="13"/>
  <c r="U306" i="13" s="1"/>
  <c r="S162" i="13"/>
  <c r="U162" i="13" s="1"/>
  <c r="S62" i="13"/>
  <c r="S309" i="13"/>
  <c r="U309" i="13" s="1"/>
  <c r="S245" i="13"/>
  <c r="U245" i="13" s="1"/>
  <c r="S279" i="13"/>
  <c r="U279" i="13" s="1"/>
  <c r="S156" i="13"/>
  <c r="U156" i="13" s="1"/>
  <c r="S45" i="13"/>
  <c r="S144" i="13"/>
  <c r="U144" i="13" s="1"/>
  <c r="S236" i="13"/>
  <c r="U236" i="13" s="1"/>
  <c r="S172" i="13"/>
  <c r="U172" i="13" s="1"/>
  <c r="S105" i="13"/>
  <c r="U105" i="13" s="1"/>
  <c r="S139" i="13"/>
  <c r="U139" i="13" s="1"/>
  <c r="S227" i="13"/>
  <c r="U227" i="13" s="1"/>
  <c r="S175" i="13"/>
  <c r="U175" i="13" s="1"/>
  <c r="S194" i="13"/>
  <c r="U194" i="13" s="1"/>
  <c r="S282" i="13"/>
  <c r="U282" i="13" s="1"/>
  <c r="S218" i="13"/>
  <c r="U218" i="13" s="1"/>
  <c r="S154" i="13"/>
  <c r="U154" i="13" s="1"/>
  <c r="S90" i="13"/>
  <c r="U90" i="13" s="1"/>
  <c r="S273" i="13"/>
  <c r="U273" i="13" s="1"/>
  <c r="S209" i="13"/>
  <c r="U209" i="13" s="1"/>
  <c r="S258" i="13"/>
  <c r="U258" i="13" s="1"/>
  <c r="S81" i="13"/>
  <c r="U81" i="13" s="1"/>
  <c r="S264" i="13"/>
  <c r="U264" i="13" s="1"/>
  <c r="S288" i="13"/>
  <c r="U288" i="13" s="1"/>
  <c r="S136" i="13"/>
  <c r="U136" i="13" s="1"/>
  <c r="S72" i="13"/>
  <c r="U72" i="13" s="1"/>
  <c r="S129" i="13"/>
  <c r="U129" i="13" s="1"/>
  <c r="S184" i="13"/>
  <c r="U184" i="13" s="1"/>
  <c r="S163" i="13"/>
  <c r="U163" i="13" s="1"/>
  <c r="S146" i="13"/>
  <c r="U146" i="13" s="1"/>
  <c r="S310" i="13"/>
  <c r="U310" i="13" s="1"/>
  <c r="S246" i="13"/>
  <c r="U246" i="13" s="1"/>
  <c r="S280" i="13"/>
  <c r="U280" i="13" s="1"/>
  <c r="S157" i="13"/>
  <c r="U157" i="13" s="1"/>
  <c r="S37" i="13"/>
  <c r="S301" i="13"/>
  <c r="U301" i="13" s="1"/>
  <c r="S237" i="13"/>
  <c r="U237" i="13" s="1"/>
  <c r="S120" i="13"/>
  <c r="U120" i="13" s="1"/>
  <c r="S107" i="13"/>
  <c r="U107" i="13" s="1"/>
  <c r="S77" i="13"/>
  <c r="U77" i="13" s="1"/>
  <c r="S228" i="13"/>
  <c r="U228" i="13" s="1"/>
  <c r="S176" i="13"/>
  <c r="U176" i="13" s="1"/>
  <c r="S293" i="13"/>
  <c r="U293" i="13" s="1"/>
  <c r="S283" i="13"/>
  <c r="U283" i="13" s="1"/>
  <c r="S219" i="13"/>
  <c r="U219" i="13" s="1"/>
  <c r="S117" i="13"/>
  <c r="U117" i="13" s="1"/>
  <c r="S91" i="13"/>
  <c r="U91" i="13" s="1"/>
  <c r="S274" i="13"/>
  <c r="U274" i="13" s="1"/>
  <c r="S210" i="13"/>
  <c r="U210" i="13" s="1"/>
  <c r="S205" i="13"/>
  <c r="U205" i="13" s="1"/>
  <c r="S82" i="13"/>
  <c r="U82" i="13" s="1"/>
  <c r="S132" i="13"/>
  <c r="U132" i="13" s="1"/>
  <c r="S201" i="13"/>
  <c r="U201" i="13" s="1"/>
  <c r="S137" i="13"/>
  <c r="U137" i="13" s="1"/>
  <c r="S73" i="13"/>
  <c r="U73" i="13" s="1"/>
  <c r="S256" i="13"/>
  <c r="U256" i="13" s="1"/>
  <c r="S192" i="13"/>
  <c r="U192" i="13" s="1"/>
  <c r="S111" i="13"/>
  <c r="U111" i="13" s="1"/>
  <c r="S92" i="13"/>
  <c r="U92" i="13" s="1"/>
  <c r="S311" i="13"/>
  <c r="U311" i="13" s="1"/>
  <c r="S247" i="13"/>
  <c r="U247" i="13" s="1"/>
  <c r="S284" i="13"/>
  <c r="U284" i="13" s="1"/>
  <c r="S119" i="13"/>
  <c r="U119" i="13" s="1"/>
  <c r="S46" i="13"/>
  <c r="S302" i="13"/>
  <c r="U302" i="13" s="1"/>
  <c r="S238" i="13"/>
  <c r="U238" i="13" s="1"/>
  <c r="S121" i="13"/>
  <c r="U121" i="13" s="1"/>
  <c r="S110" i="13"/>
  <c r="U110" i="13" s="1"/>
  <c r="S80" i="13"/>
  <c r="U80" i="13" s="1"/>
  <c r="S229" i="13"/>
  <c r="U229" i="13" s="1"/>
  <c r="S165" i="13"/>
  <c r="U165" i="13" s="1"/>
  <c r="S195" i="13"/>
  <c r="U195" i="13" s="1"/>
  <c r="S189" i="13"/>
  <c r="U189" i="13" s="1"/>
  <c r="S220" i="13"/>
  <c r="U220" i="13" s="1"/>
  <c r="S118" i="13"/>
  <c r="U118" i="13" s="1"/>
  <c r="S150" i="13"/>
  <c r="U150" i="13" s="1"/>
  <c r="S275" i="13"/>
  <c r="U275" i="13" s="1"/>
  <c r="S211" i="13"/>
  <c r="U211" i="13" s="1"/>
  <c r="S147" i="13"/>
  <c r="U147" i="13" s="1"/>
  <c r="S97" i="13"/>
  <c r="U97" i="13" s="1"/>
  <c r="S266" i="13"/>
  <c r="U266" i="13" s="1"/>
  <c r="S202" i="13"/>
  <c r="U202" i="13" s="1"/>
  <c r="S166" i="13"/>
  <c r="U166" i="13" s="1"/>
  <c r="S74" i="13"/>
  <c r="U74" i="13" s="1"/>
  <c r="S257" i="13"/>
  <c r="U257" i="13" s="1"/>
  <c r="S186" i="13"/>
  <c r="U186" i="13" s="1"/>
  <c r="S204" i="13"/>
  <c r="U204" i="13" s="1"/>
  <c r="S191" i="13"/>
  <c r="U191" i="13" s="1"/>
  <c r="S312" i="13"/>
  <c r="U312" i="13" s="1"/>
  <c r="S248" i="13"/>
  <c r="U248" i="13" s="1"/>
  <c r="S285" i="13"/>
  <c r="U285" i="13" s="1"/>
  <c r="S160" i="13"/>
  <c r="U160" i="13" s="1"/>
  <c r="S47" i="13"/>
  <c r="S83" i="13"/>
  <c r="U83" i="13" s="1"/>
  <c r="S239" i="13"/>
  <c r="U239" i="13" s="1"/>
  <c r="S177" i="13"/>
  <c r="U177" i="13" s="1"/>
  <c r="S153" i="13"/>
  <c r="U153" i="13" s="1"/>
  <c r="S140" i="13"/>
  <c r="U140" i="13" s="1"/>
  <c r="S230" i="13"/>
  <c r="U230" i="13" s="1"/>
  <c r="S259" i="13"/>
  <c r="U259" i="13" s="1"/>
  <c r="S102" i="13"/>
  <c r="U102" i="13" s="1"/>
  <c r="S138" i="13"/>
  <c r="U138" i="13" s="1"/>
  <c r="S221" i="13"/>
  <c r="U221" i="13" s="1"/>
  <c r="S170" i="13"/>
  <c r="U170" i="13" s="1"/>
  <c r="S151" i="13"/>
  <c r="U151" i="13" s="1"/>
  <c r="S276" i="13"/>
  <c r="U276" i="13" s="1"/>
  <c r="S212" i="13"/>
  <c r="U212" i="13" s="1"/>
  <c r="S300" i="13"/>
  <c r="U300" i="13" s="1"/>
  <c r="AC20" i="17"/>
  <c r="J10" i="40" s="1"/>
  <c r="H10" i="40"/>
  <c r="E11" i="42"/>
  <c r="S52" i="18"/>
  <c r="T52" i="18" s="1"/>
  <c r="S84" i="18"/>
  <c r="T84" i="18" s="1"/>
  <c r="S155" i="18"/>
  <c r="T155" i="18" s="1"/>
  <c r="S195" i="18"/>
  <c r="T195" i="18" s="1"/>
  <c r="S245" i="18"/>
  <c r="T245" i="18" s="1"/>
  <c r="S280" i="18"/>
  <c r="T280" i="18" s="1"/>
  <c r="S67" i="18"/>
  <c r="T67" i="18" s="1"/>
  <c r="S55" i="18"/>
  <c r="T55" i="18" s="1"/>
  <c r="S181" i="18"/>
  <c r="T181" i="18" s="1"/>
  <c r="S232" i="18"/>
  <c r="T232" i="18" s="1"/>
  <c r="S295" i="18"/>
  <c r="T295" i="18" s="1"/>
  <c r="S35" i="18"/>
  <c r="T35" i="18" s="1"/>
  <c r="S69" i="18"/>
  <c r="T69" i="18" s="1"/>
  <c r="S143" i="18"/>
  <c r="T143" i="18" s="1"/>
  <c r="S190" i="18"/>
  <c r="T190" i="18" s="1"/>
  <c r="S243" i="18"/>
  <c r="T243" i="18" s="1"/>
  <c r="S24" i="18"/>
  <c r="T24" i="18" s="1"/>
  <c r="S62" i="18"/>
  <c r="T62" i="18" s="1"/>
  <c r="S86" i="18"/>
  <c r="T86" i="18" s="1"/>
  <c r="S151" i="18"/>
  <c r="T151" i="18" s="1"/>
  <c r="S178" i="18"/>
  <c r="T178" i="18" s="1"/>
  <c r="S237" i="18"/>
  <c r="T237" i="18" s="1"/>
  <c r="S289" i="18"/>
  <c r="T289" i="18" s="1"/>
  <c r="S60" i="18"/>
  <c r="T60" i="18" s="1"/>
  <c r="S112" i="18"/>
  <c r="T112" i="18" s="1"/>
  <c r="S149" i="18"/>
  <c r="T149" i="18" s="1"/>
  <c r="S182" i="18"/>
  <c r="T182" i="18" s="1"/>
  <c r="S211" i="18"/>
  <c r="T211" i="18" s="1"/>
  <c r="S229" i="18"/>
  <c r="T229" i="18" s="1"/>
  <c r="S281" i="18"/>
  <c r="T281" i="18" s="1"/>
  <c r="S306" i="18"/>
  <c r="T306" i="18" s="1"/>
  <c r="S97" i="18"/>
  <c r="T97" i="18" s="1"/>
  <c r="S113" i="18"/>
  <c r="T113" i="18" s="1"/>
  <c r="S163" i="18"/>
  <c r="T163" i="18" s="1"/>
  <c r="S196" i="18"/>
  <c r="T196" i="18" s="1"/>
  <c r="S20" i="18"/>
  <c r="T20" i="18" s="1"/>
  <c r="S37" i="18"/>
  <c r="T37" i="18" s="1"/>
  <c r="S75" i="18"/>
  <c r="T75" i="18" s="1"/>
  <c r="S90" i="18"/>
  <c r="T90" i="18" s="1"/>
  <c r="S104" i="18"/>
  <c r="T104" i="18" s="1"/>
  <c r="S118" i="18"/>
  <c r="T118" i="18" s="1"/>
  <c r="S140" i="18"/>
  <c r="T140" i="18" s="1"/>
  <c r="S209" i="18"/>
  <c r="T209" i="18" s="1"/>
  <c r="S219" i="18"/>
  <c r="T219" i="18" s="1"/>
  <c r="S223" i="18"/>
  <c r="T223" i="18" s="1"/>
  <c r="S251" i="18"/>
  <c r="T251" i="18" s="1"/>
  <c r="S277" i="18"/>
  <c r="T277" i="18" s="1"/>
  <c r="S10" i="18"/>
  <c r="T10" i="18" s="1"/>
  <c r="S28" i="18"/>
  <c r="T28" i="18" s="1"/>
  <c r="S44" i="18"/>
  <c r="T44" i="18" s="1"/>
  <c r="S59" i="18"/>
  <c r="T59" i="18" s="1"/>
  <c r="S80" i="18"/>
  <c r="T80" i="18" s="1"/>
  <c r="S96" i="18"/>
  <c r="T96" i="18" s="1"/>
  <c r="S107" i="18"/>
  <c r="T107" i="18" s="1"/>
  <c r="S120" i="18"/>
  <c r="T120" i="18" s="1"/>
  <c r="S132" i="18"/>
  <c r="T132" i="18" s="1"/>
  <c r="S141" i="18"/>
  <c r="T141" i="18" s="1"/>
  <c r="S157" i="18"/>
  <c r="T157" i="18" s="1"/>
  <c r="S177" i="18"/>
  <c r="T177" i="18" s="1"/>
  <c r="S200" i="18"/>
  <c r="T200" i="18" s="1"/>
  <c r="S43" i="18"/>
  <c r="T43" i="18" s="1"/>
  <c r="S79" i="18"/>
  <c r="T79" i="18" s="1"/>
  <c r="S179" i="18"/>
  <c r="T179" i="18" s="1"/>
  <c r="S224" i="18"/>
  <c r="T224" i="18" s="1"/>
  <c r="S275" i="18"/>
  <c r="T275" i="18" s="1"/>
  <c r="S68" i="18"/>
  <c r="T68" i="18" s="1"/>
  <c r="S154" i="18"/>
  <c r="T154" i="18" s="1"/>
  <c r="S56" i="18"/>
  <c r="T56" i="18" s="1"/>
  <c r="S14" i="18"/>
  <c r="T14" i="18" s="1"/>
  <c r="S57" i="18"/>
  <c r="T57" i="18" s="1"/>
  <c r="S121" i="18"/>
  <c r="T121" i="18" s="1"/>
  <c r="S192" i="18"/>
  <c r="T192" i="18" s="1"/>
  <c r="S42" i="18"/>
  <c r="T42" i="18" s="1"/>
  <c r="S87" i="18"/>
  <c r="T87" i="18" s="1"/>
  <c r="S170" i="18"/>
  <c r="T170" i="18" s="1"/>
  <c r="S235" i="18"/>
  <c r="T235" i="18" s="1"/>
  <c r="S11" i="18"/>
  <c r="T11" i="18" s="1"/>
  <c r="S82" i="18"/>
  <c r="T82" i="18" s="1"/>
  <c r="S135" i="18"/>
  <c r="T135" i="18" s="1"/>
  <c r="S187" i="18"/>
  <c r="T187" i="18" s="1"/>
  <c r="S215" i="18"/>
  <c r="T215" i="18" s="1"/>
  <c r="S276" i="18"/>
  <c r="T276" i="18" s="1"/>
  <c r="S48" i="18"/>
  <c r="T48" i="18" s="1"/>
  <c r="S99" i="18"/>
  <c r="T99" i="18" s="1"/>
  <c r="S145" i="18"/>
  <c r="T145" i="18" s="1"/>
  <c r="S205" i="18"/>
  <c r="T205" i="18" s="1"/>
  <c r="S27" i="18"/>
  <c r="T27" i="18" s="1"/>
  <c r="S73" i="18"/>
  <c r="T73" i="18" s="1"/>
  <c r="S91" i="18"/>
  <c r="T91" i="18" s="1"/>
  <c r="S109" i="18"/>
  <c r="T109" i="18" s="1"/>
  <c r="S139" i="18"/>
  <c r="T139" i="18" s="1"/>
  <c r="S216" i="18"/>
  <c r="T216" i="18" s="1"/>
  <c r="S221" i="18"/>
  <c r="T221" i="18" s="1"/>
  <c r="S247" i="18"/>
  <c r="T247" i="18" s="1"/>
  <c r="S278" i="18"/>
  <c r="T278" i="18" s="1"/>
  <c r="S21" i="18"/>
  <c r="T21" i="18" s="1"/>
  <c r="S36" i="18"/>
  <c r="T36" i="18" s="1"/>
  <c r="S70" i="18"/>
  <c r="T70" i="18" s="1"/>
  <c r="S92" i="18"/>
  <c r="T92" i="18" s="1"/>
  <c r="S106" i="18"/>
  <c r="T106" i="18" s="1"/>
  <c r="S122" i="18"/>
  <c r="T122" i="18" s="1"/>
  <c r="S136" i="18"/>
  <c r="T136" i="18" s="1"/>
  <c r="S156" i="18"/>
  <c r="T156" i="18" s="1"/>
  <c r="S194" i="18"/>
  <c r="T194" i="18" s="1"/>
  <c r="S202" i="18"/>
  <c r="T202" i="18" s="1"/>
  <c r="S252" i="18"/>
  <c r="T252" i="18" s="1"/>
  <c r="S272" i="18"/>
  <c r="T272" i="18" s="1"/>
  <c r="S314" i="18"/>
  <c r="T314" i="18" s="1"/>
  <c r="S225" i="18"/>
  <c r="T225" i="18" s="1"/>
  <c r="S256" i="18"/>
  <c r="T256" i="18" s="1"/>
  <c r="S266" i="18"/>
  <c r="T266" i="18" s="1"/>
  <c r="S283" i="18"/>
  <c r="T283" i="18" s="1"/>
  <c r="S298" i="18"/>
  <c r="T298" i="18" s="1"/>
  <c r="S311" i="18"/>
  <c r="T311" i="18" s="1"/>
  <c r="S16" i="18"/>
  <c r="T16" i="18" s="1"/>
  <c r="S29" i="18"/>
  <c r="T29" i="18" s="1"/>
  <c r="S123" i="18"/>
  <c r="T123" i="18" s="1"/>
  <c r="S162" i="18"/>
  <c r="T162" i="18" s="1"/>
  <c r="S176" i="18"/>
  <c r="T176" i="18" s="1"/>
  <c r="S239" i="18"/>
  <c r="T239" i="18" s="1"/>
  <c r="S294" i="18"/>
  <c r="T294" i="18" s="1"/>
  <c r="S307" i="18"/>
  <c r="T307" i="18" s="1"/>
  <c r="S51" i="18"/>
  <c r="T51" i="18" s="1"/>
  <c r="S127" i="18"/>
  <c r="T127" i="18" s="1"/>
  <c r="S228" i="18"/>
  <c r="T228" i="18" s="1"/>
  <c r="S284" i="18"/>
  <c r="T284" i="18" s="1"/>
  <c r="S39" i="18"/>
  <c r="T39" i="18" s="1"/>
  <c r="S153" i="18"/>
  <c r="T153" i="18" s="1"/>
  <c r="S274" i="18"/>
  <c r="T274" i="18" s="1"/>
  <c r="S61" i="18"/>
  <c r="T61" i="18" s="1"/>
  <c r="S183" i="18"/>
  <c r="T183" i="18" s="1"/>
  <c r="S302" i="18"/>
  <c r="T302" i="18" s="1"/>
  <c r="S148" i="18"/>
  <c r="T148" i="18" s="1"/>
  <c r="S246" i="18"/>
  <c r="T246" i="18" s="1"/>
  <c r="S32" i="18"/>
  <c r="T32" i="18" s="1"/>
  <c r="S93" i="18"/>
  <c r="T93" i="18" s="1"/>
  <c r="S226" i="18"/>
  <c r="T226" i="18" s="1"/>
  <c r="S33" i="18"/>
  <c r="T33" i="18" s="1"/>
  <c r="S85" i="18"/>
  <c r="T85" i="18" s="1"/>
  <c r="S173" i="18"/>
  <c r="T173" i="18" s="1"/>
  <c r="S255" i="18"/>
  <c r="T255" i="18" s="1"/>
  <c r="S65" i="18"/>
  <c r="T65" i="18" s="1"/>
  <c r="S152" i="18"/>
  <c r="T152" i="18" s="1"/>
  <c r="S208" i="18"/>
  <c r="T208" i="18" s="1"/>
  <c r="S250" i="18"/>
  <c r="T250" i="18" s="1"/>
  <c r="S49" i="18"/>
  <c r="T49" i="18" s="1"/>
  <c r="S119" i="18"/>
  <c r="T119" i="18" s="1"/>
  <c r="S186" i="18"/>
  <c r="T186" i="18" s="1"/>
  <c r="S30" i="18"/>
  <c r="T30" i="18" s="1"/>
  <c r="S88" i="18"/>
  <c r="T88" i="18" s="1"/>
  <c r="S105" i="18"/>
  <c r="T105" i="18" s="1"/>
  <c r="S184" i="18"/>
  <c r="T184" i="18" s="1"/>
  <c r="S218" i="18"/>
  <c r="T218" i="18" s="1"/>
  <c r="S244" i="18"/>
  <c r="T244" i="18" s="1"/>
  <c r="S8" i="18"/>
  <c r="T8" i="18" s="1"/>
  <c r="S31" i="18"/>
  <c r="T31" i="18" s="1"/>
  <c r="S58" i="18"/>
  <c r="T58" i="18" s="1"/>
  <c r="S94" i="18"/>
  <c r="T94" i="18" s="1"/>
  <c r="S110" i="18"/>
  <c r="T110" i="18" s="1"/>
  <c r="S133" i="18"/>
  <c r="T133" i="18" s="1"/>
  <c r="S158" i="18"/>
  <c r="T158" i="18" s="1"/>
  <c r="S199" i="18"/>
  <c r="T199" i="18" s="1"/>
  <c r="S249" i="18"/>
  <c r="T249" i="18" s="1"/>
  <c r="S299" i="18"/>
  <c r="T299" i="18" s="1"/>
  <c r="S206" i="18"/>
  <c r="T206" i="18" s="1"/>
  <c r="S253" i="18"/>
  <c r="T253" i="18" s="1"/>
  <c r="S268" i="18"/>
  <c r="T268" i="18" s="1"/>
  <c r="S292" i="18"/>
  <c r="T292" i="18" s="1"/>
  <c r="S310" i="18"/>
  <c r="T310" i="18" s="1"/>
  <c r="S18" i="18"/>
  <c r="T18" i="18" s="1"/>
  <c r="S45" i="18"/>
  <c r="T45" i="18" s="1"/>
  <c r="S144" i="18"/>
  <c r="T144" i="18" s="1"/>
  <c r="S201" i="18"/>
  <c r="T201" i="18" s="1"/>
  <c r="S290" i="18"/>
  <c r="T290" i="18" s="1"/>
  <c r="S305" i="18"/>
  <c r="T305" i="18" s="1"/>
  <c r="S77" i="18"/>
  <c r="T77" i="18" s="1"/>
  <c r="S214" i="18"/>
  <c r="T214" i="18" s="1"/>
  <c r="S309" i="18"/>
  <c r="T309" i="18" s="1"/>
  <c r="S261" i="18"/>
  <c r="T261" i="18" s="1"/>
  <c r="S47" i="18"/>
  <c r="T47" i="18" s="1"/>
  <c r="S166" i="18"/>
  <c r="T166" i="18" s="1"/>
  <c r="S231" i="18"/>
  <c r="T231" i="18" s="1"/>
  <c r="S41" i="18"/>
  <c r="T41" i="18" s="1"/>
  <c r="S124" i="18"/>
  <c r="T124" i="18" s="1"/>
  <c r="S191" i="18"/>
  <c r="T191" i="18" s="1"/>
  <c r="S264" i="18"/>
  <c r="T264" i="18" s="1"/>
  <c r="S95" i="18"/>
  <c r="T95" i="18" s="1"/>
  <c r="S160" i="18"/>
  <c r="T160" i="18" s="1"/>
  <c r="S212" i="18"/>
  <c r="T212" i="18" s="1"/>
  <c r="S285" i="18"/>
  <c r="T285" i="18" s="1"/>
  <c r="S78" i="18"/>
  <c r="T78" i="18" s="1"/>
  <c r="S138" i="18"/>
  <c r="T138" i="18" s="1"/>
  <c r="S12" i="18"/>
  <c r="T12" i="18" s="1"/>
  <c r="S40" i="18"/>
  <c r="T40" i="18" s="1"/>
  <c r="S89" i="18"/>
  <c r="T89" i="18" s="1"/>
  <c r="S114" i="18"/>
  <c r="T114" i="18" s="1"/>
  <c r="S185" i="18"/>
  <c r="T185" i="18" s="1"/>
  <c r="S220" i="18"/>
  <c r="T220" i="18" s="1"/>
  <c r="S258" i="18"/>
  <c r="T258" i="18" s="1"/>
  <c r="S9" i="18"/>
  <c r="T9" i="18" s="1"/>
  <c r="S34" i="18"/>
  <c r="T34" i="18" s="1"/>
  <c r="S74" i="18"/>
  <c r="T74" i="18" s="1"/>
  <c r="S100" i="18"/>
  <c r="T100" i="18" s="1"/>
  <c r="S117" i="18"/>
  <c r="T117" i="18" s="1"/>
  <c r="S137" i="18"/>
  <c r="T137" i="18" s="1"/>
  <c r="S159" i="18"/>
  <c r="T159" i="18" s="1"/>
  <c r="S197" i="18"/>
  <c r="T197" i="18" s="1"/>
  <c r="S257" i="18"/>
  <c r="T257" i="18" s="1"/>
  <c r="S300" i="18"/>
  <c r="T300" i="18" s="1"/>
  <c r="S213" i="18"/>
  <c r="T213" i="18" s="1"/>
  <c r="S262" i="18"/>
  <c r="T262" i="18" s="1"/>
  <c r="S279" i="18"/>
  <c r="T279" i="18" s="1"/>
  <c r="S297" i="18"/>
  <c r="T297" i="18" s="1"/>
  <c r="S312" i="18"/>
  <c r="T312" i="18" s="1"/>
  <c r="S25" i="18"/>
  <c r="T25" i="18" s="1"/>
  <c r="S115" i="18"/>
  <c r="T115" i="18" s="1"/>
  <c r="S171" i="18"/>
  <c r="T171" i="18" s="1"/>
  <c r="S210" i="18"/>
  <c r="T210" i="18" s="1"/>
  <c r="S293" i="18"/>
  <c r="T293" i="18" s="1"/>
  <c r="S146" i="18"/>
  <c r="T146" i="18" s="1"/>
  <c r="S189" i="18"/>
  <c r="T189" i="18" s="1"/>
  <c r="S66" i="18"/>
  <c r="T66" i="18" s="1"/>
  <c r="S267" i="18"/>
  <c r="T267" i="18" s="1"/>
  <c r="S150" i="18"/>
  <c r="T150" i="18" s="1"/>
  <c r="S46" i="18"/>
  <c r="T46" i="18" s="1"/>
  <c r="S168" i="18"/>
  <c r="T168" i="18" s="1"/>
  <c r="S286" i="18"/>
  <c r="T286" i="18" s="1"/>
  <c r="S165" i="18"/>
  <c r="T165" i="18" s="1"/>
  <c r="S64" i="18"/>
  <c r="T64" i="18" s="1"/>
  <c r="S128" i="18"/>
  <c r="T128" i="18" s="1"/>
  <c r="S222" i="18"/>
  <c r="T222" i="18" s="1"/>
  <c r="S19" i="18"/>
  <c r="T19" i="18" s="1"/>
  <c r="S76" i="18"/>
  <c r="T76" i="18" s="1"/>
  <c r="S125" i="18"/>
  <c r="T125" i="18" s="1"/>
  <c r="S164" i="18"/>
  <c r="T164" i="18" s="1"/>
  <c r="S259" i="18"/>
  <c r="T259" i="18" s="1"/>
  <c r="S242" i="18"/>
  <c r="T242" i="18" s="1"/>
  <c r="S282" i="18"/>
  <c r="T282" i="18" s="1"/>
  <c r="S313" i="18"/>
  <c r="T313" i="18" s="1"/>
  <c r="S130" i="18"/>
  <c r="T130" i="18" s="1"/>
  <c r="S238" i="18"/>
  <c r="T238" i="18" s="1"/>
  <c r="S17" i="18"/>
  <c r="T17" i="18" s="1"/>
  <c r="S71" i="18"/>
  <c r="T71" i="18" s="1"/>
  <c r="S134" i="18"/>
  <c r="T134" i="18" s="1"/>
  <c r="S23" i="18"/>
  <c r="T23" i="18" s="1"/>
  <c r="S103" i="18"/>
  <c r="T103" i="18" s="1"/>
  <c r="S54" i="18"/>
  <c r="T54" i="18" s="1"/>
  <c r="S241" i="18"/>
  <c r="T241" i="18" s="1"/>
  <c r="S265" i="18"/>
  <c r="T265" i="18" s="1"/>
  <c r="S260" i="18"/>
  <c r="T260" i="18" s="1"/>
  <c r="S230" i="18"/>
  <c r="T230" i="18" s="1"/>
  <c r="S72" i="18"/>
  <c r="T72" i="18" s="1"/>
  <c r="S288" i="18"/>
  <c r="T288" i="18" s="1"/>
  <c r="S161" i="18"/>
  <c r="T161" i="18" s="1"/>
  <c r="S50" i="18"/>
  <c r="T50" i="18" s="1"/>
  <c r="S188" i="18"/>
  <c r="T188" i="18" s="1"/>
  <c r="S287" i="18"/>
  <c r="T287" i="18" s="1"/>
  <c r="S180" i="18"/>
  <c r="T180" i="18" s="1"/>
  <c r="S83" i="18"/>
  <c r="T83" i="18" s="1"/>
  <c r="S129" i="18"/>
  <c r="T129" i="18" s="1"/>
  <c r="S233" i="18"/>
  <c r="T233" i="18" s="1"/>
  <c r="S22" i="18"/>
  <c r="T22" i="18" s="1"/>
  <c r="S81" i="18"/>
  <c r="T81" i="18" s="1"/>
  <c r="S126" i="18"/>
  <c r="T126" i="18" s="1"/>
  <c r="S198" i="18"/>
  <c r="T198" i="18" s="1"/>
  <c r="S271" i="18"/>
  <c r="T271" i="18" s="1"/>
  <c r="S248" i="18"/>
  <c r="T248" i="18" s="1"/>
  <c r="S291" i="18"/>
  <c r="T291" i="18" s="1"/>
  <c r="S15" i="18"/>
  <c r="T15" i="18" s="1"/>
  <c r="S131" i="18"/>
  <c r="T131" i="18" s="1"/>
  <c r="S240" i="18"/>
  <c r="T240" i="18" s="1"/>
  <c r="S193" i="18"/>
  <c r="T193" i="18" s="1"/>
  <c r="S254" i="18"/>
  <c r="T254" i="18" s="1"/>
  <c r="S111" i="18"/>
  <c r="T111" i="18" s="1"/>
  <c r="S217" i="18"/>
  <c r="T217" i="18" s="1"/>
  <c r="S108" i="18"/>
  <c r="T108" i="18" s="1"/>
  <c r="S203" i="18"/>
  <c r="T203" i="18" s="1"/>
  <c r="S38" i="18"/>
  <c r="T38" i="18" s="1"/>
  <c r="S304" i="18"/>
  <c r="T304" i="18" s="1"/>
  <c r="S174" i="18"/>
  <c r="T174" i="18" s="1"/>
  <c r="S273" i="18"/>
  <c r="T273" i="18" s="1"/>
  <c r="S167" i="18"/>
  <c r="T167" i="18" s="1"/>
  <c r="S63" i="18"/>
  <c r="T63" i="18" s="1"/>
  <c r="S204" i="18"/>
  <c r="T204" i="18" s="1"/>
  <c r="S116" i="18"/>
  <c r="T116" i="18" s="1"/>
  <c r="S227" i="18"/>
  <c r="T227" i="18" s="1"/>
  <c r="S98" i="18"/>
  <c r="T98" i="18" s="1"/>
  <c r="S13" i="18"/>
  <c r="T13" i="18" s="1"/>
  <c r="S102" i="18"/>
  <c r="T102" i="18" s="1"/>
  <c r="S207" i="18"/>
  <c r="T207" i="18" s="1"/>
  <c r="S269" i="18"/>
  <c r="T269" i="18" s="1"/>
  <c r="S53" i="18"/>
  <c r="T53" i="18" s="1"/>
  <c r="S101" i="18"/>
  <c r="T101" i="18" s="1"/>
  <c r="S142" i="18"/>
  <c r="T142" i="18" s="1"/>
  <c r="S234" i="18"/>
  <c r="T234" i="18" s="1"/>
  <c r="S308" i="18"/>
  <c r="T308" i="18" s="1"/>
  <c r="S263" i="18"/>
  <c r="T263" i="18" s="1"/>
  <c r="S301" i="18"/>
  <c r="T301" i="18" s="1"/>
  <c r="S26" i="18"/>
  <c r="T26" i="18" s="1"/>
  <c r="S172" i="18"/>
  <c r="T172" i="18" s="1"/>
  <c r="S296" i="18"/>
  <c r="T296" i="18" s="1"/>
  <c r="S169" i="18"/>
  <c r="T169" i="18" s="1"/>
  <c r="S236" i="18"/>
  <c r="T236" i="18" s="1"/>
  <c r="S270" i="18"/>
  <c r="T270" i="18" s="1"/>
  <c r="S147" i="18"/>
  <c r="T147" i="18" s="1"/>
  <c r="S303" i="18"/>
  <c r="T303" i="18" s="1"/>
  <c r="S175" i="18"/>
  <c r="T175" i="18" s="1"/>
  <c r="E10" i="42"/>
  <c r="E16" i="42" s="1"/>
  <c r="E12" i="42"/>
  <c r="E18" i="42" s="1"/>
  <c r="J14" i="42"/>
  <c r="S6" i="18"/>
  <c r="S4" i="18"/>
  <c r="S5" i="18"/>
  <c r="S7" i="18"/>
  <c r="D12" i="42"/>
  <c r="AB1" i="21"/>
  <c r="AC31" i="21"/>
  <c r="R54" i="13"/>
  <c r="L49" i="39" s="1"/>
  <c r="AC25" i="17"/>
  <c r="AC26" i="17"/>
  <c r="W26" i="17" s="1"/>
  <c r="AC11" i="17"/>
  <c r="AC14" i="17"/>
  <c r="AC12" i="17"/>
  <c r="AC9" i="17"/>
  <c r="AC28" i="17"/>
  <c r="AC50" i="17"/>
  <c r="AC44" i="17"/>
  <c r="AC51" i="17"/>
  <c r="W51" i="17" s="1"/>
  <c r="AC19" i="17"/>
  <c r="AC45" i="17"/>
  <c r="AC65" i="17"/>
  <c r="AC32" i="17"/>
  <c r="AC42" i="17"/>
  <c r="W42" i="17" s="1"/>
  <c r="AC49" i="17"/>
  <c r="W49" i="17" s="1"/>
  <c r="AC66" i="17"/>
  <c r="AC40" i="17"/>
  <c r="AC48" i="17"/>
  <c r="W48" i="17" s="1"/>
  <c r="AA7" i="21"/>
  <c r="AA145" i="21"/>
  <c r="R181" i="5"/>
  <c r="AA97" i="21"/>
  <c r="R180" i="5"/>
  <c r="R77" i="5"/>
  <c r="AA12" i="21"/>
  <c r="R75" i="5"/>
  <c r="AA11" i="21"/>
  <c r="R182" i="5"/>
  <c r="AA5" i="21"/>
  <c r="R78" i="5"/>
  <c r="AA166" i="21"/>
  <c r="R76" i="5"/>
  <c r="AA151" i="21"/>
  <c r="J134" i="6"/>
  <c r="C9" i="7"/>
  <c r="F176" i="21" s="1"/>
  <c r="C126" i="7"/>
  <c r="F224" i="21" s="1"/>
  <c r="C219" i="7"/>
  <c r="F128" i="21" s="1"/>
  <c r="C12" i="7"/>
  <c r="F7" i="21" s="1"/>
  <c r="C13" i="7"/>
  <c r="F177" i="21" s="1"/>
  <c r="C15" i="7"/>
  <c r="F153" i="21" s="1"/>
  <c r="C23" i="7"/>
  <c r="F182" i="21" s="1"/>
  <c r="C24" i="7"/>
  <c r="F72" i="21" s="1"/>
  <c r="C27" i="7"/>
  <c r="F73" i="21" s="1"/>
  <c r="C30" i="7"/>
  <c r="F185" i="21" s="1"/>
  <c r="C31" i="7"/>
  <c r="F186" i="21" s="1"/>
  <c r="C34" i="7"/>
  <c r="F13" i="21" s="1"/>
  <c r="C38" i="7"/>
  <c r="F190" i="21" s="1"/>
  <c r="C40" i="7"/>
  <c r="F32" i="21" s="1"/>
  <c r="C41" i="7"/>
  <c r="F137" i="21" s="1"/>
  <c r="C46" i="7"/>
  <c r="F192" i="21" s="1"/>
  <c r="C49" i="7"/>
  <c r="F34" i="21" s="1"/>
  <c r="C54" i="7"/>
  <c r="F68" i="21" s="1"/>
  <c r="C55" i="7"/>
  <c r="C57" i="7"/>
  <c r="C58" i="7"/>
  <c r="F138" i="21" s="1"/>
  <c r="C59" i="7"/>
  <c r="F194" i="21" s="1"/>
  <c r="C62" i="7"/>
  <c r="F156" i="21" s="1"/>
  <c r="C67" i="7"/>
  <c r="F78" i="21" s="1"/>
  <c r="C68" i="7"/>
  <c r="F199" i="21" s="1"/>
  <c r="C69" i="7"/>
  <c r="F79" i="21" s="1"/>
  <c r="C70" i="7"/>
  <c r="F200" i="21" s="1"/>
  <c r="C71" i="7"/>
  <c r="F201" i="21" s="1"/>
  <c r="C73" i="7"/>
  <c r="F157" i="21" s="1"/>
  <c r="C74" i="7"/>
  <c r="F80" i="21" s="1"/>
  <c r="C81" i="7"/>
  <c r="F206" i="21" s="1"/>
  <c r="C84" i="7"/>
  <c r="F147" i="21" s="1"/>
  <c r="C86" i="7"/>
  <c r="F209" i="21" s="1"/>
  <c r="C87" i="7"/>
  <c r="F36" i="21" s="1"/>
  <c r="C88" i="7"/>
  <c r="F210" i="21" s="1"/>
  <c r="C89" i="7"/>
  <c r="F120" i="21" s="1"/>
  <c r="C95" i="7"/>
  <c r="F4" i="21" s="1"/>
  <c r="C97" i="7"/>
  <c r="F212" i="21" s="1"/>
  <c r="C114" i="7"/>
  <c r="F88" i="21" s="1"/>
  <c r="C117" i="7"/>
  <c r="F220" i="21" s="1"/>
  <c r="C118" i="7"/>
  <c r="F159" i="21" s="1"/>
  <c r="C123" i="7"/>
  <c r="F90" i="21" s="1"/>
  <c r="C125" i="7"/>
  <c r="F69" i="21" s="1"/>
  <c r="C132" i="7"/>
  <c r="F18" i="21" s="1"/>
  <c r="C133" i="7"/>
  <c r="F19" i="21" s="1"/>
  <c r="C136" i="7"/>
  <c r="F123" i="21" s="1"/>
  <c r="C137" i="7"/>
  <c r="F230" i="21" s="1"/>
  <c r="C146" i="7"/>
  <c r="F150" i="21" s="1"/>
  <c r="C151" i="7"/>
  <c r="F124" i="21" s="1"/>
  <c r="C152" i="7"/>
  <c r="F94" i="21" s="1"/>
  <c r="C153" i="7"/>
  <c r="F95" i="21" s="1"/>
  <c r="C154" i="7"/>
  <c r="F96" i="21" s="1"/>
  <c r="C155" i="7"/>
  <c r="F44" i="21" s="1"/>
  <c r="C157" i="7"/>
  <c r="F11" i="21" s="1"/>
  <c r="C158" i="7"/>
  <c r="F151" i="21" s="1"/>
  <c r="C159" i="7"/>
  <c r="F97" i="21" s="1"/>
  <c r="C165" i="7"/>
  <c r="F163" i="21" s="1"/>
  <c r="C166" i="7"/>
  <c r="F142" i="21" s="1"/>
  <c r="C171" i="7"/>
  <c r="F125" i="21" s="1"/>
  <c r="C172" i="7"/>
  <c r="F240" i="21" s="1"/>
  <c r="C173" i="7"/>
  <c r="F98" i="21" s="1"/>
  <c r="C174" i="7"/>
  <c r="F241" i="21" s="1"/>
  <c r="C175" i="7"/>
  <c r="F143" i="21" s="1"/>
  <c r="C176" i="7"/>
  <c r="F242" i="21" s="1"/>
  <c r="C177" i="7"/>
  <c r="F243" i="21" s="1"/>
  <c r="C179" i="7"/>
  <c r="F5" i="21" s="1"/>
  <c r="C180" i="7"/>
  <c r="F245" i="21" s="1"/>
  <c r="C184" i="7"/>
  <c r="F23" i="21" s="1"/>
  <c r="C186" i="7"/>
  <c r="F9" i="21" s="1"/>
  <c r="C187" i="7"/>
  <c r="F126" i="21" s="1"/>
  <c r="C188" i="7"/>
  <c r="F247" i="21" s="1"/>
  <c r="C193" i="7"/>
  <c r="F46" i="21" s="1"/>
  <c r="C194" i="7"/>
  <c r="F152" i="21" s="1"/>
  <c r="C195" i="7"/>
  <c r="F249" i="21" s="1"/>
  <c r="C196" i="7"/>
  <c r="F6" i="21" s="1"/>
  <c r="C197" i="7"/>
  <c r="F100" i="21" s="1"/>
  <c r="C198" i="7"/>
  <c r="F145" i="21" s="1"/>
  <c r="C199" i="7"/>
  <c r="F8" i="21" s="1"/>
  <c r="C208" i="7"/>
  <c r="F256" i="21" s="1"/>
  <c r="C211" i="7"/>
  <c r="F48" i="21" s="1"/>
  <c r="C215" i="7"/>
  <c r="F260" i="21" s="1"/>
  <c r="C218" i="7"/>
  <c r="F102" i="21" s="1"/>
  <c r="C220" i="7"/>
  <c r="F129" i="21" s="1"/>
  <c r="C224" i="7"/>
  <c r="F165" i="21" s="1"/>
  <c r="C235" i="7"/>
  <c r="F12" i="21" s="1"/>
  <c r="C236" i="7"/>
  <c r="F166" i="21" s="1"/>
  <c r="C238" i="7"/>
  <c r="F264" i="21" s="1"/>
  <c r="C239" i="7"/>
  <c r="F265" i="21" s="1"/>
  <c r="C240" i="7"/>
  <c r="F266" i="21" s="1"/>
  <c r="C241" i="7"/>
  <c r="F267" i="21" s="1"/>
  <c r="C245" i="7"/>
  <c r="F268" i="21" s="1"/>
  <c r="C246" i="7"/>
  <c r="F314" i="21" s="1"/>
  <c r="C252" i="7"/>
  <c r="F273" i="21" s="1"/>
  <c r="C255" i="7"/>
  <c r="F108" i="21" s="1"/>
  <c r="C259" i="7"/>
  <c r="F276" i="21" s="1"/>
  <c r="C244" i="7"/>
  <c r="F167" i="21" s="1"/>
  <c r="C264" i="7"/>
  <c r="F279" i="21" s="1"/>
  <c r="C268" i="7"/>
  <c r="F111" i="21" s="1"/>
  <c r="C269" i="7"/>
  <c r="F112" i="21" s="1"/>
  <c r="C270" i="7"/>
  <c r="F132" i="21" s="1"/>
  <c r="C273" i="7"/>
  <c r="F29" i="21" s="1"/>
  <c r="C276" i="7"/>
  <c r="F285" i="21" s="1"/>
  <c r="C282" i="7"/>
  <c r="F287" i="21" s="1"/>
  <c r="C283" i="7"/>
  <c r="F57" i="21" s="1"/>
  <c r="C284" i="7"/>
  <c r="F169" i="21" s="1"/>
  <c r="C285" i="7"/>
  <c r="F288" i="21" s="1"/>
  <c r="C286" i="7"/>
  <c r="F289" i="21" s="1"/>
  <c r="C290" i="7"/>
  <c r="F291" i="21" s="1"/>
  <c r="C291" i="7"/>
  <c r="F113" i="21" s="1"/>
  <c r="C295" i="7"/>
  <c r="F60" i="21" s="1"/>
  <c r="C296" i="7"/>
  <c r="F30" i="21" s="1"/>
  <c r="C297" i="7"/>
  <c r="F295" i="21" s="1"/>
  <c r="C298" i="7"/>
  <c r="F296" i="21" s="1"/>
  <c r="C299" i="7"/>
  <c r="F170" i="21" s="1"/>
  <c r="C306" i="7"/>
  <c r="F10" i="21" s="1"/>
  <c r="C313" i="7"/>
  <c r="F31" i="21" s="1"/>
  <c r="C317" i="7"/>
  <c r="F115" i="21" s="1"/>
  <c r="Q24" i="5"/>
  <c r="Q23" i="5"/>
  <c r="Q22" i="5"/>
  <c r="J298" i="5"/>
  <c r="J179" i="5"/>
  <c r="J89" i="5"/>
  <c r="J88" i="5"/>
  <c r="J163" i="5"/>
  <c r="J84" i="5"/>
  <c r="J80" i="5"/>
  <c r="J113" i="5"/>
  <c r="J124" i="5"/>
  <c r="J142" i="5"/>
  <c r="J24" i="5"/>
  <c r="J78" i="5"/>
  <c r="I77" i="5"/>
  <c r="J23" i="5"/>
  <c r="I182" i="5"/>
  <c r="J181" i="5"/>
  <c r="J76" i="5"/>
  <c r="J75" i="5"/>
  <c r="J180" i="5"/>
  <c r="J22" i="5"/>
  <c r="J123" i="5"/>
  <c r="J61" i="5"/>
  <c r="J57" i="5"/>
  <c r="J108" i="5"/>
  <c r="J104" i="5"/>
  <c r="I21" i="5"/>
  <c r="J39" i="5"/>
  <c r="J38" i="5"/>
  <c r="J20" i="5"/>
  <c r="J268" i="5"/>
  <c r="I19" i="5"/>
  <c r="I18" i="5"/>
  <c r="I37" i="5"/>
  <c r="I17" i="5"/>
  <c r="J264" i="5"/>
  <c r="I16" i="5"/>
  <c r="J36" i="5"/>
  <c r="I15" i="5"/>
  <c r="I260" i="5"/>
  <c r="I258" i="5"/>
  <c r="I14" i="5"/>
  <c r="I13" i="5"/>
  <c r="I12" i="5"/>
  <c r="I35" i="5"/>
  <c r="I34" i="5"/>
  <c r="I33" i="5"/>
  <c r="I11" i="5"/>
  <c r="I10" i="5"/>
  <c r="I9" i="5"/>
  <c r="J249" i="5"/>
  <c r="I32" i="5"/>
  <c r="I246" i="5"/>
  <c r="J243" i="5"/>
  <c r="J241" i="5"/>
  <c r="J8" i="5"/>
  <c r="J7" i="5"/>
  <c r="J240" i="5"/>
  <c r="J31" i="5"/>
  <c r="I6" i="5"/>
  <c r="I5" i="5"/>
  <c r="J30" i="5"/>
  <c r="J238" i="5"/>
  <c r="J29" i="5"/>
  <c r="J28" i="5"/>
  <c r="J237" i="5"/>
  <c r="I224" i="5"/>
  <c r="I27" i="5"/>
  <c r="J221" i="5"/>
  <c r="J219" i="5"/>
  <c r="I26" i="5"/>
  <c r="J216" i="5"/>
  <c r="I215" i="5"/>
  <c r="J213" i="5"/>
  <c r="I212" i="5"/>
  <c r="I25" i="5"/>
  <c r="J201" i="5"/>
  <c r="J92" i="5"/>
  <c r="J195" i="5"/>
  <c r="J193" i="5"/>
  <c r="J91" i="5"/>
  <c r="E15" i="42" l="1"/>
  <c r="D3" i="50"/>
  <c r="E17" i="42"/>
  <c r="H3" i="50"/>
  <c r="U50" i="17"/>
  <c r="M153" i="40" s="1"/>
  <c r="F289" i="18"/>
  <c r="F259" i="18"/>
  <c r="F210" i="18"/>
  <c r="F174" i="18"/>
  <c r="F149" i="18"/>
  <c r="F85" i="18"/>
  <c r="F306" i="18"/>
  <c r="F288" i="18"/>
  <c r="F281" i="18"/>
  <c r="F6" i="18"/>
  <c r="F264" i="18"/>
  <c r="F255" i="18"/>
  <c r="F243" i="18"/>
  <c r="F231" i="18"/>
  <c r="F226" i="18"/>
  <c r="F208" i="18"/>
  <c r="F192" i="18"/>
  <c r="F188" i="18"/>
  <c r="F181" i="18"/>
  <c r="F172" i="18"/>
  <c r="F168" i="18"/>
  <c r="F160" i="18"/>
  <c r="F152" i="18"/>
  <c r="F148" i="18"/>
  <c r="F131" i="18"/>
  <c r="F116" i="18"/>
  <c r="F93" i="18"/>
  <c r="F84" i="18"/>
  <c r="F71" i="18"/>
  <c r="F66" i="18"/>
  <c r="F56" i="18"/>
  <c r="F50" i="18"/>
  <c r="F39" i="18"/>
  <c r="F29" i="18"/>
  <c r="F15" i="18"/>
  <c r="F11" i="18"/>
  <c r="F267" i="18"/>
  <c r="F227" i="18"/>
  <c r="F5" i="18"/>
  <c r="F154" i="18"/>
  <c r="F95" i="18"/>
  <c r="F302" i="18"/>
  <c r="F287" i="18"/>
  <c r="F280" i="18"/>
  <c r="F274" i="18"/>
  <c r="F261" i="18"/>
  <c r="F235" i="18"/>
  <c r="F237" i="18"/>
  <c r="F230" i="18"/>
  <c r="F215" i="18"/>
  <c r="F204" i="18"/>
  <c r="F191" i="18"/>
  <c r="F187" i="18"/>
  <c r="F179" i="18"/>
  <c r="F171" i="18"/>
  <c r="F167" i="18"/>
  <c r="F7" i="18"/>
  <c r="F151" i="18"/>
  <c r="F143" i="18"/>
  <c r="F130" i="18"/>
  <c r="F115" i="18"/>
  <c r="F87" i="18"/>
  <c r="F82" i="18"/>
  <c r="F69" i="18"/>
  <c r="F65" i="18"/>
  <c r="F47" i="18"/>
  <c r="F35" i="18"/>
  <c r="F26" i="18"/>
  <c r="F14" i="18"/>
  <c r="F275" i="18"/>
  <c r="F232" i="18"/>
  <c r="F193" i="18"/>
  <c r="F169" i="18"/>
  <c r="F134" i="18"/>
  <c r="F72" i="18"/>
  <c r="F295" i="18"/>
  <c r="F286" i="18"/>
  <c r="F276" i="18"/>
  <c r="F273" i="18"/>
  <c r="F260" i="18"/>
  <c r="F250" i="18"/>
  <c r="F236" i="18"/>
  <c r="F229" i="18"/>
  <c r="F212" i="18"/>
  <c r="F201" i="18"/>
  <c r="F190" i="18"/>
  <c r="F182" i="18"/>
  <c r="F175" i="18"/>
  <c r="F170" i="18"/>
  <c r="F166" i="18"/>
  <c r="F155" i="18"/>
  <c r="F150" i="18"/>
  <c r="F135" i="18"/>
  <c r="F123" i="18"/>
  <c r="F112" i="18"/>
  <c r="F86" i="18"/>
  <c r="F79" i="18"/>
  <c r="F68" i="18"/>
  <c r="F60" i="18"/>
  <c r="F42" i="18"/>
  <c r="F4" i="18"/>
  <c r="F25" i="18"/>
  <c r="F211" i="18"/>
  <c r="F285" i="18"/>
  <c r="F246" i="18"/>
  <c r="F189" i="18"/>
  <c r="F161" i="18"/>
  <c r="F121" i="18"/>
  <c r="F67" i="18"/>
  <c r="F57" i="18"/>
  <c r="F55" i="18"/>
  <c r="F41" i="18"/>
  <c r="F32" i="18"/>
  <c r="F17" i="18"/>
  <c r="F124" i="18"/>
  <c r="K8" i="31"/>
  <c r="K14" i="31" s="1"/>
  <c r="G8" i="31"/>
  <c r="G14" i="31" s="1"/>
  <c r="J8" i="31"/>
  <c r="J14" i="31" s="1"/>
  <c r="H8" i="31"/>
  <c r="H14" i="31" s="1"/>
  <c r="I8" i="31"/>
  <c r="I14" i="31" s="1"/>
  <c r="D8" i="31"/>
  <c r="D14" i="31" s="1"/>
  <c r="E8" i="31"/>
  <c r="E14" i="31" s="1"/>
  <c r="L8" i="31"/>
  <c r="L14" i="31" s="1"/>
  <c r="M8" i="31"/>
  <c r="M14" i="31" s="1"/>
  <c r="F8" i="31"/>
  <c r="F14" i="31" s="1"/>
  <c r="C8" i="31"/>
  <c r="C14" i="31" s="1"/>
  <c r="R204" i="18"/>
  <c r="R184" i="18"/>
  <c r="R124" i="18"/>
  <c r="R173" i="18" s="1"/>
  <c r="D11" i="42"/>
  <c r="E14" i="42"/>
  <c r="E20" i="42"/>
  <c r="AC241" i="21"/>
  <c r="AA44" i="21"/>
  <c r="AA153" i="21"/>
  <c r="AA13" i="21"/>
  <c r="D170" i="21"/>
  <c r="D10" i="21"/>
  <c r="D295" i="21"/>
  <c r="D291" i="21"/>
  <c r="D57" i="21"/>
  <c r="D314" i="21"/>
  <c r="D165" i="21"/>
  <c r="D100" i="21"/>
  <c r="D96" i="21"/>
  <c r="D120" i="21"/>
  <c r="D201" i="21"/>
  <c r="D268" i="21"/>
  <c r="D264" i="21"/>
  <c r="D6" i="21"/>
  <c r="D247" i="21"/>
  <c r="D245" i="21"/>
  <c r="D143" i="21"/>
  <c r="D95" i="21"/>
  <c r="D230" i="21"/>
  <c r="D206" i="21"/>
  <c r="D200" i="21"/>
  <c r="D156" i="21"/>
  <c r="AA30" i="21"/>
  <c r="AA60" i="21"/>
  <c r="AA90" i="21"/>
  <c r="AA185" i="21"/>
  <c r="AA273" i="21"/>
  <c r="AA132" i="21"/>
  <c r="AA192" i="21"/>
  <c r="AA287" i="21"/>
  <c r="AA88" i="21"/>
  <c r="AA182" i="21"/>
  <c r="AA267" i="21"/>
  <c r="AA123" i="21"/>
  <c r="AA32" i="21"/>
  <c r="AA266" i="21"/>
  <c r="AA265" i="21"/>
  <c r="D285" i="21"/>
  <c r="D8" i="21"/>
  <c r="D249" i="21"/>
  <c r="D142" i="21"/>
  <c r="D94" i="21"/>
  <c r="D212" i="21"/>
  <c r="D80" i="21"/>
  <c r="D79" i="21"/>
  <c r="D224" i="21"/>
  <c r="D115" i="21"/>
  <c r="D31" i="21"/>
  <c r="D113" i="21"/>
  <c r="D29" i="21"/>
  <c r="D260" i="21"/>
  <c r="D9" i="21"/>
  <c r="D163" i="21"/>
  <c r="D124" i="21"/>
  <c r="D4" i="21"/>
  <c r="D157" i="21"/>
  <c r="D199" i="21"/>
  <c r="D138" i="21"/>
  <c r="D176" i="21"/>
  <c r="AA112" i="21"/>
  <c r="AA108" i="21"/>
  <c r="AA68" i="21"/>
  <c r="AA296" i="21"/>
  <c r="AA98" i="21"/>
  <c r="AA240" i="21"/>
  <c r="AA72" i="21"/>
  <c r="AA125" i="21"/>
  <c r="AA137" i="21"/>
  <c r="AA111" i="21"/>
  <c r="AA241" i="21"/>
  <c r="AA194" i="21"/>
  <c r="B131" i="19"/>
  <c r="D289" i="21"/>
  <c r="B94" i="19"/>
  <c r="D256" i="21"/>
  <c r="B108" i="19"/>
  <c r="D88" i="21"/>
  <c r="B110" i="19"/>
  <c r="D128" i="21"/>
  <c r="B14" i="19"/>
  <c r="D288" i="21"/>
  <c r="B124" i="17"/>
  <c r="D111" i="21"/>
  <c r="B43" i="19"/>
  <c r="D108" i="21"/>
  <c r="B47" i="19"/>
  <c r="D267" i="21"/>
  <c r="B93" i="19"/>
  <c r="D166" i="21"/>
  <c r="B106" i="19"/>
  <c r="D102" i="21"/>
  <c r="B8" i="19"/>
  <c r="D126" i="21"/>
  <c r="B34" i="19"/>
  <c r="D5" i="21"/>
  <c r="B55" i="19"/>
  <c r="D241" i="21"/>
  <c r="B33" i="19"/>
  <c r="D11" i="21"/>
  <c r="B89" i="19"/>
  <c r="D123" i="21"/>
  <c r="B61" i="19"/>
  <c r="D90" i="21"/>
  <c r="B78" i="19"/>
  <c r="D36" i="21"/>
  <c r="B54" i="19"/>
  <c r="D194" i="21"/>
  <c r="B35" i="19"/>
  <c r="D68" i="21"/>
  <c r="B72" i="19"/>
  <c r="D32" i="21"/>
  <c r="B63" i="19"/>
  <c r="D185" i="21"/>
  <c r="B53" i="19"/>
  <c r="D153" i="21"/>
  <c r="B103" i="19"/>
  <c r="D30" i="21"/>
  <c r="B151" i="17"/>
  <c r="D112" i="21"/>
  <c r="B111" i="19"/>
  <c r="D129" i="21"/>
  <c r="B9" i="19"/>
  <c r="D151" i="21"/>
  <c r="B100" i="19"/>
  <c r="D69" i="21"/>
  <c r="B84" i="19"/>
  <c r="D210" i="21"/>
  <c r="B10" i="19"/>
  <c r="D186" i="21"/>
  <c r="B88" i="19"/>
  <c r="D60" i="21"/>
  <c r="B71" i="19"/>
  <c r="D296" i="21"/>
  <c r="B62" i="19"/>
  <c r="D169" i="21"/>
  <c r="B85" i="19"/>
  <c r="D279" i="21"/>
  <c r="B67" i="19"/>
  <c r="D273" i="21"/>
  <c r="B70" i="19"/>
  <c r="D266" i="21"/>
  <c r="B56" i="19"/>
  <c r="D12" i="21"/>
  <c r="B49" i="19"/>
  <c r="D145" i="21"/>
  <c r="B91" i="19"/>
  <c r="D152" i="21"/>
  <c r="B127" i="19"/>
  <c r="D243" i="21"/>
  <c r="B107" i="19"/>
  <c r="D98" i="21"/>
  <c r="B101" i="19"/>
  <c r="D44" i="21"/>
  <c r="B86" i="19"/>
  <c r="D19" i="21"/>
  <c r="B116" i="19"/>
  <c r="D159" i="21"/>
  <c r="B11" i="19"/>
  <c r="D209" i="21"/>
  <c r="B98" i="19"/>
  <c r="D34" i="21"/>
  <c r="B5" i="19"/>
  <c r="D190" i="21"/>
  <c r="B73" i="19"/>
  <c r="D73" i="21"/>
  <c r="B124" i="19"/>
  <c r="D177" i="21"/>
  <c r="B48" i="19"/>
  <c r="D287" i="21"/>
  <c r="B97" i="19"/>
  <c r="D276" i="21"/>
  <c r="B52" i="19"/>
  <c r="D125" i="21"/>
  <c r="B80" i="19"/>
  <c r="D137" i="21"/>
  <c r="B120" i="19"/>
  <c r="D182" i="21"/>
  <c r="B44" i="19"/>
  <c r="D132" i="21"/>
  <c r="B118" i="19"/>
  <c r="D167" i="21"/>
  <c r="B46" i="19"/>
  <c r="D265" i="21"/>
  <c r="B87" i="19"/>
  <c r="D48" i="21"/>
  <c r="B102" i="19"/>
  <c r="D46" i="21"/>
  <c r="B4" i="19"/>
  <c r="D23" i="21"/>
  <c r="B126" i="19"/>
  <c r="D242" i="21"/>
  <c r="B69" i="19"/>
  <c r="D240" i="21"/>
  <c r="B32" i="19"/>
  <c r="D97" i="21"/>
  <c r="B59" i="19"/>
  <c r="D150" i="21"/>
  <c r="B99" i="19"/>
  <c r="D18" i="21"/>
  <c r="B122" i="19"/>
  <c r="D220" i="21"/>
  <c r="B114" i="19"/>
  <c r="D147" i="21"/>
  <c r="B113" i="19"/>
  <c r="D78" i="21"/>
  <c r="B68" i="19"/>
  <c r="D192" i="21"/>
  <c r="B58" i="19"/>
  <c r="D13" i="21"/>
  <c r="B104" i="19"/>
  <c r="D72" i="21"/>
  <c r="B57" i="19"/>
  <c r="D7" i="21"/>
  <c r="AA150" i="21"/>
  <c r="O1" i="18"/>
  <c r="P1" i="18" s="1"/>
  <c r="B237" i="17"/>
  <c r="B132" i="19"/>
  <c r="B64" i="17"/>
  <c r="B6" i="19"/>
  <c r="B95" i="17"/>
  <c r="B82" i="19"/>
  <c r="B145" i="17"/>
  <c r="B105" i="19"/>
  <c r="B188" i="17"/>
  <c r="B65" i="19"/>
  <c r="B184" i="17"/>
  <c r="B129" i="19"/>
  <c r="B11" i="17"/>
  <c r="B50" i="19"/>
  <c r="B190" i="17"/>
  <c r="B125" i="19"/>
  <c r="B94" i="17"/>
  <c r="B81" i="19"/>
  <c r="B187" i="17"/>
  <c r="B45" i="19"/>
  <c r="B175" i="17"/>
  <c r="B92" i="19"/>
  <c r="B109" i="17"/>
  <c r="B115" i="19"/>
  <c r="B164" i="17"/>
  <c r="B83" i="19"/>
  <c r="B238" i="17"/>
  <c r="B66" i="19"/>
  <c r="B210" i="19"/>
  <c r="B18" i="17"/>
  <c r="B39" i="19"/>
  <c r="B227" i="17"/>
  <c r="B37" i="19"/>
  <c r="B92" i="17"/>
  <c r="B74" i="19"/>
  <c r="B97" i="17"/>
  <c r="B90" i="19"/>
  <c r="B270" i="17"/>
  <c r="B121" i="19"/>
  <c r="B101" i="17"/>
  <c r="B60" i="19"/>
  <c r="B100" i="17"/>
  <c r="B41" i="19"/>
  <c r="B177" i="17"/>
  <c r="B77" i="19"/>
  <c r="B13" i="17"/>
  <c r="B40" i="19"/>
  <c r="B231" i="17"/>
  <c r="B13" i="19"/>
  <c r="B220" i="17"/>
  <c r="B96" i="19"/>
  <c r="B161" i="17"/>
  <c r="B117" i="19"/>
  <c r="B76" i="17"/>
  <c r="B75" i="19"/>
  <c r="B19" i="19"/>
  <c r="B229" i="17"/>
  <c r="B95" i="19"/>
  <c r="B183" i="17"/>
  <c r="B133" i="19"/>
  <c r="B147" i="17"/>
  <c r="B109" i="19"/>
  <c r="B296" i="17"/>
  <c r="B123" i="19"/>
  <c r="B232" i="17"/>
  <c r="B12" i="19"/>
  <c r="B22" i="17"/>
  <c r="B7" i="19"/>
  <c r="B137" i="17"/>
  <c r="B112" i="19"/>
  <c r="B41" i="17"/>
  <c r="B79" i="19"/>
  <c r="B16" i="17"/>
  <c r="B128" i="19"/>
  <c r="B17" i="17"/>
  <c r="B38" i="19"/>
  <c r="B165" i="17"/>
  <c r="B119" i="19"/>
  <c r="B15" i="17"/>
  <c r="B42" i="19"/>
  <c r="B14" i="17"/>
  <c r="B51" i="19"/>
  <c r="B166" i="17"/>
  <c r="B76" i="19"/>
  <c r="B269" i="17"/>
  <c r="B64" i="19"/>
  <c r="B6" i="17"/>
  <c r="B36" i="19"/>
  <c r="B272" i="17"/>
  <c r="B130" i="19"/>
  <c r="A71" i="5"/>
  <c r="B236" i="17"/>
  <c r="B235" i="17"/>
  <c r="A68" i="5"/>
  <c r="B178" i="17"/>
  <c r="A133" i="5"/>
  <c r="B113" i="17"/>
  <c r="A65" i="5"/>
  <c r="B295" i="17"/>
  <c r="B98" i="17"/>
  <c r="B106" i="17"/>
  <c r="A52" i="5"/>
  <c r="B43" i="17"/>
  <c r="B133" i="17"/>
  <c r="A48" i="5"/>
  <c r="B225" i="17"/>
  <c r="A44" i="5"/>
  <c r="B93" i="17"/>
  <c r="B4" i="18"/>
  <c r="B181" i="17"/>
  <c r="B186" i="17"/>
  <c r="A132" i="5"/>
  <c r="B110" i="17"/>
  <c r="A73" i="5"/>
  <c r="B60" i="17"/>
  <c r="A70" i="5"/>
  <c r="B180" i="17"/>
  <c r="B105" i="17"/>
  <c r="B239" i="17"/>
  <c r="B156" i="17"/>
  <c r="A66" i="5"/>
  <c r="B102" i="17"/>
  <c r="B5" i="18"/>
  <c r="B107" i="17"/>
  <c r="B12" i="17"/>
  <c r="B267" i="17"/>
  <c r="B96" i="17"/>
  <c r="B108" i="17"/>
  <c r="A128" i="5"/>
  <c r="B39" i="17"/>
  <c r="B228" i="17"/>
  <c r="B5" i="17"/>
  <c r="A105" i="5"/>
  <c r="B29" i="17"/>
  <c r="B7" i="17"/>
  <c r="B159" i="17"/>
  <c r="B30" i="17"/>
  <c r="B8" i="17"/>
  <c r="B6" i="18"/>
  <c r="B158" i="17"/>
  <c r="A69" i="5"/>
  <c r="B226" i="17"/>
  <c r="B297" i="17"/>
  <c r="B234" i="17"/>
  <c r="B20" i="17"/>
  <c r="B157" i="17"/>
  <c r="A63" i="5"/>
  <c r="B103" i="17"/>
  <c r="A59" i="5"/>
  <c r="B189" i="17"/>
  <c r="B136" i="17"/>
  <c r="A56" i="5"/>
  <c r="B42" i="17"/>
  <c r="A54" i="5"/>
  <c r="B40" i="17"/>
  <c r="A93" i="5"/>
  <c r="B160" i="17"/>
  <c r="A47" i="5"/>
  <c r="B182" i="17"/>
  <c r="A45" i="5"/>
  <c r="B74" i="17"/>
  <c r="A43" i="5"/>
  <c r="B294" i="17"/>
  <c r="A42" i="5"/>
  <c r="B90" i="17"/>
  <c r="A41" i="5"/>
  <c r="B185" i="17"/>
  <c r="B111" i="17"/>
  <c r="A110" i="5"/>
  <c r="B169" i="17"/>
  <c r="B179" i="17"/>
  <c r="A130" i="5"/>
  <c r="B28" i="17"/>
  <c r="A96" i="5"/>
  <c r="B33" i="17"/>
  <c r="A60" i="5"/>
  <c r="B19" i="17"/>
  <c r="A58" i="5"/>
  <c r="B271" i="17"/>
  <c r="B233" i="17"/>
  <c r="B7" i="18"/>
  <c r="B77" i="17"/>
  <c r="B135" i="17"/>
  <c r="A118" i="5"/>
  <c r="B61" i="17"/>
  <c r="A51" i="5"/>
  <c r="B268" i="17"/>
  <c r="A107" i="5"/>
  <c r="B78" i="17"/>
  <c r="A117" i="5"/>
  <c r="B134" i="17"/>
  <c r="B230" i="17"/>
  <c r="B46" i="17"/>
  <c r="B99" i="17"/>
  <c r="B10" i="17"/>
  <c r="B61" i="14"/>
  <c r="B146" i="13"/>
  <c r="B60" i="14"/>
  <c r="B59" i="13"/>
  <c r="B149" i="14"/>
  <c r="B312" i="13"/>
  <c r="B8" i="13"/>
  <c r="B192" i="14"/>
  <c r="B275" i="14"/>
  <c r="B307" i="14"/>
  <c r="B286" i="13"/>
  <c r="B193" i="14"/>
  <c r="B31" i="13"/>
  <c r="B314" i="13"/>
  <c r="B156" i="14"/>
  <c r="B273" i="14"/>
  <c r="B297" i="13"/>
  <c r="B306" i="14"/>
  <c r="A20" i="5"/>
  <c r="B47" i="14"/>
  <c r="B18" i="13"/>
  <c r="B271" i="13"/>
  <c r="B70" i="14"/>
  <c r="B69" i="13"/>
  <c r="B141" i="14"/>
  <c r="B143" i="13"/>
  <c r="B12" i="14"/>
  <c r="B44" i="14"/>
  <c r="B47" i="13"/>
  <c r="A18" i="5"/>
  <c r="B10" i="13"/>
  <c r="B74" i="14"/>
  <c r="B111" i="14"/>
  <c r="B272" i="13"/>
  <c r="A23" i="5"/>
  <c r="B142" i="14"/>
  <c r="B33" i="13"/>
  <c r="B163" i="14"/>
  <c r="B126" i="13"/>
  <c r="B131" i="13"/>
  <c r="B177" i="14"/>
  <c r="A32" i="5"/>
  <c r="B17" i="13"/>
  <c r="B206" i="14"/>
  <c r="B232" i="14"/>
  <c r="B310" i="13"/>
  <c r="B128" i="13"/>
  <c r="B242" i="14"/>
  <c r="A243" i="5"/>
  <c r="B256" i="14"/>
  <c r="B273" i="13"/>
  <c r="A7" i="5"/>
  <c r="B5" i="13"/>
  <c r="B261" i="14"/>
  <c r="A31" i="5"/>
  <c r="B271" i="14"/>
  <c r="B270" i="13"/>
  <c r="B276" i="14"/>
  <c r="B135" i="13"/>
  <c r="B290" i="14"/>
  <c r="B65" i="13"/>
  <c r="A29" i="5"/>
  <c r="B86" i="13"/>
  <c r="B300" i="14"/>
  <c r="A28" i="5"/>
  <c r="B315" i="14"/>
  <c r="B6" i="13"/>
  <c r="B257" i="13"/>
  <c r="B203" i="14"/>
  <c r="B43" i="14"/>
  <c r="B313" i="13"/>
  <c r="B91" i="14"/>
  <c r="B51" i="13"/>
  <c r="B121" i="14"/>
  <c r="B263" i="13"/>
  <c r="B30" i="14"/>
  <c r="B260" i="13"/>
  <c r="A268" i="5"/>
  <c r="B53" i="14"/>
  <c r="B283" i="13"/>
  <c r="A17" i="5"/>
  <c r="B61" i="13"/>
  <c r="B88" i="14"/>
  <c r="B130" i="14"/>
  <c r="B49" i="13"/>
  <c r="B133" i="13"/>
  <c r="B150" i="14"/>
  <c r="B172" i="14"/>
  <c r="B12" i="13"/>
  <c r="B190" i="13"/>
  <c r="B38" i="14"/>
  <c r="B127" i="13"/>
  <c r="B56" i="14"/>
  <c r="B262" i="13"/>
  <c r="B65" i="14"/>
  <c r="A264" i="5"/>
  <c r="B34" i="13"/>
  <c r="B89" i="14"/>
  <c r="B38" i="13"/>
  <c r="B94" i="14"/>
  <c r="B114" i="14"/>
  <c r="B83" i="13"/>
  <c r="A260" i="5"/>
  <c r="B131" i="14"/>
  <c r="B288" i="13"/>
  <c r="B135" i="14"/>
  <c r="B132" i="13"/>
  <c r="B143" i="14"/>
  <c r="B298" i="13"/>
  <c r="B301" i="13"/>
  <c r="B152" i="14"/>
  <c r="B308" i="13"/>
  <c r="B164" i="14"/>
  <c r="B138" i="13"/>
  <c r="B174" i="14"/>
  <c r="A9" i="5"/>
  <c r="B144" i="13"/>
  <c r="B178" i="14"/>
  <c r="B196" i="14"/>
  <c r="B264" i="13"/>
  <c r="B80" i="13"/>
  <c r="B211" i="14"/>
  <c r="B234" i="14"/>
  <c r="B25" i="13"/>
  <c r="B46" i="13"/>
  <c r="B243" i="14"/>
  <c r="B60" i="13"/>
  <c r="B257" i="14"/>
  <c r="A240" i="5"/>
  <c r="B262" i="14"/>
  <c r="B311" i="13"/>
  <c r="B272" i="14"/>
  <c r="B26" i="13"/>
  <c r="B281" i="14"/>
  <c r="B292" i="13"/>
  <c r="B292" i="14"/>
  <c r="B266" i="13"/>
  <c r="B256" i="13"/>
  <c r="B303" i="14"/>
  <c r="B317" i="14"/>
  <c r="B276" i="13"/>
  <c r="B188" i="13"/>
  <c r="B321" i="14"/>
  <c r="B28" i="14"/>
  <c r="B109" i="14"/>
  <c r="B142" i="13"/>
  <c r="B154" i="14"/>
  <c r="B68" i="13"/>
  <c r="B21" i="13"/>
  <c r="B34" i="14"/>
  <c r="A78" i="5"/>
  <c r="B44" i="13"/>
  <c r="B93" i="14"/>
  <c r="B134" i="14"/>
  <c r="B4" i="13"/>
  <c r="A35" i="5"/>
  <c r="B155" i="14"/>
  <c r="B54" i="13"/>
  <c r="B16" i="14"/>
  <c r="B37" i="13"/>
  <c r="A39" i="5"/>
  <c r="B31" i="14"/>
  <c r="B9" i="13"/>
  <c r="B13" i="13"/>
  <c r="B45" i="14"/>
  <c r="B7" i="13"/>
  <c r="B77" i="14"/>
  <c r="B23" i="14"/>
  <c r="B28" i="13"/>
  <c r="B32" i="14"/>
  <c r="B139" i="13"/>
  <c r="B39" i="14"/>
  <c r="B145" i="13"/>
  <c r="A163" i="5"/>
  <c r="B46" i="14"/>
  <c r="B23" i="13"/>
  <c r="B11" i="13"/>
  <c r="B59" i="14"/>
  <c r="B289" i="13"/>
  <c r="B85" i="14"/>
  <c r="B83" i="14"/>
  <c r="B32" i="13"/>
  <c r="B29" i="13"/>
  <c r="B90" i="14"/>
  <c r="B66" i="13"/>
  <c r="B105" i="14"/>
  <c r="B118" i="14"/>
  <c r="B269" i="13"/>
  <c r="B64" i="13"/>
  <c r="B132" i="14"/>
  <c r="B136" i="14"/>
  <c r="B67" i="13"/>
  <c r="B145" i="14"/>
  <c r="B268" i="13"/>
  <c r="B153" i="14"/>
  <c r="B302" i="13"/>
  <c r="A34" i="5"/>
  <c r="B157" i="14"/>
  <c r="B14" i="13"/>
  <c r="B43" i="13"/>
  <c r="B170" i="14"/>
  <c r="B175" i="14"/>
  <c r="B50" i="13"/>
  <c r="B22" i="13"/>
  <c r="B183" i="14"/>
  <c r="B275" i="13"/>
  <c r="B197" i="14"/>
  <c r="B212" i="14"/>
  <c r="B309" i="13"/>
  <c r="B290" i="13"/>
  <c r="B240" i="14"/>
  <c r="B246" i="14"/>
  <c r="B45" i="13"/>
  <c r="A241" i="5"/>
  <c r="B259" i="14"/>
  <c r="B282" i="13"/>
  <c r="B263" i="14"/>
  <c r="B189" i="13"/>
  <c r="A30" i="5"/>
  <c r="B284" i="14"/>
  <c r="B16" i="13"/>
  <c r="A238" i="5"/>
  <c r="B296" i="14"/>
  <c r="B35" i="13"/>
  <c r="B318" i="14"/>
  <c r="B48" i="13"/>
  <c r="A89" i="5"/>
  <c r="B33" i="14"/>
  <c r="B19" i="13"/>
  <c r="B77" i="13"/>
  <c r="B84" i="14"/>
  <c r="B30" i="13"/>
  <c r="B133" i="14"/>
  <c r="B20" i="13"/>
  <c r="B158" i="14"/>
  <c r="A76" i="5"/>
  <c r="B15" i="13"/>
  <c r="B171" i="14"/>
  <c r="B176" i="14"/>
  <c r="B62" i="13"/>
  <c r="B274" i="13"/>
  <c r="B204" i="14"/>
  <c r="B215" i="14"/>
  <c r="B24" i="13"/>
  <c r="B241" i="14"/>
  <c r="B129" i="13"/>
  <c r="B249" i="14"/>
  <c r="B134" i="13"/>
  <c r="A8" i="5"/>
  <c r="B281" i="13"/>
  <c r="B260" i="14"/>
  <c r="B291" i="13"/>
  <c r="B268" i="14"/>
  <c r="B289" i="14"/>
  <c r="B130" i="13"/>
  <c r="A22" i="5"/>
  <c r="B299" i="14"/>
  <c r="B87" i="13"/>
  <c r="B140" i="13"/>
  <c r="B110" i="14"/>
  <c r="A233" i="5"/>
  <c r="A220" i="5"/>
  <c r="A134" i="5"/>
  <c r="A148" i="5"/>
  <c r="A198" i="5"/>
  <c r="A265" i="5"/>
  <c r="A300" i="5"/>
  <c r="A288" i="5"/>
  <c r="A26" i="6"/>
  <c r="A81" i="5"/>
  <c r="A80" i="5"/>
  <c r="A33" i="5"/>
  <c r="A46" i="5"/>
  <c r="A100" i="5"/>
  <c r="A244" i="5"/>
  <c r="A98" i="5"/>
  <c r="A164" i="5"/>
  <c r="A274" i="5"/>
  <c r="A216" i="5"/>
  <c r="A15" i="5"/>
  <c r="A193" i="5"/>
  <c r="A212" i="5"/>
  <c r="A12" i="5"/>
  <c r="A298" i="5"/>
  <c r="A182" i="5"/>
  <c r="A57" i="5"/>
  <c r="A91" i="5"/>
  <c r="A10" i="5"/>
  <c r="A75" i="5"/>
  <c r="A25" i="5"/>
  <c r="A13" i="6"/>
  <c r="A149" i="5"/>
  <c r="A7" i="6"/>
  <c r="A169" i="5"/>
  <c r="A36" i="6"/>
  <c r="A90" i="5"/>
  <c r="A35" i="6"/>
  <c r="A87" i="5"/>
  <c r="A31" i="6"/>
  <c r="A85" i="5"/>
  <c r="A30" i="6"/>
  <c r="A158" i="5"/>
  <c r="A194" i="5"/>
  <c r="A285" i="5"/>
  <c r="A214" i="5"/>
  <c r="A257" i="5"/>
  <c r="A62" i="5"/>
  <c r="A146" i="5"/>
  <c r="A272" i="5"/>
  <c r="A303" i="5"/>
  <c r="A136" i="5"/>
  <c r="A175" i="5"/>
  <c r="A34" i="6"/>
  <c r="A157" i="5"/>
  <c r="A28" i="6"/>
  <c r="A82" i="5"/>
  <c r="A14" i="5"/>
  <c r="A215" i="5"/>
  <c r="A94" i="5"/>
  <c r="A143" i="5"/>
  <c r="A207" i="5"/>
  <c r="A294" i="5"/>
  <c r="A188" i="5"/>
  <c r="A228" i="5"/>
  <c r="A250" i="5"/>
  <c r="A280" i="5"/>
  <c r="A292" i="5"/>
  <c r="A186" i="5"/>
  <c r="A226" i="5"/>
  <c r="A247" i="5"/>
  <c r="A278" i="5"/>
  <c r="A205" i="5"/>
  <c r="A50" i="5"/>
  <c r="A176" i="5"/>
  <c r="A142" i="5"/>
  <c r="A5" i="5"/>
  <c r="A206" i="5"/>
  <c r="A293" i="5"/>
  <c r="A187" i="5"/>
  <c r="A227" i="5"/>
  <c r="A248" i="5"/>
  <c r="A279" i="5"/>
  <c r="A53" i="5"/>
  <c r="A177" i="5"/>
  <c r="A74" i="5"/>
  <c r="A116" i="5"/>
  <c r="A273" i="5"/>
  <c r="A72" i="5"/>
  <c r="A167" i="5"/>
  <c r="A270" i="5"/>
  <c r="A24" i="5"/>
  <c r="A38" i="5"/>
  <c r="A199" i="5"/>
  <c r="A289" i="5"/>
  <c r="A301" i="5"/>
  <c r="A234" i="5"/>
  <c r="A267" i="5"/>
  <c r="A222" i="5"/>
  <c r="A135" i="5"/>
  <c r="A126" i="5"/>
  <c r="A33" i="6"/>
  <c r="A86" i="5"/>
  <c r="A84" i="5"/>
  <c r="A37" i="5"/>
  <c r="A36" i="5"/>
  <c r="A26" i="5"/>
  <c r="A92" i="5"/>
  <c r="A77" i="5"/>
  <c r="A261" i="5"/>
  <c r="A196" i="5"/>
  <c r="A131" i="5"/>
  <c r="A165" i="5"/>
  <c r="A286" i="5"/>
  <c r="A217" i="5"/>
  <c r="A25" i="6"/>
  <c r="A156" i="5"/>
  <c r="A13" i="5"/>
  <c r="A213" i="5"/>
  <c r="A61" i="5"/>
  <c r="A22" i="6"/>
  <c r="A162" i="5"/>
  <c r="A119" i="5"/>
  <c r="A172" i="5"/>
  <c r="A254" i="5"/>
  <c r="A20" i="6"/>
  <c r="A114" i="5"/>
  <c r="A19" i="6"/>
  <c r="A103" i="5"/>
  <c r="A16" i="6"/>
  <c r="A155" i="5"/>
  <c r="A246" i="5"/>
  <c r="A108" i="5"/>
  <c r="A113" i="5"/>
  <c r="A12" i="6"/>
  <c r="A153" i="5"/>
  <c r="A184" i="5"/>
  <c r="A203" i="5"/>
  <c r="A242" i="5"/>
  <c r="A127" i="5"/>
  <c r="A139" i="5"/>
  <c r="A276" i="5"/>
  <c r="A124" i="5"/>
  <c r="A6" i="5"/>
  <c r="A9" i="6"/>
  <c r="A159" i="5"/>
  <c r="A6" i="6"/>
  <c r="A151" i="5"/>
  <c r="A5" i="6"/>
  <c r="A168" i="5"/>
  <c r="A4" i="6"/>
  <c r="A99" i="5"/>
  <c r="A236" i="5"/>
  <c r="A40" i="5"/>
  <c r="A111" i="5"/>
  <c r="A120" i="5"/>
  <c r="A83" i="5"/>
  <c r="A263" i="5"/>
  <c r="A258" i="5"/>
  <c r="A195" i="5"/>
  <c r="A192" i="5"/>
  <c r="A211" i="5"/>
  <c r="A256" i="5"/>
  <c r="A109" i="5"/>
  <c r="A173" i="5"/>
  <c r="A284" i="5"/>
  <c r="A189" i="5"/>
  <c r="A229" i="5"/>
  <c r="A251" i="5"/>
  <c r="A281" i="5"/>
  <c r="A55" i="5"/>
  <c r="A125" i="5"/>
  <c r="A208" i="5"/>
  <c r="A295" i="5"/>
  <c r="A17" i="6"/>
  <c r="A101" i="5"/>
  <c r="A14" i="6"/>
  <c r="A150" i="5"/>
  <c r="A202" i="5"/>
  <c r="A225" i="5"/>
  <c r="A239" i="5"/>
  <c r="A183" i="5"/>
  <c r="A106" i="5"/>
  <c r="A152" i="5"/>
  <c r="A275" i="5"/>
  <c r="A291" i="5"/>
  <c r="A8" i="6"/>
  <c r="A170" i="5"/>
  <c r="A29" i="6"/>
  <c r="A160" i="5"/>
  <c r="A27" i="5"/>
  <c r="A88" i="5"/>
  <c r="A210" i="5"/>
  <c r="A255" i="5"/>
  <c r="A95" i="5"/>
  <c r="A140" i="5"/>
  <c r="A297" i="5"/>
  <c r="A191" i="5"/>
  <c r="A231" i="5"/>
  <c r="A283" i="5"/>
  <c r="A201" i="5"/>
  <c r="A224" i="5"/>
  <c r="A21" i="5"/>
  <c r="A123" i="5"/>
  <c r="A179" i="5"/>
  <c r="A271" i="5"/>
  <c r="A223" i="5"/>
  <c r="A200" i="5"/>
  <c r="A290" i="5"/>
  <c r="A302" i="5"/>
  <c r="A235" i="5"/>
  <c r="A122" i="5"/>
  <c r="A138" i="5"/>
  <c r="A121" i="5"/>
  <c r="A166" i="5"/>
  <c r="A269" i="5"/>
  <c r="A221" i="5"/>
  <c r="A19" i="5"/>
  <c r="A32" i="6"/>
  <c r="A137" i="5"/>
  <c r="A266" i="5"/>
  <c r="A67" i="5"/>
  <c r="A145" i="5"/>
  <c r="A219" i="5"/>
  <c r="A16" i="5"/>
  <c r="A218" i="5"/>
  <c r="A262" i="5"/>
  <c r="A232" i="5"/>
  <c r="A197" i="5"/>
  <c r="A97" i="5"/>
  <c r="A115" i="5"/>
  <c r="A287" i="5"/>
  <c r="A299" i="5"/>
  <c r="A27" i="6"/>
  <c r="A178" i="5"/>
  <c r="A64" i="5"/>
  <c r="A141" i="5"/>
  <c r="A259" i="5"/>
  <c r="A24" i="6"/>
  <c r="A147" i="5"/>
  <c r="A23" i="6"/>
  <c r="A174" i="5"/>
  <c r="A21" i="6"/>
  <c r="A161" i="5"/>
  <c r="A11" i="5"/>
  <c r="A181" i="5"/>
  <c r="A296" i="5"/>
  <c r="A209" i="5"/>
  <c r="A190" i="5"/>
  <c r="A230" i="5"/>
  <c r="A252" i="5"/>
  <c r="A282" i="5"/>
  <c r="A129" i="5"/>
  <c r="A144" i="5"/>
  <c r="A180" i="5"/>
  <c r="A249" i="5"/>
  <c r="A18" i="6"/>
  <c r="A102" i="5"/>
  <c r="A15" i="6"/>
  <c r="A171" i="5"/>
  <c r="A185" i="5"/>
  <c r="A245" i="5"/>
  <c r="A277" i="5"/>
  <c r="A49" i="5"/>
  <c r="A154" i="5"/>
  <c r="A204" i="5"/>
  <c r="A11" i="6"/>
  <c r="A79" i="5"/>
  <c r="A10" i="6"/>
  <c r="A112" i="5"/>
  <c r="A237" i="5"/>
  <c r="A104" i="5"/>
  <c r="A184" i="6"/>
  <c r="A142" i="6"/>
  <c r="A46" i="6"/>
  <c r="A68" i="6"/>
  <c r="A157" i="6"/>
  <c r="A119" i="6"/>
  <c r="A170" i="6"/>
  <c r="A90" i="6"/>
  <c r="A137" i="6"/>
  <c r="A64" i="6"/>
  <c r="A108" i="6"/>
  <c r="A150" i="6"/>
  <c r="A190" i="6"/>
  <c r="A54" i="6"/>
  <c r="A127" i="6"/>
  <c r="A178" i="6"/>
  <c r="A163" i="6"/>
  <c r="A98" i="6"/>
  <c r="A76" i="6"/>
  <c r="A63" i="6"/>
  <c r="A107" i="6"/>
  <c r="A136" i="6"/>
  <c r="A102" i="6"/>
  <c r="A79" i="6"/>
  <c r="A58" i="6"/>
  <c r="A181" i="6"/>
  <c r="A153" i="6"/>
  <c r="A131" i="6"/>
  <c r="A120" i="6"/>
  <c r="A47" i="6"/>
  <c r="A171" i="6"/>
  <c r="A143" i="6"/>
  <c r="A91" i="6"/>
  <c r="A69" i="6"/>
  <c r="A189" i="6"/>
  <c r="A53" i="6"/>
  <c r="A75" i="6"/>
  <c r="A126" i="6"/>
  <c r="A177" i="6"/>
  <c r="A162" i="6"/>
  <c r="A149" i="6"/>
  <c r="A97" i="6"/>
  <c r="A133" i="6"/>
  <c r="A104" i="6"/>
  <c r="A60" i="6"/>
  <c r="A121" i="6"/>
  <c r="A172" i="6"/>
  <c r="A144" i="6"/>
  <c r="A92" i="6"/>
  <c r="A158" i="6"/>
  <c r="A48" i="6"/>
  <c r="A185" i="6"/>
  <c r="A70" i="6"/>
  <c r="A87" i="6"/>
  <c r="A116" i="6"/>
  <c r="A43" i="6"/>
  <c r="A174" i="6"/>
  <c r="A94" i="6"/>
  <c r="A72" i="6"/>
  <c r="A160" i="6"/>
  <c r="A50" i="6"/>
  <c r="A187" i="6"/>
  <c r="A123" i="6"/>
  <c r="A146" i="6"/>
  <c r="A168" i="6"/>
  <c r="A112" i="6"/>
  <c r="A66" i="6"/>
  <c r="A183" i="6"/>
  <c r="A155" i="6"/>
  <c r="A83" i="6"/>
  <c r="A39" i="6"/>
  <c r="A140" i="6"/>
  <c r="A45" i="6"/>
  <c r="A118" i="6"/>
  <c r="A89" i="6"/>
  <c r="A114" i="6"/>
  <c r="A85" i="6"/>
  <c r="A156" i="6"/>
  <c r="A41" i="6"/>
  <c r="A159" i="6"/>
  <c r="A186" i="6"/>
  <c r="A71" i="6"/>
  <c r="A122" i="6"/>
  <c r="A173" i="6"/>
  <c r="A145" i="6"/>
  <c r="A93" i="6"/>
  <c r="A49" i="6"/>
  <c r="A124" i="6"/>
  <c r="A175" i="6"/>
  <c r="A147" i="6"/>
  <c r="A95" i="6"/>
  <c r="A161" i="6"/>
  <c r="A51" i="6"/>
  <c r="A188" i="6"/>
  <c r="A73" i="6"/>
  <c r="A179" i="6"/>
  <c r="A164" i="6"/>
  <c r="A151" i="6"/>
  <c r="A99" i="6"/>
  <c r="A191" i="6"/>
  <c r="A77" i="6"/>
  <c r="A128" i="6"/>
  <c r="A55" i="6"/>
  <c r="A132" i="6"/>
  <c r="A103" i="6"/>
  <c r="A80" i="6"/>
  <c r="A166" i="6"/>
  <c r="A59" i="6"/>
  <c r="A193" i="6"/>
  <c r="A182" i="6"/>
  <c r="A154" i="6"/>
  <c r="A130" i="6"/>
  <c r="A101" i="6"/>
  <c r="A57" i="6"/>
  <c r="A74" i="6"/>
  <c r="A125" i="6"/>
  <c r="A176" i="6"/>
  <c r="A148" i="6"/>
  <c r="A96" i="6"/>
  <c r="A52" i="6"/>
  <c r="A62" i="6"/>
  <c r="A135" i="6"/>
  <c r="A106" i="6"/>
  <c r="A117" i="6"/>
  <c r="A44" i="6"/>
  <c r="A88" i="6"/>
  <c r="A100" i="6"/>
  <c r="A129" i="6"/>
  <c r="A180" i="6"/>
  <c r="A165" i="6"/>
  <c r="A152" i="6"/>
  <c r="A192" i="6"/>
  <c r="A56" i="6"/>
  <c r="A78" i="6"/>
  <c r="A84" i="6"/>
  <c r="A169" i="6"/>
  <c r="A141" i="6"/>
  <c r="A113" i="6"/>
  <c r="A67" i="6"/>
  <c r="A40" i="6"/>
  <c r="A86" i="6"/>
  <c r="A42" i="6"/>
  <c r="A115" i="6"/>
  <c r="A82" i="6"/>
  <c r="A65" i="6"/>
  <c r="A38" i="6"/>
  <c r="A167" i="6"/>
  <c r="A139" i="6"/>
  <c r="A111" i="6"/>
  <c r="A61" i="6"/>
  <c r="A134" i="6"/>
  <c r="A105" i="6"/>
  <c r="R174" i="18" l="1"/>
  <c r="V50" i="17"/>
  <c r="N153" i="40" s="1"/>
  <c r="O153" i="40" s="1"/>
  <c r="AD20" i="21" s="1"/>
  <c r="R185" i="18"/>
  <c r="AA1" i="21"/>
  <c r="AC21" i="17"/>
  <c r="N46" i="7"/>
  <c r="R30" i="5" s="1"/>
  <c r="N306" i="7"/>
  <c r="Q21" i="5" s="1"/>
  <c r="N193" i="7"/>
  <c r="N35" i="7"/>
  <c r="N108" i="7"/>
  <c r="N191" i="7"/>
  <c r="N243" i="7"/>
  <c r="N292" i="7"/>
  <c r="N151" i="7"/>
  <c r="Q9" i="5" s="1"/>
  <c r="N224" i="7"/>
  <c r="N11" i="7"/>
  <c r="N91" i="7"/>
  <c r="N192" i="7"/>
  <c r="N267" i="7"/>
  <c r="N69" i="7"/>
  <c r="Q7" i="5" s="1"/>
  <c r="N97" i="7"/>
  <c r="J55" i="6" s="1"/>
  <c r="N220" i="7"/>
  <c r="N75" i="7"/>
  <c r="N115" i="7"/>
  <c r="N204" i="7"/>
  <c r="N253" i="7"/>
  <c r="N23" i="7"/>
  <c r="N283" i="7"/>
  <c r="N133" i="7"/>
  <c r="N51" i="7"/>
  <c r="N122" i="7"/>
  <c r="N210" i="7"/>
  <c r="N280" i="7"/>
  <c r="U319" i="7"/>
  <c r="W319" i="7"/>
  <c r="V319" i="7"/>
  <c r="H10" i="14"/>
  <c r="O143" i="37" s="1"/>
  <c r="C143" i="37" s="1"/>
  <c r="W143" i="37" s="1"/>
  <c r="I10" i="14"/>
  <c r="W271" i="7"/>
  <c r="V271" i="7"/>
  <c r="U271" i="7"/>
  <c r="H58" i="14"/>
  <c r="O204" i="37" s="1"/>
  <c r="C204" i="37" s="1"/>
  <c r="I58" i="14"/>
  <c r="V223" i="7"/>
  <c r="U223" i="7"/>
  <c r="H106" i="14"/>
  <c r="W223" i="7"/>
  <c r="O106" i="14" s="1"/>
  <c r="I106" i="14"/>
  <c r="U159" i="7"/>
  <c r="W159" i="7"/>
  <c r="V159" i="7"/>
  <c r="H170" i="14"/>
  <c r="O82" i="37" s="1"/>
  <c r="C82" i="37" s="1"/>
  <c r="W82" i="37" s="1"/>
  <c r="I170" i="14"/>
  <c r="W127" i="7"/>
  <c r="V127" i="7"/>
  <c r="U127" i="7"/>
  <c r="H202" i="14"/>
  <c r="O275" i="37" s="1"/>
  <c r="I202" i="14"/>
  <c r="W80" i="7"/>
  <c r="V80" i="7"/>
  <c r="U80" i="7"/>
  <c r="H250" i="14"/>
  <c r="O60" i="37" s="1"/>
  <c r="C60" i="37" s="1"/>
  <c r="W60" i="37" s="1"/>
  <c r="I250" i="14"/>
  <c r="H315" i="14"/>
  <c r="O165" i="37" s="1"/>
  <c r="V15" i="7"/>
  <c r="N315" i="14" s="1"/>
  <c r="W15" i="7"/>
  <c r="U15" i="7"/>
  <c r="I315" i="14"/>
  <c r="U302" i="7"/>
  <c r="V302" i="7"/>
  <c r="N27" i="14" s="1"/>
  <c r="H27" i="14"/>
  <c r="O208" i="37" s="1"/>
  <c r="W302" i="7"/>
  <c r="I27" i="14"/>
  <c r="U238" i="7"/>
  <c r="W238" i="7"/>
  <c r="V238" i="7"/>
  <c r="H91" i="14"/>
  <c r="O219" i="37" s="1"/>
  <c r="I91" i="14"/>
  <c r="W206" i="7"/>
  <c r="V206" i="7"/>
  <c r="U206" i="7"/>
  <c r="H123" i="14"/>
  <c r="O198" i="37" s="1"/>
  <c r="I123" i="14"/>
  <c r="H171" i="14"/>
  <c r="O95" i="37" s="1"/>
  <c r="W158" i="7"/>
  <c r="V158" i="7"/>
  <c r="N171" i="14" s="1"/>
  <c r="U158" i="7"/>
  <c r="I171" i="14"/>
  <c r="W110" i="7"/>
  <c r="V110" i="7"/>
  <c r="N219" i="14" s="1"/>
  <c r="U110" i="7"/>
  <c r="H219" i="14"/>
  <c r="O271" i="37" s="1"/>
  <c r="I219" i="14"/>
  <c r="W63" i="7"/>
  <c r="V63" i="7"/>
  <c r="U63" i="7"/>
  <c r="H267" i="14"/>
  <c r="O262" i="37" s="1"/>
  <c r="C262" i="37" s="1"/>
  <c r="W262" i="37" s="1"/>
  <c r="I267" i="14"/>
  <c r="U14" i="7"/>
  <c r="W14" i="7"/>
  <c r="V14" i="7"/>
  <c r="N316" i="14" s="1"/>
  <c r="H316" i="14"/>
  <c r="O170" i="37" s="1"/>
  <c r="I316" i="14"/>
  <c r="U289" i="7"/>
  <c r="V289" i="7"/>
  <c r="W289" i="7"/>
  <c r="H40" i="14"/>
  <c r="O301" i="37" s="1"/>
  <c r="I40" i="14"/>
  <c r="U241" i="7"/>
  <c r="W241" i="7"/>
  <c r="V241" i="7"/>
  <c r="H88" i="14"/>
  <c r="O239" i="37" s="1"/>
  <c r="C239" i="37" s="1"/>
  <c r="I88" i="14"/>
  <c r="V193" i="7"/>
  <c r="N136" i="14" s="1"/>
  <c r="U193" i="7"/>
  <c r="W193" i="7"/>
  <c r="H136" i="14"/>
  <c r="O45" i="37" s="1"/>
  <c r="C45" i="37" s="1"/>
  <c r="W45" i="37" s="1"/>
  <c r="I136" i="14"/>
  <c r="W161" i="7"/>
  <c r="V161" i="7"/>
  <c r="N168" i="14" s="1"/>
  <c r="U161" i="7"/>
  <c r="H168" i="14"/>
  <c r="I168" i="14"/>
  <c r="W113" i="7"/>
  <c r="V113" i="7"/>
  <c r="U113" i="7"/>
  <c r="H216" i="14"/>
  <c r="O36" i="37" s="1"/>
  <c r="I216" i="14"/>
  <c r="U82" i="7"/>
  <c r="H248" i="14"/>
  <c r="O267" i="37" s="1"/>
  <c r="W82" i="7"/>
  <c r="V82" i="7"/>
  <c r="N248" i="14" s="1"/>
  <c r="V33" i="7"/>
  <c r="U33" i="7"/>
  <c r="W33" i="7"/>
  <c r="H297" i="14"/>
  <c r="O255" i="37" s="1"/>
  <c r="C255" i="37" s="1"/>
  <c r="W255" i="37" s="1"/>
  <c r="I297" i="14"/>
  <c r="H25" i="14"/>
  <c r="O135" i="37" s="1"/>
  <c r="W304" i="7"/>
  <c r="V304" i="7"/>
  <c r="N25" i="14" s="1"/>
  <c r="U304" i="7"/>
  <c r="U272" i="7"/>
  <c r="H57" i="14"/>
  <c r="O205" i="37" s="1"/>
  <c r="W272" i="7"/>
  <c r="V272" i="7"/>
  <c r="W224" i="7"/>
  <c r="V224" i="7"/>
  <c r="U224" i="7"/>
  <c r="H105" i="14"/>
  <c r="O168" i="37" s="1"/>
  <c r="C168" i="37" s="1"/>
  <c r="W168" i="37" s="1"/>
  <c r="I105" i="14"/>
  <c r="V192" i="7"/>
  <c r="W192" i="7"/>
  <c r="U192" i="7"/>
  <c r="H137" i="14"/>
  <c r="O64" i="37" s="1"/>
  <c r="C64" i="37" s="1"/>
  <c r="W64" i="37" s="1"/>
  <c r="I137" i="14"/>
  <c r="V144" i="7"/>
  <c r="N185" i="14" s="1"/>
  <c r="U144" i="7"/>
  <c r="W144" i="7"/>
  <c r="H185" i="14"/>
  <c r="O279" i="37" s="1"/>
  <c r="C279" i="37" s="1"/>
  <c r="W279" i="37" s="1"/>
  <c r="I185" i="14"/>
  <c r="W96" i="7"/>
  <c r="V96" i="7"/>
  <c r="N233" i="14" s="1"/>
  <c r="U96" i="7"/>
  <c r="H233" i="14"/>
  <c r="O187" i="37" s="1"/>
  <c r="W65" i="7"/>
  <c r="V65" i="7"/>
  <c r="N265" i="14" s="1"/>
  <c r="U65" i="7"/>
  <c r="H265" i="14"/>
  <c r="O263" i="37" s="1"/>
  <c r="C263" i="37" s="1"/>
  <c r="I265" i="14"/>
  <c r="U16" i="7"/>
  <c r="W16" i="7"/>
  <c r="H314" i="14"/>
  <c r="O250" i="37" s="1"/>
  <c r="V16" i="7"/>
  <c r="I314" i="14"/>
  <c r="N59" i="7"/>
  <c r="R31" i="5" s="1"/>
  <c r="N159" i="7"/>
  <c r="Q11" i="5" s="1"/>
  <c r="N240" i="7"/>
  <c r="R264" i="5" s="1"/>
  <c r="N81" i="7"/>
  <c r="N246" i="7"/>
  <c r="N86" i="7"/>
  <c r="N218" i="7"/>
  <c r="N17" i="7"/>
  <c r="N42" i="7"/>
  <c r="N66" i="7"/>
  <c r="N94" i="7"/>
  <c r="N112" i="7"/>
  <c r="N138" i="7"/>
  <c r="N164" i="7"/>
  <c r="N202" i="7"/>
  <c r="N225" i="7"/>
  <c r="N250" i="7"/>
  <c r="N271" i="7"/>
  <c r="N302" i="7"/>
  <c r="N324" i="7"/>
  <c r="N68" i="7"/>
  <c r="R240" i="5" s="1"/>
  <c r="N171" i="7"/>
  <c r="R33" i="5" s="1"/>
  <c r="N241" i="7"/>
  <c r="N89" i="7"/>
  <c r="N273" i="7"/>
  <c r="N87" i="7"/>
  <c r="N219" i="7"/>
  <c r="N18" i="7"/>
  <c r="N43" i="7"/>
  <c r="N72" i="7"/>
  <c r="N96" i="7"/>
  <c r="N113" i="7"/>
  <c r="N139" i="7"/>
  <c r="N167" i="7"/>
  <c r="N203" i="7"/>
  <c r="N226" i="7"/>
  <c r="N251" i="7"/>
  <c r="N272" i="7"/>
  <c r="N303" i="7"/>
  <c r="N15" i="7"/>
  <c r="R28" i="5" s="1"/>
  <c r="N95" i="7"/>
  <c r="R246" i="5" s="1"/>
  <c r="N180" i="7"/>
  <c r="N282" i="7"/>
  <c r="N154" i="7"/>
  <c r="N313" i="7"/>
  <c r="N132" i="7"/>
  <c r="N285" i="7"/>
  <c r="N25" i="7"/>
  <c r="N50" i="7"/>
  <c r="N79" i="7"/>
  <c r="N102" i="7"/>
  <c r="N121" i="7"/>
  <c r="N145" i="7"/>
  <c r="N181" i="7"/>
  <c r="N209" i="7"/>
  <c r="N231" i="7"/>
  <c r="N258" i="7"/>
  <c r="N279" i="7"/>
  <c r="N309" i="7"/>
  <c r="N34" i="7"/>
  <c r="R238" i="5" s="1"/>
  <c r="N140" i="7"/>
  <c r="N198" i="7"/>
  <c r="R260" i="5" s="1"/>
  <c r="N298" i="7"/>
  <c r="R39" i="5" s="1"/>
  <c r="N197" i="7"/>
  <c r="N40" i="7"/>
  <c r="N184" i="7"/>
  <c r="N8" i="7"/>
  <c r="N33" i="7"/>
  <c r="N60" i="7"/>
  <c r="N107" i="7"/>
  <c r="N129" i="7"/>
  <c r="N156" i="7"/>
  <c r="N190" i="7"/>
  <c r="N216" i="7"/>
  <c r="N242" i="7"/>
  <c r="N265" i="7"/>
  <c r="N289" i="7"/>
  <c r="N318" i="7"/>
  <c r="N321" i="7"/>
  <c r="V315" i="7"/>
  <c r="U315" i="7"/>
  <c r="W315" i="7"/>
  <c r="H14" i="14"/>
  <c r="O210" i="37" s="1"/>
  <c r="C210" i="37" s="1"/>
  <c r="W299" i="7"/>
  <c r="U299" i="7"/>
  <c r="V299" i="7"/>
  <c r="H30" i="14"/>
  <c r="O164" i="37" s="1"/>
  <c r="C164" i="37" s="1"/>
  <c r="W164" i="37" s="1"/>
  <c r="H46" i="14"/>
  <c r="O53" i="37" s="1"/>
  <c r="V283" i="7"/>
  <c r="N46" i="14" s="1"/>
  <c r="W283" i="7"/>
  <c r="U283" i="7"/>
  <c r="I46" i="14"/>
  <c r="V267" i="7"/>
  <c r="N62" i="14" s="1"/>
  <c r="U267" i="7"/>
  <c r="W267" i="7"/>
  <c r="H62" i="14"/>
  <c r="O27" i="37" s="1"/>
  <c r="I62" i="14"/>
  <c r="V251" i="7"/>
  <c r="U251" i="7"/>
  <c r="W251" i="7"/>
  <c r="H78" i="14"/>
  <c r="O201" i="37" s="1"/>
  <c r="C201" i="37" s="1"/>
  <c r="I78" i="14"/>
  <c r="W235" i="7"/>
  <c r="V235" i="7"/>
  <c r="U235" i="7"/>
  <c r="H94" i="14"/>
  <c r="O11" i="37" s="1"/>
  <c r="C11" i="37" s="1"/>
  <c r="W11" i="37" s="1"/>
  <c r="I94" i="14"/>
  <c r="U219" i="7"/>
  <c r="W219" i="7"/>
  <c r="V219" i="7"/>
  <c r="H110" i="14"/>
  <c r="O137" i="37" s="1"/>
  <c r="C137" i="37" s="1"/>
  <c r="W137" i="37" s="1"/>
  <c r="I110" i="14"/>
  <c r="W203" i="7"/>
  <c r="V203" i="7"/>
  <c r="U203" i="7"/>
  <c r="H126" i="14"/>
  <c r="O197" i="37" s="1"/>
  <c r="I126" i="14"/>
  <c r="W187" i="7"/>
  <c r="H142" i="14"/>
  <c r="O97" i="37" s="1"/>
  <c r="U187" i="7"/>
  <c r="V187" i="7"/>
  <c r="N142" i="14" s="1"/>
  <c r="I142" i="14"/>
  <c r="W171" i="7"/>
  <c r="U171" i="7"/>
  <c r="H158" i="14"/>
  <c r="O85" i="37" s="1"/>
  <c r="V171" i="7"/>
  <c r="I158" i="14"/>
  <c r="H174" i="14"/>
  <c r="O29" i="37" s="1"/>
  <c r="W155" i="7"/>
  <c r="U155" i="7"/>
  <c r="V155" i="7"/>
  <c r="N174" i="14" s="1"/>
  <c r="I174" i="14"/>
  <c r="V139" i="7"/>
  <c r="N190" i="14" s="1"/>
  <c r="U139" i="7"/>
  <c r="W139" i="7"/>
  <c r="H190" i="14"/>
  <c r="O192" i="37" s="1"/>
  <c r="I190" i="14"/>
  <c r="U123" i="7"/>
  <c r="V123" i="7"/>
  <c r="N206" i="14" s="1"/>
  <c r="W123" i="7"/>
  <c r="H206" i="14"/>
  <c r="O93" i="37" s="1"/>
  <c r="C93" i="37" s="1"/>
  <c r="W93" i="37" s="1"/>
  <c r="I206" i="14"/>
  <c r="V107" i="7"/>
  <c r="H222" i="14"/>
  <c r="O116" i="37" s="1"/>
  <c r="U107" i="7"/>
  <c r="W107" i="7"/>
  <c r="I222" i="14"/>
  <c r="U91" i="7"/>
  <c r="V91" i="7"/>
  <c r="W91" i="7"/>
  <c r="H238" i="14"/>
  <c r="O151" i="37" s="1"/>
  <c r="I238" i="14"/>
  <c r="V76" i="7"/>
  <c r="N254" i="14" s="1"/>
  <c r="U76" i="7"/>
  <c r="W76" i="7"/>
  <c r="H254" i="14"/>
  <c r="O265" i="37" s="1"/>
  <c r="I254" i="14"/>
  <c r="W60" i="7"/>
  <c r="V60" i="7"/>
  <c r="U60" i="7"/>
  <c r="H270" i="14"/>
  <c r="O260" i="37" s="1"/>
  <c r="C260" i="37" s="1"/>
  <c r="W260" i="37" s="1"/>
  <c r="I270" i="14"/>
  <c r="H286" i="14"/>
  <c r="O55" i="37" s="1"/>
  <c r="W44" i="7"/>
  <c r="U44" i="7"/>
  <c r="V44" i="7"/>
  <c r="V27" i="7"/>
  <c r="U27" i="7"/>
  <c r="W27" i="7"/>
  <c r="H303" i="14"/>
  <c r="O76" i="37" s="1"/>
  <c r="V11" i="7"/>
  <c r="W11" i="7"/>
  <c r="U11" i="7"/>
  <c r="H319" i="14"/>
  <c r="O102" i="37" s="1"/>
  <c r="I319" i="14"/>
  <c r="V314" i="7"/>
  <c r="N15" i="14" s="1"/>
  <c r="U314" i="7"/>
  <c r="W314" i="7"/>
  <c r="H15" i="14"/>
  <c r="O309" i="37" s="1"/>
  <c r="C309" i="37" s="1"/>
  <c r="W309" i="37" s="1"/>
  <c r="I15" i="14"/>
  <c r="V298" i="7"/>
  <c r="N31" i="14" s="1"/>
  <c r="U298" i="7"/>
  <c r="W298" i="7"/>
  <c r="H31" i="14"/>
  <c r="O9" i="37" s="1"/>
  <c r="C9" i="37" s="1"/>
  <c r="W9" i="37" s="1"/>
  <c r="I31" i="14"/>
  <c r="U282" i="7"/>
  <c r="W282" i="7"/>
  <c r="V282" i="7"/>
  <c r="N47" i="14" s="1"/>
  <c r="H47" i="14"/>
  <c r="O243" i="37" s="1"/>
  <c r="C243" i="37" s="1"/>
  <c r="W243" i="37" s="1"/>
  <c r="I47" i="14"/>
  <c r="H63" i="14"/>
  <c r="O131" i="37" s="1"/>
  <c r="W266" i="7"/>
  <c r="V266" i="7"/>
  <c r="N63" i="14" s="1"/>
  <c r="U266" i="7"/>
  <c r="V250" i="7"/>
  <c r="U250" i="7"/>
  <c r="H79" i="14"/>
  <c r="O129" i="37" s="1"/>
  <c r="W250" i="7"/>
  <c r="I79" i="14"/>
  <c r="W234" i="7"/>
  <c r="V234" i="7"/>
  <c r="N95" i="14" s="1"/>
  <c r="U234" i="7"/>
  <c r="H95" i="14"/>
  <c r="O294" i="37" s="1"/>
  <c r="C294" i="37" s="1"/>
  <c r="W294" i="37" s="1"/>
  <c r="I95" i="14"/>
  <c r="U218" i="7"/>
  <c r="H111" i="14"/>
  <c r="O98" i="37" s="1"/>
  <c r="W218" i="7"/>
  <c r="V218" i="7"/>
  <c r="N111" i="14" s="1"/>
  <c r="V202" i="7"/>
  <c r="N127" i="14" s="1"/>
  <c r="U202" i="7"/>
  <c r="W202" i="7"/>
  <c r="H127" i="14"/>
  <c r="O65" i="37" s="1"/>
  <c r="I127" i="14"/>
  <c r="V186" i="7"/>
  <c r="U186" i="7"/>
  <c r="W186" i="7"/>
  <c r="H143" i="14"/>
  <c r="O10" i="37" s="1"/>
  <c r="C10" i="37" s="1"/>
  <c r="W10" i="37" s="1"/>
  <c r="V170" i="7"/>
  <c r="U170" i="7"/>
  <c r="W170" i="7"/>
  <c r="H159" i="14"/>
  <c r="O63" i="37" s="1"/>
  <c r="I159" i="14"/>
  <c r="V154" i="7"/>
  <c r="U154" i="7"/>
  <c r="W154" i="7"/>
  <c r="H175" i="14"/>
  <c r="O81" i="37" s="1"/>
  <c r="C81" i="37" s="1"/>
  <c r="W81" i="37" s="1"/>
  <c r="I175" i="14"/>
  <c r="W138" i="7"/>
  <c r="V138" i="7"/>
  <c r="N191" i="14" s="1"/>
  <c r="U138" i="7"/>
  <c r="H191" i="14"/>
  <c r="O161" i="37" s="1"/>
  <c r="I191" i="14"/>
  <c r="W122" i="7"/>
  <c r="V122" i="7"/>
  <c r="U122" i="7"/>
  <c r="H207" i="14"/>
  <c r="O273" i="37" s="1"/>
  <c r="C273" i="37" s="1"/>
  <c r="W273" i="37" s="1"/>
  <c r="I207" i="14"/>
  <c r="H223" i="14"/>
  <c r="O115" i="37" s="1"/>
  <c r="W106" i="7"/>
  <c r="V106" i="7"/>
  <c r="N223" i="14" s="1"/>
  <c r="U106" i="7"/>
  <c r="I223" i="14"/>
  <c r="W90" i="7"/>
  <c r="V90" i="7"/>
  <c r="N239" i="14" s="1"/>
  <c r="U90" i="7"/>
  <c r="H239" i="14"/>
  <c r="O111" i="37" s="1"/>
  <c r="C111" i="37" s="1"/>
  <c r="W111" i="37" s="1"/>
  <c r="I239" i="14"/>
  <c r="W75" i="7"/>
  <c r="U75" i="7"/>
  <c r="V75" i="7"/>
  <c r="H255" i="14"/>
  <c r="O109" i="37" s="1"/>
  <c r="I255" i="14"/>
  <c r="W59" i="7"/>
  <c r="U59" i="7"/>
  <c r="V59" i="7"/>
  <c r="N271" i="14" s="1"/>
  <c r="H271" i="14"/>
  <c r="O216" i="37" s="1"/>
  <c r="I271" i="14"/>
  <c r="W43" i="7"/>
  <c r="U43" i="7"/>
  <c r="V43" i="7"/>
  <c r="N287" i="14" s="1"/>
  <c r="H287" i="14"/>
  <c r="O184" i="37" s="1"/>
  <c r="C184" i="37" s="1"/>
  <c r="W184" i="37" s="1"/>
  <c r="I287" i="14"/>
  <c r="W26" i="7"/>
  <c r="V26" i="7"/>
  <c r="N304" i="14" s="1"/>
  <c r="U26" i="7"/>
  <c r="H304" i="14"/>
  <c r="O253" i="37" s="1"/>
  <c r="C253" i="37" s="1"/>
  <c r="W253" i="37" s="1"/>
  <c r="I304" i="14"/>
  <c r="U10" i="7"/>
  <c r="H320" i="14"/>
  <c r="O101" i="37" s="1"/>
  <c r="W10" i="7"/>
  <c r="V10" i="7"/>
  <c r="V317" i="7"/>
  <c r="N12" i="14" s="1"/>
  <c r="U317" i="7"/>
  <c r="W317" i="7"/>
  <c r="H12" i="14"/>
  <c r="O100" i="37" s="1"/>
  <c r="C100" i="37" s="1"/>
  <c r="W100" i="37" s="1"/>
  <c r="I12" i="14"/>
  <c r="H28" i="14"/>
  <c r="W301" i="7"/>
  <c r="V301" i="7"/>
  <c r="U301" i="7"/>
  <c r="W285" i="7"/>
  <c r="V285" i="7"/>
  <c r="H44" i="14"/>
  <c r="O181" i="37" s="1"/>
  <c r="U285" i="7"/>
  <c r="I44" i="14"/>
  <c r="V269" i="7"/>
  <c r="U269" i="7"/>
  <c r="W269" i="7"/>
  <c r="H60" i="14"/>
  <c r="O133" i="37" s="1"/>
  <c r="I60" i="14"/>
  <c r="V253" i="7"/>
  <c r="W253" i="7"/>
  <c r="U253" i="7"/>
  <c r="H76" i="14"/>
  <c r="O42" i="37" s="1"/>
  <c r="C42" i="37" s="1"/>
  <c r="W42" i="37" s="1"/>
  <c r="I76" i="14"/>
  <c r="V237" i="7"/>
  <c r="N92" i="14" s="1"/>
  <c r="U237" i="7"/>
  <c r="W237" i="7"/>
  <c r="H92" i="14"/>
  <c r="O25" i="37" s="1"/>
  <c r="I92" i="14"/>
  <c r="W221" i="7"/>
  <c r="V221" i="7"/>
  <c r="U221" i="7"/>
  <c r="H108" i="14"/>
  <c r="O293" i="37" s="1"/>
  <c r="W205" i="7"/>
  <c r="V205" i="7"/>
  <c r="U205" i="7"/>
  <c r="H124" i="14"/>
  <c r="O289" i="37" s="1"/>
  <c r="U189" i="7"/>
  <c r="W189" i="7"/>
  <c r="V189" i="7"/>
  <c r="H140" i="14"/>
  <c r="O196" i="37" s="1"/>
  <c r="I140" i="14"/>
  <c r="W173" i="7"/>
  <c r="V173" i="7"/>
  <c r="U173" i="7"/>
  <c r="H156" i="14"/>
  <c r="O96" i="37" s="1"/>
  <c r="I156" i="14"/>
  <c r="W157" i="7"/>
  <c r="V157" i="7"/>
  <c r="N172" i="14" s="1"/>
  <c r="U157" i="7"/>
  <c r="H172" i="14"/>
  <c r="O14" i="37" s="1"/>
  <c r="C14" i="37" s="1"/>
  <c r="W14" i="37" s="1"/>
  <c r="I172" i="14"/>
  <c r="W141" i="7"/>
  <c r="V141" i="7"/>
  <c r="N188" i="14" s="1"/>
  <c r="U141" i="7"/>
  <c r="H188" i="14"/>
  <c r="O62" i="37" s="1"/>
  <c r="C62" i="37" s="1"/>
  <c r="W62" i="37" s="1"/>
  <c r="I188" i="14"/>
  <c r="U125" i="7"/>
  <c r="H204" i="14"/>
  <c r="O51" i="37" s="1"/>
  <c r="W125" i="7"/>
  <c r="V125" i="7"/>
  <c r="N204" i="14" s="1"/>
  <c r="V109" i="7"/>
  <c r="N220" i="14" s="1"/>
  <c r="U109" i="7"/>
  <c r="W109" i="7"/>
  <c r="H220" i="14"/>
  <c r="O270" i="37" s="1"/>
  <c r="I220" i="14"/>
  <c r="V93" i="7"/>
  <c r="U93" i="7"/>
  <c r="W93" i="7"/>
  <c r="H236" i="14"/>
  <c r="O112" i="37" s="1"/>
  <c r="I236" i="14"/>
  <c r="W78" i="7"/>
  <c r="V78" i="7"/>
  <c r="N252" i="14" s="1"/>
  <c r="U78" i="7"/>
  <c r="H252" i="14"/>
  <c r="O266" i="37" s="1"/>
  <c r="C266" i="37" s="1"/>
  <c r="W266" i="37" s="1"/>
  <c r="I252" i="14"/>
  <c r="W62" i="7"/>
  <c r="V62" i="7"/>
  <c r="N268" i="14" s="1"/>
  <c r="U62" i="7"/>
  <c r="H268" i="14"/>
  <c r="O166" i="37" s="1"/>
  <c r="C166" i="37" s="1"/>
  <c r="W166" i="37" s="1"/>
  <c r="I268" i="14"/>
  <c r="H284" i="14"/>
  <c r="O178" i="37" s="1"/>
  <c r="W46" i="7"/>
  <c r="V46" i="7"/>
  <c r="U46" i="7"/>
  <c r="I284" i="14"/>
  <c r="U29" i="7"/>
  <c r="W29" i="7"/>
  <c r="V29" i="7"/>
  <c r="N301" i="14" s="1"/>
  <c r="H301" i="14"/>
  <c r="O254" i="37" s="1"/>
  <c r="C254" i="37" s="1"/>
  <c r="W254" i="37" s="1"/>
  <c r="I301" i="14"/>
  <c r="W13" i="7"/>
  <c r="V13" i="7"/>
  <c r="N317" i="14" s="1"/>
  <c r="U13" i="7"/>
  <c r="H317" i="14"/>
  <c r="O223" i="37" s="1"/>
  <c r="I317" i="14"/>
  <c r="V316" i="7"/>
  <c r="N13" i="14" s="1"/>
  <c r="U316" i="7"/>
  <c r="H13" i="14"/>
  <c r="O310" i="37" s="1"/>
  <c r="W316" i="7"/>
  <c r="H29" i="14"/>
  <c r="O304" i="37" s="1"/>
  <c r="W300" i="7"/>
  <c r="V300" i="7"/>
  <c r="U300" i="7"/>
  <c r="V284" i="7"/>
  <c r="N45" i="14" s="1"/>
  <c r="U284" i="7"/>
  <c r="H45" i="14"/>
  <c r="O160" i="37" s="1"/>
  <c r="W284" i="7"/>
  <c r="I45" i="14"/>
  <c r="W268" i="7"/>
  <c r="V268" i="7"/>
  <c r="U268" i="7"/>
  <c r="H61" i="14"/>
  <c r="O132" i="37" s="1"/>
  <c r="C132" i="37" s="1"/>
  <c r="W132" i="37" s="1"/>
  <c r="I61" i="14"/>
  <c r="V252" i="7"/>
  <c r="U252" i="7"/>
  <c r="H77" i="14"/>
  <c r="O241" i="37" s="1"/>
  <c r="W252" i="7"/>
  <c r="I77" i="14"/>
  <c r="U236" i="7"/>
  <c r="V236" i="7"/>
  <c r="N93" i="14" s="1"/>
  <c r="H93" i="14"/>
  <c r="O158" i="37" s="1"/>
  <c r="C158" i="37" s="1"/>
  <c r="W158" i="37" s="1"/>
  <c r="W236" i="7"/>
  <c r="I93" i="14"/>
  <c r="W220" i="7"/>
  <c r="U220" i="7"/>
  <c r="V220" i="7"/>
  <c r="H109" i="14"/>
  <c r="O148" i="37" s="1"/>
  <c r="C148" i="37" s="1"/>
  <c r="W148" i="37" s="1"/>
  <c r="I109" i="14"/>
  <c r="W204" i="7"/>
  <c r="H125" i="14"/>
  <c r="O288" i="37" s="1"/>
  <c r="U204" i="7"/>
  <c r="V204" i="7"/>
  <c r="N125" i="14" s="1"/>
  <c r="I125" i="14"/>
  <c r="V188" i="7"/>
  <c r="W188" i="7"/>
  <c r="U188" i="7"/>
  <c r="H141" i="14"/>
  <c r="O237" i="37" s="1"/>
  <c r="I141" i="14"/>
  <c r="V172" i="7"/>
  <c r="W172" i="7"/>
  <c r="U172" i="7"/>
  <c r="H157" i="14"/>
  <c r="O233" i="37" s="1"/>
  <c r="I157" i="14"/>
  <c r="H173" i="14"/>
  <c r="O39" i="37" s="1"/>
  <c r="U156" i="7"/>
  <c r="W156" i="7"/>
  <c r="V156" i="7"/>
  <c r="I173" i="14"/>
  <c r="U140" i="7"/>
  <c r="W140" i="7"/>
  <c r="O189" i="14" s="1"/>
  <c r="V140" i="7"/>
  <c r="H189" i="14"/>
  <c r="V124" i="7"/>
  <c r="N205" i="14" s="1"/>
  <c r="U124" i="7"/>
  <c r="W124" i="7"/>
  <c r="H205" i="14"/>
  <c r="O274" i="37" s="1"/>
  <c r="C274" i="37" s="1"/>
  <c r="W274" i="37" s="1"/>
  <c r="I205" i="14"/>
  <c r="H221" i="14"/>
  <c r="O189" i="37" s="1"/>
  <c r="W108" i="7"/>
  <c r="V108" i="7"/>
  <c r="N221" i="14" s="1"/>
  <c r="U108" i="7"/>
  <c r="I221" i="14"/>
  <c r="V92" i="7"/>
  <c r="U92" i="7"/>
  <c r="W92" i="7"/>
  <c r="H237" i="14"/>
  <c r="O152" i="37" s="1"/>
  <c r="C152" i="37" s="1"/>
  <c r="W152" i="37" s="1"/>
  <c r="U77" i="7"/>
  <c r="H253" i="14"/>
  <c r="O110" i="37" s="1"/>
  <c r="W77" i="7"/>
  <c r="V77" i="7"/>
  <c r="N253" i="14" s="1"/>
  <c r="I253" i="14"/>
  <c r="V61" i="7"/>
  <c r="N269" i="14" s="1"/>
  <c r="U61" i="7"/>
  <c r="W61" i="7"/>
  <c r="H269" i="14"/>
  <c r="O261" i="37" s="1"/>
  <c r="C261" i="37" s="1"/>
  <c r="W261" i="37" s="1"/>
  <c r="I269" i="14"/>
  <c r="W45" i="7"/>
  <c r="H285" i="14"/>
  <c r="O21" i="37" s="1"/>
  <c r="V45" i="7"/>
  <c r="U45" i="7"/>
  <c r="I285" i="14"/>
  <c r="W28" i="7"/>
  <c r="V28" i="7"/>
  <c r="U28" i="7"/>
  <c r="H302" i="14"/>
  <c r="O140" i="37" s="1"/>
  <c r="C140" i="37" s="1"/>
  <c r="W140" i="37" s="1"/>
  <c r="I302" i="14"/>
  <c r="W12" i="7"/>
  <c r="V12" i="7"/>
  <c r="N318" i="14" s="1"/>
  <c r="U12" i="7"/>
  <c r="H318" i="14"/>
  <c r="O16" i="37" s="1"/>
  <c r="C16" i="37" s="1"/>
  <c r="W16" i="37" s="1"/>
  <c r="I318" i="14"/>
  <c r="N199" i="7"/>
  <c r="Q15" i="5" s="1"/>
  <c r="N41" i="7"/>
  <c r="N61" i="7"/>
  <c r="N130" i="7"/>
  <c r="N217" i="7"/>
  <c r="N319" i="7"/>
  <c r="N235" i="7"/>
  <c r="R36" i="5" s="1"/>
  <c r="N194" i="7"/>
  <c r="N63" i="7"/>
  <c r="N131" i="7"/>
  <c r="N221" i="7"/>
  <c r="N293" i="7"/>
  <c r="N172" i="7"/>
  <c r="R34" i="5" s="1"/>
  <c r="N290" i="7"/>
  <c r="N19" i="7"/>
  <c r="N141" i="7"/>
  <c r="N227" i="7"/>
  <c r="N274" i="7"/>
  <c r="N114" i="7"/>
  <c r="N165" i="7"/>
  <c r="J42" i="6" s="1"/>
  <c r="N26" i="7"/>
  <c r="N103" i="7"/>
  <c r="N147" i="7"/>
  <c r="N232" i="7"/>
  <c r="N316" i="7"/>
  <c r="V287" i="7"/>
  <c r="N42" i="14" s="1"/>
  <c r="H42" i="14"/>
  <c r="O73" i="37" s="1"/>
  <c r="U287" i="7"/>
  <c r="W287" i="7"/>
  <c r="I42" i="14"/>
  <c r="U239" i="7"/>
  <c r="W239" i="7"/>
  <c r="V239" i="7"/>
  <c r="H90" i="14"/>
  <c r="O180" i="37" s="1"/>
  <c r="I90" i="14"/>
  <c r="U191" i="7"/>
  <c r="H138" i="14"/>
  <c r="O123" i="37" s="1"/>
  <c r="C123" i="37" s="1"/>
  <c r="W123" i="37" s="1"/>
  <c r="W191" i="7"/>
  <c r="V191" i="7"/>
  <c r="N138" i="14" s="1"/>
  <c r="I138" i="14"/>
  <c r="W143" i="7"/>
  <c r="V143" i="7"/>
  <c r="N186" i="14" s="1"/>
  <c r="H186" i="14"/>
  <c r="O121" i="37" s="1"/>
  <c r="U143" i="7"/>
  <c r="W95" i="7"/>
  <c r="V95" i="7"/>
  <c r="N234" i="14" s="1"/>
  <c r="U95" i="7"/>
  <c r="H234" i="14"/>
  <c r="O13" i="37" s="1"/>
  <c r="C13" i="37" s="1"/>
  <c r="W13" i="37" s="1"/>
  <c r="I234" i="14"/>
  <c r="W48" i="7"/>
  <c r="U48" i="7"/>
  <c r="V48" i="7"/>
  <c r="H282" i="14"/>
  <c r="O57" i="37" s="1"/>
  <c r="C57" i="37" s="1"/>
  <c r="W57" i="37" s="1"/>
  <c r="I282" i="14"/>
  <c r="W318" i="7"/>
  <c r="U318" i="7"/>
  <c r="V318" i="7"/>
  <c r="H11" i="14"/>
  <c r="O311" i="37" s="1"/>
  <c r="W270" i="7"/>
  <c r="V270" i="7"/>
  <c r="N59" i="14" s="1"/>
  <c r="U270" i="7"/>
  <c r="H59" i="14"/>
  <c r="O138" i="37" s="1"/>
  <c r="C138" i="37" s="1"/>
  <c r="W138" i="37" s="1"/>
  <c r="I59" i="14"/>
  <c r="V222" i="7"/>
  <c r="N107" i="14" s="1"/>
  <c r="U222" i="7"/>
  <c r="H107" i="14"/>
  <c r="O155" i="37" s="1"/>
  <c r="C155" i="37" s="1"/>
  <c r="W155" i="37" s="1"/>
  <c r="W222" i="7"/>
  <c r="H155" i="14"/>
  <c r="O217" i="37" s="1"/>
  <c r="W174" i="7"/>
  <c r="V174" i="7"/>
  <c r="N155" i="14" s="1"/>
  <c r="U174" i="7"/>
  <c r="I155" i="14"/>
  <c r="W126" i="7"/>
  <c r="V126" i="7"/>
  <c r="N203" i="14" s="1"/>
  <c r="U126" i="7"/>
  <c r="H203" i="14"/>
  <c r="O212" i="37" s="1"/>
  <c r="C212" i="37" s="1"/>
  <c r="W212" i="37" s="1"/>
  <c r="I203" i="14"/>
  <c r="W79" i="7"/>
  <c r="V79" i="7"/>
  <c r="U79" i="7"/>
  <c r="H251" i="14"/>
  <c r="O185" i="37" s="1"/>
  <c r="C185" i="37" s="1"/>
  <c r="W185" i="37" s="1"/>
  <c r="I251" i="14"/>
  <c r="U30" i="7"/>
  <c r="W30" i="7"/>
  <c r="V30" i="7"/>
  <c r="H300" i="14"/>
  <c r="O8" i="37" s="1"/>
  <c r="C8" i="37" s="1"/>
  <c r="W8" i="37" s="1"/>
  <c r="I300" i="14"/>
  <c r="H24" i="14"/>
  <c r="O306" i="37" s="1"/>
  <c r="W305" i="7"/>
  <c r="U305" i="7"/>
  <c r="V305" i="7"/>
  <c r="V273" i="7"/>
  <c r="N56" i="14" s="1"/>
  <c r="U273" i="7"/>
  <c r="W273" i="7"/>
  <c r="H56" i="14"/>
  <c r="O48" i="37" s="1"/>
  <c r="C48" i="37" s="1"/>
  <c r="W48" i="37" s="1"/>
  <c r="I56" i="14"/>
  <c r="W225" i="7"/>
  <c r="V225" i="7"/>
  <c r="N104" i="14" s="1"/>
  <c r="U225" i="7"/>
  <c r="H104" i="14"/>
  <c r="O67" i="37" s="1"/>
  <c r="C67" i="37" s="1"/>
  <c r="W67" i="37" s="1"/>
  <c r="I104" i="14"/>
  <c r="H152" i="14"/>
  <c r="O235" i="37" s="1"/>
  <c r="W177" i="7"/>
  <c r="V177" i="7"/>
  <c r="N152" i="14" s="1"/>
  <c r="U177" i="7"/>
  <c r="W97" i="7"/>
  <c r="V97" i="7"/>
  <c r="U97" i="7"/>
  <c r="H232" i="14"/>
  <c r="O231" i="37" s="1"/>
  <c r="C231" i="37" s="1"/>
  <c r="W231" i="37" s="1"/>
  <c r="W50" i="7"/>
  <c r="V50" i="7"/>
  <c r="U50" i="7"/>
  <c r="H280" i="14"/>
  <c r="O58" i="37" s="1"/>
  <c r="I280" i="14"/>
  <c r="W17" i="7"/>
  <c r="V17" i="7"/>
  <c r="N313" i="14" s="1"/>
  <c r="U17" i="7"/>
  <c r="H313" i="14"/>
  <c r="O183" i="37" s="1"/>
  <c r="I313" i="14"/>
  <c r="U288" i="7"/>
  <c r="V288" i="7"/>
  <c r="W288" i="7"/>
  <c r="H41" i="14"/>
  <c r="O74" i="37" s="1"/>
  <c r="I41" i="14"/>
  <c r="V256" i="7"/>
  <c r="U256" i="7"/>
  <c r="W256" i="7"/>
  <c r="H73" i="14"/>
  <c r="O43" i="37" s="1"/>
  <c r="C43" i="37" s="1"/>
  <c r="W43" i="37" s="1"/>
  <c r="I73" i="14"/>
  <c r="U208" i="7"/>
  <c r="H121" i="14"/>
  <c r="O218" i="37" s="1"/>
  <c r="W208" i="7"/>
  <c r="V208" i="7"/>
  <c r="V160" i="7"/>
  <c r="N169" i="14" s="1"/>
  <c r="U160" i="7"/>
  <c r="W160" i="7"/>
  <c r="H169" i="14"/>
  <c r="O194" i="37" s="1"/>
  <c r="C194" i="37" s="1"/>
  <c r="W194" i="37" s="1"/>
  <c r="I169" i="14"/>
  <c r="W112" i="7"/>
  <c r="V112" i="7"/>
  <c r="N217" i="14" s="1"/>
  <c r="U112" i="7"/>
  <c r="H217" i="14"/>
  <c r="O272" i="37" s="1"/>
  <c r="I217" i="14"/>
  <c r="U32" i="7"/>
  <c r="W32" i="7"/>
  <c r="V32" i="7"/>
  <c r="N298" i="14" s="1"/>
  <c r="H298" i="14"/>
  <c r="O104" i="37" s="1"/>
  <c r="C104" i="37" s="1"/>
  <c r="I298" i="14"/>
  <c r="N57" i="7"/>
  <c r="N71" i="7"/>
  <c r="R241" i="5" s="1"/>
  <c r="N174" i="7"/>
  <c r="R35" i="5" s="1"/>
  <c r="N270" i="7"/>
  <c r="N152" i="7"/>
  <c r="N297" i="7"/>
  <c r="N118" i="7"/>
  <c r="N259" i="7"/>
  <c r="N21" i="7"/>
  <c r="N47" i="7"/>
  <c r="N77" i="7"/>
  <c r="N100" i="7"/>
  <c r="N119" i="7"/>
  <c r="N143" i="7"/>
  <c r="N170" i="7"/>
  <c r="N206" i="7"/>
  <c r="N229" i="7"/>
  <c r="N256" i="7"/>
  <c r="N277" i="7"/>
  <c r="N307" i="7"/>
  <c r="N12" i="7"/>
  <c r="R237" i="5" s="1"/>
  <c r="N74" i="7"/>
  <c r="R243" i="5" s="1"/>
  <c r="N179" i="7"/>
  <c r="Q12" i="5" s="1"/>
  <c r="N276" i="7"/>
  <c r="R268" i="5" s="1"/>
  <c r="N153" i="7"/>
  <c r="N299" i="7"/>
  <c r="J41" i="6" s="1"/>
  <c r="N125" i="7"/>
  <c r="N264" i="7"/>
  <c r="N22" i="7"/>
  <c r="N48" i="7"/>
  <c r="N78" i="7"/>
  <c r="N101" i="7"/>
  <c r="N120" i="7"/>
  <c r="N144" i="7"/>
  <c r="N178" i="7"/>
  <c r="N207" i="7"/>
  <c r="N230" i="7"/>
  <c r="N257" i="7"/>
  <c r="N278" i="7"/>
  <c r="N308" i="7"/>
  <c r="N31" i="7"/>
  <c r="N137" i="7"/>
  <c r="N196" i="7"/>
  <c r="R258" i="5" s="1"/>
  <c r="N296" i="7"/>
  <c r="N188" i="7"/>
  <c r="N38" i="7"/>
  <c r="N177" i="7"/>
  <c r="N7" i="7"/>
  <c r="N32" i="7"/>
  <c r="N56" i="7"/>
  <c r="N85" i="7"/>
  <c r="N106" i="7"/>
  <c r="N128" i="7"/>
  <c r="N150" i="7"/>
  <c r="N189" i="7"/>
  <c r="N214" i="7"/>
  <c r="N237" i="7"/>
  <c r="N263" i="7"/>
  <c r="N288" i="7"/>
  <c r="N315" i="7"/>
  <c r="N58" i="7"/>
  <c r="Q6" i="5" s="1"/>
  <c r="N158" i="7"/>
  <c r="N239" i="7"/>
  <c r="Q16" i="5" s="1"/>
  <c r="N73" i="7"/>
  <c r="N245" i="7"/>
  <c r="N84" i="7"/>
  <c r="R178" i="5"/>
  <c r="N211" i="7"/>
  <c r="N16" i="7"/>
  <c r="N39" i="7"/>
  <c r="N65" i="7"/>
  <c r="N93" i="7"/>
  <c r="N111" i="7"/>
  <c r="N135" i="7"/>
  <c r="N163" i="7"/>
  <c r="N201" i="7"/>
  <c r="N223" i="7"/>
  <c r="N249" i="7"/>
  <c r="N269" i="7"/>
  <c r="N300" i="7"/>
  <c r="N323" i="7"/>
  <c r="N325" i="7"/>
  <c r="H18" i="14"/>
  <c r="O163" i="37" s="1"/>
  <c r="V311" i="7"/>
  <c r="W311" i="7"/>
  <c r="U311" i="7"/>
  <c r="I18" i="14"/>
  <c r="W295" i="7"/>
  <c r="U295" i="7"/>
  <c r="H34" i="14"/>
  <c r="O34" i="37" s="1"/>
  <c r="V295" i="7"/>
  <c r="I34" i="14"/>
  <c r="U279" i="7"/>
  <c r="H50" i="14"/>
  <c r="O72" i="37" s="1"/>
  <c r="V279" i="7"/>
  <c r="W279" i="7"/>
  <c r="U263" i="7"/>
  <c r="V263" i="7"/>
  <c r="W263" i="7"/>
  <c r="H66" i="14"/>
  <c r="O203" i="37" s="1"/>
  <c r="C203" i="37" s="1"/>
  <c r="I66" i="14"/>
  <c r="U247" i="7"/>
  <c r="W247" i="7"/>
  <c r="H82" i="14"/>
  <c r="O295" i="37" s="1"/>
  <c r="V247" i="7"/>
  <c r="N82" i="14" s="1"/>
  <c r="W231" i="7"/>
  <c r="V231" i="7"/>
  <c r="N98" i="14" s="1"/>
  <c r="U231" i="7"/>
  <c r="H98" i="14"/>
  <c r="O126" i="37" s="1"/>
  <c r="I98" i="14"/>
  <c r="W215" i="7"/>
  <c r="V215" i="7"/>
  <c r="U215" i="7"/>
  <c r="H114" i="14"/>
  <c r="O44" i="37" s="1"/>
  <c r="I114" i="14"/>
  <c r="U199" i="7"/>
  <c r="V199" i="7"/>
  <c r="N130" i="14" s="1"/>
  <c r="W199" i="7"/>
  <c r="H130" i="14"/>
  <c r="O17" i="37" s="1"/>
  <c r="C17" i="37" s="1"/>
  <c r="W17" i="37" s="1"/>
  <c r="I130" i="14"/>
  <c r="W183" i="7"/>
  <c r="U183" i="7"/>
  <c r="V183" i="7"/>
  <c r="N146" i="14" s="1"/>
  <c r="H146" i="14"/>
  <c r="O31" i="37" s="1"/>
  <c r="C31" i="37" s="1"/>
  <c r="I146" i="14"/>
  <c r="W167" i="7"/>
  <c r="U167" i="7"/>
  <c r="V167" i="7"/>
  <c r="H162" i="14"/>
  <c r="O284" i="37" s="1"/>
  <c r="C284" i="37" s="1"/>
  <c r="W151" i="7"/>
  <c r="U151" i="7"/>
  <c r="V151" i="7"/>
  <c r="H178" i="14"/>
  <c r="O146" i="37" s="1"/>
  <c r="C146" i="37" s="1"/>
  <c r="W146" i="37" s="1"/>
  <c r="I178" i="14"/>
  <c r="U135" i="7"/>
  <c r="V135" i="7"/>
  <c r="W135" i="7"/>
  <c r="H194" i="14"/>
  <c r="O278" i="37" s="1"/>
  <c r="I194" i="14"/>
  <c r="V119" i="7"/>
  <c r="U119" i="7"/>
  <c r="W119" i="7"/>
  <c r="H210" i="14"/>
  <c r="O190" i="37" s="1"/>
  <c r="I210" i="14"/>
  <c r="U103" i="7"/>
  <c r="H226" i="14"/>
  <c r="O188" i="37" s="1"/>
  <c r="V103" i="7"/>
  <c r="W103" i="7"/>
  <c r="I226" i="14"/>
  <c r="U87" i="7"/>
  <c r="V87" i="7"/>
  <c r="N242" i="14" s="1"/>
  <c r="W87" i="7"/>
  <c r="H242" i="14"/>
  <c r="O47" i="37" s="1"/>
  <c r="C47" i="37" s="1"/>
  <c r="W47" i="37" s="1"/>
  <c r="I242" i="14"/>
  <c r="V72" i="7"/>
  <c r="N258" i="14" s="1"/>
  <c r="U72" i="7"/>
  <c r="W72" i="7"/>
  <c r="H258" i="14"/>
  <c r="O264" i="37" s="1"/>
  <c r="V56" i="7"/>
  <c r="N274" i="14" s="1"/>
  <c r="U56" i="7"/>
  <c r="W56" i="7"/>
  <c r="O274" i="14" s="1"/>
  <c r="H274" i="14"/>
  <c r="I274" i="14"/>
  <c r="W40" i="7"/>
  <c r="V40" i="7"/>
  <c r="N290" i="14" s="1"/>
  <c r="U40" i="7"/>
  <c r="H290" i="14"/>
  <c r="O46" i="37" s="1"/>
  <c r="C46" i="37" s="1"/>
  <c r="W46" i="37" s="1"/>
  <c r="I290" i="14"/>
  <c r="H307" i="14"/>
  <c r="O224" i="37" s="1"/>
  <c r="V23" i="7"/>
  <c r="N307" i="14" s="1"/>
  <c r="W23" i="7"/>
  <c r="U23" i="7"/>
  <c r="I307" i="14"/>
  <c r="W7" i="7"/>
  <c r="U7" i="7"/>
  <c r="V7" i="7"/>
  <c r="H323" i="14"/>
  <c r="O248" i="37" s="1"/>
  <c r="W310" i="7"/>
  <c r="U310" i="7"/>
  <c r="H19" i="14"/>
  <c r="O176" i="37" s="1"/>
  <c r="V310" i="7"/>
  <c r="N19" i="14" s="1"/>
  <c r="I19" i="14"/>
  <c r="U294" i="7"/>
  <c r="W294" i="7"/>
  <c r="V294" i="7"/>
  <c r="N35" i="14" s="1"/>
  <c r="H35" i="14"/>
  <c r="O303" i="37" s="1"/>
  <c r="I35" i="14"/>
  <c r="U278" i="7"/>
  <c r="V278" i="7"/>
  <c r="N51" i="14" s="1"/>
  <c r="W278" i="7"/>
  <c r="H51" i="14"/>
  <c r="O71" i="37" s="1"/>
  <c r="C71" i="37" s="1"/>
  <c r="W71" i="37" s="1"/>
  <c r="W262" i="7"/>
  <c r="V262" i="7"/>
  <c r="N67" i="14" s="1"/>
  <c r="U262" i="7"/>
  <c r="H67" i="14"/>
  <c r="O202" i="37" s="1"/>
  <c r="I67" i="14"/>
  <c r="V246" i="7"/>
  <c r="N83" i="14" s="1"/>
  <c r="U246" i="7"/>
  <c r="H83" i="14"/>
  <c r="O220" i="37" s="1"/>
  <c r="W246" i="7"/>
  <c r="I83" i="14"/>
  <c r="V230" i="7"/>
  <c r="N99" i="14" s="1"/>
  <c r="W230" i="7"/>
  <c r="U230" i="7"/>
  <c r="H99" i="14"/>
  <c r="O125" i="37" s="1"/>
  <c r="I99" i="14"/>
  <c r="V214" i="7"/>
  <c r="W214" i="7"/>
  <c r="U214" i="7"/>
  <c r="H115" i="14"/>
  <c r="O124" i="37" s="1"/>
  <c r="C124" i="37" s="1"/>
  <c r="W124" i="37" s="1"/>
  <c r="I115" i="14"/>
  <c r="H131" i="14"/>
  <c r="O144" i="37" s="1"/>
  <c r="U198" i="7"/>
  <c r="W198" i="7"/>
  <c r="V198" i="7"/>
  <c r="I131" i="14"/>
  <c r="U182" i="7"/>
  <c r="W182" i="7"/>
  <c r="V182" i="7"/>
  <c r="H147" i="14"/>
  <c r="O195" i="37" s="1"/>
  <c r="C195" i="37" s="1"/>
  <c r="W195" i="37" s="1"/>
  <c r="I147" i="14"/>
  <c r="U166" i="7"/>
  <c r="W166" i="7"/>
  <c r="V166" i="7"/>
  <c r="H163" i="14"/>
  <c r="O77" i="37" s="1"/>
  <c r="C77" i="37" s="1"/>
  <c r="W77" i="37" s="1"/>
  <c r="I163" i="14"/>
  <c r="U150" i="7"/>
  <c r="W150" i="7"/>
  <c r="V150" i="7"/>
  <c r="N179" i="14" s="1"/>
  <c r="H179" i="14"/>
  <c r="O193" i="37" s="1"/>
  <c r="C193" i="37" s="1"/>
  <c r="W193" i="37" s="1"/>
  <c r="I179" i="14"/>
  <c r="V134" i="7"/>
  <c r="U134" i="7"/>
  <c r="W134" i="7"/>
  <c r="H195" i="14"/>
  <c r="O191" i="37" s="1"/>
  <c r="I195" i="14"/>
  <c r="V118" i="7"/>
  <c r="N211" i="14" s="1"/>
  <c r="U118" i="7"/>
  <c r="W118" i="7"/>
  <c r="H211" i="14"/>
  <c r="O167" i="37" s="1"/>
  <c r="C167" i="37" s="1"/>
  <c r="W167" i="37" s="1"/>
  <c r="I211" i="14"/>
  <c r="H227" i="14"/>
  <c r="O269" i="37" s="1"/>
  <c r="W102" i="7"/>
  <c r="V102" i="7"/>
  <c r="U102" i="7"/>
  <c r="H243" i="14"/>
  <c r="O230" i="37" s="1"/>
  <c r="V86" i="7"/>
  <c r="N243" i="14" s="1"/>
  <c r="U86" i="7"/>
  <c r="W86" i="7"/>
  <c r="I243" i="14"/>
  <c r="H259" i="14"/>
  <c r="O228" i="37" s="1"/>
  <c r="U71" i="7"/>
  <c r="V71" i="7"/>
  <c r="N259" i="14" s="1"/>
  <c r="W71" i="7"/>
  <c r="H275" i="14"/>
  <c r="U55" i="7"/>
  <c r="V55" i="7"/>
  <c r="N275" i="14" s="1"/>
  <c r="W55" i="7"/>
  <c r="I275" i="14"/>
  <c r="W38" i="7"/>
  <c r="V38" i="7"/>
  <c r="N292" i="14" s="1"/>
  <c r="U38" i="7"/>
  <c r="H292" i="14"/>
  <c r="O215" i="37" s="1"/>
  <c r="C215" i="37" s="1"/>
  <c r="W215" i="37" s="1"/>
  <c r="W22" i="7"/>
  <c r="V22" i="7"/>
  <c r="N308" i="14" s="1"/>
  <c r="U22" i="7"/>
  <c r="H308" i="14"/>
  <c r="O150" i="37" s="1"/>
  <c r="I308" i="14"/>
  <c r="W6" i="7"/>
  <c r="V6" i="7"/>
  <c r="U6" i="7"/>
  <c r="H324" i="14"/>
  <c r="O247" i="37" s="1"/>
  <c r="I324" i="14"/>
  <c r="U313" i="7"/>
  <c r="H16" i="14"/>
  <c r="O20" i="37" s="1"/>
  <c r="V313" i="7"/>
  <c r="W313" i="7"/>
  <c r="I16" i="14"/>
  <c r="W297" i="7"/>
  <c r="U297" i="7"/>
  <c r="V297" i="7"/>
  <c r="N32" i="14" s="1"/>
  <c r="H32" i="14"/>
  <c r="O245" i="37" s="1"/>
  <c r="C245" i="37" s="1"/>
  <c r="W245" i="37" s="1"/>
  <c r="I32" i="14"/>
  <c r="W281" i="7"/>
  <c r="V281" i="7"/>
  <c r="N48" i="14" s="1"/>
  <c r="U281" i="7"/>
  <c r="H48" i="14"/>
  <c r="O162" i="37" s="1"/>
  <c r="C162" i="37" s="1"/>
  <c r="W162" i="37" s="1"/>
  <c r="I48" i="14"/>
  <c r="W265" i="7"/>
  <c r="V265" i="7"/>
  <c r="U265" i="7"/>
  <c r="H64" i="14"/>
  <c r="O299" i="37" s="1"/>
  <c r="W249" i="7"/>
  <c r="H80" i="14"/>
  <c r="O296" i="37" s="1"/>
  <c r="U249" i="7"/>
  <c r="V249" i="7"/>
  <c r="H96" i="14"/>
  <c r="O199" i="37" s="1"/>
  <c r="U233" i="7"/>
  <c r="W233" i="7"/>
  <c r="V233" i="7"/>
  <c r="W217" i="7"/>
  <c r="O112" i="14" s="1"/>
  <c r="V217" i="7"/>
  <c r="U217" i="7"/>
  <c r="H112" i="14"/>
  <c r="I112" i="14"/>
  <c r="W201" i="7"/>
  <c r="V201" i="7"/>
  <c r="N128" i="14" s="1"/>
  <c r="U201" i="7"/>
  <c r="H128" i="14"/>
  <c r="O287" i="37" s="1"/>
  <c r="I128" i="14"/>
  <c r="V185" i="7"/>
  <c r="W185" i="7"/>
  <c r="U185" i="7"/>
  <c r="H144" i="14"/>
  <c r="O40" i="37" s="1"/>
  <c r="C40" i="37" s="1"/>
  <c r="W40" i="37" s="1"/>
  <c r="I144" i="14"/>
  <c r="W169" i="7"/>
  <c r="U169" i="7"/>
  <c r="V169" i="7"/>
  <c r="H160" i="14"/>
  <c r="O175" i="37" s="1"/>
  <c r="I160" i="14"/>
  <c r="V153" i="7"/>
  <c r="N176" i="14" s="1"/>
  <c r="U153" i="7"/>
  <c r="W153" i="7"/>
  <c r="H176" i="14"/>
  <c r="O80" i="37" s="1"/>
  <c r="C80" i="37" s="1"/>
  <c r="W80" i="37" s="1"/>
  <c r="I176" i="14"/>
  <c r="W137" i="7"/>
  <c r="U137" i="7"/>
  <c r="V137" i="7"/>
  <c r="H192" i="14"/>
  <c r="O232" i="37" s="1"/>
  <c r="C232" i="37" s="1"/>
  <c r="W232" i="37" s="1"/>
  <c r="I192" i="14"/>
  <c r="V121" i="7"/>
  <c r="N208" i="14" s="1"/>
  <c r="U121" i="7"/>
  <c r="W121" i="7"/>
  <c r="H208" i="14"/>
  <c r="O38" i="37" s="1"/>
  <c r="I208" i="14"/>
  <c r="U105" i="7"/>
  <c r="V105" i="7"/>
  <c r="N224" i="14" s="1"/>
  <c r="W105" i="7"/>
  <c r="H224" i="14"/>
  <c r="O114" i="37" s="1"/>
  <c r="I224" i="14"/>
  <c r="U89" i="7"/>
  <c r="W89" i="7"/>
  <c r="V89" i="7"/>
  <c r="H240" i="14"/>
  <c r="O145" i="37" s="1"/>
  <c r="C145" i="37" s="1"/>
  <c r="I240" i="14"/>
  <c r="H256" i="14"/>
  <c r="O90" i="37" s="1"/>
  <c r="C90" i="37" s="1"/>
  <c r="W90" i="37" s="1"/>
  <c r="W74" i="7"/>
  <c r="V74" i="7"/>
  <c r="U74" i="7"/>
  <c r="V58" i="7"/>
  <c r="U58" i="7"/>
  <c r="W58" i="7"/>
  <c r="H272" i="14"/>
  <c r="O7" i="37" s="1"/>
  <c r="C7" i="37" s="1"/>
  <c r="W7" i="37" s="1"/>
  <c r="I272" i="14"/>
  <c r="H288" i="14"/>
  <c r="O107" i="37" s="1"/>
  <c r="W42" i="7"/>
  <c r="V42" i="7"/>
  <c r="N288" i="14" s="1"/>
  <c r="U42" i="7"/>
  <c r="V25" i="7"/>
  <c r="W25" i="7"/>
  <c r="U25" i="7"/>
  <c r="H305" i="14"/>
  <c r="O139" i="37" s="1"/>
  <c r="C139" i="37" s="1"/>
  <c r="W139" i="37" s="1"/>
  <c r="V9" i="7"/>
  <c r="W9" i="7"/>
  <c r="U9" i="7"/>
  <c r="H321" i="14"/>
  <c r="O222" i="37" s="1"/>
  <c r="I321" i="14"/>
  <c r="U312" i="7"/>
  <c r="W312" i="7"/>
  <c r="V312" i="7"/>
  <c r="N17" i="14" s="1"/>
  <c r="H17" i="14"/>
  <c r="O209" i="37" s="1"/>
  <c r="I17" i="14"/>
  <c r="H33" i="14"/>
  <c r="O54" i="37" s="1"/>
  <c r="W296" i="7"/>
  <c r="V296" i="7"/>
  <c r="N33" i="14" s="1"/>
  <c r="U296" i="7"/>
  <c r="I33" i="14"/>
  <c r="U280" i="7"/>
  <c r="W280" i="7"/>
  <c r="V280" i="7"/>
  <c r="H49" i="14"/>
  <c r="O134" i="37" s="1"/>
  <c r="C134" i="37" s="1"/>
  <c r="W134" i="37" s="1"/>
  <c r="I49" i="14"/>
  <c r="H65" i="14"/>
  <c r="O214" i="37" s="1"/>
  <c r="W264" i="7"/>
  <c r="V264" i="7"/>
  <c r="N65" i="14" s="1"/>
  <c r="U264" i="7"/>
  <c r="I65" i="14"/>
  <c r="V248" i="7"/>
  <c r="U248" i="7"/>
  <c r="H81" i="14"/>
  <c r="O200" i="37" s="1"/>
  <c r="W248" i="7"/>
  <c r="U232" i="7"/>
  <c r="V232" i="7"/>
  <c r="N97" i="14" s="1"/>
  <c r="H97" i="14"/>
  <c r="O127" i="37" s="1"/>
  <c r="W232" i="7"/>
  <c r="I97" i="14"/>
  <c r="U216" i="7"/>
  <c r="V216" i="7"/>
  <c r="W216" i="7"/>
  <c r="H113" i="14"/>
  <c r="O66" i="37" s="1"/>
  <c r="C66" i="37" s="1"/>
  <c r="W66" i="37" s="1"/>
  <c r="I113" i="14"/>
  <c r="W200" i="7"/>
  <c r="V200" i="7"/>
  <c r="N129" i="14" s="1"/>
  <c r="U200" i="7"/>
  <c r="H129" i="14"/>
  <c r="O286" i="37" s="1"/>
  <c r="C286" i="37" s="1"/>
  <c r="W286" i="37" s="1"/>
  <c r="I129" i="14"/>
  <c r="V184" i="7"/>
  <c r="N145" i="14" s="1"/>
  <c r="U184" i="7"/>
  <c r="H145" i="14"/>
  <c r="O19" i="37" s="1"/>
  <c r="W184" i="7"/>
  <c r="U168" i="7"/>
  <c r="H161" i="14"/>
  <c r="O23" i="37" s="1"/>
  <c r="W168" i="7"/>
  <c r="V168" i="7"/>
  <c r="I161" i="14"/>
  <c r="W152" i="7"/>
  <c r="V152" i="7"/>
  <c r="N177" i="14" s="1"/>
  <c r="U152" i="7"/>
  <c r="H177" i="14"/>
  <c r="O84" i="37" s="1"/>
  <c r="C84" i="37" s="1"/>
  <c r="W84" i="37" s="1"/>
  <c r="I177" i="14"/>
  <c r="U136" i="7"/>
  <c r="H193" i="14"/>
  <c r="O83" i="37" s="1"/>
  <c r="W136" i="7"/>
  <c r="V136" i="7"/>
  <c r="I193" i="14"/>
  <c r="V120" i="7"/>
  <c r="U120" i="7"/>
  <c r="H209" i="14"/>
  <c r="O118" i="37" s="1"/>
  <c r="W120" i="7"/>
  <c r="W104" i="7"/>
  <c r="H225" i="14"/>
  <c r="O113" i="37" s="1"/>
  <c r="V104" i="7"/>
  <c r="U104" i="7"/>
  <c r="I225" i="14"/>
  <c r="W88" i="7"/>
  <c r="U88" i="7"/>
  <c r="H241" i="14"/>
  <c r="O213" i="37" s="1"/>
  <c r="V88" i="7"/>
  <c r="N241" i="14" s="1"/>
  <c r="I241" i="14"/>
  <c r="V73" i="7"/>
  <c r="W73" i="7"/>
  <c r="U73" i="7"/>
  <c r="H257" i="14"/>
  <c r="O157" i="37" s="1"/>
  <c r="C157" i="37" s="1"/>
  <c r="W157" i="37" s="1"/>
  <c r="I257" i="14"/>
  <c r="U57" i="7"/>
  <c r="W57" i="7"/>
  <c r="O273" i="14" s="1"/>
  <c r="H273" i="14"/>
  <c r="V57" i="7"/>
  <c r="V41" i="7"/>
  <c r="N289" i="14" s="1"/>
  <c r="W41" i="7"/>
  <c r="U41" i="7"/>
  <c r="H289" i="14"/>
  <c r="O79" i="37" s="1"/>
  <c r="I289" i="14"/>
  <c r="H306" i="14"/>
  <c r="O87" i="37" s="1"/>
  <c r="W24" i="7"/>
  <c r="V24" i="7"/>
  <c r="U24" i="7"/>
  <c r="I306" i="14"/>
  <c r="H322" i="14"/>
  <c r="O249" i="37" s="1"/>
  <c r="W8" i="7"/>
  <c r="V8" i="7"/>
  <c r="N322" i="14" s="1"/>
  <c r="U8" i="7"/>
  <c r="N146" i="7"/>
  <c r="R249" i="5" s="1"/>
  <c r="N215" i="7"/>
  <c r="N10" i="7"/>
  <c r="N90" i="7"/>
  <c r="N160" i="7"/>
  <c r="N266" i="7"/>
  <c r="N54" i="7"/>
  <c r="N9" i="7"/>
  <c r="N49" i="7"/>
  <c r="N36" i="7"/>
  <c r="N109" i="7"/>
  <c r="N161" i="7"/>
  <c r="N247" i="7"/>
  <c r="N320" i="7"/>
  <c r="N252" i="7"/>
  <c r="R37" i="5" s="1"/>
  <c r="N88" i="7"/>
  <c r="N44" i="7"/>
  <c r="N98" i="7"/>
  <c r="N168" i="7"/>
  <c r="N304" i="7"/>
  <c r="N186" i="7"/>
  <c r="Q13" i="5" s="1"/>
  <c r="N317" i="7"/>
  <c r="N286" i="7"/>
  <c r="N80" i="7"/>
  <c r="N182" i="7"/>
  <c r="N260" i="7"/>
  <c r="N310" i="7"/>
  <c r="W303" i="7"/>
  <c r="V303" i="7"/>
  <c r="U303" i="7"/>
  <c r="H26" i="14"/>
  <c r="O305" i="37" s="1"/>
  <c r="I26" i="14"/>
  <c r="W255" i="7"/>
  <c r="V255" i="7"/>
  <c r="N74" i="14" s="1"/>
  <c r="U255" i="7"/>
  <c r="H74" i="14"/>
  <c r="O6" i="37" s="1"/>
  <c r="C6" i="37" s="1"/>
  <c r="I74" i="14"/>
  <c r="W207" i="7"/>
  <c r="O122" i="14" s="1"/>
  <c r="V207" i="7"/>
  <c r="U207" i="7"/>
  <c r="H122" i="14"/>
  <c r="U175" i="7"/>
  <c r="W175" i="7"/>
  <c r="V175" i="7"/>
  <c r="N154" i="14" s="1"/>
  <c r="H154" i="14"/>
  <c r="O147" i="37" s="1"/>
  <c r="C147" i="37" s="1"/>
  <c r="I154" i="14"/>
  <c r="U111" i="7"/>
  <c r="H218" i="14"/>
  <c r="O117" i="37" s="1"/>
  <c r="V111" i="7"/>
  <c r="N218" i="14" s="1"/>
  <c r="W111" i="7"/>
  <c r="I218" i="14"/>
  <c r="W64" i="7"/>
  <c r="U64" i="7"/>
  <c r="V64" i="7"/>
  <c r="N266" i="14" s="1"/>
  <c r="H266" i="14"/>
  <c r="O59" i="37" s="1"/>
  <c r="C59" i="37" s="1"/>
  <c r="I266" i="14"/>
  <c r="V31" i="7"/>
  <c r="W31" i="7"/>
  <c r="H299" i="14"/>
  <c r="O225" i="37" s="1"/>
  <c r="U31" i="7"/>
  <c r="I299" i="14"/>
  <c r="U286" i="7"/>
  <c r="H43" i="14"/>
  <c r="O244" i="37" s="1"/>
  <c r="C244" i="37" s="1"/>
  <c r="W244" i="37" s="1"/>
  <c r="W286" i="7"/>
  <c r="V286" i="7"/>
  <c r="I43" i="14"/>
  <c r="V254" i="7"/>
  <c r="U254" i="7"/>
  <c r="H75" i="14"/>
  <c r="O297" i="37" s="1"/>
  <c r="W254" i="7"/>
  <c r="I75" i="14"/>
  <c r="W190" i="7"/>
  <c r="V190" i="7"/>
  <c r="U190" i="7"/>
  <c r="H139" i="14"/>
  <c r="O142" i="37" s="1"/>
  <c r="C142" i="37" s="1"/>
  <c r="W142" i="37" s="1"/>
  <c r="I139" i="14"/>
  <c r="W142" i="7"/>
  <c r="V142" i="7"/>
  <c r="N187" i="14" s="1"/>
  <c r="U142" i="7"/>
  <c r="H187" i="14"/>
  <c r="O120" i="37" s="1"/>
  <c r="W94" i="7"/>
  <c r="V94" i="7"/>
  <c r="N235" i="14" s="1"/>
  <c r="U94" i="7"/>
  <c r="H235" i="14"/>
  <c r="O172" i="37" s="1"/>
  <c r="I235" i="14"/>
  <c r="U47" i="7"/>
  <c r="W47" i="7"/>
  <c r="V47" i="7"/>
  <c r="N283" i="14" s="1"/>
  <c r="H283" i="14"/>
  <c r="O56" i="37" s="1"/>
  <c r="C56" i="37" s="1"/>
  <c r="W56" i="37" s="1"/>
  <c r="V321" i="7"/>
  <c r="N8" i="14" s="1"/>
  <c r="U321" i="7"/>
  <c r="W321" i="7"/>
  <c r="H8" i="14"/>
  <c r="O312" i="37" s="1"/>
  <c r="I8" i="14"/>
  <c r="V257" i="7"/>
  <c r="W257" i="7"/>
  <c r="U257" i="7"/>
  <c r="H72" i="14"/>
  <c r="O298" i="37" s="1"/>
  <c r="C298" i="37" s="1"/>
  <c r="W298" i="37" s="1"/>
  <c r="U209" i="7"/>
  <c r="W209" i="7"/>
  <c r="V209" i="7"/>
  <c r="N120" i="14" s="1"/>
  <c r="H120" i="14"/>
  <c r="O290" i="37" s="1"/>
  <c r="W145" i="7"/>
  <c r="V145" i="7"/>
  <c r="N184" i="14" s="1"/>
  <c r="U145" i="7"/>
  <c r="H184" i="14"/>
  <c r="O173" i="37" s="1"/>
  <c r="I184" i="14"/>
  <c r="U129" i="7"/>
  <c r="H200" i="14"/>
  <c r="O277" i="37" s="1"/>
  <c r="W129" i="7"/>
  <c r="V129" i="7"/>
  <c r="I200" i="14"/>
  <c r="H264" i="14"/>
  <c r="O108" i="37" s="1"/>
  <c r="W66" i="7"/>
  <c r="V66" i="7"/>
  <c r="U66" i="7"/>
  <c r="I264" i="14"/>
  <c r="V320" i="7"/>
  <c r="N9" i="14" s="1"/>
  <c r="U320" i="7"/>
  <c r="W320" i="7"/>
  <c r="H9" i="14"/>
  <c r="O211" i="37" s="1"/>
  <c r="C211" i="37" s="1"/>
  <c r="W211" i="37" s="1"/>
  <c r="I9" i="14"/>
  <c r="V240" i="7"/>
  <c r="U240" i="7"/>
  <c r="H89" i="14"/>
  <c r="O238" i="37" s="1"/>
  <c r="C238" i="37" s="1"/>
  <c r="W238" i="37" s="1"/>
  <c r="W240" i="7"/>
  <c r="I89" i="14"/>
  <c r="V176" i="7"/>
  <c r="N153" i="14" s="1"/>
  <c r="H153" i="14"/>
  <c r="O234" i="37" s="1"/>
  <c r="W176" i="7"/>
  <c r="U176" i="7"/>
  <c r="W128" i="7"/>
  <c r="V128" i="7"/>
  <c r="U128" i="7"/>
  <c r="H201" i="14"/>
  <c r="O276" i="37" s="1"/>
  <c r="C276" i="37" s="1"/>
  <c r="W276" i="37" s="1"/>
  <c r="I201" i="14"/>
  <c r="U81" i="7"/>
  <c r="H249" i="14"/>
  <c r="O229" i="37" s="1"/>
  <c r="W81" i="7"/>
  <c r="V81" i="7"/>
  <c r="N249" i="14" s="1"/>
  <c r="I249" i="14"/>
  <c r="W49" i="7"/>
  <c r="V49" i="7"/>
  <c r="U49" i="7"/>
  <c r="H281" i="14"/>
  <c r="O50" i="37" s="1"/>
  <c r="C50" i="37" s="1"/>
  <c r="W50" i="37" s="1"/>
  <c r="I281" i="14"/>
  <c r="N24" i="7"/>
  <c r="N123" i="7"/>
  <c r="R32" i="5" s="1"/>
  <c r="N187" i="7"/>
  <c r="N284" i="7"/>
  <c r="R38" i="5" s="1"/>
  <c r="N166" i="7"/>
  <c r="N13" i="7"/>
  <c r="N155" i="7"/>
  <c r="N301" i="7"/>
  <c r="N28" i="7"/>
  <c r="N52" i="7"/>
  <c r="N82" i="7"/>
  <c r="N104" i="7"/>
  <c r="N124" i="7"/>
  <c r="N148" i="7"/>
  <c r="N183" i="7"/>
  <c r="N212" i="7"/>
  <c r="N233" i="7"/>
  <c r="N261" i="7"/>
  <c r="N281" i="7"/>
  <c r="N312" i="7"/>
  <c r="N30" i="7"/>
  <c r="R29" i="5" s="1"/>
  <c r="N136" i="7"/>
  <c r="N195" i="7"/>
  <c r="Q14" i="5" s="1"/>
  <c r="N295" i="7"/>
  <c r="N175" i="7"/>
  <c r="N27" i="7"/>
  <c r="N176" i="7"/>
  <c r="N6" i="7"/>
  <c r="N29" i="7"/>
  <c r="N53" i="7"/>
  <c r="N83" i="7"/>
  <c r="N105" i="7"/>
  <c r="N127" i="7"/>
  <c r="N149" i="7"/>
  <c r="N185" i="7"/>
  <c r="N213" i="7"/>
  <c r="N234" i="7"/>
  <c r="N262" i="7"/>
  <c r="N287" i="7"/>
  <c r="N314" i="7"/>
  <c r="N55" i="7"/>
  <c r="N157" i="7"/>
  <c r="N236" i="7"/>
  <c r="N62" i="7"/>
  <c r="N238" i="7"/>
  <c r="N67" i="7"/>
  <c r="N208" i="7"/>
  <c r="N14" i="7"/>
  <c r="N37" i="7"/>
  <c r="N64" i="7"/>
  <c r="N92" i="7"/>
  <c r="N110" i="7"/>
  <c r="N134" i="7"/>
  <c r="N162" i="7"/>
  <c r="N200" i="7"/>
  <c r="N222" i="7"/>
  <c r="N248" i="7"/>
  <c r="N268" i="7"/>
  <c r="N294" i="7"/>
  <c r="N322" i="7"/>
  <c r="N70" i="7"/>
  <c r="Q8" i="5" s="1"/>
  <c r="N173" i="7"/>
  <c r="N255" i="7"/>
  <c r="N126" i="7"/>
  <c r="N291" i="7"/>
  <c r="N117" i="7"/>
  <c r="N244" i="7"/>
  <c r="N20" i="7"/>
  <c r="N45" i="7"/>
  <c r="N76" i="7"/>
  <c r="N99" i="7"/>
  <c r="N116" i="7"/>
  <c r="N142" i="7"/>
  <c r="N169" i="7"/>
  <c r="N205" i="7"/>
  <c r="N228" i="7"/>
  <c r="N254" i="7"/>
  <c r="N275" i="7"/>
  <c r="N305" i="7"/>
  <c r="N311" i="7"/>
  <c r="V323" i="7"/>
  <c r="U323" i="7"/>
  <c r="W323" i="7"/>
  <c r="H6" i="14"/>
  <c r="O314" i="37" s="1"/>
  <c r="I6" i="14"/>
  <c r="H22" i="14"/>
  <c r="O75" i="37" s="1"/>
  <c r="W307" i="7"/>
  <c r="V307" i="7"/>
  <c r="N22" i="14" s="1"/>
  <c r="U307" i="7"/>
  <c r="H38" i="14"/>
  <c r="O99" i="37" s="1"/>
  <c r="C99" i="37" s="1"/>
  <c r="W99" i="37" s="1"/>
  <c r="U291" i="7"/>
  <c r="W291" i="7"/>
  <c r="V291" i="7"/>
  <c r="I38" i="14"/>
  <c r="V275" i="7"/>
  <c r="N54" i="14" s="1"/>
  <c r="W275" i="7"/>
  <c r="U275" i="7"/>
  <c r="H54" i="14"/>
  <c r="O206" i="37" s="1"/>
  <c r="C206" i="37" s="1"/>
  <c r="I54" i="14"/>
  <c r="H70" i="14"/>
  <c r="O221" i="37" s="1"/>
  <c r="V259" i="7"/>
  <c r="W259" i="7"/>
  <c r="U259" i="7"/>
  <c r="I70" i="14"/>
  <c r="V243" i="7"/>
  <c r="U243" i="7"/>
  <c r="H86" i="14"/>
  <c r="O128" i="37" s="1"/>
  <c r="W243" i="7"/>
  <c r="V227" i="7"/>
  <c r="U227" i="7"/>
  <c r="W227" i="7"/>
  <c r="H102" i="14"/>
  <c r="O68" i="37" s="1"/>
  <c r="C68" i="37" s="1"/>
  <c r="W68" i="37" s="1"/>
  <c r="W211" i="7"/>
  <c r="V211" i="7"/>
  <c r="N118" i="14" s="1"/>
  <c r="U211" i="7"/>
  <c r="H118" i="14"/>
  <c r="O33" i="37" s="1"/>
  <c r="C33" i="37" s="1"/>
  <c r="W33" i="37" s="1"/>
  <c r="V195" i="7"/>
  <c r="W195" i="7"/>
  <c r="U195" i="7"/>
  <c r="H134" i="14"/>
  <c r="O177" i="37" s="1"/>
  <c r="C177" i="37" s="1"/>
  <c r="W177" i="37" s="1"/>
  <c r="I134" i="14"/>
  <c r="U179" i="7"/>
  <c r="V179" i="7"/>
  <c r="W179" i="7"/>
  <c r="H150" i="14"/>
  <c r="O15" i="37" s="1"/>
  <c r="C15" i="37" s="1"/>
  <c r="W15" i="37" s="1"/>
  <c r="I150" i="14"/>
  <c r="U163" i="7"/>
  <c r="V163" i="7"/>
  <c r="N166" i="14" s="1"/>
  <c r="W163" i="7"/>
  <c r="H166" i="14"/>
  <c r="O174" i="37" s="1"/>
  <c r="C174" i="37" s="1"/>
  <c r="W174" i="37" s="1"/>
  <c r="I166" i="14"/>
  <c r="W147" i="7"/>
  <c r="U147" i="7"/>
  <c r="H182" i="14"/>
  <c r="O280" i="37" s="1"/>
  <c r="V147" i="7"/>
  <c r="N182" i="14" s="1"/>
  <c r="W131" i="7"/>
  <c r="U131" i="7"/>
  <c r="V131" i="7"/>
  <c r="N198" i="14" s="1"/>
  <c r="H198" i="14"/>
  <c r="O154" i="37" s="1"/>
  <c r="C154" i="37" s="1"/>
  <c r="W154" i="37" s="1"/>
  <c r="I198" i="14"/>
  <c r="U115" i="7"/>
  <c r="V115" i="7"/>
  <c r="N214" i="14" s="1"/>
  <c r="W115" i="7"/>
  <c r="H214" i="14"/>
  <c r="O37" i="37" s="1"/>
  <c r="C37" i="37" s="1"/>
  <c r="W37" i="37" s="1"/>
  <c r="I214" i="14"/>
  <c r="W99" i="7"/>
  <c r="U99" i="7"/>
  <c r="V99" i="7"/>
  <c r="N230" i="14" s="1"/>
  <c r="H230" i="14"/>
  <c r="O61" i="37" s="1"/>
  <c r="C61" i="37" s="1"/>
  <c r="W61" i="37" s="1"/>
  <c r="W84" i="7"/>
  <c r="U84" i="7"/>
  <c r="V84" i="7"/>
  <c r="N246" i="14" s="1"/>
  <c r="H246" i="14"/>
  <c r="O91" i="37" s="1"/>
  <c r="C91" i="37" s="1"/>
  <c r="W91" i="37" s="1"/>
  <c r="I246" i="14"/>
  <c r="U68" i="7"/>
  <c r="V68" i="7"/>
  <c r="N262" i="14" s="1"/>
  <c r="W68" i="7"/>
  <c r="H262" i="14"/>
  <c r="O226" i="37" s="1"/>
  <c r="U52" i="7"/>
  <c r="V52" i="7"/>
  <c r="N278" i="14" s="1"/>
  <c r="W52" i="7"/>
  <c r="H278" i="14"/>
  <c r="O259" i="37" s="1"/>
  <c r="C259" i="37" s="1"/>
  <c r="W259" i="37" s="1"/>
  <c r="I278" i="14"/>
  <c r="V35" i="7"/>
  <c r="N295" i="14" s="1"/>
  <c r="W35" i="7"/>
  <c r="U35" i="7"/>
  <c r="H295" i="14"/>
  <c r="O256" i="37" s="1"/>
  <c r="I295" i="14"/>
  <c r="W19" i="7"/>
  <c r="V19" i="7"/>
  <c r="N311" i="14" s="1"/>
  <c r="U19" i="7"/>
  <c r="H311" i="14"/>
  <c r="O251" i="37" s="1"/>
  <c r="C251" i="37" s="1"/>
  <c r="W251" i="37" s="1"/>
  <c r="W322" i="7"/>
  <c r="V322" i="7"/>
  <c r="N7" i="14" s="1"/>
  <c r="U322" i="7"/>
  <c r="H7" i="14"/>
  <c r="O313" i="37" s="1"/>
  <c r="I7" i="14"/>
  <c r="V306" i="7"/>
  <c r="N23" i="14" s="1"/>
  <c r="U306" i="7"/>
  <c r="W306" i="7"/>
  <c r="H23" i="14"/>
  <c r="O18" i="37" s="1"/>
  <c r="C18" i="37" s="1"/>
  <c r="W18" i="37" s="1"/>
  <c r="I23" i="14"/>
  <c r="W290" i="7"/>
  <c r="U290" i="7"/>
  <c r="V290" i="7"/>
  <c r="H39" i="14"/>
  <c r="O182" i="37" s="1"/>
  <c r="I39" i="14"/>
  <c r="U274" i="7"/>
  <c r="H55" i="14"/>
  <c r="O300" i="37" s="1"/>
  <c r="W274" i="7"/>
  <c r="V274" i="7"/>
  <c r="V258" i="7"/>
  <c r="N71" i="14" s="1"/>
  <c r="U258" i="7"/>
  <c r="W258" i="7"/>
  <c r="H71" i="14"/>
  <c r="O130" i="37" s="1"/>
  <c r="C130" i="37" s="1"/>
  <c r="W130" i="37" s="1"/>
  <c r="I71" i="14"/>
  <c r="W242" i="7"/>
  <c r="U242" i="7"/>
  <c r="H87" i="14"/>
  <c r="O70" i="37" s="1"/>
  <c r="V242" i="7"/>
  <c r="N87" i="14" s="1"/>
  <c r="W226" i="7"/>
  <c r="U226" i="7"/>
  <c r="V226" i="7"/>
  <c r="H103" i="14"/>
  <c r="O32" i="37" s="1"/>
  <c r="C32" i="37" s="1"/>
  <c r="W32" i="37" s="1"/>
  <c r="V210" i="7"/>
  <c r="W210" i="7"/>
  <c r="U210" i="7"/>
  <c r="H119" i="14"/>
  <c r="O291" i="37" s="1"/>
  <c r="C291" i="37" s="1"/>
  <c r="W291" i="37" s="1"/>
  <c r="I119" i="14"/>
  <c r="W194" i="7"/>
  <c r="V194" i="7"/>
  <c r="U194" i="7"/>
  <c r="H135" i="14"/>
  <c r="O86" i="37" s="1"/>
  <c r="C86" i="37" s="1"/>
  <c r="W86" i="37" s="1"/>
  <c r="I135" i="14"/>
  <c r="W178" i="7"/>
  <c r="V178" i="7"/>
  <c r="N151" i="14" s="1"/>
  <c r="U178" i="7"/>
  <c r="H151" i="14"/>
  <c r="O285" i="37" s="1"/>
  <c r="C285" i="37" s="1"/>
  <c r="I151" i="14"/>
  <c r="W162" i="7"/>
  <c r="V162" i="7"/>
  <c r="U162" i="7"/>
  <c r="H167" i="14"/>
  <c r="O282" i="37" s="1"/>
  <c r="I167" i="14"/>
  <c r="W146" i="7"/>
  <c r="V146" i="7"/>
  <c r="N183" i="14" s="1"/>
  <c r="U146" i="7"/>
  <c r="H183" i="14"/>
  <c r="O94" i="37" s="1"/>
  <c r="I183" i="14"/>
  <c r="U130" i="7"/>
  <c r="W130" i="7"/>
  <c r="V130" i="7"/>
  <c r="N199" i="14" s="1"/>
  <c r="H199" i="14"/>
  <c r="O119" i="37" s="1"/>
  <c r="C119" i="37" s="1"/>
  <c r="W119" i="37" s="1"/>
  <c r="I199" i="14"/>
  <c r="U114" i="7"/>
  <c r="W114" i="7"/>
  <c r="V114" i="7"/>
  <c r="H215" i="14"/>
  <c r="O92" i="37" s="1"/>
  <c r="I215" i="14"/>
  <c r="W98" i="7"/>
  <c r="V98" i="7"/>
  <c r="U98" i="7"/>
  <c r="H231" i="14"/>
  <c r="O268" i="37" s="1"/>
  <c r="C268" i="37" s="1"/>
  <c r="W268" i="37" s="1"/>
  <c r="I231" i="14"/>
  <c r="U83" i="7"/>
  <c r="W83" i="7"/>
  <c r="V83" i="7"/>
  <c r="N247" i="14" s="1"/>
  <c r="H247" i="14"/>
  <c r="O186" i="37" s="1"/>
  <c r="C186" i="37" s="1"/>
  <c r="W186" i="37" s="1"/>
  <c r="U67" i="7"/>
  <c r="W67" i="7"/>
  <c r="V67" i="7"/>
  <c r="N263" i="14" s="1"/>
  <c r="H263" i="14"/>
  <c r="O88" i="37" s="1"/>
  <c r="C88" i="37" s="1"/>
  <c r="W88" i="37" s="1"/>
  <c r="I263" i="14"/>
  <c r="V51" i="7"/>
  <c r="N279" i="14" s="1"/>
  <c r="U51" i="7"/>
  <c r="H279" i="14"/>
  <c r="O258" i="37" s="1"/>
  <c r="W51" i="7"/>
  <c r="I279" i="14"/>
  <c r="V34" i="7"/>
  <c r="U34" i="7"/>
  <c r="W34" i="7"/>
  <c r="H296" i="14"/>
  <c r="O49" i="37" s="1"/>
  <c r="I296" i="14"/>
  <c r="V18" i="7"/>
  <c r="N312" i="14" s="1"/>
  <c r="U18" i="7"/>
  <c r="W18" i="7"/>
  <c r="H312" i="14"/>
  <c r="O103" i="37" s="1"/>
  <c r="C103" i="37" s="1"/>
  <c r="W103" i="37" s="1"/>
  <c r="I312" i="14"/>
  <c r="W325" i="7"/>
  <c r="U325" i="7"/>
  <c r="V325" i="7"/>
  <c r="H4" i="14"/>
  <c r="O136" i="37" s="1"/>
  <c r="C136" i="37" s="1"/>
  <c r="W136" i="37" s="1"/>
  <c r="I4" i="14"/>
  <c r="W309" i="7"/>
  <c r="V309" i="7"/>
  <c r="U309" i="7"/>
  <c r="H20" i="14"/>
  <c r="O308" i="37" s="1"/>
  <c r="I20" i="14"/>
  <c r="V293" i="7"/>
  <c r="U293" i="7"/>
  <c r="W293" i="7"/>
  <c r="H36" i="14"/>
  <c r="O302" i="37" s="1"/>
  <c r="I36" i="14"/>
  <c r="W277" i="7"/>
  <c r="U277" i="7"/>
  <c r="V277" i="7"/>
  <c r="N52" i="14" s="1"/>
  <c r="H52" i="14"/>
  <c r="O246" i="37" s="1"/>
  <c r="I52" i="14"/>
  <c r="H68" i="14"/>
  <c r="O156" i="37" s="1"/>
  <c r="C156" i="37" s="1"/>
  <c r="W156" i="37" s="1"/>
  <c r="U156" i="37" s="1"/>
  <c r="V156" i="37" s="1"/>
  <c r="W261" i="7"/>
  <c r="V261" i="7"/>
  <c r="U261" i="7"/>
  <c r="U245" i="7"/>
  <c r="V245" i="7"/>
  <c r="N84" i="14" s="1"/>
  <c r="W245" i="7"/>
  <c r="H84" i="14"/>
  <c r="O240" i="37" s="1"/>
  <c r="C240" i="37" s="1"/>
  <c r="W240" i="37" s="1"/>
  <c r="I84" i="14"/>
  <c r="W229" i="7"/>
  <c r="V229" i="7"/>
  <c r="U229" i="7"/>
  <c r="H100" i="14"/>
  <c r="O69" i="37" s="1"/>
  <c r="I100" i="14"/>
  <c r="V213" i="7"/>
  <c r="U213" i="7"/>
  <c r="W213" i="7"/>
  <c r="H116" i="14"/>
  <c r="O292" i="37" s="1"/>
  <c r="C292" i="37" s="1"/>
  <c r="W292" i="37" s="1"/>
  <c r="I116" i="14"/>
  <c r="W197" i="7"/>
  <c r="V197" i="7"/>
  <c r="U197" i="7"/>
  <c r="H132" i="14"/>
  <c r="O78" i="37" s="1"/>
  <c r="I132" i="14"/>
  <c r="H148" i="14"/>
  <c r="O122" i="37" s="1"/>
  <c r="W181" i="7"/>
  <c r="V181" i="7"/>
  <c r="U181" i="7"/>
  <c r="U165" i="7"/>
  <c r="W165" i="7"/>
  <c r="V165" i="7"/>
  <c r="N164" i="14" s="1"/>
  <c r="H164" i="14"/>
  <c r="O159" i="37" s="1"/>
  <c r="C159" i="37" s="1"/>
  <c r="W159" i="37" s="1"/>
  <c r="U149" i="7"/>
  <c r="W149" i="7"/>
  <c r="V149" i="7"/>
  <c r="N180" i="14" s="1"/>
  <c r="H180" i="14"/>
  <c r="O281" i="37" s="1"/>
  <c r="I180" i="14"/>
  <c r="H196" i="14"/>
  <c r="O28" i="37" s="1"/>
  <c r="U133" i="7"/>
  <c r="V133" i="7"/>
  <c r="N196" i="14" s="1"/>
  <c r="W133" i="7"/>
  <c r="H212" i="14"/>
  <c r="O179" i="37" s="1"/>
  <c r="V117" i="7"/>
  <c r="N212" i="14" s="1"/>
  <c r="W117" i="7"/>
  <c r="U117" i="7"/>
  <c r="V101" i="7"/>
  <c r="W101" i="7"/>
  <c r="U101" i="7"/>
  <c r="H228" i="14"/>
  <c r="O22" i="37" s="1"/>
  <c r="C22" i="37" s="1"/>
  <c r="W22" i="37" s="1"/>
  <c r="I228" i="14"/>
  <c r="H244" i="14"/>
  <c r="N244" i="14"/>
  <c r="I244" i="14"/>
  <c r="H260" i="14"/>
  <c r="O227" i="37" s="1"/>
  <c r="W70" i="7"/>
  <c r="V70" i="7"/>
  <c r="N260" i="14" s="1"/>
  <c r="U70" i="7"/>
  <c r="U54" i="7"/>
  <c r="W54" i="7"/>
  <c r="V54" i="7"/>
  <c r="H276" i="14"/>
  <c r="O5" i="37" s="1"/>
  <c r="C5" i="37" s="1"/>
  <c r="C4" i="40" s="1"/>
  <c r="G4" i="40" s="1"/>
  <c r="W10" i="42" s="1"/>
  <c r="I276" i="14"/>
  <c r="V37" i="7"/>
  <c r="W37" i="7"/>
  <c r="U37" i="7"/>
  <c r="H293" i="14"/>
  <c r="O257" i="37" s="1"/>
  <c r="C257" i="37" s="1"/>
  <c r="W257" i="37" s="1"/>
  <c r="I293" i="14"/>
  <c r="V21" i="7"/>
  <c r="W21" i="7"/>
  <c r="U21" i="7"/>
  <c r="H309" i="14"/>
  <c r="O149" i="37" s="1"/>
  <c r="C149" i="37" s="1"/>
  <c r="W149" i="37" s="1"/>
  <c r="I309" i="14"/>
  <c r="W324" i="7"/>
  <c r="V324" i="7"/>
  <c r="N5" i="14" s="1"/>
  <c r="U324" i="7"/>
  <c r="H5" i="14"/>
  <c r="O315" i="37" s="1"/>
  <c r="I5" i="14"/>
  <c r="W308" i="7"/>
  <c r="V308" i="7"/>
  <c r="U308" i="7"/>
  <c r="H21" i="14"/>
  <c r="O307" i="37" s="1"/>
  <c r="C307" i="37" s="1"/>
  <c r="W307" i="37" s="1"/>
  <c r="I21" i="14"/>
  <c r="W292" i="7"/>
  <c r="V292" i="7"/>
  <c r="N37" i="14" s="1"/>
  <c r="U292" i="7"/>
  <c r="H37" i="14"/>
  <c r="O207" i="37" s="1"/>
  <c r="C207" i="37" s="1"/>
  <c r="W207" i="37" s="1"/>
  <c r="U276" i="7"/>
  <c r="H53" i="14"/>
  <c r="O242" i="37" s="1"/>
  <c r="C242" i="37" s="1"/>
  <c r="W242" i="37" s="1"/>
  <c r="W276" i="7"/>
  <c r="V276" i="7"/>
  <c r="N53" i="14" s="1"/>
  <c r="V260" i="7"/>
  <c r="U260" i="7"/>
  <c r="W260" i="7"/>
  <c r="H69" i="14"/>
  <c r="O26" i="37" s="1"/>
  <c r="C26" i="37" s="1"/>
  <c r="W26" i="37" s="1"/>
  <c r="U244" i="7"/>
  <c r="V244" i="7"/>
  <c r="N85" i="14" s="1"/>
  <c r="W244" i="7"/>
  <c r="H85" i="14"/>
  <c r="O169" i="37" s="1"/>
  <c r="C169" i="37" s="1"/>
  <c r="I85" i="14"/>
  <c r="V228" i="7"/>
  <c r="W228" i="7"/>
  <c r="U228" i="7"/>
  <c r="H101" i="14"/>
  <c r="O24" i="37" s="1"/>
  <c r="C24" i="37" s="1"/>
  <c r="W24" i="37" s="1"/>
  <c r="V212" i="7"/>
  <c r="W212" i="7"/>
  <c r="U212" i="7"/>
  <c r="H117" i="14"/>
  <c r="O41" i="37" s="1"/>
  <c r="C41" i="37" s="1"/>
  <c r="W41" i="37" s="1"/>
  <c r="W196" i="7"/>
  <c r="U196" i="7"/>
  <c r="H133" i="14"/>
  <c r="O12" i="37" s="1"/>
  <c r="C12" i="37" s="1"/>
  <c r="W12" i="37" s="1"/>
  <c r="V196" i="7"/>
  <c r="I133" i="14"/>
  <c r="V180" i="7"/>
  <c r="H149" i="14"/>
  <c r="O236" i="37" s="1"/>
  <c r="W180" i="7"/>
  <c r="U180" i="7"/>
  <c r="U164" i="7"/>
  <c r="H165" i="14"/>
  <c r="O283" i="37" s="1"/>
  <c r="W164" i="7"/>
  <c r="V164" i="7"/>
  <c r="N165" i="14" s="1"/>
  <c r="W148" i="7"/>
  <c r="V148" i="7"/>
  <c r="N181" i="14" s="1"/>
  <c r="U148" i="7"/>
  <c r="H181" i="14"/>
  <c r="O30" i="37" s="1"/>
  <c r="C30" i="37" s="1"/>
  <c r="I181" i="14"/>
  <c r="W132" i="7"/>
  <c r="V132" i="7"/>
  <c r="U132" i="7"/>
  <c r="H197" i="14"/>
  <c r="O52" i="37" s="1"/>
  <c r="C52" i="37" s="1"/>
  <c r="W52" i="37" s="1"/>
  <c r="U116" i="7"/>
  <c r="W116" i="7"/>
  <c r="V116" i="7"/>
  <c r="H213" i="14"/>
  <c r="O153" i="37" s="1"/>
  <c r="C153" i="37" s="1"/>
  <c r="W153" i="37" s="1"/>
  <c r="I213" i="14"/>
  <c r="W100" i="7"/>
  <c r="V100" i="7"/>
  <c r="N229" i="14" s="1"/>
  <c r="U100" i="7"/>
  <c r="H229" i="14"/>
  <c r="O35" i="37" s="1"/>
  <c r="I229" i="14"/>
  <c r="U85" i="7"/>
  <c r="V85" i="7"/>
  <c r="H245" i="14"/>
  <c r="O141" i="37" s="1"/>
  <c r="W85" i="7"/>
  <c r="I245" i="14"/>
  <c r="H261" i="14"/>
  <c r="O89" i="37" s="1"/>
  <c r="V69" i="7"/>
  <c r="N261" i="14" s="1"/>
  <c r="W69" i="7"/>
  <c r="U69" i="7"/>
  <c r="U53" i="7"/>
  <c r="V53" i="7"/>
  <c r="N277" i="14" s="1"/>
  <c r="W53" i="7"/>
  <c r="H277" i="14"/>
  <c r="O171" i="37" s="1"/>
  <c r="I277" i="14"/>
  <c r="V36" i="7"/>
  <c r="N294" i="14" s="1"/>
  <c r="U36" i="7"/>
  <c r="W36" i="7"/>
  <c r="H294" i="14"/>
  <c r="O105" i="37" s="1"/>
  <c r="C105" i="37" s="1"/>
  <c r="W105" i="37" s="1"/>
  <c r="I294" i="14"/>
  <c r="V20" i="7"/>
  <c r="U20" i="7"/>
  <c r="H310" i="14"/>
  <c r="O252" i="37" s="1"/>
  <c r="W20" i="7"/>
  <c r="W39" i="7"/>
  <c r="U39" i="7"/>
  <c r="V39" i="7"/>
  <c r="N291" i="14" s="1"/>
  <c r="H291" i="14"/>
  <c r="O106" i="37" s="1"/>
  <c r="I291" i="14"/>
  <c r="W206" i="37" l="1"/>
  <c r="U206" i="37" s="1"/>
  <c r="V206" i="37" s="1"/>
  <c r="W201" i="37"/>
  <c r="U201" i="37" s="1"/>
  <c r="V201" i="37" s="1"/>
  <c r="W204" i="37"/>
  <c r="U204" i="37" s="1"/>
  <c r="V204" i="37" s="1"/>
  <c r="W284" i="37"/>
  <c r="U284" i="37" s="1"/>
  <c r="C163" i="40"/>
  <c r="G163" i="40" s="1"/>
  <c r="W210" i="37"/>
  <c r="U210" i="37" s="1"/>
  <c r="C303" i="40"/>
  <c r="G303" i="40" s="1"/>
  <c r="W285" i="37"/>
  <c r="U285" i="37" s="1"/>
  <c r="M174" i="40" s="1"/>
  <c r="C174" i="40"/>
  <c r="G174" i="40" s="1"/>
  <c r="W263" i="37"/>
  <c r="U263" i="37" s="1"/>
  <c r="M64" i="40" s="1"/>
  <c r="C64" i="40"/>
  <c r="G64" i="40" s="1"/>
  <c r="W239" i="37"/>
  <c r="U239" i="37" s="1"/>
  <c r="M232" i="40" s="1"/>
  <c r="C232" i="40"/>
  <c r="G232" i="40" s="1"/>
  <c r="W59" i="37"/>
  <c r="U59" i="37" s="1"/>
  <c r="M63" i="40" s="1"/>
  <c r="C63" i="40"/>
  <c r="G63" i="40" s="1"/>
  <c r="W145" i="37"/>
  <c r="U145" i="37" s="1"/>
  <c r="M88" i="40" s="1"/>
  <c r="C88" i="40"/>
  <c r="G88" i="40" s="1"/>
  <c r="W31" i="37"/>
  <c r="U31" i="37" s="1"/>
  <c r="M178" i="40" s="1"/>
  <c r="C178" i="40"/>
  <c r="G178" i="40" s="1"/>
  <c r="W203" i="37"/>
  <c r="U203" i="37" s="1"/>
  <c r="M253" i="40" s="1"/>
  <c r="C253" i="40"/>
  <c r="G253" i="40" s="1"/>
  <c r="W169" i="37"/>
  <c r="U169" i="37" s="1"/>
  <c r="M235" i="40" s="1"/>
  <c r="C235" i="40"/>
  <c r="G235" i="40" s="1"/>
  <c r="W147" i="37"/>
  <c r="U147" i="37" s="1"/>
  <c r="M171" i="40" s="1"/>
  <c r="C171" i="40"/>
  <c r="G171" i="40" s="1"/>
  <c r="W104" i="37"/>
  <c r="U104" i="37" s="1"/>
  <c r="M36" i="40" s="1"/>
  <c r="C36" i="40"/>
  <c r="G36" i="40" s="1"/>
  <c r="U174" i="37"/>
  <c r="V174" i="37" s="1"/>
  <c r="U90" i="37"/>
  <c r="V90" i="37" s="1"/>
  <c r="U155" i="37"/>
  <c r="V155" i="37" s="1"/>
  <c r="U140" i="37"/>
  <c r="V140" i="37" s="1"/>
  <c r="U184" i="37"/>
  <c r="V184" i="37" s="1"/>
  <c r="U255" i="37"/>
  <c r="V255" i="37" s="1"/>
  <c r="U82" i="37"/>
  <c r="V82" i="37" s="1"/>
  <c r="U259" i="37"/>
  <c r="V259" i="37" s="1"/>
  <c r="U40" i="37"/>
  <c r="V40" i="37" s="1"/>
  <c r="U124" i="37"/>
  <c r="V124" i="37" s="1"/>
  <c r="U138" i="37"/>
  <c r="V138" i="37" s="1"/>
  <c r="U254" i="37"/>
  <c r="V254" i="37" s="1"/>
  <c r="U260" i="37"/>
  <c r="V260" i="37" s="1"/>
  <c r="U41" i="37"/>
  <c r="V41" i="37" s="1"/>
  <c r="U24" i="37"/>
  <c r="V24" i="37" s="1"/>
  <c r="U149" i="37"/>
  <c r="V149" i="37" s="1"/>
  <c r="U22" i="37"/>
  <c r="V22" i="37" s="1"/>
  <c r="U119" i="37"/>
  <c r="V119" i="37" s="1"/>
  <c r="U86" i="37"/>
  <c r="V86" i="37" s="1"/>
  <c r="U18" i="37"/>
  <c r="V18" i="37" s="1"/>
  <c r="U91" i="37"/>
  <c r="V91" i="37" s="1"/>
  <c r="U61" i="37"/>
  <c r="V61" i="37" s="1"/>
  <c r="U15" i="37"/>
  <c r="V15" i="37" s="1"/>
  <c r="U276" i="37"/>
  <c r="V276" i="37" s="1"/>
  <c r="U142" i="37"/>
  <c r="V142" i="37" s="1"/>
  <c r="U244" i="37"/>
  <c r="V244" i="37" s="1"/>
  <c r="U286" i="37"/>
  <c r="V286" i="37" s="1"/>
  <c r="U134" i="37"/>
  <c r="V134" i="37" s="1"/>
  <c r="U7" i="37"/>
  <c r="V7" i="37" s="1"/>
  <c r="U232" i="37"/>
  <c r="V232" i="37" s="1"/>
  <c r="U77" i="37"/>
  <c r="V77" i="37" s="1"/>
  <c r="U47" i="37"/>
  <c r="V47" i="37" s="1"/>
  <c r="U146" i="37"/>
  <c r="V146" i="37" s="1"/>
  <c r="U194" i="37"/>
  <c r="V194" i="37" s="1"/>
  <c r="U231" i="37"/>
  <c r="V231" i="37" s="1"/>
  <c r="U185" i="37"/>
  <c r="V185" i="37" s="1"/>
  <c r="U57" i="37"/>
  <c r="V57" i="37" s="1"/>
  <c r="U123" i="37"/>
  <c r="V123" i="37" s="1"/>
  <c r="U274" i="37"/>
  <c r="V274" i="37" s="1"/>
  <c r="U132" i="37"/>
  <c r="V132" i="37" s="1"/>
  <c r="U273" i="37"/>
  <c r="V273" i="37" s="1"/>
  <c r="U9" i="37"/>
  <c r="V9" i="37" s="1"/>
  <c r="U279" i="37"/>
  <c r="V279" i="37" s="1"/>
  <c r="U99" i="37"/>
  <c r="V99" i="37" s="1"/>
  <c r="U139" i="37"/>
  <c r="V139" i="37" s="1"/>
  <c r="U193" i="37"/>
  <c r="V193" i="37" s="1"/>
  <c r="U10" i="37"/>
  <c r="V10" i="37" s="1"/>
  <c r="U93" i="37"/>
  <c r="V93" i="37" s="1"/>
  <c r="U12" i="37"/>
  <c r="V12" i="37" s="1"/>
  <c r="U26" i="37"/>
  <c r="V26" i="37" s="1"/>
  <c r="U207" i="37"/>
  <c r="V207" i="37" s="1"/>
  <c r="U257" i="37"/>
  <c r="V257" i="37" s="1"/>
  <c r="U159" i="37"/>
  <c r="V159" i="37" s="1"/>
  <c r="U240" i="37"/>
  <c r="V240" i="37" s="1"/>
  <c r="U136" i="37"/>
  <c r="V136" i="37" s="1"/>
  <c r="U88" i="37"/>
  <c r="V88" i="37" s="1"/>
  <c r="U186" i="37"/>
  <c r="V186" i="37" s="1"/>
  <c r="U291" i="37"/>
  <c r="V291" i="37" s="1"/>
  <c r="U32" i="37"/>
  <c r="V32" i="37" s="1"/>
  <c r="U251" i="37"/>
  <c r="V251" i="37" s="1"/>
  <c r="U37" i="37"/>
  <c r="V37" i="37" s="1"/>
  <c r="U177" i="37"/>
  <c r="V177" i="37" s="1"/>
  <c r="U33" i="37"/>
  <c r="V33" i="37" s="1"/>
  <c r="U68" i="37"/>
  <c r="V68" i="37" s="1"/>
  <c r="U298" i="37"/>
  <c r="V298" i="37" s="1"/>
  <c r="U66" i="37"/>
  <c r="V66" i="37" s="1"/>
  <c r="U80" i="37"/>
  <c r="V80" i="37" s="1"/>
  <c r="U167" i="37"/>
  <c r="V167" i="37" s="1"/>
  <c r="U195" i="37"/>
  <c r="V195" i="37" s="1"/>
  <c r="U43" i="37"/>
  <c r="V43" i="37" s="1"/>
  <c r="U67" i="37"/>
  <c r="V67" i="37" s="1"/>
  <c r="U212" i="37"/>
  <c r="V212" i="37" s="1"/>
  <c r="U13" i="37"/>
  <c r="V13" i="37" s="1"/>
  <c r="U261" i="37"/>
  <c r="V261" i="37" s="1"/>
  <c r="U148" i="37"/>
  <c r="V148" i="37" s="1"/>
  <c r="U166" i="37"/>
  <c r="V166" i="37" s="1"/>
  <c r="U62" i="37"/>
  <c r="V62" i="37" s="1"/>
  <c r="U100" i="37"/>
  <c r="V100" i="37" s="1"/>
  <c r="U294" i="37"/>
  <c r="V294" i="37" s="1"/>
  <c r="U309" i="37"/>
  <c r="V309" i="37" s="1"/>
  <c r="U137" i="37"/>
  <c r="V137" i="37" s="1"/>
  <c r="U164" i="37"/>
  <c r="V164" i="37" s="1"/>
  <c r="U64" i="37"/>
  <c r="V64" i="37" s="1"/>
  <c r="U60" i="37"/>
  <c r="V60" i="37" s="1"/>
  <c r="U242" i="37"/>
  <c r="V242" i="37" s="1"/>
  <c r="U292" i="37"/>
  <c r="V292" i="37" s="1"/>
  <c r="U245" i="37"/>
  <c r="V245" i="37" s="1"/>
  <c r="U8" i="37"/>
  <c r="V8" i="37" s="1"/>
  <c r="U158" i="37"/>
  <c r="V158" i="37" s="1"/>
  <c r="U243" i="37"/>
  <c r="V243" i="37" s="1"/>
  <c r="U105" i="37"/>
  <c r="V105" i="37" s="1"/>
  <c r="U153" i="37"/>
  <c r="V153" i="37" s="1"/>
  <c r="U52" i="37"/>
  <c r="V52" i="37" s="1"/>
  <c r="U307" i="37"/>
  <c r="V307" i="37" s="1"/>
  <c r="U103" i="37"/>
  <c r="V103" i="37" s="1"/>
  <c r="U268" i="37"/>
  <c r="V268" i="37" s="1"/>
  <c r="U130" i="37"/>
  <c r="V130" i="37" s="1"/>
  <c r="U154" i="37"/>
  <c r="V154" i="37" s="1"/>
  <c r="U50" i="37"/>
  <c r="V50" i="37" s="1"/>
  <c r="U238" i="37"/>
  <c r="V238" i="37" s="1"/>
  <c r="U211" i="37"/>
  <c r="V211" i="37" s="1"/>
  <c r="U56" i="37"/>
  <c r="V56" i="37" s="1"/>
  <c r="U157" i="37"/>
  <c r="V157" i="37" s="1"/>
  <c r="U84" i="37"/>
  <c r="V84" i="37" s="1"/>
  <c r="U162" i="37"/>
  <c r="V162" i="37" s="1"/>
  <c r="U215" i="37"/>
  <c r="V215" i="37" s="1"/>
  <c r="U71" i="37"/>
  <c r="V71" i="37" s="1"/>
  <c r="U46" i="37"/>
  <c r="V46" i="37" s="1"/>
  <c r="U17" i="37"/>
  <c r="V17" i="37" s="1"/>
  <c r="U48" i="37"/>
  <c r="V48" i="37" s="1"/>
  <c r="U16" i="37"/>
  <c r="V16" i="37" s="1"/>
  <c r="U152" i="37"/>
  <c r="V152" i="37" s="1"/>
  <c r="U266" i="37"/>
  <c r="V266" i="37" s="1"/>
  <c r="U14" i="37"/>
  <c r="V14" i="37" s="1"/>
  <c r="U42" i="37"/>
  <c r="V42" i="37" s="1"/>
  <c r="U253" i="37"/>
  <c r="V253" i="37" s="1"/>
  <c r="U111" i="37"/>
  <c r="V111" i="37" s="1"/>
  <c r="U81" i="37"/>
  <c r="V81" i="37" s="1"/>
  <c r="U11" i="37"/>
  <c r="V11" i="37" s="1"/>
  <c r="U168" i="37"/>
  <c r="V168" i="37" s="1"/>
  <c r="U45" i="37"/>
  <c r="V45" i="37" s="1"/>
  <c r="U262" i="37"/>
  <c r="V262" i="37" s="1"/>
  <c r="U143" i="37"/>
  <c r="V143" i="37" s="1"/>
  <c r="O142" i="17"/>
  <c r="O265" i="17"/>
  <c r="O169" i="17"/>
  <c r="C169" i="17" s="1"/>
  <c r="O215" i="17"/>
  <c r="C215" i="17" s="1"/>
  <c r="C41" i="40" s="1"/>
  <c r="G41" i="40" s="1"/>
  <c r="O84" i="17"/>
  <c r="C84" i="17" s="1"/>
  <c r="C313" i="40" s="1"/>
  <c r="G313" i="40" s="1"/>
  <c r="O191" i="17"/>
  <c r="C191" i="17" s="1"/>
  <c r="C82" i="40" s="1"/>
  <c r="G82" i="40" s="1"/>
  <c r="O135" i="17"/>
  <c r="O217" i="17"/>
  <c r="O69" i="17"/>
  <c r="C69" i="17" s="1"/>
  <c r="C219" i="40" s="1"/>
  <c r="G219" i="40" s="1"/>
  <c r="O271" i="17"/>
  <c r="O313" i="17"/>
  <c r="O201" i="17"/>
  <c r="O99" i="17"/>
  <c r="O96" i="17"/>
  <c r="O51" i="17"/>
  <c r="O54" i="17"/>
  <c r="O122" i="17"/>
  <c r="O108" i="17"/>
  <c r="C6" i="40" s="1"/>
  <c r="G6" i="40" s="1"/>
  <c r="O161" i="17"/>
  <c r="C161" i="17" s="1"/>
  <c r="C216" i="40" s="1"/>
  <c r="G216" i="40" s="1"/>
  <c r="O229" i="17"/>
  <c r="O202" i="17"/>
  <c r="C202" i="17" s="1"/>
  <c r="C296" i="40" s="1"/>
  <c r="G296" i="40" s="1"/>
  <c r="O76" i="17"/>
  <c r="O80" i="17"/>
  <c r="C80" i="17" s="1"/>
  <c r="C23" i="40" s="1"/>
  <c r="G23" i="40" s="1"/>
  <c r="O36" i="17"/>
  <c r="O127" i="17"/>
  <c r="O174" i="17"/>
  <c r="O140" i="17"/>
  <c r="O225" i="17"/>
  <c r="O19" i="17"/>
  <c r="O30" i="17"/>
  <c r="O241" i="17"/>
  <c r="O274" i="17"/>
  <c r="O47" i="17"/>
  <c r="C47" i="17" s="1"/>
  <c r="C246" i="40" s="1"/>
  <c r="G246" i="40" s="1"/>
  <c r="O38" i="17"/>
  <c r="C38" i="17" s="1"/>
  <c r="C217" i="40" s="1"/>
  <c r="G217" i="40" s="1"/>
  <c r="O307" i="17"/>
  <c r="O177" i="17"/>
  <c r="C177" i="17" s="1"/>
  <c r="C124" i="40" s="1"/>
  <c r="G124" i="40" s="1"/>
  <c r="O267" i="17"/>
  <c r="O14" i="17"/>
  <c r="C14" i="17" s="1"/>
  <c r="O144" i="17"/>
  <c r="O287" i="17"/>
  <c r="C287" i="17" s="1"/>
  <c r="C122" i="40" s="1"/>
  <c r="G122" i="40" s="1"/>
  <c r="O50" i="17"/>
  <c r="O297" i="17"/>
  <c r="O124" i="17"/>
  <c r="C124" i="17" s="1"/>
  <c r="C258" i="40" s="1"/>
  <c r="O293" i="17"/>
  <c r="O214" i="17"/>
  <c r="O248" i="17"/>
  <c r="O219" i="17"/>
  <c r="O221" i="17"/>
  <c r="O228" i="17"/>
  <c r="O195" i="17"/>
  <c r="C195" i="17" s="1"/>
  <c r="C121" i="40" s="1"/>
  <c r="G121" i="40" s="1"/>
  <c r="O72" i="17"/>
  <c r="O8" i="17"/>
  <c r="C8" i="17" s="1"/>
  <c r="C8" i="40" s="1"/>
  <c r="G8" i="40" s="1"/>
  <c r="O194" i="17"/>
  <c r="O118" i="17"/>
  <c r="O246" i="17"/>
  <c r="O42" i="17"/>
  <c r="O249" i="17"/>
  <c r="O34" i="17"/>
  <c r="O64" i="17"/>
  <c r="O211" i="17"/>
  <c r="O263" i="17"/>
  <c r="C263" i="17" s="1"/>
  <c r="O240" i="17"/>
  <c r="O299" i="17"/>
  <c r="C299" i="17" s="1"/>
  <c r="C37" i="40" s="1"/>
  <c r="G37" i="40" s="1"/>
  <c r="O239" i="17"/>
  <c r="C239" i="17" s="1"/>
  <c r="O262" i="17"/>
  <c r="O106" i="17"/>
  <c r="O159" i="17"/>
  <c r="O77" i="17"/>
  <c r="C77" i="17" s="1"/>
  <c r="C156" i="40" s="1"/>
  <c r="O48" i="17"/>
  <c r="O190" i="17"/>
  <c r="O273" i="17"/>
  <c r="C273" i="17" s="1"/>
  <c r="C282" i="40" s="1"/>
  <c r="G282" i="40" s="1"/>
  <c r="O184" i="17"/>
  <c r="C184" i="17" s="1"/>
  <c r="C236" i="40" s="1"/>
  <c r="G236" i="40" s="1"/>
  <c r="O134" i="17"/>
  <c r="C134" i="17" s="1"/>
  <c r="C66" i="40" s="1"/>
  <c r="G66" i="40" s="1"/>
  <c r="O45" i="17"/>
  <c r="C45" i="17" s="1"/>
  <c r="O212" i="17"/>
  <c r="C212" i="17" s="1"/>
  <c r="C24" i="40" s="1"/>
  <c r="G24" i="40" s="1"/>
  <c r="O28" i="17"/>
  <c r="C28" i="17" s="1"/>
  <c r="O178" i="17"/>
  <c r="O253" i="17"/>
  <c r="C253" i="17" s="1"/>
  <c r="C308" i="40" s="1"/>
  <c r="G308" i="40" s="1"/>
  <c r="O143" i="17"/>
  <c r="O147" i="17"/>
  <c r="C147" i="17" s="1"/>
  <c r="O204" i="17"/>
  <c r="O272" i="17"/>
  <c r="O66" i="17"/>
  <c r="C66" i="17" s="1"/>
  <c r="O222" i="17"/>
  <c r="O182" i="17"/>
  <c r="O218" i="17"/>
  <c r="O120" i="17"/>
  <c r="C120" i="17" s="1"/>
  <c r="C208" i="40" s="1"/>
  <c r="G208" i="40" s="1"/>
  <c r="O16" i="17"/>
  <c r="O60" i="17"/>
  <c r="O270" i="17"/>
  <c r="C270" i="17" s="1"/>
  <c r="C96" i="40" s="1"/>
  <c r="G96" i="40" s="1"/>
  <c r="O52" i="17"/>
  <c r="C52" i="17" s="1"/>
  <c r="C52" i="40" s="1"/>
  <c r="O126" i="17"/>
  <c r="C126" i="17" s="1"/>
  <c r="C33" i="40" s="1"/>
  <c r="G33" i="40" s="1"/>
  <c r="O156" i="17"/>
  <c r="C156" i="17" s="1"/>
  <c r="C227" i="40" s="1"/>
  <c r="G227" i="40" s="1"/>
  <c r="O230" i="17"/>
  <c r="O136" i="17"/>
  <c r="O141" i="17"/>
  <c r="O235" i="17"/>
  <c r="C235" i="17" s="1"/>
  <c r="C272" i="40" s="1"/>
  <c r="O303" i="17"/>
  <c r="C303" i="17" s="1"/>
  <c r="C59" i="40" s="1"/>
  <c r="G59" i="40" s="1"/>
  <c r="O98" i="17"/>
  <c r="O33" i="17"/>
  <c r="C33" i="17" s="1"/>
  <c r="C188" i="40" s="1"/>
  <c r="G188" i="40" s="1"/>
  <c r="O305" i="17"/>
  <c r="C305" i="17" s="1"/>
  <c r="C62" i="40" s="1"/>
  <c r="G62" i="40" s="1"/>
  <c r="O196" i="17"/>
  <c r="O213" i="17"/>
  <c r="O100" i="17"/>
  <c r="O153" i="17"/>
  <c r="C153" i="17" s="1"/>
  <c r="C115" i="40" s="1"/>
  <c r="G115" i="40" s="1"/>
  <c r="O298" i="17"/>
  <c r="O123" i="17"/>
  <c r="C123" i="17" s="1"/>
  <c r="C248" i="40" s="1"/>
  <c r="G248" i="40" s="1"/>
  <c r="O300" i="17"/>
  <c r="O105" i="17"/>
  <c r="O310" i="17"/>
  <c r="C310" i="17" s="1"/>
  <c r="C195" i="40" s="1"/>
  <c r="G195" i="40" s="1"/>
  <c r="O296" i="17"/>
  <c r="C296" i="17" s="1"/>
  <c r="C135" i="40" s="1"/>
  <c r="G135" i="40" s="1"/>
  <c r="O92" i="17"/>
  <c r="C92" i="17" s="1"/>
  <c r="C162" i="40" s="1"/>
  <c r="G162" i="40" s="1"/>
  <c r="O39" i="17"/>
  <c r="C39" i="17" s="1"/>
  <c r="C86" i="40" s="1"/>
  <c r="G86" i="40" s="1"/>
  <c r="O15" i="17"/>
  <c r="C15" i="17" s="1"/>
  <c r="C148" i="40" s="1"/>
  <c r="G148" i="40" s="1"/>
  <c r="O284" i="17"/>
  <c r="C284" i="17" s="1"/>
  <c r="O176" i="17"/>
  <c r="O44" i="17"/>
  <c r="C44" i="17" s="1"/>
  <c r="C145" i="40" s="1"/>
  <c r="G145" i="40" s="1"/>
  <c r="O238" i="17"/>
  <c r="C238" i="17" s="1"/>
  <c r="C266" i="40" s="1"/>
  <c r="G266" i="40" s="1"/>
  <c r="O207" i="17"/>
  <c r="O268" i="17"/>
  <c r="O40" i="17"/>
  <c r="O200" i="17"/>
  <c r="C200" i="17" s="1"/>
  <c r="C207" i="40" s="1"/>
  <c r="G207" i="40" s="1"/>
  <c r="O289" i="17"/>
  <c r="O46" i="17"/>
  <c r="O133" i="17"/>
  <c r="O285" i="17"/>
  <c r="C285" i="17" s="1"/>
  <c r="O231" i="17"/>
  <c r="O302" i="17"/>
  <c r="C302" i="17" s="1"/>
  <c r="C56" i="40" s="1"/>
  <c r="O269" i="17"/>
  <c r="O280" i="17"/>
  <c r="O171" i="17"/>
  <c r="C171" i="17" s="1"/>
  <c r="C159" i="40" s="1"/>
  <c r="G159" i="40" s="1"/>
  <c r="O252" i="17"/>
  <c r="C252" i="17" s="1"/>
  <c r="C265" i="40" s="1"/>
  <c r="G265" i="40" s="1"/>
  <c r="O137" i="17"/>
  <c r="C137" i="17" s="1"/>
  <c r="C281" i="40" s="1"/>
  <c r="G281" i="40" s="1"/>
  <c r="O37" i="17"/>
  <c r="O306" i="17"/>
  <c r="C306" i="17" s="1"/>
  <c r="C126" i="40" s="1"/>
  <c r="G126" i="40" s="1"/>
  <c r="O128" i="17"/>
  <c r="C128" i="17" s="1"/>
  <c r="C185" i="40" s="1"/>
  <c r="G185" i="40" s="1"/>
  <c r="O236" i="17"/>
  <c r="C236" i="17" s="1"/>
  <c r="C276" i="40" s="1"/>
  <c r="G276" i="40" s="1"/>
  <c r="O181" i="17"/>
  <c r="O59" i="17"/>
  <c r="C59" i="17" s="1"/>
  <c r="O314" i="17"/>
  <c r="O93" i="17"/>
  <c r="O121" i="17"/>
  <c r="O26" i="17"/>
  <c r="O56" i="17"/>
  <c r="C56" i="17" s="1"/>
  <c r="C210" i="40" s="1"/>
  <c r="G210" i="40" s="1"/>
  <c r="O145" i="17"/>
  <c r="C145" i="17" s="1"/>
  <c r="O94" i="17"/>
  <c r="C94" i="17" s="1"/>
  <c r="C150" i="40" s="1"/>
  <c r="G150" i="40" s="1"/>
  <c r="O291" i="17"/>
  <c r="O286" i="17"/>
  <c r="O160" i="17"/>
  <c r="C160" i="17" s="1"/>
  <c r="C117" i="40" s="1"/>
  <c r="G117" i="40" s="1"/>
  <c r="O279" i="17"/>
  <c r="C279" i="17" s="1"/>
  <c r="C177" i="40" s="1"/>
  <c r="G177" i="40" s="1"/>
  <c r="O157" i="17"/>
  <c r="O163" i="17"/>
  <c r="O31" i="17"/>
  <c r="C31" i="17" s="1"/>
  <c r="W31" i="17" s="1"/>
  <c r="O290" i="17"/>
  <c r="O203" i="17"/>
  <c r="C203" i="17" s="1"/>
  <c r="O104" i="17"/>
  <c r="C104" i="17" s="1"/>
  <c r="O295" i="17"/>
  <c r="O62" i="17"/>
  <c r="O41" i="17"/>
  <c r="C41" i="17" s="1"/>
  <c r="C263" i="40" s="1"/>
  <c r="G263" i="40" s="1"/>
  <c r="O139" i="17"/>
  <c r="O58" i="17"/>
  <c r="O304" i="17"/>
  <c r="C304" i="17" s="1"/>
  <c r="C60" i="40" s="1"/>
  <c r="G60" i="40" s="1"/>
  <c r="O113" i="17"/>
  <c r="C113" i="17" s="1"/>
  <c r="C213" i="40" s="1"/>
  <c r="G213" i="40" s="1"/>
  <c r="O175" i="17"/>
  <c r="C175" i="17" s="1"/>
  <c r="C61" i="40" s="1"/>
  <c r="G61" i="40" s="1"/>
  <c r="O68" i="17"/>
  <c r="C68" i="17" s="1"/>
  <c r="C138" i="40" s="1"/>
  <c r="O27" i="17"/>
  <c r="O180" i="17"/>
  <c r="O109" i="17"/>
  <c r="C109" i="17" s="1"/>
  <c r="C305" i="40" s="1"/>
  <c r="G305" i="40" s="1"/>
  <c r="O114" i="17"/>
  <c r="O167" i="17"/>
  <c r="O312" i="17"/>
  <c r="C312" i="17" s="1"/>
  <c r="C226" i="40" s="1"/>
  <c r="G226" i="40" s="1"/>
  <c r="O129" i="17"/>
  <c r="O315" i="17"/>
  <c r="C315" i="17" s="1"/>
  <c r="C302" i="40" s="1"/>
  <c r="G302" i="40" s="1"/>
  <c r="O55" i="17"/>
  <c r="O89" i="17"/>
  <c r="O107" i="17"/>
  <c r="O110" i="17"/>
  <c r="C110" i="17" s="1"/>
  <c r="C212" i="40" s="1"/>
  <c r="G212" i="40" s="1"/>
  <c r="O164" i="17"/>
  <c r="C164" i="17" s="1"/>
  <c r="C288" i="40" s="1"/>
  <c r="G288" i="40" s="1"/>
  <c r="O210" i="17"/>
  <c r="C210" i="17" s="1"/>
  <c r="O198" i="17"/>
  <c r="C198" i="17" s="1"/>
  <c r="C141" i="40" s="1"/>
  <c r="O208" i="17"/>
  <c r="O49" i="17"/>
  <c r="O259" i="17"/>
  <c r="O283" i="17"/>
  <c r="O85" i="17"/>
  <c r="O11" i="17"/>
  <c r="C11" i="17" s="1"/>
  <c r="O23" i="17"/>
  <c r="C23" i="17" s="1"/>
  <c r="C250" i="40" s="1"/>
  <c r="G250" i="40" s="1"/>
  <c r="O187" i="17"/>
  <c r="O199" i="17"/>
  <c r="O165" i="17"/>
  <c r="C165" i="17" s="1"/>
  <c r="C161" i="40" s="1"/>
  <c r="G161" i="40" s="1"/>
  <c r="O301" i="17"/>
  <c r="O258" i="17"/>
  <c r="C258" i="17" s="1"/>
  <c r="C204" i="40" s="1"/>
  <c r="G204" i="40" s="1"/>
  <c r="O65" i="17"/>
  <c r="C65" i="17" s="1"/>
  <c r="O227" i="17"/>
  <c r="C227" i="17" s="1"/>
  <c r="C190" i="40" s="1"/>
  <c r="G190" i="40" s="1"/>
  <c r="O206" i="17"/>
  <c r="O74" i="17"/>
  <c r="C74" i="17" s="1"/>
  <c r="C53" i="40" s="1"/>
  <c r="G53" i="40" s="1"/>
  <c r="O234" i="17"/>
  <c r="C234" i="17" s="1"/>
  <c r="C231" i="40" s="1"/>
  <c r="O197" i="17"/>
  <c r="O73" i="17"/>
  <c r="C73" i="17" s="1"/>
  <c r="C51" i="40" s="1"/>
  <c r="G51" i="40" s="1"/>
  <c r="O125" i="17"/>
  <c r="O130" i="17"/>
  <c r="C130" i="17" s="1"/>
  <c r="C30" i="40" s="1"/>
  <c r="G30" i="40" s="1"/>
  <c r="O101" i="17"/>
  <c r="C101" i="17" s="1"/>
  <c r="C73" i="40" s="1"/>
  <c r="G73" i="40" s="1"/>
  <c r="O237" i="17"/>
  <c r="C237" i="17" s="1"/>
  <c r="C287" i="40" s="1"/>
  <c r="G287" i="40" s="1"/>
  <c r="O247" i="17"/>
  <c r="C247" i="17" s="1"/>
  <c r="C147" i="40" s="1"/>
  <c r="G147" i="40" s="1"/>
  <c r="O260" i="17"/>
  <c r="O261" i="17"/>
  <c r="O242" i="17"/>
  <c r="O308" i="17"/>
  <c r="O71" i="17"/>
  <c r="O278" i="17"/>
  <c r="C278" i="17" s="1"/>
  <c r="C157" i="40" s="1"/>
  <c r="G157" i="40" s="1"/>
  <c r="O75" i="17"/>
  <c r="O245" i="17"/>
  <c r="C245" i="17" s="1"/>
  <c r="C78" i="40" s="1"/>
  <c r="G78" i="40" s="1"/>
  <c r="O82" i="17"/>
  <c r="C82" i="17" s="1"/>
  <c r="C186" i="40" s="1"/>
  <c r="G186" i="40" s="1"/>
  <c r="O183" i="17"/>
  <c r="O193" i="17"/>
  <c r="C193" i="17" s="1"/>
  <c r="C34" i="40" s="1"/>
  <c r="G34" i="40" s="1"/>
  <c r="O119" i="17"/>
  <c r="O151" i="17"/>
  <c r="O275" i="17"/>
  <c r="C275" i="17" s="1"/>
  <c r="C47" i="40" s="1"/>
  <c r="G47" i="40" s="1"/>
  <c r="O17" i="17"/>
  <c r="C17" i="17" s="1"/>
  <c r="C181" i="40" s="1"/>
  <c r="G181" i="40" s="1"/>
  <c r="O282" i="17"/>
  <c r="C282" i="17" s="1"/>
  <c r="C242" i="40" s="1"/>
  <c r="G242" i="40" s="1"/>
  <c r="O132" i="17"/>
  <c r="C132" i="17" s="1"/>
  <c r="C307" i="40" s="1"/>
  <c r="G307" i="40" s="1"/>
  <c r="O81" i="17"/>
  <c r="C81" i="17" s="1"/>
  <c r="C40" i="40" s="1"/>
  <c r="G40" i="40" s="1"/>
  <c r="O61" i="17"/>
  <c r="C61" i="17" s="1"/>
  <c r="C130" i="40" s="1"/>
  <c r="G130" i="40" s="1"/>
  <c r="O5" i="17"/>
  <c r="C5" i="17" s="1"/>
  <c r="O256" i="17"/>
  <c r="C256" i="17" s="1"/>
  <c r="C97" i="40" s="1"/>
  <c r="G97" i="40" s="1"/>
  <c r="O309" i="17"/>
  <c r="O154" i="17"/>
  <c r="C154" i="17" s="1"/>
  <c r="C129" i="40" s="1"/>
  <c r="G129" i="40" s="1"/>
  <c r="O138" i="17"/>
  <c r="O152" i="17"/>
  <c r="C152" i="17" s="1"/>
  <c r="C270" i="40" s="1"/>
  <c r="O6" i="17"/>
  <c r="C6" i="17" s="1"/>
  <c r="C5" i="40" s="1"/>
  <c r="G5" i="40" s="1"/>
  <c r="O257" i="17"/>
  <c r="O149" i="17"/>
  <c r="O186" i="17"/>
  <c r="O83" i="17"/>
  <c r="O32" i="17"/>
  <c r="C32" i="17" s="1"/>
  <c r="C206" i="40" s="1"/>
  <c r="G206" i="40" s="1"/>
  <c r="O21" i="17"/>
  <c r="C21" i="17" s="1"/>
  <c r="O86" i="17"/>
  <c r="C86" i="17" s="1"/>
  <c r="C26" i="40" s="1"/>
  <c r="G26" i="40" s="1"/>
  <c r="O25" i="17"/>
  <c r="C25" i="17" s="1"/>
  <c r="O87" i="17"/>
  <c r="O57" i="17"/>
  <c r="O91" i="17"/>
  <c r="C91" i="17" s="1"/>
  <c r="C251" i="40" s="1"/>
  <c r="G251" i="40" s="1"/>
  <c r="O205" i="17"/>
  <c r="O148" i="17"/>
  <c r="C148" i="17" s="1"/>
  <c r="C128" i="40" s="1"/>
  <c r="G128" i="40" s="1"/>
  <c r="O103" i="17"/>
  <c r="C103" i="17" s="1"/>
  <c r="C189" i="40" s="1"/>
  <c r="G189" i="40" s="1"/>
  <c r="O292" i="17"/>
  <c r="O13" i="17"/>
  <c r="C13" i="17" s="1"/>
  <c r="O78" i="17"/>
  <c r="C78" i="17" s="1"/>
  <c r="C83" i="40" s="1"/>
  <c r="G83" i="40" s="1"/>
  <c r="O63" i="17"/>
  <c r="C63" i="17" s="1"/>
  <c r="C98" i="40" s="1"/>
  <c r="G98" i="40" s="1"/>
  <c r="O12" i="17"/>
  <c r="C12" i="17" s="1"/>
  <c r="O232" i="17"/>
  <c r="O168" i="17"/>
  <c r="O266" i="17"/>
  <c r="O223" i="17"/>
  <c r="C223" i="17" s="1"/>
  <c r="C247" i="40" s="1"/>
  <c r="G247" i="40" s="1"/>
  <c r="O209" i="17"/>
  <c r="O166" i="17"/>
  <c r="C166" i="17" s="1"/>
  <c r="C72" i="40" s="1"/>
  <c r="G72" i="40" s="1"/>
  <c r="O115" i="17"/>
  <c r="O97" i="17"/>
  <c r="C97" i="17" s="1"/>
  <c r="C149" i="40" s="1"/>
  <c r="G149" i="40" s="1"/>
  <c r="O226" i="17"/>
  <c r="O244" i="17"/>
  <c r="O112" i="17"/>
  <c r="O116" i="17"/>
  <c r="O172" i="17"/>
  <c r="O173" i="17"/>
  <c r="C173" i="17" s="1"/>
  <c r="C271" i="40" s="1"/>
  <c r="G271" i="40" s="1"/>
  <c r="O22" i="17"/>
  <c r="O150" i="17"/>
  <c r="O294" i="17"/>
  <c r="C294" i="17" s="1"/>
  <c r="C42" i="40" s="1"/>
  <c r="G42" i="40" s="1"/>
  <c r="O188" i="17"/>
  <c r="O277" i="17"/>
  <c r="O220" i="17"/>
  <c r="O250" i="17"/>
  <c r="O70" i="17"/>
  <c r="C70" i="17" s="1"/>
  <c r="C268" i="40" s="1"/>
  <c r="G268" i="40" s="1"/>
  <c r="O29" i="17"/>
  <c r="C29" i="17" s="1"/>
  <c r="C44" i="40" s="1"/>
  <c r="G44" i="40" s="1"/>
  <c r="O276" i="17"/>
  <c r="O18" i="17"/>
  <c r="C18" i="17" s="1"/>
  <c r="O162" i="17"/>
  <c r="O216" i="17"/>
  <c r="O192" i="17"/>
  <c r="O189" i="17"/>
  <c r="O7" i="17"/>
  <c r="C7" i="17" s="1"/>
  <c r="C3" i="40" s="1"/>
  <c r="G3" i="40" s="1"/>
  <c r="O155" i="17"/>
  <c r="C155" i="17" s="1"/>
  <c r="C215" i="40" s="1"/>
  <c r="G215" i="40" s="1"/>
  <c r="O111" i="17"/>
  <c r="C111" i="17" s="1"/>
  <c r="C260" i="40" s="1"/>
  <c r="O311" i="17"/>
  <c r="O179" i="17"/>
  <c r="O10" i="17"/>
  <c r="C10" i="17" s="1"/>
  <c r="O24" i="17"/>
  <c r="O131" i="17"/>
  <c r="C131" i="17" s="1"/>
  <c r="C91" i="40" s="1"/>
  <c r="G91" i="40" s="1"/>
  <c r="O243" i="17"/>
  <c r="O233" i="17"/>
  <c r="O288" i="17"/>
  <c r="O158" i="17"/>
  <c r="O224" i="17"/>
  <c r="O185" i="17"/>
  <c r="O255" i="17"/>
  <c r="C255" i="17" s="1"/>
  <c r="C77" i="40" s="1"/>
  <c r="G77" i="40" s="1"/>
  <c r="O43" i="17"/>
  <c r="O9" i="17"/>
  <c r="C9" i="17" s="1"/>
  <c r="O67" i="17"/>
  <c r="C67" i="17" s="1"/>
  <c r="C244" i="40" s="1"/>
  <c r="O254" i="17"/>
  <c r="C254" i="17" s="1"/>
  <c r="C31" i="40" s="1"/>
  <c r="G31" i="40" s="1"/>
  <c r="O146" i="17"/>
  <c r="C146" i="17" s="1"/>
  <c r="C89" i="40" s="1"/>
  <c r="G89" i="40" s="1"/>
  <c r="O117" i="17"/>
  <c r="O95" i="17"/>
  <c r="C95" i="17" s="1"/>
  <c r="C151" i="40" s="1"/>
  <c r="G151" i="40" s="1"/>
  <c r="O102" i="17"/>
  <c r="O79" i="17"/>
  <c r="O90" i="17"/>
  <c r="O20" i="17"/>
  <c r="C20" i="17" s="1"/>
  <c r="O35" i="17"/>
  <c r="C35" i="17" s="1"/>
  <c r="C187" i="40" s="1"/>
  <c r="G187" i="40" s="1"/>
  <c r="O88" i="17"/>
  <c r="O264" i="17"/>
  <c r="O170" i="17"/>
  <c r="O281" i="17"/>
  <c r="O53" i="17"/>
  <c r="C53" i="17" s="1"/>
  <c r="C79" i="40" s="1"/>
  <c r="G79" i="40" s="1"/>
  <c r="O251" i="17"/>
  <c r="C251" i="17" s="1"/>
  <c r="C261" i="40" s="1"/>
  <c r="G261" i="40" s="1"/>
  <c r="C190" i="17"/>
  <c r="C175" i="40" s="1"/>
  <c r="C187" i="17"/>
  <c r="C69" i="40" s="1"/>
  <c r="G69" i="40" s="1"/>
  <c r="C213" i="17"/>
  <c r="C25" i="40" s="1"/>
  <c r="G25" i="40" s="1"/>
  <c r="C100" i="17"/>
  <c r="C68" i="40" s="1"/>
  <c r="G68" i="40" s="1"/>
  <c r="C298" i="17"/>
  <c r="C267" i="40" s="1"/>
  <c r="G267" i="40" s="1"/>
  <c r="C36" i="17"/>
  <c r="C233" i="40" s="1"/>
  <c r="G233" i="40" s="1"/>
  <c r="C127" i="17"/>
  <c r="C234" i="40" s="1"/>
  <c r="G234" i="40" s="1"/>
  <c r="C174" i="17"/>
  <c r="C93" i="40" s="1"/>
  <c r="G93" i="40" s="1"/>
  <c r="C138" i="17"/>
  <c r="C139" i="40" s="1"/>
  <c r="G139" i="40" s="1"/>
  <c r="C140" i="17"/>
  <c r="C110" i="40" s="1"/>
  <c r="G110" i="40" s="1"/>
  <c r="C19" i="17"/>
  <c r="C241" i="17"/>
  <c r="C225" i="40" s="1"/>
  <c r="G225" i="40" s="1"/>
  <c r="C274" i="17"/>
  <c r="C12" i="40" s="1"/>
  <c r="G12" i="40" s="1"/>
  <c r="C307" i="17"/>
  <c r="C293" i="40" s="1"/>
  <c r="G293" i="40" s="1"/>
  <c r="C293" i="17"/>
  <c r="C289" i="40" s="1"/>
  <c r="G289" i="40" s="1"/>
  <c r="C214" i="17"/>
  <c r="C108" i="40" s="1"/>
  <c r="G108" i="40" s="1"/>
  <c r="C219" i="17"/>
  <c r="C200" i="40" s="1"/>
  <c r="G200" i="40" s="1"/>
  <c r="C221" i="17"/>
  <c r="C214" i="40" s="1"/>
  <c r="G214" i="40" s="1"/>
  <c r="C118" i="17"/>
  <c r="C106" i="40" s="1"/>
  <c r="G106" i="40" s="1"/>
  <c r="C240" i="17"/>
  <c r="C95" i="40" s="1"/>
  <c r="G95" i="40" s="1"/>
  <c r="C262" i="17"/>
  <c r="C109" i="40" s="1"/>
  <c r="G109" i="40" s="1"/>
  <c r="C268" i="17"/>
  <c r="C116" i="40" s="1"/>
  <c r="G116" i="40" s="1"/>
  <c r="C40" i="17"/>
  <c r="C269" i="17"/>
  <c r="C67" i="40" s="1"/>
  <c r="G67" i="40" s="1"/>
  <c r="C280" i="17"/>
  <c r="C37" i="17"/>
  <c r="C295" i="40" s="1"/>
  <c r="G295" i="40" s="1"/>
  <c r="C121" i="17"/>
  <c r="C119" i="40" s="1"/>
  <c r="G119" i="40" s="1"/>
  <c r="C291" i="17"/>
  <c r="C255" i="40" s="1"/>
  <c r="G255" i="40" s="1"/>
  <c r="C290" i="17"/>
  <c r="C238" i="40" s="1"/>
  <c r="G238" i="40" s="1"/>
  <c r="C295" i="17"/>
  <c r="C202" i="40" s="1"/>
  <c r="G202" i="40" s="1"/>
  <c r="C139" i="17"/>
  <c r="C140" i="40" s="1"/>
  <c r="G140" i="40" s="1"/>
  <c r="C129" i="17"/>
  <c r="C256" i="40" s="1"/>
  <c r="G256" i="40" s="1"/>
  <c r="C55" i="17"/>
  <c r="C208" i="17"/>
  <c r="C262" i="40" s="1"/>
  <c r="G262" i="40" s="1"/>
  <c r="U49" i="17"/>
  <c r="M112" i="40" s="1"/>
  <c r="C87" i="17"/>
  <c r="C176" i="40" s="1"/>
  <c r="C292" i="17"/>
  <c r="C264" i="40" s="1"/>
  <c r="G264" i="40" s="1"/>
  <c r="C266" i="17"/>
  <c r="C203" i="40" s="1"/>
  <c r="G203" i="40" s="1"/>
  <c r="C209" i="17"/>
  <c r="C13" i="40" s="1"/>
  <c r="G13" i="40" s="1"/>
  <c r="C115" i="17"/>
  <c r="C103" i="40" s="1"/>
  <c r="G103" i="40" s="1"/>
  <c r="C244" i="17"/>
  <c r="C300" i="40" s="1"/>
  <c r="G300" i="40" s="1"/>
  <c r="C112" i="17"/>
  <c r="C46" i="40" s="1"/>
  <c r="G46" i="40" s="1"/>
  <c r="C116" i="17"/>
  <c r="C104" i="40" s="1"/>
  <c r="G104" i="40" s="1"/>
  <c r="C188" i="17"/>
  <c r="C70" i="40" s="1"/>
  <c r="G70" i="40" s="1"/>
  <c r="C216" i="17"/>
  <c r="C111" i="40" s="1"/>
  <c r="G111" i="40" s="1"/>
  <c r="C189" i="17"/>
  <c r="C173" i="40" s="1"/>
  <c r="G173" i="40" s="1"/>
  <c r="C311" i="17"/>
  <c r="U24" i="17"/>
  <c r="M49" i="40" s="1"/>
  <c r="C243" i="17"/>
  <c r="C107" i="40" s="1"/>
  <c r="G107" i="40" s="1"/>
  <c r="C224" i="17"/>
  <c r="C304" i="40" s="1"/>
  <c r="G304" i="40" s="1"/>
  <c r="C43" i="17"/>
  <c r="C123" i="40" s="1"/>
  <c r="G123" i="40" s="1"/>
  <c r="C117" i="17"/>
  <c r="C105" i="40" s="1"/>
  <c r="G105" i="40" s="1"/>
  <c r="C102" i="17"/>
  <c r="C211" i="40" s="1"/>
  <c r="G211" i="40" s="1"/>
  <c r="C90" i="17"/>
  <c r="C32" i="40" s="1"/>
  <c r="G32" i="40" s="1"/>
  <c r="C88" i="17"/>
  <c r="C292" i="40" s="1"/>
  <c r="G292" i="40" s="1"/>
  <c r="C264" i="17"/>
  <c r="C81" i="40" s="1"/>
  <c r="G81" i="40" s="1"/>
  <c r="C265" i="17"/>
  <c r="C160" i="40" s="1"/>
  <c r="G160" i="40" s="1"/>
  <c r="C217" i="17"/>
  <c r="C310" i="40" s="1"/>
  <c r="G310" i="40" s="1"/>
  <c r="C271" i="17"/>
  <c r="C172" i="40" s="1"/>
  <c r="G172" i="40" s="1"/>
  <c r="C313" i="17"/>
  <c r="C309" i="40" s="1"/>
  <c r="G309" i="40" s="1"/>
  <c r="C125" i="17"/>
  <c r="C224" i="40" s="1"/>
  <c r="G224" i="40" s="1"/>
  <c r="C204" i="17"/>
  <c r="C239" i="40" s="1"/>
  <c r="G239" i="40" s="1"/>
  <c r="U51" i="17"/>
  <c r="M120" i="40" s="1"/>
  <c r="C222" i="17"/>
  <c r="C240" i="40" s="1"/>
  <c r="G240" i="40" s="1"/>
  <c r="C218" i="17"/>
  <c r="C101" i="40" s="1"/>
  <c r="G101" i="40" s="1"/>
  <c r="C261" i="17"/>
  <c r="C71" i="40" s="1"/>
  <c r="G71" i="40" s="1"/>
  <c r="C242" i="17"/>
  <c r="C102" i="40" s="1"/>
  <c r="G102" i="40" s="1"/>
  <c r="C71" i="17"/>
  <c r="C269" i="40" s="1"/>
  <c r="G269" i="40" s="1"/>
  <c r="C141" i="17"/>
  <c r="C15" i="40" s="1"/>
  <c r="G15" i="40" s="1"/>
  <c r="O197" i="14"/>
  <c r="A18" i="21"/>
  <c r="N245" i="14"/>
  <c r="O181" i="14"/>
  <c r="A43" i="21"/>
  <c r="N149" i="14"/>
  <c r="O117" i="14"/>
  <c r="A49" i="21"/>
  <c r="O101" i="14"/>
  <c r="A24" i="21"/>
  <c r="O85" i="14"/>
  <c r="A167" i="21"/>
  <c r="O69" i="14"/>
  <c r="A65" i="21"/>
  <c r="O53" i="14"/>
  <c r="A285" i="21"/>
  <c r="O5" i="14"/>
  <c r="A312" i="21"/>
  <c r="O309" i="14"/>
  <c r="A117" i="21"/>
  <c r="O228" i="14"/>
  <c r="A38" i="21"/>
  <c r="N148" i="14"/>
  <c r="N116" i="14"/>
  <c r="N100" i="14"/>
  <c r="O84" i="14"/>
  <c r="A268" i="21"/>
  <c r="N68" i="14"/>
  <c r="N36" i="14"/>
  <c r="N20" i="14"/>
  <c r="N4" i="14"/>
  <c r="N296" i="14"/>
  <c r="O199" i="14"/>
  <c r="A91" i="21"/>
  <c r="O151" i="14"/>
  <c r="A244" i="21"/>
  <c r="N135" i="14"/>
  <c r="N103" i="14"/>
  <c r="N55" i="14"/>
  <c r="O39" i="14"/>
  <c r="A291" i="21"/>
  <c r="O214" i="14"/>
  <c r="A40" i="21"/>
  <c r="N150" i="14"/>
  <c r="O102" i="14"/>
  <c r="A53" i="21"/>
  <c r="O22" i="14"/>
  <c r="A61" i="21"/>
  <c r="O6" i="14"/>
  <c r="A311" i="21"/>
  <c r="O212" i="14"/>
  <c r="A220" i="21"/>
  <c r="O52" i="14"/>
  <c r="A286" i="21"/>
  <c r="O133" i="14"/>
  <c r="A6" i="21"/>
  <c r="N309" i="14"/>
  <c r="O293" i="14"/>
  <c r="A189" i="21"/>
  <c r="N228" i="14"/>
  <c r="O180" i="14"/>
  <c r="A234" i="21"/>
  <c r="O164" i="14"/>
  <c r="A163" i="21"/>
  <c r="O148" i="14"/>
  <c r="A99" i="21"/>
  <c r="O100" i="14"/>
  <c r="A54" i="21"/>
  <c r="O68" i="14"/>
  <c r="A131" i="21"/>
  <c r="O20" i="14"/>
  <c r="A302" i="21"/>
  <c r="O312" i="14"/>
  <c r="A146" i="21"/>
  <c r="O246" i="14"/>
  <c r="A147" i="21"/>
  <c r="O134" i="14"/>
  <c r="A249" i="21"/>
  <c r="O201" i="14"/>
  <c r="A226" i="21"/>
  <c r="O9" i="14"/>
  <c r="A308" i="21"/>
  <c r="O120" i="14"/>
  <c r="A257" i="21"/>
  <c r="O72" i="14"/>
  <c r="A275" i="21"/>
  <c r="O8" i="14"/>
  <c r="A309" i="21"/>
  <c r="O139" i="14"/>
  <c r="A127" i="21"/>
  <c r="O43" i="14"/>
  <c r="A289" i="21"/>
  <c r="O266" i="14"/>
  <c r="A35" i="21"/>
  <c r="O26" i="14"/>
  <c r="A299" i="21"/>
  <c r="O257" i="14"/>
  <c r="A157" i="21"/>
  <c r="O209" i="14"/>
  <c r="A89" i="21"/>
  <c r="O161" i="14"/>
  <c r="A45" i="21"/>
  <c r="O310" i="14"/>
  <c r="A181" i="21"/>
  <c r="O21" i="14"/>
  <c r="A301" i="21"/>
  <c r="O132" i="14"/>
  <c r="A100" i="21"/>
  <c r="O167" i="14"/>
  <c r="A237" i="21"/>
  <c r="O294" i="14"/>
  <c r="A75" i="21"/>
  <c r="N213" i="14"/>
  <c r="N117" i="14"/>
  <c r="N101" i="14"/>
  <c r="N276" i="14"/>
  <c r="O263" i="14"/>
  <c r="A78" i="21"/>
  <c r="O247" i="14"/>
  <c r="A208" i="21"/>
  <c r="O135" i="14"/>
  <c r="A152" i="21"/>
  <c r="O119" i="14"/>
  <c r="A258" i="21"/>
  <c r="O71" i="14"/>
  <c r="A109" i="21"/>
  <c r="O55" i="14"/>
  <c r="A283" i="21"/>
  <c r="O230" i="14"/>
  <c r="A37" i="21"/>
  <c r="O70" i="14"/>
  <c r="A276" i="21"/>
  <c r="O291" i="14"/>
  <c r="A76" i="21"/>
  <c r="N310" i="14"/>
  <c r="O277" i="14"/>
  <c r="A155" i="21"/>
  <c r="O261" i="14"/>
  <c r="A79" i="21"/>
  <c r="O245" i="14"/>
  <c r="A119" i="21"/>
  <c r="O229" i="14"/>
  <c r="A62" i="21"/>
  <c r="O213" i="14"/>
  <c r="A141" i="21"/>
  <c r="N197" i="14"/>
  <c r="O165" i="14"/>
  <c r="A238" i="21"/>
  <c r="O149" i="14"/>
  <c r="A245" i="21"/>
  <c r="N133" i="14"/>
  <c r="N69" i="14"/>
  <c r="O37" i="14"/>
  <c r="A292" i="21"/>
  <c r="N21" i="14"/>
  <c r="N293" i="14"/>
  <c r="O276" i="14"/>
  <c r="A68" i="21"/>
  <c r="O260" i="14"/>
  <c r="A200" i="21"/>
  <c r="O244" i="14"/>
  <c r="O196" i="14"/>
  <c r="A19" i="21"/>
  <c r="N132" i="14"/>
  <c r="O116" i="14"/>
  <c r="A259" i="21"/>
  <c r="O36" i="14"/>
  <c r="A293" i="21"/>
  <c r="O4" i="14"/>
  <c r="A116" i="21"/>
  <c r="O296" i="14"/>
  <c r="A13" i="21"/>
  <c r="O279" i="14"/>
  <c r="A193" i="21"/>
  <c r="N231" i="14"/>
  <c r="N215" i="14"/>
  <c r="O183" i="14"/>
  <c r="A150" i="21"/>
  <c r="N167" i="14"/>
  <c r="N119" i="14"/>
  <c r="O103" i="14"/>
  <c r="A52" i="21"/>
  <c r="O87" i="14"/>
  <c r="A55" i="21"/>
  <c r="N39" i="14"/>
  <c r="O7" i="14"/>
  <c r="A310" i="21"/>
  <c r="O311" i="14"/>
  <c r="A180" i="21"/>
  <c r="O295" i="14"/>
  <c r="A188" i="21"/>
  <c r="O278" i="14"/>
  <c r="A313" i="21"/>
  <c r="O262" i="14"/>
  <c r="A199" i="21"/>
  <c r="O166" i="14"/>
  <c r="A162" i="21"/>
  <c r="N134" i="14"/>
  <c r="O118" i="14"/>
  <c r="A48" i="21"/>
  <c r="O231" i="14"/>
  <c r="A213" i="21"/>
  <c r="O215" i="14"/>
  <c r="A88" i="21"/>
  <c r="O23" i="14"/>
  <c r="A10" i="21"/>
  <c r="O198" i="14"/>
  <c r="A122" i="21"/>
  <c r="O182" i="14"/>
  <c r="A233" i="21"/>
  <c r="O150" i="14"/>
  <c r="A5" i="21"/>
  <c r="O86" i="14"/>
  <c r="A106" i="21"/>
  <c r="O54" i="14"/>
  <c r="A284" i="21"/>
  <c r="O38" i="14"/>
  <c r="A113" i="21"/>
  <c r="O281" i="14"/>
  <c r="A34" i="21"/>
  <c r="O153" i="14"/>
  <c r="A242" i="21"/>
  <c r="O89" i="14"/>
  <c r="A266" i="21"/>
  <c r="O264" i="14"/>
  <c r="A139" i="21"/>
  <c r="O200" i="14"/>
  <c r="A227" i="21"/>
  <c r="O75" i="14"/>
  <c r="A274" i="21"/>
  <c r="O299" i="14"/>
  <c r="A186" i="21"/>
  <c r="O218" i="14"/>
  <c r="A87" i="21"/>
  <c r="N201" i="14"/>
  <c r="O235" i="14"/>
  <c r="A158" i="21"/>
  <c r="O187" i="14"/>
  <c r="A92" i="21"/>
  <c r="N139" i="14"/>
  <c r="N43" i="14"/>
  <c r="N299" i="14"/>
  <c r="O74" i="14"/>
  <c r="A108" i="21"/>
  <c r="N26" i="14"/>
  <c r="O289" i="14"/>
  <c r="A137" i="21"/>
  <c r="O225" i="14"/>
  <c r="A83" i="21"/>
  <c r="N209" i="14"/>
  <c r="N161" i="14"/>
  <c r="O145" i="14"/>
  <c r="A23" i="21"/>
  <c r="O129" i="14"/>
  <c r="A250" i="21"/>
  <c r="N113" i="14"/>
  <c r="O33" i="14"/>
  <c r="A30" i="21"/>
  <c r="N272" i="14"/>
  <c r="O240" i="14"/>
  <c r="A120" i="21"/>
  <c r="O224" i="14"/>
  <c r="A84" i="21"/>
  <c r="O192" i="14"/>
  <c r="A230" i="21"/>
  <c r="N160" i="14"/>
  <c r="O128" i="14"/>
  <c r="A251" i="21"/>
  <c r="N112" i="14"/>
  <c r="N64" i="14"/>
  <c r="N324" i="14"/>
  <c r="O275" i="14"/>
  <c r="O259" i="14"/>
  <c r="A201" i="21"/>
  <c r="O195" i="14"/>
  <c r="A228" i="21"/>
  <c r="O147" i="14"/>
  <c r="A246" i="21"/>
  <c r="O131" i="14"/>
  <c r="A145" i="21"/>
  <c r="O51" i="14"/>
  <c r="A56" i="21"/>
  <c r="O19" i="14"/>
  <c r="A171" i="21"/>
  <c r="O323" i="14"/>
  <c r="A174" i="21"/>
  <c r="O210" i="14"/>
  <c r="A221" i="21"/>
  <c r="O178" i="14"/>
  <c r="A124" i="21"/>
  <c r="O162" i="14"/>
  <c r="A239" i="21"/>
  <c r="O130" i="14"/>
  <c r="A8" i="21"/>
  <c r="O98" i="14"/>
  <c r="A104" i="21"/>
  <c r="N66" i="14"/>
  <c r="O217" i="14"/>
  <c r="A219" i="21"/>
  <c r="O73" i="14"/>
  <c r="A27" i="21"/>
  <c r="O313" i="14"/>
  <c r="A179" i="21"/>
  <c r="N280" i="14"/>
  <c r="N232" i="14"/>
  <c r="O152" i="14"/>
  <c r="A243" i="21"/>
  <c r="N24" i="14"/>
  <c r="N251" i="14"/>
  <c r="O107" i="14"/>
  <c r="A130" i="21"/>
  <c r="O59" i="14"/>
  <c r="A132" i="21"/>
  <c r="O11" i="14"/>
  <c r="A307" i="21"/>
  <c r="O285" i="14"/>
  <c r="A14" i="21"/>
  <c r="O253" i="14"/>
  <c r="A82" i="21"/>
  <c r="O237" i="14"/>
  <c r="A140" i="21"/>
  <c r="O125" i="14"/>
  <c r="A253" i="21"/>
  <c r="O77" i="14"/>
  <c r="A273" i="21"/>
  <c r="O61" i="14"/>
  <c r="A111" i="21"/>
  <c r="O29" i="14"/>
  <c r="A297" i="21"/>
  <c r="O124" i="14"/>
  <c r="A254" i="21"/>
  <c r="O108" i="14"/>
  <c r="A261" i="21"/>
  <c r="O44" i="14"/>
  <c r="A288" i="21"/>
  <c r="O271" i="14"/>
  <c r="A194" i="21"/>
  <c r="O207" i="14"/>
  <c r="A222" i="21"/>
  <c r="O175" i="14"/>
  <c r="A96" i="21"/>
  <c r="O303" i="14"/>
  <c r="A73" i="21"/>
  <c r="N238" i="14"/>
  <c r="O174" i="14"/>
  <c r="A44" i="21"/>
  <c r="O126" i="14"/>
  <c r="A252" i="21"/>
  <c r="O110" i="14"/>
  <c r="A128" i="21"/>
  <c r="O185" i="14"/>
  <c r="A232" i="21"/>
  <c r="O105" i="14"/>
  <c r="A165" i="21"/>
  <c r="O88" i="14"/>
  <c r="A267" i="21"/>
  <c r="O40" i="14"/>
  <c r="A290" i="21"/>
  <c r="O267" i="14"/>
  <c r="A197" i="21"/>
  <c r="O315" i="14"/>
  <c r="A153" i="21"/>
  <c r="O202" i="14"/>
  <c r="A225" i="21"/>
  <c r="O170" i="14"/>
  <c r="A97" i="21"/>
  <c r="O17" i="14"/>
  <c r="A303" i="21"/>
  <c r="O208" i="14"/>
  <c r="A41" i="21"/>
  <c r="O80" i="14"/>
  <c r="A271" i="21"/>
  <c r="O64" i="14"/>
  <c r="A280" i="21"/>
  <c r="O16" i="14"/>
  <c r="A31" i="21"/>
  <c r="O324" i="14"/>
  <c r="A173" i="21"/>
  <c r="O243" i="14"/>
  <c r="A209" i="21"/>
  <c r="O258" i="14"/>
  <c r="A202" i="21"/>
  <c r="O194" i="14"/>
  <c r="A229" i="21"/>
  <c r="O146" i="14"/>
  <c r="A22" i="21"/>
  <c r="O18" i="14"/>
  <c r="A172" i="21"/>
  <c r="O41" i="14"/>
  <c r="A59" i="21"/>
  <c r="O280" i="14"/>
  <c r="A16" i="21"/>
  <c r="O232" i="14"/>
  <c r="A212" i="21"/>
  <c r="O56" i="14"/>
  <c r="A29" i="21"/>
  <c r="O251" i="14"/>
  <c r="A205" i="21"/>
  <c r="O282" i="14"/>
  <c r="A33" i="21"/>
  <c r="O138" i="14"/>
  <c r="A144" i="21"/>
  <c r="O157" i="14"/>
  <c r="A240" i="21"/>
  <c r="O109" i="14"/>
  <c r="A129" i="21"/>
  <c r="O268" i="14"/>
  <c r="A156" i="21"/>
  <c r="O236" i="14"/>
  <c r="A149" i="21"/>
  <c r="O188" i="14"/>
  <c r="A42" i="21"/>
  <c r="O76" i="14"/>
  <c r="A26" i="21"/>
  <c r="O60" i="14"/>
  <c r="A112" i="21"/>
  <c r="O255" i="14"/>
  <c r="A81" i="21"/>
  <c r="O191" i="14"/>
  <c r="A160" i="21"/>
  <c r="O159" i="14"/>
  <c r="A21" i="21"/>
  <c r="O143" i="14"/>
  <c r="A9" i="21"/>
  <c r="O95" i="14"/>
  <c r="A263" i="21"/>
  <c r="O63" i="14"/>
  <c r="A110" i="21"/>
  <c r="O319" i="14"/>
  <c r="A71" i="21"/>
  <c r="O286" i="14"/>
  <c r="A67" i="21"/>
  <c r="O206" i="14"/>
  <c r="A90" i="21"/>
  <c r="N94" i="14"/>
  <c r="O78" i="14"/>
  <c r="A272" i="21"/>
  <c r="O30" i="14"/>
  <c r="A170" i="21"/>
  <c r="N14" i="14"/>
  <c r="N314" i="14"/>
  <c r="O265" i="14"/>
  <c r="A198" i="21"/>
  <c r="O233" i="14"/>
  <c r="A211" i="21"/>
  <c r="N57" i="14"/>
  <c r="N297" i="14"/>
  <c r="N216" i="14"/>
  <c r="N40" i="14"/>
  <c r="O219" i="14"/>
  <c r="A218" i="21"/>
  <c r="O171" i="14"/>
  <c r="A151" i="21"/>
  <c r="N102" i="14"/>
  <c r="N86" i="14"/>
  <c r="N70" i="14"/>
  <c r="N38" i="14"/>
  <c r="N6" i="14"/>
  <c r="N281" i="14"/>
  <c r="O249" i="14"/>
  <c r="A206" i="21"/>
  <c r="N89" i="14"/>
  <c r="N264" i="14"/>
  <c r="N200" i="14"/>
  <c r="O184" i="14"/>
  <c r="A161" i="21"/>
  <c r="N72" i="14"/>
  <c r="O283" i="14"/>
  <c r="A15" i="21"/>
  <c r="N75" i="14"/>
  <c r="O154" i="14"/>
  <c r="A143" i="21"/>
  <c r="N122" i="14"/>
  <c r="O322" i="14"/>
  <c r="A175" i="21"/>
  <c r="N306" i="14"/>
  <c r="N273" i="14"/>
  <c r="N257" i="14"/>
  <c r="N225" i="14"/>
  <c r="N193" i="14"/>
  <c r="O177" i="14"/>
  <c r="A94" i="21"/>
  <c r="N81" i="14"/>
  <c r="O65" i="14"/>
  <c r="A279" i="21"/>
  <c r="N49" i="14"/>
  <c r="O321" i="14"/>
  <c r="A176" i="21"/>
  <c r="O305" i="14"/>
  <c r="A135" i="21"/>
  <c r="O288" i="14"/>
  <c r="A77" i="21"/>
  <c r="O272" i="14"/>
  <c r="A138" i="21"/>
  <c r="N256" i="14"/>
  <c r="N192" i="14"/>
  <c r="O160" i="14"/>
  <c r="A164" i="21"/>
  <c r="O144" i="14"/>
  <c r="A63" i="21"/>
  <c r="N96" i="14"/>
  <c r="N80" i="14"/>
  <c r="O48" i="14"/>
  <c r="A168" i="21"/>
  <c r="N16" i="14"/>
  <c r="O308" i="14"/>
  <c r="A118" i="21"/>
  <c r="O292" i="14"/>
  <c r="A190" i="21"/>
  <c r="N227" i="14"/>
  <c r="N195" i="14"/>
  <c r="O179" i="14"/>
  <c r="A235" i="21"/>
  <c r="N163" i="14"/>
  <c r="O115" i="14"/>
  <c r="A101" i="21"/>
  <c r="O83" i="14"/>
  <c r="A314" i="21"/>
  <c r="O67" i="14"/>
  <c r="A277" i="21"/>
  <c r="O35" i="14"/>
  <c r="A294" i="21"/>
  <c r="N323" i="14"/>
  <c r="O290" i="14"/>
  <c r="A32" i="21"/>
  <c r="O242" i="14"/>
  <c r="A36" i="21"/>
  <c r="O226" i="14"/>
  <c r="A215" i="21"/>
  <c r="N210" i="14"/>
  <c r="N194" i="14"/>
  <c r="N178" i="14"/>
  <c r="N162" i="14"/>
  <c r="N114" i="14"/>
  <c r="O50" i="14"/>
  <c r="A66" i="21"/>
  <c r="O34" i="14"/>
  <c r="A60" i="21"/>
  <c r="N18" i="14"/>
  <c r="O298" i="14"/>
  <c r="A74" i="21"/>
  <c r="N121" i="14"/>
  <c r="N73" i="14"/>
  <c r="N41" i="14"/>
  <c r="O104" i="14"/>
  <c r="A51" i="21"/>
  <c r="O24" i="14"/>
  <c r="A300" i="21"/>
  <c r="N300" i="14"/>
  <c r="O203" i="14"/>
  <c r="A224" i="21"/>
  <c r="O155" i="14"/>
  <c r="A241" i="21"/>
  <c r="N11" i="14"/>
  <c r="O234" i="14"/>
  <c r="A4" i="21"/>
  <c r="O186" i="14"/>
  <c r="A93" i="21"/>
  <c r="N90" i="14"/>
  <c r="O42" i="14"/>
  <c r="A58" i="21"/>
  <c r="O318" i="14"/>
  <c r="A7" i="21"/>
  <c r="N302" i="14"/>
  <c r="N285" i="14"/>
  <c r="N237" i="14"/>
  <c r="O221" i="14"/>
  <c r="A216" i="21"/>
  <c r="O205" i="14"/>
  <c r="A223" i="21"/>
  <c r="N189" i="14"/>
  <c r="N173" i="14"/>
  <c r="N157" i="14"/>
  <c r="O141" i="14"/>
  <c r="A247" i="21"/>
  <c r="O45" i="14"/>
  <c r="A169" i="21"/>
  <c r="O13" i="14"/>
  <c r="A306" i="21"/>
  <c r="O317" i="14"/>
  <c r="A177" i="21"/>
  <c r="O301" i="14"/>
  <c r="A184" i="21"/>
  <c r="N284" i="14"/>
  <c r="O252" i="14"/>
  <c r="A204" i="21"/>
  <c r="O220" i="14"/>
  <c r="A217" i="21"/>
  <c r="O204" i="14"/>
  <c r="A69" i="21"/>
  <c r="O172" i="14"/>
  <c r="A11" i="21"/>
  <c r="N156" i="14"/>
  <c r="N140" i="14"/>
  <c r="N76" i="14"/>
  <c r="N28" i="14"/>
  <c r="N320" i="14"/>
  <c r="O304" i="14"/>
  <c r="A183" i="21"/>
  <c r="O239" i="14"/>
  <c r="A148" i="21"/>
  <c r="O223" i="14"/>
  <c r="A85" i="21"/>
  <c r="N175" i="14"/>
  <c r="O127" i="14"/>
  <c r="A47" i="21"/>
  <c r="O111" i="14"/>
  <c r="A102" i="21"/>
  <c r="N79" i="14"/>
  <c r="O47" i="14"/>
  <c r="A287" i="21"/>
  <c r="O31" i="14"/>
  <c r="A296" i="21"/>
  <c r="N319" i="14"/>
  <c r="N303" i="14"/>
  <c r="N270" i="14"/>
  <c r="O254" i="14"/>
  <c r="A203" i="21"/>
  <c r="N222" i="14"/>
  <c r="O190" i="14"/>
  <c r="A231" i="21"/>
  <c r="O158" i="14"/>
  <c r="A125" i="21"/>
  <c r="O94" i="14"/>
  <c r="A12" i="21"/>
  <c r="O62" i="14"/>
  <c r="A28" i="21"/>
  <c r="O137" i="14"/>
  <c r="A64" i="21"/>
  <c r="O57" i="14"/>
  <c r="A282" i="21"/>
  <c r="O216" i="14"/>
  <c r="A39" i="21"/>
  <c r="O136" i="14"/>
  <c r="A46" i="21"/>
  <c r="O316" i="14"/>
  <c r="A154" i="21"/>
  <c r="N123" i="14"/>
  <c r="N91" i="14"/>
  <c r="O27" i="14"/>
  <c r="A298" i="21"/>
  <c r="N250" i="14"/>
  <c r="N106" i="14"/>
  <c r="N58" i="14"/>
  <c r="N10" i="14"/>
  <c r="O306" i="14"/>
  <c r="A72" i="21"/>
  <c r="O241" i="14"/>
  <c r="A210" i="21"/>
  <c r="O193" i="14"/>
  <c r="A123" i="21"/>
  <c r="O113" i="14"/>
  <c r="A50" i="21"/>
  <c r="O97" i="14"/>
  <c r="A105" i="21"/>
  <c r="O81" i="14"/>
  <c r="A270" i="21"/>
  <c r="O49" i="14"/>
  <c r="A133" i="21"/>
  <c r="N321" i="14"/>
  <c r="N305" i="14"/>
  <c r="O256" i="14"/>
  <c r="A80" i="21"/>
  <c r="N240" i="14"/>
  <c r="O176" i="14"/>
  <c r="A95" i="21"/>
  <c r="N144" i="14"/>
  <c r="O96" i="14"/>
  <c r="A262" i="21"/>
  <c r="O32" i="14"/>
  <c r="A295" i="21"/>
  <c r="O227" i="14"/>
  <c r="A214" i="21"/>
  <c r="O211" i="14"/>
  <c r="A159" i="21"/>
  <c r="O163" i="14"/>
  <c r="A142" i="21"/>
  <c r="N147" i="14"/>
  <c r="N131" i="14"/>
  <c r="N115" i="14"/>
  <c r="O99" i="14"/>
  <c r="A103" i="21"/>
  <c r="O307" i="14"/>
  <c r="A182" i="21"/>
  <c r="N226" i="14"/>
  <c r="O114" i="14"/>
  <c r="A260" i="21"/>
  <c r="O82" i="14"/>
  <c r="A269" i="21"/>
  <c r="O66" i="14"/>
  <c r="A278" i="21"/>
  <c r="N50" i="14"/>
  <c r="N34" i="14"/>
  <c r="O169" i="14"/>
  <c r="A236" i="21"/>
  <c r="O121" i="14"/>
  <c r="A256" i="21"/>
  <c r="O300" i="14"/>
  <c r="A185" i="21"/>
  <c r="N282" i="14"/>
  <c r="O90" i="14"/>
  <c r="A265" i="21"/>
  <c r="O302" i="14"/>
  <c r="A136" i="21"/>
  <c r="O269" i="14"/>
  <c r="A196" i="21"/>
  <c r="O173" i="14"/>
  <c r="A20" i="21"/>
  <c r="N141" i="14"/>
  <c r="N109" i="14"/>
  <c r="O93" i="14"/>
  <c r="A166" i="21"/>
  <c r="N77" i="14"/>
  <c r="N61" i="14"/>
  <c r="N29" i="14"/>
  <c r="O284" i="14"/>
  <c r="A192" i="21"/>
  <c r="N236" i="14"/>
  <c r="O156" i="14"/>
  <c r="A98" i="21"/>
  <c r="O140" i="14"/>
  <c r="A248" i="21"/>
  <c r="N124" i="14"/>
  <c r="N108" i="14"/>
  <c r="O92" i="14"/>
  <c r="A25" i="21"/>
  <c r="N60" i="14"/>
  <c r="N44" i="14"/>
  <c r="O28" i="14"/>
  <c r="O12" i="14"/>
  <c r="A115" i="21"/>
  <c r="O320" i="14"/>
  <c r="A70" i="21"/>
  <c r="O287" i="14"/>
  <c r="A191" i="21"/>
  <c r="N255" i="14"/>
  <c r="N207" i="14"/>
  <c r="N159" i="14"/>
  <c r="N143" i="14"/>
  <c r="O79" i="14"/>
  <c r="A107" i="21"/>
  <c r="O15" i="14"/>
  <c r="A304" i="21"/>
  <c r="N286" i="14"/>
  <c r="O270" i="14"/>
  <c r="A195" i="21"/>
  <c r="O238" i="14"/>
  <c r="A121" i="21"/>
  <c r="O222" i="14"/>
  <c r="A86" i="21"/>
  <c r="N158" i="14"/>
  <c r="O142" i="14"/>
  <c r="A126" i="21"/>
  <c r="N126" i="14"/>
  <c r="N110" i="14"/>
  <c r="N78" i="14"/>
  <c r="O46" i="14"/>
  <c r="A57" i="21"/>
  <c r="N30" i="14"/>
  <c r="O14" i="14"/>
  <c r="A305" i="21"/>
  <c r="O314" i="14"/>
  <c r="A178" i="21"/>
  <c r="N137" i="14"/>
  <c r="N105" i="14"/>
  <c r="O25" i="14"/>
  <c r="A114" i="21"/>
  <c r="O297" i="14"/>
  <c r="A187" i="21"/>
  <c r="O248" i="14"/>
  <c r="A207" i="21"/>
  <c r="O168" i="14"/>
  <c r="N88" i="14"/>
  <c r="N267" i="14"/>
  <c r="O123" i="14"/>
  <c r="A255" i="21"/>
  <c r="O91" i="14"/>
  <c r="A264" i="21"/>
  <c r="O250" i="14"/>
  <c r="A17" i="21"/>
  <c r="N202" i="14"/>
  <c r="N170" i="14"/>
  <c r="O58" i="14"/>
  <c r="A281" i="21"/>
  <c r="O10" i="14"/>
  <c r="A134" i="21"/>
  <c r="R115" i="5"/>
  <c r="R126" i="5"/>
  <c r="R112" i="5"/>
  <c r="R173" i="5"/>
  <c r="R148" i="5"/>
  <c r="R124" i="5"/>
  <c r="R146" i="5"/>
  <c r="R85" i="5"/>
  <c r="R141" i="5"/>
  <c r="R167" i="5"/>
  <c r="R99" i="5"/>
  <c r="R87" i="5"/>
  <c r="R142" i="5"/>
  <c r="R166" i="5"/>
  <c r="R137" i="5"/>
  <c r="R177" i="5"/>
  <c r="R83" i="5"/>
  <c r="R88" i="5"/>
  <c r="R140" i="5"/>
  <c r="R158" i="5"/>
  <c r="R100" i="5"/>
  <c r="R145" i="5"/>
  <c r="R164" i="5"/>
  <c r="R170" i="5"/>
  <c r="R154" i="5"/>
  <c r="R139" i="5"/>
  <c r="R89" i="5"/>
  <c r="R86" i="5"/>
  <c r="R155" i="5"/>
  <c r="R147" i="5"/>
  <c r="R114" i="5"/>
  <c r="R84" i="5"/>
  <c r="R111" i="5"/>
  <c r="R165" i="5"/>
  <c r="R79" i="5"/>
  <c r="R143" i="5"/>
  <c r="R156" i="5"/>
  <c r="R169" i="5"/>
  <c r="R157" i="5"/>
  <c r="R144" i="5"/>
  <c r="R113" i="5"/>
  <c r="R149" i="5"/>
  <c r="R80" i="5"/>
  <c r="R153" i="5"/>
  <c r="R179" i="5"/>
  <c r="R152" i="5"/>
  <c r="R150" i="5"/>
  <c r="R159" i="5"/>
  <c r="R125" i="5"/>
  <c r="R138" i="5"/>
  <c r="R116" i="5"/>
  <c r="R160" i="5"/>
  <c r="R163" i="5"/>
  <c r="J47" i="6"/>
  <c r="R256" i="5"/>
  <c r="R266" i="5"/>
  <c r="J57" i="6"/>
  <c r="J59" i="6"/>
  <c r="R248" i="5"/>
  <c r="R253" i="5"/>
  <c r="J37" i="6"/>
  <c r="R242" i="5"/>
  <c r="J38" i="6"/>
  <c r="R250" i="5"/>
  <c r="J51" i="6"/>
  <c r="R273" i="5"/>
  <c r="J62" i="6"/>
  <c r="R252" i="5"/>
  <c r="J39" i="6"/>
  <c r="J45" i="6"/>
  <c r="R274" i="5"/>
  <c r="R263" i="5"/>
  <c r="J63" i="6"/>
  <c r="R239" i="5"/>
  <c r="J48" i="6"/>
  <c r="R236" i="5"/>
  <c r="J61" i="6"/>
  <c r="R265" i="5"/>
  <c r="J54" i="6"/>
  <c r="J46" i="6"/>
  <c r="R271" i="5"/>
  <c r="R269" i="5"/>
  <c r="J43" i="6"/>
  <c r="R267" i="5"/>
  <c r="J56" i="6"/>
  <c r="R245" i="5"/>
  <c r="J52" i="6"/>
  <c r="J50" i="6"/>
  <c r="R262" i="5"/>
  <c r="R261" i="5"/>
  <c r="J40" i="6"/>
  <c r="J44" i="6"/>
  <c r="R270" i="5"/>
  <c r="R255" i="5"/>
  <c r="J49" i="6"/>
  <c r="Q2" i="5"/>
  <c r="J58" i="6"/>
  <c r="R257" i="5"/>
  <c r="R251" i="5"/>
  <c r="J53" i="6"/>
  <c r="R259" i="5"/>
  <c r="J64" i="6"/>
  <c r="R244" i="5"/>
  <c r="J60" i="6"/>
  <c r="K11" i="14"/>
  <c r="L11" i="14" s="1"/>
  <c r="J11" i="14" s="1"/>
  <c r="K15" i="14"/>
  <c r="L15" i="14" s="1"/>
  <c r="J15" i="14" s="1"/>
  <c r="K124" i="14"/>
  <c r="L124" i="14" s="1"/>
  <c r="J124" i="14" s="1"/>
  <c r="K309" i="14"/>
  <c r="L309" i="14" s="1"/>
  <c r="J309" i="14" s="1"/>
  <c r="K269" i="14"/>
  <c r="L269" i="14" s="1"/>
  <c r="J269" i="14" s="1"/>
  <c r="K233" i="14"/>
  <c r="L233" i="14" s="1"/>
  <c r="J233" i="14" s="1"/>
  <c r="K294" i="14"/>
  <c r="L294" i="14" s="1"/>
  <c r="J294" i="14" s="1"/>
  <c r="K67" i="14"/>
  <c r="L67" i="14" s="1"/>
  <c r="J67" i="14" s="1"/>
  <c r="K41" i="14"/>
  <c r="L41" i="14" s="1"/>
  <c r="J41" i="14" s="1"/>
  <c r="K137" i="14"/>
  <c r="L137" i="14" s="1"/>
  <c r="K64" i="14"/>
  <c r="L64" i="14" s="1"/>
  <c r="J64" i="14" s="1"/>
  <c r="K128" i="14"/>
  <c r="L128" i="14" s="1"/>
  <c r="J128" i="14" s="1"/>
  <c r="K285" i="14"/>
  <c r="L285" i="14" s="1"/>
  <c r="J285" i="14" s="1"/>
  <c r="K138" i="14"/>
  <c r="L138" i="14" s="1"/>
  <c r="J138" i="14" s="1"/>
  <c r="K95" i="14"/>
  <c r="L95" i="14" s="1"/>
  <c r="J95" i="14" s="1"/>
  <c r="K239" i="14"/>
  <c r="L239" i="14" s="1"/>
  <c r="J239" i="14" s="1"/>
  <c r="K186" i="14"/>
  <c r="L186" i="14" s="1"/>
  <c r="J186" i="14" s="1"/>
  <c r="K266" i="14"/>
  <c r="L266" i="14" s="1"/>
  <c r="J266" i="14" s="1"/>
  <c r="K320" i="14"/>
  <c r="L320" i="14" s="1"/>
  <c r="J320" i="14" s="1"/>
  <c r="K76" i="14"/>
  <c r="L76" i="14" s="1"/>
  <c r="J76" i="14" s="1"/>
  <c r="K166" i="14"/>
  <c r="L166" i="14" s="1"/>
  <c r="J166" i="14" s="1"/>
  <c r="K297" i="14"/>
  <c r="L297" i="14" s="1"/>
  <c r="J297" i="14" s="1"/>
  <c r="K308" i="14"/>
  <c r="L308" i="14" s="1"/>
  <c r="J308" i="14" s="1"/>
  <c r="K310" i="14"/>
  <c r="L310" i="14" s="1"/>
  <c r="J310" i="14" s="1"/>
  <c r="K17" i="14"/>
  <c r="L17" i="14" s="1"/>
  <c r="J17" i="14" s="1"/>
  <c r="K29" i="14"/>
  <c r="L29" i="14" s="1"/>
  <c r="J29" i="14" s="1"/>
  <c r="K225" i="14"/>
  <c r="L225" i="14" s="1"/>
  <c r="J225" i="14" s="1"/>
  <c r="K231" i="14"/>
  <c r="L231" i="14" s="1"/>
  <c r="J231" i="14" s="1"/>
  <c r="K52" i="14"/>
  <c r="L52" i="14" s="1"/>
  <c r="J52" i="14" s="1"/>
  <c r="K148" i="14"/>
  <c r="L148" i="14" s="1"/>
  <c r="J148" i="14" s="1"/>
  <c r="K267" i="14"/>
  <c r="L267" i="14" s="1"/>
  <c r="J267" i="14" s="1"/>
  <c r="K126" i="14"/>
  <c r="L126" i="14" s="1"/>
  <c r="J126" i="14" s="1"/>
  <c r="K313" i="14"/>
  <c r="L313" i="14" s="1"/>
  <c r="J313" i="14" s="1"/>
  <c r="K180" i="14"/>
  <c r="L180" i="14" s="1"/>
  <c r="J180" i="14" s="1"/>
  <c r="K265" i="14"/>
  <c r="L265" i="14" s="1"/>
  <c r="J265" i="14" s="1"/>
  <c r="K190" i="14"/>
  <c r="L190" i="14" s="1"/>
  <c r="J190" i="14" s="1"/>
  <c r="K270" i="14"/>
  <c r="L270" i="14" s="1"/>
  <c r="J270" i="14" s="1"/>
  <c r="K69" i="14"/>
  <c r="L69" i="14" s="1"/>
  <c r="J69" i="14" s="1"/>
  <c r="K51" i="14"/>
  <c r="L51" i="14" s="1"/>
  <c r="J51" i="14" s="1"/>
  <c r="K101" i="14"/>
  <c r="L101" i="14" s="1"/>
  <c r="J101" i="14" s="1"/>
  <c r="K57" i="14"/>
  <c r="L57" i="14" s="1"/>
  <c r="J57" i="14" s="1"/>
  <c r="K24" i="14"/>
  <c r="L24" i="14" s="1"/>
  <c r="J24" i="14" s="1"/>
  <c r="K120" i="14"/>
  <c r="L120" i="14" s="1"/>
  <c r="J120" i="14" s="1"/>
  <c r="K229" i="14"/>
  <c r="L229" i="14" s="1"/>
  <c r="J229" i="14" s="1"/>
  <c r="K66" i="14"/>
  <c r="L66" i="14" s="1"/>
  <c r="J66" i="14" s="1"/>
  <c r="K162" i="14"/>
  <c r="L162" i="14" s="1"/>
  <c r="J162" i="14" s="1"/>
  <c r="K264" i="14"/>
  <c r="L264" i="14" s="1"/>
  <c r="J264" i="14" s="1"/>
  <c r="K151" i="14"/>
  <c r="L151" i="14" s="1"/>
  <c r="J151" i="14" s="1"/>
  <c r="K228" i="14"/>
  <c r="L228" i="14" s="1"/>
  <c r="J228" i="14" s="1"/>
  <c r="K194" i="14"/>
  <c r="L194" i="14" s="1"/>
  <c r="J194" i="14" s="1"/>
  <c r="K274" i="14"/>
  <c r="L274" i="14" s="1"/>
  <c r="J274" i="14" s="1"/>
  <c r="K189" i="14"/>
  <c r="L189" i="14" s="1"/>
  <c r="J189" i="14" s="1"/>
  <c r="K193" i="14"/>
  <c r="L193" i="14" s="1"/>
  <c r="J193" i="14" s="1"/>
  <c r="K318" i="14"/>
  <c r="L318" i="14" s="1"/>
  <c r="M104" i="5" s="1"/>
  <c r="K256" i="14"/>
  <c r="L256" i="14" s="1"/>
  <c r="J256" i="14" s="1"/>
  <c r="K315" i="14"/>
  <c r="L315" i="14" s="1"/>
  <c r="J315" i="14" s="1"/>
  <c r="K212" i="14"/>
  <c r="L212" i="14" s="1"/>
  <c r="K206" i="14"/>
  <c r="L206" i="14" s="1"/>
  <c r="J206" i="14" s="1"/>
  <c r="K135" i="14"/>
  <c r="L135" i="14" s="1"/>
  <c r="M63" i="5" s="1"/>
  <c r="K47" i="14"/>
  <c r="L47" i="14" s="1"/>
  <c r="J47" i="14" s="1"/>
  <c r="K150" i="14"/>
  <c r="L150" i="14" s="1"/>
  <c r="J150" i="14" s="1"/>
  <c r="K303" i="14"/>
  <c r="L303" i="14" s="1"/>
  <c r="K204" i="14"/>
  <c r="L204" i="14" s="1"/>
  <c r="K183" i="14"/>
  <c r="L183" i="14" s="1"/>
  <c r="J183" i="14" s="1"/>
  <c r="K271" i="14"/>
  <c r="L271" i="14" s="1"/>
  <c r="J271" i="14" s="1"/>
  <c r="K203" i="14"/>
  <c r="L203" i="14" s="1"/>
  <c r="M53" i="5" s="1"/>
  <c r="K31" i="14"/>
  <c r="L31" i="14" s="1"/>
  <c r="J31" i="14" s="1"/>
  <c r="K133" i="14"/>
  <c r="L133" i="14" s="1"/>
  <c r="J133" i="14" s="1"/>
  <c r="K53" i="14"/>
  <c r="L53" i="14" s="1"/>
  <c r="J53" i="14" s="1"/>
  <c r="K44" i="14"/>
  <c r="L44" i="14" s="1"/>
  <c r="M70" i="5" s="1"/>
  <c r="K268" i="14"/>
  <c r="L268" i="14" s="1"/>
  <c r="M106" i="5" s="1"/>
  <c r="K175" i="14"/>
  <c r="L175" i="14" s="1"/>
  <c r="M129" i="5" s="1"/>
  <c r="K109" i="14"/>
  <c r="L109" i="14" s="1"/>
  <c r="M133" i="5" s="1"/>
  <c r="K39" i="14"/>
  <c r="L39" i="14" s="1"/>
  <c r="M121" i="5" s="1"/>
  <c r="K157" i="14"/>
  <c r="L157" i="14" s="1"/>
  <c r="J157" i="14" s="1"/>
  <c r="K89" i="14"/>
  <c r="L89" i="14" s="1"/>
  <c r="J89" i="14" s="1"/>
  <c r="K152" i="14"/>
  <c r="L152" i="14" s="1"/>
  <c r="K242" i="14"/>
  <c r="L242" i="14" s="1"/>
  <c r="M128" i="5" s="1"/>
  <c r="K163" i="14"/>
  <c r="L163" i="14" s="1"/>
  <c r="M95" i="5" s="1"/>
  <c r="K90" i="14"/>
  <c r="L90" i="14" s="1"/>
  <c r="J90" i="14" s="1"/>
  <c r="K322" i="14"/>
  <c r="L322" i="14" s="1"/>
  <c r="J322" i="14" s="1"/>
  <c r="K173" i="14"/>
  <c r="L173" i="14" s="1"/>
  <c r="J173" i="14" s="1"/>
  <c r="K37" i="14"/>
  <c r="L37" i="14" s="1"/>
  <c r="J37" i="14" s="1"/>
  <c r="K140" i="14"/>
  <c r="L140" i="14" s="1"/>
  <c r="J140" i="14" s="1"/>
  <c r="K54" i="14"/>
  <c r="L54" i="14" s="1"/>
  <c r="J54" i="14" s="1"/>
  <c r="K75" i="14"/>
  <c r="L75" i="14" s="1"/>
  <c r="J75" i="14" s="1"/>
  <c r="K283" i="14"/>
  <c r="L283" i="14" s="1"/>
  <c r="J283" i="14" s="1"/>
  <c r="K199" i="14"/>
  <c r="L199" i="14" s="1"/>
  <c r="J199" i="14" s="1"/>
  <c r="K125" i="14"/>
  <c r="L125" i="14" s="1"/>
  <c r="J125" i="14" s="1"/>
  <c r="K71" i="14"/>
  <c r="L71" i="14" s="1"/>
  <c r="J71" i="14" s="1"/>
  <c r="K209" i="14"/>
  <c r="L209" i="14" s="1"/>
  <c r="J209" i="14" s="1"/>
  <c r="K80" i="14"/>
  <c r="L80" i="14" s="1"/>
  <c r="J80" i="14" s="1"/>
  <c r="K144" i="14"/>
  <c r="L144" i="14" s="1"/>
  <c r="J144" i="14" s="1"/>
  <c r="K58" i="14"/>
  <c r="L58" i="14" s="1"/>
  <c r="J58" i="14" s="1"/>
  <c r="K253" i="14"/>
  <c r="L253" i="14" s="1"/>
  <c r="J253" i="14" s="1"/>
  <c r="K127" i="14"/>
  <c r="L127" i="14" s="1"/>
  <c r="J127" i="14" s="1"/>
  <c r="K316" i="14"/>
  <c r="L316" i="14" s="1"/>
  <c r="J316" i="14" s="1"/>
  <c r="K202" i="14"/>
  <c r="L202" i="14" s="1"/>
  <c r="J202" i="14" s="1"/>
  <c r="K282" i="14"/>
  <c r="L282" i="14" s="1"/>
  <c r="J282" i="14" s="1"/>
  <c r="K63" i="14"/>
  <c r="L63" i="14" s="1"/>
  <c r="J63" i="14" s="1"/>
  <c r="K108" i="14"/>
  <c r="L108" i="14" s="1"/>
  <c r="J108" i="14" s="1"/>
  <c r="K184" i="14"/>
  <c r="L184" i="14" s="1"/>
  <c r="J184" i="14" s="1"/>
  <c r="K123" i="14"/>
  <c r="L123" i="14" s="1"/>
  <c r="J123" i="14" s="1"/>
  <c r="K198" i="14"/>
  <c r="L198" i="14" s="1"/>
  <c r="J198" i="14" s="1"/>
  <c r="K61" i="14"/>
  <c r="L61" i="14" s="1"/>
  <c r="J61" i="14" s="1"/>
  <c r="K73" i="14"/>
  <c r="L73" i="14" s="1"/>
  <c r="J73" i="14" s="1"/>
  <c r="K22" i="14"/>
  <c r="L22" i="14" s="1"/>
  <c r="J22" i="14" s="1"/>
  <c r="K5" i="14"/>
  <c r="L5" i="14" s="1"/>
  <c r="J5" i="14" s="1"/>
  <c r="K4" i="14"/>
  <c r="L4" i="14" s="1"/>
  <c r="J4" i="14" s="1"/>
  <c r="K68" i="14"/>
  <c r="L68" i="14" s="1"/>
  <c r="J68" i="14" s="1"/>
  <c r="K181" i="14"/>
  <c r="L181" i="14" s="1"/>
  <c r="J181" i="14" s="1"/>
  <c r="K293" i="14"/>
  <c r="L293" i="14" s="1"/>
  <c r="J293" i="14" s="1"/>
  <c r="K195" i="14"/>
  <c r="L195" i="14" s="1"/>
  <c r="J195" i="14" s="1"/>
  <c r="K99" i="14"/>
  <c r="L99" i="14" s="1"/>
  <c r="J99" i="14" s="1"/>
  <c r="K201" i="14"/>
  <c r="L201" i="14" s="1"/>
  <c r="J201" i="14" s="1"/>
  <c r="K324" i="14"/>
  <c r="L324" i="14" s="1"/>
  <c r="J324" i="14" s="1"/>
  <c r="K222" i="14"/>
  <c r="L222" i="14" s="1"/>
  <c r="J222" i="14" s="1"/>
  <c r="K286" i="14"/>
  <c r="L286" i="14" s="1"/>
  <c r="J286" i="14" s="1"/>
  <c r="K220" i="14"/>
  <c r="L220" i="14" s="1"/>
  <c r="J220" i="14" s="1"/>
  <c r="K236" i="14"/>
  <c r="L236" i="14" s="1"/>
  <c r="J236" i="14" s="1"/>
  <c r="K165" i="14"/>
  <c r="L165" i="14" s="1"/>
  <c r="J165" i="14" s="1"/>
  <c r="K169" i="14"/>
  <c r="L169" i="14" s="1"/>
  <c r="J169" i="14" s="1"/>
  <c r="K40" i="14"/>
  <c r="L40" i="14" s="1"/>
  <c r="J40" i="14" s="1"/>
  <c r="K168" i="14"/>
  <c r="L168" i="14" s="1"/>
  <c r="J168" i="14" s="1"/>
  <c r="K251" i="14"/>
  <c r="L251" i="14" s="1"/>
  <c r="J251" i="14" s="1"/>
  <c r="K82" i="14"/>
  <c r="L82" i="14" s="1"/>
  <c r="J82" i="14" s="1"/>
  <c r="K179" i="14"/>
  <c r="L179" i="14" s="1"/>
  <c r="J179" i="14" s="1"/>
  <c r="K87" i="14"/>
  <c r="L87" i="14" s="1"/>
  <c r="J87" i="14" s="1"/>
  <c r="K167" i="14"/>
  <c r="L167" i="14" s="1"/>
  <c r="J167" i="14" s="1"/>
  <c r="K279" i="14"/>
  <c r="L279" i="14" s="1"/>
  <c r="J279" i="14" s="1"/>
  <c r="K210" i="14"/>
  <c r="L210" i="14" s="1"/>
  <c r="J210" i="14" s="1"/>
  <c r="K306" i="14"/>
  <c r="L306" i="14" s="1"/>
  <c r="J306" i="14" s="1"/>
  <c r="K273" i="14"/>
  <c r="L273" i="14" s="1"/>
  <c r="J273" i="14" s="1"/>
  <c r="K149" i="14"/>
  <c r="L149" i="14" s="1"/>
  <c r="J149" i="14" s="1"/>
  <c r="K290" i="14"/>
  <c r="L290" i="14" s="1"/>
  <c r="M105" i="5" s="1"/>
  <c r="K260" i="14"/>
  <c r="L260" i="14" s="1"/>
  <c r="J260" i="14" s="1"/>
  <c r="K243" i="14"/>
  <c r="L243" i="14" s="1"/>
  <c r="M47" i="5" s="1"/>
  <c r="K276" i="14"/>
  <c r="L276" i="14" s="1"/>
  <c r="J276" i="14" s="1"/>
  <c r="K177" i="14"/>
  <c r="L177" i="14" s="1"/>
  <c r="M94" i="5" s="1"/>
  <c r="K114" i="14"/>
  <c r="L114" i="14" s="1"/>
  <c r="M131" i="5" s="1"/>
  <c r="K32" i="14"/>
  <c r="L32" i="14" s="1"/>
  <c r="M122" i="5" s="1"/>
  <c r="K110" i="14"/>
  <c r="L110" i="14" s="1"/>
  <c r="M132" i="5" s="1"/>
  <c r="K131" i="14"/>
  <c r="L131" i="14" s="1"/>
  <c r="J131" i="14" s="1"/>
  <c r="K259" i="14"/>
  <c r="L259" i="14" s="1"/>
  <c r="J259" i="14" s="1"/>
  <c r="K241" i="14"/>
  <c r="L241" i="14" s="1"/>
  <c r="M48" i="5" s="1"/>
  <c r="K272" i="14"/>
  <c r="L272" i="14" s="1"/>
  <c r="J272" i="14" s="1"/>
  <c r="K134" i="14"/>
  <c r="L134" i="14" s="1"/>
  <c r="J134" i="14" s="1"/>
  <c r="K12" i="14"/>
  <c r="L12" i="14" s="1"/>
  <c r="M98" i="5" s="1"/>
  <c r="K121" i="14"/>
  <c r="L121" i="14" s="1"/>
  <c r="K261" i="14"/>
  <c r="L261" i="14" s="1"/>
  <c r="J261" i="14" s="1"/>
  <c r="K153" i="14"/>
  <c r="L153" i="14" s="1"/>
  <c r="K246" i="14"/>
  <c r="L246" i="14" s="1"/>
  <c r="M107" i="5" s="1"/>
  <c r="K164" i="14"/>
  <c r="L164" i="14" s="1"/>
  <c r="K91" i="14"/>
  <c r="L91" i="14" s="1"/>
  <c r="M120" i="5" s="1"/>
  <c r="K30" i="14"/>
  <c r="L30" i="14" s="1"/>
  <c r="K111" i="14"/>
  <c r="L111" i="14" s="1"/>
  <c r="K141" i="14"/>
  <c r="L141" i="14" s="1"/>
  <c r="M62" i="5" s="1"/>
  <c r="K289" i="14"/>
  <c r="L289" i="14" s="1"/>
  <c r="M44" i="5" s="1"/>
  <c r="K211" i="14"/>
  <c r="L211" i="14" s="1"/>
  <c r="M93" i="5" s="1"/>
  <c r="K136" i="14"/>
  <c r="L136" i="14" s="1"/>
  <c r="M96" i="5" s="1"/>
  <c r="K74" i="14"/>
  <c r="L74" i="14" s="1"/>
  <c r="J74" i="14" s="1"/>
  <c r="K129" i="14"/>
  <c r="L129" i="14" s="1"/>
  <c r="J129" i="14" s="1"/>
  <c r="K14" i="14"/>
  <c r="L14" i="14" s="1"/>
  <c r="J14" i="14" s="1"/>
  <c r="K60" i="14"/>
  <c r="L60" i="14" s="1"/>
  <c r="J60" i="14" s="1"/>
  <c r="K213" i="14"/>
  <c r="L213" i="14" s="1"/>
  <c r="J213" i="14" s="1"/>
  <c r="K102" i="14"/>
  <c r="L102" i="14" s="1"/>
  <c r="J102" i="14" s="1"/>
  <c r="K107" i="14"/>
  <c r="L107" i="14" s="1"/>
  <c r="J107" i="14" s="1"/>
  <c r="K182" i="14"/>
  <c r="L182" i="14" s="1"/>
  <c r="J182" i="14" s="1"/>
  <c r="K7" i="14"/>
  <c r="L7" i="14" s="1"/>
  <c r="J7" i="14" s="1"/>
  <c r="K280" i="14"/>
  <c r="L280" i="14" s="1"/>
  <c r="J280" i="14" s="1"/>
  <c r="K21" i="14"/>
  <c r="L21" i="14" s="1"/>
  <c r="J21" i="14" s="1"/>
  <c r="K304" i="14"/>
  <c r="L304" i="14" s="1"/>
  <c r="J304" i="14" s="1"/>
  <c r="K96" i="14"/>
  <c r="L96" i="14" s="1"/>
  <c r="J96" i="14" s="1"/>
  <c r="K160" i="14"/>
  <c r="L160" i="14" s="1"/>
  <c r="J160" i="14" s="1"/>
  <c r="K106" i="14"/>
  <c r="L106" i="14" s="1"/>
  <c r="J106" i="14" s="1"/>
  <c r="K305" i="14"/>
  <c r="L305" i="14" s="1"/>
  <c r="J305" i="14" s="1"/>
  <c r="K159" i="14"/>
  <c r="L159" i="14" s="1"/>
  <c r="J159" i="14" s="1"/>
  <c r="K287" i="14"/>
  <c r="L287" i="14" s="1"/>
  <c r="J287" i="14" s="1"/>
  <c r="K218" i="14"/>
  <c r="L218" i="14" s="1"/>
  <c r="J218" i="14" s="1"/>
  <c r="K298" i="14"/>
  <c r="L298" i="14" s="1"/>
  <c r="J298" i="14" s="1"/>
  <c r="K117" i="14"/>
  <c r="L117" i="14" s="1"/>
  <c r="J117" i="14" s="1"/>
  <c r="K277" i="14"/>
  <c r="L277" i="14" s="1"/>
  <c r="J277" i="14" s="1"/>
  <c r="K205" i="14"/>
  <c r="L205" i="14" s="1"/>
  <c r="J205" i="14" s="1"/>
  <c r="K191" i="14"/>
  <c r="L191" i="14" s="1"/>
  <c r="J191" i="14" s="1"/>
  <c r="K230" i="14"/>
  <c r="L230" i="14" s="1"/>
  <c r="J230" i="14" s="1"/>
  <c r="K18" i="14"/>
  <c r="L18" i="14" s="1"/>
  <c r="J18" i="14" s="1"/>
  <c r="K113" i="14"/>
  <c r="L113" i="14" s="1"/>
  <c r="J113" i="14" s="1"/>
  <c r="K312" i="14"/>
  <c r="L312" i="14" s="1"/>
  <c r="J312" i="14" s="1"/>
  <c r="K26" i="14"/>
  <c r="L26" i="14" s="1"/>
  <c r="J26" i="14" s="1"/>
  <c r="K20" i="14"/>
  <c r="L20" i="14" s="1"/>
  <c r="J20" i="14" s="1"/>
  <c r="K100" i="14"/>
  <c r="L100" i="14" s="1"/>
  <c r="J100" i="14" s="1"/>
  <c r="K224" i="14"/>
  <c r="L224" i="14" s="1"/>
  <c r="J224" i="14" s="1"/>
  <c r="K62" i="14"/>
  <c r="L62" i="14" s="1"/>
  <c r="J62" i="14" s="1"/>
  <c r="K216" i="14"/>
  <c r="L216" i="14" s="1"/>
  <c r="J216" i="14" s="1"/>
  <c r="K115" i="14"/>
  <c r="L115" i="14" s="1"/>
  <c r="J115" i="14" s="1"/>
  <c r="K223" i="14"/>
  <c r="L223" i="14" s="1"/>
  <c r="J223" i="14" s="1"/>
  <c r="K291" i="14"/>
  <c r="L291" i="14" s="1"/>
  <c r="J291" i="14" s="1"/>
  <c r="K238" i="14"/>
  <c r="L238" i="14" s="1"/>
  <c r="J238" i="14" s="1"/>
  <c r="K302" i="14"/>
  <c r="L302" i="14" s="1"/>
  <c r="J302" i="14" s="1"/>
  <c r="K6" i="14"/>
  <c r="L6" i="14" s="1"/>
  <c r="J6" i="14" s="1"/>
  <c r="K9" i="14"/>
  <c r="L9" i="14" s="1"/>
  <c r="J9" i="14" s="1"/>
  <c r="K247" i="14"/>
  <c r="L247" i="14" s="1"/>
  <c r="J247" i="14" s="1"/>
  <c r="K252" i="14"/>
  <c r="L252" i="14" s="1"/>
  <c r="J252" i="14" s="1"/>
  <c r="K72" i="14"/>
  <c r="L72" i="14" s="1"/>
  <c r="J72" i="14" s="1"/>
  <c r="K187" i="14"/>
  <c r="L187" i="14" s="1"/>
  <c r="J187" i="14" s="1"/>
  <c r="K301" i="14"/>
  <c r="L301" i="14" s="1"/>
  <c r="J301" i="14" s="1"/>
  <c r="K98" i="14"/>
  <c r="L98" i="14" s="1"/>
  <c r="J98" i="14" s="1"/>
  <c r="K200" i="14"/>
  <c r="L200" i="14" s="1"/>
  <c r="J200" i="14" s="1"/>
  <c r="K103" i="14"/>
  <c r="L103" i="14" s="1"/>
  <c r="J103" i="14" s="1"/>
  <c r="K185" i="14"/>
  <c r="L185" i="14" s="1"/>
  <c r="J185" i="14" s="1"/>
  <c r="K295" i="14"/>
  <c r="L295" i="14" s="1"/>
  <c r="J295" i="14" s="1"/>
  <c r="K226" i="14"/>
  <c r="L226" i="14" s="1"/>
  <c r="J226" i="14" s="1"/>
  <c r="K275" i="14"/>
  <c r="L275" i="14" s="1"/>
  <c r="J275" i="14" s="1"/>
  <c r="K192" i="14"/>
  <c r="L192" i="14" s="1"/>
  <c r="J192" i="14" s="1"/>
  <c r="K33" i="14"/>
  <c r="L33" i="14" s="1"/>
  <c r="J33" i="14" s="1"/>
  <c r="K16" i="14"/>
  <c r="L16" i="14" s="1"/>
  <c r="M74" i="5" s="1"/>
  <c r="K45" i="14"/>
  <c r="L45" i="14" s="1"/>
  <c r="J45" i="14" s="1"/>
  <c r="K262" i="14"/>
  <c r="L262" i="14" s="1"/>
  <c r="J262" i="14" s="1"/>
  <c r="K170" i="14"/>
  <c r="L170" i="14" s="1"/>
  <c r="J170" i="14" s="1"/>
  <c r="K88" i="14"/>
  <c r="L88" i="14" s="1"/>
  <c r="J88" i="14" s="1"/>
  <c r="K23" i="14"/>
  <c r="L23" i="14" s="1"/>
  <c r="M123" i="5" s="1"/>
  <c r="K85" i="14"/>
  <c r="L85" i="14" s="1"/>
  <c r="M110" i="5" s="1"/>
  <c r="K142" i="14"/>
  <c r="L142" i="14" s="1"/>
  <c r="J142" i="14" s="1"/>
  <c r="K196" i="14"/>
  <c r="L196" i="14" s="1"/>
  <c r="K46" i="14"/>
  <c r="L46" i="14" s="1"/>
  <c r="J46" i="14" s="1"/>
  <c r="K257" i="14"/>
  <c r="L257" i="14" s="1"/>
  <c r="M127" i="5" s="1"/>
  <c r="K94" i="14"/>
  <c r="L94" i="14" s="1"/>
  <c r="J94" i="14" s="1"/>
  <c r="K28" i="14"/>
  <c r="L28" i="14" s="1"/>
  <c r="K155" i="14"/>
  <c r="L155" i="14" s="1"/>
  <c r="J155" i="14" s="1"/>
  <c r="K284" i="14"/>
  <c r="L284" i="14" s="1"/>
  <c r="J284" i="14" s="1"/>
  <c r="K299" i="14"/>
  <c r="L299" i="14" s="1"/>
  <c r="J299" i="14" s="1"/>
  <c r="K232" i="14"/>
  <c r="L232" i="14" s="1"/>
  <c r="K143" i="14"/>
  <c r="L143" i="14" s="1"/>
  <c r="K84" i="14"/>
  <c r="L84" i="14" s="1"/>
  <c r="M134" i="5" s="1"/>
  <c r="K292" i="14"/>
  <c r="L292" i="14" s="1"/>
  <c r="K317" i="14"/>
  <c r="L317" i="14" s="1"/>
  <c r="M41" i="5" s="1"/>
  <c r="K83" i="14"/>
  <c r="L83" i="14" s="1"/>
  <c r="M67" i="5" s="1"/>
  <c r="K281" i="14"/>
  <c r="L281" i="14" s="1"/>
  <c r="M45" i="5" s="1"/>
  <c r="K178" i="14"/>
  <c r="L178" i="14" s="1"/>
  <c r="J178" i="14" s="1"/>
  <c r="K118" i="14"/>
  <c r="L118" i="14" s="1"/>
  <c r="K56" i="14"/>
  <c r="L56" i="14" s="1"/>
  <c r="M135" i="5" s="1"/>
  <c r="K97" i="14"/>
  <c r="L97" i="14" s="1"/>
  <c r="J97" i="14" s="1"/>
  <c r="K35" i="14"/>
  <c r="L35" i="14" s="1"/>
  <c r="J35" i="14" s="1"/>
  <c r="K92" i="14"/>
  <c r="L92" i="14" s="1"/>
  <c r="J92" i="14" s="1"/>
  <c r="K235" i="14"/>
  <c r="L235" i="14" s="1"/>
  <c r="J235" i="14" s="1"/>
  <c r="K227" i="14"/>
  <c r="L227" i="14" s="1"/>
  <c r="J227" i="14" s="1"/>
  <c r="K139" i="14"/>
  <c r="L139" i="14" s="1"/>
  <c r="J139" i="14" s="1"/>
  <c r="K214" i="14"/>
  <c r="L214" i="14" s="1"/>
  <c r="J214" i="14" s="1"/>
  <c r="K161" i="14"/>
  <c r="L161" i="14" s="1"/>
  <c r="J161" i="14" s="1"/>
  <c r="K19" i="14"/>
  <c r="L19" i="14" s="1"/>
  <c r="J19" i="14" s="1"/>
  <c r="K42" i="14"/>
  <c r="L42" i="14" s="1"/>
  <c r="J42" i="14" s="1"/>
  <c r="K48" i="14"/>
  <c r="L48" i="14" s="1"/>
  <c r="J48" i="14" s="1"/>
  <c r="K112" i="14"/>
  <c r="L112" i="14" s="1"/>
  <c r="J112" i="14" s="1"/>
  <c r="K219" i="14"/>
  <c r="L219" i="14" s="1"/>
  <c r="J219" i="14" s="1"/>
  <c r="K122" i="14"/>
  <c r="L122" i="14" s="1"/>
  <c r="J122" i="14" s="1"/>
  <c r="K79" i="14"/>
  <c r="L79" i="14" s="1"/>
  <c r="J79" i="14" s="1"/>
  <c r="K217" i="14"/>
  <c r="L217" i="14" s="1"/>
  <c r="J217" i="14" s="1"/>
  <c r="K319" i="14"/>
  <c r="L319" i="14" s="1"/>
  <c r="J319" i="14" s="1"/>
  <c r="K250" i="14"/>
  <c r="L250" i="14" s="1"/>
  <c r="J250" i="14" s="1"/>
  <c r="K314" i="14"/>
  <c r="L314" i="14" s="1"/>
  <c r="J314" i="14" s="1"/>
  <c r="K188" i="14"/>
  <c r="L188" i="14" s="1"/>
  <c r="J188" i="14" s="1"/>
  <c r="K86" i="14"/>
  <c r="L86" i="14" s="1"/>
  <c r="J86" i="14" s="1"/>
  <c r="K248" i="14"/>
  <c r="L248" i="14" s="1"/>
  <c r="J248" i="14" s="1"/>
  <c r="K255" i="14"/>
  <c r="L255" i="14" s="1"/>
  <c r="J255" i="14" s="1"/>
  <c r="K278" i="14"/>
  <c r="L278" i="14" s="1"/>
  <c r="J278" i="14" s="1"/>
  <c r="K81" i="14"/>
  <c r="L81" i="14" s="1"/>
  <c r="J81" i="14" s="1"/>
  <c r="K288" i="14"/>
  <c r="L288" i="14" s="1"/>
  <c r="J288" i="14" s="1"/>
  <c r="K25" i="14"/>
  <c r="L25" i="14" s="1"/>
  <c r="J25" i="14" s="1"/>
  <c r="K49" i="14"/>
  <c r="L49" i="14" s="1"/>
  <c r="J49" i="14" s="1"/>
  <c r="K36" i="14"/>
  <c r="L36" i="14" s="1"/>
  <c r="J36" i="14" s="1"/>
  <c r="K116" i="14"/>
  <c r="L116" i="14" s="1"/>
  <c r="J116" i="14" s="1"/>
  <c r="K245" i="14"/>
  <c r="L245" i="14" s="1"/>
  <c r="J245" i="14" s="1"/>
  <c r="K78" i="14"/>
  <c r="L78" i="14" s="1"/>
  <c r="J78" i="14" s="1"/>
  <c r="K237" i="14"/>
  <c r="L237" i="14" s="1"/>
  <c r="J237" i="14" s="1"/>
  <c r="K147" i="14"/>
  <c r="L147" i="14" s="1"/>
  <c r="J147" i="14" s="1"/>
  <c r="K244" i="14"/>
  <c r="L244" i="14" s="1"/>
  <c r="J244" i="14" s="1"/>
  <c r="K323" i="14"/>
  <c r="L323" i="14" s="1"/>
  <c r="J323" i="14" s="1"/>
  <c r="K254" i="14"/>
  <c r="L254" i="14" s="1"/>
  <c r="J254" i="14" s="1"/>
  <c r="K13" i="14"/>
  <c r="L13" i="14" s="1"/>
  <c r="J13" i="14" s="1"/>
  <c r="K27" i="14"/>
  <c r="L27" i="14" s="1"/>
  <c r="J27" i="14" s="1"/>
  <c r="K55" i="14"/>
  <c r="L55" i="14" s="1"/>
  <c r="J55" i="14" s="1"/>
  <c r="K10" i="14"/>
  <c r="L10" i="14" s="1"/>
  <c r="J10" i="14" s="1"/>
  <c r="K8" i="14"/>
  <c r="L8" i="14" s="1"/>
  <c r="J8" i="14" s="1"/>
  <c r="K104" i="14"/>
  <c r="L104" i="14" s="1"/>
  <c r="J104" i="14" s="1"/>
  <c r="K208" i="14"/>
  <c r="L208" i="14" s="1"/>
  <c r="J208" i="14" s="1"/>
  <c r="K50" i="14"/>
  <c r="L50" i="14" s="1"/>
  <c r="J50" i="14" s="1"/>
  <c r="K146" i="14"/>
  <c r="L146" i="14" s="1"/>
  <c r="J146" i="14" s="1"/>
  <c r="K221" i="14"/>
  <c r="L221" i="14" s="1"/>
  <c r="J221" i="14" s="1"/>
  <c r="K119" i="14"/>
  <c r="L119" i="14" s="1"/>
  <c r="K207" i="14"/>
  <c r="L207" i="14" s="1"/>
  <c r="J207" i="14" s="1"/>
  <c r="K311" i="14"/>
  <c r="L311" i="14" s="1"/>
  <c r="J311" i="14" s="1"/>
  <c r="K258" i="14"/>
  <c r="L258" i="14" s="1"/>
  <c r="J258" i="14" s="1"/>
  <c r="K307" i="14"/>
  <c r="L307" i="14" s="1"/>
  <c r="J307" i="14" s="1"/>
  <c r="K156" i="14"/>
  <c r="L156" i="14" s="1"/>
  <c r="J156" i="14" s="1"/>
  <c r="K296" i="14"/>
  <c r="L296" i="14" s="1"/>
  <c r="J296" i="14" s="1"/>
  <c r="K171" i="14"/>
  <c r="L171" i="14" s="1"/>
  <c r="J171" i="14" s="1"/>
  <c r="K215" i="14"/>
  <c r="L215" i="14" s="1"/>
  <c r="J215" i="14" s="1"/>
  <c r="K240" i="14"/>
  <c r="L240" i="14" s="1"/>
  <c r="M49" i="5" s="1"/>
  <c r="K154" i="14"/>
  <c r="L154" i="14" s="1"/>
  <c r="M109" i="5" s="1"/>
  <c r="K70" i="14"/>
  <c r="L70" i="14" s="1"/>
  <c r="M68" i="5" s="1"/>
  <c r="K176" i="14"/>
  <c r="L176" i="14" s="1"/>
  <c r="M55" i="5" s="1"/>
  <c r="K43" i="14"/>
  <c r="L43" i="14" s="1"/>
  <c r="M71" i="5" s="1"/>
  <c r="K158" i="14"/>
  <c r="L158" i="14" s="1"/>
  <c r="J158" i="14" s="1"/>
  <c r="K174" i="14"/>
  <c r="L174" i="14" s="1"/>
  <c r="M56" i="5" s="1"/>
  <c r="K38" i="14"/>
  <c r="L38" i="14" s="1"/>
  <c r="M72" i="5" s="1"/>
  <c r="K234" i="14"/>
  <c r="L234" i="14" s="1"/>
  <c r="M108" i="5" s="1"/>
  <c r="K65" i="14"/>
  <c r="L65" i="14" s="1"/>
  <c r="M69" i="5" s="1"/>
  <c r="K300" i="14"/>
  <c r="L300" i="14" s="1"/>
  <c r="J300" i="14" s="1"/>
  <c r="K249" i="14"/>
  <c r="L249" i="14" s="1"/>
  <c r="M46" i="5" s="1"/>
  <c r="K132" i="14"/>
  <c r="L132" i="14" s="1"/>
  <c r="M64" i="5" s="1"/>
  <c r="K77" i="14"/>
  <c r="L77" i="14" s="1"/>
  <c r="J77" i="14" s="1"/>
  <c r="K197" i="14"/>
  <c r="L197" i="14" s="1"/>
  <c r="K130" i="14"/>
  <c r="L130" i="14" s="1"/>
  <c r="J130" i="14" s="1"/>
  <c r="K59" i="14"/>
  <c r="L59" i="14" s="1"/>
  <c r="J59" i="14" s="1"/>
  <c r="K93" i="14"/>
  <c r="L93" i="14" s="1"/>
  <c r="J93" i="14" s="1"/>
  <c r="K321" i="14"/>
  <c r="L321" i="14" s="1"/>
  <c r="M40" i="5" s="1"/>
  <c r="K145" i="14"/>
  <c r="L145" i="14" s="1"/>
  <c r="K263" i="14"/>
  <c r="L263" i="14" s="1"/>
  <c r="M117" i="5" s="1"/>
  <c r="K172" i="14"/>
  <c r="L172" i="14" s="1"/>
  <c r="J172" i="14" s="1"/>
  <c r="R57" i="5" s="1"/>
  <c r="K105" i="14"/>
  <c r="L105" i="14" s="1"/>
  <c r="M97" i="5" s="1"/>
  <c r="K34" i="14"/>
  <c r="L34" i="14" s="1"/>
  <c r="J34" i="14" s="1"/>
  <c r="J137" i="14"/>
  <c r="G260" i="40" l="1"/>
  <c r="G231" i="40"/>
  <c r="G272" i="40"/>
  <c r="G175" i="40"/>
  <c r="G156" i="40"/>
  <c r="G176" i="40"/>
  <c r="G258" i="40"/>
  <c r="W40" i="17"/>
  <c r="U40" i="17" s="1"/>
  <c r="C131" i="40"/>
  <c r="G131" i="40" s="1"/>
  <c r="W19" i="17"/>
  <c r="U19" i="17" s="1"/>
  <c r="C179" i="40"/>
  <c r="G179" i="40" s="1"/>
  <c r="W45" i="17"/>
  <c r="U45" i="17" s="1"/>
  <c r="C218" i="40"/>
  <c r="G218" i="40" s="1"/>
  <c r="V210" i="37"/>
  <c r="N303" i="40" s="1"/>
  <c r="M303" i="40"/>
  <c r="W21" i="17"/>
  <c r="U21" i="17" s="1"/>
  <c r="C220" i="40"/>
  <c r="G220" i="40" s="1"/>
  <c r="W28" i="17"/>
  <c r="U28" i="17" s="1"/>
  <c r="M205" i="40" s="1"/>
  <c r="C205" i="40"/>
  <c r="G205" i="40" s="1"/>
  <c r="V284" i="37"/>
  <c r="N163" i="40" s="1"/>
  <c r="M163" i="40"/>
  <c r="C7" i="40"/>
  <c r="G7" i="40" s="1"/>
  <c r="G270" i="40"/>
  <c r="G138" i="40"/>
  <c r="G244" i="40"/>
  <c r="G141" i="40"/>
  <c r="G56" i="40"/>
  <c r="G52" i="40"/>
  <c r="W1" i="37"/>
  <c r="W12" i="17"/>
  <c r="U12" i="17" s="1"/>
  <c r="M9" i="40" s="1"/>
  <c r="C9" i="40"/>
  <c r="W65" i="17"/>
  <c r="U65" i="17" s="1"/>
  <c r="M114" i="40" s="1"/>
  <c r="C114" i="40"/>
  <c r="G114" i="40" s="1"/>
  <c r="W20" i="17"/>
  <c r="U20" i="17" s="1"/>
  <c r="M10" i="40" s="1"/>
  <c r="C10" i="40"/>
  <c r="G10" i="40" s="1"/>
  <c r="W10" i="17"/>
  <c r="U10" i="17" s="1"/>
  <c r="M17" i="40" s="1"/>
  <c r="C17" i="40"/>
  <c r="W9" i="17"/>
  <c r="U9" i="17" s="1"/>
  <c r="M154" i="40" s="1"/>
  <c r="C154" i="40"/>
  <c r="G154" i="40" s="1"/>
  <c r="W66" i="17"/>
  <c r="U66" i="17" s="1"/>
  <c r="M180" i="40" s="1"/>
  <c r="C180" i="40"/>
  <c r="G180" i="40" s="1"/>
  <c r="W18" i="17"/>
  <c r="U18" i="17" s="1"/>
  <c r="M194" i="40" s="1"/>
  <c r="C194" i="40"/>
  <c r="G194" i="40" s="1"/>
  <c r="W13" i="17"/>
  <c r="U13" i="17" s="1"/>
  <c r="M294" i="40" s="1"/>
  <c r="C294" i="40"/>
  <c r="G294" i="40" s="1"/>
  <c r="W25" i="17"/>
  <c r="U25" i="17" s="1"/>
  <c r="M100" i="40" s="1"/>
  <c r="C100" i="40"/>
  <c r="G100" i="40" s="1"/>
  <c r="W11" i="17"/>
  <c r="U11" i="17" s="1"/>
  <c r="M191" i="40" s="1"/>
  <c r="C191" i="40"/>
  <c r="G191" i="40" s="1"/>
  <c r="W14" i="17"/>
  <c r="U14" i="17" s="1"/>
  <c r="M94" i="40" s="1"/>
  <c r="C94" i="40"/>
  <c r="G94" i="40" s="1"/>
  <c r="V169" i="37"/>
  <c r="V263" i="37"/>
  <c r="V203" i="37"/>
  <c r="V59" i="37"/>
  <c r="V31" i="37"/>
  <c r="V145" i="37"/>
  <c r="V104" i="37"/>
  <c r="V147" i="37"/>
  <c r="V239" i="37"/>
  <c r="V285" i="37"/>
  <c r="W32" i="17"/>
  <c r="W17" i="17"/>
  <c r="U44" i="17"/>
  <c r="U48" i="17"/>
  <c r="M99" i="40" s="1"/>
  <c r="U42" i="17"/>
  <c r="M152" i="40" s="1"/>
  <c r="U26" i="17"/>
  <c r="M164" i="40" s="1"/>
  <c r="U31" i="17"/>
  <c r="V31" i="17" s="1"/>
  <c r="V24" i="17"/>
  <c r="V51" i="17"/>
  <c r="V49" i="17"/>
  <c r="M60" i="5"/>
  <c r="J145" i="14"/>
  <c r="J143" i="14"/>
  <c r="M61" i="5"/>
  <c r="J164" i="14"/>
  <c r="M119" i="5"/>
  <c r="J121" i="14"/>
  <c r="M65" i="5"/>
  <c r="J152" i="14"/>
  <c r="M59" i="5"/>
  <c r="J212" i="14"/>
  <c r="M51" i="5"/>
  <c r="J32" i="14"/>
  <c r="R122" i="5" s="1"/>
  <c r="J132" i="14"/>
  <c r="R64" i="5" s="1"/>
  <c r="J56" i="14"/>
  <c r="R135" i="5" s="1"/>
  <c r="J38" i="14"/>
  <c r="R72" i="5" s="1"/>
  <c r="J321" i="14"/>
  <c r="R40" i="5" s="1"/>
  <c r="J84" i="14"/>
  <c r="R134" i="5" s="1"/>
  <c r="M103" i="5"/>
  <c r="M118" i="5"/>
  <c r="J197" i="14"/>
  <c r="J118" i="14"/>
  <c r="R130" i="5" s="1"/>
  <c r="M130" i="5"/>
  <c r="J232" i="14"/>
  <c r="M50" i="5"/>
  <c r="J28" i="14"/>
  <c r="M73" i="5"/>
  <c r="J196" i="14"/>
  <c r="M54" i="5"/>
  <c r="J111" i="14"/>
  <c r="M66" i="5"/>
  <c r="J44" i="14"/>
  <c r="R70" i="5" s="1"/>
  <c r="J318" i="14"/>
  <c r="R104" i="5" s="1"/>
  <c r="J240" i="14"/>
  <c r="R49" i="5" s="1"/>
  <c r="J177" i="14"/>
  <c r="R94" i="5" s="1"/>
  <c r="J249" i="14"/>
  <c r="R46" i="5" s="1"/>
  <c r="J119" i="14"/>
  <c r="J289" i="14"/>
  <c r="R44" i="5" s="1"/>
  <c r="J281" i="14"/>
  <c r="R45" i="5" s="1"/>
  <c r="J242" i="14"/>
  <c r="R128" i="5" s="1"/>
  <c r="J243" i="14"/>
  <c r="R47" i="5" s="1"/>
  <c r="J65" i="14"/>
  <c r="R69" i="5" s="1"/>
  <c r="J211" i="14"/>
  <c r="R93" i="5" s="1"/>
  <c r="J109" i="14"/>
  <c r="R133" i="5" s="1"/>
  <c r="J16" i="14"/>
  <c r="R74" i="5" s="1"/>
  <c r="J292" i="14"/>
  <c r="M43" i="5"/>
  <c r="J30" i="14"/>
  <c r="M136" i="5"/>
  <c r="J153" i="14"/>
  <c r="M58" i="5"/>
  <c r="M52" i="5"/>
  <c r="J204" i="14"/>
  <c r="J110" i="14"/>
  <c r="R132" i="5" s="1"/>
  <c r="J234" i="14"/>
  <c r="R108" i="5" s="1"/>
  <c r="J257" i="14"/>
  <c r="R127" i="5" s="1"/>
  <c r="J263" i="14"/>
  <c r="R117" i="5" s="1"/>
  <c r="J12" i="14"/>
  <c r="R98" i="5" s="1"/>
  <c r="J83" i="14"/>
  <c r="R67" i="5" s="1"/>
  <c r="J246" i="14"/>
  <c r="R107" i="5" s="1"/>
  <c r="J70" i="14"/>
  <c r="R68" i="5" s="1"/>
  <c r="J43" i="14"/>
  <c r="R71" i="5" s="1"/>
  <c r="J290" i="14"/>
  <c r="R105" i="5" s="1"/>
  <c r="J91" i="14"/>
  <c r="R120" i="5" s="1"/>
  <c r="J105" i="14"/>
  <c r="R97" i="5" s="1"/>
  <c r="M90" i="5"/>
  <c r="J175" i="14"/>
  <c r="R129" i="5" s="1"/>
  <c r="J141" i="14"/>
  <c r="R62" i="5" s="1"/>
  <c r="J303" i="14"/>
  <c r="M42" i="5"/>
  <c r="J174" i="14"/>
  <c r="R56" i="5" s="1"/>
  <c r="J203" i="14"/>
  <c r="R53" i="5" s="1"/>
  <c r="J154" i="14"/>
  <c r="R109" i="5" s="1"/>
  <c r="J23" i="14"/>
  <c r="R123" i="5" s="1"/>
  <c r="J135" i="14"/>
  <c r="R63" i="5" s="1"/>
  <c r="J114" i="14"/>
  <c r="R131" i="5" s="1"/>
  <c r="J136" i="14"/>
  <c r="R96" i="5" s="1"/>
  <c r="J317" i="14"/>
  <c r="R41" i="5" s="1"/>
  <c r="J39" i="14"/>
  <c r="R121" i="5" s="1"/>
  <c r="J163" i="14"/>
  <c r="R95" i="5" s="1"/>
  <c r="J176" i="14"/>
  <c r="R55" i="5" s="1"/>
  <c r="J85" i="14"/>
  <c r="R110" i="5" s="1"/>
  <c r="M171" i="5"/>
  <c r="J268" i="14"/>
  <c r="R106" i="5" s="1"/>
  <c r="J241" i="14"/>
  <c r="R48" i="5" s="1"/>
  <c r="G9" i="40" l="1"/>
  <c r="G17" i="40"/>
  <c r="V21" i="17"/>
  <c r="N220" i="40" s="1"/>
  <c r="M220" i="40"/>
  <c r="V45" i="17"/>
  <c r="N218" i="40" s="1"/>
  <c r="M218" i="40"/>
  <c r="O303" i="40"/>
  <c r="AD305" i="21" s="1"/>
  <c r="V19" i="17"/>
  <c r="N179" i="40" s="1"/>
  <c r="M179" i="40"/>
  <c r="V40" i="17"/>
  <c r="N131" i="40" s="1"/>
  <c r="M131" i="40"/>
  <c r="O163" i="40"/>
  <c r="AD239" i="21" s="1"/>
  <c r="W4" i="42"/>
  <c r="W16" i="42" s="1"/>
  <c r="W3" i="42"/>
  <c r="W15" i="42" s="1"/>
  <c r="U32" i="17"/>
  <c r="AC27" i="17"/>
  <c r="V44" i="17"/>
  <c r="N145" i="40" s="1"/>
  <c r="M145" i="40"/>
  <c r="N112" i="40"/>
  <c r="O112" i="40" s="1"/>
  <c r="N171" i="40"/>
  <c r="N63" i="40"/>
  <c r="N120" i="40"/>
  <c r="O120" i="40" s="1"/>
  <c r="N36" i="40"/>
  <c r="N253" i="40"/>
  <c r="N49" i="40"/>
  <c r="N174" i="40"/>
  <c r="N88" i="40"/>
  <c r="N64" i="40"/>
  <c r="N232" i="40"/>
  <c r="N178" i="40"/>
  <c r="N235" i="40"/>
  <c r="V48" i="17"/>
  <c r="V26" i="17"/>
  <c r="V42" i="17"/>
  <c r="U17" i="17"/>
  <c r="V12" i="17"/>
  <c r="V65" i="17"/>
  <c r="V18" i="17"/>
  <c r="V9" i="17"/>
  <c r="V11" i="17"/>
  <c r="V14" i="17"/>
  <c r="V20" i="17"/>
  <c r="V28" i="17"/>
  <c r="N205" i="40" s="1"/>
  <c r="O205" i="40" s="1"/>
  <c r="AD48" i="21" s="1"/>
  <c r="V13" i="17"/>
  <c r="V25" i="17"/>
  <c r="V66" i="17"/>
  <c r="V10" i="17"/>
  <c r="AE303" i="21"/>
  <c r="M172" i="5"/>
  <c r="M151" i="5"/>
  <c r="M162" i="5"/>
  <c r="M102" i="5"/>
  <c r="M168" i="5"/>
  <c r="M81" i="5"/>
  <c r="M178" i="5"/>
  <c r="M176" i="5"/>
  <c r="M175" i="5"/>
  <c r="M82" i="5"/>
  <c r="M174" i="5"/>
  <c r="M161" i="5"/>
  <c r="M101" i="5"/>
  <c r="M124" i="5"/>
  <c r="M125" i="5"/>
  <c r="M157" i="5"/>
  <c r="M166" i="5"/>
  <c r="M116" i="5"/>
  <c r="M147" i="5"/>
  <c r="M140" i="5"/>
  <c r="M79" i="5"/>
  <c r="M113" i="5"/>
  <c r="M143" i="5"/>
  <c r="M170" i="5"/>
  <c r="M139" i="5"/>
  <c r="M154" i="5"/>
  <c r="M169" i="5"/>
  <c r="M164" i="5"/>
  <c r="M111" i="5"/>
  <c r="M179" i="5"/>
  <c r="M100" i="5"/>
  <c r="M167" i="5"/>
  <c r="M144" i="5"/>
  <c r="M87" i="5"/>
  <c r="M156" i="5"/>
  <c r="M114" i="5"/>
  <c r="M150" i="5"/>
  <c r="M158" i="5"/>
  <c r="M146" i="5"/>
  <c r="M155" i="5"/>
  <c r="M142" i="5"/>
  <c r="M153" i="5"/>
  <c r="M83" i="5"/>
  <c r="M115" i="5"/>
  <c r="M159" i="5"/>
  <c r="M173" i="5"/>
  <c r="M112" i="5"/>
  <c r="M165" i="5"/>
  <c r="M163" i="5"/>
  <c r="M149" i="5"/>
  <c r="M141" i="5"/>
  <c r="M152" i="5"/>
  <c r="M99" i="5"/>
  <c r="M137" i="5"/>
  <c r="M160" i="5"/>
  <c r="M177" i="5"/>
  <c r="M148" i="5"/>
  <c r="M85" i="5"/>
  <c r="M126" i="5"/>
  <c r="M145" i="5"/>
  <c r="M138" i="5"/>
  <c r="R2" i="5"/>
  <c r="S2" i="5" s="1"/>
  <c r="O218" i="40" l="1"/>
  <c r="AD52" i="21" s="1"/>
  <c r="O179" i="40"/>
  <c r="AD23" i="21" s="1"/>
  <c r="O131" i="40"/>
  <c r="AD19" i="21" s="1"/>
  <c r="O220" i="40"/>
  <c r="AD24" i="21" s="1"/>
  <c r="V17" i="17"/>
  <c r="N181" i="40" s="1"/>
  <c r="M181" i="40"/>
  <c r="V32" i="17"/>
  <c r="N206" i="40" s="1"/>
  <c r="M206" i="40"/>
  <c r="O145" i="40"/>
  <c r="AD43" i="21" s="1"/>
  <c r="O235" i="40"/>
  <c r="AD167" i="21" s="1"/>
  <c r="O178" i="40"/>
  <c r="AD22" i="21" s="1"/>
  <c r="O232" i="40"/>
  <c r="AD267" i="21" s="1"/>
  <c r="O64" i="40"/>
  <c r="AD198" i="21" s="1"/>
  <c r="O88" i="40"/>
  <c r="AD120" i="21" s="1"/>
  <c r="O174" i="40"/>
  <c r="AD244" i="21" s="1"/>
  <c r="O49" i="40"/>
  <c r="AD14" i="21" s="1"/>
  <c r="AE14" i="21" s="1"/>
  <c r="O253" i="40"/>
  <c r="AD278" i="21" s="1"/>
  <c r="O36" i="40"/>
  <c r="AD74" i="21" s="1"/>
  <c r="O63" i="40"/>
  <c r="AD35" i="21" s="1"/>
  <c r="O171" i="40"/>
  <c r="AD143" i="21" s="1"/>
  <c r="AD39" i="21"/>
  <c r="AE39" i="21" s="1"/>
  <c r="AD41" i="21"/>
  <c r="W27" i="17"/>
  <c r="U27" i="17" s="1"/>
  <c r="N164" i="40"/>
  <c r="O164" i="40" s="1"/>
  <c r="N180" i="40"/>
  <c r="N10" i="40"/>
  <c r="O10" i="40" s="1"/>
  <c r="N194" i="40"/>
  <c r="N99" i="40"/>
  <c r="N154" i="40"/>
  <c r="N17" i="40"/>
  <c r="N100" i="40"/>
  <c r="O100" i="40" s="1"/>
  <c r="N94" i="40"/>
  <c r="N114" i="40"/>
  <c r="N294" i="40"/>
  <c r="N191" i="40"/>
  <c r="O191" i="40" s="1"/>
  <c r="N9" i="40"/>
  <c r="N152" i="40"/>
  <c r="O152" i="40" s="1"/>
  <c r="M86" i="5"/>
  <c r="O206" i="40" l="1"/>
  <c r="AD49" i="21" s="1"/>
  <c r="O181" i="40"/>
  <c r="AD9" i="21" s="1"/>
  <c r="O9" i="40"/>
  <c r="O294" i="40"/>
  <c r="AD10" i="21" s="1"/>
  <c r="O114" i="40"/>
  <c r="AD40" i="21" s="1"/>
  <c r="O94" i="40"/>
  <c r="AD4" i="21" s="1"/>
  <c r="O17" i="40"/>
  <c r="O154" i="40"/>
  <c r="AD11" i="21" s="1"/>
  <c r="O99" i="40"/>
  <c r="AD62" i="21" s="1"/>
  <c r="O194" i="40"/>
  <c r="AD8" i="21" s="1"/>
  <c r="O180" i="40"/>
  <c r="AD63" i="21" s="1"/>
  <c r="AD44" i="21"/>
  <c r="M228" i="40"/>
  <c r="V27" i="17"/>
  <c r="N228" i="40" s="1"/>
  <c r="AD45" i="21"/>
  <c r="AE45" i="21" s="1"/>
  <c r="AD6" i="21"/>
  <c r="AE6" i="21" s="1"/>
  <c r="AD38" i="21"/>
  <c r="AE38" i="21" s="1"/>
  <c r="AD12" i="21"/>
  <c r="AE12" i="21" s="1"/>
  <c r="AC67" i="17"/>
  <c r="M4" i="14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M95" i="14" s="1"/>
  <c r="M96" i="14" s="1"/>
  <c r="M97" i="14" s="1"/>
  <c r="M98" i="14" s="1"/>
  <c r="M99" i="14" s="1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M119" i="14" s="1"/>
  <c r="M120" i="14" s="1"/>
  <c r="M121" i="14" s="1"/>
  <c r="M122" i="14" s="1"/>
  <c r="M123" i="14" s="1"/>
  <c r="M124" i="14" s="1"/>
  <c r="M125" i="14" s="1"/>
  <c r="M126" i="14" s="1"/>
  <c r="M127" i="14" s="1"/>
  <c r="M128" i="14" s="1"/>
  <c r="M129" i="14" s="1"/>
  <c r="M130" i="14" s="1"/>
  <c r="M131" i="14" s="1"/>
  <c r="M132" i="14" s="1"/>
  <c r="M133" i="14" s="1"/>
  <c r="M134" i="14" s="1"/>
  <c r="M135" i="14" s="1"/>
  <c r="M136" i="14" s="1"/>
  <c r="M137" i="14" s="1"/>
  <c r="M138" i="14" s="1"/>
  <c r="M139" i="14" s="1"/>
  <c r="M140" i="14" s="1"/>
  <c r="M141" i="14" s="1"/>
  <c r="M142" i="14" s="1"/>
  <c r="M143" i="14" s="1"/>
  <c r="M144" i="14" s="1"/>
  <c r="M145" i="14" s="1"/>
  <c r="M146" i="14" s="1"/>
  <c r="M147" i="14" s="1"/>
  <c r="M148" i="14" s="1"/>
  <c r="M149" i="14" s="1"/>
  <c r="M150" i="14" s="1"/>
  <c r="M151" i="14" s="1"/>
  <c r="M152" i="14" s="1"/>
  <c r="M153" i="14" s="1"/>
  <c r="M154" i="14" s="1"/>
  <c r="M155" i="14" s="1"/>
  <c r="M156" i="14" s="1"/>
  <c r="M157" i="14" s="1"/>
  <c r="M158" i="14" s="1"/>
  <c r="M159" i="14" s="1"/>
  <c r="M160" i="14" s="1"/>
  <c r="M161" i="14" s="1"/>
  <c r="M162" i="14" s="1"/>
  <c r="M163" i="14" s="1"/>
  <c r="M164" i="14" s="1"/>
  <c r="M165" i="14" s="1"/>
  <c r="M166" i="14" s="1"/>
  <c r="M167" i="14" s="1"/>
  <c r="M168" i="14" s="1"/>
  <c r="M169" i="14" s="1"/>
  <c r="M170" i="14" s="1"/>
  <c r="M171" i="14" s="1"/>
  <c r="M172" i="14" s="1"/>
  <c r="M173" i="14" s="1"/>
  <c r="M174" i="14" s="1"/>
  <c r="M175" i="14" s="1"/>
  <c r="M176" i="14" s="1"/>
  <c r="M177" i="14" s="1"/>
  <c r="M178" i="14" s="1"/>
  <c r="M179" i="14" s="1"/>
  <c r="M180" i="14" s="1"/>
  <c r="M181" i="14" s="1"/>
  <c r="M182" i="14" s="1"/>
  <c r="M183" i="14" s="1"/>
  <c r="M184" i="14" s="1"/>
  <c r="M185" i="14" s="1"/>
  <c r="M186" i="14" s="1"/>
  <c r="M187" i="14" s="1"/>
  <c r="M188" i="14" s="1"/>
  <c r="M189" i="14" s="1"/>
  <c r="M190" i="14" s="1"/>
  <c r="M191" i="14" s="1"/>
  <c r="M192" i="14" s="1"/>
  <c r="M193" i="14" s="1"/>
  <c r="M194" i="14" s="1"/>
  <c r="M195" i="14" s="1"/>
  <c r="M196" i="14" s="1"/>
  <c r="M197" i="14" s="1"/>
  <c r="M198" i="14" s="1"/>
  <c r="M199" i="14" s="1"/>
  <c r="M200" i="14" s="1"/>
  <c r="M201" i="14" s="1"/>
  <c r="M202" i="14" s="1"/>
  <c r="M203" i="14" s="1"/>
  <c r="M204" i="14" s="1"/>
  <c r="M205" i="14" s="1"/>
  <c r="M206" i="14" s="1"/>
  <c r="M207" i="14" s="1"/>
  <c r="M208" i="14" s="1"/>
  <c r="M209" i="14" s="1"/>
  <c r="M210" i="14" s="1"/>
  <c r="M211" i="14" s="1"/>
  <c r="M212" i="14" s="1"/>
  <c r="M213" i="14" s="1"/>
  <c r="M214" i="14" s="1"/>
  <c r="M215" i="14" s="1"/>
  <c r="M216" i="14" s="1"/>
  <c r="M217" i="14" s="1"/>
  <c r="M218" i="14" s="1"/>
  <c r="M219" i="14" s="1"/>
  <c r="M220" i="14" s="1"/>
  <c r="M221" i="14" s="1"/>
  <c r="M222" i="14" s="1"/>
  <c r="M223" i="14" s="1"/>
  <c r="M224" i="14" s="1"/>
  <c r="M225" i="14" s="1"/>
  <c r="M226" i="14" s="1"/>
  <c r="M227" i="14" s="1"/>
  <c r="M228" i="14" s="1"/>
  <c r="M229" i="14" s="1"/>
  <c r="M230" i="14" s="1"/>
  <c r="M231" i="14" s="1"/>
  <c r="M232" i="14" s="1"/>
  <c r="M233" i="14" s="1"/>
  <c r="M234" i="14" s="1"/>
  <c r="M235" i="14" s="1"/>
  <c r="M236" i="14" s="1"/>
  <c r="M237" i="14" s="1"/>
  <c r="M238" i="14" s="1"/>
  <c r="M239" i="14" s="1"/>
  <c r="M240" i="14" s="1"/>
  <c r="M241" i="14" s="1"/>
  <c r="M242" i="14" s="1"/>
  <c r="M243" i="14" s="1"/>
  <c r="M244" i="14" s="1"/>
  <c r="M245" i="14" s="1"/>
  <c r="M246" i="14" s="1"/>
  <c r="M247" i="14" s="1"/>
  <c r="M248" i="14" s="1"/>
  <c r="M249" i="14" s="1"/>
  <c r="M250" i="14" s="1"/>
  <c r="M251" i="14" s="1"/>
  <c r="M252" i="14" s="1"/>
  <c r="M253" i="14" s="1"/>
  <c r="M254" i="14" s="1"/>
  <c r="M255" i="14" s="1"/>
  <c r="M256" i="14" s="1"/>
  <c r="M257" i="14" s="1"/>
  <c r="M258" i="14" s="1"/>
  <c r="M259" i="14" s="1"/>
  <c r="M260" i="14" s="1"/>
  <c r="M261" i="14" s="1"/>
  <c r="M262" i="14" s="1"/>
  <c r="M263" i="14" s="1"/>
  <c r="M264" i="14" s="1"/>
  <c r="M265" i="14" s="1"/>
  <c r="M266" i="14" s="1"/>
  <c r="M267" i="14" s="1"/>
  <c r="M268" i="14" s="1"/>
  <c r="M269" i="14" s="1"/>
  <c r="M270" i="14" s="1"/>
  <c r="M271" i="14" s="1"/>
  <c r="M272" i="14" s="1"/>
  <c r="M273" i="14" s="1"/>
  <c r="M274" i="14" s="1"/>
  <c r="M275" i="14" s="1"/>
  <c r="M276" i="14" s="1"/>
  <c r="M277" i="14" s="1"/>
  <c r="M278" i="14" s="1"/>
  <c r="M279" i="14" s="1"/>
  <c r="M280" i="14" s="1"/>
  <c r="M281" i="14" s="1"/>
  <c r="M282" i="14" s="1"/>
  <c r="M283" i="14" s="1"/>
  <c r="M284" i="14" s="1"/>
  <c r="M285" i="14" s="1"/>
  <c r="M286" i="14" s="1"/>
  <c r="M287" i="14" s="1"/>
  <c r="M288" i="14" s="1"/>
  <c r="M289" i="14" s="1"/>
  <c r="M290" i="14" s="1"/>
  <c r="M291" i="14" s="1"/>
  <c r="M292" i="14" s="1"/>
  <c r="M293" i="14" s="1"/>
  <c r="M294" i="14" s="1"/>
  <c r="M295" i="14" s="1"/>
  <c r="M296" i="14" s="1"/>
  <c r="M297" i="14" s="1"/>
  <c r="M298" i="14" s="1"/>
  <c r="M299" i="14" s="1"/>
  <c r="M300" i="14" s="1"/>
  <c r="M301" i="14" s="1"/>
  <c r="M302" i="14" s="1"/>
  <c r="M303" i="14" s="1"/>
  <c r="M304" i="14" s="1"/>
  <c r="M305" i="14" s="1"/>
  <c r="M306" i="14" s="1"/>
  <c r="M307" i="14" s="1"/>
  <c r="M308" i="14" s="1"/>
  <c r="M309" i="14" s="1"/>
  <c r="M310" i="14" s="1"/>
  <c r="M311" i="14" s="1"/>
  <c r="M312" i="14" s="1"/>
  <c r="M313" i="14" s="1"/>
  <c r="M314" i="14" s="1"/>
  <c r="M315" i="14" s="1"/>
  <c r="M316" i="14" s="1"/>
  <c r="M317" i="14" s="1"/>
  <c r="M318" i="14" s="1"/>
  <c r="M319" i="14" s="1"/>
  <c r="M320" i="14" s="1"/>
  <c r="M321" i="14" s="1"/>
  <c r="M322" i="14" s="1"/>
  <c r="M323" i="14" s="1"/>
  <c r="M324" i="14" s="1"/>
  <c r="AD7" i="21" l="1"/>
  <c r="AD5" i="21"/>
  <c r="O228" i="40"/>
  <c r="AD25" i="21" s="1"/>
  <c r="AE25" i="21" s="1"/>
  <c r="W67" i="17"/>
  <c r="U67" i="17" s="1"/>
  <c r="M244" i="40" s="1"/>
  <c r="AC47" i="17"/>
  <c r="W47" i="17" s="1"/>
  <c r="V67" i="17" l="1"/>
  <c r="N244" i="40" s="1"/>
  <c r="U47" i="17"/>
  <c r="AC23" i="17"/>
  <c r="W23" i="17" s="1"/>
  <c r="V47" i="17" l="1"/>
  <c r="N246" i="40" s="1"/>
  <c r="M246" i="40"/>
  <c r="O244" i="40"/>
  <c r="AD26" i="21" s="1"/>
  <c r="U23" i="17"/>
  <c r="AC34" i="17"/>
  <c r="O246" i="40" l="1"/>
  <c r="AD27" i="21" s="1"/>
  <c r="V23" i="17"/>
  <c r="N250" i="40" s="1"/>
  <c r="M250" i="40"/>
  <c r="W34" i="17"/>
  <c r="O250" i="40" l="1"/>
  <c r="AD65" i="21" s="1"/>
  <c r="U34" i="17"/>
  <c r="M257" i="40" s="1"/>
  <c r="AC60" i="17" l="1"/>
  <c r="V34" i="17"/>
  <c r="N257" i="40" s="1"/>
  <c r="O257" i="40" l="1"/>
  <c r="AD28" i="21" s="1"/>
  <c r="U60" i="17"/>
  <c r="M285" i="40" s="1"/>
  <c r="V60" i="17" l="1"/>
  <c r="N285" i="40" s="1"/>
  <c r="AC22" i="17"/>
  <c r="O285" i="40" l="1"/>
  <c r="AD60" i="21" s="1"/>
  <c r="W22" i="17"/>
  <c r="U22" i="17" l="1"/>
  <c r="M301" i="40" s="1"/>
  <c r="H5" i="40"/>
  <c r="AC6" i="17" l="1"/>
  <c r="J5" i="40" s="1"/>
  <c r="V22" i="17"/>
  <c r="N301" i="40" s="1"/>
  <c r="O301" i="40" s="1"/>
  <c r="H7" i="40"/>
  <c r="AD31" i="21" l="1"/>
  <c r="AE31" i="21" s="1"/>
  <c r="AC105" i="17"/>
  <c r="W105" i="17" s="1"/>
  <c r="W6" i="17"/>
  <c r="J7" i="40" l="1"/>
  <c r="U6" i="17"/>
  <c r="M5" i="40" s="1"/>
  <c r="H3" i="40"/>
  <c r="U105" i="17" l="1"/>
  <c r="M7" i="40" s="1"/>
  <c r="AC7" i="17"/>
  <c r="J3" i="40" s="1"/>
  <c r="V6" i="17"/>
  <c r="N5" i="40" s="1"/>
  <c r="V105" i="17" l="1"/>
  <c r="N7" i="40" s="1"/>
  <c r="O7" i="40" s="1"/>
  <c r="AD108" i="21" s="1"/>
  <c r="O5" i="40"/>
  <c r="AD138" i="21" s="1"/>
  <c r="W7" i="17"/>
  <c r="U7" i="17" s="1"/>
  <c r="M3" i="40" s="1"/>
  <c r="V7" i="17" l="1"/>
  <c r="N3" i="40" s="1"/>
  <c r="O3" i="40" s="1"/>
  <c r="AD185" i="21" l="1"/>
  <c r="AC16" i="17"/>
  <c r="W16" i="17" l="1"/>
  <c r="U16" i="17" s="1"/>
  <c r="M209" i="40" s="1"/>
  <c r="V16" i="17" l="1"/>
  <c r="N209" i="40" s="1"/>
  <c r="H8" i="40"/>
  <c r="O209" i="40" l="1"/>
  <c r="AD260" i="21" s="1"/>
  <c r="AC8" i="17"/>
  <c r="J8" i="40" s="1"/>
  <c r="W8" i="17" l="1"/>
  <c r="U8" i="17" s="1"/>
  <c r="M8" i="40" s="1"/>
  <c r="V8" i="17" l="1"/>
  <c r="N8" i="40" s="1"/>
  <c r="O8" i="40" s="1"/>
  <c r="U125" i="17"/>
  <c r="M224" i="40" s="1"/>
  <c r="V4" i="42" l="1"/>
  <c r="AD296" i="21"/>
  <c r="V125" i="17"/>
  <c r="N224" i="40" s="1"/>
  <c r="O224" i="40" l="1"/>
  <c r="AD105" i="21" s="1"/>
  <c r="AC46" i="17" l="1"/>
  <c r="AC73" i="17"/>
  <c r="W73" i="17" s="1"/>
  <c r="AC29" i="17"/>
  <c r="AC55" i="17"/>
  <c r="W55" i="17" s="1"/>
  <c r="H6" i="40"/>
  <c r="W46" i="17" l="1"/>
  <c r="U46" i="17" s="1"/>
  <c r="M38" i="40" s="1"/>
  <c r="W29" i="17"/>
  <c r="U29" i="17" s="1"/>
  <c r="U73" i="17"/>
  <c r="U55" i="17"/>
  <c r="V55" i="17" s="1"/>
  <c r="AC216" i="17"/>
  <c r="AC222" i="17"/>
  <c r="W222" i="17" s="1"/>
  <c r="U222" i="17" s="1"/>
  <c r="AC196" i="17"/>
  <c r="AC205" i="17"/>
  <c r="AC132" i="17"/>
  <c r="AC238" i="17"/>
  <c r="W238" i="17" s="1"/>
  <c r="U238" i="17" s="1"/>
  <c r="AC293" i="17"/>
  <c r="W293" i="17" s="1"/>
  <c r="AC37" i="17"/>
  <c r="W37" i="17" s="1"/>
  <c r="U37" i="17" s="1"/>
  <c r="AC189" i="17"/>
  <c r="W189" i="17" s="1"/>
  <c r="AC101" i="17"/>
  <c r="W101" i="17" s="1"/>
  <c r="U101" i="17" s="1"/>
  <c r="AC158" i="17"/>
  <c r="AC215" i="17"/>
  <c r="W215" i="17" s="1"/>
  <c r="U215" i="17" s="1"/>
  <c r="AC297" i="17"/>
  <c r="AC292" i="17"/>
  <c r="W292" i="17" s="1"/>
  <c r="AC81" i="17"/>
  <c r="AC283" i="17"/>
  <c r="AC194" i="17"/>
  <c r="AC71" i="17"/>
  <c r="W71" i="17" s="1"/>
  <c r="U71" i="17" s="1"/>
  <c r="AC186" i="17"/>
  <c r="W186" i="17" s="1"/>
  <c r="AC272" i="17"/>
  <c r="AC83" i="17"/>
  <c r="AC154" i="17"/>
  <c r="AC183" i="17"/>
  <c r="AC100" i="17"/>
  <c r="W100" i="17" s="1"/>
  <c r="U100" i="17" s="1"/>
  <c r="AC267" i="17"/>
  <c r="AC261" i="17"/>
  <c r="W261" i="17" s="1"/>
  <c r="AC123" i="17"/>
  <c r="AC315" i="17"/>
  <c r="AC166" i="17"/>
  <c r="AC228" i="17"/>
  <c r="AC204" i="17"/>
  <c r="W204" i="17" s="1"/>
  <c r="U204" i="17" s="1"/>
  <c r="AC217" i="17"/>
  <c r="AC245" i="17"/>
  <c r="AC270" i="17"/>
  <c r="W270" i="17" s="1"/>
  <c r="AC54" i="17"/>
  <c r="AC251" i="17"/>
  <c r="AC72" i="17"/>
  <c r="AC95" i="17"/>
  <c r="AC84" i="17"/>
  <c r="AC61" i="17"/>
  <c r="W61" i="17" s="1"/>
  <c r="U61" i="17" s="1"/>
  <c r="AC225" i="17"/>
  <c r="AC259" i="17"/>
  <c r="AC139" i="17"/>
  <c r="W139" i="17" s="1"/>
  <c r="U139" i="17" s="1"/>
  <c r="AC282" i="17"/>
  <c r="AC35" i="17"/>
  <c r="AC314" i="17"/>
  <c r="AC312" i="17"/>
  <c r="AC284" i="17"/>
  <c r="W284" i="17" s="1"/>
  <c r="AC113" i="17"/>
  <c r="AC175" i="17"/>
  <c r="AC227" i="17"/>
  <c r="AC305" i="17"/>
  <c r="AC309" i="17"/>
  <c r="AC130" i="17"/>
  <c r="W130" i="17" s="1"/>
  <c r="U130" i="17" s="1"/>
  <c r="AC15" i="17"/>
  <c r="AC202" i="17"/>
  <c r="AC289" i="17"/>
  <c r="AC163" i="17"/>
  <c r="AC112" i="17"/>
  <c r="W112" i="17" s="1"/>
  <c r="U112" i="17" s="1"/>
  <c r="AC104" i="17"/>
  <c r="W104" i="17" s="1"/>
  <c r="AC281" i="17"/>
  <c r="AC136" i="17"/>
  <c r="AC262" i="17"/>
  <c r="AC192" i="17"/>
  <c r="AC89" i="17"/>
  <c r="AC177" i="17"/>
  <c r="AC188" i="17"/>
  <c r="W188" i="17" s="1"/>
  <c r="AC198" i="17"/>
  <c r="AC257" i="17"/>
  <c r="AC142" i="17"/>
  <c r="AC36" i="17"/>
  <c r="W36" i="17" s="1"/>
  <c r="U36" i="17" s="1"/>
  <c r="AC134" i="17"/>
  <c r="AC124" i="17"/>
  <c r="AC38" i="17"/>
  <c r="AC137" i="17"/>
  <c r="AC243" i="17"/>
  <c r="AC181" i="17"/>
  <c r="AC135" i="17"/>
  <c r="AC308" i="17"/>
  <c r="AC266" i="17"/>
  <c r="W266" i="17" s="1"/>
  <c r="AC290" i="17"/>
  <c r="W290" i="17" s="1"/>
  <c r="AC128" i="17"/>
  <c r="AC232" i="17"/>
  <c r="AC96" i="17"/>
  <c r="AC221" i="17"/>
  <c r="W221" i="17" s="1"/>
  <c r="AC244" i="17"/>
  <c r="AC126" i="17"/>
  <c r="AC246" i="17"/>
  <c r="AC213" i="17"/>
  <c r="W213" i="17" s="1"/>
  <c r="U213" i="17" s="1"/>
  <c r="AC94" i="17"/>
  <c r="AC280" i="17"/>
  <c r="W280" i="17" s="1"/>
  <c r="AC133" i="17"/>
  <c r="AC237" i="17"/>
  <c r="AC273" i="17"/>
  <c r="W273" i="17" s="1"/>
  <c r="AC191" i="17"/>
  <c r="W191" i="17" s="1"/>
  <c r="AC115" i="17"/>
  <c r="AC74" i="17"/>
  <c r="AC108" i="17"/>
  <c r="J6" i="40" s="1"/>
  <c r="AC294" i="17"/>
  <c r="W294" i="17" s="1"/>
  <c r="AC223" i="17"/>
  <c r="W223" i="17" s="1"/>
  <c r="AC157" i="17"/>
  <c r="AC249" i="17"/>
  <c r="AC62" i="17"/>
  <c r="AC70" i="17"/>
  <c r="W70" i="17" s="1"/>
  <c r="AC276" i="17"/>
  <c r="AC167" i="17"/>
  <c r="AC239" i="17"/>
  <c r="W239" i="17" s="1"/>
  <c r="AC92" i="17"/>
  <c r="AC211" i="17"/>
  <c r="W211" i="17" s="1"/>
  <c r="U211" i="17" s="1"/>
  <c r="AC226" i="17"/>
  <c r="AC306" i="17"/>
  <c r="AC147" i="17"/>
  <c r="W147" i="17" s="1"/>
  <c r="AC240" i="17"/>
  <c r="W240" i="17" s="1"/>
  <c r="AC159" i="17"/>
  <c r="AC219" i="17"/>
  <c r="W219" i="17" s="1"/>
  <c r="AC121" i="17"/>
  <c r="W121" i="17" s="1"/>
  <c r="U121" i="17" s="1"/>
  <c r="AC99" i="17"/>
  <c r="W99" i="17" s="1"/>
  <c r="AC209" i="17"/>
  <c r="W209" i="17" s="1"/>
  <c r="U209" i="17" s="1"/>
  <c r="AC85" i="17"/>
  <c r="AC298" i="17"/>
  <c r="AC208" i="17"/>
  <c r="W208" i="17" s="1"/>
  <c r="AC118" i="17"/>
  <c r="AC220" i="17"/>
  <c r="W220" i="17" s="1"/>
  <c r="AC144" i="17"/>
  <c r="AC254" i="17"/>
  <c r="AC149" i="17"/>
  <c r="AC58" i="17"/>
  <c r="AC299" i="17"/>
  <c r="AC150" i="17"/>
  <c r="W150" i="17" s="1"/>
  <c r="U150" i="17" s="1"/>
  <c r="V150" i="17" s="1"/>
  <c r="AC178" i="17"/>
  <c r="AC274" i="17"/>
  <c r="W274" i="17" s="1"/>
  <c r="U274" i="17" s="1"/>
  <c r="AC151" i="17"/>
  <c r="AC52" i="17"/>
  <c r="AC184" i="17"/>
  <c r="AC79" i="17"/>
  <c r="AC80" i="17"/>
  <c r="AC241" i="17"/>
  <c r="W241" i="17" s="1"/>
  <c r="AC160" i="17"/>
  <c r="AC87" i="17"/>
  <c r="W87" i="17" s="1"/>
  <c r="U87" i="17" s="1"/>
  <c r="AC307" i="17"/>
  <c r="W307" i="17" s="1"/>
  <c r="AC172" i="17"/>
  <c r="AC82" i="17"/>
  <c r="AC64" i="17"/>
  <c r="AC252" i="17"/>
  <c r="AC93" i="17"/>
  <c r="AC212" i="17"/>
  <c r="W212" i="17" s="1"/>
  <c r="U212" i="17" s="1"/>
  <c r="AC53" i="17"/>
  <c r="AC218" i="17"/>
  <c r="W218" i="17" s="1"/>
  <c r="AC90" i="17"/>
  <c r="W90" i="17" s="1"/>
  <c r="AC59" i="17"/>
  <c r="W59" i="17" s="1"/>
  <c r="U59" i="17" s="1"/>
  <c r="V59" i="17" s="1"/>
  <c r="AC260" i="17"/>
  <c r="AC88" i="17"/>
  <c r="W88" i="17" s="1"/>
  <c r="AC231" i="17"/>
  <c r="AC295" i="17"/>
  <c r="W295" i="17" s="1"/>
  <c r="AC255" i="17"/>
  <c r="AC214" i="17"/>
  <c r="AC173" i="17"/>
  <c r="AC155" i="17"/>
  <c r="W155" i="17" s="1"/>
  <c r="AC98" i="17"/>
  <c r="AC129" i="17"/>
  <c r="W129" i="17" s="1"/>
  <c r="U129" i="17" s="1"/>
  <c r="AC117" i="17"/>
  <c r="AC97" i="17"/>
  <c r="AC300" i="17"/>
  <c r="AC131" i="17"/>
  <c r="W131" i="17" s="1"/>
  <c r="AC145" i="17"/>
  <c r="W145" i="17" s="1"/>
  <c r="U145" i="17" s="1"/>
  <c r="V145" i="17" s="1"/>
  <c r="AC301" i="17"/>
  <c r="AC247" i="17"/>
  <c r="AC199" i="17"/>
  <c r="AC143" i="17"/>
  <c r="AC304" i="17"/>
  <c r="AC200" i="17"/>
  <c r="AC77" i="17"/>
  <c r="AC78" i="17"/>
  <c r="AC146" i="17"/>
  <c r="AC303" i="17"/>
  <c r="AC109" i="17"/>
  <c r="AC286" i="17"/>
  <c r="AC152" i="17"/>
  <c r="AC235" i="17"/>
  <c r="AC107" i="17"/>
  <c r="AC269" i="17"/>
  <c r="W269" i="17" s="1"/>
  <c r="AC33" i="17"/>
  <c r="AC91" i="17"/>
  <c r="W91" i="17" s="1"/>
  <c r="AC195" i="17"/>
  <c r="AC63" i="17"/>
  <c r="W63" i="17" s="1"/>
  <c r="U63" i="17" s="1"/>
  <c r="AC180" i="17"/>
  <c r="AC296" i="17"/>
  <c r="AC138" i="17"/>
  <c r="W138" i="17" s="1"/>
  <c r="U138" i="17" s="1"/>
  <c r="AC291" i="17"/>
  <c r="W291" i="17" s="1"/>
  <c r="AC119" i="17"/>
  <c r="AC236" i="17"/>
  <c r="AC206" i="17"/>
  <c r="AC187" i="17"/>
  <c r="W187" i="17" s="1"/>
  <c r="U187" i="17" s="1"/>
  <c r="AC279" i="17"/>
  <c r="AC277" i="17"/>
  <c r="AC288" i="17"/>
  <c r="AC234" i="17"/>
  <c r="AC230" i="17"/>
  <c r="AC265" i="17"/>
  <c r="W265" i="17" s="1"/>
  <c r="U265" i="17" s="1"/>
  <c r="AC275" i="17"/>
  <c r="AC111" i="17"/>
  <c r="AC233" i="17"/>
  <c r="AC141" i="17"/>
  <c r="W141" i="17" s="1"/>
  <c r="AC168" i="17"/>
  <c r="AC253" i="17"/>
  <c r="AC258" i="17"/>
  <c r="AC140" i="17"/>
  <c r="AC263" i="17"/>
  <c r="W263" i="17" s="1"/>
  <c r="AC122" i="17"/>
  <c r="AC106" i="17"/>
  <c r="AC207" i="17"/>
  <c r="AC176" i="17"/>
  <c r="AC285" i="17"/>
  <c r="W285" i="17" s="1"/>
  <c r="AC153" i="17"/>
  <c r="AC164" i="17"/>
  <c r="W164" i="17" s="1"/>
  <c r="AC114" i="17"/>
  <c r="AC127" i="17"/>
  <c r="W127" i="17" s="1"/>
  <c r="AC86" i="17"/>
  <c r="AC271" i="17"/>
  <c r="W271" i="17" s="1"/>
  <c r="AC185" i="17"/>
  <c r="W185" i="17" s="1"/>
  <c r="U185" i="17" s="1"/>
  <c r="AC248" i="17"/>
  <c r="AC193" i="17"/>
  <c r="AC250" i="17"/>
  <c r="AC120" i="17"/>
  <c r="AC57" i="17"/>
  <c r="AC165" i="17"/>
  <c r="W165" i="17" s="1"/>
  <c r="AC43" i="17"/>
  <c r="W43" i="17" s="1"/>
  <c r="U43" i="17" s="1"/>
  <c r="AC201" i="17"/>
  <c r="AC76" i="17"/>
  <c r="AC264" i="17"/>
  <c r="W264" i="17" s="1"/>
  <c r="AC229" i="17"/>
  <c r="AC256" i="17"/>
  <c r="AC313" i="17"/>
  <c r="AC242" i="17"/>
  <c r="AC210" i="17"/>
  <c r="W210" i="17" s="1"/>
  <c r="AC287" i="17"/>
  <c r="AC161" i="17"/>
  <c r="AC102" i="17"/>
  <c r="W102" i="17" s="1"/>
  <c r="U102" i="17" s="1"/>
  <c r="AC174" i="17"/>
  <c r="AC162" i="17"/>
  <c r="AC125" i="17"/>
  <c r="AC310" i="17"/>
  <c r="AC103" i="17"/>
  <c r="AC182" i="17"/>
  <c r="AC30" i="17"/>
  <c r="AC190" i="17"/>
  <c r="W190" i="17" s="1"/>
  <c r="AC69" i="17"/>
  <c r="W69" i="17" s="1"/>
  <c r="U69" i="17" s="1"/>
  <c r="AC197" i="17"/>
  <c r="AC203" i="17"/>
  <c r="W203" i="17" s="1"/>
  <c r="U203" i="17" s="1"/>
  <c r="V203" i="17" s="1"/>
  <c r="AC156" i="17"/>
  <c r="AC39" i="17"/>
  <c r="AC75" i="17"/>
  <c r="AC278" i="17"/>
  <c r="AC171" i="17"/>
  <c r="AC170" i="17"/>
  <c r="W170" i="17" s="1"/>
  <c r="AC169" i="17"/>
  <c r="W169" i="17" s="1"/>
  <c r="U169" i="17" s="1"/>
  <c r="V169" i="17" s="1"/>
  <c r="AC68" i="17"/>
  <c r="AC179" i="17"/>
  <c r="AC311" i="17"/>
  <c r="W311" i="17" s="1"/>
  <c r="AC41" i="17"/>
  <c r="AC148" i="17"/>
  <c r="AC56" i="17"/>
  <c r="AC116" i="17"/>
  <c r="AC224" i="17"/>
  <c r="W224" i="17" s="1"/>
  <c r="AC302" i="17"/>
  <c r="AC268" i="17"/>
  <c r="W268" i="17" s="1"/>
  <c r="AC110" i="17"/>
  <c r="V185" i="17" l="1"/>
  <c r="N18" i="40" s="1"/>
  <c r="M18" i="40"/>
  <c r="V138" i="17"/>
  <c r="N139" i="40" s="1"/>
  <c r="M139" i="40"/>
  <c r="V129" i="17"/>
  <c r="N256" i="40" s="1"/>
  <c r="M256" i="40"/>
  <c r="V61" i="17"/>
  <c r="N130" i="40" s="1"/>
  <c r="M130" i="40"/>
  <c r="V100" i="17"/>
  <c r="N68" i="40" s="1"/>
  <c r="M68" i="40"/>
  <c r="V215" i="17"/>
  <c r="N41" i="40" s="1"/>
  <c r="M41" i="40"/>
  <c r="V37" i="17"/>
  <c r="N295" i="40" s="1"/>
  <c r="M295" i="40"/>
  <c r="V69" i="17"/>
  <c r="N219" i="40" s="1"/>
  <c r="M219" i="40"/>
  <c r="V43" i="17"/>
  <c r="N123" i="40" s="1"/>
  <c r="M123" i="40"/>
  <c r="V265" i="17"/>
  <c r="N160" i="40" s="1"/>
  <c r="M160" i="40"/>
  <c r="V87" i="17"/>
  <c r="N176" i="40" s="1"/>
  <c r="M176" i="40"/>
  <c r="V274" i="17"/>
  <c r="N12" i="40" s="1"/>
  <c r="M12" i="40"/>
  <c r="V36" i="17"/>
  <c r="N233" i="40" s="1"/>
  <c r="M233" i="40"/>
  <c r="V112" i="17"/>
  <c r="N46" i="40" s="1"/>
  <c r="M46" i="40"/>
  <c r="V139" i="17"/>
  <c r="N140" i="40" s="1"/>
  <c r="M140" i="40"/>
  <c r="V204" i="17"/>
  <c r="N239" i="40" s="1"/>
  <c r="M239" i="40"/>
  <c r="V73" i="17"/>
  <c r="N51" i="40" s="1"/>
  <c r="M51" i="40"/>
  <c r="V102" i="17"/>
  <c r="N211" i="40" s="1"/>
  <c r="M211" i="40"/>
  <c r="V212" i="17"/>
  <c r="N24" i="40" s="1"/>
  <c r="M24" i="40"/>
  <c r="V209" i="17"/>
  <c r="N13" i="40" s="1"/>
  <c r="M13" i="40"/>
  <c r="V130" i="17"/>
  <c r="N30" i="40" s="1"/>
  <c r="M30" i="40"/>
  <c r="V71" i="17"/>
  <c r="N269" i="40" s="1"/>
  <c r="M269" i="40"/>
  <c r="V101" i="17"/>
  <c r="N73" i="40" s="1"/>
  <c r="M73" i="40"/>
  <c r="V238" i="17"/>
  <c r="N266" i="40" s="1"/>
  <c r="M266" i="40"/>
  <c r="V222" i="17"/>
  <c r="N240" i="40" s="1"/>
  <c r="M240" i="40"/>
  <c r="V187" i="17"/>
  <c r="N69" i="40" s="1"/>
  <c r="M69" i="40"/>
  <c r="V63" i="17"/>
  <c r="N98" i="40" s="1"/>
  <c r="M98" i="40"/>
  <c r="V211" i="17"/>
  <c r="N21" i="40" s="1"/>
  <c r="M21" i="40"/>
  <c r="V213" i="17"/>
  <c r="N25" i="40" s="1"/>
  <c r="M25" i="40"/>
  <c r="V121" i="17"/>
  <c r="N119" i="40" s="1"/>
  <c r="M119" i="40"/>
  <c r="M11" i="31"/>
  <c r="L11" i="31"/>
  <c r="K11" i="31"/>
  <c r="J11" i="31"/>
  <c r="I11" i="31"/>
  <c r="H11" i="31"/>
  <c r="G11" i="31"/>
  <c r="F11" i="31"/>
  <c r="E11" i="31"/>
  <c r="C11" i="31"/>
  <c r="D11" i="31"/>
  <c r="W253" i="17"/>
  <c r="U253" i="17" s="1"/>
  <c r="M308" i="40" s="1"/>
  <c r="W103" i="17"/>
  <c r="U103" i="17" s="1"/>
  <c r="M189" i="40" s="1"/>
  <c r="W192" i="17"/>
  <c r="U192" i="17" s="1"/>
  <c r="M22" i="40" s="1"/>
  <c r="W236" i="17"/>
  <c r="U236" i="17" s="1"/>
  <c r="M276" i="40" s="1"/>
  <c r="W287" i="17"/>
  <c r="U287" i="17" s="1"/>
  <c r="M122" i="40" s="1"/>
  <c r="W281" i="17"/>
  <c r="U281" i="17" s="1"/>
  <c r="M201" i="40" s="1"/>
  <c r="W305" i="17"/>
  <c r="U305" i="17" s="1"/>
  <c r="M62" i="40" s="1"/>
  <c r="W109" i="17"/>
  <c r="U109" i="17" s="1"/>
  <c r="M305" i="40" s="1"/>
  <c r="W173" i="17"/>
  <c r="U173" i="17" s="1"/>
  <c r="M271" i="40" s="1"/>
  <c r="W79" i="17"/>
  <c r="U79" i="17" s="1"/>
  <c r="M16" i="40" s="1"/>
  <c r="M44" i="40"/>
  <c r="V29" i="17"/>
  <c r="N44" i="40" s="1"/>
  <c r="W110" i="17"/>
  <c r="U110" i="17" s="1"/>
  <c r="M212" i="40" s="1"/>
  <c r="W179" i="17"/>
  <c r="U179" i="17" s="1"/>
  <c r="M230" i="40" s="1"/>
  <c r="W57" i="17"/>
  <c r="U57" i="17" s="1"/>
  <c r="M221" i="40" s="1"/>
  <c r="W114" i="17"/>
  <c r="U114" i="17" s="1"/>
  <c r="M74" i="40" s="1"/>
  <c r="W153" i="17"/>
  <c r="U153" i="17" s="1"/>
  <c r="M115" i="40" s="1"/>
  <c r="W254" i="17"/>
  <c r="U254" i="17" s="1"/>
  <c r="M31" i="40" s="1"/>
  <c r="W35" i="17"/>
  <c r="U35" i="17" s="1"/>
  <c r="M187" i="40" s="1"/>
  <c r="W54" i="17"/>
  <c r="U54" i="17" s="1"/>
  <c r="M166" i="40" s="1"/>
  <c r="W245" i="17"/>
  <c r="U245" i="17" s="1"/>
  <c r="M78" i="40" s="1"/>
  <c r="W148" i="17"/>
  <c r="U148" i="17" s="1"/>
  <c r="M128" i="40" s="1"/>
  <c r="W75" i="17"/>
  <c r="U75" i="17" s="1"/>
  <c r="W182" i="17"/>
  <c r="U182" i="17" s="1"/>
  <c r="M85" i="40" s="1"/>
  <c r="U106" i="17"/>
  <c r="M155" i="40" s="1"/>
  <c r="W230" i="17"/>
  <c r="U230" i="17" s="1"/>
  <c r="M50" i="40" s="1"/>
  <c r="W77" i="17"/>
  <c r="U77" i="17" s="1"/>
  <c r="M156" i="40" s="1"/>
  <c r="W53" i="17"/>
  <c r="U53" i="17" s="1"/>
  <c r="M79" i="40" s="1"/>
  <c r="W92" i="17"/>
  <c r="U92" i="17" s="1"/>
  <c r="W249" i="17"/>
  <c r="U249" i="17" s="1"/>
  <c r="M198" i="40" s="1"/>
  <c r="W89" i="17"/>
  <c r="U89" i="17" s="1"/>
  <c r="M90" i="40" s="1"/>
  <c r="W136" i="17"/>
  <c r="U136" i="17" s="1"/>
  <c r="M169" i="40" s="1"/>
  <c r="U15" i="17"/>
  <c r="W309" i="17"/>
  <c r="U309" i="17" s="1"/>
  <c r="W314" i="17"/>
  <c r="U314" i="17" s="1"/>
  <c r="W251" i="17"/>
  <c r="U251" i="17" s="1"/>
  <c r="M261" i="40" s="1"/>
  <c r="W272" i="17"/>
  <c r="U272" i="17" s="1"/>
  <c r="W132" i="17"/>
  <c r="U132" i="17" s="1"/>
  <c r="M307" i="40" s="1"/>
  <c r="W56" i="17"/>
  <c r="U56" i="17" s="1"/>
  <c r="M210" i="40" s="1"/>
  <c r="W278" i="17"/>
  <c r="U278" i="17" s="1"/>
  <c r="M157" i="40" s="1"/>
  <c r="W201" i="17"/>
  <c r="U201" i="17" s="1"/>
  <c r="M245" i="40" s="1"/>
  <c r="W248" i="17"/>
  <c r="W207" i="17"/>
  <c r="U207" i="17" s="1"/>
  <c r="M312" i="40" s="1"/>
  <c r="W111" i="17"/>
  <c r="U111" i="17" s="1"/>
  <c r="M260" i="40" s="1"/>
  <c r="W279" i="17"/>
  <c r="U279" i="17" s="1"/>
  <c r="M177" i="40" s="1"/>
  <c r="W199" i="17"/>
  <c r="U199" i="17" s="1"/>
  <c r="M146" i="40" s="1"/>
  <c r="W97" i="17"/>
  <c r="U97" i="17" s="1"/>
  <c r="M149" i="40" s="1"/>
  <c r="W160" i="17"/>
  <c r="U160" i="17" s="1"/>
  <c r="M117" i="40" s="1"/>
  <c r="W232" i="17"/>
  <c r="U232" i="17" s="1"/>
  <c r="M80" i="40" s="1"/>
  <c r="W181" i="17"/>
  <c r="U181" i="17" s="1"/>
  <c r="M35" i="40" s="1"/>
  <c r="W38" i="17"/>
  <c r="U38" i="17" s="1"/>
  <c r="M217" i="40" s="1"/>
  <c r="W202" i="17"/>
  <c r="U202" i="17" s="1"/>
  <c r="M296" i="40" s="1"/>
  <c r="W84" i="17"/>
  <c r="U84" i="17" s="1"/>
  <c r="M313" i="40" s="1"/>
  <c r="W123" i="17"/>
  <c r="U123" i="17" s="1"/>
  <c r="M248" i="40" s="1"/>
  <c r="W83" i="17"/>
  <c r="U83" i="17" s="1"/>
  <c r="M223" i="40" s="1"/>
  <c r="W162" i="17"/>
  <c r="U162" i="17" s="1"/>
  <c r="M299" i="40" s="1"/>
  <c r="W229" i="17"/>
  <c r="U229" i="17" s="1"/>
  <c r="M229" i="40" s="1"/>
  <c r="W193" i="17"/>
  <c r="U193" i="17" s="1"/>
  <c r="M34" i="40" s="1"/>
  <c r="W168" i="17"/>
  <c r="U168" i="17" s="1"/>
  <c r="M142" i="40" s="1"/>
  <c r="W233" i="17"/>
  <c r="U233" i="17" s="1"/>
  <c r="M168" i="40" s="1"/>
  <c r="U107" i="17"/>
  <c r="M182" i="40" s="1"/>
  <c r="W252" i="17"/>
  <c r="U252" i="17" s="1"/>
  <c r="M265" i="40" s="1"/>
  <c r="W306" i="17"/>
  <c r="U306" i="17" s="1"/>
  <c r="M126" i="40" s="1"/>
  <c r="W276" i="17"/>
  <c r="U276" i="17" s="1"/>
  <c r="M118" i="40" s="1"/>
  <c r="W135" i="17"/>
  <c r="U135" i="17" s="1"/>
  <c r="M143" i="40" s="1"/>
  <c r="W137" i="17"/>
  <c r="U137" i="17" s="1"/>
  <c r="M281" i="40" s="1"/>
  <c r="W198" i="17"/>
  <c r="U198" i="17" s="1"/>
  <c r="M141" i="40" s="1"/>
  <c r="W113" i="17"/>
  <c r="U113" i="17" s="1"/>
  <c r="M213" i="40" s="1"/>
  <c r="W259" i="17"/>
  <c r="U259" i="17" s="1"/>
  <c r="M279" i="40" s="1"/>
  <c r="W228" i="17"/>
  <c r="U228" i="17" s="1"/>
  <c r="M58" i="40" s="1"/>
  <c r="W81" i="17"/>
  <c r="U81" i="17" s="1"/>
  <c r="M40" i="40" s="1"/>
  <c r="U210" i="17"/>
  <c r="V210" i="17" s="1"/>
  <c r="U261" i="17"/>
  <c r="U141" i="17"/>
  <c r="U147" i="17"/>
  <c r="V147" i="17" s="1"/>
  <c r="U70" i="17"/>
  <c r="U224" i="17"/>
  <c r="U311" i="17"/>
  <c r="V311" i="17" s="1"/>
  <c r="U170" i="17"/>
  <c r="V170" i="17" s="1"/>
  <c r="U165" i="17"/>
  <c r="U127" i="17"/>
  <c r="U263" i="17"/>
  <c r="V263" i="17" s="1"/>
  <c r="U88" i="17"/>
  <c r="U90" i="17"/>
  <c r="U99" i="17"/>
  <c r="U131" i="17"/>
  <c r="U91" i="17"/>
  <c r="U104" i="17"/>
  <c r="V104" i="17" s="1"/>
  <c r="U155" i="17"/>
  <c r="U270" i="17"/>
  <c r="U264" i="17"/>
  <c r="U271" i="17"/>
  <c r="U190" i="17"/>
  <c r="U269" i="17"/>
  <c r="U219" i="17"/>
  <c r="U223" i="17"/>
  <c r="U191" i="17"/>
  <c r="U188" i="17"/>
  <c r="U284" i="17"/>
  <c r="V284" i="17" s="1"/>
  <c r="U292" i="17"/>
  <c r="U293" i="17"/>
  <c r="U268" i="17"/>
  <c r="U164" i="17"/>
  <c r="U285" i="17"/>
  <c r="V285" i="17" s="1"/>
  <c r="U295" i="17"/>
  <c r="U294" i="17"/>
  <c r="U273" i="17"/>
  <c r="U221" i="17"/>
  <c r="U290" i="17"/>
  <c r="U189" i="17"/>
  <c r="U218" i="17"/>
  <c r="U307" i="17"/>
  <c r="U208" i="17"/>
  <c r="U239" i="17"/>
  <c r="V239" i="17" s="1"/>
  <c r="U280" i="17"/>
  <c r="V280" i="17" s="1"/>
  <c r="U266" i="17"/>
  <c r="U186" i="17"/>
  <c r="U291" i="17"/>
  <c r="U241" i="17"/>
  <c r="U220" i="17"/>
  <c r="V220" i="17" s="1"/>
  <c r="U240" i="17"/>
  <c r="W302" i="17"/>
  <c r="W171" i="17"/>
  <c r="W277" i="17"/>
  <c r="W206" i="17"/>
  <c r="W180" i="17"/>
  <c r="W286" i="17"/>
  <c r="W78" i="17"/>
  <c r="W143" i="17"/>
  <c r="W300" i="17"/>
  <c r="W255" i="17"/>
  <c r="W93" i="17"/>
  <c r="W172" i="17"/>
  <c r="W80" i="17"/>
  <c r="W151" i="17"/>
  <c r="W149" i="17"/>
  <c r="W159" i="17"/>
  <c r="W167" i="17"/>
  <c r="W62" i="17"/>
  <c r="W74" i="17"/>
  <c r="W96" i="17"/>
  <c r="W41" i="17"/>
  <c r="W68" i="17"/>
  <c r="W39" i="17"/>
  <c r="W197" i="17"/>
  <c r="W310" i="17"/>
  <c r="W161" i="17"/>
  <c r="W256" i="17"/>
  <c r="W76" i="17"/>
  <c r="W250" i="17"/>
  <c r="W176" i="17"/>
  <c r="W258" i="17"/>
  <c r="W288" i="17"/>
  <c r="W296" i="17"/>
  <c r="W195" i="17"/>
  <c r="W152" i="17"/>
  <c r="W146" i="17"/>
  <c r="W304" i="17"/>
  <c r="W301" i="17"/>
  <c r="W231" i="17"/>
  <c r="W82" i="17"/>
  <c r="W52" i="17"/>
  <c r="W178" i="17"/>
  <c r="W58" i="17"/>
  <c r="W85" i="17"/>
  <c r="W108" i="17"/>
  <c r="W237" i="17"/>
  <c r="W94" i="17"/>
  <c r="W126" i="17"/>
  <c r="W308" i="17"/>
  <c r="W134" i="17"/>
  <c r="W257" i="17"/>
  <c r="W177" i="17"/>
  <c r="W289" i="17"/>
  <c r="W175" i="17"/>
  <c r="W312" i="17"/>
  <c r="W72" i="17"/>
  <c r="W315" i="17"/>
  <c r="W267" i="17"/>
  <c r="W154" i="17"/>
  <c r="W283" i="17"/>
  <c r="W297" i="17"/>
  <c r="W196" i="17"/>
  <c r="W120" i="17"/>
  <c r="W86" i="17"/>
  <c r="W122" i="17"/>
  <c r="W275" i="17"/>
  <c r="W234" i="17"/>
  <c r="W119" i="17"/>
  <c r="W33" i="17"/>
  <c r="W235" i="17"/>
  <c r="W303" i="17"/>
  <c r="W200" i="17"/>
  <c r="W247" i="17"/>
  <c r="W98" i="17"/>
  <c r="W260" i="17"/>
  <c r="W64" i="17"/>
  <c r="W184" i="17"/>
  <c r="W299" i="17"/>
  <c r="W144" i="17"/>
  <c r="W226" i="17"/>
  <c r="W157" i="17"/>
  <c r="W246" i="17"/>
  <c r="W128" i="17"/>
  <c r="W124" i="17"/>
  <c r="W142" i="17"/>
  <c r="W163" i="17"/>
  <c r="W227" i="17"/>
  <c r="W282" i="17"/>
  <c r="W225" i="17"/>
  <c r="W95" i="17"/>
  <c r="W166" i="17"/>
  <c r="W183" i="17"/>
  <c r="W194" i="17"/>
  <c r="W205" i="17"/>
  <c r="V46" i="17"/>
  <c r="O139" i="40" l="1"/>
  <c r="AD92" i="21" s="1"/>
  <c r="O25" i="40"/>
  <c r="AD181" i="21" s="1"/>
  <c r="O98" i="40"/>
  <c r="AD37" i="21" s="1"/>
  <c r="O240" i="40"/>
  <c r="AD271" i="21" s="1"/>
  <c r="O73" i="40"/>
  <c r="AD80" i="21" s="1"/>
  <c r="O30" i="40"/>
  <c r="AD135" i="21" s="1"/>
  <c r="O24" i="40"/>
  <c r="AD180" i="21" s="1"/>
  <c r="O51" i="40"/>
  <c r="AD15" i="21" s="1"/>
  <c r="O140" i="40"/>
  <c r="AD93" i="21" s="1"/>
  <c r="O233" i="40"/>
  <c r="AD55" i="21" s="1"/>
  <c r="O176" i="40"/>
  <c r="O123" i="40"/>
  <c r="AD69" i="21" s="1"/>
  <c r="O295" i="40"/>
  <c r="AD61" i="21" s="1"/>
  <c r="O68" i="40"/>
  <c r="AD79" i="21" s="1"/>
  <c r="O256" i="40"/>
  <c r="AD110" i="21" s="1"/>
  <c r="O18" i="40"/>
  <c r="AD177" i="21" s="1"/>
  <c r="V240" i="17"/>
  <c r="N95" i="40" s="1"/>
  <c r="M95" i="40"/>
  <c r="V186" i="17"/>
  <c r="N28" i="40" s="1"/>
  <c r="M28" i="40"/>
  <c r="V208" i="17"/>
  <c r="N262" i="40" s="1"/>
  <c r="M262" i="40"/>
  <c r="V290" i="17"/>
  <c r="N238" i="40" s="1"/>
  <c r="M238" i="40"/>
  <c r="V295" i="17"/>
  <c r="N202" i="40" s="1"/>
  <c r="M202" i="40"/>
  <c r="V293" i="17"/>
  <c r="N289" i="40" s="1"/>
  <c r="M289" i="40"/>
  <c r="V191" i="17"/>
  <c r="N82" i="40" s="1"/>
  <c r="M82" i="40"/>
  <c r="V190" i="17"/>
  <c r="N175" i="40" s="1"/>
  <c r="M175" i="40"/>
  <c r="V155" i="17"/>
  <c r="N215" i="40" s="1"/>
  <c r="M215" i="40"/>
  <c r="V99" i="17"/>
  <c r="N29" i="40" s="1"/>
  <c r="M29" i="40"/>
  <c r="V127" i="17"/>
  <c r="N234" i="40" s="1"/>
  <c r="M234" i="40"/>
  <c r="V224" i="17"/>
  <c r="N304" i="40" s="1"/>
  <c r="M304" i="40"/>
  <c r="V261" i="17"/>
  <c r="N71" i="40" s="1"/>
  <c r="M71" i="40"/>
  <c r="O21" i="40"/>
  <c r="AD178" i="21" s="1"/>
  <c r="O69" i="40"/>
  <c r="AD200" i="21" s="1"/>
  <c r="O266" i="40"/>
  <c r="AD285" i="21" s="1"/>
  <c r="O269" i="40"/>
  <c r="AD66" i="21" s="1"/>
  <c r="O13" i="40"/>
  <c r="AD175" i="21" s="1"/>
  <c r="O211" i="40"/>
  <c r="AD102" i="21" s="1"/>
  <c r="O239" i="40"/>
  <c r="AD270" i="21" s="1"/>
  <c r="O46" i="40"/>
  <c r="AD77" i="21" s="1"/>
  <c r="O12" i="40"/>
  <c r="AD174" i="21" s="1"/>
  <c r="O160" i="40"/>
  <c r="AD238" i="21" s="1"/>
  <c r="O219" i="40"/>
  <c r="AD53" i="21" s="1"/>
  <c r="O41" i="40"/>
  <c r="AD189" i="21" s="1"/>
  <c r="O130" i="40"/>
  <c r="AD18" i="21" s="1"/>
  <c r="V266" i="17"/>
  <c r="N203" i="40" s="1"/>
  <c r="M203" i="40"/>
  <c r="V307" i="17"/>
  <c r="N293" i="40" s="1"/>
  <c r="M293" i="40"/>
  <c r="V221" i="17"/>
  <c r="N214" i="40" s="1"/>
  <c r="M214" i="40"/>
  <c r="V292" i="17"/>
  <c r="N264" i="40" s="1"/>
  <c r="M264" i="40"/>
  <c r="V223" i="17"/>
  <c r="N247" i="40" s="1"/>
  <c r="M247" i="40"/>
  <c r="V271" i="17"/>
  <c r="N172" i="40" s="1"/>
  <c r="M172" i="40"/>
  <c r="V90" i="17"/>
  <c r="N32" i="40" s="1"/>
  <c r="M32" i="40"/>
  <c r="V165" i="17"/>
  <c r="N161" i="40" s="1"/>
  <c r="M161" i="40"/>
  <c r="V70" i="17"/>
  <c r="N268" i="40" s="1"/>
  <c r="M268" i="40"/>
  <c r="V241" i="17"/>
  <c r="N225" i="40" s="1"/>
  <c r="M225" i="40"/>
  <c r="V218" i="17"/>
  <c r="N101" i="40" s="1"/>
  <c r="M101" i="40"/>
  <c r="V273" i="17"/>
  <c r="N282" i="40" s="1"/>
  <c r="M282" i="40"/>
  <c r="V164" i="17"/>
  <c r="N288" i="40" s="1"/>
  <c r="M288" i="40"/>
  <c r="V219" i="17"/>
  <c r="N200" i="40" s="1"/>
  <c r="M200" i="40"/>
  <c r="V264" i="17"/>
  <c r="N81" i="40" s="1"/>
  <c r="M81" i="40"/>
  <c r="V88" i="17"/>
  <c r="N292" i="40" s="1"/>
  <c r="M292" i="40"/>
  <c r="V291" i="17"/>
  <c r="N255" i="40" s="1"/>
  <c r="M255" i="40"/>
  <c r="V189" i="17"/>
  <c r="N173" i="40" s="1"/>
  <c r="M173" i="40"/>
  <c r="V294" i="17"/>
  <c r="N42" i="40" s="1"/>
  <c r="M42" i="40"/>
  <c r="V268" i="17"/>
  <c r="N116" i="40" s="1"/>
  <c r="M116" i="40"/>
  <c r="V188" i="17"/>
  <c r="N70" i="40" s="1"/>
  <c r="M70" i="40"/>
  <c r="V269" i="17"/>
  <c r="N67" i="40" s="1"/>
  <c r="M67" i="40"/>
  <c r="V270" i="17"/>
  <c r="N96" i="40" s="1"/>
  <c r="M96" i="40"/>
  <c r="V131" i="17"/>
  <c r="N91" i="40" s="1"/>
  <c r="M91" i="40"/>
  <c r="O119" i="40"/>
  <c r="AD89" i="21" s="1"/>
  <c r="V91" i="17"/>
  <c r="N251" i="40" s="1"/>
  <c r="M251" i="40"/>
  <c r="V141" i="17"/>
  <c r="N15" i="40" s="1"/>
  <c r="M15" i="40"/>
  <c r="O44" i="40"/>
  <c r="AD32" i="21" s="1"/>
  <c r="V79" i="17"/>
  <c r="N16" i="40" s="1"/>
  <c r="V253" i="17"/>
  <c r="N308" i="40" s="1"/>
  <c r="V103" i="17"/>
  <c r="N189" i="40" s="1"/>
  <c r="V173" i="17"/>
  <c r="N271" i="40" s="1"/>
  <c r="V287" i="17"/>
  <c r="N122" i="40" s="1"/>
  <c r="V281" i="17"/>
  <c r="N201" i="40" s="1"/>
  <c r="V236" i="17"/>
  <c r="N276" i="40" s="1"/>
  <c r="V202" i="17"/>
  <c r="N296" i="40" s="1"/>
  <c r="V109" i="17"/>
  <c r="N305" i="40" s="1"/>
  <c r="V97" i="17"/>
  <c r="N149" i="40" s="1"/>
  <c r="V305" i="17"/>
  <c r="N62" i="40" s="1"/>
  <c r="V57" i="17"/>
  <c r="N221" i="40" s="1"/>
  <c r="V233" i="17"/>
  <c r="N168" i="40" s="1"/>
  <c r="V35" i="17"/>
  <c r="N187" i="40" s="1"/>
  <c r="V192" i="17"/>
  <c r="N22" i="40" s="1"/>
  <c r="V38" i="17"/>
  <c r="N217" i="40" s="1"/>
  <c r="V83" i="17"/>
  <c r="N223" i="40" s="1"/>
  <c r="V168" i="17"/>
  <c r="N142" i="40" s="1"/>
  <c r="V232" i="17"/>
  <c r="N80" i="40" s="1"/>
  <c r="V110" i="17"/>
  <c r="N212" i="40" s="1"/>
  <c r="V111" i="17"/>
  <c r="N260" i="40" s="1"/>
  <c r="V160" i="17"/>
  <c r="N117" i="40" s="1"/>
  <c r="V113" i="17"/>
  <c r="N213" i="40" s="1"/>
  <c r="V276" i="17"/>
  <c r="N118" i="40" s="1"/>
  <c r="O118" i="40" s="1"/>
  <c r="V114" i="17"/>
  <c r="N74" i="40" s="1"/>
  <c r="V54" i="17"/>
  <c r="N166" i="40" s="1"/>
  <c r="O166" i="40" s="1"/>
  <c r="V162" i="17"/>
  <c r="N299" i="40" s="1"/>
  <c r="V53" i="17"/>
  <c r="N79" i="40" s="1"/>
  <c r="V278" i="17"/>
  <c r="N157" i="40" s="1"/>
  <c r="V199" i="17"/>
  <c r="N146" i="40" s="1"/>
  <c r="V123" i="17"/>
  <c r="N248" i="40" s="1"/>
  <c r="V182" i="17"/>
  <c r="N85" i="40" s="1"/>
  <c r="M158" i="40"/>
  <c r="V309" i="17"/>
  <c r="N158" i="40" s="1"/>
  <c r="V179" i="17"/>
  <c r="N230" i="40" s="1"/>
  <c r="V245" i="17"/>
  <c r="N78" i="40" s="1"/>
  <c r="V181" i="17"/>
  <c r="N35" i="40" s="1"/>
  <c r="U248" i="17"/>
  <c r="M184" i="40" s="1"/>
  <c r="V252" i="17"/>
  <c r="N265" i="40" s="1"/>
  <c r="V254" i="17"/>
  <c r="N31" i="40" s="1"/>
  <c r="V153" i="17"/>
  <c r="N115" i="40" s="1"/>
  <c r="V228" i="17"/>
  <c r="N58" i="40" s="1"/>
  <c r="V137" i="17"/>
  <c r="N281" i="40" s="1"/>
  <c r="V89" i="17"/>
  <c r="N90" i="40" s="1"/>
  <c r="V84" i="17"/>
  <c r="N313" i="40" s="1"/>
  <c r="V135" i="17"/>
  <c r="N143" i="40" s="1"/>
  <c r="V229" i="17"/>
  <c r="N229" i="40" s="1"/>
  <c r="O229" i="40" s="1"/>
  <c r="V132" i="17"/>
  <c r="N307" i="40" s="1"/>
  <c r="V106" i="17"/>
  <c r="N155" i="40" s="1"/>
  <c r="V249" i="17"/>
  <c r="N198" i="40" s="1"/>
  <c r="M162" i="40"/>
  <c r="V92" i="17"/>
  <c r="N162" i="40" s="1"/>
  <c r="M14" i="40"/>
  <c r="V272" i="17"/>
  <c r="N14" i="40" s="1"/>
  <c r="V193" i="17"/>
  <c r="N34" i="40" s="1"/>
  <c r="V107" i="17"/>
  <c r="N182" i="40" s="1"/>
  <c r="O182" i="40" s="1"/>
  <c r="V136" i="17"/>
  <c r="N169" i="40" s="1"/>
  <c r="V56" i="17"/>
  <c r="N210" i="40" s="1"/>
  <c r="V279" i="17"/>
  <c r="N177" i="40" s="1"/>
  <c r="V259" i="17"/>
  <c r="N279" i="40" s="1"/>
  <c r="M291" i="40"/>
  <c r="V314" i="17"/>
  <c r="N291" i="40" s="1"/>
  <c r="M54" i="40"/>
  <c r="V75" i="17"/>
  <c r="N54" i="40" s="1"/>
  <c r="V251" i="17"/>
  <c r="N261" i="40" s="1"/>
  <c r="V15" i="17"/>
  <c r="V201" i="17"/>
  <c r="N245" i="40" s="1"/>
  <c r="V148" i="17"/>
  <c r="N128" i="40" s="1"/>
  <c r="V306" i="17"/>
  <c r="N126" i="40" s="1"/>
  <c r="V81" i="17"/>
  <c r="N40" i="40" s="1"/>
  <c r="V198" i="17"/>
  <c r="N141" i="40" s="1"/>
  <c r="O141" i="40" s="1"/>
  <c r="V207" i="17"/>
  <c r="N312" i="40" s="1"/>
  <c r="V230" i="17"/>
  <c r="N50" i="40" s="1"/>
  <c r="V77" i="17"/>
  <c r="N156" i="40" s="1"/>
  <c r="U74" i="17"/>
  <c r="M53" i="40" s="1"/>
  <c r="U166" i="17"/>
  <c r="U260" i="17"/>
  <c r="M284" i="40" s="1"/>
  <c r="U154" i="17"/>
  <c r="M129" i="40" s="1"/>
  <c r="U152" i="17"/>
  <c r="M270" i="40" s="1"/>
  <c r="U133" i="17"/>
  <c r="M113" i="40" s="1"/>
  <c r="U206" i="17"/>
  <c r="U171" i="17"/>
  <c r="M159" i="40" s="1"/>
  <c r="U227" i="17"/>
  <c r="M190" i="40" s="1"/>
  <c r="U303" i="17"/>
  <c r="M59" i="40" s="1"/>
  <c r="U312" i="17"/>
  <c r="U231" i="17"/>
  <c r="M280" i="40" s="1"/>
  <c r="U39" i="17"/>
  <c r="M86" i="40" s="1"/>
  <c r="U143" i="17"/>
  <c r="M65" i="40" s="1"/>
  <c r="U158" i="17"/>
  <c r="M274" i="40" s="1"/>
  <c r="U246" i="17"/>
  <c r="U235" i="17"/>
  <c r="M272" i="40" s="1"/>
  <c r="U196" i="17"/>
  <c r="U134" i="17"/>
  <c r="M66" i="40" s="1"/>
  <c r="U178" i="17"/>
  <c r="M249" i="40" s="1"/>
  <c r="U195" i="17"/>
  <c r="M121" i="40" s="1"/>
  <c r="U161" i="17"/>
  <c r="U149" i="17"/>
  <c r="U78" i="17"/>
  <c r="U277" i="17"/>
  <c r="U302" i="17"/>
  <c r="M56" i="40" s="1"/>
  <c r="U128" i="17"/>
  <c r="U120" i="17"/>
  <c r="M208" i="40" s="1"/>
  <c r="U94" i="17"/>
  <c r="U258" i="17"/>
  <c r="M204" i="40" s="1"/>
  <c r="U159" i="17"/>
  <c r="M20" i="40" s="1"/>
  <c r="U95" i="17"/>
  <c r="M151" i="40" s="1"/>
  <c r="U299" i="17"/>
  <c r="M37" i="40" s="1"/>
  <c r="U275" i="17"/>
  <c r="M47" i="40" s="1"/>
  <c r="U267" i="17"/>
  <c r="M170" i="40" s="1"/>
  <c r="U237" i="17"/>
  <c r="U301" i="17"/>
  <c r="U176" i="17"/>
  <c r="U68" i="17"/>
  <c r="U93" i="17"/>
  <c r="U194" i="17"/>
  <c r="U225" i="17"/>
  <c r="U142" i="17"/>
  <c r="U157" i="17"/>
  <c r="U184" i="17"/>
  <c r="U247" i="17"/>
  <c r="U33" i="17"/>
  <c r="U122" i="17"/>
  <c r="U297" i="17"/>
  <c r="U315" i="17"/>
  <c r="U289" i="17"/>
  <c r="U308" i="17"/>
  <c r="U108" i="17"/>
  <c r="U52" i="17"/>
  <c r="U304" i="17"/>
  <c r="U296" i="17"/>
  <c r="U250" i="17"/>
  <c r="U310" i="17"/>
  <c r="U41" i="17"/>
  <c r="U62" i="17"/>
  <c r="U151" i="17"/>
  <c r="U255" i="17"/>
  <c r="U286" i="17"/>
  <c r="U30" i="17"/>
  <c r="U205" i="17"/>
  <c r="M297" i="40" s="1"/>
  <c r="U144" i="17"/>
  <c r="U234" i="17"/>
  <c r="M231" i="40" s="1"/>
  <c r="U257" i="17"/>
  <c r="M196" i="40" s="1"/>
  <c r="U58" i="17"/>
  <c r="M277" i="40" s="1"/>
  <c r="U256" i="17"/>
  <c r="U172" i="17"/>
  <c r="W1" i="17"/>
  <c r="U163" i="17"/>
  <c r="M298" i="40" s="1"/>
  <c r="U98" i="17"/>
  <c r="U175" i="17"/>
  <c r="U183" i="17"/>
  <c r="U282" i="17"/>
  <c r="U124" i="17"/>
  <c r="U226" i="17"/>
  <c r="U64" i="17"/>
  <c r="U200" i="17"/>
  <c r="U119" i="17"/>
  <c r="U86" i="17"/>
  <c r="U283" i="17"/>
  <c r="U72" i="17"/>
  <c r="U177" i="17"/>
  <c r="U126" i="17"/>
  <c r="U85" i="17"/>
  <c r="U82" i="17"/>
  <c r="U146" i="17"/>
  <c r="U288" i="17"/>
  <c r="U76" i="17"/>
  <c r="U197" i="17"/>
  <c r="U96" i="17"/>
  <c r="U167" i="17"/>
  <c r="U80" i="17"/>
  <c r="U300" i="17"/>
  <c r="U180" i="17"/>
  <c r="U156" i="17"/>
  <c r="N38" i="40"/>
  <c r="AD99" i="21" l="1"/>
  <c r="M216" i="40"/>
  <c r="M148" i="40"/>
  <c r="O91" i="40"/>
  <c r="AD140" i="21" s="1"/>
  <c r="O292" i="40"/>
  <c r="AD114" i="21" s="1"/>
  <c r="O304" i="40"/>
  <c r="AD306" i="21" s="1"/>
  <c r="O29" i="40"/>
  <c r="O175" i="40"/>
  <c r="O289" i="40"/>
  <c r="AD297" i="21" s="1"/>
  <c r="O238" i="40"/>
  <c r="AD269" i="21" s="1"/>
  <c r="O28" i="40"/>
  <c r="O71" i="40"/>
  <c r="AD202" i="21" s="1"/>
  <c r="O234" i="40"/>
  <c r="AD106" i="21" s="1"/>
  <c r="O215" i="40"/>
  <c r="AD130" i="21" s="1"/>
  <c r="O82" i="40"/>
  <c r="AD208" i="21" s="1"/>
  <c r="O202" i="40"/>
  <c r="AD256" i="21" s="1"/>
  <c r="O262" i="40"/>
  <c r="AD282" i="21" s="1"/>
  <c r="O95" i="40"/>
  <c r="AD211" i="21" s="1"/>
  <c r="O67" i="40"/>
  <c r="AD199" i="21" s="1"/>
  <c r="O116" i="40"/>
  <c r="AD220" i="21" s="1"/>
  <c r="O173" i="40"/>
  <c r="AD243" i="21" s="1"/>
  <c r="O200" i="40"/>
  <c r="AD254" i="21" s="1"/>
  <c r="O282" i="40"/>
  <c r="AD292" i="21" s="1"/>
  <c r="O225" i="40"/>
  <c r="AD262" i="21" s="1"/>
  <c r="O161" i="40"/>
  <c r="AD163" i="21" s="1"/>
  <c r="O172" i="40"/>
  <c r="AD242" i="21" s="1"/>
  <c r="O264" i="40"/>
  <c r="AD283" i="21" s="1"/>
  <c r="O293" i="40"/>
  <c r="AD300" i="21" s="1"/>
  <c r="O96" i="40"/>
  <c r="AD212" i="21" s="1"/>
  <c r="O70" i="40"/>
  <c r="AD201" i="21" s="1"/>
  <c r="O42" i="40"/>
  <c r="AD190" i="21" s="1"/>
  <c r="O255" i="40"/>
  <c r="AD280" i="21" s="1"/>
  <c r="O81" i="40"/>
  <c r="AD207" i="21" s="1"/>
  <c r="O288" i="40"/>
  <c r="AD170" i="21" s="1"/>
  <c r="O101" i="40"/>
  <c r="AD214" i="21" s="1"/>
  <c r="O268" i="40"/>
  <c r="AD56" i="21" s="1"/>
  <c r="O32" i="40"/>
  <c r="AD73" i="21" s="1"/>
  <c r="O247" i="40"/>
  <c r="AD275" i="21" s="1"/>
  <c r="O214" i="40"/>
  <c r="AD261" i="21" s="1"/>
  <c r="O203" i="40"/>
  <c r="AD257" i="21" s="1"/>
  <c r="O251" i="40"/>
  <c r="AD131" i="21" s="1"/>
  <c r="O15" i="40"/>
  <c r="AD70" i="21" s="1"/>
  <c r="O58" i="40"/>
  <c r="AD194" i="21" s="1"/>
  <c r="O16" i="40"/>
  <c r="AD71" i="21" s="1"/>
  <c r="O38" i="40"/>
  <c r="O156" i="40"/>
  <c r="O50" i="40"/>
  <c r="AD192" i="21" s="1"/>
  <c r="O312" i="40"/>
  <c r="AD312" i="21" s="1"/>
  <c r="O40" i="40"/>
  <c r="AD75" i="21" s="1"/>
  <c r="O126" i="40"/>
  <c r="AD226" i="21" s="1"/>
  <c r="O128" i="40"/>
  <c r="AD91" i="21" s="1"/>
  <c r="O245" i="40"/>
  <c r="AD274" i="21" s="1"/>
  <c r="O261" i="40"/>
  <c r="AD281" i="21" s="1"/>
  <c r="O54" i="40"/>
  <c r="O291" i="40"/>
  <c r="AD299" i="21" s="1"/>
  <c r="O279" i="40"/>
  <c r="AD290" i="21" s="1"/>
  <c r="O177" i="40"/>
  <c r="AD246" i="21" s="1"/>
  <c r="O210" i="40"/>
  <c r="AD50" i="21" s="1"/>
  <c r="O169" i="40"/>
  <c r="AD98" i="21" s="1"/>
  <c r="O34" i="40"/>
  <c r="AD184" i="21" s="1"/>
  <c r="O14" i="40"/>
  <c r="O162" i="40"/>
  <c r="AD142" i="21" s="1"/>
  <c r="O198" i="40"/>
  <c r="AD252" i="21" s="1"/>
  <c r="O155" i="40"/>
  <c r="AD151" i="21" s="1"/>
  <c r="O307" i="40"/>
  <c r="AD134" i="21" s="1"/>
  <c r="O143" i="40"/>
  <c r="AD150" i="21" s="1"/>
  <c r="O313" i="40"/>
  <c r="AD116" i="21" s="1"/>
  <c r="O90" i="40"/>
  <c r="AD121" i="21" s="1"/>
  <c r="O281" i="40"/>
  <c r="AD113" i="21" s="1"/>
  <c r="O115" i="40"/>
  <c r="AD141" i="21" s="1"/>
  <c r="O31" i="40"/>
  <c r="AD183" i="21" s="1"/>
  <c r="O265" i="40"/>
  <c r="AD284" i="21" s="1"/>
  <c r="O35" i="40"/>
  <c r="AD186" i="21" s="1"/>
  <c r="O78" i="40"/>
  <c r="AD205" i="21" s="1"/>
  <c r="O230" i="40"/>
  <c r="O158" i="40"/>
  <c r="AD237" i="21" s="1"/>
  <c r="O85" i="40"/>
  <c r="AD209" i="21" s="1"/>
  <c r="O248" i="40"/>
  <c r="AD109" i="21" s="1"/>
  <c r="O146" i="40"/>
  <c r="AD234" i="21" s="1"/>
  <c r="O157" i="40"/>
  <c r="AD236" i="21" s="1"/>
  <c r="O79" i="40"/>
  <c r="AD17" i="21" s="1"/>
  <c r="O299" i="40"/>
  <c r="AD172" i="21" s="1"/>
  <c r="O74" i="40"/>
  <c r="AD81" i="21" s="1"/>
  <c r="O213" i="40"/>
  <c r="AD129" i="21" s="1"/>
  <c r="O117" i="40"/>
  <c r="AD159" i="21" s="1"/>
  <c r="O260" i="40"/>
  <c r="O212" i="40"/>
  <c r="AD128" i="21" s="1"/>
  <c r="O80" i="40"/>
  <c r="AD206" i="21" s="1"/>
  <c r="O142" i="40"/>
  <c r="AD161" i="21" s="1"/>
  <c r="O223" i="40"/>
  <c r="AD104" i="21" s="1"/>
  <c r="O217" i="40"/>
  <c r="AD51" i="21" s="1"/>
  <c r="O22" i="40"/>
  <c r="AD179" i="21" s="1"/>
  <c r="O187" i="40"/>
  <c r="AD64" i="21" s="1"/>
  <c r="O168" i="40"/>
  <c r="AD240" i="21" s="1"/>
  <c r="O221" i="40"/>
  <c r="AD54" i="21" s="1"/>
  <c r="O62" i="40"/>
  <c r="AD197" i="21" s="1"/>
  <c r="O149" i="40"/>
  <c r="AD94" i="21" s="1"/>
  <c r="O305" i="40"/>
  <c r="AD115" i="21" s="1"/>
  <c r="O296" i="40"/>
  <c r="AD301" i="21" s="1"/>
  <c r="O276" i="40"/>
  <c r="AD289" i="21" s="1"/>
  <c r="O201" i="40"/>
  <c r="AD255" i="21" s="1"/>
  <c r="O122" i="40"/>
  <c r="AD223" i="21" s="1"/>
  <c r="O271" i="40"/>
  <c r="AD168" i="21" s="1"/>
  <c r="O189" i="40"/>
  <c r="AD152" i="21" s="1"/>
  <c r="O308" i="40"/>
  <c r="AD308" i="21" s="1"/>
  <c r="AD221" i="21"/>
  <c r="AD232" i="21"/>
  <c r="AD21" i="21"/>
  <c r="V39" i="17"/>
  <c r="N86" i="40" s="1"/>
  <c r="V120" i="17"/>
  <c r="N208" i="40" s="1"/>
  <c r="V134" i="17"/>
  <c r="N66" i="40" s="1"/>
  <c r="V158" i="17"/>
  <c r="N274" i="40" s="1"/>
  <c r="V260" i="17"/>
  <c r="N284" i="40" s="1"/>
  <c r="V161" i="17"/>
  <c r="V248" i="17"/>
  <c r="N184" i="40" s="1"/>
  <c r="V299" i="17"/>
  <c r="N37" i="40" s="1"/>
  <c r="AD176" i="21"/>
  <c r="AD16" i="21"/>
  <c r="V74" i="17"/>
  <c r="N53" i="40" s="1"/>
  <c r="V235" i="17"/>
  <c r="N272" i="40" s="1"/>
  <c r="V159" i="17"/>
  <c r="N20" i="40" s="1"/>
  <c r="V154" i="17"/>
  <c r="N129" i="40" s="1"/>
  <c r="V195" i="17"/>
  <c r="N121" i="40" s="1"/>
  <c r="V227" i="17"/>
  <c r="N190" i="40" s="1"/>
  <c r="V231" i="17"/>
  <c r="N280" i="40" s="1"/>
  <c r="AD264" i="21"/>
  <c r="AE264" i="21" s="1"/>
  <c r="AD126" i="21"/>
  <c r="AE126" i="21" s="1"/>
  <c r="V95" i="17"/>
  <c r="N151" i="40" s="1"/>
  <c r="V258" i="17"/>
  <c r="N204" i="40" s="1"/>
  <c r="V133" i="17"/>
  <c r="N113" i="40" s="1"/>
  <c r="V171" i="17"/>
  <c r="N159" i="40" s="1"/>
  <c r="V152" i="17"/>
  <c r="N270" i="40" s="1"/>
  <c r="O270" i="40" s="1"/>
  <c r="V143" i="17"/>
  <c r="N65" i="40" s="1"/>
  <c r="V267" i="17"/>
  <c r="N170" i="40" s="1"/>
  <c r="O170" i="40" s="1"/>
  <c r="V303" i="17"/>
  <c r="N59" i="40" s="1"/>
  <c r="V275" i="17"/>
  <c r="N47" i="40" s="1"/>
  <c r="M227" i="40"/>
  <c r="V156" i="17"/>
  <c r="N227" i="40" s="1"/>
  <c r="M39" i="40"/>
  <c r="V300" i="17"/>
  <c r="N39" i="40" s="1"/>
  <c r="M199" i="40"/>
  <c r="V288" i="17"/>
  <c r="N199" i="40" s="1"/>
  <c r="M207" i="40"/>
  <c r="V200" i="17"/>
  <c r="N207" i="40" s="1"/>
  <c r="M254" i="40"/>
  <c r="V226" i="17"/>
  <c r="N254" i="40" s="1"/>
  <c r="M167" i="40"/>
  <c r="V98" i="17"/>
  <c r="N167" i="40" s="1"/>
  <c r="M278" i="40"/>
  <c r="V62" i="17"/>
  <c r="N278" i="40" s="1"/>
  <c r="M135" i="40"/>
  <c r="V296" i="17"/>
  <c r="N135" i="40" s="1"/>
  <c r="M52" i="40"/>
  <c r="V52" i="17"/>
  <c r="N52" i="40" s="1"/>
  <c r="M302" i="40"/>
  <c r="V315" i="17"/>
  <c r="N302" i="40" s="1"/>
  <c r="M45" i="40"/>
  <c r="V93" i="17"/>
  <c r="N45" i="40" s="1"/>
  <c r="M57" i="40"/>
  <c r="V176" i="17"/>
  <c r="N57" i="40" s="1"/>
  <c r="M132" i="40"/>
  <c r="V277" i="17"/>
  <c r="N132" i="40" s="1"/>
  <c r="M222" i="40"/>
  <c r="V149" i="17"/>
  <c r="N222" i="40" s="1"/>
  <c r="M226" i="40"/>
  <c r="V312" i="17"/>
  <c r="N226" i="40" s="1"/>
  <c r="M311" i="40"/>
  <c r="V206" i="17"/>
  <c r="N311" i="40" s="1"/>
  <c r="V257" i="17"/>
  <c r="N196" i="40" s="1"/>
  <c r="M136" i="40"/>
  <c r="V167" i="17"/>
  <c r="N136" i="40" s="1"/>
  <c r="M127" i="40"/>
  <c r="V197" i="17"/>
  <c r="N127" i="40" s="1"/>
  <c r="M186" i="40"/>
  <c r="V82" i="17"/>
  <c r="N186" i="40" s="1"/>
  <c r="M33" i="40"/>
  <c r="V126" i="17"/>
  <c r="N33" i="40" s="1"/>
  <c r="M197" i="40"/>
  <c r="V72" i="17"/>
  <c r="N197" i="40" s="1"/>
  <c r="M26" i="40"/>
  <c r="V86" i="17"/>
  <c r="N26" i="40" s="1"/>
  <c r="M242" i="40"/>
  <c r="V282" i="17"/>
  <c r="N242" i="40" s="1"/>
  <c r="M263" i="40"/>
  <c r="V41" i="17"/>
  <c r="N263" i="40" s="1"/>
  <c r="M283" i="40"/>
  <c r="V289" i="17"/>
  <c r="N283" i="40" s="1"/>
  <c r="M236" i="40"/>
  <c r="V184" i="17"/>
  <c r="N236" i="40" s="1"/>
  <c r="M75" i="40"/>
  <c r="V194" i="17"/>
  <c r="N75" i="40" s="1"/>
  <c r="V302" i="17"/>
  <c r="N56" i="40" s="1"/>
  <c r="O56" i="40" s="1"/>
  <c r="V178" i="17"/>
  <c r="N249" i="40" s="1"/>
  <c r="M55" i="40"/>
  <c r="V301" i="17"/>
  <c r="N55" i="40" s="1"/>
  <c r="M137" i="40"/>
  <c r="V246" i="17"/>
  <c r="N137" i="40" s="1"/>
  <c r="M72" i="40"/>
  <c r="V166" i="17"/>
  <c r="N72" i="40" s="1"/>
  <c r="V234" i="17"/>
  <c r="N231" i="40" s="1"/>
  <c r="M89" i="40"/>
  <c r="V146" i="17"/>
  <c r="N89" i="40" s="1"/>
  <c r="M84" i="40"/>
  <c r="V85" i="17"/>
  <c r="N84" i="40" s="1"/>
  <c r="M124" i="40"/>
  <c r="V177" i="17"/>
  <c r="N124" i="40" s="1"/>
  <c r="M92" i="40"/>
  <c r="V119" i="17"/>
  <c r="N92" i="40" s="1"/>
  <c r="M273" i="40"/>
  <c r="V64" i="17"/>
  <c r="N273" i="40" s="1"/>
  <c r="M183" i="40"/>
  <c r="V183" i="17"/>
  <c r="N183" i="40" s="1"/>
  <c r="M61" i="40"/>
  <c r="V175" i="17"/>
  <c r="N61" i="40" s="1"/>
  <c r="M165" i="40"/>
  <c r="V172" i="17"/>
  <c r="N165" i="40" s="1"/>
  <c r="M11" i="40"/>
  <c r="V286" i="17"/>
  <c r="N11" i="40" s="1"/>
  <c r="M259" i="40"/>
  <c r="V151" i="17"/>
  <c r="N259" i="40" s="1"/>
  <c r="M252" i="40"/>
  <c r="V250" i="17"/>
  <c r="N252" i="40" s="1"/>
  <c r="M60" i="40"/>
  <c r="V304" i="17"/>
  <c r="N60" i="40" s="1"/>
  <c r="M6" i="40"/>
  <c r="V108" i="17"/>
  <c r="N6" i="40" s="1"/>
  <c r="M243" i="40"/>
  <c r="V297" i="17"/>
  <c r="N243" i="40" s="1"/>
  <c r="M188" i="40"/>
  <c r="V33" i="17"/>
  <c r="N188" i="40" s="1"/>
  <c r="M43" i="40"/>
  <c r="V142" i="17"/>
  <c r="N43" i="40" s="1"/>
  <c r="M138" i="40"/>
  <c r="V68" i="17"/>
  <c r="N138" i="40" s="1"/>
  <c r="M83" i="40"/>
  <c r="V78" i="17"/>
  <c r="N83" i="40" s="1"/>
  <c r="M125" i="40"/>
  <c r="V196" i="17"/>
  <c r="N125" i="40" s="1"/>
  <c r="V205" i="17"/>
  <c r="N297" i="40" s="1"/>
  <c r="M275" i="40"/>
  <c r="V180" i="17"/>
  <c r="N275" i="40" s="1"/>
  <c r="M23" i="40"/>
  <c r="V80" i="17"/>
  <c r="N23" i="40" s="1"/>
  <c r="M134" i="40"/>
  <c r="V96" i="17"/>
  <c r="N134" i="40" s="1"/>
  <c r="M192" i="40"/>
  <c r="V76" i="17"/>
  <c r="N192" i="40" s="1"/>
  <c r="M290" i="40"/>
  <c r="V283" i="17"/>
  <c r="N290" i="40" s="1"/>
  <c r="M258" i="40"/>
  <c r="V124" i="17"/>
  <c r="N258" i="40" s="1"/>
  <c r="M97" i="40"/>
  <c r="V256" i="17"/>
  <c r="N97" i="40" s="1"/>
  <c r="M76" i="40"/>
  <c r="V144" i="17"/>
  <c r="N76" i="40" s="1"/>
  <c r="M286" i="40"/>
  <c r="V30" i="17"/>
  <c r="N286" i="40" s="1"/>
  <c r="M77" i="40"/>
  <c r="V255" i="17"/>
  <c r="N77" i="40" s="1"/>
  <c r="M195" i="40"/>
  <c r="V310" i="17"/>
  <c r="N195" i="40" s="1"/>
  <c r="M133" i="40"/>
  <c r="V308" i="17"/>
  <c r="N133" i="40" s="1"/>
  <c r="M241" i="40"/>
  <c r="V122" i="17"/>
  <c r="N241" i="40" s="1"/>
  <c r="M147" i="40"/>
  <c r="V247" i="17"/>
  <c r="N147" i="40" s="1"/>
  <c r="M193" i="40"/>
  <c r="V157" i="17"/>
  <c r="N193" i="40" s="1"/>
  <c r="M87" i="40"/>
  <c r="V225" i="17"/>
  <c r="N87" i="40" s="1"/>
  <c r="M287" i="40"/>
  <c r="V237" i="17"/>
  <c r="N287" i="40" s="1"/>
  <c r="M150" i="40"/>
  <c r="V94" i="17"/>
  <c r="N150" i="40" s="1"/>
  <c r="M185" i="40"/>
  <c r="V128" i="17"/>
  <c r="N185" i="40" s="1"/>
  <c r="V58" i="17"/>
  <c r="N277" i="40" s="1"/>
  <c r="V163" i="17"/>
  <c r="N298" i="40" s="1"/>
  <c r="AD265" i="21" l="1"/>
  <c r="AD182" i="21"/>
  <c r="AD72" i="21"/>
  <c r="AD132" i="21"/>
  <c r="AD97" i="21"/>
  <c r="AD245" i="21"/>
  <c r="N216" i="40"/>
  <c r="O216" i="40" s="1"/>
  <c r="AD165" i="21" s="1"/>
  <c r="N148" i="40"/>
  <c r="O148" i="40" s="1"/>
  <c r="AD124" i="21" s="1"/>
  <c r="I5" i="31"/>
  <c r="I17" i="31" s="1"/>
  <c r="C5" i="31"/>
  <c r="C17" i="31" s="1"/>
  <c r="M5" i="31"/>
  <c r="M17" i="31" s="1"/>
  <c r="L5" i="31"/>
  <c r="K5" i="31"/>
  <c r="J5" i="31"/>
  <c r="H5" i="31"/>
  <c r="H17" i="31" s="1"/>
  <c r="G5" i="31"/>
  <c r="G17" i="31" s="1"/>
  <c r="F5" i="31"/>
  <c r="E5" i="31"/>
  <c r="D5" i="31"/>
  <c r="D17" i="31" s="1"/>
  <c r="O298" i="40"/>
  <c r="AD171" i="21" s="1"/>
  <c r="O277" i="40"/>
  <c r="AD58" i="21" s="1"/>
  <c r="O185" i="40"/>
  <c r="AD127" i="21" s="1"/>
  <c r="O150" i="40"/>
  <c r="AD95" i="21" s="1"/>
  <c r="O287" i="40"/>
  <c r="AD295" i="21" s="1"/>
  <c r="O87" i="40"/>
  <c r="AD210" i="21" s="1"/>
  <c r="O193" i="40"/>
  <c r="AD145" i="21" s="1"/>
  <c r="O147" i="40"/>
  <c r="AD235" i="21" s="1"/>
  <c r="O241" i="40"/>
  <c r="O133" i="40"/>
  <c r="AD229" i="21" s="1"/>
  <c r="O195" i="40"/>
  <c r="AD250" i="21" s="1"/>
  <c r="O77" i="40"/>
  <c r="AD204" i="21" s="1"/>
  <c r="O286" i="40"/>
  <c r="AD30" i="21" s="1"/>
  <c r="O76" i="40"/>
  <c r="AD82" i="21" s="1"/>
  <c r="O97" i="40"/>
  <c r="AD213" i="21" s="1"/>
  <c r="O258" i="40"/>
  <c r="O290" i="40"/>
  <c r="AD298" i="21" s="1"/>
  <c r="O192" i="40"/>
  <c r="AD100" i="21" s="1"/>
  <c r="O134" i="40"/>
  <c r="O23" i="40"/>
  <c r="AD146" i="21" s="1"/>
  <c r="O275" i="40"/>
  <c r="AD288" i="21" s="1"/>
  <c r="O297" i="40"/>
  <c r="AD302" i="21" s="1"/>
  <c r="O125" i="40"/>
  <c r="AD225" i="21" s="1"/>
  <c r="O83" i="40"/>
  <c r="AD147" i="21" s="1"/>
  <c r="O138" i="40"/>
  <c r="O43" i="40"/>
  <c r="AD76" i="21" s="1"/>
  <c r="AE76" i="21" s="1"/>
  <c r="O188" i="40"/>
  <c r="AD46" i="21" s="1"/>
  <c r="O243" i="40"/>
  <c r="AD273" i="21" s="1"/>
  <c r="O6" i="40"/>
  <c r="O60" i="40"/>
  <c r="AD196" i="21" s="1"/>
  <c r="O252" i="40"/>
  <c r="AD277" i="21" s="1"/>
  <c r="O259" i="40"/>
  <c r="O11" i="40"/>
  <c r="AD173" i="21" s="1"/>
  <c r="O165" i="40"/>
  <c r="AD164" i="21" s="1"/>
  <c r="O61" i="40"/>
  <c r="AD156" i="21" s="1"/>
  <c r="O183" i="40"/>
  <c r="AD247" i="21" s="1"/>
  <c r="O273" i="40"/>
  <c r="AD57" i="21" s="1"/>
  <c r="O92" i="40"/>
  <c r="AD149" i="21" s="1"/>
  <c r="O124" i="40"/>
  <c r="AD224" i="21" s="1"/>
  <c r="O84" i="40"/>
  <c r="AD119" i="21" s="1"/>
  <c r="O89" i="40"/>
  <c r="AD148" i="21" s="1"/>
  <c r="O231" i="40"/>
  <c r="O72" i="40"/>
  <c r="AD157" i="21" s="1"/>
  <c r="O137" i="40"/>
  <c r="AD231" i="21" s="1"/>
  <c r="O55" i="40"/>
  <c r="O249" i="40"/>
  <c r="AD276" i="21" s="1"/>
  <c r="O75" i="40"/>
  <c r="AD203" i="21" s="1"/>
  <c r="O236" i="40"/>
  <c r="AD268" i="21" s="1"/>
  <c r="O283" i="40"/>
  <c r="O263" i="40"/>
  <c r="AD29" i="21" s="1"/>
  <c r="O242" i="40"/>
  <c r="AD272" i="21" s="1"/>
  <c r="O26" i="40"/>
  <c r="AD117" i="21" s="1"/>
  <c r="O197" i="40"/>
  <c r="O33" i="40"/>
  <c r="AD136" i="21" s="1"/>
  <c r="O186" i="40"/>
  <c r="AD144" i="21" s="1"/>
  <c r="O127" i="40"/>
  <c r="AD227" i="21" s="1"/>
  <c r="O136" i="40"/>
  <c r="AD160" i="21" s="1"/>
  <c r="O196" i="40"/>
  <c r="AD251" i="21" s="1"/>
  <c r="O311" i="40"/>
  <c r="AD311" i="21" s="1"/>
  <c r="O226" i="40"/>
  <c r="AD263" i="21" s="1"/>
  <c r="O222" i="40"/>
  <c r="O132" i="40"/>
  <c r="AD228" i="21" s="1"/>
  <c r="O57" i="40"/>
  <c r="AD155" i="21" s="1"/>
  <c r="O45" i="40"/>
  <c r="AD137" i="21" s="1"/>
  <c r="O302" i="40"/>
  <c r="AD304" i="21" s="1"/>
  <c r="O52" i="40"/>
  <c r="O135" i="40"/>
  <c r="AD230" i="21" s="1"/>
  <c r="O278" i="40"/>
  <c r="AD59" i="21" s="1"/>
  <c r="O167" i="40"/>
  <c r="AD125" i="21" s="1"/>
  <c r="O254" i="40"/>
  <c r="AD279" i="21" s="1"/>
  <c r="O207" i="40"/>
  <c r="AD259" i="21" s="1"/>
  <c r="O199" i="40"/>
  <c r="O39" i="40"/>
  <c r="AD188" i="21" s="1"/>
  <c r="O227" i="40"/>
  <c r="O47" i="40"/>
  <c r="AD191" i="21" s="1"/>
  <c r="O59" i="40"/>
  <c r="AD195" i="21" s="1"/>
  <c r="O65" i="40"/>
  <c r="AD139" i="21" s="1"/>
  <c r="O159" i="40"/>
  <c r="AD162" i="21" s="1"/>
  <c r="O113" i="40"/>
  <c r="AD88" i="21" s="1"/>
  <c r="O204" i="40"/>
  <c r="AD258" i="21" s="1"/>
  <c r="O151" i="40"/>
  <c r="AD96" i="21" s="1"/>
  <c r="O280" i="40"/>
  <c r="AD291" i="21" s="1"/>
  <c r="O190" i="40"/>
  <c r="AD249" i="21" s="1"/>
  <c r="O121" i="40"/>
  <c r="AD222" i="21" s="1"/>
  <c r="O129" i="40"/>
  <c r="AD122" i="21" s="1"/>
  <c r="AE122" i="21" s="1"/>
  <c r="O20" i="40"/>
  <c r="AD153" i="21" s="1"/>
  <c r="O272" i="40"/>
  <c r="O53" i="40"/>
  <c r="AD34" i="21" s="1"/>
  <c r="O37" i="40"/>
  <c r="AD187" i="21" s="1"/>
  <c r="O184" i="40"/>
  <c r="AD248" i="21" s="1"/>
  <c r="AE248" i="21" s="1"/>
  <c r="O284" i="40"/>
  <c r="AD294" i="21" s="1"/>
  <c r="O274" i="40"/>
  <c r="AD169" i="21" s="1"/>
  <c r="O66" i="40"/>
  <c r="AD78" i="21" s="1"/>
  <c r="O208" i="40"/>
  <c r="AD101" i="21" s="1"/>
  <c r="AE101" i="21" s="1"/>
  <c r="O86" i="40"/>
  <c r="AD36" i="21" s="1"/>
  <c r="AD313" i="21"/>
  <c r="AD133" i="21"/>
  <c r="AD13" i="21"/>
  <c r="AD241" i="21"/>
  <c r="AE241" i="21" s="1"/>
  <c r="AD266" i="21" l="1"/>
  <c r="AD287" i="21"/>
  <c r="AD112" i="21"/>
  <c r="AE112" i="21" s="1"/>
  <c r="AD111" i="21"/>
  <c r="K17" i="31"/>
  <c r="F17" i="31"/>
  <c r="J17" i="31"/>
  <c r="L17" i="31"/>
  <c r="E17" i="31"/>
  <c r="V3" i="42"/>
  <c r="V6" i="42"/>
  <c r="AD90" i="21"/>
  <c r="AD107" i="21"/>
  <c r="AD42" i="21"/>
  <c r="AD293" i="21"/>
  <c r="AD33" i="21"/>
  <c r="AD253" i="21"/>
  <c r="AD47" i="21"/>
  <c r="W12" i="42"/>
  <c r="W6" i="42"/>
  <c r="W8" i="42" s="1"/>
  <c r="V12" i="42"/>
  <c r="V14" i="42" s="1"/>
  <c r="U12" i="42"/>
  <c r="U14" i="42" s="1"/>
  <c r="U6" i="42"/>
  <c r="U8" i="42" s="1"/>
  <c r="AE13" i="21"/>
  <c r="AD123" i="21"/>
  <c r="AE123" i="21" s="1"/>
  <c r="AD103" i="21"/>
  <c r="AE103" i="21" s="1"/>
  <c r="AD166" i="21"/>
  <c r="AE166" i="21" s="1"/>
  <c r="AD193" i="21"/>
  <c r="AE193" i="21" s="1"/>
  <c r="O1" i="40"/>
  <c r="R272" i="13"/>
  <c r="L229" i="39" s="1"/>
  <c r="R217" i="13"/>
  <c r="L251" i="39" s="1"/>
  <c r="AC271" i="21" s="1"/>
  <c r="R297" i="13"/>
  <c r="L77" i="39" s="1"/>
  <c r="H42" i="39"/>
  <c r="R251" i="13"/>
  <c r="L295" i="39" s="1"/>
  <c r="H22" i="39"/>
  <c r="R76" i="13"/>
  <c r="L89" i="39" s="1"/>
  <c r="R78" i="13"/>
  <c r="R277" i="13"/>
  <c r="R135" i="13"/>
  <c r="R264" i="13"/>
  <c r="L166" i="39" s="1"/>
  <c r="R211" i="13"/>
  <c r="R266" i="13"/>
  <c r="L90" i="39" s="1"/>
  <c r="R90" i="13"/>
  <c r="R274" i="13"/>
  <c r="L159" i="39" s="1"/>
  <c r="R219" i="13"/>
  <c r="L296" i="39" s="1"/>
  <c r="H28" i="39"/>
  <c r="H29" i="39"/>
  <c r="H19" i="39"/>
  <c r="H51" i="39"/>
  <c r="R68" i="13"/>
  <c r="R91" i="13"/>
  <c r="R301" i="13"/>
  <c r="L196" i="39" s="1"/>
  <c r="H8" i="39"/>
  <c r="R96" i="13"/>
  <c r="R103" i="13"/>
  <c r="H12" i="39"/>
  <c r="H15" i="39"/>
  <c r="R302" i="13"/>
  <c r="L195" i="39" s="1"/>
  <c r="AC242" i="21" s="1"/>
  <c r="H24" i="39"/>
  <c r="R201" i="13"/>
  <c r="L291" i="39" s="1"/>
  <c r="AC297" i="21" s="1"/>
  <c r="H6" i="39"/>
  <c r="H17" i="39"/>
  <c r="R218" i="13"/>
  <c r="L294" i="39" s="1"/>
  <c r="H4" i="39"/>
  <c r="H20" i="39"/>
  <c r="H26" i="39"/>
  <c r="R256" i="13"/>
  <c r="L80" i="39" s="1"/>
  <c r="R243" i="13"/>
  <c r="L249" i="39" s="1"/>
  <c r="AC269" i="21" s="1"/>
  <c r="H3" i="39"/>
  <c r="H10" i="39"/>
  <c r="H13" i="39"/>
  <c r="R214" i="13"/>
  <c r="L200" i="39" s="1"/>
  <c r="H30" i="39"/>
  <c r="H27" i="39"/>
  <c r="H46" i="39"/>
  <c r="R202" i="13"/>
  <c r="H23" i="39"/>
  <c r="R125" i="13"/>
  <c r="L303" i="39" s="1"/>
  <c r="R309" i="13"/>
  <c r="L152" i="39" s="1"/>
  <c r="AC220" i="21" s="1"/>
  <c r="H57" i="39"/>
  <c r="R276" i="13"/>
  <c r="L67" i="39" s="1"/>
  <c r="R192" i="13"/>
  <c r="R254" i="13"/>
  <c r="H5" i="39"/>
  <c r="H11" i="39"/>
  <c r="R203" i="13"/>
  <c r="H21" i="39"/>
  <c r="H16" i="39"/>
  <c r="R179" i="13"/>
  <c r="H41" i="39"/>
  <c r="H47" i="39"/>
  <c r="H9" i="39"/>
  <c r="R61" i="13"/>
  <c r="H7" i="39"/>
  <c r="H36" i="39"/>
  <c r="R290" i="13"/>
  <c r="H25" i="39"/>
  <c r="AC99" i="21" l="1"/>
  <c r="AE99" i="21" s="1"/>
  <c r="V8" i="42"/>
  <c r="W18" i="42"/>
  <c r="W20" i="42" s="1"/>
  <c r="W14" i="42"/>
  <c r="R32" i="13"/>
  <c r="AD1" i="21"/>
  <c r="AE198" i="21"/>
  <c r="AE307" i="21"/>
  <c r="AE278" i="21"/>
  <c r="AE74" i="21"/>
  <c r="AE143" i="21"/>
  <c r="AE67" i="21"/>
  <c r="AE154" i="21"/>
  <c r="AE120" i="21"/>
  <c r="AE305" i="21"/>
  <c r="AE297" i="21"/>
  <c r="AE35" i="21"/>
  <c r="AE68" i="21"/>
  <c r="AE233" i="21"/>
  <c r="AE267" i="21"/>
  <c r="AE118" i="21"/>
  <c r="AE220" i="21"/>
  <c r="AE269" i="21"/>
  <c r="AE242" i="21"/>
  <c r="AE244" i="21"/>
  <c r="AE271" i="21"/>
  <c r="AE239" i="21"/>
  <c r="AE314" i="21"/>
  <c r="AC114" i="21"/>
  <c r="AE114" i="21" s="1"/>
  <c r="AC190" i="21"/>
  <c r="AC61" i="21"/>
  <c r="AE61" i="21" s="1"/>
  <c r="R176" i="13"/>
  <c r="L207" i="39" s="1"/>
  <c r="R240" i="13"/>
  <c r="L167" i="39" s="1"/>
  <c r="R66" i="13"/>
  <c r="L234" i="39" s="1"/>
  <c r="R237" i="13"/>
  <c r="L262" i="39" s="1"/>
  <c r="L10" i="39"/>
  <c r="R121" i="13"/>
  <c r="L255" i="39" s="1"/>
  <c r="R144" i="13"/>
  <c r="L180" i="39" s="1"/>
  <c r="R105" i="13"/>
  <c r="L297" i="39" s="1"/>
  <c r="R244" i="13"/>
  <c r="L292" i="39" s="1"/>
  <c r="R139" i="13"/>
  <c r="L289" i="39" s="1"/>
  <c r="R300" i="13"/>
  <c r="L103" i="39" s="1"/>
  <c r="R150" i="13"/>
  <c r="L155" i="39" s="1"/>
  <c r="R178" i="13"/>
  <c r="L252" i="39" s="1"/>
  <c r="R95" i="13"/>
  <c r="L309" i="39" s="1"/>
  <c r="R116" i="13"/>
  <c r="L161" i="39" s="1"/>
  <c r="R73" i="13"/>
  <c r="L220" i="39" s="1"/>
  <c r="L19" i="39"/>
  <c r="R160" i="13"/>
  <c r="L288" i="39" s="1"/>
  <c r="R131" i="13"/>
  <c r="L181" i="39" s="1"/>
  <c r="L28" i="39"/>
  <c r="R171" i="13"/>
  <c r="L241" i="39" s="1"/>
  <c r="R282" i="13"/>
  <c r="L113" i="39" s="1"/>
  <c r="R136" i="13"/>
  <c r="L78" i="39" s="1"/>
  <c r="R221" i="13"/>
  <c r="L299" i="39" s="1"/>
  <c r="R88" i="13"/>
  <c r="L277" i="39" s="1"/>
  <c r="R98" i="13"/>
  <c r="L124" i="39" s="1"/>
  <c r="R283" i="13"/>
  <c r="L274" i="39" s="1"/>
  <c r="L9" i="39"/>
  <c r="R280" i="13"/>
  <c r="L184" i="39" s="1"/>
  <c r="R169" i="13"/>
  <c r="L307" i="39" s="1"/>
  <c r="R206" i="13"/>
  <c r="L117" i="39" s="1"/>
  <c r="R140" i="13"/>
  <c r="L230" i="39" s="1"/>
  <c r="R225" i="13"/>
  <c r="L134" i="39" s="1"/>
  <c r="AC211" i="21" s="1"/>
  <c r="L26" i="39"/>
  <c r="R186" i="13"/>
  <c r="L116" i="39" s="1"/>
  <c r="R183" i="13"/>
  <c r="L282" i="39" s="1"/>
  <c r="R209" i="13"/>
  <c r="L66" i="39" s="1"/>
  <c r="R115" i="13"/>
  <c r="L157" i="39" s="1"/>
  <c r="R269" i="13"/>
  <c r="L224" i="39" s="1"/>
  <c r="R130" i="13"/>
  <c r="L92" i="39" s="1"/>
  <c r="R229" i="13"/>
  <c r="L143" i="39" s="1"/>
  <c r="R167" i="13"/>
  <c r="L192" i="39" s="1"/>
  <c r="R234" i="13"/>
  <c r="L175" i="39" s="1"/>
  <c r="R306" i="13"/>
  <c r="L185" i="39" s="1"/>
  <c r="R65" i="13"/>
  <c r="L91" i="39" s="1"/>
  <c r="R196" i="13"/>
  <c r="L154" i="39" s="1"/>
  <c r="R208" i="13"/>
  <c r="L119" i="39" s="1"/>
  <c r="R258" i="13"/>
  <c r="L253" i="39" s="1"/>
  <c r="R294" i="13"/>
  <c r="L301" i="39" s="1"/>
  <c r="L22" i="39"/>
  <c r="R82" i="13"/>
  <c r="L265" i="39" s="1"/>
  <c r="R70" i="13"/>
  <c r="L63" i="39" s="1"/>
  <c r="R182" i="13"/>
  <c r="L281" i="39" s="1"/>
  <c r="L21" i="39"/>
  <c r="R106" i="13"/>
  <c r="L131" i="39" s="1"/>
  <c r="R124" i="13"/>
  <c r="L82" i="39" s="1"/>
  <c r="R118" i="13"/>
  <c r="L208" i="39" s="1"/>
  <c r="R147" i="13"/>
  <c r="L236" i="39" s="1"/>
  <c r="R110" i="13"/>
  <c r="L62" i="39" s="1"/>
  <c r="R142" i="13"/>
  <c r="R104" i="13"/>
  <c r="L244" i="39" s="1"/>
  <c r="AC55" i="21" s="1"/>
  <c r="R86" i="13"/>
  <c r="L83" i="39" s="1"/>
  <c r="R161" i="13"/>
  <c r="L228" i="39" s="1"/>
  <c r="L23" i="39"/>
  <c r="R204" i="13"/>
  <c r="L279" i="39" s="1"/>
  <c r="R155" i="13"/>
  <c r="L177" i="39" s="1"/>
  <c r="L30" i="39"/>
  <c r="R195" i="13"/>
  <c r="L61" i="39" s="1"/>
  <c r="L13" i="39"/>
  <c r="R170" i="13"/>
  <c r="L81" i="39" s="1"/>
  <c r="L20" i="39"/>
  <c r="R233" i="13"/>
  <c r="L169" i="39" s="1"/>
  <c r="L17" i="39"/>
  <c r="R281" i="13"/>
  <c r="L112" i="39" s="1"/>
  <c r="L24" i="39"/>
  <c r="R148" i="13"/>
  <c r="L223" i="39" s="1"/>
  <c r="R199" i="13"/>
  <c r="L219" i="39" s="1"/>
  <c r="L15" i="39"/>
  <c r="R132" i="13"/>
  <c r="L211" i="39" s="1"/>
  <c r="R133" i="13"/>
  <c r="L198" i="39" s="1"/>
  <c r="L8" i="39"/>
  <c r="R238" i="13"/>
  <c r="L283" i="39" s="1"/>
  <c r="R109" i="13"/>
  <c r="L74" i="39" s="1"/>
  <c r="R273" i="13"/>
  <c r="L115" i="39" s="1"/>
  <c r="R172" i="13"/>
  <c r="L276" i="39" s="1"/>
  <c r="AC56" i="21" s="1"/>
  <c r="R75" i="13"/>
  <c r="L123" i="39" s="1"/>
  <c r="R114" i="13"/>
  <c r="L261" i="39" s="1"/>
  <c r="R80" i="13"/>
  <c r="L153" i="39" s="1"/>
  <c r="R313" i="13"/>
  <c r="L280" i="39" s="1"/>
  <c r="R141" i="13"/>
  <c r="L225" i="39" s="1"/>
  <c r="R126" i="13"/>
  <c r="L189" i="39" s="1"/>
  <c r="R162" i="13"/>
  <c r="L138" i="39" s="1"/>
  <c r="L16" i="39"/>
  <c r="R108" i="13"/>
  <c r="L235" i="39" s="1"/>
  <c r="R299" i="13"/>
  <c r="L100" i="39" s="1"/>
  <c r="R100" i="13"/>
  <c r="L130" i="39" s="1"/>
  <c r="R45" i="13"/>
  <c r="L41" i="39" s="1"/>
  <c r="R168" i="13"/>
  <c r="L306" i="39" s="1"/>
  <c r="R163" i="13"/>
  <c r="L218" i="39" s="1"/>
  <c r="R222" i="13"/>
  <c r="L300" i="39" s="1"/>
  <c r="R230" i="13"/>
  <c r="L144" i="39" s="1"/>
  <c r="R236" i="13"/>
  <c r="L239" i="39" s="1"/>
  <c r="R308" i="13"/>
  <c r="L188" i="39" s="1"/>
  <c r="R120" i="13"/>
  <c r="L88" i="39" s="1"/>
  <c r="R177" i="13"/>
  <c r="L258" i="39" s="1"/>
  <c r="R197" i="13"/>
  <c r="L171" i="39" s="1"/>
  <c r="R43" i="13"/>
  <c r="L47" i="39" s="1"/>
  <c r="R187" i="13"/>
  <c r="L269" i="39" s="1"/>
  <c r="R250" i="13"/>
  <c r="L293" i="39" s="1"/>
  <c r="R77" i="13"/>
  <c r="L247" i="39" s="1"/>
  <c r="R287" i="13"/>
  <c r="L217" i="39" s="1"/>
  <c r="R71" i="13"/>
  <c r="L222" i="39" s="1"/>
  <c r="AC257" i="21" s="1"/>
  <c r="R213" i="13"/>
  <c r="L149" i="39" s="1"/>
  <c r="R151" i="13"/>
  <c r="L256" i="39" s="1"/>
  <c r="AC27" i="21" s="1"/>
  <c r="R191" i="13"/>
  <c r="L164" i="39" s="1"/>
  <c r="R188" i="13"/>
  <c r="L64" i="39" s="1"/>
  <c r="L227" i="39"/>
  <c r="R164" i="13"/>
  <c r="L170" i="39" s="1"/>
  <c r="R138" i="13"/>
  <c r="L182" i="39" s="1"/>
  <c r="R137" i="13"/>
  <c r="L245" i="39" s="1"/>
  <c r="R62" i="13"/>
  <c r="L45" i="39" s="1"/>
  <c r="R145" i="13"/>
  <c r="L284" i="39" s="1"/>
  <c r="R117" i="13"/>
  <c r="L163" i="39" s="1"/>
  <c r="R242" i="13"/>
  <c r="L173" i="39" s="1"/>
  <c r="R69" i="13"/>
  <c r="L206" i="39" s="1"/>
  <c r="R174" i="13"/>
  <c r="L79" i="39" s="1"/>
  <c r="R296" i="13"/>
  <c r="L162" i="39" s="1"/>
  <c r="R284" i="13"/>
  <c r="L151" i="39" s="1"/>
  <c r="R285" i="13"/>
  <c r="L204" i="39" s="1"/>
  <c r="R215" i="13"/>
  <c r="L240" i="39" s="1"/>
  <c r="R129" i="13"/>
  <c r="L127" i="39" s="1"/>
  <c r="R122" i="13"/>
  <c r="L257" i="39" s="1"/>
  <c r="AC275" i="21" s="1"/>
  <c r="R291" i="13"/>
  <c r="L105" i="39" s="1"/>
  <c r="R72" i="13"/>
  <c r="L272" i="39" s="1"/>
  <c r="R194" i="13"/>
  <c r="L118" i="39" s="1"/>
  <c r="R189" i="13"/>
  <c r="L110" i="39" s="1"/>
  <c r="R262" i="13"/>
  <c r="L264" i="39" s="1"/>
  <c r="R153" i="13"/>
  <c r="L121" i="39" s="1"/>
  <c r="R245" i="13"/>
  <c r="L87" i="39" s="1"/>
  <c r="R111" i="13"/>
  <c r="L209" i="39" s="1"/>
  <c r="R224" i="13"/>
  <c r="L132" i="39" s="1"/>
  <c r="R232" i="13"/>
  <c r="L147" i="39" s="1"/>
  <c r="R67" i="13"/>
  <c r="L210" i="39" s="1"/>
  <c r="R212" i="13"/>
  <c r="L146" i="39" s="1"/>
  <c r="R46" i="13"/>
  <c r="L42" i="39" s="1"/>
  <c r="R311" i="13"/>
  <c r="L111" i="39" s="1"/>
  <c r="R165" i="13"/>
  <c r="L93" i="39" s="1"/>
  <c r="L7" i="39"/>
  <c r="L5" i="39"/>
  <c r="R143" i="13"/>
  <c r="L304" i="39" s="1"/>
  <c r="R223" i="13"/>
  <c r="L114" i="39" s="1"/>
  <c r="R119" i="13"/>
  <c r="L286" i="39" s="1"/>
  <c r="R60" i="13"/>
  <c r="L40" i="39" s="1"/>
  <c r="R231" i="13"/>
  <c r="L145" i="39" s="1"/>
  <c r="R185" i="13"/>
  <c r="L96" i="39" s="1"/>
  <c r="AC15" i="21" s="1"/>
  <c r="R226" i="13"/>
  <c r="L140" i="39" s="1"/>
  <c r="R149" i="13"/>
  <c r="L97" i="39" s="1"/>
  <c r="R175" i="13"/>
  <c r="L156" i="39" s="1"/>
  <c r="R89" i="13"/>
  <c r="L238" i="39" s="1"/>
  <c r="AC24" i="21" s="1"/>
  <c r="R216" i="13"/>
  <c r="L250" i="39" s="1"/>
  <c r="R200" i="13"/>
  <c r="L129" i="39" s="1"/>
  <c r="R48" i="13"/>
  <c r="L36" i="39" s="1"/>
  <c r="R64" i="13"/>
  <c r="L212" i="39" s="1"/>
  <c r="R47" i="13"/>
  <c r="L57" i="39" s="1"/>
  <c r="R50" i="13"/>
  <c r="L46" i="39" s="1"/>
  <c r="R210" i="13"/>
  <c r="L139" i="39" s="1"/>
  <c r="AC214" i="21" s="1"/>
  <c r="R267" i="13"/>
  <c r="L278" i="39" s="1"/>
  <c r="R268" i="13"/>
  <c r="L203" i="39" s="1"/>
  <c r="L25" i="39"/>
  <c r="R314" i="13"/>
  <c r="L193" i="39" s="1"/>
  <c r="R180" i="13"/>
  <c r="R255" i="13"/>
  <c r="L201" i="39" s="1"/>
  <c r="L27" i="39"/>
  <c r="L11" i="39"/>
  <c r="R134" i="13"/>
  <c r="L122" i="39" s="1"/>
  <c r="R249" i="13"/>
  <c r="L275" i="39" s="1"/>
  <c r="R193" i="13"/>
  <c r="L65" i="39" s="1"/>
  <c r="R198" i="13"/>
  <c r="L137" i="39" s="1"/>
  <c r="R79" i="13"/>
  <c r="L232" i="39" s="1"/>
  <c r="R107" i="13"/>
  <c r="L312" i="39" s="1"/>
  <c r="R259" i="13"/>
  <c r="L94" i="39" s="1"/>
  <c r="R205" i="13"/>
  <c r="L287" i="39" s="1"/>
  <c r="R156" i="13"/>
  <c r="L136" i="39" s="1"/>
  <c r="R275" i="13"/>
  <c r="L165" i="39" s="1"/>
  <c r="L3" i="39"/>
  <c r="L4" i="39"/>
  <c r="R63" i="13"/>
  <c r="L260" i="39" s="1"/>
  <c r="R260" i="13"/>
  <c r="L290" i="39" s="1"/>
  <c r="R270" i="13"/>
  <c r="L102" i="39" s="1"/>
  <c r="R113" i="13"/>
  <c r="L174" i="39" s="1"/>
  <c r="R173" i="13"/>
  <c r="L183" i="39" s="1"/>
  <c r="R92" i="13"/>
  <c r="L226" i="39" s="1"/>
  <c r="R157" i="13"/>
  <c r="L273" i="39" s="1"/>
  <c r="R278" i="13"/>
  <c r="L158" i="39" s="1"/>
  <c r="R252" i="13"/>
  <c r="L308" i="39" s="1"/>
  <c r="R289" i="13"/>
  <c r="R99" i="13"/>
  <c r="L311" i="39" s="1"/>
  <c r="R293" i="13"/>
  <c r="L104" i="39" s="1"/>
  <c r="R181" i="13"/>
  <c r="L120" i="39" s="1"/>
  <c r="R154" i="13"/>
  <c r="L237" i="39" s="1"/>
  <c r="R261" i="13"/>
  <c r="L216" i="39" s="1"/>
  <c r="R312" i="13"/>
  <c r="L199" i="39" s="1"/>
  <c r="R239" i="13"/>
  <c r="L148" i="39" s="1"/>
  <c r="L6" i="39"/>
  <c r="R152" i="13"/>
  <c r="L215" i="39" s="1"/>
  <c r="R190" i="13"/>
  <c r="L285" i="39" s="1"/>
  <c r="R184" i="13"/>
  <c r="L186" i="39" s="1"/>
  <c r="R128" i="13"/>
  <c r="L126" i="39" s="1"/>
  <c r="R303" i="13"/>
  <c r="L86" i="39" s="1"/>
  <c r="R74" i="13"/>
  <c r="L187" i="39" s="1"/>
  <c r="R305" i="13"/>
  <c r="L243" i="39" s="1"/>
  <c r="R292" i="13"/>
  <c r="L98" i="39" s="1"/>
  <c r="R93" i="13"/>
  <c r="L70" i="39" s="1"/>
  <c r="R304" i="13"/>
  <c r="L99" i="39" s="1"/>
  <c r="R288" i="13"/>
  <c r="L213" i="39" s="1"/>
  <c r="R235" i="13"/>
  <c r="L191" i="39" s="1"/>
  <c r="R295" i="13"/>
  <c r="L214" i="39" s="1"/>
  <c r="R257" i="13"/>
  <c r="L160" i="39" s="1"/>
  <c r="R85" i="13"/>
  <c r="L69" i="39" s="1"/>
  <c r="AC178" i="21" s="1"/>
  <c r="R166" i="13"/>
  <c r="L179" i="39" s="1"/>
  <c r="R123" i="13"/>
  <c r="L267" i="39" s="1"/>
  <c r="R158" i="13"/>
  <c r="L72" i="39" s="1"/>
  <c r="AC180" i="21" s="1"/>
  <c r="R253" i="13"/>
  <c r="L109" i="39" s="1"/>
  <c r="R220" i="13"/>
  <c r="L298" i="39" s="1"/>
  <c r="L29" i="39"/>
  <c r="R246" i="13"/>
  <c r="L101" i="39" s="1"/>
  <c r="R279" i="13"/>
  <c r="L150" i="39" s="1"/>
  <c r="R227" i="13"/>
  <c r="L141" i="39" s="1"/>
  <c r="R87" i="13"/>
  <c r="L84" i="39" s="1"/>
  <c r="R102" i="13"/>
  <c r="L233" i="39" s="1"/>
  <c r="R298" i="13"/>
  <c r="L205" i="39" s="1"/>
  <c r="R127" i="13"/>
  <c r="L271" i="39" s="1"/>
  <c r="R271" i="13"/>
  <c r="L259" i="39" s="1"/>
  <c r="R228" i="13"/>
  <c r="L142" i="39" s="1"/>
  <c r="R241" i="13"/>
  <c r="L172" i="39" s="1"/>
  <c r="R286" i="13"/>
  <c r="L76" i="39" s="1"/>
  <c r="R159" i="13"/>
  <c r="L73" i="39" s="1"/>
  <c r="R94" i="13"/>
  <c r="L125" i="39" s="1"/>
  <c r="R84" i="13"/>
  <c r="L270" i="39" s="1"/>
  <c r="AC282" i="21" s="1"/>
  <c r="R49" i="13"/>
  <c r="L51" i="39" s="1"/>
  <c r="R248" i="13"/>
  <c r="L168" i="39" s="1"/>
  <c r="R112" i="13"/>
  <c r="L71" i="39" s="1"/>
  <c r="R146" i="13"/>
  <c r="L268" i="39" s="1"/>
  <c r="R81" i="13"/>
  <c r="L266" i="39" s="1"/>
  <c r="R263" i="13"/>
  <c r="L221" i="39" s="1"/>
  <c r="R101" i="13"/>
  <c r="L178" i="39" s="1"/>
  <c r="R247" i="13"/>
  <c r="L133" i="39" s="1"/>
  <c r="R97" i="13"/>
  <c r="L310" i="39" s="1"/>
  <c r="R207" i="13"/>
  <c r="L242" i="39" s="1"/>
  <c r="R307" i="13"/>
  <c r="L106" i="39" s="1"/>
  <c r="R310" i="13"/>
  <c r="L135" i="39" s="1"/>
  <c r="AC212" i="21" s="1"/>
  <c r="R265" i="13"/>
  <c r="L254" i="39" s="1"/>
  <c r="AC245" i="21" l="1"/>
  <c r="AE245" i="21" s="1"/>
  <c r="M10" i="31"/>
  <c r="L10" i="31"/>
  <c r="K10" i="31"/>
  <c r="J10" i="31"/>
  <c r="I10" i="31"/>
  <c r="H10" i="31"/>
  <c r="H12" i="31" s="1"/>
  <c r="G10" i="31"/>
  <c r="G12" i="31" s="1"/>
  <c r="F10" i="31"/>
  <c r="E10" i="31"/>
  <c r="E12" i="31" s="1"/>
  <c r="D10" i="31"/>
  <c r="C10" i="31"/>
  <c r="M4" i="31"/>
  <c r="M6" i="31" s="1"/>
  <c r="K4" i="31"/>
  <c r="K6" i="31" s="1"/>
  <c r="J4" i="31"/>
  <c r="J6" i="31" s="1"/>
  <c r="I4" i="31"/>
  <c r="I6" i="31" s="1"/>
  <c r="H4" i="31"/>
  <c r="H6" i="31" s="1"/>
  <c r="G4" i="31"/>
  <c r="G6" i="31" s="1"/>
  <c r="F4" i="31"/>
  <c r="F6" i="31" s="1"/>
  <c r="E4" i="31"/>
  <c r="E6" i="31" s="1"/>
  <c r="D4" i="31"/>
  <c r="D6" i="31" s="1"/>
  <c r="C4" i="31"/>
  <c r="C6" i="31" s="1"/>
  <c r="P4" i="42"/>
  <c r="AB4" i="42" s="1"/>
  <c r="AB16" i="42" s="1"/>
  <c r="V16" i="42"/>
  <c r="P3" i="42"/>
  <c r="L231" i="39"/>
  <c r="O12" i="42" s="1"/>
  <c r="AA12" i="42" s="1"/>
  <c r="AC19" i="21"/>
  <c r="AE19" i="21" s="1"/>
  <c r="AC300" i="21"/>
  <c r="AE300" i="21" s="1"/>
  <c r="AC306" i="21"/>
  <c r="AE306" i="21" s="1"/>
  <c r="AC177" i="21"/>
  <c r="AE177" i="21" s="1"/>
  <c r="AC243" i="21"/>
  <c r="AE243" i="21" s="1"/>
  <c r="AC69" i="21"/>
  <c r="AE69" i="21" s="1"/>
  <c r="AC72" i="21"/>
  <c r="AE72" i="21" s="1"/>
  <c r="AC73" i="21"/>
  <c r="AE73" i="21" s="1"/>
  <c r="AC189" i="21"/>
  <c r="AE189" i="21" s="1"/>
  <c r="AC102" i="21"/>
  <c r="AE102" i="21" s="1"/>
  <c r="AE190" i="21"/>
  <c r="AE212" i="21"/>
  <c r="AE178" i="21"/>
  <c r="AE167" i="21"/>
  <c r="AE275" i="21"/>
  <c r="AE56" i="21"/>
  <c r="AE55" i="21"/>
  <c r="AE211" i="21"/>
  <c r="AE282" i="21"/>
  <c r="AE180" i="21"/>
  <c r="AE22" i="21"/>
  <c r="AE24" i="21"/>
  <c r="AE15" i="21"/>
  <c r="AE257" i="21"/>
  <c r="AE214" i="21"/>
  <c r="AE27" i="21"/>
  <c r="AC158" i="21"/>
  <c r="AC259" i="21"/>
  <c r="AC57" i="21"/>
  <c r="AC54" i="21"/>
  <c r="AC294" i="21"/>
  <c r="AC146" i="21"/>
  <c r="AC309" i="21"/>
  <c r="AC213" i="21"/>
  <c r="AC116" i="21"/>
  <c r="AC286" i="21"/>
  <c r="AC246" i="21"/>
  <c r="AC247" i="21"/>
  <c r="AC260" i="21"/>
  <c r="AC299" i="21"/>
  <c r="AC109" i="21"/>
  <c r="AC147" i="21"/>
  <c r="AC108" i="21"/>
  <c r="AC240" i="21"/>
  <c r="AC144" i="21"/>
  <c r="AC58" i="21"/>
  <c r="AC32" i="21"/>
  <c r="AC71" i="21"/>
  <c r="AC236" i="21"/>
  <c r="AC127" i="21"/>
  <c r="AC111" i="21"/>
  <c r="AC279" i="21"/>
  <c r="AC310" i="21"/>
  <c r="AC28" i="21"/>
  <c r="AC179" i="21"/>
  <c r="AC230" i="21"/>
  <c r="AC263" i="21"/>
  <c r="AC162" i="21"/>
  <c r="AC87" i="21"/>
  <c r="AC205" i="21"/>
  <c r="AC170" i="21"/>
  <c r="AC18" i="21"/>
  <c r="AC191" i="21"/>
  <c r="AC70" i="21"/>
  <c r="AC30" i="21"/>
  <c r="AC96" i="21"/>
  <c r="AC148" i="21"/>
  <c r="AC33" i="21"/>
  <c r="AC157" i="21"/>
  <c r="AE157" i="21" s="1"/>
  <c r="AC151" i="21"/>
  <c r="AE151" i="21" s="1"/>
  <c r="AC209" i="21"/>
  <c r="AE209" i="21" s="1"/>
  <c r="AC149" i="21"/>
  <c r="AE149" i="21" s="1"/>
  <c r="AC156" i="21"/>
  <c r="AE156" i="21" s="1"/>
  <c r="AC153" i="21"/>
  <c r="AE153" i="21" s="1"/>
  <c r="AC291" i="21"/>
  <c r="AE291" i="21" s="1"/>
  <c r="AC231" i="21"/>
  <c r="AE231" i="21" s="1"/>
  <c r="AC268" i="21"/>
  <c r="AE268" i="21" s="1"/>
  <c r="AC42" i="21"/>
  <c r="AE42" i="21" s="1"/>
  <c r="AC134" i="21"/>
  <c r="AE134" i="21" s="1"/>
  <c r="AC49" i="21"/>
  <c r="AE49" i="21" s="1"/>
  <c r="AC207" i="21"/>
  <c r="AE207" i="21" s="1"/>
  <c r="AC290" i="21"/>
  <c r="AC90" i="21"/>
  <c r="AC200" i="21"/>
  <c r="AC136" i="21"/>
  <c r="AC43" i="21"/>
  <c r="AC185" i="21"/>
  <c r="AC52" i="21"/>
  <c r="AC4" i="21"/>
  <c r="AE4" i="21" s="1"/>
  <c r="AC88" i="21"/>
  <c r="AC221" i="21"/>
  <c r="AC21" i="21"/>
  <c r="AC222" i="21"/>
  <c r="AC308" i="21"/>
  <c r="AC208" i="21"/>
  <c r="AC201" i="21"/>
  <c r="AC295" i="21"/>
  <c r="AC274" i="21"/>
  <c r="AC228" i="21"/>
  <c r="AC197" i="21"/>
  <c r="AC16" i="21"/>
  <c r="AC238" i="21"/>
  <c r="AC113" i="21"/>
  <c r="AC196" i="21"/>
  <c r="AC20" i="21"/>
  <c r="AC23" i="21"/>
  <c r="AC288" i="21"/>
  <c r="AC270" i="21"/>
  <c r="AC215" i="21"/>
  <c r="AC292" i="21"/>
  <c r="AC273" i="21"/>
  <c r="AC217" i="21"/>
  <c r="AC64" i="21"/>
  <c r="AC78" i="21"/>
  <c r="AC63" i="21"/>
  <c r="AC95" i="21"/>
  <c r="AC219" i="21"/>
  <c r="AC86" i="21"/>
  <c r="AC11" i="21"/>
  <c r="AC289" i="21"/>
  <c r="AC253" i="21"/>
  <c r="AC192" i="21"/>
  <c r="AC168" i="21"/>
  <c r="AC304" i="21"/>
  <c r="AC85" i="21"/>
  <c r="AC66" i="21"/>
  <c r="AC105" i="21"/>
  <c r="AC169" i="21"/>
  <c r="AC107" i="21"/>
  <c r="AC298" i="21"/>
  <c r="AC296" i="21"/>
  <c r="AC84" i="21"/>
  <c r="AC155" i="21"/>
  <c r="AC224" i="21"/>
  <c r="AC256" i="21"/>
  <c r="AC181" i="21"/>
  <c r="AC250" i="21"/>
  <c r="AC187" i="21"/>
  <c r="AC47" i="21"/>
  <c r="AC232" i="21"/>
  <c r="AC261" i="21"/>
  <c r="AC206" i="21"/>
  <c r="AC202" i="21"/>
  <c r="AC77" i="21"/>
  <c r="AC188" i="21"/>
  <c r="AC82" i="21"/>
  <c r="AC210" i="21"/>
  <c r="AC141" i="21"/>
  <c r="AC93" i="21"/>
  <c r="AC106" i="21"/>
  <c r="AC176" i="21"/>
  <c r="AC281" i="21"/>
  <c r="AC75" i="21"/>
  <c r="AC172" i="21"/>
  <c r="AC121" i="21"/>
  <c r="AC62" i="21"/>
  <c r="AC159" i="21"/>
  <c r="AC80" i="21"/>
  <c r="AC5" i="21"/>
  <c r="AC258" i="21"/>
  <c r="AC160" i="21"/>
  <c r="AC173" i="21"/>
  <c r="AC175" i="21"/>
  <c r="AC237" i="21"/>
  <c r="AC137" i="21"/>
  <c r="AC128" i="21"/>
  <c r="AC132" i="21"/>
  <c r="AC171" i="21"/>
  <c r="AC254" i="21"/>
  <c r="AC89" i="21"/>
  <c r="AC301" i="21"/>
  <c r="AC277" i="21"/>
  <c r="AC234" i="21"/>
  <c r="AC119" i="21"/>
  <c r="AC130" i="21"/>
  <c r="AC65" i="21"/>
  <c r="AC262" i="21"/>
  <c r="AC229" i="21"/>
  <c r="AC276" i="21"/>
  <c r="AC186" i="21"/>
  <c r="AC265" i="21"/>
  <c r="AC251" i="21"/>
  <c r="AC223" i="21"/>
  <c r="AC26" i="21"/>
  <c r="AC311" i="21"/>
  <c r="AC110" i="21"/>
  <c r="AC8" i="21"/>
  <c r="AC182" i="21"/>
  <c r="AC29" i="21"/>
  <c r="AC235" i="21"/>
  <c r="AC164" i="21"/>
  <c r="AC34" i="21"/>
  <c r="AC36" i="21"/>
  <c r="AC249" i="21"/>
  <c r="AC53" i="21"/>
  <c r="AC312" i="21"/>
  <c r="AC194" i="21"/>
  <c r="AC79" i="21"/>
  <c r="AC293" i="21"/>
  <c r="AC37" i="21"/>
  <c r="AC287" i="21"/>
  <c r="AC98" i="21"/>
  <c r="AC7" i="21"/>
  <c r="AC41" i="21"/>
  <c r="AC115" i="21"/>
  <c r="AC199" i="21"/>
  <c r="AC218" i="21"/>
  <c r="AC17" i="21"/>
  <c r="AC283" i="21"/>
  <c r="AC104" i="21"/>
  <c r="AC226" i="21"/>
  <c r="AC227" i="21"/>
  <c r="AC91" i="21"/>
  <c r="AC255" i="21"/>
  <c r="AC97" i="21"/>
  <c r="AC163" i="21"/>
  <c r="AC252" i="21"/>
  <c r="AC142" i="21"/>
  <c r="AC131" i="21"/>
  <c r="AC117" i="21"/>
  <c r="AC152" i="21"/>
  <c r="AC125" i="21"/>
  <c r="AC50" i="21"/>
  <c r="AC174" i="21"/>
  <c r="AC140" i="21"/>
  <c r="AC280" i="21"/>
  <c r="AC161" i="21"/>
  <c r="AC48" i="21"/>
  <c r="AC81" i="21"/>
  <c r="AC203" i="21"/>
  <c r="AC285" i="21"/>
  <c r="AC135" i="21"/>
  <c r="AC94" i="21"/>
  <c r="AC225" i="21"/>
  <c r="AC195" i="21"/>
  <c r="AC124" i="21"/>
  <c r="AC165" i="21"/>
  <c r="V1" i="13"/>
  <c r="R49" i="19"/>
  <c r="R50" i="19" s="1"/>
  <c r="R5" i="19"/>
  <c r="Q7" i="42" l="1"/>
  <c r="J16" i="31"/>
  <c r="J18" i="31" s="1"/>
  <c r="J26" i="31" s="1"/>
  <c r="L4" i="31"/>
  <c r="L6" i="31" s="1"/>
  <c r="P6" i="42"/>
  <c r="AB6" i="42" s="1"/>
  <c r="J12" i="31"/>
  <c r="K16" i="31"/>
  <c r="K18" i="31" s="1"/>
  <c r="K26" i="31" s="1"/>
  <c r="D16" i="31"/>
  <c r="D18" i="31" s="1"/>
  <c r="D26" i="31" s="1"/>
  <c r="G16" i="31"/>
  <c r="G18" i="31" s="1"/>
  <c r="G26" i="31" s="1"/>
  <c r="H16" i="31"/>
  <c r="H18" i="31" s="1"/>
  <c r="H26" i="31" s="1"/>
  <c r="M16" i="31"/>
  <c r="M18" i="31" s="1"/>
  <c r="M26" i="31" s="1"/>
  <c r="M12" i="31"/>
  <c r="D12" i="31"/>
  <c r="E16" i="31"/>
  <c r="E18" i="31" s="1"/>
  <c r="E26" i="31" s="1"/>
  <c r="K12" i="31"/>
  <c r="F12" i="31"/>
  <c r="F16" i="31"/>
  <c r="F18" i="31" s="1"/>
  <c r="F26" i="31" s="1"/>
  <c r="I12" i="31"/>
  <c r="I16" i="31"/>
  <c r="I18" i="31" s="1"/>
  <c r="I26" i="31" s="1"/>
  <c r="C12" i="31"/>
  <c r="C16" i="31"/>
  <c r="C18" i="31" s="1"/>
  <c r="C26" i="31" s="1"/>
  <c r="Q13" i="42"/>
  <c r="Q12" i="42"/>
  <c r="Q11" i="42"/>
  <c r="Q5" i="42"/>
  <c r="Q6" i="42"/>
  <c r="P13" i="42"/>
  <c r="AB13" i="42" s="1"/>
  <c r="P7" i="42"/>
  <c r="AB7" i="42" s="1"/>
  <c r="O13" i="42"/>
  <c r="O7" i="42"/>
  <c r="AB3" i="42"/>
  <c r="V15" i="42"/>
  <c r="O6" i="42"/>
  <c r="AA6" i="42" s="1"/>
  <c r="AA18" i="42" s="1"/>
  <c r="P12" i="42"/>
  <c r="AB12" i="42" s="1"/>
  <c r="D17" i="42"/>
  <c r="P11" i="42"/>
  <c r="O11" i="42"/>
  <c r="C18" i="42"/>
  <c r="D18" i="42"/>
  <c r="D16" i="42"/>
  <c r="D15" i="42"/>
  <c r="C17" i="42"/>
  <c r="J18" i="42"/>
  <c r="I15" i="42"/>
  <c r="I18" i="42"/>
  <c r="I17" i="42"/>
  <c r="J17" i="42"/>
  <c r="O5" i="42"/>
  <c r="P5" i="42"/>
  <c r="AB5" i="42" s="1"/>
  <c r="AC40" i="21"/>
  <c r="AE40" i="21" s="1"/>
  <c r="AC266" i="21"/>
  <c r="AE266" i="21" s="1"/>
  <c r="AC284" i="21"/>
  <c r="AE284" i="21" s="1"/>
  <c r="AC51" i="21"/>
  <c r="AE51" i="21" s="1"/>
  <c r="AC272" i="21"/>
  <c r="AE272" i="21" s="1"/>
  <c r="AC46" i="21"/>
  <c r="AE46" i="21" s="1"/>
  <c r="AC9" i="21"/>
  <c r="AE9" i="21" s="1"/>
  <c r="AC313" i="21"/>
  <c r="AE313" i="21" s="1"/>
  <c r="AC302" i="21"/>
  <c r="AE302" i="21" s="1"/>
  <c r="AC183" i="21"/>
  <c r="AE183" i="21" s="1"/>
  <c r="AC184" i="21"/>
  <c r="AE184" i="21" s="1"/>
  <c r="AC100" i="21"/>
  <c r="AE100" i="21" s="1"/>
  <c r="AC145" i="21"/>
  <c r="AE145" i="21" s="1"/>
  <c r="AC92" i="21"/>
  <c r="AE92" i="21" s="1"/>
  <c r="AC44" i="21"/>
  <c r="AE44" i="21" s="1"/>
  <c r="AC83" i="21"/>
  <c r="AE83" i="21" s="1"/>
  <c r="AC10" i="21"/>
  <c r="AE10" i="21" s="1"/>
  <c r="AC129" i="21"/>
  <c r="AE129" i="21" s="1"/>
  <c r="AC133" i="21"/>
  <c r="AE133" i="21" s="1"/>
  <c r="AC138" i="21"/>
  <c r="AE138" i="21" s="1"/>
  <c r="AC139" i="21"/>
  <c r="AE139" i="21" s="1"/>
  <c r="AC204" i="21"/>
  <c r="AE204" i="21" s="1"/>
  <c r="AC216" i="21"/>
  <c r="AE216" i="21" s="1"/>
  <c r="AC60" i="21"/>
  <c r="AE60" i="21" s="1"/>
  <c r="AC59" i="21"/>
  <c r="AE59" i="21" s="1"/>
  <c r="AC150" i="21"/>
  <c r="AE150" i="21" s="1"/>
  <c r="AE225" i="21"/>
  <c r="AE203" i="21"/>
  <c r="AE280" i="21"/>
  <c r="AE117" i="21"/>
  <c r="AE163" i="21"/>
  <c r="AE227" i="21"/>
  <c r="AE41" i="21"/>
  <c r="AE37" i="21"/>
  <c r="AE312" i="21"/>
  <c r="AE26" i="21"/>
  <c r="AE186" i="21"/>
  <c r="AE65" i="21"/>
  <c r="AE277" i="21"/>
  <c r="AE171" i="21"/>
  <c r="AE237" i="21"/>
  <c r="AE258" i="21"/>
  <c r="AE62" i="21"/>
  <c r="AE281" i="21"/>
  <c r="AE141" i="21"/>
  <c r="AE77" i="21"/>
  <c r="AE232" i="21"/>
  <c r="AE181" i="21"/>
  <c r="AE84" i="21"/>
  <c r="AE169" i="21"/>
  <c r="AE304" i="21"/>
  <c r="AE289" i="21"/>
  <c r="AE95" i="21"/>
  <c r="AE217" i="21"/>
  <c r="AE270" i="21"/>
  <c r="AE196" i="21"/>
  <c r="AE197" i="21"/>
  <c r="AE201" i="21"/>
  <c r="AE21" i="21"/>
  <c r="AE52" i="21"/>
  <c r="AE200" i="21"/>
  <c r="AE33" i="21"/>
  <c r="AE70" i="21"/>
  <c r="AE205" i="21"/>
  <c r="AE179" i="21"/>
  <c r="AE111" i="21"/>
  <c r="AE32" i="21"/>
  <c r="AE108" i="21"/>
  <c r="AE260" i="21"/>
  <c r="AE116" i="21"/>
  <c r="AE294" i="21"/>
  <c r="AE158" i="21"/>
  <c r="AE17" i="21"/>
  <c r="AE34" i="21"/>
  <c r="AE182" i="21"/>
  <c r="AE165" i="21"/>
  <c r="AE94" i="21"/>
  <c r="AE81" i="21"/>
  <c r="AE140" i="21"/>
  <c r="AE131" i="21"/>
  <c r="AE97" i="21"/>
  <c r="AE226" i="21"/>
  <c r="AE218" i="21"/>
  <c r="AE7" i="21"/>
  <c r="AE293" i="21"/>
  <c r="AE53" i="21"/>
  <c r="AE164" i="21"/>
  <c r="AE8" i="21"/>
  <c r="AE223" i="21"/>
  <c r="AE276" i="21"/>
  <c r="AE130" i="21"/>
  <c r="AE301" i="21"/>
  <c r="AE132" i="21"/>
  <c r="AE175" i="21"/>
  <c r="AE5" i="21"/>
  <c r="AE121" i="21"/>
  <c r="AE176" i="21"/>
  <c r="AE210" i="21"/>
  <c r="AE202" i="21"/>
  <c r="AE47" i="21"/>
  <c r="AE256" i="21"/>
  <c r="AE296" i="21"/>
  <c r="AE105" i="21"/>
  <c r="AE168" i="21"/>
  <c r="AE11" i="21"/>
  <c r="AE63" i="21"/>
  <c r="AE273" i="21"/>
  <c r="AE288" i="21"/>
  <c r="AE113" i="21"/>
  <c r="AE228" i="21"/>
  <c r="AE208" i="21"/>
  <c r="AE221" i="21"/>
  <c r="AE185" i="21"/>
  <c r="AE90" i="21"/>
  <c r="AE148" i="21"/>
  <c r="AE191" i="21"/>
  <c r="AE87" i="21"/>
  <c r="AE28" i="21"/>
  <c r="AE127" i="21"/>
  <c r="AE58" i="21"/>
  <c r="AE147" i="21"/>
  <c r="AE247" i="21"/>
  <c r="AE213" i="21"/>
  <c r="AE54" i="21"/>
  <c r="AE174" i="21"/>
  <c r="AE125" i="21"/>
  <c r="AE142" i="21"/>
  <c r="AE255" i="21"/>
  <c r="AE104" i="21"/>
  <c r="AE199" i="21"/>
  <c r="AE98" i="21"/>
  <c r="AE79" i="21"/>
  <c r="AE249" i="21"/>
  <c r="AE235" i="21"/>
  <c r="AE110" i="21"/>
  <c r="AE251" i="21"/>
  <c r="AE229" i="21"/>
  <c r="AE119" i="21"/>
  <c r="AE89" i="21"/>
  <c r="AE128" i="21"/>
  <c r="AE173" i="21"/>
  <c r="AE80" i="21"/>
  <c r="AE172" i="21"/>
  <c r="AE106" i="21"/>
  <c r="AE82" i="21"/>
  <c r="AE206" i="21"/>
  <c r="AE187" i="21"/>
  <c r="AE224" i="21"/>
  <c r="AE298" i="21"/>
  <c r="AE66" i="21"/>
  <c r="AE192" i="21"/>
  <c r="AE86" i="21"/>
  <c r="AE78" i="21"/>
  <c r="AE292" i="21"/>
  <c r="AE23" i="21"/>
  <c r="AE238" i="21"/>
  <c r="AE274" i="21"/>
  <c r="AE308" i="21"/>
  <c r="AE88" i="21"/>
  <c r="AE43" i="21"/>
  <c r="AE290" i="21"/>
  <c r="AE96" i="21"/>
  <c r="AE18" i="21"/>
  <c r="AE162" i="21"/>
  <c r="AE310" i="21"/>
  <c r="AE236" i="21"/>
  <c r="AE144" i="21"/>
  <c r="AE109" i="21"/>
  <c r="AE246" i="21"/>
  <c r="AE309" i="21"/>
  <c r="AE57" i="21"/>
  <c r="AE124" i="21"/>
  <c r="AE135" i="21"/>
  <c r="AE48" i="21"/>
  <c r="AE195" i="21"/>
  <c r="AE285" i="21"/>
  <c r="AE161" i="21"/>
  <c r="AE50" i="21"/>
  <c r="AE152" i="21"/>
  <c r="AE252" i="21"/>
  <c r="AE91" i="21"/>
  <c r="AE283" i="21"/>
  <c r="AE115" i="21"/>
  <c r="AE287" i="21"/>
  <c r="AE194" i="21"/>
  <c r="AE36" i="21"/>
  <c r="AE29" i="21"/>
  <c r="AE311" i="21"/>
  <c r="AE265" i="21"/>
  <c r="AE262" i="21"/>
  <c r="AE234" i="21"/>
  <c r="AE254" i="21"/>
  <c r="AE137" i="21"/>
  <c r="AE160" i="21"/>
  <c r="AE159" i="21"/>
  <c r="AE75" i="21"/>
  <c r="AE93" i="21"/>
  <c r="AE188" i="21"/>
  <c r="AE261" i="21"/>
  <c r="AE250" i="21"/>
  <c r="AE155" i="21"/>
  <c r="AE107" i="21"/>
  <c r="AE85" i="21"/>
  <c r="AE253" i="21"/>
  <c r="AE219" i="21"/>
  <c r="AE64" i="21"/>
  <c r="AE215" i="21"/>
  <c r="AE20" i="21"/>
  <c r="AE16" i="21"/>
  <c r="AE295" i="21"/>
  <c r="AE222" i="21"/>
  <c r="AE136" i="21"/>
  <c r="AE30" i="21"/>
  <c r="AE170" i="21"/>
  <c r="AE263" i="21"/>
  <c r="AE230" i="21"/>
  <c r="AE279" i="21"/>
  <c r="AE71" i="21"/>
  <c r="AE240" i="21"/>
  <c r="AE299" i="21"/>
  <c r="AE286" i="21"/>
  <c r="AE146" i="21"/>
  <c r="AE259" i="21"/>
  <c r="L12" i="31" l="1"/>
  <c r="L16" i="31"/>
  <c r="L18" i="31" s="1"/>
  <c r="L26" i="31" s="1"/>
  <c r="Q17" i="42"/>
  <c r="Q18" i="42"/>
  <c r="Q19" i="42"/>
  <c r="AA13" i="42"/>
  <c r="Q14" i="42"/>
  <c r="P14" i="42"/>
  <c r="AA7" i="42"/>
  <c r="Q8" i="42"/>
  <c r="AB19" i="42"/>
  <c r="P19" i="42"/>
  <c r="O19" i="42"/>
  <c r="AA11" i="42"/>
  <c r="O14" i="42"/>
  <c r="P8" i="42"/>
  <c r="AB11" i="42"/>
  <c r="AB15" i="42"/>
  <c r="O8" i="42"/>
  <c r="AA5" i="42"/>
  <c r="AB18" i="42"/>
  <c r="U18" i="42"/>
  <c r="U17" i="42"/>
  <c r="V18" i="42"/>
  <c r="V17" i="42"/>
  <c r="V20" i="42"/>
  <c r="C16" i="42"/>
  <c r="C14" i="42"/>
  <c r="D14" i="42"/>
  <c r="I16" i="42"/>
  <c r="C15" i="42"/>
  <c r="J16" i="42"/>
  <c r="J15" i="42"/>
  <c r="J20" i="42"/>
  <c r="O15" i="42"/>
  <c r="P17" i="42"/>
  <c r="P15" i="42"/>
  <c r="P18" i="42"/>
  <c r="O18" i="42"/>
  <c r="P16" i="42"/>
  <c r="O17" i="42"/>
  <c r="O16" i="42"/>
  <c r="AC1" i="21"/>
  <c r="AE1" i="21"/>
  <c r="AA8" i="42" l="1"/>
  <c r="AA14" i="42"/>
  <c r="Q20" i="42"/>
  <c r="AA19" i="42"/>
  <c r="P20" i="42"/>
  <c r="AB8" i="42"/>
  <c r="AB17" i="42"/>
  <c r="AB14" i="42"/>
  <c r="AA17" i="42"/>
  <c r="C20" i="42"/>
  <c r="U20" i="42"/>
  <c r="D20" i="42"/>
  <c r="O20" i="42"/>
  <c r="AA20" i="42" l="1"/>
  <c r="AB20" i="42"/>
  <c r="R6" i="19" l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303" i="19"/>
  <c r="R304" i="19" s="1"/>
  <c r="R305" i="19" s="1"/>
  <c r="R306" i="19" s="1"/>
  <c r="R307" i="19" s="1"/>
  <c r="R308" i="19" s="1"/>
  <c r="R309" i="19" s="1"/>
  <c r="R310" i="19" s="1"/>
  <c r="R311" i="19" s="1"/>
  <c r="R312" i="19" s="1"/>
  <c r="R313" i="19" s="1"/>
  <c r="R314" i="19" s="1"/>
  <c r="R172" i="19"/>
  <c r="R173" i="19" s="1"/>
  <c r="R174" i="19" s="1"/>
  <c r="R175" i="19" s="1"/>
  <c r="R176" i="19" s="1"/>
  <c r="R177" i="19" s="1"/>
  <c r="R178" i="19" s="1"/>
  <c r="R179" i="19" s="1"/>
  <c r="R180" i="19" s="1"/>
  <c r="R181" i="19" s="1"/>
  <c r="R182" i="19" s="1"/>
  <c r="R183" i="19" s="1"/>
  <c r="R184" i="19" s="1"/>
  <c r="R185" i="19" s="1"/>
  <c r="R186" i="19" s="1"/>
  <c r="R187" i="19" s="1"/>
  <c r="R188" i="19" s="1"/>
  <c r="R189" i="19" s="1"/>
  <c r="R190" i="19" s="1"/>
  <c r="R191" i="19" s="1"/>
  <c r="R192" i="19" s="1"/>
  <c r="R193" i="19" s="1"/>
  <c r="R194" i="19" s="1"/>
  <c r="R195" i="19" s="1"/>
  <c r="R196" i="19" s="1"/>
  <c r="R197" i="19" s="1"/>
  <c r="R198" i="19" s="1"/>
  <c r="R199" i="19" s="1"/>
  <c r="R200" i="19" s="1"/>
  <c r="R201" i="19" s="1"/>
  <c r="R202" i="19" s="1"/>
  <c r="R203" i="19" s="1"/>
  <c r="R204" i="19" s="1"/>
  <c r="R205" i="19" s="1"/>
  <c r="R206" i="19" s="1"/>
  <c r="R207" i="19" s="1"/>
  <c r="R208" i="19" s="1"/>
  <c r="R209" i="19" s="1"/>
  <c r="R210" i="19" s="1"/>
  <c r="R211" i="19" s="1"/>
  <c r="R212" i="19" s="1"/>
  <c r="R213" i="19" s="1"/>
  <c r="R214" i="19" s="1"/>
  <c r="R215" i="19" s="1"/>
  <c r="R216" i="19" s="1"/>
  <c r="R217" i="19" s="1"/>
  <c r="R218" i="19" s="1"/>
  <c r="R219" i="19" s="1"/>
  <c r="R220" i="19" s="1"/>
  <c r="R221" i="19" s="1"/>
  <c r="R222" i="19" s="1"/>
  <c r="R223" i="19" s="1"/>
  <c r="R224" i="19" s="1"/>
  <c r="R225" i="19" s="1"/>
  <c r="R226" i="19" s="1"/>
  <c r="R227" i="19" s="1"/>
  <c r="R228" i="19" s="1"/>
  <c r="R229" i="19" s="1"/>
  <c r="R230" i="19" s="1"/>
  <c r="R231" i="19" s="1"/>
  <c r="R232" i="19" s="1"/>
  <c r="R233" i="19" s="1"/>
  <c r="R234" i="19" s="1"/>
  <c r="R235" i="19" s="1"/>
  <c r="R236" i="19" s="1"/>
  <c r="R237" i="19" s="1"/>
  <c r="R238" i="19" s="1"/>
  <c r="R239" i="19" s="1"/>
  <c r="R240" i="19" s="1"/>
  <c r="R241" i="19" s="1"/>
  <c r="R242" i="19" s="1"/>
  <c r="R243" i="19" s="1"/>
  <c r="R244" i="19" s="1"/>
  <c r="R245" i="19" s="1"/>
  <c r="R246" i="19" s="1"/>
  <c r="R247" i="19" s="1"/>
  <c r="R248" i="19" s="1"/>
  <c r="R249" i="19" s="1"/>
  <c r="R250" i="19" s="1"/>
  <c r="R88" i="19"/>
  <c r="R89" i="19" s="1"/>
  <c r="R90" i="19" s="1"/>
  <c r="R91" i="19" s="1"/>
  <c r="R92" i="19" s="1"/>
  <c r="R93" i="19" s="1"/>
  <c r="R94" i="19" s="1"/>
  <c r="R95" i="19" s="1"/>
  <c r="R96" i="19" s="1"/>
  <c r="R97" i="19" s="1"/>
  <c r="R98" i="19" s="1"/>
  <c r="R99" i="19" s="1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R119" i="19" s="1"/>
  <c r="R120" i="19" s="1"/>
  <c r="R121" i="19" s="1"/>
  <c r="R122" i="19" s="1"/>
  <c r="R123" i="19" s="1"/>
  <c r="R124" i="19" s="1"/>
  <c r="R125" i="19" s="1"/>
  <c r="R126" i="19" s="1"/>
  <c r="R127" i="19" s="1"/>
  <c r="R128" i="19" s="1"/>
  <c r="R129" i="19"/>
  <c r="R130" i="19" s="1"/>
  <c r="R131" i="19" s="1"/>
  <c r="R132" i="19" s="1"/>
  <c r="R133" i="19" s="1"/>
  <c r="R134" i="19" s="1"/>
  <c r="R135" i="19" s="1"/>
  <c r="R136" i="19" s="1"/>
  <c r="R137" i="19" s="1"/>
  <c r="R138" i="19" s="1"/>
  <c r="R139" i="19" s="1"/>
  <c r="R140" i="19" s="1"/>
  <c r="R141" i="19" s="1"/>
  <c r="R142" i="19" s="1"/>
  <c r="R143" i="19" s="1"/>
  <c r="R144" i="19" s="1"/>
  <c r="R145" i="19" s="1"/>
  <c r="R146" i="19" s="1"/>
  <c r="R147" i="19" s="1"/>
  <c r="R148" i="19" s="1"/>
  <c r="R149" i="19" s="1"/>
  <c r="R150" i="19" s="1"/>
  <c r="R151" i="19" s="1"/>
  <c r="R152" i="19" s="1"/>
  <c r="R153" i="19" s="1"/>
  <c r="R154" i="19"/>
  <c r="R155" i="19" s="1"/>
  <c r="R156" i="19" s="1"/>
  <c r="R157" i="19" s="1"/>
  <c r="R158" i="19" s="1"/>
  <c r="R159" i="19" s="1"/>
  <c r="R160" i="19" s="1"/>
  <c r="R161" i="19" s="1"/>
  <c r="R162" i="19" s="1"/>
  <c r="R163" i="19" s="1"/>
  <c r="R164" i="19" s="1"/>
  <c r="R165" i="19" s="1"/>
  <c r="R166" i="19" s="1"/>
  <c r="R167" i="19" s="1"/>
  <c r="R168" i="19" s="1"/>
  <c r="R169" i="19" s="1"/>
  <c r="R170" i="19" s="1"/>
  <c r="R171" i="19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251" i="19"/>
  <c r="R252" i="19" s="1"/>
  <c r="R253" i="19" s="1"/>
  <c r="R254" i="19" s="1"/>
  <c r="R255" i="19" s="1"/>
  <c r="R256" i="19" s="1"/>
  <c r="R257" i="19" s="1"/>
  <c r="R258" i="19" s="1"/>
  <c r="R259" i="19" s="1"/>
  <c r="R260" i="19" s="1"/>
  <c r="R261" i="19" s="1"/>
  <c r="R262" i="19" s="1"/>
  <c r="R263" i="19" s="1"/>
  <c r="R264" i="19" s="1"/>
  <c r="R265" i="19" s="1"/>
  <c r="R266" i="19" s="1"/>
  <c r="R267" i="19" s="1"/>
  <c r="R268" i="19" s="1"/>
  <c r="R269" i="19" s="1"/>
  <c r="R270" i="19" s="1"/>
  <c r="R271" i="19" s="1"/>
  <c r="R272" i="19" s="1"/>
  <c r="R273" i="19" s="1"/>
  <c r="R274" i="19" s="1"/>
  <c r="R275" i="19" s="1"/>
  <c r="R276" i="19" s="1"/>
  <c r="R277" i="19" s="1"/>
  <c r="R278" i="19" s="1"/>
  <c r="R279" i="19" s="1"/>
  <c r="R280" i="19" s="1"/>
  <c r="R281" i="19" s="1"/>
  <c r="R282" i="19" s="1"/>
  <c r="R283" i="19" s="1"/>
  <c r="R284" i="19" s="1"/>
  <c r="R285" i="19" s="1"/>
  <c r="R286" i="19" s="1"/>
  <c r="R287" i="19" s="1"/>
  <c r="R288" i="19" s="1"/>
  <c r="R289" i="19" s="1"/>
  <c r="R290" i="19" s="1"/>
  <c r="R291" i="19" s="1"/>
  <c r="R292" i="19" s="1"/>
  <c r="R293" i="19" s="1"/>
  <c r="R294" i="19" s="1"/>
  <c r="R295" i="19" s="1"/>
  <c r="R296" i="19" s="1"/>
  <c r="R297" i="19" s="1"/>
  <c r="R298" i="19" s="1"/>
  <c r="R299" i="19" s="1"/>
  <c r="R300" i="19" s="1"/>
  <c r="R301" i="19" s="1"/>
  <c r="R302" i="19" s="1"/>
  <c r="V69" i="36" l="1"/>
  <c r="V70" i="36" s="1"/>
  <c r="V71" i="36" s="1"/>
  <c r="V72" i="36" s="1"/>
  <c r="V73" i="36" s="1"/>
  <c r="V74" i="36" s="1"/>
  <c r="V75" i="36" s="1"/>
  <c r="V76" i="36" s="1"/>
  <c r="V77" i="36" s="1"/>
  <c r="V78" i="36" s="1"/>
  <c r="V79" i="36" s="1"/>
  <c r="V80" i="36" s="1"/>
  <c r="V81" i="36" s="1"/>
  <c r="V82" i="36" s="1"/>
  <c r="V83" i="36" s="1"/>
  <c r="V84" i="36" s="1"/>
  <c r="V85" i="36" s="1"/>
  <c r="V86" i="36" s="1"/>
  <c r="V87" i="36" s="1"/>
  <c r="V88" i="36" s="1"/>
  <c r="V89" i="36" s="1"/>
  <c r="V90" i="36" s="1"/>
  <c r="V61" i="36"/>
  <c r="V202" i="36"/>
  <c r="V203" i="36" s="1"/>
  <c r="V204" i="36" s="1"/>
  <c r="V205" i="36" s="1"/>
  <c r="V206" i="36" s="1"/>
  <c r="V207" i="36" s="1"/>
  <c r="V208" i="36" s="1"/>
  <c r="V209" i="36" s="1"/>
  <c r="V210" i="36" s="1"/>
  <c r="V211" i="36" s="1"/>
  <c r="V212" i="36" s="1"/>
  <c r="V213" i="36" s="1"/>
  <c r="V214" i="36" s="1"/>
  <c r="V215" i="36" s="1"/>
  <c r="V216" i="36" s="1"/>
  <c r="V217" i="36" s="1"/>
  <c r="V218" i="36" s="1"/>
  <c r="V219" i="36" s="1"/>
  <c r="V220" i="36" s="1"/>
  <c r="V221" i="36" s="1"/>
  <c r="V222" i="36" s="1"/>
  <c r="V223" i="36" s="1"/>
  <c r="V224" i="36" s="1"/>
  <c r="V225" i="36" s="1"/>
  <c r="V226" i="36" s="1"/>
  <c r="V227" i="36" s="1"/>
  <c r="V228" i="36" s="1"/>
  <c r="V229" i="36" s="1"/>
  <c r="V230" i="36" s="1"/>
  <c r="V231" i="36" s="1"/>
  <c r="V232" i="36" s="1"/>
  <c r="V233" i="36" s="1"/>
  <c r="V234" i="36" s="1"/>
  <c r="V235" i="36" s="1"/>
  <c r="V236" i="36" s="1"/>
  <c r="V237" i="36" s="1"/>
  <c r="V238" i="36" s="1"/>
  <c r="V239" i="36" s="1"/>
  <c r="V240" i="36" s="1"/>
  <c r="V241" i="36" s="1"/>
  <c r="V242" i="36" s="1"/>
  <c r="V243" i="36" s="1"/>
  <c r="V244" i="36" s="1"/>
  <c r="V245" i="36" s="1"/>
  <c r="V246" i="36" s="1"/>
  <c r="V247" i="36" s="1"/>
  <c r="V248" i="36" s="1"/>
  <c r="V249" i="36" s="1"/>
  <c r="V250" i="36" s="1"/>
  <c r="V251" i="36" s="1"/>
  <c r="V252" i="36" s="1"/>
  <c r="V253" i="36" s="1"/>
  <c r="V254" i="36" s="1"/>
  <c r="V255" i="36" s="1"/>
  <c r="V256" i="36" s="1"/>
  <c r="V257" i="36" s="1"/>
  <c r="V258" i="36" s="1"/>
  <c r="V259" i="36" s="1"/>
  <c r="V260" i="36" s="1"/>
  <c r="V261" i="36" s="1"/>
  <c r="V262" i="36" s="1"/>
  <c r="V263" i="36" s="1"/>
  <c r="V264" i="36" s="1"/>
  <c r="V265" i="36" s="1"/>
  <c r="V266" i="36" s="1"/>
  <c r="V267" i="36" s="1"/>
  <c r="V268" i="36" s="1"/>
  <c r="V269" i="36" s="1"/>
  <c r="V270" i="36" s="1"/>
  <c r="V271" i="36" s="1"/>
  <c r="V272" i="36" s="1"/>
  <c r="V273" i="36" s="1"/>
  <c r="V274" i="36" s="1"/>
  <c r="V275" i="36" s="1"/>
  <c r="V276" i="36" s="1"/>
  <c r="V4" i="13"/>
  <c r="V5" i="13" s="1"/>
  <c r="V27" i="13"/>
  <c r="V63" i="13" l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62" i="13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61" i="13"/>
  <c r="V62" i="13"/>
  <c r="V32" i="13"/>
  <c r="V91" i="36"/>
  <c r="V92" i="36" s="1"/>
  <c r="V93" i="36" s="1"/>
  <c r="V94" i="36" s="1"/>
  <c r="V95" i="36" s="1"/>
  <c r="V96" i="36" s="1"/>
  <c r="V97" i="36" s="1"/>
  <c r="V98" i="36" s="1"/>
  <c r="V99" i="36" s="1"/>
  <c r="V100" i="36" s="1"/>
  <c r="V101" i="36" s="1"/>
  <c r="V102" i="36" s="1"/>
  <c r="V103" i="36" s="1"/>
  <c r="V104" i="36" s="1"/>
  <c r="V105" i="36" s="1"/>
  <c r="V106" i="36" s="1"/>
  <c r="V107" i="36" s="1"/>
  <c r="V108" i="36" s="1"/>
  <c r="V109" i="36" s="1"/>
  <c r="V110" i="36" s="1"/>
  <c r="V111" i="36" s="1"/>
  <c r="V112" i="36" s="1"/>
  <c r="V113" i="36" s="1"/>
  <c r="V114" i="36" s="1"/>
  <c r="V115" i="36" s="1"/>
  <c r="V116" i="36" s="1"/>
  <c r="V117" i="36" s="1"/>
  <c r="V118" i="36" s="1"/>
  <c r="V119" i="36" s="1"/>
  <c r="V120" i="36" s="1"/>
  <c r="V121" i="36" s="1"/>
  <c r="V122" i="36" s="1"/>
  <c r="V123" i="36" s="1"/>
  <c r="V124" i="36" s="1"/>
  <c r="V125" i="36" s="1"/>
  <c r="V126" i="36" s="1"/>
  <c r="V127" i="36" s="1"/>
  <c r="V128" i="36" s="1"/>
  <c r="V129" i="36" s="1"/>
  <c r="V130" i="36" s="1"/>
  <c r="V131" i="36" s="1"/>
  <c r="V132" i="36" s="1"/>
  <c r="V133" i="36" s="1"/>
  <c r="V134" i="36" s="1"/>
  <c r="V135" i="36" s="1"/>
  <c r="V136" i="36" s="1"/>
  <c r="V137" i="36" s="1"/>
  <c r="V138" i="36" s="1"/>
  <c r="V139" i="36" s="1"/>
  <c r="V140" i="36" s="1"/>
  <c r="V141" i="36" s="1"/>
  <c r="V142" i="36" s="1"/>
  <c r="V143" i="36" s="1"/>
  <c r="V144" i="36" s="1"/>
  <c r="V145" i="36" s="1"/>
  <c r="V146" i="36" s="1"/>
  <c r="V147" i="36" s="1"/>
  <c r="V148" i="36" s="1"/>
  <c r="V149" i="36" s="1"/>
  <c r="V150" i="36" s="1"/>
  <c r="V151" i="36" s="1"/>
  <c r="V152" i="36" s="1"/>
  <c r="V153" i="36" s="1"/>
  <c r="V154" i="36" s="1"/>
  <c r="V155" i="36" s="1"/>
  <c r="V156" i="36" s="1"/>
  <c r="V157" i="36" s="1"/>
  <c r="V158" i="36" s="1"/>
  <c r="V159" i="36" s="1"/>
  <c r="V160" i="36" s="1"/>
  <c r="V161" i="36" s="1"/>
  <c r="V162" i="36" s="1"/>
  <c r="V163" i="36" s="1"/>
  <c r="V164" i="36" s="1"/>
  <c r="V165" i="36" s="1"/>
  <c r="V166" i="36" s="1"/>
  <c r="V167" i="36" s="1"/>
  <c r="V168" i="36" s="1"/>
  <c r="V169" i="36" s="1"/>
  <c r="V170" i="36" s="1"/>
  <c r="V171" i="36" s="1"/>
  <c r="V172" i="36" s="1"/>
  <c r="V173" i="36" s="1"/>
  <c r="V174" i="36" s="1"/>
  <c r="V175" i="36" s="1"/>
  <c r="V176" i="36" s="1"/>
  <c r="V177" i="36" s="1"/>
  <c r="V178" i="36" s="1"/>
  <c r="V179" i="36" s="1"/>
  <c r="V180" i="36" s="1"/>
  <c r="V181" i="36" s="1"/>
  <c r="V182" i="36" s="1"/>
  <c r="V183" i="36" s="1"/>
  <c r="V184" i="36" s="1"/>
  <c r="V185" i="36" s="1"/>
  <c r="V186" i="36" s="1"/>
  <c r="V187" i="36" s="1"/>
  <c r="V188" i="36" s="1"/>
  <c r="V189" i="36" s="1"/>
  <c r="V190" i="36" s="1"/>
  <c r="V191" i="36" s="1"/>
  <c r="V192" i="36" s="1"/>
  <c r="V193" i="36" s="1"/>
  <c r="V194" i="36" s="1"/>
  <c r="V195" i="36" s="1"/>
  <c r="V196" i="36" s="1"/>
  <c r="V197" i="36" s="1"/>
  <c r="V198" i="36" s="1"/>
  <c r="V199" i="36" s="1"/>
  <c r="V200" i="36" s="1"/>
  <c r="V201" i="36" s="1"/>
  <c r="V277" i="36"/>
  <c r="V278" i="36" s="1"/>
  <c r="V279" i="36" s="1"/>
  <c r="V280" i="36" s="1"/>
  <c r="V281" i="36" s="1"/>
  <c r="V282" i="36" s="1"/>
  <c r="V283" i="36" s="1"/>
  <c r="V284" i="36" s="1"/>
  <c r="V285" i="36" s="1"/>
  <c r="V286" i="36" s="1"/>
  <c r="V287" i="36" s="1"/>
  <c r="V288" i="36" s="1"/>
  <c r="V289" i="36" s="1"/>
  <c r="V290" i="36" s="1"/>
  <c r="V291" i="36" s="1"/>
  <c r="V292" i="36" s="1"/>
  <c r="V293" i="36" s="1"/>
  <c r="V294" i="36" s="1"/>
  <c r="V295" i="36" s="1"/>
  <c r="V296" i="36" s="1"/>
  <c r="V297" i="36" s="1"/>
  <c r="V298" i="36" s="1"/>
  <c r="V299" i="36" s="1"/>
  <c r="V300" i="36" s="1"/>
  <c r="V301" i="36" s="1"/>
  <c r="V302" i="36" s="1"/>
  <c r="V303" i="36" s="1"/>
  <c r="V304" i="36" s="1"/>
  <c r="V305" i="36" s="1"/>
  <c r="V306" i="36" s="1"/>
  <c r="V307" i="36" s="1"/>
  <c r="V308" i="36" s="1"/>
  <c r="V309" i="36" s="1"/>
  <c r="V310" i="36" s="1"/>
  <c r="V311" i="36" s="1"/>
  <c r="V312" i="36" s="1"/>
  <c r="V313" i="36" s="1"/>
  <c r="V314" i="36" s="1"/>
  <c r="R8" i="18"/>
  <c r="R9" i="18" s="1"/>
  <c r="R62" i="18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95" i="18" s="1"/>
  <c r="R96" i="18" s="1"/>
  <c r="R97" i="18" s="1"/>
  <c r="R98" i="18" s="1"/>
  <c r="R99" i="18" s="1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R119" i="18" s="1"/>
  <c r="R120" i="18" s="1"/>
  <c r="R121" i="18" s="1"/>
  <c r="R122" i="18" s="1"/>
  <c r="R123" i="18" s="1"/>
  <c r="R219" i="18"/>
  <c r="R220" i="18" s="1"/>
  <c r="R221" i="18" s="1"/>
  <c r="R222" i="18" s="1"/>
  <c r="R223" i="18" s="1"/>
  <c r="R224" i="18" s="1"/>
  <c r="R225" i="18" s="1"/>
  <c r="R226" i="18" s="1"/>
  <c r="R227" i="18"/>
  <c r="R228" i="18" s="1"/>
  <c r="R229" i="18" s="1"/>
  <c r="R230" i="18" s="1"/>
  <c r="R231" i="18" s="1"/>
  <c r="R232" i="18" s="1"/>
  <c r="R233" i="18" s="1"/>
  <c r="R234" i="18" s="1"/>
  <c r="R269" i="18"/>
  <c r="R270" i="18" s="1"/>
  <c r="R271" i="18" s="1"/>
  <c r="R272" i="18" s="1"/>
  <c r="R246" i="18"/>
  <c r="R247" i="18" s="1"/>
  <c r="R248" i="18" s="1"/>
  <c r="R249" i="18" s="1"/>
  <c r="R250" i="18" s="1"/>
  <c r="R251" i="18" s="1"/>
  <c r="R252" i="18" s="1"/>
  <c r="R253" i="18" s="1"/>
  <c r="R211" i="18"/>
  <c r="R212" i="18" s="1"/>
  <c r="R213" i="18" s="1"/>
  <c r="R214" i="18" s="1"/>
  <c r="R187" i="18"/>
  <c r="R188" i="18" s="1"/>
  <c r="R189" i="18" s="1"/>
  <c r="R190" i="18" s="1"/>
  <c r="R191" i="18" s="1"/>
  <c r="R192" i="18" s="1"/>
  <c r="R33" i="18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262" i="18"/>
  <c r="R263" i="18" s="1"/>
  <c r="R264" i="18" s="1"/>
  <c r="R265" i="18" s="1"/>
  <c r="R266" i="18" s="1"/>
  <c r="R267" i="18" s="1"/>
  <c r="R268" i="18" s="1"/>
  <c r="R305" i="18"/>
  <c r="R306" i="18" s="1"/>
  <c r="R307" i="18" s="1"/>
  <c r="R308" i="18" s="1"/>
  <c r="R309" i="18" s="1"/>
  <c r="R310" i="18" s="1"/>
  <c r="R311" i="18" s="1"/>
  <c r="R215" i="18"/>
  <c r="R216" i="18" s="1"/>
  <c r="R217" i="18" s="1"/>
  <c r="R218" i="18" s="1"/>
  <c r="R193" i="18"/>
  <c r="R194" i="18" s="1"/>
  <c r="R195" i="18" s="1"/>
  <c r="R196" i="18" s="1"/>
  <c r="R197" i="18" s="1"/>
  <c r="R198" i="18" s="1"/>
  <c r="R199" i="18" s="1"/>
  <c r="R200" i="18" s="1"/>
  <c r="R201" i="18" s="1"/>
  <c r="R202" i="18" s="1"/>
  <c r="R203" i="18" s="1"/>
  <c r="R205" i="18"/>
  <c r="R206" i="18" s="1"/>
  <c r="R207" i="18" s="1"/>
  <c r="R208" i="18"/>
  <c r="R209" i="18" s="1"/>
  <c r="R210" i="18" s="1"/>
  <c r="R254" i="18"/>
  <c r="R255" i="18" s="1"/>
  <c r="R256" i="18" s="1"/>
  <c r="R257" i="18" s="1"/>
  <c r="R258" i="18" s="1"/>
  <c r="R259" i="18" s="1"/>
  <c r="R260" i="18" s="1"/>
  <c r="R261" i="18" s="1"/>
  <c r="R273" i="18"/>
  <c r="R274" i="18" s="1"/>
  <c r="R275" i="18" s="1"/>
  <c r="R276" i="18" s="1"/>
  <c r="R277" i="18" s="1"/>
  <c r="R278" i="18" s="1"/>
  <c r="R279" i="18" s="1"/>
  <c r="R280" i="18" s="1"/>
  <c r="R281" i="18" s="1"/>
  <c r="R288" i="18"/>
  <c r="R289" i="18" s="1"/>
  <c r="R303" i="18"/>
  <c r="R304" i="18" s="1"/>
  <c r="R180" i="18"/>
  <c r="R181" i="18" s="1"/>
  <c r="R182" i="18" s="1"/>
  <c r="R183" i="18" s="1"/>
  <c r="R290" i="18"/>
  <c r="R291" i="18" s="1"/>
  <c r="R292" i="18" s="1"/>
  <c r="R293" i="18" s="1"/>
  <c r="R294" i="18" s="1"/>
  <c r="R295" i="18" s="1"/>
  <c r="R296" i="18" s="1"/>
  <c r="R297" i="18" s="1"/>
  <c r="R298" i="18" s="1"/>
  <c r="R299" i="18" s="1"/>
  <c r="R300" i="18" s="1"/>
  <c r="R301" i="18" s="1"/>
  <c r="R302" i="18" s="1"/>
  <c r="R285" i="18"/>
  <c r="R286" i="18" s="1"/>
  <c r="R287" i="18" s="1"/>
  <c r="R235" i="18"/>
  <c r="R236" i="18" s="1"/>
  <c r="R237" i="18" s="1"/>
  <c r="R238" i="18" s="1"/>
  <c r="R239" i="18" s="1"/>
  <c r="R240" i="18" s="1"/>
  <c r="R241" i="18" s="1"/>
  <c r="R242" i="18" s="1"/>
  <c r="R243" i="18" s="1"/>
  <c r="R244" i="18" s="1"/>
  <c r="R245" i="18" s="1"/>
  <c r="R282" i="18"/>
  <c r="R283" i="18" s="1"/>
  <c r="R284" i="18" s="1"/>
  <c r="R312" i="18"/>
  <c r="R313" i="18" s="1"/>
  <c r="R314" i="18" s="1"/>
  <c r="R175" i="18"/>
  <c r="R176" i="18" s="1"/>
  <c r="R177" i="18" s="1"/>
  <c r="R178" i="18" s="1"/>
  <c r="R179" i="18" s="1"/>
  <c r="R125" i="18"/>
  <c r="R126" i="18" s="1"/>
  <c r="R127" i="18" s="1"/>
  <c r="R128" i="18" s="1"/>
  <c r="R129" i="18" s="1"/>
  <c r="R130" i="18" s="1"/>
  <c r="R131" i="18" s="1"/>
  <c r="R132" i="18" s="1"/>
  <c r="R133" i="18" s="1"/>
  <c r="R134" i="18" s="1"/>
  <c r="R135" i="18" s="1"/>
  <c r="R136" i="18" s="1"/>
  <c r="R137" i="18" s="1"/>
  <c r="R138" i="18" s="1"/>
  <c r="R139" i="18" s="1"/>
  <c r="R140" i="18" s="1"/>
  <c r="R141" i="18" s="1"/>
  <c r="R142" i="18" s="1"/>
  <c r="R143" i="18" s="1"/>
  <c r="R144" i="18" s="1"/>
  <c r="R145" i="18" s="1"/>
  <c r="R146" i="18" s="1"/>
  <c r="R147" i="18" s="1"/>
  <c r="R148" i="18" s="1"/>
  <c r="R149" i="18" s="1"/>
  <c r="R150" i="18" s="1"/>
  <c r="R151" i="18" s="1"/>
  <c r="R152" i="18" s="1"/>
  <c r="R153" i="18" s="1"/>
  <c r="R154" i="18" s="1"/>
  <c r="R155" i="18" s="1"/>
  <c r="R156" i="18" s="1"/>
  <c r="R157" i="18" s="1"/>
  <c r="R158" i="18" s="1"/>
  <c r="R159" i="18" s="1"/>
  <c r="R160" i="18" s="1"/>
  <c r="R161" i="18" s="1"/>
  <c r="R162" i="18" s="1"/>
  <c r="R163" i="18" s="1"/>
  <c r="R164" i="18" s="1"/>
  <c r="R165" i="18" s="1"/>
  <c r="R166" i="18" s="1"/>
  <c r="R167" i="18" s="1"/>
  <c r="R168" i="18" s="1"/>
  <c r="R169" i="18" s="1"/>
  <c r="R170" i="18" s="1"/>
  <c r="R171" i="18" s="1"/>
  <c r="R172" i="18" s="1"/>
  <c r="R186" i="18"/>
  <c r="R4" i="18"/>
  <c r="R5" i="18" s="1"/>
  <c r="R6" i="18" s="1"/>
  <c r="R10" i="18" l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V148" i="13" l="1"/>
  <c r="V149" i="13" s="1"/>
  <c r="V150" i="13" s="1"/>
  <c r="V151" i="13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78" i="13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V255" i="13" s="1"/>
  <c r="V256" i="13" s="1"/>
  <c r="V257" i="13" s="1"/>
  <c r="V258" i="13" s="1"/>
  <c r="V259" i="13" s="1"/>
  <c r="V260" i="13" s="1"/>
  <c r="V261" i="13" s="1"/>
  <c r="V262" i="13" s="1"/>
  <c r="V263" i="13" s="1"/>
  <c r="V264" i="13" s="1"/>
  <c r="V265" i="13" s="1"/>
  <c r="V266" i="13" s="1"/>
  <c r="V267" i="13" s="1"/>
  <c r="V268" i="13" s="1"/>
  <c r="V269" i="13" s="1"/>
  <c r="V270" i="13" s="1"/>
  <c r="V271" i="13" s="1"/>
  <c r="V272" i="13" s="1"/>
  <c r="V273" i="13" s="1"/>
  <c r="V274" i="13" s="1"/>
  <c r="V275" i="13" s="1"/>
  <c r="V276" i="13" s="1"/>
  <c r="V277" i="13" s="1"/>
  <c r="V278" i="13"/>
  <c r="V279" i="13" s="1"/>
  <c r="V280" i="13" s="1"/>
  <c r="V281" i="13" s="1"/>
  <c r="V282" i="13" s="1"/>
  <c r="V283" i="13" s="1"/>
  <c r="V284" i="13" s="1"/>
  <c r="V285" i="13" s="1"/>
  <c r="V286" i="13" s="1"/>
  <c r="V287" i="13" s="1"/>
  <c r="V288" i="13" s="1"/>
  <c r="V289" i="13" s="1"/>
  <c r="V290" i="13" s="1"/>
  <c r="V291" i="13" s="1"/>
  <c r="V292" i="13" s="1"/>
  <c r="V293" i="13" s="1"/>
  <c r="V294" i="13" s="1"/>
  <c r="V295" i="13" s="1"/>
  <c r="V296" i="13" s="1"/>
  <c r="V297" i="13" s="1"/>
  <c r="V298" i="13" s="1"/>
  <c r="V299" i="13" s="1"/>
  <c r="V300" i="13" s="1"/>
  <c r="V301" i="13" s="1"/>
  <c r="V302" i="13" s="1"/>
  <c r="V303" i="13" s="1"/>
  <c r="V304" i="13" s="1"/>
  <c r="V305" i="13" s="1"/>
  <c r="V306" i="13" s="1"/>
  <c r="V307" i="13" s="1"/>
  <c r="V308" i="13" s="1"/>
  <c r="V309" i="13" s="1"/>
  <c r="V310" i="13" s="1"/>
  <c r="V311" i="13" s="1"/>
  <c r="V312" i="13" s="1"/>
  <c r="V313" i="13" s="1"/>
  <c r="V314" i="13" s="1"/>
  <c r="V29" i="13"/>
  <c r="V30" i="13" s="1"/>
  <c r="V31" i="13" s="1"/>
  <c r="V28" i="13"/>
  <c r="V33" i="13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" i="13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Burgio, Kathryn</author>
  </authors>
  <commentList>
    <comment ref="C2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Burgio, Kathryn:</t>
        </r>
        <r>
          <rPr>
            <sz val="9"/>
            <color indexed="81"/>
            <rFont val="Tahoma"/>
            <family val="2"/>
          </rPr>
          <t xml:space="preserve">
7M CY18 Federal Capital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Burgio, Kathryn</author>
  </authors>
  <commentList>
    <comment ref="BE5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Burgio, Kathryn:</t>
        </r>
        <r>
          <rPr>
            <sz val="9"/>
            <color indexed="81"/>
            <rFont val="Tahoma"/>
            <family val="2"/>
          </rPr>
          <t xml:space="preserve">
what is this data from?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F10F9E-9C6C-4233-B84F-F7BF8DED5C12}" keepAlive="1" name="Query - CPD_Bulk" description="Connection to the 'CPD_Bulk' query in the workbook." type="5" refreshedVersion="6" background="1" saveData="1">
    <dbPr connection="Provider=Microsoft.Mashup.OleDb.1;Data Source=$Workbook$;Location=CPD_Bulk;Extended Properties=&quot;&quot;" command="SELECT * FROM [CPD_Bulk]"/>
  </connection>
  <connection id="2" xr16:uid="{9FBEE044-BF0E-4388-B090-453919EFF08F}" keepAlive="1" name="Query - CPD_Ext" description="Connection to the 'CPD_Ext' query in the workbook." type="5" refreshedVersion="6" background="1" saveData="1">
    <dbPr connection="Provider=Microsoft.Mashup.OleDb.1;Data Source=$Workbook$;Location=CPD_Ext;Extended Properties=&quot;&quot;" command="SELECT * FROM [CPD_Ext]"/>
  </connection>
  <connection id="3" xr16:uid="{DDFEF751-E4D3-4B06-921A-6827562CEF52}" keepAlive="1" name="Query - CPD_Int" description="Connection to the 'CPD_Int' query in the workbook." type="5" refreshedVersion="6" background="1" saveData="1">
    <dbPr connection="Provider=Microsoft.Mashup.OleDb.1;Data Source=$Workbook$;Location=CPD_Int;Extended Properties=&quot;&quot;" command="SELECT * FROM [CPD_Int]"/>
  </connection>
  <connection id="4" xr16:uid="{4ABAAC49-370A-4F01-90F7-415051EE3A21}" keepAlive="1" name="Query - CPD_RatSlabs" description="Connection to the 'CPD_RatSlabs' query in the workbook." type="5" refreshedVersion="6" background="1" saveData="1">
    <dbPr connection="Provider=Microsoft.Mashup.OleDb.1;Data Source=$Workbook$;Location=CPD_RatSlabs;Extended Properties=&quot;&quot;" command="SELECT * FROM [CPD_RatSlabs]"/>
  </connection>
  <connection id="5" xr16:uid="{00000000-0015-0000-FFFF-FFFF00000000}" keepAlive="1" name="Query - Development Data Book" description="Connection to the 'Development Data Book' query in the workbook." type="5" refreshedVersion="6" background="1" saveData="1">
    <dbPr connection="Provider=Microsoft.Mashup.OleDb.1;Data Source=$Workbook$;Location=Development Data Book;Extended Properties=&quot;&quot;" command="SELECT * FROM [Development Data Book]"/>
  </connection>
  <connection id="6" xr16:uid="{00000000-0015-0000-FFFF-FFFF01000000}" keepAlive="1" name="Query - ExtCompactors MRST" description="Connection to the 'ExtCompactors MRST' query in the workbook." type="5" refreshedVersion="6" background="1" saveData="1">
    <dbPr connection="Provider=Microsoft.Mashup.OleDb.1;Data Source=$Workbook$;Location=ExtCompactors MRST;Extended Properties=&quot;&quot;" command="SELECT * FROM [ExtCompactors MRST]"/>
  </connection>
  <connection id="7" xr16:uid="{00000000-0015-0000-FFFF-FFFF02000000}" keepAlive="1" name="Query - ExtCompactors PNA" description="Connection to the 'ExtCompactors PNA' query in the workbook." type="5" refreshedVersion="6" background="1" saveData="1">
    <dbPr connection="Provider=Microsoft.Mashup.OleDb.1;Data Source=$Workbook$;Location=ExtCompactors PNA;Extended Properties=&quot;&quot;" command="SELECT * FROM [ExtCompactors PNA]"/>
  </connection>
  <connection id="8" xr16:uid="{00000000-0015-0000-FFFF-FFFF03000000}" keepAlive="1" name="Query - IntCompactors MRST" description="Connection to the 'IntCompactors MRST' query in the workbook." type="5" refreshedVersion="6" background="1" saveData="1">
    <dbPr connection="Provider=Microsoft.Mashup.OleDb.1;Data Source=$Workbook$;Location=IntCompactors MRST;Extended Properties=&quot;&quot;" command="SELECT * FROM [IntCompactors MRST]"/>
  </connection>
  <connection id="9" xr16:uid="{00000000-0015-0000-FFFF-FFFF04000000}" keepAlive="1" name="Query - IntCompactors PNA" description="Connection to the 'IntCompactors PNA' query in the workbook." type="5" refreshedVersion="6" background="1" saveData="1">
    <dbPr connection="Provider=Microsoft.Mashup.OleDb.1;Data Source=$Workbook$;Location=IntCompactors PNA;Extended Properties=&quot;&quot;" command="SELECT * FROM [IntCompactors PNA]"/>
  </connection>
  <connection id="10" xr16:uid="{00000000-0015-0000-FFFF-FFFF05000000}" keepAlive="1" name="Query - Ops Priorities and Data Clean" description="Connection to the 'Ops Priorities and Data Clean' query in the workbook." type="5" refreshedVersion="6" background="1" saveData="1">
    <dbPr connection="Provider=Microsoft.Mashup.OleDb.1;Data Source=$Workbook$;Location=Ops Priorities and Data Clean;Extended Properties=&quot;&quot;" command="SELECT * FROM [Ops Priorities and Data Clean]"/>
  </connection>
  <connection id="11" xr16:uid="{00000000-0015-0000-FFFF-FFFF06000000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12" xr16:uid="{00000000-0015-0000-FFFF-FFFF07000000}" keepAlive="1" name="Query - RAD List" description="Connection to the 'RAD List' query in the workbook." type="5" refreshedVersion="6" background="1" saveData="1">
    <dbPr connection="Provider=Microsoft.Mashup.OleDb.1;Data Source=$Workbook$;Location=RAD List;Extended Properties=&quot;&quot;" command="SELECT * FROM [RAD List]"/>
  </connection>
  <connection id="13" xr16:uid="{00000000-0015-0000-FFFF-FFFF08000000}" keepAlive="1" name="Query - tonnage data" description="Connection to the 'tonnage data' query in the workbook." type="5" refreshedVersion="6" background="1" saveData="1">
    <dbPr connection="Provider=Microsoft.Mashup.OleDb.1;Data Source=$Workbook$;Location=tonnage data;Extended Properties=&quot;&quot;" command="SELECT * FROM [tonnage data]"/>
  </connection>
  <connection id="14" xr16:uid="{00000000-0015-0000-FFFF-FFFF09000000}" keepAlive="1" name="Query - Unit Costs" description="Connection to the 'Unit Costs' query in the workbook." type="5" refreshedVersion="6" background="1" saveData="1">
    <dbPr connection="Provider=Microsoft.Mashup.OleDb.1;Data Source=$Workbook$;Location=Unit Costs;Extended Properties=&quot;&quot;" command="SELECT * FROM [Unit Costs]"/>
  </connection>
</connections>
</file>

<file path=xl/sharedStrings.xml><?xml version="1.0" encoding="utf-8"?>
<sst xmlns="http://schemas.openxmlformats.org/spreadsheetml/2006/main" count="21205" uniqueCount="2677">
  <si>
    <t>completed costs</t>
  </si>
  <si>
    <t>known costs</t>
  </si>
  <si>
    <t>future costs</t>
  </si>
  <si>
    <t>Count</t>
  </si>
  <si>
    <t>needs to be edited</t>
  </si>
  <si>
    <t>BOROUGH</t>
  </si>
  <si>
    <t>PROGRAM AREA</t>
  </si>
  <si>
    <t>DEVELOPMENT</t>
  </si>
  <si>
    <t>NRR</t>
  </si>
  <si>
    <t>Priority Level</t>
  </si>
  <si>
    <t>RAD/PACT</t>
  </si>
  <si>
    <t>WORK TYPE</t>
  </si>
  <si>
    <t>FUNDING SOURCE</t>
  </si>
  <si>
    <t>CITY FUNDS</t>
  </si>
  <si>
    <t>FEDERAL FUNDS</t>
  </si>
  <si>
    <t>TOTAL FUNDS</t>
  </si>
  <si>
    <t xml:space="preserve">FUND YEAR </t>
  </si>
  <si>
    <t>CALENDAR YEAR</t>
  </si>
  <si>
    <t>FISCAL YEAR</t>
  </si>
  <si>
    <t>STATUS</t>
  </si>
  <si>
    <t>COMPLETED</t>
  </si>
  <si>
    <t>COST</t>
  </si>
  <si>
    <t>ESTIMATES</t>
  </si>
  <si>
    <t>RESOURCE</t>
  </si>
  <si>
    <t>Notes</t>
  </si>
  <si>
    <t xml:space="preserve">Waste Management </t>
  </si>
  <si>
    <t>BUSHWICK</t>
  </si>
  <si>
    <t>Enlarge Hopper Door</t>
  </si>
  <si>
    <t>City Expense</t>
  </si>
  <si>
    <t>IN-CONSTRUCTION</t>
  </si>
  <si>
    <t>JOCS CONTRACTS</t>
  </si>
  <si>
    <t>BUTLER</t>
  </si>
  <si>
    <t>CLAREMONT REHAB (GROUP 3)</t>
  </si>
  <si>
    <t>NYCHA Operating</t>
  </si>
  <si>
    <t>CLAREMONT REHAB (GROUP 4)</t>
  </si>
  <si>
    <t>JACKSON</t>
  </si>
  <si>
    <t>LA GUARDIA</t>
  </si>
  <si>
    <t>LAFAYETTE</t>
  </si>
  <si>
    <t>MARCY</t>
  </si>
  <si>
    <t>MELROSE</t>
  </si>
  <si>
    <t>MORRIS I</t>
  </si>
  <si>
    <t>MORRISANIA AIR RIGHTS</t>
  </si>
  <si>
    <t>ROOSEVELT I</t>
  </si>
  <si>
    <t>RUTGERS</t>
  </si>
  <si>
    <t>SMITH</t>
  </si>
  <si>
    <t>SUMNER</t>
  </si>
  <si>
    <t>TOMPKINS</t>
  </si>
  <si>
    <t>WEBSTER</t>
  </si>
  <si>
    <t>BARUCH HOUSES ADDITION</t>
  </si>
  <si>
    <t>Food Waste Disposer</t>
  </si>
  <si>
    <t>MELTZER TOWER</t>
  </si>
  <si>
    <t>TWO BRIDGES URA (SITE 7)</t>
  </si>
  <si>
    <t>Cardboard Baler</t>
  </si>
  <si>
    <t>UP-COMING</t>
  </si>
  <si>
    <t>FROM BALER INSTALL</t>
  </si>
  <si>
    <t>RIIS</t>
  </si>
  <si>
    <t>VLADECK</t>
  </si>
  <si>
    <t>45 ALLEN STREET</t>
  </si>
  <si>
    <t>BARUCH</t>
  </si>
  <si>
    <t>BRACETTI PLAZA</t>
  </si>
  <si>
    <t>CAMPOS PLAZA II</t>
  </si>
  <si>
    <t>GOMPERS</t>
  </si>
  <si>
    <t>LOWER EAST SIDE I INFILL</t>
  </si>
  <si>
    <t>LOWER EAST SIDE II</t>
  </si>
  <si>
    <t>LOWER EAST SIDE REHAB (GROUP 5)</t>
  </si>
  <si>
    <t>SEWARD PARK EXTENSION</t>
  </si>
  <si>
    <t>WALD</t>
  </si>
  <si>
    <t>131 SAINT NICHOLAS AVENUE</t>
  </si>
  <si>
    <t>Exterior Compactors</t>
  </si>
  <si>
    <t>335 EAST 111TH STREET</t>
  </si>
  <si>
    <t>AUDUBON</t>
  </si>
  <si>
    <t>BETHUNE GARDENS</t>
  </si>
  <si>
    <t>BORINQUEN PLAZA II</t>
  </si>
  <si>
    <t>BRONX RIVER</t>
  </si>
  <si>
    <t>CORSI HOUSES</t>
  </si>
  <si>
    <t>DOUGLASS ADDITION</t>
  </si>
  <si>
    <t>DOUGLASS II</t>
  </si>
  <si>
    <t>DREW-HAMILTON</t>
  </si>
  <si>
    <t>EAST RIVER</t>
  </si>
  <si>
    <t>FORT WASHINGTON AVENUE REHAB</t>
  </si>
  <si>
    <t>GRAMPION</t>
  </si>
  <si>
    <t>GRANT</t>
  </si>
  <si>
    <t>HARLEM RIVER II</t>
  </si>
  <si>
    <t>JOHNSON</t>
  </si>
  <si>
    <t>KINGSBOROUGH</t>
  </si>
  <si>
    <t>Federal</t>
  </si>
  <si>
    <t>WMP JOCS SOW SELECTION</t>
  </si>
  <si>
    <t>MANHATTANVILLE REHAB (GROUP 2)</t>
  </si>
  <si>
    <t>MANHATTANVILLE REHAB (GROUP 3)</t>
  </si>
  <si>
    <t>MARSHALL PLAZA</t>
  </si>
  <si>
    <t>METRO NORTH PLAZA</t>
  </si>
  <si>
    <t>MOORE</t>
  </si>
  <si>
    <t>MORRIS PARK SENIOR CITIZENS HOME</t>
  </si>
  <si>
    <t>PARK AVENUE-EAST 122ND, 123RD STREETS</t>
  </si>
  <si>
    <t>PUBLIC SCHOOL 139 (CONVERSION)</t>
  </si>
  <si>
    <t>SAMUEL (CITY)</t>
  </si>
  <si>
    <t>SOUTH BRONX AREA (SITE 402)</t>
  </si>
  <si>
    <t>STEBBINS AVENUE-HEWITT PLACE</t>
  </si>
  <si>
    <t>UNION AVENUE-EAST 163RD STREET</t>
  </si>
  <si>
    <t>UNION AVENUE-EAST 166TH STREET</t>
  </si>
  <si>
    <t>UPACA (SITE 6)</t>
  </si>
  <si>
    <t>WASHINGTON HEIGHTS REHAB PHASE III</t>
  </si>
  <si>
    <t>WHITE</t>
  </si>
  <si>
    <t>LA GUARDIA ADDITION</t>
  </si>
  <si>
    <t>RIIS II</t>
  </si>
  <si>
    <t>DAVIDSON</t>
  </si>
  <si>
    <t>Interior Compactors</t>
  </si>
  <si>
    <t>ROBINSON</t>
  </si>
  <si>
    <t>VLADECK II</t>
  </si>
  <si>
    <t>Bulk Crusher</t>
  </si>
  <si>
    <t>Need to speak to Real Estate about relocating compactors</t>
  </si>
  <si>
    <t>FULTON</t>
  </si>
  <si>
    <t>JEFFERSON</t>
  </si>
  <si>
    <t>LINCOLN</t>
  </si>
  <si>
    <t>MONROE</t>
  </si>
  <si>
    <t>RANGEL</t>
  </si>
  <si>
    <t>WILSON</t>
  </si>
  <si>
    <t>HARLEM RIVER</t>
  </si>
  <si>
    <t>303 VERNON AVENUE</t>
  </si>
  <si>
    <t>BORINQUEN PLAZA I</t>
  </si>
  <si>
    <t>CARVER</t>
  </si>
  <si>
    <t>EAST 180TH STREET-MONTEREY AVENUE</t>
  </si>
  <si>
    <t>MANHATTANVILLE</t>
  </si>
  <si>
    <t>SAINT MARY'S PARK</t>
  </si>
  <si>
    <t>CLAREMONT PARKWAY-FRANKLIN AVENUE</t>
  </si>
  <si>
    <t>LEXINGTON</t>
  </si>
  <si>
    <t>UPACA (SITE 5)</t>
  </si>
  <si>
    <t>WAGNER</t>
  </si>
  <si>
    <t>TAFT</t>
  </si>
  <si>
    <t>CLINTON</t>
  </si>
  <si>
    <t>DOUGLASS I</t>
  </si>
  <si>
    <t>KING TOWERS</t>
  </si>
  <si>
    <t>PATTERSON</t>
  </si>
  <si>
    <t>POLO GROUNDS TOWERS</t>
  </si>
  <si>
    <t>QUEENSBRIDGE NORTH</t>
  </si>
  <si>
    <t>QUEENSBRIDGE SOUTH</t>
  </si>
  <si>
    <t>SAINT NICHOLAS</t>
  </si>
  <si>
    <t>WASHINGTON</t>
  </si>
  <si>
    <t>TWIN PARKS EAST (SITE 9)</t>
  </si>
  <si>
    <t>HYLAN</t>
  </si>
  <si>
    <t>MORRIS II</t>
  </si>
  <si>
    <t>Electric Tilt Truck</t>
  </si>
  <si>
    <t>BEDFORD-STUYVESANT REHAB</t>
  </si>
  <si>
    <t>CLAREMONT REHAB (GROUP 2)</t>
  </si>
  <si>
    <t>CLAREMONT REHAB (GROUP 5)</t>
  </si>
  <si>
    <t>COLLEGE AVENUE-EAST 165TH STREET</t>
  </si>
  <si>
    <t>LEHMAN VILLAGE</t>
  </si>
  <si>
    <t>MORRISANIA</t>
  </si>
  <si>
    <t>ROOSEVELT II</t>
  </si>
  <si>
    <t>TELLER AVENUE-EAST 166TH STREET</t>
  </si>
  <si>
    <t>Mattress Recycling</t>
  </si>
  <si>
    <t>Secondary collection areas</t>
  </si>
  <si>
    <t>Data Source:</t>
  </si>
  <si>
    <t>2,4</t>
  </si>
  <si>
    <t>1,4</t>
  </si>
  <si>
    <t>TDS</t>
  </si>
  <si>
    <t>PROGRAM</t>
  </si>
  <si>
    <t>NY State Assembly District</t>
  </si>
  <si>
    <t>MANAGED BY</t>
  </si>
  <si>
    <t xml:space="preserve">Exterior Compactor Priority Group </t>
  </si>
  <si>
    <t>WMP Commitment</t>
  </si>
  <si>
    <t>Operations Exterior Compactor Priority List</t>
  </si>
  <si>
    <t>DSNY Worst Offenders - Exterior Compactors</t>
  </si>
  <si>
    <t>MAP</t>
  </si>
  <si>
    <t xml:space="preserve">DOHMH NRR Priority </t>
  </si>
  <si>
    <t>MRST Int. Comp. Priority</t>
  </si>
  <si>
    <t>MRST Ext. Comp. Priority</t>
  </si>
  <si>
    <t>Is RAD/PACT w/in 5yr</t>
  </si>
  <si>
    <t>DUs</t>
  </si>
  <si>
    <t>Sewershed</t>
  </si>
  <si>
    <t># Buildings</t>
  </si>
  <si>
    <t># Interior Compactors</t>
  </si>
  <si>
    <t># Interior Compactors to Replace</t>
  </si>
  <si>
    <t># Exterior Compactors</t>
  </si>
  <si>
    <t># Exterior Compactors to Replace</t>
  </si>
  <si>
    <t># Bulk Crushers</t>
  </si>
  <si>
    <t># Bulk Crushers to Install</t>
  </si>
  <si>
    <t>FWD Estimate</t>
  </si>
  <si>
    <t>EHD Estimate</t>
  </si>
  <si>
    <t>Interior Compactor Estimate</t>
  </si>
  <si>
    <t>Waste Yard Estimate</t>
  </si>
  <si>
    <t>SUM per Development</t>
  </si>
  <si>
    <t>A</t>
  </si>
  <si>
    <t>Yes</t>
  </si>
  <si>
    <t>No</t>
  </si>
  <si>
    <t>None</t>
  </si>
  <si>
    <t>B</t>
  </si>
  <si>
    <t>BOYNTON AVENUE REHAB</t>
  </si>
  <si>
    <t>BREUKELEN</t>
  </si>
  <si>
    <t>BRONX RIVER ADDITION</t>
  </si>
  <si>
    <t>COOPER PARK</t>
  </si>
  <si>
    <t>KINGSBOROUGH EXTENSION</t>
  </si>
  <si>
    <t>LOW HOUSES</t>
  </si>
  <si>
    <t>MARLBORO</t>
  </si>
  <si>
    <t>REDFERN</t>
  </si>
  <si>
    <t>ROBBINS PLAZA</t>
  </si>
  <si>
    <t>SHEEPSHEAD BAY</t>
  </si>
  <si>
    <t>SOTOMAYOR HOUSES</t>
  </si>
  <si>
    <t>STRAUS</t>
  </si>
  <si>
    <t>BREVOORT</t>
  </si>
  <si>
    <t>CASTLE HILL</t>
  </si>
  <si>
    <t>EDENWALD</t>
  </si>
  <si>
    <t>FARRAGUT</t>
  </si>
  <si>
    <t>FIORENTINO PLAZA</t>
  </si>
  <si>
    <t>FOREST</t>
  </si>
  <si>
    <t>GLENMORE PLAZA</t>
  </si>
  <si>
    <t>HOWARD</t>
  </si>
  <si>
    <t>INGERSOLL</t>
  </si>
  <si>
    <t>LONG ISLAND BAPTIST HOUSES</t>
  </si>
  <si>
    <t>NOSTRAND</t>
  </si>
  <si>
    <t>PELHAM PARKWAY</t>
  </si>
  <si>
    <t>POMONOK</t>
  </si>
  <si>
    <t>RAVENSWOOD</t>
  </si>
  <si>
    <t>RED HOOK EAST</t>
  </si>
  <si>
    <t>RED HOOK WEST</t>
  </si>
  <si>
    <t>REHAB PROGRAM (COLLEGE POINT)</t>
  </si>
  <si>
    <t>RUTLAND TOWERS</t>
  </si>
  <si>
    <t>THROGGS NECK</t>
  </si>
  <si>
    <t>UNITY PLAZA (SITES 17,24,25A)</t>
  </si>
  <si>
    <t>UNITY PLAZA (SITES 4-27)</t>
  </si>
  <si>
    <t>WEEKSVILLE GARDENS</t>
  </si>
  <si>
    <t>ELLIOTT</t>
  </si>
  <si>
    <t>MCKINLEY</t>
  </si>
  <si>
    <t>MITCHEL</t>
  </si>
  <si>
    <t>SOUTH JAMAICA I</t>
  </si>
  <si>
    <t>THROGGS NECK ADDITION</t>
  </si>
  <si>
    <t>BOULEVARD</t>
  </si>
  <si>
    <t>1471 WATSON AVENUE</t>
  </si>
  <si>
    <t>C</t>
  </si>
  <si>
    <t>154 WEST 84TH STREET</t>
  </si>
  <si>
    <t>ARMSTRONG II</t>
  </si>
  <si>
    <t>BAY VIEW</t>
  </si>
  <si>
    <t>BERRY</t>
  </si>
  <si>
    <t>BLAND</t>
  </si>
  <si>
    <t>BOSTON ROAD PLAZA</t>
  </si>
  <si>
    <t>CONEY ISLAND</t>
  </si>
  <si>
    <t>CONEY ISLAND I (SITE 8)</t>
  </si>
  <si>
    <t>FHA REPOSSESSED HOUSES (GROUP II)</t>
  </si>
  <si>
    <t>FHA REPOSSESSED HOUSES (GROUP III)</t>
  </si>
  <si>
    <t>FHA REPOSSESSED HOUSES (GROUP IV)</t>
  </si>
  <si>
    <t>FHA REPOSSESSED HOUSES (GROUP IX)</t>
  </si>
  <si>
    <t>FHA REPOSSESSED HOUSES (GROUP VIII)</t>
  </si>
  <si>
    <t>FIRST HOUSES</t>
  </si>
  <si>
    <t>GLEBE AVENUE-WESTCHESTER AVENUE</t>
  </si>
  <si>
    <t>HAMMEL</t>
  </si>
  <si>
    <t>HOWARD AVENUE</t>
  </si>
  <si>
    <t>HOWARD AVENUE-PARK PLACE</t>
  </si>
  <si>
    <t>LOWER EAST SIDE III</t>
  </si>
  <si>
    <t>MARCY AVENUE-GREENE AVENUE SITE B</t>
  </si>
  <si>
    <t>PINK</t>
  </si>
  <si>
    <t>REHAB PROGRAM (DOUGLASS REHABS)</t>
  </si>
  <si>
    <t>REHAB PROGRAM (TAFT REHABS)</t>
  </si>
  <si>
    <t>REHAB PROGRAM (WISE REHAB)</t>
  </si>
  <si>
    <t>SACK WERN</t>
  </si>
  <si>
    <t>SARATOGA VILLAGE</t>
  </si>
  <si>
    <t>SOUTH BEACH</t>
  </si>
  <si>
    <t>STERLING PLACE REHABS (STERLING-BUFFALO)</t>
  </si>
  <si>
    <t>STUYVESANT GARDENS I</t>
  </si>
  <si>
    <t>STUYVESANT GARDENS II</t>
  </si>
  <si>
    <t>WASHINGTON HEIGHTS REHAB PHASE IV (C)</t>
  </si>
  <si>
    <t>WYCKOFF GARDENS</t>
  </si>
  <si>
    <t>AMSTERDAM</t>
  </si>
  <si>
    <t>AMSTERDAM ADDITION</t>
  </si>
  <si>
    <t>DE HOSTOS APARTMENTS</t>
  </si>
  <si>
    <t>EAGLE AVENUE-EAST 163RD STREET</t>
  </si>
  <si>
    <t>HARBORVIEW TERRACE</t>
  </si>
  <si>
    <t>HERNANDEZ</t>
  </si>
  <si>
    <t>MILL BROOK</t>
  </si>
  <si>
    <t>RANDALL AVENUE-BALCOM AVENUE</t>
  </si>
  <si>
    <t>SOUTH JAMAICA II</t>
  </si>
  <si>
    <t>TILDEN</t>
  </si>
  <si>
    <t>WOODSIDE</t>
  </si>
  <si>
    <t>ASTORIA</t>
  </si>
  <si>
    <t>BAILEY AVENUE-WEST 193RD STREET</t>
  </si>
  <si>
    <t>CHELSEA ADDITION</t>
  </si>
  <si>
    <t>EAST 152ND STREET-COURTLANDT AVENUE</t>
  </si>
  <si>
    <t>FORT INDEPENDENCE STREET-HEATH AVENUE</t>
  </si>
  <si>
    <t>MILL BROOK EXTENSION</t>
  </si>
  <si>
    <t>ADAMS</t>
  </si>
  <si>
    <t>DYCKMAN</t>
  </si>
  <si>
    <t>EAST 165TH STREET-BRYANT AVENUE</t>
  </si>
  <si>
    <t>D</t>
  </si>
  <si>
    <t>344 EAST 28TH STREET</t>
  </si>
  <si>
    <t>BRYANT AVENUE-EAST 174TH STREET</t>
  </si>
  <si>
    <t>EAST 173RD STREET-VYSE AVENUE</t>
  </si>
  <si>
    <t>HOE AVENUE-EAST 173RD STREET</t>
  </si>
  <si>
    <t>HUNTS POINT AVENUE REHAB</t>
  </si>
  <si>
    <t>LONGFELLOW AVENUE REHAB</t>
  </si>
  <si>
    <t>TODT HILL</t>
  </si>
  <si>
    <t>WEST FARMS ROAD REHAB</t>
  </si>
  <si>
    <t>WEST FARMS SQUARE CONVENTIONAL</t>
  </si>
  <si>
    <t>1010 EAST 178TH STREET</t>
  </si>
  <si>
    <t>104-14 TAPSCOTT STREET</t>
  </si>
  <si>
    <t>1162-1176 WASHINGTON AVENUE</t>
  </si>
  <si>
    <t>572 WARREN STREET</t>
  </si>
  <si>
    <t>830 AMSTERDAM AVENUE</t>
  </si>
  <si>
    <t>ALBANY</t>
  </si>
  <si>
    <t>ALBANY II</t>
  </si>
  <si>
    <t>ARMSTRONG I</t>
  </si>
  <si>
    <t>ATLANTIC TERMINAL SITE 4B</t>
  </si>
  <si>
    <t>BAISLEY PARK</t>
  </si>
  <si>
    <t>BEACH 41ST STREET-BEACH CHANNEL DRIVE</t>
  </si>
  <si>
    <t>BELMONT-SUTTER AREA</t>
  </si>
  <si>
    <t>BERRY STREET-SOUTH 9TH STREET</t>
  </si>
  <si>
    <t>BOSTON SECOR</t>
  </si>
  <si>
    <t>BROWN</t>
  </si>
  <si>
    <t>CAREY GARDENS</t>
  </si>
  <si>
    <t>CARLETON MANOR</t>
  </si>
  <si>
    <t>CASSIDY-LAFAYETTE</t>
  </si>
  <si>
    <t>CHELSEA</t>
  </si>
  <si>
    <t>CLASON POINT GARDENS</t>
  </si>
  <si>
    <t>CONEY ISLAND I (SITE 1B)</t>
  </si>
  <si>
    <t>CONEY ISLAND I (SITES 4 &amp; 5)</t>
  </si>
  <si>
    <t>CONLON LIHFE TOWER</t>
  </si>
  <si>
    <t>CROWN HEIGHTS</t>
  </si>
  <si>
    <t>CYPRESS HILLS</t>
  </si>
  <si>
    <t>EAST NEW YORK CITY LINE</t>
  </si>
  <si>
    <t>EASTCHESTER GARDENS</t>
  </si>
  <si>
    <t>FENIMORE-LEFFERTS</t>
  </si>
  <si>
    <t>FHA REPOSSESSED HOUSES (GROUP I)</t>
  </si>
  <si>
    <t>FHA REPOSSESSED HOUSES (GROUP V)</t>
  </si>
  <si>
    <t>FHA REPOSSESSED HOUSES (GROUP VI)</t>
  </si>
  <si>
    <t>FHA REPOSSESSED HOUSES (GROUP VII)</t>
  </si>
  <si>
    <t>FHA REPOSSESSED HOUSES (GROUP X)</t>
  </si>
  <si>
    <t>GARVEY (GROUP A)</t>
  </si>
  <si>
    <t>GLENWOOD</t>
  </si>
  <si>
    <t>GOWANUS</t>
  </si>
  <si>
    <t>GRAVESEND</t>
  </si>
  <si>
    <t>GUN HILL</t>
  </si>
  <si>
    <t>HABER</t>
  </si>
  <si>
    <t>HARRISON AVENUE REHAB (GROUP A)</t>
  </si>
  <si>
    <t>HARRISON AVENUE REHAB (GROUP B)</t>
  </si>
  <si>
    <t>HIGHBRIDGE GARDENS</t>
  </si>
  <si>
    <t>HOLMES TOWERS</t>
  </si>
  <si>
    <t>HUGHES APARTMENTS</t>
  </si>
  <si>
    <t>INDEPENDENCE</t>
  </si>
  <si>
    <t>INTERNATIONAL TOWER</t>
  </si>
  <si>
    <t>ISAACS</t>
  </si>
  <si>
    <t>LATIMER GARDENS</t>
  </si>
  <si>
    <t>LEAVITT STREET-34TH AVENUE</t>
  </si>
  <si>
    <t>LENOX ROAD-ROCKAWAY PARKWAY</t>
  </si>
  <si>
    <t>LINDEN</t>
  </si>
  <si>
    <t>MARBLE HILL</t>
  </si>
  <si>
    <t>MARCY AVENUE-GREENE AVENUE SITE A</t>
  </si>
  <si>
    <t>MARINER'S HARBOR</t>
  </si>
  <si>
    <t>MIDDLETOWN PLAZA</t>
  </si>
  <si>
    <t>MOTT HAVEN</t>
  </si>
  <si>
    <t>NEW LANE AREA</t>
  </si>
  <si>
    <t>OCEAN BAY APARTMENTS (OCEANSIDE)</t>
  </si>
  <si>
    <t>OCEAN HILL APARTMENTS</t>
  </si>
  <si>
    <t>OCEAN HILL-BROWNSVILLE</t>
  </si>
  <si>
    <t>O'DWYER GARDENS</t>
  </si>
  <si>
    <t>PARK ROCK REHAB</t>
  </si>
  <si>
    <t>PARKSIDE</t>
  </si>
  <si>
    <t>PENNSYLVANIA AVENUE-WORTMAN AVENUE</t>
  </si>
  <si>
    <t>RALPH AVENUE REHAB</t>
  </si>
  <si>
    <t>REID APARTMENTS</t>
  </si>
  <si>
    <t>RICHMOND TERRACE</t>
  </si>
  <si>
    <t>SAMUEL (MHOP) I</t>
  </si>
  <si>
    <t>SAMUEL (MHOP) II</t>
  </si>
  <si>
    <t>SAMUEL (MHOP) III</t>
  </si>
  <si>
    <t>SEDGWICK</t>
  </si>
  <si>
    <t>SHELTON HOUSE</t>
  </si>
  <si>
    <t>SOUNDVIEW</t>
  </si>
  <si>
    <t>STANTON STREET</t>
  </si>
  <si>
    <t>STAPLETON</t>
  </si>
  <si>
    <t>STERLING PLACE REHABS (SAINT JOHNS-STERLING)</t>
  </si>
  <si>
    <t>SURFSIDE GARDENS</t>
  </si>
  <si>
    <t>SUTTER AVENUE-UNION STREET</t>
  </si>
  <si>
    <t>TAPSCOTT STREET REHAB</t>
  </si>
  <si>
    <t>TAYLOR STREET-WYTHE AVENUE</t>
  </si>
  <si>
    <t>THOMAS APARTMENTS</t>
  </si>
  <si>
    <t>UNIVERSITY AVENUE REHAB</t>
  </si>
  <si>
    <t>VAN DYKE I</t>
  </si>
  <si>
    <t>VAN DYKE II</t>
  </si>
  <si>
    <t>VANDALIA AVENUE</t>
  </si>
  <si>
    <t>WASHINGTON HEIGHTS REHAB (GROUPS 1&amp;2)</t>
  </si>
  <si>
    <t>WASHINGTON HEIGHTS REHAB PHASE III (FORT WASHINGTON)</t>
  </si>
  <si>
    <t>WASHINGTON HEIGHTS REHAB PHASE III (HARLEM RIVER)</t>
  </si>
  <si>
    <t>WASHINGTON HEIGHTS REHAB PHASE IV (D)</t>
  </si>
  <si>
    <t>WEST BRIGHTON I</t>
  </si>
  <si>
    <t>WEST BRIGHTON II</t>
  </si>
  <si>
    <t>WEST TREMONT AVENUE-SEDGWICK AVENUE AREA</t>
  </si>
  <si>
    <t>WHITMAN</t>
  </si>
  <si>
    <t>WILLIAMS PLAZA</t>
  </si>
  <si>
    <t>WILLIAMSBURG</t>
  </si>
  <si>
    <t>WISE TOWERS</t>
  </si>
  <si>
    <t>WOODSON</t>
  </si>
  <si>
    <t>WSUR (BROWNSTONES)</t>
  </si>
  <si>
    <t>WSUR (SITE A) 120 WEST 94TH STREET</t>
  </si>
  <si>
    <t>WSUR (SITE B) 74 WEST 92ND STREET</t>
  </si>
  <si>
    <t>WSUR (SITE C) 589 AMSTERDAM AVENUE</t>
  </si>
  <si>
    <t>BROWNSVILLE</t>
  </si>
  <si>
    <t>Food Waste Disposals</t>
  </si>
  <si>
    <t>Enlarged Hopper Doors</t>
  </si>
  <si>
    <t>Waste Yards</t>
  </si>
  <si>
    <t>ALL</t>
  </si>
  <si>
    <t># Dev</t>
  </si>
  <si>
    <t>SUM</t>
  </si>
  <si>
    <t># Units</t>
  </si>
  <si>
    <t>Capital</t>
  </si>
  <si>
    <t>IN PROGRESS</t>
  </si>
  <si>
    <t>QUEUED</t>
  </si>
  <si>
    <t>PROJECTED</t>
  </si>
  <si>
    <t>CANCELED</t>
  </si>
  <si>
    <t>TOTAL</t>
  </si>
  <si>
    <t>Non-Capital</t>
  </si>
  <si>
    <t>Deliverable</t>
  </si>
  <si>
    <t>Current % Complete</t>
  </si>
  <si>
    <t>Work Completed</t>
  </si>
  <si>
    <t>(units)</t>
  </si>
  <si>
    <t>Work in Progress</t>
  </si>
  <si>
    <t>Work to be Completed</t>
  </si>
  <si>
    <t>Install food waste Disposals at Lafayette and Evaluate Program</t>
  </si>
  <si>
    <t>units</t>
  </si>
  <si>
    <t>Enlarging Ground Floor Hopper Doors</t>
  </si>
  <si>
    <t>developments</t>
  </si>
  <si>
    <t>Installing Bulk Crushers at 10 Developments</t>
  </si>
  <si>
    <t>crushers</t>
  </si>
  <si>
    <t>Installing 50 Rat Slabs</t>
  </si>
  <si>
    <t>rat slabs</t>
  </si>
  <si>
    <t>Complete NRR Funded Upgrades</t>
  </si>
  <si>
    <t>NRR funding</t>
  </si>
  <si>
    <t>$3M queued in FWD/EHD</t>
  </si>
  <si>
    <t>Further Upgrades via City Capital Plan</t>
  </si>
  <si>
    <t>City Capital dollars</t>
  </si>
  <si>
    <t>Improve more than 100 Initial Waste Yards via Re-Design</t>
  </si>
  <si>
    <t>waste yards</t>
  </si>
  <si>
    <t>Estimates</t>
  </si>
  <si>
    <t>FWD</t>
  </si>
  <si>
    <t>EHD</t>
  </si>
  <si>
    <t>Int. Comp</t>
  </si>
  <si>
    <t>TOTALS</t>
  </si>
  <si>
    <t>Funded amounts</t>
  </si>
  <si>
    <t>City Capital</t>
  </si>
  <si>
    <t>Federal Operating</t>
  </si>
  <si>
    <t>Federal Capital</t>
  </si>
  <si>
    <t>Outstanding Need</t>
  </si>
  <si>
    <t>Dwelling Units</t>
  </si>
  <si>
    <t>Ext. Compactor Priority</t>
  </si>
  <si>
    <t>ESTIMATE</t>
  </si>
  <si>
    <t>Funding Source</t>
  </si>
  <si>
    <t>Implementation Method</t>
  </si>
  <si>
    <t>Running Cost/Yr</t>
  </si>
  <si>
    <t>Running count</t>
  </si>
  <si>
    <t>est. Year</t>
  </si>
  <si>
    <t>CM/JOCs</t>
  </si>
  <si>
    <t>NRR City Expense</t>
  </si>
  <si>
    <t>Jacobs - JOCs</t>
  </si>
  <si>
    <t>#stories</t>
  </si>
  <si>
    <t>IMPLEMENTATION METHOD</t>
  </si>
  <si>
    <t>NOTES</t>
  </si>
  <si>
    <t>2018 OTPS</t>
  </si>
  <si>
    <t>AM District</t>
  </si>
  <si>
    <t>CF18 Funds</t>
  </si>
  <si>
    <t># augers</t>
  </si>
  <si>
    <t>DSGN CALENDAR YEAR</t>
  </si>
  <si>
    <t>DSGN FISCAL YEAR</t>
  </si>
  <si>
    <t>CONS CALENDAR YEAR</t>
  </si>
  <si>
    <t>CONS FISCAL YEAR</t>
  </si>
  <si>
    <t>DSGN ESTIMATE</t>
  </si>
  <si>
    <t>CONS ESTIMATE</t>
  </si>
  <si>
    <t>TOTAL ESTIMATE</t>
  </si>
  <si>
    <t>if differentiated</t>
  </si>
  <si>
    <t>Work Type</t>
  </si>
  <si>
    <t>Materials</t>
  </si>
  <si>
    <t>Labor</t>
  </si>
  <si>
    <t>Contingency</t>
  </si>
  <si>
    <t>A&amp;E</t>
  </si>
  <si>
    <t xml:space="preserve"> JOC Licensing</t>
  </si>
  <si>
    <t>JOC  Development</t>
  </si>
  <si>
    <t>CM</t>
  </si>
  <si>
    <t xml:space="preserve">PM </t>
  </si>
  <si>
    <t>Overhead+ Profit</t>
  </si>
  <si>
    <t>General Conditions</t>
  </si>
  <si>
    <t>Funding</t>
  </si>
  <si>
    <t>Trash Cans</t>
  </si>
  <si>
    <t>Expense</t>
  </si>
  <si>
    <t>Tilt Trucks</t>
  </si>
  <si>
    <t>Secondary Collection Areas</t>
  </si>
  <si>
    <t>per year</t>
  </si>
  <si>
    <t>New Waste Yard v1</t>
  </si>
  <si>
    <t>2 auger compactors</t>
  </si>
  <si>
    <t>New Waste Yard v2</t>
  </si>
  <si>
    <t>1 bulk auger compactor</t>
  </si>
  <si>
    <t>New Waste Yard v3</t>
  </si>
  <si>
    <t>3 auger compactors</t>
  </si>
  <si>
    <t>New Waste Yard v4</t>
  </si>
  <si>
    <t>4 auger compactors</t>
  </si>
  <si>
    <t>New Waste Yard v5</t>
  </si>
  <si>
    <t>5 auger compactors</t>
  </si>
  <si>
    <t>New Waste Yard v6</t>
  </si>
  <si>
    <t>6 auger compactors</t>
  </si>
  <si>
    <t>New Waste Yard v7</t>
  </si>
  <si>
    <t>7 auger compactors</t>
  </si>
  <si>
    <t>New Waste Yard v8</t>
  </si>
  <si>
    <t>1 bulk auger compactor + pneumatic system</t>
  </si>
  <si>
    <t>Development</t>
  </si>
  <si>
    <t>Year Sum</t>
  </si>
  <si>
    <t>Weekly Average</t>
  </si>
  <si>
    <t>Borough</t>
  </si>
  <si>
    <t>District</t>
  </si>
  <si>
    <t>1/9/2017</t>
  </si>
  <si>
    <t>1/10/2017</t>
  </si>
  <si>
    <t>1/11/2017</t>
  </si>
  <si>
    <t>1/12/2017</t>
  </si>
  <si>
    <t>1/13/2017</t>
  </si>
  <si>
    <t>1/14/2017</t>
  </si>
  <si>
    <t>1/16/2017</t>
  </si>
  <si>
    <t>1/17/2017</t>
  </si>
  <si>
    <t>1/18/2017</t>
  </si>
  <si>
    <t>1/19/2017</t>
  </si>
  <si>
    <t>1/20/2017</t>
  </si>
  <si>
    <t>1/21/2017</t>
  </si>
  <si>
    <t>1/23/2017</t>
  </si>
  <si>
    <t>1/24/2017</t>
  </si>
  <si>
    <t>1/25/2017</t>
  </si>
  <si>
    <t>1/26/2017</t>
  </si>
  <si>
    <t>1/27/2017</t>
  </si>
  <si>
    <t>1/28/2017</t>
  </si>
  <si>
    <t>1/2/2017</t>
  </si>
  <si>
    <t>1/3/2017</t>
  </si>
  <si>
    <t>1/4/2017</t>
  </si>
  <si>
    <t>1/5/2017</t>
  </si>
  <si>
    <t>1/6/2017</t>
  </si>
  <si>
    <t>1/7/2017</t>
  </si>
  <si>
    <t>10/9/2017</t>
  </si>
  <si>
    <t>10/10/2017</t>
  </si>
  <si>
    <t>10/11/2017</t>
  </si>
  <si>
    <t>10/12/2017</t>
  </si>
  <si>
    <t>10/13/2017</t>
  </si>
  <si>
    <t>10/14/2017</t>
  </si>
  <si>
    <t>10/16/2017</t>
  </si>
  <si>
    <t>10/17/2017</t>
  </si>
  <si>
    <t>10/18/2017</t>
  </si>
  <si>
    <t>10/19/2017</t>
  </si>
  <si>
    <t>10/20/2017</t>
  </si>
  <si>
    <t>10/21/2017</t>
  </si>
  <si>
    <t>10/23/2017</t>
  </si>
  <si>
    <t>10/24/2017</t>
  </si>
  <si>
    <t>10/25/2017</t>
  </si>
  <si>
    <t>10/26/2017</t>
  </si>
  <si>
    <t>10/27/2017</t>
  </si>
  <si>
    <t>10/28/2017</t>
  </si>
  <si>
    <t>10/2/2017</t>
  </si>
  <si>
    <t>10/3/2017</t>
  </si>
  <si>
    <t>10/4/2017</t>
  </si>
  <si>
    <t>10/5/2017</t>
  </si>
  <si>
    <t>10/6/2017</t>
  </si>
  <si>
    <t>10/7/2017</t>
  </si>
  <si>
    <t>11/6/2017</t>
  </si>
  <si>
    <t>11/7/2017</t>
  </si>
  <si>
    <t>11/8/2017</t>
  </si>
  <si>
    <t>11/9/2017</t>
  </si>
  <si>
    <t>11/10/2017</t>
  </si>
  <si>
    <t>11/11/2017</t>
  </si>
  <si>
    <t>11/13/2017</t>
  </si>
  <si>
    <t>11/14/2017</t>
  </si>
  <si>
    <t>11/15/2017</t>
  </si>
  <si>
    <t>11/16/2017</t>
  </si>
  <si>
    <t>11/17/2017</t>
  </si>
  <si>
    <t>11/18/2017</t>
  </si>
  <si>
    <t>11/20/2017</t>
  </si>
  <si>
    <t>11/21/2017</t>
  </si>
  <si>
    <t>11/22/2017</t>
  </si>
  <si>
    <t>11/23/2017</t>
  </si>
  <si>
    <t>11/24/2017</t>
  </si>
  <si>
    <t>11/25/2017</t>
  </si>
  <si>
    <t>10/30/2017</t>
  </si>
  <si>
    <t>10/31/2017</t>
  </si>
  <si>
    <t>11/1/2017</t>
  </si>
  <si>
    <t>11/2/2017</t>
  </si>
  <si>
    <t>11/3/2017</t>
  </si>
  <si>
    <t>11/4/2017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</si>
  <si>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</si>
  <si>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</si>
  <si>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</si>
  <si>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</si>
  <si>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</si>
  <si>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</si>
  <si>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</si>
  <si>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11/27/2017</t>
  </si>
  <si>
    <t>11/28/2017</t>
  </si>
  <si>
    <t>11/29/2017</t>
  </si>
  <si>
    <t>11/30/2017</t>
  </si>
  <si>
    <t>12/1/2017</t>
  </si>
  <si>
    <t>12/2/2017</t>
  </si>
  <si>
    <t>12/18/2017</t>
  </si>
  <si>
    <t>12/19/2017</t>
  </si>
  <si>
    <t>12/20/2017</t>
  </si>
  <si>
    <t>12/21/2017</t>
  </si>
  <si>
    <t>12/22/2017</t>
  </si>
  <si>
    <t>12/23/2017</t>
  </si>
  <si>
    <t>12/25/2017</t>
  </si>
  <si>
    <t>12/26/2017</t>
  </si>
  <si>
    <t>12/27/2017</t>
  </si>
  <si>
    <t>12/28/2017</t>
  </si>
  <si>
    <t>12/29/2017</t>
  </si>
  <si>
    <t>12/30/2017</t>
  </si>
  <si>
    <t>12/4/2017</t>
  </si>
  <si>
    <t>12/5/2017</t>
  </si>
  <si>
    <t>12/6/2017</t>
  </si>
  <si>
    <t>12/7/2017</t>
  </si>
  <si>
    <t>12/8/2017</t>
  </si>
  <si>
    <t>12/9/2017</t>
  </si>
  <si>
    <t>2/6/2017</t>
  </si>
  <si>
    <t>2/7/2017</t>
  </si>
  <si>
    <t>2/8/2017</t>
  </si>
  <si>
    <t>2/9/2017</t>
  </si>
  <si>
    <t>2/10/2017</t>
  </si>
  <si>
    <t>2/11/2017</t>
  </si>
  <si>
    <t>2/12/2017</t>
  </si>
  <si>
    <t>2/13/2017</t>
  </si>
  <si>
    <t>2/14/2017</t>
  </si>
  <si>
    <t>2/15/2017</t>
  </si>
  <si>
    <t>2/16/2017</t>
  </si>
  <si>
    <t>2/17/2017</t>
  </si>
  <si>
    <t>2/18/2017</t>
  </si>
  <si>
    <t>2/20/2017</t>
  </si>
  <si>
    <t>2/21/2017</t>
  </si>
  <si>
    <t>2/22/2017</t>
  </si>
  <si>
    <t>2/23/2017</t>
  </si>
  <si>
    <t>2/24/2017</t>
  </si>
  <si>
    <t>2/25/2017</t>
  </si>
  <si>
    <t>1/30/2017</t>
  </si>
  <si>
    <t>1/31/2017</t>
  </si>
  <si>
    <t>2/1/2017</t>
  </si>
  <si>
    <t>2/2/2017</t>
  </si>
  <si>
    <t>2/3/2017</t>
  </si>
  <si>
    <t>2/4/2017</t>
  </si>
  <si>
    <t>3/6/2017</t>
  </si>
  <si>
    <t>3/7/2017</t>
  </si>
  <si>
    <t>3/8/2017</t>
  </si>
  <si>
    <t>3/9/2017</t>
  </si>
  <si>
    <t>3/10/2017</t>
  </si>
  <si>
    <t>3/11/2017</t>
  </si>
  <si>
    <t>3/13/2017</t>
  </si>
  <si>
    <t>3/14/2017</t>
  </si>
  <si>
    <t>3/15/2017</t>
  </si>
  <si>
    <t>3/16/2017</t>
  </si>
  <si>
    <t>3/17/2017</t>
  </si>
  <si>
    <t>3/18/2017</t>
  </si>
  <si>
    <t>3/20/2017</t>
  </si>
  <si>
    <t>3/21/2017</t>
  </si>
  <si>
    <t>3/22/2017</t>
  </si>
  <si>
    <t>3/23/2017</t>
  </si>
  <si>
    <t>3/24/2017</t>
  </si>
  <si>
    <t>3/25/2017</t>
  </si>
  <si>
    <t>2/27/2017</t>
  </si>
  <si>
    <t>2/28/2017</t>
  </si>
  <si>
    <t>3/1/2017</t>
  </si>
  <si>
    <t>3/2/2017</t>
  </si>
  <si>
    <t>3/3/2017</t>
  </si>
  <si>
    <t>3/4/2017</t>
  </si>
  <si>
    <t>3/27/2017</t>
  </si>
  <si>
    <t>3/28/2017</t>
  </si>
  <si>
    <t>3/29/2017</t>
  </si>
  <si>
    <t>3/30/2017</t>
  </si>
  <si>
    <t>3/31/2017</t>
  </si>
  <si>
    <t>4/1/2017</t>
  </si>
  <si>
    <t>4/10/2017</t>
  </si>
  <si>
    <t>4/11/2017</t>
  </si>
  <si>
    <t>4/12/2017</t>
  </si>
  <si>
    <t>4/13/2017</t>
  </si>
  <si>
    <t>4/14/2017</t>
  </si>
  <si>
    <t>4/15/2017</t>
  </si>
  <si>
    <t>4/17/2017</t>
  </si>
  <si>
    <t>4/18/2017</t>
  </si>
  <si>
    <t>4/19/2017</t>
  </si>
  <si>
    <t>4/20/2017</t>
  </si>
  <si>
    <t>4/21/2017</t>
  </si>
  <si>
    <t>4/22/2017</t>
  </si>
  <si>
    <t>4/24/2017</t>
  </si>
  <si>
    <t>4/25/2017</t>
  </si>
  <si>
    <t>4/26/2017</t>
  </si>
  <si>
    <t>4/27/2017</t>
  </si>
  <si>
    <t>4/28/2017</t>
  </si>
  <si>
    <t>4/29/2017</t>
  </si>
  <si>
    <t>4/3/2017</t>
  </si>
  <si>
    <t>4/4/2017</t>
  </si>
  <si>
    <t>4/5/2017</t>
  </si>
  <si>
    <t>4/6/2017</t>
  </si>
  <si>
    <t>4/7/2017</t>
  </si>
  <si>
    <t>4/8/2017</t>
  </si>
  <si>
    <t>5/8/2017</t>
  </si>
  <si>
    <t>5/9/2017</t>
  </si>
  <si>
    <t>5/10/2017</t>
  </si>
  <si>
    <t>5/11/2017</t>
  </si>
  <si>
    <t>5/12/2017</t>
  </si>
  <si>
    <t>5/13/2017</t>
  </si>
  <si>
    <t>5/15/2017</t>
  </si>
  <si>
    <t>5/16/2017</t>
  </si>
  <si>
    <t>5/17/2017</t>
  </si>
  <si>
    <t>5/18/2017</t>
  </si>
  <si>
    <t>5/19/2017</t>
  </si>
  <si>
    <t>5/20/2017</t>
  </si>
  <si>
    <t>5/22/2017</t>
  </si>
  <si>
    <t>5/23/2017</t>
  </si>
  <si>
    <t>5/24/2017</t>
  </si>
  <si>
    <t>5/25/2017</t>
  </si>
  <si>
    <t>5/26/2017</t>
  </si>
  <si>
    <t>5/27/2017</t>
  </si>
  <si>
    <t>5/1/2017</t>
  </si>
  <si>
    <t>5/2/2017</t>
  </si>
  <si>
    <t>5/3/2017</t>
  </si>
  <si>
    <t>5/4/2017</t>
  </si>
  <si>
    <t>5/5/2017</t>
  </si>
  <si>
    <t>5/6/2017</t>
  </si>
  <si>
    <t>6/5/2017</t>
  </si>
  <si>
    <t>6/6/2017</t>
  </si>
  <si>
    <t>6/7/2017</t>
  </si>
  <si>
    <t>6/8/2017</t>
  </si>
  <si>
    <t>6/9/2017</t>
  </si>
  <si>
    <t>6/10/2017</t>
  </si>
  <si>
    <t>6/12/2017</t>
  </si>
  <si>
    <t>6/13/2017</t>
  </si>
  <si>
    <t>6/14/2017</t>
  </si>
  <si>
    <t>6/15/2017</t>
  </si>
  <si>
    <t>6/16/2017</t>
  </si>
  <si>
    <t>6/17/2017</t>
  </si>
  <si>
    <t>6/19/2017</t>
  </si>
  <si>
    <t>6/20/2017</t>
  </si>
  <si>
    <t>6/21/2017</t>
  </si>
  <si>
    <t>6/22/2017</t>
  </si>
  <si>
    <t>6/23/2017</t>
  </si>
  <si>
    <t>6/24/2017</t>
  </si>
  <si>
    <t>5/29/2017</t>
  </si>
  <si>
    <t>5/30/2017</t>
  </si>
  <si>
    <t>5/31/2017</t>
  </si>
  <si>
    <t>6/1/2017</t>
  </si>
  <si>
    <t>6/2/2017</t>
  </si>
  <si>
    <t>6/3/2017</t>
  </si>
  <si>
    <t>6/26/2017</t>
  </si>
  <si>
    <t>6/27/2017</t>
  </si>
  <si>
    <t>6/28/2017</t>
  </si>
  <si>
    <t>6/29/2017</t>
  </si>
  <si>
    <t>6/30/2017</t>
  </si>
  <si>
    <t>7/1/2017</t>
  </si>
  <si>
    <t>7/10/2017</t>
  </si>
  <si>
    <t>7/11/2017</t>
  </si>
  <si>
    <t>7/12/2017</t>
  </si>
  <si>
    <t>7/13/2017</t>
  </si>
  <si>
    <t>7/14/2017</t>
  </si>
  <si>
    <t>7/15/2017</t>
  </si>
  <si>
    <t>7/17/2017</t>
  </si>
  <si>
    <t>7/18/2017</t>
  </si>
  <si>
    <t>7/19/2017</t>
  </si>
  <si>
    <t>7/20/2017</t>
  </si>
  <si>
    <t>7/21/2017</t>
  </si>
  <si>
    <t>7/22/2017</t>
  </si>
  <si>
    <t>7/24/2017</t>
  </si>
  <si>
    <t>7/25/2017</t>
  </si>
  <si>
    <t>7/26/2017</t>
  </si>
  <si>
    <t>7/27/2017</t>
  </si>
  <si>
    <t>7/28/2017</t>
  </si>
  <si>
    <t>7/29/2017</t>
  </si>
  <si>
    <t>7/3/2017</t>
  </si>
  <si>
    <t>7/4/2017</t>
  </si>
  <si>
    <t>7/5/2017</t>
  </si>
  <si>
    <t>7/6/2017</t>
  </si>
  <si>
    <t>7/7/2017</t>
  </si>
  <si>
    <t>7/8/2017</t>
  </si>
  <si>
    <t>8/7/2017</t>
  </si>
  <si>
    <t>8/8/2017</t>
  </si>
  <si>
    <t>8/9/2017</t>
  </si>
  <si>
    <t>8/10/2017</t>
  </si>
  <si>
    <t>8/11/2017</t>
  </si>
  <si>
    <t>8/12/2017</t>
  </si>
  <si>
    <t>8/14/2017</t>
  </si>
  <si>
    <t>8/15/2017</t>
  </si>
  <si>
    <t>8/16/2017</t>
  </si>
  <si>
    <t>8/17/2017</t>
  </si>
  <si>
    <t>8/18/2017</t>
  </si>
  <si>
    <t>8/19/2017</t>
  </si>
  <si>
    <t>8/21/2017</t>
  </si>
  <si>
    <t>8/22/2017</t>
  </si>
  <si>
    <t>8/23/2017</t>
  </si>
  <si>
    <t>8/24/2017</t>
  </si>
  <si>
    <t>8/25/2017</t>
  </si>
  <si>
    <t>8/26/2017</t>
  </si>
  <si>
    <t>7/31/2017</t>
  </si>
  <si>
    <t>8/1/2017</t>
  </si>
  <si>
    <t>8/2/2017</t>
  </si>
  <si>
    <t>8/3/2017</t>
  </si>
  <si>
    <t>8/4/2017</t>
  </si>
  <si>
    <t>8/5/2017</t>
  </si>
  <si>
    <t>9/11/2017</t>
  </si>
  <si>
    <t>9/12/2017</t>
  </si>
  <si>
    <t>9/13/2017</t>
  </si>
  <si>
    <t>9/14/2017</t>
  </si>
  <si>
    <t>9/15/2017</t>
  </si>
  <si>
    <t>9/16/2017</t>
  </si>
  <si>
    <t>8/28/2017</t>
  </si>
  <si>
    <t>8/29/2017</t>
  </si>
  <si>
    <t>8/30/2017</t>
  </si>
  <si>
    <t>8/31/2017</t>
  </si>
  <si>
    <t>9/1/2017</t>
  </si>
  <si>
    <t>9/2/2017</t>
  </si>
  <si>
    <t>9/18/2017</t>
  </si>
  <si>
    <t>9/19/2017</t>
  </si>
  <si>
    <t>9/20/2017</t>
  </si>
  <si>
    <t>9/21/2017</t>
  </si>
  <si>
    <t>9/22/2017</t>
  </si>
  <si>
    <t>9/23/2017</t>
  </si>
  <si>
    <t>9/25/2017</t>
  </si>
  <si>
    <t>9/26/2017</t>
  </si>
  <si>
    <t>9/27/2017</t>
  </si>
  <si>
    <t>9/28/2017</t>
  </si>
  <si>
    <t>9/29/2017</t>
  </si>
  <si>
    <t>9/30/2017</t>
  </si>
  <si>
    <t>9/4/2017</t>
  </si>
  <si>
    <t>9/5/2017</t>
  </si>
  <si>
    <t>9/6/2017</t>
  </si>
  <si>
    <t>9/7/2017</t>
  </si>
  <si>
    <t>9/8/2017</t>
  </si>
  <si>
    <t>9/9/2017</t>
  </si>
  <si>
    <t>MAN</t>
  </si>
  <si>
    <t>M03</t>
  </si>
  <si>
    <t>CAMPOS PLAZA I</t>
  </si>
  <si>
    <t>M04</t>
  </si>
  <si>
    <t>DOUGLASS</t>
  </si>
  <si>
    <t>M07</t>
  </si>
  <si>
    <t>M08</t>
  </si>
  <si>
    <t>M09</t>
  </si>
  <si>
    <t>M10</t>
  </si>
  <si>
    <t>M11</t>
  </si>
  <si>
    <t>M12</t>
  </si>
  <si>
    <t>BETANCES II, 9A</t>
  </si>
  <si>
    <t>BX</t>
  </si>
  <si>
    <t>BX01</t>
  </si>
  <si>
    <t>BETANCES V</t>
  </si>
  <si>
    <t>CLAREMONT PARKWAY</t>
  </si>
  <si>
    <t>BX03</t>
  </si>
  <si>
    <t>MORRIS</t>
  </si>
  <si>
    <t>CLAREMONT CONSOLIDATED</t>
  </si>
  <si>
    <t>BX04</t>
  </si>
  <si>
    <t>BX05</t>
  </si>
  <si>
    <t>TWIN PARKS WEST (SITES 1 &amp; 2)</t>
  </si>
  <si>
    <t>BX06</t>
  </si>
  <si>
    <t>MURPHY</t>
  </si>
  <si>
    <t>BX07</t>
  </si>
  <si>
    <t>BX08</t>
  </si>
  <si>
    <t>BX09</t>
  </si>
  <si>
    <t>BRONX DALE</t>
  </si>
  <si>
    <t>BX10</t>
  </si>
  <si>
    <t>BX11</t>
  </si>
  <si>
    <t>BAYCHESTER</t>
  </si>
  <si>
    <t>BKN</t>
  </si>
  <si>
    <t>BKN01</t>
  </si>
  <si>
    <t xml:space="preserve">ATLANTIC TERMINAL </t>
  </si>
  <si>
    <t>BKN02</t>
  </si>
  <si>
    <t>BKN03</t>
  </si>
  <si>
    <t>BORINQUEN</t>
  </si>
  <si>
    <t>COOPER</t>
  </si>
  <si>
    <t xml:space="preserve">BUSHWICK </t>
  </si>
  <si>
    <t>TAYLOR</t>
  </si>
  <si>
    <t>BKN08</t>
  </si>
  <si>
    <t>HOPE GARDENS</t>
  </si>
  <si>
    <t>BKN04</t>
  </si>
  <si>
    <t xml:space="preserve">CYPRESS HILLS </t>
  </si>
  <si>
    <t>BKN05</t>
  </si>
  <si>
    <t>BKS</t>
  </si>
  <si>
    <t>BKS06</t>
  </si>
  <si>
    <t>572  STREET</t>
  </si>
  <si>
    <t>RED HOOK I</t>
  </si>
  <si>
    <t>RED HOOK II</t>
  </si>
  <si>
    <t>BKS13</t>
  </si>
  <si>
    <t>BKS15</t>
  </si>
  <si>
    <t>BKS18</t>
  </si>
  <si>
    <t>BKN16</t>
  </si>
  <si>
    <t>LANGSTON HUGHES APARTMENTS</t>
  </si>
  <si>
    <t>QE14</t>
  </si>
  <si>
    <t>OCEAN BAY APARTMENTS (BAYSIDE)</t>
  </si>
  <si>
    <t>QNS</t>
  </si>
  <si>
    <t>QW01</t>
  </si>
  <si>
    <t>QUEENSBRIDGE</t>
  </si>
  <si>
    <t>QE07</t>
  </si>
  <si>
    <t>QE08</t>
  </si>
  <si>
    <t>QE12</t>
  </si>
  <si>
    <t>SOUTH JAMAICA (Box #1 /#2)</t>
  </si>
  <si>
    <t>SOUTH JAMAICA (Box #3 /#4)</t>
  </si>
  <si>
    <t xml:space="preserve">Conlon Life </t>
  </si>
  <si>
    <t>SI</t>
  </si>
  <si>
    <t>SI01</t>
  </si>
  <si>
    <t>SI02</t>
  </si>
  <si>
    <t>DATA AS OF</t>
  </si>
  <si>
    <t>HUD AMP#</t>
  </si>
  <si>
    <t>TDS#</t>
  </si>
  <si>
    <t>CONSOLIDATED TDS#</t>
  </si>
  <si>
    <t>DEVELOPMENT EDP#</t>
  </si>
  <si>
    <t>OPERATING EDP#</t>
  </si>
  <si>
    <t>HUD #</t>
  </si>
  <si>
    <t>METHOD</t>
  </si>
  <si>
    <t>TYPE</t>
  </si>
  <si>
    <t>NUMBER OF SECTION 8 TRANSITION APARTMENTS</t>
  </si>
  <si>
    <t>NUMBER OF CURRENT APARTMENTS</t>
  </si>
  <si>
    <t>TOTAL NUMBER OF APARTMENTS</t>
  </si>
  <si>
    <t>NUMBER OF RENTAL ROOMS</t>
  </si>
  <si>
    <t>AVG NO R/R PER APARTMENT</t>
  </si>
  <si>
    <t>POPULATION SECTION 8 TRANSITION</t>
  </si>
  <si>
    <t>POPULATION PUBLIC HOUSING</t>
  </si>
  <si>
    <t>TOTAL POPULATION</t>
  </si>
  <si>
    <t>TOTAL # OF FIXED INCOME HOUSEHOLD</t>
  </si>
  <si>
    <t>PERCENT FIXED INCOME HOUSEHOLDS</t>
  </si>
  <si>
    <t>NUMBER OF RESIDENTIAL BLDGS</t>
  </si>
  <si>
    <t>NUMBER OF NON-RESIDENTIAL BLDGS</t>
  </si>
  <si>
    <t>NUMBER OF STAIRHALLS</t>
  </si>
  <si>
    <t>NUMBER OF STORIES</t>
  </si>
  <si>
    <t>TOTAL AREA SQ FT</t>
  </si>
  <si>
    <t>ACRES</t>
  </si>
  <si>
    <t>NET DEV AREA SQ FT</t>
  </si>
  <si>
    <t>EXCLUDING PARK ACRES</t>
  </si>
  <si>
    <t>BLDG COVERAGE SQ FT</t>
  </si>
  <si>
    <t>CUBAGE CU FT</t>
  </si>
  <si>
    <t>BLDG COVERAGE %</t>
  </si>
  <si>
    <t>DENSITY</t>
  </si>
  <si>
    <t>DEVELOPMENT COST</t>
  </si>
  <si>
    <t>PER RENTAL ROOM</t>
  </si>
  <si>
    <t>AVG MONTHLY GROSS RENT</t>
  </si>
  <si>
    <t>LOCATION STREET A</t>
  </si>
  <si>
    <t>LOCATION STREET B</t>
  </si>
  <si>
    <t>LOCATION STREET C</t>
  </si>
  <si>
    <t>LOCATION STREET D</t>
  </si>
  <si>
    <t>COMMUNITY DISTIRCT</t>
  </si>
  <si>
    <t>US CONGRESSIONAL DISTRICT</t>
  </si>
  <si>
    <t>NY STATE SENATE DISTRICT</t>
  </si>
  <si>
    <t>NY STATE ASSEMBLY DISTRICT</t>
  </si>
  <si>
    <t>NY CITY COUNCIL DISTRICT</t>
  </si>
  <si>
    <t>COMPLETION DATE</t>
  </si>
  <si>
    <t>FEDERALIZED DEVELOPMENT</t>
  </si>
  <si>
    <t>SENIOR DEVELOPMENT</t>
  </si>
  <si>
    <t>ELECTRICITY PAID BY RESIDENTS</t>
  </si>
  <si>
    <t>PRIVATE MANAGEMENT</t>
  </si>
  <si>
    <t>NY005011330</t>
  </si>
  <si>
    <t>NY005090</t>
  </si>
  <si>
    <t>FEDERAL</t>
  </si>
  <si>
    <t>CONVENTIONAL</t>
  </si>
  <si>
    <t>NEW CONST</t>
  </si>
  <si>
    <t>E TREMONT AVE</t>
  </si>
  <si>
    <t>BRYANT AVE</t>
  </si>
  <si>
    <t>E 178TH ST</t>
  </si>
  <si>
    <t>BOSTON RD</t>
  </si>
  <si>
    <t>BRONX</t>
  </si>
  <si>
    <t>NY005011670</t>
  </si>
  <si>
    <t>NY005174</t>
  </si>
  <si>
    <t>TURNKEY</t>
  </si>
  <si>
    <t>TAPSCOTT ST</t>
  </si>
  <si>
    <t>UNION ST</t>
  </si>
  <si>
    <t>SUTTER AVE</t>
  </si>
  <si>
    <t>BLAKE AVE</t>
  </si>
  <si>
    <t>BROOKLYN</t>
  </si>
  <si>
    <t>NY005013080</t>
  </si>
  <si>
    <t>NY005138</t>
  </si>
  <si>
    <t>REHAB</t>
  </si>
  <si>
    <t>E 167TH ST</t>
  </si>
  <si>
    <t>E 168TH ST</t>
  </si>
  <si>
    <t>THIRD AVE</t>
  </si>
  <si>
    <t>WASHINGTON AVE</t>
  </si>
  <si>
    <t>NY005010970</t>
  </si>
  <si>
    <t>NY005065</t>
  </si>
  <si>
    <t>SAINT NICHOLAS AVE</t>
  </si>
  <si>
    <t>W 116TH ST</t>
  </si>
  <si>
    <t>W 117TH ST</t>
  </si>
  <si>
    <t>MANHATTAN</t>
  </si>
  <si>
    <t>NY005010670</t>
  </si>
  <si>
    <t>NY005162</t>
  </si>
  <si>
    <t>WATSON AVE</t>
  </si>
  <si>
    <t>COLGATE AVE</t>
  </si>
  <si>
    <t>EVERGREEN AVE</t>
  </si>
  <si>
    <t>NY005013590</t>
  </si>
  <si>
    <t>NY005270</t>
  </si>
  <si>
    <t>AMSTERDAM AVE</t>
  </si>
  <si>
    <t>W 84TH ST</t>
  </si>
  <si>
    <t>COLUMBUS AVE</t>
  </si>
  <si>
    <t>YES</t>
  </si>
  <si>
    <t>NY005010730</t>
  </si>
  <si>
    <t>NY005068</t>
  </si>
  <si>
    <t>VERNON AVE</t>
  </si>
  <si>
    <t>MARCUS GARVEY BLVD</t>
  </si>
  <si>
    <t>MYRTLE AVE</t>
  </si>
  <si>
    <t>NY005010640</t>
  </si>
  <si>
    <t>NY005126</t>
  </si>
  <si>
    <t>SECOND AVE</t>
  </si>
  <si>
    <t>E 111TH ST</t>
  </si>
  <si>
    <t>FIRST AVE</t>
  </si>
  <si>
    <t>E 112TH ST</t>
  </si>
  <si>
    <t>NY005021850</t>
  </si>
  <si>
    <t>NY005374</t>
  </si>
  <si>
    <t>MIXED FINANCE/LLC2</t>
  </si>
  <si>
    <t>E 27TH ST</t>
  </si>
  <si>
    <t>NEW ST</t>
  </si>
  <si>
    <t>E 28TH ST</t>
  </si>
  <si>
    <t>NY005011000</t>
  </si>
  <si>
    <t>NY005186</t>
  </si>
  <si>
    <t>GRAND ST</t>
  </si>
  <si>
    <t>ALLEN ST</t>
  </si>
  <si>
    <t>HESTER ST</t>
  </si>
  <si>
    <t>ELDRIDGE ST</t>
  </si>
  <si>
    <t>NY005011630</t>
  </si>
  <si>
    <t>NY005103</t>
  </si>
  <si>
    <t>WARREN ST</t>
  </si>
  <si>
    <t>BALTIC ST</t>
  </si>
  <si>
    <t>FOURTH AVE</t>
  </si>
  <si>
    <t>NY005010820</t>
  </si>
  <si>
    <t>NY005059</t>
  </si>
  <si>
    <t>W 101ST ST</t>
  </si>
  <si>
    <t>W 100TH ST</t>
  </si>
  <si>
    <t>NY005001180</t>
  </si>
  <si>
    <t>NY005049</t>
  </si>
  <si>
    <t>15-21</t>
  </si>
  <si>
    <t>WESTCHESTER AVE</t>
  </si>
  <si>
    <t>UNION AVE</t>
  </si>
  <si>
    <t>E 152ND ST</t>
  </si>
  <si>
    <t>NY005010310</t>
  </si>
  <si>
    <t>NY005216C</t>
  </si>
  <si>
    <t>ALBANY AVE</t>
  </si>
  <si>
    <t>SAINT MARKS AVE</t>
  </si>
  <si>
    <t>TROY AVE</t>
  </si>
  <si>
    <t>PARK PL</t>
  </si>
  <si>
    <t>1978/02/01-ATP 2</t>
  </si>
  <si>
    <t>13-14</t>
  </si>
  <si>
    <t>BERGEN ST</t>
  </si>
  <si>
    <t>ALBANY HOUSES</t>
  </si>
  <si>
    <t>NY005010220</t>
  </si>
  <si>
    <t>NY005220A</t>
  </si>
  <si>
    <t>W 61ST ST</t>
  </si>
  <si>
    <t>W 64TH ST</t>
  </si>
  <si>
    <t>WEST END AVE</t>
  </si>
  <si>
    <t>1978/07/01-ATP 3</t>
  </si>
  <si>
    <t>NY005021870</t>
  </si>
  <si>
    <t>NY005366</t>
  </si>
  <si>
    <t>MIXED FINANCE/LLC1</t>
  </si>
  <si>
    <t>W 65TH ST</t>
  </si>
  <si>
    <t>NY005012100</t>
  </si>
  <si>
    <t>NY005120</t>
  </si>
  <si>
    <t>CLIFTON PL</t>
  </si>
  <si>
    <t>MARCY AVE</t>
  </si>
  <si>
    <t>GATES AVE</t>
  </si>
  <si>
    <t>BEDFORD AVE</t>
  </si>
  <si>
    <t>56, 57</t>
  </si>
  <si>
    <t>PARTIALLY</t>
  </si>
  <si>
    <t>NY005116</t>
  </si>
  <si>
    <t>GREENE AVE</t>
  </si>
  <si>
    <t>TOMPKINS AVE</t>
  </si>
  <si>
    <t>NY005000260</t>
  </si>
  <si>
    <t>NY005213I</t>
  </si>
  <si>
    <t>27TH AVE</t>
  </si>
  <si>
    <t>8TH ST</t>
  </si>
  <si>
    <t>HALLET'S COVE</t>
  </si>
  <si>
    <t>QUEENS</t>
  </si>
  <si>
    <t>1977/07/01-ATP 1</t>
  </si>
  <si>
    <t>NY005189</t>
  </si>
  <si>
    <t>CLERMONT AVE</t>
  </si>
  <si>
    <t>ATLANTIC AVE</t>
  </si>
  <si>
    <t>CARLTON AVE</t>
  </si>
  <si>
    <t>FULTON ST</t>
  </si>
  <si>
    <t>NY005010030</t>
  </si>
  <si>
    <t>NY005365</t>
  </si>
  <si>
    <t>W 154TH ST</t>
  </si>
  <si>
    <t>W 155TH ST</t>
  </si>
  <si>
    <t>1995/07/13-PTA</t>
  </si>
  <si>
    <t>NY005012020</t>
  </si>
  <si>
    <t>NY005106</t>
  </si>
  <si>
    <t>BAILEY AVE</t>
  </si>
  <si>
    <t>W 193RD ST</t>
  </si>
  <si>
    <t>HEATH AVE</t>
  </si>
  <si>
    <t>NY005010910</t>
  </si>
  <si>
    <t>NY005038</t>
  </si>
  <si>
    <t>LIRR</t>
  </si>
  <si>
    <t>FOCH BLVD</t>
  </si>
  <si>
    <t>116TH AVE</t>
  </si>
  <si>
    <t>GUY BREWER BLVD</t>
  </si>
  <si>
    <t>10, 14</t>
  </si>
  <si>
    <t>NY005010600</t>
  </si>
  <si>
    <t>NY005012</t>
  </si>
  <si>
    <t>E HOUSTON ST</t>
  </si>
  <si>
    <t>FDR DRIVE</t>
  </si>
  <si>
    <t>DELANCEY ST</t>
  </si>
  <si>
    <t>COLUMBIA ST</t>
  </si>
  <si>
    <t>NY005111</t>
  </si>
  <si>
    <t>NEW CONST (ELD)</t>
  </si>
  <si>
    <t>EXCLUSIVELY</t>
  </si>
  <si>
    <t>NY005020920</t>
  </si>
  <si>
    <t>NY005368</t>
  </si>
  <si>
    <t>SEAVIEW AVE</t>
  </si>
  <si>
    <t>E 102ND ST</t>
  </si>
  <si>
    <t>ROCKAWAY PKWY</t>
  </si>
  <si>
    <t>SHORE PKWY</t>
  </si>
  <si>
    <t>NY005001650</t>
  </si>
  <si>
    <t>NY005086</t>
  </si>
  <si>
    <t>B 38TH ST</t>
  </si>
  <si>
    <t>B 41ST ST</t>
  </si>
  <si>
    <t>NORTON AVE</t>
  </si>
  <si>
    <t>B CHANNEL DR</t>
  </si>
  <si>
    <t>NY005255</t>
  </si>
  <si>
    <t>THROOP AVE</t>
  </si>
  <si>
    <t>HART ST</t>
  </si>
  <si>
    <t>NY005010460</t>
  </si>
  <si>
    <t>NY005282</t>
  </si>
  <si>
    <t>BELMONT AVE</t>
  </si>
  <si>
    <t>JEROME ST</t>
  </si>
  <si>
    <t>BARBEY ST</t>
  </si>
  <si>
    <t>NY005000520</t>
  </si>
  <si>
    <t>NY005271B</t>
  </si>
  <si>
    <t>RICHMOND RD</t>
  </si>
  <si>
    <t>DONGAN HILLS AVE</t>
  </si>
  <si>
    <t>SEAVER AVE</t>
  </si>
  <si>
    <t>JEFFERSON ST</t>
  </si>
  <si>
    <t>STATEN ISLAND</t>
  </si>
  <si>
    <t>1980/10/01-ATP 7</t>
  </si>
  <si>
    <t>NY005011310</t>
  </si>
  <si>
    <t>NY005288</t>
  </si>
  <si>
    <t>SOUTH 9TH ST</t>
  </si>
  <si>
    <t>BEDFORD &amp; DIVISION AVES</t>
  </si>
  <si>
    <t>SOUTH 11TH ST</t>
  </si>
  <si>
    <t>WYTHE AVE</t>
  </si>
  <si>
    <t>NY005070</t>
  </si>
  <si>
    <t>W 156TH ST</t>
  </si>
  <si>
    <t>NY005011860</t>
  </si>
  <si>
    <t>NY005213K</t>
  </si>
  <si>
    <t>ROOSEVELT AVE</t>
  </si>
  <si>
    <t>PRINCE ST</t>
  </si>
  <si>
    <t>COLLEGE POINT BLVD</t>
  </si>
  <si>
    <t>NY005012430</t>
  </si>
  <si>
    <t>NY005175</t>
  </si>
  <si>
    <t>MANHATTAN AVE</t>
  </si>
  <si>
    <t>BOERUM ST</t>
  </si>
  <si>
    <t>BUSHWICK AVE</t>
  </si>
  <si>
    <t>VARET ST</t>
  </si>
  <si>
    <t>NY005195</t>
  </si>
  <si>
    <t>HUMBOLDT ST</t>
  </si>
  <si>
    <t>SEIGEL ST</t>
  </si>
  <si>
    <t>NY005010390</t>
  </si>
  <si>
    <t>NY005095</t>
  </si>
  <si>
    <t>MACE AVE</t>
  </si>
  <si>
    <t>HOLLAND AVE</t>
  </si>
  <si>
    <t>WARING AVE</t>
  </si>
  <si>
    <t>NY005011380</t>
  </si>
  <si>
    <t>NY005060</t>
  </si>
  <si>
    <t>13-14-17-18</t>
  </si>
  <si>
    <t>IRT-DYRE AVE LINE</t>
  </si>
  <si>
    <t>STEENWICK AVE</t>
  </si>
  <si>
    <t>NY005020460</t>
  </si>
  <si>
    <t>NY005369</t>
  </si>
  <si>
    <t>LINDEN BLVD</t>
  </si>
  <si>
    <t>ASHFORD ST</t>
  </si>
  <si>
    <t>WORTMAN AVE</t>
  </si>
  <si>
    <t>SCHENCK AVE</t>
  </si>
  <si>
    <t>NY005010320</t>
  </si>
  <si>
    <t>NY005249</t>
  </si>
  <si>
    <t>WARD AVE</t>
  </si>
  <si>
    <t>BRUCKNER BLVD</t>
  </si>
  <si>
    <t>ELDER AVE</t>
  </si>
  <si>
    <t>NY005012920</t>
  </si>
  <si>
    <t>NY005185</t>
  </si>
  <si>
    <t>E 3RD ST</t>
  </si>
  <si>
    <t>AVENUE C</t>
  </si>
  <si>
    <t>E 4TH ST</t>
  </si>
  <si>
    <t>AVENUE B</t>
  </si>
  <si>
    <t>NY005000560</t>
  </si>
  <si>
    <t>NY005011</t>
  </si>
  <si>
    <t>STANLEY AVE</t>
  </si>
  <si>
    <t>FLATLANDS AVE</t>
  </si>
  <si>
    <t>E 103RD ST</t>
  </si>
  <si>
    <t>WILLIAMS AVE</t>
  </si>
  <si>
    <t>58, 60</t>
  </si>
  <si>
    <t>NY005000650</t>
  </si>
  <si>
    <t>NY005017</t>
  </si>
  <si>
    <t>BAINBRIDGE ST</t>
  </si>
  <si>
    <t>RALPH AVE</t>
  </si>
  <si>
    <t>PATCHEN AVE</t>
  </si>
  <si>
    <t>NY005220D</t>
  </si>
  <si>
    <t>BRONX RIVER AVE</t>
  </si>
  <si>
    <t>HARROD AVE</t>
  </si>
  <si>
    <t>E 174TH ST</t>
  </si>
  <si>
    <t>E 172ND ST</t>
  </si>
  <si>
    <t>MANOR AVE</t>
  </si>
  <si>
    <t>NY005012520</t>
  </si>
  <si>
    <t>NY005277</t>
  </si>
  <si>
    <t>EASTERN PKWY</t>
  </si>
  <si>
    <t>PROSPECT PL</t>
  </si>
  <si>
    <t>HOPKINSON AVE</t>
  </si>
  <si>
    <t>NY005000160</t>
  </si>
  <si>
    <t>NY005213D</t>
  </si>
  <si>
    <t>DUMONT AVE</t>
  </si>
  <si>
    <t>MOTHER GASTON BLVD</t>
  </si>
  <si>
    <t>ROCKAWAY AVE</t>
  </si>
  <si>
    <t>NY005015300</t>
  </si>
  <si>
    <t>NY005145</t>
  </si>
  <si>
    <t>E 173RD ST</t>
  </si>
  <si>
    <t>VYSE AVE</t>
  </si>
  <si>
    <t>NY005020860</t>
  </si>
  <si>
    <t>NY005370</t>
  </si>
  <si>
    <t>13-20</t>
  </si>
  <si>
    <t>MOORE ST</t>
  </si>
  <si>
    <t>FLUSHING AVE</t>
  </si>
  <si>
    <t>BUSHWICK II (GROUPS A &amp; C)</t>
  </si>
  <si>
    <t>NY005012470</t>
  </si>
  <si>
    <t>NY005222</t>
  </si>
  <si>
    <t>CENTRAL AVE</t>
  </si>
  <si>
    <t>HARMAN AVE</t>
  </si>
  <si>
    <t>GREEN AVE</t>
  </si>
  <si>
    <t>HALSEY ST</t>
  </si>
  <si>
    <t>7, 8</t>
  </si>
  <si>
    <t>53, 54</t>
  </si>
  <si>
    <t>34, 37</t>
  </si>
  <si>
    <t>BUSHWICK II (GROUPS B &amp; D)</t>
  </si>
  <si>
    <t>NY005240</t>
  </si>
  <si>
    <t>WILSON AVE</t>
  </si>
  <si>
    <t>MADISON AVE</t>
  </si>
  <si>
    <t>BUSHWICK II CDA (GROUP E)</t>
  </si>
  <si>
    <t>NY005263</t>
  </si>
  <si>
    <t>KNICKERBOCKER AVE</t>
  </si>
  <si>
    <t>MENAHAN ST</t>
  </si>
  <si>
    <t>NY005001130</t>
  </si>
  <si>
    <t>NY005362</t>
  </si>
  <si>
    <t>E 169TH ST</t>
  </si>
  <si>
    <t>E 171ST ST</t>
  </si>
  <si>
    <t>WEBSTER AVE</t>
  </si>
  <si>
    <t>PARK AVE</t>
  </si>
  <si>
    <t>NY005012570</t>
  </si>
  <si>
    <t>NY005264</t>
  </si>
  <si>
    <t>E 14TH ST</t>
  </si>
  <si>
    <t>E 13TH ST</t>
  </si>
  <si>
    <t>NY005011660</t>
  </si>
  <si>
    <t>NY005088</t>
  </si>
  <si>
    <t>15-17</t>
  </si>
  <si>
    <t>W 24TH ST</t>
  </si>
  <si>
    <t>NEPTUNE AVE</t>
  </si>
  <si>
    <t>W 22ND ST</t>
  </si>
  <si>
    <t>SURF AVE</t>
  </si>
  <si>
    <t>NY005010750</t>
  </si>
  <si>
    <t>NY005073</t>
  </si>
  <si>
    <t>ROCKAWAY FRWY</t>
  </si>
  <si>
    <t>BEACH CHANNEL DR</t>
  </si>
  <si>
    <t>NY005000580</t>
  </si>
  <si>
    <t>NY005220E</t>
  </si>
  <si>
    <t>E 99TH ST</t>
  </si>
  <si>
    <t>E 106TH ST</t>
  </si>
  <si>
    <t>NY005011170</t>
  </si>
  <si>
    <t>NY005122</t>
  </si>
  <si>
    <t>CASSIDY PL</t>
  </si>
  <si>
    <t>FILLMORE ST</t>
  </si>
  <si>
    <t>LAFAYETTE AVE</t>
  </si>
  <si>
    <t>CLINTON AVE</t>
  </si>
  <si>
    <t>NY005020800</t>
  </si>
  <si>
    <t>NY005371</t>
  </si>
  <si>
    <t>OLMSTEAD AVE</t>
  </si>
  <si>
    <t>HAVEMEYER AVE</t>
  </si>
  <si>
    <t>LACOMBE AVE</t>
  </si>
  <si>
    <t>CINCINNATUS AVE</t>
  </si>
  <si>
    <t>NY005021340</t>
  </si>
  <si>
    <t>NY005372</t>
  </si>
  <si>
    <t>W 25TH ST</t>
  </si>
  <si>
    <t>W 26TH ST</t>
  </si>
  <si>
    <t>NINTH AVE</t>
  </si>
  <si>
    <t>NY005011340</t>
  </si>
  <si>
    <t>NY005361</t>
  </si>
  <si>
    <t>CHELSEA PARK</t>
  </si>
  <si>
    <t>TENTH AVE</t>
  </si>
  <si>
    <t>NY005013420</t>
  </si>
  <si>
    <t>NY005253</t>
  </si>
  <si>
    <t>CLAREMONT PKWY</t>
  </si>
  <si>
    <t>FULTON AVE</t>
  </si>
  <si>
    <t>NY005246</t>
  </si>
  <si>
    <t>CLAY AVE</t>
  </si>
  <si>
    <t>E 166TH ST</t>
  </si>
  <si>
    <t>NY005223</t>
  </si>
  <si>
    <t>TELLER AVE</t>
  </si>
  <si>
    <t>E 165TH ST</t>
  </si>
  <si>
    <t>FINDLAY AVE</t>
  </si>
  <si>
    <t>NY005273</t>
  </si>
  <si>
    <t>NY005274</t>
  </si>
  <si>
    <t>COLLEGE AVE</t>
  </si>
  <si>
    <t>NY005012800</t>
  </si>
  <si>
    <t>NY005007</t>
  </si>
  <si>
    <t>STORY AVE</t>
  </si>
  <si>
    <t>SEWARD AVE</t>
  </si>
  <si>
    <t>NOBLE AVE</t>
  </si>
  <si>
    <t>METCALF AVE</t>
  </si>
  <si>
    <t>NY005001230</t>
  </si>
  <si>
    <t>NY005045</t>
  </si>
  <si>
    <t>PARK &amp; LEX AVES</t>
  </si>
  <si>
    <t>E 104TH,106TH STS</t>
  </si>
  <si>
    <t>E 108TH ST</t>
  </si>
  <si>
    <t>E 110TH ST</t>
  </si>
  <si>
    <t>NY005148</t>
  </si>
  <si>
    <t>NY005011700</t>
  </si>
  <si>
    <t>NY005363</t>
  </si>
  <si>
    <t>W 32ND ST</t>
  </si>
  <si>
    <t>RIEGELMANN BRDWK</t>
  </si>
  <si>
    <t>W 29TH ST</t>
  </si>
  <si>
    <t>NY005161</t>
  </si>
  <si>
    <t>W 20TH ST</t>
  </si>
  <si>
    <t>W 21ST ST</t>
  </si>
  <si>
    <t>MERMAID AVE</t>
  </si>
  <si>
    <t>NY005011720</t>
  </si>
  <si>
    <t>NY005157</t>
  </si>
  <si>
    <t>W 35TH ST</t>
  </si>
  <si>
    <t>W 36TH ST</t>
  </si>
  <si>
    <t>NY005123</t>
  </si>
  <si>
    <t>W 28TH ST</t>
  </si>
  <si>
    <t>NY005137</t>
  </si>
  <si>
    <t>170TH ST</t>
  </si>
  <si>
    <t>172ND ST</t>
  </si>
  <si>
    <t>JAMAICA AVE</t>
  </si>
  <si>
    <t>93RD AVE</t>
  </si>
  <si>
    <t>NY005000690</t>
  </si>
  <si>
    <t>NY005023</t>
  </si>
  <si>
    <t>FROST ST</t>
  </si>
  <si>
    <t>MORGAN AVE</t>
  </si>
  <si>
    <t>KINGSLAND AVE</t>
  </si>
  <si>
    <t>MASPETH AVE</t>
  </si>
  <si>
    <t>NY005149</t>
  </si>
  <si>
    <t>E 116TH ST</t>
  </si>
  <si>
    <t>E 117TH ST</t>
  </si>
  <si>
    <t>NY005013510</t>
  </si>
  <si>
    <t>NY005258</t>
  </si>
  <si>
    <t>BUFFALO AVE</t>
  </si>
  <si>
    <t>SAINT JOHNS PL</t>
  </si>
  <si>
    <t>8, 9</t>
  </si>
  <si>
    <t>20, 25</t>
  </si>
  <si>
    <t>55, 56</t>
  </si>
  <si>
    <t>NY005010700</t>
  </si>
  <si>
    <t>NY005220G</t>
  </si>
  <si>
    <t>EUCLID AVE</t>
  </si>
  <si>
    <t>FOUNTAIN AVE</t>
  </si>
  <si>
    <t>18, 19</t>
  </si>
  <si>
    <t>NY005096A</t>
  </si>
  <si>
    <t>PROSPECT AVE</t>
  </si>
  <si>
    <t>HOME ST</t>
  </si>
  <si>
    <t>167TH ST</t>
  </si>
  <si>
    <t>NY005011270</t>
  </si>
  <si>
    <t>NY005066</t>
  </si>
  <si>
    <t>W 93RD ST</t>
  </si>
  <si>
    <t>BROADWAY</t>
  </si>
  <si>
    <t>W 94TH ST</t>
  </si>
  <si>
    <t>082, 582</t>
  </si>
  <si>
    <t>NY005244B</t>
  </si>
  <si>
    <t>5-9-12-17-18-20</t>
  </si>
  <si>
    <t>W 104TH ST</t>
  </si>
  <si>
    <t>1979/08/01-ATP 4</t>
  </si>
  <si>
    <t>W 102ND ST</t>
  </si>
  <si>
    <t>W 103RD ST</t>
  </si>
  <si>
    <t>5-9-12-17-20</t>
  </si>
  <si>
    <t>9-12-17-18-20</t>
  </si>
  <si>
    <t>NY005021110</t>
  </si>
  <si>
    <t>NY005373</t>
  </si>
  <si>
    <t>W 141ST ST</t>
  </si>
  <si>
    <t>W 144TH ST</t>
  </si>
  <si>
    <t>POWELL BLVD</t>
  </si>
  <si>
    <t>DOUGLASS BLVD</t>
  </si>
  <si>
    <t>NY005000410</t>
  </si>
  <si>
    <t>NY005183A</t>
  </si>
  <si>
    <t>DYCKMAN ST</t>
  </si>
  <si>
    <t>NAGLE AVE</t>
  </si>
  <si>
    <t>W 204TH ST</t>
  </si>
  <si>
    <t>1972/06/29-FED TRAN</t>
  </si>
  <si>
    <t>NY005000590</t>
  </si>
  <si>
    <t>NY005165</t>
  </si>
  <si>
    <t>EAGLE AVE</t>
  </si>
  <si>
    <t>E 163RD ST</t>
  </si>
  <si>
    <t>E 161ST ST</t>
  </si>
  <si>
    <t>NY005010280</t>
  </si>
  <si>
    <t>NY005154</t>
  </si>
  <si>
    <t>E 151ST ST</t>
  </si>
  <si>
    <t>E 153RD ST</t>
  </si>
  <si>
    <t>COURTLANDT AVE</t>
  </si>
  <si>
    <t>MELROSE AVE</t>
  </si>
  <si>
    <t>NY005226</t>
  </si>
  <si>
    <t>LONGFELLOW AVE</t>
  </si>
  <si>
    <t>ALDUS ST</t>
  </si>
  <si>
    <t>HOE AVE</t>
  </si>
  <si>
    <t>NY005252</t>
  </si>
  <si>
    <t>SOUTHERN BLVD</t>
  </si>
  <si>
    <t>JENNINGS ST</t>
  </si>
  <si>
    <t>NY005012270</t>
  </si>
  <si>
    <t>NY005124</t>
  </si>
  <si>
    <t>E 180TH ST</t>
  </si>
  <si>
    <t>E 181ST ST</t>
  </si>
  <si>
    <t>LAFONTAINE AVE</t>
  </si>
  <si>
    <t>QUARRY RD</t>
  </si>
  <si>
    <t>NY005171</t>
  </si>
  <si>
    <t>HEGEMAN AVE</t>
  </si>
  <si>
    <t>LOGAN ST</t>
  </si>
  <si>
    <t>NY005010090</t>
  </si>
  <si>
    <t>NY005005</t>
  </si>
  <si>
    <t>E 105TH ST</t>
  </si>
  <si>
    <t>NY005010340</t>
  </si>
  <si>
    <t>NY005114A</t>
  </si>
  <si>
    <t>BURKE AVE</t>
  </si>
  <si>
    <t>BOUCK AVE</t>
  </si>
  <si>
    <t>ADEE AVE</t>
  </si>
  <si>
    <t>YATES AVE</t>
  </si>
  <si>
    <t>1968/08/29-FED TRAN</t>
  </si>
  <si>
    <t>NY005000570</t>
  </si>
  <si>
    <t>NY005019</t>
  </si>
  <si>
    <t>GRENADA PL</t>
  </si>
  <si>
    <t>BAYCHESTER AVE</t>
  </si>
  <si>
    <t>E 225TH ST</t>
  </si>
  <si>
    <t>LACONIA AVE</t>
  </si>
  <si>
    <t>NY005181C</t>
  </si>
  <si>
    <t>27, 31</t>
  </si>
  <si>
    <t>NY005000290</t>
  </si>
  <si>
    <t>NY005220C</t>
  </si>
  <si>
    <t>YORK ST</t>
  </si>
  <si>
    <t>NASSAU ST</t>
  </si>
  <si>
    <t>NAVY ST</t>
  </si>
  <si>
    <t>BRIDGE ST</t>
  </si>
  <si>
    <t>NY005129</t>
  </si>
  <si>
    <t>FENIMORE ST</t>
  </si>
  <si>
    <t>LEFFERTS AVE</t>
  </si>
  <si>
    <t>NOSTRAND AVE</t>
  </si>
  <si>
    <t>40, 41</t>
  </si>
  <si>
    <t>NY005012090</t>
  </si>
  <si>
    <t>NY005140</t>
  </si>
  <si>
    <t>26 QUEENS</t>
  </si>
  <si>
    <t>NY005155</t>
  </si>
  <si>
    <t>11 QUEENS</t>
  </si>
  <si>
    <t>1 BRONX</t>
  </si>
  <si>
    <t>NY005158</t>
  </si>
  <si>
    <t>NY005159</t>
  </si>
  <si>
    <t>12 QUEENS</t>
  </si>
  <si>
    <t>NY005206</t>
  </si>
  <si>
    <t>1-1.5-2-2.5-3</t>
  </si>
  <si>
    <t>2 QUEENS</t>
  </si>
  <si>
    <t>14 BROOKLYN</t>
  </si>
  <si>
    <t>NY005182</t>
  </si>
  <si>
    <t>30 QUEENS</t>
  </si>
  <si>
    <t>1 BROOKLYN</t>
  </si>
  <si>
    <t>NY005199</t>
  </si>
  <si>
    <t>1-1.5-2-2.5</t>
  </si>
  <si>
    <t>7 QUEENS</t>
  </si>
  <si>
    <t>NY005197</t>
  </si>
  <si>
    <t>8 QUEENS</t>
  </si>
  <si>
    <t>NY005198</t>
  </si>
  <si>
    <t>9 QUEENS</t>
  </si>
  <si>
    <t>NY005212</t>
  </si>
  <si>
    <t>20 QUEENS</t>
  </si>
  <si>
    <t>NY005012610</t>
  </si>
  <si>
    <t>NY005188</t>
  </si>
  <si>
    <t>GLENMORE AVE</t>
  </si>
  <si>
    <t>VAN SICLEN AVE</t>
  </si>
  <si>
    <t>PITKIN AVE</t>
  </si>
  <si>
    <t>WYONA ST</t>
  </si>
  <si>
    <t>NY005181A</t>
  </si>
  <si>
    <t>E 2ND ST</t>
  </si>
  <si>
    <t>AVENUE A</t>
  </si>
  <si>
    <t>NY005220F</t>
  </si>
  <si>
    <t>TINTON AVE</t>
  </si>
  <si>
    <t>TRINITY AVE</t>
  </si>
  <si>
    <t>NY005110</t>
  </si>
  <si>
    <t>FT INDEPENDENCE ST</t>
  </si>
  <si>
    <t>SUMMIT PL</t>
  </si>
  <si>
    <t>NY005013090</t>
  </si>
  <si>
    <t>NY005266</t>
  </si>
  <si>
    <t>REHAB (ELD)</t>
  </si>
  <si>
    <t>RIVERSIDE DR</t>
  </si>
  <si>
    <t>W 163RD ST</t>
  </si>
  <si>
    <t>FT WASHINGTON AVE</t>
  </si>
  <si>
    <t>W 165TH ST</t>
  </si>
  <si>
    <t>NY005001360</t>
  </si>
  <si>
    <t>NY005053</t>
  </si>
  <si>
    <t>W 16TH ST</t>
  </si>
  <si>
    <t>W 19TH ST</t>
  </si>
  <si>
    <t>NY005166</t>
  </si>
  <si>
    <t>2, 6-14</t>
  </si>
  <si>
    <t>EAST NEW YORK AVE</t>
  </si>
  <si>
    <t>AMBOY ST</t>
  </si>
  <si>
    <t>NY005147</t>
  </si>
  <si>
    <t>GLEBE AVE</t>
  </si>
  <si>
    <t>CASTLE HILL AVE</t>
  </si>
  <si>
    <t>LYON AVE</t>
  </si>
  <si>
    <t>NY005011690</t>
  </si>
  <si>
    <t>NY005267C</t>
  </si>
  <si>
    <t>WATKINS ST</t>
  </si>
  <si>
    <t>POWELL ST</t>
  </si>
  <si>
    <t>1980/07/01-ATP 5</t>
  </si>
  <si>
    <t>NY005000440</t>
  </si>
  <si>
    <t>NY005268B</t>
  </si>
  <si>
    <t>E 56TH ST</t>
  </si>
  <si>
    <t>FARRAGUT RD</t>
  </si>
  <si>
    <t>AVENUE H</t>
  </si>
  <si>
    <t>1980/07/01-ATP 6</t>
  </si>
  <si>
    <t>NY005032</t>
  </si>
  <si>
    <t>DELANCY ST</t>
  </si>
  <si>
    <t>PITT ST</t>
  </si>
  <si>
    <t>STANTON ST</t>
  </si>
  <si>
    <t>NY005000250</t>
  </si>
  <si>
    <t>NY005213G</t>
  </si>
  <si>
    <t>4-6-9-13-14</t>
  </si>
  <si>
    <t>WYCKOFF ST</t>
  </si>
  <si>
    <t>DOUGLASS ST</t>
  </si>
  <si>
    <t>BOND ST</t>
  </si>
  <si>
    <t>HOYT ST</t>
  </si>
  <si>
    <t>NY005010300</t>
  </si>
  <si>
    <t>NY005210</t>
  </si>
  <si>
    <t>W 119TH ST</t>
  </si>
  <si>
    <t>NY005000870</t>
  </si>
  <si>
    <t>NY005030</t>
  </si>
  <si>
    <t>13-21</t>
  </si>
  <si>
    <t>W 125TH ST</t>
  </si>
  <si>
    <t>MORNINGSIDE AVE</t>
  </si>
  <si>
    <t>W 123RD ST</t>
  </si>
  <si>
    <t>NY005025</t>
  </si>
  <si>
    <t>BAYVIEW AVE</t>
  </si>
  <si>
    <t>W 33RD ST</t>
  </si>
  <si>
    <t>NY005010470</t>
  </si>
  <si>
    <t>NY005267A</t>
  </si>
  <si>
    <t>WHITE PLAINS RD</t>
  </si>
  <si>
    <t>GUN HILL RD</t>
  </si>
  <si>
    <t>MAGENTA ST</t>
  </si>
  <si>
    <t>NY005271D</t>
  </si>
  <si>
    <t>REIGELMANN BRDWLK</t>
  </si>
  <si>
    <t>NY005027</t>
  </si>
  <si>
    <t>B 86TH ST</t>
  </si>
  <si>
    <t>HAMMELS BLVD</t>
  </si>
  <si>
    <t>B 81ST ST</t>
  </si>
  <si>
    <t>ROCKAWAY BCH BLVD</t>
  </si>
  <si>
    <t>NY005168</t>
  </si>
  <si>
    <t>14-15</t>
  </si>
  <si>
    <t>W 54TH ST</t>
  </si>
  <si>
    <t>W 56TH ST</t>
  </si>
  <si>
    <t>ELEVENTH AVE</t>
  </si>
  <si>
    <t>NY005042</t>
  </si>
  <si>
    <t>MACOMBS PL</t>
  </si>
  <si>
    <t>HARLEM RIVER DR</t>
  </si>
  <si>
    <t>W 151ST ST</t>
  </si>
  <si>
    <t>W 153RD ST</t>
  </si>
  <si>
    <t>NY005051</t>
  </si>
  <si>
    <t>W 152ND ST</t>
  </si>
  <si>
    <t>NY005013410</t>
  </si>
  <si>
    <t>NY005231</t>
  </si>
  <si>
    <t>HARRISON AVE</t>
  </si>
  <si>
    <t>W BURNSIDE AVE</t>
  </si>
  <si>
    <t>GRAND AVE</t>
  </si>
  <si>
    <t>KINGSLAND PL</t>
  </si>
  <si>
    <t>NY005287</t>
  </si>
  <si>
    <t>UNIVERSITY PL</t>
  </si>
  <si>
    <t>NY005085</t>
  </si>
  <si>
    <t>NY005000780</t>
  </si>
  <si>
    <t>NY005026</t>
  </si>
  <si>
    <t>SEDGWICK AVE</t>
  </si>
  <si>
    <t>W 167TH ST</t>
  </si>
  <si>
    <t>UNIVERSITY AVE</t>
  </si>
  <si>
    <t>NY005164</t>
  </si>
  <si>
    <t>NY005011390</t>
  </si>
  <si>
    <t>NY005069</t>
  </si>
  <si>
    <t>ISAACS HOUSES</t>
  </si>
  <si>
    <t>E 92ND ST</t>
  </si>
  <si>
    <t>NY005218</t>
  </si>
  <si>
    <t>LINDEN ST</t>
  </si>
  <si>
    <t>GROVE ST</t>
  </si>
  <si>
    <t>NY005000720</t>
  </si>
  <si>
    <t>NY005244A</t>
  </si>
  <si>
    <t>NY005261</t>
  </si>
  <si>
    <t>GRAFTON ST</t>
  </si>
  <si>
    <t>NY005225</t>
  </si>
  <si>
    <t>HOWARD AVE</t>
  </si>
  <si>
    <t>STERLING PL</t>
  </si>
  <si>
    <t>NY005011680</t>
  </si>
  <si>
    <t>NY005081</t>
  </si>
  <si>
    <t>NY005299</t>
  </si>
  <si>
    <t>HUNTS POINT AVE</t>
  </si>
  <si>
    <t>SENECA AVE</t>
  </si>
  <si>
    <t>IRVINE ST</t>
  </si>
  <si>
    <t>32, 34</t>
  </si>
  <si>
    <t>NY005010860</t>
  </si>
  <si>
    <t>NY005364</t>
  </si>
  <si>
    <t>NY005021400</t>
  </si>
  <si>
    <t>NY005376</t>
  </si>
  <si>
    <t>CLYMER ST</t>
  </si>
  <si>
    <t>WILSON ST</t>
  </si>
  <si>
    <t>NY005000140</t>
  </si>
  <si>
    <t>NY005213B</t>
  </si>
  <si>
    <t>SAINT EDWARDS ST</t>
  </si>
  <si>
    <t>NY005241</t>
  </si>
  <si>
    <t>90TH AVE</t>
  </si>
  <si>
    <t>169TH ST</t>
  </si>
  <si>
    <t>NY005057</t>
  </si>
  <si>
    <t>E 93RD ST</t>
  </si>
  <si>
    <t>NY005012670</t>
  </si>
  <si>
    <t>NY005043</t>
  </si>
  <si>
    <t>E 158TH ST</t>
  </si>
  <si>
    <t>E 156TH ST</t>
  </si>
  <si>
    <t>NY005016</t>
  </si>
  <si>
    <t>E 115TH ST</t>
  </si>
  <si>
    <t>NY005000170</t>
  </si>
  <si>
    <t>NY005213H</t>
  </si>
  <si>
    <t>NY005213J</t>
  </si>
  <si>
    <t>W 112TH ST</t>
  </si>
  <si>
    <t>LENOX AVE</t>
  </si>
  <si>
    <t>W 115TH ST</t>
  </si>
  <si>
    <t>FIFTH AVE</t>
  </si>
  <si>
    <t>NY005010100</t>
  </si>
  <si>
    <t>NY005006</t>
  </si>
  <si>
    <t>PACIFIC ST</t>
  </si>
  <si>
    <t>ROCHESTER AVE</t>
  </si>
  <si>
    <t>8, 16</t>
  </si>
  <si>
    <t>NY005071</t>
  </si>
  <si>
    <t>NY005010760</t>
  </si>
  <si>
    <t>NY005021</t>
  </si>
  <si>
    <t>RUTGERS ST</t>
  </si>
  <si>
    <t>MADISON ST</t>
  </si>
  <si>
    <t>MONTGOMERY ST</t>
  </si>
  <si>
    <t>CHERRY ST</t>
  </si>
  <si>
    <t>NY005061</t>
  </si>
  <si>
    <t>NY005001220</t>
  </si>
  <si>
    <t>NY005047</t>
  </si>
  <si>
    <t>13-15-20</t>
  </si>
  <si>
    <t>CLASSON AVE</t>
  </si>
  <si>
    <t>DEKALB AVE</t>
  </si>
  <si>
    <t>FRANKLIN AVE</t>
  </si>
  <si>
    <t>NY005093</t>
  </si>
  <si>
    <t>34TH, 35TH AVES</t>
  </si>
  <si>
    <t>LINDEN PL</t>
  </si>
  <si>
    <t>LEAVITT ST</t>
  </si>
  <si>
    <t>137TH ST</t>
  </si>
  <si>
    <t>LAVANBURG HOMES</t>
  </si>
  <si>
    <t>NY005003100</t>
  </si>
  <si>
    <t>NY005248</t>
  </si>
  <si>
    <t>BARUCH PL</t>
  </si>
  <si>
    <t>A NEW ST</t>
  </si>
  <si>
    <t>MANGIN ST</t>
  </si>
  <si>
    <t>NY005191</t>
  </si>
  <si>
    <t>34TH AVE</t>
  </si>
  <si>
    <t>34TH RD</t>
  </si>
  <si>
    <t>NY005001010</t>
  </si>
  <si>
    <t>NY005033</t>
  </si>
  <si>
    <t>NY005292</t>
  </si>
  <si>
    <t>KINGS HIGHWAY</t>
  </si>
  <si>
    <t>E 98TH ST</t>
  </si>
  <si>
    <t>WILIMOHR ST</t>
  </si>
  <si>
    <t>E 97TH ST</t>
  </si>
  <si>
    <t>55, 58</t>
  </si>
  <si>
    <t>NY005010620</t>
  </si>
  <si>
    <t>NY005183C</t>
  </si>
  <si>
    <t>NY005000200</t>
  </si>
  <si>
    <t>NY005213E</t>
  </si>
  <si>
    <t>E 132ND ST</t>
  </si>
  <si>
    <t>E 135TH ST</t>
  </si>
  <si>
    <t>NY005020950</t>
  </si>
  <si>
    <t>NY005377</t>
  </si>
  <si>
    <t>VERMONT ST</t>
  </si>
  <si>
    <t>COZINE AVE</t>
  </si>
  <si>
    <t>NY005201</t>
  </si>
  <si>
    <t>SHEFFIELD AVE</t>
  </si>
  <si>
    <t>HINSDALE ST</t>
  </si>
  <si>
    <t>NY005295</t>
  </si>
  <si>
    <t>WHITLOCK AVE</t>
  </si>
  <si>
    <t>NY005082</t>
  </si>
  <si>
    <t>17-18</t>
  </si>
  <si>
    <t>SACKMAN ST</t>
  </si>
  <si>
    <t>CHRISTOPHER ST</t>
  </si>
  <si>
    <t>19, 20</t>
  </si>
  <si>
    <t>NY005259</t>
  </si>
  <si>
    <t>RIVINGTON ST</t>
  </si>
  <si>
    <t>FORSYTHE ST</t>
  </si>
  <si>
    <t>NY005262</t>
  </si>
  <si>
    <t>E 4TH &amp; 5TH STS</t>
  </si>
  <si>
    <t>E 6TH ST</t>
  </si>
  <si>
    <t>AVENUES B &amp; C</t>
  </si>
  <si>
    <t>AVENUE D</t>
  </si>
  <si>
    <t>NY005215</t>
  </si>
  <si>
    <t>E 9TH ST</t>
  </si>
  <si>
    <t>E 8TH ST</t>
  </si>
  <si>
    <t>NY005233</t>
  </si>
  <si>
    <t>E 7TH ST</t>
  </si>
  <si>
    <t>NY005020810</t>
  </si>
  <si>
    <t>NY005378</t>
  </si>
  <si>
    <t>W 133RD ST</t>
  </si>
  <si>
    <t>W 129TH ST</t>
  </si>
  <si>
    <t>30, 31</t>
  </si>
  <si>
    <t>NY005010810</t>
  </si>
  <si>
    <t>NY005235</t>
  </si>
  <si>
    <t>W 134TH ST</t>
  </si>
  <si>
    <t>W 135TH ST</t>
  </si>
  <si>
    <t>NY005236</t>
  </si>
  <si>
    <t>NY005020490</t>
  </si>
  <si>
    <t>NY005379</t>
  </si>
  <si>
    <t>EXTERIOR ST</t>
  </si>
  <si>
    <t>W 225TH ST</t>
  </si>
  <si>
    <t>W 230TH ST</t>
  </si>
  <si>
    <t>31, 33</t>
  </si>
  <si>
    <t>72, 81</t>
  </si>
  <si>
    <t>10, 11, 14</t>
  </si>
  <si>
    <t>NY005000210</t>
  </si>
  <si>
    <t>NY005213F</t>
  </si>
  <si>
    <t>NY005300</t>
  </si>
  <si>
    <t>LEXINGTON AVE</t>
  </si>
  <si>
    <t>NY005293</t>
  </si>
  <si>
    <t>NY005000770</t>
  </si>
  <si>
    <t>NY005020</t>
  </si>
  <si>
    <t>GRAND VIEW AVE</t>
  </si>
  <si>
    <t>ROXBURY ST</t>
  </si>
  <si>
    <t>LOCKMAN AVE</t>
  </si>
  <si>
    <t>CONTINENTAL PL</t>
  </si>
  <si>
    <t>NY005020830</t>
  </si>
  <si>
    <t>NY005380</t>
  </si>
  <si>
    <t>STILLWELL AVE</t>
  </si>
  <si>
    <t>AVENUE V</t>
  </si>
  <si>
    <t>86TH ST</t>
  </si>
  <si>
    <t>AVENUE X</t>
  </si>
  <si>
    <t>45, 47</t>
  </si>
  <si>
    <t>NY005265</t>
  </si>
  <si>
    <t>W 158TH ST</t>
  </si>
  <si>
    <t>W 157TH ST</t>
  </si>
  <si>
    <t>NY005031</t>
  </si>
  <si>
    <t>NY005216B</t>
  </si>
  <si>
    <t>MORRIS AVE</t>
  </si>
  <si>
    <t>79, 84</t>
  </si>
  <si>
    <t>E 1ST ST</t>
  </si>
  <si>
    <t>NY005092</t>
  </si>
  <si>
    <t>E 101ST ST</t>
  </si>
  <si>
    <t>NY005096B</t>
  </si>
  <si>
    <t>ROBERTS AVE</t>
  </si>
  <si>
    <t>JARVIS AVE</t>
  </si>
  <si>
    <t>MIDDLETOWN RD</t>
  </si>
  <si>
    <t>HOBART AVE</t>
  </si>
  <si>
    <t>NY005010840</t>
  </si>
  <si>
    <t>NY005244C</t>
  </si>
  <si>
    <t>BROOK AVE</t>
  </si>
  <si>
    <t>E 137TH ST</t>
  </si>
  <si>
    <t>CYPRESS AVE</t>
  </si>
  <si>
    <t>NY005011450</t>
  </si>
  <si>
    <t>NY005050</t>
  </si>
  <si>
    <t>17-19-20</t>
  </si>
  <si>
    <t>LINCOLN AVE</t>
  </si>
  <si>
    <t>E 138TH ST</t>
  </si>
  <si>
    <t>WILLIS AVE</t>
  </si>
  <si>
    <t>NY005000880</t>
  </si>
  <si>
    <t>NY005036</t>
  </si>
  <si>
    <t>SOUNDVIEW AVE</t>
  </si>
  <si>
    <t>TAYLOR AVE</t>
  </si>
  <si>
    <t>NY005010930</t>
  </si>
  <si>
    <t>NY005080</t>
  </si>
  <si>
    <t>E 147TH ST</t>
  </si>
  <si>
    <t>E 149TH ST</t>
  </si>
  <si>
    <t>JACKSON AVE</t>
  </si>
  <si>
    <t>NY005011020</t>
  </si>
  <si>
    <t>NY005037</t>
  </si>
  <si>
    <t>16-20</t>
  </si>
  <si>
    <t>E 170TH ST</t>
  </si>
  <si>
    <t>NY005079</t>
  </si>
  <si>
    <t>NY005012410</t>
  </si>
  <si>
    <t>NY005200</t>
  </si>
  <si>
    <t>E 124TH ST</t>
  </si>
  <si>
    <t>NY005011410</t>
  </si>
  <si>
    <t>NY005048</t>
  </si>
  <si>
    <t>NY005190</t>
  </si>
  <si>
    <t>19-23-29</t>
  </si>
  <si>
    <t>3, 4</t>
  </si>
  <si>
    <t>16, 17</t>
  </si>
  <si>
    <t>NY005001210</t>
  </si>
  <si>
    <t>NY005044</t>
  </si>
  <si>
    <t>20-22</t>
  </si>
  <si>
    <t>E 140TH ST</t>
  </si>
  <si>
    <t>E 144TH ST</t>
  </si>
  <si>
    <t>ALEXANDER AVE</t>
  </si>
  <si>
    <t>NY005010350</t>
  </si>
  <si>
    <t>NY005242</t>
  </si>
  <si>
    <t>NEW LANE</t>
  </si>
  <si>
    <t>WATER FRONT TRACT</t>
  </si>
  <si>
    <t>NY005010360</t>
  </si>
  <si>
    <t>NY005268C</t>
  </si>
  <si>
    <t>BRAGG ST</t>
  </si>
  <si>
    <t>BATCHELDER ST</t>
  </si>
  <si>
    <t>NY005010980</t>
  </si>
  <si>
    <t>NY005244F</t>
  </si>
  <si>
    <t>ARVERNE BLVD</t>
  </si>
  <si>
    <t>B 56TH ST</t>
  </si>
  <si>
    <t>B 54TH ST</t>
  </si>
  <si>
    <t>NY005011620</t>
  </si>
  <si>
    <t>NY005072</t>
  </si>
  <si>
    <t>MACDOUGAL ST</t>
  </si>
  <si>
    <t>NY005257</t>
  </si>
  <si>
    <t>SARATOGA AVE</t>
  </si>
  <si>
    <t>DEAN ST</t>
  </si>
  <si>
    <t>NY005267D</t>
  </si>
  <si>
    <t>15-16</t>
  </si>
  <si>
    <t>PALMETTO GARDENS</t>
  </si>
  <si>
    <t>NY005196</t>
  </si>
  <si>
    <t>PALMETTO ST</t>
  </si>
  <si>
    <t>NY005127</t>
  </si>
  <si>
    <t>E 122ND ST</t>
  </si>
  <si>
    <t>E 123RD ST</t>
  </si>
  <si>
    <t>NY005285</t>
  </si>
  <si>
    <t>NY005267B</t>
  </si>
  <si>
    <t>6-7-14-15</t>
  </si>
  <si>
    <t>ARNOW AVE</t>
  </si>
  <si>
    <t>BRONX PARK EAST</t>
  </si>
  <si>
    <t>NY005000240</t>
  </si>
  <si>
    <t>NY005216A</t>
  </si>
  <si>
    <t>E 145TH ST</t>
  </si>
  <si>
    <t>E 139TH ST</t>
  </si>
  <si>
    <t>NY005271A</t>
  </si>
  <si>
    <t>PELHAM PKWY</t>
  </si>
  <si>
    <t>WALLACE AVE</t>
  </si>
  <si>
    <t>WILLIAMSBRIDGE RD</t>
  </si>
  <si>
    <t>NY005011940</t>
  </si>
  <si>
    <t>NY005091</t>
  </si>
  <si>
    <t>PENNSYLVANIA AVE</t>
  </si>
  <si>
    <t>NY005000890</t>
  </si>
  <si>
    <t>NY005035</t>
  </si>
  <si>
    <t>CRESCENT ST</t>
  </si>
  <si>
    <t>ELDERTS LA</t>
  </si>
  <si>
    <t>NY005001490</t>
  </si>
  <si>
    <t>NY005062</t>
  </si>
  <si>
    <t>NY005000530</t>
  </si>
  <si>
    <t>NY005271C</t>
  </si>
  <si>
    <t>71ST AVE</t>
  </si>
  <si>
    <t>PARSONS BLVD</t>
  </si>
  <si>
    <t>KISSENA BLVD</t>
  </si>
  <si>
    <t>65TH AVE</t>
  </si>
  <si>
    <t>PSS GRANDPARENT FAMILY APARTMENTS</t>
  </si>
  <si>
    <t>NY005005600</t>
  </si>
  <si>
    <t>NY005387</t>
  </si>
  <si>
    <t>MIXED FINANCE</t>
  </si>
  <si>
    <t>PROSPECT AVENUE</t>
  </si>
  <si>
    <t>UNION AVENUE</t>
  </si>
  <si>
    <t>EAST 163RD STREET</t>
  </si>
  <si>
    <t>NY005011110</t>
  </si>
  <si>
    <t>NY005260</t>
  </si>
  <si>
    <t>W 139,140TH STS</t>
  </si>
  <si>
    <t>NY005005050</t>
  </si>
  <si>
    <t>NY005002B</t>
  </si>
  <si>
    <t>41ST AVE</t>
  </si>
  <si>
    <t>VERNON BLVD</t>
  </si>
  <si>
    <t>40TH AVE</t>
  </si>
  <si>
    <t>21ST ST</t>
  </si>
  <si>
    <t>NY005000050</t>
  </si>
  <si>
    <t>NY005002A</t>
  </si>
  <si>
    <t>41ST RD</t>
  </si>
  <si>
    <t>NY005290</t>
  </si>
  <si>
    <t>NY005010630</t>
  </si>
  <si>
    <t>NY005179</t>
  </si>
  <si>
    <t>RANDALL AVE</t>
  </si>
  <si>
    <t>BALCOM AVE</t>
  </si>
  <si>
    <t>SCHLEY AVE</t>
  </si>
  <si>
    <t>BUTTRICK AVE</t>
  </si>
  <si>
    <t>RANDOLPH SOUTH</t>
  </si>
  <si>
    <t>NY005026001</t>
  </si>
  <si>
    <t>MIXED FINANCE/NON-NYCHA</t>
  </si>
  <si>
    <t>GUT REHAB</t>
  </si>
  <si>
    <t>WEST 114TH ST</t>
  </si>
  <si>
    <t>FREDERICK DOUGLASS BLVD</t>
  </si>
  <si>
    <t>NY005000370</t>
  </si>
  <si>
    <t>NY005114E</t>
  </si>
  <si>
    <t>HARLEM RIVER DRIVEWAY</t>
  </si>
  <si>
    <t>NY005000480</t>
  </si>
  <si>
    <t>NY005184</t>
  </si>
  <si>
    <t>12TH ST</t>
  </si>
  <si>
    <t>24TH ST</t>
  </si>
  <si>
    <t>36TH AVE</t>
  </si>
  <si>
    <t>1971/06/29-FED TRAN</t>
  </si>
  <si>
    <t>NY005000040</t>
  </si>
  <si>
    <t>NY005001</t>
  </si>
  <si>
    <t>CLINTON ST</t>
  </si>
  <si>
    <t>LORRAINE ST</t>
  </si>
  <si>
    <t>WEST 9TH ST</t>
  </si>
  <si>
    <t>***</t>
  </si>
  <si>
    <t>004, 079</t>
  </si>
  <si>
    <t>DWIGHT ST</t>
  </si>
  <si>
    <t>W 9TH ST</t>
  </si>
  <si>
    <t>NY005000790</t>
  </si>
  <si>
    <t>079*</t>
  </si>
  <si>
    <t>NY005029</t>
  </si>
  <si>
    <t>RICHARDS ST</t>
  </si>
  <si>
    <t>WOLCOTT ST</t>
  </si>
  <si>
    <t>RED HOOK PARK</t>
  </si>
  <si>
    <t>NY005001 - BLDGS 15-25, NY005029 - BLDGS 1-4</t>
  </si>
  <si>
    <t>HICKS ST</t>
  </si>
  <si>
    <t>NY005000550</t>
  </si>
  <si>
    <t>NY005216D</t>
  </si>
  <si>
    <t>REDFERN AVE</t>
  </si>
  <si>
    <t>HASSOCK ST</t>
  </si>
  <si>
    <t>B 12TH ST</t>
  </si>
  <si>
    <t>NY005076E</t>
  </si>
  <si>
    <t>125TH ST</t>
  </si>
  <si>
    <t>22ND AVE</t>
  </si>
  <si>
    <t>126TH ST</t>
  </si>
  <si>
    <t>NY005013170</t>
  </si>
  <si>
    <t>NY005076A - BLDG 3-4, NY005076B - BLDGS 2, NY005076C - BLDG 1</t>
  </si>
  <si>
    <t>NY005076G - BLDG 1, NY005076I - BLDG 2, 3,  NY005076J - BLDG 4</t>
  </si>
  <si>
    <t>NY005076D</t>
  </si>
  <si>
    <t>CENTRAL PARK WEST</t>
  </si>
  <si>
    <t>NY005089</t>
  </si>
  <si>
    <t>MAPLE ST</t>
  </si>
  <si>
    <t>NY005039</t>
  </si>
  <si>
    <t>JERSEY ST</t>
  </si>
  <si>
    <t>RICHMOND TERR</t>
  </si>
  <si>
    <t>CRESCENT AVE</t>
  </si>
  <si>
    <t>NY005010180</t>
  </si>
  <si>
    <t>NY005008</t>
  </si>
  <si>
    <t>FDR DR</t>
  </si>
  <si>
    <t>NY005181D</t>
  </si>
  <si>
    <t>EAST 6TH ST</t>
  </si>
  <si>
    <t>EAST 8TH ST</t>
  </si>
  <si>
    <t>NY005151</t>
  </si>
  <si>
    <t>E 70TH ST</t>
  </si>
  <si>
    <t>E 71ST ST</t>
  </si>
  <si>
    <t>NY005173</t>
  </si>
  <si>
    <t>E 128TH ST</t>
  </si>
  <si>
    <t>E 129TH ST</t>
  </si>
  <si>
    <t>NY005011350</t>
  </si>
  <si>
    <t>NY005054</t>
  </si>
  <si>
    <t>14-15-18</t>
  </si>
  <si>
    <t>KOSCIUSKO ST</t>
  </si>
  <si>
    <t>PULASKI ST</t>
  </si>
  <si>
    <t>STUYVESANT AVE</t>
  </si>
  <si>
    <t>54, 56</t>
  </si>
  <si>
    <t>NY005083</t>
  </si>
  <si>
    <t>LEWIS AVE</t>
  </si>
  <si>
    <t>NY005020990</t>
  </si>
  <si>
    <t>NY005382</t>
  </si>
  <si>
    <t>PIKE ST</t>
  </si>
  <si>
    <t>NY005211</t>
  </si>
  <si>
    <t>E 91ST ST</t>
  </si>
  <si>
    <t>RUTLAND RD</t>
  </si>
  <si>
    <t>NY005205</t>
  </si>
  <si>
    <t>BEACH AVE</t>
  </si>
  <si>
    <t>ROSEDALE AVE</t>
  </si>
  <si>
    <t>NY005020930</t>
  </si>
  <si>
    <t>NY005384</t>
  </si>
  <si>
    <t>CAULDWELL AVE</t>
  </si>
  <si>
    <t>29, 32</t>
  </si>
  <si>
    <t>NY005000380</t>
  </si>
  <si>
    <t>NY005010</t>
  </si>
  <si>
    <t>W 127TH ST</t>
  </si>
  <si>
    <t>W 131ST ST</t>
  </si>
  <si>
    <t>NY005023770</t>
  </si>
  <si>
    <t>NY005375</t>
  </si>
  <si>
    <t>W 139TH ST</t>
  </si>
  <si>
    <t>W 147TH ST</t>
  </si>
  <si>
    <t>AC POWELL BLVD</t>
  </si>
  <si>
    <t>70, 71</t>
  </si>
  <si>
    <t>NY005335</t>
  </si>
  <si>
    <t>MHOP</t>
  </si>
  <si>
    <t>NY005345</t>
  </si>
  <si>
    <t>NY005359</t>
  </si>
  <si>
    <t>W 142ND ST</t>
  </si>
  <si>
    <t>NY005067</t>
  </si>
  <si>
    <t>HANCOCK ST</t>
  </si>
  <si>
    <t>NY005010450</t>
  </si>
  <si>
    <t>NY005183B</t>
  </si>
  <si>
    <t>UNDERCLIFF AVE</t>
  </si>
  <si>
    <t>W 174TH ST</t>
  </si>
  <si>
    <t>NY005100</t>
  </si>
  <si>
    <t>BROOME ST</t>
  </si>
  <si>
    <t>NORFOLK ST</t>
  </si>
  <si>
    <t>ESSEX ST</t>
  </si>
  <si>
    <t>NY005114B</t>
  </si>
  <si>
    <t>NY005203</t>
  </si>
  <si>
    <t>162ND ST</t>
  </si>
  <si>
    <t>89TH AVE</t>
  </si>
  <si>
    <t>163RD ST</t>
  </si>
  <si>
    <t>NY005000270</t>
  </si>
  <si>
    <t>NY005220B</t>
  </si>
  <si>
    <t>CATHERINE ST</t>
  </si>
  <si>
    <t>SOUTH ST</t>
  </si>
  <si>
    <t>SAINT JAMES PL</t>
  </si>
  <si>
    <t>NY005022</t>
  </si>
  <si>
    <t>LELAND AVE</t>
  </si>
  <si>
    <t>NY005000710</t>
  </si>
  <si>
    <t>NY005220H</t>
  </si>
  <si>
    <t>SOUNDVIEW PK</t>
  </si>
  <si>
    <t>NY005114C</t>
  </si>
  <si>
    <t>KRAMER ST</t>
  </si>
  <si>
    <t>LAMPORT BLVD</t>
  </si>
  <si>
    <t>REID AVE</t>
  </si>
  <si>
    <t>PARKINSON AVE</t>
  </si>
  <si>
    <t>NY005224</t>
  </si>
  <si>
    <t>NY005010080</t>
  </si>
  <si>
    <t>NY005004</t>
  </si>
  <si>
    <t>158TH ST</t>
  </si>
  <si>
    <t>SOUTH RD</t>
  </si>
  <si>
    <t>160TH ST</t>
  </si>
  <si>
    <t>109TH AVE</t>
  </si>
  <si>
    <t>NY005018</t>
  </si>
  <si>
    <t>BRINKERHOFF AVE</t>
  </si>
  <si>
    <t>NY005326</t>
  </si>
  <si>
    <t>ATTORNEY ST</t>
  </si>
  <si>
    <t>RIDGE ST</t>
  </si>
  <si>
    <t>NY005021140</t>
  </si>
  <si>
    <t>NY005383</t>
  </si>
  <si>
    <t>1, 8</t>
  </si>
  <si>
    <t>BROAD &amp; HILL STS</t>
  </si>
  <si>
    <t>GORDON ST</t>
  </si>
  <si>
    <t>NY005280</t>
  </si>
  <si>
    <t>HEWITT PL</t>
  </si>
  <si>
    <t>REV JAMES A POLITE AVE</t>
  </si>
  <si>
    <t>DAWSON ST</t>
  </si>
  <si>
    <t>NY005250</t>
  </si>
  <si>
    <t>SAINT JOHNS PL &amp; PARK PL</t>
  </si>
  <si>
    <t>BUFFALO AVE &amp; UTICA AVE</t>
  </si>
  <si>
    <t>36, 41</t>
  </si>
  <si>
    <t>NY005305</t>
  </si>
  <si>
    <t>NY005011530</t>
  </si>
  <si>
    <t>NY005063</t>
  </si>
  <si>
    <t>19-20</t>
  </si>
  <si>
    <t>NY005012210</t>
  </si>
  <si>
    <t>NY005133</t>
  </si>
  <si>
    <t>QUINCY ST</t>
  </si>
  <si>
    <t>MALCOLM X BLVD</t>
  </si>
  <si>
    <t>MONROE ST</t>
  </si>
  <si>
    <t>NY005269</t>
  </si>
  <si>
    <t>NY005220I</t>
  </si>
  <si>
    <t>NY005087</t>
  </si>
  <si>
    <t>W 31ST ST</t>
  </si>
  <si>
    <t>NY005311</t>
  </si>
  <si>
    <t>UNION STREET</t>
  </si>
  <si>
    <t>NY005064</t>
  </si>
  <si>
    <t>08, 09</t>
  </si>
  <si>
    <t>NY005278</t>
  </si>
  <si>
    <t>NY005012340</t>
  </si>
  <si>
    <t>NY005141</t>
  </si>
  <si>
    <t>8-11-12-13</t>
  </si>
  <si>
    <t>ROSS ST</t>
  </si>
  <si>
    <t>NY005163</t>
  </si>
  <si>
    <t>NY005192</t>
  </si>
  <si>
    <t>W 90TH ST</t>
  </si>
  <si>
    <t>W 91ST ST</t>
  </si>
  <si>
    <t>NY005015</t>
  </si>
  <si>
    <t>CALHOUN AVE</t>
  </si>
  <si>
    <t>SAMPSON AVE</t>
  </si>
  <si>
    <t>NY005098</t>
  </si>
  <si>
    <t>DEWEY AVE</t>
  </si>
  <si>
    <t>BALCOLM AVE</t>
  </si>
  <si>
    <t>THROGGS NECK HOUSES</t>
  </si>
  <si>
    <t>NY005034</t>
  </si>
  <si>
    <t>LIVONIA AVE</t>
  </si>
  <si>
    <t>NY005268A</t>
  </si>
  <si>
    <t>MANOR RD</t>
  </si>
  <si>
    <t>SCHMIDTS LA</t>
  </si>
  <si>
    <t>LAGUARDIA AVE</t>
  </si>
  <si>
    <t>WESTWOOD AVE</t>
  </si>
  <si>
    <t>NY005046</t>
  </si>
  <si>
    <t>NY005227</t>
  </si>
  <si>
    <t>OAKLAND PL</t>
  </si>
  <si>
    <t>NY005194</t>
  </si>
  <si>
    <t>NY005214</t>
  </si>
  <si>
    <t>NY005291</t>
  </si>
  <si>
    <t>NY005169</t>
  </si>
  <si>
    <t>ALABAMA AVE</t>
  </si>
  <si>
    <t>NY005117</t>
  </si>
  <si>
    <t>BLAKE ST</t>
  </si>
  <si>
    <t>NY005283</t>
  </si>
  <si>
    <t>W TREMONT AVE</t>
  </si>
  <si>
    <t>ANDREWS AVE</t>
  </si>
  <si>
    <t>NY005254</t>
  </si>
  <si>
    <t>E 121ST ST</t>
  </si>
  <si>
    <t>E 120TH ST</t>
  </si>
  <si>
    <t>NY005281</t>
  </si>
  <si>
    <t>E 119TH ST</t>
  </si>
  <si>
    <t>NY005000610</t>
  </si>
  <si>
    <t>NY005013</t>
  </si>
  <si>
    <t>NY005055</t>
  </si>
  <si>
    <t>NY005243</t>
  </si>
  <si>
    <t>LOUISIANA AVE</t>
  </si>
  <si>
    <t>VANDALIA AVE</t>
  </si>
  <si>
    <t>GEORGIA AVE</t>
  </si>
  <si>
    <t>NY005010060</t>
  </si>
  <si>
    <t>NY005003</t>
  </si>
  <si>
    <t>HENRY ST</t>
  </si>
  <si>
    <t>WATER ST</t>
  </si>
  <si>
    <t>GOUVERNEUR ST</t>
  </si>
  <si>
    <t>JACKSON ST</t>
  </si>
  <si>
    <t>NY005181B</t>
  </si>
  <si>
    <t>NY005010740</t>
  </si>
  <si>
    <t>NY005024</t>
  </si>
  <si>
    <t>NY005000230</t>
  </si>
  <si>
    <t>NY005213C</t>
  </si>
  <si>
    <t>NY005014</t>
  </si>
  <si>
    <t>2, 12-14</t>
  </si>
  <si>
    <t>E 104TH ST</t>
  </si>
  <si>
    <t>NY005221</t>
  </si>
  <si>
    <t>W 176TH ST</t>
  </si>
  <si>
    <t>W 177TH ST</t>
  </si>
  <si>
    <t>AUDUBON AVE</t>
  </si>
  <si>
    <t>NY005010030&amp;NY005013090</t>
  </si>
  <si>
    <t>329, 523</t>
  </si>
  <si>
    <t>NY005284A - HARLEM RIVER, NY005284B - FORT WASHINGTON</t>
  </si>
  <si>
    <t>W 164TH,165TH STS</t>
  </si>
  <si>
    <t>71, 72</t>
  </si>
  <si>
    <t>07, 10</t>
  </si>
  <si>
    <t>NY005284B</t>
  </si>
  <si>
    <t>W 164TH ST</t>
  </si>
  <si>
    <t>NY005284A</t>
  </si>
  <si>
    <t>NY005228</t>
  </si>
  <si>
    <t>NY005229</t>
  </si>
  <si>
    <t>NY005028</t>
  </si>
  <si>
    <t>NY005132</t>
  </si>
  <si>
    <t>SCHENECTADY AVE</t>
  </si>
  <si>
    <t>NY005010130</t>
  </si>
  <si>
    <t>NY005040</t>
  </si>
  <si>
    <t>CASTLETON AVE</t>
  </si>
  <si>
    <t>HENDERSON AVE</t>
  </si>
  <si>
    <t>ALASKA ST</t>
  </si>
  <si>
    <t>NY005286</t>
  </si>
  <si>
    <t>FREEMAN ST</t>
  </si>
  <si>
    <t>WEST FARMS RD</t>
  </si>
  <si>
    <t>2, 3</t>
  </si>
  <si>
    <t>NY005015310</t>
  </si>
  <si>
    <t>NY005318</t>
  </si>
  <si>
    <t>NY005180</t>
  </si>
  <si>
    <t>MONTGOMERY AVE</t>
  </si>
  <si>
    <t>PALISADE PL</t>
  </si>
  <si>
    <t>NY005244E</t>
  </si>
  <si>
    <t>NY005005140</t>
  </si>
  <si>
    <t>NY005213A</t>
  </si>
  <si>
    <t>NY005021280</t>
  </si>
  <si>
    <t>NY005385</t>
  </si>
  <si>
    <t>14-21</t>
  </si>
  <si>
    <t>ROEBLING ST</t>
  </si>
  <si>
    <t>DIVISION AVE</t>
  </si>
  <si>
    <t>NY005000020</t>
  </si>
  <si>
    <t>NY005041</t>
  </si>
  <si>
    <t>LEONARD ST</t>
  </si>
  <si>
    <t>MAUJER ST</t>
  </si>
  <si>
    <t>SCHOLES ST</t>
  </si>
  <si>
    <t>NY005220J</t>
  </si>
  <si>
    <t>NY005021270</t>
  </si>
  <si>
    <t>NY005386</t>
  </si>
  <si>
    <t>NY005000330</t>
  </si>
  <si>
    <t>NY005114D</t>
  </si>
  <si>
    <t>49TH ST</t>
  </si>
  <si>
    <t>51ST ST</t>
  </si>
  <si>
    <t>31ST AVE</t>
  </si>
  <si>
    <t>NEWTOWN RD</t>
  </si>
  <si>
    <t>NY005084</t>
  </si>
  <si>
    <t>JUNIUS ST</t>
  </si>
  <si>
    <t>NY005052K</t>
  </si>
  <si>
    <t>W 89TH &amp; 90TH STS</t>
  </si>
  <si>
    <t>91ST &amp; 93RD STS</t>
  </si>
  <si>
    <t>NY005056</t>
  </si>
  <si>
    <t>120 W 94TH ST</t>
  </si>
  <si>
    <t>74 W 92ND ST</t>
  </si>
  <si>
    <t>589 AMSTERDAM AVE</t>
  </si>
  <si>
    <t>W 88TH ST</t>
  </si>
  <si>
    <t>W 89TH ST</t>
  </si>
  <si>
    <t>NY005074</t>
  </si>
  <si>
    <t>NEVINS ST</t>
  </si>
  <si>
    <t>Development Name</t>
  </si>
  <si>
    <t>Bundle Name</t>
  </si>
  <si>
    <t>Units</t>
  </si>
  <si>
    <t>Units_1</t>
  </si>
  <si>
    <t>Anticipated Closing Year</t>
  </si>
  <si>
    <t>2020 BUNDLES</t>
  </si>
  <si>
    <t>BROOKLYN MEGA BUNDLE</t>
  </si>
  <si>
    <t>MANHATTAN MEGA BUNDLE</t>
  </si>
  <si>
    <t>HARLEM RIVER 1st</t>
  </si>
  <si>
    <t>HARLEM RIVER 2nd</t>
  </si>
  <si>
    <t>2021 BUNDLES</t>
  </si>
  <si>
    <t>FREDERICK SAMUEL APARTMENTS</t>
  </si>
  <si>
    <t>2022 BUNDLES</t>
  </si>
  <si>
    <t>2023 BUNDLES</t>
  </si>
  <si>
    <t>2024 BUNDLES</t>
  </si>
  <si>
    <t>2025 BUNDLES</t>
  </si>
  <si>
    <t>PARK ROCK CONSOLIDATION</t>
  </si>
  <si>
    <t>2026 BUNDLES</t>
  </si>
  <si>
    <t>LOWER EAST SIDE</t>
  </si>
  <si>
    <t>UNITY PLAZA</t>
  </si>
  <si>
    <t>UNION AVENUE CONSOLIDATED</t>
  </si>
  <si>
    <t>2027 BUNDLES</t>
  </si>
  <si>
    <t>2028 BUNDLES</t>
  </si>
  <si>
    <t>SITES UNDER ANALYSIS</t>
  </si>
  <si>
    <t>SOTOMAYOR</t>
  </si>
  <si>
    <t>TBD</t>
  </si>
  <si>
    <t>SOUTH JAMAICA</t>
  </si>
  <si>
    <t>SITES SCHEDULED FOR 2028+</t>
  </si>
  <si>
    <t>BORINQUEN PLAZA</t>
  </si>
  <si>
    <t>STUYVESANT GARDENS</t>
  </si>
  <si>
    <t>BEACH 41st STREET</t>
  </si>
  <si>
    <t>Data Sources</t>
  </si>
  <si>
    <t>Data</t>
  </si>
  <si>
    <t>1. 2017 PNA</t>
  </si>
  <si>
    <t>2. Development Data Book 2019</t>
  </si>
  <si>
    <t>3. PAIS Group</t>
  </si>
  <si>
    <t>4. Unit Costs</t>
  </si>
  <si>
    <t>Based on CPD projects and ongoing JOCs work, where no precedents exist, estimates from Cost Estimating group</t>
  </si>
  <si>
    <t>5. RAD/PACT List, 5/13/19</t>
  </si>
  <si>
    <t>6. Waste Management Plan</t>
  </si>
  <si>
    <t>7. Development Management</t>
  </si>
  <si>
    <t xml:space="preserve">Phone calls with Development Management </t>
  </si>
  <si>
    <t>8. DEP</t>
  </si>
  <si>
    <t>9. MRST Interior/Exterior Compactor List</t>
  </si>
  <si>
    <t>10. MP/JO</t>
  </si>
  <si>
    <t>Data comparison, calls to development, PTAD data, all combined</t>
  </si>
  <si>
    <t>Priority Ranking Details</t>
  </si>
  <si>
    <t xml:space="preserve">Scores from DOHMH; 1 - highest priority to 4 - lower priority; 0 - not a priority </t>
  </si>
  <si>
    <t>Scores from Ray Levan; 1 -  Highest priority based on poorest condition/high volume of work tickets; 2 - Installation dates  between 1998 and older; 3 - Installation dates  between 1999 – 2005;  4 - Installation dates  between 2006 - present; 0 - no compactors</t>
  </si>
  <si>
    <t>Methodology for Exterior Compactors Group</t>
  </si>
  <si>
    <t>Remaining WMP Commitments Yes</t>
  </si>
  <si>
    <t>Group A</t>
  </si>
  <si>
    <t>Ops or MRST Score 1 + DSNY Worst Offenders Yes</t>
  </si>
  <si>
    <t>Group B</t>
  </si>
  <si>
    <t>Ops or MRST Score 2 &amp; 3</t>
  </si>
  <si>
    <t>Group C</t>
  </si>
  <si>
    <t>Ops Score 4</t>
  </si>
  <si>
    <t>Group D</t>
  </si>
  <si>
    <t>Status Definitions</t>
  </si>
  <si>
    <t>Queued</t>
  </si>
  <si>
    <t>Work has been funded and allocated for a certain implementation method, anticipated work starting within the next 6 months.</t>
  </si>
  <si>
    <t>In Progress</t>
  </si>
  <si>
    <t>Planning and/or construction work is currently ongoing.</t>
  </si>
  <si>
    <t>Completed</t>
  </si>
  <si>
    <t>The work has been completed and paid for.</t>
  </si>
  <si>
    <t>inflation:</t>
  </si>
  <si>
    <t>Ext Compactor Priority</t>
  </si>
  <si>
    <t>MRST #HD</t>
  </si>
  <si>
    <t>DOHMH Priority Level</t>
  </si>
  <si>
    <t># Hopper Doors</t>
  </si>
  <si>
    <t>MRST</t>
  </si>
  <si>
    <t xml:space="preserve">inflation </t>
  </si>
  <si>
    <t>Program</t>
  </si>
  <si>
    <t>MRST Int. Compactor Priority</t>
  </si>
  <si>
    <t>Dus</t>
  </si>
  <si>
    <t>#buildings</t>
  </si>
  <si>
    <t>E&amp;S Priority</t>
  </si>
  <si>
    <t>RAD/PACT by 2025</t>
  </si>
  <si>
    <t>AGE (2019) (Y)</t>
  </si>
  <si>
    <t># to Replace (MRST)</t>
  </si>
  <si>
    <t>Estimate</t>
  </si>
  <si>
    <t>CPD PM Team</t>
  </si>
  <si>
    <t>OMB request sent</t>
  </si>
  <si>
    <t>Jacobs - JOCS</t>
  </si>
  <si>
    <t>maybe being done by CPD PM</t>
  </si>
  <si>
    <t>funded $100k citycap, asking for $200k in FY21</t>
  </si>
  <si>
    <t>Pt III</t>
  </si>
  <si>
    <t>Pt II</t>
  </si>
  <si>
    <t>total sum</t>
  </si>
  <si>
    <t>Row Labels</t>
  </si>
  <si>
    <t>Sum of COST</t>
  </si>
  <si>
    <t>Sum of ESTIMATES</t>
  </si>
  <si>
    <t>#N/A</t>
  </si>
  <si>
    <t>Grand Total</t>
  </si>
  <si>
    <t>total</t>
  </si>
  <si>
    <t>Bronx</t>
  </si>
  <si>
    <t>Brooklyn</t>
  </si>
  <si>
    <t>Manhattan</t>
  </si>
  <si>
    <t>Queens</t>
  </si>
  <si>
    <t>Staten Island</t>
  </si>
  <si>
    <t>sum</t>
  </si>
  <si>
    <t>NRR Pt I</t>
  </si>
  <si>
    <t>Harlem Ext.</t>
  </si>
  <si>
    <t>NRR Ext.</t>
  </si>
  <si>
    <t>Zone 1</t>
  </si>
  <si>
    <t>Zone 2</t>
  </si>
  <si>
    <t>Zone 3</t>
  </si>
  <si>
    <t>Queued, OMB request sent</t>
  </si>
  <si>
    <t>Team</t>
  </si>
  <si>
    <t>RAD</t>
  </si>
  <si>
    <t>CPD Project Number</t>
  </si>
  <si>
    <t>HUD CF</t>
  </si>
  <si>
    <t>DOHMH Infestation Rating</t>
  </si>
  <si>
    <t>Description of Work</t>
  </si>
  <si>
    <t>Estimated Cost</t>
  </si>
  <si>
    <t> Contract Award Amount</t>
  </si>
  <si>
    <t>City Funds Allocated</t>
  </si>
  <si>
    <t>REVISED Projected Construction Start Date</t>
  </si>
  <si>
    <t>Actual Construction Start Date</t>
  </si>
  <si>
    <t>REVISED Projected Completion Date</t>
  </si>
  <si>
    <t>Actual Full Completion Date</t>
  </si>
  <si>
    <t>Total City Funds Expended</t>
  </si>
  <si>
    <t>Units Complete</t>
  </si>
  <si>
    <t>Unit Count</t>
  </si>
  <si>
    <t>% Complete</t>
  </si>
  <si>
    <t>ON TRACK?</t>
  </si>
  <si>
    <t>% City Funds Based on # Installed</t>
  </si>
  <si>
    <t>PM3</t>
  </si>
  <si>
    <t>yes</t>
  </si>
  <si>
    <t>Completed.</t>
  </si>
  <si>
    <t>Claremont Rehab (Grp 3)</t>
  </si>
  <si>
    <t>$$$</t>
  </si>
  <si>
    <t>$$</t>
  </si>
  <si>
    <t>Completed - Included in Morris I</t>
  </si>
  <si>
    <t>$</t>
  </si>
  <si>
    <t> </t>
  </si>
  <si>
    <t>no</t>
  </si>
  <si>
    <t>Bedford Stuyvesant Rehab</t>
  </si>
  <si>
    <t>Work stopped due to COVID-19</t>
  </si>
  <si>
    <t>LES II</t>
  </si>
  <si>
    <t>pending contractors proposal</t>
  </si>
  <si>
    <t>New - Added in 2019</t>
  </si>
  <si>
    <t>Completed under project 7642.  </t>
  </si>
  <si>
    <t>inflation rate</t>
  </si>
  <si>
    <t>MRST Ext. Compactor Priority</t>
  </si>
  <si>
    <t># Ext. Compactors to Replace</t>
  </si>
  <si>
    <t>Shared Site</t>
  </si>
  <si>
    <t>ext comp age?</t>
  </si>
  <si>
    <t>Design Est.</t>
  </si>
  <si>
    <t>Construction Est.</t>
  </si>
  <si>
    <t># yards</t>
  </si>
  <si>
    <t>est. DSGN Year</t>
  </si>
  <si>
    <t>est. CONS Year</t>
  </si>
  <si>
    <t>CPD PROJECT MANAGEMENT</t>
  </si>
  <si>
    <t>Need to ask Real Estate about yard location</t>
  </si>
  <si>
    <t>Need to pay for new yard at infill development</t>
  </si>
  <si>
    <t xml:space="preserve">PRIVATE DEVELOPER </t>
  </si>
  <si>
    <t>FHA handles their own waste</t>
  </si>
  <si>
    <t>DEVELOPMENTS</t>
  </si>
  <si>
    <t>Boro</t>
  </si>
  <si>
    <t>Private Management</t>
  </si>
  <si>
    <t>Number of Exterior Comapctors</t>
  </si>
  <si>
    <t>Installation Date of Exterior Compactor</t>
  </si>
  <si>
    <t>1010 EAST 178th STREET</t>
  </si>
  <si>
    <t>Bx</t>
  </si>
  <si>
    <t>Bk</t>
  </si>
  <si>
    <t>1168 STRATFORD AVE REHAB</t>
  </si>
  <si>
    <t>Disposed</t>
  </si>
  <si>
    <t>Mn</t>
  </si>
  <si>
    <t>344 EAST 28th STREET</t>
  </si>
  <si>
    <t>Qns</t>
  </si>
  <si>
    <t>Si</t>
  </si>
  <si>
    <t>BETANCES</t>
  </si>
  <si>
    <t>BETANCES II/MHMC 18</t>
  </si>
  <si>
    <t>BETANCES III</t>
  </si>
  <si>
    <t>BETANCES IV</t>
  </si>
  <si>
    <t>BETANCES VI</t>
  </si>
  <si>
    <t>EAST 4th STREET REHAB</t>
  </si>
  <si>
    <t>MURPHY CONSOLIDATED</t>
  </si>
  <si>
    <t>SANDRA THOMAS HOUSES</t>
  </si>
  <si>
    <t>SARATOGA SQUARE</t>
  </si>
  <si>
    <t xml:space="preserve"> </t>
  </si>
  <si>
    <t>Sumner</t>
  </si>
  <si>
    <t>TWIN PARKS CONSOLIDATED - WEST</t>
  </si>
  <si>
    <t>NUMBER OF INTERIOR COMPACTORS</t>
  </si>
  <si>
    <t>Installation Date of Interior Compactor</t>
  </si>
  <si>
    <t>RUL 1-5</t>
  </si>
  <si>
    <t>RUL 6-10</t>
  </si>
  <si>
    <t>RUL 11-13</t>
  </si>
  <si>
    <t>0</t>
  </si>
  <si>
    <t>1</t>
  </si>
  <si>
    <t>2</t>
  </si>
  <si>
    <t>3</t>
  </si>
  <si>
    <t>5</t>
  </si>
  <si>
    <t>6</t>
  </si>
  <si>
    <t>7</t>
  </si>
  <si>
    <t>8</t>
  </si>
  <si>
    <t>11</t>
  </si>
  <si>
    <t>12</t>
  </si>
  <si>
    <t>4</t>
  </si>
  <si>
    <t>13</t>
  </si>
  <si>
    <t>Column1</t>
  </si>
  <si>
    <t>BUNDLE NAME</t>
  </si>
  <si>
    <t>Normalized to subsidy need</t>
  </si>
  <si>
    <t>5-6K</t>
  </si>
  <si>
    <t>7-8K</t>
  </si>
  <si>
    <t>9-10K</t>
  </si>
  <si>
    <t>inflation</t>
  </si>
  <si>
    <t># to Replace</t>
  </si>
  <si>
    <t>Cost per Development</t>
  </si>
  <si>
    <t>DSNY Priority</t>
  </si>
  <si>
    <t>DSNY Comments</t>
  </si>
  <si>
    <t>Exterior Compactors (Replaement)</t>
  </si>
  <si>
    <t>Exterior Compactors (Replacement)</t>
  </si>
  <si>
    <t>Exterior Compactors (New)</t>
  </si>
  <si>
    <t>Pre-Start Meeting is 2/25/2020.</t>
  </si>
  <si>
    <t>Excavation and Trenching completed.</t>
  </si>
  <si>
    <t>Bulk Crushers</t>
  </si>
  <si>
    <t>Mechanical Issue to be resolved.</t>
  </si>
  <si>
    <t>Rat Slab</t>
  </si>
  <si>
    <t>Work Complete.</t>
  </si>
  <si>
    <t>East 180th Street Monterey Ave</t>
  </si>
  <si>
    <t>Work paused by funding deferment directive as related to COVID19.</t>
  </si>
  <si>
    <t>Unit Cost</t>
  </si>
  <si>
    <t xml:space="preserve"> Cost</t>
  </si>
  <si>
    <t>PM Fee @ 7%</t>
  </si>
  <si>
    <t>Unit Cost w/PM Fee (7%)</t>
  </si>
  <si>
    <t>capital</t>
  </si>
  <si>
    <t>expense</t>
  </si>
  <si>
    <t>tds</t>
  </si>
  <si>
    <t>development</t>
  </si>
  <si>
    <t>managedby</t>
  </si>
  <si>
    <t>numexternal</t>
  </si>
  <si>
    <t>Priority</t>
  </si>
  <si>
    <t>extbool</t>
  </si>
  <si>
    <t>sharebool</t>
  </si>
  <si>
    <t>curbbool</t>
  </si>
  <si>
    <t>totbool</t>
  </si>
  <si>
    <t>ifnoext_istherespace</t>
  </si>
  <si>
    <t>ops_numext</t>
  </si>
  <si>
    <t>levan_numext</t>
  </si>
  <si>
    <t>maximo_numext</t>
  </si>
  <si>
    <t>pna_numext</t>
  </si>
  <si>
    <t>ops_curbside</t>
  </si>
  <si>
    <t>ops_share</t>
  </si>
  <si>
    <t>ops_neighbordev</t>
  </si>
  <si>
    <t>ops_notes</t>
  </si>
  <si>
    <t>pactnrr_curbside</t>
  </si>
  <si>
    <t>pactnrr_notes</t>
  </si>
  <si>
    <t>ifnoext_comment</t>
  </si>
  <si>
    <t>NULL</t>
  </si>
  <si>
    <t>It is a curbside site that has room for a compactor.</t>
  </si>
  <si>
    <t>Teller Avenue-East 166th Street</t>
  </si>
  <si>
    <t>Part of Claremont</t>
  </si>
  <si>
    <t>KRAUS MANAGEMENT (PRIVATE - M/B 1)</t>
  </si>
  <si>
    <t xml:space="preserve">container on-site </t>
  </si>
  <si>
    <t>Jefferson</t>
  </si>
  <si>
    <t>Curbside pickup for DSNY</t>
  </si>
  <si>
    <t>Curbside pickup for DSNY.</t>
  </si>
  <si>
    <t>left on curb for pickup to Gompers twice a day.  One truck for entire consolidation, all uses</t>
  </si>
  <si>
    <t>Wyckoff Gardens</t>
  </si>
  <si>
    <t>Wyckoff's exterior compactor is used for both Wyckoff and 572 Warren Street; No room for an exterior compactor; curbside is needed.</t>
  </si>
  <si>
    <t xml:space="preserve">It already has external compactors. </t>
  </si>
  <si>
    <t>They already have compactors</t>
  </si>
  <si>
    <t>Albany</t>
  </si>
  <si>
    <t xml:space="preserve">They have compactors but they receive significant amount of bulk that they cannot account for. They need an auger/bulk crusher for at least one of their compactors. They are willing to switch out one compactor for an auger. </t>
  </si>
  <si>
    <t>Amsterdam</t>
  </si>
  <si>
    <t>They are a share with Amsterdam.</t>
  </si>
  <si>
    <t xml:space="preserve">They are a scattered site but you could put an exterior compactor at 396 and 388 Clifton where there's a gated parking lot, but the rest of them would have to still be DSNY curbside. </t>
  </si>
  <si>
    <t xml:space="preserve">They already have three compactors </t>
  </si>
  <si>
    <t>Bethune Gardens</t>
  </si>
  <si>
    <t>Serviced by Bethune</t>
  </si>
  <si>
    <t>FORT INDEPENDENCE</t>
  </si>
  <si>
    <t>They already have two externals.</t>
  </si>
  <si>
    <t>container on-site</t>
  </si>
  <si>
    <t>They already have externals.</t>
  </si>
  <si>
    <t>served by Baruch</t>
  </si>
  <si>
    <t>driven to Sumner daily- the consolidation has an F-150 and F-250 that are used as appropriate (not dedicated solely to that purpose).  Trash left outside while waiting for pickup.</t>
  </si>
  <si>
    <t>They have a parking lot where an exterior compactor could go</t>
  </si>
  <si>
    <t>Dev't could use a second external unit but we only have one.</t>
  </si>
  <si>
    <t>Berry St -South 9th Street has one exterior compactor.</t>
  </si>
  <si>
    <t>One Exterior compactor located at  Bethune at 1945 Amsterdam Avenue  - services Audubon &amp; Marshall Plaza</t>
  </si>
  <si>
    <t>Borinquen Plaza I</t>
  </si>
  <si>
    <t>Boston Rd. Plza is apart of Pelham Parkway</t>
  </si>
  <si>
    <t>This is a huge development with lots of room for exterior compactors. It's been identified as one of the sites most in need.</t>
  </si>
  <si>
    <t>You have an empty lot next to the rehab which could hold an exterior compactor</t>
  </si>
  <si>
    <t>LOWER EAST SIDE CONSOLIDATED</t>
  </si>
  <si>
    <t>CHECK</t>
  </si>
  <si>
    <t xml:space="preserve">it looks like they have a signifcant amount of bulk and need a bulk crusher </t>
  </si>
  <si>
    <t xml:space="preserve">You can see a significant amoun tof bulk in the aerial view and its clear that they need a bulk crusher </t>
  </si>
  <si>
    <t>Bronx River</t>
  </si>
  <si>
    <t>Even though there is a development across the street, there is plenty of room and there is a significant amount of bulk</t>
  </si>
  <si>
    <t>GARVEY</t>
  </si>
  <si>
    <t xml:space="preserve">They have a significant amount of bulk </t>
  </si>
  <si>
    <t>BUILDING MANAGEMENT ASSOCIATES (PRIVATE - BX 1)</t>
  </si>
  <si>
    <t>No room</t>
  </si>
  <si>
    <t>CAMPOS I</t>
  </si>
  <si>
    <t>served by Campos Plaza I</t>
  </si>
  <si>
    <t>They already have four but they need a lot of help. They should be prioritized.</t>
  </si>
  <si>
    <t>Chelsea</t>
  </si>
  <si>
    <t>Part of Union Cons.</t>
  </si>
  <si>
    <t>College Ave. E. 165th St, &amp; Teller Avenue E. 166th St.</t>
  </si>
  <si>
    <t>Consoliation development with College Ave. E. 165th St, &amp; Teller Avenue E. 166th St.</t>
  </si>
  <si>
    <t>Claremont Consolidated is served by container</t>
  </si>
  <si>
    <t>1100 Teller</t>
  </si>
  <si>
    <t>Carey Gardens</t>
  </si>
  <si>
    <t>Shared</t>
  </si>
  <si>
    <t>1 bulk crusher</t>
  </si>
  <si>
    <t>They already have an external compactor</t>
  </si>
  <si>
    <t>PARK ROCK CONSOLIDATED</t>
  </si>
  <si>
    <t>Ther'es a mound of garbage in the parking lot. An exterior compactor could replace that mountain of garbage.</t>
  </si>
  <si>
    <t>Fred Douglass I</t>
  </si>
  <si>
    <t>Mckinley</t>
  </si>
  <si>
    <t xml:space="preserve">There's 1 here. </t>
  </si>
  <si>
    <t xml:space="preserve">Even though there's space, the buildings are placed inbetween private buildings and streets and it doesnâ€™t make sense to put an exterior container </t>
  </si>
  <si>
    <t>it has an exterior compactor.</t>
  </si>
  <si>
    <t xml:space="preserve">They are an scattered site and it doesn't make sense for them to have an external compactor. </t>
  </si>
  <si>
    <t xml:space="preserve">They are a scattered site and it doesn't make sense for them to have an external compactor. </t>
  </si>
  <si>
    <t>curbside? CHECK</t>
  </si>
  <si>
    <t>FORT WASHINGTON</t>
  </si>
  <si>
    <t>Sotomayor Houses</t>
  </si>
  <si>
    <t>container on-site not working</t>
  </si>
  <si>
    <t>Follow up</t>
  </si>
  <si>
    <t>King Towers</t>
  </si>
  <si>
    <t xml:space="preserve">The one exterior compactor at King Towers services both King and Grampion. </t>
  </si>
  <si>
    <t xml:space="preserve">They bring to Carey but have to cross the street. It would be ideal for them to have their own compactor and they have the space for it. </t>
  </si>
  <si>
    <t>Services Harlem I &amp; II</t>
  </si>
  <si>
    <t>Harlem River</t>
  </si>
  <si>
    <t>Serviced by Harlem I</t>
  </si>
  <si>
    <t>KRAUS MANAGEMENT (PRIVATE - BX 3)</t>
  </si>
  <si>
    <t>Sedgwick</t>
  </si>
  <si>
    <t>Part of the RAT SLAB initiative. The 2 external Compactos have been removed and being replaced hopefully by November 2019. They are taking the garbage to Sedgwick.</t>
  </si>
  <si>
    <t>There's a parking lot in back but there's not enough room in the alleyway for the truck to go through</t>
  </si>
  <si>
    <t>Isaacs</t>
  </si>
  <si>
    <t xml:space="preserve">There is no room for an exterior </t>
  </si>
  <si>
    <t>Bushwick</t>
  </si>
  <si>
    <t>served by Bushwick</t>
  </si>
  <si>
    <t>It's a share</t>
  </si>
  <si>
    <t>Taylor-Wythe uses Independence's exterior compactor.</t>
  </si>
  <si>
    <t>There's 2 on Taylor Wythe -- it's technically on Taylor Wythe but people think it's independenceâ€¦</t>
  </si>
  <si>
    <t>Conlon Lihfe Tower</t>
  </si>
  <si>
    <t>This is a shared site yet it is quite a distance from Conlohn Life. There's no room for an external compactor.</t>
  </si>
  <si>
    <t xml:space="preserve">In 2 ez packs, the ramp runs so slow that it's slowing everything down. Seinfeld from Sanitation from whatever development brought a box but they still have the same problem that the ramp runs so slow. They have a temporary motor on that compctor and that's likely why the compactor is running so slow. </t>
  </si>
  <si>
    <t>served by La Guardia</t>
  </si>
  <si>
    <t>Latimer Gardens</t>
  </si>
  <si>
    <t>Has exterior compactor</t>
  </si>
  <si>
    <t>Mayor Seth Low Houses- Sanitation picks up from dumpsite, Monday, Wednesday &amp; Fridays use Bobcat to load garbage truck. They do not have curbside or Easypass.</t>
  </si>
  <si>
    <t>Gompers</t>
  </si>
  <si>
    <t>curbside- confirmed</t>
  </si>
  <si>
    <t>This could be a shre with Site B; Site B has more room</t>
  </si>
  <si>
    <t>There are two here.</t>
  </si>
  <si>
    <t>They ar ereceiving a lot of illegal dumping with a meat manufacturer next door and would really benefit now from a bulk crusher with fencing</t>
  </si>
  <si>
    <t>Wilson</t>
  </si>
  <si>
    <t xml:space="preserve">There's 2 here. You can see a lot of garbage on the floor in the aerial. One of their compactors is currently (9-30-2019) down and its leaking oil </t>
  </si>
  <si>
    <t>Mill brook</t>
  </si>
  <si>
    <t>Webster</t>
  </si>
  <si>
    <t>served by Webster- confirmed</t>
  </si>
  <si>
    <t xml:space="preserve">Having problems with the compactors and they need brand new ones. </t>
  </si>
  <si>
    <t>Sheepshead Bay</t>
  </si>
  <si>
    <t>They have ltos of room for compactors and DSNY called about them</t>
  </si>
  <si>
    <t xml:space="preserve">Three's 4 but they are on two different sites, separated by a street </t>
  </si>
  <si>
    <t>PENNSYLVANIA-WORTMAN</t>
  </si>
  <si>
    <t xml:space="preserve">They have a ridiculous amount of garbage in the aerial view. They have no redundancy. </t>
  </si>
  <si>
    <t xml:space="preserve">There's 4 exterior compactors </t>
  </si>
  <si>
    <t>No, itâ€™s a one floor senior building that does not generate enough waste to have an E-Z pac. The development truck can make the needed pickups with no problem</t>
  </si>
  <si>
    <t>ROOSEVELT</t>
  </si>
  <si>
    <t>Roosevelt II</t>
  </si>
  <si>
    <t>served by Roosevelt II</t>
  </si>
  <si>
    <t>SAMUEL</t>
  </si>
  <si>
    <t>NA</t>
  </si>
  <si>
    <t>Drew-Hamilton</t>
  </si>
  <si>
    <t>bulk crusher on sheepshead side</t>
  </si>
  <si>
    <t>CLAREMONT PARKWAY-FRANKLIN AVENUE, &amp; DAVIDSON</t>
  </si>
  <si>
    <t xml:space="preserve">they're on the border lines of south jamaica I and ii, but we are calling it for south jamaica 1. </t>
  </si>
  <si>
    <t>Stuyvesant Gardens I</t>
  </si>
  <si>
    <t>served by Stuyvesant Gardens I</t>
  </si>
  <si>
    <t>Independence</t>
  </si>
  <si>
    <t>1020 college</t>
  </si>
  <si>
    <t>Throggs Neck</t>
  </si>
  <si>
    <t>Compactor currently being installed</t>
  </si>
  <si>
    <t>FARRAGUT/ SUMNER/ ROOSEVELT</t>
  </si>
  <si>
    <t>Tompkins exterior compactors are being replaced - they have two new compactors which are not running. They partially use DSNY curbside but then also bring some of their trash to a nearby development.</t>
  </si>
  <si>
    <t>Mon, Wed &amp; Fri Santiation does pickup.</t>
  </si>
  <si>
    <t>DSNY picks up from open-top containers on site</t>
  </si>
  <si>
    <t>curbside- however, bulk waste goes to LaGuardia; also will sometimes drive trash to LaGuardia compactors during the holiday season</t>
  </si>
  <si>
    <t>Woodson</t>
  </si>
  <si>
    <t xml:space="preserve">No </t>
  </si>
  <si>
    <t>Note that their parking lot is small, but it could potentially fit one.</t>
  </si>
  <si>
    <t>West Brighton l &amp; ll are together.</t>
  </si>
  <si>
    <t>West Brighton I</t>
  </si>
  <si>
    <t>Part of Sedgwick Houses</t>
  </si>
  <si>
    <t>Must use bulk crusher &amp; exterior compactor.</t>
  </si>
  <si>
    <t>Doesn't have an exterior compactor. All interior compactors are out of service.  Handling the garbage and recycling manually.  Curbside pickup for DSNY.</t>
  </si>
  <si>
    <t>Theirs is located at 365 Powell St</t>
  </si>
  <si>
    <t>Data Source</t>
  </si>
  <si>
    <t>2,8</t>
  </si>
  <si>
    <t>Managed By</t>
  </si>
  <si>
    <t>RAD/PACT/Other</t>
  </si>
  <si>
    <t>Dwelling Buildings</t>
  </si>
  <si>
    <t># Stairhalls</t>
  </si>
  <si>
    <t># Interior Compactors MRST</t>
  </si>
  <si>
    <t># Exterior Compactors MRST</t>
  </si>
  <si>
    <t>Interior Compactor Install</t>
  </si>
  <si>
    <t>Exterior Compactor Install</t>
  </si>
  <si>
    <t>DSNY - # ext affected</t>
  </si>
  <si>
    <t>DSNY - replacement/new</t>
  </si>
  <si>
    <t>DSNY - notes</t>
  </si>
  <si>
    <t>PNA Ext.</t>
  </si>
  <si>
    <t>PNA Int.</t>
  </si>
  <si>
    <t>Bulk Install Date</t>
  </si>
  <si>
    <t>PNA # Ext RUL &lt;=5</t>
  </si>
  <si>
    <t>PNA # Int RUL &lt;=5</t>
  </si>
  <si>
    <t>311 Developments</t>
  </si>
  <si>
    <t># Ext. Compactor Best Estimate</t>
  </si>
  <si>
    <t>Ops Priority</t>
  </si>
  <si>
    <t>External Compactor boolean</t>
  </si>
  <si>
    <t>Share boolean</t>
  </si>
  <si>
    <t>Curbside boolean</t>
  </si>
  <si>
    <t>Total Curb/Share/External Bool</t>
  </si>
  <si>
    <t>If No Exterior, Is there physical space for an external?</t>
  </si>
  <si>
    <t>Operations Survey - Number of Exteriors</t>
  </si>
  <si>
    <t>MRST - Number of Exteriors</t>
  </si>
  <si>
    <t>Maximo - Number of Exteriors</t>
  </si>
  <si>
    <t>Operations Survey - Curbside?</t>
  </si>
  <si>
    <t>Operations Survey - Shared Site?</t>
  </si>
  <si>
    <t>Operations Survey - Shared Site</t>
  </si>
  <si>
    <t>Operations Survey Notes</t>
  </si>
  <si>
    <t>Pact/NRR Curbside</t>
  </si>
  <si>
    <t>Pact/NRR Data Notes</t>
  </si>
  <si>
    <t>If No Exterior, Is there physical space for an external? Comments</t>
  </si>
  <si>
    <t>Management Jurisdiction</t>
  </si>
  <si>
    <t>Neighborhood</t>
  </si>
  <si>
    <t>Style</t>
  </si>
  <si>
    <t>Non-Dwelling Buildings</t>
  </si>
  <si>
    <t>Total Buildings</t>
  </si>
  <si>
    <t>Acreage</t>
  </si>
  <si>
    <t>Building Footage</t>
  </si>
  <si>
    <t>Total Population</t>
  </si>
  <si>
    <t>Elderly?</t>
  </si>
  <si>
    <t>REES Zone</t>
  </si>
  <si>
    <t>MAP Site</t>
  </si>
  <si>
    <t>COMMUNITY DISTRICT</t>
  </si>
  <si>
    <t># stories</t>
  </si>
  <si>
    <t>BRONX PARK SOUTH</t>
  </si>
  <si>
    <t>ELEVATOR</t>
  </si>
  <si>
    <t>Bronx Zone 3</t>
  </si>
  <si>
    <t>WALKUP</t>
  </si>
  <si>
    <t>Brooklyn Zone 7</t>
  </si>
  <si>
    <t>CLAREMONT</t>
  </si>
  <si>
    <t>Staten Island Zone 15</t>
  </si>
  <si>
    <t>HARLEM</t>
  </si>
  <si>
    <t>Manhattan Zone 12</t>
  </si>
  <si>
    <t>SOUNDVIEW-BRUCKNER</t>
  </si>
  <si>
    <t>Bronx Zone 4</t>
  </si>
  <si>
    <t>Private Mgmt</t>
  </si>
  <si>
    <t>UPPER WEST SIDE</t>
  </si>
  <si>
    <t>Manhattan Zone 11</t>
  </si>
  <si>
    <t>Newtown Creek</t>
  </si>
  <si>
    <t>BEDFORD-STUYVESANT</t>
  </si>
  <si>
    <t>Brooklyn Zone 5</t>
  </si>
  <si>
    <t>NGO1</t>
  </si>
  <si>
    <t>SPANISH HARLEM</t>
  </si>
  <si>
    <t>Manhattan Zone 13</t>
  </si>
  <si>
    <t>Mixed Finance</t>
  </si>
  <si>
    <t>KIPS BAY</t>
  </si>
  <si>
    <t>Manhattan Zone 10</t>
  </si>
  <si>
    <t>Brooklyn Zone 6</t>
  </si>
  <si>
    <t>MANHATTAN VALLEY</t>
  </si>
  <si>
    <t>Bronx Zone 1</t>
  </si>
  <si>
    <t>Zone 4</t>
  </si>
  <si>
    <t>LINCOLN SQUARE</t>
  </si>
  <si>
    <t>ELEVATOR-WALKUP</t>
  </si>
  <si>
    <t>Queens-Staten Island</t>
  </si>
  <si>
    <t>Queens Zone 14</t>
  </si>
  <si>
    <t>FORT GREENE</t>
  </si>
  <si>
    <t>HAMILITON HEIGHTS</t>
  </si>
  <si>
    <t>KINGSBRIDGE HEIGHTS</t>
  </si>
  <si>
    <t>Queens Zone 9</t>
  </si>
  <si>
    <t>CANARSIE</t>
  </si>
  <si>
    <t>Brooklyn Zone 8</t>
  </si>
  <si>
    <t>ARVERNE</t>
  </si>
  <si>
    <t>EAST NEW YORK</t>
  </si>
  <si>
    <t>DONGAN HILLS</t>
  </si>
  <si>
    <t>WASHINGTON HEIGHTS</t>
  </si>
  <si>
    <t>FLUSHING</t>
  </si>
  <si>
    <t>BRONXDALE</t>
  </si>
  <si>
    <t>EASTCHESTER</t>
  </si>
  <si>
    <t>NEW LOTS</t>
  </si>
  <si>
    <t>CROTONA PARK EAST</t>
  </si>
  <si>
    <t>Bronx Zone 2</t>
  </si>
  <si>
    <t>EAST VILLAGE</t>
  </si>
  <si>
    <t>ROCKAWAY PARK</t>
  </si>
  <si>
    <t>NEW BRIGHTON</t>
  </si>
  <si>
    <t>CONCOURSE VILLAGE</t>
  </si>
  <si>
    <t>JAMAICA</t>
  </si>
  <si>
    <t>LONGWOOD</t>
  </si>
  <si>
    <t>EAST TREMONT</t>
  </si>
  <si>
    <t>LACONIA</t>
  </si>
  <si>
    <t>WILLIAMSBRIDGE</t>
  </si>
  <si>
    <t>WINGATE</t>
  </si>
  <si>
    <t>Bronx Zone 4, Queens Zone 9</t>
  </si>
  <si>
    <t>Bronx Zone 3, Brooklyn Zone 7, Queens Zone 9</t>
  </si>
  <si>
    <t>Bronx Zone 4, Brooklyn Zone 8, Queens Zone 9</t>
  </si>
  <si>
    <t>Brooklyn Zones 6, 7, 8, Queens Zone 9</t>
  </si>
  <si>
    <t>Brooklyn Zone 7, Queens Zone 9</t>
  </si>
  <si>
    <t>KINGSBRIDGE</t>
  </si>
  <si>
    <t>WESTCHESTER SQUARE</t>
  </si>
  <si>
    <t>FLATLANDS</t>
  </si>
  <si>
    <t>MORNINGSIDE HEIGHTS</t>
  </si>
  <si>
    <t>OLINVILLE</t>
  </si>
  <si>
    <t>HAMMELS</t>
  </si>
  <si>
    <t>UNIVERSITY HEIGHTS</t>
  </si>
  <si>
    <t>HIGHBRIDGE</t>
  </si>
  <si>
    <t>YORKVILLE</t>
  </si>
  <si>
    <t>OCEAN HILL</t>
  </si>
  <si>
    <t>HUNTS POINT</t>
  </si>
  <si>
    <t>Henry Street Settlement (Private, HRA)</t>
  </si>
  <si>
    <t>EAST FLATBUSH</t>
  </si>
  <si>
    <t>EAST HARLEM</t>
  </si>
  <si>
    <t>PELHAM BAY</t>
  </si>
  <si>
    <t>SHORE ACRES</t>
  </si>
  <si>
    <t>Private</t>
  </si>
  <si>
    <t>LONG ISLAND CITY</t>
  </si>
  <si>
    <t>THROGS NECK</t>
  </si>
  <si>
    <t>Private (HDFC?)</t>
  </si>
  <si>
    <t>RED HOOK</t>
  </si>
  <si>
    <t>FAR ROCKAWAY</t>
  </si>
  <si>
    <t>COLLEGE POINT</t>
  </si>
  <si>
    <t>ST. GEORGE</t>
  </si>
  <si>
    <t>LENOX HILL</t>
  </si>
  <si>
    <t>MORRIS HEIGHTS</t>
  </si>
  <si>
    <t>SPRING CREEK</t>
  </si>
  <si>
    <t>WEEKSVILLE</t>
  </si>
  <si>
    <t>WEST BRIGHTON</t>
  </si>
  <si>
    <t>WEST FARMS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</si>
</sst>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000"/>
    <numFmt numFmtId="167" formatCode="_(&quot;$&quot;* #,##0.0_);_(&quot;$&quot;* \(#,##0.0\);_(&quot;$&quot;* &quot;-&quot;?_);_(@_)"/>
    <numFmt numFmtId="168" formatCode="0.0%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4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0" fillId="0" borderId="0"/>
  </cellStyleXfs>
  <cellXfs count="254">
    <xf numFmtId="0" fontId="0" fillId="0" borderId="0" xfId="0"/>
    <xf numFmtId="0" fontId="0" fillId="0" borderId="1" xfId="0" applyBorder="1"/>
    <xf numFmtId="0" fontId="0" fillId="0" borderId="1" xfId="0" applyFill="1" applyBorder="1" applyAlignment="1">
      <alignment horizontal="center"/>
    </xf>
    <xf numFmtId="44" fontId="0" fillId="0" borderId="1" xfId="1" applyFont="1" applyBorder="1"/>
    <xf numFmtId="44" fontId="1" fillId="0" borderId="1" xfId="1" applyFont="1" applyBorder="1"/>
    <xf numFmtId="44" fontId="0" fillId="0" borderId="0" xfId="1" applyFont="1"/>
    <xf numFmtId="0" fontId="0" fillId="0" borderId="1" xfId="0" applyBorder="1" applyAlignment="1">
      <alignment horizontal="center"/>
    </xf>
    <xf numFmtId="1" fontId="0" fillId="0" borderId="1" xfId="1" applyNumberFormat="1" applyFont="1" applyBorder="1" applyAlignment="1">
      <alignment horizontal="center"/>
    </xf>
    <xf numFmtId="164" fontId="0" fillId="0" borderId="1" xfId="1" applyNumberFormat="1" applyFont="1" applyBorder="1"/>
    <xf numFmtId="0" fontId="0" fillId="0" borderId="1" xfId="0" applyFill="1" applyBorder="1"/>
    <xf numFmtId="164" fontId="0" fillId="0" borderId="1" xfId="1" applyNumberFormat="1" applyFont="1" applyFill="1" applyBorder="1"/>
    <xf numFmtId="44" fontId="0" fillId="0" borderId="1" xfId="1" applyFont="1" applyFill="1" applyBorder="1"/>
    <xf numFmtId="1" fontId="0" fillId="0" borderId="1" xfId="1" applyNumberFormat="1" applyFont="1" applyFill="1" applyBorder="1" applyAlignment="1">
      <alignment horizontal="center"/>
    </xf>
    <xf numFmtId="0" fontId="0" fillId="0" borderId="4" xfId="0" applyBorder="1"/>
    <xf numFmtId="0" fontId="2" fillId="2" borderId="3" xfId="0" applyFont="1" applyFill="1" applyBorder="1" applyAlignment="1">
      <alignment wrapText="1"/>
    </xf>
    <xf numFmtId="0" fontId="2" fillId="2" borderId="3" xfId="0" applyFont="1" applyFill="1" applyBorder="1" applyAlignment="1">
      <alignment horizontal="center"/>
    </xf>
    <xf numFmtId="0" fontId="0" fillId="0" borderId="7" xfId="0" applyBorder="1"/>
    <xf numFmtId="0" fontId="0" fillId="0" borderId="0" xfId="0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4" fontId="0" fillId="0" borderId="0" xfId="0" applyNumberFormat="1"/>
    <xf numFmtId="44" fontId="2" fillId="0" borderId="0" xfId="1" applyFont="1"/>
    <xf numFmtId="0" fontId="0" fillId="0" borderId="2" xfId="0" applyFill="1" applyBorder="1"/>
    <xf numFmtId="44" fontId="0" fillId="0" borderId="2" xfId="1" applyFont="1" applyFill="1" applyBorder="1"/>
    <xf numFmtId="0" fontId="0" fillId="5" borderId="1" xfId="0" applyFill="1" applyBorder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5" fillId="0" borderId="0" xfId="4" applyFont="1" applyFill="1" applyBorder="1" applyAlignment="1">
      <alignment horizontal="center"/>
    </xf>
    <xf numFmtId="164" fontId="5" fillId="0" borderId="0" xfId="1" applyNumberFormat="1" applyFont="1" applyFill="1" applyBorder="1" applyAlignment="1">
      <alignment horizontal="center"/>
    </xf>
    <xf numFmtId="165" fontId="5" fillId="0" borderId="0" xfId="3" applyNumberFormat="1" applyFont="1" applyFill="1" applyBorder="1"/>
    <xf numFmtId="0" fontId="5" fillId="0" borderId="0" xfId="4" applyFont="1" applyFill="1" applyBorder="1"/>
    <xf numFmtId="0" fontId="5" fillId="0" borderId="0" xfId="4" applyFont="1" applyFill="1" applyBorder="1" applyAlignment="1">
      <alignment vertical="center" wrapText="1"/>
    </xf>
    <xf numFmtId="0" fontId="2" fillId="0" borderId="0" xfId="0" applyFont="1"/>
    <xf numFmtId="0" fontId="0" fillId="0" borderId="0" xfId="0" applyFill="1" applyBorder="1"/>
    <xf numFmtId="0" fontId="0" fillId="0" borderId="2" xfId="0" applyBorder="1"/>
    <xf numFmtId="0" fontId="0" fillId="0" borderId="0" xfId="0" applyBorder="1"/>
    <xf numFmtId="44" fontId="2" fillId="2" borderId="3" xfId="1" applyFont="1" applyFill="1" applyBorder="1" applyAlignment="1">
      <alignment horizontal="center"/>
    </xf>
    <xf numFmtId="164" fontId="5" fillId="0" borderId="1" xfId="1" applyNumberFormat="1" applyFont="1" applyFill="1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64" fontId="0" fillId="0" borderId="2" xfId="1" applyNumberFormat="1" applyFont="1" applyBorder="1"/>
    <xf numFmtId="44" fontId="0" fillId="0" borderId="2" xfId="1" applyFont="1" applyBorder="1"/>
    <xf numFmtId="0" fontId="0" fillId="0" borderId="2" xfId="0" applyFill="1" applyBorder="1" applyAlignment="1">
      <alignment horizontal="center"/>
    </xf>
    <xf numFmtId="0" fontId="0" fillId="0" borderId="0" xfId="0" applyAlignment="1"/>
    <xf numFmtId="0" fontId="2" fillId="2" borderId="5" xfId="0" applyFont="1" applyFill="1" applyBorder="1" applyAlignment="1"/>
    <xf numFmtId="0" fontId="2" fillId="2" borderId="3" xfId="0" applyFont="1" applyFill="1" applyBorder="1" applyAlignment="1"/>
    <xf numFmtId="44" fontId="0" fillId="0" borderId="1" xfId="0" applyNumberFormat="1" applyBorder="1"/>
    <xf numFmtId="0" fontId="0" fillId="0" borderId="9" xfId="0" applyBorder="1"/>
    <xf numFmtId="0" fontId="0" fillId="0" borderId="0" xfId="0" applyFill="1"/>
    <xf numFmtId="0" fontId="0" fillId="0" borderId="1" xfId="0" applyNumberFormat="1" applyFill="1" applyBorder="1"/>
    <xf numFmtId="0" fontId="0" fillId="0" borderId="1" xfId="0" applyNumberFormat="1" applyBorder="1"/>
    <xf numFmtId="0" fontId="0" fillId="0" borderId="2" xfId="0" applyNumberFormat="1" applyFill="1" applyBorder="1"/>
    <xf numFmtId="44" fontId="0" fillId="0" borderId="2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left" indent="2"/>
    </xf>
    <xf numFmtId="0" fontId="2" fillId="0" borderId="0" xfId="1" applyNumberFormat="1" applyFont="1"/>
    <xf numFmtId="0" fontId="0" fillId="5" borderId="1" xfId="0" applyFill="1" applyBorder="1" applyAlignment="1">
      <alignment horizontal="center"/>
    </xf>
    <xf numFmtId="1" fontId="0" fillId="5" borderId="1" xfId="1" applyNumberFormat="1" applyFont="1" applyFill="1" applyBorder="1" applyAlignment="1">
      <alignment horizontal="center"/>
    </xf>
    <xf numFmtId="164" fontId="2" fillId="4" borderId="3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/>
    <xf numFmtId="0" fontId="0" fillId="0" borderId="2" xfId="0" applyNumberFormat="1" applyBorder="1"/>
    <xf numFmtId="44" fontId="2" fillId="2" borderId="6" xfId="1" applyFont="1" applyFill="1" applyBorder="1" applyAlignment="1"/>
    <xf numFmtId="44" fontId="0" fillId="0" borderId="7" xfId="1" applyFont="1" applyBorder="1"/>
    <xf numFmtId="0" fontId="0" fillId="0" borderId="4" xfId="0" applyFill="1" applyBorder="1"/>
    <xf numFmtId="0" fontId="0" fillId="0" borderId="4" xfId="0" applyBorder="1" applyAlignment="1">
      <alignment vertical="center" wrapText="1"/>
    </xf>
    <xf numFmtId="0" fontId="3" fillId="0" borderId="4" xfId="0" applyFont="1" applyFill="1" applyBorder="1"/>
    <xf numFmtId="44" fontId="0" fillId="0" borderId="8" xfId="1" applyFont="1" applyBorder="1"/>
    <xf numFmtId="44" fontId="0" fillId="0" borderId="7" xfId="1" applyNumberFormat="1" applyFont="1" applyBorder="1"/>
    <xf numFmtId="0" fontId="0" fillId="0" borderId="9" xfId="0" applyFill="1" applyBorder="1"/>
    <xf numFmtId="0" fontId="0" fillId="0" borderId="1" xfId="1" applyNumberFormat="1" applyFont="1" applyBorder="1"/>
    <xf numFmtId="44" fontId="0" fillId="0" borderId="6" xfId="1" applyFont="1" applyBorder="1"/>
    <xf numFmtId="0" fontId="0" fillId="0" borderId="1" xfId="0" applyFill="1" applyBorder="1" applyAlignment="1">
      <alignment horizontal="center" vertical="center"/>
    </xf>
    <xf numFmtId="1" fontId="0" fillId="0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0" fillId="0" borderId="1" xfId="1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44" fontId="0" fillId="0" borderId="2" xfId="1" applyFont="1" applyBorder="1" applyAlignment="1">
      <alignment horizontal="center" vertical="center"/>
    </xf>
    <xf numFmtId="0" fontId="0" fillId="0" borderId="8" xfId="0" applyBorder="1"/>
    <xf numFmtId="44" fontId="6" fillId="0" borderId="1" xfId="1" applyFont="1" applyBorder="1"/>
    <xf numFmtId="0" fontId="6" fillId="0" borderId="1" xfId="0" applyFont="1" applyBorder="1"/>
    <xf numFmtId="166" fontId="0" fillId="0" borderId="0" xfId="0" applyNumberFormat="1"/>
    <xf numFmtId="44" fontId="2" fillId="2" borderId="3" xfId="1" applyFont="1" applyFill="1" applyBorder="1" applyAlignment="1"/>
    <xf numFmtId="0" fontId="2" fillId="2" borderId="6" xfId="0" applyFont="1" applyFill="1" applyBorder="1" applyAlignment="1"/>
    <xf numFmtId="44" fontId="0" fillId="0" borderId="1" xfId="1" applyNumberFormat="1" applyFont="1" applyBorder="1"/>
    <xf numFmtId="0" fontId="0" fillId="0" borderId="1" xfId="0" applyBorder="1" applyAlignment="1">
      <alignment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4" fontId="2" fillId="3" borderId="3" xfId="1" applyNumberFormat="1" applyFont="1" applyFill="1" applyBorder="1" applyAlignment="1">
      <alignment horizontal="center" vertical="center"/>
    </xf>
    <xf numFmtId="164" fontId="2" fillId="2" borderId="3" xfId="1" applyNumberFormat="1" applyFont="1" applyFill="1" applyBorder="1" applyAlignment="1">
      <alignment horizontal="center" vertical="center"/>
    </xf>
    <xf numFmtId="1" fontId="2" fillId="2" borderId="3" xfId="1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0" borderId="5" xfId="0" applyFill="1" applyBorder="1"/>
    <xf numFmtId="0" fontId="0" fillId="0" borderId="3" xfId="0" applyBorder="1"/>
    <xf numFmtId="0" fontId="0" fillId="0" borderId="3" xfId="0" applyFill="1" applyBorder="1"/>
    <xf numFmtId="0" fontId="2" fillId="2" borderId="1" xfId="0" applyFont="1" applyFill="1" applyBorder="1" applyAlignment="1"/>
    <xf numFmtId="44" fontId="2" fillId="2" borderId="1" xfId="1" applyFont="1" applyFill="1" applyBorder="1" applyAlignment="1"/>
    <xf numFmtId="0" fontId="0" fillId="0" borderId="3" xfId="1" applyNumberFormat="1" applyFont="1" applyBorder="1"/>
    <xf numFmtId="44" fontId="2" fillId="0" borderId="0" xfId="0" applyNumberFormat="1" applyFont="1"/>
    <xf numFmtId="1" fontId="0" fillId="0" borderId="0" xfId="0" applyNumberFormat="1" applyAlignment="1">
      <alignment horizontal="center" vertical="center"/>
    </xf>
    <xf numFmtId="166" fontId="0" fillId="0" borderId="0" xfId="1" applyNumberFormat="1" applyFont="1"/>
    <xf numFmtId="0" fontId="0" fillId="0" borderId="0" xfId="0" applyFont="1"/>
    <xf numFmtId="0" fontId="2" fillId="2" borderId="1" xfId="0" applyFont="1" applyFill="1" applyBorder="1"/>
    <xf numFmtId="44" fontId="0" fillId="0" borderId="0" xfId="1" applyNumberFormat="1" applyFont="1"/>
    <xf numFmtId="0" fontId="0" fillId="5" borderId="0" xfId="0" applyFill="1"/>
    <xf numFmtId="0" fontId="0" fillId="0" borderId="0" xfId="1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0" fontId="6" fillId="0" borderId="1" xfId="0" applyFont="1" applyFill="1" applyBorder="1"/>
    <xf numFmtId="0" fontId="6" fillId="0" borderId="4" xfId="0" applyFont="1" applyBorder="1"/>
    <xf numFmtId="0" fontId="3" fillId="0" borderId="1" xfId="0" applyFont="1" applyFill="1" applyBorder="1"/>
    <xf numFmtId="0" fontId="0" fillId="7" borderId="1" xfId="0" applyFill="1" applyBorder="1"/>
    <xf numFmtId="44" fontId="0" fillId="0" borderId="0" xfId="1" applyFont="1" applyAlignment="1">
      <alignment horizontal="center"/>
    </xf>
    <xf numFmtId="9" fontId="0" fillId="0" borderId="0" xfId="1" applyNumberFormat="1" applyFont="1" applyAlignment="1">
      <alignment horizontal="center"/>
    </xf>
    <xf numFmtId="10" fontId="0" fillId="0" borderId="0" xfId="1" applyNumberFormat="1" applyFont="1" applyAlignment="1">
      <alignment horizontal="center"/>
    </xf>
    <xf numFmtId="0" fontId="2" fillId="0" borderId="0" xfId="0" applyNumberFormat="1" applyFont="1"/>
    <xf numFmtId="0" fontId="2" fillId="2" borderId="1" xfId="0" applyFont="1" applyFill="1" applyBorder="1" applyAlignment="1">
      <alignment horizontal="left" vertical="center" wrapText="1"/>
    </xf>
    <xf numFmtId="14" fontId="2" fillId="2" borderId="1" xfId="0" applyNumberFormat="1" applyFont="1" applyFill="1" applyBorder="1" applyAlignment="1">
      <alignment horizontal="left" vertical="center" wrapText="1"/>
    </xf>
    <xf numFmtId="166" fontId="2" fillId="2" borderId="1" xfId="0" applyNumberFormat="1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2" fillId="0" borderId="0" xfId="0" applyNumberFormat="1" applyFont="1" applyAlignment="1">
      <alignment horizontal="center"/>
    </xf>
    <xf numFmtId="0" fontId="2" fillId="2" borderId="3" xfId="0" applyNumberFormat="1" applyFont="1" applyFill="1" applyBorder="1" applyAlignment="1">
      <alignment horizontal="left" vertical="center" wrapText="1"/>
    </xf>
    <xf numFmtId="0" fontId="2" fillId="6" borderId="3" xfId="0" applyNumberFormat="1" applyFont="1" applyFill="1" applyBorder="1" applyAlignment="1">
      <alignment horizontal="left" vertical="center" wrapText="1"/>
    </xf>
    <xf numFmtId="0" fontId="0" fillId="0" borderId="0" xfId="0" applyNumberFormat="1" applyAlignment="1">
      <alignment horizontal="left" vertical="center" wrapText="1"/>
    </xf>
    <xf numFmtId="0" fontId="3" fillId="0" borderId="4" xfId="0" applyFont="1" applyBorder="1"/>
    <xf numFmtId="44" fontId="0" fillId="0" borderId="1" xfId="0" applyNumberFormat="1" applyFill="1" applyBorder="1"/>
    <xf numFmtId="0" fontId="2" fillId="0" borderId="0" xfId="0" applyFont="1" applyFill="1" applyBorder="1"/>
    <xf numFmtId="167" fontId="0" fillId="0" borderId="1" xfId="0" applyNumberFormat="1" applyBorder="1"/>
    <xf numFmtId="0" fontId="2" fillId="2" borderId="0" xfId="0" applyFont="1" applyFill="1" applyBorder="1"/>
    <xf numFmtId="0" fontId="2" fillId="6" borderId="0" xfId="0" applyFont="1" applyFill="1"/>
    <xf numFmtId="10" fontId="0" fillId="0" borderId="0" xfId="1" applyNumberFormat="1" applyFont="1"/>
    <xf numFmtId="44" fontId="0" fillId="5" borderId="1" xfId="1" applyNumberFormat="1" applyFont="1" applyFill="1" applyBorder="1"/>
    <xf numFmtId="0" fontId="2" fillId="2" borderId="3" xfId="0" applyNumberFormat="1" applyFont="1" applyFill="1" applyBorder="1" applyAlignment="1"/>
    <xf numFmtId="0" fontId="2" fillId="2" borderId="3" xfId="1" applyNumberFormat="1" applyFont="1" applyFill="1" applyBorder="1" applyAlignment="1"/>
    <xf numFmtId="0" fontId="3" fillId="0" borderId="4" xfId="0" applyFont="1" applyBorder="1" applyAlignment="1">
      <alignment vertical="center" wrapText="1"/>
    </xf>
    <xf numFmtId="0" fontId="0" fillId="7" borderId="4" xfId="0" applyFill="1" applyBorder="1"/>
    <xf numFmtId="0" fontId="0" fillId="0" borderId="7" xfId="0" applyFill="1" applyBorder="1"/>
    <xf numFmtId="0" fontId="6" fillId="0" borderId="4" xfId="0" applyFont="1" applyBorder="1" applyAlignment="1">
      <alignment vertical="center" wrapText="1"/>
    </xf>
    <xf numFmtId="0" fontId="6" fillId="0" borderId="9" xfId="0" applyFont="1" applyBorder="1"/>
    <xf numFmtId="0" fontId="6" fillId="0" borderId="2" xfId="0" applyFont="1" applyFill="1" applyBorder="1"/>
    <xf numFmtId="44" fontId="0" fillId="0" borderId="8" xfId="1" applyNumberFormat="1" applyFont="1" applyBorder="1"/>
    <xf numFmtId="0" fontId="0" fillId="0" borderId="1" xfId="1" applyNumberFormat="1" applyFont="1" applyFill="1" applyBorder="1"/>
    <xf numFmtId="0" fontId="0" fillId="0" borderId="1" xfId="0" applyBorder="1" applyAlignment="1"/>
    <xf numFmtId="0" fontId="3" fillId="0" borderId="1" xfId="0" applyFont="1" applyFill="1" applyBorder="1" applyAlignment="1"/>
    <xf numFmtId="44" fontId="0" fillId="0" borderId="0" xfId="1" applyFont="1" applyAlignment="1"/>
    <xf numFmtId="0" fontId="0" fillId="0" borderId="0" xfId="0" applyNumberFormat="1" applyAlignment="1"/>
    <xf numFmtId="0" fontId="3" fillId="0" borderId="4" xfId="0" applyFont="1" applyFill="1" applyBorder="1" applyAlignment="1"/>
    <xf numFmtId="0" fontId="3" fillId="0" borderId="4" xfId="0" applyFont="1" applyFill="1" applyBorder="1" applyAlignment="1">
      <alignment vertical="center"/>
    </xf>
    <xf numFmtId="0" fontId="2" fillId="2" borderId="5" xfId="0" applyNumberFormat="1" applyFont="1" applyFill="1" applyBorder="1" applyAlignment="1"/>
    <xf numFmtId="0" fontId="2" fillId="2" borderId="6" xfId="0" applyNumberFormat="1" applyFont="1" applyFill="1" applyBorder="1" applyAlignment="1"/>
    <xf numFmtId="44" fontId="0" fillId="0" borderId="1" xfId="1" applyFont="1" applyBorder="1" applyAlignment="1"/>
    <xf numFmtId="0" fontId="0" fillId="0" borderId="7" xfId="0" applyBorder="1" applyAlignment="1"/>
    <xf numFmtId="0" fontId="3" fillId="0" borderId="9" xfId="0" applyFont="1" applyFill="1" applyBorder="1" applyAlignment="1"/>
    <xf numFmtId="0" fontId="3" fillId="0" borderId="2" xfId="0" applyFont="1" applyFill="1" applyBorder="1" applyAlignment="1"/>
    <xf numFmtId="0" fontId="0" fillId="0" borderId="2" xfId="0" applyBorder="1" applyAlignment="1"/>
    <xf numFmtId="44" fontId="0" fillId="0" borderId="2" xfId="1" applyFont="1" applyBorder="1" applyAlignment="1"/>
    <xf numFmtId="0" fontId="0" fillId="0" borderId="8" xfId="0" applyBorder="1" applyAlignment="1"/>
    <xf numFmtId="0" fontId="0" fillId="8" borderId="1" xfId="0" applyFill="1" applyBorder="1"/>
    <xf numFmtId="0" fontId="0" fillId="0" borderId="13" xfId="0" applyBorder="1"/>
    <xf numFmtId="0" fontId="0" fillId="0" borderId="0" xfId="0" applyAlignment="1">
      <alignment textRotation="90"/>
    </xf>
    <xf numFmtId="44" fontId="0" fillId="0" borderId="9" xfId="1" applyFont="1" applyBorder="1"/>
    <xf numFmtId="44" fontId="0" fillId="0" borderId="12" xfId="1" applyFont="1" applyBorder="1"/>
    <xf numFmtId="0" fontId="2" fillId="0" borderId="14" xfId="0" applyFont="1" applyBorder="1"/>
    <xf numFmtId="44" fontId="2" fillId="0" borderId="5" xfId="1" applyFont="1" applyBorder="1"/>
    <xf numFmtId="0" fontId="0" fillId="0" borderId="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3" xfId="0" applyFill="1" applyBorder="1"/>
    <xf numFmtId="44" fontId="0" fillId="0" borderId="9" xfId="1" applyFont="1" applyFill="1" applyBorder="1"/>
    <xf numFmtId="44" fontId="0" fillId="0" borderId="12" xfId="1" applyFont="1" applyFill="1" applyBorder="1"/>
    <xf numFmtId="0" fontId="2" fillId="0" borderId="14" xfId="0" applyFont="1" applyFill="1" applyBorder="1"/>
    <xf numFmtId="44" fontId="2" fillId="0" borderId="5" xfId="1" applyFont="1" applyFill="1" applyBorder="1"/>
    <xf numFmtId="0" fontId="0" fillId="0" borderId="2" xfId="1" applyNumberFormat="1" applyFont="1" applyBorder="1"/>
    <xf numFmtId="9" fontId="0" fillId="0" borderId="0" xfId="5" applyNumberFormat="1" applyFont="1"/>
    <xf numFmtId="44" fontId="0" fillId="0" borderId="0" xfId="1" applyFont="1" applyBorder="1"/>
    <xf numFmtId="44" fontId="0" fillId="0" borderId="13" xfId="1" applyFont="1" applyBorder="1"/>
    <xf numFmtId="44" fontId="2" fillId="0" borderId="14" xfId="1" applyFont="1" applyBorder="1"/>
    <xf numFmtId="0" fontId="0" fillId="0" borderId="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2" fillId="0" borderId="5" xfId="1" applyNumberFormat="1" applyFont="1" applyBorder="1"/>
    <xf numFmtId="0" fontId="0" fillId="0" borderId="9" xfId="1" applyNumberFormat="1" applyFont="1" applyBorder="1"/>
    <xf numFmtId="0" fontId="0" fillId="0" borderId="12" xfId="1" applyNumberFormat="1" applyFont="1" applyBorder="1"/>
    <xf numFmtId="0" fontId="0" fillId="0" borderId="9" xfId="0" applyNumberFormat="1" applyBorder="1" applyAlignment="1"/>
    <xf numFmtId="0" fontId="0" fillId="0" borderId="12" xfId="0" applyNumberFormat="1" applyBorder="1" applyAlignment="1"/>
    <xf numFmtId="44" fontId="0" fillId="0" borderId="13" xfId="1" applyFont="1" applyFill="1" applyBorder="1"/>
    <xf numFmtId="44" fontId="0" fillId="0" borderId="0" xfId="1" applyFont="1" applyFill="1" applyBorder="1"/>
    <xf numFmtId="44" fontId="2" fillId="0" borderId="14" xfId="1" applyFont="1" applyFill="1" applyBorder="1"/>
    <xf numFmtId="0" fontId="0" fillId="0" borderId="9" xfId="1" applyNumberFormat="1" applyFont="1" applyFill="1" applyBorder="1"/>
    <xf numFmtId="0" fontId="0" fillId="0" borderId="12" xfId="1" applyNumberFormat="1" applyFont="1" applyFill="1" applyBorder="1"/>
    <xf numFmtId="0" fontId="2" fillId="0" borderId="5" xfId="1" applyNumberFormat="1" applyFont="1" applyFill="1" applyBorder="1"/>
    <xf numFmtId="0" fontId="0" fillId="0" borderId="12" xfId="0" applyBorder="1"/>
    <xf numFmtId="0" fontId="0" fillId="0" borderId="5" xfId="0" applyBorder="1"/>
    <xf numFmtId="0" fontId="2" fillId="2" borderId="16" xfId="0" applyFont="1" applyFill="1" applyBorder="1" applyAlignment="1"/>
    <xf numFmtId="168" fontId="0" fillId="0" borderId="0" xfId="5" applyNumberFormat="1" applyFont="1"/>
    <xf numFmtId="0" fontId="0" fillId="0" borderId="10" xfId="0" applyBorder="1"/>
    <xf numFmtId="0" fontId="0" fillId="0" borderId="10" xfId="0" applyFill="1" applyBorder="1"/>
    <xf numFmtId="44" fontId="0" fillId="0" borderId="10" xfId="0" applyNumberFormat="1" applyBorder="1"/>
    <xf numFmtId="44" fontId="0" fillId="0" borderId="11" xfId="1" applyFont="1" applyBorder="1"/>
    <xf numFmtId="0" fontId="0" fillId="0" borderId="12" xfId="0" applyFill="1" applyBorder="1"/>
    <xf numFmtId="0" fontId="0" fillId="0" borderId="10" xfId="0" applyNumberFormat="1" applyFill="1" applyBorder="1"/>
    <xf numFmtId="0" fontId="0" fillId="0" borderId="10" xfId="0" applyNumberFormat="1" applyBorder="1"/>
    <xf numFmtId="44" fontId="0" fillId="0" borderId="11" xfId="1" applyNumberFormat="1" applyFont="1" applyBorder="1"/>
    <xf numFmtId="0" fontId="0" fillId="0" borderId="3" xfId="0" applyNumberFormat="1" applyFill="1" applyBorder="1"/>
    <xf numFmtId="0" fontId="0" fillId="0" borderId="3" xfId="0" applyNumberFormat="1" applyBorder="1"/>
    <xf numFmtId="44" fontId="0" fillId="0" borderId="3" xfId="0" applyNumberFormat="1" applyBorder="1"/>
    <xf numFmtId="44" fontId="0" fillId="0" borderId="6" xfId="1" applyNumberFormat="1" applyFont="1" applyBorder="1"/>
    <xf numFmtId="0" fontId="2" fillId="2" borderId="1" xfId="0" applyNumberFormat="1" applyFont="1" applyFill="1" applyBorder="1" applyAlignment="1"/>
    <xf numFmtId="0" fontId="3" fillId="5" borderId="4" xfId="0" applyFont="1" applyFill="1" applyBorder="1" applyAlignment="1"/>
    <xf numFmtId="0" fontId="0" fillId="5" borderId="0" xfId="0" applyNumberFormat="1" applyFill="1"/>
    <xf numFmtId="0" fontId="0" fillId="9" borderId="13" xfId="0" applyFill="1" applyBorder="1"/>
    <xf numFmtId="44" fontId="0" fillId="9" borderId="13" xfId="1" applyFont="1" applyFill="1" applyBorder="1"/>
    <xf numFmtId="0" fontId="0" fillId="9" borderId="9" xfId="0" applyFill="1" applyBorder="1"/>
    <xf numFmtId="0" fontId="0" fillId="9" borderId="0" xfId="0" applyFill="1" applyBorder="1"/>
    <xf numFmtId="44" fontId="0" fillId="9" borderId="0" xfId="1" applyFont="1" applyFill="1" applyBorder="1"/>
    <xf numFmtId="0" fontId="0" fillId="9" borderId="12" xfId="0" applyFill="1" applyBorder="1"/>
    <xf numFmtId="0" fontId="2" fillId="9" borderId="14" xfId="0" applyFont="1" applyFill="1" applyBorder="1"/>
    <xf numFmtId="44" fontId="2" fillId="9" borderId="14" xfId="1" applyFont="1" applyFill="1" applyBorder="1"/>
    <xf numFmtId="0" fontId="2" fillId="9" borderId="5" xfId="1" applyNumberFormat="1" applyFont="1" applyFill="1" applyBorder="1"/>
    <xf numFmtId="0" fontId="0" fillId="0" borderId="0" xfId="0" applyAlignment="1">
      <alignment horizontal="left" vertical="center" wrapText="1"/>
    </xf>
    <xf numFmtId="44" fontId="0" fillId="0" borderId="0" xfId="1" applyFont="1" applyAlignment="1">
      <alignment horizontal="left" vertical="center" wrapText="1"/>
    </xf>
    <xf numFmtId="166" fontId="0" fillId="0" borderId="0" xfId="0" applyNumberFormat="1" applyAlignment="1">
      <alignment horizontal="center"/>
    </xf>
    <xf numFmtId="44" fontId="2" fillId="0" borderId="0" xfId="0" applyNumberFormat="1" applyFont="1" applyAlignment="1">
      <alignment horizontal="center"/>
    </xf>
    <xf numFmtId="44" fontId="0" fillId="0" borderId="0" xfId="1" applyFont="1" applyAlignment="1">
      <alignment horizontal="right"/>
    </xf>
    <xf numFmtId="0" fontId="2" fillId="2" borderId="3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center"/>
    </xf>
    <xf numFmtId="44" fontId="0" fillId="0" borderId="3" xfId="1" applyFont="1" applyBorder="1"/>
    <xf numFmtId="44" fontId="1" fillId="0" borderId="2" xfId="1" applyFont="1" applyBorder="1"/>
    <xf numFmtId="9" fontId="0" fillId="0" borderId="0" xfId="5" applyFont="1"/>
    <xf numFmtId="0" fontId="0" fillId="0" borderId="1" xfId="0" applyBorder="1" applyAlignment="1">
      <alignment wrapText="1"/>
    </xf>
    <xf numFmtId="0" fontId="2" fillId="13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164" fontId="0" fillId="0" borderId="1" xfId="1" applyNumberFormat="1" applyFont="1" applyBorder="1" applyAlignment="1">
      <alignment horizontal="center"/>
    </xf>
    <xf numFmtId="9" fontId="0" fillId="0" borderId="1" xfId="5" applyFont="1" applyBorder="1" applyAlignment="1">
      <alignment horizontal="center"/>
    </xf>
    <xf numFmtId="164" fontId="0" fillId="5" borderId="1" xfId="1" applyNumberFormat="1" applyFont="1" applyFill="1" applyBorder="1" applyAlignment="1">
      <alignment horizontal="center"/>
    </xf>
    <xf numFmtId="2" fontId="0" fillId="0" borderId="0" xfId="0" applyNumberFormat="1"/>
    <xf numFmtId="0" fontId="3" fillId="0" borderId="9" xfId="0" applyFont="1" applyFill="1" applyBorder="1" applyAlignment="1">
      <alignment vertical="center"/>
    </xf>
    <xf numFmtId="0" fontId="2" fillId="0" borderId="1" xfId="0" applyFont="1" applyBorder="1" applyAlignment="1">
      <alignment wrapText="1"/>
    </xf>
    <xf numFmtId="44" fontId="0" fillId="5" borderId="1" xfId="1" applyFont="1" applyFill="1" applyBorder="1" applyAlignme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4" borderId="1" xfId="0" applyFont="1" applyFill="1" applyBorder="1" applyAlignment="1">
      <alignment horizontal="center" vertical="center" textRotation="90"/>
    </xf>
    <xf numFmtId="0" fontId="2" fillId="12" borderId="7" xfId="0" applyFont="1" applyFill="1" applyBorder="1" applyAlignment="1">
      <alignment horizontal="center"/>
    </xf>
    <xf numFmtId="0" fontId="2" fillId="12" borderId="15" xfId="0" applyFont="1" applyFill="1" applyBorder="1" applyAlignment="1">
      <alignment horizontal="center"/>
    </xf>
    <xf numFmtId="0" fontId="2" fillId="12" borderId="4" xfId="0" applyFont="1" applyFill="1" applyBorder="1" applyAlignment="1">
      <alignment horizontal="center"/>
    </xf>
    <xf numFmtId="0" fontId="0" fillId="11" borderId="1" xfId="0" applyFill="1" applyBorder="1" applyAlignment="1">
      <alignment horizontal="center" vertical="center" textRotation="90"/>
    </xf>
    <xf numFmtId="0" fontId="0" fillId="10" borderId="1" xfId="0" applyFill="1" applyBorder="1" applyAlignment="1">
      <alignment horizontal="center" vertical="center" textRotation="90"/>
    </xf>
    <xf numFmtId="0" fontId="0" fillId="9" borderId="1" xfId="0" applyFill="1" applyBorder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7" fillId="0" borderId="1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</cellXfs>
  <cellStyles count="7">
    <cellStyle name="Comma" xfId="3" builtinId="3"/>
    <cellStyle name="Currency" xfId="1" builtinId="4"/>
    <cellStyle name="Normal" xfId="0" builtinId="0"/>
    <cellStyle name="Normal 2" xfId="6" xr:uid="{00000000-0005-0000-0000-000003000000}"/>
    <cellStyle name="Normal 2 2" xfId="4" xr:uid="{00000000-0005-0000-0000-000004000000}"/>
    <cellStyle name="Normal 5" xfId="2" xr:uid="{00000000-0005-0000-0000-000005000000}"/>
    <cellStyle name="Percent" xfId="5" builtinId="5"/>
  </cellStyles>
  <dxfs count="6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  <alignment horizontal="right" vertical="bottom" textRotation="0" indent="0" justifyLastLine="0" shrinkToFit="0" readingOrder="0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4" formatCode="_(&quot;$&quot;* #,##0.00_);_(&quot;$&quot;* \(#,##0.0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&quot;$&quot;* #,##0.0_);_(&quot;$&quot;* \(#,##0.0\);_(&quot;$&quot;* &quot;-&quot;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numFmt numFmtId="0" formatCode="General"/>
    </dxf>
    <dxf>
      <numFmt numFmtId="0" formatCode="General"/>
    </dxf>
    <dxf>
      <numFmt numFmtId="166" formatCode="000"/>
    </dxf>
    <dxf>
      <numFmt numFmtId="166" formatCode="000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&quot;$&quot;* #,##0.0_);_(&quot;$&quot;* \(#,##0.0\);_(&quot;$&quot;* &quot;-&quot;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/>
        <right/>
        <top style="thin">
          <color indexed="64"/>
        </top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  <numFmt numFmtId="0" formatCode="General"/>
    </dxf>
    <dxf>
      <alignment horizontal="left" vertical="center" textRotation="0" wrapText="1" indent="0" justifyLastLine="0" shrinkToFit="0" readingOrder="0"/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9" tint="0.5999938962981048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9" tint="0.5999938962981048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9" tint="0.5999938962981048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textRotation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00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9" tint="0.5999938962981048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onnections" Target="connections.xml"/><Relationship Id="rId47" Type="http://schemas.openxmlformats.org/officeDocument/2006/relationships/customXml" Target="../customXml/item2.xml"/><Relationship Id="rId50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pivotCacheDefinition" Target="pivotCache/pivotCacheDefinition1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2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Pipeline </a:t>
            </a:r>
            <a:r>
              <a:rPr lang="en-US"/>
              <a:t>Yearly</a:t>
            </a:r>
            <a:r>
              <a:rPr lang="en-US" baseline="0"/>
              <a:t> Projections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'Yearly Breakdown'!$B$14</c:f>
              <c:strCache>
                <c:ptCount val="1"/>
                <c:pt idx="0">
                  <c:v>FWD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'Yearly Breakdown'!$C$1:$M$1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'Yearly Breakdown'!$C$14:$M$14</c:f>
              <c:numCache>
                <c:formatCode>_("$"* #,##0.00_);_("$"* \(#,##0.00\);_("$"* "-"??_);_(@_)</c:formatCode>
                <c:ptCount val="11"/>
                <c:pt idx="0">
                  <c:v>3877468.2973215338</c:v>
                </c:pt>
                <c:pt idx="1">
                  <c:v>3961686.3587438548</c:v>
                </c:pt>
                <c:pt idx="2">
                  <c:v>6321510.8145162249</c:v>
                </c:pt>
                <c:pt idx="3">
                  <c:v>4424026.3285929207</c:v>
                </c:pt>
                <c:pt idx="4">
                  <c:v>5745734.2721391339</c:v>
                </c:pt>
                <c:pt idx="5">
                  <c:v>3614501.6973702069</c:v>
                </c:pt>
                <c:pt idx="6">
                  <c:v>5510267.4473461155</c:v>
                </c:pt>
                <c:pt idx="7">
                  <c:v>4408557.7050663717</c:v>
                </c:pt>
                <c:pt idx="8">
                  <c:v>7051973.5921588</c:v>
                </c:pt>
                <c:pt idx="9">
                  <c:v>4635430.8501224192</c:v>
                </c:pt>
                <c:pt idx="10">
                  <c:v>5532611.0146622416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5-4990-B341-FB9B8ECA0026}"/>
            </c:ext>
          </c:extLst>
        </c:ser>
        <c:ser>
          <c:idx val="1"/>
          <c:order val="1"/>
          <c:tx>
            <c:strRef>
              <c:f>'Yearly Breakdown'!$B$15</c:f>
              <c:strCache>
                <c:ptCount val="1"/>
                <c:pt idx="0">
                  <c:v>EHD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'Yearly Breakdown'!$C$1:$M$1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'Yearly Breakdown'!$C$15:$M$15</c:f>
              <c:numCache>
                <c:formatCode>_("$"* #,##0.00_);_("$"* \(#,##0.00\);_("$"* "-"??_);_(@_)</c:formatCode>
                <c:ptCount val="11"/>
                <c:pt idx="0">
                  <c:v>877405.93300000019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5-4990-B341-FB9B8ECA0026}"/>
            </c:ext>
          </c:extLst>
        </c:ser>
        <c:ser>
          <c:idx val="2"/>
          <c:order val="2"/>
          <c:tx>
            <c:strRef>
              <c:f>'Yearly Breakdown'!$B$16</c:f>
              <c:strCache>
                <c:ptCount val="1"/>
                <c:pt idx="0">
                  <c:v>Int. Comp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'Yearly Breakdown'!$C$1:$M$1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'Yearly Breakdown'!$C$16:$M$16</c:f>
              <c:numCache>
                <c:formatCode>_("$"* #,##0.00_);_("$"* \(#,##0.00\);_("$"* "-"??_);_(@_)</c:formatCode>
                <c:ptCount val="11"/>
                <c:pt idx="0">
                  <c:v>9558420.5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5-4990-B341-FB9B8ECA0026}"/>
            </c:ext>
          </c:extLst>
        </c:ser>
        <c:ser>
          <c:idx val="3"/>
          <c:order val="3"/>
          <c:tx>
            <c:strRef>
              <c:f>'Yearly Breakdown'!$B$17</c:f>
              <c:strCache>
                <c:ptCount val="1"/>
                <c:pt idx="0">
                  <c:v>Waste Yards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'Yearly Breakdown'!$C$1:$M$1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'Yearly Breakdown'!$C$17:$M$17</c:f>
              <c:numCache>
                <c:formatCode>_("$"* #,##0.00_);_("$"* \(#,##0.00\);_("$"* "-"??_);_(@_)</c:formatCode>
                <c:ptCount val="11"/>
                <c:pt idx="0">
                  <c:v>36072</c:v>
                </c:pt>
                <c:pt idx="1">
                  <c:v>0</c:v>
                </c:pt>
                <c:pt idx="2">
                  <c:v>0</c:v>
                </c:pt>
                <c:pt idx="3">
                  <c:v>310596.15818760009</c:v>
                </c:pt>
                <c:pt idx="4">
                  <c:v>2795365.4236884005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15-4990-B341-FB9B8ECA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624719"/>
        <c:axId val="199799334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'Yearly Breakdown'!$B$18</c15:sqref>
                        </c15:formulaRef>
                      </c:ext>
                    </c:extLst>
                    <c:strCache>
                      <c:ptCount val="1"/>
                      <c:pt idx="0">
                        <c:v>SUM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'Yearly Breakdown'!$C$1:$M$1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2020</c:v>
                      </c:pt>
                      <c:pt idx="1">
                        <c:v>2021</c:v>
                      </c:pt>
                      <c:pt idx="2">
                        <c:v>2022</c:v>
                      </c:pt>
                      <c:pt idx="3">
                        <c:v>2023</c:v>
                      </c:pt>
                      <c:pt idx="4">
                        <c:v>2024</c:v>
                      </c:pt>
                      <c:pt idx="5">
                        <c:v>2025</c:v>
                      </c:pt>
                      <c:pt idx="6">
                        <c:v>2026</c:v>
                      </c:pt>
                      <c:pt idx="7">
                        <c:v>2027</c:v>
                      </c:pt>
                      <c:pt idx="8">
                        <c:v>2028</c:v>
                      </c:pt>
                      <c:pt idx="9">
                        <c:v>2029</c:v>
                      </c:pt>
                      <c:pt idx="10">
                        <c:v>2030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'Yearly Breakdown'!$C$18:$M$18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14349366.730321534</c:v>
                      </c:pt>
                      <c:pt idx="1">
                        <c:v>3961686.3587438548</c:v>
                      </c:pt>
                      <c:pt idx="2">
                        <c:v>6321510.8145162249</c:v>
                      </c:pt>
                      <c:pt idx="3">
                        <c:v>4734622.4867805205</c:v>
                      </c:pt>
                      <c:pt idx="4">
                        <c:v>8541099.6958275344</c:v>
                      </c:pt>
                      <c:pt idx="5">
                        <c:v>3614501.6973702069</c:v>
                      </c:pt>
                      <c:pt idx="6">
                        <c:v>5510267.4473461155</c:v>
                      </c:pt>
                      <c:pt idx="7">
                        <c:v>4408557.7050663717</c:v>
                      </c:pt>
                      <c:pt idx="8">
                        <c:v>7051973.5921588</c:v>
                      </c:pt>
                      <c:pt idx="9">
                        <c:v>4635430.8501224192</c:v>
                      </c:pt>
                      <c:pt idx="10">
                        <c:v>5532611.0146622416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BD15-4990-B341-FB9B8ECA0026}"/>
                  </c:ext>
                </c:extLst>
              </c15:ser>
            </c15:filteredBarSeries>
          </c:ext>
        </c:extLst>
      </c:barChart>
      <c:catAx>
        <c:axId val="197762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993343"/>
        <c:crosses val="autoZero"/>
        <c:auto val="1"/>
        <c:lblAlgn val="ctr"/>
        <c:lblOffset val="100"/>
        <c:noMultiLvlLbl val="0"/>
      </c:catAx>
      <c:valAx>
        <c:axId val="199799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2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Non-Capital</a:t>
            </a:r>
            <a:r>
              <a:rPr lang="en-US" baseline="0"/>
              <a:t> Pipeline </a:t>
            </a:r>
            <a:r>
              <a:rPr lang="en-US"/>
              <a:t>Yearly</a:t>
            </a:r>
            <a:r>
              <a:rPr lang="en-US" baseline="0"/>
              <a:t> Projections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'Yearly Breakdown'!$B$8</c:f>
              <c:strCache>
                <c:ptCount val="1"/>
                <c:pt idx="0">
                  <c:v>FWD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'Yearly Breakdown'!$C$1:$M$1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'Yearly Breakdown'!$C$8:$M$8</c:f>
              <c:numCache>
                <c:formatCode>_("$"* #,##0.00_);_("$"* \(#,##0.00\);_("$"* "-"??_);_(@_)</c:formatCode>
                <c:ptCount val="11"/>
                <c:pt idx="0">
                  <c:v>3877468.2973215338</c:v>
                </c:pt>
                <c:pt idx="1">
                  <c:v>3961686.3587438548</c:v>
                </c:pt>
                <c:pt idx="2">
                  <c:v>6321510.8145162249</c:v>
                </c:pt>
                <c:pt idx="3">
                  <c:v>4424026.3285929207</c:v>
                </c:pt>
                <c:pt idx="4">
                  <c:v>5745734.2721391339</c:v>
                </c:pt>
                <c:pt idx="5">
                  <c:v>3614501.6973702069</c:v>
                </c:pt>
                <c:pt idx="6">
                  <c:v>5510267.4473461155</c:v>
                </c:pt>
                <c:pt idx="7">
                  <c:v>4408557.7050663717</c:v>
                </c:pt>
                <c:pt idx="8">
                  <c:v>7051973.5921588</c:v>
                </c:pt>
                <c:pt idx="9">
                  <c:v>4635430.8501224192</c:v>
                </c:pt>
                <c:pt idx="10">
                  <c:v>5532611.0146622416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3-41CE-B93D-299530919F80}"/>
            </c:ext>
          </c:extLst>
        </c:ser>
        <c:ser>
          <c:idx val="1"/>
          <c:order val="1"/>
          <c:tx>
            <c:strRef>
              <c:f>'Yearly Breakdown'!$B$9</c:f>
              <c:strCache>
                <c:ptCount val="1"/>
                <c:pt idx="0">
                  <c:v>EHD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'Yearly Breakdown'!$C$1:$M$1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'Yearly Breakdown'!$C$9:$M$9</c:f>
              <c:numCache>
                <c:formatCode>_("$"* #,##0.00_);_("$"* \(#,##0.00\);_("$"* "-"??_);_(@_)</c:formatCode>
                <c:ptCount val="11"/>
                <c:pt idx="0">
                  <c:v>877405.93300000019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B3-41CE-B93D-299530919F80}"/>
            </c:ext>
          </c:extLst>
        </c:ser>
        <c:ser>
          <c:idx val="2"/>
          <c:order val="2"/>
          <c:tx>
            <c:strRef>
              <c:f>'Yearly Breakdown'!$B$10</c:f>
              <c:strCache>
                <c:ptCount val="1"/>
                <c:pt idx="0">
                  <c:v>Int. Comp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'Yearly Breakdown'!$C$1:$M$1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'Yearly Breakdown'!$C$10:$M$10</c:f>
              <c:numCache>
                <c:formatCode>_("$"* #,##0.00_);_("$"* \(#,##0.00\);_("$"* "-"??_);_(@_)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B3-41CE-B93D-299530919F80}"/>
            </c:ext>
          </c:extLst>
        </c:ser>
        <c:ser>
          <c:idx val="3"/>
          <c:order val="3"/>
          <c:tx>
            <c:strRef>
              <c:f>'Yearly Breakdown'!$B$11</c:f>
              <c:strCache>
                <c:ptCount val="1"/>
                <c:pt idx="0">
                  <c:v>Waste Yards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'Yearly Breakdown'!$C$1:$M$1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'Yearly Breakdown'!$C$11:$M$11</c:f>
              <c:numCache>
                <c:formatCode>_("$"* #,##0.00_);_("$"* \(#,##0.00\);_("$"* "-"??_);_(@_)</c:formatCode>
                <c:ptCount val="11"/>
                <c:pt idx="0">
                  <c:v>36072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B3-41CE-B93D-299530919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624719"/>
        <c:axId val="1997993343"/>
      </c:barChart>
      <c:catAx>
        <c:axId val="197762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993343"/>
        <c:crosses val="autoZero"/>
        <c:auto val="1"/>
        <c:lblAlgn val="ctr"/>
        <c:lblOffset val="100"/>
        <c:noMultiLvlLbl val="0"/>
      </c:catAx>
      <c:valAx>
        <c:axId val="199799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Non-Capital Work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2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Capital Pipeline </a:t>
            </a:r>
            <a:r>
              <a:rPr lang="en-US"/>
              <a:t>Yearly</a:t>
            </a:r>
            <a:r>
              <a:rPr lang="en-US" baseline="0"/>
              <a:t> Projections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'Yearly Breakdown'!$B$4</c:f>
              <c:strCache>
                <c:ptCount val="1"/>
                <c:pt idx="0">
                  <c:v>Int. Comp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'Yearly Breakdown'!$C$1:$M$1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'Yearly Breakdown'!$C$4:$M$4</c:f>
              <c:numCache>
                <c:formatCode>_("$"* #,##0.00_);_("$"* \(#,##0.00\);_("$"* "-"??_);_(@_)</c:formatCode>
                <c:ptCount val="11"/>
                <c:pt idx="0">
                  <c:v>9558420.5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63-418B-B377-C052349CF2FF}"/>
            </c:ext>
          </c:extLst>
        </c:ser>
        <c:ser>
          <c:idx val="6"/>
          <c:order val="1"/>
          <c:tx>
            <c:strRef>
              <c:f>'Yearly Breakdown'!$B$5</c:f>
              <c:strCache>
                <c:ptCount val="1"/>
                <c:pt idx="0">
                  <c:v>Waste Yards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'Yearly Breakdown'!$C$1:$M$1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'Yearly Breakdown'!$C$5:$M$5</c:f>
              <c:numCache>
                <c:formatCode>_("$"* #,##0.00_);_("$"* \(#,##0.00\);_("$"* "-"??_);_(@_)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310596.15818760009</c:v>
                </c:pt>
                <c:pt idx="4">
                  <c:v>2795365.4236884005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63-418B-B377-C052349CF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624719"/>
        <c:axId val="1997993343"/>
      </c:barChart>
      <c:catAx>
        <c:axId val="197762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993343"/>
        <c:crosses val="autoZero"/>
        <c:auto val="1"/>
        <c:lblAlgn val="ctr"/>
        <c:lblOffset val="100"/>
        <c:noMultiLvlLbl val="0"/>
      </c:catAx>
      <c:valAx>
        <c:axId val="199799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Non-Capital Work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2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276225</xdr:colOff>
      <xdr:row>22</xdr:row>
      <xdr:rowOff>4762</xdr:rowOff>
    </xdr:from>
    <xdr:to>
      <xdr:col>28</xdr:col>
      <xdr:colOff>257175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182D2-EB6A-45CF-BBED-FB5968E4A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266700</xdr:colOff>
      <xdr:row>0</xdr:row>
      <xdr:rowOff>66675</xdr:rowOff>
    </xdr:from>
    <xdr:to>
      <xdr:col>28</xdr:col>
      <xdr:colOff>247650</xdr:colOff>
      <xdr:row>10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6246B3-2E67-4E87-93E5-E56F55345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266700</xdr:colOff>
      <xdr:row>10</xdr:row>
      <xdr:rowOff>19049</xdr:rowOff>
    </xdr:from>
    <xdr:to>
      <xdr:col>28</xdr:col>
      <xdr:colOff>247650</xdr:colOff>
      <xdr:row>21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9A80CF-57E7-4874-B46F-2FEE4024A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WMPImplementation/Shared%20Documents/3.%20Data%20&amp;%20Analysis/Cheat-Shee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WMPImplementation/Shared%20Documents/3.%20Data%20&amp;%20Analysis/DSNY%20Compactor%20Not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eam7050/Shared%20Documents/WMP%20Leadership%20Council/Background%20Docs_Meagan/Data/Developments_08152019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at-Sheet"/>
      <sheetName val="Sheet1"/>
      <sheetName val="Sheet2"/>
      <sheetName val="5 sites"/>
      <sheetName val="LLC1_LLC2"/>
      <sheetName val="Scattered Sites"/>
      <sheetName val="Lower Manhattan Sites"/>
    </sheetNames>
    <sheetDataSet>
      <sheetData sheetId="0">
        <row r="2">
          <cell r="D2" t="str">
            <v>HARLEM RIVER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SNY list 07.30.19"/>
      <sheetName val="DSNY Compactor Notes"/>
    </sheetNames>
    <sheetDataSet>
      <sheetData sheetId="0"/>
      <sheetData sheetId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elopments"/>
      <sheetName val="Notes"/>
      <sheetName val="Sheet1"/>
    </sheetNames>
    <sheetDataSet>
      <sheetData sheetId="0">
        <row r="2">
          <cell r="A2" t="str">
            <v>1010 EAST 178TH STREET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YCHA User" refreshedDate="44011.434306134259" createdVersion="6" refreshedVersion="6" minRefreshableVersion="3" recordCount="299" xr:uid="{00000000-000A-0000-FFFF-FFFF00000000}">
  <cacheSource type="worksheet">
    <worksheetSource name="Table1"/>
  </cacheSource>
  <cacheFields count="20">
    <cacheField name="BOROUGH" numFmtId="0">
      <sharedItems count="5">
        <s v="BROOKLYN"/>
        <s v="BRONX"/>
        <s v="MANHATTAN"/>
        <s v="QUEENS"/>
        <s v="Various" u="1"/>
      </sharedItems>
    </cacheField>
    <cacheField name="PROGRAM AREA" numFmtId="0">
      <sharedItems containsBlank="1"/>
    </cacheField>
    <cacheField name="DEVELOPMENT" numFmtId="0">
      <sharedItems count="111">
        <s v="BUSHWICK"/>
        <s v="BUTLER"/>
        <s v="CLAREMONT REHAB (GROUP 3)"/>
        <s v="CLAREMONT REHAB (GROUP 4)"/>
        <s v="JACKSON"/>
        <s v="LA GUARDIA"/>
        <s v="LAFAYETTE"/>
        <s v="MARCY"/>
        <s v="MELROSE"/>
        <s v="MORRIS I"/>
        <s v="MORRISANIA AIR RIGHTS"/>
        <s v="ROOSEVELT I"/>
        <s v="RUTGERS"/>
        <s v="SMITH"/>
        <s v="SUMNER"/>
        <s v="TOMPKINS"/>
        <s v="WEBSTER"/>
        <s v="BARUCH HOUSES ADDITION"/>
        <s v="MELTZER TOWER"/>
        <s v="TWO BRIDGES URA (SITE 7)"/>
        <s v="RIIS"/>
        <s v="VLADECK"/>
        <s v="45 ALLEN STREET"/>
        <s v="BARUCH"/>
        <s v="BRACETTI PLAZA"/>
        <s v="CAMPOS PLAZA II"/>
        <s v="GOMPERS"/>
        <s v="LOWER EAST SIDE I INFILL"/>
        <s v="LOWER EAST SIDE II"/>
        <s v="LOWER EAST SIDE REHAB (GROUP 5)"/>
        <s v="SEWARD PARK EXTENSION"/>
        <s v="WALD"/>
        <s v="131 SAINT NICHOLAS AVENUE"/>
        <s v="335 EAST 111TH STREET"/>
        <s v="AUDUBON"/>
        <s v="BETHUNE GARDENS"/>
        <s v="BORINQUEN PLAZA II"/>
        <s v="BRONX RIVER"/>
        <s v="CORSI HOUSES"/>
        <s v="DOUGLASS ADDITION"/>
        <s v="DOUGLASS II"/>
        <s v="DREW-HAMILTON"/>
        <s v="EAST RIVER"/>
        <s v="FORT WASHINGTON AVENUE REHAB"/>
        <s v="GRAMPION"/>
        <s v="GRANT"/>
        <s v="HARLEM RIVER II"/>
        <s v="JOHNSON"/>
        <s v="KINGSBOROUGH"/>
        <s v="MANHATTANVILLE REHAB (GROUP 2)"/>
        <s v="MANHATTANVILLE REHAB (GROUP 3)"/>
        <s v="MARSHALL PLAZA"/>
        <s v="METRO NORTH PLAZA"/>
        <s v="MOORE"/>
        <s v="MORRIS PARK SENIOR CITIZENS HOME"/>
        <s v="PARK AVENUE-EAST 122ND, 123RD STREETS"/>
        <s v="PUBLIC SCHOOL 139 (CONVERSION)"/>
        <s v="SAMUEL (CITY)"/>
        <s v="SOUTH BRONX AREA (SITE 402)"/>
        <s v="STEBBINS AVENUE-HEWITT PLACE"/>
        <s v="UNION AVENUE-EAST 163RD STREET"/>
        <s v="UNION AVENUE-EAST 166TH STREET"/>
        <s v="UPACA (SITE 6)"/>
        <s v="WASHINGTON HEIGHTS REHAB PHASE III"/>
        <s v="WHITE"/>
        <s v="LA GUARDIA ADDITION"/>
        <s v="RIIS II"/>
        <s v="DAVIDSON"/>
        <s v="ROBINSON"/>
        <s v="VLADECK II"/>
        <s v="FULTON"/>
        <s v="JEFFERSON"/>
        <s v="LINCOLN"/>
        <s v="MONROE"/>
        <s v="RANGEL"/>
        <s v="WILSON"/>
        <s v="HARLEM RIVER"/>
        <s v="303 VERNON AVENUE"/>
        <s v="BORINQUEN PLAZA I"/>
        <s v="CARVER"/>
        <s v="EAST 180TH STREET-MONTEREY AVENUE"/>
        <s v="MANHATTANVILLE"/>
        <s v="SAINT MARY'S PARK"/>
        <s v="CLAREMONT PARKWAY-FRANKLIN AVENUE"/>
        <s v="LEXINGTON"/>
        <s v="UPACA (SITE 5)"/>
        <s v="WAGNER"/>
        <s v="TAFT"/>
        <s v="CLINTON"/>
        <s v="DOUGLASS I"/>
        <s v="KING TOWERS"/>
        <s v="PATTERSON"/>
        <s v="POLO GROUNDS TOWERS"/>
        <s v="QUEENSBRIDGE NORTH"/>
        <s v="QUEENSBRIDGE SOUTH"/>
        <s v="SAINT NICHOLAS"/>
        <s v="WASHINGTON"/>
        <s v="TWIN PARKS EAST (SITE 9)"/>
        <s v="HYLAN"/>
        <s v="MORRIS II"/>
        <s v="BEDFORD-STUYVESANT REHAB"/>
        <s v="CLAREMONT REHAB (GROUP 2)"/>
        <s v="CLAREMONT REHAB (GROUP 5)"/>
        <s v="COLLEGE AVENUE-EAST 165TH STREET"/>
        <s v="LEHMAN VILLAGE"/>
        <s v="MORRISANIA"/>
        <s v="ROOSEVELT II"/>
        <s v="TELLER AVENUE-EAST 166TH STREET"/>
        <s v="FIRST HOUSES" u="1"/>
        <s v="Various" u="1"/>
        <s v="REHAB PROGRAM (TAFT REHABS)" u="1"/>
      </sharedItems>
    </cacheField>
    <cacheField name="NRR" numFmtId="0">
      <sharedItems containsMixedTypes="1" containsNumber="1" containsInteger="1" minValue="0" maxValue="0" count="4">
        <s v="Zone 1"/>
        <s v="Zone 2"/>
        <s v="Zone 3"/>
        <n v="0"/>
      </sharedItems>
    </cacheField>
    <cacheField name="Priority Level" numFmtId="0">
      <sharedItems/>
    </cacheField>
    <cacheField name="RAD/PACT" numFmtId="0">
      <sharedItems/>
    </cacheField>
    <cacheField name="WORK TYPE" numFmtId="0">
      <sharedItems containsBlank="1" count="11">
        <s v="Enlarge Hopper Door"/>
        <s v="Food Waste Disposer"/>
        <s v="Cardboard Baler"/>
        <s v="Exterior Compactors"/>
        <s v="Interior Compactors"/>
        <s v="Bulk Crusher"/>
        <s v="Electric Tilt Truck"/>
        <s v="Mattress Recycling"/>
        <s v="Secondary collection areas"/>
        <m u="1"/>
        <s v="Exterior Compactors / Augers" u="1"/>
      </sharedItems>
    </cacheField>
    <cacheField name="FUNDING SOURCE" numFmtId="0">
      <sharedItems containsBlank="1"/>
    </cacheField>
    <cacheField name="CITY FUNDS" numFmtId="0">
      <sharedItems containsString="0" containsBlank="1" containsNumber="1" minValue="3000" maxValue="1160763.6500000001"/>
    </cacheField>
    <cacheField name="FEDERAL FUNDS" numFmtId="164">
      <sharedItems containsString="0" containsBlank="1" containsNumber="1" minValue="0" maxValue="3412786"/>
    </cacheField>
    <cacheField name="TOTAL FUNDS" numFmtId="44">
      <sharedItems containsString="0" containsBlank="1" containsNumber="1" minValue="3000" maxValue="3412786"/>
    </cacheField>
    <cacheField name="FUND YEAR " numFmtId="0">
      <sharedItems containsString="0" containsBlank="1" containsNumber="1" containsInteger="1" minValue="2019" maxValue="2019"/>
    </cacheField>
    <cacheField name="CALENDAR YEAR" numFmtId="0">
      <sharedItems containsBlank="1" containsMixedTypes="1" containsNumber="1" minValue="0" maxValue="5195588.727" count="136">
        <n v="2019"/>
        <n v="2020"/>
        <e v="#N/A"/>
        <n v="2025"/>
        <n v="2024"/>
        <n v="2023"/>
        <n v="2022"/>
        <n v="2021"/>
        <s v=""/>
        <s v="Yes"/>
        <m/>
        <n v="0" u="1"/>
        <n v="7" u="1"/>
        <n v="3" u="1"/>
        <n v="973505.73600000003" u="1"/>
        <n v="1751" u="1"/>
        <n v="505255.17" u="1"/>
        <n v="103541.7285" u="1"/>
        <n v="1908" u="1"/>
        <n v="401" u="1"/>
        <n v="1048" u="1"/>
        <n v="88597.561500000011" u="1"/>
        <n v="1633" u="1"/>
        <n v="829401.26850000001" u="1"/>
        <n v="947175.53699999989" u="1"/>
        <n v="19" u="1"/>
        <n v="1919969.6459999999" u="1"/>
        <n v="708" u="1"/>
        <n v="59" u="1"/>
        <n v="688854.93599999999" u="1"/>
        <n v="166" u="1"/>
        <n v="2037" u="1"/>
        <n v="1310105.3069999998" u="1"/>
        <n v="2033" u="1"/>
        <n v="22" u="1"/>
        <n v="165" u="1"/>
        <n v="14" u="1"/>
        <n v="9" u="1"/>
        <n v="6" u="1"/>
        <n v="2029" u="1"/>
        <n v="1" u="1"/>
        <n v="76144.089000000007" u="1"/>
        <n v="164" u="1"/>
        <n v="590" u="1"/>
        <n v="1750" u="1"/>
        <n v="216" u="1"/>
        <n v="1894351.0739999998" u="1"/>
        <n v="1010" u="1"/>
        <n v="604882.95000000007" u="1"/>
        <n v="580" u="1"/>
        <n v="273264.76799999998" u="1"/>
        <n v="1942" u="1"/>
        <n v="277" u="1"/>
        <n v="531585.36899999995" u="1"/>
        <n v="1248905.385" u="1"/>
        <n v="574" u="1"/>
        <n v="18" u="1"/>
        <n v="5" u="1"/>
        <n v="2040" u="1"/>
        <n v="2" u="1"/>
        <n v="4983523.8810000001" u="1"/>
        <n v="394241.35800000001" u="1"/>
        <n v="2032" u="1"/>
        <n v="1871" u="1"/>
        <n v="1639588.6079999998" u="1"/>
        <n v="2028" u="1"/>
        <n v="1421474.9324999999" u="1"/>
        <n v="379" u="1"/>
        <n v="672" u="1"/>
        <n v="974573.17650000006" u="1"/>
        <n v="567522.53250000009" u="1"/>
        <n v="988" u="1"/>
        <n v="885975.61500000011" u="1"/>
        <n v="664" u="1"/>
        <n v="91088.255999999994" u="1"/>
        <n v="3842785.8000000003" u="1"/>
        <n v="1847" u="1"/>
        <n v="1686" u="1"/>
        <n v="710915.37299999991" u="1"/>
        <n v="554" u="1"/>
        <n v="927" u="1"/>
        <n v="128" u="1"/>
        <n v="373" u="1"/>
        <n v="10" u="1"/>
        <n v="1305" u="1"/>
        <n v="4" u="1"/>
        <n v="207" u="1"/>
        <n v="1935625.4400000002" u="1"/>
        <n v="49" u="1"/>
        <n v="5195588.727" u="1"/>
        <n v="206" u="1"/>
        <n v="1933" u="1"/>
        <n v="2039" u="1"/>
        <n v="516641.20199999993" u="1"/>
        <n v="705" u="1"/>
        <n v="2752217.4224999999" u="1"/>
        <n v="232" u="1"/>
        <n v="786347.83499999996" u="1"/>
        <n v="17" u="1"/>
        <n v="931875.55649999995" u="1"/>
        <n v="113" u="1"/>
        <n v="2027" u="1"/>
        <n v="73653.394499999995" u="1"/>
        <n v="35" u="1"/>
        <n v="203" u="1"/>
        <n v="1043956.809" u="1"/>
        <n v="416" u="1"/>
        <n v="112" u="1"/>
        <n v="1053" u="1"/>
        <n v="20" u="1"/>
        <n v="13" u="1"/>
        <n v="8" u="1"/>
        <n v="202" u="1"/>
        <n v="1901" u="1"/>
        <n v="3012317.091" u="1"/>
        <n v="687" u="1"/>
        <n v="115995.201" u="1"/>
        <n v="1249" u="1"/>
        <n v="630" u="1"/>
        <n v="1001" u="1"/>
        <n v="34" u="1"/>
        <n v="1296" u="1"/>
        <n v="1029" u="1"/>
        <n v="356" u="1"/>
        <n v="157269.56699999998" u="1"/>
        <n v="2038" u="1"/>
        <n v="147306.78899999999" u="1"/>
        <n v="1821765.12" u="1"/>
        <n v="47" u="1"/>
        <n v="947887.16399999999" u="1"/>
        <n v="2030" u="1"/>
        <n v="2026" u="1"/>
        <n v="1759" u="1"/>
        <n v="938" u="1"/>
        <n v="40" u="1"/>
        <n v="11" u="1"/>
      </sharedItems>
    </cacheField>
    <cacheField name="FISCAL YEAR" numFmtId="0">
      <sharedItems containsString="0" containsBlank="1" containsNumber="1" containsInteger="1" minValue="2020" maxValue="2021"/>
    </cacheField>
    <cacheField name="STATUS" numFmtId="0">
      <sharedItems containsBlank="1"/>
    </cacheField>
    <cacheField name="COMPLETED" numFmtId="0">
      <sharedItems containsNonDate="0" containsString="0" containsBlank="1"/>
    </cacheField>
    <cacheField name="COST" numFmtId="44">
      <sharedItems containsString="0" containsBlank="1" containsNumber="1" minValue="32007.26" maxValue="607266.5199999999"/>
    </cacheField>
    <cacheField name="ESTIMATES" numFmtId="44">
      <sharedItems containsBlank="1"/>
    </cacheField>
    <cacheField name="RESOURCE" numFmtId="0">
      <sharedItems containsBlank="1"/>
    </cacheField>
    <cacheField name="Not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">
  <r>
    <x v="0"/>
    <s v="Waste Management "/>
    <x v="0"/>
    <x v="0"/>
    <e v="#N/A"/>
    <e v="#N/A"/>
    <x v="0"/>
    <s v="City Expense"/>
    <n v="24000"/>
    <m/>
    <n v="24000"/>
    <n v="2019"/>
    <x v="0"/>
    <n v="2020"/>
    <s v="IN-CONSTRUCTION"/>
    <m/>
    <n v="44243.94"/>
    <m/>
    <s v="JOCS CONTRACTS"/>
    <m/>
  </r>
  <r>
    <x v="1"/>
    <s v="Waste Management "/>
    <x v="1"/>
    <x v="0"/>
    <e v="#N/A"/>
    <e v="#N/A"/>
    <x v="0"/>
    <s v="City Expense"/>
    <n v="18000"/>
    <m/>
    <n v="18000"/>
    <n v="2019"/>
    <x v="0"/>
    <n v="2020"/>
    <s v="IN-CONSTRUCTION"/>
    <m/>
    <n v="44613.861000000004"/>
    <m/>
    <s v="JOCS CONTRACTS"/>
    <m/>
  </r>
  <r>
    <x v="1"/>
    <s v="Waste Management "/>
    <x v="2"/>
    <x v="0"/>
    <e v="#N/A"/>
    <e v="#N/A"/>
    <x v="0"/>
    <s v="NYCHA Operating"/>
    <m/>
    <n v="24000"/>
    <n v="24000"/>
    <n v="2019"/>
    <x v="0"/>
    <n v="2020"/>
    <s v="IN-CONSTRUCTION"/>
    <m/>
    <n v="59485.148000000001"/>
    <m/>
    <s v="JOCS CONTRACTS"/>
    <m/>
  </r>
  <r>
    <x v="1"/>
    <s v="Waste Management "/>
    <x v="3"/>
    <x v="0"/>
    <e v="#N/A"/>
    <e v="#N/A"/>
    <x v="0"/>
    <s v="NYCHA Operating"/>
    <m/>
    <n v="27000"/>
    <n v="27000"/>
    <n v="2019"/>
    <x v="0"/>
    <n v="2020"/>
    <s v="IN-CONSTRUCTION"/>
    <m/>
    <n v="66920.791500000007"/>
    <m/>
    <s v="JOCS CONTRACTS"/>
    <m/>
  </r>
  <r>
    <x v="1"/>
    <s v="Waste Management "/>
    <x v="4"/>
    <x v="0"/>
    <e v="#N/A"/>
    <e v="#N/A"/>
    <x v="0"/>
    <s v="City Expense"/>
    <n v="21000"/>
    <m/>
    <n v="21000"/>
    <n v="2019"/>
    <x v="0"/>
    <n v="2020"/>
    <s v="IN-CONSTRUCTION"/>
    <m/>
    <n v="52049.504500000003"/>
    <m/>
    <s v="JOCS CONTRACTS"/>
    <m/>
  </r>
  <r>
    <x v="2"/>
    <s v="Waste Management "/>
    <x v="5"/>
    <x v="0"/>
    <e v="#N/A"/>
    <e v="#N/A"/>
    <x v="0"/>
    <s v="City Expense"/>
    <n v="27000"/>
    <m/>
    <n v="27000"/>
    <n v="2019"/>
    <x v="0"/>
    <n v="2020"/>
    <s v="IN-CONSTRUCTION"/>
    <m/>
    <n v="56519.89"/>
    <m/>
    <s v="JOCS CONTRACTS"/>
    <m/>
  </r>
  <r>
    <x v="0"/>
    <s v="Waste Management "/>
    <x v="6"/>
    <x v="0"/>
    <e v="#N/A"/>
    <e v="#N/A"/>
    <x v="0"/>
    <s v="City Expense"/>
    <n v="21000"/>
    <m/>
    <n v="21000"/>
    <n v="2019"/>
    <x v="0"/>
    <n v="2020"/>
    <s v="IN-CONSTRUCTION"/>
    <m/>
    <n v="52049.504500000003"/>
    <m/>
    <s v="JOCS CONTRACTS"/>
    <m/>
  </r>
  <r>
    <x v="0"/>
    <s v="Waste Management "/>
    <x v="7"/>
    <x v="0"/>
    <e v="#N/A"/>
    <e v="#N/A"/>
    <x v="0"/>
    <s v="City Expense"/>
    <n v="210000"/>
    <m/>
    <n v="210000"/>
    <n v="2019"/>
    <x v="0"/>
    <n v="2020"/>
    <s v="IN-CONSTRUCTION"/>
    <m/>
    <n v="520495.04499999998"/>
    <m/>
    <s v="JOCS CONTRACTS"/>
    <m/>
  </r>
  <r>
    <x v="1"/>
    <s v="Waste Management "/>
    <x v="8"/>
    <x v="0"/>
    <e v="#N/A"/>
    <e v="#N/A"/>
    <x v="0"/>
    <s v="City Expense"/>
    <n v="24000"/>
    <m/>
    <n v="24000"/>
    <n v="2019"/>
    <x v="0"/>
    <n v="2020"/>
    <s v="IN-CONSTRUCTION"/>
    <m/>
    <n v="59485.148000000001"/>
    <m/>
    <s v="JOCS CONTRACTS"/>
    <m/>
  </r>
  <r>
    <x v="1"/>
    <s v="Waste Management "/>
    <x v="9"/>
    <x v="0"/>
    <e v="#N/A"/>
    <e v="#N/A"/>
    <x v="0"/>
    <s v="City Expense"/>
    <n v="51000"/>
    <m/>
    <n v="51000"/>
    <n v="2019"/>
    <x v="0"/>
    <n v="2020"/>
    <s v="IN-CONSTRUCTION"/>
    <m/>
    <n v="66920.791500000007"/>
    <m/>
    <s v="JOCS CONTRACTS"/>
    <m/>
  </r>
  <r>
    <x v="1"/>
    <s v="Waste Management "/>
    <x v="10"/>
    <x v="0"/>
    <e v="#N/A"/>
    <e v="#N/A"/>
    <x v="0"/>
    <s v="City Expense"/>
    <n v="15000"/>
    <m/>
    <n v="15000"/>
    <n v="2019"/>
    <x v="0"/>
    <n v="2020"/>
    <s v="IN-CONSTRUCTION"/>
    <m/>
    <n v="37178.217499999999"/>
    <m/>
    <s v="JOCS CONTRACTS"/>
    <m/>
  </r>
  <r>
    <x v="0"/>
    <s v="Waste Management "/>
    <x v="11"/>
    <x v="0"/>
    <e v="#N/A"/>
    <e v="#N/A"/>
    <x v="0"/>
    <s v="City Expense"/>
    <n v="18000"/>
    <m/>
    <n v="18000"/>
    <n v="2019"/>
    <x v="0"/>
    <n v="2020"/>
    <s v="IN-CONSTRUCTION"/>
    <m/>
    <n v="44613.861000000004"/>
    <m/>
    <s v="JOCS CONTRACTS"/>
    <m/>
  </r>
  <r>
    <x v="2"/>
    <s v="Waste Management "/>
    <x v="12"/>
    <x v="0"/>
    <e v="#N/A"/>
    <e v="#N/A"/>
    <x v="0"/>
    <s v="City Expense"/>
    <n v="15000"/>
    <m/>
    <n v="15000"/>
    <n v="2019"/>
    <x v="0"/>
    <n v="2020"/>
    <s v="IN-CONSTRUCTION"/>
    <m/>
    <n v="32007.26"/>
    <m/>
    <s v="JOCS CONTRACTS"/>
    <m/>
  </r>
  <r>
    <x v="2"/>
    <s v="Waste Management "/>
    <x v="13"/>
    <x v="0"/>
    <e v="#N/A"/>
    <e v="#N/A"/>
    <x v="0"/>
    <s v="City Expense"/>
    <n v="36000"/>
    <m/>
    <n v="36000"/>
    <n v="2019"/>
    <x v="0"/>
    <n v="2020"/>
    <s v="IN-CONSTRUCTION"/>
    <m/>
    <n v="74933.740000000005"/>
    <m/>
    <s v="JOCS CONTRACTS"/>
    <m/>
  </r>
  <r>
    <x v="0"/>
    <s v="Waste Management "/>
    <x v="14"/>
    <x v="0"/>
    <e v="#N/A"/>
    <e v="#N/A"/>
    <x v="0"/>
    <s v="City Expense"/>
    <n v="72000"/>
    <m/>
    <n v="72000"/>
    <n v="2019"/>
    <x v="0"/>
    <n v="2020"/>
    <s v="IN-CONSTRUCTION"/>
    <m/>
    <n v="148620.14000000001"/>
    <m/>
    <s v="JOCS CONTRACTS"/>
    <m/>
  </r>
  <r>
    <x v="0"/>
    <s v="Waste Management "/>
    <x v="15"/>
    <x v="0"/>
    <e v="#N/A"/>
    <e v="#N/A"/>
    <x v="0"/>
    <s v="NYCHA Operating"/>
    <m/>
    <n v="36000"/>
    <n v="36000"/>
    <n v="2019"/>
    <x v="0"/>
    <n v="2020"/>
    <s v="IN-CONSTRUCTION"/>
    <m/>
    <n v="74933.740000000005"/>
    <m/>
    <s v="JOCS CONTRACTS"/>
    <m/>
  </r>
  <r>
    <x v="1"/>
    <s v="Waste Management "/>
    <x v="16"/>
    <x v="0"/>
    <e v="#N/A"/>
    <e v="#N/A"/>
    <x v="0"/>
    <s v="City Expense"/>
    <n v="15000"/>
    <m/>
    <n v="15000"/>
    <n v="2019"/>
    <x v="0"/>
    <n v="2020"/>
    <s v="IN-CONSTRUCTION"/>
    <m/>
    <n v="37178.217499999999"/>
    <m/>
    <s v="JOCS CONTRACTS"/>
    <m/>
  </r>
  <r>
    <x v="2"/>
    <s v="Waste Management "/>
    <x v="17"/>
    <x v="0"/>
    <e v="#N/A"/>
    <e v="#N/A"/>
    <x v="1"/>
    <s v="NYCHA Operating"/>
    <m/>
    <n v="129527.5"/>
    <n v="129527.5"/>
    <n v="2019"/>
    <x v="0"/>
    <n v="2020"/>
    <s v="IN-CONSTRUCTION"/>
    <m/>
    <n v="607266.5199999999"/>
    <m/>
    <s v="JOCS CONTRACTS"/>
    <m/>
  </r>
  <r>
    <x v="2"/>
    <s v="Waste Management "/>
    <x v="18"/>
    <x v="0"/>
    <e v="#N/A"/>
    <e v="#N/A"/>
    <x v="1"/>
    <s v="NYCHA Operating"/>
    <m/>
    <n v="150567.5"/>
    <n v="150567.5"/>
    <n v="2019"/>
    <x v="0"/>
    <n v="2020"/>
    <s v="IN-CONSTRUCTION"/>
    <m/>
    <n v="534717.81000000006"/>
    <m/>
    <s v="JOCS CONTRACTS"/>
    <m/>
  </r>
  <r>
    <x v="2"/>
    <s v="Waste Management "/>
    <x v="19"/>
    <x v="0"/>
    <e v="#N/A"/>
    <e v="#N/A"/>
    <x v="1"/>
    <s v="NYCHA Operating"/>
    <m/>
    <n v="164375"/>
    <n v="164375"/>
    <n v="2019"/>
    <x v="0"/>
    <n v="2020"/>
    <s v="IN-CONSTRUCTION"/>
    <m/>
    <n v="561519.42000000004"/>
    <m/>
    <s v="JOCS CONTRACTS"/>
    <m/>
  </r>
  <r>
    <x v="2"/>
    <s v="Waste Management "/>
    <x v="5"/>
    <x v="0"/>
    <e v="#N/A"/>
    <e v="#N/A"/>
    <x v="2"/>
    <s v="City Expense"/>
    <n v="38361.353952156082"/>
    <m/>
    <n v="38361.353952156082"/>
    <n v="2019"/>
    <x v="1"/>
    <n v="2020"/>
    <s v="UP-COMING"/>
    <m/>
    <m/>
    <e v="#N/A"/>
    <s v="FROM BALER INSTALL"/>
    <m/>
  </r>
  <r>
    <x v="2"/>
    <s v="Waste Management "/>
    <x v="20"/>
    <x v="0"/>
    <e v="#N/A"/>
    <e v="#N/A"/>
    <x v="2"/>
    <s v="City Expense"/>
    <n v="34083.566126999998"/>
    <m/>
    <n v="34083.566126999998"/>
    <n v="2019"/>
    <x v="1"/>
    <n v="2020"/>
    <s v="UP-COMING"/>
    <m/>
    <m/>
    <e v="#N/A"/>
    <s v="FROM BALER INSTALL"/>
    <m/>
  </r>
  <r>
    <x v="2"/>
    <s v="Waste Management "/>
    <x v="21"/>
    <x v="0"/>
    <e v="#N/A"/>
    <e v="#N/A"/>
    <x v="2"/>
    <s v="City Expense"/>
    <n v="35106.073110810001"/>
    <m/>
    <n v="35106.073110810001"/>
    <n v="2019"/>
    <x v="1"/>
    <n v="2020"/>
    <s v="UP-COMING"/>
    <m/>
    <m/>
    <e v="#N/A"/>
    <s v="FROM BALER INSTALL"/>
    <m/>
  </r>
  <r>
    <x v="2"/>
    <s v="Waste Management "/>
    <x v="22"/>
    <x v="0"/>
    <e v="#N/A"/>
    <e v="#N/A"/>
    <x v="0"/>
    <s v="NYCHA Operating"/>
    <m/>
    <n v="3000"/>
    <n v="3000"/>
    <n v="2019"/>
    <x v="1"/>
    <n v="2020"/>
    <s v="UP-COMING"/>
    <m/>
    <m/>
    <e v="#N/A"/>
    <s v="JOCS CONTRACTS"/>
    <m/>
  </r>
  <r>
    <x v="2"/>
    <s v="Waste Management "/>
    <x v="23"/>
    <x v="0"/>
    <e v="#N/A"/>
    <e v="#N/A"/>
    <x v="0"/>
    <s v="NYCHA Operating"/>
    <m/>
    <n v="51000"/>
    <n v="51000"/>
    <n v="2019"/>
    <x v="1"/>
    <n v="2020"/>
    <s v="UP-COMING"/>
    <m/>
    <m/>
    <e v="#N/A"/>
    <s v="JOCS CONTRACTS"/>
    <m/>
  </r>
  <r>
    <x v="2"/>
    <s v="Waste Management "/>
    <x v="24"/>
    <x v="0"/>
    <e v="#N/A"/>
    <e v="#N/A"/>
    <x v="0"/>
    <s v="NYCHA Operating"/>
    <m/>
    <n v="6000"/>
    <n v="6000"/>
    <n v="2019"/>
    <x v="1"/>
    <n v="2020"/>
    <s v="UP-COMING"/>
    <m/>
    <m/>
    <e v="#N/A"/>
    <s v="JOCS CONTRACTS"/>
    <m/>
  </r>
  <r>
    <x v="2"/>
    <s v="Waste Management "/>
    <x v="25"/>
    <x v="0"/>
    <e v="#N/A"/>
    <e v="#N/A"/>
    <x v="0"/>
    <s v="NYCHA Operating"/>
    <m/>
    <n v="9000"/>
    <n v="9000"/>
    <n v="2019"/>
    <x v="1"/>
    <n v="2020"/>
    <s v="UP-COMING"/>
    <m/>
    <m/>
    <e v="#N/A"/>
    <s v="JOCS CONTRACTS"/>
    <m/>
  </r>
  <r>
    <x v="2"/>
    <s v="Waste Management "/>
    <x v="26"/>
    <x v="0"/>
    <e v="#N/A"/>
    <e v="#N/A"/>
    <x v="0"/>
    <s v="City Expense"/>
    <n v="12000"/>
    <m/>
    <n v="12000"/>
    <n v="2019"/>
    <x v="1"/>
    <n v="2020"/>
    <s v="UP-COMING"/>
    <m/>
    <m/>
    <e v="#N/A"/>
    <s v="JOCS CONTRACTS"/>
    <m/>
  </r>
  <r>
    <x v="2"/>
    <s v="Waste Management "/>
    <x v="27"/>
    <x v="0"/>
    <e v="#N/A"/>
    <e v="#N/A"/>
    <x v="0"/>
    <s v="City Expense"/>
    <n v="3000"/>
    <m/>
    <n v="3000"/>
    <n v="2019"/>
    <x v="1"/>
    <n v="2020"/>
    <s v="UP-COMING"/>
    <m/>
    <m/>
    <e v="#N/A"/>
    <s v="JOCS CONTRACTS"/>
    <m/>
  </r>
  <r>
    <x v="2"/>
    <s v="Waste Management "/>
    <x v="28"/>
    <x v="0"/>
    <e v="#N/A"/>
    <e v="#N/A"/>
    <x v="0"/>
    <s v="City Expense"/>
    <n v="3000"/>
    <m/>
    <n v="3000"/>
    <n v="2019"/>
    <x v="1"/>
    <n v="2021"/>
    <s v="UP-COMING"/>
    <m/>
    <m/>
    <e v="#N/A"/>
    <s v="JOCS CONTRACTS"/>
    <m/>
  </r>
  <r>
    <x v="2"/>
    <s v="Waste Management "/>
    <x v="29"/>
    <x v="0"/>
    <e v="#N/A"/>
    <e v="#N/A"/>
    <x v="0"/>
    <s v="City Expense"/>
    <n v="9000"/>
    <m/>
    <n v="9000"/>
    <n v="2019"/>
    <x v="1"/>
    <n v="2021"/>
    <s v="UP-COMING"/>
    <m/>
    <m/>
    <e v="#N/A"/>
    <s v="JOCS CONTRACTS"/>
    <m/>
  </r>
  <r>
    <x v="2"/>
    <s v="Waste Management "/>
    <x v="20"/>
    <x v="0"/>
    <e v="#N/A"/>
    <e v="#N/A"/>
    <x v="0"/>
    <s v="NYCHA Operating"/>
    <m/>
    <n v="78000"/>
    <n v="78000"/>
    <n v="2019"/>
    <x v="1"/>
    <n v="2021"/>
    <s v="UP-COMING"/>
    <m/>
    <m/>
    <e v="#N/A"/>
    <s v="JOCS CONTRACTS"/>
    <m/>
  </r>
  <r>
    <x v="2"/>
    <s v="Waste Management "/>
    <x v="30"/>
    <x v="0"/>
    <e v="#N/A"/>
    <e v="#N/A"/>
    <x v="0"/>
    <s v="City Expense"/>
    <n v="6000"/>
    <m/>
    <n v="6000"/>
    <n v="2019"/>
    <x v="1"/>
    <n v="2021"/>
    <s v="UP-COMING"/>
    <m/>
    <m/>
    <e v="#N/A"/>
    <s v="JOCS CONTRACTS"/>
    <m/>
  </r>
  <r>
    <x v="2"/>
    <s v="Waste Management "/>
    <x v="19"/>
    <x v="0"/>
    <e v="#N/A"/>
    <e v="#N/A"/>
    <x v="0"/>
    <s v="NYCHA Operating"/>
    <m/>
    <n v="3000"/>
    <n v="3000"/>
    <n v="2019"/>
    <x v="1"/>
    <n v="2021"/>
    <s v="UP-COMING"/>
    <m/>
    <m/>
    <e v="#N/A"/>
    <s v="JOCS CONTRACTS"/>
    <m/>
  </r>
  <r>
    <x v="2"/>
    <s v="Waste Management "/>
    <x v="31"/>
    <x v="0"/>
    <e v="#N/A"/>
    <e v="#N/A"/>
    <x v="0"/>
    <s v="NYCHA Operating"/>
    <m/>
    <n v="48000"/>
    <n v="48000"/>
    <n v="2019"/>
    <x v="1"/>
    <n v="2021"/>
    <s v="UP-COMING"/>
    <m/>
    <m/>
    <e v="#N/A"/>
    <s v="JOCS CONTRACTS"/>
    <m/>
  </r>
  <r>
    <x v="2"/>
    <m/>
    <x v="32"/>
    <x v="1"/>
    <e v="#N/A"/>
    <e v="#N/A"/>
    <x v="3"/>
    <m/>
    <m/>
    <m/>
    <m/>
    <m/>
    <x v="2"/>
    <m/>
    <m/>
    <m/>
    <m/>
    <e v="#N/A"/>
    <m/>
    <m/>
  </r>
  <r>
    <x v="2"/>
    <m/>
    <x v="33"/>
    <x v="2"/>
    <e v="#N/A"/>
    <e v="#N/A"/>
    <x v="3"/>
    <m/>
    <m/>
    <n v="0"/>
    <m/>
    <m/>
    <x v="2"/>
    <m/>
    <m/>
    <m/>
    <m/>
    <e v="#N/A"/>
    <m/>
    <m/>
  </r>
  <r>
    <x v="2"/>
    <m/>
    <x v="34"/>
    <x v="2"/>
    <e v="#N/A"/>
    <e v="#N/A"/>
    <x v="3"/>
    <m/>
    <m/>
    <n v="0"/>
    <m/>
    <m/>
    <x v="2"/>
    <m/>
    <m/>
    <m/>
    <m/>
    <e v="#N/A"/>
    <m/>
    <m/>
  </r>
  <r>
    <x v="2"/>
    <m/>
    <x v="35"/>
    <x v="2"/>
    <e v="#N/A"/>
    <e v="#N/A"/>
    <x v="3"/>
    <m/>
    <m/>
    <n v="0"/>
    <m/>
    <m/>
    <x v="2"/>
    <m/>
    <m/>
    <m/>
    <m/>
    <e v="#N/A"/>
    <m/>
    <m/>
  </r>
  <r>
    <x v="0"/>
    <m/>
    <x v="36"/>
    <x v="2"/>
    <e v="#N/A"/>
    <e v="#N/A"/>
    <x v="3"/>
    <m/>
    <m/>
    <n v="0"/>
    <m/>
    <m/>
    <x v="2"/>
    <m/>
    <m/>
    <m/>
    <m/>
    <e v="#N/A"/>
    <m/>
    <m/>
  </r>
  <r>
    <x v="1"/>
    <m/>
    <x v="37"/>
    <x v="2"/>
    <e v="#N/A"/>
    <e v="#N/A"/>
    <x v="3"/>
    <m/>
    <m/>
    <n v="0"/>
    <m/>
    <m/>
    <x v="2"/>
    <m/>
    <m/>
    <m/>
    <m/>
    <e v="#N/A"/>
    <m/>
    <m/>
  </r>
  <r>
    <x v="2"/>
    <m/>
    <x v="38"/>
    <x v="1"/>
    <e v="#N/A"/>
    <e v="#N/A"/>
    <x v="3"/>
    <m/>
    <m/>
    <m/>
    <m/>
    <m/>
    <x v="2"/>
    <m/>
    <m/>
    <m/>
    <m/>
    <e v="#N/A"/>
    <m/>
    <m/>
  </r>
  <r>
    <x v="2"/>
    <m/>
    <x v="39"/>
    <x v="2"/>
    <e v="#N/A"/>
    <e v="#N/A"/>
    <x v="3"/>
    <m/>
    <m/>
    <n v="0"/>
    <m/>
    <m/>
    <x v="3"/>
    <m/>
    <m/>
    <m/>
    <m/>
    <e v="#N/A"/>
    <m/>
    <m/>
  </r>
  <r>
    <x v="2"/>
    <m/>
    <x v="40"/>
    <x v="2"/>
    <e v="#N/A"/>
    <e v="#N/A"/>
    <x v="3"/>
    <m/>
    <m/>
    <n v="0"/>
    <m/>
    <m/>
    <x v="4"/>
    <m/>
    <m/>
    <m/>
    <m/>
    <e v="#N/A"/>
    <m/>
    <m/>
  </r>
  <r>
    <x v="2"/>
    <m/>
    <x v="41"/>
    <x v="1"/>
    <e v="#N/A"/>
    <e v="#N/A"/>
    <x v="3"/>
    <m/>
    <m/>
    <m/>
    <m/>
    <m/>
    <x v="4"/>
    <m/>
    <m/>
    <m/>
    <m/>
    <e v="#N/A"/>
    <m/>
    <m/>
  </r>
  <r>
    <x v="2"/>
    <m/>
    <x v="42"/>
    <x v="1"/>
    <e v="#N/A"/>
    <e v="#N/A"/>
    <x v="3"/>
    <m/>
    <m/>
    <m/>
    <m/>
    <m/>
    <x v="4"/>
    <m/>
    <m/>
    <m/>
    <m/>
    <e v="#N/A"/>
    <m/>
    <m/>
  </r>
  <r>
    <x v="2"/>
    <m/>
    <x v="43"/>
    <x v="2"/>
    <e v="#N/A"/>
    <e v="#N/A"/>
    <x v="3"/>
    <m/>
    <m/>
    <n v="0"/>
    <m/>
    <m/>
    <x v="4"/>
    <m/>
    <m/>
    <m/>
    <m/>
    <e v="#N/A"/>
    <m/>
    <m/>
  </r>
  <r>
    <x v="2"/>
    <m/>
    <x v="44"/>
    <x v="2"/>
    <e v="#N/A"/>
    <e v="#N/A"/>
    <x v="3"/>
    <m/>
    <m/>
    <n v="0"/>
    <m/>
    <m/>
    <x v="4"/>
    <m/>
    <m/>
    <m/>
    <m/>
    <e v="#N/A"/>
    <m/>
    <m/>
  </r>
  <r>
    <x v="2"/>
    <m/>
    <x v="45"/>
    <x v="1"/>
    <e v="#N/A"/>
    <e v="#N/A"/>
    <x v="3"/>
    <m/>
    <m/>
    <m/>
    <m/>
    <m/>
    <x v="4"/>
    <m/>
    <m/>
    <m/>
    <m/>
    <e v="#N/A"/>
    <m/>
    <m/>
  </r>
  <r>
    <x v="2"/>
    <m/>
    <x v="46"/>
    <x v="2"/>
    <e v="#N/A"/>
    <e v="#N/A"/>
    <x v="3"/>
    <m/>
    <m/>
    <n v="0"/>
    <m/>
    <m/>
    <x v="4"/>
    <m/>
    <m/>
    <m/>
    <m/>
    <e v="#N/A"/>
    <m/>
    <m/>
  </r>
  <r>
    <x v="2"/>
    <m/>
    <x v="47"/>
    <x v="1"/>
    <e v="#N/A"/>
    <e v="#N/A"/>
    <x v="3"/>
    <m/>
    <m/>
    <m/>
    <m/>
    <m/>
    <x v="5"/>
    <m/>
    <m/>
    <m/>
    <m/>
    <e v="#N/A"/>
    <m/>
    <m/>
  </r>
  <r>
    <x v="0"/>
    <m/>
    <x v="48"/>
    <x v="2"/>
    <e v="#N/A"/>
    <e v="#N/A"/>
    <x v="3"/>
    <m/>
    <m/>
    <n v="0"/>
    <m/>
    <m/>
    <x v="5"/>
    <m/>
    <m/>
    <m/>
    <m/>
    <e v="#N/A"/>
    <m/>
    <m/>
  </r>
  <r>
    <x v="2"/>
    <s v="Waste Management "/>
    <x v="5"/>
    <x v="0"/>
    <e v="#N/A"/>
    <e v="#N/A"/>
    <x v="3"/>
    <s v="Federal"/>
    <m/>
    <n v="374920"/>
    <n v="374920"/>
    <n v="2019"/>
    <x v="1"/>
    <n v="2021"/>
    <s v="UP-COMING"/>
    <m/>
    <m/>
    <e v="#N/A"/>
    <s v="WMP JOCS SOW SELECTION"/>
    <m/>
  </r>
  <r>
    <x v="2"/>
    <m/>
    <x v="49"/>
    <x v="2"/>
    <e v="#N/A"/>
    <e v="#N/A"/>
    <x v="3"/>
    <m/>
    <m/>
    <n v="0"/>
    <m/>
    <m/>
    <x v="5"/>
    <m/>
    <m/>
    <m/>
    <m/>
    <e v="#N/A"/>
    <m/>
    <m/>
  </r>
  <r>
    <x v="2"/>
    <m/>
    <x v="50"/>
    <x v="2"/>
    <e v="#N/A"/>
    <e v="#N/A"/>
    <x v="3"/>
    <m/>
    <m/>
    <n v="0"/>
    <m/>
    <m/>
    <x v="5"/>
    <m/>
    <m/>
    <m/>
    <m/>
    <e v="#N/A"/>
    <m/>
    <m/>
  </r>
  <r>
    <x v="2"/>
    <m/>
    <x v="51"/>
    <x v="2"/>
    <e v="#N/A"/>
    <e v="#N/A"/>
    <x v="3"/>
    <m/>
    <m/>
    <n v="0"/>
    <m/>
    <m/>
    <x v="5"/>
    <m/>
    <m/>
    <m/>
    <m/>
    <e v="#N/A"/>
    <m/>
    <m/>
  </r>
  <r>
    <x v="1"/>
    <s v="Waste Management "/>
    <x v="8"/>
    <x v="0"/>
    <e v="#N/A"/>
    <e v="#N/A"/>
    <x v="3"/>
    <s v="Federal"/>
    <m/>
    <n v="374920"/>
    <n v="374920"/>
    <n v="2019"/>
    <x v="5"/>
    <m/>
    <s v="UP-COMING"/>
    <m/>
    <m/>
    <e v="#N/A"/>
    <m/>
    <m/>
  </r>
  <r>
    <x v="2"/>
    <m/>
    <x v="52"/>
    <x v="1"/>
    <e v="#N/A"/>
    <e v="#N/A"/>
    <x v="3"/>
    <m/>
    <m/>
    <m/>
    <m/>
    <m/>
    <x v="5"/>
    <m/>
    <m/>
    <m/>
    <m/>
    <e v="#N/A"/>
    <m/>
    <m/>
  </r>
  <r>
    <x v="1"/>
    <m/>
    <x v="53"/>
    <x v="2"/>
    <e v="#N/A"/>
    <e v="#N/A"/>
    <x v="3"/>
    <m/>
    <m/>
    <n v="0"/>
    <m/>
    <m/>
    <x v="6"/>
    <m/>
    <m/>
    <m/>
    <m/>
    <e v="#N/A"/>
    <m/>
    <m/>
  </r>
  <r>
    <x v="2"/>
    <m/>
    <x v="54"/>
    <x v="1"/>
    <e v="#N/A"/>
    <e v="#N/A"/>
    <x v="3"/>
    <m/>
    <m/>
    <m/>
    <m/>
    <m/>
    <x v="6"/>
    <m/>
    <m/>
    <m/>
    <m/>
    <e v="#N/A"/>
    <m/>
    <m/>
  </r>
  <r>
    <x v="2"/>
    <m/>
    <x v="55"/>
    <x v="2"/>
    <e v="#N/A"/>
    <e v="#N/A"/>
    <x v="3"/>
    <m/>
    <m/>
    <n v="0"/>
    <m/>
    <m/>
    <x v="6"/>
    <m/>
    <m/>
    <m/>
    <m/>
    <e v="#N/A"/>
    <m/>
    <m/>
  </r>
  <r>
    <x v="2"/>
    <m/>
    <x v="56"/>
    <x v="2"/>
    <e v="#N/A"/>
    <e v="#N/A"/>
    <x v="3"/>
    <m/>
    <m/>
    <n v="0"/>
    <m/>
    <m/>
    <x v="6"/>
    <m/>
    <m/>
    <m/>
    <m/>
    <e v="#N/A"/>
    <m/>
    <m/>
  </r>
  <r>
    <x v="2"/>
    <m/>
    <x v="57"/>
    <x v="1"/>
    <e v="#N/A"/>
    <e v="#N/A"/>
    <x v="3"/>
    <m/>
    <m/>
    <m/>
    <m/>
    <m/>
    <x v="7"/>
    <m/>
    <m/>
    <m/>
    <m/>
    <e v="#N/A"/>
    <m/>
    <m/>
  </r>
  <r>
    <x v="1"/>
    <m/>
    <x v="58"/>
    <x v="2"/>
    <e v="#N/A"/>
    <e v="#N/A"/>
    <x v="3"/>
    <m/>
    <m/>
    <n v="0"/>
    <m/>
    <m/>
    <x v="7"/>
    <m/>
    <m/>
    <m/>
    <m/>
    <e v="#N/A"/>
    <m/>
    <m/>
  </r>
  <r>
    <x v="1"/>
    <m/>
    <x v="59"/>
    <x v="2"/>
    <e v="#N/A"/>
    <e v="#N/A"/>
    <x v="3"/>
    <m/>
    <m/>
    <n v="0"/>
    <m/>
    <m/>
    <x v="7"/>
    <m/>
    <m/>
    <m/>
    <m/>
    <e v="#N/A"/>
    <m/>
    <m/>
  </r>
  <r>
    <x v="1"/>
    <m/>
    <x v="60"/>
    <x v="2"/>
    <e v="#N/A"/>
    <e v="#N/A"/>
    <x v="3"/>
    <m/>
    <m/>
    <n v="0"/>
    <m/>
    <m/>
    <x v="1"/>
    <m/>
    <m/>
    <m/>
    <m/>
    <e v="#N/A"/>
    <m/>
    <m/>
  </r>
  <r>
    <x v="1"/>
    <m/>
    <x v="61"/>
    <x v="2"/>
    <e v="#N/A"/>
    <e v="#N/A"/>
    <x v="3"/>
    <m/>
    <m/>
    <n v="0"/>
    <m/>
    <m/>
    <x v="1"/>
    <m/>
    <m/>
    <m/>
    <m/>
    <e v="#N/A"/>
    <m/>
    <m/>
  </r>
  <r>
    <x v="2"/>
    <m/>
    <x v="62"/>
    <x v="1"/>
    <e v="#N/A"/>
    <e v="#N/A"/>
    <x v="3"/>
    <m/>
    <m/>
    <m/>
    <m/>
    <m/>
    <x v="1"/>
    <m/>
    <m/>
    <m/>
    <m/>
    <e v="#N/A"/>
    <m/>
    <m/>
  </r>
  <r>
    <x v="2"/>
    <m/>
    <x v="63"/>
    <x v="2"/>
    <e v="#N/A"/>
    <e v="#N/A"/>
    <x v="3"/>
    <m/>
    <m/>
    <n v="0"/>
    <m/>
    <m/>
    <x v="1"/>
    <m/>
    <m/>
    <m/>
    <m/>
    <e v="#N/A"/>
    <m/>
    <m/>
  </r>
  <r>
    <x v="2"/>
    <m/>
    <x v="64"/>
    <x v="1"/>
    <e v="#N/A"/>
    <e v="#N/A"/>
    <x v="3"/>
    <m/>
    <m/>
    <m/>
    <m/>
    <m/>
    <x v="1"/>
    <m/>
    <m/>
    <m/>
    <m/>
    <e v="#N/A"/>
    <m/>
    <m/>
  </r>
  <r>
    <x v="2"/>
    <s v="Waste Management "/>
    <x v="5"/>
    <x v="0"/>
    <e v="#N/A"/>
    <e v="#N/A"/>
    <x v="1"/>
    <s v="NYCHA Operating"/>
    <m/>
    <n v="739529.70000000007"/>
    <n v="739529.70000000007"/>
    <n v="2019"/>
    <x v="1"/>
    <n v="2020"/>
    <s v="UP-COMING"/>
    <m/>
    <m/>
    <e v="#N/A"/>
    <s v="JOCS CONTRACTS"/>
    <m/>
  </r>
  <r>
    <x v="2"/>
    <s v="Waste Management "/>
    <x v="65"/>
    <x v="0"/>
    <e v="#N/A"/>
    <e v="#N/A"/>
    <x v="1"/>
    <s v="NYCHA Operating"/>
    <m/>
    <n v="97310"/>
    <n v="97310"/>
    <n v="2019"/>
    <x v="1"/>
    <n v="2020"/>
    <s v="UP-COMING"/>
    <m/>
    <m/>
    <e v="#N/A"/>
    <s v="JOCS CONTRACTS"/>
    <m/>
  </r>
  <r>
    <x v="2"/>
    <s v="Waste Management "/>
    <x v="20"/>
    <x v="0"/>
    <e v="#N/A"/>
    <e v="#N/A"/>
    <x v="1"/>
    <s v="City Expense"/>
    <n v="806574.97499999998"/>
    <m/>
    <n v="806574.97499999998"/>
    <n v="2019"/>
    <x v="1"/>
    <n v="2021"/>
    <s v="UP-COMING"/>
    <m/>
    <m/>
    <e v="#N/A"/>
    <s v="JOCS CONTRACTS"/>
    <m/>
  </r>
  <r>
    <x v="2"/>
    <s v="Waste Management "/>
    <x v="66"/>
    <x v="0"/>
    <e v="#N/A"/>
    <e v="#N/A"/>
    <x v="1"/>
    <s v="NYCHA Operating"/>
    <m/>
    <n v="452996.57512643072"/>
    <n v="452996.57512643072"/>
    <n v="2019"/>
    <x v="1"/>
    <n v="2021"/>
    <s v="UP-COMING"/>
    <m/>
    <m/>
    <e v="#N/A"/>
    <s v="JOCS CONTRACTS"/>
    <m/>
  </r>
  <r>
    <x v="1"/>
    <m/>
    <x v="67"/>
    <x v="2"/>
    <e v="#N/A"/>
    <e v="#N/A"/>
    <x v="4"/>
    <m/>
    <m/>
    <m/>
    <m/>
    <m/>
    <x v="8"/>
    <m/>
    <m/>
    <m/>
    <m/>
    <e v="#N/A"/>
    <m/>
    <m/>
  </r>
  <r>
    <x v="2"/>
    <s v="Waste Management "/>
    <x v="27"/>
    <x v="0"/>
    <e v="#N/A"/>
    <e v="#N/A"/>
    <x v="4"/>
    <s v="Federal"/>
    <m/>
    <n v="74191"/>
    <n v="74191"/>
    <n v="2019"/>
    <x v="1"/>
    <n v="2021"/>
    <s v="UP-COMING"/>
    <m/>
    <m/>
    <e v="#N/A"/>
    <s v="WMP JOCS SOW SELECTION"/>
    <m/>
  </r>
  <r>
    <x v="2"/>
    <m/>
    <x v="55"/>
    <x v="2"/>
    <e v="#N/A"/>
    <e v="#N/A"/>
    <x v="4"/>
    <m/>
    <m/>
    <m/>
    <m/>
    <m/>
    <x v="9"/>
    <m/>
    <m/>
    <m/>
    <m/>
    <e v="#N/A"/>
    <m/>
    <m/>
  </r>
  <r>
    <x v="2"/>
    <m/>
    <x v="56"/>
    <x v="2"/>
    <e v="#N/A"/>
    <e v="#N/A"/>
    <x v="4"/>
    <m/>
    <m/>
    <m/>
    <m/>
    <m/>
    <x v="9"/>
    <m/>
    <m/>
    <m/>
    <m/>
    <e v="#N/A"/>
    <m/>
    <m/>
  </r>
  <r>
    <x v="2"/>
    <m/>
    <x v="68"/>
    <x v="1"/>
    <e v="#N/A"/>
    <e v="#N/A"/>
    <x v="4"/>
    <m/>
    <m/>
    <m/>
    <m/>
    <m/>
    <x v="8"/>
    <m/>
    <m/>
    <m/>
    <m/>
    <e v="#N/A"/>
    <m/>
    <m/>
  </r>
  <r>
    <x v="2"/>
    <s v="Waste Management "/>
    <x v="30"/>
    <x v="0"/>
    <e v="#N/A"/>
    <e v="#N/A"/>
    <x v="4"/>
    <s v="Federal"/>
    <m/>
    <n v="74191"/>
    <n v="74191"/>
    <n v="2019"/>
    <x v="1"/>
    <n v="2021"/>
    <s v="UP-COMING"/>
    <m/>
    <m/>
    <e v="#N/A"/>
    <s v="WMP JOCS SOW SELECTION"/>
    <m/>
  </r>
  <r>
    <x v="1"/>
    <m/>
    <x v="58"/>
    <x v="2"/>
    <e v="#N/A"/>
    <e v="#N/A"/>
    <x v="4"/>
    <m/>
    <m/>
    <m/>
    <m/>
    <m/>
    <x v="8"/>
    <m/>
    <m/>
    <m/>
    <m/>
    <e v="#N/A"/>
    <m/>
    <m/>
  </r>
  <r>
    <x v="1"/>
    <m/>
    <x v="59"/>
    <x v="2"/>
    <e v="#N/A"/>
    <e v="#N/A"/>
    <x v="4"/>
    <m/>
    <m/>
    <m/>
    <m/>
    <m/>
    <x v="8"/>
    <m/>
    <m/>
    <m/>
    <m/>
    <e v="#N/A"/>
    <m/>
    <m/>
  </r>
  <r>
    <x v="1"/>
    <m/>
    <x v="61"/>
    <x v="2"/>
    <e v="#N/A"/>
    <e v="#N/A"/>
    <x v="4"/>
    <m/>
    <m/>
    <m/>
    <m/>
    <m/>
    <x v="8"/>
    <m/>
    <m/>
    <m/>
    <m/>
    <e v="#N/A"/>
    <m/>
    <m/>
  </r>
  <r>
    <x v="2"/>
    <s v="Waste Management "/>
    <x v="21"/>
    <x v="0"/>
    <e v="#N/A"/>
    <e v="#N/A"/>
    <x v="4"/>
    <s v="Federal"/>
    <m/>
    <n v="3412786"/>
    <n v="3412786"/>
    <n v="2019"/>
    <x v="1"/>
    <n v="2021"/>
    <s v="UP-COMING"/>
    <m/>
    <m/>
    <e v="#N/A"/>
    <s v="WMP JOCS SOW SELECTION"/>
    <m/>
  </r>
  <r>
    <x v="2"/>
    <s v="Waste Management "/>
    <x v="69"/>
    <x v="0"/>
    <e v="#N/A"/>
    <e v="#N/A"/>
    <x v="4"/>
    <s v="Federal"/>
    <m/>
    <n v="593528"/>
    <n v="593528"/>
    <n v="2019"/>
    <x v="1"/>
    <n v="2021"/>
    <s v="UP-COMING"/>
    <m/>
    <m/>
    <e v="#N/A"/>
    <s v="WMP JOCS SOW SELECTION"/>
    <m/>
  </r>
  <r>
    <x v="2"/>
    <m/>
    <x v="63"/>
    <x v="2"/>
    <e v="#N/A"/>
    <e v="#N/A"/>
    <x v="4"/>
    <m/>
    <m/>
    <m/>
    <m/>
    <m/>
    <x v="2"/>
    <m/>
    <m/>
    <m/>
    <m/>
    <e v="#N/A"/>
    <m/>
    <m/>
  </r>
  <r>
    <x v="2"/>
    <s v="Waste Management "/>
    <x v="5"/>
    <x v="0"/>
    <e v="#N/A"/>
    <e v="#N/A"/>
    <x v="5"/>
    <s v="Federal"/>
    <m/>
    <n v="2725380"/>
    <n v="2725380"/>
    <n v="2019"/>
    <x v="7"/>
    <n v="2021"/>
    <s v="UP-COMING"/>
    <m/>
    <m/>
    <e v="#N/A"/>
    <s v="WMP JOCS SOW SELECTION"/>
    <s v="Need to speak to Real Estate about relocating compactors"/>
  </r>
  <r>
    <x v="2"/>
    <s v="Waste Management "/>
    <x v="20"/>
    <x v="0"/>
    <e v="#N/A"/>
    <e v="#N/A"/>
    <x v="5"/>
    <s v="Federal"/>
    <m/>
    <n v="1362690"/>
    <n v="1362690"/>
    <n v="2019"/>
    <x v="7"/>
    <n v="2021"/>
    <s v="UP-COMING"/>
    <m/>
    <m/>
    <e v="#N/A"/>
    <s v="WMP JOCS SOW SELECTION"/>
    <m/>
  </r>
  <r>
    <x v="2"/>
    <m/>
    <x v="70"/>
    <x v="2"/>
    <e v="#N/A"/>
    <e v="#N/A"/>
    <x v="3"/>
    <m/>
    <m/>
    <n v="0"/>
    <m/>
    <m/>
    <x v="4"/>
    <m/>
    <m/>
    <m/>
    <m/>
    <e v="#N/A"/>
    <m/>
    <m/>
  </r>
  <r>
    <x v="2"/>
    <m/>
    <x v="71"/>
    <x v="1"/>
    <e v="#N/A"/>
    <e v="#N/A"/>
    <x v="3"/>
    <m/>
    <m/>
    <m/>
    <m/>
    <m/>
    <x v="5"/>
    <m/>
    <m/>
    <m/>
    <m/>
    <e v="#N/A"/>
    <m/>
    <m/>
  </r>
  <r>
    <x v="2"/>
    <m/>
    <x v="72"/>
    <x v="1"/>
    <e v="#N/A"/>
    <e v="#N/A"/>
    <x v="3"/>
    <m/>
    <m/>
    <m/>
    <m/>
    <m/>
    <x v="5"/>
    <m/>
    <m/>
    <m/>
    <m/>
    <e v="#N/A"/>
    <m/>
    <m/>
  </r>
  <r>
    <x v="1"/>
    <m/>
    <x v="73"/>
    <x v="2"/>
    <e v="#N/A"/>
    <e v="#N/A"/>
    <x v="3"/>
    <m/>
    <m/>
    <n v="0"/>
    <m/>
    <m/>
    <x v="6"/>
    <m/>
    <m/>
    <m/>
    <m/>
    <e v="#N/A"/>
    <m/>
    <m/>
  </r>
  <r>
    <x v="2"/>
    <m/>
    <x v="74"/>
    <x v="1"/>
    <e v="#N/A"/>
    <e v="#N/A"/>
    <x v="3"/>
    <m/>
    <m/>
    <m/>
    <m/>
    <m/>
    <x v="6"/>
    <m/>
    <m/>
    <m/>
    <m/>
    <e v="#N/A"/>
    <m/>
    <m/>
  </r>
  <r>
    <x v="2"/>
    <m/>
    <x v="75"/>
    <x v="1"/>
    <e v="#N/A"/>
    <e v="#N/A"/>
    <x v="3"/>
    <m/>
    <m/>
    <m/>
    <m/>
    <m/>
    <x v="1"/>
    <m/>
    <m/>
    <m/>
    <m/>
    <e v="#N/A"/>
    <m/>
    <m/>
  </r>
  <r>
    <x v="2"/>
    <m/>
    <x v="33"/>
    <x v="2"/>
    <e v="#N/A"/>
    <e v="#N/A"/>
    <x v="4"/>
    <m/>
    <m/>
    <m/>
    <m/>
    <m/>
    <x v="9"/>
    <m/>
    <m/>
    <m/>
    <m/>
    <e v="#N/A"/>
    <m/>
    <m/>
  </r>
  <r>
    <x v="2"/>
    <m/>
    <x v="38"/>
    <x v="1"/>
    <e v="#N/A"/>
    <e v="#N/A"/>
    <x v="4"/>
    <m/>
    <m/>
    <m/>
    <m/>
    <m/>
    <x v="8"/>
    <m/>
    <m/>
    <m/>
    <m/>
    <e v="#N/A"/>
    <m/>
    <m/>
  </r>
  <r>
    <x v="2"/>
    <m/>
    <x v="44"/>
    <x v="2"/>
    <e v="#N/A"/>
    <e v="#N/A"/>
    <x v="4"/>
    <m/>
    <m/>
    <m/>
    <m/>
    <m/>
    <x v="9"/>
    <m/>
    <m/>
    <m/>
    <m/>
    <e v="#N/A"/>
    <m/>
    <m/>
  </r>
  <r>
    <x v="2"/>
    <m/>
    <x v="76"/>
    <x v="2"/>
    <e v="#N/A"/>
    <e v="#N/A"/>
    <x v="4"/>
    <m/>
    <m/>
    <m/>
    <m/>
    <m/>
    <x v="9"/>
    <m/>
    <m/>
    <m/>
    <m/>
    <e v="#N/A"/>
    <m/>
    <m/>
  </r>
  <r>
    <x v="2"/>
    <m/>
    <x v="46"/>
    <x v="2"/>
    <e v="#N/A"/>
    <e v="#N/A"/>
    <x v="4"/>
    <m/>
    <m/>
    <m/>
    <m/>
    <m/>
    <x v="9"/>
    <m/>
    <m/>
    <m/>
    <m/>
    <e v="#N/A"/>
    <m/>
    <m/>
  </r>
  <r>
    <x v="0"/>
    <s v="Waste Management "/>
    <x v="77"/>
    <x v="0"/>
    <e v="#N/A"/>
    <e v="#N/A"/>
    <x v="3"/>
    <s v="Federal"/>
    <m/>
    <n v="187460"/>
    <n v="187460"/>
    <n v="2019"/>
    <x v="2"/>
    <m/>
    <s v="UP-COMING"/>
    <m/>
    <m/>
    <e v="#N/A"/>
    <m/>
    <m/>
  </r>
  <r>
    <x v="0"/>
    <m/>
    <x v="78"/>
    <x v="2"/>
    <e v="#N/A"/>
    <e v="#N/A"/>
    <x v="3"/>
    <m/>
    <m/>
    <n v="0"/>
    <m/>
    <m/>
    <x v="2"/>
    <m/>
    <m/>
    <m/>
    <m/>
    <e v="#N/A"/>
    <m/>
    <m/>
  </r>
  <r>
    <x v="2"/>
    <m/>
    <x v="79"/>
    <x v="1"/>
    <e v="#N/A"/>
    <e v="#N/A"/>
    <x v="3"/>
    <m/>
    <m/>
    <m/>
    <m/>
    <m/>
    <x v="2"/>
    <m/>
    <m/>
    <m/>
    <m/>
    <e v="#N/A"/>
    <m/>
    <m/>
  </r>
  <r>
    <x v="1"/>
    <m/>
    <x v="67"/>
    <x v="2"/>
    <e v="#N/A"/>
    <e v="#N/A"/>
    <x v="3"/>
    <m/>
    <m/>
    <n v="0"/>
    <m/>
    <m/>
    <x v="2"/>
    <m/>
    <m/>
    <m/>
    <m/>
    <e v="#N/A"/>
    <m/>
    <m/>
  </r>
  <r>
    <x v="1"/>
    <s v="Waste Management "/>
    <x v="80"/>
    <x v="0"/>
    <e v="#N/A"/>
    <e v="#N/A"/>
    <x v="3"/>
    <s v="Federal"/>
    <m/>
    <n v="187460"/>
    <n v="187460"/>
    <n v="2019"/>
    <x v="4"/>
    <m/>
    <s v="UP-COMING"/>
    <m/>
    <m/>
    <e v="#N/A"/>
    <m/>
    <m/>
  </r>
  <r>
    <x v="2"/>
    <m/>
    <x v="81"/>
    <x v="1"/>
    <e v="#N/A"/>
    <e v="#N/A"/>
    <x v="3"/>
    <m/>
    <m/>
    <m/>
    <m/>
    <m/>
    <x v="5"/>
    <m/>
    <m/>
    <m/>
    <m/>
    <e v="#N/A"/>
    <m/>
    <m/>
  </r>
  <r>
    <x v="1"/>
    <m/>
    <x v="82"/>
    <x v="2"/>
    <e v="#N/A"/>
    <e v="#N/A"/>
    <x v="3"/>
    <m/>
    <m/>
    <n v="0"/>
    <m/>
    <m/>
    <x v="7"/>
    <m/>
    <m/>
    <m/>
    <m/>
    <e v="#N/A"/>
    <m/>
    <m/>
  </r>
  <r>
    <x v="2"/>
    <m/>
    <x v="32"/>
    <x v="1"/>
    <e v="#N/A"/>
    <e v="#N/A"/>
    <x v="4"/>
    <m/>
    <m/>
    <m/>
    <m/>
    <m/>
    <x v="8"/>
    <m/>
    <m/>
    <m/>
    <m/>
    <e v="#N/A"/>
    <m/>
    <m/>
  </r>
  <r>
    <x v="1"/>
    <m/>
    <x v="83"/>
    <x v="2"/>
    <e v="#N/A"/>
    <e v="#N/A"/>
    <x v="4"/>
    <m/>
    <m/>
    <m/>
    <m/>
    <m/>
    <x v="8"/>
    <m/>
    <m/>
    <m/>
    <m/>
    <e v="#N/A"/>
    <m/>
    <m/>
  </r>
  <r>
    <x v="1"/>
    <s v="Waste Management "/>
    <x v="80"/>
    <x v="0"/>
    <e v="#N/A"/>
    <e v="#N/A"/>
    <x v="4"/>
    <s v="Federal"/>
    <m/>
    <n v="74191"/>
    <n v="74191"/>
    <n v="2019"/>
    <x v="8"/>
    <m/>
    <s v="UP-COMING"/>
    <m/>
    <m/>
    <e v="#N/A"/>
    <m/>
    <m/>
  </r>
  <r>
    <x v="0"/>
    <m/>
    <x v="48"/>
    <x v="2"/>
    <e v="#N/A"/>
    <e v="#N/A"/>
    <x v="4"/>
    <m/>
    <m/>
    <m/>
    <m/>
    <m/>
    <x v="8"/>
    <m/>
    <m/>
    <m/>
    <m/>
    <e v="#N/A"/>
    <m/>
    <m/>
  </r>
  <r>
    <x v="2"/>
    <m/>
    <x v="74"/>
    <x v="1"/>
    <e v="#N/A"/>
    <e v="#N/A"/>
    <x v="4"/>
    <m/>
    <m/>
    <m/>
    <m/>
    <m/>
    <x v="8"/>
    <m/>
    <m/>
    <m/>
    <m/>
    <e v="#N/A"/>
    <m/>
    <m/>
  </r>
  <r>
    <x v="2"/>
    <m/>
    <x v="64"/>
    <x v="1"/>
    <e v="#N/A"/>
    <e v="#N/A"/>
    <x v="4"/>
    <m/>
    <m/>
    <m/>
    <m/>
    <m/>
    <x v="8"/>
    <m/>
    <m/>
    <m/>
    <m/>
    <e v="#N/A"/>
    <m/>
    <m/>
  </r>
  <r>
    <x v="1"/>
    <m/>
    <x v="83"/>
    <x v="2"/>
    <e v="#N/A"/>
    <e v="#N/A"/>
    <x v="3"/>
    <m/>
    <m/>
    <n v="0"/>
    <m/>
    <m/>
    <x v="2"/>
    <m/>
    <m/>
    <m/>
    <m/>
    <e v="#N/A"/>
    <m/>
    <m/>
  </r>
  <r>
    <x v="2"/>
    <m/>
    <x v="76"/>
    <x v="2"/>
    <e v="#N/A"/>
    <e v="#N/A"/>
    <x v="3"/>
    <m/>
    <m/>
    <n v="0"/>
    <m/>
    <m/>
    <x v="4"/>
    <m/>
    <m/>
    <m/>
    <m/>
    <e v="#N/A"/>
    <m/>
    <m/>
  </r>
  <r>
    <x v="2"/>
    <m/>
    <x v="84"/>
    <x v="1"/>
    <e v="#N/A"/>
    <e v="#N/A"/>
    <x v="3"/>
    <m/>
    <m/>
    <m/>
    <m/>
    <m/>
    <x v="5"/>
    <m/>
    <m/>
    <m/>
    <m/>
    <e v="#N/A"/>
    <m/>
    <m/>
  </r>
  <r>
    <x v="2"/>
    <m/>
    <x v="68"/>
    <x v="1"/>
    <e v="#N/A"/>
    <e v="#N/A"/>
    <x v="3"/>
    <m/>
    <m/>
    <m/>
    <m/>
    <m/>
    <x v="7"/>
    <m/>
    <m/>
    <m/>
    <m/>
    <e v="#N/A"/>
    <m/>
    <m/>
  </r>
  <r>
    <x v="2"/>
    <m/>
    <x v="85"/>
    <x v="1"/>
    <e v="#N/A"/>
    <e v="#N/A"/>
    <x v="3"/>
    <m/>
    <m/>
    <m/>
    <m/>
    <m/>
    <x v="1"/>
    <m/>
    <m/>
    <m/>
    <m/>
    <e v="#N/A"/>
    <m/>
    <m/>
  </r>
  <r>
    <x v="2"/>
    <m/>
    <x v="86"/>
    <x v="1"/>
    <e v="#N/A"/>
    <e v="#N/A"/>
    <x v="3"/>
    <m/>
    <m/>
    <m/>
    <m/>
    <m/>
    <x v="1"/>
    <m/>
    <m/>
    <m/>
    <m/>
    <e v="#N/A"/>
    <m/>
    <m/>
  </r>
  <r>
    <x v="1"/>
    <s v="Waste Management "/>
    <x v="16"/>
    <x v="0"/>
    <e v="#N/A"/>
    <e v="#N/A"/>
    <x v="3"/>
    <s v="Federal"/>
    <m/>
    <n v="374920"/>
    <n v="374920"/>
    <n v="2019"/>
    <x v="1"/>
    <m/>
    <s v="UP-COMING"/>
    <m/>
    <m/>
    <e v="#N/A"/>
    <m/>
    <m/>
  </r>
  <r>
    <x v="1"/>
    <s v="Waste Management "/>
    <x v="1"/>
    <x v="0"/>
    <e v="#N/A"/>
    <e v="#N/A"/>
    <x v="4"/>
    <s v="Federal"/>
    <m/>
    <n v="445146"/>
    <n v="445146"/>
    <n v="2019"/>
    <x v="8"/>
    <m/>
    <s v="UP-COMING"/>
    <m/>
    <m/>
    <e v="#N/A"/>
    <m/>
    <m/>
  </r>
  <r>
    <x v="2"/>
    <m/>
    <x v="47"/>
    <x v="1"/>
    <e v="#N/A"/>
    <e v="#N/A"/>
    <x v="4"/>
    <m/>
    <m/>
    <m/>
    <m/>
    <m/>
    <x v="8"/>
    <m/>
    <m/>
    <m/>
    <m/>
    <e v="#N/A"/>
    <m/>
    <m/>
  </r>
  <r>
    <x v="2"/>
    <m/>
    <x v="87"/>
    <x v="1"/>
    <e v="#N/A"/>
    <e v="#N/A"/>
    <x v="4"/>
    <m/>
    <m/>
    <m/>
    <m/>
    <m/>
    <x v="8"/>
    <m/>
    <m/>
    <m/>
    <m/>
    <e v="#N/A"/>
    <m/>
    <m/>
  </r>
  <r>
    <x v="2"/>
    <m/>
    <x v="88"/>
    <x v="1"/>
    <e v="#N/A"/>
    <e v="#N/A"/>
    <x v="3"/>
    <m/>
    <m/>
    <m/>
    <m/>
    <m/>
    <x v="2"/>
    <m/>
    <m/>
    <m/>
    <m/>
    <e v="#N/A"/>
    <m/>
    <m/>
  </r>
  <r>
    <x v="2"/>
    <m/>
    <x v="89"/>
    <x v="2"/>
    <e v="#N/A"/>
    <e v="#N/A"/>
    <x v="3"/>
    <m/>
    <m/>
    <n v="0"/>
    <m/>
    <m/>
    <x v="3"/>
    <m/>
    <m/>
    <m/>
    <m/>
    <e v="#N/A"/>
    <m/>
    <m/>
  </r>
  <r>
    <x v="2"/>
    <m/>
    <x v="90"/>
    <x v="1"/>
    <e v="#N/A"/>
    <e v="#N/A"/>
    <x v="3"/>
    <m/>
    <m/>
    <m/>
    <m/>
    <m/>
    <x v="5"/>
    <m/>
    <m/>
    <m/>
    <m/>
    <e v="#N/A"/>
    <m/>
    <m/>
  </r>
  <r>
    <x v="1"/>
    <m/>
    <x v="91"/>
    <x v="2"/>
    <e v="#N/A"/>
    <e v="#N/A"/>
    <x v="3"/>
    <m/>
    <m/>
    <n v="0"/>
    <m/>
    <m/>
    <x v="6"/>
    <m/>
    <m/>
    <m/>
    <m/>
    <e v="#N/A"/>
    <m/>
    <m/>
  </r>
  <r>
    <x v="2"/>
    <m/>
    <x v="92"/>
    <x v="1"/>
    <e v="#N/A"/>
    <e v="#N/A"/>
    <x v="3"/>
    <m/>
    <m/>
    <m/>
    <m/>
    <m/>
    <x v="6"/>
    <m/>
    <m/>
    <m/>
    <m/>
    <e v="#N/A"/>
    <m/>
    <m/>
  </r>
  <r>
    <x v="3"/>
    <m/>
    <x v="93"/>
    <x v="2"/>
    <e v="#N/A"/>
    <e v="#N/A"/>
    <x v="3"/>
    <m/>
    <m/>
    <n v="0"/>
    <m/>
    <m/>
    <x v="6"/>
    <m/>
    <m/>
    <m/>
    <m/>
    <e v="#N/A"/>
    <m/>
    <m/>
  </r>
  <r>
    <x v="3"/>
    <m/>
    <x v="94"/>
    <x v="2"/>
    <e v="#N/A"/>
    <e v="#N/A"/>
    <x v="3"/>
    <m/>
    <m/>
    <n v="0"/>
    <m/>
    <m/>
    <x v="6"/>
    <m/>
    <m/>
    <m/>
    <m/>
    <e v="#N/A"/>
    <m/>
    <m/>
  </r>
  <r>
    <x v="2"/>
    <m/>
    <x v="95"/>
    <x v="1"/>
    <e v="#N/A"/>
    <e v="#N/A"/>
    <x v="3"/>
    <m/>
    <m/>
    <m/>
    <m/>
    <m/>
    <x v="7"/>
    <m/>
    <m/>
    <m/>
    <m/>
    <e v="#N/A"/>
    <m/>
    <m/>
  </r>
  <r>
    <x v="2"/>
    <m/>
    <x v="87"/>
    <x v="1"/>
    <e v="#N/A"/>
    <e v="#N/A"/>
    <x v="3"/>
    <m/>
    <m/>
    <m/>
    <m/>
    <m/>
    <x v="1"/>
    <m/>
    <m/>
    <m/>
    <m/>
    <e v="#N/A"/>
    <m/>
    <m/>
  </r>
  <r>
    <x v="2"/>
    <m/>
    <x v="96"/>
    <x v="1"/>
    <e v="#N/A"/>
    <e v="#N/A"/>
    <x v="3"/>
    <m/>
    <m/>
    <m/>
    <m/>
    <m/>
    <x v="1"/>
    <m/>
    <m/>
    <m/>
    <m/>
    <e v="#N/A"/>
    <m/>
    <m/>
  </r>
  <r>
    <x v="1"/>
    <m/>
    <x v="82"/>
    <x v="2"/>
    <e v="#N/A"/>
    <e v="#N/A"/>
    <x v="4"/>
    <m/>
    <m/>
    <m/>
    <m/>
    <m/>
    <x v="8"/>
    <m/>
    <m/>
    <m/>
    <m/>
    <e v="#N/A"/>
    <m/>
    <m/>
  </r>
  <r>
    <x v="2"/>
    <m/>
    <x v="86"/>
    <x v="1"/>
    <e v="#N/A"/>
    <e v="#N/A"/>
    <x v="4"/>
    <m/>
    <m/>
    <m/>
    <m/>
    <m/>
    <x v="8"/>
    <m/>
    <m/>
    <m/>
    <m/>
    <e v="#N/A"/>
    <m/>
    <m/>
  </r>
  <r>
    <x v="2"/>
    <m/>
    <x v="88"/>
    <x v="1"/>
    <e v="#N/A"/>
    <e v="#N/A"/>
    <x v="4"/>
    <m/>
    <m/>
    <m/>
    <m/>
    <m/>
    <x v="8"/>
    <m/>
    <m/>
    <m/>
    <m/>
    <e v="#N/A"/>
    <m/>
    <m/>
  </r>
  <r>
    <x v="2"/>
    <m/>
    <x v="72"/>
    <x v="1"/>
    <e v="#N/A"/>
    <e v="#N/A"/>
    <x v="4"/>
    <m/>
    <m/>
    <m/>
    <m/>
    <m/>
    <x v="8"/>
    <m/>
    <m/>
    <m/>
    <m/>
    <e v="#N/A"/>
    <m/>
    <m/>
  </r>
  <r>
    <x v="2"/>
    <m/>
    <x v="54"/>
    <x v="1"/>
    <e v="#N/A"/>
    <e v="#N/A"/>
    <x v="4"/>
    <m/>
    <m/>
    <m/>
    <m/>
    <m/>
    <x v="8"/>
    <m/>
    <m/>
    <m/>
    <m/>
    <e v="#N/A"/>
    <m/>
    <m/>
  </r>
  <r>
    <x v="0"/>
    <s v="Waste Management "/>
    <x v="0"/>
    <x v="0"/>
    <e v="#N/A"/>
    <e v="#N/A"/>
    <x v="4"/>
    <s v="Federal"/>
    <m/>
    <n v="220329"/>
    <n v="220329"/>
    <n v="2019"/>
    <x v="8"/>
    <m/>
    <s v="UP-COMING"/>
    <m/>
    <m/>
    <e v="#N/A"/>
    <m/>
    <m/>
  </r>
  <r>
    <x v="2"/>
    <m/>
    <x v="71"/>
    <x v="1"/>
    <e v="#N/A"/>
    <e v="#N/A"/>
    <x v="4"/>
    <m/>
    <m/>
    <m/>
    <m/>
    <m/>
    <x v="8"/>
    <m/>
    <m/>
    <m/>
    <m/>
    <e v="#N/A"/>
    <m/>
    <m/>
  </r>
  <r>
    <x v="2"/>
    <m/>
    <x v="90"/>
    <x v="1"/>
    <e v="#N/A"/>
    <e v="#N/A"/>
    <x v="4"/>
    <m/>
    <m/>
    <m/>
    <m/>
    <m/>
    <x v="8"/>
    <m/>
    <m/>
    <m/>
    <m/>
    <e v="#N/A"/>
    <m/>
    <m/>
  </r>
  <r>
    <x v="2"/>
    <m/>
    <x v="57"/>
    <x v="1"/>
    <e v="#N/A"/>
    <e v="#N/A"/>
    <x v="4"/>
    <m/>
    <m/>
    <m/>
    <m/>
    <m/>
    <x v="9"/>
    <m/>
    <m/>
    <m/>
    <m/>
    <e v="#N/A"/>
    <m/>
    <m/>
  </r>
  <r>
    <x v="2"/>
    <m/>
    <x v="52"/>
    <x v="1"/>
    <e v="#N/A"/>
    <e v="#N/A"/>
    <x v="4"/>
    <m/>
    <m/>
    <m/>
    <m/>
    <m/>
    <x v="8"/>
    <m/>
    <m/>
    <m/>
    <m/>
    <e v="#N/A"/>
    <m/>
    <m/>
  </r>
  <r>
    <x v="1"/>
    <m/>
    <x v="73"/>
    <x v="2"/>
    <e v="#N/A"/>
    <e v="#N/A"/>
    <x v="4"/>
    <m/>
    <m/>
    <m/>
    <m/>
    <m/>
    <x v="8"/>
    <m/>
    <m/>
    <m/>
    <m/>
    <e v="#N/A"/>
    <m/>
    <m/>
  </r>
  <r>
    <x v="2"/>
    <m/>
    <x v="95"/>
    <x v="1"/>
    <e v="#N/A"/>
    <e v="#N/A"/>
    <x v="4"/>
    <m/>
    <m/>
    <m/>
    <m/>
    <m/>
    <x v="8"/>
    <m/>
    <m/>
    <m/>
    <m/>
    <e v="#N/A"/>
    <m/>
    <m/>
  </r>
  <r>
    <x v="2"/>
    <m/>
    <x v="89"/>
    <x v="2"/>
    <e v="#N/A"/>
    <e v="#N/A"/>
    <x v="4"/>
    <m/>
    <m/>
    <m/>
    <m/>
    <m/>
    <x v="8"/>
    <m/>
    <m/>
    <m/>
    <m/>
    <e v="#N/A"/>
    <m/>
    <m/>
  </r>
  <r>
    <x v="2"/>
    <m/>
    <x v="40"/>
    <x v="2"/>
    <e v="#N/A"/>
    <e v="#N/A"/>
    <x v="4"/>
    <m/>
    <m/>
    <m/>
    <m/>
    <m/>
    <x v="8"/>
    <m/>
    <m/>
    <m/>
    <m/>
    <e v="#N/A"/>
    <m/>
    <m/>
  </r>
  <r>
    <x v="2"/>
    <m/>
    <x v="35"/>
    <x v="2"/>
    <e v="#N/A"/>
    <e v="#N/A"/>
    <x v="4"/>
    <m/>
    <m/>
    <m/>
    <m/>
    <m/>
    <x v="9"/>
    <m/>
    <m/>
    <m/>
    <m/>
    <e v="#N/A"/>
    <m/>
    <m/>
  </r>
  <r>
    <x v="2"/>
    <m/>
    <x v="79"/>
    <x v="1"/>
    <e v="#N/A"/>
    <e v="#N/A"/>
    <x v="4"/>
    <m/>
    <m/>
    <m/>
    <m/>
    <m/>
    <x v="8"/>
    <m/>
    <m/>
    <m/>
    <m/>
    <e v="#N/A"/>
    <m/>
    <m/>
  </r>
  <r>
    <x v="2"/>
    <m/>
    <x v="39"/>
    <x v="2"/>
    <e v="#N/A"/>
    <e v="#N/A"/>
    <x v="4"/>
    <m/>
    <m/>
    <m/>
    <m/>
    <m/>
    <x v="8"/>
    <m/>
    <m/>
    <m/>
    <m/>
    <e v="#N/A"/>
    <m/>
    <m/>
  </r>
  <r>
    <x v="2"/>
    <m/>
    <x v="41"/>
    <x v="1"/>
    <e v="#N/A"/>
    <e v="#N/A"/>
    <x v="4"/>
    <m/>
    <m/>
    <m/>
    <m/>
    <m/>
    <x v="8"/>
    <m/>
    <m/>
    <m/>
    <m/>
    <e v="#N/A"/>
    <m/>
    <m/>
  </r>
  <r>
    <x v="2"/>
    <m/>
    <x v="70"/>
    <x v="2"/>
    <e v="#N/A"/>
    <e v="#N/A"/>
    <x v="4"/>
    <m/>
    <m/>
    <m/>
    <m/>
    <m/>
    <x v="8"/>
    <m/>
    <m/>
    <m/>
    <m/>
    <e v="#N/A"/>
    <m/>
    <m/>
  </r>
  <r>
    <x v="1"/>
    <m/>
    <x v="53"/>
    <x v="2"/>
    <e v="#N/A"/>
    <e v="#N/A"/>
    <x v="4"/>
    <m/>
    <m/>
    <m/>
    <m/>
    <m/>
    <x v="8"/>
    <m/>
    <m/>
    <m/>
    <m/>
    <e v="#N/A"/>
    <m/>
    <m/>
  </r>
  <r>
    <x v="1"/>
    <m/>
    <x v="60"/>
    <x v="2"/>
    <e v="#N/A"/>
    <e v="#N/A"/>
    <x v="4"/>
    <m/>
    <m/>
    <m/>
    <m/>
    <m/>
    <x v="8"/>
    <m/>
    <m/>
    <m/>
    <m/>
    <e v="#N/A"/>
    <m/>
    <m/>
  </r>
  <r>
    <x v="3"/>
    <m/>
    <x v="94"/>
    <x v="2"/>
    <e v="#N/A"/>
    <e v="#N/A"/>
    <x v="4"/>
    <m/>
    <m/>
    <m/>
    <m/>
    <m/>
    <x v="8"/>
    <m/>
    <m/>
    <m/>
    <m/>
    <e v="#N/A"/>
    <m/>
    <m/>
  </r>
  <r>
    <x v="1"/>
    <m/>
    <x v="37"/>
    <x v="2"/>
    <e v="#N/A"/>
    <e v="#N/A"/>
    <x v="4"/>
    <m/>
    <m/>
    <m/>
    <m/>
    <m/>
    <x v="8"/>
    <m/>
    <m/>
    <m/>
    <m/>
    <e v="#N/A"/>
    <m/>
    <m/>
  </r>
  <r>
    <x v="3"/>
    <m/>
    <x v="93"/>
    <x v="2"/>
    <e v="#N/A"/>
    <e v="#N/A"/>
    <x v="4"/>
    <m/>
    <m/>
    <m/>
    <m/>
    <m/>
    <x v="8"/>
    <m/>
    <m/>
    <m/>
    <m/>
    <e v="#N/A"/>
    <m/>
    <m/>
  </r>
  <r>
    <x v="2"/>
    <m/>
    <x v="49"/>
    <x v="2"/>
    <e v="#N/A"/>
    <e v="#N/A"/>
    <x v="4"/>
    <m/>
    <m/>
    <m/>
    <m/>
    <m/>
    <x v="9"/>
    <m/>
    <m/>
    <m/>
    <m/>
    <e v="#N/A"/>
    <m/>
    <m/>
  </r>
  <r>
    <x v="2"/>
    <m/>
    <x v="50"/>
    <x v="2"/>
    <e v="#N/A"/>
    <e v="#N/A"/>
    <x v="4"/>
    <m/>
    <m/>
    <m/>
    <m/>
    <m/>
    <x v="9"/>
    <m/>
    <m/>
    <m/>
    <m/>
    <e v="#N/A"/>
    <m/>
    <m/>
  </r>
  <r>
    <x v="1"/>
    <s v="Waste Management "/>
    <x v="97"/>
    <x v="0"/>
    <e v="#N/A"/>
    <e v="#N/A"/>
    <x v="4"/>
    <s v="Federal"/>
    <m/>
    <n v="74191"/>
    <n v="74191"/>
    <n v="2019"/>
    <x v="8"/>
    <m/>
    <s v="UP-COMING"/>
    <m/>
    <m/>
    <e v="#N/A"/>
    <m/>
    <m/>
  </r>
  <r>
    <x v="2"/>
    <m/>
    <x v="75"/>
    <x v="1"/>
    <e v="#N/A"/>
    <e v="#N/A"/>
    <x v="4"/>
    <m/>
    <m/>
    <m/>
    <m/>
    <m/>
    <x v="8"/>
    <m/>
    <m/>
    <m/>
    <m/>
    <e v="#N/A"/>
    <m/>
    <m/>
  </r>
  <r>
    <x v="2"/>
    <m/>
    <x v="92"/>
    <x v="1"/>
    <e v="#N/A"/>
    <e v="#N/A"/>
    <x v="4"/>
    <m/>
    <m/>
    <m/>
    <m/>
    <m/>
    <x v="8"/>
    <m/>
    <m/>
    <m/>
    <m/>
    <e v="#N/A"/>
    <m/>
    <m/>
  </r>
  <r>
    <x v="2"/>
    <m/>
    <x v="85"/>
    <x v="1"/>
    <e v="#N/A"/>
    <e v="#N/A"/>
    <x v="4"/>
    <m/>
    <m/>
    <m/>
    <m/>
    <m/>
    <x v="8"/>
    <m/>
    <m/>
    <m/>
    <m/>
    <e v="#N/A"/>
    <m/>
    <m/>
  </r>
  <r>
    <x v="2"/>
    <m/>
    <x v="62"/>
    <x v="1"/>
    <e v="#N/A"/>
    <e v="#N/A"/>
    <x v="4"/>
    <m/>
    <m/>
    <m/>
    <m/>
    <m/>
    <x v="8"/>
    <m/>
    <m/>
    <m/>
    <m/>
    <e v="#N/A"/>
    <m/>
    <m/>
  </r>
  <r>
    <x v="2"/>
    <m/>
    <x v="34"/>
    <x v="2"/>
    <e v="#N/A"/>
    <e v="#N/A"/>
    <x v="4"/>
    <m/>
    <m/>
    <m/>
    <m/>
    <m/>
    <x v="9"/>
    <m/>
    <m/>
    <m/>
    <m/>
    <e v="#N/A"/>
    <m/>
    <m/>
  </r>
  <r>
    <x v="0"/>
    <m/>
    <x v="78"/>
    <x v="2"/>
    <e v="#N/A"/>
    <e v="#N/A"/>
    <x v="4"/>
    <m/>
    <m/>
    <m/>
    <m/>
    <m/>
    <x v="8"/>
    <m/>
    <m/>
    <m/>
    <m/>
    <e v="#N/A"/>
    <m/>
    <m/>
  </r>
  <r>
    <x v="0"/>
    <m/>
    <x v="36"/>
    <x v="2"/>
    <e v="#N/A"/>
    <e v="#N/A"/>
    <x v="4"/>
    <m/>
    <m/>
    <m/>
    <m/>
    <m/>
    <x v="8"/>
    <m/>
    <m/>
    <m/>
    <m/>
    <e v="#N/A"/>
    <m/>
    <m/>
  </r>
  <r>
    <x v="2"/>
    <m/>
    <x v="43"/>
    <x v="2"/>
    <e v="#N/A"/>
    <e v="#N/A"/>
    <x v="4"/>
    <m/>
    <m/>
    <m/>
    <m/>
    <m/>
    <x v="9"/>
    <m/>
    <m/>
    <m/>
    <m/>
    <e v="#N/A"/>
    <m/>
    <m/>
  </r>
  <r>
    <x v="2"/>
    <m/>
    <x v="84"/>
    <x v="1"/>
    <e v="#N/A"/>
    <e v="#N/A"/>
    <x v="4"/>
    <m/>
    <m/>
    <m/>
    <m/>
    <m/>
    <x v="9"/>
    <m/>
    <m/>
    <m/>
    <m/>
    <e v="#N/A"/>
    <m/>
    <m/>
  </r>
  <r>
    <x v="2"/>
    <m/>
    <x v="81"/>
    <x v="1"/>
    <e v="#N/A"/>
    <e v="#N/A"/>
    <x v="4"/>
    <m/>
    <m/>
    <m/>
    <m/>
    <m/>
    <x v="8"/>
    <m/>
    <m/>
    <m/>
    <m/>
    <e v="#N/A"/>
    <m/>
    <m/>
  </r>
  <r>
    <x v="2"/>
    <m/>
    <x v="51"/>
    <x v="2"/>
    <e v="#N/A"/>
    <e v="#N/A"/>
    <x v="4"/>
    <m/>
    <m/>
    <m/>
    <m/>
    <m/>
    <x v="9"/>
    <m/>
    <m/>
    <m/>
    <m/>
    <e v="#N/A"/>
    <m/>
    <m/>
  </r>
  <r>
    <x v="2"/>
    <m/>
    <x v="96"/>
    <x v="1"/>
    <e v="#N/A"/>
    <e v="#N/A"/>
    <x v="4"/>
    <m/>
    <m/>
    <m/>
    <m/>
    <m/>
    <x v="9"/>
    <m/>
    <m/>
    <m/>
    <m/>
    <e v="#N/A"/>
    <m/>
    <m/>
  </r>
  <r>
    <x v="2"/>
    <m/>
    <x v="42"/>
    <x v="1"/>
    <e v="#N/A"/>
    <e v="#N/A"/>
    <x v="4"/>
    <m/>
    <m/>
    <m/>
    <m/>
    <m/>
    <x v="9"/>
    <m/>
    <m/>
    <m/>
    <m/>
    <e v="#N/A"/>
    <m/>
    <m/>
  </r>
  <r>
    <x v="2"/>
    <m/>
    <x v="45"/>
    <x v="1"/>
    <e v="#N/A"/>
    <e v="#N/A"/>
    <x v="4"/>
    <m/>
    <m/>
    <m/>
    <m/>
    <m/>
    <x v="8"/>
    <m/>
    <m/>
    <m/>
    <m/>
    <e v="#N/A"/>
    <m/>
    <m/>
  </r>
  <r>
    <x v="1"/>
    <m/>
    <x v="91"/>
    <x v="2"/>
    <e v="#N/A"/>
    <e v="#N/A"/>
    <x v="4"/>
    <m/>
    <m/>
    <m/>
    <m/>
    <m/>
    <x v="9"/>
    <m/>
    <m/>
    <m/>
    <m/>
    <e v="#N/A"/>
    <m/>
    <m/>
  </r>
  <r>
    <x v="1"/>
    <s v="Waste Management "/>
    <x v="16"/>
    <x v="0"/>
    <e v="#N/A"/>
    <e v="#N/A"/>
    <x v="4"/>
    <s v="Federal"/>
    <m/>
    <n v="370955"/>
    <n v="370955"/>
    <n v="2019"/>
    <x v="8"/>
    <m/>
    <s v="UP-COMING"/>
    <m/>
    <m/>
    <e v="#N/A"/>
    <m/>
    <m/>
  </r>
  <r>
    <x v="0"/>
    <s v="Waste Management "/>
    <x v="98"/>
    <x v="0"/>
    <e v="#N/A"/>
    <e v="#N/A"/>
    <x v="1"/>
    <s v="NYCHA Operating"/>
    <m/>
    <n v="137417.5"/>
    <n v="137417.5"/>
    <n v="2019"/>
    <x v="8"/>
    <m/>
    <s v="UP-COMING"/>
    <m/>
    <m/>
    <e v="#N/A"/>
    <m/>
    <m/>
  </r>
  <r>
    <x v="0"/>
    <s v="Waste Management "/>
    <x v="6"/>
    <x v="0"/>
    <e v="#N/A"/>
    <e v="#N/A"/>
    <x v="1"/>
    <s v="NYCHA Operating"/>
    <m/>
    <n v="632251.84219999996"/>
    <n v="632251.84219999996"/>
    <n v="2019"/>
    <x v="8"/>
    <m/>
    <s v="UP-COMING"/>
    <m/>
    <m/>
    <e v="#N/A"/>
    <m/>
    <m/>
  </r>
  <r>
    <x v="0"/>
    <s v="Waste Management "/>
    <x v="7"/>
    <x v="0"/>
    <e v="#N/A"/>
    <e v="#N/A"/>
    <x v="1"/>
    <s v="City Expense"/>
    <n v="1160763.6500000001"/>
    <m/>
    <n v="1160763.6500000001"/>
    <n v="2019"/>
    <x v="8"/>
    <m/>
    <s v="UP-COMING"/>
    <m/>
    <m/>
    <e v="#N/A"/>
    <m/>
    <m/>
  </r>
  <r>
    <x v="2"/>
    <m/>
    <x v="79"/>
    <x v="1"/>
    <e v="#N/A"/>
    <e v="#N/A"/>
    <x v="5"/>
    <m/>
    <m/>
    <m/>
    <m/>
    <m/>
    <x v="10"/>
    <m/>
    <m/>
    <m/>
    <m/>
    <e v="#N/A"/>
    <m/>
    <m/>
  </r>
  <r>
    <x v="2"/>
    <m/>
    <x v="88"/>
    <x v="1"/>
    <e v="#N/A"/>
    <e v="#N/A"/>
    <x v="5"/>
    <m/>
    <m/>
    <m/>
    <m/>
    <m/>
    <x v="10"/>
    <m/>
    <m/>
    <m/>
    <m/>
    <e v="#N/A"/>
    <m/>
    <m/>
  </r>
  <r>
    <x v="2"/>
    <m/>
    <x v="41"/>
    <x v="1"/>
    <e v="#N/A"/>
    <e v="#N/A"/>
    <x v="5"/>
    <m/>
    <m/>
    <m/>
    <m/>
    <m/>
    <x v="10"/>
    <m/>
    <m/>
    <m/>
    <m/>
    <e v="#N/A"/>
    <m/>
    <m/>
  </r>
  <r>
    <x v="2"/>
    <m/>
    <x v="42"/>
    <x v="1"/>
    <e v="#N/A"/>
    <e v="#N/A"/>
    <x v="5"/>
    <m/>
    <m/>
    <m/>
    <m/>
    <m/>
    <x v="10"/>
    <m/>
    <m/>
    <m/>
    <m/>
    <e v="#N/A"/>
    <m/>
    <m/>
  </r>
  <r>
    <x v="2"/>
    <m/>
    <x v="45"/>
    <x v="1"/>
    <e v="#N/A"/>
    <e v="#N/A"/>
    <x v="5"/>
    <m/>
    <m/>
    <m/>
    <m/>
    <m/>
    <x v="10"/>
    <m/>
    <m/>
    <m/>
    <m/>
    <e v="#N/A"/>
    <m/>
    <m/>
  </r>
  <r>
    <x v="2"/>
    <m/>
    <x v="71"/>
    <x v="1"/>
    <e v="#N/A"/>
    <e v="#N/A"/>
    <x v="5"/>
    <m/>
    <m/>
    <m/>
    <m/>
    <m/>
    <x v="10"/>
    <m/>
    <m/>
    <m/>
    <m/>
    <e v="#N/A"/>
    <m/>
    <m/>
  </r>
  <r>
    <x v="2"/>
    <m/>
    <x v="47"/>
    <x v="1"/>
    <e v="#N/A"/>
    <e v="#N/A"/>
    <x v="5"/>
    <m/>
    <m/>
    <m/>
    <m/>
    <m/>
    <x v="10"/>
    <m/>
    <m/>
    <m/>
    <m/>
    <e v="#N/A"/>
    <m/>
    <m/>
  </r>
  <r>
    <x v="2"/>
    <m/>
    <x v="90"/>
    <x v="1"/>
    <e v="#N/A"/>
    <e v="#N/A"/>
    <x v="5"/>
    <m/>
    <m/>
    <m/>
    <m/>
    <m/>
    <x v="10"/>
    <m/>
    <m/>
    <m/>
    <m/>
    <e v="#N/A"/>
    <m/>
    <m/>
  </r>
  <r>
    <x v="2"/>
    <m/>
    <x v="72"/>
    <x v="1"/>
    <e v="#N/A"/>
    <e v="#N/A"/>
    <x v="5"/>
    <m/>
    <m/>
    <m/>
    <m/>
    <m/>
    <x v="10"/>
    <m/>
    <m/>
    <m/>
    <m/>
    <e v="#N/A"/>
    <m/>
    <m/>
  </r>
  <r>
    <x v="2"/>
    <m/>
    <x v="81"/>
    <x v="1"/>
    <e v="#N/A"/>
    <e v="#N/A"/>
    <x v="5"/>
    <m/>
    <m/>
    <m/>
    <m/>
    <m/>
    <x v="10"/>
    <m/>
    <m/>
    <m/>
    <m/>
    <e v="#N/A"/>
    <m/>
    <m/>
  </r>
  <r>
    <x v="0"/>
    <s v="Waste Management "/>
    <x v="7"/>
    <x v="0"/>
    <e v="#N/A"/>
    <e v="#N/A"/>
    <x v="5"/>
    <s v="Federal"/>
    <m/>
    <n v="1362690"/>
    <n v="1362690"/>
    <n v="2019"/>
    <x v="10"/>
    <m/>
    <s v="UP-COMING"/>
    <m/>
    <m/>
    <e v="#N/A"/>
    <m/>
    <m/>
  </r>
  <r>
    <x v="2"/>
    <m/>
    <x v="52"/>
    <x v="1"/>
    <e v="#N/A"/>
    <e v="#N/A"/>
    <x v="5"/>
    <m/>
    <m/>
    <m/>
    <m/>
    <m/>
    <x v="10"/>
    <m/>
    <m/>
    <m/>
    <m/>
    <e v="#N/A"/>
    <m/>
    <m/>
  </r>
  <r>
    <x v="1"/>
    <s v="Waste Management "/>
    <x v="99"/>
    <x v="0"/>
    <e v="#N/A"/>
    <e v="#N/A"/>
    <x v="5"/>
    <s v="Federal"/>
    <m/>
    <n v="1362690"/>
    <n v="1362690"/>
    <n v="2019"/>
    <x v="10"/>
    <m/>
    <s v="UP-COMING"/>
    <m/>
    <m/>
    <e v="#N/A"/>
    <m/>
    <m/>
  </r>
  <r>
    <x v="2"/>
    <m/>
    <x v="92"/>
    <x v="1"/>
    <e v="#N/A"/>
    <e v="#N/A"/>
    <x v="5"/>
    <m/>
    <m/>
    <m/>
    <m/>
    <m/>
    <x v="10"/>
    <m/>
    <m/>
    <m/>
    <m/>
    <e v="#N/A"/>
    <m/>
    <m/>
  </r>
  <r>
    <x v="2"/>
    <m/>
    <x v="74"/>
    <x v="1"/>
    <e v="#N/A"/>
    <e v="#N/A"/>
    <x v="5"/>
    <m/>
    <m/>
    <m/>
    <m/>
    <m/>
    <x v="10"/>
    <m/>
    <m/>
    <m/>
    <m/>
    <e v="#N/A"/>
    <m/>
    <m/>
  </r>
  <r>
    <x v="2"/>
    <m/>
    <x v="95"/>
    <x v="1"/>
    <e v="#N/A"/>
    <e v="#N/A"/>
    <x v="5"/>
    <m/>
    <m/>
    <m/>
    <m/>
    <m/>
    <x v="10"/>
    <m/>
    <m/>
    <m/>
    <m/>
    <e v="#N/A"/>
    <m/>
    <m/>
  </r>
  <r>
    <x v="2"/>
    <m/>
    <x v="87"/>
    <x v="1"/>
    <e v="#N/A"/>
    <e v="#N/A"/>
    <x v="5"/>
    <m/>
    <m/>
    <m/>
    <m/>
    <m/>
    <x v="10"/>
    <m/>
    <m/>
    <m/>
    <m/>
    <e v="#N/A"/>
    <m/>
    <m/>
  </r>
  <r>
    <x v="2"/>
    <m/>
    <x v="86"/>
    <x v="1"/>
    <e v="#N/A"/>
    <e v="#N/A"/>
    <x v="5"/>
    <m/>
    <m/>
    <m/>
    <m/>
    <m/>
    <x v="10"/>
    <m/>
    <m/>
    <m/>
    <m/>
    <e v="#N/A"/>
    <m/>
    <m/>
  </r>
  <r>
    <x v="1"/>
    <s v="Waste Management "/>
    <x v="16"/>
    <x v="0"/>
    <e v="#N/A"/>
    <e v="#N/A"/>
    <x v="5"/>
    <s v="Federal"/>
    <m/>
    <n v="1362690"/>
    <n v="1362690"/>
    <n v="2019"/>
    <x v="10"/>
    <m/>
    <s v="UP-COMING"/>
    <m/>
    <m/>
    <e v="#N/A"/>
    <m/>
    <m/>
  </r>
  <r>
    <x v="2"/>
    <m/>
    <x v="79"/>
    <x v="1"/>
    <e v="#N/A"/>
    <e v="#N/A"/>
    <x v="2"/>
    <m/>
    <m/>
    <m/>
    <m/>
    <m/>
    <x v="10"/>
    <m/>
    <m/>
    <m/>
    <m/>
    <e v="#N/A"/>
    <m/>
    <m/>
  </r>
  <r>
    <x v="2"/>
    <m/>
    <x v="88"/>
    <x v="1"/>
    <e v="#N/A"/>
    <e v="#N/A"/>
    <x v="2"/>
    <m/>
    <m/>
    <m/>
    <m/>
    <m/>
    <x v="10"/>
    <m/>
    <m/>
    <m/>
    <m/>
    <e v="#N/A"/>
    <m/>
    <m/>
  </r>
  <r>
    <x v="2"/>
    <m/>
    <x v="41"/>
    <x v="1"/>
    <e v="#N/A"/>
    <e v="#N/A"/>
    <x v="2"/>
    <m/>
    <m/>
    <m/>
    <m/>
    <m/>
    <x v="10"/>
    <m/>
    <m/>
    <m/>
    <m/>
    <e v="#N/A"/>
    <m/>
    <m/>
  </r>
  <r>
    <x v="2"/>
    <m/>
    <x v="42"/>
    <x v="1"/>
    <e v="#N/A"/>
    <e v="#N/A"/>
    <x v="2"/>
    <m/>
    <m/>
    <m/>
    <m/>
    <m/>
    <x v="10"/>
    <m/>
    <m/>
    <m/>
    <m/>
    <e v="#N/A"/>
    <m/>
    <m/>
  </r>
  <r>
    <x v="2"/>
    <m/>
    <x v="45"/>
    <x v="1"/>
    <e v="#N/A"/>
    <e v="#N/A"/>
    <x v="2"/>
    <m/>
    <m/>
    <m/>
    <m/>
    <m/>
    <x v="10"/>
    <m/>
    <m/>
    <m/>
    <m/>
    <e v="#N/A"/>
    <m/>
    <m/>
  </r>
  <r>
    <x v="2"/>
    <m/>
    <x v="71"/>
    <x v="1"/>
    <e v="#N/A"/>
    <e v="#N/A"/>
    <x v="2"/>
    <m/>
    <m/>
    <m/>
    <m/>
    <m/>
    <x v="10"/>
    <m/>
    <m/>
    <m/>
    <m/>
    <e v="#N/A"/>
    <m/>
    <m/>
  </r>
  <r>
    <x v="2"/>
    <m/>
    <x v="47"/>
    <x v="1"/>
    <e v="#N/A"/>
    <e v="#N/A"/>
    <x v="2"/>
    <m/>
    <m/>
    <m/>
    <m/>
    <m/>
    <x v="10"/>
    <m/>
    <m/>
    <m/>
    <m/>
    <e v="#N/A"/>
    <m/>
    <m/>
  </r>
  <r>
    <x v="2"/>
    <m/>
    <x v="90"/>
    <x v="1"/>
    <e v="#N/A"/>
    <e v="#N/A"/>
    <x v="2"/>
    <m/>
    <m/>
    <m/>
    <m/>
    <m/>
    <x v="10"/>
    <m/>
    <m/>
    <m/>
    <m/>
    <e v="#N/A"/>
    <m/>
    <m/>
  </r>
  <r>
    <x v="2"/>
    <m/>
    <x v="72"/>
    <x v="1"/>
    <e v="#N/A"/>
    <e v="#N/A"/>
    <x v="2"/>
    <m/>
    <m/>
    <m/>
    <m/>
    <m/>
    <x v="10"/>
    <m/>
    <m/>
    <m/>
    <m/>
    <e v="#N/A"/>
    <m/>
    <m/>
  </r>
  <r>
    <x v="2"/>
    <m/>
    <x v="81"/>
    <x v="1"/>
    <e v="#N/A"/>
    <e v="#N/A"/>
    <x v="2"/>
    <m/>
    <m/>
    <m/>
    <m/>
    <m/>
    <x v="10"/>
    <m/>
    <m/>
    <m/>
    <m/>
    <e v="#N/A"/>
    <m/>
    <m/>
  </r>
  <r>
    <x v="0"/>
    <s v="Waste Management "/>
    <x v="7"/>
    <x v="0"/>
    <e v="#N/A"/>
    <e v="#N/A"/>
    <x v="2"/>
    <s v="City Expense"/>
    <n v="33089.670899999997"/>
    <m/>
    <n v="33089.670899999997"/>
    <n v="2019"/>
    <x v="10"/>
    <m/>
    <s v="UP-COMING"/>
    <m/>
    <m/>
    <e v="#N/A"/>
    <m/>
    <m/>
  </r>
  <r>
    <x v="1"/>
    <s v="Waste Management "/>
    <x v="8"/>
    <x v="0"/>
    <e v="#N/A"/>
    <e v="#N/A"/>
    <x v="2"/>
    <s v="NYCHA Operating"/>
    <m/>
    <n v="34083.566126999998"/>
    <n v="34083.566126999998"/>
    <n v="2019"/>
    <x v="10"/>
    <m/>
    <s v="UP-COMING"/>
    <m/>
    <m/>
    <e v="#N/A"/>
    <m/>
    <m/>
  </r>
  <r>
    <x v="2"/>
    <m/>
    <x v="52"/>
    <x v="1"/>
    <e v="#N/A"/>
    <e v="#N/A"/>
    <x v="2"/>
    <m/>
    <m/>
    <m/>
    <m/>
    <m/>
    <x v="10"/>
    <m/>
    <m/>
    <m/>
    <m/>
    <e v="#N/A"/>
    <m/>
    <m/>
  </r>
  <r>
    <x v="1"/>
    <s v="Waste Management "/>
    <x v="9"/>
    <x v="0"/>
    <e v="#N/A"/>
    <e v="#N/A"/>
    <x v="2"/>
    <s v="City Expense"/>
    <n v="33090.840899999996"/>
    <m/>
    <n v="33090.840899999996"/>
    <n v="2019"/>
    <x v="10"/>
    <m/>
    <s v="UP-COMING"/>
    <m/>
    <m/>
    <e v="#N/A"/>
    <m/>
    <m/>
  </r>
  <r>
    <x v="1"/>
    <s v="Waste Management "/>
    <x v="10"/>
    <x v="0"/>
    <e v="#N/A"/>
    <e v="#N/A"/>
    <x v="2"/>
    <s v="NYCHA Operating"/>
    <m/>
    <n v="33090.840899999996"/>
    <n v="33090.840899999996"/>
    <n v="2019"/>
    <x v="10"/>
    <m/>
    <s v="UP-COMING"/>
    <m/>
    <m/>
    <e v="#N/A"/>
    <m/>
    <m/>
  </r>
  <r>
    <x v="2"/>
    <m/>
    <x v="92"/>
    <x v="1"/>
    <e v="#N/A"/>
    <e v="#N/A"/>
    <x v="2"/>
    <m/>
    <m/>
    <m/>
    <m/>
    <m/>
    <x v="10"/>
    <m/>
    <m/>
    <m/>
    <m/>
    <e v="#N/A"/>
    <m/>
    <m/>
  </r>
  <r>
    <x v="2"/>
    <m/>
    <x v="74"/>
    <x v="1"/>
    <e v="#N/A"/>
    <e v="#N/A"/>
    <x v="2"/>
    <m/>
    <m/>
    <m/>
    <m/>
    <m/>
    <x v="10"/>
    <m/>
    <m/>
    <m/>
    <m/>
    <e v="#N/A"/>
    <m/>
    <m/>
  </r>
  <r>
    <x v="0"/>
    <s v="Waste Management "/>
    <x v="11"/>
    <x v="0"/>
    <e v="#N/A"/>
    <e v="#N/A"/>
    <x v="2"/>
    <s v="NYCHA Operating"/>
    <m/>
    <n v="37244.032963258331"/>
    <n v="37244.032963258331"/>
    <n v="2019"/>
    <x v="10"/>
    <m/>
    <s v="UP-COMING"/>
    <m/>
    <m/>
    <e v="#N/A"/>
    <m/>
    <m/>
  </r>
  <r>
    <x v="2"/>
    <m/>
    <x v="95"/>
    <x v="1"/>
    <e v="#N/A"/>
    <e v="#N/A"/>
    <x v="2"/>
    <m/>
    <m/>
    <m/>
    <m/>
    <m/>
    <x v="10"/>
    <m/>
    <m/>
    <m/>
    <m/>
    <e v="#N/A"/>
    <m/>
    <m/>
  </r>
  <r>
    <x v="0"/>
    <s v="Waste Management "/>
    <x v="14"/>
    <x v="0"/>
    <e v="#N/A"/>
    <e v="#N/A"/>
    <x v="2"/>
    <s v="NYCHA Operating"/>
    <m/>
    <n v="38361.353952156082"/>
    <n v="38361.353952156082"/>
    <n v="2019"/>
    <x v="10"/>
    <m/>
    <s v="UP-COMING"/>
    <m/>
    <m/>
    <e v="#N/A"/>
    <m/>
    <m/>
  </r>
  <r>
    <x v="2"/>
    <m/>
    <x v="87"/>
    <x v="1"/>
    <e v="#N/A"/>
    <e v="#N/A"/>
    <x v="2"/>
    <m/>
    <m/>
    <m/>
    <m/>
    <m/>
    <x v="10"/>
    <m/>
    <m/>
    <m/>
    <m/>
    <e v="#N/A"/>
    <m/>
    <m/>
  </r>
  <r>
    <x v="2"/>
    <m/>
    <x v="86"/>
    <x v="1"/>
    <e v="#N/A"/>
    <e v="#N/A"/>
    <x v="2"/>
    <m/>
    <m/>
    <m/>
    <m/>
    <m/>
    <x v="10"/>
    <m/>
    <m/>
    <m/>
    <m/>
    <e v="#N/A"/>
    <m/>
    <m/>
  </r>
  <r>
    <x v="1"/>
    <s v="Waste Management "/>
    <x v="16"/>
    <x v="0"/>
    <e v="#N/A"/>
    <e v="#N/A"/>
    <x v="2"/>
    <s v="City Expense"/>
    <n v="37244.032963258331"/>
    <m/>
    <n v="37244.032963258331"/>
    <n v="2019"/>
    <x v="10"/>
    <m/>
    <s v="UP-COMING"/>
    <m/>
    <m/>
    <e v="#N/A"/>
    <m/>
    <m/>
  </r>
  <r>
    <x v="2"/>
    <m/>
    <x v="79"/>
    <x v="1"/>
    <e v="#N/A"/>
    <e v="#N/A"/>
    <x v="6"/>
    <m/>
    <m/>
    <m/>
    <m/>
    <m/>
    <x v="10"/>
    <m/>
    <m/>
    <m/>
    <m/>
    <e v="#N/A"/>
    <m/>
    <m/>
  </r>
  <r>
    <x v="2"/>
    <m/>
    <x v="42"/>
    <x v="1"/>
    <e v="#N/A"/>
    <e v="#N/A"/>
    <x v="6"/>
    <m/>
    <m/>
    <m/>
    <m/>
    <m/>
    <x v="10"/>
    <m/>
    <m/>
    <m/>
    <m/>
    <e v="#N/A"/>
    <m/>
    <m/>
  </r>
  <r>
    <x v="2"/>
    <m/>
    <x v="45"/>
    <x v="1"/>
    <e v="#N/A"/>
    <e v="#N/A"/>
    <x v="6"/>
    <m/>
    <m/>
    <m/>
    <m/>
    <m/>
    <x v="10"/>
    <m/>
    <m/>
    <m/>
    <m/>
    <e v="#N/A"/>
    <m/>
    <m/>
  </r>
  <r>
    <x v="2"/>
    <m/>
    <x v="71"/>
    <x v="1"/>
    <e v="#N/A"/>
    <e v="#N/A"/>
    <x v="6"/>
    <m/>
    <m/>
    <m/>
    <m/>
    <m/>
    <x v="10"/>
    <m/>
    <m/>
    <m/>
    <m/>
    <e v="#N/A"/>
    <m/>
    <m/>
  </r>
  <r>
    <x v="2"/>
    <m/>
    <x v="47"/>
    <x v="1"/>
    <e v="#N/A"/>
    <e v="#N/A"/>
    <x v="6"/>
    <m/>
    <m/>
    <m/>
    <m/>
    <m/>
    <x v="10"/>
    <m/>
    <m/>
    <m/>
    <m/>
    <e v="#N/A"/>
    <m/>
    <m/>
  </r>
  <r>
    <x v="2"/>
    <m/>
    <x v="90"/>
    <x v="1"/>
    <e v="#N/A"/>
    <e v="#N/A"/>
    <x v="6"/>
    <m/>
    <m/>
    <m/>
    <m/>
    <m/>
    <x v="10"/>
    <m/>
    <m/>
    <m/>
    <m/>
    <e v="#N/A"/>
    <m/>
    <m/>
  </r>
  <r>
    <x v="2"/>
    <m/>
    <x v="72"/>
    <x v="1"/>
    <e v="#N/A"/>
    <e v="#N/A"/>
    <x v="6"/>
    <m/>
    <m/>
    <m/>
    <m/>
    <m/>
    <x v="10"/>
    <m/>
    <m/>
    <m/>
    <m/>
    <e v="#N/A"/>
    <m/>
    <m/>
  </r>
  <r>
    <x v="2"/>
    <m/>
    <x v="74"/>
    <x v="1"/>
    <e v="#N/A"/>
    <e v="#N/A"/>
    <x v="6"/>
    <m/>
    <m/>
    <m/>
    <m/>
    <m/>
    <x v="10"/>
    <m/>
    <m/>
    <m/>
    <m/>
    <e v="#N/A"/>
    <m/>
    <m/>
  </r>
  <r>
    <x v="2"/>
    <m/>
    <x v="95"/>
    <x v="1"/>
    <e v="#N/A"/>
    <e v="#N/A"/>
    <x v="6"/>
    <m/>
    <m/>
    <m/>
    <m/>
    <m/>
    <x v="10"/>
    <m/>
    <m/>
    <m/>
    <m/>
    <e v="#N/A"/>
    <m/>
    <m/>
  </r>
  <r>
    <x v="2"/>
    <m/>
    <x v="87"/>
    <x v="1"/>
    <e v="#N/A"/>
    <e v="#N/A"/>
    <x v="6"/>
    <m/>
    <m/>
    <m/>
    <m/>
    <m/>
    <x v="10"/>
    <m/>
    <m/>
    <m/>
    <m/>
    <e v="#N/A"/>
    <m/>
    <m/>
  </r>
  <r>
    <x v="2"/>
    <m/>
    <x v="86"/>
    <x v="1"/>
    <e v="#N/A"/>
    <e v="#N/A"/>
    <x v="6"/>
    <m/>
    <m/>
    <m/>
    <m/>
    <m/>
    <x v="10"/>
    <m/>
    <m/>
    <m/>
    <m/>
    <e v="#N/A"/>
    <m/>
    <m/>
  </r>
  <r>
    <x v="2"/>
    <m/>
    <x v="32"/>
    <x v="1"/>
    <e v="#N/A"/>
    <e v="#N/A"/>
    <x v="0"/>
    <m/>
    <m/>
    <m/>
    <m/>
    <m/>
    <x v="10"/>
    <m/>
    <m/>
    <m/>
    <m/>
    <e v="#N/A"/>
    <m/>
    <m/>
  </r>
  <r>
    <x v="0"/>
    <s v="Waste Management "/>
    <x v="77"/>
    <x v="0"/>
    <e v="#N/A"/>
    <e v="#N/A"/>
    <x v="0"/>
    <s v="NYCHA Operating"/>
    <m/>
    <n v="3000"/>
    <n v="3000"/>
    <n v="2019"/>
    <x v="10"/>
    <m/>
    <s v="UP-COMING"/>
    <m/>
    <m/>
    <e v="#N/A"/>
    <m/>
    <m/>
  </r>
  <r>
    <x v="0"/>
    <s v="Waste Management "/>
    <x v="100"/>
    <x v="0"/>
    <e v="#N/A"/>
    <e v="#N/A"/>
    <x v="0"/>
    <s v="NYCHA Operating"/>
    <m/>
    <n v="15000"/>
    <n v="15000"/>
    <n v="2019"/>
    <x v="10"/>
    <m/>
    <s v="UP-COMING"/>
    <m/>
    <m/>
    <e v="#N/A"/>
    <m/>
    <m/>
  </r>
  <r>
    <x v="2"/>
    <m/>
    <x v="79"/>
    <x v="1"/>
    <e v="#N/A"/>
    <e v="#N/A"/>
    <x v="0"/>
    <m/>
    <m/>
    <m/>
    <m/>
    <m/>
    <x v="10"/>
    <m/>
    <m/>
    <m/>
    <m/>
    <e v="#N/A"/>
    <m/>
    <m/>
  </r>
  <r>
    <x v="1"/>
    <s v="Waste Management "/>
    <x v="101"/>
    <x v="0"/>
    <e v="#N/A"/>
    <e v="#N/A"/>
    <x v="0"/>
    <s v="NYCHA Operating"/>
    <m/>
    <n v="12000"/>
    <n v="12000"/>
    <n v="2019"/>
    <x v="10"/>
    <m/>
    <s v="UP-COMING"/>
    <m/>
    <m/>
    <e v="#N/A"/>
    <m/>
    <m/>
  </r>
  <r>
    <x v="1"/>
    <s v="Waste Management "/>
    <x v="102"/>
    <x v="0"/>
    <e v="#N/A"/>
    <e v="#N/A"/>
    <x v="0"/>
    <s v="NYCHA Operating"/>
    <m/>
    <n v="9000"/>
    <n v="9000"/>
    <n v="2019"/>
    <x v="10"/>
    <m/>
    <s v="UP-COMING"/>
    <m/>
    <m/>
    <e v="#N/A"/>
    <m/>
    <m/>
  </r>
  <r>
    <x v="2"/>
    <m/>
    <x v="88"/>
    <x v="1"/>
    <e v="#N/A"/>
    <e v="#N/A"/>
    <x v="0"/>
    <m/>
    <m/>
    <m/>
    <m/>
    <m/>
    <x v="10"/>
    <m/>
    <m/>
    <m/>
    <m/>
    <e v="#N/A"/>
    <m/>
    <m/>
  </r>
  <r>
    <x v="1"/>
    <s v="Waste Management "/>
    <x v="103"/>
    <x v="0"/>
    <e v="#N/A"/>
    <e v="#N/A"/>
    <x v="0"/>
    <s v="NYCHA Operating"/>
    <m/>
    <n v="3000"/>
    <n v="3000"/>
    <n v="2019"/>
    <x v="10"/>
    <m/>
    <s v="UP-COMING"/>
    <m/>
    <m/>
    <e v="#N/A"/>
    <m/>
    <m/>
  </r>
  <r>
    <x v="2"/>
    <m/>
    <x v="38"/>
    <x v="1"/>
    <e v="#N/A"/>
    <e v="#N/A"/>
    <x v="0"/>
    <m/>
    <m/>
    <m/>
    <m/>
    <m/>
    <x v="10"/>
    <m/>
    <m/>
    <m/>
    <m/>
    <e v="#N/A"/>
    <m/>
    <m/>
  </r>
  <r>
    <x v="2"/>
    <m/>
    <x v="41"/>
    <x v="1"/>
    <e v="#N/A"/>
    <e v="#N/A"/>
    <x v="0"/>
    <m/>
    <m/>
    <m/>
    <m/>
    <m/>
    <x v="10"/>
    <m/>
    <m/>
    <m/>
    <m/>
    <e v="#N/A"/>
    <m/>
    <m/>
  </r>
  <r>
    <x v="1"/>
    <s v="Waste Management "/>
    <x v="80"/>
    <x v="0"/>
    <e v="#N/A"/>
    <e v="#N/A"/>
    <x v="0"/>
    <s v="City Expense"/>
    <n v="3000"/>
    <m/>
    <n v="3000"/>
    <n v="2019"/>
    <x v="10"/>
    <m/>
    <s v="UP-COMING"/>
    <m/>
    <m/>
    <e v="#N/A"/>
    <m/>
    <m/>
  </r>
  <r>
    <x v="2"/>
    <m/>
    <x v="42"/>
    <x v="1"/>
    <e v="#N/A"/>
    <e v="#N/A"/>
    <x v="0"/>
    <m/>
    <m/>
    <m/>
    <m/>
    <m/>
    <x v="10"/>
    <m/>
    <m/>
    <m/>
    <m/>
    <e v="#N/A"/>
    <m/>
    <m/>
  </r>
  <r>
    <x v="2"/>
    <m/>
    <x v="45"/>
    <x v="1"/>
    <e v="#N/A"/>
    <e v="#N/A"/>
    <x v="0"/>
    <m/>
    <m/>
    <m/>
    <m/>
    <m/>
    <x v="10"/>
    <m/>
    <m/>
    <m/>
    <m/>
    <e v="#N/A"/>
    <m/>
    <m/>
  </r>
  <r>
    <x v="0"/>
    <s v="Waste Management "/>
    <x v="98"/>
    <x v="0"/>
    <e v="#N/A"/>
    <e v="#N/A"/>
    <x v="0"/>
    <s v="NYCHA Operating"/>
    <m/>
    <n v="3000"/>
    <n v="3000"/>
    <n v="2019"/>
    <x v="10"/>
    <m/>
    <s v="UP-COMING"/>
    <m/>
    <m/>
    <e v="#N/A"/>
    <m/>
    <m/>
  </r>
  <r>
    <x v="2"/>
    <m/>
    <x v="71"/>
    <x v="1"/>
    <e v="#N/A"/>
    <e v="#N/A"/>
    <x v="0"/>
    <m/>
    <m/>
    <m/>
    <m/>
    <m/>
    <x v="10"/>
    <m/>
    <m/>
    <m/>
    <m/>
    <e v="#N/A"/>
    <m/>
    <m/>
  </r>
  <r>
    <x v="2"/>
    <m/>
    <x v="47"/>
    <x v="1"/>
    <e v="#N/A"/>
    <e v="#N/A"/>
    <x v="0"/>
    <m/>
    <m/>
    <m/>
    <m/>
    <m/>
    <x v="10"/>
    <m/>
    <m/>
    <m/>
    <m/>
    <e v="#N/A"/>
    <m/>
    <m/>
  </r>
  <r>
    <x v="2"/>
    <m/>
    <x v="90"/>
    <x v="1"/>
    <e v="#N/A"/>
    <e v="#N/A"/>
    <x v="0"/>
    <m/>
    <m/>
    <m/>
    <m/>
    <m/>
    <x v="10"/>
    <m/>
    <m/>
    <m/>
    <m/>
    <e v="#N/A"/>
    <m/>
    <m/>
  </r>
  <r>
    <x v="2"/>
    <m/>
    <x v="104"/>
    <x v="3"/>
    <e v="#N/A"/>
    <e v="#N/A"/>
    <x v="0"/>
    <m/>
    <m/>
    <m/>
    <m/>
    <m/>
    <x v="10"/>
    <m/>
    <m/>
    <m/>
    <m/>
    <e v="#N/A"/>
    <m/>
    <m/>
  </r>
  <r>
    <x v="2"/>
    <m/>
    <x v="84"/>
    <x v="1"/>
    <e v="#N/A"/>
    <e v="#N/A"/>
    <x v="0"/>
    <m/>
    <m/>
    <m/>
    <m/>
    <m/>
    <x v="10"/>
    <m/>
    <m/>
    <m/>
    <m/>
    <e v="#N/A"/>
    <m/>
    <m/>
  </r>
  <r>
    <x v="2"/>
    <m/>
    <x v="72"/>
    <x v="1"/>
    <e v="#N/A"/>
    <e v="#N/A"/>
    <x v="0"/>
    <m/>
    <m/>
    <m/>
    <m/>
    <m/>
    <x v="10"/>
    <m/>
    <m/>
    <m/>
    <m/>
    <e v="#N/A"/>
    <m/>
    <m/>
  </r>
  <r>
    <x v="2"/>
    <m/>
    <x v="81"/>
    <x v="1"/>
    <e v="#N/A"/>
    <e v="#N/A"/>
    <x v="0"/>
    <m/>
    <m/>
    <m/>
    <m/>
    <m/>
    <x v="10"/>
    <m/>
    <m/>
    <m/>
    <m/>
    <e v="#N/A"/>
    <m/>
    <m/>
  </r>
  <r>
    <x v="2"/>
    <m/>
    <x v="52"/>
    <x v="1"/>
    <e v="#N/A"/>
    <e v="#N/A"/>
    <x v="0"/>
    <m/>
    <m/>
    <m/>
    <m/>
    <m/>
    <x v="10"/>
    <m/>
    <m/>
    <m/>
    <m/>
    <e v="#N/A"/>
    <m/>
    <m/>
  </r>
  <r>
    <x v="1"/>
    <s v="Waste Management "/>
    <x v="99"/>
    <x v="0"/>
    <e v="#N/A"/>
    <e v="#N/A"/>
    <x v="0"/>
    <s v="City Expense"/>
    <n v="3000"/>
    <m/>
    <n v="3000"/>
    <n v="2019"/>
    <x v="10"/>
    <m/>
    <s v="UP-COMING"/>
    <m/>
    <m/>
    <e v="#N/A"/>
    <m/>
    <m/>
  </r>
  <r>
    <x v="2"/>
    <m/>
    <x v="54"/>
    <x v="1"/>
    <e v="#N/A"/>
    <e v="#N/A"/>
    <x v="0"/>
    <m/>
    <m/>
    <m/>
    <m/>
    <m/>
    <x v="10"/>
    <m/>
    <m/>
    <m/>
    <m/>
    <e v="#N/A"/>
    <m/>
    <m/>
  </r>
  <r>
    <x v="1"/>
    <s v="Waste Management "/>
    <x v="105"/>
    <x v="0"/>
    <e v="#N/A"/>
    <e v="#N/A"/>
    <x v="0"/>
    <s v="City Expense"/>
    <n v="6000"/>
    <m/>
    <n v="6000"/>
    <n v="2019"/>
    <x v="10"/>
    <m/>
    <s v="UP-COMING"/>
    <m/>
    <m/>
    <e v="#N/A"/>
    <m/>
    <m/>
  </r>
  <r>
    <x v="2"/>
    <m/>
    <x v="92"/>
    <x v="1"/>
    <e v="#N/A"/>
    <e v="#N/A"/>
    <x v="0"/>
    <m/>
    <m/>
    <m/>
    <m/>
    <m/>
    <x v="10"/>
    <m/>
    <m/>
    <m/>
    <m/>
    <e v="#N/A"/>
    <m/>
    <m/>
  </r>
  <r>
    <x v="2"/>
    <m/>
    <x v="74"/>
    <x v="1"/>
    <e v="#N/A"/>
    <e v="#N/A"/>
    <x v="0"/>
    <m/>
    <m/>
    <m/>
    <m/>
    <m/>
    <x v="10"/>
    <m/>
    <m/>
    <m/>
    <m/>
    <e v="#N/A"/>
    <m/>
    <m/>
  </r>
  <r>
    <x v="2"/>
    <m/>
    <x v="68"/>
    <x v="1"/>
    <e v="#N/A"/>
    <e v="#N/A"/>
    <x v="0"/>
    <m/>
    <m/>
    <m/>
    <m/>
    <m/>
    <x v="10"/>
    <m/>
    <m/>
    <m/>
    <m/>
    <e v="#N/A"/>
    <m/>
    <m/>
  </r>
  <r>
    <x v="0"/>
    <s v="Waste Management "/>
    <x v="106"/>
    <x v="0"/>
    <e v="#N/A"/>
    <e v="#N/A"/>
    <x v="0"/>
    <s v="NYCHA Operating"/>
    <m/>
    <n v="9000"/>
    <n v="9000"/>
    <n v="2019"/>
    <x v="10"/>
    <m/>
    <s v="UP-COMING"/>
    <m/>
    <m/>
    <e v="#N/A"/>
    <m/>
    <m/>
  </r>
  <r>
    <x v="2"/>
    <m/>
    <x v="95"/>
    <x v="1"/>
    <e v="#N/A"/>
    <e v="#N/A"/>
    <x v="0"/>
    <m/>
    <m/>
    <m/>
    <m/>
    <m/>
    <x v="10"/>
    <m/>
    <m/>
    <m/>
    <m/>
    <e v="#N/A"/>
    <m/>
    <m/>
  </r>
  <r>
    <x v="2"/>
    <m/>
    <x v="57"/>
    <x v="1"/>
    <e v="#N/A"/>
    <e v="#N/A"/>
    <x v="0"/>
    <m/>
    <m/>
    <m/>
    <m/>
    <m/>
    <x v="10"/>
    <m/>
    <m/>
    <m/>
    <m/>
    <e v="#N/A"/>
    <m/>
    <m/>
  </r>
  <r>
    <x v="2"/>
    <m/>
    <x v="87"/>
    <x v="1"/>
    <e v="#N/A"/>
    <e v="#N/A"/>
    <x v="0"/>
    <m/>
    <m/>
    <m/>
    <m/>
    <m/>
    <x v="10"/>
    <m/>
    <m/>
    <m/>
    <m/>
    <e v="#N/A"/>
    <m/>
    <m/>
  </r>
  <r>
    <x v="1"/>
    <s v="Waste Management "/>
    <x v="107"/>
    <x v="0"/>
    <e v="#N/A"/>
    <e v="#N/A"/>
    <x v="0"/>
    <s v="NYCHA Operating"/>
    <m/>
    <n v="6000"/>
    <n v="6000"/>
    <n v="2019"/>
    <x v="10"/>
    <m/>
    <s v="UP-COMING"/>
    <m/>
    <m/>
    <e v="#N/A"/>
    <m/>
    <m/>
  </r>
  <r>
    <x v="2"/>
    <m/>
    <x v="85"/>
    <x v="1"/>
    <e v="#N/A"/>
    <e v="#N/A"/>
    <x v="0"/>
    <m/>
    <m/>
    <m/>
    <m/>
    <m/>
    <x v="10"/>
    <m/>
    <m/>
    <m/>
    <m/>
    <e v="#N/A"/>
    <m/>
    <m/>
  </r>
  <r>
    <x v="2"/>
    <m/>
    <x v="62"/>
    <x v="1"/>
    <e v="#N/A"/>
    <e v="#N/A"/>
    <x v="0"/>
    <m/>
    <m/>
    <m/>
    <m/>
    <m/>
    <x v="10"/>
    <m/>
    <m/>
    <m/>
    <m/>
    <e v="#N/A"/>
    <m/>
    <m/>
  </r>
  <r>
    <x v="2"/>
    <m/>
    <x v="86"/>
    <x v="1"/>
    <e v="#N/A"/>
    <e v="#N/A"/>
    <x v="0"/>
    <m/>
    <m/>
    <m/>
    <m/>
    <m/>
    <x v="10"/>
    <m/>
    <m/>
    <m/>
    <m/>
    <e v="#N/A"/>
    <m/>
    <m/>
  </r>
  <r>
    <x v="2"/>
    <m/>
    <x v="96"/>
    <x v="1"/>
    <e v="#N/A"/>
    <e v="#N/A"/>
    <x v="0"/>
    <m/>
    <m/>
    <m/>
    <m/>
    <m/>
    <x v="10"/>
    <m/>
    <m/>
    <m/>
    <m/>
    <e v="#N/A"/>
    <m/>
    <m/>
  </r>
  <r>
    <x v="2"/>
    <m/>
    <x v="64"/>
    <x v="1"/>
    <e v="#N/A"/>
    <e v="#N/A"/>
    <x v="0"/>
    <m/>
    <m/>
    <m/>
    <m/>
    <m/>
    <x v="10"/>
    <m/>
    <m/>
    <m/>
    <m/>
    <e v="#N/A"/>
    <m/>
    <m/>
  </r>
  <r>
    <x v="2"/>
    <m/>
    <x v="75"/>
    <x v="1"/>
    <e v="#N/A"/>
    <e v="#N/A"/>
    <x v="0"/>
    <m/>
    <m/>
    <m/>
    <m/>
    <m/>
    <x v="10"/>
    <m/>
    <m/>
    <m/>
    <m/>
    <e v="#N/A"/>
    <m/>
    <m/>
  </r>
  <r>
    <x v="2"/>
    <m/>
    <x v="79"/>
    <x v="1"/>
    <e v="#N/A"/>
    <e v="#N/A"/>
    <x v="7"/>
    <m/>
    <m/>
    <m/>
    <m/>
    <m/>
    <x v="10"/>
    <m/>
    <m/>
    <m/>
    <m/>
    <e v="#N/A"/>
    <m/>
    <m/>
  </r>
  <r>
    <x v="2"/>
    <m/>
    <x v="88"/>
    <x v="1"/>
    <e v="#N/A"/>
    <e v="#N/A"/>
    <x v="7"/>
    <m/>
    <m/>
    <m/>
    <m/>
    <m/>
    <x v="10"/>
    <m/>
    <m/>
    <m/>
    <m/>
    <e v="#N/A"/>
    <m/>
    <m/>
  </r>
  <r>
    <x v="2"/>
    <m/>
    <x v="41"/>
    <x v="1"/>
    <e v="#N/A"/>
    <e v="#N/A"/>
    <x v="7"/>
    <m/>
    <m/>
    <m/>
    <m/>
    <m/>
    <x v="10"/>
    <m/>
    <m/>
    <m/>
    <m/>
    <e v="#N/A"/>
    <m/>
    <m/>
  </r>
  <r>
    <x v="2"/>
    <m/>
    <x v="42"/>
    <x v="1"/>
    <e v="#N/A"/>
    <e v="#N/A"/>
    <x v="7"/>
    <m/>
    <m/>
    <m/>
    <m/>
    <m/>
    <x v="10"/>
    <m/>
    <m/>
    <m/>
    <m/>
    <e v="#N/A"/>
    <m/>
    <m/>
  </r>
  <r>
    <x v="2"/>
    <m/>
    <x v="45"/>
    <x v="1"/>
    <e v="#N/A"/>
    <e v="#N/A"/>
    <x v="7"/>
    <m/>
    <m/>
    <m/>
    <m/>
    <m/>
    <x v="10"/>
    <m/>
    <m/>
    <m/>
    <m/>
    <e v="#N/A"/>
    <m/>
    <m/>
  </r>
  <r>
    <x v="2"/>
    <m/>
    <x v="71"/>
    <x v="1"/>
    <e v="#N/A"/>
    <e v="#N/A"/>
    <x v="7"/>
    <m/>
    <m/>
    <m/>
    <m/>
    <m/>
    <x v="10"/>
    <m/>
    <m/>
    <m/>
    <m/>
    <e v="#N/A"/>
    <m/>
    <m/>
  </r>
  <r>
    <x v="2"/>
    <m/>
    <x v="47"/>
    <x v="1"/>
    <e v="#N/A"/>
    <e v="#N/A"/>
    <x v="7"/>
    <m/>
    <m/>
    <m/>
    <m/>
    <m/>
    <x v="10"/>
    <m/>
    <m/>
    <m/>
    <m/>
    <e v="#N/A"/>
    <m/>
    <m/>
  </r>
  <r>
    <x v="2"/>
    <m/>
    <x v="90"/>
    <x v="1"/>
    <e v="#N/A"/>
    <e v="#N/A"/>
    <x v="7"/>
    <m/>
    <m/>
    <m/>
    <m/>
    <m/>
    <x v="10"/>
    <m/>
    <m/>
    <m/>
    <m/>
    <e v="#N/A"/>
    <m/>
    <m/>
  </r>
  <r>
    <x v="2"/>
    <m/>
    <x v="72"/>
    <x v="1"/>
    <e v="#N/A"/>
    <e v="#N/A"/>
    <x v="7"/>
    <m/>
    <m/>
    <m/>
    <m/>
    <m/>
    <x v="10"/>
    <m/>
    <m/>
    <m/>
    <m/>
    <e v="#N/A"/>
    <m/>
    <m/>
  </r>
  <r>
    <x v="2"/>
    <m/>
    <x v="81"/>
    <x v="1"/>
    <e v="#N/A"/>
    <e v="#N/A"/>
    <x v="7"/>
    <m/>
    <m/>
    <m/>
    <m/>
    <m/>
    <x v="10"/>
    <m/>
    <m/>
    <m/>
    <m/>
    <e v="#N/A"/>
    <m/>
    <m/>
  </r>
  <r>
    <x v="2"/>
    <m/>
    <x v="52"/>
    <x v="1"/>
    <e v="#N/A"/>
    <e v="#N/A"/>
    <x v="7"/>
    <m/>
    <m/>
    <m/>
    <m/>
    <m/>
    <x v="10"/>
    <m/>
    <m/>
    <m/>
    <m/>
    <e v="#N/A"/>
    <m/>
    <m/>
  </r>
  <r>
    <x v="2"/>
    <m/>
    <x v="92"/>
    <x v="1"/>
    <e v="#N/A"/>
    <e v="#N/A"/>
    <x v="7"/>
    <m/>
    <m/>
    <m/>
    <m/>
    <m/>
    <x v="10"/>
    <m/>
    <m/>
    <m/>
    <m/>
    <e v="#N/A"/>
    <m/>
    <m/>
  </r>
  <r>
    <x v="2"/>
    <m/>
    <x v="74"/>
    <x v="1"/>
    <e v="#N/A"/>
    <e v="#N/A"/>
    <x v="7"/>
    <m/>
    <m/>
    <m/>
    <m/>
    <m/>
    <x v="10"/>
    <m/>
    <m/>
    <m/>
    <m/>
    <e v="#N/A"/>
    <m/>
    <m/>
  </r>
  <r>
    <x v="2"/>
    <m/>
    <x v="95"/>
    <x v="1"/>
    <e v="#N/A"/>
    <e v="#N/A"/>
    <x v="7"/>
    <m/>
    <m/>
    <m/>
    <m/>
    <m/>
    <x v="10"/>
    <m/>
    <m/>
    <m/>
    <m/>
    <e v="#N/A"/>
    <m/>
    <m/>
  </r>
  <r>
    <x v="2"/>
    <m/>
    <x v="87"/>
    <x v="1"/>
    <e v="#N/A"/>
    <e v="#N/A"/>
    <x v="7"/>
    <m/>
    <m/>
    <m/>
    <m/>
    <m/>
    <x v="10"/>
    <m/>
    <m/>
    <m/>
    <m/>
    <e v="#N/A"/>
    <m/>
    <m/>
  </r>
  <r>
    <x v="2"/>
    <m/>
    <x v="86"/>
    <x v="1"/>
    <e v="#N/A"/>
    <e v="#N/A"/>
    <x v="7"/>
    <m/>
    <m/>
    <m/>
    <m/>
    <m/>
    <x v="10"/>
    <m/>
    <m/>
    <m/>
    <m/>
    <e v="#N/A"/>
    <m/>
    <m/>
  </r>
  <r>
    <x v="2"/>
    <m/>
    <x v="79"/>
    <x v="1"/>
    <e v="#N/A"/>
    <e v="#N/A"/>
    <x v="8"/>
    <m/>
    <m/>
    <m/>
    <m/>
    <m/>
    <x v="10"/>
    <m/>
    <m/>
    <m/>
    <m/>
    <e v="#N/A"/>
    <m/>
    <m/>
  </r>
  <r>
    <x v="2"/>
    <m/>
    <x v="42"/>
    <x v="1"/>
    <e v="#N/A"/>
    <e v="#N/A"/>
    <x v="8"/>
    <m/>
    <m/>
    <m/>
    <m/>
    <m/>
    <x v="10"/>
    <m/>
    <m/>
    <m/>
    <m/>
    <e v="#N/A"/>
    <m/>
    <m/>
  </r>
  <r>
    <x v="2"/>
    <m/>
    <x v="45"/>
    <x v="1"/>
    <e v="#N/A"/>
    <e v="#N/A"/>
    <x v="8"/>
    <m/>
    <m/>
    <m/>
    <m/>
    <m/>
    <x v="10"/>
    <m/>
    <m/>
    <m/>
    <m/>
    <e v="#N/A"/>
    <m/>
    <m/>
  </r>
  <r>
    <x v="2"/>
    <m/>
    <x v="71"/>
    <x v="1"/>
    <e v="#N/A"/>
    <e v="#N/A"/>
    <x v="8"/>
    <m/>
    <m/>
    <m/>
    <m/>
    <m/>
    <x v="10"/>
    <m/>
    <m/>
    <m/>
    <m/>
    <e v="#N/A"/>
    <m/>
    <m/>
  </r>
  <r>
    <x v="2"/>
    <m/>
    <x v="47"/>
    <x v="1"/>
    <e v="#N/A"/>
    <e v="#N/A"/>
    <x v="8"/>
    <m/>
    <m/>
    <m/>
    <m/>
    <m/>
    <x v="10"/>
    <m/>
    <m/>
    <m/>
    <m/>
    <e v="#N/A"/>
    <m/>
    <m/>
  </r>
  <r>
    <x v="2"/>
    <m/>
    <x v="90"/>
    <x v="1"/>
    <e v="#N/A"/>
    <e v="#N/A"/>
    <x v="8"/>
    <m/>
    <m/>
    <m/>
    <m/>
    <m/>
    <x v="10"/>
    <m/>
    <m/>
    <m/>
    <m/>
    <e v="#N/A"/>
    <m/>
    <m/>
  </r>
  <r>
    <x v="2"/>
    <m/>
    <x v="72"/>
    <x v="1"/>
    <e v="#N/A"/>
    <e v="#N/A"/>
    <x v="8"/>
    <m/>
    <m/>
    <m/>
    <m/>
    <m/>
    <x v="10"/>
    <m/>
    <m/>
    <m/>
    <m/>
    <e v="#N/A"/>
    <m/>
    <m/>
  </r>
  <r>
    <x v="0"/>
    <s v="Waste Management "/>
    <x v="7"/>
    <x v="0"/>
    <e v="#N/A"/>
    <e v="#N/A"/>
    <x v="8"/>
    <s v="Federal"/>
    <m/>
    <n v="800958.9"/>
    <n v="800958.9"/>
    <n v="2019"/>
    <x v="10"/>
    <m/>
    <m/>
    <m/>
    <m/>
    <e v="#N/A"/>
    <m/>
    <m/>
  </r>
  <r>
    <x v="2"/>
    <m/>
    <x v="74"/>
    <x v="1"/>
    <e v="#N/A"/>
    <e v="#N/A"/>
    <x v="8"/>
    <m/>
    <m/>
    <m/>
    <m/>
    <m/>
    <x v="10"/>
    <m/>
    <m/>
    <m/>
    <m/>
    <e v="#N/A"/>
    <m/>
    <m/>
  </r>
  <r>
    <x v="2"/>
    <m/>
    <x v="95"/>
    <x v="1"/>
    <e v="#N/A"/>
    <e v="#N/A"/>
    <x v="8"/>
    <m/>
    <m/>
    <m/>
    <m/>
    <m/>
    <x v="10"/>
    <m/>
    <m/>
    <m/>
    <m/>
    <e v="#N/A"/>
    <m/>
    <m/>
  </r>
  <r>
    <x v="2"/>
    <m/>
    <x v="87"/>
    <x v="1"/>
    <e v="#N/A"/>
    <e v="#N/A"/>
    <x v="8"/>
    <m/>
    <m/>
    <m/>
    <m/>
    <m/>
    <x v="10"/>
    <m/>
    <m/>
    <m/>
    <m/>
    <e v="#N/A"/>
    <m/>
    <m/>
  </r>
  <r>
    <x v="2"/>
    <m/>
    <x v="86"/>
    <x v="1"/>
    <e v="#N/A"/>
    <e v="#N/A"/>
    <x v="8"/>
    <m/>
    <m/>
    <m/>
    <m/>
    <m/>
    <x v="10"/>
    <m/>
    <m/>
    <m/>
    <m/>
    <e v="#N/A"/>
    <m/>
    <m/>
  </r>
  <r>
    <x v="2"/>
    <m/>
    <x v="96"/>
    <x v="1"/>
    <e v="#N/A"/>
    <e v="#N/A"/>
    <x v="8"/>
    <m/>
    <m/>
    <m/>
    <m/>
    <m/>
    <x v="10"/>
    <m/>
    <m/>
    <m/>
    <m/>
    <e v="#N/A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1" cacheId="125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57" firstHeaderRow="0" firstDataRow="1" firstDataCol="1"/>
  <pivotFields count="20">
    <pivotField showAll="0"/>
    <pivotField showAll="0"/>
    <pivotField axis="axisRow" showAll="0">
      <items count="112">
        <item x="32"/>
        <item x="77"/>
        <item x="33"/>
        <item x="22"/>
        <item x="34"/>
        <item x="23"/>
        <item x="17"/>
        <item x="100"/>
        <item x="35"/>
        <item x="78"/>
        <item x="36"/>
        <item x="24"/>
        <item x="37"/>
        <item x="0"/>
        <item x="1"/>
        <item x="25"/>
        <item x="79"/>
        <item x="83"/>
        <item x="101"/>
        <item x="2"/>
        <item x="3"/>
        <item x="102"/>
        <item x="88"/>
        <item x="103"/>
        <item x="38"/>
        <item x="67"/>
        <item x="39"/>
        <item x="89"/>
        <item x="40"/>
        <item x="41"/>
        <item x="80"/>
        <item x="42"/>
        <item m="1" x="108"/>
        <item x="43"/>
        <item x="70"/>
        <item x="26"/>
        <item x="44"/>
        <item x="45"/>
        <item x="76"/>
        <item x="46"/>
        <item x="98"/>
        <item x="4"/>
        <item x="71"/>
        <item x="47"/>
        <item x="90"/>
        <item x="48"/>
        <item x="5"/>
        <item x="65"/>
        <item x="6"/>
        <item x="104"/>
        <item x="84"/>
        <item x="72"/>
        <item x="27"/>
        <item x="28"/>
        <item x="29"/>
        <item x="81"/>
        <item x="49"/>
        <item x="50"/>
        <item x="7"/>
        <item x="51"/>
        <item x="8"/>
        <item x="18"/>
        <item x="52"/>
        <item x="73"/>
        <item x="53"/>
        <item x="9"/>
        <item x="99"/>
        <item x="54"/>
        <item x="105"/>
        <item x="10"/>
        <item x="55"/>
        <item x="91"/>
        <item x="92"/>
        <item x="56"/>
        <item x="93"/>
        <item x="94"/>
        <item x="74"/>
        <item m="1" x="110"/>
        <item x="20"/>
        <item x="66"/>
        <item x="68"/>
        <item x="11"/>
        <item x="106"/>
        <item x="12"/>
        <item x="82"/>
        <item x="95"/>
        <item x="57"/>
        <item x="30"/>
        <item x="13"/>
        <item x="58"/>
        <item x="59"/>
        <item x="14"/>
        <item x="87"/>
        <item x="107"/>
        <item x="15"/>
        <item x="97"/>
        <item x="19"/>
        <item x="60"/>
        <item x="61"/>
        <item x="85"/>
        <item x="62"/>
        <item m="1" x="109"/>
        <item x="21"/>
        <item x="69"/>
        <item x="86"/>
        <item x="31"/>
        <item x="96"/>
        <item x="63"/>
        <item x="16"/>
        <item x="64"/>
        <item x="75"/>
        <item t="default"/>
      </items>
    </pivotField>
    <pivotField showAll="0"/>
    <pivotField showAll="0"/>
    <pivotField showAll="0"/>
    <pivotField axis="axisRow" showAll="0">
      <items count="12">
        <item x="5"/>
        <item x="2"/>
        <item x="6"/>
        <item x="0"/>
        <item x="3"/>
        <item m="1" x="10"/>
        <item x="1"/>
        <item x="4"/>
        <item x="7"/>
        <item x="8"/>
        <item m="1" x="9"/>
        <item t="default"/>
      </items>
    </pivotField>
    <pivotField showAll="0"/>
    <pivotField showAll="0"/>
    <pivotField showAll="0"/>
    <pivotField showAll="0"/>
    <pivotField showAll="0"/>
    <pivotField axis="axisRow" showAll="0" includeNewItemsInFilter="1">
      <items count="137">
        <item x="0"/>
        <item x="1"/>
        <item x="7"/>
        <item x="6"/>
        <item x="5"/>
        <item x="4"/>
        <item x="3"/>
        <item m="1" x="131"/>
        <item m="1" x="101"/>
        <item m="1" x="65"/>
        <item h="1" x="8"/>
        <item h="1" x="10"/>
        <item m="1" x="31"/>
        <item m="1" x="58"/>
        <item m="1" x="130"/>
        <item m="1" x="92"/>
        <item m="1" x="125"/>
        <item m="1" x="33"/>
        <item m="1" x="39"/>
        <item m="1" x="62"/>
        <item m="1" x="11"/>
        <item m="1" x="100"/>
        <item m="1" x="28"/>
        <item m="1" x="107"/>
        <item m="1" x="59"/>
        <item m="1" x="30"/>
        <item m="1" x="35"/>
        <item m="1" x="81"/>
        <item m="1" x="42"/>
        <item m="1" x="112"/>
        <item m="1" x="86"/>
        <item m="1" x="90"/>
        <item m="1" x="96"/>
        <item m="1" x="52"/>
        <item m="1" x="45"/>
        <item m="1" x="104"/>
        <item m="1" x="67"/>
        <item m="1" x="82"/>
        <item m="1" x="123"/>
        <item m="1" x="106"/>
        <item m="1" x="19"/>
        <item m="1" x="49"/>
        <item m="1" x="55"/>
        <item m="1" x="79"/>
        <item m="1" x="68"/>
        <item m="1" x="73"/>
        <item m="1" x="43"/>
        <item m="1" x="118"/>
        <item m="1" x="27"/>
        <item m="1" x="94"/>
        <item m="1" x="115"/>
        <item m="1" x="133"/>
        <item m="1" x="80"/>
        <item m="1" x="119"/>
        <item m="1" x="47"/>
        <item m="1" x="108"/>
        <item m="1" x="20"/>
        <item m="1" x="71"/>
        <item m="1" x="122"/>
        <item m="1" x="117"/>
        <item m="1" x="84"/>
        <item m="1" x="121"/>
        <item m="1" x="77"/>
        <item m="1" x="22"/>
        <item m="1" x="132"/>
        <item m="1" x="15"/>
        <item m="1" x="44"/>
        <item m="1" x="113"/>
        <item m="1" x="18"/>
        <item m="1" x="63"/>
        <item m="1" x="76"/>
        <item m="1" x="51"/>
        <item m="1" x="91"/>
        <item m="1" x="102"/>
        <item m="1" x="126"/>
        <item m="1" x="41"/>
        <item m="1" x="124"/>
        <item m="1" x="95"/>
        <item m="1" x="97"/>
        <item m="1" x="14"/>
        <item m="1" x="66"/>
        <item m="1" x="24"/>
        <item m="1" x="93"/>
        <item m="1" x="46"/>
        <item m="1" x="53"/>
        <item m="1" x="127"/>
        <item m="1" x="74"/>
        <item m="1" x="29"/>
        <item m="1" x="114"/>
        <item m="1" x="72"/>
        <item m="1" x="75"/>
        <item m="1" x="50"/>
        <item m="1" x="64"/>
        <item m="1" x="32"/>
        <item m="1" x="69"/>
        <item m="1" x="54"/>
        <item m="1" x="21"/>
        <item m="1" x="16"/>
        <item m="1" x="26"/>
        <item m="1" x="61"/>
        <item m="1" x="17"/>
        <item m="1" x="89"/>
        <item m="1" x="99"/>
        <item m="1" x="60"/>
        <item m="1" x="116"/>
        <item m="1" x="70"/>
        <item m="1" x="105"/>
        <item m="1" x="129"/>
        <item m="1" x="23"/>
        <item m="1" x="78"/>
        <item m="1" x="87"/>
        <item m="1" x="48"/>
        <item m="1" x="40"/>
        <item m="1" x="13"/>
        <item m="1" x="103"/>
        <item m="1" x="37"/>
        <item m="1" x="38"/>
        <item m="1" x="98"/>
        <item m="1" x="56"/>
        <item m="1" x="34"/>
        <item m="1" x="109"/>
        <item m="1" x="111"/>
        <item m="1" x="120"/>
        <item m="1" x="83"/>
        <item m="1" x="134"/>
        <item m="1" x="36"/>
        <item m="1" x="135"/>
        <item m="1" x="110"/>
        <item m="1" x="57"/>
        <item m="1" x="25"/>
        <item m="1" x="85"/>
        <item m="1" x="88"/>
        <item m="1" x="128"/>
        <item m="1" x="12"/>
        <item x="9"/>
        <item x="2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</pivotFields>
  <rowFields count="3">
    <field x="12"/>
    <field x="6"/>
    <field x="2"/>
  </rowFields>
  <rowItems count="154">
    <i>
      <x/>
    </i>
    <i r="1">
      <x v="3"/>
    </i>
    <i r="2">
      <x v="13"/>
    </i>
    <i r="2">
      <x v="14"/>
    </i>
    <i r="2">
      <x v="19"/>
    </i>
    <i r="2">
      <x v="20"/>
    </i>
    <i r="2">
      <x v="41"/>
    </i>
    <i r="2">
      <x v="46"/>
    </i>
    <i r="2">
      <x v="48"/>
    </i>
    <i r="2">
      <x v="58"/>
    </i>
    <i r="2">
      <x v="60"/>
    </i>
    <i r="2">
      <x v="65"/>
    </i>
    <i r="2">
      <x v="69"/>
    </i>
    <i r="2">
      <x v="81"/>
    </i>
    <i r="2">
      <x v="83"/>
    </i>
    <i r="2">
      <x v="88"/>
    </i>
    <i r="2">
      <x v="91"/>
    </i>
    <i r="2">
      <x v="94"/>
    </i>
    <i r="2">
      <x v="108"/>
    </i>
    <i r="1">
      <x v="6"/>
    </i>
    <i r="2">
      <x v="6"/>
    </i>
    <i r="2">
      <x v="61"/>
    </i>
    <i r="2">
      <x v="96"/>
    </i>
    <i>
      <x v="1"/>
    </i>
    <i r="1">
      <x v="1"/>
    </i>
    <i r="2">
      <x v="46"/>
    </i>
    <i r="2">
      <x v="78"/>
    </i>
    <i r="2">
      <x v="102"/>
    </i>
    <i r="1">
      <x v="3"/>
    </i>
    <i r="2">
      <x v="3"/>
    </i>
    <i r="2">
      <x v="5"/>
    </i>
    <i r="2">
      <x v="11"/>
    </i>
    <i r="2">
      <x v="15"/>
    </i>
    <i r="2">
      <x v="35"/>
    </i>
    <i r="2">
      <x v="52"/>
    </i>
    <i r="2">
      <x v="53"/>
    </i>
    <i r="2">
      <x v="54"/>
    </i>
    <i r="2">
      <x v="78"/>
    </i>
    <i r="2">
      <x v="87"/>
    </i>
    <i r="2">
      <x v="96"/>
    </i>
    <i r="2">
      <x v="105"/>
    </i>
    <i r="1">
      <x v="4"/>
    </i>
    <i r="2">
      <x v="46"/>
    </i>
    <i r="2">
      <x v="92"/>
    </i>
    <i r="2">
      <x v="97"/>
    </i>
    <i r="2">
      <x v="98"/>
    </i>
    <i r="2">
      <x v="99"/>
    </i>
    <i r="2">
      <x v="100"/>
    </i>
    <i r="2">
      <x v="104"/>
    </i>
    <i r="2">
      <x v="106"/>
    </i>
    <i r="2">
      <x v="107"/>
    </i>
    <i r="2">
      <x v="108"/>
    </i>
    <i r="2">
      <x v="109"/>
    </i>
    <i r="2">
      <x v="110"/>
    </i>
    <i r="1">
      <x v="6"/>
    </i>
    <i r="2">
      <x v="46"/>
    </i>
    <i r="2">
      <x v="47"/>
    </i>
    <i r="2">
      <x v="78"/>
    </i>
    <i r="2">
      <x v="79"/>
    </i>
    <i r="1">
      <x v="7"/>
    </i>
    <i r="2">
      <x v="52"/>
    </i>
    <i r="2">
      <x v="87"/>
    </i>
    <i r="2">
      <x v="102"/>
    </i>
    <i r="2">
      <x v="103"/>
    </i>
    <i>
      <x v="2"/>
    </i>
    <i r="1">
      <x/>
    </i>
    <i r="2">
      <x v="46"/>
    </i>
    <i r="2">
      <x v="78"/>
    </i>
    <i r="1">
      <x v="4"/>
    </i>
    <i r="2">
      <x v="80"/>
    </i>
    <i r="2">
      <x v="84"/>
    </i>
    <i r="2">
      <x v="85"/>
    </i>
    <i r="2">
      <x v="86"/>
    </i>
    <i r="2">
      <x v="89"/>
    </i>
    <i r="2">
      <x v="90"/>
    </i>
    <i>
      <x v="3"/>
    </i>
    <i r="1">
      <x v="4"/>
    </i>
    <i r="2">
      <x v="63"/>
    </i>
    <i r="2">
      <x v="64"/>
    </i>
    <i r="2">
      <x v="67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>
      <x v="4"/>
    </i>
    <i r="1">
      <x v="4"/>
    </i>
    <i r="2">
      <x v="42"/>
    </i>
    <i r="2">
      <x v="43"/>
    </i>
    <i r="2">
      <x v="44"/>
    </i>
    <i r="2">
      <x v="45"/>
    </i>
    <i r="2">
      <x v="50"/>
    </i>
    <i r="2">
      <x v="51"/>
    </i>
    <i r="2">
      <x v="55"/>
    </i>
    <i r="2">
      <x v="56"/>
    </i>
    <i r="2">
      <x v="57"/>
    </i>
    <i r="2">
      <x v="59"/>
    </i>
    <i r="2">
      <x v="60"/>
    </i>
    <i r="2">
      <x v="62"/>
    </i>
    <i>
      <x v="5"/>
    </i>
    <i r="1">
      <x v="4"/>
    </i>
    <i r="2">
      <x v="28"/>
    </i>
    <i r="2">
      <x v="29"/>
    </i>
    <i r="2">
      <x v="30"/>
    </i>
    <i r="2">
      <x v="31"/>
    </i>
    <i r="2">
      <x v="33"/>
    </i>
    <i r="2">
      <x v="34"/>
    </i>
    <i r="2">
      <x v="36"/>
    </i>
    <i r="2">
      <x v="37"/>
    </i>
    <i r="2">
      <x v="38"/>
    </i>
    <i r="2">
      <x v="39"/>
    </i>
    <i>
      <x v="6"/>
    </i>
    <i r="1">
      <x v="4"/>
    </i>
    <i r="2">
      <x v="26"/>
    </i>
    <i r="2">
      <x v="27"/>
    </i>
    <i>
      <x v="134"/>
    </i>
    <i r="1">
      <x v="7"/>
    </i>
    <i r="2">
      <x v="2"/>
    </i>
    <i r="2">
      <x v="4"/>
    </i>
    <i r="2">
      <x v="8"/>
    </i>
    <i r="2">
      <x v="31"/>
    </i>
    <i r="2">
      <x v="33"/>
    </i>
    <i r="2">
      <x v="36"/>
    </i>
    <i r="2">
      <x v="38"/>
    </i>
    <i r="2">
      <x v="39"/>
    </i>
    <i r="2">
      <x v="50"/>
    </i>
    <i r="2">
      <x v="56"/>
    </i>
    <i r="2">
      <x v="57"/>
    </i>
    <i r="2">
      <x v="59"/>
    </i>
    <i r="2">
      <x v="70"/>
    </i>
    <i r="2">
      <x v="71"/>
    </i>
    <i r="2">
      <x v="73"/>
    </i>
    <i r="2">
      <x v="86"/>
    </i>
    <i r="2">
      <x v="106"/>
    </i>
    <i>
      <x v="135"/>
    </i>
    <i r="1">
      <x v="4"/>
    </i>
    <i r="2">
      <x/>
    </i>
    <i r="2">
      <x v="1"/>
    </i>
    <i r="2">
      <x v="2"/>
    </i>
    <i r="2">
      <x v="4"/>
    </i>
    <i r="2">
      <x v="8"/>
    </i>
    <i r="2">
      <x v="9"/>
    </i>
    <i r="2">
      <x v="10"/>
    </i>
    <i r="2">
      <x v="12"/>
    </i>
    <i r="2">
      <x v="16"/>
    </i>
    <i r="2">
      <x v="17"/>
    </i>
    <i r="2">
      <x v="22"/>
    </i>
    <i r="2">
      <x v="24"/>
    </i>
    <i r="2">
      <x v="25"/>
    </i>
    <i r="1">
      <x v="7"/>
    </i>
    <i r="2">
      <x v="10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ST" fld="16" baseField="11" baseItem="0" numFmtId="44"/>
    <dataField name="Sum of ESTIMATES" fld="17" baseField="1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2" cacheId="125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30" firstHeaderRow="0" firstDataRow="1" firstDataCol="1"/>
  <pivotFields count="20">
    <pivotField axis="axisRow" multipleItemSelectionAllowed="1" showAll="0">
      <items count="6">
        <item x="1"/>
        <item x="0"/>
        <item x="2"/>
        <item h="1" m="1" x="4"/>
        <item x="3"/>
        <item t="default"/>
      </items>
    </pivotField>
    <pivotField showAll="0"/>
    <pivotField axis="axisRow" showAll="0">
      <items count="112">
        <item x="77"/>
        <item x="22"/>
        <item x="23"/>
        <item x="17"/>
        <item x="100"/>
        <item x="24"/>
        <item x="0"/>
        <item x="1"/>
        <item x="25"/>
        <item x="101"/>
        <item x="2"/>
        <item x="3"/>
        <item x="102"/>
        <item x="103"/>
        <item x="80"/>
        <item m="1" x="108"/>
        <item x="26"/>
        <item x="98"/>
        <item x="4"/>
        <item x="5"/>
        <item x="65"/>
        <item x="6"/>
        <item x="27"/>
        <item x="28"/>
        <item x="29"/>
        <item x="7"/>
        <item x="8"/>
        <item x="18"/>
        <item x="9"/>
        <item x="99"/>
        <item x="105"/>
        <item x="10"/>
        <item x="20"/>
        <item x="66"/>
        <item x="11"/>
        <item x="106"/>
        <item x="12"/>
        <item x="30"/>
        <item x="13"/>
        <item x="14"/>
        <item x="107"/>
        <item x="15"/>
        <item x="97"/>
        <item x="19"/>
        <item m="1" x="109"/>
        <item x="21"/>
        <item x="69"/>
        <item x="31"/>
        <item x="16"/>
        <item x="79"/>
        <item x="88"/>
        <item x="41"/>
        <item x="42"/>
        <item x="45"/>
        <item x="71"/>
        <item x="47"/>
        <item x="90"/>
        <item x="72"/>
        <item x="81"/>
        <item x="52"/>
        <item x="92"/>
        <item x="74"/>
        <item x="95"/>
        <item x="87"/>
        <item x="86"/>
        <item x="32"/>
        <item x="38"/>
        <item x="104"/>
        <item x="84"/>
        <item x="54"/>
        <item x="68"/>
        <item x="57"/>
        <item x="85"/>
        <item x="62"/>
        <item x="96"/>
        <item x="64"/>
        <item x="75"/>
        <item m="1" x="110"/>
        <item x="33"/>
        <item x="34"/>
        <item x="35"/>
        <item x="78"/>
        <item x="36"/>
        <item x="37"/>
        <item x="83"/>
        <item x="67"/>
        <item x="39"/>
        <item x="89"/>
        <item x="40"/>
        <item x="43"/>
        <item x="70"/>
        <item x="44"/>
        <item x="76"/>
        <item x="46"/>
        <item x="48"/>
        <item x="49"/>
        <item x="50"/>
        <item x="51"/>
        <item x="73"/>
        <item x="53"/>
        <item x="55"/>
        <item x="91"/>
        <item x="56"/>
        <item x="93"/>
        <item x="94"/>
        <item x="82"/>
        <item x="58"/>
        <item x="59"/>
        <item x="60"/>
        <item x="61"/>
        <item x="63"/>
        <item t="default"/>
      </items>
    </pivotField>
    <pivotField showAll="0"/>
    <pivotField showAll="0"/>
    <pivotField showAll="0"/>
    <pivotField axis="axisRow" showAll="0">
      <items count="12">
        <item x="5"/>
        <item x="2"/>
        <item x="0"/>
        <item x="3"/>
        <item m="1" x="10"/>
        <item x="1"/>
        <item x="4"/>
        <item x="8"/>
        <item x="6"/>
        <item m="1" x="9"/>
        <item x="7"/>
        <item t="default"/>
      </items>
    </pivotField>
    <pivotField showAll="0"/>
    <pivotField showAll="0"/>
    <pivotField showAll="0"/>
    <pivotField numFmtId="44"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3">
    <field x="0"/>
    <field x="6"/>
    <field x="2"/>
  </rowFields>
  <rowItems count="327">
    <i>
      <x/>
    </i>
    <i r="1">
      <x/>
    </i>
    <i r="2">
      <x v="29"/>
    </i>
    <i r="2">
      <x v="48"/>
    </i>
    <i r="1">
      <x v="1"/>
    </i>
    <i r="2">
      <x v="26"/>
    </i>
    <i r="2">
      <x v="28"/>
    </i>
    <i r="2">
      <x v="31"/>
    </i>
    <i r="2">
      <x v="48"/>
    </i>
    <i r="1">
      <x v="2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8"/>
    </i>
    <i r="2">
      <x v="26"/>
    </i>
    <i r="2">
      <x v="28"/>
    </i>
    <i r="2">
      <x v="29"/>
    </i>
    <i r="2">
      <x v="30"/>
    </i>
    <i r="2">
      <x v="31"/>
    </i>
    <i r="2">
      <x v="40"/>
    </i>
    <i r="2">
      <x v="48"/>
    </i>
    <i r="1">
      <x v="3"/>
    </i>
    <i r="2">
      <x v="14"/>
    </i>
    <i r="2">
      <x v="26"/>
    </i>
    <i r="2">
      <x v="48"/>
    </i>
    <i r="2">
      <x v="83"/>
    </i>
    <i r="2">
      <x v="84"/>
    </i>
    <i r="2">
      <x v="85"/>
    </i>
    <i r="2">
      <x v="98"/>
    </i>
    <i r="2">
      <x v="99"/>
    </i>
    <i r="2">
      <x v="101"/>
    </i>
    <i r="2">
      <x v="105"/>
    </i>
    <i r="2">
      <x v="106"/>
    </i>
    <i r="2">
      <x v="107"/>
    </i>
    <i r="2">
      <x v="108"/>
    </i>
    <i r="2">
      <x v="109"/>
    </i>
    <i r="1">
      <x v="6"/>
    </i>
    <i r="2">
      <x v="7"/>
    </i>
    <i r="2">
      <x v="14"/>
    </i>
    <i r="2">
      <x v="42"/>
    </i>
    <i r="2">
      <x v="48"/>
    </i>
    <i r="2">
      <x v="83"/>
    </i>
    <i r="2">
      <x v="84"/>
    </i>
    <i r="2">
      <x v="85"/>
    </i>
    <i r="2">
      <x v="98"/>
    </i>
    <i r="2">
      <x v="99"/>
    </i>
    <i r="2">
      <x v="101"/>
    </i>
    <i r="2">
      <x v="105"/>
    </i>
    <i r="2">
      <x v="106"/>
    </i>
    <i r="2">
      <x v="107"/>
    </i>
    <i r="2">
      <x v="108"/>
    </i>
    <i r="2">
      <x v="109"/>
    </i>
    <i>
      <x v="1"/>
    </i>
    <i r="1">
      <x/>
    </i>
    <i r="2">
      <x v="25"/>
    </i>
    <i r="1">
      <x v="1"/>
    </i>
    <i r="2">
      <x v="25"/>
    </i>
    <i r="2">
      <x v="34"/>
    </i>
    <i r="2">
      <x v="39"/>
    </i>
    <i r="1">
      <x v="2"/>
    </i>
    <i r="2">
      <x/>
    </i>
    <i r="2">
      <x v="4"/>
    </i>
    <i r="2">
      <x v="6"/>
    </i>
    <i r="2">
      <x v="17"/>
    </i>
    <i r="2">
      <x v="21"/>
    </i>
    <i r="2">
      <x v="25"/>
    </i>
    <i r="2">
      <x v="34"/>
    </i>
    <i r="2">
      <x v="35"/>
    </i>
    <i r="2">
      <x v="39"/>
    </i>
    <i r="2">
      <x v="41"/>
    </i>
    <i r="1">
      <x v="3"/>
    </i>
    <i r="2">
      <x/>
    </i>
    <i r="2">
      <x v="81"/>
    </i>
    <i r="2">
      <x v="82"/>
    </i>
    <i r="2">
      <x v="94"/>
    </i>
    <i r="1">
      <x v="5"/>
    </i>
    <i r="2">
      <x v="17"/>
    </i>
    <i r="2">
      <x v="21"/>
    </i>
    <i r="2">
      <x v="25"/>
    </i>
    <i r="1">
      <x v="6"/>
    </i>
    <i r="2">
      <x v="6"/>
    </i>
    <i r="2">
      <x v="81"/>
    </i>
    <i r="2">
      <x v="82"/>
    </i>
    <i r="2">
      <x v="94"/>
    </i>
    <i r="1">
      <x v="7"/>
    </i>
    <i r="2">
      <x v="25"/>
    </i>
    <i>
      <x v="2"/>
    </i>
    <i r="1">
      <x/>
    </i>
    <i r="2">
      <x v="19"/>
    </i>
    <i r="2">
      <x v="32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1">
      <x v="1"/>
    </i>
    <i r="2">
      <x v="19"/>
    </i>
    <i r="2">
      <x v="32"/>
    </i>
    <i r="2">
      <x v="45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1">
      <x v="2"/>
    </i>
    <i r="2">
      <x v="1"/>
    </i>
    <i r="2">
      <x v="2"/>
    </i>
    <i r="2">
      <x v="5"/>
    </i>
    <i r="2">
      <x v="8"/>
    </i>
    <i r="2">
      <x v="16"/>
    </i>
    <i r="2">
      <x v="19"/>
    </i>
    <i r="2">
      <x v="22"/>
    </i>
    <i r="2">
      <x v="23"/>
    </i>
    <i r="2">
      <x v="24"/>
    </i>
    <i r="2">
      <x v="32"/>
    </i>
    <i r="2">
      <x v="36"/>
    </i>
    <i r="2">
      <x v="37"/>
    </i>
    <i r="2">
      <x v="38"/>
    </i>
    <i r="2">
      <x v="43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1">
      <x v="3"/>
    </i>
    <i r="2">
      <x v="19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r="2">
      <x v="80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5"/>
    </i>
    <i r="2">
      <x v="96"/>
    </i>
    <i r="2">
      <x v="97"/>
    </i>
    <i r="2">
      <x v="100"/>
    </i>
    <i r="2">
      <x v="102"/>
    </i>
    <i r="2">
      <x v="110"/>
    </i>
    <i r="1">
      <x v="5"/>
    </i>
    <i r="2">
      <x v="3"/>
    </i>
    <i r="2">
      <x v="19"/>
    </i>
    <i r="2">
      <x v="20"/>
    </i>
    <i r="2">
      <x v="27"/>
    </i>
    <i r="2">
      <x v="32"/>
    </i>
    <i r="2">
      <x v="33"/>
    </i>
    <i r="2">
      <x v="43"/>
    </i>
    <i r="1">
      <x v="6"/>
    </i>
    <i r="2">
      <x v="22"/>
    </i>
    <i r="2">
      <x v="37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r="2">
      <x v="80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5"/>
    </i>
    <i r="2">
      <x v="96"/>
    </i>
    <i r="2">
      <x v="97"/>
    </i>
    <i r="2">
      <x v="100"/>
    </i>
    <i r="2">
      <x v="102"/>
    </i>
    <i r="2">
      <x v="110"/>
    </i>
    <i r="1">
      <x v="7"/>
    </i>
    <i r="2">
      <x v="49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61"/>
    </i>
    <i r="2">
      <x v="62"/>
    </i>
    <i r="2">
      <x v="63"/>
    </i>
    <i r="2">
      <x v="64"/>
    </i>
    <i r="2">
      <x v="74"/>
    </i>
    <i r="1">
      <x v="8"/>
    </i>
    <i r="2">
      <x v="49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61"/>
    </i>
    <i r="2">
      <x v="62"/>
    </i>
    <i r="2">
      <x v="63"/>
    </i>
    <i r="2">
      <x v="64"/>
    </i>
    <i r="1">
      <x v="10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>
      <x v="4"/>
    </i>
    <i r="1">
      <x v="3"/>
    </i>
    <i r="2">
      <x v="103"/>
    </i>
    <i r="2">
      <x v="104"/>
    </i>
    <i r="1">
      <x v="6"/>
    </i>
    <i r="2">
      <x v="103"/>
    </i>
    <i r="2">
      <x v="10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ST" fld="16" baseField="2" baseItem="52" numFmtId="44"/>
    <dataField name="Sum of ESTIMATES" fld="17" baseField="2" baseItem="52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125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16" firstHeaderRow="0" firstDataRow="1" firstDataCol="1"/>
  <pivotFields count="20">
    <pivotField showAll="0"/>
    <pivotField showAll="0"/>
    <pivotField axis="axisRow" showAll="0">
      <items count="112">
        <item x="77"/>
        <item x="22"/>
        <item x="23"/>
        <item x="17"/>
        <item x="100"/>
        <item x="24"/>
        <item x="0"/>
        <item x="1"/>
        <item x="25"/>
        <item x="101"/>
        <item x="2"/>
        <item x="3"/>
        <item x="102"/>
        <item x="103"/>
        <item x="80"/>
        <item m="1" x="108"/>
        <item x="26"/>
        <item x="98"/>
        <item x="4"/>
        <item x="5"/>
        <item x="65"/>
        <item x="6"/>
        <item x="27"/>
        <item x="28"/>
        <item x="29"/>
        <item x="7"/>
        <item x="8"/>
        <item x="18"/>
        <item x="9"/>
        <item x="99"/>
        <item x="105"/>
        <item x="10"/>
        <item x="20"/>
        <item x="66"/>
        <item x="11"/>
        <item x="106"/>
        <item x="12"/>
        <item x="30"/>
        <item x="13"/>
        <item x="14"/>
        <item x="107"/>
        <item x="15"/>
        <item x="97"/>
        <item x="19"/>
        <item m="1" x="109"/>
        <item x="21"/>
        <item x="69"/>
        <item x="31"/>
        <item x="16"/>
        <item x="79"/>
        <item x="88"/>
        <item x="41"/>
        <item x="42"/>
        <item x="45"/>
        <item x="71"/>
        <item x="47"/>
        <item x="90"/>
        <item x="72"/>
        <item x="81"/>
        <item x="52"/>
        <item x="92"/>
        <item x="74"/>
        <item x="95"/>
        <item x="87"/>
        <item x="86"/>
        <item x="32"/>
        <item x="38"/>
        <item x="104"/>
        <item x="84"/>
        <item x="54"/>
        <item x="68"/>
        <item x="57"/>
        <item x="85"/>
        <item x="62"/>
        <item x="96"/>
        <item x="64"/>
        <item x="75"/>
        <item m="1" x="110"/>
        <item x="33"/>
        <item x="34"/>
        <item x="35"/>
        <item x="78"/>
        <item x="36"/>
        <item x="37"/>
        <item x="83"/>
        <item x="67"/>
        <item x="39"/>
        <item x="89"/>
        <item x="40"/>
        <item x="43"/>
        <item x="70"/>
        <item x="44"/>
        <item x="76"/>
        <item x="46"/>
        <item x="48"/>
        <item x="49"/>
        <item x="50"/>
        <item x="51"/>
        <item x="73"/>
        <item x="53"/>
        <item x="55"/>
        <item x="91"/>
        <item x="56"/>
        <item x="93"/>
        <item x="94"/>
        <item x="82"/>
        <item x="58"/>
        <item x="59"/>
        <item x="60"/>
        <item x="61"/>
        <item x="63"/>
        <item t="default"/>
      </items>
    </pivotField>
    <pivotField axis="axisRow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2">
    <field x="3"/>
    <field x="2"/>
  </rowFields>
  <rowItems count="113">
    <i>
      <x/>
    </i>
    <i r="1">
      <x v="6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>
      <x v="2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>
      <x v="3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ST" fld="16" baseField="4" baseItem="0" numFmtId="44"/>
    <dataField name="Sum of ESTIMATES" fld="17" baseField="4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00000000-0016-0000-0800-000000000000}" autoFormatId="16" applyNumberFormats="0" applyBorderFormats="0" applyFontFormats="0" applyPatternFormats="0" applyAlignmentFormats="0" applyWidthHeightFormats="0">
  <queryTableRefresh nextId="15" unboundColumnsRight="2">
    <queryTableFields count="14">
      <queryTableField id="1" name="Work Type" tableColumnId="1"/>
      <queryTableField id="2" name="Materials" tableColumnId="2"/>
      <queryTableField id="3" name="Labor" tableColumnId="3"/>
      <queryTableField id="4" name="Contingency" tableColumnId="4"/>
      <queryTableField id="5" name="A&amp;E" tableColumnId="5"/>
      <queryTableField id="6" name=" JOC Licensing" tableColumnId="6"/>
      <queryTableField id="7" name="JOC  Development" tableColumnId="7"/>
      <queryTableField id="8" name="CM" tableColumnId="8"/>
      <queryTableField id="9" name="PM " tableColumnId="9"/>
      <queryTableField id="10" name="Overhead+ Profit" tableColumnId="10"/>
      <queryTableField id="11" name="General Conditions" tableColumnId="11"/>
      <queryTableField id="12" name="TOTAL" tableColumnId="12"/>
      <queryTableField id="13" dataBound="0" tableColumnId="13"/>
      <queryTableField id="14" dataBound="0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00000000-0016-0000-0A00-000001000000}" autoFormatId="16" applyNumberFormats="0" applyBorderFormats="0" applyFontFormats="0" applyPatternFormats="0" applyAlignmentFormats="0" applyWidthHeightFormats="0">
  <queryTableRefresh nextId="320">
    <queryTableFields count="319">
      <queryTableField id="1" name="Development" tableColumnId="1"/>
      <queryTableField id="2" name="Year Sum" tableColumnId="2"/>
      <queryTableField id="3" name="Weekly Average" tableColumnId="3"/>
      <queryTableField id="4" name="Borough" tableColumnId="4"/>
      <queryTableField id="5" name="District" tableColumnId="5"/>
      <queryTableField id="6" name="1/9/2017" tableColumnId="6"/>
      <queryTableField id="7" name="1/10/2017" tableColumnId="7"/>
      <queryTableField id="8" name="1/11/2017" tableColumnId="8"/>
      <queryTableField id="9" name="1/12/2017" tableColumnId="9"/>
      <queryTableField id="10" name="1/13/2017" tableColumnId="10"/>
      <queryTableField id="11" name="1/14/2017" tableColumnId="11"/>
      <queryTableField id="12" name="1/16/2017" tableColumnId="12"/>
      <queryTableField id="13" name="1/17/2017" tableColumnId="13"/>
      <queryTableField id="14" name="1/18/2017" tableColumnId="14"/>
      <queryTableField id="15" name="1/19/2017" tableColumnId="15"/>
      <queryTableField id="16" name="1/20/2017" tableColumnId="16"/>
      <queryTableField id="17" name="1/21/2017" tableColumnId="17"/>
      <queryTableField id="18" name="1/23/2017" tableColumnId="18"/>
      <queryTableField id="19" name="1/24/2017" tableColumnId="19"/>
      <queryTableField id="20" name="1/25/2017" tableColumnId="20"/>
      <queryTableField id="21" name="1/26/2017" tableColumnId="21"/>
      <queryTableField id="22" name="1/27/2017" tableColumnId="22"/>
      <queryTableField id="23" name="1/28/2017" tableColumnId="23"/>
      <queryTableField id="24" name="1/2/2017" tableColumnId="24"/>
      <queryTableField id="25" name="1/3/2017" tableColumnId="25"/>
      <queryTableField id="26" name="1/4/2017" tableColumnId="26"/>
      <queryTableField id="27" name="1/5/2017" tableColumnId="27"/>
      <queryTableField id="28" name="1/6/2017" tableColumnId="28"/>
      <queryTableField id="29" name="1/7/2017" tableColumnId="29"/>
      <queryTableField id="30" name="10/9/2017" tableColumnId="30"/>
      <queryTableField id="31" name="10/10/2017" tableColumnId="31"/>
      <queryTableField id="32" name="10/11/2017" tableColumnId="32"/>
      <queryTableField id="33" name="10/12/2017" tableColumnId="33"/>
      <queryTableField id="34" name="10/13/2017" tableColumnId="34"/>
      <queryTableField id="35" name="10/14/2017" tableColumnId="35"/>
      <queryTableField id="36" name="10/16/2017" tableColumnId="36"/>
      <queryTableField id="37" name="10/17/2017" tableColumnId="37"/>
      <queryTableField id="38" name="10/18/2017" tableColumnId="38"/>
      <queryTableField id="39" name="10/19/2017" tableColumnId="39"/>
      <queryTableField id="40" name="10/20/2017" tableColumnId="40"/>
      <queryTableField id="41" name="10/21/2017" tableColumnId="41"/>
      <queryTableField id="42" name="10/23/2017" tableColumnId="42"/>
      <queryTableField id="43" name="10/24/2017" tableColumnId="43"/>
      <queryTableField id="44" name="10/25/2017" tableColumnId="44"/>
      <queryTableField id="45" name="10/26/2017" tableColumnId="45"/>
      <queryTableField id="46" name="10/27/2017" tableColumnId="46"/>
      <queryTableField id="47" name="10/28/2017" tableColumnId="47"/>
      <queryTableField id="48" name="10/2/2017" tableColumnId="48"/>
      <queryTableField id="49" name="10/3/2017" tableColumnId="49"/>
      <queryTableField id="50" name="10/4/2017" tableColumnId="50"/>
      <queryTableField id="51" name="10/5/2017" tableColumnId="51"/>
      <queryTableField id="52" name="10/6/2017" tableColumnId="52"/>
      <queryTableField id="53" name="10/7/2017" tableColumnId="53"/>
      <queryTableField id="54" name="11/6/2017" tableColumnId="54"/>
      <queryTableField id="55" name="11/7/2017" tableColumnId="55"/>
      <queryTableField id="56" name="11/8/2017" tableColumnId="56"/>
      <queryTableField id="57" name="11/9/2017" tableColumnId="57"/>
      <queryTableField id="58" name="11/10/2017" tableColumnId="58"/>
      <queryTableField id="59" name="11/11/2017" tableColumnId="59"/>
      <queryTableField id="60" name="11/13/2017" tableColumnId="60"/>
      <queryTableField id="61" name="11/14/2017" tableColumnId="61"/>
      <queryTableField id="62" name="11/15/2017" tableColumnId="62"/>
      <queryTableField id="63" name="11/16/2017" tableColumnId="63"/>
      <queryTableField id="64" name="11/17/2017" tableColumnId="64"/>
      <queryTableField id="65" name="11/18/2017" tableColumnId="65"/>
      <queryTableField id="66" name="11/20/2017" tableColumnId="66"/>
      <queryTableField id="67" name="11/21/2017" tableColumnId="67"/>
      <queryTableField id="68" name="11/22/2017" tableColumnId="68"/>
      <queryTableField id="69" name="11/23/2017" tableColumnId="69"/>
      <queryTableField id="70" name="11/24/2017" tableColumnId="70"/>
      <queryTableField id="71" name="11/25/2017" tableColumnId="71"/>
      <queryTableField id="72" name="10/30/2017" tableColumnId="72"/>
      <queryTableField id="73" name="10/31/2017" tableColumnId="73"/>
      <queryTableField id="74" name="11/1/2017" tableColumnId="74"/>
      <queryTableField id="75" name="11/2/2017" tableColumnId="75"/>
      <queryTableField id="76" name="11/3/2017" tableColumnId="76"/>
      <queryTableField id="77" name="11/4/2017" tableColumnId="77"/>
      <queryTableField id="78" name="12/10/2017" tableColumnId="78"/>
      <queryTableField id="79" name="12/11/2017" tableColumnId="79"/>
      <queryTableField id="80" name="12/12/2017" tableColumnId="80"/>
      <queryTableField id="81" name="12/13/2017" tableColumnId="81"/>
      <queryTableField id="82" name="12/14/2017" tableColumnId="82"/>
      <queryTableField id="83" name="12/15/2017" tableColumnId="83"/>
      <queryTableField id="84" name="12/16/2017" tableColumnId="84"/>
      <queryTableField id="85" name="11/27/2017" tableColumnId="85"/>
      <queryTableField id="86" name="11/28/2017" tableColumnId="86"/>
      <queryTableField id="87" name="11/29/2017" tableColumnId="87"/>
      <queryTableField id="88" name="11/30/2017" tableColumnId="88"/>
      <queryTableField id="89" name="12/1/2017" tableColumnId="89"/>
      <queryTableField id="90" name="12/2/2017" tableColumnId="90"/>
      <queryTableField id="91" name="12/18/2017" tableColumnId="91"/>
      <queryTableField id="92" name="12/19/2017" tableColumnId="92"/>
      <queryTableField id="93" name="12/20/2017" tableColumnId="93"/>
      <queryTableField id="94" name="12/21/2017" tableColumnId="94"/>
      <queryTableField id="95" name="12/22/2017" tableColumnId="95"/>
      <queryTableField id="96" name="12/23/2017" tableColumnId="96"/>
      <queryTableField id="97" name="12/25/2017" tableColumnId="97"/>
      <queryTableField id="98" name="12/26/2017" tableColumnId="98"/>
      <queryTableField id="99" name="12/27/2017" tableColumnId="99"/>
      <queryTableField id="100" name="12/28/2017" tableColumnId="100"/>
      <queryTableField id="101" name="12/29/2017" tableColumnId="101"/>
      <queryTableField id="102" name="12/30/2017" tableColumnId="102"/>
      <queryTableField id="103" name="12/4/2017" tableColumnId="103"/>
      <queryTableField id="104" name="12/5/2017" tableColumnId="104"/>
      <queryTableField id="105" name="12/6/2017" tableColumnId="105"/>
      <queryTableField id="106" name="12/7/2017" tableColumnId="106"/>
      <queryTableField id="107" name="12/8/2017" tableColumnId="107"/>
      <queryTableField id="108" name="12/9/2017" tableColumnId="108"/>
      <queryTableField id="109" name="2/6/2017" tableColumnId="109"/>
      <queryTableField id="110" name="2/7/2017" tableColumnId="110"/>
      <queryTableField id="111" name="2/8/2017" tableColumnId="111"/>
      <queryTableField id="112" name="2/9/2017" tableColumnId="112"/>
      <queryTableField id="113" name="2/10/2017" tableColumnId="113"/>
      <queryTableField id="114" name="2/11/2017" tableColumnId="114"/>
      <queryTableField id="115" name="2/12/2017" tableColumnId="115"/>
      <queryTableField id="116" name="2/13/2017" tableColumnId="116"/>
      <queryTableField id="117" name="2/14/2017" tableColumnId="117"/>
      <queryTableField id="118" name="2/15/2017" tableColumnId="118"/>
      <queryTableField id="119" name="2/16/2017" tableColumnId="119"/>
      <queryTableField id="120" name="2/17/2017" tableColumnId="120"/>
      <queryTableField id="121" name="2/18/2017" tableColumnId="121"/>
      <queryTableField id="122" name="2/20/2017" tableColumnId="122"/>
      <queryTableField id="123" name="2/21/2017" tableColumnId="123"/>
      <queryTableField id="124" name="2/22/2017" tableColumnId="124"/>
      <queryTableField id="125" name="2/23/2017" tableColumnId="125"/>
      <queryTableField id="126" name="2/24/2017" tableColumnId="126"/>
      <queryTableField id="127" name="2/25/2017" tableColumnId="127"/>
      <queryTableField id="128" name="1/30/2017" tableColumnId="128"/>
      <queryTableField id="129" name="1/31/2017" tableColumnId="129"/>
      <queryTableField id="130" name="2/1/2017" tableColumnId="130"/>
      <queryTableField id="131" name="2/2/2017" tableColumnId="131"/>
      <queryTableField id="132" name="2/3/2017" tableColumnId="132"/>
      <queryTableField id="133" name="2/4/2017" tableColumnId="133"/>
      <queryTableField id="134" name="3/6/2017" tableColumnId="134"/>
      <queryTableField id="135" name="3/7/2017" tableColumnId="135"/>
      <queryTableField id="136" name="3/8/2017" tableColumnId="136"/>
      <queryTableField id="137" name="3/9/2017" tableColumnId="137"/>
      <queryTableField id="138" name="3/10/2017" tableColumnId="138"/>
      <queryTableField id="139" name="3/11/2017" tableColumnId="139"/>
      <queryTableField id="140" name="3/13/2017" tableColumnId="140"/>
      <queryTableField id="141" name="3/14/2017" tableColumnId="141"/>
      <queryTableField id="142" name="3/15/2017" tableColumnId="142"/>
      <queryTableField id="143" name="3/16/2017" tableColumnId="143"/>
      <queryTableField id="144" name="3/17/2017" tableColumnId="144"/>
      <queryTableField id="145" name="3/18/2017" tableColumnId="145"/>
      <queryTableField id="146" name="3/20/2017" tableColumnId="146"/>
      <queryTableField id="147" name="3/21/2017" tableColumnId="147"/>
      <queryTableField id="148" name="3/22/2017" tableColumnId="148"/>
      <queryTableField id="149" name="3/23/2017" tableColumnId="149"/>
      <queryTableField id="150" name="3/24/2017" tableColumnId="150"/>
      <queryTableField id="151" name="3/25/2017" tableColumnId="151"/>
      <queryTableField id="152" name="2/27/2017" tableColumnId="152"/>
      <queryTableField id="153" name="2/28/2017" tableColumnId="153"/>
      <queryTableField id="154" name="3/1/2017" tableColumnId="154"/>
      <queryTableField id="155" name="3/2/2017" tableColumnId="155"/>
      <queryTableField id="156" name="3/3/2017" tableColumnId="156"/>
      <queryTableField id="157" name="3/4/2017" tableColumnId="157"/>
      <queryTableField id="158" name="3/27/2017" tableColumnId="158"/>
      <queryTableField id="159" name="3/28/2017" tableColumnId="159"/>
      <queryTableField id="160" name="3/29/2017" tableColumnId="160"/>
      <queryTableField id="161" name="3/30/2017" tableColumnId="161"/>
      <queryTableField id="162" name="3/31/2017" tableColumnId="162"/>
      <queryTableField id="163" name="4/1/2017" tableColumnId="163"/>
      <queryTableField id="164" name="4/10/2017" tableColumnId="164"/>
      <queryTableField id="165" name="4/11/2017" tableColumnId="165"/>
      <queryTableField id="166" name="4/12/2017" tableColumnId="166"/>
      <queryTableField id="167" name="4/13/2017" tableColumnId="167"/>
      <queryTableField id="168" name="4/14/2017" tableColumnId="168"/>
      <queryTableField id="169" name="4/15/2017" tableColumnId="169"/>
      <queryTableField id="170" name="4/17/2017" tableColumnId="170"/>
      <queryTableField id="171" name="4/18/2017" tableColumnId="171"/>
      <queryTableField id="172" name="4/19/2017" tableColumnId="172"/>
      <queryTableField id="173" name="4/20/2017" tableColumnId="173"/>
      <queryTableField id="174" name="4/21/2017" tableColumnId="174"/>
      <queryTableField id="175" name="4/22/2017" tableColumnId="175"/>
      <queryTableField id="176" name="4/24/2017" tableColumnId="176"/>
      <queryTableField id="177" name="4/25/2017" tableColumnId="177"/>
      <queryTableField id="178" name="4/26/2017" tableColumnId="178"/>
      <queryTableField id="179" name="4/27/2017" tableColumnId="179"/>
      <queryTableField id="180" name="4/28/2017" tableColumnId="180"/>
      <queryTableField id="181" name="4/29/2017" tableColumnId="181"/>
      <queryTableField id="182" name="4/3/2017" tableColumnId="182"/>
      <queryTableField id="183" name="4/4/2017" tableColumnId="183"/>
      <queryTableField id="184" name="4/5/2017" tableColumnId="184"/>
      <queryTableField id="185" name="4/6/2017" tableColumnId="185"/>
      <queryTableField id="186" name="4/7/2017" tableColumnId="186"/>
      <queryTableField id="187" name="4/8/2017" tableColumnId="187"/>
      <queryTableField id="188" name="5/8/2017" tableColumnId="188"/>
      <queryTableField id="189" name="5/9/2017" tableColumnId="189"/>
      <queryTableField id="190" name="5/10/2017" tableColumnId="190"/>
      <queryTableField id="191" name="5/11/2017" tableColumnId="191"/>
      <queryTableField id="192" name="5/12/2017" tableColumnId="192"/>
      <queryTableField id="193" name="5/13/2017" tableColumnId="193"/>
      <queryTableField id="194" name="5/15/2017" tableColumnId="194"/>
      <queryTableField id="195" name="5/16/2017" tableColumnId="195"/>
      <queryTableField id="196" name="5/17/2017" tableColumnId="196"/>
      <queryTableField id="197" name="5/18/2017" tableColumnId="197"/>
      <queryTableField id="198" name="5/19/2017" tableColumnId="198"/>
      <queryTableField id="199" name="5/20/2017" tableColumnId="199"/>
      <queryTableField id="200" name="5/22/2017" tableColumnId="200"/>
      <queryTableField id="201" name="5/23/2017" tableColumnId="201"/>
      <queryTableField id="202" name="5/24/2017" tableColumnId="202"/>
      <queryTableField id="203" name="5/25/2017" tableColumnId="203"/>
      <queryTableField id="204" name="5/26/2017" tableColumnId="204"/>
      <queryTableField id="205" name="5/27/2017" tableColumnId="205"/>
      <queryTableField id="206" name="5/1/2017" tableColumnId="206"/>
      <queryTableField id="207" name="5/2/2017" tableColumnId="207"/>
      <queryTableField id="208" name="5/3/2017" tableColumnId="208"/>
      <queryTableField id="209" name="5/4/2017" tableColumnId="209"/>
      <queryTableField id="210" name="5/5/2017" tableColumnId="210"/>
      <queryTableField id="211" name="5/6/2017" tableColumnId="211"/>
      <queryTableField id="212" name="6/5/2017" tableColumnId="212"/>
      <queryTableField id="213" name="6/6/2017" tableColumnId="213"/>
      <queryTableField id="214" name="6/7/2017" tableColumnId="214"/>
      <queryTableField id="215" name="6/8/2017" tableColumnId="215"/>
      <queryTableField id="216" name="6/9/2017" tableColumnId="216"/>
      <queryTableField id="217" name="6/10/2017" tableColumnId="217"/>
      <queryTableField id="218" name="6/12/2017" tableColumnId="218"/>
      <queryTableField id="219" name="6/13/2017" tableColumnId="219"/>
      <queryTableField id="220" name="6/14/2017" tableColumnId="220"/>
      <queryTableField id="221" name="6/15/2017" tableColumnId="221"/>
      <queryTableField id="222" name="6/16/2017" tableColumnId="222"/>
      <queryTableField id="223" name="6/17/2017" tableColumnId="223"/>
      <queryTableField id="224" name="6/19/2017" tableColumnId="224"/>
      <queryTableField id="225" name="6/20/2017" tableColumnId="225"/>
      <queryTableField id="226" name="6/21/2017" tableColumnId="226"/>
      <queryTableField id="227" name="6/22/2017" tableColumnId="227"/>
      <queryTableField id="228" name="6/23/2017" tableColumnId="228"/>
      <queryTableField id="229" name="6/24/2017" tableColumnId="229"/>
      <queryTableField id="230" name="5/29/2017" tableColumnId="230"/>
      <queryTableField id="231" name="5/30/2017" tableColumnId="231"/>
      <queryTableField id="232" name="5/31/2017" tableColumnId="232"/>
      <queryTableField id="233" name="6/1/2017" tableColumnId="233"/>
      <queryTableField id="234" name="6/2/2017" tableColumnId="234"/>
      <queryTableField id="235" name="6/3/2017" tableColumnId="235"/>
      <queryTableField id="236" name="6/26/2017" tableColumnId="236"/>
      <queryTableField id="237" name="6/27/2017" tableColumnId="237"/>
      <queryTableField id="238" name="6/28/2017" tableColumnId="238"/>
      <queryTableField id="239" name="6/29/2017" tableColumnId="239"/>
      <queryTableField id="240" name="6/30/2017" tableColumnId="240"/>
      <queryTableField id="241" name="7/1/2017" tableColumnId="241"/>
      <queryTableField id="242" name="7/10/2017" tableColumnId="242"/>
      <queryTableField id="243" name="7/11/2017" tableColumnId="243"/>
      <queryTableField id="244" name="7/12/2017" tableColumnId="244"/>
      <queryTableField id="245" name="7/13/2017" tableColumnId="245"/>
      <queryTableField id="246" name="7/14/2017" tableColumnId="246"/>
      <queryTableField id="247" name="7/15/2017" tableColumnId="247"/>
      <queryTableField id="248" name="7/17/2017" tableColumnId="248"/>
      <queryTableField id="249" name="7/18/2017" tableColumnId="249"/>
      <queryTableField id="250" name="7/19/2017" tableColumnId="250"/>
      <queryTableField id="251" name="7/20/2017" tableColumnId="251"/>
      <queryTableField id="252" name="7/21/2017" tableColumnId="252"/>
      <queryTableField id="253" name="7/22/2017" tableColumnId="253"/>
      <queryTableField id="254" name="7/24/2017" tableColumnId="254"/>
      <queryTableField id="255" name="7/25/2017" tableColumnId="255"/>
      <queryTableField id="256" name="7/26/2017" tableColumnId="256"/>
      <queryTableField id="257" name="7/27/2017" tableColumnId="257"/>
      <queryTableField id="258" name="7/28/2017" tableColumnId="258"/>
      <queryTableField id="259" name="7/29/2017" tableColumnId="259"/>
      <queryTableField id="260" name="7/3/2017" tableColumnId="260"/>
      <queryTableField id="261" name="7/4/2017" tableColumnId="261"/>
      <queryTableField id="262" name="7/5/2017" tableColumnId="262"/>
      <queryTableField id="263" name="7/6/2017" tableColumnId="263"/>
      <queryTableField id="264" name="7/7/2017" tableColumnId="264"/>
      <queryTableField id="265" name="7/8/2017" tableColumnId="265"/>
      <queryTableField id="266" name="8/7/2017" tableColumnId="266"/>
      <queryTableField id="267" name="8/8/2017" tableColumnId="267"/>
      <queryTableField id="268" name="8/9/2017" tableColumnId="268"/>
      <queryTableField id="269" name="8/10/2017" tableColumnId="269"/>
      <queryTableField id="270" name="8/11/2017" tableColumnId="270"/>
      <queryTableField id="271" name="8/12/2017" tableColumnId="271"/>
      <queryTableField id="272" name="8/14/2017" tableColumnId="272"/>
      <queryTableField id="273" name="8/15/2017" tableColumnId="273"/>
      <queryTableField id="274" name="8/16/2017" tableColumnId="274"/>
      <queryTableField id="275" name="8/17/2017" tableColumnId="275"/>
      <queryTableField id="276" name="8/18/2017" tableColumnId="276"/>
      <queryTableField id="277" name="8/19/2017" tableColumnId="277"/>
      <queryTableField id="278" name="8/21/2017" tableColumnId="278"/>
      <queryTableField id="279" name="8/22/2017" tableColumnId="279"/>
      <queryTableField id="280" name="8/23/2017" tableColumnId="280"/>
      <queryTableField id="281" name="8/24/2017" tableColumnId="281"/>
      <queryTableField id="282" name="8/25/2017" tableColumnId="282"/>
      <queryTableField id="283" name="8/26/2017" tableColumnId="283"/>
      <queryTableField id="284" name="7/31/2017" tableColumnId="284"/>
      <queryTableField id="285" name="8/1/2017" tableColumnId="285"/>
      <queryTableField id="286" name="8/2/2017" tableColumnId="286"/>
      <queryTableField id="287" name="8/3/2017" tableColumnId="287"/>
      <queryTableField id="288" name="8/4/2017" tableColumnId="288"/>
      <queryTableField id="289" name="8/5/2017" tableColumnId="289"/>
      <queryTableField id="290" name="9/11/2017" tableColumnId="290"/>
      <queryTableField id="291" name="9/12/2017" tableColumnId="291"/>
      <queryTableField id="292" name="9/13/2017" tableColumnId="292"/>
      <queryTableField id="293" name="9/14/2017" tableColumnId="293"/>
      <queryTableField id="294" name="9/15/2017" tableColumnId="294"/>
      <queryTableField id="295" name="9/16/2017" tableColumnId="295"/>
      <queryTableField id="296" name="8/28/2017" tableColumnId="296"/>
      <queryTableField id="297" name="8/29/2017" tableColumnId="297"/>
      <queryTableField id="298" name="8/30/2017" tableColumnId="298"/>
      <queryTableField id="299" name="8/31/2017" tableColumnId="299"/>
      <queryTableField id="300" name="9/1/2017" tableColumnId="300"/>
      <queryTableField id="301" name="9/2/2017" tableColumnId="301"/>
      <queryTableField id="302" name="9/18/2017" tableColumnId="302"/>
      <queryTableField id="303" name="9/19/2017" tableColumnId="303"/>
      <queryTableField id="304" name="9/20/2017" tableColumnId="304"/>
      <queryTableField id="305" name="9/21/2017" tableColumnId="305"/>
      <queryTableField id="306" name="9/22/2017" tableColumnId="306"/>
      <queryTableField id="307" name="9/23/2017" tableColumnId="307"/>
      <queryTableField id="308" name="9/25/2017" tableColumnId="308"/>
      <queryTableField id="309" name="9/26/2017" tableColumnId="309"/>
      <queryTableField id="310" name="9/27/2017" tableColumnId="310"/>
      <queryTableField id="311" name="9/28/2017" tableColumnId="311"/>
      <queryTableField id="312" name="9/29/2017" tableColumnId="312"/>
      <queryTableField id="313" name="9/30/2017" tableColumnId="313"/>
      <queryTableField id="314" name="9/4/2017" tableColumnId="314"/>
      <queryTableField id="315" name="9/5/2017" tableColumnId="315"/>
      <queryTableField id="316" name="9/6/2017" tableColumnId="316"/>
      <queryTableField id="317" name="9/7/2017" tableColumnId="317"/>
      <queryTableField id="318" name="9/8/2017" tableColumnId="318"/>
      <queryTableField id="319" name="9/9/2017" tableColumnId="31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0B00-000002000000}" autoFormatId="16" applyNumberFormats="0" applyBorderFormats="0" applyFontFormats="0" applyPatternFormats="0" applyAlignmentFormats="0" applyWidthHeightFormats="0">
  <queryTableRefresh nextId="52">
    <queryTableFields count="51">
      <queryTableField id="1" name="DATA AS OF" tableColumnId="1"/>
      <queryTableField id="2" name="DEVELOPMENT" tableColumnId="2"/>
      <queryTableField id="3" name="HUD AMP#" tableColumnId="3"/>
      <queryTableField id="4" name="TDS#" tableColumnId="4"/>
      <queryTableField id="5" name="CONSOLIDATED TDS#" tableColumnId="5"/>
      <queryTableField id="6" name="DEVELOPMENT EDP#" tableColumnId="6"/>
      <queryTableField id="7" name="OPERATING EDP#" tableColumnId="7"/>
      <queryTableField id="8" name="HUD #" tableColumnId="8"/>
      <queryTableField id="9" name="PROGRAM" tableColumnId="9"/>
      <queryTableField id="10" name="METHOD" tableColumnId="10"/>
      <queryTableField id="11" name="TYPE" tableColumnId="11"/>
      <queryTableField id="12" name="NUMBER OF SECTION 8 TRANSITION APARTMENTS" tableColumnId="12"/>
      <queryTableField id="13" name="NUMBER OF CURRENT APARTMENTS" tableColumnId="13"/>
      <queryTableField id="14" name="TOTAL NUMBER OF APARTMENTS" tableColumnId="14"/>
      <queryTableField id="15" name="NUMBER OF RENTAL ROOMS" tableColumnId="15"/>
      <queryTableField id="16" name="AVG NO R/R PER APARTMENT" tableColumnId="16"/>
      <queryTableField id="17" name="POPULATION SECTION 8 TRANSITION" tableColumnId="17"/>
      <queryTableField id="18" name="POPULATION PUBLIC HOUSING" tableColumnId="18"/>
      <queryTableField id="19" name="TOTAL POPULATION" tableColumnId="19"/>
      <queryTableField id="20" name="TOTAL # OF FIXED INCOME HOUSEHOLD" tableColumnId="20"/>
      <queryTableField id="21" name="PERCENT FIXED INCOME HOUSEHOLDS" tableColumnId="21"/>
      <queryTableField id="22" name="NUMBER OF RESIDENTIAL BLDGS" tableColumnId="22"/>
      <queryTableField id="23" name="NUMBER OF NON-RESIDENTIAL BLDGS" tableColumnId="23"/>
      <queryTableField id="24" name="NUMBER OF STAIRHALLS" tableColumnId="24"/>
      <queryTableField id="25" name="NUMBER OF STORIES" tableColumnId="25"/>
      <queryTableField id="26" name="TOTAL AREA SQ FT" tableColumnId="26"/>
      <queryTableField id="27" name="ACRES" tableColumnId="27"/>
      <queryTableField id="28" name="NET DEV AREA SQ FT" tableColumnId="28"/>
      <queryTableField id="29" name="EXCLUDING PARK ACRES" tableColumnId="29"/>
      <queryTableField id="30" name="BLDG COVERAGE SQ FT" tableColumnId="30"/>
      <queryTableField id="31" name="CUBAGE CU FT" tableColumnId="31"/>
      <queryTableField id="32" name="BLDG COVERAGE %" tableColumnId="32"/>
      <queryTableField id="33" name="DENSITY" tableColumnId="33"/>
      <queryTableField id="34" name="DEVELOPMENT COST" tableColumnId="34"/>
      <queryTableField id="35" name="PER RENTAL ROOM" tableColumnId="35"/>
      <queryTableField id="36" name="AVG MONTHLY GROSS RENT" tableColumnId="36"/>
      <queryTableField id="37" name="LOCATION STREET A" tableColumnId="37"/>
      <queryTableField id="38" name="LOCATION STREET B" tableColumnId="38"/>
      <queryTableField id="39" name="LOCATION STREET C" tableColumnId="39"/>
      <queryTableField id="40" name="LOCATION STREET D" tableColumnId="40"/>
      <queryTableField id="41" name="BOROUGH" tableColumnId="41"/>
      <queryTableField id="42" name="COMMUNITY DISTIRCT" tableColumnId="42"/>
      <queryTableField id="43" name="US CONGRESSIONAL DISTRICT" tableColumnId="43"/>
      <queryTableField id="44" name="NY STATE SENATE DISTRICT" tableColumnId="44"/>
      <queryTableField id="45" name="NY STATE ASSEMBLY DISTRICT" tableColumnId="45"/>
      <queryTableField id="46" name="NY CITY COUNCIL DISTRICT" tableColumnId="46"/>
      <queryTableField id="47" name="COMPLETION DATE" tableColumnId="47"/>
      <queryTableField id="48" name="FEDERALIZED DEVELOPMENT" tableColumnId="48"/>
      <queryTableField id="49" name="SENIOR DEVELOPMENT" tableColumnId="49"/>
      <queryTableField id="50" name="ELECTRICITY PAID BY RESIDENTS" tableColumnId="50"/>
      <queryTableField id="51" name="PRIVATE MANAGEMENT" tableColumnId="5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00000000-0016-0000-0C00-000003000000}" autoFormatId="16" applyNumberFormats="0" applyBorderFormats="0" applyFontFormats="0" applyPatternFormats="0" applyAlignmentFormats="0" applyWidthHeightFormats="0">
  <queryTableRefresh nextId="7">
    <queryTableFields count="5">
      <queryTableField id="2" name="Development Name" tableColumnId="2"/>
      <queryTableField id="1" name="Bundle Name" tableColumnId="1"/>
      <queryTableField id="3" name="Units" tableColumnId="3"/>
      <queryTableField id="4" name="Units_1" tableColumnId="4"/>
      <queryTableField id="5" name="Anticipated Closing Year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FEA4E08-9089-44E0-B25B-669CE9459DA1}" autoFormatId="16" applyNumberFormats="0" applyBorderFormats="0" applyFontFormats="0" applyPatternFormats="0" applyAlignmentFormats="0" applyWidthHeightFormats="0">
  <queryTableRefresh nextId="24" unboundColumnsRight="1">
    <queryTableFields count="23">
      <queryTableField id="1" name="Development" tableColumnId="1"/>
      <queryTableField id="2" name="Team" tableColumnId="2"/>
      <queryTableField id="3" name="RAD" tableColumnId="3"/>
      <queryTableField id="4" name="CPD Project Number" tableColumnId="4"/>
      <queryTableField id="5" name="HUD CF" tableColumnId="5"/>
      <queryTableField id="6" name="TDS" tableColumnId="6"/>
      <queryTableField id="7" name="Borough" tableColumnId="7"/>
      <queryTableField id="8" name="DOHMH Infestation Rating" tableColumnId="8"/>
      <queryTableField id="9" name="Description of Work" tableColumnId="9"/>
      <queryTableField id="10" name="Estimated Cost" tableColumnId="10"/>
      <queryTableField id="11" name=" Contract Award Amount" tableColumnId="11"/>
      <queryTableField id="12" name="City Funds Allocated" tableColumnId="12"/>
      <queryTableField id="13" name="REVISED Projected Construction Start Date" tableColumnId="13"/>
      <queryTableField id="14" name="Actual Construction Start Date" tableColumnId="14"/>
      <queryTableField id="15" name="REVISED Projected Completion Date" tableColumnId="15"/>
      <queryTableField id="16" name="Actual Full Completion Date" tableColumnId="16"/>
      <queryTableField id="17" name="Total City Funds Expended" tableColumnId="17"/>
      <queryTableField id="18" name="Units Complete" tableColumnId="18"/>
      <queryTableField id="19" name="Unit Count" tableColumnId="19"/>
      <queryTableField id="20" name="% Complete" tableColumnId="20"/>
      <queryTableField id="21" name="ON TRACK?" tableColumnId="21"/>
      <queryTableField id="22" name="Notes" tableColumnId="22"/>
      <queryTableField id="23" dataBound="0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00000000-0016-0000-1600-000004000000}" autoFormatId="16" applyNumberFormats="0" applyBorderFormats="0" applyFontFormats="0" applyPatternFormats="0" applyAlignmentFormats="0" applyWidthHeightFormats="0">
  <queryTableRefresh nextId="6">
    <queryTableFields count="5">
      <queryTableField id="1" name="DEVELOPMENTS" tableColumnId="1"/>
      <queryTableField id="2" name="Boro" tableColumnId="2"/>
      <queryTableField id="3" name="Private Management" tableColumnId="3"/>
      <queryTableField id="4" name="Number of Exterior Comapctors" tableColumnId="4"/>
      <queryTableField id="5" name="Installation Date of Exterior Compactor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00000000-0016-0000-1700-000005000000}" autoFormatId="16" applyNumberFormats="0" applyBorderFormats="0" applyFontFormats="0" applyPatternFormats="0" applyAlignmentFormats="0" applyWidthHeightFormats="0">
  <queryTableRefresh nextId="11">
    <queryTableFields count="5">
      <queryTableField id="1" name="DEVELOPMENTS" tableColumnId="1"/>
      <queryTableField id="2" name="Boro" tableColumnId="2"/>
      <queryTableField id="3" name="Private Management" tableColumnId="3"/>
      <queryTableField id="4" name="NUMBER OF INTERIOR COMPACTORS" tableColumnId="4"/>
      <queryTableField id="5" name="Installation Date of Interior Compactor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1800-000006000000}" autoFormatId="16" applyNumberFormats="0" applyBorderFormats="0" applyFontFormats="0" applyPatternFormats="0" applyAlignmentFormats="0" applyWidthHeightFormats="0">
  <queryTableRefresh nextId="49">
    <queryTableFields count="15">
      <queryTableField id="18" name="TDS" tableColumnId="18"/>
      <queryTableField id="19" name="Units" tableColumnId="19"/>
      <queryTableField id="20" name="RUL 1-5" tableColumnId="20"/>
      <queryTableField id="21" name="RUL 6-10" tableColumnId="21"/>
      <queryTableField id="22" name="RUL 11-13" tableColumnId="22"/>
      <queryTableField id="23" name="0" tableColumnId="23"/>
      <queryTableField id="24" name="1" tableColumnId="24"/>
      <queryTableField id="25" name="2" tableColumnId="25"/>
      <queryTableField id="26" name="3" tableColumnId="26"/>
      <queryTableField id="27" name="5" tableColumnId="27"/>
      <queryTableField id="28" name="6" tableColumnId="28"/>
      <queryTableField id="29" name="7" tableColumnId="29"/>
      <queryTableField id="30" name="8" tableColumnId="30"/>
      <queryTableField id="31" name="11" tableColumnId="31"/>
      <queryTableField id="32" name="12" tableColumnId="3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00000000-0016-0000-1900-000007000000}" autoFormatId="16" applyNumberFormats="0" applyBorderFormats="0" applyFontFormats="0" applyPatternFormats="0" applyAlignmentFormats="0" applyWidthHeightFormats="0">
  <queryTableRefresh nextId="33">
    <queryTableFields count="16">
      <queryTableField id="17" name="Development" tableColumnId="17"/>
      <queryTableField id="18" name="Units" tableColumnId="18"/>
      <queryTableField id="19" name="RUL 1-5" tableColumnId="19"/>
      <queryTableField id="20" name="RUL 6-10" tableColumnId="20"/>
      <queryTableField id="21" name="RUL 11-13" tableColumnId="21"/>
      <queryTableField id="22" name="0" tableColumnId="22"/>
      <queryTableField id="23" name="1" tableColumnId="23"/>
      <queryTableField id="24" name="2" tableColumnId="24"/>
      <queryTableField id="25" name="3" tableColumnId="25"/>
      <queryTableField id="26" name="4" tableColumnId="26"/>
      <queryTableField id="27" name="5" tableColumnId="27"/>
      <queryTableField id="28" name="7" tableColumnId="28"/>
      <queryTableField id="29" name="8" tableColumnId="29"/>
      <queryTableField id="30" name="11" tableColumnId="30"/>
      <queryTableField id="31" name="12" tableColumnId="31"/>
      <queryTableField id="32" name="13" tableColumnId="3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00000000-0016-0000-1A00-000008000000}" autoFormatId="16" applyNumberFormats="0" applyBorderFormats="0" applyFontFormats="0" applyPatternFormats="0" applyAlignmentFormats="0" applyWidthHeightFormats="0">
  <queryTableRefresh nextId="35">
    <queryTableFields count="9">
      <queryTableField id="26" name="Column1" tableColumnId="1"/>
      <queryTableField id="27" name="TDS" tableColumnId="2"/>
      <queryTableField id="28" name="BUNDLE NAME" tableColumnId="3"/>
      <queryTableField id="29" name="Development Name" tableColumnId="4"/>
      <queryTableField id="30" name="Units" tableColumnId="5"/>
      <queryTableField id="31" name="Normalized to subsidy need" tableColumnId="6"/>
      <queryTableField id="32" name="5-6K" tableColumnId="7"/>
      <queryTableField id="33" name="7-8K" tableColumnId="8"/>
      <queryTableField id="34" name="9-10K" tableColumnId="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F33B9BA-8633-4786-90CE-16C043DA2B97}" autoFormatId="16" applyNumberFormats="0" applyBorderFormats="0" applyFontFormats="0" applyPatternFormats="0" applyAlignmentFormats="0" applyWidthHeightFormats="0">
  <queryTableRefresh nextId="24" unboundColumnsRight="1">
    <queryTableFields count="23">
      <queryTableField id="1" name="Development" tableColumnId="1"/>
      <queryTableField id="2" name="Team" tableColumnId="2"/>
      <queryTableField id="3" name="RAD" tableColumnId="3"/>
      <queryTableField id="4" name="CPD Project Number" tableColumnId="4"/>
      <queryTableField id="5" name="HUD CF" tableColumnId="5"/>
      <queryTableField id="6" name="TDS" tableColumnId="6"/>
      <queryTableField id="7" name="Borough" tableColumnId="7"/>
      <queryTableField id="8" name="DOHMH Infestation Rating" tableColumnId="8"/>
      <queryTableField id="9" name="Description of Work" tableColumnId="9"/>
      <queryTableField id="10" name="Estimated Cost" tableColumnId="10"/>
      <queryTableField id="11" name=" Contract Award Amount" tableColumnId="11"/>
      <queryTableField id="12" name="City Funds Allocated" tableColumnId="12"/>
      <queryTableField id="13" name="REVISED Projected Construction Start Date" tableColumnId="13"/>
      <queryTableField id="14" name="Actual Construction Start Date" tableColumnId="14"/>
      <queryTableField id="15" name="REVISED Projected Completion Date" tableColumnId="15"/>
      <queryTableField id="16" name="Actual Full Completion Date" tableColumnId="16"/>
      <queryTableField id="17" name="Total City Funds Expended" tableColumnId="17"/>
      <queryTableField id="18" name="Units Complete" tableColumnId="18"/>
      <queryTableField id="19" name="Unit Count" tableColumnId="19"/>
      <queryTableField id="20" name="% Complete" tableColumnId="20"/>
      <queryTableField id="21" name="ON TRACK?" tableColumnId="21"/>
      <queryTableField id="22" name="Notes" tableColumnId="22"/>
      <queryTableField id="23" dataBound="0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470D2F65-1EE1-47FF-ADA4-58C4CBE593B7}" autoFormatId="16" applyNumberFormats="0" applyBorderFormats="0" applyFontFormats="0" applyPatternFormats="0" applyAlignmentFormats="0" applyWidthHeightFormats="0">
  <queryTableRefresh nextId="24" unboundColumnsRight="1">
    <queryTableFields count="23">
      <queryTableField id="1" name="Development" tableColumnId="1"/>
      <queryTableField id="2" name="Team" tableColumnId="2"/>
      <queryTableField id="3" name="RAD" tableColumnId="3"/>
      <queryTableField id="4" name="CPD Project Number" tableColumnId="4"/>
      <queryTableField id="5" name="HUD CF" tableColumnId="5"/>
      <queryTableField id="6" name="TDS" tableColumnId="6"/>
      <queryTableField id="7" name="Borough" tableColumnId="7"/>
      <queryTableField id="8" name="DOHMH Infestation Rating" tableColumnId="8"/>
      <queryTableField id="9" name="Description of Work" tableColumnId="9"/>
      <queryTableField id="10" name="Estimated Cost" tableColumnId="10"/>
      <queryTableField id="11" name=" Contract Award Amount" tableColumnId="11"/>
      <queryTableField id="12" name="City Funds Allocated" tableColumnId="12"/>
      <queryTableField id="13" name="REVISED Projected Construction Start Date" tableColumnId="13"/>
      <queryTableField id="14" name="Actual Construction Start Date" tableColumnId="14"/>
      <queryTableField id="15" name="REVISED Projected Completion Date" tableColumnId="15"/>
      <queryTableField id="16" name="Actual Full Completion Date" tableColumnId="16"/>
      <queryTableField id="17" name="Total City Funds Expended" tableColumnId="17"/>
      <queryTableField id="18" name="Units Complete" tableColumnId="18"/>
      <queryTableField id="19" name="Unit Count" tableColumnId="19"/>
      <queryTableField id="20" name="% Complete" tableColumnId="20"/>
      <queryTableField id="21" name="ON TRACK?" tableColumnId="21"/>
      <queryTableField id="22" name="Notes" tableColumnId="22"/>
      <queryTableField id="23" dataBound="0" tableColumnId="2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4B1100B4-86D4-4A15-9408-B3B1A5C2979C}" autoFormatId="16" applyNumberFormats="0" applyBorderFormats="0" applyFontFormats="0" applyPatternFormats="0" applyAlignmentFormats="0" applyWidthHeightFormats="0">
  <queryTableRefresh nextId="24" unboundColumnsRight="1">
    <queryTableFields count="23">
      <queryTableField id="1" name="Development" tableColumnId="1"/>
      <queryTableField id="2" name="Team" tableColumnId="2"/>
      <queryTableField id="3" name="RAD" tableColumnId="3"/>
      <queryTableField id="4" name="CPD Project Number" tableColumnId="4"/>
      <queryTableField id="5" name="HUD CF" tableColumnId="5"/>
      <queryTableField id="6" name="TDS" tableColumnId="6"/>
      <queryTableField id="7" name="Borough" tableColumnId="7"/>
      <queryTableField id="8" name="DOHMH Infestation Rating" tableColumnId="8"/>
      <queryTableField id="9" name="Description of Work" tableColumnId="9"/>
      <queryTableField id="10" name="Estimated Cost" tableColumnId="10"/>
      <queryTableField id="11" name=" Contract Award Amount" tableColumnId="11"/>
      <queryTableField id="12" name="City Funds Allocated" tableColumnId="12"/>
      <queryTableField id="13" name="REVISED Projected Construction Start Date" tableColumnId="13"/>
      <queryTableField id="14" name="Actual Construction Start Date" tableColumnId="14"/>
      <queryTableField id="15" name="REVISED Projected Completion Date" tableColumnId="15"/>
      <queryTableField id="16" name="Actual Full Completion Date" tableColumnId="16"/>
      <queryTableField id="17" name="Total City Funds Expended" tableColumnId="17"/>
      <queryTableField id="18" name="Units Complete" tableColumnId="18"/>
      <queryTableField id="19" name="Unit Count" tableColumnId="19"/>
      <queryTableField id="20" name="% Complete" tableColumnId="20"/>
      <queryTableField id="21" name="ON TRACK?" tableColumnId="21"/>
      <queryTableField id="22" name="Notes" tableColumnId="22"/>
      <queryTableField id="23" dataBound="0" tableColumnId="2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0000000-0016-0000-1E00-000009000000}" autoFormatId="16" applyNumberFormats="0" applyBorderFormats="0" applyFontFormats="0" applyPatternFormats="0" applyAlignmentFormats="0" applyWidthHeightFormats="0">
  <queryTableRefresh nextId="22">
    <queryTableFields count="21">
      <queryTableField id="1" name="tds" tableColumnId="1"/>
      <queryTableField id="2" name="development" tableColumnId="2"/>
      <queryTableField id="3" name="managedby" tableColumnId="3"/>
      <queryTableField id="4" name="numexternal" tableColumnId="4"/>
      <queryTableField id="5" name="Priority" tableColumnId="5"/>
      <queryTableField id="6" name="extbool" tableColumnId="6"/>
      <queryTableField id="7" name="sharebool" tableColumnId="7"/>
      <queryTableField id="8" name="curbbool" tableColumnId="8"/>
      <queryTableField id="9" name="totbool" tableColumnId="9"/>
      <queryTableField id="10" name="ifnoext_istherespace" tableColumnId="10"/>
      <queryTableField id="11" name="ops_numext" tableColumnId="11"/>
      <queryTableField id="12" name="levan_numext" tableColumnId="12"/>
      <queryTableField id="13" name="maximo_numext" tableColumnId="13"/>
      <queryTableField id="14" name="pna_numext" tableColumnId="14"/>
      <queryTableField id="15" name="ops_curbside" tableColumnId="15"/>
      <queryTableField id="16" name="ops_share" tableColumnId="16"/>
      <queryTableField id="17" name="ops_neighbordev" tableColumnId="17"/>
      <queryTableField id="18" name="ops_notes" tableColumnId="18"/>
      <queryTableField id="19" name="pactnrr_curbside" tableColumnId="19"/>
      <queryTableField id="20" name="pactnrr_notes" tableColumnId="20"/>
      <queryTableField id="21" name="ifnoext_comment" tableColumnId="21"/>
    </queryTable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T303" totalsRowShown="0" headerRowDxfId="610" headerRowBorderDxfId="608" tableBorderDxfId="609" totalsRowBorderDxfId="607">
  <autoFilter ref="A4:T303" xr:uid="{00000000-0009-0000-0100-000001000000}"/>
  <sortState xmlns:xlrd2="http://schemas.microsoft.com/office/spreadsheetml/2017/richdata2" ref="A5:T303">
    <sortCondition ref="M5:M303"/>
    <sortCondition ref="G5:G303"/>
  </sortState>
  <tableColumns count="20">
    <tableColumn id="1" xr3:uid="{00000000-0010-0000-0000-000001000000}" name="BOROUGH" dataDxfId="606">
      <calculatedColumnFormula>VLOOKUP(C5,Data[],2,FALSE)</calculatedColumnFormula>
    </tableColumn>
    <tableColumn id="2" xr3:uid="{00000000-0010-0000-0000-000002000000}" name="PROGRAM AREA" dataDxfId="605"/>
    <tableColumn id="3" xr3:uid="{00000000-0010-0000-0000-000003000000}" name="DEVELOPMENT" dataDxfId="604"/>
    <tableColumn id="10" xr3:uid="{00000000-0010-0000-0000-00000A000000}" name="NRR" dataDxfId="603">
      <calculatedColumnFormula>VLOOKUP(Table1[[#This Row],[DEVELOPMENT]],Data[],MATCH(Table1[[#Headers],[NRR]],Data[#Headers],0),FALSE)</calculatedColumnFormula>
    </tableColumn>
    <tableColumn id="17" xr3:uid="{00000000-0010-0000-0000-000011000000}" name="Priority Level" dataDxfId="602">
      <calculatedColumnFormula>VLOOKUP(Table1[[#This Row],[DEVELOPMENT]],Data[],MATCH(Table1[[#Headers],[Priority Level]],Data[#Headers],0),FALSE)</calculatedColumnFormula>
    </tableColumn>
    <tableColumn id="19" xr3:uid="{00000000-0010-0000-0000-000013000000}" name="RAD/PACT" dataDxfId="601">
      <calculatedColumnFormula>VLOOKUP(Table1[[#This Row],[DEVELOPMENT]],Data[],MATCH(Table1[[#Headers],[RAD/PACT]],Data[#Headers],0),FALSE)</calculatedColumnFormula>
    </tableColumn>
    <tableColumn id="4" xr3:uid="{00000000-0010-0000-0000-000004000000}" name="WORK TYPE" dataDxfId="600"/>
    <tableColumn id="5" xr3:uid="{00000000-0010-0000-0000-000005000000}" name="FUNDING SOURCE" dataDxfId="599" dataCellStyle="Currency"/>
    <tableColumn id="6" xr3:uid="{00000000-0010-0000-0000-000006000000}" name="CITY FUNDS" dataDxfId="598" dataCellStyle="Currency"/>
    <tableColumn id="7" xr3:uid="{00000000-0010-0000-0000-000007000000}" name="FEDERAL FUNDS" dataDxfId="597" dataCellStyle="Currency">
      <calculatedColumnFormula>K5</calculatedColumnFormula>
    </tableColumn>
    <tableColumn id="8" xr3:uid="{00000000-0010-0000-0000-000008000000}" name="TOTAL FUNDS" dataDxfId="596" dataCellStyle="Currency"/>
    <tableColumn id="9" xr3:uid="{00000000-0010-0000-0000-000009000000}" name="FUND YEAR " dataDxfId="595"/>
    <tableColumn id="11" xr3:uid="{00000000-0010-0000-0000-00000B000000}" name="CALENDAR YEAR" dataDxfId="594"/>
    <tableColumn id="12" xr3:uid="{00000000-0010-0000-0000-00000C000000}" name="FISCAL YEAR" dataDxfId="593"/>
    <tableColumn id="13" xr3:uid="{00000000-0010-0000-0000-00000D000000}" name="STATUS" dataDxfId="592"/>
    <tableColumn id="18" xr3:uid="{00000000-0010-0000-0000-000012000000}" name="COMPLETED" dataDxfId="591"/>
    <tableColumn id="14" xr3:uid="{00000000-0010-0000-0000-00000E000000}" name="COST" dataDxfId="590" dataCellStyle="Currency"/>
    <tableColumn id="15" xr3:uid="{00000000-0010-0000-0000-00000F000000}" name="ESTIMATES" dataDxfId="589" dataCellStyle="Currency"/>
    <tableColumn id="16" xr3:uid="{00000000-0010-0000-0000-000010000000}" name="RESOURCE" dataDxfId="588"/>
    <tableColumn id="20" xr3:uid="{00000000-0010-0000-0000-000014000000}" name="Notes" dataDxfId="58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1000000}" name="all" displayName="all" ref="A3:AF314" totalsRowShown="0" headerRowDxfId="585" dataDxfId="584" headerRowBorderDxfId="582" tableBorderDxfId="583" dataCellStyle="Currency">
  <autoFilter ref="A3:AF314" xr:uid="{00000000-0009-0000-0100-00000A000000}">
    <filterColumn colId="18">
      <filters>
        <filter val="Yes"/>
      </filters>
    </filterColumn>
  </autoFilter>
  <sortState xmlns:xlrd2="http://schemas.microsoft.com/office/spreadsheetml/2017/richdata2" ref="A4:AF314">
    <sortCondition ref="G3:G314"/>
  </sortState>
  <tableColumns count="32">
    <tableColumn id="12" xr3:uid="{00000000-0010-0000-0100-00000C000000}" name="TDS" dataDxfId="581" dataCellStyle="Currency">
      <calculatedColumnFormula>VLOOKUP(B4,Data[],24,FALSE)</calculatedColumnFormula>
    </tableColumn>
    <tableColumn id="1" xr3:uid="{00000000-0010-0000-0100-000001000000}" name="DEVELOPMENT"/>
    <tableColumn id="30" xr3:uid="{00000000-0010-0000-0100-00001E000000}" name="PROGRAM">
      <calculatedColumnFormula>VLOOKUP(all[[#This Row],[DEVELOPMENT]],Data[],MATCH(all[[#Headers],[PROGRAM]],Data[#Headers],0),FALSE)</calculatedColumnFormula>
    </tableColumn>
    <tableColumn id="2" xr3:uid="{00000000-0010-0000-0100-000002000000}" name="BOROUGH">
      <calculatedColumnFormula>VLOOKUP(B4,Data[],2,FALSE)</calculatedColumnFormula>
    </tableColumn>
    <tableColumn id="24" xr3:uid="{00000000-0010-0000-0100-000018000000}" name="NY State Assembly District" dataDxfId="580">
      <calculatedColumnFormula>VLOOKUP(all[[#This Row],[DEVELOPMENT]],Data[],65,FALSE)</calculatedColumnFormula>
    </tableColumn>
    <tableColumn id="13" xr3:uid="{00000000-0010-0000-0100-00000D000000}" name="MANAGED BY" dataDxfId="579">
      <calculatedColumnFormula>VLOOKUP(all[[#This Row],[DEVELOPMENT]],Data[],3,FALSE)</calculatedColumnFormula>
    </tableColumn>
    <tableColumn id="67" xr3:uid="{00000000-0010-0000-0100-000043000000}" name="Exterior Compactor Priority Group " dataDxfId="578"/>
    <tableColumn id="52" xr3:uid="{00000000-0010-0000-0100-000034000000}" name="WMP Commitment"/>
    <tableColumn id="33" xr3:uid="{00000000-0010-0000-0100-000021000000}" name="Operations Exterior Compactor Priority List">
      <calculatedColumnFormula>VLOOKUP(all[[#This Row],[DEVELOPMENT]],Data[],34,FALSE)</calculatedColumnFormula>
    </tableColumn>
    <tableColumn id="32" xr3:uid="{00000000-0010-0000-0100-000020000000}" name="DSNY Worst Offenders - Exterior Compactors"/>
    <tableColumn id="3" xr3:uid="{00000000-0010-0000-0100-000003000000}" name="NRR">
      <calculatedColumnFormula>VLOOKUP(B4,Data[],8,FALSE)</calculatedColumnFormula>
    </tableColumn>
    <tableColumn id="26" xr3:uid="{00000000-0010-0000-0100-00001A000000}" name="MAP">
      <calculatedColumnFormula>VLOOKUP(all[[#This Row],[DEVELOPMENT]],Data[],61,FALSE)</calculatedColumnFormula>
    </tableColumn>
    <tableColumn id="4" xr3:uid="{00000000-0010-0000-0100-000004000000}" name="DOHMH NRR Priority ">
      <calculatedColumnFormula>VLOOKUP(B4,Data[],9,FALSE)</calculatedColumnFormula>
    </tableColumn>
    <tableColumn id="29" xr3:uid="{00000000-0010-0000-0100-00001D000000}" name="MRST Int. Comp. Priority"/>
    <tableColumn id="28" xr3:uid="{00000000-0010-0000-0100-00001C000000}" name="MRST Ext. Comp. Priority"/>
    <tableColumn id="5" xr3:uid="{00000000-0010-0000-0100-000005000000}" name="RAD/PACT" dataDxfId="577">
      <calculatedColumnFormula>IFERROR(VLOOKUP(B4,Data[],4,FALSE),"")</calculatedColumnFormula>
    </tableColumn>
    <tableColumn id="6" xr3:uid="{00000000-0010-0000-0100-000006000000}" name="Is RAD/PACT w/in 5yr" dataDxfId="576">
      <calculatedColumnFormula>IF(all[[#This Row],[RAD/PACT]]="","",IF(OR(all[[#This Row],[RAD/PACT]]="2021-2025",all[[#This Row],[RAD/PACT]]="2019-2020"),"Yes",""))</calculatedColumnFormula>
    </tableColumn>
    <tableColumn id="14" xr3:uid="{00000000-0010-0000-0100-00000E000000}" name="DUs" dataDxfId="575">
      <calculatedColumnFormula>VLOOKUP(all[[#This Row],[DEVELOPMENT]],Data[],7,FALSE)</calculatedColumnFormula>
    </tableColumn>
    <tableColumn id="23" xr3:uid="{00000000-0010-0000-0100-000017000000}" name="Sewershed" dataDxfId="574">
      <calculatedColumnFormula>VLOOKUP(all[[#This Row],[DEVELOPMENT]],Data[],25,FALSE)</calculatedColumnFormula>
    </tableColumn>
    <tableColumn id="15" xr3:uid="{00000000-0010-0000-0100-00000F000000}" name="# Buildings" dataDxfId="573">
      <calculatedColumnFormula>VLOOKUP(all[[#This Row],[DEVELOPMENT]],Data[],5,FALSE)</calculatedColumnFormula>
    </tableColumn>
    <tableColumn id="16" xr3:uid="{00000000-0010-0000-0100-000010000000}" name="# Interior Compactors" dataDxfId="572">
      <calculatedColumnFormula>VLOOKUP(all[[#This Row],[DEVELOPMENT]],Data[],10,FALSE)</calculatedColumnFormula>
    </tableColumn>
    <tableColumn id="17" xr3:uid="{00000000-0010-0000-0100-000011000000}" name="# Interior Compactors to Replace" dataDxfId="571">
      <calculatedColumnFormula>VLOOKUP(all[[#This Row],[DEVELOPMENT]],Data[],10,FALSE)</calculatedColumnFormula>
    </tableColumn>
    <tableColumn id="18" xr3:uid="{00000000-0010-0000-0100-000012000000}" name="# Exterior Compactors" dataDxfId="570">
      <calculatedColumnFormula>VLOOKUP(all[[#This Row],[DEVELOPMENT]],Data[],33,FALSE)</calculatedColumnFormula>
    </tableColumn>
    <tableColumn id="21" xr3:uid="{00000000-0010-0000-0100-000015000000}" name="# Exterior Compactors to Replace" dataDxfId="569">
      <calculatedColumnFormula>VLOOKUP(all[[#This Row],[DEVELOPMENT]],Data[],33,FALSE)</calculatedColumnFormula>
    </tableColumn>
    <tableColumn id="19" xr3:uid="{00000000-0010-0000-0100-000013000000}" name="# Bulk Crushers" dataDxfId="568">
      <calculatedColumnFormula>VLOOKUP(all[[#This Row],[DEVELOPMENT]],Data[],28,FALSE)</calculatedColumnFormula>
    </tableColumn>
    <tableColumn id="20" xr3:uid="{00000000-0010-0000-0100-000014000000}" name="# Bulk Crushers to Install" dataDxfId="567">
      <calculatedColumnFormula>IF(all[[#This Row],['# Bulk Crushers]]=0,1,0)</calculatedColumnFormula>
    </tableColumn>
    <tableColumn id="7" xr3:uid="{00000000-0010-0000-0100-000007000000}" name="FWD Estimate" dataDxfId="566" dataCellStyle="Currency">
      <calculatedColumnFormula>IFERROR(INDEX(FWD[],MATCH($B4,FWD[DEVELOPMENT],0),MATCH("ESTIMATE",FWD[#Headers],0)),0)</calculatedColumnFormula>
    </tableColumn>
    <tableColumn id="8" xr3:uid="{00000000-0010-0000-0100-000008000000}" name="EHD Estimate" dataDxfId="565" dataCellStyle="Currency">
      <calculatedColumnFormula>IFERROR(INDEX(EHDAll[],MATCH($B4,EHDAll[DEVELOPMENT],0),MATCH("ESTIMATE",EHDAll[#Headers],0)),0)</calculatedColumnFormula>
    </tableColumn>
    <tableColumn id="9" xr3:uid="{00000000-0010-0000-0100-000009000000}" name="Interior Compactor Estimate" dataDxfId="564" dataCellStyle="Currency">
      <calculatedColumnFormula>IFERROR(INDEX(IntAll[],MATCH($B4,IntAll[DEVELOPMENT],0),MATCH("ESTIMATE",IntAll[#Headers],0)),0)</calculatedColumnFormula>
    </tableColumn>
    <tableColumn id="10" xr3:uid="{00000000-0010-0000-0100-00000A000000}" name="Waste Yard Estimate" dataDxfId="563" dataCellStyle="Currency">
      <calculatedColumnFormula>IFERROR(INDEX(YardsAll[],MATCH($B4,YardsAll[DEVELOPMENT],0),MATCH("TOTAL ESTIMATE",YardsAll[#Headers],0)),0)</calculatedColumnFormula>
    </tableColumn>
    <tableColumn id="11" xr3:uid="{00000000-0010-0000-0100-00000B000000}" name="SUM per Development" dataDxfId="562">
      <calculatedColumnFormula>SUM(AA4:AD4)</calculatedColumnFormula>
    </tableColumn>
    <tableColumn id="22" xr3:uid="{00000000-0010-0000-0100-000016000000}" name="Notes" dataDxfId="561" dataCellStyle="Currency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FWD" displayName="FWD" ref="A3:T314" totalsRowShown="0" headerRowDxfId="555" headerRowBorderDxfId="553" tableBorderDxfId="554" totalsRowBorderDxfId="552">
  <autoFilter ref="A3:T314" xr:uid="{00000000-0009-0000-0100-000008000000}"/>
  <sortState xmlns:xlrd2="http://schemas.microsoft.com/office/spreadsheetml/2017/richdata2" ref="A4:T314">
    <sortCondition ref="M3:M314"/>
  </sortState>
  <tableColumns count="20">
    <tableColumn id="1" xr3:uid="{00000000-0010-0000-0200-000001000000}" name="DEVELOPMENT" dataDxfId="551"/>
    <tableColumn id="2" xr3:uid="{00000000-0010-0000-0200-000002000000}" name="BOROUGH" dataDxfId="550">
      <calculatedColumnFormula>VLOOKUP(A4,Data[],2,FALSE)</calculatedColumnFormula>
    </tableColumn>
    <tableColumn id="22" xr3:uid="{00000000-0010-0000-0200-000016000000}" name="Sewershed" dataDxfId="549">
      <calculatedColumnFormula>VLOOKUP(FWD[[#This Row],[DEVELOPMENT]],Data[],25,FALSE)</calculatedColumnFormula>
    </tableColumn>
    <tableColumn id="3" xr3:uid="{00000000-0010-0000-0200-000003000000}" name="WORK TYPE" dataDxfId="548"/>
    <tableColumn id="8" xr3:uid="{00000000-0010-0000-0200-000008000000}" name="Dwelling Units" dataDxfId="547">
      <calculatedColumnFormula>VLOOKUP(FWD[[#This Row],[DEVELOPMENT]],Data[],7,FALSE)</calculatedColumnFormula>
    </tableColumn>
    <tableColumn id="10" xr3:uid="{00000000-0010-0000-0200-00000A000000}" name="Ext. Compactor Priority" dataDxfId="546">
      <calculatedColumnFormula>VLOOKUP(FWD[[#This Row],[DEVELOPMENT]],all[[DEVELOPMENT]:[MRST Ext. Comp. Priority]],5,FALSE)</calculatedColumnFormula>
    </tableColumn>
    <tableColumn id="4" xr3:uid="{00000000-0010-0000-0200-000004000000}" name="NRR" dataDxfId="545">
      <calculatedColumnFormula>VLOOKUP(FWD[[#This Row],[DEVELOPMENT]],Data[],8,FALSE)</calculatedColumnFormula>
    </tableColumn>
    <tableColumn id="5" xr3:uid="{00000000-0010-0000-0200-000005000000}" name="Priority Level" dataDxfId="544">
      <calculatedColumnFormula>VLOOKUP(FWD[[#This Row],[DEVELOPMENT]],Data[],9,FALSE)</calculatedColumnFormula>
    </tableColumn>
    <tableColumn id="6" xr3:uid="{00000000-0010-0000-0200-000006000000}" name="RAD/PACT" dataDxfId="543">
      <calculatedColumnFormula>IFERROR(VLOOKUP(FWD[[#This Row],[DEVELOPMENT]],Data[],4,FALSE),"")</calculatedColumnFormula>
    </tableColumn>
    <tableColumn id="7" xr3:uid="{00000000-0010-0000-0200-000007000000}" name="Is RAD/PACT w/in 5yr" dataDxfId="542">
      <calculatedColumnFormula>IF(FWD[[#This Row],[RAD/PACT]]="","",IF(OR(FWD[[#This Row],[RAD/PACT]]="2021-2025",FWD[[#This Row],[RAD/PACT]]="2019-2020"),"Yes",""))</calculatedColumnFormula>
    </tableColumn>
    <tableColumn id="14" xr3:uid="{00000000-0010-0000-0200-00000E000000}" name="CALENDAR YEAR" dataDxfId="541"/>
    <tableColumn id="15" xr3:uid="{00000000-0010-0000-0200-00000F000000}" name="FISCAL YEAR" dataDxfId="540"/>
    <tableColumn id="17" xr3:uid="{00000000-0010-0000-0200-000011000000}" name="STATUS" dataDxfId="539"/>
    <tableColumn id="16" xr3:uid="{00000000-0010-0000-0200-000010000000}" name="COST" dataDxfId="538"/>
    <tableColumn id="18" xr3:uid="{00000000-0010-0000-0200-000012000000}" name="ESTIMATE" dataDxfId="537" dataCellStyle="Currency">
      <calculatedColumnFormula>IF(FWD[[#This Row],[RAD/PACT]]="",INDEX(UnitCosts[],MATCH(FWD[[#This Row],[WORK TYPE]],UnitCosts[Work Type],0),2)*VLOOKUP(FWD[[#This Row],[DEVELOPMENT]],Data[],MATCH(FWD[[#This Row],[WORK TYPE]],Data[#Headers],0),FALSE),IF(FWD[[#This Row],[RAD/PACT]]-YEAR(TODAY())&lt;=5,0,INDEX(UnitCosts[],MATCH(FWD[[#This Row],[WORK TYPE]],UnitCosts[Work Type],0),2)*VLOOKUP(FWD[[#This Row],[DEVELOPMENT]],Data[],MATCH(FWD[[#This Row],[WORK TYPE]],Data[#Headers],0),FALSE)))</calculatedColumnFormula>
    </tableColumn>
    <tableColumn id="11" xr3:uid="{00000000-0010-0000-0200-00000B000000}" name="Funding Source" dataDxfId="536" dataCellStyle="Currency"/>
    <tableColumn id="9" xr3:uid="{00000000-0010-0000-0200-000009000000}" name="Implementation Method" dataDxfId="535" dataCellStyle="Currency"/>
    <tableColumn id="13" xr3:uid="{00000000-0010-0000-0200-00000D000000}" name="Running Cost/Yr" dataDxfId="534" dataCellStyle="Currency">
      <calculatedColumnFormula>IF(T4=T3,(O4+N4)+R3,(O4+N4))</calculatedColumnFormula>
    </tableColumn>
    <tableColumn id="12" xr3:uid="{00000000-0010-0000-0200-00000C000000}" name="Running count" dataDxfId="533" dataCellStyle="Currency">
      <calculatedColumnFormula>SUM(INDEX(FWD[Dwelling Units],1):FWD[[#This Row],[Dwelling Units]])</calculatedColumnFormula>
    </tableColumn>
    <tableColumn id="20" xr3:uid="{00000000-0010-0000-0200-000014000000}" name="est. Year" dataDxfId="532" dataCellStyle="Currency">
      <calculatedColumnFormula>IF(ISBLANK(FWD[[#This Row],[CALENDAR YEAR]]),ROUNDDOWN(FWD[[#This Row],[Running count]]/3000,0)+$T$1,FWD[[#This Row],[CALENDAR YEAR]])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3000000}" name="EHDAll" displayName="EHDAll" ref="A2:O313" totalsRowShown="0" headerRowDxfId="525" dataDxfId="524" headerRowBorderDxfId="522" tableBorderDxfId="523" totalsRowBorderDxfId="521">
  <autoFilter ref="A2:O313" xr:uid="{00000000-0009-0000-0100-000013000000}"/>
  <sortState xmlns:xlrd2="http://schemas.microsoft.com/office/spreadsheetml/2017/richdata2" ref="A3:O313">
    <sortCondition ref="H3:H313"/>
    <sortCondition ref="I3:I313"/>
    <sortCondition ref="J3:J313" customList="Completed,In Progress,Queued,Identified for Funding Needs,Going PACT"/>
  </sortState>
  <tableColumns count="15">
    <tableColumn id="1" xr3:uid="{00000000-0010-0000-0300-000001000000}" name="DEVELOPMENT" dataDxfId="520"/>
    <tableColumn id="2" xr3:uid="{00000000-0010-0000-0300-000002000000}" name="BOROUGH" dataDxfId="519">
      <calculatedColumnFormula>VLOOKUP(A3,Data[],2,FALSE)</calculatedColumnFormula>
    </tableColumn>
    <tableColumn id="3" xr3:uid="{00000000-0010-0000-0300-000003000000}" name="WORK TYPE" dataDxfId="518"/>
    <tableColumn id="4" xr3:uid="{00000000-0010-0000-0300-000004000000}" name="PROGRAM" dataDxfId="517">
      <calculatedColumnFormula>VLOOKUP(A3,Data[],52,FALSE)</calculatedColumnFormula>
    </tableColumn>
    <tableColumn id="5" xr3:uid="{00000000-0010-0000-0300-000005000000}" name="RAD/PACT" dataDxfId="516">
      <calculatedColumnFormula>VLOOKUP(A3,Data[],4,FALSE)</calculatedColumnFormula>
    </tableColumn>
    <tableColumn id="14" xr3:uid="{00000000-0010-0000-0300-00000E000000}" name="# Units" dataDxfId="515">
      <calculatedColumnFormula>VLOOKUP(EHDAll[[#This Row],[DEVELOPMENT]],EHD[],7,FALSE)</calculatedColumnFormula>
    </tableColumn>
    <tableColumn id="15" xr3:uid="{00000000-0010-0000-0300-00000F000000}" name="#stories" dataDxfId="514">
      <calculatedColumnFormula>VLOOKUP(EHDAll[[#This Row],[DEVELOPMENT]],Data[],67,FALSE)</calculatedColumnFormula>
    </tableColumn>
    <tableColumn id="6" xr3:uid="{00000000-0010-0000-0300-000006000000}" name="CALENDAR YEAR" dataDxfId="513">
      <calculatedColumnFormula>IF(EHDAll[[#This Row],[STATUS]]="","",VLOOKUP(A3,EHD[],19,FALSE))</calculatedColumnFormula>
    </tableColumn>
    <tableColumn id="7" xr3:uid="{00000000-0010-0000-0300-000007000000}" name="FISCAL YEAR" dataDxfId="512">
      <calculatedColumnFormula>IF(VLOOKUP(A3,EHD[],13,FALSE)=0,"",VLOOKUP(A3,EHD[],13,FALSE))</calculatedColumnFormula>
    </tableColumn>
    <tableColumn id="8" xr3:uid="{00000000-0010-0000-0300-000008000000}" name="STATUS" dataDxfId="511"/>
    <tableColumn id="9" xr3:uid="{00000000-0010-0000-0300-000009000000}" name="COST" dataDxfId="510" dataCellStyle="Currency">
      <calculatedColumnFormula>VLOOKUP(A3,EHD[],15,FALSE)</calculatedColumnFormula>
    </tableColumn>
    <tableColumn id="10" xr3:uid="{00000000-0010-0000-0300-00000A000000}" name="ESTIMATE" dataDxfId="509" dataCellStyle="Currency">
      <calculatedColumnFormula>VLOOKUP(A3,EHD[],16,FALSE)</calculatedColumnFormula>
    </tableColumn>
    <tableColumn id="11" xr3:uid="{00000000-0010-0000-0300-00000B000000}" name="FUNDING SOURCE" dataDxfId="508"/>
    <tableColumn id="12" xr3:uid="{00000000-0010-0000-0300-00000C000000}" name="IMPLEMENTATION METHOD" dataDxfId="507">
      <calculatedColumnFormula>IF(ISBLANK(VLOOKUP(A3,EHD[],20,FALSE)),"",VLOOKUP(A3,EHD[],20,FALSE))</calculatedColumnFormula>
    </tableColumn>
    <tableColumn id="13" xr3:uid="{00000000-0010-0000-0300-00000D000000}" name="NOTES" dataDxfId="506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4000000}" name="IntAll" displayName="IntAll" ref="A2:O313" totalsRowShown="0" headerRowDxfId="499" dataDxfId="498" headerRowBorderDxfId="496" tableBorderDxfId="497" totalsRowBorderDxfId="495">
  <autoFilter ref="A2:O313" xr:uid="{00000000-0009-0000-0100-000014000000}"/>
  <sortState xmlns:xlrd2="http://schemas.microsoft.com/office/spreadsheetml/2017/richdata2" ref="A3:O313">
    <sortCondition ref="H3:H313"/>
    <sortCondition ref="J3:J313" customList="Completed,In Progress,Queued,Identified for Funding Needs,Going PACT"/>
  </sortState>
  <tableColumns count="15">
    <tableColumn id="1" xr3:uid="{00000000-0010-0000-0400-000001000000}" name="DEVELOPMENT" dataDxfId="493" totalsRowDxfId="494"/>
    <tableColumn id="2" xr3:uid="{00000000-0010-0000-0400-000002000000}" name="BOROUGH" dataDxfId="491" totalsRowDxfId="492">
      <calculatedColumnFormula>VLOOKUP(A3,Data[],2,FALSE)</calculatedColumnFormula>
    </tableColumn>
    <tableColumn id="3" xr3:uid="{00000000-0010-0000-0400-000003000000}" name="WORK TYPE" dataDxfId="489" totalsRowDxfId="490"/>
    <tableColumn id="4" xr3:uid="{00000000-0010-0000-0400-000004000000}" name="PROGRAM" dataDxfId="487" totalsRowDxfId="488">
      <calculatedColumnFormula>VLOOKUP(A3,Data[],52,FALSE)</calculatedColumnFormula>
    </tableColumn>
    <tableColumn id="15" xr3:uid="{00000000-0010-0000-0400-00000F000000}" name="AM District" dataDxfId="485" totalsRowDxfId="486">
      <calculatedColumnFormula>VLOOKUP(IntAll[[#This Row],[DEVELOPMENT]],Data[],62,FALSE)</calculatedColumnFormula>
    </tableColumn>
    <tableColumn id="5" xr3:uid="{00000000-0010-0000-0400-000005000000}" name="RAD/PACT" dataDxfId="483" totalsRowDxfId="484">
      <calculatedColumnFormula>VLOOKUP(A3,Data[],4,FALSE)</calculatedColumnFormula>
    </tableColumn>
    <tableColumn id="14" xr3:uid="{00000000-0010-0000-0400-00000E000000}" name="# Units" dataDxfId="481" totalsRowDxfId="482">
      <calculatedColumnFormula>VLOOKUP(IntAll[[#This Row],[DEVELOPMENT]],EHDAll[[DEVELOPMENT]:['# Units]],6,FALSE)</calculatedColumnFormula>
    </tableColumn>
    <tableColumn id="6" xr3:uid="{00000000-0010-0000-0400-000006000000}" name="CALENDAR YEAR" dataDxfId="479" totalsRowDxfId="480">
      <calculatedColumnFormula>IF(IntAll[[#This Row],[STATUS]]="","",IF(OR(F3="2019-2020",F3="2021-2025"),"",IF(ISNUMBER(SEARCH("LLC",D3)),VLOOKUP(A3,IntComp24[],21,FALSE),VLOOKUP(A3,IntComp[],21,FALSE))))</calculatedColumnFormula>
    </tableColumn>
    <tableColumn id="7" xr3:uid="{00000000-0010-0000-0400-000007000000}" name="FISCAL YEAR" dataDxfId="477" totalsRowDxfId="478">
      <calculatedColumnFormula>IF(IntAll[[#This Row],[STATUS]]="","",IF(IF(OR(F3="2019-2020",F3="2021-2025"),"",IF(ISNUMBER(SEARCH("LLC",D3)),VLOOKUP(A3,IntComp24[],16,FALSE),VLOOKUP(A3,IntComp[],16,FALSE)))=0,"",IF(OR(F3="2019-2020",F3="2021-2025"),"",IF(ISNUMBER(SEARCH("LLC",D3)),VLOOKUP(A3,IntComp24[],16,FALSE),VLOOKUP(A3,IntComp[],16,FALSE)))))</calculatedColumnFormula>
    </tableColumn>
    <tableColumn id="8" xr3:uid="{00000000-0010-0000-0400-000008000000}" name="STATUS" dataDxfId="475" totalsRowDxfId="476">
      <calculatedColumnFormula>IF(IF(OR(F3="2019-2020",F3="2021-2025"),"",IF(ISNUMBER(SEARCH("LLC",D3)),VLOOKUP(A3,IntComp24[],17,FALSE),VLOOKUP(A3,IntComp[],17,FALSE)))=0,"",IF(OR(F3="2019-2020",F3="2021-2025"),"",IF(ISNUMBER(SEARCH("LLC",D3)),VLOOKUP(A3,IntComp24[],17,FALSE),VLOOKUP(A3,IntComp[],17,FALSE))))</calculatedColumnFormula>
    </tableColumn>
    <tableColumn id="9" xr3:uid="{00000000-0010-0000-0400-000009000000}" name="COST" dataDxfId="473" totalsRowDxfId="474" dataCellStyle="Currency">
      <calculatedColumnFormula>IF(OR(F3="2019-2020",F3="2021-2025"),"",IF(ISNUMBER(SEARCH("LLC",D3)),VLOOKUP(A3,IntComp24[],15,FALSE),VLOOKUP(A3,IntComp[],15,FALSE)))</calculatedColumnFormula>
    </tableColumn>
    <tableColumn id="10" xr3:uid="{00000000-0010-0000-0400-00000A000000}" name="ESTIMATE" dataDxfId="471" totalsRowDxfId="472" dataCellStyle="Currency">
      <calculatedColumnFormula>IF(OR(F3="2019-2020",F3="2021-2025"),"",IF(ISNUMBER(SEARCH("LLC",D3)),VLOOKUP(A3,IntComp24[],18,FALSE),VLOOKUP(A3,IntComp[],18,FALSE)))</calculatedColumnFormula>
    </tableColumn>
    <tableColumn id="11" xr3:uid="{00000000-0010-0000-0400-00000B000000}" name="FUNDING SOURCE" dataDxfId="469" totalsRowDxfId="470"/>
    <tableColumn id="12" xr3:uid="{00000000-0010-0000-0400-00000C000000}" name="IMPLEMENTATION METHOD" dataDxfId="467" totalsRowDxfId="468">
      <calculatedColumnFormula>IF(IF(OR(F3="2019-2020",F3="2021-2025"),"",IF(ISNUMBER(SEARCH("LLC",D3)),VLOOKUP(A3,IntComp24[],20,FALSE),VLOOKUP(A3,IntComp[],20,FALSE)))=0,"",IF(OR(F3="2019-2020",F3="2021-2025"),"",IF(ISNUMBER(SEARCH("LLC",D3)),VLOOKUP(A3,IntComp24[],20,FALSE),VLOOKUP(A3,IntComp[],20,FALSE))))</calculatedColumnFormula>
    </tableColumn>
    <tableColumn id="13" xr3:uid="{00000000-0010-0000-0400-00000D000000}" name="NOTES" dataDxfId="466">
      <calculatedColumnFormula>IF(IF(OR(F3="2019-2020",F3="2021-2025"),"",IF(ISNUMBER(SEARCH("LLC",D3)),VLOOKUP(A3,IntComp24[],23,FALSE),VLOOKUP(A3,IntComp[],23,FALSE)))=0,"",IF(OR(F3="2019-2020",F3="2021-2025"),"",IF(ISNUMBER(SEARCH("LLC",D3)),VLOOKUP(A3,IntComp24[],23,FALSE),VLOOKUP(A3,IntComp[],23,FALSE)))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5000000}" name="YardsAll" displayName="YardsAll" ref="A2:R313" totalsRowShown="0" headerRowDxfId="459" dataDxfId="458" headerRowBorderDxfId="456" tableBorderDxfId="457" totalsRowBorderDxfId="455">
  <autoFilter ref="A2:R313" xr:uid="{00000000-0009-0000-0100-000015000000}"/>
  <sortState xmlns:xlrd2="http://schemas.microsoft.com/office/spreadsheetml/2017/richdata2" ref="A3:R313">
    <sortCondition ref="H3:H313"/>
    <sortCondition ref="A3:A313"/>
  </sortState>
  <tableColumns count="18">
    <tableColumn id="1" xr3:uid="{00000000-0010-0000-0500-000001000000}" name="DEVELOPMENT" dataDxfId="454"/>
    <tableColumn id="2" xr3:uid="{00000000-0010-0000-0500-000002000000}" name="BOROUGH" dataDxfId="453">
      <calculatedColumnFormula>VLOOKUP(A3,Data[],2,FALSE)</calculatedColumnFormula>
    </tableColumn>
    <tableColumn id="3" xr3:uid="{00000000-0010-0000-0500-000003000000}" name="WORK TYPE" dataDxfId="452">
      <calculatedColumnFormula>IF(OR(F3="2019-2020",F3="2021-2025"),"",IF(ISNUMBER(SEARCH("LLC",D3)),VLOOKUP(A3,Yards25[],3,FALSE),VLOOKUP(A3,Yards[],3,FALSE)))</calculatedColumnFormula>
    </tableColumn>
    <tableColumn id="4" xr3:uid="{00000000-0010-0000-0500-000004000000}" name="PROGRAM" dataDxfId="451">
      <calculatedColumnFormula>VLOOKUP(A3,Data[],52,FALSE)</calculatedColumnFormula>
    </tableColumn>
    <tableColumn id="18" xr3:uid="{00000000-0010-0000-0500-000012000000}" name="AM District" dataDxfId="450">
      <calculatedColumnFormula>VLOOKUP(YardsAll[[#This Row],[DEVELOPMENT]],Data[],62,FALSE)</calculatedColumnFormula>
    </tableColumn>
    <tableColumn id="5" xr3:uid="{00000000-0010-0000-0500-000005000000}" name="RAD/PACT" dataDxfId="449">
      <calculatedColumnFormula>VLOOKUP(A3,Data[],4,FALSE)</calculatedColumnFormula>
    </tableColumn>
    <tableColumn id="9" xr3:uid="{00000000-0010-0000-0500-000009000000}" name="# augers" dataDxfId="448">
      <calculatedColumnFormula>IF(OR(YardsAll[[#This Row],[RAD/PACT]]="2019-2020",YardsAll[[#This Row],[RAD/PACT]]="2021-2025"),"",IF(ISNUMBER(SEARCH("1",C3)),2,IF(ISNUMBER(SEARCH("2",C3)),1,IF(ISNUMBER(SEARCH("3",C3)),3,IF(ISNUMBER(SEARCH("4",C3)),4,IF(ISNUMBER(SEARCH("5",C3)),5,IF(ISNUMBER(SEARCH("6",C3)),6,IF(ISNUMBER(SEARCH("7",C3)),7,IF(ISNUMBER(SEARCH("8",C3)),8,0)))))))))</calculatedColumnFormula>
    </tableColumn>
    <tableColumn id="6" xr3:uid="{00000000-0010-0000-0500-000006000000}" name="DSGN CALENDAR YEAR" dataDxfId="447">
      <calculatedColumnFormula>IF(YardsAll[[#This Row],[STATUS]]="","",IF(OR(F3="2019-2020",F3="2021-2025"),"",IF(ISNUMBER(SEARCH("LLC",D3)),VLOOKUP(A3,Yards25[],28,FALSE),VLOOKUP(A3,Yards[],28,FALSE))))</calculatedColumnFormula>
    </tableColumn>
    <tableColumn id="7" xr3:uid="{00000000-0010-0000-0500-000007000000}" name="DSGN FISCAL YEAR" dataDxfId="446">
      <calculatedColumnFormula>IF(YardsAll[[#This Row],[STATUS]]="","",IF(OR(F3="2019-2020",F3="2021-2025"),"",IF(ISNUMBER(SEARCH("LLC",D3)),VLOOKUP(A3,Yards25[],17,FALSE),VLOOKUP(A3,Yards[],17,FALSE))))</calculatedColumnFormula>
    </tableColumn>
    <tableColumn id="14" xr3:uid="{00000000-0010-0000-0500-00000E000000}" name="CONS CALENDAR YEAR" dataDxfId="445">
      <calculatedColumnFormula>IF(YardsAll[[#This Row],[STATUS]]="","",IF(OR(F3="2019-2020",F3="2021-2025"),"",IF(ISNUMBER(SEARCH("LLC",D3)),VLOOKUP(A3,Yards25[],29,FALSE),VLOOKUP(A3,Yards[],29,FALSE))))</calculatedColumnFormula>
    </tableColumn>
    <tableColumn id="15" xr3:uid="{00000000-0010-0000-0500-00000F000000}" name="CONS FISCAL YEAR" dataDxfId="444">
      <calculatedColumnFormula>IF(YardsAll[[#This Row],[STATUS]]="","",IF(OR(F3="2019-2020",F3="2021-2025"),"",IF(ISNUMBER(SEARCH("LLC",D3)),VLOOKUP(A3,Yards25[],19,FALSE),VLOOKUP(A3,Yards[],19,FALSE))))</calculatedColumnFormula>
    </tableColumn>
    <tableColumn id="8" xr3:uid="{00000000-0010-0000-0500-000008000000}" name="STATUS" dataDxfId="443">
      <calculatedColumnFormula>IF(IF(OR(F3="2019-2020",F3="2021-2025"),"",IF(ISNUMBER(SEARCH("LLC",D3)),VLOOKUP(A3,Yards25[],20,FALSE),VLOOKUP(A3,Yards[],20,FALSE)))=0,"",IF(OR(F3="2019-2020",F3="2021-2025"),"",IF(ISNUMBER(SEARCH("LLC",D3)),VLOOKUP(A3,Yards25[],20,FALSE),VLOOKUP(A3,Yards[],20,FALSE))))</calculatedColumnFormula>
    </tableColumn>
    <tableColumn id="16" xr3:uid="{00000000-0010-0000-0500-000010000000}" name="DSGN ESTIMATE" dataDxfId="442" dataCellStyle="Currency">
      <calculatedColumnFormula>IF(OR(F3="2019-2020",F3="2021-2025"),"",IF(ISNUMBER(SEARCH("LLC",D3)),VLOOKUP(A3,Yards25[],21,FALSE),VLOOKUP(A3,Yards[],21,FALSE)))</calculatedColumnFormula>
    </tableColumn>
    <tableColumn id="10" xr3:uid="{00000000-0010-0000-0500-00000A000000}" name="CONS ESTIMATE" dataDxfId="441" dataCellStyle="Currency">
      <calculatedColumnFormula>IF(OR(F3="2019-2020",F3="2021-2025"),"",IF(ISNUMBER(SEARCH("LLC",D3)),VLOOKUP(A3,Yards25[],22,FALSE),VLOOKUP(A3,Yards[],22,FALSE)))</calculatedColumnFormula>
    </tableColumn>
    <tableColumn id="17" xr3:uid="{00000000-0010-0000-0500-000011000000}" name="TOTAL ESTIMATE" dataDxfId="440" dataCellStyle="Currency">
      <calculatedColumnFormula>SUM(YardsAll[[#This Row],[DSGN ESTIMATE]:[CONS ESTIMATE]])</calculatedColumnFormula>
    </tableColumn>
    <tableColumn id="11" xr3:uid="{00000000-0010-0000-0500-00000B000000}" name="FUNDING SOURCE" dataDxfId="439"/>
    <tableColumn id="12" xr3:uid="{00000000-0010-0000-0500-00000C000000}" name="IMPLEMENTATION METHOD" dataDxfId="438">
      <calculatedColumnFormula>IF(OR(F3="2019-2020",F3="2021-2025"),"",IF(ISNUMBER(SEARCH("LLC",D3)),VLOOKUP(A3,Yards25[],25,FALSE),VLOOKUP(A3,Yards[],25,FALSE)))</calculatedColumnFormula>
    </tableColumn>
    <tableColumn id="13" xr3:uid="{00000000-0010-0000-0500-00000D000000}" name="NOTES" dataDxfId="437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6000000}" name="Unit_Costs" displayName="Unit_Costs" ref="A2:N21" tableType="queryTable" totalsRowShown="0" headerRowDxfId="436">
  <autoFilter ref="A2:N21" xr:uid="{00000000-0009-0000-0100-000011000000}"/>
  <tableColumns count="14">
    <tableColumn id="1" xr3:uid="{00000000-0010-0000-0600-000001000000}" uniqueName="1" name="Work Type" queryTableFieldId="1" dataDxfId="435"/>
    <tableColumn id="2" xr3:uid="{00000000-0010-0000-0600-000002000000}" uniqueName="2" name="Materials" queryTableFieldId="2" dataDxfId="434" dataCellStyle="Currency"/>
    <tableColumn id="3" xr3:uid="{00000000-0010-0000-0600-000003000000}" uniqueName="3" name="Labor" queryTableFieldId="3" dataDxfId="433" dataCellStyle="Currency"/>
    <tableColumn id="4" xr3:uid="{00000000-0010-0000-0600-000004000000}" uniqueName="4" name="Contingency" queryTableFieldId="4" dataDxfId="432" dataCellStyle="Currency"/>
    <tableColumn id="5" xr3:uid="{00000000-0010-0000-0600-000005000000}" uniqueName="5" name="A&amp;E" queryTableFieldId="5" dataDxfId="431" dataCellStyle="Currency"/>
    <tableColumn id="6" xr3:uid="{00000000-0010-0000-0600-000006000000}" uniqueName="6" name=" JOC Licensing" queryTableFieldId="6" dataDxfId="430" dataCellStyle="Currency"/>
    <tableColumn id="7" xr3:uid="{00000000-0010-0000-0600-000007000000}" uniqueName="7" name="JOC  Development" queryTableFieldId="7" dataDxfId="429" dataCellStyle="Currency"/>
    <tableColumn id="8" xr3:uid="{00000000-0010-0000-0600-000008000000}" uniqueName="8" name="CM" queryTableFieldId="8" dataDxfId="428" dataCellStyle="Currency"/>
    <tableColumn id="9" xr3:uid="{00000000-0010-0000-0600-000009000000}" uniqueName="9" name="PM " queryTableFieldId="9" dataDxfId="427" dataCellStyle="Currency"/>
    <tableColumn id="10" xr3:uid="{00000000-0010-0000-0600-00000A000000}" uniqueName="10" name="Overhead+ Profit" queryTableFieldId="10" dataDxfId="426" dataCellStyle="Currency"/>
    <tableColumn id="11" xr3:uid="{00000000-0010-0000-0600-00000B000000}" uniqueName="11" name="General Conditions" queryTableFieldId="11" dataDxfId="425" dataCellStyle="Currency"/>
    <tableColumn id="12" xr3:uid="{00000000-0010-0000-0600-00000C000000}" uniqueName="12" name="TOTAL" queryTableFieldId="12" dataDxfId="424" dataCellStyle="Currency"/>
    <tableColumn id="13" xr3:uid="{00000000-0010-0000-0600-00000D000000}" uniqueName="13" name="Funding" queryTableFieldId="13" dataDxfId="423" dataCellStyle="Currency"/>
    <tableColumn id="14" xr3:uid="{00000000-0010-0000-0600-00000E000000}" uniqueName="14" name="Notes" queryTableFieldId="14" dataDxfId="422" dataCellStyle="Currency"/>
  </tableColumns>
  <tableStyleInfo name="TableStyleLight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8000000}" name="tonnage_data" displayName="tonnage_data" ref="A1:LG163" tableType="queryTable" totalsRowShown="0">
  <autoFilter ref="A1:LG163" xr:uid="{00000000-0009-0000-0100-000019000000}"/>
  <tableColumns count="319">
    <tableColumn id="1" xr3:uid="{00000000-0010-0000-0800-000001000000}" uniqueName="1" name="Development" queryTableFieldId="1" dataDxfId="421"/>
    <tableColumn id="2" xr3:uid="{00000000-0010-0000-0800-000002000000}" uniqueName="2" name="Year Sum" queryTableFieldId="2"/>
    <tableColumn id="3" xr3:uid="{00000000-0010-0000-0800-000003000000}" uniqueName="3" name="Weekly Average" queryTableFieldId="3"/>
    <tableColumn id="4" xr3:uid="{00000000-0010-0000-0800-000004000000}" uniqueName="4" name="Borough" queryTableFieldId="4" dataDxfId="420"/>
    <tableColumn id="5" xr3:uid="{00000000-0010-0000-0800-000005000000}" uniqueName="5" name="District" queryTableFieldId="5" dataDxfId="419"/>
    <tableColumn id="6" xr3:uid="{00000000-0010-0000-0800-000006000000}" uniqueName="6" name="1/9/2017" queryTableFieldId="6"/>
    <tableColumn id="7" xr3:uid="{00000000-0010-0000-0800-000007000000}" uniqueName="7" name="1/10/2017" queryTableFieldId="7"/>
    <tableColumn id="8" xr3:uid="{00000000-0010-0000-0800-000008000000}" uniqueName="8" name="1/11/2017" queryTableFieldId="8"/>
    <tableColumn id="9" xr3:uid="{00000000-0010-0000-0800-000009000000}" uniqueName="9" name="1/12/2017" queryTableFieldId="9"/>
    <tableColumn id="10" xr3:uid="{00000000-0010-0000-0800-00000A000000}" uniqueName="10" name="1/13/2017" queryTableFieldId="10"/>
    <tableColumn id="11" xr3:uid="{00000000-0010-0000-0800-00000B000000}" uniqueName="11" name="1/14/2017" queryTableFieldId="11"/>
    <tableColumn id="12" xr3:uid="{00000000-0010-0000-0800-00000C000000}" uniqueName="12" name="1/16/2017" queryTableFieldId="12"/>
    <tableColumn id="13" xr3:uid="{00000000-0010-0000-0800-00000D000000}" uniqueName="13" name="1/17/2017" queryTableFieldId="13"/>
    <tableColumn id="14" xr3:uid="{00000000-0010-0000-0800-00000E000000}" uniqueName="14" name="1/18/2017" queryTableFieldId="14"/>
    <tableColumn id="15" xr3:uid="{00000000-0010-0000-0800-00000F000000}" uniqueName="15" name="1/19/2017" queryTableFieldId="15"/>
    <tableColumn id="16" xr3:uid="{00000000-0010-0000-0800-000010000000}" uniqueName="16" name="1/20/2017" queryTableFieldId="16"/>
    <tableColumn id="17" xr3:uid="{00000000-0010-0000-0800-000011000000}" uniqueName="17" name="1/21/2017" queryTableFieldId="17"/>
    <tableColumn id="18" xr3:uid="{00000000-0010-0000-0800-000012000000}" uniqueName="18" name="1/23/2017" queryTableFieldId="18"/>
    <tableColumn id="19" xr3:uid="{00000000-0010-0000-0800-000013000000}" uniqueName="19" name="1/24/2017" queryTableFieldId="19"/>
    <tableColumn id="20" xr3:uid="{00000000-0010-0000-0800-000014000000}" uniqueName="20" name="1/25/2017" queryTableFieldId="20"/>
    <tableColumn id="21" xr3:uid="{00000000-0010-0000-0800-000015000000}" uniqueName="21" name="1/26/2017" queryTableFieldId="21"/>
    <tableColumn id="22" xr3:uid="{00000000-0010-0000-0800-000016000000}" uniqueName="22" name="1/27/2017" queryTableFieldId="22"/>
    <tableColumn id="23" xr3:uid="{00000000-0010-0000-0800-000017000000}" uniqueName="23" name="1/28/2017" queryTableFieldId="23"/>
    <tableColumn id="24" xr3:uid="{00000000-0010-0000-0800-000018000000}" uniqueName="24" name="1/2/2017" queryTableFieldId="24"/>
    <tableColumn id="25" xr3:uid="{00000000-0010-0000-0800-000019000000}" uniqueName="25" name="1/3/2017" queryTableFieldId="25"/>
    <tableColumn id="26" xr3:uid="{00000000-0010-0000-0800-00001A000000}" uniqueName="26" name="1/4/2017" queryTableFieldId="26"/>
    <tableColumn id="27" xr3:uid="{00000000-0010-0000-0800-00001B000000}" uniqueName="27" name="1/5/2017" queryTableFieldId="27"/>
    <tableColumn id="28" xr3:uid="{00000000-0010-0000-0800-00001C000000}" uniqueName="28" name="1/6/2017" queryTableFieldId="28"/>
    <tableColumn id="29" xr3:uid="{00000000-0010-0000-0800-00001D000000}" uniqueName="29" name="1/7/2017" queryTableFieldId="29"/>
    <tableColumn id="30" xr3:uid="{00000000-0010-0000-0800-00001E000000}" uniqueName="30" name="10/9/2017" queryTableFieldId="30"/>
    <tableColumn id="31" xr3:uid="{00000000-0010-0000-0800-00001F000000}" uniqueName="31" name="10/10/2017" queryTableFieldId="31"/>
    <tableColumn id="32" xr3:uid="{00000000-0010-0000-0800-000020000000}" uniqueName="32" name="10/11/2017" queryTableFieldId="32"/>
    <tableColumn id="33" xr3:uid="{00000000-0010-0000-0800-000021000000}" uniqueName="33" name="10/12/2017" queryTableFieldId="33"/>
    <tableColumn id="34" xr3:uid="{00000000-0010-0000-0800-000022000000}" uniqueName="34" name="10/13/2017" queryTableFieldId="34"/>
    <tableColumn id="35" xr3:uid="{00000000-0010-0000-0800-000023000000}" uniqueName="35" name="10/14/2017" queryTableFieldId="35"/>
    <tableColumn id="36" xr3:uid="{00000000-0010-0000-0800-000024000000}" uniqueName="36" name="10/16/2017" queryTableFieldId="36"/>
    <tableColumn id="37" xr3:uid="{00000000-0010-0000-0800-000025000000}" uniqueName="37" name="10/17/2017" queryTableFieldId="37"/>
    <tableColumn id="38" xr3:uid="{00000000-0010-0000-0800-000026000000}" uniqueName="38" name="10/18/2017" queryTableFieldId="38"/>
    <tableColumn id="39" xr3:uid="{00000000-0010-0000-0800-000027000000}" uniqueName="39" name="10/19/2017" queryTableFieldId="39"/>
    <tableColumn id="40" xr3:uid="{00000000-0010-0000-0800-000028000000}" uniqueName="40" name="10/20/2017" queryTableFieldId="40"/>
    <tableColumn id="41" xr3:uid="{00000000-0010-0000-0800-000029000000}" uniqueName="41" name="10/21/2017" queryTableFieldId="41"/>
    <tableColumn id="42" xr3:uid="{00000000-0010-0000-0800-00002A000000}" uniqueName="42" name="10/23/2017" queryTableFieldId="42"/>
    <tableColumn id="43" xr3:uid="{00000000-0010-0000-0800-00002B000000}" uniqueName="43" name="10/24/2017" queryTableFieldId="43"/>
    <tableColumn id="44" xr3:uid="{00000000-0010-0000-0800-00002C000000}" uniqueName="44" name="10/25/2017" queryTableFieldId="44"/>
    <tableColumn id="45" xr3:uid="{00000000-0010-0000-0800-00002D000000}" uniqueName="45" name="10/26/2017" queryTableFieldId="45"/>
    <tableColumn id="46" xr3:uid="{00000000-0010-0000-0800-00002E000000}" uniqueName="46" name="10/27/2017" queryTableFieldId="46"/>
    <tableColumn id="47" xr3:uid="{00000000-0010-0000-0800-00002F000000}" uniqueName="47" name="10/28/2017" queryTableFieldId="47"/>
    <tableColumn id="48" xr3:uid="{00000000-0010-0000-0800-000030000000}" uniqueName="48" name="10/2/2017" queryTableFieldId="48"/>
    <tableColumn id="49" xr3:uid="{00000000-0010-0000-0800-000031000000}" uniqueName="49" name="10/3/2017" queryTableFieldId="49"/>
    <tableColumn id="50" xr3:uid="{00000000-0010-0000-0800-000032000000}" uniqueName="50" name="10/4/2017" queryTableFieldId="50"/>
    <tableColumn id="51" xr3:uid="{00000000-0010-0000-0800-000033000000}" uniqueName="51" name="10/5/2017" queryTableFieldId="51"/>
    <tableColumn id="52" xr3:uid="{00000000-0010-0000-0800-000034000000}" uniqueName="52" name="10/6/2017" queryTableFieldId="52"/>
    <tableColumn id="53" xr3:uid="{00000000-0010-0000-0800-000035000000}" uniqueName="53" name="10/7/2017" queryTableFieldId="53"/>
    <tableColumn id="54" xr3:uid="{00000000-0010-0000-0800-000036000000}" uniqueName="54" name="11/6/2017" queryTableFieldId="54"/>
    <tableColumn id="55" xr3:uid="{00000000-0010-0000-0800-000037000000}" uniqueName="55" name="11/7/2017" queryTableFieldId="55"/>
    <tableColumn id="56" xr3:uid="{00000000-0010-0000-0800-000038000000}" uniqueName="56" name="11/8/2017" queryTableFieldId="56"/>
    <tableColumn id="57" xr3:uid="{00000000-0010-0000-0800-000039000000}" uniqueName="57" name="11/9/2017" queryTableFieldId="57"/>
    <tableColumn id="58" xr3:uid="{00000000-0010-0000-0800-00003A000000}" uniqueName="58" name="11/10/2017" queryTableFieldId="58"/>
    <tableColumn id="59" xr3:uid="{00000000-0010-0000-0800-00003B000000}" uniqueName="59" name="11/11/2017" queryTableFieldId="59"/>
    <tableColumn id="60" xr3:uid="{00000000-0010-0000-0800-00003C000000}" uniqueName="60" name="11/13/2017" queryTableFieldId="60"/>
    <tableColumn id="61" xr3:uid="{00000000-0010-0000-0800-00003D000000}" uniqueName="61" name="11/14/2017" queryTableFieldId="61"/>
    <tableColumn id="62" xr3:uid="{00000000-0010-0000-0800-00003E000000}" uniqueName="62" name="11/15/2017" queryTableFieldId="62"/>
    <tableColumn id="63" xr3:uid="{00000000-0010-0000-0800-00003F000000}" uniqueName="63" name="11/16/2017" queryTableFieldId="63"/>
    <tableColumn id="64" xr3:uid="{00000000-0010-0000-0800-000040000000}" uniqueName="64" name="11/17/2017" queryTableFieldId="64"/>
    <tableColumn id="65" xr3:uid="{00000000-0010-0000-0800-000041000000}" uniqueName="65" name="11/18/2017" queryTableFieldId="65"/>
    <tableColumn id="66" xr3:uid="{00000000-0010-0000-0800-000042000000}" uniqueName="66" name="11/20/2017" queryTableFieldId="66"/>
    <tableColumn id="67" xr3:uid="{00000000-0010-0000-0800-000043000000}" uniqueName="67" name="11/21/2017" queryTableFieldId="67"/>
    <tableColumn id="68" xr3:uid="{00000000-0010-0000-0800-000044000000}" uniqueName="68" name="11/22/2017" queryTableFieldId="68"/>
    <tableColumn id="69" xr3:uid="{00000000-0010-0000-0800-000045000000}" uniqueName="69" name="11/23/2017" queryTableFieldId="69"/>
    <tableColumn id="70" xr3:uid="{00000000-0010-0000-0800-000046000000}" uniqueName="70" name="11/24/2017" queryTableFieldId="70"/>
    <tableColumn id="71" xr3:uid="{00000000-0010-0000-0800-000047000000}" uniqueName="71" name="11/25/2017" queryTableFieldId="71"/>
    <tableColumn id="72" xr3:uid="{00000000-0010-0000-0800-000048000000}" uniqueName="72" name="10/30/2017" queryTableFieldId="72"/>
    <tableColumn id="73" xr3:uid="{00000000-0010-0000-0800-000049000000}" uniqueName="73" name="10/31/2017" queryTableFieldId="73"/>
    <tableColumn id="74" xr3:uid="{00000000-0010-0000-0800-00004A000000}" uniqueName="74" name="11/1/2017" queryTableFieldId="74"/>
    <tableColumn id="75" xr3:uid="{00000000-0010-0000-0800-00004B000000}" uniqueName="75" name="11/2/2017" queryTableFieldId="75"/>
    <tableColumn id="76" xr3:uid="{00000000-0010-0000-0800-00004C000000}" uniqueName="76" name="11/3/2017" queryTableFieldId="76"/>
    <tableColumn id="77" xr3:uid="{00000000-0010-0000-0800-00004D000000}" uniqueName="77" name="11/4/2017" queryTableFieldId="77"/>
    <tableColumn id="78" xr3:uid="{00000000-0010-0000-0800-00004E000000}" uniqueName="78" name="12/10/2017" queryTableFieldId="78"/>
    <tableColumn id="79" xr3:uid="{00000000-0010-0000-0800-00004F000000}" uniqueName="79" name="12/11/2017" queryTableFieldId="79"/>
    <tableColumn id="80" xr3:uid="{00000000-0010-0000-0800-000050000000}" uniqueName="80" name="12/12/2017" queryTableFieldId="80"/>
    <tableColumn id="81" xr3:uid="{00000000-0010-0000-0800-000051000000}" uniqueName="81" name="12/13/2017" queryTableFieldId="81"/>
    <tableColumn id="82" xr3:uid="{00000000-0010-0000-0800-000052000000}" uniqueName="82" name="12/14/2017" queryTableFieldId="82"/>
    <tableColumn id="83" xr3:uid="{00000000-0010-0000-0800-000053000000}" uniqueName="83" name="12/15/2017" queryTableFieldId="83"/>
    <tableColumn id="84" xr3:uid="{00000000-0010-0000-0800-000054000000}" uniqueName="84" name="12/16/2017" queryTableFieldId="84"/>
    <tableColumn id="85" xr3:uid="{00000000-0010-0000-0800-000055000000}" uniqueName="85" name="11/27/2017" queryTableFieldId="85"/>
    <tableColumn id="86" xr3:uid="{00000000-0010-0000-0800-000056000000}" uniqueName="86" name="11/28/2017" queryTableFieldId="86"/>
    <tableColumn id="87" xr3:uid="{00000000-0010-0000-0800-000057000000}" uniqueName="87" name="11/29/2017" queryTableFieldId="87"/>
    <tableColumn id="88" xr3:uid="{00000000-0010-0000-0800-000058000000}" uniqueName="88" name="11/30/2017" queryTableFieldId="88"/>
    <tableColumn id="89" xr3:uid="{00000000-0010-0000-0800-000059000000}" uniqueName="89" name="12/1/2017" queryTableFieldId="89"/>
    <tableColumn id="90" xr3:uid="{00000000-0010-0000-0800-00005A000000}" uniqueName="90" name="12/2/2017" queryTableFieldId="90"/>
    <tableColumn id="91" xr3:uid="{00000000-0010-0000-0800-00005B000000}" uniqueName="91" name="12/18/2017" queryTableFieldId="91"/>
    <tableColumn id="92" xr3:uid="{00000000-0010-0000-0800-00005C000000}" uniqueName="92" name="12/19/2017" queryTableFieldId="92"/>
    <tableColumn id="93" xr3:uid="{00000000-0010-0000-0800-00005D000000}" uniqueName="93" name="12/20/2017" queryTableFieldId="93"/>
    <tableColumn id="94" xr3:uid="{00000000-0010-0000-0800-00005E000000}" uniqueName="94" name="12/21/2017" queryTableFieldId="94"/>
    <tableColumn id="95" xr3:uid="{00000000-0010-0000-0800-00005F000000}" uniqueName="95" name="12/22/2017" queryTableFieldId="95"/>
    <tableColumn id="96" xr3:uid="{00000000-0010-0000-0800-000060000000}" uniqueName="96" name="12/23/2017" queryTableFieldId="96"/>
    <tableColumn id="97" xr3:uid="{00000000-0010-0000-0800-000061000000}" uniqueName="97" name="12/25/2017" queryTableFieldId="97"/>
    <tableColumn id="98" xr3:uid="{00000000-0010-0000-0800-000062000000}" uniqueName="98" name="12/26/2017" queryTableFieldId="98"/>
    <tableColumn id="99" xr3:uid="{00000000-0010-0000-0800-000063000000}" uniqueName="99" name="12/27/2017" queryTableFieldId="99"/>
    <tableColumn id="100" xr3:uid="{00000000-0010-0000-0800-000064000000}" uniqueName="100" name="12/28/2017" queryTableFieldId="100"/>
    <tableColumn id="101" xr3:uid="{00000000-0010-0000-0800-000065000000}" uniqueName="101" name="12/29/2017" queryTableFieldId="101"/>
    <tableColumn id="102" xr3:uid="{00000000-0010-0000-0800-000066000000}" uniqueName="102" name="12/30/2017" queryTableFieldId="102"/>
    <tableColumn id="103" xr3:uid="{00000000-0010-0000-0800-000067000000}" uniqueName="103" name="12/4/2017" queryTableFieldId="103"/>
    <tableColumn id="104" xr3:uid="{00000000-0010-0000-0800-000068000000}" uniqueName="104" name="12/5/2017" queryTableFieldId="104"/>
    <tableColumn id="105" xr3:uid="{00000000-0010-0000-0800-000069000000}" uniqueName="105" name="12/6/2017" queryTableFieldId="105"/>
    <tableColumn id="106" xr3:uid="{00000000-0010-0000-0800-00006A000000}" uniqueName="106" name="12/7/2017" queryTableFieldId="106"/>
    <tableColumn id="107" xr3:uid="{00000000-0010-0000-0800-00006B000000}" uniqueName="107" name="12/8/2017" queryTableFieldId="107"/>
    <tableColumn id="108" xr3:uid="{00000000-0010-0000-0800-00006C000000}" uniqueName="108" name="12/9/2017" queryTableFieldId="108"/>
    <tableColumn id="109" xr3:uid="{00000000-0010-0000-0800-00006D000000}" uniqueName="109" name="2/6/2017" queryTableFieldId="109"/>
    <tableColumn id="110" xr3:uid="{00000000-0010-0000-0800-00006E000000}" uniqueName="110" name="2/7/2017" queryTableFieldId="110"/>
    <tableColumn id="111" xr3:uid="{00000000-0010-0000-0800-00006F000000}" uniqueName="111" name="2/8/2017" queryTableFieldId="111"/>
    <tableColumn id="112" xr3:uid="{00000000-0010-0000-0800-000070000000}" uniqueName="112" name="2/9/2017" queryTableFieldId="112"/>
    <tableColumn id="113" xr3:uid="{00000000-0010-0000-0800-000071000000}" uniqueName="113" name="2/10/2017" queryTableFieldId="113"/>
    <tableColumn id="114" xr3:uid="{00000000-0010-0000-0800-000072000000}" uniqueName="114" name="2/11/2017" queryTableFieldId="114"/>
    <tableColumn id="115" xr3:uid="{00000000-0010-0000-0800-000073000000}" uniqueName="115" name="2/12/2017" queryTableFieldId="115"/>
    <tableColumn id="116" xr3:uid="{00000000-0010-0000-0800-000074000000}" uniqueName="116" name="2/13/2017" queryTableFieldId="116"/>
    <tableColumn id="117" xr3:uid="{00000000-0010-0000-0800-000075000000}" uniqueName="117" name="2/14/2017" queryTableFieldId="117"/>
    <tableColumn id="118" xr3:uid="{00000000-0010-0000-0800-000076000000}" uniqueName="118" name="2/15/2017" queryTableFieldId="118"/>
    <tableColumn id="119" xr3:uid="{00000000-0010-0000-0800-000077000000}" uniqueName="119" name="2/16/2017" queryTableFieldId="119"/>
    <tableColumn id="120" xr3:uid="{00000000-0010-0000-0800-000078000000}" uniqueName="120" name="2/17/2017" queryTableFieldId="120"/>
    <tableColumn id="121" xr3:uid="{00000000-0010-0000-0800-000079000000}" uniqueName="121" name="2/18/2017" queryTableFieldId="121"/>
    <tableColumn id="122" xr3:uid="{00000000-0010-0000-0800-00007A000000}" uniqueName="122" name="2/20/2017" queryTableFieldId="122"/>
    <tableColumn id="123" xr3:uid="{00000000-0010-0000-0800-00007B000000}" uniqueName="123" name="2/21/2017" queryTableFieldId="123"/>
    <tableColumn id="124" xr3:uid="{00000000-0010-0000-0800-00007C000000}" uniqueName="124" name="2/22/2017" queryTableFieldId="124"/>
    <tableColumn id="125" xr3:uid="{00000000-0010-0000-0800-00007D000000}" uniqueName="125" name="2/23/2017" queryTableFieldId="125"/>
    <tableColumn id="126" xr3:uid="{00000000-0010-0000-0800-00007E000000}" uniqueName="126" name="2/24/2017" queryTableFieldId="126"/>
    <tableColumn id="127" xr3:uid="{00000000-0010-0000-0800-00007F000000}" uniqueName="127" name="2/25/2017" queryTableFieldId="127"/>
    <tableColumn id="128" xr3:uid="{00000000-0010-0000-0800-000080000000}" uniqueName="128" name="1/30/2017" queryTableFieldId="128"/>
    <tableColumn id="129" xr3:uid="{00000000-0010-0000-0800-000081000000}" uniqueName="129" name="1/31/2017" queryTableFieldId="129"/>
    <tableColumn id="130" xr3:uid="{00000000-0010-0000-0800-000082000000}" uniqueName="130" name="2/1/2017" queryTableFieldId="130"/>
    <tableColumn id="131" xr3:uid="{00000000-0010-0000-0800-000083000000}" uniqueName="131" name="2/2/2017" queryTableFieldId="131"/>
    <tableColumn id="132" xr3:uid="{00000000-0010-0000-0800-000084000000}" uniqueName="132" name="2/3/2017" queryTableFieldId="132"/>
    <tableColumn id="133" xr3:uid="{00000000-0010-0000-0800-000085000000}" uniqueName="133" name="2/4/2017" queryTableFieldId="133"/>
    <tableColumn id="134" xr3:uid="{00000000-0010-0000-0800-000086000000}" uniqueName="134" name="3/6/2017" queryTableFieldId="134"/>
    <tableColumn id="135" xr3:uid="{00000000-0010-0000-0800-000087000000}" uniqueName="135" name="3/7/2017" queryTableFieldId="135"/>
    <tableColumn id="136" xr3:uid="{00000000-0010-0000-0800-000088000000}" uniqueName="136" name="3/8/2017" queryTableFieldId="136"/>
    <tableColumn id="137" xr3:uid="{00000000-0010-0000-0800-000089000000}" uniqueName="137" name="3/9/2017" queryTableFieldId="137"/>
    <tableColumn id="138" xr3:uid="{00000000-0010-0000-0800-00008A000000}" uniqueName="138" name="3/10/2017" queryTableFieldId="138"/>
    <tableColumn id="139" xr3:uid="{00000000-0010-0000-0800-00008B000000}" uniqueName="139" name="3/11/2017" queryTableFieldId="139"/>
    <tableColumn id="140" xr3:uid="{00000000-0010-0000-0800-00008C000000}" uniqueName="140" name="3/13/2017" queryTableFieldId="140"/>
    <tableColumn id="141" xr3:uid="{00000000-0010-0000-0800-00008D000000}" uniqueName="141" name="3/14/2017" queryTableFieldId="141"/>
    <tableColumn id="142" xr3:uid="{00000000-0010-0000-0800-00008E000000}" uniqueName="142" name="3/15/2017" queryTableFieldId="142"/>
    <tableColumn id="143" xr3:uid="{00000000-0010-0000-0800-00008F000000}" uniqueName="143" name="3/16/2017" queryTableFieldId="143"/>
    <tableColumn id="144" xr3:uid="{00000000-0010-0000-0800-000090000000}" uniqueName="144" name="3/17/2017" queryTableFieldId="144"/>
    <tableColumn id="145" xr3:uid="{00000000-0010-0000-0800-000091000000}" uniqueName="145" name="3/18/2017" queryTableFieldId="145"/>
    <tableColumn id="146" xr3:uid="{00000000-0010-0000-0800-000092000000}" uniqueName="146" name="3/20/2017" queryTableFieldId="146"/>
    <tableColumn id="147" xr3:uid="{00000000-0010-0000-0800-000093000000}" uniqueName="147" name="3/21/2017" queryTableFieldId="147"/>
    <tableColumn id="148" xr3:uid="{00000000-0010-0000-0800-000094000000}" uniqueName="148" name="3/22/2017" queryTableFieldId="148"/>
    <tableColumn id="149" xr3:uid="{00000000-0010-0000-0800-000095000000}" uniqueName="149" name="3/23/2017" queryTableFieldId="149"/>
    <tableColumn id="150" xr3:uid="{00000000-0010-0000-0800-000096000000}" uniqueName="150" name="3/24/2017" queryTableFieldId="150"/>
    <tableColumn id="151" xr3:uid="{00000000-0010-0000-0800-000097000000}" uniqueName="151" name="3/25/2017" queryTableFieldId="151"/>
    <tableColumn id="152" xr3:uid="{00000000-0010-0000-0800-000098000000}" uniqueName="152" name="2/27/2017" queryTableFieldId="152"/>
    <tableColumn id="153" xr3:uid="{00000000-0010-0000-0800-000099000000}" uniqueName="153" name="2/28/2017" queryTableFieldId="153"/>
    <tableColumn id="154" xr3:uid="{00000000-0010-0000-0800-00009A000000}" uniqueName="154" name="3/1/2017" queryTableFieldId="154"/>
    <tableColumn id="155" xr3:uid="{00000000-0010-0000-0800-00009B000000}" uniqueName="155" name="3/2/2017" queryTableFieldId="155"/>
    <tableColumn id="156" xr3:uid="{00000000-0010-0000-0800-00009C000000}" uniqueName="156" name="3/3/2017" queryTableFieldId="156"/>
    <tableColumn id="157" xr3:uid="{00000000-0010-0000-0800-00009D000000}" uniqueName="157" name="3/4/2017" queryTableFieldId="157"/>
    <tableColumn id="158" xr3:uid="{00000000-0010-0000-0800-00009E000000}" uniqueName="158" name="3/27/2017" queryTableFieldId="158"/>
    <tableColumn id="159" xr3:uid="{00000000-0010-0000-0800-00009F000000}" uniqueName="159" name="3/28/2017" queryTableFieldId="159"/>
    <tableColumn id="160" xr3:uid="{00000000-0010-0000-0800-0000A0000000}" uniqueName="160" name="3/29/2017" queryTableFieldId="160"/>
    <tableColumn id="161" xr3:uid="{00000000-0010-0000-0800-0000A1000000}" uniqueName="161" name="3/30/2017" queryTableFieldId="161"/>
    <tableColumn id="162" xr3:uid="{00000000-0010-0000-0800-0000A2000000}" uniqueName="162" name="3/31/2017" queryTableFieldId="162"/>
    <tableColumn id="163" xr3:uid="{00000000-0010-0000-0800-0000A3000000}" uniqueName="163" name="4/1/2017" queryTableFieldId="163"/>
    <tableColumn id="164" xr3:uid="{00000000-0010-0000-0800-0000A4000000}" uniqueName="164" name="4/10/2017" queryTableFieldId="164"/>
    <tableColumn id="165" xr3:uid="{00000000-0010-0000-0800-0000A5000000}" uniqueName="165" name="4/11/2017" queryTableFieldId="165"/>
    <tableColumn id="166" xr3:uid="{00000000-0010-0000-0800-0000A6000000}" uniqueName="166" name="4/12/2017" queryTableFieldId="166"/>
    <tableColumn id="167" xr3:uid="{00000000-0010-0000-0800-0000A7000000}" uniqueName="167" name="4/13/2017" queryTableFieldId="167"/>
    <tableColumn id="168" xr3:uid="{00000000-0010-0000-0800-0000A8000000}" uniqueName="168" name="4/14/2017" queryTableFieldId="168"/>
    <tableColumn id="169" xr3:uid="{00000000-0010-0000-0800-0000A9000000}" uniqueName="169" name="4/15/2017" queryTableFieldId="169"/>
    <tableColumn id="170" xr3:uid="{00000000-0010-0000-0800-0000AA000000}" uniqueName="170" name="4/17/2017" queryTableFieldId="170"/>
    <tableColumn id="171" xr3:uid="{00000000-0010-0000-0800-0000AB000000}" uniqueName="171" name="4/18/2017" queryTableFieldId="171"/>
    <tableColumn id="172" xr3:uid="{00000000-0010-0000-0800-0000AC000000}" uniqueName="172" name="4/19/2017" queryTableFieldId="172"/>
    <tableColumn id="173" xr3:uid="{00000000-0010-0000-0800-0000AD000000}" uniqueName="173" name="4/20/2017" queryTableFieldId="173"/>
    <tableColumn id="174" xr3:uid="{00000000-0010-0000-0800-0000AE000000}" uniqueName="174" name="4/21/2017" queryTableFieldId="174"/>
    <tableColumn id="175" xr3:uid="{00000000-0010-0000-0800-0000AF000000}" uniqueName="175" name="4/22/2017" queryTableFieldId="175"/>
    <tableColumn id="176" xr3:uid="{00000000-0010-0000-0800-0000B0000000}" uniqueName="176" name="4/24/2017" queryTableFieldId="176"/>
    <tableColumn id="177" xr3:uid="{00000000-0010-0000-0800-0000B1000000}" uniqueName="177" name="4/25/2017" queryTableFieldId="177"/>
    <tableColumn id="178" xr3:uid="{00000000-0010-0000-0800-0000B2000000}" uniqueName="178" name="4/26/2017" queryTableFieldId="178"/>
    <tableColumn id="179" xr3:uid="{00000000-0010-0000-0800-0000B3000000}" uniqueName="179" name="4/27/2017" queryTableFieldId="179"/>
    <tableColumn id="180" xr3:uid="{00000000-0010-0000-0800-0000B4000000}" uniqueName="180" name="4/28/2017" queryTableFieldId="180"/>
    <tableColumn id="181" xr3:uid="{00000000-0010-0000-0800-0000B5000000}" uniqueName="181" name="4/29/2017" queryTableFieldId="181"/>
    <tableColumn id="182" xr3:uid="{00000000-0010-0000-0800-0000B6000000}" uniqueName="182" name="4/3/2017" queryTableFieldId="182"/>
    <tableColumn id="183" xr3:uid="{00000000-0010-0000-0800-0000B7000000}" uniqueName="183" name="4/4/2017" queryTableFieldId="183"/>
    <tableColumn id="184" xr3:uid="{00000000-0010-0000-0800-0000B8000000}" uniqueName="184" name="4/5/2017" queryTableFieldId="184"/>
    <tableColumn id="185" xr3:uid="{00000000-0010-0000-0800-0000B9000000}" uniqueName="185" name="4/6/2017" queryTableFieldId="185"/>
    <tableColumn id="186" xr3:uid="{00000000-0010-0000-0800-0000BA000000}" uniqueName="186" name="4/7/2017" queryTableFieldId="186"/>
    <tableColumn id="187" xr3:uid="{00000000-0010-0000-0800-0000BB000000}" uniqueName="187" name="4/8/2017" queryTableFieldId="187"/>
    <tableColumn id="188" xr3:uid="{00000000-0010-0000-0800-0000BC000000}" uniqueName="188" name="5/8/2017" queryTableFieldId="188"/>
    <tableColumn id="189" xr3:uid="{00000000-0010-0000-0800-0000BD000000}" uniqueName="189" name="5/9/2017" queryTableFieldId="189"/>
    <tableColumn id="190" xr3:uid="{00000000-0010-0000-0800-0000BE000000}" uniqueName="190" name="5/10/2017" queryTableFieldId="190"/>
    <tableColumn id="191" xr3:uid="{00000000-0010-0000-0800-0000BF000000}" uniqueName="191" name="5/11/2017" queryTableFieldId="191"/>
    <tableColumn id="192" xr3:uid="{00000000-0010-0000-0800-0000C0000000}" uniqueName="192" name="5/12/2017" queryTableFieldId="192"/>
    <tableColumn id="193" xr3:uid="{00000000-0010-0000-0800-0000C1000000}" uniqueName="193" name="5/13/2017" queryTableFieldId="193"/>
    <tableColumn id="194" xr3:uid="{00000000-0010-0000-0800-0000C2000000}" uniqueName="194" name="5/15/2017" queryTableFieldId="194"/>
    <tableColumn id="195" xr3:uid="{00000000-0010-0000-0800-0000C3000000}" uniqueName="195" name="5/16/2017" queryTableFieldId="195"/>
    <tableColumn id="196" xr3:uid="{00000000-0010-0000-0800-0000C4000000}" uniqueName="196" name="5/17/2017" queryTableFieldId="196"/>
    <tableColumn id="197" xr3:uid="{00000000-0010-0000-0800-0000C5000000}" uniqueName="197" name="5/18/2017" queryTableFieldId="197"/>
    <tableColumn id="198" xr3:uid="{00000000-0010-0000-0800-0000C6000000}" uniqueName="198" name="5/19/2017" queryTableFieldId="198"/>
    <tableColumn id="199" xr3:uid="{00000000-0010-0000-0800-0000C7000000}" uniqueName="199" name="5/20/2017" queryTableFieldId="199"/>
    <tableColumn id="200" xr3:uid="{00000000-0010-0000-0800-0000C8000000}" uniqueName="200" name="5/22/2017" queryTableFieldId="200"/>
    <tableColumn id="201" xr3:uid="{00000000-0010-0000-0800-0000C9000000}" uniqueName="201" name="5/23/2017" queryTableFieldId="201"/>
    <tableColumn id="202" xr3:uid="{00000000-0010-0000-0800-0000CA000000}" uniqueName="202" name="5/24/2017" queryTableFieldId="202"/>
    <tableColumn id="203" xr3:uid="{00000000-0010-0000-0800-0000CB000000}" uniqueName="203" name="5/25/2017" queryTableFieldId="203"/>
    <tableColumn id="204" xr3:uid="{00000000-0010-0000-0800-0000CC000000}" uniqueName="204" name="5/26/2017" queryTableFieldId="204"/>
    <tableColumn id="205" xr3:uid="{00000000-0010-0000-0800-0000CD000000}" uniqueName="205" name="5/27/2017" queryTableFieldId="205"/>
    <tableColumn id="206" xr3:uid="{00000000-0010-0000-0800-0000CE000000}" uniqueName="206" name="5/1/2017" queryTableFieldId="206"/>
    <tableColumn id="207" xr3:uid="{00000000-0010-0000-0800-0000CF000000}" uniqueName="207" name="5/2/2017" queryTableFieldId="207"/>
    <tableColumn id="208" xr3:uid="{00000000-0010-0000-0800-0000D0000000}" uniqueName="208" name="5/3/2017" queryTableFieldId="208"/>
    <tableColumn id="209" xr3:uid="{00000000-0010-0000-0800-0000D1000000}" uniqueName="209" name="5/4/2017" queryTableFieldId="209"/>
    <tableColumn id="210" xr3:uid="{00000000-0010-0000-0800-0000D2000000}" uniqueName="210" name="5/5/2017" queryTableFieldId="210"/>
    <tableColumn id="211" xr3:uid="{00000000-0010-0000-0800-0000D3000000}" uniqueName="211" name="5/6/2017" queryTableFieldId="211"/>
    <tableColumn id="212" xr3:uid="{00000000-0010-0000-0800-0000D4000000}" uniqueName="212" name="6/5/2017" queryTableFieldId="212"/>
    <tableColumn id="213" xr3:uid="{00000000-0010-0000-0800-0000D5000000}" uniqueName="213" name="6/6/2017" queryTableFieldId="213"/>
    <tableColumn id="214" xr3:uid="{00000000-0010-0000-0800-0000D6000000}" uniqueName="214" name="6/7/2017" queryTableFieldId="214"/>
    <tableColumn id="215" xr3:uid="{00000000-0010-0000-0800-0000D7000000}" uniqueName="215" name="6/8/2017" queryTableFieldId="215"/>
    <tableColumn id="216" xr3:uid="{00000000-0010-0000-0800-0000D8000000}" uniqueName="216" name="6/9/2017" queryTableFieldId="216"/>
    <tableColumn id="217" xr3:uid="{00000000-0010-0000-0800-0000D9000000}" uniqueName="217" name="6/10/2017" queryTableFieldId="217"/>
    <tableColumn id="218" xr3:uid="{00000000-0010-0000-0800-0000DA000000}" uniqueName="218" name="6/12/2017" queryTableFieldId="218"/>
    <tableColumn id="219" xr3:uid="{00000000-0010-0000-0800-0000DB000000}" uniqueName="219" name="6/13/2017" queryTableFieldId="219"/>
    <tableColumn id="220" xr3:uid="{00000000-0010-0000-0800-0000DC000000}" uniqueName="220" name="6/14/2017" queryTableFieldId="220"/>
    <tableColumn id="221" xr3:uid="{00000000-0010-0000-0800-0000DD000000}" uniqueName="221" name="6/15/2017" queryTableFieldId="221"/>
    <tableColumn id="222" xr3:uid="{00000000-0010-0000-0800-0000DE000000}" uniqueName="222" name="6/16/2017" queryTableFieldId="222"/>
    <tableColumn id="223" xr3:uid="{00000000-0010-0000-0800-0000DF000000}" uniqueName="223" name="6/17/2017" queryTableFieldId="223"/>
    <tableColumn id="224" xr3:uid="{00000000-0010-0000-0800-0000E0000000}" uniqueName="224" name="6/19/2017" queryTableFieldId="224"/>
    <tableColumn id="225" xr3:uid="{00000000-0010-0000-0800-0000E1000000}" uniqueName="225" name="6/20/2017" queryTableFieldId="225"/>
    <tableColumn id="226" xr3:uid="{00000000-0010-0000-0800-0000E2000000}" uniqueName="226" name="6/21/2017" queryTableFieldId="226"/>
    <tableColumn id="227" xr3:uid="{00000000-0010-0000-0800-0000E3000000}" uniqueName="227" name="6/22/2017" queryTableFieldId="227"/>
    <tableColumn id="228" xr3:uid="{00000000-0010-0000-0800-0000E4000000}" uniqueName="228" name="6/23/2017" queryTableFieldId="228"/>
    <tableColumn id="229" xr3:uid="{00000000-0010-0000-0800-0000E5000000}" uniqueName="229" name="6/24/2017" queryTableFieldId="229"/>
    <tableColumn id="230" xr3:uid="{00000000-0010-0000-0800-0000E6000000}" uniqueName="230" name="5/29/2017" queryTableFieldId="230"/>
    <tableColumn id="231" xr3:uid="{00000000-0010-0000-0800-0000E7000000}" uniqueName="231" name="5/30/2017" queryTableFieldId="231"/>
    <tableColumn id="232" xr3:uid="{00000000-0010-0000-0800-0000E8000000}" uniqueName="232" name="5/31/2017" queryTableFieldId="232"/>
    <tableColumn id="233" xr3:uid="{00000000-0010-0000-0800-0000E9000000}" uniqueName="233" name="6/1/2017" queryTableFieldId="233"/>
    <tableColumn id="234" xr3:uid="{00000000-0010-0000-0800-0000EA000000}" uniqueName="234" name="6/2/2017" queryTableFieldId="234"/>
    <tableColumn id="235" xr3:uid="{00000000-0010-0000-0800-0000EB000000}" uniqueName="235" name="6/3/2017" queryTableFieldId="235"/>
    <tableColumn id="236" xr3:uid="{00000000-0010-0000-0800-0000EC000000}" uniqueName="236" name="6/26/2017" queryTableFieldId="236"/>
    <tableColumn id="237" xr3:uid="{00000000-0010-0000-0800-0000ED000000}" uniqueName="237" name="6/27/2017" queryTableFieldId="237"/>
    <tableColumn id="238" xr3:uid="{00000000-0010-0000-0800-0000EE000000}" uniqueName="238" name="6/28/2017" queryTableFieldId="238"/>
    <tableColumn id="239" xr3:uid="{00000000-0010-0000-0800-0000EF000000}" uniqueName="239" name="6/29/2017" queryTableFieldId="239"/>
    <tableColumn id="240" xr3:uid="{00000000-0010-0000-0800-0000F0000000}" uniqueName="240" name="6/30/2017" queryTableFieldId="240"/>
    <tableColumn id="241" xr3:uid="{00000000-0010-0000-0800-0000F1000000}" uniqueName="241" name="7/1/2017" queryTableFieldId="241"/>
    <tableColumn id="242" xr3:uid="{00000000-0010-0000-0800-0000F2000000}" uniqueName="242" name="7/10/2017" queryTableFieldId="242"/>
    <tableColumn id="243" xr3:uid="{00000000-0010-0000-0800-0000F3000000}" uniqueName="243" name="7/11/2017" queryTableFieldId="243"/>
    <tableColumn id="244" xr3:uid="{00000000-0010-0000-0800-0000F4000000}" uniqueName="244" name="7/12/2017" queryTableFieldId="244"/>
    <tableColumn id="245" xr3:uid="{00000000-0010-0000-0800-0000F5000000}" uniqueName="245" name="7/13/2017" queryTableFieldId="245"/>
    <tableColumn id="246" xr3:uid="{00000000-0010-0000-0800-0000F6000000}" uniqueName="246" name="7/14/2017" queryTableFieldId="246"/>
    <tableColumn id="247" xr3:uid="{00000000-0010-0000-0800-0000F7000000}" uniqueName="247" name="7/15/2017" queryTableFieldId="247"/>
    <tableColumn id="248" xr3:uid="{00000000-0010-0000-0800-0000F8000000}" uniqueName="248" name="7/17/2017" queryTableFieldId="248"/>
    <tableColumn id="249" xr3:uid="{00000000-0010-0000-0800-0000F9000000}" uniqueName="249" name="7/18/2017" queryTableFieldId="249"/>
    <tableColumn id="250" xr3:uid="{00000000-0010-0000-0800-0000FA000000}" uniqueName="250" name="7/19/2017" queryTableFieldId="250"/>
    <tableColumn id="251" xr3:uid="{00000000-0010-0000-0800-0000FB000000}" uniqueName="251" name="7/20/2017" queryTableFieldId="251"/>
    <tableColumn id="252" xr3:uid="{00000000-0010-0000-0800-0000FC000000}" uniqueName="252" name="7/21/2017" queryTableFieldId="252"/>
    <tableColumn id="253" xr3:uid="{00000000-0010-0000-0800-0000FD000000}" uniqueName="253" name="7/22/2017" queryTableFieldId="253"/>
    <tableColumn id="254" xr3:uid="{00000000-0010-0000-0800-0000FE000000}" uniqueName="254" name="7/24/2017" queryTableFieldId="254"/>
    <tableColumn id="255" xr3:uid="{00000000-0010-0000-0800-0000FF000000}" uniqueName="255" name="7/25/2017" queryTableFieldId="255"/>
    <tableColumn id="256" xr3:uid="{00000000-0010-0000-0800-000000010000}" uniqueName="256" name="7/26/2017" queryTableFieldId="256"/>
    <tableColumn id="257" xr3:uid="{00000000-0010-0000-0800-000001010000}" uniqueName="257" name="7/27/2017" queryTableFieldId="257"/>
    <tableColumn id="258" xr3:uid="{00000000-0010-0000-0800-000002010000}" uniqueName="258" name="7/28/2017" queryTableFieldId="258"/>
    <tableColumn id="259" xr3:uid="{00000000-0010-0000-0800-000003010000}" uniqueName="259" name="7/29/2017" queryTableFieldId="259"/>
    <tableColumn id="260" xr3:uid="{00000000-0010-0000-0800-000004010000}" uniqueName="260" name="7/3/2017" queryTableFieldId="260"/>
    <tableColumn id="261" xr3:uid="{00000000-0010-0000-0800-000005010000}" uniqueName="261" name="7/4/2017" queryTableFieldId="261"/>
    <tableColumn id="262" xr3:uid="{00000000-0010-0000-0800-000006010000}" uniqueName="262" name="7/5/2017" queryTableFieldId="262"/>
    <tableColumn id="263" xr3:uid="{00000000-0010-0000-0800-000007010000}" uniqueName="263" name="7/6/2017" queryTableFieldId="263"/>
    <tableColumn id="264" xr3:uid="{00000000-0010-0000-0800-000008010000}" uniqueName="264" name="7/7/2017" queryTableFieldId="264"/>
    <tableColumn id="265" xr3:uid="{00000000-0010-0000-0800-000009010000}" uniqueName="265" name="7/8/2017" queryTableFieldId="265"/>
    <tableColumn id="266" xr3:uid="{00000000-0010-0000-0800-00000A010000}" uniqueName="266" name="8/7/2017" queryTableFieldId="266"/>
    <tableColumn id="267" xr3:uid="{00000000-0010-0000-0800-00000B010000}" uniqueName="267" name="8/8/2017" queryTableFieldId="267"/>
    <tableColumn id="268" xr3:uid="{00000000-0010-0000-0800-00000C010000}" uniqueName="268" name="8/9/2017" queryTableFieldId="268"/>
    <tableColumn id="269" xr3:uid="{00000000-0010-0000-0800-00000D010000}" uniqueName="269" name="8/10/2017" queryTableFieldId="269"/>
    <tableColumn id="270" xr3:uid="{00000000-0010-0000-0800-00000E010000}" uniqueName="270" name="8/11/2017" queryTableFieldId="270"/>
    <tableColumn id="271" xr3:uid="{00000000-0010-0000-0800-00000F010000}" uniqueName="271" name="8/12/2017" queryTableFieldId="271"/>
    <tableColumn id="272" xr3:uid="{00000000-0010-0000-0800-000010010000}" uniqueName="272" name="8/14/2017" queryTableFieldId="272"/>
    <tableColumn id="273" xr3:uid="{00000000-0010-0000-0800-000011010000}" uniqueName="273" name="8/15/2017" queryTableFieldId="273"/>
    <tableColumn id="274" xr3:uid="{00000000-0010-0000-0800-000012010000}" uniqueName="274" name="8/16/2017" queryTableFieldId="274"/>
    <tableColumn id="275" xr3:uid="{00000000-0010-0000-0800-000013010000}" uniqueName="275" name="8/17/2017" queryTableFieldId="275"/>
    <tableColumn id="276" xr3:uid="{00000000-0010-0000-0800-000014010000}" uniqueName="276" name="8/18/2017" queryTableFieldId="276"/>
    <tableColumn id="277" xr3:uid="{00000000-0010-0000-0800-000015010000}" uniqueName="277" name="8/19/2017" queryTableFieldId="277"/>
    <tableColumn id="278" xr3:uid="{00000000-0010-0000-0800-000016010000}" uniqueName="278" name="8/21/2017" queryTableFieldId="278"/>
    <tableColumn id="279" xr3:uid="{00000000-0010-0000-0800-000017010000}" uniqueName="279" name="8/22/2017" queryTableFieldId="279"/>
    <tableColumn id="280" xr3:uid="{00000000-0010-0000-0800-000018010000}" uniqueName="280" name="8/23/2017" queryTableFieldId="280"/>
    <tableColumn id="281" xr3:uid="{00000000-0010-0000-0800-000019010000}" uniqueName="281" name="8/24/2017" queryTableFieldId="281"/>
    <tableColumn id="282" xr3:uid="{00000000-0010-0000-0800-00001A010000}" uniqueName="282" name="8/25/2017" queryTableFieldId="282"/>
    <tableColumn id="283" xr3:uid="{00000000-0010-0000-0800-00001B010000}" uniqueName="283" name="8/26/2017" queryTableFieldId="283"/>
    <tableColumn id="284" xr3:uid="{00000000-0010-0000-0800-00001C010000}" uniqueName="284" name="7/31/2017" queryTableFieldId="284"/>
    <tableColumn id="285" xr3:uid="{00000000-0010-0000-0800-00001D010000}" uniqueName="285" name="8/1/2017" queryTableFieldId="285"/>
    <tableColumn id="286" xr3:uid="{00000000-0010-0000-0800-00001E010000}" uniqueName="286" name="8/2/2017" queryTableFieldId="286"/>
    <tableColumn id="287" xr3:uid="{00000000-0010-0000-0800-00001F010000}" uniqueName="287" name="8/3/2017" queryTableFieldId="287"/>
    <tableColumn id="288" xr3:uid="{00000000-0010-0000-0800-000020010000}" uniqueName="288" name="8/4/2017" queryTableFieldId="288"/>
    <tableColumn id="289" xr3:uid="{00000000-0010-0000-0800-000021010000}" uniqueName="289" name="8/5/2017" queryTableFieldId="289"/>
    <tableColumn id="290" xr3:uid="{00000000-0010-0000-0800-000022010000}" uniqueName="290" name="9/11/2017" queryTableFieldId="290"/>
    <tableColumn id="291" xr3:uid="{00000000-0010-0000-0800-000023010000}" uniqueName="291" name="9/12/2017" queryTableFieldId="291"/>
    <tableColumn id="292" xr3:uid="{00000000-0010-0000-0800-000024010000}" uniqueName="292" name="9/13/2017" queryTableFieldId="292"/>
    <tableColumn id="293" xr3:uid="{00000000-0010-0000-0800-000025010000}" uniqueName="293" name="9/14/2017" queryTableFieldId="293"/>
    <tableColumn id="294" xr3:uid="{00000000-0010-0000-0800-000026010000}" uniqueName="294" name="9/15/2017" queryTableFieldId="294"/>
    <tableColumn id="295" xr3:uid="{00000000-0010-0000-0800-000027010000}" uniqueName="295" name="9/16/2017" queryTableFieldId="295"/>
    <tableColumn id="296" xr3:uid="{00000000-0010-0000-0800-000028010000}" uniqueName="296" name="8/28/2017" queryTableFieldId="296"/>
    <tableColumn id="297" xr3:uid="{00000000-0010-0000-0800-000029010000}" uniqueName="297" name="8/29/2017" queryTableFieldId="297"/>
    <tableColumn id="298" xr3:uid="{00000000-0010-0000-0800-00002A010000}" uniqueName="298" name="8/30/2017" queryTableFieldId="298"/>
    <tableColumn id="299" xr3:uid="{00000000-0010-0000-0800-00002B010000}" uniqueName="299" name="8/31/2017" queryTableFieldId="299"/>
    <tableColumn id="300" xr3:uid="{00000000-0010-0000-0800-00002C010000}" uniqueName="300" name="9/1/2017" queryTableFieldId="300"/>
    <tableColumn id="301" xr3:uid="{00000000-0010-0000-0800-00002D010000}" uniqueName="301" name="9/2/2017" queryTableFieldId="301"/>
    <tableColumn id="302" xr3:uid="{00000000-0010-0000-0800-00002E010000}" uniqueName="302" name="9/18/2017" queryTableFieldId="302"/>
    <tableColumn id="303" xr3:uid="{00000000-0010-0000-0800-00002F010000}" uniqueName="303" name="9/19/2017" queryTableFieldId="303"/>
    <tableColumn id="304" xr3:uid="{00000000-0010-0000-0800-000030010000}" uniqueName="304" name="9/20/2017" queryTableFieldId="304"/>
    <tableColumn id="305" xr3:uid="{00000000-0010-0000-0800-000031010000}" uniqueName="305" name="9/21/2017" queryTableFieldId="305"/>
    <tableColumn id="306" xr3:uid="{00000000-0010-0000-0800-000032010000}" uniqueName="306" name="9/22/2017" queryTableFieldId="306"/>
    <tableColumn id="307" xr3:uid="{00000000-0010-0000-0800-000033010000}" uniqueName="307" name="9/23/2017" queryTableFieldId="307"/>
    <tableColumn id="308" xr3:uid="{00000000-0010-0000-0800-000034010000}" uniqueName="308" name="9/25/2017" queryTableFieldId="308"/>
    <tableColumn id="309" xr3:uid="{00000000-0010-0000-0800-000035010000}" uniqueName="309" name="9/26/2017" queryTableFieldId="309"/>
    <tableColumn id="310" xr3:uid="{00000000-0010-0000-0800-000036010000}" uniqueName="310" name="9/27/2017" queryTableFieldId="310"/>
    <tableColumn id="311" xr3:uid="{00000000-0010-0000-0800-000037010000}" uniqueName="311" name="9/28/2017" queryTableFieldId="311"/>
    <tableColumn id="312" xr3:uid="{00000000-0010-0000-0800-000038010000}" uniqueName="312" name="9/29/2017" queryTableFieldId="312"/>
    <tableColumn id="313" xr3:uid="{00000000-0010-0000-0800-000039010000}" uniqueName="313" name="9/30/2017" queryTableFieldId="313"/>
    <tableColumn id="314" xr3:uid="{00000000-0010-0000-0800-00003A010000}" uniqueName="314" name="9/4/2017" queryTableFieldId="314"/>
    <tableColumn id="315" xr3:uid="{00000000-0010-0000-0800-00003B010000}" uniqueName="315" name="9/5/2017" queryTableFieldId="315"/>
    <tableColumn id="316" xr3:uid="{00000000-0010-0000-0800-00003C010000}" uniqueName="316" name="9/6/2017" queryTableFieldId="316"/>
    <tableColumn id="317" xr3:uid="{00000000-0010-0000-0800-00003D010000}" uniqueName="317" name="9/7/2017" queryTableFieldId="317"/>
    <tableColumn id="318" xr3:uid="{00000000-0010-0000-0800-00003E010000}" uniqueName="318" name="9/8/2017" queryTableFieldId="318"/>
    <tableColumn id="319" xr3:uid="{00000000-0010-0000-0800-00003F010000}" uniqueName="319" name="9/9/2017" queryTableFieldId="31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Development_Data_Book" displayName="Development_Data_Book" ref="A2:AY325" tableType="queryTable" totalsRowShown="0">
  <autoFilter ref="A2:AY325" xr:uid="{00000000-0009-0000-0100-00000E000000}"/>
  <sortState xmlns:xlrd2="http://schemas.microsoft.com/office/spreadsheetml/2017/richdata2" ref="A3:AY325">
    <sortCondition ref="B2:B325"/>
  </sortState>
  <tableColumns count="51">
    <tableColumn id="1" xr3:uid="{00000000-0010-0000-0900-000001000000}" uniqueName="1" name="DATA AS OF" queryTableFieldId="1" dataDxfId="418"/>
    <tableColumn id="2" xr3:uid="{00000000-0010-0000-0900-000002000000}" uniqueName="2" name="DEVELOPMENT" queryTableFieldId="2" dataDxfId="417"/>
    <tableColumn id="3" xr3:uid="{00000000-0010-0000-0900-000003000000}" uniqueName="3" name="HUD AMP#" queryTableFieldId="3" dataDxfId="416"/>
    <tableColumn id="4" xr3:uid="{00000000-0010-0000-0900-000004000000}" uniqueName="4" name="TDS#" queryTableFieldId="4"/>
    <tableColumn id="5" xr3:uid="{00000000-0010-0000-0900-000005000000}" uniqueName="5" name="CONSOLIDATED TDS#" queryTableFieldId="5"/>
    <tableColumn id="6" xr3:uid="{00000000-0010-0000-0900-000006000000}" uniqueName="6" name="DEVELOPMENT EDP#" queryTableFieldId="6"/>
    <tableColumn id="7" xr3:uid="{00000000-0010-0000-0900-000007000000}" uniqueName="7" name="OPERATING EDP#" queryTableFieldId="7"/>
    <tableColumn id="8" xr3:uid="{00000000-0010-0000-0900-000008000000}" uniqueName="8" name="HUD #" queryTableFieldId="8" dataDxfId="415"/>
    <tableColumn id="9" xr3:uid="{00000000-0010-0000-0900-000009000000}" uniqueName="9" name="PROGRAM" queryTableFieldId="9" dataDxfId="414"/>
    <tableColumn id="10" xr3:uid="{00000000-0010-0000-0900-00000A000000}" uniqueName="10" name="METHOD" queryTableFieldId="10" dataDxfId="413"/>
    <tableColumn id="11" xr3:uid="{00000000-0010-0000-0900-00000B000000}" uniqueName="11" name="TYPE" queryTableFieldId="11" dataDxfId="412"/>
    <tableColumn id="12" xr3:uid="{00000000-0010-0000-0900-00000C000000}" uniqueName="12" name="NUMBER OF SECTION 8 TRANSITION APARTMENTS" queryTableFieldId="12"/>
    <tableColumn id="13" xr3:uid="{00000000-0010-0000-0900-00000D000000}" uniqueName="13" name="NUMBER OF CURRENT APARTMENTS" queryTableFieldId="13"/>
    <tableColumn id="14" xr3:uid="{00000000-0010-0000-0900-00000E000000}" uniqueName="14" name="TOTAL NUMBER OF APARTMENTS" queryTableFieldId="14"/>
    <tableColumn id="15" xr3:uid="{00000000-0010-0000-0900-00000F000000}" uniqueName="15" name="NUMBER OF RENTAL ROOMS" queryTableFieldId="15"/>
    <tableColumn id="16" xr3:uid="{00000000-0010-0000-0900-000010000000}" uniqueName="16" name="AVG NO R/R PER APARTMENT" queryTableFieldId="16"/>
    <tableColumn id="17" xr3:uid="{00000000-0010-0000-0900-000011000000}" uniqueName="17" name="POPULATION SECTION 8 TRANSITION" queryTableFieldId="17"/>
    <tableColumn id="18" xr3:uid="{00000000-0010-0000-0900-000012000000}" uniqueName="18" name="POPULATION PUBLIC HOUSING" queryTableFieldId="18"/>
    <tableColumn id="19" xr3:uid="{00000000-0010-0000-0900-000013000000}" uniqueName="19" name="TOTAL POPULATION" queryTableFieldId="19"/>
    <tableColumn id="20" xr3:uid="{00000000-0010-0000-0900-000014000000}" uniqueName="20" name="TOTAL # OF FIXED INCOME HOUSEHOLD" queryTableFieldId="20"/>
    <tableColumn id="21" xr3:uid="{00000000-0010-0000-0900-000015000000}" uniqueName="21" name="PERCENT FIXED INCOME HOUSEHOLDS" queryTableFieldId="21"/>
    <tableColumn id="22" xr3:uid="{00000000-0010-0000-0900-000016000000}" uniqueName="22" name="NUMBER OF RESIDENTIAL BLDGS" queryTableFieldId="22"/>
    <tableColumn id="23" xr3:uid="{00000000-0010-0000-0900-000017000000}" uniqueName="23" name="NUMBER OF NON-RESIDENTIAL BLDGS" queryTableFieldId="23"/>
    <tableColumn id="24" xr3:uid="{00000000-0010-0000-0900-000018000000}" uniqueName="24" name="NUMBER OF STAIRHALLS" queryTableFieldId="24"/>
    <tableColumn id="25" xr3:uid="{00000000-0010-0000-0900-000019000000}" uniqueName="25" name="NUMBER OF STORIES" queryTableFieldId="25"/>
    <tableColumn id="26" xr3:uid="{00000000-0010-0000-0900-00001A000000}" uniqueName="26" name="TOTAL AREA SQ FT" queryTableFieldId="26"/>
    <tableColumn id="27" xr3:uid="{00000000-0010-0000-0900-00001B000000}" uniqueName="27" name="ACRES" queryTableFieldId="27"/>
    <tableColumn id="28" xr3:uid="{00000000-0010-0000-0900-00001C000000}" uniqueName="28" name="NET DEV AREA SQ FT" queryTableFieldId="28"/>
    <tableColumn id="29" xr3:uid="{00000000-0010-0000-0900-00001D000000}" uniqueName="29" name="EXCLUDING PARK ACRES" queryTableFieldId="29"/>
    <tableColumn id="30" xr3:uid="{00000000-0010-0000-0900-00001E000000}" uniqueName="30" name="BLDG COVERAGE SQ FT" queryTableFieldId="30"/>
    <tableColumn id="31" xr3:uid="{00000000-0010-0000-0900-00001F000000}" uniqueName="31" name="CUBAGE CU FT" queryTableFieldId="31"/>
    <tableColumn id="32" xr3:uid="{00000000-0010-0000-0900-000020000000}" uniqueName="32" name="BLDG COVERAGE %" queryTableFieldId="32"/>
    <tableColumn id="33" xr3:uid="{00000000-0010-0000-0900-000021000000}" uniqueName="33" name="DENSITY" queryTableFieldId="33"/>
    <tableColumn id="34" xr3:uid="{00000000-0010-0000-0900-000022000000}" uniqueName="34" name="DEVELOPMENT COST" queryTableFieldId="34"/>
    <tableColumn id="35" xr3:uid="{00000000-0010-0000-0900-000023000000}" uniqueName="35" name="PER RENTAL ROOM" queryTableFieldId="35"/>
    <tableColumn id="36" xr3:uid="{00000000-0010-0000-0900-000024000000}" uniqueName="36" name="AVG MONTHLY GROSS RENT" queryTableFieldId="36"/>
    <tableColumn id="37" xr3:uid="{00000000-0010-0000-0900-000025000000}" uniqueName="37" name="LOCATION STREET A" queryTableFieldId="37" dataDxfId="411"/>
    <tableColumn id="38" xr3:uid="{00000000-0010-0000-0900-000026000000}" uniqueName="38" name="LOCATION STREET B" queryTableFieldId="38" dataDxfId="410"/>
    <tableColumn id="39" xr3:uid="{00000000-0010-0000-0900-000027000000}" uniqueName="39" name="LOCATION STREET C" queryTableFieldId="39" dataDxfId="409"/>
    <tableColumn id="40" xr3:uid="{00000000-0010-0000-0900-000028000000}" uniqueName="40" name="LOCATION STREET D" queryTableFieldId="40" dataDxfId="408"/>
    <tableColumn id="41" xr3:uid="{00000000-0010-0000-0900-000029000000}" uniqueName="41" name="BOROUGH" queryTableFieldId="41" dataDxfId="407"/>
    <tableColumn id="42" xr3:uid="{00000000-0010-0000-0900-00002A000000}" uniqueName="42" name="COMMUNITY DISTIRCT" queryTableFieldId="42"/>
    <tableColumn id="43" xr3:uid="{00000000-0010-0000-0900-00002B000000}" uniqueName="43" name="US CONGRESSIONAL DISTRICT" queryTableFieldId="43"/>
    <tableColumn id="44" xr3:uid="{00000000-0010-0000-0900-00002C000000}" uniqueName="44" name="NY STATE SENATE DISTRICT" queryTableFieldId="44"/>
    <tableColumn id="45" xr3:uid="{00000000-0010-0000-0900-00002D000000}" uniqueName="45" name="NY STATE ASSEMBLY DISTRICT" queryTableFieldId="45"/>
    <tableColumn id="46" xr3:uid="{00000000-0010-0000-0900-00002E000000}" uniqueName="46" name="NY CITY COUNCIL DISTRICT" queryTableFieldId="46"/>
    <tableColumn id="47" xr3:uid="{00000000-0010-0000-0900-00002F000000}" uniqueName="47" name="COMPLETION DATE" queryTableFieldId="47" dataDxfId="406"/>
    <tableColumn id="48" xr3:uid="{00000000-0010-0000-0900-000030000000}" uniqueName="48" name="FEDERALIZED DEVELOPMENT" queryTableFieldId="48" dataDxfId="405"/>
    <tableColumn id="49" xr3:uid="{00000000-0010-0000-0900-000031000000}" uniqueName="49" name="SENIOR DEVELOPMENT" queryTableFieldId="49" dataDxfId="404"/>
    <tableColumn id="50" xr3:uid="{00000000-0010-0000-0900-000032000000}" uniqueName="50" name="ELECTRICITY PAID BY RESIDENTS" queryTableFieldId="50" dataDxfId="403"/>
    <tableColumn id="51" xr3:uid="{00000000-0010-0000-0900-000033000000}" uniqueName="51" name="PRIVATE MANAGEMENT" queryTableFieldId="51" dataDxfId="40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A000000}" name="Query1" displayName="Query1" ref="A1:E207" tableType="queryTable" totalsRowShown="0">
  <autoFilter ref="A1:E207" xr:uid="{00000000-0009-0000-0100-000016000000}"/>
  <tableColumns count="5">
    <tableColumn id="2" xr3:uid="{00000000-0010-0000-0A00-000002000000}" uniqueName="2" name="Development Name" queryTableFieldId="2" dataDxfId="401"/>
    <tableColumn id="1" xr3:uid="{00000000-0010-0000-0A00-000001000000}" uniqueName="1" name="Bundle Name" queryTableFieldId="1" dataDxfId="400"/>
    <tableColumn id="3" xr3:uid="{00000000-0010-0000-0A00-000003000000}" uniqueName="3" name="Units" queryTableFieldId="3"/>
    <tableColumn id="4" xr3:uid="{00000000-0010-0000-0A00-000004000000}" uniqueName="4" name="Units_1" queryTableFieldId="4"/>
    <tableColumn id="5" xr3:uid="{00000000-0010-0000-0A00-000005000000}" uniqueName="5" name="Anticipated Closing Year" queryTableFieldId="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B000000}" name="EHD" displayName="EHD" ref="A3:T314" totalsRowShown="0" headerRowDxfId="387" headerRowBorderDxfId="385" tableBorderDxfId="386" totalsRowBorderDxfId="384">
  <autoFilter ref="A3:T314" xr:uid="{00000000-0009-0000-0100-000009000000}"/>
  <sortState xmlns:xlrd2="http://schemas.microsoft.com/office/spreadsheetml/2017/richdata2" ref="A4:T314">
    <sortCondition ref="L4:L314"/>
    <sortCondition ref="M4:M314"/>
    <sortCondition ref="H4:H314"/>
    <sortCondition ref="F4:F314"/>
  </sortState>
  <tableColumns count="20">
    <tableColumn id="1" xr3:uid="{00000000-0010-0000-0B00-000001000000}" name="DEVELOPMENT" dataDxfId="382" totalsRowDxfId="383"/>
    <tableColumn id="2" xr3:uid="{00000000-0010-0000-0B00-000002000000}" name="BOROUGH" dataDxfId="380" totalsRowDxfId="381">
      <calculatedColumnFormula>VLOOKUP(A4,Data[],2,FALSE)</calculatedColumnFormula>
    </tableColumn>
    <tableColumn id="3" xr3:uid="{00000000-0010-0000-0B00-000003000000}" name="WORK TYPE" dataDxfId="378" totalsRowDxfId="379"/>
    <tableColumn id="20" xr3:uid="{00000000-0010-0000-0B00-000014000000}" name="PROGRAM" dataDxfId="376" totalsRowDxfId="377">
      <calculatedColumnFormula>VLOOKUP(EHD[[#This Row],[DEVELOPMENT]],Data[],52,FALSE)</calculatedColumnFormula>
    </tableColumn>
    <tableColumn id="4" xr3:uid="{00000000-0010-0000-0B00-000004000000}" name="NRR" dataDxfId="374" totalsRowDxfId="375">
      <calculatedColumnFormula>VLOOKUP(EHD[[#This Row],[DEVELOPMENT]],Data[],8,FALSE)</calculatedColumnFormula>
    </tableColumn>
    <tableColumn id="16" xr3:uid="{00000000-0010-0000-0B00-000010000000}" name="Ext Compactor Priority" dataDxfId="372" totalsRowDxfId="373">
      <calculatedColumnFormula>VLOOKUP(EHD[[#This Row],[DEVELOPMENT]],all[[DEVELOPMENT]:[MRST Ext. Comp. Priority]],6,FALSE)</calculatedColumnFormula>
    </tableColumn>
    <tableColumn id="15" xr3:uid="{00000000-0010-0000-0B00-00000F000000}" name="MRST #HD" dataDxfId="370" totalsRowDxfId="371"/>
    <tableColumn id="5" xr3:uid="{00000000-0010-0000-0B00-000005000000}" name="DOHMH Priority Level" dataDxfId="368" totalsRowDxfId="369">
      <calculatedColumnFormula>IF(VLOOKUP(EHD[[#This Row],[DEVELOPMENT]],Data[],9,FALSE)=0,5,VLOOKUP(EHD[[#This Row],[DEVELOPMENT]],Data[],9,FALSE))</calculatedColumnFormula>
    </tableColumn>
    <tableColumn id="14" xr3:uid="{00000000-0010-0000-0B00-00000E000000}" name="# Hopper Doors" dataDxfId="366" totalsRowDxfId="367">
      <calculatedColumnFormula>EHD[[#This Row],[MRST '#HD]]</calculatedColumnFormula>
    </tableColumn>
    <tableColumn id="6" xr3:uid="{00000000-0010-0000-0B00-000006000000}" name="RAD/PACT" dataDxfId="364" totalsRowDxfId="365">
      <calculatedColumnFormula>IFERROR(VLOOKUP(EHD[[#This Row],[DEVELOPMENT]],Data[],4,FALSE),"")</calculatedColumnFormula>
    </tableColumn>
    <tableColumn id="7" xr3:uid="{00000000-0010-0000-0B00-000007000000}" name="Is RAD/PACT w/in 5yr" dataDxfId="362" totalsRowDxfId="363">
      <calculatedColumnFormula>IF(EHD[[#This Row],[RAD/PACT]]="","",IF(OR(EHD[[#This Row],[RAD/PACT]]="2021-2025",EHD[[#This Row],[RAD/PACT]]="2019-2020"),"Yes",""))</calculatedColumnFormula>
    </tableColumn>
    <tableColumn id="8" xr3:uid="{00000000-0010-0000-0B00-000008000000}" name="CALENDAR YEAR" dataDxfId="360" totalsRowDxfId="361"/>
    <tableColumn id="9" xr3:uid="{00000000-0010-0000-0B00-000009000000}" name="FISCAL YEAR" dataDxfId="358" totalsRowDxfId="359"/>
    <tableColumn id="10" xr3:uid="{00000000-0010-0000-0B00-00000A000000}" name="STATUS" dataDxfId="356" totalsRowDxfId="357"/>
    <tableColumn id="11" xr3:uid="{00000000-0010-0000-0B00-00000B000000}" name="COST" dataDxfId="354" totalsRowDxfId="355"/>
    <tableColumn id="12" xr3:uid="{00000000-0010-0000-0B00-00000C000000}" name="ESTIMATE" dataDxfId="352" totalsRowDxfId="353">
      <calculatedColumnFormula>IF(EHD[[#This Row],[RAD/PACT]]="",INDEX(UnitCosts[],MATCH(EHD[[#This Row],[WORK TYPE]],UnitCosts[Work Type],0),2)*VLOOKUP(EHD[[#This Row],[DEVELOPMENT]],Data[],MATCH(EHD[[#This Row],[WORK TYPE]],Data[#Headers],0),FALSE),IF(EHD[[#This Row],[RAD/PACT]]-YEAR(TODAY())&lt;=5,0,INDEX(UnitCosts[],MATCH(EHD[[#This Row],[WORK TYPE]],UnitCosts[Work Type],0),2)*VLOOKUP(EHD[[#This Row],[DEVELOPMENT]],Data[],MATCH(EHD[[#This Row],[WORK TYPE]],Data[#Headers],0),FALSE)))</calculatedColumnFormula>
    </tableColumn>
    <tableColumn id="17" xr3:uid="{00000000-0010-0000-0B00-000011000000}" name="Running count" dataDxfId="350" totalsRowDxfId="351">
      <calculatedColumnFormula>SUM(INDEX(EHD['# Hopper Doors],1):EHD[[#This Row],['# Hopper Doors]])</calculatedColumnFormula>
    </tableColumn>
    <tableColumn id="13" xr3:uid="{00000000-0010-0000-0B00-00000D000000}" name="Running Cost/Yr" dataDxfId="348" totalsRowDxfId="349">
      <calculatedColumnFormula>IF(S4=S3,(P4+O4)+R3,(P4+O4))</calculatedColumnFormula>
    </tableColumn>
    <tableColumn id="18" xr3:uid="{00000000-0010-0000-0B00-000012000000}" name="est. Year" dataDxfId="346" totalsRowDxfId="347">
      <calculatedColumnFormula>IF(ISBLANK(EHD[[#This Row],[CALENDAR YEAR]]),ROUNDDOWN(EHD[[#This Row],[Running count]]/500,0)+$S$1,EHD[[#This Row],[CALENDAR YEAR]])</calculatedColumnFormula>
    </tableColumn>
    <tableColumn id="19" xr3:uid="{00000000-0010-0000-0B00-000013000000}" name="Implementation Method" dataDxfId="345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C000000}" name="IntComp" displayName="IntComp" ref="A3:W314" totalsRowShown="0" headerRowDxfId="339" headerRowBorderDxfId="337" tableBorderDxfId="338" totalsRowBorderDxfId="336">
  <autoFilter ref="A3:W314" xr:uid="{00000000-0009-0000-0100-000006000000}">
    <filterColumn colId="3">
      <filters>
        <filter val="FEDERAL"/>
        <filter val="MHOP"/>
      </filters>
    </filterColumn>
  </autoFilter>
  <sortState xmlns:xlrd2="http://schemas.microsoft.com/office/spreadsheetml/2017/richdata2" ref="A6:W307">
    <sortCondition ref="O4:O314"/>
    <sortCondition ref="P4:P314"/>
    <sortCondition ref="Q4:Q314"/>
    <sortCondition ref="F4:F314"/>
    <sortCondition ref="G4:G314"/>
    <sortCondition descending="1" ref="M4:M314"/>
  </sortState>
  <tableColumns count="23">
    <tableColumn id="2" xr3:uid="{00000000-0010-0000-0C00-000002000000}" name="DEVELOPMENT" dataDxfId="335"/>
    <tableColumn id="1" xr3:uid="{00000000-0010-0000-0C00-000001000000}" name="BOROUGH" dataDxfId="334">
      <calculatedColumnFormula>VLOOKUP(A4,Data[],2,FALSE)</calculatedColumnFormula>
    </tableColumn>
    <tableColumn id="3" xr3:uid="{00000000-0010-0000-0C00-000003000000}" name="WORK TYPE" dataDxfId="333"/>
    <tableColumn id="22" xr3:uid="{00000000-0010-0000-0C00-000016000000}" name="Program" dataDxfId="332">
      <calculatedColumnFormula>VLOOKUP(IntComp[[#This Row],[DEVELOPMENT]],Data[],52,FALSE)</calculatedColumnFormula>
    </tableColumn>
    <tableColumn id="8" xr3:uid="{00000000-0010-0000-0C00-000008000000}" name="NRR" dataDxfId="331">
      <calculatedColumnFormula>VLOOKUP(IntComp[[#This Row],[DEVELOPMENT]],Data[],8,FALSE)</calculatedColumnFormula>
    </tableColumn>
    <tableColumn id="20" xr3:uid="{00000000-0010-0000-0C00-000014000000}" name="MRST Int. Compactor Priority" dataDxfId="330">
      <calculatedColumnFormula>VLOOKUP(IntComp[[#This Row],[DEVELOPMENT]],all[[DEVELOPMENT]:[MRST Ext. Comp. Priority]],13,FALSE)</calculatedColumnFormula>
    </tableColumn>
    <tableColumn id="12" xr3:uid="{00000000-0010-0000-0C00-00000C000000}" name="DOHMH Priority Level" dataDxfId="329">
      <calculatedColumnFormula>IF(VLOOKUP(IntComp[[#This Row],[DEVELOPMENT]],Data[],9,FALSE)=0,5,VLOOKUP(IntComp[[#This Row],[DEVELOPMENT]],Data[],9,FALSE))</calculatedColumnFormula>
    </tableColumn>
    <tableColumn id="21" xr3:uid="{00000000-0010-0000-0C00-000015000000}" name="Dus" dataDxfId="328">
      <calculatedColumnFormula>VLOOKUP(IntComp[[#This Row],[DEVELOPMENT]],Data[],7,FALSE)</calculatedColumnFormula>
    </tableColumn>
    <tableColumn id="23" xr3:uid="{00000000-0010-0000-0C00-000017000000}" name="#buildings" dataDxfId="327">
      <calculatedColumnFormula>VLOOKUP(IntComp[[#This Row],[DEVELOPMENT]],Data[],5,FALSE)</calculatedColumnFormula>
    </tableColumn>
    <tableColumn id="15" xr3:uid="{00000000-0010-0000-0C00-00000F000000}" name="E&amp;S Priority" dataDxfId="326"/>
    <tableColumn id="5" xr3:uid="{00000000-0010-0000-0C00-000005000000}" name="RAD/PACT" dataDxfId="325">
      <calculatedColumnFormula>IFERROR(VLOOKUP(IntComp[[#This Row],[DEVELOPMENT]],Data[],4,FALSE),"")</calculatedColumnFormula>
    </tableColumn>
    <tableColumn id="7" xr3:uid="{00000000-0010-0000-0C00-000007000000}" name="RAD/PACT by 2025" dataDxfId="324">
      <calculatedColumnFormula>IF(IntComp[[#This Row],[RAD/PACT]]="","",IF(OR(IntComp[[#This Row],[RAD/PACT]]="2022-2025",IntComp[[#This Row],[RAD/PACT]]=2019,IntComp[[#This Row],[RAD/PACT]]="2020-2021"),"Yes",""))</calculatedColumnFormula>
    </tableColumn>
    <tableColumn id="4" xr3:uid="{00000000-0010-0000-0C00-000004000000}" name="AGE (2019) (Y)" dataDxfId="323">
      <calculatedColumnFormula>IF(VLOOKUP(IntComp[[#This Row],[DEVELOPMENT]],Data[],10,FALSE)=0,-1,DATEDIF(VLOOKUP(IntComp[[#This Row],[DEVELOPMENT]],Data[],12,FALSE),TODAY(),"Y"))</calculatedColumnFormula>
    </tableColumn>
    <tableColumn id="6" xr3:uid="{00000000-0010-0000-0C00-000006000000}" name="# to Replace (MRST)" dataDxfId="322">
      <calculatedColumnFormula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calculatedColumnFormula>
    </tableColumn>
    <tableColumn id="16" xr3:uid="{00000000-0010-0000-0C00-000010000000}" name="CALENDAR YEAR" dataDxfId="321"/>
    <tableColumn id="17" xr3:uid="{00000000-0010-0000-0C00-000011000000}" name="FISCAL YEAR" dataDxfId="320"/>
    <tableColumn id="18" xr3:uid="{00000000-0010-0000-0C00-000012000000}" name="STATUS" dataDxfId="319"/>
    <tableColumn id="9" xr3:uid="{00000000-0010-0000-0C00-000009000000}" name="Estimate" dataDxfId="318">
      <calculatedColumnFormula>(IntComp[[#This Row],['# to Replace (MRST)]]*INDEX(UnitCosts[#All],MATCH(IntComp[[#This Row],[WORK TYPE]],UnitCosts[Work Type],0)+1,2))*(1+((IntComp[[#This Row],[est. Year]]-YEAR(TODAY()))*$R$2))</calculatedColumnFormula>
    </tableColumn>
    <tableColumn id="10" xr3:uid="{00000000-0010-0000-0C00-00000A000000}" name="Count" dataDxfId="317">
      <calculatedColumnFormula>SUM(INDEX(IntComp['# to Replace (MRST)],1):IntComp[[#This Row],['# to Replace (MRST)]])-272</calculatedColumnFormula>
    </tableColumn>
    <tableColumn id="19" xr3:uid="{00000000-0010-0000-0C00-000013000000}" name="Implementation Method" dataDxfId="316"/>
    <tableColumn id="11" xr3:uid="{00000000-0010-0000-0C00-00000B000000}" name="est. Year" dataDxfId="315">
      <calculatedColumnFormula>IF(ISBLANK(IntComp[[#This Row],[CALENDAR YEAR]]),ROUNDDOWN(IntComp[[#This Row],[Count]]/190,0)+$U$1,IntComp[[#This Row],[CALENDAR YEAR]])</calculatedColumnFormula>
    </tableColumn>
    <tableColumn id="13" xr3:uid="{00000000-0010-0000-0C00-00000D000000}" name="Running Cost/Yr" dataDxfId="314" dataCellStyle="Currency">
      <calculatedColumnFormula>IF(U4=U3,R4+V3,R4)</calculatedColumnFormula>
    </tableColumn>
    <tableColumn id="14" xr3:uid="{00000000-0010-0000-0C00-00000E000000}" name="Notes" dataDxfId="313" dataCellStyle="Currency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D000000}" name="Table3" displayName="Table3" ref="A3:K193" totalsRowShown="0" headerRowDxfId="308" headerRowBorderDxfId="306" tableBorderDxfId="307">
  <autoFilter ref="A3:K193" xr:uid="{00000000-0009-0000-0100-000003000000}"/>
  <tableColumns count="11">
    <tableColumn id="1" xr3:uid="{00000000-0010-0000-0D00-000001000000}" name="BOROUGH" dataDxfId="305">
      <calculatedColumnFormula>VLOOKUP(C4,Data[],2,FALSE)</calculatedColumnFormula>
    </tableColumn>
    <tableColumn id="2" xr3:uid="{00000000-0010-0000-0D00-000002000000}" name="PROGRAM AREA" dataDxfId="304"/>
    <tableColumn id="3" xr3:uid="{00000000-0010-0000-0D00-000003000000}" name="DEVELOPMENT" dataDxfId="303"/>
    <tableColumn id="11" xr3:uid="{00000000-0010-0000-0D00-00000B000000}" name="NRR" dataDxfId="302"/>
    <tableColumn id="4" xr3:uid="{00000000-0010-0000-0D00-000004000000}" name="WORK TYPE" dataDxfId="301"/>
    <tableColumn id="5" xr3:uid="{00000000-0010-0000-0D00-000005000000}" name="CALENDAR YEAR" dataDxfId="300"/>
    <tableColumn id="6" xr3:uid="{00000000-0010-0000-0D00-000006000000}" name="FISCAL YEAR" dataDxfId="299"/>
    <tableColumn id="7" xr3:uid="{00000000-0010-0000-0D00-000007000000}" name="STATUS" dataDxfId="298"/>
    <tableColumn id="8" xr3:uid="{00000000-0010-0000-0D00-000008000000}" name="COST" dataDxfId="297" dataCellStyle="Currency"/>
    <tableColumn id="9" xr3:uid="{00000000-0010-0000-0D00-000009000000}" name="ESTIMATES" dataDxfId="296" dataCellStyle="Currency">
      <calculatedColumnFormula>INDEX(UnitCosts[],MATCH(Table3[[#This Row],[WORK TYPE]],UnitCosts[Work Type],0),2)*VLOOKUP(Table3[[#This Row],[DEVELOPMENT]],Data[],MATCH(Table3[[#This Row],[WORK TYPE]],Data[#Headers],0),FALSE)</calculatedColumnFormula>
    </tableColumn>
    <tableColumn id="10" xr3:uid="{00000000-0010-0000-0D00-00000A000000}" name="RESOURCE" dataDxfId="295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E000000}" name="IntComp24" displayName="IntComp24" ref="A3:W314" totalsRowShown="0" headerRowDxfId="289" headerRowBorderDxfId="287" tableBorderDxfId="288" totalsRowBorderDxfId="286">
  <autoFilter ref="A3:W314" xr:uid="{00000000-0009-0000-0100-000017000000}">
    <filterColumn colId="3">
      <filters>
        <filter val="MIXED FINANCE/LLC1"/>
        <filter val="MIXED FINANCE/LLC2"/>
      </filters>
    </filterColumn>
    <filterColumn colId="17">
      <filters>
        <filter val="$1,451,012.50"/>
        <filter val="$1,766,450.00"/>
        <filter val="$252,350.00"/>
        <filter val="$304,397.19"/>
        <filter val="$326,477.81"/>
        <filter val="$391,773.38"/>
        <filter val="$487,035.50"/>
        <filter val="$63,087.50"/>
        <filter val="$693,962.50"/>
        <filter val="$783,546.75"/>
        <filter val="$883,225.00"/>
      </filters>
    </filterColumn>
  </autoFilter>
  <sortState xmlns:xlrd2="http://schemas.microsoft.com/office/spreadsheetml/2017/richdata2" ref="A32:W290">
    <sortCondition ref="P4:P314"/>
    <sortCondition ref="F4:F314"/>
    <sortCondition ref="G4:G314"/>
    <sortCondition descending="1" ref="M4:M314"/>
  </sortState>
  <tableColumns count="23">
    <tableColumn id="2" xr3:uid="{00000000-0010-0000-0E00-000002000000}" name="DEVELOPMENT" dataDxfId="285"/>
    <tableColumn id="1" xr3:uid="{00000000-0010-0000-0E00-000001000000}" name="BOROUGH" dataDxfId="284">
      <calculatedColumnFormula>VLOOKUP(A4,Data[],2,FALSE)</calculatedColumnFormula>
    </tableColumn>
    <tableColumn id="3" xr3:uid="{00000000-0010-0000-0E00-000003000000}" name="WORK TYPE" dataDxfId="283"/>
    <tableColumn id="22" xr3:uid="{00000000-0010-0000-0E00-000016000000}" name="Program" dataDxfId="282">
      <calculatedColumnFormula>VLOOKUP(IntComp24[[#This Row],[DEVELOPMENT]],Data[],52,FALSE)</calculatedColumnFormula>
    </tableColumn>
    <tableColumn id="8" xr3:uid="{00000000-0010-0000-0E00-000008000000}" name="NRR" dataDxfId="281">
      <calculatedColumnFormula>VLOOKUP(IntComp24[[#This Row],[DEVELOPMENT]],Data[],8,FALSE)</calculatedColumnFormula>
    </tableColumn>
    <tableColumn id="20" xr3:uid="{00000000-0010-0000-0E00-000014000000}" name="MRST Int. Compactor Priority" dataDxfId="280">
      <calculatedColumnFormula>VLOOKUP(IntComp24[[#This Row],[DEVELOPMENT]],all[[DEVELOPMENT]:[MRST Ext. Comp. Priority]],13,FALSE)</calculatedColumnFormula>
    </tableColumn>
    <tableColumn id="12" xr3:uid="{00000000-0010-0000-0E00-00000C000000}" name="DOHMH Priority Level" dataDxfId="279">
      <calculatedColumnFormula>IF(VLOOKUP(IntComp24[[#This Row],[DEVELOPMENT]],Data[],9,FALSE)=0,5,VLOOKUP(IntComp24[[#This Row],[DEVELOPMENT]],Data[],9,FALSE))</calculatedColumnFormula>
    </tableColumn>
    <tableColumn id="21" xr3:uid="{00000000-0010-0000-0E00-000015000000}" name="Dus" dataDxfId="278">
      <calculatedColumnFormula>VLOOKUP(IntComp24[[#This Row],[DEVELOPMENT]],Data[],7,FALSE)</calculatedColumnFormula>
    </tableColumn>
    <tableColumn id="23" xr3:uid="{00000000-0010-0000-0E00-000017000000}" name="#buildings" dataDxfId="277">
      <calculatedColumnFormula>VLOOKUP(IntComp24[[#This Row],[DEVELOPMENT]],Data[],5,FALSE)</calculatedColumnFormula>
    </tableColumn>
    <tableColumn id="15" xr3:uid="{00000000-0010-0000-0E00-00000F000000}" name="E&amp;S Priority" dataDxfId="276"/>
    <tableColumn id="5" xr3:uid="{00000000-0010-0000-0E00-000005000000}" name="RAD/PACT" dataDxfId="275">
      <calculatedColumnFormula>IFERROR(VLOOKUP(IntComp24[[#This Row],[DEVELOPMENT]],Data[],4,FALSE),"")</calculatedColumnFormula>
    </tableColumn>
    <tableColumn id="7" xr3:uid="{00000000-0010-0000-0E00-000007000000}" name="RAD/PACT by 2025" dataDxfId="274">
      <calculatedColumnFormula>IF(IntComp24[[#This Row],[RAD/PACT]]="","",IF(OR(IntComp24[[#This Row],[RAD/PACT]]="2022-2025",IntComp24[[#This Row],[RAD/PACT]]=2019,IntComp24[[#This Row],[RAD/PACT]]="2020-2021"),"Yes",""))</calculatedColumnFormula>
    </tableColumn>
    <tableColumn id="4" xr3:uid="{00000000-0010-0000-0E00-000004000000}" name="AGE (2019) (Y)" dataDxfId="273">
      <calculatedColumnFormula>IF(VLOOKUP(IntComp24[[#This Row],[DEVELOPMENT]],Data[],10,FALSE)=0,-1,DATEDIF(VLOOKUP(IntComp24[[#This Row],[DEVELOPMENT]],Data[],12,FALSE),TODAY(),"Y"))</calculatedColumnFormula>
    </tableColumn>
    <tableColumn id="6" xr3:uid="{00000000-0010-0000-0E00-000006000000}" name="# to Replace (MRST)" dataDxfId="272">
      <calculatedColumnFormula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calculatedColumnFormula>
    </tableColumn>
    <tableColumn id="16" xr3:uid="{00000000-0010-0000-0E00-000010000000}" name="CALENDAR YEAR" dataDxfId="271"/>
    <tableColumn id="17" xr3:uid="{00000000-0010-0000-0E00-000011000000}" name="FISCAL YEAR" dataDxfId="270"/>
    <tableColumn id="18" xr3:uid="{00000000-0010-0000-0E00-000012000000}" name="STATUS" dataDxfId="269"/>
    <tableColumn id="9" xr3:uid="{00000000-0010-0000-0E00-000009000000}" name="Estimate" dataDxfId="268">
      <calculatedColumnFormula>(IntComp24[[#This Row],['# to Replace (MRST)]]*INDEX(UnitCosts[#All],MATCH(IntComp24[[#This Row],[WORK TYPE]],UnitCosts[Work Type],0)+1,2))*(1+((IntComp24[[#This Row],[est. Year]]-YEAR(TODAY()))*$R$2))</calculatedColumnFormula>
    </tableColumn>
    <tableColumn id="10" xr3:uid="{00000000-0010-0000-0E00-00000A000000}" name="Count" dataDxfId="267">
      <calculatedColumnFormula>SUM(INDEX(IntComp24['# to Replace (MRST)],1):IntComp24[[#This Row],['# to Replace (MRST)]])</calculatedColumnFormula>
    </tableColumn>
    <tableColumn id="19" xr3:uid="{00000000-0010-0000-0E00-000013000000}" name="Implementation Method" dataDxfId="266"/>
    <tableColumn id="11" xr3:uid="{00000000-0010-0000-0E00-00000B000000}" name="est. Year" dataDxfId="265">
      <calculatedColumnFormula>IF(ISBLANK(IntComp24[[#This Row],[CALENDAR YEAR]]),ROUNDDOWN(IntComp24[[#This Row],[Count]]/50,0)+$U$1,IntComp24[[#This Row],[CALENDAR YEAR]])</calculatedColumnFormula>
    </tableColumn>
    <tableColumn id="13" xr3:uid="{00000000-0010-0000-0E00-00000D000000}" name="Running Cost/Yr" dataDxfId="264" dataCellStyle="Currency">
      <calculatedColumnFormula>IF(U4=U3,R4+V3,R4)</calculatedColumnFormula>
    </tableColumn>
    <tableColumn id="14" xr3:uid="{00000000-0010-0000-0E00-00000E000000}" name="Notes" dataDxfId="263" dataCellStyle="Currency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4E3B02-4003-4DA4-A0BE-0E1EEE5CD3D7}" name="CPD_Int" displayName="CPD_Int" ref="A2:W34" tableType="queryTable" totalsRowShown="0">
  <autoFilter ref="A2:W34" xr:uid="{E5C7C30C-7B41-498D-BC98-58C36A25BE5D}"/>
  <tableColumns count="23">
    <tableColumn id="1" xr3:uid="{C10FB592-ACC3-4100-B726-70778F60409F}" uniqueName="1" name="Development" queryTableFieldId="1" dataDxfId="262"/>
    <tableColumn id="2" xr3:uid="{AC3D1840-6CDB-4214-9CFC-F656FE9F435A}" uniqueName="2" name="Team" queryTableFieldId="2" dataDxfId="261"/>
    <tableColumn id="3" xr3:uid="{21D095B0-4C00-446B-8855-9A652F12231D}" uniqueName="3" name="RAD" queryTableFieldId="3"/>
    <tableColumn id="4" xr3:uid="{0637B5E3-E623-45A5-B399-0F60D5B52048}" uniqueName="4" name="CPD Project Number" queryTableFieldId="4"/>
    <tableColumn id="5" xr3:uid="{2C8C23C7-4B4F-4046-86F4-C8FFBE9EB924}" uniqueName="5" name="HUD CF" queryTableFieldId="5" dataDxfId="260"/>
    <tableColumn id="6" xr3:uid="{F8E592E0-E180-4387-8ACC-A9CBE715496D}" uniqueName="6" name="TDS" queryTableFieldId="6"/>
    <tableColumn id="7" xr3:uid="{0CBC2CF6-8C17-44CA-91C5-DA27FE67CC71}" uniqueName="7" name="Borough" queryTableFieldId="7" dataDxfId="259"/>
    <tableColumn id="8" xr3:uid="{1ACFBA39-CCF4-4991-9416-78CBB3246813}" uniqueName="8" name="DOHMH Infestation Rating" queryTableFieldId="8"/>
    <tableColumn id="9" xr3:uid="{86C79C9B-AFC2-475F-A981-5FEEF9DAFF65}" uniqueName="9" name="Description of Work" queryTableFieldId="9"/>
    <tableColumn id="10" xr3:uid="{7F918C23-93E3-49F7-9AA0-A793B4D7D0EB}" uniqueName="10" name="Estimated Cost" queryTableFieldId="10"/>
    <tableColumn id="11" xr3:uid="{84060034-4BB8-4F63-8859-BF9642582CB9}" uniqueName="11" name=" Contract Award Amount" queryTableFieldId="11"/>
    <tableColumn id="12" xr3:uid="{1ADD5541-5913-43B2-93D3-AB4A88E1CB33}" uniqueName="12" name="City Funds Allocated" queryTableFieldId="12" dataDxfId="258"/>
    <tableColumn id="13" xr3:uid="{E3FAD235-7834-48F8-B802-AE9E6ABEC95D}" uniqueName="13" name="REVISED Projected Construction Start Date" queryTableFieldId="13" dataDxfId="257"/>
    <tableColumn id="14" xr3:uid="{4F139A82-03E5-483F-B155-240B785F97D9}" uniqueName="14" name="Actual Construction Start Date" queryTableFieldId="14" dataDxfId="256"/>
    <tableColumn id="15" xr3:uid="{4E7319BC-D90B-402F-A842-F660BA5D7CCC}" uniqueName="15" name="REVISED Projected Completion Date" queryTableFieldId="15" dataDxfId="255"/>
    <tableColumn id="16" xr3:uid="{B7135FB6-5B0B-45E8-8708-337538E0BA93}" uniqueName="16" name="Actual Full Completion Date" queryTableFieldId="16" dataDxfId="254"/>
    <tableColumn id="17" xr3:uid="{8F2D9EBC-35AA-4B1C-AD06-59484CAFA8A5}" uniqueName="17" name="Total City Funds Expended" queryTableFieldId="17"/>
    <tableColumn id="18" xr3:uid="{2B3ECBA3-5BFE-4873-8070-77CD04C96D2F}" uniqueName="18" name="Units Complete" queryTableFieldId="18"/>
    <tableColumn id="19" xr3:uid="{A84B9309-973B-4D6C-AC65-B09DFBD98ADE}" uniqueName="19" name="Unit Count" queryTableFieldId="19"/>
    <tableColumn id="20" xr3:uid="{7CAB3621-A0DC-49E2-9F5D-022146075D84}" uniqueName="20" name="% Complete" queryTableFieldId="20"/>
    <tableColumn id="21" xr3:uid="{1593769D-BFA6-494C-A9FA-04172A79E698}" uniqueName="21" name="ON TRACK?" queryTableFieldId="21"/>
    <tableColumn id="22" xr3:uid="{310D4D35-726A-492E-B0E2-5E8BEEF5815A}" uniqueName="22" name="Notes" queryTableFieldId="22" dataDxfId="253"/>
    <tableColumn id="23" xr3:uid="{FDEDD66A-3AD1-4455-90E1-568C3B712D35}" uniqueName="23" name="% City Funds Based on # Installed" queryTableFieldId="23" dataDxfId="252">
      <calculatedColumnFormula>CPD_Int[[#This Row],[% Complete]]*CPD_Int[[#This Row],[City Funds Allocated]]</calculatedColumnFormula>
    </tableColumn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F000000}" name="Yards" displayName="Yards" ref="A4:AC315" totalsRowShown="0" headerRowDxfId="230" headerRowBorderDxfId="228" tableBorderDxfId="229" totalsRowBorderDxfId="227">
  <autoFilter ref="A4:AC315" xr:uid="{00000000-0009-0000-0100-000005000000}">
    <filterColumn colId="3">
      <filters>
        <filter val="FEDERAL"/>
        <filter val="MHOP"/>
      </filters>
    </filterColumn>
    <filterColumn colId="22">
      <filters>
        <filter val="$1,009,021.72"/>
        <filter val="$1,200,385.53"/>
        <filter val="$1,240,978.27"/>
        <filter val="$1,281,571.02"/>
        <filter val="$1,322,163.77"/>
        <filter val="$1,362,756.52"/>
        <filter val="$1,403,349.26"/>
        <filter val="$1,443,942.01"/>
        <filter val="$1,484,534.76"/>
        <filter val="$1,525,127.51"/>
        <filter val="$1,565,720.25"/>
        <filter val="$1,606,313.00"/>
        <filter val="$1,646,736.77"/>
        <filter val="$1,702,423.52"/>
        <filter val="$1,758,110.27"/>
        <filter val="$1,813,797.02"/>
        <filter val="$1,869,483.77"/>
        <filter val="$1,925,170.52"/>
        <filter val="$18,150,000.00"/>
        <filter val="$2,000,000.00"/>
        <filter val="$2,036,544.03"/>
        <filter val="$2,092,230.78"/>
        <filter val="$2,147,917.53"/>
        <filter val="$2,163,868.77"/>
        <filter val="$2,203,604.28"/>
        <filter val="$2,234,649.52"/>
        <filter val="$2,305,430.28"/>
        <filter val="$2,376,211.03"/>
        <filter val="$2,446,991.78"/>
        <filter val="$2,517,772.54"/>
        <filter val="$2,625,314.02"/>
        <filter val="$2,730,114.80"/>
        <filter val="$2,797,063.53"/>
        <filter val="$2,800,895.56"/>
        <filter val="$3,054,687.80"/>
        <filter val="$3,187,728.02"/>
        <filter val="$754,034.28"/>
        <filter val="$779,533.03"/>
        <filter val="$805,031.77"/>
        <filter val="$830,530.52"/>
        <filter val="$856,029.26"/>
        <filter val="$881,528.00"/>
        <filter val="$907,026.75"/>
        <filter val="$932,525.49"/>
        <filter val="$958,024.24"/>
        <filter val="$983,522.98"/>
      </filters>
    </filterColumn>
  </autoFilter>
  <sortState xmlns:xlrd2="http://schemas.microsoft.com/office/spreadsheetml/2017/richdata2" ref="A9:AC315">
    <sortCondition ref="P5:P315"/>
    <sortCondition ref="F5:F315"/>
    <sortCondition ref="G5:G315"/>
    <sortCondition ref="H5:H315"/>
  </sortState>
  <tableColumns count="29">
    <tableColumn id="1" xr3:uid="{00000000-0010-0000-0F00-000001000000}" name="DEVELOPMENT" dataDxfId="226"/>
    <tableColumn id="2" xr3:uid="{00000000-0010-0000-0F00-000002000000}" name="BOROUGH" dataDxfId="225">
      <calculatedColumnFormula>VLOOKUP(Yards[[#This Row],[DEVELOPMENT]],Data[],2,FALSE)</calculatedColumnFormula>
    </tableColumn>
    <tableColumn id="15" xr3:uid="{00000000-0010-0000-0F00-00000F000000}" name="WORK TYPE" dataDxfId="224">
      <calculatedColumnFormula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calculatedColumnFormula>
    </tableColumn>
    <tableColumn id="26" xr3:uid="{00000000-0010-0000-0F00-00001A000000}" name="PROGRAM" dataDxfId="223">
      <calculatedColumnFormula>VLOOKUP(Yards[[#This Row],[DEVELOPMENT]],Data[],52,FALSE)</calculatedColumnFormula>
    </tableColumn>
    <tableColumn id="4" xr3:uid="{00000000-0010-0000-0F00-000004000000}" name="NRR" dataDxfId="222">
      <calculatedColumnFormula>VLOOKUP(Yards[[#This Row],[DEVELOPMENT]],Data[],8,FALSE)</calculatedColumnFormula>
    </tableColumn>
    <tableColumn id="11" xr3:uid="{00000000-0010-0000-0F00-00000B000000}" name="Ext. Compactor Priority" dataDxfId="221">
      <calculatedColumnFormula>VLOOKUP(Yards[[#This Row],[DEVELOPMENT]],all[[DEVELOPMENT]:[MRST Ext. Comp. Priority]],6,FALSE)</calculatedColumnFormula>
    </tableColumn>
    <tableColumn id="29" xr3:uid="{00000000-0010-0000-0F00-00001D000000}" name="MRST Ext. Compactor Priority" dataDxfId="220">
      <calculatedColumnFormula>VLOOKUP(Yards[[#This Row],[DEVELOPMENT]],all[[DEVELOPMENT]:[MRST Ext. Comp. Priority]],13,FALSE)</calculatedColumnFormula>
    </tableColumn>
    <tableColumn id="5" xr3:uid="{00000000-0010-0000-0F00-000005000000}" name="DOHMH Priority Level" dataDxfId="219">
      <calculatedColumnFormula>IF(VLOOKUP(Yards[[#This Row],[DEVELOPMENT]],Data[],9,FALSE)=0,5,VLOOKUP(Yards[[#This Row],[DEVELOPMENT]],Data[],9,FALSE))</calculatedColumnFormula>
    </tableColumn>
    <tableColumn id="3" xr3:uid="{00000000-0010-0000-0F00-000003000000}" name="# Ext. Compactors to Replace" dataDxfId="218">
      <calculatedColumnFormula>VLOOKUP(Yards[[#This Row],[DEVELOPMENT]],Data[],33,FALSE)</calculatedColumnFormula>
    </tableColumn>
    <tableColumn id="9" xr3:uid="{00000000-0010-0000-0F00-000009000000}" name="# Bulk Crushers" dataDxfId="217">
      <calculatedColumnFormula>VLOOKUP(Yards[[#This Row],[DEVELOPMENT]],Data[],28,FALSE)</calculatedColumnFormula>
    </tableColumn>
    <tableColumn id="28" xr3:uid="{00000000-0010-0000-0F00-00001C000000}" name="Shared Site" dataDxfId="216"/>
    <tableColumn id="17" xr3:uid="{00000000-0010-0000-0F00-000011000000}" name="E&amp;S Priority" dataDxfId="215"/>
    <tableColumn id="6" xr3:uid="{00000000-0010-0000-0F00-000006000000}" name="RAD/PACT" dataDxfId="214">
      <calculatedColumnFormula>IFERROR(VLOOKUP(Yards[[#This Row],[DEVELOPMENT]],Data[],4,FALSE),"")</calculatedColumnFormula>
    </tableColumn>
    <tableColumn id="7" xr3:uid="{00000000-0010-0000-0F00-000007000000}" name="RAD/PACT by 2025" dataDxfId="213">
      <calculatedColumnFormula>IF(Yards[[#This Row],[RAD/PACT]]="","",IF(OR(Yards[[#This Row],[RAD/PACT]]="2022-2025",Yards[[#This Row],[RAD/PACT]]=2019,Yards[[#This Row],[RAD/PACT]]="2020-2021"),"Yes",""))</calculatedColumnFormula>
    </tableColumn>
    <tableColumn id="8" xr3:uid="{00000000-0010-0000-0F00-000008000000}" name="ext comp age?" dataDxfId="212">
      <calculatedColumnFormula>IFERROR(VLOOKUP(Yards[[#This Row],[DEVELOPMENT]],ExtComp[],8,FALSE),"")</calculatedColumnFormula>
    </tableColumn>
    <tableColumn id="14" xr3:uid="{00000000-0010-0000-0F00-00000E000000}" name="DSGN CALENDAR YEAR" dataDxfId="211"/>
    <tableColumn id="18" xr3:uid="{00000000-0010-0000-0F00-000012000000}" name="DSGN FISCAL YEAR" dataDxfId="210"/>
    <tableColumn id="23" xr3:uid="{00000000-0010-0000-0F00-000017000000}" name="CONS CALENDAR YEAR" dataDxfId="209">
      <calculatedColumnFormula>IF(ISBLANK(Yards[[#This Row],[DSGN CALENDAR YEAR]]),"",Yards[[#This Row],[DSGN CALENDAR YEAR]]+1)</calculatedColumnFormula>
    </tableColumn>
    <tableColumn id="24" xr3:uid="{00000000-0010-0000-0F00-000018000000}" name="CONS FISCAL YEAR" dataDxfId="208">
      <calculatedColumnFormula>Yards[[#This Row],[DSGN FISCAL YEAR]]+1</calculatedColumnFormula>
    </tableColumn>
    <tableColumn id="19" xr3:uid="{00000000-0010-0000-0F00-000013000000}" name="STATUS" dataDxfId="207"/>
    <tableColumn id="22" xr3:uid="{00000000-0010-0000-0F00-000016000000}" name="Design Est." dataDxfId="206">
      <calculatedColumnFormula>Yards[[#This Row],[Estimate]]*0.1</calculatedColumnFormula>
    </tableColumn>
    <tableColumn id="21" xr3:uid="{00000000-0010-0000-0F00-000015000000}" name="Construction Est." dataDxfId="205">
      <calculatedColumnFormula>Yards[[#This Row],[Estimate]]-Yards[[#This Row],[Design Est.]]</calculatedColumnFormula>
    </tableColumn>
    <tableColumn id="10" xr3:uid="{00000000-0010-0000-0F00-00000A000000}" name="Estimate" dataDxfId="204" dataCellStyle="Currency">
      <calculatedColumnFormula>IF(Yards[[#This Row],[RAD/PACT by 2025]]="Yes",0,INDEX(UnitCosts[],MATCH(Yards[[#This Row],[WORK TYPE]],UnitCosts[Work Type],0),2))</calculatedColumnFormula>
    </tableColumn>
    <tableColumn id="27" xr3:uid="{00000000-0010-0000-0F00-00001B000000}" name="# yards" dataDxfId="203" dataCellStyle="Currency">
      <calculatedColumnFormula>IF(Yards[[#This Row],[RAD/PACT by 2025]]="yes","",1)</calculatedColumnFormula>
    </tableColumn>
    <tableColumn id="13" xr3:uid="{00000000-0010-0000-0F00-00000D000000}" name="Implementation Method" dataDxfId="202"/>
    <tableColumn id="16" xr3:uid="{00000000-0010-0000-0F00-000010000000}" name="Notes" dataDxfId="201"/>
    <tableColumn id="20" xr3:uid="{00000000-0010-0000-0F00-000014000000}" name="Count" dataDxfId="200">
      <calculatedColumnFormula>COUNTIF($X$5:Yards[[#This Row],['# yards]],"&gt;0")-10</calculatedColumnFormula>
    </tableColumn>
    <tableColumn id="12" xr3:uid="{00000000-0010-0000-0F00-00000C000000}" name="est. DSGN Year" dataDxfId="199">
      <calculatedColumnFormula>IF(ISBLANK(Yards[[#This Row],[DSGN CALENDAR YEAR]]),ROUNDDOWN(Yards[[#This Row],[Count]]/24,0)+$AB$1,Yards[[#This Row],[DSGN CALENDAR YEAR]])</calculatedColumnFormula>
    </tableColumn>
    <tableColumn id="25" xr3:uid="{00000000-0010-0000-0F00-000019000000}" name="est. CONS Year" dataDxfId="198">
      <calculatedColumnFormula>Yards[[#This Row],[est. DSGN Year]]+1</calculatedColumnFormula>
    </tableColumn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ExtCompactors_MRST" displayName="ExtCompactors_MRST" ref="A1:E279" tableType="queryTable" totalsRowShown="0">
  <autoFilter ref="A1:E279" xr:uid="{00000000-0009-0000-0100-000010000000}"/>
  <tableColumns count="5">
    <tableColumn id="1" xr3:uid="{00000000-0010-0000-1000-000001000000}" uniqueName="1" name="DEVELOPMENTS" queryTableFieldId="1" dataDxfId="197"/>
    <tableColumn id="2" xr3:uid="{00000000-0010-0000-1000-000002000000}" uniqueName="2" name="Boro" queryTableFieldId="2" dataDxfId="196"/>
    <tableColumn id="3" xr3:uid="{00000000-0010-0000-1000-000003000000}" uniqueName="3" name="Private Management" queryTableFieldId="3" dataDxfId="195"/>
    <tableColumn id="4" xr3:uid="{00000000-0010-0000-1000-000004000000}" uniqueName="4" name="Number of Exterior Comapctors" queryTableFieldId="4"/>
    <tableColumn id="5" xr3:uid="{00000000-0010-0000-1000-000005000000}" uniqueName="5" name="Installation Date of Exterior Compactor" queryTableFieldId="5" dataDxfId="19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1000000}" name="IntCompactors_MRST" displayName="IntCompactors_MRST" ref="A1:E279" tableType="queryTable" totalsRowShown="0">
  <autoFilter ref="A1:E279" xr:uid="{00000000-0009-0000-0100-00000F000000}"/>
  <tableColumns count="5">
    <tableColumn id="1" xr3:uid="{00000000-0010-0000-1100-000001000000}" uniqueName="1" name="DEVELOPMENTS" queryTableFieldId="1" dataDxfId="193"/>
    <tableColumn id="2" xr3:uid="{00000000-0010-0000-1100-000002000000}" uniqueName="2" name="Boro" queryTableFieldId="2" dataDxfId="192"/>
    <tableColumn id="3" xr3:uid="{00000000-0010-0000-1100-000003000000}" uniqueName="3" name="Private Management" queryTableFieldId="3" dataDxfId="191"/>
    <tableColumn id="4" xr3:uid="{00000000-0010-0000-1100-000004000000}" uniqueName="4" name="NUMBER OF INTERIOR COMPACTORS" queryTableFieldId="4"/>
    <tableColumn id="5" xr3:uid="{00000000-0010-0000-1100-000005000000}" uniqueName="5" name="Installation Date of Interior Compactor" queryTableFieldId="5" dataDxfId="19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IntCompactors_PNA" displayName="IntCompactors_PNA" ref="A1:O301" tableType="queryTable" totalsRowShown="0">
  <autoFilter ref="A1:O301" xr:uid="{00000000-0009-0000-0100-00000D000000}"/>
  <tableColumns count="15">
    <tableColumn id="18" xr3:uid="{00000000-0010-0000-1200-000012000000}" uniqueName="18" name="TDS" queryTableFieldId="18" dataDxfId="189"/>
    <tableColumn id="19" xr3:uid="{00000000-0010-0000-1200-000013000000}" uniqueName="19" name="Units" queryTableFieldId="19"/>
    <tableColumn id="20" xr3:uid="{00000000-0010-0000-1200-000014000000}" uniqueName="20" name="RUL 1-5" queryTableFieldId="20"/>
    <tableColumn id="21" xr3:uid="{00000000-0010-0000-1200-000015000000}" uniqueName="21" name="RUL 6-10" queryTableFieldId="21"/>
    <tableColumn id="22" xr3:uid="{00000000-0010-0000-1200-000016000000}" uniqueName="22" name="RUL 11-13" queryTableFieldId="22"/>
    <tableColumn id="23" xr3:uid="{00000000-0010-0000-1200-000017000000}" uniqueName="23" name="0" queryTableFieldId="23"/>
    <tableColumn id="24" xr3:uid="{00000000-0010-0000-1200-000018000000}" uniqueName="24" name="1" queryTableFieldId="24"/>
    <tableColumn id="25" xr3:uid="{00000000-0010-0000-1200-000019000000}" uniqueName="25" name="2" queryTableFieldId="25"/>
    <tableColumn id="26" xr3:uid="{00000000-0010-0000-1200-00001A000000}" uniqueName="26" name="3" queryTableFieldId="26"/>
    <tableColumn id="27" xr3:uid="{00000000-0010-0000-1200-00001B000000}" uniqueName="27" name="5" queryTableFieldId="27"/>
    <tableColumn id="28" xr3:uid="{00000000-0010-0000-1200-00001C000000}" uniqueName="28" name="6" queryTableFieldId="28"/>
    <tableColumn id="29" xr3:uid="{00000000-0010-0000-1200-00001D000000}" uniqueName="29" name="7" queryTableFieldId="29"/>
    <tableColumn id="30" xr3:uid="{00000000-0010-0000-1200-00001E000000}" uniqueName="30" name="8" queryTableFieldId="30"/>
    <tableColumn id="31" xr3:uid="{00000000-0010-0000-1200-00001F000000}" uniqueName="31" name="11" queryTableFieldId="31"/>
    <tableColumn id="32" xr3:uid="{00000000-0010-0000-1200-000020000000}" uniqueName="32" name="12" queryTableFieldId="32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3000000}" name="ExtCompactors_PNA" displayName="ExtCompactors_PNA" ref="A1:P117" tableType="queryTable" totalsRowShown="0">
  <autoFilter ref="A1:P117" xr:uid="{00000000-0009-0000-0100-00000C000000}"/>
  <tableColumns count="16">
    <tableColumn id="17" xr3:uid="{00000000-0010-0000-1300-000011000000}" uniqueName="17" name="Development" queryTableFieldId="17" dataDxfId="188"/>
    <tableColumn id="18" xr3:uid="{00000000-0010-0000-1300-000012000000}" uniqueName="18" name="Units" queryTableFieldId="18"/>
    <tableColumn id="19" xr3:uid="{00000000-0010-0000-1300-000013000000}" uniqueName="19" name="RUL 1-5" queryTableFieldId="19"/>
    <tableColumn id="20" xr3:uid="{00000000-0010-0000-1300-000014000000}" uniqueName="20" name="RUL 6-10" queryTableFieldId="20"/>
    <tableColumn id="21" xr3:uid="{00000000-0010-0000-1300-000015000000}" uniqueName="21" name="RUL 11-13" queryTableFieldId="21"/>
    <tableColumn id="22" xr3:uid="{00000000-0010-0000-1300-000016000000}" uniqueName="22" name="0" queryTableFieldId="22"/>
    <tableColumn id="23" xr3:uid="{00000000-0010-0000-1300-000017000000}" uniqueName="23" name="1" queryTableFieldId="23"/>
    <tableColumn id="24" xr3:uid="{00000000-0010-0000-1300-000018000000}" uniqueName="24" name="2" queryTableFieldId="24"/>
    <tableColumn id="25" xr3:uid="{00000000-0010-0000-1300-000019000000}" uniqueName="25" name="3" queryTableFieldId="25"/>
    <tableColumn id="26" xr3:uid="{00000000-0010-0000-1300-00001A000000}" uniqueName="26" name="4" queryTableFieldId="26"/>
    <tableColumn id="27" xr3:uid="{00000000-0010-0000-1300-00001B000000}" uniqueName="27" name="5" queryTableFieldId="27"/>
    <tableColumn id="28" xr3:uid="{00000000-0010-0000-1300-00001C000000}" uniqueName="28" name="7" queryTableFieldId="28"/>
    <tableColumn id="29" xr3:uid="{00000000-0010-0000-1300-00001D000000}" uniqueName="29" name="8" queryTableFieldId="29"/>
    <tableColumn id="30" xr3:uid="{00000000-0010-0000-1300-00001E000000}" uniqueName="30" name="11" queryTableFieldId="30"/>
    <tableColumn id="31" xr3:uid="{00000000-0010-0000-1300-00001F000000}" uniqueName="31" name="12" queryTableFieldId="31"/>
    <tableColumn id="32" xr3:uid="{00000000-0010-0000-1300-000020000000}" uniqueName="32" name="13" queryTableFieldId="32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4000000}" name="RAD_List" displayName="RAD_List" ref="A1:I160" tableType="queryTable" totalsRowShown="0">
  <autoFilter ref="A1:I160" xr:uid="{00000000-0009-0000-0100-00000B000000}"/>
  <tableColumns count="9">
    <tableColumn id="1" xr3:uid="{00000000-0010-0000-1400-000001000000}" uniqueName="1" name="Column1" queryTableFieldId="26"/>
    <tableColumn id="2" xr3:uid="{00000000-0010-0000-1400-000002000000}" uniqueName="2" name="TDS" queryTableFieldId="27"/>
    <tableColumn id="3" xr3:uid="{00000000-0010-0000-1400-000003000000}" uniqueName="3" name="BUNDLE NAME" queryTableFieldId="28" dataDxfId="187"/>
    <tableColumn id="4" xr3:uid="{00000000-0010-0000-1400-000004000000}" uniqueName="4" name="Development Name" queryTableFieldId="29" dataDxfId="186"/>
    <tableColumn id="5" xr3:uid="{00000000-0010-0000-1400-000005000000}" uniqueName="5" name="Units" queryTableFieldId="30"/>
    <tableColumn id="6" xr3:uid="{00000000-0010-0000-1400-000006000000}" uniqueName="6" name="Normalized to subsidy need" queryTableFieldId="31"/>
    <tableColumn id="7" xr3:uid="{00000000-0010-0000-1400-000007000000}" uniqueName="7" name="5-6K" queryTableFieldId="32"/>
    <tableColumn id="8" xr3:uid="{00000000-0010-0000-1400-000008000000}" uniqueName="8" name="7-8K" queryTableFieldId="33"/>
    <tableColumn id="9" xr3:uid="{00000000-0010-0000-1400-000009000000}" uniqueName="9" name="9-10K" queryTableFieldId="34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5000000}" name="ExtComp" displayName="ExtComp" ref="A3:O324" totalsRowShown="0" headerRowDxfId="183" headerRowBorderDxfId="181" tableBorderDxfId="182" totalsRowBorderDxfId="180">
  <autoFilter ref="A3:O324" xr:uid="{00000000-0009-0000-0100-000007000000}"/>
  <sortState xmlns:xlrd2="http://schemas.microsoft.com/office/spreadsheetml/2017/richdata2" ref="A4:O324">
    <sortCondition descending="1" ref="A4:A324"/>
  </sortState>
  <tableColumns count="15">
    <tableColumn id="2" xr3:uid="{00000000-0010-0000-1500-000002000000}" name="DEVELOPMENT" dataDxfId="179"/>
    <tableColumn id="1" xr3:uid="{00000000-0010-0000-1500-000001000000}" name="BOROUGH" dataDxfId="178">
      <calculatedColumnFormula>VLOOKUP(A4,Data[],2,FALSE)</calculatedColumnFormula>
    </tableColumn>
    <tableColumn id="3" xr3:uid="{00000000-0010-0000-1500-000003000000}" name="WORK TYPE" dataDxfId="177"/>
    <tableColumn id="12" xr3:uid="{00000000-0010-0000-1500-00000C000000}" name="NRR" dataDxfId="176">
      <calculatedColumnFormula>VLOOKUP(ExtComp[[#This Row],[DEVELOPMENT]],Data[],8,FALSE)</calculatedColumnFormula>
    </tableColumn>
    <tableColumn id="13" xr3:uid="{00000000-0010-0000-1500-00000D000000}" name="Priority Level" dataDxfId="175">
      <calculatedColumnFormula>VLOOKUP(ExtComp[[#This Row],[DEVELOPMENT]],Data[],9,FALSE)</calculatedColumnFormula>
    </tableColumn>
    <tableColumn id="5" xr3:uid="{00000000-0010-0000-1500-000005000000}" name="RAD/PACT" dataDxfId="174">
      <calculatedColumnFormula>IFERROR(VLOOKUP(ExtComp[[#This Row],[DEVELOPMENT]],Data[],4,FALSE),"")</calculatedColumnFormula>
    </tableColumn>
    <tableColumn id="8" xr3:uid="{00000000-0010-0000-1500-000008000000}" name="RAD/PACT by 2025" dataDxfId="173">
      <calculatedColumnFormula>IF(ExtComp[[#This Row],[RAD/PACT]]="","",IF(ExtComp[[#This Row],[RAD/PACT]]&lt;=2025,"Yes",""))</calculatedColumnFormula>
    </tableColumn>
    <tableColumn id="4" xr3:uid="{00000000-0010-0000-1500-000004000000}" name="AGE (2019) (Y)" dataDxfId="172">
      <calculatedColumnFormula>IF(VLOOKUP(ExtComp[[#This Row],[DEVELOPMENT]],Data[],11,FALSE)=0,"",DATEDIF(VLOOKUP(ExtComp[[#This Row],[DEVELOPMENT]],Data[],13,FALSE),TODAY(),"Y"))</calculatedColumnFormula>
    </tableColumn>
    <tableColumn id="6" xr3:uid="{00000000-0010-0000-1500-000006000000}" name="# to Replace" dataDxfId="171">
      <calculatedColumnFormula>IF(ExtComp[[#This Row],[RAD/PACT]]="",VLOOKUP(ExtComp[[#This Row],[DEVELOPMENT]],Data[],11,FALSE),IF(ExtComp[[#This Row],[RAD/PACT by 2025]]="yes",0,VLOOKUP(ExtComp[[#This Row],[DEVELOPMENT]],Data[],11,FALSE)))</calculatedColumnFormula>
    </tableColumn>
    <tableColumn id="10" xr3:uid="{00000000-0010-0000-1500-00000A000000}" name="Cost per Development" dataDxfId="170">
      <calculatedColumnFormula>(ExtComp[[#This Row],['# to Replace]]*'Unit Cost Summary'!$B$6)*(1+((ExtComp[[#This Row],[est. Year]]-YEAR(TODAY()))*$J$2))</calculatedColumnFormula>
    </tableColumn>
    <tableColumn id="9" xr3:uid="{00000000-0010-0000-1500-000009000000}" name="Count" dataDxfId="169">
      <calculatedColumnFormula>SUM(INDEX(ExtComp['# to Replace],1):ExtComp[[#This Row],['# to Replace]])</calculatedColumnFormula>
    </tableColumn>
    <tableColumn id="11" xr3:uid="{00000000-0010-0000-1500-00000B000000}" name="est. Year" dataDxfId="168">
      <calculatedColumnFormula>ROUNDDOWN(ExtComp[[#This Row],[Count]]/50,0)+$L$1</calculatedColumnFormula>
    </tableColumn>
    <tableColumn id="7" xr3:uid="{00000000-0010-0000-1500-000007000000}" name="Running Cost/Yr" dataDxfId="167" dataCellStyle="Currency">
      <calculatedColumnFormula>IF(L4=L3,J4+M3,J4)</calculatedColumnFormula>
    </tableColumn>
    <tableColumn id="16" xr3:uid="{00000000-0010-0000-1500-000010000000}" name="DSNY Priority" dataDxfId="166" dataCellStyle="Currency">
      <calculatedColumnFormula>IFERROR(VLOOKUP(ExtComp[[#This Row],[DEVELOPMENT]],Data[],22,FALSE),"")</calculatedColumnFormula>
    </tableColumn>
    <tableColumn id="15" xr3:uid="{00000000-0010-0000-1500-00000F000000}" name="DSNY Comments" dataDxfId="165">
      <calculatedColumnFormula>IFERROR(VLOOKUP(ExtComp[[#This Row],[DEVELOPMENT]],Data[],23,FALSE),"")</calculatedColumnFormula>
    </tableColumn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6000000}" name="Yards25" displayName="Yards25" ref="A4:AC315" totalsRowShown="0" headerRowDxfId="143" headerRowBorderDxfId="141" tableBorderDxfId="142" totalsRowBorderDxfId="140">
  <autoFilter ref="A4:AC315" xr:uid="{00000000-0009-0000-0100-000018000000}">
    <filterColumn colId="3">
      <filters>
        <filter val="MIXED FINANCE/LLC1"/>
        <filter val="MIXED FINANCE/LLC2"/>
      </filters>
    </filterColumn>
    <filterColumn colId="22">
      <filters>
        <filter val="$1,281,571.02"/>
        <filter val="$1,362,756.52"/>
        <filter val="$1,758,110.27"/>
        <filter val="$1,869,483.77"/>
        <filter val="$2,234,649.52"/>
        <filter val="$2,376,211.03"/>
        <filter val="$2,539,439.26"/>
        <filter val="$2,882,938.29"/>
        <filter val="$40,080.00"/>
        <filter val="$805,031.77"/>
      </filters>
    </filterColumn>
  </autoFilter>
  <sortState xmlns:xlrd2="http://schemas.microsoft.com/office/spreadsheetml/2017/richdata2" ref="A5:AC315">
    <sortCondition ref="P5:P315"/>
    <sortCondition ref="F5:F315"/>
    <sortCondition ref="G5:G315"/>
    <sortCondition ref="H5:H315"/>
  </sortState>
  <tableColumns count="29">
    <tableColumn id="1" xr3:uid="{00000000-0010-0000-1600-000001000000}" name="DEVELOPMENT" dataDxfId="139"/>
    <tableColumn id="2" xr3:uid="{00000000-0010-0000-1600-000002000000}" name="BOROUGH" dataDxfId="138">
      <calculatedColumnFormula>VLOOKUP(Yards25[[#This Row],[DEVELOPMENT]],Data[],2,FALSE)</calculatedColumnFormula>
    </tableColumn>
    <tableColumn id="15" xr3:uid="{00000000-0010-0000-1600-00000F000000}" name="WORK TYPE" dataDxfId="137">
      <calculatedColumnFormula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calculatedColumnFormula>
    </tableColumn>
    <tableColumn id="26" xr3:uid="{00000000-0010-0000-1600-00001A000000}" name="PROGRAM" dataDxfId="136">
      <calculatedColumnFormula>VLOOKUP(Yards25[[#This Row],[DEVELOPMENT]],Data[],52,FALSE)</calculatedColumnFormula>
    </tableColumn>
    <tableColumn id="4" xr3:uid="{00000000-0010-0000-1600-000004000000}" name="NRR" dataDxfId="135">
      <calculatedColumnFormula>VLOOKUP(Yards25[[#This Row],[DEVELOPMENT]],Data[],8,FALSE)</calculatedColumnFormula>
    </tableColumn>
    <tableColumn id="11" xr3:uid="{00000000-0010-0000-1600-00000B000000}" name="Ext. Compactor Priority" dataDxfId="134">
      <calculatedColumnFormula>VLOOKUP(Yards25[[#This Row],[DEVELOPMENT]],all[[DEVELOPMENT]:[MRST Ext. Comp. Priority]],6,FALSE)</calculatedColumnFormula>
    </tableColumn>
    <tableColumn id="29" xr3:uid="{00000000-0010-0000-1600-00001D000000}" name="MRST Ext. Compactor Priority" dataDxfId="133">
      <calculatedColumnFormula>VLOOKUP(Yards25[[#This Row],[DEVELOPMENT]],all[[DEVELOPMENT]:[MRST Ext. Comp. Priority]],13,FALSE)</calculatedColumnFormula>
    </tableColumn>
    <tableColumn id="5" xr3:uid="{00000000-0010-0000-1600-000005000000}" name="DOHMH Priority Level" dataDxfId="132">
      <calculatedColumnFormula>IF(VLOOKUP(Yards25[[#This Row],[DEVELOPMENT]],Data[],9,FALSE)=0,5,VLOOKUP(Yards25[[#This Row],[DEVELOPMENT]],Data[],9,FALSE))</calculatedColumnFormula>
    </tableColumn>
    <tableColumn id="3" xr3:uid="{00000000-0010-0000-1600-000003000000}" name="# Ext. Compactors to Replace" dataDxfId="131">
      <calculatedColumnFormula>VLOOKUP(Yards25[[#This Row],[DEVELOPMENT]],Data[],33,FALSE)</calculatedColumnFormula>
    </tableColumn>
    <tableColumn id="9" xr3:uid="{00000000-0010-0000-1600-000009000000}" name="# Bulk Crushers" dataDxfId="130">
      <calculatedColumnFormula>VLOOKUP(Yards25[[#This Row],[DEVELOPMENT]],Data[],28,FALSE)</calculatedColumnFormula>
    </tableColumn>
    <tableColumn id="28" xr3:uid="{00000000-0010-0000-1600-00001C000000}" name="Shared Site" dataDxfId="129"/>
    <tableColumn id="17" xr3:uid="{00000000-0010-0000-1600-000011000000}" name="E&amp;S Priority" dataDxfId="128"/>
    <tableColumn id="6" xr3:uid="{00000000-0010-0000-1600-000006000000}" name="RAD/PACT" dataDxfId="127">
      <calculatedColumnFormula>IFERROR(VLOOKUP(Yards25[[#This Row],[DEVELOPMENT]],Data[],4,FALSE),"")</calculatedColumnFormula>
    </tableColumn>
    <tableColumn id="7" xr3:uid="{00000000-0010-0000-1600-000007000000}" name="RAD/PACT by 2025" dataDxfId="126">
      <calculatedColumnFormula>IF(Yards25[[#This Row],[RAD/PACT]]="","",IF(OR(Yards25[[#This Row],[RAD/PACT]]="2022-2025",Yards25[[#This Row],[RAD/PACT]]=2019,Yards25[[#This Row],[RAD/PACT]]="2020-2021"),"Yes",""))</calculatedColumnFormula>
    </tableColumn>
    <tableColumn id="8" xr3:uid="{00000000-0010-0000-1600-000008000000}" name="ext comp age?" dataDxfId="125">
      <calculatedColumnFormula>IFERROR(VLOOKUP(Yards25[[#This Row],[DEVELOPMENT]],ExtComp[],8,FALSE),"")</calculatedColumnFormula>
    </tableColumn>
    <tableColumn id="14" xr3:uid="{00000000-0010-0000-1600-00000E000000}" name="DSGN CALENDAR YEAR" dataDxfId="124"/>
    <tableColumn id="18" xr3:uid="{00000000-0010-0000-1600-000012000000}" name="DSGN FISCAL YEAR" dataDxfId="123"/>
    <tableColumn id="23" xr3:uid="{00000000-0010-0000-1600-000017000000}" name="CONS CALENDAR YEAR" dataDxfId="122">
      <calculatedColumnFormula>IF(ISBLANK(Yards25[[#This Row],[DSGN CALENDAR YEAR]]),"",Yards25[[#This Row],[DSGN CALENDAR YEAR]]+1)</calculatedColumnFormula>
    </tableColumn>
    <tableColumn id="24" xr3:uid="{00000000-0010-0000-1600-000018000000}" name="CONS FISCAL YEAR" dataDxfId="121">
      <calculatedColumnFormula>Yards25[[#This Row],[DSGN FISCAL YEAR]]+1</calculatedColumnFormula>
    </tableColumn>
    <tableColumn id="19" xr3:uid="{00000000-0010-0000-1600-000013000000}" name="STATUS" dataDxfId="120"/>
    <tableColumn id="22" xr3:uid="{00000000-0010-0000-1600-000016000000}" name="Design Est." dataDxfId="119">
      <calculatedColumnFormula>Yards25[[#This Row],[Estimate]]*0.1</calculatedColumnFormula>
    </tableColumn>
    <tableColumn id="21" xr3:uid="{00000000-0010-0000-1600-000015000000}" name="Construction Est." dataDxfId="118">
      <calculatedColumnFormula>Yards25[[#This Row],[Estimate]]-Yards25[[#This Row],[Design Est.]]</calculatedColumnFormula>
    </tableColumn>
    <tableColumn id="10" xr3:uid="{00000000-0010-0000-1600-00000A000000}" name="Estimate" dataDxfId="117" dataCellStyle="Currency">
      <calculatedColumnFormula>IF(Yards25[[#This Row],[RAD/PACT by 2025]]="Yes",0,INDEX(UnitCosts[],MATCH(Yards25[[#This Row],[WORK TYPE]],UnitCosts[Work Type],0),2))</calculatedColumnFormula>
    </tableColumn>
    <tableColumn id="27" xr3:uid="{00000000-0010-0000-1600-00001B000000}" name="# yards" dataDxfId="116" dataCellStyle="Currency">
      <calculatedColumnFormula>IF(Yards25[[#This Row],[RAD/PACT by 2025]]="yes","",1)</calculatedColumnFormula>
    </tableColumn>
    <tableColumn id="13" xr3:uid="{00000000-0010-0000-1600-00000D000000}" name="Implementation Method" dataDxfId="115"/>
    <tableColumn id="16" xr3:uid="{00000000-0010-0000-1600-000010000000}" name="Notes" dataDxfId="114"/>
    <tableColumn id="20" xr3:uid="{00000000-0010-0000-1600-000014000000}" name="Count" dataDxfId="113">
      <calculatedColumnFormula>COUNTIF($X$5:Yards25[[#This Row],['# yards]],"&gt;0")</calculatedColumnFormula>
    </tableColumn>
    <tableColumn id="12" xr3:uid="{00000000-0010-0000-1600-00000C000000}" name="est. DSGN Year" dataDxfId="112">
      <calculatedColumnFormula>IF(ISBLANK(Yards25[[#This Row],[DSGN CALENDAR YEAR]]),ROUNDDOWN(Yards25[[#This Row],[Count]]/20,0)+$AB$1,Yards25[[#This Row],[DSGN CALENDAR YEAR]])</calculatedColumnFormula>
    </tableColumn>
    <tableColumn id="25" xr3:uid="{00000000-0010-0000-1600-000019000000}" name="est. CONS Year" dataDxfId="111">
      <calculatedColumnFormula>Yards25[[#This Row],[est. DSGN Year]]+1</calculatedColumnFormula>
    </tableColumn>
  </tableColumns>
  <tableStyleInfo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2C73289-5C69-4093-9A0B-8107C2277A34}" name="CPD_Ext" displayName="CPD_Ext" ref="A1:W18" tableType="queryTable" totalsRowShown="0">
  <autoFilter ref="A1:W18" xr:uid="{C3441E3B-0E01-44FE-A140-5833F0841A6E}"/>
  <tableColumns count="23">
    <tableColumn id="1" xr3:uid="{5EA327A7-EF3D-4B97-8874-4EBFAAF4AE41}" uniqueName="1" name="Development" queryTableFieldId="1" dataDxfId="110"/>
    <tableColumn id="2" xr3:uid="{225C6E70-4421-4BB0-A2A5-18515E869F56}" uniqueName="2" name="Team" queryTableFieldId="2" dataDxfId="109"/>
    <tableColumn id="3" xr3:uid="{D9244978-059E-43F9-A372-89F964CAB4C2}" uniqueName="3" name="RAD" queryTableFieldId="3"/>
    <tableColumn id="4" xr3:uid="{1FC1E325-B394-4F2F-8A09-DAF8AD31CD8B}" uniqueName="4" name="CPD Project Number" queryTableFieldId="4"/>
    <tableColumn id="5" xr3:uid="{0C07CB51-E7AF-4DC5-AEED-1367BDB9C753}" uniqueName="5" name="HUD CF" queryTableFieldId="5" dataDxfId="108"/>
    <tableColumn id="6" xr3:uid="{52A9B8DD-C237-4D59-B5ED-1F2D79725981}" uniqueName="6" name="TDS" queryTableFieldId="6"/>
    <tableColumn id="7" xr3:uid="{D417BA38-084B-446F-A186-2B8C7CE76E44}" uniqueName="7" name="Borough" queryTableFieldId="7" dataDxfId="107"/>
    <tableColumn id="8" xr3:uid="{AEBDE462-B301-4E49-924A-91AF4E780324}" uniqueName="8" name="DOHMH Infestation Rating" queryTableFieldId="8"/>
    <tableColumn id="9" xr3:uid="{E6D1BB11-EB0B-4040-95E5-EC043A22DE33}" uniqueName="9" name="Description of Work" queryTableFieldId="9"/>
    <tableColumn id="10" xr3:uid="{ED4BBB59-86A0-4271-A5EF-45207DCC40AE}" uniqueName="10" name="Estimated Cost" queryTableFieldId="10"/>
    <tableColumn id="11" xr3:uid="{C3B52E62-C2E2-460F-99FA-86CB7975B4CA}" uniqueName="11" name=" Contract Award Amount" queryTableFieldId="11"/>
    <tableColumn id="12" xr3:uid="{674D420C-6624-47A1-949C-970400CF2289}" uniqueName="12" name="City Funds Allocated" queryTableFieldId="12"/>
    <tableColumn id="13" xr3:uid="{9AE64C06-01CD-4F41-8485-870971FEF921}" uniqueName="13" name="REVISED Projected Construction Start Date" queryTableFieldId="13" dataDxfId="106"/>
    <tableColumn id="14" xr3:uid="{C35E6157-47D0-4524-A7FC-B642D963ED62}" uniqueName="14" name="Actual Construction Start Date" queryTableFieldId="14" dataDxfId="105"/>
    <tableColumn id="15" xr3:uid="{9EC1BFEC-96E0-4EA6-82F2-C4BB8663635B}" uniqueName="15" name="REVISED Projected Completion Date" queryTableFieldId="15" dataDxfId="104"/>
    <tableColumn id="16" xr3:uid="{28F1CDB5-7CF7-4D67-816B-1A970EFF3AF2}" uniqueName="16" name="Actual Full Completion Date" queryTableFieldId="16" dataDxfId="103"/>
    <tableColumn id="17" xr3:uid="{201A5213-E60B-44F2-9505-0B64DAA93835}" uniqueName="17" name="Total City Funds Expended" queryTableFieldId="17"/>
    <tableColumn id="18" xr3:uid="{BCA2D66D-B39E-4A11-A496-B327E1D4D1B9}" uniqueName="18" name="Units Complete" queryTableFieldId="18"/>
    <tableColumn id="19" xr3:uid="{66A14FFF-9CA8-4CF2-B2ED-BE89CB90E43F}" uniqueName="19" name="Unit Count" queryTableFieldId="19"/>
    <tableColumn id="20" xr3:uid="{5063DF1C-D72D-43E5-A275-E19772753FE4}" uniqueName="20" name="% Complete" queryTableFieldId="20"/>
    <tableColumn id="21" xr3:uid="{D1851BEA-6C6E-4A57-86F8-8E14A000FB0C}" uniqueName="21" name="ON TRACK?" queryTableFieldId="21"/>
    <tableColumn id="22" xr3:uid="{4C2513A0-7E74-4ADC-BD05-0FCE9125A2E6}" uniqueName="22" name="Notes" queryTableFieldId="22" dataDxfId="102"/>
    <tableColumn id="23" xr3:uid="{E7B9F6A5-8A31-4DF2-9E6F-C038447F5C14}" uniqueName="23" name="% City Funds Based on # Installed" queryTableFieldId="23" dataDxfId="101">
      <calculatedColumnFormula>CPD_Ext[[#This Row],[% Complete]]*CPD_Ext[[#This Row],[City Funds Allocated]]</calculatedColumnFormula>
    </tableColumn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9BAF264-283B-4C20-A54C-983E600AA398}" name="CPD_Bulk" displayName="CPD_Bulk" ref="A1:W6" tableType="queryTable" totalsRowShown="0">
  <autoFilter ref="A1:W6" xr:uid="{08092F87-9427-45C7-B93B-63405DA51939}"/>
  <tableColumns count="23">
    <tableColumn id="1" xr3:uid="{048C4953-08B5-4904-B293-7D29CD6CA10B}" uniqueName="1" name="Development" queryTableFieldId="1" dataDxfId="100"/>
    <tableColumn id="2" xr3:uid="{0F1455D6-FA58-45AC-95FE-4F304DA733FA}" uniqueName="2" name="Team" queryTableFieldId="2" dataDxfId="99"/>
    <tableColumn id="3" xr3:uid="{DA75CC32-0353-47EF-973B-64DFDF63699A}" uniqueName="3" name="RAD" queryTableFieldId="3"/>
    <tableColumn id="4" xr3:uid="{C3FC2969-8BCF-4DCB-8A1C-17C4C1A7449E}" uniqueName="4" name="CPD Project Number" queryTableFieldId="4"/>
    <tableColumn id="5" xr3:uid="{6B70F3D4-FB4B-4C7E-9151-9E4F47D225BF}" uniqueName="5" name="HUD CF" queryTableFieldId="5" dataDxfId="98"/>
    <tableColumn id="6" xr3:uid="{DD3C800F-73ED-4F44-A046-00A7B83BF7C2}" uniqueName="6" name="TDS" queryTableFieldId="6"/>
    <tableColumn id="7" xr3:uid="{5790C10D-2569-4B97-B8DC-8EB3E4A42A33}" uniqueName="7" name="Borough" queryTableFieldId="7" dataDxfId="97"/>
    <tableColumn id="8" xr3:uid="{AF96E01D-2C31-4567-9044-19718D9CAB3F}" uniqueName="8" name="DOHMH Infestation Rating" queryTableFieldId="8"/>
    <tableColumn id="9" xr3:uid="{DCF50D4C-ED1E-46E7-9B1D-E21424B6B164}" uniqueName="9" name="Description of Work" queryTableFieldId="9"/>
    <tableColumn id="10" xr3:uid="{7C3FCC06-81EF-4877-8411-332EAF174B76}" uniqueName="10" name="Estimated Cost" queryTableFieldId="10"/>
    <tableColumn id="11" xr3:uid="{3067DEB9-23D0-4683-86A9-BD951BAFA3A1}" uniqueName="11" name=" Contract Award Amount" queryTableFieldId="11"/>
    <tableColumn id="12" xr3:uid="{DB3C7525-B328-44F9-9F33-E7595F99A6FF}" uniqueName="12" name="City Funds Allocated" queryTableFieldId="12"/>
    <tableColumn id="13" xr3:uid="{F5A36B33-6EA8-4A75-8FBE-B1B9E0C540FD}" uniqueName="13" name="REVISED Projected Construction Start Date" queryTableFieldId="13" dataDxfId="96"/>
    <tableColumn id="14" xr3:uid="{5846609E-CD11-4277-AEC1-7C4E1CBF4F52}" uniqueName="14" name="Actual Construction Start Date" queryTableFieldId="14" dataDxfId="95"/>
    <tableColumn id="15" xr3:uid="{A6A49869-442E-4D0F-B6F6-8318146EDDA5}" uniqueName="15" name="REVISED Projected Completion Date" queryTableFieldId="15" dataDxfId="94"/>
    <tableColumn id="16" xr3:uid="{B7003FEF-FD3B-43DE-9547-2B204E761F94}" uniqueName="16" name="Actual Full Completion Date" queryTableFieldId="16" dataDxfId="93"/>
    <tableColumn id="17" xr3:uid="{E5C86D53-DEC3-4AAC-9396-994F281453D4}" uniqueName="17" name="Total City Funds Expended" queryTableFieldId="17"/>
    <tableColumn id="18" xr3:uid="{29118F44-30DF-4DCF-9F50-A25A013B05BC}" uniqueName="18" name="Units Complete" queryTableFieldId="18"/>
    <tableColumn id="19" xr3:uid="{4365E6B4-4F7B-4DB5-B31C-AC28CEE2A5FB}" uniqueName="19" name="Unit Count" queryTableFieldId="19"/>
    <tableColumn id="20" xr3:uid="{A52FA099-7AD8-49E3-BF8B-40F0A757F7B1}" uniqueName="20" name="% Complete" queryTableFieldId="20"/>
    <tableColumn id="21" xr3:uid="{51774484-6E87-4357-A23C-11BDE7B4A47F}" uniqueName="21" name="ON TRACK?" queryTableFieldId="21"/>
    <tableColumn id="22" xr3:uid="{0B83CB57-5450-47DE-8FC3-784735042863}" uniqueName="22" name="Notes" queryTableFieldId="22" dataDxfId="92"/>
    <tableColumn id="23" xr3:uid="{5643ADB2-791E-43E9-A570-1020B95620A7}" uniqueName="23" name="% City Funds Based on # Installed" queryTableFieldId="23" dataDxfId="91">
      <calculatedColumnFormula>CPD_Bulk[[#This Row],[% Complete]]*CPD_Bulk[[#This Row],[City Funds Allocated]]</calculatedColumnFormula>
    </tableColumn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F89ED87-F966-42AA-A900-5ECA006033B0}" name="CPD_RatSlabs" displayName="CPD_RatSlabs" ref="A1:W10" tableType="queryTable" totalsRowShown="0">
  <autoFilter ref="A1:W10" xr:uid="{8CFC38CD-3DE2-4CF3-98F0-C83823FAB7EF}"/>
  <tableColumns count="23">
    <tableColumn id="1" xr3:uid="{5D301C8A-0924-4E2F-892B-1990BFC13354}" uniqueName="1" name="Development" queryTableFieldId="1" dataDxfId="90"/>
    <tableColumn id="2" xr3:uid="{04EF46E8-EE4C-4E80-B6ED-9C246E59FED1}" uniqueName="2" name="Team" queryTableFieldId="2" dataDxfId="89"/>
    <tableColumn id="3" xr3:uid="{B6485429-D322-4B19-A799-F6B5690B1021}" uniqueName="3" name="RAD" queryTableFieldId="3"/>
    <tableColumn id="4" xr3:uid="{1751E2BE-ED88-4F52-A15B-27E1A157067E}" uniqueName="4" name="CPD Project Number" queryTableFieldId="4"/>
    <tableColumn id="5" xr3:uid="{2984EDB9-1E51-4E29-A9C0-1A970F8379B7}" uniqueName="5" name="HUD CF" queryTableFieldId="5" dataDxfId="88"/>
    <tableColumn id="6" xr3:uid="{B52FEB52-BF34-484A-9942-7A76449ADA1D}" uniqueName="6" name="TDS" queryTableFieldId="6"/>
    <tableColumn id="7" xr3:uid="{E6C4FEEA-956B-4766-A876-A4BC4BEFE4E5}" uniqueName="7" name="Borough" queryTableFieldId="7" dataDxfId="87"/>
    <tableColumn id="8" xr3:uid="{1B336B42-00F6-48FD-823B-6DE4A5D809D1}" uniqueName="8" name="DOHMH Infestation Rating" queryTableFieldId="8"/>
    <tableColumn id="9" xr3:uid="{8E07CC64-2E8D-45BC-B523-F7D93C9E6D43}" uniqueName="9" name="Description of Work" queryTableFieldId="9"/>
    <tableColumn id="10" xr3:uid="{807B7186-0AD8-4ECA-9164-CFE426B6B486}" uniqueName="10" name="Estimated Cost" queryTableFieldId="10"/>
    <tableColumn id="11" xr3:uid="{F4F92BA5-4FD9-4766-9D0A-995167EAF26B}" uniqueName="11" name=" Contract Award Amount" queryTableFieldId="11"/>
    <tableColumn id="12" xr3:uid="{E78AD0FC-06E4-4BD9-840D-25913BF27D14}" uniqueName="12" name="City Funds Allocated" queryTableFieldId="12"/>
    <tableColumn id="13" xr3:uid="{A2BBF70A-7728-4BDB-A5E8-D19B21CE54E0}" uniqueName="13" name="REVISED Projected Construction Start Date" queryTableFieldId="13" dataDxfId="86"/>
    <tableColumn id="14" xr3:uid="{136D517A-D98D-486A-8572-9AF638079592}" uniqueName="14" name="Actual Construction Start Date" queryTableFieldId="14" dataDxfId="85"/>
    <tableColumn id="15" xr3:uid="{85DC9220-4931-4892-A515-0FA65D264A8B}" uniqueName="15" name="REVISED Projected Completion Date" queryTableFieldId="15" dataDxfId="84"/>
    <tableColumn id="16" xr3:uid="{6C5F8E71-39A0-4E67-B501-EBDFC4CB7402}" uniqueName="16" name="Actual Full Completion Date" queryTableFieldId="16" dataDxfId="83"/>
    <tableColumn id="17" xr3:uid="{3B982038-197F-4E95-A4DD-EF0D512E555B}" uniqueName="17" name="Total City Funds Expended" queryTableFieldId="17"/>
    <tableColumn id="18" xr3:uid="{4CEC8C05-F724-4DE5-9295-A71FF7D38994}" uniqueName="18" name="Units Complete" queryTableFieldId="18"/>
    <tableColumn id="19" xr3:uid="{CE9741AD-145E-4FD0-BBB0-1936AEF436A2}" uniqueName="19" name="Unit Count" queryTableFieldId="19"/>
    <tableColumn id="20" xr3:uid="{D9753FCE-7523-4B10-AF79-385812A9431C}" uniqueName="20" name="% Complete" queryTableFieldId="20"/>
    <tableColumn id="21" xr3:uid="{AD9B4698-85B9-4D57-9C44-AE1F95FF853F}" uniqueName="21" name="ON TRACK?" queryTableFieldId="21"/>
    <tableColumn id="22" xr3:uid="{3E211594-B1F0-4BF4-9166-CEF71AF8E29B}" uniqueName="22" name="Notes" queryTableFieldId="22" dataDxfId="82"/>
    <tableColumn id="23" xr3:uid="{37E340F3-5AF5-4546-AED9-EFF786886471}" uniqueName="23" name="% City Funds Based on # Installed" queryTableFieldId="23" dataDxfId="81">
      <calculatedColumnFormula>CPD_RatSlabs[[#This Row],[% Complete]]*CPD_RatSlabs[[#This Row],[City Funds Allocated]]</calculatedColumnFormula>
    </tableColumn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17000000}" name="UnitCosts" displayName="UnitCosts" ref="A1:F20" totalsRowShown="0" headerRowDxfId="80">
  <autoFilter ref="A1:F20" xr:uid="{00000000-0009-0000-0100-000004000000}"/>
  <sortState xmlns:xlrd2="http://schemas.microsoft.com/office/spreadsheetml/2017/richdata2" ref="A2:B12">
    <sortCondition ref="A2:A12"/>
  </sortState>
  <tableColumns count="6">
    <tableColumn id="1" xr3:uid="{00000000-0010-0000-1700-000001000000}" name="Work Type"/>
    <tableColumn id="2" xr3:uid="{00000000-0010-0000-1700-000002000000}" name="Unit Cost" dataDxfId="79" dataCellStyle="Currency">
      <calculatedColumnFormula>IFERROR(VLOOKUP(UnitCosts[[#This Row],[Work Type]],Unit_Costs[],12,FALSE),"$10,000,000.00")</calculatedColumnFormula>
    </tableColumn>
    <tableColumn id="5" xr3:uid="{00000000-0010-0000-1700-000005000000}" name=" Cost" dataDxfId="78" dataCellStyle="Currency"/>
    <tableColumn id="6" xr3:uid="{00000000-0010-0000-1700-000006000000}" name="PM Fee @ 7%" dataDxfId="77" dataCellStyle="Currency">
      <calculatedColumnFormula>UnitCosts[[#This Row],[ Cost]]*7%</calculatedColumnFormula>
    </tableColumn>
    <tableColumn id="7" xr3:uid="{00000000-0010-0000-1700-000007000000}" name="Unit Cost w/PM Fee (7%)" dataDxfId="76" dataCellStyle="Currency">
      <calculatedColumnFormula>UnitCosts[[#This Row],[ Cost]]+UnitCosts[[#This Row],[PM Fee @ 7%]]</calculatedColumnFormula>
    </tableColumn>
    <tableColumn id="3" xr3:uid="{00000000-0010-0000-1700-000003000000}" name="Funding" dataDxfId="75" dataCellStyle="Currency"/>
  </tableColumns>
  <tableStyleInfo name="TableStyleLight1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8000000}" name="Ops_Priorities_and_Data_Clean" displayName="Ops_Priorities_and_Data_Clean" ref="A2:U313" tableType="queryTable" totalsRowShown="0">
  <autoFilter ref="A2:U313" xr:uid="{00000000-0009-0000-0100-000012000000}"/>
  <tableColumns count="21">
    <tableColumn id="1" xr3:uid="{00000000-0010-0000-1800-000001000000}" uniqueName="1" name="tds" queryTableFieldId="1"/>
    <tableColumn id="2" xr3:uid="{00000000-0010-0000-1800-000002000000}" uniqueName="2" name="development" queryTableFieldId="2" dataDxfId="74"/>
    <tableColumn id="3" xr3:uid="{00000000-0010-0000-1800-000003000000}" uniqueName="3" name="managedby" queryTableFieldId="3" dataDxfId="73"/>
    <tableColumn id="4" xr3:uid="{00000000-0010-0000-1800-000004000000}" uniqueName="4" name="numexternal" queryTableFieldId="4"/>
    <tableColumn id="5" xr3:uid="{00000000-0010-0000-1800-000005000000}" uniqueName="5" name="Priority" queryTableFieldId="5"/>
    <tableColumn id="6" xr3:uid="{00000000-0010-0000-1800-000006000000}" uniqueName="6" name="extbool" queryTableFieldId="6"/>
    <tableColumn id="7" xr3:uid="{00000000-0010-0000-1800-000007000000}" uniqueName="7" name="sharebool" queryTableFieldId="7"/>
    <tableColumn id="8" xr3:uid="{00000000-0010-0000-1800-000008000000}" uniqueName="8" name="curbbool" queryTableFieldId="8"/>
    <tableColumn id="9" xr3:uid="{00000000-0010-0000-1800-000009000000}" uniqueName="9" name="totbool" queryTableFieldId="9"/>
    <tableColumn id="10" xr3:uid="{00000000-0010-0000-1800-00000A000000}" uniqueName="10" name="ifnoext_istherespace" queryTableFieldId="10"/>
    <tableColumn id="11" xr3:uid="{00000000-0010-0000-1800-00000B000000}" uniqueName="11" name="ops_numext" queryTableFieldId="11"/>
    <tableColumn id="12" xr3:uid="{00000000-0010-0000-1800-00000C000000}" uniqueName="12" name="levan_numext" queryTableFieldId="12"/>
    <tableColumn id="13" xr3:uid="{00000000-0010-0000-1800-00000D000000}" uniqueName="13" name="maximo_numext" queryTableFieldId="13"/>
    <tableColumn id="14" xr3:uid="{00000000-0010-0000-1800-00000E000000}" uniqueName="14" name="pna_numext" queryTableFieldId="14"/>
    <tableColumn id="15" xr3:uid="{00000000-0010-0000-1800-00000F000000}" uniqueName="15" name="ops_curbside" queryTableFieldId="15"/>
    <tableColumn id="16" xr3:uid="{00000000-0010-0000-1800-000010000000}" uniqueName="16" name="ops_share" queryTableFieldId="16"/>
    <tableColumn id="17" xr3:uid="{00000000-0010-0000-1800-000011000000}" uniqueName="17" name="ops_neighbordev" queryTableFieldId="17" dataDxfId="72"/>
    <tableColumn id="18" xr3:uid="{00000000-0010-0000-1800-000012000000}" uniqueName="18" name="ops_notes" queryTableFieldId="18" dataDxfId="71"/>
    <tableColumn id="19" xr3:uid="{00000000-0010-0000-1800-000013000000}" uniqueName="19" name="pactnrr_curbside" queryTableFieldId="19" dataDxfId="70"/>
    <tableColumn id="20" xr3:uid="{00000000-0010-0000-1800-000014000000}" uniqueName="20" name="pactnrr_notes" queryTableFieldId="20" dataDxfId="69"/>
    <tableColumn id="21" xr3:uid="{00000000-0010-0000-1800-000015000000}" uniqueName="21" name="ifnoext_comment" queryTableFieldId="21" dataDxfId="6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Data" displayName="Data" ref="A5:BO325" totalsRowShown="0" headerRowDxfId="65" headerRowBorderDxfId="64">
  <autoFilter ref="A5:BO325" xr:uid="{00000000-0009-0000-0100-000002000000}"/>
  <sortState xmlns:xlrd2="http://schemas.microsoft.com/office/spreadsheetml/2017/richdata2" ref="A6:BO325">
    <sortCondition ref="A5:A325"/>
  </sortState>
  <tableColumns count="67">
    <tableColumn id="2" xr3:uid="{00000000-0010-0000-0700-000002000000}" name="DEVELOPMENT"/>
    <tableColumn id="1" xr3:uid="{00000000-0010-0000-0700-000001000000}" name="BOROUGH" dataDxfId="63">
      <calculatedColumnFormula>VLOOKUP(Data[[#This Row],[DEVELOPMENT]],Development_Data_Book[[DEVELOPMENT]:[BOROUGH]],MATCH("borough",Development_Data_Book[[#Headers],[DEVELOPMENT]:[BOROUGH]],0),FALSE)</calculatedColumnFormula>
    </tableColumn>
    <tableColumn id="3" xr3:uid="{00000000-0010-0000-0700-000003000000}" name="Managed By" dataDxfId="62">
      <calculatedColumnFormula>VLOOKUP(Data[[#This Row],[DEVELOPMENT]],'[1]Cheat-Sheet'!$D$2:$Q$341,2,FALSE)</calculatedColumnFormula>
    </tableColumn>
    <tableColumn id="4" xr3:uid="{00000000-0010-0000-0700-000004000000}" name="RAD/PACT/Other" dataDxfId="61">
      <calculatedColumnFormula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calculatedColumnFormula>
    </tableColumn>
    <tableColumn id="9" xr3:uid="{00000000-0010-0000-0700-000009000000}" name="Dwelling Buildings" dataDxfId="60">
      <calculatedColumnFormula>VLOOKUP(Data[[#This Row],[DEVELOPMENT]],Development_Data_Book[[DEVELOPMENT]:[BOROUGH]],21,FALSE)</calculatedColumnFormula>
    </tableColumn>
    <tableColumn id="10" xr3:uid="{00000000-0010-0000-0700-00000A000000}" name="# Stairhalls" dataDxfId="59">
      <calculatedColumnFormula>VLOOKUP(Data[[#This Row],[DEVELOPMENT]],Development_Data_Book[[DEVELOPMENT]:[BOROUGH]],23,FALSE)</calculatedColumnFormula>
    </tableColumn>
    <tableColumn id="5" xr3:uid="{00000000-0010-0000-0700-000005000000}" name="DUs" dataDxfId="58">
      <calculatedColumnFormula>VLOOKUP(Data[[#This Row],[DEVELOPMENT]],Development_Data_Book[[DEVELOPMENT]:[BOROUGH]],12,FALSE)</calculatedColumnFormula>
    </tableColumn>
    <tableColumn id="6" xr3:uid="{00000000-0010-0000-0700-000006000000}" name="NRR"/>
    <tableColumn id="28" xr3:uid="{00000000-0010-0000-0700-00001C000000}" name="DOHMH Priority Level"/>
    <tableColumn id="7" xr3:uid="{00000000-0010-0000-0700-000007000000}" name="# Interior Compactors MRST" dataDxfId="57">
      <calculatedColumnFormula>IFERROR(VLOOKUP(Data[[#This Row],[DEVELOPMENT]],IntCompactors_MRST[],4,FALSE),0)</calculatedColumnFormula>
    </tableColumn>
    <tableColumn id="8" xr3:uid="{00000000-0010-0000-0700-000008000000}" name="# Exterior Compactors MRST" dataDxfId="56">
      <calculatedColumnFormula>IFERROR(VLOOKUP(Data[[#This Row],[DEVELOPMENT]],ExtCompactors_MRST[],4,FALSE),0)</calculatedColumnFormula>
    </tableColumn>
    <tableColumn id="13" xr3:uid="{00000000-0010-0000-0700-00000D000000}" name="Interior Compactor Install" dataDxfId="55">
      <calculatedColumnFormula>IF(Data[[#This Row],['# Interior Compactors MRST]]=0,"",VLOOKUP(Data[[#This Row],[DEVELOPMENT]],IntCompactors_MRST[],5,FALSE))</calculatedColumnFormula>
    </tableColumn>
    <tableColumn id="14" xr3:uid="{00000000-0010-0000-0700-00000E000000}" name="Exterior Compactor Install" dataDxfId="54">
      <calculatedColumnFormula>IF(Data[[#This Row],['# Exterior Compactors MRST]]=0,"",VLOOKUP(Data[[#This Row],[DEVELOPMENT]],ExtCompactors_MRST[],5,FALSE))</calculatedColumnFormula>
    </tableColumn>
    <tableColumn id="15" xr3:uid="{00000000-0010-0000-0700-00000F000000}" name="Enlarge Hopper Door" dataDxfId="53">
      <calculatedColumnFormula>Data[[#This Row],['# Interior Compactors MRST]]</calculatedColumnFormula>
    </tableColumn>
    <tableColumn id="16" xr3:uid="{00000000-0010-0000-0700-000010000000}" name="Bulk Crusher" dataDxfId="52">
      <calculatedColumnFormula>IF(Data[[#This Row],['# Bulk Crushers]]=0,1,0)</calculatedColumnFormula>
    </tableColumn>
    <tableColumn id="17" xr3:uid="{00000000-0010-0000-0700-000011000000}" name="Cardboard Baler" dataDxfId="51">
      <calculatedColumnFormula>1</calculatedColumnFormula>
    </tableColumn>
    <tableColumn id="18" xr3:uid="{00000000-0010-0000-0700-000012000000}" name="Mattress Recycling" dataDxfId="50">
      <calculatedColumnFormula>1</calculatedColumnFormula>
    </tableColumn>
    <tableColumn id="26" xr3:uid="{00000000-0010-0000-0700-00001A000000}" name="Electric Tilt Truck" dataDxfId="49">
      <calculatedColumnFormula>1</calculatedColumnFormula>
    </tableColumn>
    <tableColumn id="27" xr3:uid="{00000000-0010-0000-0700-00001B000000}" name="Secondary Collection Areas" dataDxfId="48">
      <calculatedColumnFormula>1</calculatedColumnFormula>
    </tableColumn>
    <tableColumn id="19" xr3:uid="{00000000-0010-0000-0700-000013000000}" name="Food Waste Disposer" dataDxfId="47">
      <calculatedColumnFormula>IF(Data[[#This Row],[Sewershed]]="Newtown Creek",Data[[#This Row],[DUs]],0)</calculatedColumnFormula>
    </tableColumn>
    <tableColumn id="11" xr3:uid="{00000000-0010-0000-0700-00000B000000}" name="DSNY - # ext affected" dataDxfId="46">
      <calculatedColumnFormula>IF(AND(Data[[#This Row],['# Exterior Compactors MRST]]=0,ISERROR(VLOOKUP(Data[[#This Row],[DEVELOPMENT]],[2]!Table1[[Development]:[Notes]],6,FALSE))),"",VLOOKUP(Data[[#This Row],[DEVELOPMENT]],[2]!Table1[[Development]:[Notes]],6,FALSE))</calculatedColumnFormula>
    </tableColumn>
    <tableColumn id="12" xr3:uid="{00000000-0010-0000-0700-00000C000000}" name="DSNY - replacement/new" dataDxfId="45">
      <calculatedColumnFormula>IF(AND(Data[[#This Row],['# Exterior Compactors MRST]]=0,ISERROR(VLOOKUP(Data[[#This Row],[DEVELOPMENT]],[2]!Table1[[Development]:[Notes]],5,FALSE))),"",VLOOKUP(Data[[#This Row],[DEVELOPMENT]],[2]!Table1[[Development]:[Notes]],5,FALSE))</calculatedColumnFormula>
    </tableColumn>
    <tableColumn id="20" xr3:uid="{00000000-0010-0000-0700-000014000000}" name="DSNY - notes" dataDxfId="44">
      <calculatedColumnFormula>IF(AND(Data[[#This Row],['# Exterior Compactors MRST]]=0,ISERROR(VLOOKUP(Data[[#This Row],[DEVELOPMENT]],[2]!Table1[[Development]:[Notes]],8,FALSE))),"",VLOOKUP(Data[[#This Row],[DEVELOPMENT]],[2]!Table1[[Development]:[Notes]],8,FALSE))</calculatedColumnFormula>
    </tableColumn>
    <tableColumn id="22" xr3:uid="{00000000-0010-0000-0700-000016000000}" name="TDS" dataDxfId="43">
      <calculatedColumnFormula>VLOOKUP(Data[[#This Row],[DEVELOPMENT]],Development_Data_Book[[DEVELOPMENT]:[BOROUGH]],3,FALSE)</calculatedColumnFormula>
    </tableColumn>
    <tableColumn id="23" xr3:uid="{00000000-0010-0000-0700-000017000000}" name="Sewershed" dataDxfId="42"/>
    <tableColumn id="21" xr3:uid="{00000000-0010-0000-0700-000015000000}" name="PNA Ext." dataDxfId="41">
      <calculatedColumnFormula>IFERROR(VLOOKUP(Data[[#This Row],[TDS]],ExtCompactors_PNA[[Development]:[0]],2,FALSE),0)</calculatedColumnFormula>
    </tableColumn>
    <tableColumn id="24" xr3:uid="{00000000-0010-0000-0700-000018000000}" name="PNA Int." dataDxfId="40">
      <calculatedColumnFormula>IFERROR(VLOOKUP(Data[[#This Row],[TDS]],IntCompactors_PNA[[TDS]:[0]],2,FALSE),0)</calculatedColumnFormula>
    </tableColumn>
    <tableColumn id="25" xr3:uid="{00000000-0010-0000-0700-000019000000}" name="# Bulk Crushers" dataDxfId="39"/>
    <tableColumn id="29" xr3:uid="{00000000-0010-0000-0700-00001D000000}" name="Bulk Install Date" dataDxfId="38"/>
    <tableColumn id="30" xr3:uid="{00000000-0010-0000-0700-00001E000000}" name="PNA # Ext RUL &lt;=5" dataDxfId="37">
      <calculatedColumnFormula>IFERROR(VLOOKUP(Data[[#This Row],[TDS]],ExtCompactors_PNA[[Development]:[0]],3,FALSE)+VLOOKUP(Data[[#This Row],[TDS]],ExtCompactors_PNA[[Development]:[0]],6,FALSE),0)</calculatedColumnFormula>
    </tableColumn>
    <tableColumn id="31" xr3:uid="{00000000-0010-0000-0700-00001F000000}" name="PNA # Int RUL &lt;=5" dataDxfId="36">
      <calculatedColumnFormula>IFERROR(VLOOKUP(Data[[#This Row],[TDS]],IntCompactors_PNA[[TDS]:[0]],3,FALSE)+VLOOKUP(Data[[#This Row],[TDS]],IntCompactors_PNA[[TDS]:[0]],6,FALSE),0)</calculatedColumnFormula>
    </tableColumn>
    <tableColumn id="32" xr3:uid="{00000000-0010-0000-0700-000020000000}" name="311 Developments" dataDxfId="35">
      <calculatedColumnFormula>VLOOKUP(Data[[#This Row],[DEVELOPMENT]],[3]Developments!$A$2:$A$312,1,FALSE)</calculatedColumnFormula>
    </tableColumn>
    <tableColumn id="33" xr3:uid="{00000000-0010-0000-0700-000021000000}" name="# Ext. Compactor Best Estimate" dataDxfId="34">
      <calculatedColumnFormula>IFERROR(VLOOKUP(Data[[#This Row],[DEVELOPMENT]],Ops_Priorities_and_Data_Clean[[development]:[ifnoext_comment]],3,FALSE),"")</calculatedColumnFormula>
    </tableColumn>
    <tableColumn id="65" xr3:uid="{00000000-0010-0000-0700-000041000000}" name="Ops Priority" dataDxfId="33">
      <calculatedColumnFormula>IFERROR(VLOOKUP(Data[[#This Row],[DEVELOPMENT]],Ops_Priorities_and_Data_Clean[[development]:[ifnoext_comment]],4,FALSE),"")</calculatedColumnFormula>
    </tableColumn>
    <tableColumn id="35" xr3:uid="{00000000-0010-0000-0700-000023000000}" name="External Compactor boolean" dataDxfId="32">
      <calculatedColumnFormula>IFERROR(VLOOKUP(Data[[#This Row],[DEVELOPMENT]],Ops_Priorities_and_Data_Clean[[development]:[ifnoext_comment]],5,FALSE),"")</calculatedColumnFormula>
    </tableColumn>
    <tableColumn id="36" xr3:uid="{00000000-0010-0000-0700-000024000000}" name="Share boolean" dataDxfId="31">
      <calculatedColumnFormula>IFERROR(VLOOKUP(Data[[#This Row],[DEVELOPMENT]],Ops_Priorities_and_Data_Clean[[development]:[ifnoext_comment]],6,FALSE),"")</calculatedColumnFormula>
    </tableColumn>
    <tableColumn id="37" xr3:uid="{00000000-0010-0000-0700-000025000000}" name="Curbside boolean" dataDxfId="30">
      <calculatedColumnFormula>IFERROR(VLOOKUP(Data[[#This Row],[DEVELOPMENT]],Ops_Priorities_and_Data_Clean[[development]:[ifnoext_comment]],7,FALSE),"")</calculatedColumnFormula>
    </tableColumn>
    <tableColumn id="38" xr3:uid="{00000000-0010-0000-0700-000026000000}" name="Total Curb/Share/External Bool" dataDxfId="29">
      <calculatedColumnFormula>IFERROR(VLOOKUP(Data[[#This Row],[DEVELOPMENT]],Ops_Priorities_and_Data_Clean[[development]:[ifnoext_comment]],8,FALSE),"")</calculatedColumnFormula>
    </tableColumn>
    <tableColumn id="66" xr3:uid="{00000000-0010-0000-0700-000042000000}" name="If No Exterior, Is there physical space for an external?" dataDxfId="28">
      <calculatedColumnFormula>IFERROR(VLOOKUP(Data[[#This Row],[DEVELOPMENT]],Ops_Priorities_and_Data_Clean[[development]:[ifnoext_comment]],9,FALSE),"")</calculatedColumnFormula>
    </tableColumn>
    <tableColumn id="40" xr3:uid="{00000000-0010-0000-0700-000028000000}" name="Operations Survey - Number of Exteriors" dataDxfId="27">
      <calculatedColumnFormula>IFERROR(VLOOKUP(Data[[#This Row],[DEVELOPMENT]],Ops_Priorities_and_Data_Clean[[development]:[ifnoext_comment]],10,FALSE),"")</calculatedColumnFormula>
    </tableColumn>
    <tableColumn id="41" xr3:uid="{00000000-0010-0000-0700-000029000000}" name="MRST - Number of Exteriors" dataDxfId="26">
      <calculatedColumnFormula>IFERROR(VLOOKUP(Data[[#This Row],[DEVELOPMENT]],Ops_Priorities_and_Data_Clean[[development]:[ifnoext_comment]],11,FALSE),"")</calculatedColumnFormula>
    </tableColumn>
    <tableColumn id="42" xr3:uid="{00000000-0010-0000-0700-00002A000000}" name="Maximo - Number of Exteriors" dataDxfId="25">
      <calculatedColumnFormula>IFERROR(VLOOKUP(Data[[#This Row],[DEVELOPMENT]],Ops_Priorities_and_Data_Clean[[development]:[ifnoext_comment]],12,FALSE),"")</calculatedColumnFormula>
    </tableColumn>
    <tableColumn id="44" xr3:uid="{00000000-0010-0000-0700-00002C000000}" name="Operations Survey - Curbside?" dataDxfId="24">
      <calculatedColumnFormula>VLOOKUP(Data[[#This Row],[DEVELOPMENT]],Ops_Priorities_and_Data_Clean[[development]:[ifnoext_comment]],14,FALSE)</calculatedColumnFormula>
    </tableColumn>
    <tableColumn id="45" xr3:uid="{00000000-0010-0000-0700-00002D000000}" name="Operations Survey - Shared Site?" dataDxfId="23">
      <calculatedColumnFormula>VLOOKUP(Data[[#This Row],[DEVELOPMENT]],Ops_Priorities_and_Data_Clean[[development]:[ifnoext_comment]],15,FALSE)</calculatedColumnFormula>
    </tableColumn>
    <tableColumn id="46" xr3:uid="{00000000-0010-0000-0700-00002E000000}" name="Operations Survey - Shared Site" dataDxfId="22">
      <calculatedColumnFormula>VLOOKUP(Data[[#This Row],[DEVELOPMENT]],Ops_Priorities_and_Data_Clean[[development]:[ifnoext_comment]],16,FALSE)</calculatedColumnFormula>
    </tableColumn>
    <tableColumn id="47" xr3:uid="{00000000-0010-0000-0700-00002F000000}" name="Operations Survey Notes" dataDxfId="21">
      <calculatedColumnFormula>VLOOKUP(Data[[#This Row],[DEVELOPMENT]],Ops_Priorities_and_Data_Clean[[development]:[ifnoext_comment]],17,FALSE)</calculatedColumnFormula>
    </tableColumn>
    <tableColumn id="48" xr3:uid="{00000000-0010-0000-0700-000030000000}" name="Pact/NRR Curbside" dataDxfId="20">
      <calculatedColumnFormula>VLOOKUP(Data[[#This Row],[DEVELOPMENT]],Ops_Priorities_and_Data_Clean[[development]:[ifnoext_comment]],18,FALSE)</calculatedColumnFormula>
    </tableColumn>
    <tableColumn id="49" xr3:uid="{00000000-0010-0000-0700-000031000000}" name="Pact/NRR Data Notes" dataDxfId="19">
      <calculatedColumnFormula>VLOOKUP(Data[[#This Row],[DEVELOPMENT]],Ops_Priorities_and_Data_Clean[[development]:[ifnoext_comment]],19,FALSE)</calculatedColumnFormula>
    </tableColumn>
    <tableColumn id="50" xr3:uid="{00000000-0010-0000-0700-000032000000}" name="If No Exterior, Is there physical space for an external? Comments" dataDxfId="18">
      <calculatedColumnFormula>VLOOKUP(Data[[#This Row],[DEVELOPMENT]],Ops_Priorities_and_Data_Clean[[development]:[ifnoext_comment]],20,FALSE)</calculatedColumnFormula>
    </tableColumn>
    <tableColumn id="51" xr3:uid="{00000000-0010-0000-0700-000033000000}" name="Management Jurisdiction" dataDxfId="17"/>
    <tableColumn id="52" xr3:uid="{00000000-0010-0000-0700-000034000000}" name="Neighborhood" dataDxfId="16"/>
    <tableColumn id="53" xr3:uid="{00000000-0010-0000-0700-000035000000}" name="Program" dataDxfId="15">
      <calculatedColumnFormula>VLOOKUP(Data[[#This Row],[DEVELOPMENT]],Development_Data_Book[[DEVELOPMENT]:[PRIVATE MANAGEMENT]],8,FALSE)</calculatedColumnFormula>
    </tableColumn>
    <tableColumn id="54" xr3:uid="{00000000-0010-0000-0700-000036000000}" name="Style" dataDxfId="14"/>
    <tableColumn id="55" xr3:uid="{00000000-0010-0000-0700-000037000000}" name="Non-Dwelling Buildings" dataDxfId="13">
      <calculatedColumnFormula>VLOOKUP(Data[[#This Row],[DEVELOPMENT]],Development_Data_Book[[DEVELOPMENT]:[PRIVATE MANAGEMENT]],22,FALSE)</calculatedColumnFormula>
    </tableColumn>
    <tableColumn id="57" xr3:uid="{00000000-0010-0000-0700-000039000000}" name="Total Buildings" dataDxfId="12">
      <calculatedColumnFormula>Data[[#This Row],[Non-Dwelling Buildings]]+Data[[#This Row],[Dwelling Buildings]]</calculatedColumnFormula>
    </tableColumn>
    <tableColumn id="58" xr3:uid="{00000000-0010-0000-0700-00003A000000}" name="Acreage" dataDxfId="11">
      <calculatedColumnFormula>VLOOKUP(Data[[#This Row],[DEVELOPMENT]],Development_Data_Book[[DEVELOPMENT]:[PRIVATE MANAGEMENT]],26,FALSE)</calculatedColumnFormula>
    </tableColumn>
    <tableColumn id="59" xr3:uid="{00000000-0010-0000-0700-00003B000000}" name="Building Footage" dataDxfId="10"/>
    <tableColumn id="61" xr3:uid="{00000000-0010-0000-0700-00003D000000}" name="Total Population" dataDxfId="9">
      <calculatedColumnFormula>VLOOKUP(Data[[#This Row],[DEVELOPMENT]],Development_Data_Book[[DEVELOPMENT]:[PRIVATE MANAGEMENT]],18,FALSE)</calculatedColumnFormula>
    </tableColumn>
    <tableColumn id="62" xr3:uid="{00000000-0010-0000-0700-00003E000000}" name="Elderly?" dataDxfId="8">
      <calculatedColumnFormula>IF(ISBLANK(VLOOKUP(Data[[#This Row],[DEVELOPMENT]],Development_Data_Book[[DEVELOPMENT]:[PRIVATE MANAGEMENT]],48,FALSE)),"",VLOOKUP(Data[[#This Row],[DEVELOPMENT]],Development_Data_Book[[DEVELOPMENT]:[PRIVATE MANAGEMENT]],48,FALSE))</calculatedColumnFormula>
    </tableColumn>
    <tableColumn id="63" xr3:uid="{00000000-0010-0000-0700-00003F000000}" name="REES Zone" dataDxfId="7"/>
    <tableColumn id="64" xr3:uid="{00000000-0010-0000-0700-000040000000}" name="MAP Site" dataDxfId="6"/>
    <tableColumn id="39" xr3:uid="{00000000-0010-0000-0700-000027000000}" name="COMMUNITY DISTRICT" dataDxfId="5">
      <calculatedColumnFormula>VLOOKUP(Data[[#This Row],[DEVELOPMENT]],Development_Data_Book[[DEVELOPMENT]:[PRIVATE MANAGEMENT]],41,FALSE)</calculatedColumnFormula>
    </tableColumn>
    <tableColumn id="43" xr3:uid="{00000000-0010-0000-0700-00002B000000}" name="US CONGRESSIONAL DISTRICT" dataDxfId="4">
      <calculatedColumnFormula>VLOOKUP(Data[[#This Row],[DEVELOPMENT]],Development_Data_Book[[DEVELOPMENT]:[PRIVATE MANAGEMENT]],42,FALSE)</calculatedColumnFormula>
    </tableColumn>
    <tableColumn id="56" xr3:uid="{00000000-0010-0000-0700-000038000000}" name="NY STATE SENATE DISTRICT" dataDxfId="3">
      <calculatedColumnFormula>VLOOKUP(Data[[#This Row],[DEVELOPMENT]],Development_Data_Book[[DEVELOPMENT]:[PRIVATE MANAGEMENT]],43,FALSE)</calculatedColumnFormula>
    </tableColumn>
    <tableColumn id="60" xr3:uid="{00000000-0010-0000-0700-00003C000000}" name="NY STATE ASSEMBLY DISTRICT" dataDxfId="2">
      <calculatedColumnFormula>VLOOKUP(Data[[#This Row],[DEVELOPMENT]],Development_Data_Book[[DEVELOPMENT]:[PRIVATE MANAGEMENT]],44,FALSE)</calculatedColumnFormula>
    </tableColumn>
    <tableColumn id="67" xr3:uid="{00000000-0010-0000-0700-000043000000}" name="NY CITY COUNCIL DISTRICT" dataDxfId="1">
      <calculatedColumnFormula>VLOOKUP(Data[[#This Row],[DEVELOPMENT]],Development_Data_Book[[DEVELOPMENT]:[PRIVATE MANAGEMENT]],45,FALSE)</calculatedColumnFormula>
    </tableColumn>
    <tableColumn id="34" xr3:uid="{00000000-0010-0000-0700-000022000000}" name="# stories" dataDxfId="0">
      <calculatedColumnFormula>VLOOKUP(Data[[#This Row],[DEVELOPMENT]],Development_Data_Book[[DEVELOPMENT]:[PRIVATE MANAGEMENT]],24,FALSE)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303"/>
  <sheetViews>
    <sheetView zoomScaleNormal="100" workbookViewId="0">
      <pane xSplit="3" ySplit="4" topLeftCell="G23" activePane="bottomRight" state="frozen"/>
      <selection pane="bottomRight" activeCell="G24" sqref="G24"/>
      <selection pane="bottomLeft" activeCell="A4" sqref="A4"/>
      <selection pane="topRight" activeCell="D1" sqref="D1"/>
    </sheetView>
  </sheetViews>
  <sheetFormatPr defaultColWidth="8.7109375" defaultRowHeight="14.45"/>
  <cols>
    <col min="1" max="1" width="14.7109375" bestFit="1" customWidth="1"/>
    <col min="2" max="2" width="20.28515625" hidden="1" customWidth="1"/>
    <col min="3" max="3" width="39.42578125" bestFit="1" customWidth="1"/>
    <col min="4" max="4" width="9.28515625" bestFit="1" customWidth="1"/>
    <col min="5" max="5" width="17.28515625" bestFit="1" customWidth="1"/>
    <col min="6" max="6" width="14.7109375" bestFit="1" customWidth="1"/>
    <col min="7" max="7" width="24.7109375" bestFit="1" customWidth="1"/>
    <col min="8" max="8" width="22" bestFit="1" customWidth="1"/>
    <col min="9" max="9" width="17.42578125" hidden="1" customWidth="1"/>
    <col min="10" max="10" width="21.28515625" hidden="1" customWidth="1"/>
    <col min="11" max="11" width="19.28515625" hidden="1" customWidth="1"/>
    <col min="12" max="12" width="16.140625" style="60" bestFit="1" customWidth="1"/>
    <col min="13" max="13" width="20.140625" style="60" bestFit="1" customWidth="1"/>
    <col min="14" max="14" width="16.42578125" style="60" bestFit="1" customWidth="1"/>
    <col min="15" max="15" width="18" bestFit="1" customWidth="1"/>
    <col min="16" max="16" width="16.28515625" bestFit="1" customWidth="1"/>
    <col min="17" max="17" width="14.28515625" bestFit="1" customWidth="1"/>
    <col min="18" max="18" width="16.28515625" bestFit="1" customWidth="1"/>
    <col min="19" max="19" width="25.42578125" bestFit="1" customWidth="1"/>
    <col min="20" max="20" width="53" bestFit="1" customWidth="1"/>
    <col min="21" max="21" width="19.7109375" bestFit="1" customWidth="1"/>
    <col min="22" max="22" width="9.140625" customWidth="1"/>
  </cols>
  <sheetData>
    <row r="1" spans="1:20">
      <c r="P1" t="s">
        <v>0</v>
      </c>
      <c r="Q1" t="s">
        <v>1</v>
      </c>
      <c r="R1" t="s">
        <v>2</v>
      </c>
    </row>
    <row r="2" spans="1:20">
      <c r="A2" t="s">
        <v>3</v>
      </c>
      <c r="C2">
        <f>SUMPRODUCT(1/COUNTIF(Table1[DEVELOPMENT],Table1[DEVELOPMENT]))</f>
        <v>108.00000000000009</v>
      </c>
      <c r="H2" t="s">
        <v>4</v>
      </c>
      <c r="Q2" s="22">
        <f>SUM(Table1[COST])</f>
        <v>3175752.5500000003</v>
      </c>
      <c r="R2" s="22" t="e">
        <f ca="1">SUM(Table1[ESTIMATES])</f>
        <v>#N/A</v>
      </c>
      <c r="S2" s="22" t="e">
        <f ca="1">SUM(Q2:R2)</f>
        <v>#N/A</v>
      </c>
    </row>
    <row r="4" spans="1:20" s="60" customFormat="1">
      <c r="A4" s="87" t="s">
        <v>5</v>
      </c>
      <c r="B4" s="88" t="s">
        <v>6</v>
      </c>
      <c r="C4" s="88" t="s">
        <v>7</v>
      </c>
      <c r="D4" s="88" t="s">
        <v>8</v>
      </c>
      <c r="E4" s="88" t="s">
        <v>9</v>
      </c>
      <c r="F4" s="88" t="s">
        <v>10</v>
      </c>
      <c r="G4" s="88" t="s">
        <v>11</v>
      </c>
      <c r="H4" s="88" t="s">
        <v>12</v>
      </c>
      <c r="I4" s="89" t="s">
        <v>13</v>
      </c>
      <c r="J4" s="59" t="s">
        <v>14</v>
      </c>
      <c r="K4" s="90" t="s">
        <v>15</v>
      </c>
      <c r="L4" s="91" t="s">
        <v>16</v>
      </c>
      <c r="M4" s="88" t="s">
        <v>17</v>
      </c>
      <c r="N4" s="88" t="s">
        <v>18</v>
      </c>
      <c r="O4" s="88" t="s">
        <v>19</v>
      </c>
      <c r="P4" s="88" t="s">
        <v>20</v>
      </c>
      <c r="Q4" s="88" t="s">
        <v>21</v>
      </c>
      <c r="R4" s="88" t="s">
        <v>22</v>
      </c>
      <c r="S4" s="88" t="s">
        <v>23</v>
      </c>
      <c r="T4" s="92" t="s">
        <v>24</v>
      </c>
    </row>
    <row r="5" spans="1:20">
      <c r="A5" s="13" t="str">
        <f>VLOOKUP(C5,Data[],2,FALSE)</f>
        <v>BROOKLYN</v>
      </c>
      <c r="B5" s="9" t="s">
        <v>25</v>
      </c>
      <c r="C5" s="9" t="s">
        <v>26</v>
      </c>
      <c r="D5" s="1" t="str">
        <f>VLOOKUP(Table1[[#This Row],[DEVELOPMENT]],Data[],MATCH(Table1[[#Headers],[NRR]],Data[#Headers],0),FALSE)</f>
        <v>Zone 1</v>
      </c>
      <c r="E5" s="1" t="e">
        <f>VLOOKUP(Table1[[#This Row],[DEVELOPMENT]],Data[],MATCH(Table1[[#Headers],[Priority Level]],Data[#Headers],0),FALSE)</f>
        <v>#N/A</v>
      </c>
      <c r="F5" s="1" t="e">
        <f>VLOOKUP(Table1[[#This Row],[DEVELOPMENT]],Data[],MATCH(Table1[[#Headers],[RAD/PACT]],Data[#Headers],0),FALSE)</f>
        <v>#N/A</v>
      </c>
      <c r="G5" s="9" t="s">
        <v>27</v>
      </c>
      <c r="H5" s="57" t="s">
        <v>28</v>
      </c>
      <c r="I5" s="10">
        <f>K5</f>
        <v>24000</v>
      </c>
      <c r="J5" s="10"/>
      <c r="K5" s="11">
        <v>24000</v>
      </c>
      <c r="L5" s="73">
        <v>2019</v>
      </c>
      <c r="M5" s="75">
        <v>2019</v>
      </c>
      <c r="N5" s="75">
        <v>2020</v>
      </c>
      <c r="O5" s="2" t="s">
        <v>29</v>
      </c>
      <c r="P5" s="2"/>
      <c r="Q5" s="3">
        <v>44243.94</v>
      </c>
      <c r="R5" s="3"/>
      <c r="S5" s="1" t="s">
        <v>30</v>
      </c>
      <c r="T5" s="16"/>
    </row>
    <row r="6" spans="1:20">
      <c r="A6" s="13" t="str">
        <f>VLOOKUP(C6,Data[],2,FALSE)</f>
        <v>BRONX</v>
      </c>
      <c r="B6" s="9" t="s">
        <v>25</v>
      </c>
      <c r="C6" s="9" t="s">
        <v>31</v>
      </c>
      <c r="D6" s="1" t="str">
        <f>VLOOKUP(Table1[[#This Row],[DEVELOPMENT]],Data[],MATCH(Table1[[#Headers],[NRR]],Data[#Headers],0),FALSE)</f>
        <v>Zone 1</v>
      </c>
      <c r="E6" s="1" t="e">
        <f>VLOOKUP(Table1[[#This Row],[DEVELOPMENT]],Data[],MATCH(Table1[[#Headers],[Priority Level]],Data[#Headers],0),FALSE)</f>
        <v>#N/A</v>
      </c>
      <c r="F6" s="1" t="e">
        <f>VLOOKUP(Table1[[#This Row],[DEVELOPMENT]],Data[],MATCH(Table1[[#Headers],[RAD/PACT]],Data[#Headers],0),FALSE)</f>
        <v>#N/A</v>
      </c>
      <c r="G6" s="9" t="s">
        <v>27</v>
      </c>
      <c r="H6" s="57" t="s">
        <v>28</v>
      </c>
      <c r="I6" s="10">
        <f>K6</f>
        <v>18000</v>
      </c>
      <c r="J6" s="10"/>
      <c r="K6" s="11">
        <v>18000</v>
      </c>
      <c r="L6" s="73">
        <v>2019</v>
      </c>
      <c r="M6" s="75">
        <v>2019</v>
      </c>
      <c r="N6" s="75">
        <v>2020</v>
      </c>
      <c r="O6" s="2" t="s">
        <v>29</v>
      </c>
      <c r="P6" s="2"/>
      <c r="Q6" s="3">
        <f>INDEX(UnitCosts[],MATCH(Table1[[#This Row],[WORK TYPE]],UnitCosts[Work Type],0),2)*VLOOKUP(Table1[[#This Row],[DEVELOPMENT]],Data[],MATCH(Table1[[#This Row],[WORK TYPE]],Data[#Headers],0),FALSE)</f>
        <v>44613.861000000004</v>
      </c>
      <c r="R6" s="3"/>
      <c r="S6" s="1" t="s">
        <v>30</v>
      </c>
      <c r="T6" s="16"/>
    </row>
    <row r="7" spans="1:20">
      <c r="A7" s="13" t="str">
        <f>VLOOKUP(C7,Data[],2,FALSE)</f>
        <v>BRONX</v>
      </c>
      <c r="B7" s="9" t="s">
        <v>25</v>
      </c>
      <c r="C7" s="9" t="s">
        <v>32</v>
      </c>
      <c r="D7" s="1" t="str">
        <f>VLOOKUP(Table1[[#This Row],[DEVELOPMENT]],Data[],MATCH(Table1[[#Headers],[NRR]],Data[#Headers],0),FALSE)</f>
        <v>Zone 1</v>
      </c>
      <c r="E7" s="1" t="e">
        <f>VLOOKUP(Table1[[#This Row],[DEVELOPMENT]],Data[],MATCH(Table1[[#Headers],[Priority Level]],Data[#Headers],0),FALSE)</f>
        <v>#N/A</v>
      </c>
      <c r="F7" s="1" t="e">
        <f>VLOOKUP(Table1[[#This Row],[DEVELOPMENT]],Data[],MATCH(Table1[[#Headers],[RAD/PACT]],Data[#Headers],0),FALSE)</f>
        <v>#N/A</v>
      </c>
      <c r="G7" s="9" t="s">
        <v>27</v>
      </c>
      <c r="H7" s="57" t="s">
        <v>33</v>
      </c>
      <c r="I7" s="12"/>
      <c r="J7" s="10">
        <f>K7</f>
        <v>24000</v>
      </c>
      <c r="K7" s="11">
        <v>24000</v>
      </c>
      <c r="L7" s="73">
        <v>2019</v>
      </c>
      <c r="M7" s="75">
        <v>2019</v>
      </c>
      <c r="N7" s="75">
        <v>2020</v>
      </c>
      <c r="O7" s="2" t="s">
        <v>29</v>
      </c>
      <c r="P7" s="2"/>
      <c r="Q7" s="3">
        <f>INDEX(UnitCosts[],MATCH(Table1[[#This Row],[WORK TYPE]],UnitCosts[Work Type],0),2)*VLOOKUP(Table1[[#This Row],[DEVELOPMENT]],Data[],MATCH(Table1[[#This Row],[WORK TYPE]],Data[#Headers],0),FALSE)</f>
        <v>59485.148000000001</v>
      </c>
      <c r="R7" s="3"/>
      <c r="S7" s="1" t="s">
        <v>30</v>
      </c>
      <c r="T7" s="16"/>
    </row>
    <row r="8" spans="1:20">
      <c r="A8" s="13" t="str">
        <f>VLOOKUP(C8,Data[],2,FALSE)</f>
        <v>BRONX</v>
      </c>
      <c r="B8" s="9" t="s">
        <v>25</v>
      </c>
      <c r="C8" s="9" t="s">
        <v>34</v>
      </c>
      <c r="D8" s="1" t="str">
        <f>VLOOKUP(Table1[[#This Row],[DEVELOPMENT]],Data[],MATCH(Table1[[#Headers],[NRR]],Data[#Headers],0),FALSE)</f>
        <v>Zone 1</v>
      </c>
      <c r="E8" s="1" t="e">
        <f>VLOOKUP(Table1[[#This Row],[DEVELOPMENT]],Data[],MATCH(Table1[[#Headers],[Priority Level]],Data[#Headers],0),FALSE)</f>
        <v>#N/A</v>
      </c>
      <c r="F8" s="1" t="e">
        <f>VLOOKUP(Table1[[#This Row],[DEVELOPMENT]],Data[],MATCH(Table1[[#Headers],[RAD/PACT]],Data[#Headers],0),FALSE)</f>
        <v>#N/A</v>
      </c>
      <c r="G8" s="9" t="s">
        <v>27</v>
      </c>
      <c r="H8" s="57" t="s">
        <v>33</v>
      </c>
      <c r="I8" s="12"/>
      <c r="J8" s="10">
        <f>K8</f>
        <v>27000</v>
      </c>
      <c r="K8" s="11">
        <v>27000</v>
      </c>
      <c r="L8" s="73">
        <v>2019</v>
      </c>
      <c r="M8" s="75">
        <v>2019</v>
      </c>
      <c r="N8" s="75">
        <v>2020</v>
      </c>
      <c r="O8" s="2" t="s">
        <v>29</v>
      </c>
      <c r="P8" s="2"/>
      <c r="Q8" s="3">
        <f>INDEX(UnitCosts[],MATCH(Table1[[#This Row],[WORK TYPE]],UnitCosts[Work Type],0),2)*VLOOKUP(Table1[[#This Row],[DEVELOPMENT]],Data[],MATCH(Table1[[#This Row],[WORK TYPE]],Data[#Headers],0),FALSE)</f>
        <v>66920.791500000007</v>
      </c>
      <c r="R8" s="3"/>
      <c r="S8" s="1" t="s">
        <v>30</v>
      </c>
      <c r="T8" s="16"/>
    </row>
    <row r="9" spans="1:20">
      <c r="A9" s="13" t="str">
        <f>VLOOKUP(C9,Data[],2,FALSE)</f>
        <v>BRONX</v>
      </c>
      <c r="B9" s="9" t="s">
        <v>25</v>
      </c>
      <c r="C9" s="9" t="s">
        <v>35</v>
      </c>
      <c r="D9" s="1" t="str">
        <f>VLOOKUP(Table1[[#This Row],[DEVELOPMENT]],Data[],MATCH(Table1[[#Headers],[NRR]],Data[#Headers],0),FALSE)</f>
        <v>Zone 1</v>
      </c>
      <c r="E9" s="1" t="e">
        <f>VLOOKUP(Table1[[#This Row],[DEVELOPMENT]],Data[],MATCH(Table1[[#Headers],[Priority Level]],Data[#Headers],0),FALSE)</f>
        <v>#N/A</v>
      </c>
      <c r="F9" s="1" t="e">
        <f>VLOOKUP(Table1[[#This Row],[DEVELOPMENT]],Data[],MATCH(Table1[[#Headers],[RAD/PACT]],Data[#Headers],0),FALSE)</f>
        <v>#N/A</v>
      </c>
      <c r="G9" s="9" t="s">
        <v>27</v>
      </c>
      <c r="H9" s="57" t="s">
        <v>28</v>
      </c>
      <c r="I9" s="10">
        <f t="shared" ref="I9:I19" si="0">K9</f>
        <v>21000</v>
      </c>
      <c r="J9" s="10"/>
      <c r="K9" s="11">
        <v>21000</v>
      </c>
      <c r="L9" s="73">
        <v>2019</v>
      </c>
      <c r="M9" s="75">
        <v>2019</v>
      </c>
      <c r="N9" s="75">
        <v>2020</v>
      </c>
      <c r="O9" s="2" t="s">
        <v>29</v>
      </c>
      <c r="P9" s="2"/>
      <c r="Q9" s="3">
        <f>INDEX(UnitCosts[],MATCH(Table1[[#This Row],[WORK TYPE]],UnitCosts[Work Type],0),2)*VLOOKUP(Table1[[#This Row],[DEVELOPMENT]],Data[],MATCH(Table1[[#This Row],[WORK TYPE]],Data[#Headers],0),FALSE)</f>
        <v>52049.504500000003</v>
      </c>
      <c r="R9" s="3"/>
      <c r="S9" s="1" t="s">
        <v>30</v>
      </c>
      <c r="T9" s="16"/>
    </row>
    <row r="10" spans="1:20">
      <c r="A10" s="13" t="str">
        <f>VLOOKUP(C10,Data[],2,FALSE)</f>
        <v>MANHATTAN</v>
      </c>
      <c r="B10" s="9" t="s">
        <v>25</v>
      </c>
      <c r="C10" s="9" t="s">
        <v>36</v>
      </c>
      <c r="D10" s="1" t="str">
        <f>VLOOKUP(Table1[[#This Row],[DEVELOPMENT]],Data[],MATCH(Table1[[#Headers],[NRR]],Data[#Headers],0),FALSE)</f>
        <v>Zone 1</v>
      </c>
      <c r="E10" s="1" t="e">
        <f>VLOOKUP(Table1[[#This Row],[DEVELOPMENT]],Data[],MATCH(Table1[[#Headers],[Priority Level]],Data[#Headers],0),FALSE)</f>
        <v>#N/A</v>
      </c>
      <c r="F10" s="1" t="e">
        <f>VLOOKUP(Table1[[#This Row],[DEVELOPMENT]],Data[],MATCH(Table1[[#Headers],[RAD/PACT]],Data[#Headers],0),FALSE)</f>
        <v>#N/A</v>
      </c>
      <c r="G10" s="9" t="s">
        <v>27</v>
      </c>
      <c r="H10" s="57" t="s">
        <v>28</v>
      </c>
      <c r="I10" s="10">
        <f t="shared" si="0"/>
        <v>27000</v>
      </c>
      <c r="J10" s="10"/>
      <c r="K10" s="11">
        <v>27000</v>
      </c>
      <c r="L10" s="73">
        <v>2019</v>
      </c>
      <c r="M10" s="75">
        <v>2019</v>
      </c>
      <c r="N10" s="75">
        <v>2020</v>
      </c>
      <c r="O10" s="2" t="s">
        <v>29</v>
      </c>
      <c r="P10" s="2"/>
      <c r="Q10" s="47">
        <v>56519.89</v>
      </c>
      <c r="R10" s="3"/>
      <c r="S10" s="1" t="s">
        <v>30</v>
      </c>
      <c r="T10" s="16"/>
    </row>
    <row r="11" spans="1:20">
      <c r="A11" s="13" t="str">
        <f>VLOOKUP(C11,Data[],2,FALSE)</f>
        <v>BROOKLYN</v>
      </c>
      <c r="B11" s="9" t="s">
        <v>25</v>
      </c>
      <c r="C11" s="9" t="s">
        <v>37</v>
      </c>
      <c r="D11" s="1" t="str">
        <f>VLOOKUP(Table1[[#This Row],[DEVELOPMENT]],Data[],MATCH(Table1[[#Headers],[NRR]],Data[#Headers],0),FALSE)</f>
        <v>Zone 1</v>
      </c>
      <c r="E11" s="1" t="e">
        <f>VLOOKUP(Table1[[#This Row],[DEVELOPMENT]],Data[],MATCH(Table1[[#Headers],[Priority Level]],Data[#Headers],0),FALSE)</f>
        <v>#N/A</v>
      </c>
      <c r="F11" s="1" t="e">
        <f>VLOOKUP(Table1[[#This Row],[DEVELOPMENT]],Data[],MATCH(Table1[[#Headers],[RAD/PACT]],Data[#Headers],0),FALSE)</f>
        <v>#N/A</v>
      </c>
      <c r="G11" s="9" t="s">
        <v>27</v>
      </c>
      <c r="H11" s="57" t="s">
        <v>28</v>
      </c>
      <c r="I11" s="10">
        <f t="shared" si="0"/>
        <v>21000</v>
      </c>
      <c r="J11" s="10"/>
      <c r="K11" s="11">
        <v>21000</v>
      </c>
      <c r="L11" s="73">
        <v>2019</v>
      </c>
      <c r="M11" s="75">
        <v>2019</v>
      </c>
      <c r="N11" s="75">
        <v>2020</v>
      </c>
      <c r="O11" s="2" t="s">
        <v>29</v>
      </c>
      <c r="P11" s="2"/>
      <c r="Q11" s="3">
        <f>INDEX(UnitCosts[],MATCH(Table1[[#This Row],[WORK TYPE]],UnitCosts[Work Type],0),2)*VLOOKUP(Table1[[#This Row],[DEVELOPMENT]],Data[],MATCH(Table1[[#This Row],[WORK TYPE]],Data[#Headers],0),FALSE)</f>
        <v>52049.504500000003</v>
      </c>
      <c r="R11" s="3"/>
      <c r="S11" s="1" t="s">
        <v>30</v>
      </c>
      <c r="T11" s="16"/>
    </row>
    <row r="12" spans="1:20">
      <c r="A12" s="13" t="str">
        <f>VLOOKUP(C12,Data[],2,FALSE)</f>
        <v>BROOKLYN</v>
      </c>
      <c r="B12" s="9" t="s">
        <v>25</v>
      </c>
      <c r="C12" s="9" t="s">
        <v>38</v>
      </c>
      <c r="D12" s="1" t="str">
        <f>VLOOKUP(Table1[[#This Row],[DEVELOPMENT]],Data[],MATCH(Table1[[#Headers],[NRR]],Data[#Headers],0),FALSE)</f>
        <v>Zone 1</v>
      </c>
      <c r="E12" s="1" t="e">
        <f>VLOOKUP(Table1[[#This Row],[DEVELOPMENT]],Data[],MATCH(Table1[[#Headers],[Priority Level]],Data[#Headers],0),FALSE)</f>
        <v>#N/A</v>
      </c>
      <c r="F12" s="1" t="e">
        <f>VLOOKUP(Table1[[#This Row],[DEVELOPMENT]],Data[],MATCH(Table1[[#Headers],[RAD/PACT]],Data[#Headers],0),FALSE)</f>
        <v>#N/A</v>
      </c>
      <c r="G12" s="9" t="s">
        <v>27</v>
      </c>
      <c r="H12" s="57" t="s">
        <v>28</v>
      </c>
      <c r="I12" s="10">
        <f t="shared" si="0"/>
        <v>210000</v>
      </c>
      <c r="J12" s="10"/>
      <c r="K12" s="11">
        <v>210000</v>
      </c>
      <c r="L12" s="73">
        <v>2019</v>
      </c>
      <c r="M12" s="75">
        <v>2019</v>
      </c>
      <c r="N12" s="75">
        <v>2020</v>
      </c>
      <c r="O12" s="2" t="s">
        <v>29</v>
      </c>
      <c r="P12" s="2"/>
      <c r="Q12" s="3">
        <f>INDEX(UnitCosts[],MATCH(Table1[[#This Row],[WORK TYPE]],UnitCosts[Work Type],0),2)*VLOOKUP(Table1[[#This Row],[DEVELOPMENT]],Data[],MATCH(Table1[[#This Row],[WORK TYPE]],Data[#Headers],0),FALSE)</f>
        <v>520495.04499999998</v>
      </c>
      <c r="R12" s="3"/>
      <c r="S12" s="1" t="s">
        <v>30</v>
      </c>
      <c r="T12" s="16"/>
    </row>
    <row r="13" spans="1:20">
      <c r="A13" s="13" t="str">
        <f>VLOOKUP(C13,Data[],2,FALSE)</f>
        <v>BRONX</v>
      </c>
      <c r="B13" s="9" t="s">
        <v>25</v>
      </c>
      <c r="C13" s="9" t="s">
        <v>39</v>
      </c>
      <c r="D13" s="1" t="str">
        <f>VLOOKUP(Table1[[#This Row],[DEVELOPMENT]],Data[],MATCH(Table1[[#Headers],[NRR]],Data[#Headers],0),FALSE)</f>
        <v>Zone 1</v>
      </c>
      <c r="E13" s="1" t="e">
        <f>VLOOKUP(Table1[[#This Row],[DEVELOPMENT]],Data[],MATCH(Table1[[#Headers],[Priority Level]],Data[#Headers],0),FALSE)</f>
        <v>#N/A</v>
      </c>
      <c r="F13" s="1" t="e">
        <f>VLOOKUP(Table1[[#This Row],[DEVELOPMENT]],Data[],MATCH(Table1[[#Headers],[RAD/PACT]],Data[#Headers],0),FALSE)</f>
        <v>#N/A</v>
      </c>
      <c r="G13" s="9" t="s">
        <v>27</v>
      </c>
      <c r="H13" s="57" t="s">
        <v>28</v>
      </c>
      <c r="I13" s="10">
        <f t="shared" si="0"/>
        <v>24000</v>
      </c>
      <c r="J13" s="10"/>
      <c r="K13" s="11">
        <v>24000</v>
      </c>
      <c r="L13" s="73">
        <v>2019</v>
      </c>
      <c r="M13" s="75">
        <v>2019</v>
      </c>
      <c r="N13" s="75">
        <v>2020</v>
      </c>
      <c r="O13" s="2" t="s">
        <v>29</v>
      </c>
      <c r="P13" s="2"/>
      <c r="Q13" s="3">
        <f>INDEX(UnitCosts[],MATCH(Table1[[#This Row],[WORK TYPE]],UnitCosts[Work Type],0),2)*VLOOKUP(Table1[[#This Row],[DEVELOPMENT]],Data[],MATCH(Table1[[#This Row],[WORK TYPE]],Data[#Headers],0),FALSE)</f>
        <v>59485.148000000001</v>
      </c>
      <c r="R13" s="3"/>
      <c r="S13" s="1" t="s">
        <v>30</v>
      </c>
      <c r="T13" s="16"/>
    </row>
    <row r="14" spans="1:20">
      <c r="A14" s="13" t="str">
        <f>VLOOKUP(C14,Data[],2,FALSE)</f>
        <v>BRONX</v>
      </c>
      <c r="B14" s="9" t="s">
        <v>25</v>
      </c>
      <c r="C14" s="9" t="s">
        <v>40</v>
      </c>
      <c r="D14" s="1" t="str">
        <f>VLOOKUP(Table1[[#This Row],[DEVELOPMENT]],Data[],MATCH(Table1[[#Headers],[NRR]],Data[#Headers],0),FALSE)</f>
        <v>Zone 1</v>
      </c>
      <c r="E14" s="1" t="e">
        <f>VLOOKUP(Table1[[#This Row],[DEVELOPMENT]],Data[],MATCH(Table1[[#Headers],[Priority Level]],Data[#Headers],0),FALSE)</f>
        <v>#N/A</v>
      </c>
      <c r="F14" s="1" t="e">
        <f>VLOOKUP(Table1[[#This Row],[DEVELOPMENT]],Data[],MATCH(Table1[[#Headers],[RAD/PACT]],Data[#Headers],0),FALSE)</f>
        <v>#N/A</v>
      </c>
      <c r="G14" s="9" t="s">
        <v>27</v>
      </c>
      <c r="H14" s="57" t="s">
        <v>28</v>
      </c>
      <c r="I14" s="10">
        <f t="shared" si="0"/>
        <v>51000</v>
      </c>
      <c r="J14" s="10"/>
      <c r="K14" s="11">
        <v>51000</v>
      </c>
      <c r="L14" s="73">
        <v>2019</v>
      </c>
      <c r="M14" s="75">
        <v>2019</v>
      </c>
      <c r="N14" s="75">
        <v>2020</v>
      </c>
      <c r="O14" s="2" t="s">
        <v>29</v>
      </c>
      <c r="P14" s="2"/>
      <c r="Q14" s="3">
        <f>INDEX(UnitCosts[],MATCH(Table1[[#This Row],[WORK TYPE]],UnitCosts[Work Type],0),2)*VLOOKUP(Table1[[#This Row],[DEVELOPMENT]],Data[],MATCH(Table1[[#This Row],[WORK TYPE]],Data[#Headers],0),FALSE)</f>
        <v>66920.791500000007</v>
      </c>
      <c r="R14" s="3"/>
      <c r="S14" s="1" t="s">
        <v>30</v>
      </c>
      <c r="T14" s="16"/>
    </row>
    <row r="15" spans="1:20">
      <c r="A15" s="13" t="str">
        <f>VLOOKUP(C15,Data[],2,FALSE)</f>
        <v>BRONX</v>
      </c>
      <c r="B15" s="9" t="s">
        <v>25</v>
      </c>
      <c r="C15" s="9" t="s">
        <v>41</v>
      </c>
      <c r="D15" s="1" t="str">
        <f>VLOOKUP(Table1[[#This Row],[DEVELOPMENT]],Data[],MATCH(Table1[[#Headers],[NRR]],Data[#Headers],0),FALSE)</f>
        <v>Zone 1</v>
      </c>
      <c r="E15" s="1" t="e">
        <f>VLOOKUP(Table1[[#This Row],[DEVELOPMENT]],Data[],MATCH(Table1[[#Headers],[Priority Level]],Data[#Headers],0),FALSE)</f>
        <v>#N/A</v>
      </c>
      <c r="F15" s="1" t="e">
        <f>VLOOKUP(Table1[[#This Row],[DEVELOPMENT]],Data[],MATCH(Table1[[#Headers],[RAD/PACT]],Data[#Headers],0),FALSE)</f>
        <v>#N/A</v>
      </c>
      <c r="G15" s="9" t="s">
        <v>27</v>
      </c>
      <c r="H15" s="57" t="s">
        <v>28</v>
      </c>
      <c r="I15" s="10">
        <f t="shared" si="0"/>
        <v>15000</v>
      </c>
      <c r="J15" s="10"/>
      <c r="K15" s="11">
        <v>15000</v>
      </c>
      <c r="L15" s="73">
        <v>2019</v>
      </c>
      <c r="M15" s="75">
        <v>2019</v>
      </c>
      <c r="N15" s="75">
        <v>2020</v>
      </c>
      <c r="O15" s="2" t="s">
        <v>29</v>
      </c>
      <c r="P15" s="2"/>
      <c r="Q15" s="3">
        <f>INDEX(UnitCosts[],MATCH(Table1[[#This Row],[WORK TYPE]],UnitCosts[Work Type],0),2)*VLOOKUP(Table1[[#This Row],[DEVELOPMENT]],Data[],MATCH(Table1[[#This Row],[WORK TYPE]],Data[#Headers],0),FALSE)</f>
        <v>37178.217499999999</v>
      </c>
      <c r="R15" s="3"/>
      <c r="S15" s="1" t="s">
        <v>30</v>
      </c>
      <c r="T15" s="16"/>
    </row>
    <row r="16" spans="1:20">
      <c r="A16" s="13" t="str">
        <f>VLOOKUP(C16,Data[],2,FALSE)</f>
        <v>BROOKLYN</v>
      </c>
      <c r="B16" s="9" t="s">
        <v>25</v>
      </c>
      <c r="C16" s="9" t="s">
        <v>42</v>
      </c>
      <c r="D16" s="1" t="str">
        <f>VLOOKUP(Table1[[#This Row],[DEVELOPMENT]],Data[],MATCH(Table1[[#Headers],[NRR]],Data[#Headers],0),FALSE)</f>
        <v>Zone 1</v>
      </c>
      <c r="E16" s="1" t="e">
        <f>VLOOKUP(Table1[[#This Row],[DEVELOPMENT]],Data[],MATCH(Table1[[#Headers],[Priority Level]],Data[#Headers],0),FALSE)</f>
        <v>#N/A</v>
      </c>
      <c r="F16" s="1" t="e">
        <f>VLOOKUP(Table1[[#This Row],[DEVELOPMENT]],Data[],MATCH(Table1[[#Headers],[RAD/PACT]],Data[#Headers],0),FALSE)</f>
        <v>#N/A</v>
      </c>
      <c r="G16" s="9" t="s">
        <v>27</v>
      </c>
      <c r="H16" s="57" t="s">
        <v>28</v>
      </c>
      <c r="I16" s="10">
        <f t="shared" si="0"/>
        <v>18000</v>
      </c>
      <c r="J16" s="10"/>
      <c r="K16" s="11">
        <v>18000</v>
      </c>
      <c r="L16" s="73">
        <v>2019</v>
      </c>
      <c r="M16" s="75">
        <v>2019</v>
      </c>
      <c r="N16" s="75">
        <v>2020</v>
      </c>
      <c r="O16" s="2" t="s">
        <v>29</v>
      </c>
      <c r="P16" s="2"/>
      <c r="Q16" s="3">
        <f>INDEX(UnitCosts[],MATCH(Table1[[#This Row],[WORK TYPE]],UnitCosts[Work Type],0),2)*VLOOKUP(Table1[[#This Row],[DEVELOPMENT]],Data[],MATCH(Table1[[#This Row],[WORK TYPE]],Data[#Headers],0),FALSE)</f>
        <v>44613.861000000004</v>
      </c>
      <c r="R16" s="3"/>
      <c r="S16" s="1" t="s">
        <v>30</v>
      </c>
      <c r="T16" s="16"/>
    </row>
    <row r="17" spans="1:20">
      <c r="A17" s="13" t="str">
        <f>VLOOKUP(C17,Data[],2,FALSE)</f>
        <v>MANHATTAN</v>
      </c>
      <c r="B17" s="9" t="s">
        <v>25</v>
      </c>
      <c r="C17" s="9" t="s">
        <v>43</v>
      </c>
      <c r="D17" s="1" t="str">
        <f>VLOOKUP(Table1[[#This Row],[DEVELOPMENT]],Data[],MATCH(Table1[[#Headers],[NRR]],Data[#Headers],0),FALSE)</f>
        <v>Zone 1</v>
      </c>
      <c r="E17" s="1" t="e">
        <f>VLOOKUP(Table1[[#This Row],[DEVELOPMENT]],Data[],MATCH(Table1[[#Headers],[Priority Level]],Data[#Headers],0),FALSE)</f>
        <v>#N/A</v>
      </c>
      <c r="F17" s="1" t="e">
        <f>VLOOKUP(Table1[[#This Row],[DEVELOPMENT]],Data[],MATCH(Table1[[#Headers],[RAD/PACT]],Data[#Headers],0),FALSE)</f>
        <v>#N/A</v>
      </c>
      <c r="G17" s="9" t="s">
        <v>27</v>
      </c>
      <c r="H17" s="57" t="s">
        <v>28</v>
      </c>
      <c r="I17" s="10">
        <f t="shared" si="0"/>
        <v>15000</v>
      </c>
      <c r="J17" s="10"/>
      <c r="K17" s="11">
        <v>15000</v>
      </c>
      <c r="L17" s="73">
        <v>2019</v>
      </c>
      <c r="M17" s="75">
        <v>2019</v>
      </c>
      <c r="N17" s="75">
        <v>2020</v>
      </c>
      <c r="O17" s="2" t="s">
        <v>29</v>
      </c>
      <c r="P17" s="2"/>
      <c r="Q17" s="47">
        <v>32007.26</v>
      </c>
      <c r="R17" s="3"/>
      <c r="S17" s="1" t="s">
        <v>30</v>
      </c>
      <c r="T17" s="16"/>
    </row>
    <row r="18" spans="1:20">
      <c r="A18" s="13" t="str">
        <f>VLOOKUP(C18,Data[],2,FALSE)</f>
        <v>MANHATTAN</v>
      </c>
      <c r="B18" s="9" t="s">
        <v>25</v>
      </c>
      <c r="C18" s="9" t="s">
        <v>44</v>
      </c>
      <c r="D18" s="1" t="str">
        <f>VLOOKUP(Table1[[#This Row],[DEVELOPMENT]],Data[],MATCH(Table1[[#Headers],[NRR]],Data[#Headers],0),FALSE)</f>
        <v>Zone 1</v>
      </c>
      <c r="E18" s="1" t="e">
        <f>VLOOKUP(Table1[[#This Row],[DEVELOPMENT]],Data[],MATCH(Table1[[#Headers],[Priority Level]],Data[#Headers],0),FALSE)</f>
        <v>#N/A</v>
      </c>
      <c r="F18" s="1" t="e">
        <f>VLOOKUP(Table1[[#This Row],[DEVELOPMENT]],Data[],MATCH(Table1[[#Headers],[RAD/PACT]],Data[#Headers],0),FALSE)</f>
        <v>#N/A</v>
      </c>
      <c r="G18" s="9" t="s">
        <v>27</v>
      </c>
      <c r="H18" s="57" t="s">
        <v>28</v>
      </c>
      <c r="I18" s="10">
        <f t="shared" si="0"/>
        <v>36000</v>
      </c>
      <c r="J18" s="10"/>
      <c r="K18" s="11">
        <v>36000</v>
      </c>
      <c r="L18" s="73">
        <v>2019</v>
      </c>
      <c r="M18" s="75">
        <v>2019</v>
      </c>
      <c r="N18" s="75">
        <v>2020</v>
      </c>
      <c r="O18" s="2" t="s">
        <v>29</v>
      </c>
      <c r="P18" s="2"/>
      <c r="Q18" s="47">
        <v>74933.740000000005</v>
      </c>
      <c r="R18" s="3"/>
      <c r="S18" s="1" t="s">
        <v>30</v>
      </c>
      <c r="T18" s="16"/>
    </row>
    <row r="19" spans="1:20">
      <c r="A19" s="13" t="str">
        <f>VLOOKUP(C19,Data[],2,FALSE)</f>
        <v>BROOKLYN</v>
      </c>
      <c r="B19" s="9" t="s">
        <v>25</v>
      </c>
      <c r="C19" s="9" t="s">
        <v>45</v>
      </c>
      <c r="D19" s="1" t="str">
        <f>VLOOKUP(Table1[[#This Row],[DEVELOPMENT]],Data[],MATCH(Table1[[#Headers],[NRR]],Data[#Headers],0),FALSE)</f>
        <v>Zone 1</v>
      </c>
      <c r="E19" s="1" t="e">
        <f>VLOOKUP(Table1[[#This Row],[DEVELOPMENT]],Data[],MATCH(Table1[[#Headers],[Priority Level]],Data[#Headers],0),FALSE)</f>
        <v>#N/A</v>
      </c>
      <c r="F19" s="1" t="e">
        <f>VLOOKUP(Table1[[#This Row],[DEVELOPMENT]],Data[],MATCH(Table1[[#Headers],[RAD/PACT]],Data[#Headers],0),FALSE)</f>
        <v>#N/A</v>
      </c>
      <c r="G19" s="9" t="s">
        <v>27</v>
      </c>
      <c r="H19" s="57" t="s">
        <v>28</v>
      </c>
      <c r="I19" s="10">
        <f t="shared" si="0"/>
        <v>72000</v>
      </c>
      <c r="J19" s="10"/>
      <c r="K19" s="11">
        <v>72000</v>
      </c>
      <c r="L19" s="73">
        <v>2019</v>
      </c>
      <c r="M19" s="75">
        <v>2019</v>
      </c>
      <c r="N19" s="75">
        <v>2020</v>
      </c>
      <c r="O19" s="2" t="s">
        <v>29</v>
      </c>
      <c r="P19" s="2"/>
      <c r="Q19" s="47">
        <v>148620.14000000001</v>
      </c>
      <c r="R19" s="3"/>
      <c r="S19" s="1" t="s">
        <v>30</v>
      </c>
      <c r="T19" s="16"/>
    </row>
    <row r="20" spans="1:20">
      <c r="A20" s="13" t="str">
        <f>VLOOKUP(C20,Data[],2,FALSE)</f>
        <v>BROOKLYN</v>
      </c>
      <c r="B20" s="9" t="s">
        <v>25</v>
      </c>
      <c r="C20" s="9" t="s">
        <v>46</v>
      </c>
      <c r="D20" s="1" t="str">
        <f>VLOOKUP(Table1[[#This Row],[DEVELOPMENT]],Data[],MATCH(Table1[[#Headers],[NRR]],Data[#Headers],0),FALSE)</f>
        <v>Zone 1</v>
      </c>
      <c r="E20" s="1" t="e">
        <f>VLOOKUP(Table1[[#This Row],[DEVELOPMENT]],Data[],MATCH(Table1[[#Headers],[Priority Level]],Data[#Headers],0),FALSE)</f>
        <v>#N/A</v>
      </c>
      <c r="F20" s="1" t="e">
        <f>VLOOKUP(Table1[[#This Row],[DEVELOPMENT]],Data[],MATCH(Table1[[#Headers],[RAD/PACT]],Data[#Headers],0),FALSE)</f>
        <v>#N/A</v>
      </c>
      <c r="G20" s="9" t="s">
        <v>27</v>
      </c>
      <c r="H20" s="57" t="s">
        <v>33</v>
      </c>
      <c r="I20" s="12"/>
      <c r="J20" s="10">
        <f>K20</f>
        <v>36000</v>
      </c>
      <c r="K20" s="11">
        <v>36000</v>
      </c>
      <c r="L20" s="73">
        <v>2019</v>
      </c>
      <c r="M20" s="75">
        <v>2019</v>
      </c>
      <c r="N20" s="75">
        <v>2020</v>
      </c>
      <c r="O20" s="2" t="s">
        <v>29</v>
      </c>
      <c r="P20" s="2"/>
      <c r="Q20" s="47">
        <v>74933.740000000005</v>
      </c>
      <c r="R20" s="3"/>
      <c r="S20" s="1" t="s">
        <v>30</v>
      </c>
      <c r="T20" s="16"/>
    </row>
    <row r="21" spans="1:20">
      <c r="A21" s="13" t="str">
        <f>VLOOKUP(C21,Data[],2,FALSE)</f>
        <v>BRONX</v>
      </c>
      <c r="B21" s="9" t="s">
        <v>25</v>
      </c>
      <c r="C21" s="9" t="s">
        <v>47</v>
      </c>
      <c r="D21" s="1" t="str">
        <f>VLOOKUP(Table1[[#This Row],[DEVELOPMENT]],Data[],MATCH(Table1[[#Headers],[NRR]],Data[#Headers],0),FALSE)</f>
        <v>Zone 1</v>
      </c>
      <c r="E21" s="1" t="e">
        <f>VLOOKUP(Table1[[#This Row],[DEVELOPMENT]],Data[],MATCH(Table1[[#Headers],[Priority Level]],Data[#Headers],0),FALSE)</f>
        <v>#N/A</v>
      </c>
      <c r="F21" s="1" t="e">
        <f>VLOOKUP(Table1[[#This Row],[DEVELOPMENT]],Data[],MATCH(Table1[[#Headers],[RAD/PACT]],Data[#Headers],0),FALSE)</f>
        <v>#N/A</v>
      </c>
      <c r="G21" s="9" t="s">
        <v>27</v>
      </c>
      <c r="H21" s="57" t="s">
        <v>28</v>
      </c>
      <c r="I21" s="10">
        <f>K21</f>
        <v>15000</v>
      </c>
      <c r="J21" s="10"/>
      <c r="K21" s="11">
        <v>15000</v>
      </c>
      <c r="L21" s="73">
        <v>2019</v>
      </c>
      <c r="M21" s="75">
        <v>2019</v>
      </c>
      <c r="N21" s="75">
        <v>2020</v>
      </c>
      <c r="O21" s="2" t="s">
        <v>29</v>
      </c>
      <c r="P21" s="2"/>
      <c r="Q21" s="3">
        <f>INDEX(UnitCosts[],MATCH(Table1[[#This Row],[WORK TYPE]],UnitCosts[Work Type],0),2)*VLOOKUP(Table1[[#This Row],[DEVELOPMENT]],Data[],MATCH(Table1[[#This Row],[WORK TYPE]],Data[#Headers],0),FALSE)</f>
        <v>37178.217499999999</v>
      </c>
      <c r="R21" s="3"/>
      <c r="S21" s="1" t="s">
        <v>30</v>
      </c>
      <c r="T21" s="16"/>
    </row>
    <row r="22" spans="1:20">
      <c r="A22" s="13" t="str">
        <f>VLOOKUP(C22,Data[],2,FALSE)</f>
        <v>MANHATTAN</v>
      </c>
      <c r="B22" s="9" t="s">
        <v>25</v>
      </c>
      <c r="C22" s="9" t="s">
        <v>48</v>
      </c>
      <c r="D22" s="1" t="str">
        <f>VLOOKUP(Table1[[#This Row],[DEVELOPMENT]],Data[],MATCH(Table1[[#Headers],[NRR]],Data[#Headers],0),FALSE)</f>
        <v>Zone 1</v>
      </c>
      <c r="E22" s="1" t="e">
        <f>VLOOKUP(Table1[[#This Row],[DEVELOPMENT]],Data[],MATCH(Table1[[#Headers],[Priority Level]],Data[#Headers],0),FALSE)</f>
        <v>#N/A</v>
      </c>
      <c r="F22" s="1" t="e">
        <f>VLOOKUP(Table1[[#This Row],[DEVELOPMENT]],Data[],MATCH(Table1[[#Headers],[RAD/PACT]],Data[#Headers],0),FALSE)</f>
        <v>#N/A</v>
      </c>
      <c r="G22" s="9" t="s">
        <v>49</v>
      </c>
      <c r="H22" s="58" t="s">
        <v>33</v>
      </c>
      <c r="I22" s="10"/>
      <c r="J22" s="10">
        <f>K22</f>
        <v>129527.5</v>
      </c>
      <c r="K22" s="11">
        <v>129527.5</v>
      </c>
      <c r="L22" s="74">
        <v>2019</v>
      </c>
      <c r="M22" s="75">
        <v>2019</v>
      </c>
      <c r="N22" s="75">
        <v>2020</v>
      </c>
      <c r="O22" s="2" t="s">
        <v>29</v>
      </c>
      <c r="P22" s="2"/>
      <c r="Q22" s="3">
        <f>400894.17+179611.06+18481.22+8280.07</f>
        <v>607266.5199999999</v>
      </c>
      <c r="R22" s="3"/>
      <c r="S22" s="1" t="s">
        <v>30</v>
      </c>
      <c r="T22" s="16"/>
    </row>
    <row r="23" spans="1:20">
      <c r="A23" s="13" t="str">
        <f>VLOOKUP(C23,Data[],2,FALSE)</f>
        <v>MANHATTAN</v>
      </c>
      <c r="B23" s="9" t="s">
        <v>25</v>
      </c>
      <c r="C23" s="9" t="s">
        <v>50</v>
      </c>
      <c r="D23" s="1" t="str">
        <f>VLOOKUP(Table1[[#This Row],[DEVELOPMENT]],Data[],MATCH(Table1[[#Headers],[NRR]],Data[#Headers],0),FALSE)</f>
        <v>Zone 1</v>
      </c>
      <c r="E23" s="1" t="e">
        <f>VLOOKUP(Table1[[#This Row],[DEVELOPMENT]],Data[],MATCH(Table1[[#Headers],[Priority Level]],Data[#Headers],0),FALSE)</f>
        <v>#N/A</v>
      </c>
      <c r="F23" s="1" t="e">
        <f>VLOOKUP(Table1[[#This Row],[DEVELOPMENT]],Data[],MATCH(Table1[[#Headers],[RAD/PACT]],Data[#Headers],0),FALSE)</f>
        <v>#N/A</v>
      </c>
      <c r="G23" s="9" t="s">
        <v>49</v>
      </c>
      <c r="H23" s="58" t="s">
        <v>33</v>
      </c>
      <c r="I23" s="10"/>
      <c r="J23" s="10">
        <f>K23</f>
        <v>150567.5</v>
      </c>
      <c r="K23" s="11">
        <v>150567.5</v>
      </c>
      <c r="L23" s="74">
        <v>2019</v>
      </c>
      <c r="M23" s="75">
        <v>2019</v>
      </c>
      <c r="N23" s="75">
        <v>2020</v>
      </c>
      <c r="O23" s="2" t="s">
        <v>29</v>
      </c>
      <c r="P23" s="2"/>
      <c r="Q23" s="4">
        <f>370426.21+140727.41+17076.65+6487.54</f>
        <v>534717.81000000006</v>
      </c>
      <c r="R23" s="3"/>
      <c r="S23" s="1" t="s">
        <v>30</v>
      </c>
      <c r="T23" s="16"/>
    </row>
    <row r="24" spans="1:20">
      <c r="A24" s="13" t="str">
        <f>VLOOKUP(C24,Data[],2,FALSE)</f>
        <v>MANHATTAN</v>
      </c>
      <c r="B24" s="9" t="s">
        <v>25</v>
      </c>
      <c r="C24" s="9" t="s">
        <v>51</v>
      </c>
      <c r="D24" s="1" t="str">
        <f>VLOOKUP(Table1[[#This Row],[DEVELOPMENT]],Data[],MATCH(Table1[[#Headers],[NRR]],Data[#Headers],0),FALSE)</f>
        <v>Zone 1</v>
      </c>
      <c r="E24" s="1" t="e">
        <f>VLOOKUP(Table1[[#This Row],[DEVELOPMENT]],Data[],MATCH(Table1[[#Headers],[Priority Level]],Data[#Headers],0),FALSE)</f>
        <v>#N/A</v>
      </c>
      <c r="F24" s="1" t="e">
        <f>VLOOKUP(Table1[[#This Row],[DEVELOPMENT]],Data[],MATCH(Table1[[#Headers],[RAD/PACT]],Data[#Headers],0),FALSE)</f>
        <v>#N/A</v>
      </c>
      <c r="G24" s="9" t="s">
        <v>49</v>
      </c>
      <c r="H24" s="58" t="s">
        <v>33</v>
      </c>
      <c r="I24" s="10"/>
      <c r="J24" s="10">
        <f>K24</f>
        <v>164375</v>
      </c>
      <c r="K24" s="11">
        <v>164375</v>
      </c>
      <c r="L24" s="74">
        <v>2019</v>
      </c>
      <c r="M24" s="75">
        <v>2019</v>
      </c>
      <c r="N24" s="75">
        <v>2020</v>
      </c>
      <c r="O24" s="2" t="s">
        <v>29</v>
      </c>
      <c r="P24" s="2"/>
      <c r="Q24" s="4">
        <f>317508.15+219265.98+14637.13+10108.16</f>
        <v>561519.42000000004</v>
      </c>
      <c r="R24" s="3"/>
      <c r="S24" s="1" t="s">
        <v>30</v>
      </c>
      <c r="T24" s="16"/>
    </row>
    <row r="25" spans="1:20">
      <c r="A25" s="13" t="str">
        <f>VLOOKUP(C25,Data[],2,FALSE)</f>
        <v>MANHATTAN</v>
      </c>
      <c r="B25" s="9" t="s">
        <v>25</v>
      </c>
      <c r="C25" s="9" t="s">
        <v>36</v>
      </c>
      <c r="D25" s="1" t="str">
        <f>VLOOKUP(Table1[[#This Row],[DEVELOPMENT]],Data[],MATCH(Table1[[#Headers],[NRR]],Data[#Headers],0),FALSE)</f>
        <v>Zone 1</v>
      </c>
      <c r="E25" s="1" t="e">
        <f>VLOOKUP(Table1[[#This Row],[DEVELOPMENT]],Data[],MATCH(Table1[[#Headers],[Priority Level]],Data[#Headers],0),FALSE)</f>
        <v>#N/A</v>
      </c>
      <c r="F25" s="1" t="e">
        <f>VLOOKUP(Table1[[#This Row],[DEVELOPMENT]],Data[],MATCH(Table1[[#Headers],[RAD/PACT]],Data[#Headers],0),FALSE)</f>
        <v>#N/A</v>
      </c>
      <c r="G25" s="9" t="s">
        <v>52</v>
      </c>
      <c r="H25" s="57" t="s">
        <v>28</v>
      </c>
      <c r="I25" s="10">
        <f>K25</f>
        <v>38361.353952156082</v>
      </c>
      <c r="J25" s="10"/>
      <c r="K25" s="11">
        <v>38361.353952156082</v>
      </c>
      <c r="L25" s="73">
        <v>2019</v>
      </c>
      <c r="M25" s="75">
        <v>2020</v>
      </c>
      <c r="N25" s="75">
        <v>2020</v>
      </c>
      <c r="O25" s="2" t="s">
        <v>53</v>
      </c>
      <c r="P25" s="2"/>
      <c r="Q25" s="3"/>
      <c r="R2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" s="1" t="s">
        <v>54</v>
      </c>
      <c r="T25" s="16"/>
    </row>
    <row r="26" spans="1:20">
      <c r="A26" s="13" t="str">
        <f>VLOOKUP(C26,Data[],2,FALSE)</f>
        <v>MANHATTAN</v>
      </c>
      <c r="B26" s="9" t="s">
        <v>25</v>
      </c>
      <c r="C26" s="9" t="s">
        <v>55</v>
      </c>
      <c r="D26" s="1" t="str">
        <f>VLOOKUP(Table1[[#This Row],[DEVELOPMENT]],Data[],MATCH(Table1[[#Headers],[NRR]],Data[#Headers],0),FALSE)</f>
        <v>Zone 1</v>
      </c>
      <c r="E26" s="1" t="e">
        <f>VLOOKUP(Table1[[#This Row],[DEVELOPMENT]],Data[],MATCH(Table1[[#Headers],[Priority Level]],Data[#Headers],0),FALSE)</f>
        <v>#N/A</v>
      </c>
      <c r="F26" s="1" t="e">
        <f>VLOOKUP(Table1[[#This Row],[DEVELOPMENT]],Data[],MATCH(Table1[[#Headers],[RAD/PACT]],Data[#Headers],0),FALSE)</f>
        <v>#N/A</v>
      </c>
      <c r="G26" s="9" t="s">
        <v>52</v>
      </c>
      <c r="H26" s="57" t="s">
        <v>28</v>
      </c>
      <c r="I26" s="10">
        <f>K26</f>
        <v>34083.566126999998</v>
      </c>
      <c r="J26" s="10"/>
      <c r="K26" s="11">
        <v>34083.566126999998</v>
      </c>
      <c r="L26" s="73">
        <v>2019</v>
      </c>
      <c r="M26" s="75">
        <v>2020</v>
      </c>
      <c r="N26" s="75">
        <v>2020</v>
      </c>
      <c r="O26" s="2" t="s">
        <v>53</v>
      </c>
      <c r="P26" s="2"/>
      <c r="Q26" s="3"/>
      <c r="R2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" s="1" t="s">
        <v>54</v>
      </c>
      <c r="T26" s="16"/>
    </row>
    <row r="27" spans="1:20">
      <c r="A27" s="13" t="str">
        <f>VLOOKUP(C27,Data[],2,FALSE)</f>
        <v>MANHATTAN</v>
      </c>
      <c r="B27" s="9" t="s">
        <v>25</v>
      </c>
      <c r="C27" s="9" t="s">
        <v>56</v>
      </c>
      <c r="D27" s="1" t="str">
        <f>VLOOKUP(Table1[[#This Row],[DEVELOPMENT]],Data[],MATCH(Table1[[#Headers],[NRR]],Data[#Headers],0),FALSE)</f>
        <v>Zone 1</v>
      </c>
      <c r="E27" s="1" t="e">
        <f>VLOOKUP(Table1[[#This Row],[DEVELOPMENT]],Data[],MATCH(Table1[[#Headers],[Priority Level]],Data[#Headers],0),FALSE)</f>
        <v>#N/A</v>
      </c>
      <c r="F27" s="1" t="e">
        <f>VLOOKUP(Table1[[#This Row],[DEVELOPMENT]],Data[],MATCH(Table1[[#Headers],[RAD/PACT]],Data[#Headers],0),FALSE)</f>
        <v>#N/A</v>
      </c>
      <c r="G27" s="9" t="s">
        <v>52</v>
      </c>
      <c r="H27" s="57" t="s">
        <v>28</v>
      </c>
      <c r="I27" s="10">
        <f>K27</f>
        <v>35106.073110810001</v>
      </c>
      <c r="J27" s="10"/>
      <c r="K27" s="11">
        <v>35106.073110810001</v>
      </c>
      <c r="L27" s="73">
        <v>2019</v>
      </c>
      <c r="M27" s="75">
        <v>2020</v>
      </c>
      <c r="N27" s="75">
        <v>2020</v>
      </c>
      <c r="O27" s="2" t="s">
        <v>53</v>
      </c>
      <c r="P27" s="2"/>
      <c r="Q27" s="3"/>
      <c r="R2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" s="1" t="s">
        <v>54</v>
      </c>
      <c r="T27" s="16"/>
    </row>
    <row r="28" spans="1:20">
      <c r="A28" s="13" t="str">
        <f>VLOOKUP(C28,Data[],2,FALSE)</f>
        <v>MANHATTAN</v>
      </c>
      <c r="B28" s="9" t="s">
        <v>25</v>
      </c>
      <c r="C28" s="86" t="s">
        <v>57</v>
      </c>
      <c r="D28" s="1" t="str">
        <f>VLOOKUP(Table1[[#This Row],[DEVELOPMENT]],Data[],MATCH(Table1[[#Headers],[NRR]],Data[#Headers],0),FALSE)</f>
        <v>Zone 1</v>
      </c>
      <c r="E28" s="1" t="e">
        <f>VLOOKUP(Table1[[#This Row],[DEVELOPMENT]],Data[],MATCH(Table1[[#Headers],[Priority Level]],Data[#Headers],0),FALSE)</f>
        <v>#N/A</v>
      </c>
      <c r="F28" s="1" t="e">
        <f>VLOOKUP(Table1[[#This Row],[DEVELOPMENT]],Data[],MATCH(Table1[[#Headers],[RAD/PACT]],Data[#Headers],0),FALSE)</f>
        <v>#N/A</v>
      </c>
      <c r="G28" s="9" t="s">
        <v>27</v>
      </c>
      <c r="H28" s="57" t="s">
        <v>33</v>
      </c>
      <c r="I28" s="12"/>
      <c r="J28" s="10">
        <f>K28</f>
        <v>3000</v>
      </c>
      <c r="K28" s="11">
        <v>3000</v>
      </c>
      <c r="L28" s="73">
        <v>2019</v>
      </c>
      <c r="M28" s="75">
        <v>2020</v>
      </c>
      <c r="N28" s="75">
        <v>2020</v>
      </c>
      <c r="O28" s="2" t="s">
        <v>53</v>
      </c>
      <c r="P28" s="2"/>
      <c r="Q28" s="3"/>
      <c r="R2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" s="1" t="s">
        <v>30</v>
      </c>
      <c r="T28" s="16"/>
    </row>
    <row r="29" spans="1:20">
      <c r="A29" s="13" t="str">
        <f>VLOOKUP(C29,Data[],2,FALSE)</f>
        <v>MANHATTAN</v>
      </c>
      <c r="B29" s="9" t="s">
        <v>25</v>
      </c>
      <c r="C29" s="9" t="s">
        <v>58</v>
      </c>
      <c r="D29" s="1" t="str">
        <f>VLOOKUP(Table1[[#This Row],[DEVELOPMENT]],Data[],MATCH(Table1[[#Headers],[NRR]],Data[#Headers],0),FALSE)</f>
        <v>Zone 1</v>
      </c>
      <c r="E29" s="1" t="e">
        <f>VLOOKUP(Table1[[#This Row],[DEVELOPMENT]],Data[],MATCH(Table1[[#Headers],[Priority Level]],Data[#Headers],0),FALSE)</f>
        <v>#N/A</v>
      </c>
      <c r="F29" s="1" t="e">
        <f>VLOOKUP(Table1[[#This Row],[DEVELOPMENT]],Data[],MATCH(Table1[[#Headers],[RAD/PACT]],Data[#Headers],0),FALSE)</f>
        <v>#N/A</v>
      </c>
      <c r="G29" s="9" t="s">
        <v>27</v>
      </c>
      <c r="H29" s="57" t="s">
        <v>33</v>
      </c>
      <c r="I29" s="12"/>
      <c r="J29" s="10">
        <f>K29</f>
        <v>51000</v>
      </c>
      <c r="K29" s="11">
        <v>51000</v>
      </c>
      <c r="L29" s="73">
        <v>2019</v>
      </c>
      <c r="M29" s="75">
        <v>2020</v>
      </c>
      <c r="N29" s="75">
        <v>2020</v>
      </c>
      <c r="O29" s="2" t="s">
        <v>53</v>
      </c>
      <c r="P29" s="2"/>
      <c r="Q29" s="3"/>
      <c r="R2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" s="1" t="s">
        <v>30</v>
      </c>
      <c r="T29" s="16"/>
    </row>
    <row r="30" spans="1:20">
      <c r="A30" s="13" t="str">
        <f>VLOOKUP(C30,Data[],2,FALSE)</f>
        <v>MANHATTAN</v>
      </c>
      <c r="B30" s="9" t="s">
        <v>25</v>
      </c>
      <c r="C30" s="9" t="s">
        <v>59</v>
      </c>
      <c r="D30" s="1" t="str">
        <f>VLOOKUP(Table1[[#This Row],[DEVELOPMENT]],Data[],MATCH(Table1[[#Headers],[NRR]],Data[#Headers],0),FALSE)</f>
        <v>Zone 1</v>
      </c>
      <c r="E30" s="1" t="e">
        <f>VLOOKUP(Table1[[#This Row],[DEVELOPMENT]],Data[],MATCH(Table1[[#Headers],[Priority Level]],Data[#Headers],0),FALSE)</f>
        <v>#N/A</v>
      </c>
      <c r="F30" s="1" t="e">
        <f>VLOOKUP(Table1[[#This Row],[DEVELOPMENT]],Data[],MATCH(Table1[[#Headers],[RAD/PACT]],Data[#Headers],0),FALSE)</f>
        <v>#N/A</v>
      </c>
      <c r="G30" s="9" t="s">
        <v>27</v>
      </c>
      <c r="H30" s="57" t="s">
        <v>33</v>
      </c>
      <c r="I30" s="12"/>
      <c r="J30" s="10">
        <f>K30</f>
        <v>6000</v>
      </c>
      <c r="K30" s="11">
        <v>6000</v>
      </c>
      <c r="L30" s="73">
        <v>2019</v>
      </c>
      <c r="M30" s="75">
        <v>2020</v>
      </c>
      <c r="N30" s="75">
        <v>2020</v>
      </c>
      <c r="O30" s="2" t="s">
        <v>53</v>
      </c>
      <c r="P30" s="2"/>
      <c r="Q30" s="3"/>
      <c r="R3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0" s="1" t="s">
        <v>30</v>
      </c>
      <c r="T30" s="16"/>
    </row>
    <row r="31" spans="1:20">
      <c r="A31" s="13" t="str">
        <f>VLOOKUP(C31,Data[],2,FALSE)</f>
        <v>MANHATTAN</v>
      </c>
      <c r="B31" s="9" t="s">
        <v>25</v>
      </c>
      <c r="C31" s="9" t="s">
        <v>60</v>
      </c>
      <c r="D31" s="1" t="str">
        <f>VLOOKUP(Table1[[#This Row],[DEVELOPMENT]],Data[],MATCH(Table1[[#Headers],[NRR]],Data[#Headers],0),FALSE)</f>
        <v>Zone 1</v>
      </c>
      <c r="E31" s="1" t="e">
        <f>VLOOKUP(Table1[[#This Row],[DEVELOPMENT]],Data[],MATCH(Table1[[#Headers],[Priority Level]],Data[#Headers],0),FALSE)</f>
        <v>#N/A</v>
      </c>
      <c r="F31" s="1" t="e">
        <f>VLOOKUP(Table1[[#This Row],[DEVELOPMENT]],Data[],MATCH(Table1[[#Headers],[RAD/PACT]],Data[#Headers],0),FALSE)</f>
        <v>#N/A</v>
      </c>
      <c r="G31" s="9" t="s">
        <v>27</v>
      </c>
      <c r="H31" s="57" t="s">
        <v>33</v>
      </c>
      <c r="I31" s="12"/>
      <c r="J31" s="10">
        <f>K31</f>
        <v>9000</v>
      </c>
      <c r="K31" s="11">
        <v>9000</v>
      </c>
      <c r="L31" s="73">
        <v>2019</v>
      </c>
      <c r="M31" s="75">
        <v>2020</v>
      </c>
      <c r="N31" s="75">
        <v>2020</v>
      </c>
      <c r="O31" s="2" t="s">
        <v>53</v>
      </c>
      <c r="P31" s="2"/>
      <c r="Q31" s="3"/>
      <c r="R3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1" s="1" t="s">
        <v>30</v>
      </c>
      <c r="T31" s="16"/>
    </row>
    <row r="32" spans="1:20">
      <c r="A32" s="13" t="str">
        <f>VLOOKUP(C32,Data[],2,FALSE)</f>
        <v>MANHATTAN</v>
      </c>
      <c r="B32" s="9" t="s">
        <v>25</v>
      </c>
      <c r="C32" s="9" t="s">
        <v>61</v>
      </c>
      <c r="D32" s="1" t="str">
        <f>VLOOKUP(Table1[[#This Row],[DEVELOPMENT]],Data[],MATCH(Table1[[#Headers],[NRR]],Data[#Headers],0),FALSE)</f>
        <v>Zone 1</v>
      </c>
      <c r="E32" s="1" t="e">
        <f>VLOOKUP(Table1[[#This Row],[DEVELOPMENT]],Data[],MATCH(Table1[[#Headers],[Priority Level]],Data[#Headers],0),FALSE)</f>
        <v>#N/A</v>
      </c>
      <c r="F32" s="1" t="e">
        <f>VLOOKUP(Table1[[#This Row],[DEVELOPMENT]],Data[],MATCH(Table1[[#Headers],[RAD/PACT]],Data[#Headers],0),FALSE)</f>
        <v>#N/A</v>
      </c>
      <c r="G32" s="9" t="s">
        <v>27</v>
      </c>
      <c r="H32" s="57" t="s">
        <v>28</v>
      </c>
      <c r="I32" s="10">
        <f>K32</f>
        <v>12000</v>
      </c>
      <c r="J32" s="10"/>
      <c r="K32" s="11">
        <v>12000</v>
      </c>
      <c r="L32" s="73">
        <v>2019</v>
      </c>
      <c r="M32" s="75">
        <v>2020</v>
      </c>
      <c r="N32" s="75">
        <v>2020</v>
      </c>
      <c r="O32" s="2" t="s">
        <v>53</v>
      </c>
      <c r="P32" s="2"/>
      <c r="Q32" s="3"/>
      <c r="R3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2" s="1" t="s">
        <v>30</v>
      </c>
      <c r="T32" s="16"/>
    </row>
    <row r="33" spans="1:20">
      <c r="A33" s="13" t="str">
        <f>VLOOKUP(C33,Data[],2,FALSE)</f>
        <v>MANHATTAN</v>
      </c>
      <c r="B33" s="9" t="s">
        <v>25</v>
      </c>
      <c r="C33" s="9" t="s">
        <v>62</v>
      </c>
      <c r="D33" s="1" t="str">
        <f>VLOOKUP(Table1[[#This Row],[DEVELOPMENT]],Data[],MATCH(Table1[[#Headers],[NRR]],Data[#Headers],0),FALSE)</f>
        <v>Zone 1</v>
      </c>
      <c r="E33" s="1" t="e">
        <f>VLOOKUP(Table1[[#This Row],[DEVELOPMENT]],Data[],MATCH(Table1[[#Headers],[Priority Level]],Data[#Headers],0),FALSE)</f>
        <v>#N/A</v>
      </c>
      <c r="F33" s="1" t="e">
        <f>VLOOKUP(Table1[[#This Row],[DEVELOPMENT]],Data[],MATCH(Table1[[#Headers],[RAD/PACT]],Data[#Headers],0),FALSE)</f>
        <v>#N/A</v>
      </c>
      <c r="G33" s="9" t="s">
        <v>27</v>
      </c>
      <c r="H33" s="57" t="s">
        <v>28</v>
      </c>
      <c r="I33" s="10">
        <f>K33</f>
        <v>3000</v>
      </c>
      <c r="J33" s="10"/>
      <c r="K33" s="11">
        <v>3000</v>
      </c>
      <c r="L33" s="73">
        <v>2019</v>
      </c>
      <c r="M33" s="75">
        <v>2020</v>
      </c>
      <c r="N33" s="75">
        <v>2020</v>
      </c>
      <c r="O33" s="2" t="s">
        <v>53</v>
      </c>
      <c r="P33" s="2"/>
      <c r="Q33" s="3"/>
      <c r="R3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3" s="1" t="s">
        <v>30</v>
      </c>
      <c r="T33" s="16"/>
    </row>
    <row r="34" spans="1:20">
      <c r="A34" s="13" t="str">
        <f>VLOOKUP(C34,Data[],2,FALSE)</f>
        <v>MANHATTAN</v>
      </c>
      <c r="B34" s="9" t="s">
        <v>25</v>
      </c>
      <c r="C34" s="9" t="s">
        <v>63</v>
      </c>
      <c r="D34" s="1" t="str">
        <f>VLOOKUP(Table1[[#This Row],[DEVELOPMENT]],Data[],MATCH(Table1[[#Headers],[NRR]],Data[#Headers],0),FALSE)</f>
        <v>Zone 1</v>
      </c>
      <c r="E34" s="1" t="e">
        <f>VLOOKUP(Table1[[#This Row],[DEVELOPMENT]],Data[],MATCH(Table1[[#Headers],[Priority Level]],Data[#Headers],0),FALSE)</f>
        <v>#N/A</v>
      </c>
      <c r="F34" s="1" t="e">
        <f>VLOOKUP(Table1[[#This Row],[DEVELOPMENT]],Data[],MATCH(Table1[[#Headers],[RAD/PACT]],Data[#Headers],0),FALSE)</f>
        <v>#N/A</v>
      </c>
      <c r="G34" s="9" t="s">
        <v>27</v>
      </c>
      <c r="H34" s="57" t="s">
        <v>28</v>
      </c>
      <c r="I34" s="10">
        <f>K34</f>
        <v>3000</v>
      </c>
      <c r="J34" s="10"/>
      <c r="K34" s="11">
        <v>3000</v>
      </c>
      <c r="L34" s="73">
        <v>2019</v>
      </c>
      <c r="M34" s="73">
        <v>2020</v>
      </c>
      <c r="N34" s="75">
        <v>2021</v>
      </c>
      <c r="O34" s="2" t="s">
        <v>53</v>
      </c>
      <c r="P34" s="2"/>
      <c r="Q34" s="3"/>
      <c r="R3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4" s="1" t="s">
        <v>30</v>
      </c>
      <c r="T34" s="16"/>
    </row>
    <row r="35" spans="1:20">
      <c r="A35" s="13" t="str">
        <f>VLOOKUP(C35,Data[],2,FALSE)</f>
        <v>MANHATTAN</v>
      </c>
      <c r="B35" s="9" t="s">
        <v>25</v>
      </c>
      <c r="C35" s="9" t="s">
        <v>64</v>
      </c>
      <c r="D35" s="1" t="str">
        <f>VLOOKUP(Table1[[#This Row],[DEVELOPMENT]],Data[],MATCH(Table1[[#Headers],[NRR]],Data[#Headers],0),FALSE)</f>
        <v>Zone 1</v>
      </c>
      <c r="E35" s="1" t="e">
        <f>VLOOKUP(Table1[[#This Row],[DEVELOPMENT]],Data[],MATCH(Table1[[#Headers],[Priority Level]],Data[#Headers],0),FALSE)</f>
        <v>#N/A</v>
      </c>
      <c r="F35" s="1" t="e">
        <f>VLOOKUP(Table1[[#This Row],[DEVELOPMENT]],Data[],MATCH(Table1[[#Headers],[RAD/PACT]],Data[#Headers],0),FALSE)</f>
        <v>#N/A</v>
      </c>
      <c r="G35" s="9" t="s">
        <v>27</v>
      </c>
      <c r="H35" s="57" t="s">
        <v>28</v>
      </c>
      <c r="I35" s="10">
        <f>K35</f>
        <v>9000</v>
      </c>
      <c r="J35" s="10"/>
      <c r="K35" s="11">
        <v>9000</v>
      </c>
      <c r="L35" s="73">
        <v>2019</v>
      </c>
      <c r="M35" s="73">
        <v>2020</v>
      </c>
      <c r="N35" s="75">
        <v>2021</v>
      </c>
      <c r="O35" s="2" t="s">
        <v>53</v>
      </c>
      <c r="P35" s="2"/>
      <c r="Q35" s="3"/>
      <c r="R3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5" s="1" t="s">
        <v>30</v>
      </c>
      <c r="T35" s="16"/>
    </row>
    <row r="36" spans="1:20">
      <c r="A36" s="13" t="str">
        <f>VLOOKUP(C36,Data[],2,FALSE)</f>
        <v>MANHATTAN</v>
      </c>
      <c r="B36" s="9" t="s">
        <v>25</v>
      </c>
      <c r="C36" s="9" t="s">
        <v>55</v>
      </c>
      <c r="D36" s="1" t="str">
        <f>VLOOKUP(Table1[[#This Row],[DEVELOPMENT]],Data[],MATCH(Table1[[#Headers],[NRR]],Data[#Headers],0),FALSE)</f>
        <v>Zone 1</v>
      </c>
      <c r="E36" s="1" t="e">
        <f>VLOOKUP(Table1[[#This Row],[DEVELOPMENT]],Data[],MATCH(Table1[[#Headers],[Priority Level]],Data[#Headers],0),FALSE)</f>
        <v>#N/A</v>
      </c>
      <c r="F36" s="1" t="e">
        <f>VLOOKUP(Table1[[#This Row],[DEVELOPMENT]],Data[],MATCH(Table1[[#Headers],[RAD/PACT]],Data[#Headers],0),FALSE)</f>
        <v>#N/A</v>
      </c>
      <c r="G36" s="9" t="s">
        <v>27</v>
      </c>
      <c r="H36" s="57" t="s">
        <v>33</v>
      </c>
      <c r="I36" s="12"/>
      <c r="J36" s="10">
        <f>K36</f>
        <v>78000</v>
      </c>
      <c r="K36" s="11">
        <v>78000</v>
      </c>
      <c r="L36" s="73">
        <v>2019</v>
      </c>
      <c r="M36" s="73">
        <v>2020</v>
      </c>
      <c r="N36" s="75">
        <v>2021</v>
      </c>
      <c r="O36" s="2" t="s">
        <v>53</v>
      </c>
      <c r="P36" s="2"/>
      <c r="Q36" s="3"/>
      <c r="R3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6" s="1" t="s">
        <v>30</v>
      </c>
      <c r="T36" s="16"/>
    </row>
    <row r="37" spans="1:20">
      <c r="A37" s="13" t="str">
        <f>VLOOKUP(C37,Data[],2,FALSE)</f>
        <v>MANHATTAN</v>
      </c>
      <c r="B37" s="9" t="s">
        <v>25</v>
      </c>
      <c r="C37" s="9" t="s">
        <v>65</v>
      </c>
      <c r="D37" s="1" t="str">
        <f>VLOOKUP(Table1[[#This Row],[DEVELOPMENT]],Data[],MATCH(Table1[[#Headers],[NRR]],Data[#Headers],0),FALSE)</f>
        <v>Zone 1</v>
      </c>
      <c r="E37" s="1" t="e">
        <f>VLOOKUP(Table1[[#This Row],[DEVELOPMENT]],Data[],MATCH(Table1[[#Headers],[Priority Level]],Data[#Headers],0),FALSE)</f>
        <v>#N/A</v>
      </c>
      <c r="F37" s="1" t="e">
        <f>VLOOKUP(Table1[[#This Row],[DEVELOPMENT]],Data[],MATCH(Table1[[#Headers],[RAD/PACT]],Data[#Headers],0),FALSE)</f>
        <v>#N/A</v>
      </c>
      <c r="G37" s="9" t="s">
        <v>27</v>
      </c>
      <c r="H37" s="57" t="s">
        <v>28</v>
      </c>
      <c r="I37" s="10">
        <f>K37</f>
        <v>6000</v>
      </c>
      <c r="J37" s="10"/>
      <c r="K37" s="11">
        <v>6000</v>
      </c>
      <c r="L37" s="73">
        <v>2019</v>
      </c>
      <c r="M37" s="73">
        <v>2020</v>
      </c>
      <c r="N37" s="75">
        <v>2021</v>
      </c>
      <c r="O37" s="2" t="s">
        <v>53</v>
      </c>
      <c r="P37" s="2"/>
      <c r="Q37" s="3"/>
      <c r="R3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7" s="1" t="s">
        <v>30</v>
      </c>
      <c r="T37" s="16"/>
    </row>
    <row r="38" spans="1:20">
      <c r="A38" s="13" t="str">
        <f>VLOOKUP(C38,Data[],2,FALSE)</f>
        <v>MANHATTAN</v>
      </c>
      <c r="B38" s="9" t="s">
        <v>25</v>
      </c>
      <c r="C38" s="9" t="s">
        <v>51</v>
      </c>
      <c r="D38" s="1" t="str">
        <f>VLOOKUP(Table1[[#This Row],[DEVELOPMENT]],Data[],MATCH(Table1[[#Headers],[NRR]],Data[#Headers],0),FALSE)</f>
        <v>Zone 1</v>
      </c>
      <c r="E38" s="1" t="e">
        <f>VLOOKUP(Table1[[#This Row],[DEVELOPMENT]],Data[],MATCH(Table1[[#Headers],[Priority Level]],Data[#Headers],0),FALSE)</f>
        <v>#N/A</v>
      </c>
      <c r="F38" s="1" t="e">
        <f>VLOOKUP(Table1[[#This Row],[DEVELOPMENT]],Data[],MATCH(Table1[[#Headers],[RAD/PACT]],Data[#Headers],0),FALSE)</f>
        <v>#N/A</v>
      </c>
      <c r="G38" s="9" t="s">
        <v>27</v>
      </c>
      <c r="H38" s="57" t="s">
        <v>33</v>
      </c>
      <c r="I38" s="12"/>
      <c r="J38" s="10">
        <f>K38</f>
        <v>3000</v>
      </c>
      <c r="K38" s="11">
        <v>3000</v>
      </c>
      <c r="L38" s="73">
        <v>2019</v>
      </c>
      <c r="M38" s="73">
        <v>2020</v>
      </c>
      <c r="N38" s="75">
        <v>2021</v>
      </c>
      <c r="O38" s="2" t="s">
        <v>53</v>
      </c>
      <c r="P38" s="2"/>
      <c r="Q38" s="3"/>
      <c r="R3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8" s="1" t="s">
        <v>30</v>
      </c>
      <c r="T38" s="16"/>
    </row>
    <row r="39" spans="1:20">
      <c r="A39" s="13" t="str">
        <f>VLOOKUP(C39,Data[],2,FALSE)</f>
        <v>MANHATTAN</v>
      </c>
      <c r="B39" s="9" t="s">
        <v>25</v>
      </c>
      <c r="C39" s="9" t="s">
        <v>66</v>
      </c>
      <c r="D39" s="1" t="str">
        <f>VLOOKUP(Table1[[#This Row],[DEVELOPMENT]],Data[],MATCH(Table1[[#Headers],[NRR]],Data[#Headers],0),FALSE)</f>
        <v>Zone 1</v>
      </c>
      <c r="E39" s="1" t="e">
        <f>VLOOKUP(Table1[[#This Row],[DEVELOPMENT]],Data[],MATCH(Table1[[#Headers],[Priority Level]],Data[#Headers],0),FALSE)</f>
        <v>#N/A</v>
      </c>
      <c r="F39" s="1" t="e">
        <f>VLOOKUP(Table1[[#This Row],[DEVELOPMENT]],Data[],MATCH(Table1[[#Headers],[RAD/PACT]],Data[#Headers],0),FALSE)</f>
        <v>#N/A</v>
      </c>
      <c r="G39" s="9" t="s">
        <v>27</v>
      </c>
      <c r="H39" s="57" t="s">
        <v>33</v>
      </c>
      <c r="I39" s="12"/>
      <c r="J39" s="10">
        <f>K39</f>
        <v>48000</v>
      </c>
      <c r="K39" s="11">
        <v>48000</v>
      </c>
      <c r="L39" s="73">
        <v>2019</v>
      </c>
      <c r="M39" s="73">
        <v>2020</v>
      </c>
      <c r="N39" s="75">
        <v>2021</v>
      </c>
      <c r="O39" s="2" t="s">
        <v>53</v>
      </c>
      <c r="P39" s="2"/>
      <c r="Q39" s="3"/>
      <c r="R3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9" s="1" t="s">
        <v>30</v>
      </c>
      <c r="T39" s="16"/>
    </row>
    <row r="40" spans="1:20">
      <c r="A40" s="13" t="str">
        <f>VLOOKUP(C40,Data[],2,FALSE)</f>
        <v>MANHATTAN</v>
      </c>
      <c r="B40" s="1"/>
      <c r="C40" s="1" t="s">
        <v>67</v>
      </c>
      <c r="D40" s="1" t="str">
        <f>VLOOKUP(Table1[[#This Row],[DEVELOPMENT]],Data[],MATCH(Table1[[#Headers],[NRR]],Data[#Headers],0),FALSE)</f>
        <v>Zone 2</v>
      </c>
      <c r="E40" s="1" t="e">
        <f>VLOOKUP(Table1[[#This Row],[DEVELOPMENT]],Data[],MATCH(Table1[[#Headers],[Priority Level]],Data[#Headers],0),FALSE)</f>
        <v>#N/A</v>
      </c>
      <c r="F40" s="1" t="e">
        <f>VLOOKUP(Table1[[#This Row],[DEVELOPMENT]],Data[],MATCH(Table1[[#Headers],[RAD/PACT]],Data[#Headers],0),FALSE)</f>
        <v>#N/A</v>
      </c>
      <c r="G40" s="9" t="s">
        <v>68</v>
      </c>
      <c r="H40" s="7"/>
      <c r="I40" s="8"/>
      <c r="J40" s="8"/>
      <c r="K40" s="3"/>
      <c r="L40" s="76"/>
      <c r="M40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40" s="73"/>
      <c r="O40" s="2"/>
      <c r="P40" s="2"/>
      <c r="Q40" s="11"/>
      <c r="R4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40" s="9"/>
      <c r="T40" s="16"/>
    </row>
    <row r="41" spans="1:20">
      <c r="A41" s="13" t="str">
        <f>VLOOKUP(C41,Data[],2,FALSE)</f>
        <v>MANHATTAN</v>
      </c>
      <c r="B41" s="1"/>
      <c r="C41" s="1" t="s">
        <v>69</v>
      </c>
      <c r="D41" s="9" t="str">
        <f>VLOOKUP(Table1[[#This Row],[DEVELOPMENT]],Data[],MATCH(Table1[[#Headers],[NRR]],Data[#Headers],0),FALSE)</f>
        <v>Zone 3</v>
      </c>
      <c r="E41" s="50" t="e">
        <f>VLOOKUP(Table1[[#This Row],[DEVELOPMENT]],Data[],MATCH(Table1[[#Headers],[Priority Level]],Data[#Headers],0),FALSE)</f>
        <v>#N/A</v>
      </c>
      <c r="F41" s="50" t="e">
        <f>VLOOKUP(Table1[[#This Row],[DEVELOPMENT]],Data[],MATCH(Table1[[#Headers],[RAD/PACT]],Data[#Headers],0),FALSE)</f>
        <v>#N/A</v>
      </c>
      <c r="G41" s="1" t="s">
        <v>68</v>
      </c>
      <c r="H41" s="7"/>
      <c r="I41" s="8"/>
      <c r="J41" s="8">
        <f>K41</f>
        <v>0</v>
      </c>
      <c r="K41" s="3"/>
      <c r="L41" s="75"/>
      <c r="M41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41" s="73"/>
      <c r="O41" s="2"/>
      <c r="P41" s="2"/>
      <c r="Q41" s="11"/>
      <c r="R4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41" s="9"/>
      <c r="T41" s="16"/>
    </row>
    <row r="42" spans="1:20">
      <c r="A42" s="13" t="str">
        <f>VLOOKUP(C42,Data[],2,FALSE)</f>
        <v>MANHATTAN</v>
      </c>
      <c r="B42" s="1"/>
      <c r="C42" s="1" t="s">
        <v>70</v>
      </c>
      <c r="D42" s="9" t="str">
        <f>VLOOKUP(Table1[[#This Row],[DEVELOPMENT]],Data[],MATCH(Table1[[#Headers],[NRR]],Data[#Headers],0),FALSE)</f>
        <v>Zone 3</v>
      </c>
      <c r="E42" s="50" t="e">
        <f>VLOOKUP(Table1[[#This Row],[DEVELOPMENT]],Data[],MATCH(Table1[[#Headers],[Priority Level]],Data[#Headers],0),FALSE)</f>
        <v>#N/A</v>
      </c>
      <c r="F42" s="50" t="e">
        <f>VLOOKUP(Table1[[#This Row],[DEVELOPMENT]],Data[],MATCH(Table1[[#Headers],[RAD/PACT]],Data[#Headers],0),FALSE)</f>
        <v>#N/A</v>
      </c>
      <c r="G42" s="1" t="s">
        <v>68</v>
      </c>
      <c r="H42" s="7"/>
      <c r="I42" s="8"/>
      <c r="J42" s="8">
        <f>K42</f>
        <v>0</v>
      </c>
      <c r="K42" s="3"/>
      <c r="L42" s="75"/>
      <c r="M42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42" s="73"/>
      <c r="O42" s="2"/>
      <c r="P42" s="2"/>
      <c r="Q42" s="11"/>
      <c r="R4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42" s="9"/>
      <c r="T42" s="16"/>
    </row>
    <row r="43" spans="1:20">
      <c r="A43" s="13" t="str">
        <f>VLOOKUP(C43,Data[],2,FALSE)</f>
        <v>MANHATTAN</v>
      </c>
      <c r="B43" s="1"/>
      <c r="C43" s="1" t="s">
        <v>71</v>
      </c>
      <c r="D43" s="9" t="str">
        <f>VLOOKUP(Table1[[#This Row],[DEVELOPMENT]],Data[],MATCH(Table1[[#Headers],[NRR]],Data[#Headers],0),FALSE)</f>
        <v>Zone 3</v>
      </c>
      <c r="E43" s="50" t="e">
        <f>VLOOKUP(Table1[[#This Row],[DEVELOPMENT]],Data[],MATCH(Table1[[#Headers],[Priority Level]],Data[#Headers],0),FALSE)</f>
        <v>#N/A</v>
      </c>
      <c r="F43" s="50" t="e">
        <f>VLOOKUP(Table1[[#This Row],[DEVELOPMENT]],Data[],MATCH(Table1[[#Headers],[RAD/PACT]],Data[#Headers],0),FALSE)</f>
        <v>#N/A</v>
      </c>
      <c r="G43" s="1" t="s">
        <v>68</v>
      </c>
      <c r="H43" s="7"/>
      <c r="I43" s="8"/>
      <c r="J43" s="8">
        <f>K43</f>
        <v>0</v>
      </c>
      <c r="K43" s="3"/>
      <c r="L43" s="75"/>
      <c r="M43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43" s="73"/>
      <c r="O43" s="2"/>
      <c r="P43" s="2"/>
      <c r="Q43" s="11"/>
      <c r="R4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43" s="9"/>
      <c r="T43" s="16"/>
    </row>
    <row r="44" spans="1:20">
      <c r="A44" s="13" t="str">
        <f>VLOOKUP(C44,Data[],2,FALSE)</f>
        <v>BROOKLYN</v>
      </c>
      <c r="B44" s="1"/>
      <c r="C44" s="1" t="s">
        <v>72</v>
      </c>
      <c r="D44" s="9" t="str">
        <f>VLOOKUP(Table1[[#This Row],[DEVELOPMENT]],Data[],MATCH(Table1[[#Headers],[NRR]],Data[#Headers],0),FALSE)</f>
        <v>Zone 3</v>
      </c>
      <c r="E44" s="50" t="e">
        <f>VLOOKUP(Table1[[#This Row],[DEVELOPMENT]],Data[],MATCH(Table1[[#Headers],[Priority Level]],Data[#Headers],0),FALSE)</f>
        <v>#N/A</v>
      </c>
      <c r="F44" s="50" t="e">
        <f>VLOOKUP(Table1[[#This Row],[DEVELOPMENT]],Data[],MATCH(Table1[[#Headers],[RAD/PACT]],Data[#Headers],0),FALSE)</f>
        <v>#N/A</v>
      </c>
      <c r="G44" s="1" t="s">
        <v>68</v>
      </c>
      <c r="H44" s="7"/>
      <c r="I44" s="8"/>
      <c r="J44" s="8">
        <f>K44</f>
        <v>0</v>
      </c>
      <c r="K44" s="3"/>
      <c r="L44" s="75"/>
      <c r="M44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44" s="73"/>
      <c r="O44" s="2"/>
      <c r="P44" s="2"/>
      <c r="Q44" s="11"/>
      <c r="R4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44" s="9"/>
      <c r="T44" s="16"/>
    </row>
    <row r="45" spans="1:20">
      <c r="A45" s="13" t="str">
        <f>VLOOKUP(C45,Data[],2,FALSE)</f>
        <v>BRONX</v>
      </c>
      <c r="B45" s="1"/>
      <c r="C45" s="1" t="s">
        <v>73</v>
      </c>
      <c r="D45" s="9" t="str">
        <f>VLOOKUP(Table1[[#This Row],[DEVELOPMENT]],Data[],MATCH(Table1[[#Headers],[NRR]],Data[#Headers],0),FALSE)</f>
        <v>Zone 3</v>
      </c>
      <c r="E45" s="50" t="e">
        <f>VLOOKUP(Table1[[#This Row],[DEVELOPMENT]],Data[],MATCH(Table1[[#Headers],[Priority Level]],Data[#Headers],0),FALSE)</f>
        <v>#N/A</v>
      </c>
      <c r="F45" s="50" t="e">
        <f>VLOOKUP(Table1[[#This Row],[DEVELOPMENT]],Data[],MATCH(Table1[[#Headers],[RAD/PACT]],Data[#Headers],0),FALSE)</f>
        <v>#N/A</v>
      </c>
      <c r="G45" s="1" t="s">
        <v>68</v>
      </c>
      <c r="H45" s="7"/>
      <c r="I45" s="8"/>
      <c r="J45" s="8">
        <f>K45</f>
        <v>0</v>
      </c>
      <c r="K45" s="3"/>
      <c r="L45" s="75"/>
      <c r="M45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45" s="73"/>
      <c r="O45" s="2"/>
      <c r="P45" s="2"/>
      <c r="Q45" s="11"/>
      <c r="R4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45" s="9"/>
      <c r="T45" s="16"/>
    </row>
    <row r="46" spans="1:20">
      <c r="A46" s="13" t="str">
        <f>VLOOKUP(C46,Data[],2,FALSE)</f>
        <v>MANHATTAN</v>
      </c>
      <c r="B46" s="1"/>
      <c r="C46" s="1" t="s">
        <v>74</v>
      </c>
      <c r="D46" s="1" t="str">
        <f>VLOOKUP(Table1[[#This Row],[DEVELOPMENT]],Data[],MATCH(Table1[[#Headers],[NRR]],Data[#Headers],0),FALSE)</f>
        <v>Zone 2</v>
      </c>
      <c r="E46" s="1" t="e">
        <f>VLOOKUP(Table1[[#This Row],[DEVELOPMENT]],Data[],MATCH(Table1[[#Headers],[Priority Level]],Data[#Headers],0),FALSE)</f>
        <v>#N/A</v>
      </c>
      <c r="F46" s="1" t="e">
        <f>VLOOKUP(Table1[[#This Row],[DEVELOPMENT]],Data[],MATCH(Table1[[#Headers],[RAD/PACT]],Data[#Headers],0),FALSE)</f>
        <v>#N/A</v>
      </c>
      <c r="G46" s="9" t="s">
        <v>68</v>
      </c>
      <c r="H46" s="7"/>
      <c r="I46" s="8"/>
      <c r="J46" s="8"/>
      <c r="K46" s="3"/>
      <c r="L46" s="76"/>
      <c r="M46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46" s="73"/>
      <c r="O46" s="2"/>
      <c r="P46" s="2"/>
      <c r="Q46" s="11"/>
      <c r="R4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46" s="9"/>
      <c r="T46" s="16"/>
    </row>
    <row r="47" spans="1:20">
      <c r="A47" s="13" t="str">
        <f>VLOOKUP(C47,Data[],2,FALSE)</f>
        <v>MANHATTAN</v>
      </c>
      <c r="B47" s="1"/>
      <c r="C47" s="1" t="s">
        <v>75</v>
      </c>
      <c r="D47" s="9" t="str">
        <f>VLOOKUP(Table1[[#This Row],[DEVELOPMENT]],Data[],MATCH(Table1[[#Headers],[NRR]],Data[#Headers],0),FALSE)</f>
        <v>Zone 3</v>
      </c>
      <c r="E47" s="50" t="e">
        <f>VLOOKUP(Table1[[#This Row],[DEVELOPMENT]],Data[],MATCH(Table1[[#Headers],[Priority Level]],Data[#Headers],0),FALSE)</f>
        <v>#N/A</v>
      </c>
      <c r="F47" s="50" t="e">
        <f>VLOOKUP(Table1[[#This Row],[DEVELOPMENT]],Data[],MATCH(Table1[[#Headers],[RAD/PACT]],Data[#Headers],0),FALSE)</f>
        <v>#N/A</v>
      </c>
      <c r="G47" s="1" t="s">
        <v>68</v>
      </c>
      <c r="H47" s="7"/>
      <c r="I47" s="8"/>
      <c r="J47" s="8">
        <f>K47</f>
        <v>0</v>
      </c>
      <c r="K47" s="3"/>
      <c r="L47" s="75"/>
      <c r="M47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2025</v>
      </c>
      <c r="N47" s="73"/>
      <c r="O47" s="2"/>
      <c r="P47" s="2"/>
      <c r="Q47" s="11"/>
      <c r="R4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47" s="9"/>
      <c r="T47" s="16"/>
    </row>
    <row r="48" spans="1:20">
      <c r="A48" s="13" t="str">
        <f>VLOOKUP(C48,Data[],2,FALSE)</f>
        <v>MANHATTAN</v>
      </c>
      <c r="B48" s="1"/>
      <c r="C48" s="1" t="s">
        <v>76</v>
      </c>
      <c r="D48" s="9" t="str">
        <f>VLOOKUP(Table1[[#This Row],[DEVELOPMENT]],Data[],MATCH(Table1[[#Headers],[NRR]],Data[#Headers],0),FALSE)</f>
        <v>Zone 3</v>
      </c>
      <c r="E48" s="50" t="e">
        <f>VLOOKUP(Table1[[#This Row],[DEVELOPMENT]],Data[],MATCH(Table1[[#Headers],[Priority Level]],Data[#Headers],0),FALSE)</f>
        <v>#N/A</v>
      </c>
      <c r="F48" s="50" t="e">
        <f>VLOOKUP(Table1[[#This Row],[DEVELOPMENT]],Data[],MATCH(Table1[[#Headers],[RAD/PACT]],Data[#Headers],0),FALSE)</f>
        <v>#N/A</v>
      </c>
      <c r="G48" s="1" t="s">
        <v>68</v>
      </c>
      <c r="H48" s="7"/>
      <c r="I48" s="8"/>
      <c r="J48" s="8">
        <f>K48</f>
        <v>0</v>
      </c>
      <c r="K48" s="3"/>
      <c r="L48" s="75"/>
      <c r="M48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2024</v>
      </c>
      <c r="N48" s="73"/>
      <c r="O48" s="2"/>
      <c r="P48" s="2"/>
      <c r="Q48" s="11"/>
      <c r="R4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48" s="9"/>
      <c r="T48" s="16"/>
    </row>
    <row r="49" spans="1:20">
      <c r="A49" s="13" t="str">
        <f>VLOOKUP(C49,Data[],2,FALSE)</f>
        <v>MANHATTAN</v>
      </c>
      <c r="B49" s="1"/>
      <c r="C49" s="1" t="s">
        <v>77</v>
      </c>
      <c r="D49" s="1" t="str">
        <f>VLOOKUP(Table1[[#This Row],[DEVELOPMENT]],Data[],MATCH(Table1[[#Headers],[NRR]],Data[#Headers],0),FALSE)</f>
        <v>Zone 2</v>
      </c>
      <c r="E49" s="1" t="e">
        <f>VLOOKUP(Table1[[#This Row],[DEVELOPMENT]],Data[],MATCH(Table1[[#Headers],[Priority Level]],Data[#Headers],0),FALSE)</f>
        <v>#N/A</v>
      </c>
      <c r="F49" s="1" t="e">
        <f>VLOOKUP(Table1[[#This Row],[DEVELOPMENT]],Data[],MATCH(Table1[[#Headers],[RAD/PACT]],Data[#Headers],0),FALSE)</f>
        <v>#N/A</v>
      </c>
      <c r="G49" s="9" t="s">
        <v>68</v>
      </c>
      <c r="H49" s="7"/>
      <c r="I49" s="8"/>
      <c r="J49" s="8"/>
      <c r="K49" s="3"/>
      <c r="L49" s="76"/>
      <c r="M49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2024</v>
      </c>
      <c r="N49" s="73"/>
      <c r="O49" s="2"/>
      <c r="P49" s="2"/>
      <c r="Q49" s="11"/>
      <c r="R4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49" s="9"/>
      <c r="T49" s="16"/>
    </row>
    <row r="50" spans="1:20">
      <c r="A50" s="13" t="str">
        <f>VLOOKUP(C50,Data[],2,FALSE)</f>
        <v>MANHATTAN</v>
      </c>
      <c r="B50" s="1"/>
      <c r="C50" s="1" t="s">
        <v>78</v>
      </c>
      <c r="D50" s="1" t="str">
        <f>VLOOKUP(Table1[[#This Row],[DEVELOPMENT]],Data[],MATCH(Table1[[#Headers],[NRR]],Data[#Headers],0),FALSE)</f>
        <v>Zone 2</v>
      </c>
      <c r="E50" s="1" t="e">
        <f>VLOOKUP(Table1[[#This Row],[DEVELOPMENT]],Data[],MATCH(Table1[[#Headers],[Priority Level]],Data[#Headers],0),FALSE)</f>
        <v>#N/A</v>
      </c>
      <c r="F50" s="1" t="e">
        <f>VLOOKUP(Table1[[#This Row],[DEVELOPMENT]],Data[],MATCH(Table1[[#Headers],[RAD/PACT]],Data[#Headers],0),FALSE)</f>
        <v>#N/A</v>
      </c>
      <c r="G50" s="9" t="s">
        <v>68</v>
      </c>
      <c r="H50" s="7"/>
      <c r="I50" s="8"/>
      <c r="J50" s="8"/>
      <c r="K50" s="3"/>
      <c r="L50" s="76"/>
      <c r="M50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2024</v>
      </c>
      <c r="N50" s="73"/>
      <c r="O50" s="2"/>
      <c r="P50" s="2"/>
      <c r="Q50" s="11"/>
      <c r="R5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50" s="9"/>
      <c r="T50" s="16"/>
    </row>
    <row r="51" spans="1:20">
      <c r="A51" s="13" t="str">
        <f>VLOOKUP(C51,Data[],2,FALSE)</f>
        <v>MANHATTAN</v>
      </c>
      <c r="B51" s="1"/>
      <c r="C51" s="1" t="s">
        <v>79</v>
      </c>
      <c r="D51" s="9" t="str">
        <f>VLOOKUP(Table1[[#This Row],[DEVELOPMENT]],Data[],MATCH(Table1[[#Headers],[NRR]],Data[#Headers],0),FALSE)</f>
        <v>Zone 3</v>
      </c>
      <c r="E51" s="50" t="e">
        <f>VLOOKUP(Table1[[#This Row],[DEVELOPMENT]],Data[],MATCH(Table1[[#Headers],[Priority Level]],Data[#Headers],0),FALSE)</f>
        <v>#N/A</v>
      </c>
      <c r="F51" s="50" t="e">
        <f>VLOOKUP(Table1[[#This Row],[DEVELOPMENT]],Data[],MATCH(Table1[[#Headers],[RAD/PACT]],Data[#Headers],0),FALSE)</f>
        <v>#N/A</v>
      </c>
      <c r="G51" s="1" t="s">
        <v>68</v>
      </c>
      <c r="H51" s="7"/>
      <c r="I51" s="8"/>
      <c r="J51" s="8">
        <f>K51</f>
        <v>0</v>
      </c>
      <c r="K51" s="3"/>
      <c r="L51" s="75"/>
      <c r="M51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2024</v>
      </c>
      <c r="N51" s="73"/>
      <c r="O51" s="2"/>
      <c r="P51" s="2"/>
      <c r="Q51" s="11"/>
      <c r="R5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51" s="9"/>
      <c r="T51" s="16"/>
    </row>
    <row r="52" spans="1:20">
      <c r="A52" s="13" t="str">
        <f>VLOOKUP(C52,Data[],2,FALSE)</f>
        <v>MANHATTAN</v>
      </c>
      <c r="B52" s="1"/>
      <c r="C52" s="1" t="s">
        <v>80</v>
      </c>
      <c r="D52" s="9" t="str">
        <f>VLOOKUP(Table1[[#This Row],[DEVELOPMENT]],Data[],MATCH(Table1[[#Headers],[NRR]],Data[#Headers],0),FALSE)</f>
        <v>Zone 3</v>
      </c>
      <c r="E52" s="50" t="e">
        <f>VLOOKUP(Table1[[#This Row],[DEVELOPMENT]],Data[],MATCH(Table1[[#Headers],[Priority Level]],Data[#Headers],0),FALSE)</f>
        <v>#N/A</v>
      </c>
      <c r="F52" s="50" t="e">
        <f>VLOOKUP(Table1[[#This Row],[DEVELOPMENT]],Data[],MATCH(Table1[[#Headers],[RAD/PACT]],Data[#Headers],0),FALSE)</f>
        <v>#N/A</v>
      </c>
      <c r="G52" s="1" t="s">
        <v>68</v>
      </c>
      <c r="H52" s="7"/>
      <c r="I52" s="8"/>
      <c r="J52" s="8">
        <f>K52</f>
        <v>0</v>
      </c>
      <c r="K52" s="3"/>
      <c r="L52" s="75"/>
      <c r="M52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2024</v>
      </c>
      <c r="N52" s="73"/>
      <c r="O52" s="2"/>
      <c r="P52" s="2"/>
      <c r="Q52" s="11"/>
      <c r="R5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52" s="9"/>
      <c r="T52" s="16"/>
    </row>
    <row r="53" spans="1:20">
      <c r="A53" s="13" t="str">
        <f>VLOOKUP(C53,Data[],2,FALSE)</f>
        <v>MANHATTAN</v>
      </c>
      <c r="B53" s="1"/>
      <c r="C53" s="1" t="s">
        <v>81</v>
      </c>
      <c r="D53" s="1" t="str">
        <f>VLOOKUP(Table1[[#This Row],[DEVELOPMENT]],Data[],MATCH(Table1[[#Headers],[NRR]],Data[#Headers],0),FALSE)</f>
        <v>Zone 2</v>
      </c>
      <c r="E53" s="1" t="e">
        <f>VLOOKUP(Table1[[#This Row],[DEVELOPMENT]],Data[],MATCH(Table1[[#Headers],[Priority Level]],Data[#Headers],0),FALSE)</f>
        <v>#N/A</v>
      </c>
      <c r="F53" s="1" t="e">
        <f>VLOOKUP(Table1[[#This Row],[DEVELOPMENT]],Data[],MATCH(Table1[[#Headers],[RAD/PACT]],Data[#Headers],0),FALSE)</f>
        <v>#N/A</v>
      </c>
      <c r="G53" s="9" t="s">
        <v>68</v>
      </c>
      <c r="H53" s="7"/>
      <c r="I53" s="8"/>
      <c r="J53" s="8"/>
      <c r="K53" s="3"/>
      <c r="L53" s="76"/>
      <c r="M53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2024</v>
      </c>
      <c r="N53" s="73"/>
      <c r="O53" s="2"/>
      <c r="P53" s="2"/>
      <c r="Q53" s="11"/>
      <c r="R5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53" s="9"/>
      <c r="T53" s="16"/>
    </row>
    <row r="54" spans="1:20">
      <c r="A54" s="13" t="str">
        <f>VLOOKUP(C54,Data[],2,FALSE)</f>
        <v>MANHATTAN</v>
      </c>
      <c r="B54" s="1"/>
      <c r="C54" s="1" t="s">
        <v>82</v>
      </c>
      <c r="D54" s="9" t="str">
        <f>VLOOKUP(Table1[[#This Row],[DEVELOPMENT]],Data[],MATCH(Table1[[#Headers],[NRR]],Data[#Headers],0),FALSE)</f>
        <v>Zone 3</v>
      </c>
      <c r="E54" s="50" t="e">
        <f>VLOOKUP(Table1[[#This Row],[DEVELOPMENT]],Data[],MATCH(Table1[[#Headers],[Priority Level]],Data[#Headers],0),FALSE)</f>
        <v>#N/A</v>
      </c>
      <c r="F54" s="50" t="e">
        <f>VLOOKUP(Table1[[#This Row],[DEVELOPMENT]],Data[],MATCH(Table1[[#Headers],[RAD/PACT]],Data[#Headers],0),FALSE)</f>
        <v>#N/A</v>
      </c>
      <c r="G54" s="1" t="s">
        <v>68</v>
      </c>
      <c r="H54" s="7"/>
      <c r="I54" s="8"/>
      <c r="J54" s="8">
        <f>K54</f>
        <v>0</v>
      </c>
      <c r="K54" s="3"/>
      <c r="L54" s="75"/>
      <c r="M54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2024</v>
      </c>
      <c r="N54" s="73"/>
      <c r="O54" s="2"/>
      <c r="P54" s="2"/>
      <c r="Q54" s="11"/>
      <c r="R5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54" s="9"/>
      <c r="T54" s="16"/>
    </row>
    <row r="55" spans="1:20">
      <c r="A55" s="13" t="str">
        <f>VLOOKUP(C55,Data[],2,FALSE)</f>
        <v>MANHATTAN</v>
      </c>
      <c r="B55" s="1"/>
      <c r="C55" s="1" t="s">
        <v>83</v>
      </c>
      <c r="D55" s="1" t="str">
        <f>VLOOKUP(Table1[[#This Row],[DEVELOPMENT]],Data[],MATCH(Table1[[#Headers],[NRR]],Data[#Headers],0),FALSE)</f>
        <v>Zone 2</v>
      </c>
      <c r="E55" s="1" t="e">
        <f>VLOOKUP(Table1[[#This Row],[DEVELOPMENT]],Data[],MATCH(Table1[[#Headers],[Priority Level]],Data[#Headers],0),FALSE)</f>
        <v>#N/A</v>
      </c>
      <c r="F55" s="1" t="e">
        <f>VLOOKUP(Table1[[#This Row],[DEVELOPMENT]],Data[],MATCH(Table1[[#Headers],[RAD/PACT]],Data[#Headers],0),FALSE)</f>
        <v>#N/A</v>
      </c>
      <c r="G55" s="9" t="s">
        <v>68</v>
      </c>
      <c r="H55" s="7"/>
      <c r="I55" s="8"/>
      <c r="J55" s="8"/>
      <c r="K55" s="3"/>
      <c r="L55" s="76"/>
      <c r="M55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55" s="73"/>
      <c r="O55" s="2"/>
      <c r="P55" s="2"/>
      <c r="Q55" s="11"/>
      <c r="R5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55" s="9"/>
      <c r="T55" s="16"/>
    </row>
    <row r="56" spans="1:20">
      <c r="A56" s="13" t="str">
        <f>VLOOKUP(C56,Data[],2,FALSE)</f>
        <v>BROOKLYN</v>
      </c>
      <c r="B56" s="1"/>
      <c r="C56" s="1" t="s">
        <v>84</v>
      </c>
      <c r="D56" s="9" t="str">
        <f>VLOOKUP(Table1[[#This Row],[DEVELOPMENT]],Data[],MATCH(Table1[[#Headers],[NRR]],Data[#Headers],0),FALSE)</f>
        <v>Zone 3</v>
      </c>
      <c r="E56" s="50" t="e">
        <f>VLOOKUP(Table1[[#This Row],[DEVELOPMENT]],Data[],MATCH(Table1[[#Headers],[Priority Level]],Data[#Headers],0),FALSE)</f>
        <v>#N/A</v>
      </c>
      <c r="F56" s="50" t="e">
        <f>VLOOKUP(Table1[[#This Row],[DEVELOPMENT]],Data[],MATCH(Table1[[#Headers],[RAD/PACT]],Data[#Headers],0),FALSE)</f>
        <v>#N/A</v>
      </c>
      <c r="G56" s="1" t="s">
        <v>68</v>
      </c>
      <c r="H56" s="7"/>
      <c r="I56" s="8"/>
      <c r="J56" s="8">
        <f t="shared" ref="J56:J61" si="1">K56</f>
        <v>0</v>
      </c>
      <c r="K56" s="3"/>
      <c r="L56" s="75"/>
      <c r="M56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56" s="73"/>
      <c r="O56" s="2"/>
      <c r="P56" s="2"/>
      <c r="Q56" s="11"/>
      <c r="R5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56" s="9"/>
      <c r="T56" s="16"/>
    </row>
    <row r="57" spans="1:20">
      <c r="A57" s="13" t="str">
        <f>VLOOKUP(C57,Data[],2,FALSE)</f>
        <v>MANHATTAN</v>
      </c>
      <c r="B57" s="9" t="s">
        <v>25</v>
      </c>
      <c r="C57" s="9" t="s">
        <v>36</v>
      </c>
      <c r="D57" s="1" t="str">
        <f>VLOOKUP(Table1[[#This Row],[DEVELOPMENT]],Data[],MATCH(Table1[[#Headers],[NRR]],Data[#Headers],0),FALSE)</f>
        <v>Zone 1</v>
      </c>
      <c r="E57" s="1" t="e">
        <f>VLOOKUP(Table1[[#This Row],[DEVELOPMENT]],Data[],MATCH(Table1[[#Headers],[Priority Level]],Data[#Headers],0),FALSE)</f>
        <v>#N/A</v>
      </c>
      <c r="F57" s="1" t="e">
        <f>VLOOKUP(Table1[[#This Row],[DEVELOPMENT]],Data[],MATCH(Table1[[#Headers],[RAD/PACT]],Data[#Headers],0),FALSE)</f>
        <v>#N/A</v>
      </c>
      <c r="G57" s="9" t="s">
        <v>68</v>
      </c>
      <c r="H57" s="58" t="s">
        <v>85</v>
      </c>
      <c r="I57" s="10"/>
      <c r="J57" s="10">
        <f t="shared" si="1"/>
        <v>374920</v>
      </c>
      <c r="K57" s="11">
        <v>374920</v>
      </c>
      <c r="L57" s="73">
        <v>2019</v>
      </c>
      <c r="M57" s="73">
        <v>2020</v>
      </c>
      <c r="N57" s="75">
        <v>2021</v>
      </c>
      <c r="O57" s="2" t="s">
        <v>53</v>
      </c>
      <c r="P57" s="2"/>
      <c r="Q57" s="3"/>
      <c r="R5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57" s="1" t="s">
        <v>86</v>
      </c>
      <c r="T57" s="16"/>
    </row>
    <row r="58" spans="1:20">
      <c r="A58" s="13" t="str">
        <f>VLOOKUP(C58,Data[],2,FALSE)</f>
        <v>MANHATTAN</v>
      </c>
      <c r="B58" s="1"/>
      <c r="C58" s="1" t="s">
        <v>87</v>
      </c>
      <c r="D58" s="9" t="str">
        <f>VLOOKUP(Table1[[#This Row],[DEVELOPMENT]],Data[],MATCH(Table1[[#Headers],[NRR]],Data[#Headers],0),FALSE)</f>
        <v>Zone 3</v>
      </c>
      <c r="E58" s="50" t="e">
        <f>VLOOKUP(Table1[[#This Row],[DEVELOPMENT]],Data[],MATCH(Table1[[#Headers],[Priority Level]],Data[#Headers],0),FALSE)</f>
        <v>#N/A</v>
      </c>
      <c r="F58" s="50" t="e">
        <f>VLOOKUP(Table1[[#This Row],[DEVELOPMENT]],Data[],MATCH(Table1[[#Headers],[RAD/PACT]],Data[#Headers],0),FALSE)</f>
        <v>#N/A</v>
      </c>
      <c r="G58" s="1" t="s">
        <v>68</v>
      </c>
      <c r="H58" s="7"/>
      <c r="I58" s="8"/>
      <c r="J58" s="8">
        <f t="shared" si="1"/>
        <v>0</v>
      </c>
      <c r="K58" s="3"/>
      <c r="L58" s="75"/>
      <c r="M58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58" s="73"/>
      <c r="O58" s="2"/>
      <c r="P58" s="2"/>
      <c r="Q58" s="11"/>
      <c r="R5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58" s="9"/>
      <c r="T58" s="16"/>
    </row>
    <row r="59" spans="1:20">
      <c r="A59" s="13" t="str">
        <f>VLOOKUP(C59,Data[],2,FALSE)</f>
        <v>MANHATTAN</v>
      </c>
      <c r="B59" s="1"/>
      <c r="C59" s="1" t="s">
        <v>88</v>
      </c>
      <c r="D59" s="9" t="str">
        <f>VLOOKUP(Table1[[#This Row],[DEVELOPMENT]],Data[],MATCH(Table1[[#Headers],[NRR]],Data[#Headers],0),FALSE)</f>
        <v>Zone 3</v>
      </c>
      <c r="E59" s="50" t="e">
        <f>VLOOKUP(Table1[[#This Row],[DEVELOPMENT]],Data[],MATCH(Table1[[#Headers],[Priority Level]],Data[#Headers],0),FALSE)</f>
        <v>#N/A</v>
      </c>
      <c r="F59" s="50" t="e">
        <f>VLOOKUP(Table1[[#This Row],[DEVELOPMENT]],Data[],MATCH(Table1[[#Headers],[RAD/PACT]],Data[#Headers],0),FALSE)</f>
        <v>#N/A</v>
      </c>
      <c r="G59" s="1" t="s">
        <v>68</v>
      </c>
      <c r="H59" s="7"/>
      <c r="I59" s="8"/>
      <c r="J59" s="8">
        <f t="shared" si="1"/>
        <v>0</v>
      </c>
      <c r="K59" s="3"/>
      <c r="L59" s="75"/>
      <c r="M59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59" s="73"/>
      <c r="O59" s="2"/>
      <c r="P59" s="2"/>
      <c r="Q59" s="11"/>
      <c r="R5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59" s="9"/>
      <c r="T59" s="16"/>
    </row>
    <row r="60" spans="1:20">
      <c r="A60" s="13" t="str">
        <f>VLOOKUP(C60,Data[],2,FALSE)</f>
        <v>MANHATTAN</v>
      </c>
      <c r="B60" s="1"/>
      <c r="C60" s="1" t="s">
        <v>89</v>
      </c>
      <c r="D60" s="9" t="str">
        <f>VLOOKUP(Table1[[#This Row],[DEVELOPMENT]],Data[],MATCH(Table1[[#Headers],[NRR]],Data[#Headers],0),FALSE)</f>
        <v>Zone 3</v>
      </c>
      <c r="E60" s="50" t="e">
        <f>VLOOKUP(Table1[[#This Row],[DEVELOPMENT]],Data[],MATCH(Table1[[#Headers],[Priority Level]],Data[#Headers],0),FALSE)</f>
        <v>#N/A</v>
      </c>
      <c r="F60" s="50" t="e">
        <f>VLOOKUP(Table1[[#This Row],[DEVELOPMENT]],Data[],MATCH(Table1[[#Headers],[RAD/PACT]],Data[#Headers],0),FALSE)</f>
        <v>#N/A</v>
      </c>
      <c r="G60" s="1" t="s">
        <v>68</v>
      </c>
      <c r="H60" s="7"/>
      <c r="I60" s="8"/>
      <c r="J60" s="8">
        <f t="shared" si="1"/>
        <v>0</v>
      </c>
      <c r="K60" s="3"/>
      <c r="L60" s="75"/>
      <c r="M60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60" s="73"/>
      <c r="O60" s="2"/>
      <c r="P60" s="2"/>
      <c r="Q60" s="11"/>
      <c r="R6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60" s="9"/>
      <c r="T60" s="16"/>
    </row>
    <row r="61" spans="1:20">
      <c r="A61" s="13" t="str">
        <f>VLOOKUP(C61,Data[],2,FALSE)</f>
        <v>BRONX</v>
      </c>
      <c r="B61" s="9" t="s">
        <v>25</v>
      </c>
      <c r="C61" s="9" t="s">
        <v>39</v>
      </c>
      <c r="D61" s="1" t="str">
        <f>VLOOKUP(Table1[[#This Row],[DEVELOPMENT]],Data[],MATCH(Table1[[#Headers],[NRR]],Data[#Headers],0),FALSE)</f>
        <v>Zone 1</v>
      </c>
      <c r="E61" s="1" t="e">
        <f>VLOOKUP(Table1[[#This Row],[DEVELOPMENT]],Data[],MATCH(Table1[[#Headers],[Priority Level]],Data[#Headers],0),FALSE)</f>
        <v>#N/A</v>
      </c>
      <c r="F61" s="1" t="e">
        <f>VLOOKUP(Table1[[#This Row],[DEVELOPMENT]],Data[],MATCH(Table1[[#Headers],[RAD/PACT]],Data[#Headers],0),FALSE)</f>
        <v>#N/A</v>
      </c>
      <c r="G61" s="9" t="s">
        <v>68</v>
      </c>
      <c r="H61" s="12" t="s">
        <v>85</v>
      </c>
      <c r="I61" s="10"/>
      <c r="J61" s="10">
        <f t="shared" si="1"/>
        <v>374920</v>
      </c>
      <c r="K61" s="11">
        <v>374920</v>
      </c>
      <c r="L61" s="73">
        <v>2019</v>
      </c>
      <c r="M61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61" s="75"/>
      <c r="O61" s="2" t="s">
        <v>53</v>
      </c>
      <c r="P61" s="2"/>
      <c r="Q61" s="3"/>
      <c r="R6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61" s="1"/>
      <c r="T61" s="16"/>
    </row>
    <row r="62" spans="1:20">
      <c r="A62" s="13" t="str">
        <f>VLOOKUP(C62,Data[],2,FALSE)</f>
        <v>MANHATTAN</v>
      </c>
      <c r="B62" s="1"/>
      <c r="C62" s="1" t="s">
        <v>90</v>
      </c>
      <c r="D62" s="1" t="str">
        <f>VLOOKUP(Table1[[#This Row],[DEVELOPMENT]],Data[],MATCH(Table1[[#Headers],[NRR]],Data[#Headers],0),FALSE)</f>
        <v>Zone 2</v>
      </c>
      <c r="E62" s="1" t="e">
        <f>VLOOKUP(Table1[[#This Row],[DEVELOPMENT]],Data[],MATCH(Table1[[#Headers],[Priority Level]],Data[#Headers],0),FALSE)</f>
        <v>#N/A</v>
      </c>
      <c r="F62" s="1" t="e">
        <f>VLOOKUP(Table1[[#This Row],[DEVELOPMENT]],Data[],MATCH(Table1[[#Headers],[RAD/PACT]],Data[#Headers],0),FALSE)</f>
        <v>#N/A</v>
      </c>
      <c r="G62" s="9" t="s">
        <v>68</v>
      </c>
      <c r="H62" s="7"/>
      <c r="I62" s="8"/>
      <c r="J62" s="8"/>
      <c r="K62" s="3"/>
      <c r="L62" s="76"/>
      <c r="M62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62" s="73"/>
      <c r="O62" s="2"/>
      <c r="P62" s="2"/>
      <c r="Q62" s="11"/>
      <c r="R6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62" s="9"/>
      <c r="T62" s="16"/>
    </row>
    <row r="63" spans="1:20">
      <c r="A63" s="13" t="str">
        <f>VLOOKUP(C63,Data[],2,FALSE)</f>
        <v>BRONX</v>
      </c>
      <c r="B63" s="1"/>
      <c r="C63" s="1" t="s">
        <v>91</v>
      </c>
      <c r="D63" s="9" t="str">
        <f>VLOOKUP(Table1[[#This Row],[DEVELOPMENT]],Data[],MATCH(Table1[[#Headers],[NRR]],Data[#Headers],0),FALSE)</f>
        <v>Zone 3</v>
      </c>
      <c r="E63" s="50" t="e">
        <f>VLOOKUP(Table1[[#This Row],[DEVELOPMENT]],Data[],MATCH(Table1[[#Headers],[Priority Level]],Data[#Headers],0),FALSE)</f>
        <v>#N/A</v>
      </c>
      <c r="F63" s="50" t="e">
        <f>VLOOKUP(Table1[[#This Row],[DEVELOPMENT]],Data[],MATCH(Table1[[#Headers],[RAD/PACT]],Data[#Headers],0),FALSE)</f>
        <v>#N/A</v>
      </c>
      <c r="G63" s="1" t="s">
        <v>68</v>
      </c>
      <c r="H63" s="7"/>
      <c r="I63" s="8"/>
      <c r="J63" s="8">
        <f>K63</f>
        <v>0</v>
      </c>
      <c r="K63" s="3"/>
      <c r="L63" s="75"/>
      <c r="M63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2022</v>
      </c>
      <c r="N63" s="73"/>
      <c r="O63" s="2"/>
      <c r="P63" s="2"/>
      <c r="Q63" s="11"/>
      <c r="R6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63" s="9"/>
      <c r="T63" s="16"/>
    </row>
    <row r="64" spans="1:20">
      <c r="A64" s="13" t="str">
        <f>VLOOKUP(C64,Data[],2,FALSE)</f>
        <v>MANHATTAN</v>
      </c>
      <c r="B64" s="1"/>
      <c r="C64" s="1" t="s">
        <v>92</v>
      </c>
      <c r="D64" s="1" t="str">
        <f>VLOOKUP(Table1[[#This Row],[DEVELOPMENT]],Data[],MATCH(Table1[[#Headers],[NRR]],Data[#Headers],0),FALSE)</f>
        <v>Zone 2</v>
      </c>
      <c r="E64" s="1" t="e">
        <f>VLOOKUP(Table1[[#This Row],[DEVELOPMENT]],Data[],MATCH(Table1[[#Headers],[Priority Level]],Data[#Headers],0),FALSE)</f>
        <v>#N/A</v>
      </c>
      <c r="F64" s="1" t="e">
        <f>VLOOKUP(Table1[[#This Row],[DEVELOPMENT]],Data[],MATCH(Table1[[#Headers],[RAD/PACT]],Data[#Headers],0),FALSE)</f>
        <v>#N/A</v>
      </c>
      <c r="G64" s="9" t="s">
        <v>68</v>
      </c>
      <c r="H64" s="7"/>
      <c r="I64" s="8"/>
      <c r="J64" s="8"/>
      <c r="K64" s="3"/>
      <c r="L64" s="76"/>
      <c r="M64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2022</v>
      </c>
      <c r="N64" s="73"/>
      <c r="O64" s="2"/>
      <c r="P64" s="2"/>
      <c r="Q64" s="11"/>
      <c r="R6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64" s="9"/>
      <c r="T64" s="16"/>
    </row>
    <row r="65" spans="1:20">
      <c r="A65" s="13" t="str">
        <f>VLOOKUP(C65,Data[],2,FALSE)</f>
        <v>MANHATTAN</v>
      </c>
      <c r="B65" s="1"/>
      <c r="C65" s="1" t="s">
        <v>93</v>
      </c>
      <c r="D65" s="9" t="str">
        <f>VLOOKUP(Table1[[#This Row],[DEVELOPMENT]],Data[],MATCH(Table1[[#Headers],[NRR]],Data[#Headers],0),FALSE)</f>
        <v>Zone 3</v>
      </c>
      <c r="E65" s="50" t="e">
        <f>VLOOKUP(Table1[[#This Row],[DEVELOPMENT]],Data[],MATCH(Table1[[#Headers],[Priority Level]],Data[#Headers],0),FALSE)</f>
        <v>#N/A</v>
      </c>
      <c r="F65" s="50" t="e">
        <f>VLOOKUP(Table1[[#This Row],[DEVELOPMENT]],Data[],MATCH(Table1[[#Headers],[RAD/PACT]],Data[#Headers],0),FALSE)</f>
        <v>#N/A</v>
      </c>
      <c r="G65" s="1" t="s">
        <v>68</v>
      </c>
      <c r="H65" s="7"/>
      <c r="I65" s="8"/>
      <c r="J65" s="8">
        <f>K65</f>
        <v>0</v>
      </c>
      <c r="K65" s="3"/>
      <c r="L65" s="75"/>
      <c r="M65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2022</v>
      </c>
      <c r="N65" s="73"/>
      <c r="O65" s="2"/>
      <c r="P65" s="2"/>
      <c r="Q65" s="11"/>
      <c r="R6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65" s="9"/>
      <c r="T65" s="16"/>
    </row>
    <row r="66" spans="1:20">
      <c r="A66" s="13" t="str">
        <f>VLOOKUP(C66,Data[],2,FALSE)</f>
        <v>MANHATTAN</v>
      </c>
      <c r="B66" s="1"/>
      <c r="C66" s="1" t="s">
        <v>94</v>
      </c>
      <c r="D66" s="9" t="str">
        <f>VLOOKUP(Table1[[#This Row],[DEVELOPMENT]],Data[],MATCH(Table1[[#Headers],[NRR]],Data[#Headers],0),FALSE)</f>
        <v>Zone 3</v>
      </c>
      <c r="E66" s="50" t="e">
        <f>VLOOKUP(Table1[[#This Row],[DEVELOPMENT]],Data[],MATCH(Table1[[#Headers],[Priority Level]],Data[#Headers],0),FALSE)</f>
        <v>#N/A</v>
      </c>
      <c r="F66" s="50" t="e">
        <f>VLOOKUP(Table1[[#This Row],[DEVELOPMENT]],Data[],MATCH(Table1[[#Headers],[RAD/PACT]],Data[#Headers],0),FALSE)</f>
        <v>#N/A</v>
      </c>
      <c r="G66" s="1" t="s">
        <v>68</v>
      </c>
      <c r="H66" s="7"/>
      <c r="I66" s="8"/>
      <c r="J66" s="8">
        <f>K66</f>
        <v>0</v>
      </c>
      <c r="K66" s="3"/>
      <c r="L66" s="75"/>
      <c r="M66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2022</v>
      </c>
      <c r="N66" s="73"/>
      <c r="O66" s="2"/>
      <c r="P66" s="2"/>
      <c r="Q66" s="11"/>
      <c r="R6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66" s="9"/>
      <c r="T66" s="16"/>
    </row>
    <row r="67" spans="1:20">
      <c r="A67" s="13" t="str">
        <f>VLOOKUP(C67,Data[],2,FALSE)</f>
        <v>MANHATTAN</v>
      </c>
      <c r="B67" s="1"/>
      <c r="C67" s="1" t="s">
        <v>95</v>
      </c>
      <c r="D67" s="1" t="str">
        <f>VLOOKUP(Table1[[#This Row],[DEVELOPMENT]],Data[],MATCH(Table1[[#Headers],[NRR]],Data[#Headers],0),FALSE)</f>
        <v>Zone 2</v>
      </c>
      <c r="E67" s="1" t="e">
        <f>VLOOKUP(Table1[[#This Row],[DEVELOPMENT]],Data[],MATCH(Table1[[#Headers],[Priority Level]],Data[#Headers],0),FALSE)</f>
        <v>#N/A</v>
      </c>
      <c r="F67" s="1" t="e">
        <f>VLOOKUP(Table1[[#This Row],[DEVELOPMENT]],Data[],MATCH(Table1[[#Headers],[RAD/PACT]],Data[#Headers],0),FALSE)</f>
        <v>#N/A</v>
      </c>
      <c r="G67" s="9" t="s">
        <v>68</v>
      </c>
      <c r="H67" s="7"/>
      <c r="I67" s="8"/>
      <c r="J67" s="8"/>
      <c r="K67" s="3"/>
      <c r="L67" s="76"/>
      <c r="M67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2021</v>
      </c>
      <c r="N67" s="73"/>
      <c r="O67" s="2"/>
      <c r="P67" s="2"/>
      <c r="Q67" s="11"/>
      <c r="R6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67" s="9"/>
      <c r="T67" s="16"/>
    </row>
    <row r="68" spans="1:20">
      <c r="A68" s="13" t="str">
        <f>VLOOKUP(C68,Data[],2,FALSE)</f>
        <v>BRONX</v>
      </c>
      <c r="B68" s="1"/>
      <c r="C68" s="1" t="s">
        <v>96</v>
      </c>
      <c r="D68" s="9" t="str">
        <f>VLOOKUP(Table1[[#This Row],[DEVELOPMENT]],Data[],MATCH(Table1[[#Headers],[NRR]],Data[#Headers],0),FALSE)</f>
        <v>Zone 3</v>
      </c>
      <c r="E68" s="50" t="e">
        <f>VLOOKUP(Table1[[#This Row],[DEVELOPMENT]],Data[],MATCH(Table1[[#Headers],[Priority Level]],Data[#Headers],0),FALSE)</f>
        <v>#N/A</v>
      </c>
      <c r="F68" s="50" t="e">
        <f>VLOOKUP(Table1[[#This Row],[DEVELOPMENT]],Data[],MATCH(Table1[[#Headers],[RAD/PACT]],Data[#Headers],0),FALSE)</f>
        <v>#N/A</v>
      </c>
      <c r="G68" s="1" t="s">
        <v>68</v>
      </c>
      <c r="H68" s="7"/>
      <c r="I68" s="8"/>
      <c r="J68" s="8">
        <f>K68</f>
        <v>0</v>
      </c>
      <c r="K68" s="3"/>
      <c r="L68" s="75"/>
      <c r="M68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2021</v>
      </c>
      <c r="N68" s="73"/>
      <c r="O68" s="2"/>
      <c r="P68" s="2"/>
      <c r="Q68" s="11"/>
      <c r="R6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68" s="9"/>
      <c r="T68" s="16"/>
    </row>
    <row r="69" spans="1:20">
      <c r="A69" s="13" t="str">
        <f>VLOOKUP(C69,Data[],2,FALSE)</f>
        <v>BRONX</v>
      </c>
      <c r="B69" s="1"/>
      <c r="C69" s="1" t="s">
        <v>97</v>
      </c>
      <c r="D69" s="9" t="str">
        <f>VLOOKUP(Table1[[#This Row],[DEVELOPMENT]],Data[],MATCH(Table1[[#Headers],[NRR]],Data[#Headers],0),FALSE)</f>
        <v>Zone 3</v>
      </c>
      <c r="E69" s="50" t="e">
        <f>VLOOKUP(Table1[[#This Row],[DEVELOPMENT]],Data[],MATCH(Table1[[#Headers],[Priority Level]],Data[#Headers],0),FALSE)</f>
        <v>#N/A</v>
      </c>
      <c r="F69" s="50" t="e">
        <f>VLOOKUP(Table1[[#This Row],[DEVELOPMENT]],Data[],MATCH(Table1[[#Headers],[RAD/PACT]],Data[#Headers],0),FALSE)</f>
        <v>#N/A</v>
      </c>
      <c r="G69" s="1" t="s">
        <v>68</v>
      </c>
      <c r="H69" s="7"/>
      <c r="I69" s="8"/>
      <c r="J69" s="8">
        <f>K69</f>
        <v>0</v>
      </c>
      <c r="K69" s="3"/>
      <c r="L69" s="75"/>
      <c r="M69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2021</v>
      </c>
      <c r="N69" s="73"/>
      <c r="O69" s="2"/>
      <c r="P69" s="2"/>
      <c r="Q69" s="11"/>
      <c r="R6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69" s="9"/>
      <c r="T69" s="16"/>
    </row>
    <row r="70" spans="1:20">
      <c r="A70" s="13" t="str">
        <f>VLOOKUP(C70,Data[],2,FALSE)</f>
        <v>BRONX</v>
      </c>
      <c r="B70" s="1"/>
      <c r="C70" s="1" t="s">
        <v>98</v>
      </c>
      <c r="D70" s="9" t="str">
        <f>VLOOKUP(Table1[[#This Row],[DEVELOPMENT]],Data[],MATCH(Table1[[#Headers],[NRR]],Data[#Headers],0),FALSE)</f>
        <v>Zone 3</v>
      </c>
      <c r="E70" s="50" t="e">
        <f>VLOOKUP(Table1[[#This Row],[DEVELOPMENT]],Data[],MATCH(Table1[[#Headers],[Priority Level]],Data[#Headers],0),FALSE)</f>
        <v>#N/A</v>
      </c>
      <c r="F70" s="50" t="e">
        <f>VLOOKUP(Table1[[#This Row],[DEVELOPMENT]],Data[],MATCH(Table1[[#Headers],[RAD/PACT]],Data[#Headers],0),FALSE)</f>
        <v>#N/A</v>
      </c>
      <c r="G70" s="1" t="s">
        <v>68</v>
      </c>
      <c r="H70" s="7"/>
      <c r="I70" s="8"/>
      <c r="J70" s="8">
        <f>K70</f>
        <v>0</v>
      </c>
      <c r="K70" s="3"/>
      <c r="L70" s="75"/>
      <c r="M70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70" s="73"/>
      <c r="O70" s="2"/>
      <c r="P70" s="2"/>
      <c r="Q70" s="11"/>
      <c r="R7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70" s="9"/>
      <c r="T70" s="16"/>
    </row>
    <row r="71" spans="1:20">
      <c r="A71" s="13" t="str">
        <f>VLOOKUP(C71,Data[],2,FALSE)</f>
        <v>BRONX</v>
      </c>
      <c r="B71" s="1"/>
      <c r="C71" s="1" t="s">
        <v>99</v>
      </c>
      <c r="D71" s="9" t="str">
        <f>VLOOKUP(Table1[[#This Row],[DEVELOPMENT]],Data[],MATCH(Table1[[#Headers],[NRR]],Data[#Headers],0),FALSE)</f>
        <v>Zone 3</v>
      </c>
      <c r="E71" s="50" t="e">
        <f>VLOOKUP(Table1[[#This Row],[DEVELOPMENT]],Data[],MATCH(Table1[[#Headers],[Priority Level]],Data[#Headers],0),FALSE)</f>
        <v>#N/A</v>
      </c>
      <c r="F71" s="50" t="e">
        <f>VLOOKUP(Table1[[#This Row],[DEVELOPMENT]],Data[],MATCH(Table1[[#Headers],[RAD/PACT]],Data[#Headers],0),FALSE)</f>
        <v>#N/A</v>
      </c>
      <c r="G71" s="1" t="s">
        <v>68</v>
      </c>
      <c r="H71" s="7"/>
      <c r="I71" s="8"/>
      <c r="J71" s="8">
        <f>K71</f>
        <v>0</v>
      </c>
      <c r="K71" s="3"/>
      <c r="L71" s="75"/>
      <c r="M71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71" s="73"/>
      <c r="O71" s="2"/>
      <c r="P71" s="2"/>
      <c r="Q71" s="11"/>
      <c r="R7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71" s="9"/>
      <c r="T71" s="16"/>
    </row>
    <row r="72" spans="1:20">
      <c r="A72" s="13" t="str">
        <f>VLOOKUP(C72,Data[],2,FALSE)</f>
        <v>MANHATTAN</v>
      </c>
      <c r="B72" s="1"/>
      <c r="C72" s="1" t="s">
        <v>100</v>
      </c>
      <c r="D72" s="1" t="str">
        <f>VLOOKUP(Table1[[#This Row],[DEVELOPMENT]],Data[],MATCH(Table1[[#Headers],[NRR]],Data[#Headers],0),FALSE)</f>
        <v>Zone 2</v>
      </c>
      <c r="E72" s="1" t="e">
        <f>VLOOKUP(Table1[[#This Row],[DEVELOPMENT]],Data[],MATCH(Table1[[#Headers],[Priority Level]],Data[#Headers],0),FALSE)</f>
        <v>#N/A</v>
      </c>
      <c r="F72" s="1" t="e">
        <f>VLOOKUP(Table1[[#This Row],[DEVELOPMENT]],Data[],MATCH(Table1[[#Headers],[RAD/PACT]],Data[#Headers],0),FALSE)</f>
        <v>#N/A</v>
      </c>
      <c r="G72" s="9" t="s">
        <v>68</v>
      </c>
      <c r="H72" s="7"/>
      <c r="I72" s="8"/>
      <c r="J72" s="8"/>
      <c r="K72" s="3"/>
      <c r="L72" s="76"/>
      <c r="M72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72" s="73"/>
      <c r="O72" s="2"/>
      <c r="P72" s="2"/>
      <c r="Q72" s="11"/>
      <c r="R7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72" s="9"/>
      <c r="T72" s="16"/>
    </row>
    <row r="73" spans="1:20">
      <c r="A73" s="13" t="str">
        <f>VLOOKUP(C73,Data[],2,FALSE)</f>
        <v>MANHATTAN</v>
      </c>
      <c r="B73" s="1"/>
      <c r="C73" s="1" t="s">
        <v>101</v>
      </c>
      <c r="D73" s="9" t="str">
        <f>VLOOKUP(Table1[[#This Row],[DEVELOPMENT]],Data[],MATCH(Table1[[#Headers],[NRR]],Data[#Headers],0),FALSE)</f>
        <v>Zone 3</v>
      </c>
      <c r="E73" s="50" t="e">
        <f>VLOOKUP(Table1[[#This Row],[DEVELOPMENT]],Data[],MATCH(Table1[[#Headers],[Priority Level]],Data[#Headers],0),FALSE)</f>
        <v>#N/A</v>
      </c>
      <c r="F73" s="50" t="e">
        <f>VLOOKUP(Table1[[#This Row],[DEVELOPMENT]],Data[],MATCH(Table1[[#Headers],[RAD/PACT]],Data[#Headers],0),FALSE)</f>
        <v>#N/A</v>
      </c>
      <c r="G73" s="1" t="s">
        <v>68</v>
      </c>
      <c r="H73" s="7"/>
      <c r="I73" s="8"/>
      <c r="J73" s="8">
        <f>K73</f>
        <v>0</v>
      </c>
      <c r="K73" s="3"/>
      <c r="L73" s="75"/>
      <c r="M73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73" s="73"/>
      <c r="O73" s="2"/>
      <c r="P73" s="2"/>
      <c r="Q73" s="11"/>
      <c r="R7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73" s="9"/>
      <c r="T73" s="16"/>
    </row>
    <row r="74" spans="1:20">
      <c r="A74" s="13" t="str">
        <f>VLOOKUP(C74,Data[],2,FALSE)</f>
        <v>MANHATTAN</v>
      </c>
      <c r="B74" s="1"/>
      <c r="C74" s="1" t="s">
        <v>102</v>
      </c>
      <c r="D74" s="1" t="str">
        <f>VLOOKUP(Table1[[#This Row],[DEVELOPMENT]],Data[],MATCH(Table1[[#Headers],[NRR]],Data[#Headers],0),FALSE)</f>
        <v>Zone 2</v>
      </c>
      <c r="E74" s="1" t="e">
        <f>VLOOKUP(Table1[[#This Row],[DEVELOPMENT]],Data[],MATCH(Table1[[#Headers],[Priority Level]],Data[#Headers],0),FALSE)</f>
        <v>#N/A</v>
      </c>
      <c r="F74" s="1" t="e">
        <f>VLOOKUP(Table1[[#This Row],[DEVELOPMENT]],Data[],MATCH(Table1[[#Headers],[RAD/PACT]],Data[#Headers],0),FALSE)</f>
        <v>#N/A</v>
      </c>
      <c r="G74" s="9" t="s">
        <v>68</v>
      </c>
      <c r="H74" s="7"/>
      <c r="I74" s="8"/>
      <c r="J74" s="8"/>
      <c r="K74" s="3"/>
      <c r="L74" s="76"/>
      <c r="M74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74" s="73"/>
      <c r="O74" s="2"/>
      <c r="P74" s="2"/>
      <c r="Q74" s="11"/>
      <c r="R7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74" s="9"/>
      <c r="T74" s="16"/>
    </row>
    <row r="75" spans="1:20">
      <c r="A75" s="13" t="str">
        <f>VLOOKUP(C75,Data[],2,FALSE)</f>
        <v>MANHATTAN</v>
      </c>
      <c r="B75" s="9" t="s">
        <v>25</v>
      </c>
      <c r="C75" s="9" t="s">
        <v>36</v>
      </c>
      <c r="D75" s="1" t="str">
        <f>VLOOKUP(Table1[[#This Row],[DEVELOPMENT]],Data[],MATCH(Table1[[#Headers],[NRR]],Data[#Headers],0),FALSE)</f>
        <v>Zone 1</v>
      </c>
      <c r="E75" s="1" t="e">
        <f>VLOOKUP(Table1[[#This Row],[DEVELOPMENT]],Data[],MATCH(Table1[[#Headers],[Priority Level]],Data[#Headers],0),FALSE)</f>
        <v>#N/A</v>
      </c>
      <c r="F75" s="1" t="e">
        <f>VLOOKUP(Table1[[#This Row],[DEVELOPMENT]],Data[],MATCH(Table1[[#Headers],[RAD/PACT]],Data[#Headers],0),FALSE)</f>
        <v>#N/A</v>
      </c>
      <c r="G75" s="9" t="s">
        <v>49</v>
      </c>
      <c r="H75" s="58" t="s">
        <v>33</v>
      </c>
      <c r="I75" s="10"/>
      <c r="J75" s="10">
        <f>K75</f>
        <v>739529.70000000007</v>
      </c>
      <c r="K75" s="11">
        <v>739529.70000000007</v>
      </c>
      <c r="L75" s="74">
        <v>2019</v>
      </c>
      <c r="M75" s="73">
        <v>2020</v>
      </c>
      <c r="N75" s="75">
        <v>2020</v>
      </c>
      <c r="O75" s="2" t="s">
        <v>53</v>
      </c>
      <c r="P75" s="2"/>
      <c r="Q75" s="3"/>
      <c r="R7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75" s="1" t="s">
        <v>30</v>
      </c>
      <c r="T75" s="16"/>
    </row>
    <row r="76" spans="1:20">
      <c r="A76" s="13" t="str">
        <f>VLOOKUP(C76,Data[],2,FALSE)</f>
        <v>MANHATTAN</v>
      </c>
      <c r="B76" s="9" t="s">
        <v>25</v>
      </c>
      <c r="C76" s="9" t="s">
        <v>103</v>
      </c>
      <c r="D76" s="1" t="str">
        <f>VLOOKUP(Table1[[#This Row],[DEVELOPMENT]],Data[],MATCH(Table1[[#Headers],[NRR]],Data[#Headers],0),FALSE)</f>
        <v>Zone 1</v>
      </c>
      <c r="E76" s="1" t="e">
        <f>VLOOKUP(Table1[[#This Row],[DEVELOPMENT]],Data[],MATCH(Table1[[#Headers],[Priority Level]],Data[#Headers],0),FALSE)</f>
        <v>#N/A</v>
      </c>
      <c r="F76" s="1" t="e">
        <f>VLOOKUP(Table1[[#This Row],[DEVELOPMENT]],Data[],MATCH(Table1[[#Headers],[RAD/PACT]],Data[#Headers],0),FALSE)</f>
        <v>#N/A</v>
      </c>
      <c r="G76" s="9" t="s">
        <v>49</v>
      </c>
      <c r="H76" s="58" t="s">
        <v>33</v>
      </c>
      <c r="I76" s="10"/>
      <c r="J76" s="10">
        <f>K76</f>
        <v>97310</v>
      </c>
      <c r="K76" s="11">
        <v>97310</v>
      </c>
      <c r="L76" s="74">
        <v>2019</v>
      </c>
      <c r="M76" s="73">
        <v>2020</v>
      </c>
      <c r="N76" s="75">
        <v>2020</v>
      </c>
      <c r="O76" s="2" t="s">
        <v>53</v>
      </c>
      <c r="P76" s="2"/>
      <c r="Q76" s="3"/>
      <c r="R7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76" s="1" t="s">
        <v>30</v>
      </c>
      <c r="T76" s="16"/>
    </row>
    <row r="77" spans="1:20">
      <c r="A77" s="13" t="str">
        <f>VLOOKUP(C77,Data[],2,FALSE)</f>
        <v>MANHATTAN</v>
      </c>
      <c r="B77" s="9" t="s">
        <v>25</v>
      </c>
      <c r="C77" s="9" t="s">
        <v>55</v>
      </c>
      <c r="D77" s="1" t="str">
        <f>VLOOKUP(Table1[[#This Row],[DEVELOPMENT]],Data[],MATCH(Table1[[#Headers],[NRR]],Data[#Headers],0),FALSE)</f>
        <v>Zone 1</v>
      </c>
      <c r="E77" s="1" t="e">
        <f>VLOOKUP(Table1[[#This Row],[DEVELOPMENT]],Data[],MATCH(Table1[[#Headers],[Priority Level]],Data[#Headers],0),FALSE)</f>
        <v>#N/A</v>
      </c>
      <c r="F77" s="1" t="e">
        <f>VLOOKUP(Table1[[#This Row],[DEVELOPMENT]],Data[],MATCH(Table1[[#Headers],[RAD/PACT]],Data[#Headers],0),FALSE)</f>
        <v>#N/A</v>
      </c>
      <c r="G77" s="9" t="s">
        <v>49</v>
      </c>
      <c r="H77" s="58" t="s">
        <v>28</v>
      </c>
      <c r="I77" s="10">
        <f>K77</f>
        <v>806574.97499999998</v>
      </c>
      <c r="J77" s="10"/>
      <c r="K77" s="11">
        <v>806574.97499999998</v>
      </c>
      <c r="L77" s="74">
        <v>2019</v>
      </c>
      <c r="M77" s="73">
        <v>2020</v>
      </c>
      <c r="N77" s="75">
        <v>2021</v>
      </c>
      <c r="O77" s="2" t="s">
        <v>53</v>
      </c>
      <c r="P77" s="2"/>
      <c r="Q77" s="3"/>
      <c r="R7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77" s="1" t="s">
        <v>30</v>
      </c>
      <c r="T77" s="16"/>
    </row>
    <row r="78" spans="1:20">
      <c r="A78" s="13" t="str">
        <f>VLOOKUP(C78,Data[],2,FALSE)</f>
        <v>MANHATTAN</v>
      </c>
      <c r="B78" s="9" t="s">
        <v>25</v>
      </c>
      <c r="C78" s="9" t="s">
        <v>104</v>
      </c>
      <c r="D78" s="1" t="str">
        <f>VLOOKUP(Table1[[#This Row],[DEVELOPMENT]],Data[],MATCH(Table1[[#Headers],[NRR]],Data[#Headers],0),FALSE)</f>
        <v>Zone 1</v>
      </c>
      <c r="E78" s="1" t="e">
        <f>VLOOKUP(Table1[[#This Row],[DEVELOPMENT]],Data[],MATCH(Table1[[#Headers],[Priority Level]],Data[#Headers],0),FALSE)</f>
        <v>#N/A</v>
      </c>
      <c r="F78" s="1" t="e">
        <f>VLOOKUP(Table1[[#This Row],[DEVELOPMENT]],Data[],MATCH(Table1[[#Headers],[RAD/PACT]],Data[#Headers],0),FALSE)</f>
        <v>#N/A</v>
      </c>
      <c r="G78" s="9" t="s">
        <v>49</v>
      </c>
      <c r="H78" s="58" t="s">
        <v>33</v>
      </c>
      <c r="I78" s="10"/>
      <c r="J78" s="10">
        <f>K78</f>
        <v>452996.57512643072</v>
      </c>
      <c r="K78" s="11">
        <v>452996.57512643072</v>
      </c>
      <c r="L78" s="74">
        <v>2019</v>
      </c>
      <c r="M78" s="73">
        <v>2020</v>
      </c>
      <c r="N78" s="75">
        <v>2021</v>
      </c>
      <c r="O78" s="2" t="s">
        <v>53</v>
      </c>
      <c r="P78" s="2"/>
      <c r="Q78" s="3"/>
      <c r="R7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78" s="1" t="s">
        <v>30</v>
      </c>
      <c r="T78" s="16"/>
    </row>
    <row r="79" spans="1:20">
      <c r="A79" s="13" t="str">
        <f>VLOOKUP(C79,Data[],2,FALSE)</f>
        <v>BRONX</v>
      </c>
      <c r="B79" s="1"/>
      <c r="C79" s="1" t="s">
        <v>105</v>
      </c>
      <c r="D79" s="1" t="str">
        <f>VLOOKUP(Table1[[#This Row],[DEVELOPMENT]],Data[],MATCH(Table1[[#Headers],[NRR]],Data[#Headers],0),FALSE)</f>
        <v>Zone 3</v>
      </c>
      <c r="E79" s="1" t="e">
        <f>VLOOKUP(Table1[[#This Row],[DEVELOPMENT]],Data[],MATCH(Table1[[#Headers],[Priority Level]],Data[#Headers],0),FALSE)</f>
        <v>#N/A</v>
      </c>
      <c r="F79" s="1" t="e">
        <f>VLOOKUP(Table1[[#This Row],[DEVELOPMENT]],Data[],MATCH(Table1[[#Headers],[RAD/PACT]],Data[#Headers],0),FALSE)</f>
        <v>#N/A</v>
      </c>
      <c r="G79" s="1" t="s">
        <v>106</v>
      </c>
      <c r="H79" s="7"/>
      <c r="I79" s="8"/>
      <c r="J79" s="8"/>
      <c r="K79" s="3"/>
      <c r="L79" s="76"/>
      <c r="M79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79" s="73"/>
      <c r="O79" s="2"/>
      <c r="P79" s="2"/>
      <c r="Q79" s="11"/>
      <c r="R7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79" s="9"/>
      <c r="T79" s="16"/>
    </row>
    <row r="80" spans="1:20">
      <c r="A80" s="13" t="str">
        <f>VLOOKUP(C80,Data[],2,FALSE)</f>
        <v>MANHATTAN</v>
      </c>
      <c r="B80" s="9" t="s">
        <v>25</v>
      </c>
      <c r="C80" s="9" t="s">
        <v>62</v>
      </c>
      <c r="D80" s="1" t="str">
        <f>VLOOKUP(Table1[[#This Row],[DEVELOPMENT]],Data[],MATCH(Table1[[#Headers],[NRR]],Data[#Headers],0),FALSE)</f>
        <v>Zone 1</v>
      </c>
      <c r="E80" s="1" t="e">
        <f>VLOOKUP(Table1[[#This Row],[DEVELOPMENT]],Data[],MATCH(Table1[[#Headers],[Priority Level]],Data[#Headers],0),FALSE)</f>
        <v>#N/A</v>
      </c>
      <c r="F80" s="1" t="e">
        <f>VLOOKUP(Table1[[#This Row],[DEVELOPMENT]],Data[],MATCH(Table1[[#Headers],[RAD/PACT]],Data[#Headers],0),FALSE)</f>
        <v>#N/A</v>
      </c>
      <c r="G80" s="9" t="s">
        <v>106</v>
      </c>
      <c r="H80" s="58" t="s">
        <v>85</v>
      </c>
      <c r="I80" s="10"/>
      <c r="J80" s="10">
        <f>K80</f>
        <v>74191</v>
      </c>
      <c r="K80" s="11">
        <v>74191</v>
      </c>
      <c r="L80" s="73">
        <v>2019</v>
      </c>
      <c r="M80" s="73">
        <v>2020</v>
      </c>
      <c r="N80" s="75">
        <v>2021</v>
      </c>
      <c r="O80" s="2" t="s">
        <v>53</v>
      </c>
      <c r="P80" s="2"/>
      <c r="Q80" s="3"/>
      <c r="R8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80" s="1" t="s">
        <v>86</v>
      </c>
      <c r="T80" s="16"/>
    </row>
    <row r="81" spans="1:20">
      <c r="A81" s="13" t="str">
        <f>VLOOKUP(C81,Data[],2,FALSE)</f>
        <v>MANHATTAN</v>
      </c>
      <c r="B81" s="1"/>
      <c r="C81" s="1" t="s">
        <v>93</v>
      </c>
      <c r="D81" s="1" t="str">
        <f>VLOOKUP(Table1[[#This Row],[DEVELOPMENT]],Data[],MATCH(Table1[[#Headers],[NRR]],Data[#Headers],0),FALSE)</f>
        <v>Zone 3</v>
      </c>
      <c r="E81" s="1" t="e">
        <f>VLOOKUP(Table1[[#This Row],[DEVELOPMENT]],Data[],MATCH(Table1[[#Headers],[Priority Level]],Data[#Headers],0),FALSE)</f>
        <v>#N/A</v>
      </c>
      <c r="F81" s="1" t="e">
        <f>VLOOKUP(Table1[[#This Row],[DEVELOPMENT]],Data[],MATCH(Table1[[#Headers],[RAD/PACT]],Data[#Headers],0),FALSE)</f>
        <v>#N/A</v>
      </c>
      <c r="G81" s="1" t="s">
        <v>106</v>
      </c>
      <c r="H81" s="7"/>
      <c r="I81" s="8"/>
      <c r="J81" s="8"/>
      <c r="K81" s="3"/>
      <c r="L81" s="76"/>
      <c r="M81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81" s="73"/>
      <c r="O81" s="2"/>
      <c r="P81" s="2"/>
      <c r="Q81" s="11"/>
      <c r="R8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81" s="9"/>
      <c r="T81" s="16"/>
    </row>
    <row r="82" spans="1:20">
      <c r="A82" s="13" t="str">
        <f>VLOOKUP(C82,Data[],2,FALSE)</f>
        <v>MANHATTAN</v>
      </c>
      <c r="B82" s="1"/>
      <c r="C82" s="1" t="s">
        <v>94</v>
      </c>
      <c r="D82" s="1" t="str">
        <f>VLOOKUP(Table1[[#This Row],[DEVELOPMENT]],Data[],MATCH(Table1[[#Headers],[NRR]],Data[#Headers],0),FALSE)</f>
        <v>Zone 3</v>
      </c>
      <c r="E82" s="1" t="e">
        <f>VLOOKUP(Table1[[#This Row],[DEVELOPMENT]],Data[],MATCH(Table1[[#Headers],[Priority Level]],Data[#Headers],0),FALSE)</f>
        <v>#N/A</v>
      </c>
      <c r="F82" s="1" t="e">
        <f>VLOOKUP(Table1[[#This Row],[DEVELOPMENT]],Data[],MATCH(Table1[[#Headers],[RAD/PACT]],Data[#Headers],0),FALSE)</f>
        <v>#N/A</v>
      </c>
      <c r="G82" s="1" t="s">
        <v>106</v>
      </c>
      <c r="H82" s="7"/>
      <c r="I82" s="8"/>
      <c r="J82" s="8"/>
      <c r="K82" s="3"/>
      <c r="L82" s="76"/>
      <c r="M82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82" s="73"/>
      <c r="O82" s="2"/>
      <c r="P82" s="2"/>
      <c r="Q82" s="11"/>
      <c r="R8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82" s="9"/>
      <c r="T82" s="16"/>
    </row>
    <row r="83" spans="1:20">
      <c r="A83" s="13" t="str">
        <f>VLOOKUP(C83,Data[],2,FALSE)</f>
        <v>MANHATTAN</v>
      </c>
      <c r="B83" s="1"/>
      <c r="C83" s="1" t="s">
        <v>107</v>
      </c>
      <c r="D83" s="1" t="str">
        <f>VLOOKUP(Table1[[#This Row],[DEVELOPMENT]],Data[],MATCH(Table1[[#Headers],[NRR]],Data[#Headers],0),FALSE)</f>
        <v>Zone 2</v>
      </c>
      <c r="E83" s="1" t="e">
        <f>VLOOKUP(Table1[[#This Row],[DEVELOPMENT]],Data[],MATCH(Table1[[#Headers],[Priority Level]],Data[#Headers],0),FALSE)</f>
        <v>#N/A</v>
      </c>
      <c r="F83" s="1" t="e">
        <f>VLOOKUP(Table1[[#This Row],[DEVELOPMENT]],Data[],MATCH(Table1[[#Headers],[RAD/PACT]],Data[#Headers],0),FALSE)</f>
        <v>#N/A</v>
      </c>
      <c r="G83" s="9" t="s">
        <v>106</v>
      </c>
      <c r="H83" s="7"/>
      <c r="I83" s="8"/>
      <c r="J83" s="8"/>
      <c r="K83" s="3"/>
      <c r="L83" s="76"/>
      <c r="M83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83" s="73"/>
      <c r="O83" s="2"/>
      <c r="P83" s="2"/>
      <c r="Q83" s="11"/>
      <c r="R8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83" s="9"/>
      <c r="T83" s="16"/>
    </row>
    <row r="84" spans="1:20">
      <c r="A84" s="13" t="str">
        <f>VLOOKUP(C84,Data[],2,FALSE)</f>
        <v>MANHATTAN</v>
      </c>
      <c r="B84" s="9" t="s">
        <v>25</v>
      </c>
      <c r="C84" s="9" t="s">
        <v>65</v>
      </c>
      <c r="D84" s="1" t="str">
        <f>VLOOKUP(Table1[[#This Row],[DEVELOPMENT]],Data[],MATCH(Table1[[#Headers],[NRR]],Data[#Headers],0),FALSE)</f>
        <v>Zone 1</v>
      </c>
      <c r="E84" s="1" t="e">
        <f>VLOOKUP(Table1[[#This Row],[DEVELOPMENT]],Data[],MATCH(Table1[[#Headers],[Priority Level]],Data[#Headers],0),FALSE)</f>
        <v>#N/A</v>
      </c>
      <c r="F84" s="1" t="e">
        <f>VLOOKUP(Table1[[#This Row],[DEVELOPMENT]],Data[],MATCH(Table1[[#Headers],[RAD/PACT]],Data[#Headers],0),FALSE)</f>
        <v>#N/A</v>
      </c>
      <c r="G84" s="9" t="s">
        <v>106</v>
      </c>
      <c r="H84" s="58" t="s">
        <v>85</v>
      </c>
      <c r="I84" s="10"/>
      <c r="J84" s="10">
        <f>K84</f>
        <v>74191</v>
      </c>
      <c r="K84" s="11">
        <v>74191</v>
      </c>
      <c r="L84" s="73">
        <v>2019</v>
      </c>
      <c r="M84" s="73">
        <v>2020</v>
      </c>
      <c r="N84" s="75">
        <v>2021</v>
      </c>
      <c r="O84" s="2" t="s">
        <v>53</v>
      </c>
      <c r="P84" s="2"/>
      <c r="Q84" s="3"/>
      <c r="R8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84" s="1" t="s">
        <v>86</v>
      </c>
      <c r="T84" s="16"/>
    </row>
    <row r="85" spans="1:20">
      <c r="A85" s="13" t="str">
        <f>VLOOKUP(C85,Data[],2,FALSE)</f>
        <v>BRONX</v>
      </c>
      <c r="B85" s="1"/>
      <c r="C85" s="1" t="s">
        <v>96</v>
      </c>
      <c r="D85" s="1" t="str">
        <f>VLOOKUP(Table1[[#This Row],[DEVELOPMENT]],Data[],MATCH(Table1[[#Headers],[NRR]],Data[#Headers],0),FALSE)</f>
        <v>Zone 3</v>
      </c>
      <c r="E85" s="1" t="e">
        <f>VLOOKUP(Table1[[#This Row],[DEVELOPMENT]],Data[],MATCH(Table1[[#Headers],[Priority Level]],Data[#Headers],0),FALSE)</f>
        <v>#N/A</v>
      </c>
      <c r="F85" s="1" t="e">
        <f>VLOOKUP(Table1[[#This Row],[DEVELOPMENT]],Data[],MATCH(Table1[[#Headers],[RAD/PACT]],Data[#Headers],0),FALSE)</f>
        <v>#N/A</v>
      </c>
      <c r="G85" s="1" t="s">
        <v>106</v>
      </c>
      <c r="H85" s="7"/>
      <c r="I85" s="8"/>
      <c r="J85" s="8"/>
      <c r="K85" s="3"/>
      <c r="L85" s="76"/>
      <c r="M85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85" s="73"/>
      <c r="O85" s="2"/>
      <c r="P85" s="2"/>
      <c r="Q85" s="11"/>
      <c r="R8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85" s="9"/>
      <c r="T85" s="16"/>
    </row>
    <row r="86" spans="1:20">
      <c r="A86" s="13" t="str">
        <f>VLOOKUP(C86,Data[],2,FALSE)</f>
        <v>BRONX</v>
      </c>
      <c r="B86" s="1"/>
      <c r="C86" s="1" t="s">
        <v>97</v>
      </c>
      <c r="D86" s="1" t="str">
        <f>VLOOKUP(Table1[[#This Row],[DEVELOPMENT]],Data[],MATCH(Table1[[#Headers],[NRR]],Data[#Headers],0),FALSE)</f>
        <v>Zone 3</v>
      </c>
      <c r="E86" s="1" t="e">
        <f>VLOOKUP(Table1[[#This Row],[DEVELOPMENT]],Data[],MATCH(Table1[[#Headers],[Priority Level]],Data[#Headers],0),FALSE)</f>
        <v>#N/A</v>
      </c>
      <c r="F86" s="1" t="e">
        <f>VLOOKUP(Table1[[#This Row],[DEVELOPMENT]],Data[],MATCH(Table1[[#Headers],[RAD/PACT]],Data[#Headers],0),FALSE)</f>
        <v>#N/A</v>
      </c>
      <c r="G86" s="1" t="s">
        <v>106</v>
      </c>
      <c r="H86" s="7"/>
      <c r="I86" s="8"/>
      <c r="J86" s="8"/>
      <c r="K86" s="3"/>
      <c r="L86" s="76"/>
      <c r="M86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86" s="73"/>
      <c r="O86" s="2"/>
      <c r="P86" s="2"/>
      <c r="Q86" s="11"/>
      <c r="R8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86" s="9"/>
      <c r="T86" s="16"/>
    </row>
    <row r="87" spans="1:20">
      <c r="A87" s="13" t="str">
        <f>VLOOKUP(C87,Data[],2,FALSE)</f>
        <v>BRONX</v>
      </c>
      <c r="B87" s="1"/>
      <c r="C87" s="1" t="s">
        <v>99</v>
      </c>
      <c r="D87" s="1" t="str">
        <f>VLOOKUP(Table1[[#This Row],[DEVELOPMENT]],Data[],MATCH(Table1[[#Headers],[NRR]],Data[#Headers],0),FALSE)</f>
        <v>Zone 3</v>
      </c>
      <c r="E87" s="1" t="e">
        <f>VLOOKUP(Table1[[#This Row],[DEVELOPMENT]],Data[],MATCH(Table1[[#Headers],[Priority Level]],Data[#Headers],0),FALSE)</f>
        <v>#N/A</v>
      </c>
      <c r="F87" s="1" t="e">
        <f>VLOOKUP(Table1[[#This Row],[DEVELOPMENT]],Data[],MATCH(Table1[[#Headers],[RAD/PACT]],Data[#Headers],0),FALSE)</f>
        <v>#N/A</v>
      </c>
      <c r="G87" s="1" t="s">
        <v>106</v>
      </c>
      <c r="H87" s="7"/>
      <c r="I87" s="8"/>
      <c r="J87" s="8"/>
      <c r="K87" s="3"/>
      <c r="L87" s="76"/>
      <c r="M87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87" s="73"/>
      <c r="O87" s="2"/>
      <c r="P87" s="2"/>
      <c r="Q87" s="11"/>
      <c r="R8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87" s="9"/>
      <c r="T87" s="16"/>
    </row>
    <row r="88" spans="1:20">
      <c r="A88" s="13" t="str">
        <f>VLOOKUP(C88,Data[],2,FALSE)</f>
        <v>MANHATTAN</v>
      </c>
      <c r="B88" s="9" t="s">
        <v>25</v>
      </c>
      <c r="C88" s="9" t="s">
        <v>56</v>
      </c>
      <c r="D88" s="1" t="str">
        <f>VLOOKUP(Table1[[#This Row],[DEVELOPMENT]],Data[],MATCH(Table1[[#Headers],[NRR]],Data[#Headers],0),FALSE)</f>
        <v>Zone 1</v>
      </c>
      <c r="E88" s="1" t="e">
        <f>VLOOKUP(Table1[[#This Row],[DEVELOPMENT]],Data[],MATCH(Table1[[#Headers],[Priority Level]],Data[#Headers],0),FALSE)</f>
        <v>#N/A</v>
      </c>
      <c r="F88" s="1" t="e">
        <f>VLOOKUP(Table1[[#This Row],[DEVELOPMENT]],Data[],MATCH(Table1[[#Headers],[RAD/PACT]],Data[#Headers],0),FALSE)</f>
        <v>#N/A</v>
      </c>
      <c r="G88" s="9" t="s">
        <v>106</v>
      </c>
      <c r="H88" s="58" t="s">
        <v>85</v>
      </c>
      <c r="I88" s="10"/>
      <c r="J88" s="10">
        <f>K88</f>
        <v>3412786</v>
      </c>
      <c r="K88" s="11">
        <v>3412786</v>
      </c>
      <c r="L88" s="73">
        <v>2019</v>
      </c>
      <c r="M88" s="73">
        <v>2020</v>
      </c>
      <c r="N88" s="75">
        <v>2021</v>
      </c>
      <c r="O88" s="2" t="s">
        <v>53</v>
      </c>
      <c r="P88" s="2"/>
      <c r="Q88" s="3"/>
      <c r="R8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88" s="1" t="s">
        <v>86</v>
      </c>
      <c r="T88" s="16"/>
    </row>
    <row r="89" spans="1:20">
      <c r="A89" s="13" t="str">
        <f>VLOOKUP(C89,Data[],2,FALSE)</f>
        <v>MANHATTAN</v>
      </c>
      <c r="B89" s="1" t="s">
        <v>25</v>
      </c>
      <c r="C89" s="1" t="s">
        <v>108</v>
      </c>
      <c r="D89" s="1" t="str">
        <f>VLOOKUP(Table1[[#This Row],[DEVELOPMENT]],Data[],MATCH(Table1[[#Headers],[NRR]],Data[#Headers],0),FALSE)</f>
        <v>Zone 1</v>
      </c>
      <c r="E89" s="1" t="e">
        <f>VLOOKUP(Table1[[#This Row],[DEVELOPMENT]],Data[],MATCH(Table1[[#Headers],[Priority Level]],Data[#Headers],0),FALSE)</f>
        <v>#N/A</v>
      </c>
      <c r="F89" s="1" t="e">
        <f>VLOOKUP(Table1[[#This Row],[DEVELOPMENT]],Data[],MATCH(Table1[[#Headers],[RAD/PACT]],Data[#Headers],0),FALSE)</f>
        <v>#N/A</v>
      </c>
      <c r="G89" s="1" t="s">
        <v>106</v>
      </c>
      <c r="H89" s="58" t="s">
        <v>85</v>
      </c>
      <c r="I89" s="8"/>
      <c r="J89" s="8">
        <f>K89</f>
        <v>593528</v>
      </c>
      <c r="K89" s="3">
        <v>593528</v>
      </c>
      <c r="L89" s="75">
        <v>2019</v>
      </c>
      <c r="M89" s="73">
        <v>2020</v>
      </c>
      <c r="N89" s="75">
        <v>2021</v>
      </c>
      <c r="O89" s="2" t="s">
        <v>53</v>
      </c>
      <c r="P89" s="2"/>
      <c r="Q89" s="3"/>
      <c r="R8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89" s="1" t="s">
        <v>86</v>
      </c>
      <c r="T89" s="16"/>
    </row>
    <row r="90" spans="1:20">
      <c r="A90" s="13" t="str">
        <f>VLOOKUP(C90,Data[],2,FALSE)</f>
        <v>MANHATTAN</v>
      </c>
      <c r="B90" s="1"/>
      <c r="C90" s="1" t="s">
        <v>101</v>
      </c>
      <c r="D90" s="1" t="str">
        <f>VLOOKUP(Table1[[#This Row],[DEVELOPMENT]],Data[],MATCH(Table1[[#Headers],[NRR]],Data[#Headers],0),FALSE)</f>
        <v>Zone 3</v>
      </c>
      <c r="E90" s="1" t="e">
        <f>VLOOKUP(Table1[[#This Row],[DEVELOPMENT]],Data[],MATCH(Table1[[#Headers],[Priority Level]],Data[#Headers],0),FALSE)</f>
        <v>#N/A</v>
      </c>
      <c r="F90" s="1" t="e">
        <f>VLOOKUP(Table1[[#This Row],[DEVELOPMENT]],Data[],MATCH(Table1[[#Headers],[RAD/PACT]],Data[#Headers],0),FALSE)</f>
        <v>#N/A</v>
      </c>
      <c r="G90" s="1" t="s">
        <v>106</v>
      </c>
      <c r="H90" s="7"/>
      <c r="I90" s="8"/>
      <c r="J90" s="8"/>
      <c r="K90" s="3"/>
      <c r="L90" s="76"/>
      <c r="M90" s="75" t="e">
        <f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90" s="73"/>
      <c r="O90" s="2"/>
      <c r="P90" s="2"/>
      <c r="Q90" s="11"/>
      <c r="R9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90" s="9"/>
      <c r="T90" s="16"/>
    </row>
    <row r="91" spans="1:20">
      <c r="A91" s="13" t="str">
        <f>VLOOKUP(C91,Data[],2,FALSE)</f>
        <v>MANHATTAN</v>
      </c>
      <c r="B91" s="1" t="s">
        <v>25</v>
      </c>
      <c r="C91" s="1" t="s">
        <v>36</v>
      </c>
      <c r="D91" s="1" t="str">
        <f>VLOOKUP(Table1[[#This Row],[DEVELOPMENT]],Data[],MATCH(Table1[[#Headers],[NRR]],Data[#Headers],0),FALSE)</f>
        <v>Zone 1</v>
      </c>
      <c r="E91" s="1" t="e">
        <f>VLOOKUP(Table1[[#This Row],[DEVELOPMENT]],Data[],MATCH(Table1[[#Headers],[Priority Level]],Data[#Headers],0),FALSE)</f>
        <v>#N/A</v>
      </c>
      <c r="F91" s="1" t="e">
        <f>VLOOKUP(Table1[[#This Row],[DEVELOPMENT]],Data[],MATCH(Table1[[#Headers],[RAD/PACT]],Data[#Headers],0),FALSE)</f>
        <v>#N/A</v>
      </c>
      <c r="G91" s="1" t="s">
        <v>109</v>
      </c>
      <c r="H91" s="58" t="s">
        <v>85</v>
      </c>
      <c r="I91" s="8"/>
      <c r="J91" s="8">
        <f>K91</f>
        <v>2725380</v>
      </c>
      <c r="K91" s="3">
        <v>2725380</v>
      </c>
      <c r="L91" s="75">
        <v>2019</v>
      </c>
      <c r="M91" s="73">
        <v>2021</v>
      </c>
      <c r="N91" s="75">
        <v>2021</v>
      </c>
      <c r="O91" s="2" t="s">
        <v>53</v>
      </c>
      <c r="P91" s="2"/>
      <c r="Q91" s="3"/>
      <c r="R91" s="80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91" s="81" t="s">
        <v>86</v>
      </c>
      <c r="T91" s="16" t="s">
        <v>110</v>
      </c>
    </row>
    <row r="92" spans="1:20">
      <c r="A92" s="13" t="str">
        <f>VLOOKUP(C92,Data[],2,FALSE)</f>
        <v>MANHATTAN</v>
      </c>
      <c r="B92" s="1" t="s">
        <v>25</v>
      </c>
      <c r="C92" s="1" t="s">
        <v>55</v>
      </c>
      <c r="D92" s="1" t="str">
        <f>VLOOKUP(Table1[[#This Row],[DEVELOPMENT]],Data[],MATCH(Table1[[#Headers],[NRR]],Data[#Headers],0),FALSE)</f>
        <v>Zone 1</v>
      </c>
      <c r="E92" s="1" t="e">
        <f>VLOOKUP(Table1[[#This Row],[DEVELOPMENT]],Data[],MATCH(Table1[[#Headers],[Priority Level]],Data[#Headers],0),FALSE)</f>
        <v>#N/A</v>
      </c>
      <c r="F92" s="1" t="e">
        <f>VLOOKUP(Table1[[#This Row],[DEVELOPMENT]],Data[],MATCH(Table1[[#Headers],[RAD/PACT]],Data[#Headers],0),FALSE)</f>
        <v>#N/A</v>
      </c>
      <c r="G92" s="1" t="s">
        <v>109</v>
      </c>
      <c r="H92" s="58" t="s">
        <v>85</v>
      </c>
      <c r="I92" s="8"/>
      <c r="J92" s="8">
        <f>K92</f>
        <v>1362690</v>
      </c>
      <c r="K92" s="3">
        <v>1362690</v>
      </c>
      <c r="L92" s="75">
        <v>2019</v>
      </c>
      <c r="M92" s="73">
        <v>2021</v>
      </c>
      <c r="N92" s="75">
        <v>2021</v>
      </c>
      <c r="O92" s="2" t="s">
        <v>53</v>
      </c>
      <c r="P92" s="2"/>
      <c r="Q92" s="3"/>
      <c r="R9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92" s="1" t="s">
        <v>86</v>
      </c>
      <c r="T92" s="16"/>
    </row>
    <row r="93" spans="1:20">
      <c r="A93" s="13" t="str">
        <f>VLOOKUP(C93,Data[],2,FALSE)</f>
        <v>MANHATTAN</v>
      </c>
      <c r="B93" s="1"/>
      <c r="C93" s="1" t="s">
        <v>111</v>
      </c>
      <c r="D93" s="9" t="str">
        <f>VLOOKUP(Table1[[#This Row],[DEVELOPMENT]],Data[],MATCH(Table1[[#Headers],[NRR]],Data[#Headers],0),FALSE)</f>
        <v>Zone 3</v>
      </c>
      <c r="E93" s="50" t="e">
        <f>VLOOKUP(Table1[[#This Row],[DEVELOPMENT]],Data[],MATCH(Table1[[#Headers],[Priority Level]],Data[#Headers],0),FALSE)</f>
        <v>#N/A</v>
      </c>
      <c r="F93" s="50" t="e">
        <f>VLOOKUP(Table1[[#This Row],[DEVELOPMENT]],Data[],MATCH(Table1[[#Headers],[RAD/PACT]],Data[#Headers],0),FALSE)</f>
        <v>#N/A</v>
      </c>
      <c r="G93" s="1" t="s">
        <v>68</v>
      </c>
      <c r="H93" s="7"/>
      <c r="I93" s="8"/>
      <c r="J93" s="8">
        <f>K93</f>
        <v>0</v>
      </c>
      <c r="K93" s="3"/>
      <c r="L93" s="75"/>
      <c r="M93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2024</v>
      </c>
      <c r="N93" s="73"/>
      <c r="O93" s="2"/>
      <c r="P93" s="2"/>
      <c r="Q93" s="11"/>
      <c r="R9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93" s="9"/>
      <c r="T93" s="16"/>
    </row>
    <row r="94" spans="1:20">
      <c r="A94" s="13" t="str">
        <f>VLOOKUP(C94,Data[],2,FALSE)</f>
        <v>MANHATTAN</v>
      </c>
      <c r="B94" s="1"/>
      <c r="C94" s="1" t="s">
        <v>112</v>
      </c>
      <c r="D94" s="1" t="str">
        <f>VLOOKUP(Table1[[#This Row],[DEVELOPMENT]],Data[],MATCH(Table1[[#Headers],[NRR]],Data[#Headers],0),FALSE)</f>
        <v>Zone 2</v>
      </c>
      <c r="E94" s="1" t="e">
        <f>VLOOKUP(Table1[[#This Row],[DEVELOPMENT]],Data[],MATCH(Table1[[#Headers],[Priority Level]],Data[#Headers],0),FALSE)</f>
        <v>#N/A</v>
      </c>
      <c r="F94" s="1" t="e">
        <f>VLOOKUP(Table1[[#This Row],[DEVELOPMENT]],Data[],MATCH(Table1[[#Headers],[RAD/PACT]],Data[#Headers],0),FALSE)</f>
        <v>#N/A</v>
      </c>
      <c r="G94" s="9" t="s">
        <v>68</v>
      </c>
      <c r="H94" s="7"/>
      <c r="I94" s="8"/>
      <c r="J94" s="8"/>
      <c r="K94" s="3"/>
      <c r="L94" s="76"/>
      <c r="M94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94" s="73"/>
      <c r="O94" s="2"/>
      <c r="P94" s="2"/>
      <c r="Q94" s="11"/>
      <c r="R9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94" s="9"/>
      <c r="T94" s="16"/>
    </row>
    <row r="95" spans="1:20">
      <c r="A95" s="13" t="str">
        <f>VLOOKUP(C95,Data[],2,FALSE)</f>
        <v>MANHATTAN</v>
      </c>
      <c r="B95" s="1"/>
      <c r="C95" s="1" t="s">
        <v>113</v>
      </c>
      <c r="D95" s="1" t="str">
        <f>VLOOKUP(Table1[[#This Row],[DEVELOPMENT]],Data[],MATCH(Table1[[#Headers],[NRR]],Data[#Headers],0),FALSE)</f>
        <v>Zone 2</v>
      </c>
      <c r="E95" s="1" t="e">
        <f>VLOOKUP(Table1[[#This Row],[DEVELOPMENT]],Data[],MATCH(Table1[[#Headers],[Priority Level]],Data[#Headers],0),FALSE)</f>
        <v>#N/A</v>
      </c>
      <c r="F95" s="1" t="e">
        <f>VLOOKUP(Table1[[#This Row],[DEVELOPMENT]],Data[],MATCH(Table1[[#Headers],[RAD/PACT]],Data[#Headers],0),FALSE)</f>
        <v>#N/A</v>
      </c>
      <c r="G95" s="9" t="s">
        <v>68</v>
      </c>
      <c r="H95" s="7"/>
      <c r="I95" s="8"/>
      <c r="J95" s="8"/>
      <c r="K95" s="3"/>
      <c r="L95" s="76"/>
      <c r="M95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95" s="73"/>
      <c r="O95" s="2"/>
      <c r="P95" s="2"/>
      <c r="Q95" s="11"/>
      <c r="R9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95" s="9"/>
      <c r="T95" s="16"/>
    </row>
    <row r="96" spans="1:20">
      <c r="A96" s="13" t="str">
        <f>VLOOKUP(C96,Data[],2,FALSE)</f>
        <v>BRONX</v>
      </c>
      <c r="B96" s="1"/>
      <c r="C96" s="1" t="s">
        <v>114</v>
      </c>
      <c r="D96" s="9" t="str">
        <f>VLOOKUP(Table1[[#This Row],[DEVELOPMENT]],Data[],MATCH(Table1[[#Headers],[NRR]],Data[#Headers],0),FALSE)</f>
        <v>Zone 3</v>
      </c>
      <c r="E96" s="50" t="e">
        <f>VLOOKUP(Table1[[#This Row],[DEVELOPMENT]],Data[],MATCH(Table1[[#Headers],[Priority Level]],Data[#Headers],0),FALSE)</f>
        <v>#N/A</v>
      </c>
      <c r="F96" s="50" t="e">
        <f>VLOOKUP(Table1[[#This Row],[DEVELOPMENT]],Data[],MATCH(Table1[[#Headers],[RAD/PACT]],Data[#Headers],0),FALSE)</f>
        <v>#N/A</v>
      </c>
      <c r="G96" s="1" t="s">
        <v>68</v>
      </c>
      <c r="H96" s="7"/>
      <c r="I96" s="8"/>
      <c r="J96" s="8">
        <f>K96</f>
        <v>0</v>
      </c>
      <c r="K96" s="3"/>
      <c r="L96" s="75"/>
      <c r="M96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2022</v>
      </c>
      <c r="N96" s="73"/>
      <c r="O96" s="2"/>
      <c r="P96" s="2"/>
      <c r="Q96" s="11"/>
      <c r="R9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96" s="9"/>
      <c r="T96" s="16"/>
    </row>
    <row r="97" spans="1:20">
      <c r="A97" s="13" t="str">
        <f>VLOOKUP(C97,Data[],2,FALSE)</f>
        <v>MANHATTAN</v>
      </c>
      <c r="B97" s="1"/>
      <c r="C97" s="1" t="s">
        <v>115</v>
      </c>
      <c r="D97" s="1" t="str">
        <f>VLOOKUP(Table1[[#This Row],[DEVELOPMENT]],Data[],MATCH(Table1[[#Headers],[NRR]],Data[#Headers],0),FALSE)</f>
        <v>Zone 2</v>
      </c>
      <c r="E97" s="1" t="e">
        <f>VLOOKUP(Table1[[#This Row],[DEVELOPMENT]],Data[],MATCH(Table1[[#Headers],[Priority Level]],Data[#Headers],0),FALSE)</f>
        <v>#N/A</v>
      </c>
      <c r="F97" s="1" t="e">
        <f>VLOOKUP(Table1[[#This Row],[DEVELOPMENT]],Data[],MATCH(Table1[[#Headers],[RAD/PACT]],Data[#Headers],0),FALSE)</f>
        <v>#N/A</v>
      </c>
      <c r="G97" s="9" t="s">
        <v>68</v>
      </c>
      <c r="H97" s="7"/>
      <c r="I97" s="8"/>
      <c r="J97" s="8"/>
      <c r="K97" s="3"/>
      <c r="L97" s="76"/>
      <c r="M97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2022</v>
      </c>
      <c r="N97" s="73"/>
      <c r="O97" s="2"/>
      <c r="P97" s="2"/>
      <c r="Q97" s="11"/>
      <c r="R9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97" s="9"/>
      <c r="T97" s="16"/>
    </row>
    <row r="98" spans="1:20">
      <c r="A98" s="13" t="str">
        <f>VLOOKUP(C98,Data[],2,FALSE)</f>
        <v>MANHATTAN</v>
      </c>
      <c r="B98" s="1"/>
      <c r="C98" s="1" t="s">
        <v>116</v>
      </c>
      <c r="D98" s="1" t="str">
        <f>VLOOKUP(Table1[[#This Row],[DEVELOPMENT]],Data[],MATCH(Table1[[#Headers],[NRR]],Data[#Headers],0),FALSE)</f>
        <v>Zone 2</v>
      </c>
      <c r="E98" s="1" t="e">
        <f>VLOOKUP(Table1[[#This Row],[DEVELOPMENT]],Data[],MATCH(Table1[[#Headers],[Priority Level]],Data[#Headers],0),FALSE)</f>
        <v>#N/A</v>
      </c>
      <c r="F98" s="1" t="e">
        <f>VLOOKUP(Table1[[#This Row],[DEVELOPMENT]],Data[],MATCH(Table1[[#Headers],[RAD/PACT]],Data[#Headers],0),FALSE)</f>
        <v>#N/A</v>
      </c>
      <c r="G98" s="9" t="s">
        <v>68</v>
      </c>
      <c r="H98" s="7"/>
      <c r="I98" s="8"/>
      <c r="J98" s="8"/>
      <c r="K98" s="3"/>
      <c r="L98" s="76"/>
      <c r="M98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98" s="73"/>
      <c r="O98" s="2"/>
      <c r="P98" s="2"/>
      <c r="Q98" s="11"/>
      <c r="R9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98" s="9"/>
      <c r="T98" s="16"/>
    </row>
    <row r="99" spans="1:20">
      <c r="A99" s="13" t="str">
        <f>VLOOKUP(C99,Data[],2,FALSE)</f>
        <v>MANHATTAN</v>
      </c>
      <c r="B99" s="1"/>
      <c r="C99" s="1" t="s">
        <v>69</v>
      </c>
      <c r="D99" s="1" t="str">
        <f>VLOOKUP(Table1[[#This Row],[DEVELOPMENT]],Data[],MATCH(Table1[[#Headers],[NRR]],Data[#Headers],0),FALSE)</f>
        <v>Zone 3</v>
      </c>
      <c r="E99" s="1" t="e">
        <f>VLOOKUP(Table1[[#This Row],[DEVELOPMENT]],Data[],MATCH(Table1[[#Headers],[Priority Level]],Data[#Headers],0),FALSE)</f>
        <v>#N/A</v>
      </c>
      <c r="F99" s="1" t="e">
        <f>VLOOKUP(Table1[[#This Row],[DEVELOPMENT]],Data[],MATCH(Table1[[#Headers],[RAD/PACT]],Data[#Headers],0),FALSE)</f>
        <v>#N/A</v>
      </c>
      <c r="G99" s="1" t="s">
        <v>106</v>
      </c>
      <c r="H99" s="7"/>
      <c r="I99" s="8"/>
      <c r="J99" s="8"/>
      <c r="K99" s="3"/>
      <c r="L99" s="76"/>
      <c r="M99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99" s="73"/>
      <c r="O99" s="2"/>
      <c r="P99" s="2"/>
      <c r="Q99" s="11"/>
      <c r="R9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99" s="9"/>
      <c r="T99" s="16"/>
    </row>
    <row r="100" spans="1:20">
      <c r="A100" s="13" t="str">
        <f>VLOOKUP(C100,Data[],2,FALSE)</f>
        <v>MANHATTAN</v>
      </c>
      <c r="B100" s="1"/>
      <c r="C100" s="1" t="s">
        <v>74</v>
      </c>
      <c r="D100" s="1" t="str">
        <f>VLOOKUP(Table1[[#This Row],[DEVELOPMENT]],Data[],MATCH(Table1[[#Headers],[NRR]],Data[#Headers],0),FALSE)</f>
        <v>Zone 2</v>
      </c>
      <c r="E100" s="1" t="e">
        <f>VLOOKUP(Table1[[#This Row],[DEVELOPMENT]],Data[],MATCH(Table1[[#Headers],[Priority Level]],Data[#Headers],0),FALSE)</f>
        <v>#N/A</v>
      </c>
      <c r="F100" s="1" t="e">
        <f>VLOOKUP(Table1[[#This Row],[DEVELOPMENT]],Data[],MATCH(Table1[[#Headers],[RAD/PACT]],Data[#Headers],0),FALSE)</f>
        <v>#N/A</v>
      </c>
      <c r="G100" s="9" t="s">
        <v>106</v>
      </c>
      <c r="H100" s="7"/>
      <c r="I100" s="8"/>
      <c r="J100" s="8"/>
      <c r="K100" s="3"/>
      <c r="L100" s="76"/>
      <c r="M100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00" s="73"/>
      <c r="O100" s="2"/>
      <c r="P100" s="2"/>
      <c r="Q100" s="11"/>
      <c r="R10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00" s="9"/>
      <c r="T100" s="16"/>
    </row>
    <row r="101" spans="1:20">
      <c r="A101" s="13" t="str">
        <f>VLOOKUP(C101,Data[],2,FALSE)</f>
        <v>MANHATTAN</v>
      </c>
      <c r="B101" s="1"/>
      <c r="C101" s="1" t="s">
        <v>80</v>
      </c>
      <c r="D101" s="1" t="str">
        <f>VLOOKUP(Table1[[#This Row],[DEVELOPMENT]],Data[],MATCH(Table1[[#Headers],[NRR]],Data[#Headers],0),FALSE)</f>
        <v>Zone 3</v>
      </c>
      <c r="E101" s="1" t="e">
        <f>VLOOKUP(Table1[[#This Row],[DEVELOPMENT]],Data[],MATCH(Table1[[#Headers],[Priority Level]],Data[#Headers],0),FALSE)</f>
        <v>#N/A</v>
      </c>
      <c r="F101" s="1" t="e">
        <f>VLOOKUP(Table1[[#This Row],[DEVELOPMENT]],Data[],MATCH(Table1[[#Headers],[RAD/PACT]],Data[#Headers],0),FALSE)</f>
        <v>#N/A</v>
      </c>
      <c r="G101" s="1" t="s">
        <v>106</v>
      </c>
      <c r="H101" s="7"/>
      <c r="I101" s="8"/>
      <c r="J101" s="8"/>
      <c r="K101" s="3"/>
      <c r="L101" s="76"/>
      <c r="M101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01" s="73"/>
      <c r="O101" s="2"/>
      <c r="P101" s="2"/>
      <c r="Q101" s="11"/>
      <c r="R10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01" s="9"/>
      <c r="T101" s="16"/>
    </row>
    <row r="102" spans="1:20">
      <c r="A102" s="13" t="str">
        <f>VLOOKUP(C102,Data[],2,FALSE)</f>
        <v>MANHATTAN</v>
      </c>
      <c r="B102" s="1"/>
      <c r="C102" s="1" t="s">
        <v>117</v>
      </c>
      <c r="D102" s="1" t="str">
        <f>VLOOKUP(Table1[[#This Row],[DEVELOPMENT]],Data[],MATCH(Table1[[#Headers],[NRR]],Data[#Headers],0),FALSE)</f>
        <v>Zone 3</v>
      </c>
      <c r="E102" s="1" t="e">
        <f>VLOOKUP(Table1[[#This Row],[DEVELOPMENT]],Data[],MATCH(Table1[[#Headers],[Priority Level]],Data[#Headers],0),FALSE)</f>
        <v>#N/A</v>
      </c>
      <c r="F102" s="1" t="e">
        <f>VLOOKUP(Table1[[#This Row],[DEVELOPMENT]],Data[],MATCH(Table1[[#Headers],[RAD/PACT]],Data[#Headers],0),FALSE)</f>
        <v>#N/A</v>
      </c>
      <c r="G102" s="1" t="s">
        <v>106</v>
      </c>
      <c r="H102" s="7"/>
      <c r="I102" s="8"/>
      <c r="J102" s="8"/>
      <c r="K102" s="3"/>
      <c r="L102" s="76"/>
      <c r="M102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02" s="73"/>
      <c r="O102" s="2"/>
      <c r="P102" s="2"/>
      <c r="Q102" s="11"/>
      <c r="R10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02" s="9"/>
      <c r="T102" s="16"/>
    </row>
    <row r="103" spans="1:20">
      <c r="A103" s="13" t="str">
        <f>VLOOKUP(C103,Data[],2,FALSE)</f>
        <v>MANHATTAN</v>
      </c>
      <c r="B103" s="1"/>
      <c r="C103" s="1" t="s">
        <v>82</v>
      </c>
      <c r="D103" s="1" t="str">
        <f>VLOOKUP(Table1[[#This Row],[DEVELOPMENT]],Data[],MATCH(Table1[[#Headers],[NRR]],Data[#Headers],0),FALSE)</f>
        <v>Zone 3</v>
      </c>
      <c r="E103" s="1" t="e">
        <f>VLOOKUP(Table1[[#This Row],[DEVELOPMENT]],Data[],MATCH(Table1[[#Headers],[Priority Level]],Data[#Headers],0),FALSE)</f>
        <v>#N/A</v>
      </c>
      <c r="F103" s="1" t="e">
        <f>VLOOKUP(Table1[[#This Row],[DEVELOPMENT]],Data[],MATCH(Table1[[#Headers],[RAD/PACT]],Data[#Headers],0),FALSE)</f>
        <v>#N/A</v>
      </c>
      <c r="G103" s="1" t="s">
        <v>106</v>
      </c>
      <c r="H103" s="7"/>
      <c r="I103" s="8"/>
      <c r="J103" s="8"/>
      <c r="K103" s="3"/>
      <c r="L103" s="76"/>
      <c r="M103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03" s="73"/>
      <c r="O103" s="2"/>
      <c r="P103" s="2"/>
      <c r="Q103" s="11"/>
      <c r="R10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03" s="9"/>
      <c r="T103" s="16"/>
    </row>
    <row r="104" spans="1:20">
      <c r="A104" s="13" t="str">
        <f>VLOOKUP(C104,Data[],2,FALSE)</f>
        <v>BROOKLYN</v>
      </c>
      <c r="B104" s="9" t="s">
        <v>25</v>
      </c>
      <c r="C104" s="9" t="s">
        <v>118</v>
      </c>
      <c r="D104" s="1" t="str">
        <f>VLOOKUP(Table1[[#This Row],[DEVELOPMENT]],Data[],MATCH(Table1[[#Headers],[NRR]],Data[#Headers],0),FALSE)</f>
        <v>Zone 1</v>
      </c>
      <c r="E104" s="1" t="e">
        <f>VLOOKUP(Table1[[#This Row],[DEVELOPMENT]],Data[],MATCH(Table1[[#Headers],[Priority Level]],Data[#Headers],0),FALSE)</f>
        <v>#N/A</v>
      </c>
      <c r="F104" s="1" t="e">
        <f>VLOOKUP(Table1[[#This Row],[DEVELOPMENT]],Data[],MATCH(Table1[[#Headers],[RAD/PACT]],Data[#Headers],0),FALSE)</f>
        <v>#N/A</v>
      </c>
      <c r="G104" s="9" t="s">
        <v>68</v>
      </c>
      <c r="H104" s="12" t="s">
        <v>85</v>
      </c>
      <c r="I104" s="10"/>
      <c r="J104" s="10">
        <f>K104</f>
        <v>187460</v>
      </c>
      <c r="K104" s="11">
        <v>187460</v>
      </c>
      <c r="L104" s="73">
        <v>2019</v>
      </c>
      <c r="M104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104" s="75"/>
      <c r="O104" s="2" t="s">
        <v>53</v>
      </c>
      <c r="P104" s="2"/>
      <c r="Q104" s="3"/>
      <c r="R10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04" s="1"/>
      <c r="T104" s="16"/>
    </row>
    <row r="105" spans="1:20">
      <c r="A105" s="13" t="str">
        <f>VLOOKUP(C105,Data[],2,FALSE)</f>
        <v>BROOKLYN</v>
      </c>
      <c r="B105" s="1"/>
      <c r="C105" s="1" t="s">
        <v>119</v>
      </c>
      <c r="D105" s="9" t="str">
        <f>VLOOKUP(Table1[[#This Row],[DEVELOPMENT]],Data[],MATCH(Table1[[#Headers],[NRR]],Data[#Headers],0),FALSE)</f>
        <v>Zone 3</v>
      </c>
      <c r="E105" s="50" t="e">
        <f>VLOOKUP(Table1[[#This Row],[DEVELOPMENT]],Data[],MATCH(Table1[[#Headers],[Priority Level]],Data[#Headers],0),FALSE)</f>
        <v>#N/A</v>
      </c>
      <c r="F105" s="50" t="e">
        <f>VLOOKUP(Table1[[#This Row],[DEVELOPMENT]],Data[],MATCH(Table1[[#Headers],[RAD/PACT]],Data[#Headers],0),FALSE)</f>
        <v>#N/A</v>
      </c>
      <c r="G105" s="1" t="s">
        <v>68</v>
      </c>
      <c r="H105" s="7"/>
      <c r="I105" s="8"/>
      <c r="J105" s="8">
        <f>K105</f>
        <v>0</v>
      </c>
      <c r="K105" s="3"/>
      <c r="L105" s="75"/>
      <c r="M105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105" s="73"/>
      <c r="O105" s="2"/>
      <c r="P105" s="2"/>
      <c r="Q105" s="11"/>
      <c r="R10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05" s="9"/>
      <c r="T105" s="16"/>
    </row>
    <row r="106" spans="1:20">
      <c r="A106" s="13" t="str">
        <f>VLOOKUP(C106,Data[],2,FALSE)</f>
        <v>MANHATTAN</v>
      </c>
      <c r="B106" s="1"/>
      <c r="C106" s="1" t="s">
        <v>120</v>
      </c>
      <c r="D106" s="1" t="str">
        <f>VLOOKUP(Table1[[#This Row],[DEVELOPMENT]],Data[],MATCH(Table1[[#Headers],[NRR]],Data[#Headers],0),FALSE)</f>
        <v>Zone 2</v>
      </c>
      <c r="E106" s="1" t="e">
        <f>VLOOKUP(Table1[[#This Row],[DEVELOPMENT]],Data[],MATCH(Table1[[#Headers],[Priority Level]],Data[#Headers],0),FALSE)</f>
        <v>#N/A</v>
      </c>
      <c r="F106" s="1" t="e">
        <f>VLOOKUP(Table1[[#This Row],[DEVELOPMENT]],Data[],MATCH(Table1[[#Headers],[RAD/PACT]],Data[#Headers],0),FALSE)</f>
        <v>#N/A</v>
      </c>
      <c r="G106" s="9" t="s">
        <v>68</v>
      </c>
      <c r="H106" s="7"/>
      <c r="I106" s="8"/>
      <c r="J106" s="8"/>
      <c r="K106" s="3"/>
      <c r="L106" s="76"/>
      <c r="M106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106" s="73"/>
      <c r="O106" s="2"/>
      <c r="P106" s="2"/>
      <c r="Q106" s="11"/>
      <c r="R10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06" s="9"/>
      <c r="T106" s="16"/>
    </row>
    <row r="107" spans="1:20">
      <c r="A107" s="13" t="str">
        <f>VLOOKUP(C107,Data[],2,FALSE)</f>
        <v>BRONX</v>
      </c>
      <c r="B107" s="1"/>
      <c r="C107" s="1" t="s">
        <v>105</v>
      </c>
      <c r="D107" s="9" t="str">
        <f>VLOOKUP(Table1[[#This Row],[DEVELOPMENT]],Data[],MATCH(Table1[[#Headers],[NRR]],Data[#Headers],0),FALSE)</f>
        <v>Zone 3</v>
      </c>
      <c r="E107" s="50" t="e">
        <f>VLOOKUP(Table1[[#This Row],[DEVELOPMENT]],Data[],MATCH(Table1[[#Headers],[Priority Level]],Data[#Headers],0),FALSE)</f>
        <v>#N/A</v>
      </c>
      <c r="F107" s="50" t="e">
        <f>VLOOKUP(Table1[[#This Row],[DEVELOPMENT]],Data[],MATCH(Table1[[#Headers],[RAD/PACT]],Data[#Headers],0),FALSE)</f>
        <v>#N/A</v>
      </c>
      <c r="G107" s="1" t="s">
        <v>68</v>
      </c>
      <c r="H107" s="7"/>
      <c r="I107" s="8"/>
      <c r="J107" s="8">
        <f>K107</f>
        <v>0</v>
      </c>
      <c r="K107" s="3"/>
      <c r="L107" s="75"/>
      <c r="M107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107" s="73"/>
      <c r="O107" s="2"/>
      <c r="P107" s="2"/>
      <c r="Q107" s="11"/>
      <c r="R10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07" s="9"/>
      <c r="T107" s="16"/>
    </row>
    <row r="108" spans="1:20">
      <c r="A108" s="13" t="str">
        <f>VLOOKUP(C108,Data[],2,FALSE)</f>
        <v>BRONX</v>
      </c>
      <c r="B108" s="9" t="s">
        <v>25</v>
      </c>
      <c r="C108" s="9" t="s">
        <v>121</v>
      </c>
      <c r="D108" s="1" t="str">
        <f>VLOOKUP(Table1[[#This Row],[DEVELOPMENT]],Data[],MATCH(Table1[[#Headers],[NRR]],Data[#Headers],0),FALSE)</f>
        <v>Zone 1</v>
      </c>
      <c r="E108" s="1" t="e">
        <f>VLOOKUP(Table1[[#This Row],[DEVELOPMENT]],Data[],MATCH(Table1[[#Headers],[Priority Level]],Data[#Headers],0),FALSE)</f>
        <v>#N/A</v>
      </c>
      <c r="F108" s="1" t="e">
        <f>VLOOKUP(Table1[[#This Row],[DEVELOPMENT]],Data[],MATCH(Table1[[#Headers],[RAD/PACT]],Data[#Headers],0),FALSE)</f>
        <v>#N/A</v>
      </c>
      <c r="G108" s="9" t="s">
        <v>68</v>
      </c>
      <c r="H108" s="12" t="s">
        <v>85</v>
      </c>
      <c r="I108" s="10"/>
      <c r="J108" s="10">
        <f>K108</f>
        <v>187460</v>
      </c>
      <c r="K108" s="11">
        <v>187460</v>
      </c>
      <c r="L108" s="73">
        <v>2019</v>
      </c>
      <c r="M108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2024</v>
      </c>
      <c r="N108" s="75"/>
      <c r="O108" s="2" t="s">
        <v>53</v>
      </c>
      <c r="P108" s="2"/>
      <c r="Q108" s="3"/>
      <c r="R10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08" s="1"/>
      <c r="T108" s="16"/>
    </row>
    <row r="109" spans="1:20">
      <c r="A109" s="13" t="str">
        <f>VLOOKUP(C109,Data[],2,FALSE)</f>
        <v>MANHATTAN</v>
      </c>
      <c r="B109" s="1"/>
      <c r="C109" s="1" t="s">
        <v>122</v>
      </c>
      <c r="D109" s="1" t="str">
        <f>VLOOKUP(Table1[[#This Row],[DEVELOPMENT]],Data[],MATCH(Table1[[#Headers],[NRR]],Data[#Headers],0),FALSE)</f>
        <v>Zone 2</v>
      </c>
      <c r="E109" s="1" t="e">
        <f>VLOOKUP(Table1[[#This Row],[DEVELOPMENT]],Data[],MATCH(Table1[[#Headers],[Priority Level]],Data[#Headers],0),FALSE)</f>
        <v>#N/A</v>
      </c>
      <c r="F109" s="1" t="e">
        <f>VLOOKUP(Table1[[#This Row],[DEVELOPMENT]],Data[],MATCH(Table1[[#Headers],[RAD/PACT]],Data[#Headers],0),FALSE)</f>
        <v>#N/A</v>
      </c>
      <c r="G109" s="9" t="s">
        <v>68</v>
      </c>
      <c r="H109" s="7"/>
      <c r="I109" s="8"/>
      <c r="J109" s="8"/>
      <c r="K109" s="3"/>
      <c r="L109" s="76"/>
      <c r="M109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109" s="73"/>
      <c r="O109" s="2"/>
      <c r="P109" s="2"/>
      <c r="Q109" s="11"/>
      <c r="R10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09" s="9"/>
      <c r="T109" s="16"/>
    </row>
    <row r="110" spans="1:20">
      <c r="A110" s="13" t="str">
        <f>VLOOKUP(C110,Data[],2,FALSE)</f>
        <v>BRONX</v>
      </c>
      <c r="B110" s="1"/>
      <c r="C110" s="1" t="s">
        <v>123</v>
      </c>
      <c r="D110" s="9" t="str">
        <f>VLOOKUP(Table1[[#This Row],[DEVELOPMENT]],Data[],MATCH(Table1[[#Headers],[NRR]],Data[#Headers],0),FALSE)</f>
        <v>Zone 3</v>
      </c>
      <c r="E110" s="50" t="e">
        <f>VLOOKUP(Table1[[#This Row],[DEVELOPMENT]],Data[],MATCH(Table1[[#Headers],[Priority Level]],Data[#Headers],0),FALSE)</f>
        <v>#N/A</v>
      </c>
      <c r="F110" s="50" t="e">
        <f>VLOOKUP(Table1[[#This Row],[DEVELOPMENT]],Data[],MATCH(Table1[[#Headers],[RAD/PACT]],Data[#Headers],0),FALSE)</f>
        <v>#N/A</v>
      </c>
      <c r="G110" s="1" t="s">
        <v>68</v>
      </c>
      <c r="H110" s="7"/>
      <c r="I110" s="8"/>
      <c r="J110" s="8">
        <f>K110</f>
        <v>0</v>
      </c>
      <c r="K110" s="3"/>
      <c r="L110" s="75"/>
      <c r="M110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2021</v>
      </c>
      <c r="N110" s="73"/>
      <c r="O110" s="2"/>
      <c r="P110" s="2"/>
      <c r="Q110" s="11"/>
      <c r="R11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10" s="9"/>
      <c r="T110" s="16"/>
    </row>
    <row r="111" spans="1:20">
      <c r="A111" s="13" t="str">
        <f>VLOOKUP(C111,Data[],2,FALSE)</f>
        <v>MANHATTAN</v>
      </c>
      <c r="B111" s="1"/>
      <c r="C111" s="1" t="s">
        <v>67</v>
      </c>
      <c r="D111" s="1" t="str">
        <f>VLOOKUP(Table1[[#This Row],[DEVELOPMENT]],Data[],MATCH(Table1[[#Headers],[NRR]],Data[#Headers],0),FALSE)</f>
        <v>Zone 2</v>
      </c>
      <c r="E111" s="1" t="e">
        <f>VLOOKUP(Table1[[#This Row],[DEVELOPMENT]],Data[],MATCH(Table1[[#Headers],[Priority Level]],Data[#Headers],0),FALSE)</f>
        <v>#N/A</v>
      </c>
      <c r="F111" s="1" t="e">
        <f>VLOOKUP(Table1[[#This Row],[DEVELOPMENT]],Data[],MATCH(Table1[[#Headers],[RAD/PACT]],Data[#Headers],0),FALSE)</f>
        <v>#N/A</v>
      </c>
      <c r="G111" s="9" t="s">
        <v>106</v>
      </c>
      <c r="H111" s="7"/>
      <c r="I111" s="8"/>
      <c r="J111" s="8"/>
      <c r="K111" s="3"/>
      <c r="L111" s="76"/>
      <c r="M111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11" s="73"/>
      <c r="O111" s="2"/>
      <c r="P111" s="2"/>
      <c r="Q111" s="11"/>
      <c r="R11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11" s="9"/>
      <c r="T111" s="16"/>
    </row>
    <row r="112" spans="1:20">
      <c r="A112" s="13" t="str">
        <f>VLOOKUP(C112,Data[],2,FALSE)</f>
        <v>BRONX</v>
      </c>
      <c r="B112" s="1"/>
      <c r="C112" s="1" t="s">
        <v>124</v>
      </c>
      <c r="D112" s="1" t="str">
        <f>VLOOKUP(Table1[[#This Row],[DEVELOPMENT]],Data[],MATCH(Table1[[#Headers],[NRR]],Data[#Headers],0),FALSE)</f>
        <v>Zone 3</v>
      </c>
      <c r="E112" s="1" t="e">
        <f>VLOOKUP(Table1[[#This Row],[DEVELOPMENT]],Data[],MATCH(Table1[[#Headers],[Priority Level]],Data[#Headers],0),FALSE)</f>
        <v>#N/A</v>
      </c>
      <c r="F112" s="1" t="e">
        <f>VLOOKUP(Table1[[#This Row],[DEVELOPMENT]],Data[],MATCH(Table1[[#Headers],[RAD/PACT]],Data[#Headers],0),FALSE)</f>
        <v>#N/A</v>
      </c>
      <c r="G112" s="1" t="s">
        <v>106</v>
      </c>
      <c r="H112" s="7"/>
      <c r="I112" s="8"/>
      <c r="J112" s="8"/>
      <c r="K112" s="3"/>
      <c r="L112" s="76"/>
      <c r="M112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12" s="73"/>
      <c r="O112" s="2"/>
      <c r="P112" s="2"/>
      <c r="Q112" s="11"/>
      <c r="R11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12" s="9"/>
      <c r="T112" s="16"/>
    </row>
    <row r="113" spans="1:20">
      <c r="A113" s="13" t="str">
        <f>VLOOKUP(C113,Data[],2,FALSE)</f>
        <v>BRONX</v>
      </c>
      <c r="B113" s="9" t="s">
        <v>25</v>
      </c>
      <c r="C113" s="9" t="s">
        <v>121</v>
      </c>
      <c r="D113" s="1" t="str">
        <f>VLOOKUP(Table1[[#This Row],[DEVELOPMENT]],Data[],MATCH(Table1[[#Headers],[NRR]],Data[#Headers],0),FALSE)</f>
        <v>Zone 1</v>
      </c>
      <c r="E113" s="1" t="e">
        <f>VLOOKUP(Table1[[#This Row],[DEVELOPMENT]],Data[],MATCH(Table1[[#Headers],[Priority Level]],Data[#Headers],0),FALSE)</f>
        <v>#N/A</v>
      </c>
      <c r="F113" s="1" t="e">
        <f>VLOOKUP(Table1[[#This Row],[DEVELOPMENT]],Data[],MATCH(Table1[[#Headers],[RAD/PACT]],Data[#Headers],0),FALSE)</f>
        <v>#N/A</v>
      </c>
      <c r="G113" s="9" t="s">
        <v>106</v>
      </c>
      <c r="H113" s="12" t="s">
        <v>85</v>
      </c>
      <c r="I113" s="10"/>
      <c r="J113" s="10">
        <f>K113</f>
        <v>74191</v>
      </c>
      <c r="K113" s="11">
        <v>74191</v>
      </c>
      <c r="L113" s="73">
        <v>2019</v>
      </c>
      <c r="M113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13" s="75"/>
      <c r="O113" s="2" t="s">
        <v>53</v>
      </c>
      <c r="P113" s="2"/>
      <c r="Q113" s="3"/>
      <c r="R11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13" s="1"/>
      <c r="T113" s="16"/>
    </row>
    <row r="114" spans="1:20">
      <c r="A114" s="13" t="str">
        <f>VLOOKUP(C114,Data[],2,FALSE)</f>
        <v>BROOKLYN</v>
      </c>
      <c r="B114" s="1"/>
      <c r="C114" s="1" t="s">
        <v>84</v>
      </c>
      <c r="D114" s="1" t="str">
        <f>VLOOKUP(Table1[[#This Row],[DEVELOPMENT]],Data[],MATCH(Table1[[#Headers],[NRR]],Data[#Headers],0),FALSE)</f>
        <v>Zone 3</v>
      </c>
      <c r="E114" s="1" t="e">
        <f>VLOOKUP(Table1[[#This Row],[DEVELOPMENT]],Data[],MATCH(Table1[[#Headers],[Priority Level]],Data[#Headers],0),FALSE)</f>
        <v>#N/A</v>
      </c>
      <c r="F114" s="1" t="e">
        <f>VLOOKUP(Table1[[#This Row],[DEVELOPMENT]],Data[],MATCH(Table1[[#Headers],[RAD/PACT]],Data[#Headers],0),FALSE)</f>
        <v>#N/A</v>
      </c>
      <c r="G114" s="1" t="s">
        <v>106</v>
      </c>
      <c r="H114" s="7"/>
      <c r="I114" s="8"/>
      <c r="J114" s="8"/>
      <c r="K114" s="3"/>
      <c r="L114" s="76"/>
      <c r="M114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14" s="73"/>
      <c r="O114" s="2"/>
      <c r="P114" s="2"/>
      <c r="Q114" s="11"/>
      <c r="R11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14" s="9"/>
      <c r="T114" s="16"/>
    </row>
    <row r="115" spans="1:20">
      <c r="A115" s="13" t="str">
        <f>VLOOKUP(C115,Data[],2,FALSE)</f>
        <v>MANHATTAN</v>
      </c>
      <c r="B115" s="1"/>
      <c r="C115" s="1" t="s">
        <v>115</v>
      </c>
      <c r="D115" s="1" t="str">
        <f>VLOOKUP(Table1[[#This Row],[DEVELOPMENT]],Data[],MATCH(Table1[[#Headers],[NRR]],Data[#Headers],0),FALSE)</f>
        <v>Zone 2</v>
      </c>
      <c r="E115" s="1" t="e">
        <f>VLOOKUP(Table1[[#This Row],[DEVELOPMENT]],Data[],MATCH(Table1[[#Headers],[Priority Level]],Data[#Headers],0),FALSE)</f>
        <v>#N/A</v>
      </c>
      <c r="F115" s="1" t="e">
        <f>VLOOKUP(Table1[[#This Row],[DEVELOPMENT]],Data[],MATCH(Table1[[#Headers],[RAD/PACT]],Data[#Headers],0),FALSE)</f>
        <v>#N/A</v>
      </c>
      <c r="G115" s="9" t="s">
        <v>106</v>
      </c>
      <c r="H115" s="7"/>
      <c r="I115" s="8"/>
      <c r="J115" s="8"/>
      <c r="K115" s="3"/>
      <c r="L115" s="76"/>
      <c r="M115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15" s="73"/>
      <c r="O115" s="2"/>
      <c r="P115" s="2"/>
      <c r="Q115" s="11"/>
      <c r="R11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15" s="9"/>
      <c r="T115" s="16"/>
    </row>
    <row r="116" spans="1:20">
      <c r="A116" s="13" t="str">
        <f>VLOOKUP(C116,Data[],2,FALSE)</f>
        <v>MANHATTAN</v>
      </c>
      <c r="B116" s="1"/>
      <c r="C116" s="1" t="s">
        <v>102</v>
      </c>
      <c r="D116" s="1" t="str">
        <f>VLOOKUP(Table1[[#This Row],[DEVELOPMENT]],Data[],MATCH(Table1[[#Headers],[NRR]],Data[#Headers],0),FALSE)</f>
        <v>Zone 2</v>
      </c>
      <c r="E116" s="1" t="e">
        <f>VLOOKUP(Table1[[#This Row],[DEVELOPMENT]],Data[],MATCH(Table1[[#Headers],[Priority Level]],Data[#Headers],0),FALSE)</f>
        <v>#N/A</v>
      </c>
      <c r="F116" s="1" t="e">
        <f>VLOOKUP(Table1[[#This Row],[DEVELOPMENT]],Data[],MATCH(Table1[[#Headers],[RAD/PACT]],Data[#Headers],0),FALSE)</f>
        <v>#N/A</v>
      </c>
      <c r="G116" s="9" t="s">
        <v>106</v>
      </c>
      <c r="H116" s="7"/>
      <c r="I116" s="8"/>
      <c r="J116" s="8"/>
      <c r="K116" s="3"/>
      <c r="L116" s="76"/>
      <c r="M116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16" s="73"/>
      <c r="O116" s="2"/>
      <c r="P116" s="2"/>
      <c r="Q116" s="11"/>
      <c r="R11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16" s="9"/>
      <c r="T116" s="16"/>
    </row>
    <row r="117" spans="1:20">
      <c r="A117" s="13" t="str">
        <f>VLOOKUP(C117,Data[],2,FALSE)</f>
        <v>BRONX</v>
      </c>
      <c r="B117" s="1"/>
      <c r="C117" s="1" t="s">
        <v>124</v>
      </c>
      <c r="D117" s="9" t="str">
        <f>VLOOKUP(Table1[[#This Row],[DEVELOPMENT]],Data[],MATCH(Table1[[#Headers],[NRR]],Data[#Headers],0),FALSE)</f>
        <v>Zone 3</v>
      </c>
      <c r="E117" s="50" t="e">
        <f>VLOOKUP(Table1[[#This Row],[DEVELOPMENT]],Data[],MATCH(Table1[[#Headers],[Priority Level]],Data[#Headers],0),FALSE)</f>
        <v>#N/A</v>
      </c>
      <c r="F117" s="50" t="e">
        <f>VLOOKUP(Table1[[#This Row],[DEVELOPMENT]],Data[],MATCH(Table1[[#Headers],[RAD/PACT]],Data[#Headers],0),FALSE)</f>
        <v>#N/A</v>
      </c>
      <c r="G117" s="1" t="s">
        <v>68</v>
      </c>
      <c r="H117" s="7"/>
      <c r="I117" s="8"/>
      <c r="J117" s="8">
        <f>K117</f>
        <v>0</v>
      </c>
      <c r="K117" s="3"/>
      <c r="L117" s="75"/>
      <c r="M117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117" s="73"/>
      <c r="O117" s="2"/>
      <c r="P117" s="2"/>
      <c r="Q117" s="11"/>
      <c r="R11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17" s="9"/>
      <c r="T117" s="16"/>
    </row>
    <row r="118" spans="1:20">
      <c r="A118" s="13" t="str">
        <f>VLOOKUP(C118,Data[],2,FALSE)</f>
        <v>MANHATTAN</v>
      </c>
      <c r="B118" s="1"/>
      <c r="C118" s="1" t="s">
        <v>117</v>
      </c>
      <c r="D118" s="9" t="str">
        <f>VLOOKUP(Table1[[#This Row],[DEVELOPMENT]],Data[],MATCH(Table1[[#Headers],[NRR]],Data[#Headers],0),FALSE)</f>
        <v>Zone 3</v>
      </c>
      <c r="E118" s="50" t="e">
        <f>VLOOKUP(Table1[[#This Row],[DEVELOPMENT]],Data[],MATCH(Table1[[#Headers],[Priority Level]],Data[#Headers],0),FALSE)</f>
        <v>#N/A</v>
      </c>
      <c r="F118" s="50" t="e">
        <f>VLOOKUP(Table1[[#This Row],[DEVELOPMENT]],Data[],MATCH(Table1[[#Headers],[RAD/PACT]],Data[#Headers],0),FALSE)</f>
        <v>#N/A</v>
      </c>
      <c r="G118" s="1" t="s">
        <v>68</v>
      </c>
      <c r="H118" s="7"/>
      <c r="I118" s="8"/>
      <c r="J118" s="8">
        <f>K118</f>
        <v>0</v>
      </c>
      <c r="K118" s="3"/>
      <c r="L118" s="75"/>
      <c r="M118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2024</v>
      </c>
      <c r="N118" s="73"/>
      <c r="O118" s="2"/>
      <c r="P118" s="2"/>
      <c r="Q118" s="11"/>
      <c r="R11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18" s="9"/>
      <c r="T118" s="16"/>
    </row>
    <row r="119" spans="1:20">
      <c r="A119" s="13" t="str">
        <f>VLOOKUP(C119,Data[],2,FALSE)</f>
        <v>MANHATTAN</v>
      </c>
      <c r="B119" s="1"/>
      <c r="C119" s="1" t="s">
        <v>125</v>
      </c>
      <c r="D119" s="1" t="str">
        <f>VLOOKUP(Table1[[#This Row],[DEVELOPMENT]],Data[],MATCH(Table1[[#Headers],[NRR]],Data[#Headers],0),FALSE)</f>
        <v>Zone 2</v>
      </c>
      <c r="E119" s="1" t="e">
        <f>VLOOKUP(Table1[[#This Row],[DEVELOPMENT]],Data[],MATCH(Table1[[#Headers],[Priority Level]],Data[#Headers],0),FALSE)</f>
        <v>#N/A</v>
      </c>
      <c r="F119" s="1" t="e">
        <f>VLOOKUP(Table1[[#This Row],[DEVELOPMENT]],Data[],MATCH(Table1[[#Headers],[RAD/PACT]],Data[#Headers],0),FALSE)</f>
        <v>#N/A</v>
      </c>
      <c r="G119" s="9" t="s">
        <v>68</v>
      </c>
      <c r="H119" s="7"/>
      <c r="I119" s="8"/>
      <c r="J119" s="8"/>
      <c r="K119" s="3"/>
      <c r="L119" s="76"/>
      <c r="M119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119" s="73"/>
      <c r="O119" s="2"/>
      <c r="P119" s="2"/>
      <c r="Q119" s="11"/>
      <c r="R11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19" s="9"/>
      <c r="T119" s="16"/>
    </row>
    <row r="120" spans="1:20">
      <c r="A120" s="13" t="str">
        <f>VLOOKUP(C120,Data[],2,FALSE)</f>
        <v>MANHATTAN</v>
      </c>
      <c r="B120" s="1"/>
      <c r="C120" s="1" t="s">
        <v>107</v>
      </c>
      <c r="D120" s="1" t="str">
        <f>VLOOKUP(Table1[[#This Row],[DEVELOPMENT]],Data[],MATCH(Table1[[#Headers],[NRR]],Data[#Headers],0),FALSE)</f>
        <v>Zone 2</v>
      </c>
      <c r="E120" s="1" t="e">
        <f>VLOOKUP(Table1[[#This Row],[DEVELOPMENT]],Data[],MATCH(Table1[[#Headers],[Priority Level]],Data[#Headers],0),FALSE)</f>
        <v>#N/A</v>
      </c>
      <c r="F120" s="1" t="e">
        <f>VLOOKUP(Table1[[#This Row],[DEVELOPMENT]],Data[],MATCH(Table1[[#Headers],[RAD/PACT]],Data[#Headers],0),FALSE)</f>
        <v>#N/A</v>
      </c>
      <c r="G120" s="9" t="s">
        <v>68</v>
      </c>
      <c r="H120" s="7"/>
      <c r="I120" s="8"/>
      <c r="J120" s="8"/>
      <c r="K120" s="3"/>
      <c r="L120" s="76"/>
      <c r="M120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2021</v>
      </c>
      <c r="N120" s="73"/>
      <c r="O120" s="2"/>
      <c r="P120" s="2"/>
      <c r="Q120" s="11"/>
      <c r="R12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20" s="9"/>
      <c r="T120" s="16"/>
    </row>
    <row r="121" spans="1:20">
      <c r="A121" s="13" t="str">
        <f>VLOOKUP(C121,Data[],2,FALSE)</f>
        <v>MANHATTAN</v>
      </c>
      <c r="B121" s="1"/>
      <c r="C121" s="1" t="s">
        <v>126</v>
      </c>
      <c r="D121" s="1" t="str">
        <f>VLOOKUP(Table1[[#This Row],[DEVELOPMENT]],Data[],MATCH(Table1[[#Headers],[NRR]],Data[#Headers],0),FALSE)</f>
        <v>Zone 2</v>
      </c>
      <c r="E121" s="1" t="e">
        <f>VLOOKUP(Table1[[#This Row],[DEVELOPMENT]],Data[],MATCH(Table1[[#Headers],[Priority Level]],Data[#Headers],0),FALSE)</f>
        <v>#N/A</v>
      </c>
      <c r="F121" s="1" t="e">
        <f>VLOOKUP(Table1[[#This Row],[DEVELOPMENT]],Data[],MATCH(Table1[[#Headers],[RAD/PACT]],Data[#Headers],0),FALSE)</f>
        <v>#N/A</v>
      </c>
      <c r="G121" s="9" t="s">
        <v>68</v>
      </c>
      <c r="H121" s="7"/>
      <c r="I121" s="8"/>
      <c r="J121" s="8"/>
      <c r="K121" s="3"/>
      <c r="L121" s="76"/>
      <c r="M121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121" s="73"/>
      <c r="O121" s="2"/>
      <c r="P121" s="2"/>
      <c r="Q121" s="11"/>
      <c r="R12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21" s="9"/>
      <c r="T121" s="16"/>
    </row>
    <row r="122" spans="1:20">
      <c r="A122" s="13" t="str">
        <f>VLOOKUP(C122,Data[],2,FALSE)</f>
        <v>MANHATTAN</v>
      </c>
      <c r="B122" s="1"/>
      <c r="C122" s="1" t="s">
        <v>127</v>
      </c>
      <c r="D122" s="1" t="str">
        <f>VLOOKUP(Table1[[#This Row],[DEVELOPMENT]],Data[],MATCH(Table1[[#Headers],[NRR]],Data[#Headers],0),FALSE)</f>
        <v>Zone 2</v>
      </c>
      <c r="E122" s="1" t="e">
        <f>VLOOKUP(Table1[[#This Row],[DEVELOPMENT]],Data[],MATCH(Table1[[#Headers],[Priority Level]],Data[#Headers],0),FALSE)</f>
        <v>#N/A</v>
      </c>
      <c r="F122" s="1" t="e">
        <f>VLOOKUP(Table1[[#This Row],[DEVELOPMENT]],Data[],MATCH(Table1[[#Headers],[RAD/PACT]],Data[#Headers],0),FALSE)</f>
        <v>#N/A</v>
      </c>
      <c r="G122" s="9" t="s">
        <v>68</v>
      </c>
      <c r="H122" s="7"/>
      <c r="I122" s="8"/>
      <c r="J122" s="8"/>
      <c r="K122" s="3"/>
      <c r="L122" s="76"/>
      <c r="M122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122" s="73"/>
      <c r="O122" s="2"/>
      <c r="P122" s="2"/>
      <c r="Q122" s="11"/>
      <c r="R12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22" s="9"/>
      <c r="T122" s="16"/>
    </row>
    <row r="123" spans="1:20">
      <c r="A123" s="13" t="str">
        <f>VLOOKUP(C123,Data[],2,FALSE)</f>
        <v>BRONX</v>
      </c>
      <c r="B123" s="9" t="s">
        <v>25</v>
      </c>
      <c r="C123" s="9" t="s">
        <v>47</v>
      </c>
      <c r="D123" s="1" t="str">
        <f>VLOOKUP(Table1[[#This Row],[DEVELOPMENT]],Data[],MATCH(Table1[[#Headers],[NRR]],Data[#Headers],0),FALSE)</f>
        <v>Zone 1</v>
      </c>
      <c r="E123" s="1" t="e">
        <f>VLOOKUP(Table1[[#This Row],[DEVELOPMENT]],Data[],MATCH(Table1[[#Headers],[Priority Level]],Data[#Headers],0),FALSE)</f>
        <v>#N/A</v>
      </c>
      <c r="F123" s="1" t="e">
        <f>VLOOKUP(Table1[[#This Row],[DEVELOPMENT]],Data[],MATCH(Table1[[#Headers],[RAD/PACT]],Data[#Headers],0),FALSE)</f>
        <v>#N/A</v>
      </c>
      <c r="G123" s="9" t="s">
        <v>68</v>
      </c>
      <c r="H123" s="12" t="s">
        <v>85</v>
      </c>
      <c r="I123" s="10"/>
      <c r="J123" s="10">
        <f>K123</f>
        <v>374920</v>
      </c>
      <c r="K123" s="11">
        <v>374920</v>
      </c>
      <c r="L123" s="73">
        <v>2019</v>
      </c>
      <c r="M123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123" s="75"/>
      <c r="O123" s="2" t="s">
        <v>53</v>
      </c>
      <c r="P123" s="2"/>
      <c r="Q123" s="3"/>
      <c r="R12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23" s="1"/>
      <c r="T123" s="16"/>
    </row>
    <row r="124" spans="1:20">
      <c r="A124" s="13" t="str">
        <f>VLOOKUP(C124,Data[],2,FALSE)</f>
        <v>BRONX</v>
      </c>
      <c r="B124" s="9" t="s">
        <v>25</v>
      </c>
      <c r="C124" s="9" t="s">
        <v>31</v>
      </c>
      <c r="D124" s="1" t="str">
        <f>VLOOKUP(Table1[[#This Row],[DEVELOPMENT]],Data[],MATCH(Table1[[#Headers],[NRR]],Data[#Headers],0),FALSE)</f>
        <v>Zone 1</v>
      </c>
      <c r="E124" s="1" t="e">
        <f>VLOOKUP(Table1[[#This Row],[DEVELOPMENT]],Data[],MATCH(Table1[[#Headers],[Priority Level]],Data[#Headers],0),FALSE)</f>
        <v>#N/A</v>
      </c>
      <c r="F124" s="1" t="e">
        <f>VLOOKUP(Table1[[#This Row],[DEVELOPMENT]],Data[],MATCH(Table1[[#Headers],[RAD/PACT]],Data[#Headers],0),FALSE)</f>
        <v>#N/A</v>
      </c>
      <c r="G124" s="9" t="s">
        <v>106</v>
      </c>
      <c r="H124" s="12" t="s">
        <v>85</v>
      </c>
      <c r="I124" s="10"/>
      <c r="J124" s="10">
        <f>K124</f>
        <v>445146</v>
      </c>
      <c r="K124" s="11">
        <v>445146</v>
      </c>
      <c r="L124" s="73">
        <v>2019</v>
      </c>
      <c r="M124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24" s="75"/>
      <c r="O124" s="2" t="s">
        <v>53</v>
      </c>
      <c r="P124" s="2"/>
      <c r="Q124" s="3"/>
      <c r="R12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24" s="1"/>
      <c r="T124" s="16"/>
    </row>
    <row r="125" spans="1:20">
      <c r="A125" s="13" t="str">
        <f>VLOOKUP(C125,Data[],2,FALSE)</f>
        <v>MANHATTAN</v>
      </c>
      <c r="B125" s="1"/>
      <c r="C125" s="1" t="s">
        <v>83</v>
      </c>
      <c r="D125" s="1" t="str">
        <f>VLOOKUP(Table1[[#This Row],[DEVELOPMENT]],Data[],MATCH(Table1[[#Headers],[NRR]],Data[#Headers],0),FALSE)</f>
        <v>Zone 2</v>
      </c>
      <c r="E125" s="1" t="e">
        <f>VLOOKUP(Table1[[#This Row],[DEVELOPMENT]],Data[],MATCH(Table1[[#Headers],[Priority Level]],Data[#Headers],0),FALSE)</f>
        <v>#N/A</v>
      </c>
      <c r="F125" s="1" t="e">
        <f>VLOOKUP(Table1[[#This Row],[DEVELOPMENT]],Data[],MATCH(Table1[[#Headers],[RAD/PACT]],Data[#Headers],0),FALSE)</f>
        <v>#N/A</v>
      </c>
      <c r="G125" s="9" t="s">
        <v>106</v>
      </c>
      <c r="H125" s="7"/>
      <c r="I125" s="8"/>
      <c r="J125" s="8"/>
      <c r="K125" s="3"/>
      <c r="L125" s="76"/>
      <c r="M125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25" s="73"/>
      <c r="O125" s="2"/>
      <c r="P125" s="2"/>
      <c r="Q125" s="11"/>
      <c r="R12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25" s="9"/>
      <c r="T125" s="16"/>
    </row>
    <row r="126" spans="1:20">
      <c r="A126" s="13" t="str">
        <f>VLOOKUP(C126,Data[],2,FALSE)</f>
        <v>MANHATTAN</v>
      </c>
      <c r="B126" s="1"/>
      <c r="C126" s="1" t="s">
        <v>128</v>
      </c>
      <c r="D126" s="1" t="str">
        <f>VLOOKUP(Table1[[#This Row],[DEVELOPMENT]],Data[],MATCH(Table1[[#Headers],[NRR]],Data[#Headers],0),FALSE)</f>
        <v>Zone 2</v>
      </c>
      <c r="E126" s="1" t="e">
        <f>VLOOKUP(Table1[[#This Row],[DEVELOPMENT]],Data[],MATCH(Table1[[#Headers],[Priority Level]],Data[#Headers],0),FALSE)</f>
        <v>#N/A</v>
      </c>
      <c r="F126" s="1" t="e">
        <f>VLOOKUP(Table1[[#This Row],[DEVELOPMENT]],Data[],MATCH(Table1[[#Headers],[RAD/PACT]],Data[#Headers],0),FALSE)</f>
        <v>#N/A</v>
      </c>
      <c r="G126" s="9" t="s">
        <v>106</v>
      </c>
      <c r="H126" s="7"/>
      <c r="I126" s="8"/>
      <c r="J126" s="8"/>
      <c r="K126" s="3"/>
      <c r="L126" s="76"/>
      <c r="M126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26" s="73"/>
      <c r="O126" s="2"/>
      <c r="P126" s="2"/>
      <c r="Q126" s="11"/>
      <c r="R12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26" s="9"/>
      <c r="T126" s="16"/>
    </row>
    <row r="127" spans="1:20">
      <c r="A127" s="13" t="str">
        <f>VLOOKUP(C127,Data[],2,FALSE)</f>
        <v>MANHATTAN</v>
      </c>
      <c r="B127" s="1"/>
      <c r="C127" s="1" t="s">
        <v>129</v>
      </c>
      <c r="D127" s="1" t="str">
        <f>VLOOKUP(Table1[[#This Row],[DEVELOPMENT]],Data[],MATCH(Table1[[#Headers],[NRR]],Data[#Headers],0),FALSE)</f>
        <v>Zone 2</v>
      </c>
      <c r="E127" s="1" t="e">
        <f>VLOOKUP(Table1[[#This Row],[DEVELOPMENT]],Data[],MATCH(Table1[[#Headers],[Priority Level]],Data[#Headers],0),FALSE)</f>
        <v>#N/A</v>
      </c>
      <c r="F127" s="1" t="e">
        <f>VLOOKUP(Table1[[#This Row],[DEVELOPMENT]],Data[],MATCH(Table1[[#Headers],[RAD/PACT]],Data[#Headers],0),FALSE)</f>
        <v>#N/A</v>
      </c>
      <c r="G127" s="9" t="s">
        <v>68</v>
      </c>
      <c r="H127" s="7"/>
      <c r="I127" s="8"/>
      <c r="J127" s="8"/>
      <c r="K127" s="3"/>
      <c r="L127" s="76"/>
      <c r="M127" s="75" t="e">
        <f ca="1">IF(Table1[[#This Row],[WORK TYPE]]="Exterior Compactors",VLOOKUP(Table1[[#This Row],[DEVELOPMENT]],ExtComp[],12,FALSE),IF(Table1[[#This Row],[WORK TYPE]]="Interior Compactors",VLOOKUP(Table1[[#This Row],[DEVELOPMENT]],IntComp[],12,FALSE),""))</f>
        <v>#N/A</v>
      </c>
      <c r="N127" s="73"/>
      <c r="O127" s="2"/>
      <c r="P127" s="2"/>
      <c r="Q127" s="11"/>
      <c r="R12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27" s="9"/>
      <c r="T127" s="16"/>
    </row>
    <row r="128" spans="1:20">
      <c r="A128" s="13" t="str">
        <f>VLOOKUP(C128,Data[],2,FALSE)</f>
        <v>MANHATTAN</v>
      </c>
      <c r="B128" s="1"/>
      <c r="C128" s="1" t="s">
        <v>130</v>
      </c>
      <c r="D128" s="9" t="str">
        <f>VLOOKUP(Table1[[#This Row],[DEVELOPMENT]],Data[],MATCH(Table1[[#Headers],[NRR]],Data[#Headers],0),FALSE)</f>
        <v>Zone 3</v>
      </c>
      <c r="E128" s="50" t="e">
        <f>VLOOKUP(Table1[[#This Row],[DEVELOPMENT]],Data[],MATCH(Table1[[#Headers],[Priority Level]],Data[#Headers],0),FALSE)</f>
        <v>#N/A</v>
      </c>
      <c r="F128" s="50" t="e">
        <f>VLOOKUP(Table1[[#This Row],[DEVELOPMENT]],Data[],MATCH(Table1[[#Headers],[RAD/PACT]],Data[#Headers],0),FALSE)</f>
        <v>#N/A</v>
      </c>
      <c r="G128" s="1" t="s">
        <v>68</v>
      </c>
      <c r="H128" s="7"/>
      <c r="I128" s="8"/>
      <c r="J128" s="8">
        <f>K128</f>
        <v>0</v>
      </c>
      <c r="K128" s="3"/>
      <c r="L128" s="75"/>
      <c r="M128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2025</v>
      </c>
      <c r="N128" s="73"/>
      <c r="O128" s="2"/>
      <c r="P128" s="2"/>
      <c r="Q128" s="11"/>
      <c r="R12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28" s="9"/>
      <c r="T128" s="16"/>
    </row>
    <row r="129" spans="1:20">
      <c r="A129" s="13" t="str">
        <f>VLOOKUP(C129,Data[],2,FALSE)</f>
        <v>MANHATTAN</v>
      </c>
      <c r="B129" s="1"/>
      <c r="C129" s="1" t="s">
        <v>131</v>
      </c>
      <c r="D129" s="1" t="str">
        <f>VLOOKUP(Table1[[#This Row],[DEVELOPMENT]],Data[],MATCH(Table1[[#Headers],[NRR]],Data[#Headers],0),FALSE)</f>
        <v>Zone 2</v>
      </c>
      <c r="E129" s="1" t="e">
        <f>VLOOKUP(Table1[[#This Row],[DEVELOPMENT]],Data[],MATCH(Table1[[#Headers],[Priority Level]],Data[#Headers],0),FALSE)</f>
        <v>#N/A</v>
      </c>
      <c r="F129" s="1" t="e">
        <f>VLOOKUP(Table1[[#This Row],[DEVELOPMENT]],Data[],MATCH(Table1[[#Headers],[RAD/PACT]],Data[#Headers],0),FALSE)</f>
        <v>#N/A</v>
      </c>
      <c r="G129" s="9" t="s">
        <v>68</v>
      </c>
      <c r="H129" s="7"/>
      <c r="I129" s="8"/>
      <c r="J129" s="8"/>
      <c r="K129" s="3"/>
      <c r="L129" s="76"/>
      <c r="M129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2023</v>
      </c>
      <c r="N129" s="73"/>
      <c r="O129" s="2"/>
      <c r="P129" s="2"/>
      <c r="Q129" s="11"/>
      <c r="R12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29" s="9"/>
      <c r="T129" s="16"/>
    </row>
    <row r="130" spans="1:20">
      <c r="A130" s="13" t="str">
        <f>VLOOKUP(C130,Data[],2,FALSE)</f>
        <v>BRONX</v>
      </c>
      <c r="B130" s="1"/>
      <c r="C130" s="1" t="s">
        <v>132</v>
      </c>
      <c r="D130" s="9" t="str">
        <f>VLOOKUP(Table1[[#This Row],[DEVELOPMENT]],Data[],MATCH(Table1[[#Headers],[NRR]],Data[#Headers],0),FALSE)</f>
        <v>Zone 3</v>
      </c>
      <c r="E130" s="50" t="e">
        <f>VLOOKUP(Table1[[#This Row],[DEVELOPMENT]],Data[],MATCH(Table1[[#Headers],[Priority Level]],Data[#Headers],0),FALSE)</f>
        <v>#N/A</v>
      </c>
      <c r="F130" s="50" t="e">
        <f>VLOOKUP(Table1[[#This Row],[DEVELOPMENT]],Data[],MATCH(Table1[[#Headers],[RAD/PACT]],Data[#Headers],0),FALSE)</f>
        <v>#N/A</v>
      </c>
      <c r="G130" s="1" t="s">
        <v>68</v>
      </c>
      <c r="H130" s="7"/>
      <c r="I130" s="8"/>
      <c r="J130" s="8">
        <f>K130</f>
        <v>0</v>
      </c>
      <c r="K130" s="3"/>
      <c r="L130" s="75"/>
      <c r="M130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2022</v>
      </c>
      <c r="N130" s="73"/>
      <c r="O130" s="2"/>
      <c r="P130" s="2"/>
      <c r="Q130" s="11"/>
      <c r="R13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30" s="9"/>
      <c r="T130" s="16"/>
    </row>
    <row r="131" spans="1:20">
      <c r="A131" s="13" t="str">
        <f>VLOOKUP(C131,Data[],2,FALSE)</f>
        <v>MANHATTAN</v>
      </c>
      <c r="B131" s="1"/>
      <c r="C131" s="1" t="s">
        <v>133</v>
      </c>
      <c r="D131" s="1" t="str">
        <f>VLOOKUP(Table1[[#This Row],[DEVELOPMENT]],Data[],MATCH(Table1[[#Headers],[NRR]],Data[#Headers],0),FALSE)</f>
        <v>Zone 2</v>
      </c>
      <c r="E131" s="1" t="e">
        <f>VLOOKUP(Table1[[#This Row],[DEVELOPMENT]],Data[],MATCH(Table1[[#Headers],[Priority Level]],Data[#Headers],0),FALSE)</f>
        <v>#N/A</v>
      </c>
      <c r="F131" s="1" t="e">
        <f>VLOOKUP(Table1[[#This Row],[DEVELOPMENT]],Data[],MATCH(Table1[[#Headers],[RAD/PACT]],Data[#Headers],0),FALSE)</f>
        <v>#N/A</v>
      </c>
      <c r="G131" s="9" t="s">
        <v>68</v>
      </c>
      <c r="H131" s="7"/>
      <c r="I131" s="8"/>
      <c r="J131" s="8"/>
      <c r="K131" s="3"/>
      <c r="L131" s="76"/>
      <c r="M131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2022</v>
      </c>
      <c r="N131" s="73"/>
      <c r="O131" s="2"/>
      <c r="P131" s="2"/>
      <c r="Q131" s="11"/>
      <c r="R13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31" s="9"/>
      <c r="T131" s="16"/>
    </row>
    <row r="132" spans="1:20">
      <c r="A132" s="13" t="str">
        <f>VLOOKUP(C132,Data[],2,FALSE)</f>
        <v>QUEENS</v>
      </c>
      <c r="B132" s="1"/>
      <c r="C132" s="1" t="s">
        <v>134</v>
      </c>
      <c r="D132" s="9" t="str">
        <f>VLOOKUP(Table1[[#This Row],[DEVELOPMENT]],Data[],MATCH(Table1[[#Headers],[NRR]],Data[#Headers],0),FALSE)</f>
        <v>Zone 3</v>
      </c>
      <c r="E132" s="50" t="e">
        <f>VLOOKUP(Table1[[#This Row],[DEVELOPMENT]],Data[],MATCH(Table1[[#Headers],[Priority Level]],Data[#Headers],0),FALSE)</f>
        <v>#N/A</v>
      </c>
      <c r="F132" s="50" t="e">
        <f>VLOOKUP(Table1[[#This Row],[DEVELOPMENT]],Data[],MATCH(Table1[[#Headers],[RAD/PACT]],Data[#Headers],0),FALSE)</f>
        <v>#N/A</v>
      </c>
      <c r="G132" s="1" t="s">
        <v>68</v>
      </c>
      <c r="H132" s="7"/>
      <c r="I132" s="8"/>
      <c r="J132" s="8">
        <f>K132</f>
        <v>0</v>
      </c>
      <c r="K132" s="3"/>
      <c r="L132" s="75"/>
      <c r="M132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2022</v>
      </c>
      <c r="N132" s="73"/>
      <c r="O132" s="2"/>
      <c r="P132" s="2"/>
      <c r="Q132" s="11"/>
      <c r="R13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32" s="9"/>
      <c r="T132" s="16"/>
    </row>
    <row r="133" spans="1:20">
      <c r="A133" s="13" t="str">
        <f>VLOOKUP(C133,Data[],2,FALSE)</f>
        <v>QUEENS</v>
      </c>
      <c r="B133" s="1"/>
      <c r="C133" s="1" t="s">
        <v>135</v>
      </c>
      <c r="D133" s="9" t="str">
        <f>VLOOKUP(Table1[[#This Row],[DEVELOPMENT]],Data[],MATCH(Table1[[#Headers],[NRR]],Data[#Headers],0),FALSE)</f>
        <v>Zone 3</v>
      </c>
      <c r="E133" s="50" t="e">
        <f>VLOOKUP(Table1[[#This Row],[DEVELOPMENT]],Data[],MATCH(Table1[[#Headers],[Priority Level]],Data[#Headers],0),FALSE)</f>
        <v>#N/A</v>
      </c>
      <c r="F133" s="50" t="e">
        <f>VLOOKUP(Table1[[#This Row],[DEVELOPMENT]],Data[],MATCH(Table1[[#Headers],[RAD/PACT]],Data[#Headers],0),FALSE)</f>
        <v>#N/A</v>
      </c>
      <c r="G133" s="1" t="s">
        <v>68</v>
      </c>
      <c r="H133" s="7"/>
      <c r="I133" s="8"/>
      <c r="J133" s="8">
        <f>K133</f>
        <v>0</v>
      </c>
      <c r="K133" s="3"/>
      <c r="L133" s="75"/>
      <c r="M133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2022</v>
      </c>
      <c r="N133" s="73"/>
      <c r="O133" s="2"/>
      <c r="P133" s="2"/>
      <c r="Q133" s="11"/>
      <c r="R13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33" s="9"/>
      <c r="T133" s="16"/>
    </row>
    <row r="134" spans="1:20">
      <c r="A134" s="13" t="str">
        <f>VLOOKUP(C134,Data[],2,FALSE)</f>
        <v>MANHATTAN</v>
      </c>
      <c r="B134" s="1"/>
      <c r="C134" s="1" t="s">
        <v>136</v>
      </c>
      <c r="D134" s="1" t="str">
        <f>VLOOKUP(Table1[[#This Row],[DEVELOPMENT]],Data[],MATCH(Table1[[#Headers],[NRR]],Data[#Headers],0),FALSE)</f>
        <v>Zone 2</v>
      </c>
      <c r="E134" s="1" t="e">
        <f>VLOOKUP(Table1[[#This Row],[DEVELOPMENT]],Data[],MATCH(Table1[[#Headers],[Priority Level]],Data[#Headers],0),FALSE)</f>
        <v>#N/A</v>
      </c>
      <c r="F134" s="1" t="e">
        <f>VLOOKUP(Table1[[#This Row],[DEVELOPMENT]],Data[],MATCH(Table1[[#Headers],[RAD/PACT]],Data[#Headers],0),FALSE)</f>
        <v>#N/A</v>
      </c>
      <c r="G134" s="9" t="s">
        <v>68</v>
      </c>
      <c r="H134" s="7"/>
      <c r="I134" s="8"/>
      <c r="J134" s="8"/>
      <c r="K134" s="3"/>
      <c r="L134" s="76"/>
      <c r="M134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2021</v>
      </c>
      <c r="N134" s="73"/>
      <c r="O134" s="2"/>
      <c r="P134" s="2"/>
      <c r="Q134" s="11"/>
      <c r="R13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34" s="9"/>
      <c r="T134" s="16"/>
    </row>
    <row r="135" spans="1:20">
      <c r="A135" s="13" t="str">
        <f>VLOOKUP(C135,Data[],2,FALSE)</f>
        <v>MANHATTAN</v>
      </c>
      <c r="B135" s="1"/>
      <c r="C135" s="1" t="s">
        <v>128</v>
      </c>
      <c r="D135" s="1" t="str">
        <f>VLOOKUP(Table1[[#This Row],[DEVELOPMENT]],Data[],MATCH(Table1[[#Headers],[NRR]],Data[#Headers],0),FALSE)</f>
        <v>Zone 2</v>
      </c>
      <c r="E135" s="1" t="e">
        <f>VLOOKUP(Table1[[#This Row],[DEVELOPMENT]],Data[],MATCH(Table1[[#Headers],[Priority Level]],Data[#Headers],0),FALSE)</f>
        <v>#N/A</v>
      </c>
      <c r="F135" s="1" t="e">
        <f>VLOOKUP(Table1[[#This Row],[DEVELOPMENT]],Data[],MATCH(Table1[[#Headers],[RAD/PACT]],Data[#Headers],0),FALSE)</f>
        <v>#N/A</v>
      </c>
      <c r="G135" s="9" t="s">
        <v>68</v>
      </c>
      <c r="H135" s="7"/>
      <c r="I135" s="8"/>
      <c r="J135" s="8"/>
      <c r="K135" s="3"/>
      <c r="L135" s="76"/>
      <c r="M135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135" s="73"/>
      <c r="O135" s="2"/>
      <c r="P135" s="2"/>
      <c r="Q135" s="11"/>
      <c r="R13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35" s="9"/>
      <c r="T135" s="16"/>
    </row>
    <row r="136" spans="1:20">
      <c r="A136" s="13" t="str">
        <f>VLOOKUP(C136,Data[],2,FALSE)</f>
        <v>MANHATTAN</v>
      </c>
      <c r="B136" s="1"/>
      <c r="C136" s="1" t="s">
        <v>137</v>
      </c>
      <c r="D136" s="1" t="str">
        <f>VLOOKUP(Table1[[#This Row],[DEVELOPMENT]],Data[],MATCH(Table1[[#Headers],[NRR]],Data[#Headers],0),FALSE)</f>
        <v>Zone 2</v>
      </c>
      <c r="E136" s="1" t="e">
        <f>VLOOKUP(Table1[[#This Row],[DEVELOPMENT]],Data[],MATCH(Table1[[#Headers],[Priority Level]],Data[#Headers],0),FALSE)</f>
        <v>#N/A</v>
      </c>
      <c r="F136" s="1" t="e">
        <f>VLOOKUP(Table1[[#This Row],[DEVELOPMENT]],Data[],MATCH(Table1[[#Headers],[RAD/PACT]],Data[#Headers],0),FALSE)</f>
        <v>#N/A</v>
      </c>
      <c r="G136" s="9" t="s">
        <v>68</v>
      </c>
      <c r="H136" s="7"/>
      <c r="I136" s="8"/>
      <c r="J136" s="8"/>
      <c r="K136" s="3"/>
      <c r="L136" s="76"/>
      <c r="M136" s="75">
        <f ca="1">IF(Table1[[#This Row],[WORK TYPE]]="Exterior Compactors",VLOOKUP(Table1[[#This Row],[DEVELOPMENT]],ExtComp[],12,FALSE),IF(Table1[[#This Row],[WORK TYPE]]="Interior Compactors",VLOOKUP(Table1[[#This Row],[DEVELOPMENT]],IntComp[],12,FALSE),""))</f>
        <v>2020</v>
      </c>
      <c r="N136" s="73"/>
      <c r="O136" s="2"/>
      <c r="P136" s="2"/>
      <c r="Q136" s="11"/>
      <c r="R13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36" s="9"/>
      <c r="T136" s="16"/>
    </row>
    <row r="137" spans="1:20">
      <c r="A137" s="13" t="str">
        <f>VLOOKUP(C137,Data[],2,FALSE)</f>
        <v>BRONX</v>
      </c>
      <c r="B137" s="1"/>
      <c r="C137" s="1" t="s">
        <v>123</v>
      </c>
      <c r="D137" s="1" t="str">
        <f>VLOOKUP(Table1[[#This Row],[DEVELOPMENT]],Data[],MATCH(Table1[[#Headers],[NRR]],Data[#Headers],0),FALSE)</f>
        <v>Zone 3</v>
      </c>
      <c r="E137" s="1" t="e">
        <f>VLOOKUP(Table1[[#This Row],[DEVELOPMENT]],Data[],MATCH(Table1[[#Headers],[Priority Level]],Data[#Headers],0),FALSE)</f>
        <v>#N/A</v>
      </c>
      <c r="F137" s="1" t="e">
        <f>VLOOKUP(Table1[[#This Row],[DEVELOPMENT]],Data[],MATCH(Table1[[#Headers],[RAD/PACT]],Data[#Headers],0),FALSE)</f>
        <v>#N/A</v>
      </c>
      <c r="G137" s="1" t="s">
        <v>106</v>
      </c>
      <c r="H137" s="7"/>
      <c r="I137" s="8"/>
      <c r="J137" s="8"/>
      <c r="K137" s="3"/>
      <c r="L137" s="76"/>
      <c r="M137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37" s="73"/>
      <c r="O137" s="2"/>
      <c r="P137" s="2"/>
      <c r="Q137" s="11"/>
      <c r="R13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37" s="9"/>
      <c r="T137" s="16"/>
    </row>
    <row r="138" spans="1:20">
      <c r="A138" s="13" t="str">
        <f>VLOOKUP(C138,Data[],2,FALSE)</f>
        <v>MANHATTAN</v>
      </c>
      <c r="B138" s="1"/>
      <c r="C138" s="1" t="s">
        <v>127</v>
      </c>
      <c r="D138" s="1" t="str">
        <f>VLOOKUP(Table1[[#This Row],[DEVELOPMENT]],Data[],MATCH(Table1[[#Headers],[NRR]],Data[#Headers],0),FALSE)</f>
        <v>Zone 2</v>
      </c>
      <c r="E138" s="1" t="e">
        <f>VLOOKUP(Table1[[#This Row],[DEVELOPMENT]],Data[],MATCH(Table1[[#Headers],[Priority Level]],Data[#Headers],0),FALSE)</f>
        <v>#N/A</v>
      </c>
      <c r="F138" s="1" t="e">
        <f>VLOOKUP(Table1[[#This Row],[DEVELOPMENT]],Data[],MATCH(Table1[[#Headers],[RAD/PACT]],Data[#Headers],0),FALSE)</f>
        <v>#N/A</v>
      </c>
      <c r="G138" s="9" t="s">
        <v>106</v>
      </c>
      <c r="H138" s="12"/>
      <c r="I138" s="8"/>
      <c r="J138" s="8"/>
      <c r="K138" s="3"/>
      <c r="L138" s="76"/>
      <c r="M138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38" s="73"/>
      <c r="O138" s="2"/>
      <c r="P138" s="2"/>
      <c r="Q138" s="11"/>
      <c r="R13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38" s="9"/>
      <c r="T138" s="16"/>
    </row>
    <row r="139" spans="1:20">
      <c r="A139" s="13" t="str">
        <f>VLOOKUP(C139,Data[],2,FALSE)</f>
        <v>MANHATTAN</v>
      </c>
      <c r="B139" s="1"/>
      <c r="C139" s="1" t="s">
        <v>129</v>
      </c>
      <c r="D139" s="1" t="str">
        <f>VLOOKUP(Table1[[#This Row],[DEVELOPMENT]],Data[],MATCH(Table1[[#Headers],[NRR]],Data[#Headers],0),FALSE)</f>
        <v>Zone 2</v>
      </c>
      <c r="E139" s="1" t="e">
        <f>VLOOKUP(Table1[[#This Row],[DEVELOPMENT]],Data[],MATCH(Table1[[#Headers],[Priority Level]],Data[#Headers],0),FALSE)</f>
        <v>#N/A</v>
      </c>
      <c r="F139" s="1" t="e">
        <f>VLOOKUP(Table1[[#This Row],[DEVELOPMENT]],Data[],MATCH(Table1[[#Headers],[RAD/PACT]],Data[#Headers],0),FALSE)</f>
        <v>#N/A</v>
      </c>
      <c r="G139" s="9" t="s">
        <v>106</v>
      </c>
      <c r="H139" s="12"/>
      <c r="I139" s="8"/>
      <c r="J139" s="8"/>
      <c r="K139" s="3"/>
      <c r="L139" s="76"/>
      <c r="M139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39" s="73"/>
      <c r="O139" s="2"/>
      <c r="P139" s="2"/>
      <c r="Q139" s="11"/>
      <c r="R13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39" s="9"/>
      <c r="T139" s="16"/>
    </row>
    <row r="140" spans="1:20">
      <c r="A140" s="13" t="str">
        <f>VLOOKUP(C140,Data[],2,FALSE)</f>
        <v>MANHATTAN</v>
      </c>
      <c r="B140" s="1"/>
      <c r="C140" s="1" t="s">
        <v>113</v>
      </c>
      <c r="D140" s="1" t="str">
        <f>VLOOKUP(Table1[[#This Row],[DEVELOPMENT]],Data[],MATCH(Table1[[#Headers],[NRR]],Data[#Headers],0),FALSE)</f>
        <v>Zone 2</v>
      </c>
      <c r="E140" s="1" t="e">
        <f>VLOOKUP(Table1[[#This Row],[DEVELOPMENT]],Data[],MATCH(Table1[[#Headers],[Priority Level]],Data[#Headers],0),FALSE)</f>
        <v>#N/A</v>
      </c>
      <c r="F140" s="1" t="e">
        <f>VLOOKUP(Table1[[#This Row],[DEVELOPMENT]],Data[],MATCH(Table1[[#Headers],[RAD/PACT]],Data[#Headers],0),FALSE)</f>
        <v>#N/A</v>
      </c>
      <c r="G140" s="9" t="s">
        <v>106</v>
      </c>
      <c r="H140" s="7"/>
      <c r="I140" s="8"/>
      <c r="J140" s="8"/>
      <c r="K140" s="3"/>
      <c r="L140" s="76"/>
      <c r="M140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40" s="73"/>
      <c r="O140" s="2"/>
      <c r="P140" s="2"/>
      <c r="Q140" s="11"/>
      <c r="R14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40" s="9"/>
      <c r="T140" s="16"/>
    </row>
    <row r="141" spans="1:20">
      <c r="A141" s="13" t="str">
        <f>VLOOKUP(C141,Data[],2,FALSE)</f>
        <v>MANHATTAN</v>
      </c>
      <c r="B141" s="1"/>
      <c r="C141" s="1" t="s">
        <v>92</v>
      </c>
      <c r="D141" s="1" t="str">
        <f>VLOOKUP(Table1[[#This Row],[DEVELOPMENT]],Data[],MATCH(Table1[[#Headers],[NRR]],Data[#Headers],0),FALSE)</f>
        <v>Zone 2</v>
      </c>
      <c r="E141" s="1" t="e">
        <f>VLOOKUP(Table1[[#This Row],[DEVELOPMENT]],Data[],MATCH(Table1[[#Headers],[Priority Level]],Data[#Headers],0),FALSE)</f>
        <v>#N/A</v>
      </c>
      <c r="F141" s="1" t="e">
        <f>VLOOKUP(Table1[[#This Row],[DEVELOPMENT]],Data[],MATCH(Table1[[#Headers],[RAD/PACT]],Data[#Headers],0),FALSE)</f>
        <v>#N/A</v>
      </c>
      <c r="G141" s="9" t="s">
        <v>106</v>
      </c>
      <c r="H141" s="7"/>
      <c r="I141" s="8"/>
      <c r="J141" s="8"/>
      <c r="K141" s="3"/>
      <c r="L141" s="76"/>
      <c r="M141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41" s="73"/>
      <c r="O141" s="2"/>
      <c r="P141" s="2"/>
      <c r="Q141" s="11"/>
      <c r="R14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41" s="9"/>
      <c r="T141" s="16"/>
    </row>
    <row r="142" spans="1:20">
      <c r="A142" s="13" t="str">
        <f>VLOOKUP(C142,Data[],2,FALSE)</f>
        <v>BROOKLYN</v>
      </c>
      <c r="B142" s="9" t="s">
        <v>25</v>
      </c>
      <c r="C142" s="9" t="s">
        <v>26</v>
      </c>
      <c r="D142" s="1" t="str">
        <f>VLOOKUP(Table1[[#This Row],[DEVELOPMENT]],Data[],MATCH(Table1[[#Headers],[NRR]],Data[#Headers],0),FALSE)</f>
        <v>Zone 1</v>
      </c>
      <c r="E142" s="1" t="e">
        <f>VLOOKUP(Table1[[#This Row],[DEVELOPMENT]],Data[],MATCH(Table1[[#Headers],[Priority Level]],Data[#Headers],0),FALSE)</f>
        <v>#N/A</v>
      </c>
      <c r="F142" s="1" t="e">
        <f>VLOOKUP(Table1[[#This Row],[DEVELOPMENT]],Data[],MATCH(Table1[[#Headers],[RAD/PACT]],Data[#Headers],0),FALSE)</f>
        <v>#N/A</v>
      </c>
      <c r="G142" s="9" t="s">
        <v>106</v>
      </c>
      <c r="H142" s="12" t="s">
        <v>85</v>
      </c>
      <c r="I142" s="10"/>
      <c r="J142" s="10">
        <f>K142</f>
        <v>220329</v>
      </c>
      <c r="K142" s="11">
        <v>220329</v>
      </c>
      <c r="L142" s="73">
        <v>2019</v>
      </c>
      <c r="M142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42" s="75"/>
      <c r="O142" s="2" t="s">
        <v>53</v>
      </c>
      <c r="P142" s="2"/>
      <c r="Q142" s="3"/>
      <c r="R14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42" s="1"/>
      <c r="T142" s="16"/>
    </row>
    <row r="143" spans="1:20">
      <c r="A143" s="13" t="str">
        <f>VLOOKUP(C143,Data[],2,FALSE)</f>
        <v>MANHATTAN</v>
      </c>
      <c r="B143" s="1"/>
      <c r="C143" s="1" t="s">
        <v>112</v>
      </c>
      <c r="D143" s="1" t="str">
        <f>VLOOKUP(Table1[[#This Row],[DEVELOPMENT]],Data[],MATCH(Table1[[#Headers],[NRR]],Data[#Headers],0),FALSE)</f>
        <v>Zone 2</v>
      </c>
      <c r="E143" s="1" t="e">
        <f>VLOOKUP(Table1[[#This Row],[DEVELOPMENT]],Data[],MATCH(Table1[[#Headers],[Priority Level]],Data[#Headers],0),FALSE)</f>
        <v>#N/A</v>
      </c>
      <c r="F143" s="1" t="e">
        <f>VLOOKUP(Table1[[#This Row],[DEVELOPMENT]],Data[],MATCH(Table1[[#Headers],[RAD/PACT]],Data[#Headers],0),FALSE)</f>
        <v>#N/A</v>
      </c>
      <c r="G143" s="9" t="s">
        <v>106</v>
      </c>
      <c r="H143" s="7"/>
      <c r="I143" s="8"/>
      <c r="J143" s="8"/>
      <c r="K143" s="3"/>
      <c r="L143" s="76"/>
      <c r="M143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43" s="73"/>
      <c r="O143" s="2"/>
      <c r="P143" s="2"/>
      <c r="Q143" s="11"/>
      <c r="R14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43" s="9"/>
      <c r="T143" s="16"/>
    </row>
    <row r="144" spans="1:20">
      <c r="A144" s="13" t="str">
        <f>VLOOKUP(C144,Data[],2,FALSE)</f>
        <v>MANHATTAN</v>
      </c>
      <c r="B144" s="1"/>
      <c r="C144" s="1" t="s">
        <v>131</v>
      </c>
      <c r="D144" s="1" t="str">
        <f>VLOOKUP(Table1[[#This Row],[DEVELOPMENT]],Data[],MATCH(Table1[[#Headers],[NRR]],Data[#Headers],0),FALSE)</f>
        <v>Zone 2</v>
      </c>
      <c r="E144" s="1" t="e">
        <f>VLOOKUP(Table1[[#This Row],[DEVELOPMENT]],Data[],MATCH(Table1[[#Headers],[Priority Level]],Data[#Headers],0),FALSE)</f>
        <v>#N/A</v>
      </c>
      <c r="F144" s="1" t="e">
        <f>VLOOKUP(Table1[[#This Row],[DEVELOPMENT]],Data[],MATCH(Table1[[#Headers],[RAD/PACT]],Data[#Headers],0),FALSE)</f>
        <v>#N/A</v>
      </c>
      <c r="G144" s="9" t="s">
        <v>106</v>
      </c>
      <c r="H144" s="12"/>
      <c r="I144" s="8"/>
      <c r="J144" s="8"/>
      <c r="K144" s="3"/>
      <c r="L144" s="76"/>
      <c r="M144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44" s="73"/>
      <c r="O144" s="2"/>
      <c r="P144" s="2"/>
      <c r="Q144" s="11"/>
      <c r="R14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44" s="9"/>
      <c r="T144" s="16"/>
    </row>
    <row r="145" spans="1:20">
      <c r="A145" s="13" t="str">
        <f>VLOOKUP(C145,Data[],2,FALSE)</f>
        <v>MANHATTAN</v>
      </c>
      <c r="B145" s="1"/>
      <c r="C145" s="1" t="s">
        <v>95</v>
      </c>
      <c r="D145" s="1" t="str">
        <f>VLOOKUP(Table1[[#This Row],[DEVELOPMENT]],Data[],MATCH(Table1[[#Headers],[NRR]],Data[#Headers],0),FALSE)</f>
        <v>Zone 2</v>
      </c>
      <c r="E145" s="1" t="e">
        <f>VLOOKUP(Table1[[#This Row],[DEVELOPMENT]],Data[],MATCH(Table1[[#Headers],[Priority Level]],Data[#Headers],0),FALSE)</f>
        <v>#N/A</v>
      </c>
      <c r="F145" s="1" t="e">
        <f>VLOOKUP(Table1[[#This Row],[DEVELOPMENT]],Data[],MATCH(Table1[[#Headers],[RAD/PACT]],Data[#Headers],0),FALSE)</f>
        <v>#N/A</v>
      </c>
      <c r="G145" s="9" t="s">
        <v>106</v>
      </c>
      <c r="H145" s="7"/>
      <c r="I145" s="8"/>
      <c r="J145" s="8"/>
      <c r="K145" s="3"/>
      <c r="L145" s="76"/>
      <c r="M145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45" s="73"/>
      <c r="O145" s="2"/>
      <c r="P145" s="2"/>
      <c r="Q145" s="11"/>
      <c r="R14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45" s="9"/>
      <c r="T145" s="16"/>
    </row>
    <row r="146" spans="1:20">
      <c r="A146" s="13" t="str">
        <f>VLOOKUP(C146,Data[],2,FALSE)</f>
        <v>MANHATTAN</v>
      </c>
      <c r="B146" s="1"/>
      <c r="C146" s="1" t="s">
        <v>90</v>
      </c>
      <c r="D146" s="1" t="str">
        <f>VLOOKUP(Table1[[#This Row],[DEVELOPMENT]],Data[],MATCH(Table1[[#Headers],[NRR]],Data[#Headers],0),FALSE)</f>
        <v>Zone 2</v>
      </c>
      <c r="E146" s="1" t="e">
        <f>VLOOKUP(Table1[[#This Row],[DEVELOPMENT]],Data[],MATCH(Table1[[#Headers],[Priority Level]],Data[#Headers],0),FALSE)</f>
        <v>#N/A</v>
      </c>
      <c r="F146" s="1" t="e">
        <f>VLOOKUP(Table1[[#This Row],[DEVELOPMENT]],Data[],MATCH(Table1[[#Headers],[RAD/PACT]],Data[#Headers],0),FALSE)</f>
        <v>#N/A</v>
      </c>
      <c r="G146" s="9" t="s">
        <v>106</v>
      </c>
      <c r="H146" s="7"/>
      <c r="I146" s="8"/>
      <c r="J146" s="8"/>
      <c r="K146" s="3"/>
      <c r="L146" s="76"/>
      <c r="M146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46" s="73"/>
      <c r="O146" s="2"/>
      <c r="P146" s="2"/>
      <c r="Q146" s="11"/>
      <c r="R14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46" s="9"/>
      <c r="T146" s="16"/>
    </row>
    <row r="147" spans="1:20">
      <c r="A147" s="13" t="str">
        <f>VLOOKUP(C147,Data[],2,FALSE)</f>
        <v>BRONX</v>
      </c>
      <c r="B147" s="1"/>
      <c r="C147" s="1" t="s">
        <v>114</v>
      </c>
      <c r="D147" s="1" t="str">
        <f>VLOOKUP(Table1[[#This Row],[DEVELOPMENT]],Data[],MATCH(Table1[[#Headers],[NRR]],Data[#Headers],0),FALSE)</f>
        <v>Zone 3</v>
      </c>
      <c r="E147" s="1" t="e">
        <f>VLOOKUP(Table1[[#This Row],[DEVELOPMENT]],Data[],MATCH(Table1[[#Headers],[Priority Level]],Data[#Headers],0),FALSE)</f>
        <v>#N/A</v>
      </c>
      <c r="F147" s="1" t="e">
        <f>VLOOKUP(Table1[[#This Row],[DEVELOPMENT]],Data[],MATCH(Table1[[#Headers],[RAD/PACT]],Data[#Headers],0),FALSE)</f>
        <v>#N/A</v>
      </c>
      <c r="G147" s="1" t="s">
        <v>106</v>
      </c>
      <c r="H147" s="7"/>
      <c r="I147" s="8"/>
      <c r="J147" s="8"/>
      <c r="K147" s="3"/>
      <c r="L147" s="76"/>
      <c r="M147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47" s="73"/>
      <c r="O147" s="2"/>
      <c r="P147" s="2"/>
      <c r="Q147" s="11"/>
      <c r="R14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47" s="9"/>
      <c r="T147" s="16"/>
    </row>
    <row r="148" spans="1:20">
      <c r="A148" s="13" t="str">
        <f>VLOOKUP(C148,Data[],2,FALSE)</f>
        <v>MANHATTAN</v>
      </c>
      <c r="B148" s="1"/>
      <c r="C148" s="1" t="s">
        <v>136</v>
      </c>
      <c r="D148" s="1" t="str">
        <f>VLOOKUP(Table1[[#This Row],[DEVELOPMENT]],Data[],MATCH(Table1[[#Headers],[NRR]],Data[#Headers],0),FALSE)</f>
        <v>Zone 2</v>
      </c>
      <c r="E148" s="1" t="e">
        <f>VLOOKUP(Table1[[#This Row],[DEVELOPMENT]],Data[],MATCH(Table1[[#Headers],[Priority Level]],Data[#Headers],0),FALSE)</f>
        <v>#N/A</v>
      </c>
      <c r="F148" s="1" t="e">
        <f>VLOOKUP(Table1[[#This Row],[DEVELOPMENT]],Data[],MATCH(Table1[[#Headers],[RAD/PACT]],Data[#Headers],0),FALSE)</f>
        <v>#N/A</v>
      </c>
      <c r="G148" s="9" t="s">
        <v>106</v>
      </c>
      <c r="H148" s="7"/>
      <c r="I148" s="8"/>
      <c r="J148" s="8"/>
      <c r="K148" s="3"/>
      <c r="L148" s="76"/>
      <c r="M148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48" s="73"/>
      <c r="O148" s="2"/>
      <c r="P148" s="2"/>
      <c r="Q148" s="11"/>
      <c r="R14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48" s="9"/>
      <c r="T148" s="16"/>
    </row>
    <row r="149" spans="1:20">
      <c r="A149" s="13" t="str">
        <f>VLOOKUP(C149,Data[],2,FALSE)</f>
        <v>MANHATTAN</v>
      </c>
      <c r="B149" s="1"/>
      <c r="C149" s="1" t="s">
        <v>130</v>
      </c>
      <c r="D149" s="1" t="str">
        <f>VLOOKUP(Table1[[#This Row],[DEVELOPMENT]],Data[],MATCH(Table1[[#Headers],[NRR]],Data[#Headers],0),FALSE)</f>
        <v>Zone 3</v>
      </c>
      <c r="E149" s="1" t="e">
        <f>VLOOKUP(Table1[[#This Row],[DEVELOPMENT]],Data[],MATCH(Table1[[#Headers],[Priority Level]],Data[#Headers],0),FALSE)</f>
        <v>#N/A</v>
      </c>
      <c r="F149" s="1" t="e">
        <f>VLOOKUP(Table1[[#This Row],[DEVELOPMENT]],Data[],MATCH(Table1[[#Headers],[RAD/PACT]],Data[#Headers],0),FALSE)</f>
        <v>#N/A</v>
      </c>
      <c r="G149" s="1" t="s">
        <v>106</v>
      </c>
      <c r="H149" s="7"/>
      <c r="I149" s="8"/>
      <c r="J149" s="8"/>
      <c r="K149" s="3"/>
      <c r="L149" s="76"/>
      <c r="M149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49" s="73"/>
      <c r="O149" s="2"/>
      <c r="P149" s="2"/>
      <c r="Q149" s="11"/>
      <c r="R14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49" s="9"/>
      <c r="T149" s="16"/>
    </row>
    <row r="150" spans="1:20">
      <c r="A150" s="13" t="str">
        <f>VLOOKUP(C150,Data[],2,FALSE)</f>
        <v>MANHATTAN</v>
      </c>
      <c r="B150" s="1"/>
      <c r="C150" s="1" t="s">
        <v>76</v>
      </c>
      <c r="D150" s="1" t="str">
        <f>VLOOKUP(Table1[[#This Row],[DEVELOPMENT]],Data[],MATCH(Table1[[#Headers],[NRR]],Data[#Headers],0),FALSE)</f>
        <v>Zone 3</v>
      </c>
      <c r="E150" s="1" t="e">
        <f>VLOOKUP(Table1[[#This Row],[DEVELOPMENT]],Data[],MATCH(Table1[[#Headers],[Priority Level]],Data[#Headers],0),FALSE)</f>
        <v>#N/A</v>
      </c>
      <c r="F150" s="1" t="e">
        <f>VLOOKUP(Table1[[#This Row],[DEVELOPMENT]],Data[],MATCH(Table1[[#Headers],[RAD/PACT]],Data[#Headers],0),FALSE)</f>
        <v>#N/A</v>
      </c>
      <c r="G150" s="1" t="s">
        <v>106</v>
      </c>
      <c r="H150" s="7"/>
      <c r="I150" s="8"/>
      <c r="J150" s="8"/>
      <c r="K150" s="3"/>
      <c r="L150" s="76"/>
      <c r="M150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50" s="73"/>
      <c r="O150" s="2"/>
      <c r="P150" s="2"/>
      <c r="Q150" s="11"/>
      <c r="R15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50" s="9"/>
      <c r="T150" s="16"/>
    </row>
    <row r="151" spans="1:20">
      <c r="A151" s="13" t="str">
        <f>VLOOKUP(C151,Data[],2,FALSE)</f>
        <v>MANHATTAN</v>
      </c>
      <c r="B151" s="1"/>
      <c r="C151" s="1" t="s">
        <v>71</v>
      </c>
      <c r="D151" s="1" t="str">
        <f>VLOOKUP(Table1[[#This Row],[DEVELOPMENT]],Data[],MATCH(Table1[[#Headers],[NRR]],Data[#Headers],0),FALSE)</f>
        <v>Zone 3</v>
      </c>
      <c r="E151" s="1" t="e">
        <f>VLOOKUP(Table1[[#This Row],[DEVELOPMENT]],Data[],MATCH(Table1[[#Headers],[Priority Level]],Data[#Headers],0),FALSE)</f>
        <v>#N/A</v>
      </c>
      <c r="F151" s="1" t="e">
        <f>VLOOKUP(Table1[[#This Row],[DEVELOPMENT]],Data[],MATCH(Table1[[#Headers],[RAD/PACT]],Data[#Headers],0),FALSE)</f>
        <v>#N/A</v>
      </c>
      <c r="G151" s="1" t="s">
        <v>106</v>
      </c>
      <c r="H151" s="7"/>
      <c r="I151" s="8"/>
      <c r="J151" s="8"/>
      <c r="K151" s="3"/>
      <c r="L151" s="76"/>
      <c r="M151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51" s="73"/>
      <c r="O151" s="2"/>
      <c r="P151" s="2"/>
      <c r="Q151" s="11"/>
      <c r="R15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51" s="9"/>
      <c r="T151" s="16"/>
    </row>
    <row r="152" spans="1:20">
      <c r="A152" s="13" t="str">
        <f>VLOOKUP(C152,Data[],2,FALSE)</f>
        <v>MANHATTAN</v>
      </c>
      <c r="B152" s="1"/>
      <c r="C152" s="1" t="s">
        <v>120</v>
      </c>
      <c r="D152" s="1" t="str">
        <f>VLOOKUP(Table1[[#This Row],[DEVELOPMENT]],Data[],MATCH(Table1[[#Headers],[NRR]],Data[#Headers],0),FALSE)</f>
        <v>Zone 2</v>
      </c>
      <c r="E152" s="1" t="e">
        <f>VLOOKUP(Table1[[#This Row],[DEVELOPMENT]],Data[],MATCH(Table1[[#Headers],[Priority Level]],Data[#Headers],0),FALSE)</f>
        <v>#N/A</v>
      </c>
      <c r="F152" s="1" t="e">
        <f>VLOOKUP(Table1[[#This Row],[DEVELOPMENT]],Data[],MATCH(Table1[[#Headers],[RAD/PACT]],Data[#Headers],0),FALSE)</f>
        <v>#N/A</v>
      </c>
      <c r="G152" s="9" t="s">
        <v>106</v>
      </c>
      <c r="H152" s="12"/>
      <c r="I152" s="8"/>
      <c r="J152" s="8"/>
      <c r="K152" s="3"/>
      <c r="L152" s="76"/>
      <c r="M152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52" s="73"/>
      <c r="O152" s="2"/>
      <c r="P152" s="2"/>
      <c r="Q152" s="11"/>
      <c r="R15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52" s="9"/>
      <c r="T152" s="16"/>
    </row>
    <row r="153" spans="1:20">
      <c r="A153" s="13" t="str">
        <f>VLOOKUP(C153,Data[],2,FALSE)</f>
        <v>MANHATTAN</v>
      </c>
      <c r="B153" s="1"/>
      <c r="C153" s="1" t="s">
        <v>75</v>
      </c>
      <c r="D153" s="1" t="str">
        <f>VLOOKUP(Table1[[#This Row],[DEVELOPMENT]],Data[],MATCH(Table1[[#Headers],[NRR]],Data[#Headers],0),FALSE)</f>
        <v>Zone 3</v>
      </c>
      <c r="E153" s="1" t="e">
        <f>VLOOKUP(Table1[[#This Row],[DEVELOPMENT]],Data[],MATCH(Table1[[#Headers],[Priority Level]],Data[#Headers],0),FALSE)</f>
        <v>#N/A</v>
      </c>
      <c r="F153" s="1" t="e">
        <f>VLOOKUP(Table1[[#This Row],[DEVELOPMENT]],Data[],MATCH(Table1[[#Headers],[RAD/PACT]],Data[#Headers],0),FALSE)</f>
        <v>#N/A</v>
      </c>
      <c r="G153" s="1" t="s">
        <v>106</v>
      </c>
      <c r="H153" s="7"/>
      <c r="I153" s="8"/>
      <c r="J153" s="8"/>
      <c r="K153" s="3"/>
      <c r="L153" s="76"/>
      <c r="M153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53" s="73"/>
      <c r="O153" s="2"/>
      <c r="P153" s="2"/>
      <c r="Q153" s="11"/>
      <c r="R15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53" s="9"/>
      <c r="T153" s="16"/>
    </row>
    <row r="154" spans="1:20">
      <c r="A154" s="13" t="str">
        <f>VLOOKUP(C154,Data[],2,FALSE)</f>
        <v>MANHATTAN</v>
      </c>
      <c r="B154" s="1"/>
      <c r="C154" s="1" t="s">
        <v>77</v>
      </c>
      <c r="D154" s="1" t="str">
        <f>VLOOKUP(Table1[[#This Row],[DEVELOPMENT]],Data[],MATCH(Table1[[#Headers],[NRR]],Data[#Headers],0),FALSE)</f>
        <v>Zone 2</v>
      </c>
      <c r="E154" s="1" t="e">
        <f>VLOOKUP(Table1[[#This Row],[DEVELOPMENT]],Data[],MATCH(Table1[[#Headers],[Priority Level]],Data[#Headers],0),FALSE)</f>
        <v>#N/A</v>
      </c>
      <c r="F154" s="1" t="e">
        <f>VLOOKUP(Table1[[#This Row],[DEVELOPMENT]],Data[],MATCH(Table1[[#Headers],[RAD/PACT]],Data[#Headers],0),FALSE)</f>
        <v>#N/A</v>
      </c>
      <c r="G154" s="9" t="s">
        <v>106</v>
      </c>
      <c r="H154" s="7"/>
      <c r="I154" s="8"/>
      <c r="J154" s="8"/>
      <c r="K154" s="3"/>
      <c r="L154" s="76"/>
      <c r="M154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54" s="73"/>
      <c r="O154" s="2"/>
      <c r="P154" s="2"/>
      <c r="Q154" s="11"/>
      <c r="R15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54" s="9"/>
      <c r="T154" s="16"/>
    </row>
    <row r="155" spans="1:20">
      <c r="A155" s="13" t="str">
        <f>VLOOKUP(C155,Data[],2,FALSE)</f>
        <v>MANHATTAN</v>
      </c>
      <c r="B155" s="1"/>
      <c r="C155" s="1" t="s">
        <v>111</v>
      </c>
      <c r="D155" s="1" t="str">
        <f>VLOOKUP(Table1[[#This Row],[DEVELOPMENT]],Data[],MATCH(Table1[[#Headers],[NRR]],Data[#Headers],0),FALSE)</f>
        <v>Zone 3</v>
      </c>
      <c r="E155" s="1" t="e">
        <f>VLOOKUP(Table1[[#This Row],[DEVELOPMENT]],Data[],MATCH(Table1[[#Headers],[Priority Level]],Data[#Headers],0),FALSE)</f>
        <v>#N/A</v>
      </c>
      <c r="F155" s="1" t="e">
        <f>VLOOKUP(Table1[[#This Row],[DEVELOPMENT]],Data[],MATCH(Table1[[#Headers],[RAD/PACT]],Data[#Headers],0),FALSE)</f>
        <v>#N/A</v>
      </c>
      <c r="G155" s="1" t="s">
        <v>106</v>
      </c>
      <c r="H155" s="7"/>
      <c r="I155" s="8"/>
      <c r="J155" s="8"/>
      <c r="K155" s="3"/>
      <c r="L155" s="76"/>
      <c r="M155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55" s="73"/>
      <c r="O155" s="2"/>
      <c r="P155" s="2"/>
      <c r="Q155" s="11"/>
      <c r="R15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55" s="9"/>
      <c r="T155" s="16"/>
    </row>
    <row r="156" spans="1:20">
      <c r="A156" s="13" t="str">
        <f>VLOOKUP(C156,Data[],2,FALSE)</f>
        <v>BRONX</v>
      </c>
      <c r="B156" s="1"/>
      <c r="C156" s="1" t="s">
        <v>91</v>
      </c>
      <c r="D156" s="1" t="str">
        <f>VLOOKUP(Table1[[#This Row],[DEVELOPMENT]],Data[],MATCH(Table1[[#Headers],[NRR]],Data[#Headers],0),FALSE)</f>
        <v>Zone 3</v>
      </c>
      <c r="E156" s="1" t="e">
        <f>VLOOKUP(Table1[[#This Row],[DEVELOPMENT]],Data[],MATCH(Table1[[#Headers],[Priority Level]],Data[#Headers],0),FALSE)</f>
        <v>#N/A</v>
      </c>
      <c r="F156" s="1" t="e">
        <f>VLOOKUP(Table1[[#This Row],[DEVELOPMENT]],Data[],MATCH(Table1[[#Headers],[RAD/PACT]],Data[#Headers],0),FALSE)</f>
        <v>#N/A</v>
      </c>
      <c r="G156" s="1" t="s">
        <v>106</v>
      </c>
      <c r="H156" s="7"/>
      <c r="I156" s="8"/>
      <c r="J156" s="8"/>
      <c r="K156" s="3"/>
      <c r="L156" s="76"/>
      <c r="M156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56" s="73"/>
      <c r="O156" s="2"/>
      <c r="P156" s="2"/>
      <c r="Q156" s="11"/>
      <c r="R15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56" s="9"/>
      <c r="T156" s="16"/>
    </row>
    <row r="157" spans="1:20">
      <c r="A157" s="13" t="str">
        <f>VLOOKUP(C157,Data[],2,FALSE)</f>
        <v>BRONX</v>
      </c>
      <c r="B157" s="1"/>
      <c r="C157" s="1" t="s">
        <v>98</v>
      </c>
      <c r="D157" s="1" t="str">
        <f>VLOOKUP(Table1[[#This Row],[DEVELOPMENT]],Data[],MATCH(Table1[[#Headers],[NRR]],Data[#Headers],0),FALSE)</f>
        <v>Zone 3</v>
      </c>
      <c r="E157" s="1" t="e">
        <f>VLOOKUP(Table1[[#This Row],[DEVELOPMENT]],Data[],MATCH(Table1[[#Headers],[Priority Level]],Data[#Headers],0),FALSE)</f>
        <v>#N/A</v>
      </c>
      <c r="F157" s="1" t="e">
        <f>VLOOKUP(Table1[[#This Row],[DEVELOPMENT]],Data[],MATCH(Table1[[#Headers],[RAD/PACT]],Data[#Headers],0),FALSE)</f>
        <v>#N/A</v>
      </c>
      <c r="G157" s="1" t="s">
        <v>106</v>
      </c>
      <c r="H157" s="7"/>
      <c r="I157" s="8"/>
      <c r="J157" s="8"/>
      <c r="K157" s="3"/>
      <c r="L157" s="76"/>
      <c r="M157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57" s="73"/>
      <c r="O157" s="2"/>
      <c r="P157" s="2"/>
      <c r="Q157" s="11"/>
      <c r="R15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57" s="9"/>
      <c r="T157" s="16"/>
    </row>
    <row r="158" spans="1:20">
      <c r="A158" s="13" t="str">
        <f>VLOOKUP(C158,Data[],2,FALSE)</f>
        <v>QUEENS</v>
      </c>
      <c r="B158" s="1"/>
      <c r="C158" s="1" t="s">
        <v>135</v>
      </c>
      <c r="D158" s="1" t="str">
        <f>VLOOKUP(Table1[[#This Row],[DEVELOPMENT]],Data[],MATCH(Table1[[#Headers],[NRR]],Data[#Headers],0),FALSE)</f>
        <v>Zone 3</v>
      </c>
      <c r="E158" s="1" t="e">
        <f>VLOOKUP(Table1[[#This Row],[DEVELOPMENT]],Data[],MATCH(Table1[[#Headers],[Priority Level]],Data[#Headers],0),FALSE)</f>
        <v>#N/A</v>
      </c>
      <c r="F158" s="1" t="e">
        <f>VLOOKUP(Table1[[#This Row],[DEVELOPMENT]],Data[],MATCH(Table1[[#Headers],[RAD/PACT]],Data[#Headers],0),FALSE)</f>
        <v>#N/A</v>
      </c>
      <c r="G158" s="1" t="s">
        <v>106</v>
      </c>
      <c r="H158" s="7"/>
      <c r="I158" s="8"/>
      <c r="J158" s="8"/>
      <c r="K158" s="3"/>
      <c r="L158" s="76"/>
      <c r="M158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58" s="73"/>
      <c r="O158" s="2"/>
      <c r="P158" s="2"/>
      <c r="Q158" s="11"/>
      <c r="R15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58" s="9"/>
      <c r="T158" s="16"/>
    </row>
    <row r="159" spans="1:20">
      <c r="A159" s="13" t="str">
        <f>VLOOKUP(C159,Data[],2,FALSE)</f>
        <v>BRONX</v>
      </c>
      <c r="B159" s="1"/>
      <c r="C159" s="1" t="s">
        <v>73</v>
      </c>
      <c r="D159" s="1" t="str">
        <f>VLOOKUP(Table1[[#This Row],[DEVELOPMENT]],Data[],MATCH(Table1[[#Headers],[NRR]],Data[#Headers],0),FALSE)</f>
        <v>Zone 3</v>
      </c>
      <c r="E159" s="1" t="e">
        <f>VLOOKUP(Table1[[#This Row],[DEVELOPMENT]],Data[],MATCH(Table1[[#Headers],[Priority Level]],Data[#Headers],0),FALSE)</f>
        <v>#N/A</v>
      </c>
      <c r="F159" s="1" t="e">
        <f>VLOOKUP(Table1[[#This Row],[DEVELOPMENT]],Data[],MATCH(Table1[[#Headers],[RAD/PACT]],Data[#Headers],0),FALSE)</f>
        <v>#N/A</v>
      </c>
      <c r="G159" s="1" t="s">
        <v>106</v>
      </c>
      <c r="H159" s="7"/>
      <c r="I159" s="8"/>
      <c r="J159" s="8"/>
      <c r="K159" s="3"/>
      <c r="L159" s="76"/>
      <c r="M159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59" s="73"/>
      <c r="O159" s="2"/>
      <c r="P159" s="2"/>
      <c r="Q159" s="11"/>
      <c r="R15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59" s="9"/>
      <c r="T159" s="16"/>
    </row>
    <row r="160" spans="1:20">
      <c r="A160" s="13" t="str">
        <f>VLOOKUP(C160,Data[],2,FALSE)</f>
        <v>QUEENS</v>
      </c>
      <c r="B160" s="1"/>
      <c r="C160" s="1" t="s">
        <v>134</v>
      </c>
      <c r="D160" s="1" t="str">
        <f>VLOOKUP(Table1[[#This Row],[DEVELOPMENT]],Data[],MATCH(Table1[[#Headers],[NRR]],Data[#Headers],0),FALSE)</f>
        <v>Zone 3</v>
      </c>
      <c r="E160" s="1" t="e">
        <f>VLOOKUP(Table1[[#This Row],[DEVELOPMENT]],Data[],MATCH(Table1[[#Headers],[Priority Level]],Data[#Headers],0),FALSE)</f>
        <v>#N/A</v>
      </c>
      <c r="F160" s="1" t="e">
        <f>VLOOKUP(Table1[[#This Row],[DEVELOPMENT]],Data[],MATCH(Table1[[#Headers],[RAD/PACT]],Data[#Headers],0),FALSE)</f>
        <v>#N/A</v>
      </c>
      <c r="G160" s="1" t="s">
        <v>106</v>
      </c>
      <c r="H160" s="7"/>
      <c r="I160" s="8"/>
      <c r="J160" s="8"/>
      <c r="K160" s="3"/>
      <c r="L160" s="76"/>
      <c r="M160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60" s="73"/>
      <c r="O160" s="2"/>
      <c r="P160" s="2"/>
      <c r="Q160" s="11"/>
      <c r="R16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60" s="9"/>
      <c r="T160" s="16"/>
    </row>
    <row r="161" spans="1:20">
      <c r="A161" s="13" t="str">
        <f>VLOOKUP(C161,Data[],2,FALSE)</f>
        <v>MANHATTAN</v>
      </c>
      <c r="B161" s="1"/>
      <c r="C161" s="1" t="s">
        <v>87</v>
      </c>
      <c r="D161" s="1" t="str">
        <f>VLOOKUP(Table1[[#This Row],[DEVELOPMENT]],Data[],MATCH(Table1[[#Headers],[NRR]],Data[#Headers],0),FALSE)</f>
        <v>Zone 3</v>
      </c>
      <c r="E161" s="1" t="e">
        <f>VLOOKUP(Table1[[#This Row],[DEVELOPMENT]],Data[],MATCH(Table1[[#Headers],[Priority Level]],Data[#Headers],0),FALSE)</f>
        <v>#N/A</v>
      </c>
      <c r="F161" s="1" t="e">
        <f>VLOOKUP(Table1[[#This Row],[DEVELOPMENT]],Data[],MATCH(Table1[[#Headers],[RAD/PACT]],Data[#Headers],0),FALSE)</f>
        <v>#N/A</v>
      </c>
      <c r="G161" s="1" t="s">
        <v>106</v>
      </c>
      <c r="H161" s="7"/>
      <c r="I161" s="8"/>
      <c r="J161" s="8"/>
      <c r="K161" s="3"/>
      <c r="L161" s="76"/>
      <c r="M161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61" s="73"/>
      <c r="O161" s="2"/>
      <c r="P161" s="2"/>
      <c r="Q161" s="11"/>
      <c r="R16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61" s="9"/>
      <c r="T161" s="16"/>
    </row>
    <row r="162" spans="1:20">
      <c r="A162" s="13" t="str">
        <f>VLOOKUP(C162,Data[],2,FALSE)</f>
        <v>MANHATTAN</v>
      </c>
      <c r="B162" s="1"/>
      <c r="C162" s="1" t="s">
        <v>88</v>
      </c>
      <c r="D162" s="1" t="str">
        <f>VLOOKUP(Table1[[#This Row],[DEVELOPMENT]],Data[],MATCH(Table1[[#Headers],[NRR]],Data[#Headers],0),FALSE)</f>
        <v>Zone 3</v>
      </c>
      <c r="E162" s="1" t="e">
        <f>VLOOKUP(Table1[[#This Row],[DEVELOPMENT]],Data[],MATCH(Table1[[#Headers],[Priority Level]],Data[#Headers],0),FALSE)</f>
        <v>#N/A</v>
      </c>
      <c r="F162" s="1" t="e">
        <f>VLOOKUP(Table1[[#This Row],[DEVELOPMENT]],Data[],MATCH(Table1[[#Headers],[RAD/PACT]],Data[#Headers],0),FALSE)</f>
        <v>#N/A</v>
      </c>
      <c r="G162" s="1" t="s">
        <v>106</v>
      </c>
      <c r="H162" s="7"/>
      <c r="I162" s="8"/>
      <c r="J162" s="8"/>
      <c r="K162" s="3"/>
      <c r="L162" s="76"/>
      <c r="M162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62" s="73"/>
      <c r="O162" s="2"/>
      <c r="P162" s="2"/>
      <c r="Q162" s="11"/>
      <c r="R16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62" s="9"/>
      <c r="T162" s="16"/>
    </row>
    <row r="163" spans="1:20">
      <c r="A163" s="13" t="str">
        <f>VLOOKUP(C163,Data[],2,FALSE)</f>
        <v>BRONX</v>
      </c>
      <c r="B163" s="9" t="s">
        <v>25</v>
      </c>
      <c r="C163" s="9" t="s">
        <v>138</v>
      </c>
      <c r="D163" s="1" t="str">
        <f>VLOOKUP(Table1[[#This Row],[DEVELOPMENT]],Data[],MATCH(Table1[[#Headers],[NRR]],Data[#Headers],0),FALSE)</f>
        <v>Zone 1</v>
      </c>
      <c r="E163" s="1" t="e">
        <f>VLOOKUP(Table1[[#This Row],[DEVELOPMENT]],Data[],MATCH(Table1[[#Headers],[Priority Level]],Data[#Headers],0),FALSE)</f>
        <v>#N/A</v>
      </c>
      <c r="F163" s="1" t="e">
        <f>VLOOKUP(Table1[[#This Row],[DEVELOPMENT]],Data[],MATCH(Table1[[#Headers],[RAD/PACT]],Data[#Headers],0),FALSE)</f>
        <v>#N/A</v>
      </c>
      <c r="G163" s="9" t="s">
        <v>106</v>
      </c>
      <c r="H163" s="12" t="s">
        <v>85</v>
      </c>
      <c r="I163" s="10"/>
      <c r="J163" s="10">
        <f>K163</f>
        <v>74191</v>
      </c>
      <c r="K163" s="11">
        <v>74191</v>
      </c>
      <c r="L163" s="73">
        <v>2019</v>
      </c>
      <c r="M163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63" s="75"/>
      <c r="O163" s="2" t="s">
        <v>53</v>
      </c>
      <c r="P163" s="2"/>
      <c r="Q163" s="3"/>
      <c r="R16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63" s="1"/>
      <c r="T163" s="16"/>
    </row>
    <row r="164" spans="1:20">
      <c r="A164" s="13" t="str">
        <f>VLOOKUP(C164,Data[],2,FALSE)</f>
        <v>MANHATTAN</v>
      </c>
      <c r="B164" s="1"/>
      <c r="C164" s="1" t="s">
        <v>116</v>
      </c>
      <c r="D164" s="1" t="str">
        <f>VLOOKUP(Table1[[#This Row],[DEVELOPMENT]],Data[],MATCH(Table1[[#Headers],[NRR]],Data[#Headers],0),FALSE)</f>
        <v>Zone 2</v>
      </c>
      <c r="E164" s="1" t="e">
        <f>VLOOKUP(Table1[[#This Row],[DEVELOPMENT]],Data[],MATCH(Table1[[#Headers],[Priority Level]],Data[#Headers],0),FALSE)</f>
        <v>#N/A</v>
      </c>
      <c r="F164" s="1" t="e">
        <f>VLOOKUP(Table1[[#This Row],[DEVELOPMENT]],Data[],MATCH(Table1[[#Headers],[RAD/PACT]],Data[#Headers],0),FALSE)</f>
        <v>#N/A</v>
      </c>
      <c r="G164" s="9" t="s">
        <v>106</v>
      </c>
      <c r="H164" s="12"/>
      <c r="I164" s="8"/>
      <c r="J164" s="8"/>
      <c r="K164" s="3"/>
      <c r="L164" s="76"/>
      <c r="M164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64" s="73"/>
      <c r="O164" s="2"/>
      <c r="P164" s="2"/>
      <c r="Q164" s="11"/>
      <c r="R16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64" s="9"/>
      <c r="T164" s="16"/>
    </row>
    <row r="165" spans="1:20">
      <c r="A165" s="13" t="str">
        <f>VLOOKUP(C165,Data[],2,FALSE)</f>
        <v>MANHATTAN</v>
      </c>
      <c r="B165" s="1"/>
      <c r="C165" s="1" t="s">
        <v>133</v>
      </c>
      <c r="D165" s="1" t="str">
        <f>VLOOKUP(Table1[[#This Row],[DEVELOPMENT]],Data[],MATCH(Table1[[#Headers],[NRR]],Data[#Headers],0),FALSE)</f>
        <v>Zone 2</v>
      </c>
      <c r="E165" s="1" t="e">
        <f>VLOOKUP(Table1[[#This Row],[DEVELOPMENT]],Data[],MATCH(Table1[[#Headers],[Priority Level]],Data[#Headers],0),FALSE)</f>
        <v>#N/A</v>
      </c>
      <c r="F165" s="1" t="e">
        <f>VLOOKUP(Table1[[#This Row],[DEVELOPMENT]],Data[],MATCH(Table1[[#Headers],[RAD/PACT]],Data[#Headers],0),FALSE)</f>
        <v>#N/A</v>
      </c>
      <c r="G165" s="9" t="s">
        <v>106</v>
      </c>
      <c r="H165" s="12"/>
      <c r="I165" s="8"/>
      <c r="J165" s="8"/>
      <c r="K165" s="3"/>
      <c r="L165" s="76"/>
      <c r="M165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65" s="73"/>
      <c r="O165" s="2"/>
      <c r="P165" s="2"/>
      <c r="Q165" s="11"/>
      <c r="R16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65" s="9"/>
      <c r="T165" s="16"/>
    </row>
    <row r="166" spans="1:20">
      <c r="A166" s="13" t="str">
        <f>VLOOKUP(C166,Data[],2,FALSE)</f>
        <v>MANHATTAN</v>
      </c>
      <c r="B166" s="1"/>
      <c r="C166" s="1" t="s">
        <v>126</v>
      </c>
      <c r="D166" s="1" t="str">
        <f>VLOOKUP(Table1[[#This Row],[DEVELOPMENT]],Data[],MATCH(Table1[[#Headers],[NRR]],Data[#Headers],0),FALSE)</f>
        <v>Zone 2</v>
      </c>
      <c r="E166" s="1" t="e">
        <f>VLOOKUP(Table1[[#This Row],[DEVELOPMENT]],Data[],MATCH(Table1[[#Headers],[Priority Level]],Data[#Headers],0),FALSE)</f>
        <v>#N/A</v>
      </c>
      <c r="F166" s="1" t="e">
        <f>VLOOKUP(Table1[[#This Row],[DEVELOPMENT]],Data[],MATCH(Table1[[#Headers],[RAD/PACT]],Data[#Headers],0),FALSE)</f>
        <v>#N/A</v>
      </c>
      <c r="G166" s="9" t="s">
        <v>106</v>
      </c>
      <c r="H166" s="12"/>
      <c r="I166" s="8"/>
      <c r="J166" s="8"/>
      <c r="K166" s="3"/>
      <c r="L166" s="76"/>
      <c r="M166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66" s="73"/>
      <c r="O166" s="2"/>
      <c r="P166" s="2"/>
      <c r="Q166" s="11"/>
      <c r="R16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66" s="9"/>
      <c r="T166" s="16"/>
    </row>
    <row r="167" spans="1:20">
      <c r="A167" s="13" t="str">
        <f>VLOOKUP(C167,Data[],2,FALSE)</f>
        <v>MANHATTAN</v>
      </c>
      <c r="B167" s="1"/>
      <c r="C167" s="1" t="s">
        <v>100</v>
      </c>
      <c r="D167" s="1" t="str">
        <f>VLOOKUP(Table1[[#This Row],[DEVELOPMENT]],Data[],MATCH(Table1[[#Headers],[NRR]],Data[#Headers],0),FALSE)</f>
        <v>Zone 2</v>
      </c>
      <c r="E167" s="1" t="e">
        <f>VLOOKUP(Table1[[#This Row],[DEVELOPMENT]],Data[],MATCH(Table1[[#Headers],[Priority Level]],Data[#Headers],0),FALSE)</f>
        <v>#N/A</v>
      </c>
      <c r="F167" s="1" t="e">
        <f>VLOOKUP(Table1[[#This Row],[DEVELOPMENT]],Data[],MATCH(Table1[[#Headers],[RAD/PACT]],Data[#Headers],0),FALSE)</f>
        <v>#N/A</v>
      </c>
      <c r="G167" s="9" t="s">
        <v>106</v>
      </c>
      <c r="H167" s="12"/>
      <c r="I167" s="8"/>
      <c r="J167" s="8"/>
      <c r="K167" s="3"/>
      <c r="L167" s="76"/>
      <c r="M167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67" s="73"/>
      <c r="O167" s="2"/>
      <c r="P167" s="2"/>
      <c r="Q167" s="11"/>
      <c r="R16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67" s="9"/>
      <c r="T167" s="16"/>
    </row>
    <row r="168" spans="1:20">
      <c r="A168" s="13" t="str">
        <f>VLOOKUP(C168,Data[],2,FALSE)</f>
        <v>MANHATTAN</v>
      </c>
      <c r="B168" s="1"/>
      <c r="C168" s="1" t="s">
        <v>70</v>
      </c>
      <c r="D168" s="1" t="str">
        <f>VLOOKUP(Table1[[#This Row],[DEVELOPMENT]],Data[],MATCH(Table1[[#Headers],[NRR]],Data[#Headers],0),FALSE)</f>
        <v>Zone 3</v>
      </c>
      <c r="E168" s="1" t="e">
        <f>VLOOKUP(Table1[[#This Row],[DEVELOPMENT]],Data[],MATCH(Table1[[#Headers],[Priority Level]],Data[#Headers],0),FALSE)</f>
        <v>#N/A</v>
      </c>
      <c r="F168" s="1" t="e">
        <f>VLOOKUP(Table1[[#This Row],[DEVELOPMENT]],Data[],MATCH(Table1[[#Headers],[RAD/PACT]],Data[#Headers],0),FALSE)</f>
        <v>#N/A</v>
      </c>
      <c r="G168" s="1" t="s">
        <v>106</v>
      </c>
      <c r="H168" s="7"/>
      <c r="I168" s="8"/>
      <c r="J168" s="8"/>
      <c r="K168" s="3"/>
      <c r="L168" s="76"/>
      <c r="M168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68" s="73"/>
      <c r="O168" s="2"/>
      <c r="P168" s="2"/>
      <c r="Q168" s="11"/>
      <c r="R16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68" s="9"/>
      <c r="T168" s="16"/>
    </row>
    <row r="169" spans="1:20">
      <c r="A169" s="13" t="str">
        <f>VLOOKUP(C169,Data[],2,FALSE)</f>
        <v>BROOKLYN</v>
      </c>
      <c r="B169" s="1"/>
      <c r="C169" s="1" t="s">
        <v>119</v>
      </c>
      <c r="D169" s="1" t="str">
        <f>VLOOKUP(Table1[[#This Row],[DEVELOPMENT]],Data[],MATCH(Table1[[#Headers],[NRR]],Data[#Headers],0),FALSE)</f>
        <v>Zone 3</v>
      </c>
      <c r="E169" s="1" t="e">
        <f>VLOOKUP(Table1[[#This Row],[DEVELOPMENT]],Data[],MATCH(Table1[[#Headers],[Priority Level]],Data[#Headers],0),FALSE)</f>
        <v>#N/A</v>
      </c>
      <c r="F169" s="1" t="e">
        <f>VLOOKUP(Table1[[#This Row],[DEVELOPMENT]],Data[],MATCH(Table1[[#Headers],[RAD/PACT]],Data[#Headers],0),FALSE)</f>
        <v>#N/A</v>
      </c>
      <c r="G169" s="1" t="s">
        <v>106</v>
      </c>
      <c r="H169" s="7"/>
      <c r="I169" s="8"/>
      <c r="J169" s="8"/>
      <c r="K169" s="3"/>
      <c r="L169" s="76"/>
      <c r="M169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69" s="73"/>
      <c r="O169" s="2"/>
      <c r="P169" s="2"/>
      <c r="Q169" s="11"/>
      <c r="R16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69" s="9"/>
      <c r="T169" s="16"/>
    </row>
    <row r="170" spans="1:20">
      <c r="A170" s="13" t="str">
        <f>VLOOKUP(C170,Data[],2,FALSE)</f>
        <v>BROOKLYN</v>
      </c>
      <c r="B170" s="1"/>
      <c r="C170" s="1" t="s">
        <v>72</v>
      </c>
      <c r="D170" s="1" t="str">
        <f>VLOOKUP(Table1[[#This Row],[DEVELOPMENT]],Data[],MATCH(Table1[[#Headers],[NRR]],Data[#Headers],0),FALSE)</f>
        <v>Zone 3</v>
      </c>
      <c r="E170" s="1" t="e">
        <f>VLOOKUP(Table1[[#This Row],[DEVELOPMENT]],Data[],MATCH(Table1[[#Headers],[Priority Level]],Data[#Headers],0),FALSE)</f>
        <v>#N/A</v>
      </c>
      <c r="F170" s="1" t="e">
        <f>VLOOKUP(Table1[[#This Row],[DEVELOPMENT]],Data[],MATCH(Table1[[#Headers],[RAD/PACT]],Data[#Headers],0),FALSE)</f>
        <v>#N/A</v>
      </c>
      <c r="G170" s="1" t="s">
        <v>106</v>
      </c>
      <c r="H170" s="7"/>
      <c r="I170" s="8"/>
      <c r="J170" s="8"/>
      <c r="K170" s="3"/>
      <c r="L170" s="76"/>
      <c r="M170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70" s="73"/>
      <c r="O170" s="2"/>
      <c r="P170" s="2"/>
      <c r="Q170" s="11"/>
      <c r="R17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70" s="9"/>
      <c r="T170" s="16"/>
    </row>
    <row r="171" spans="1:20">
      <c r="A171" s="13" t="str">
        <f>VLOOKUP(C171,Data[],2,FALSE)</f>
        <v>MANHATTAN</v>
      </c>
      <c r="B171" s="1"/>
      <c r="C171" s="1" t="s">
        <v>79</v>
      </c>
      <c r="D171" s="1" t="str">
        <f>VLOOKUP(Table1[[#This Row],[DEVELOPMENT]],Data[],MATCH(Table1[[#Headers],[NRR]],Data[#Headers],0),FALSE)</f>
        <v>Zone 3</v>
      </c>
      <c r="E171" s="1" t="e">
        <f>VLOOKUP(Table1[[#This Row],[DEVELOPMENT]],Data[],MATCH(Table1[[#Headers],[Priority Level]],Data[#Headers],0),FALSE)</f>
        <v>#N/A</v>
      </c>
      <c r="F171" s="1" t="e">
        <f>VLOOKUP(Table1[[#This Row],[DEVELOPMENT]],Data[],MATCH(Table1[[#Headers],[RAD/PACT]],Data[#Headers],0),FALSE)</f>
        <v>#N/A</v>
      </c>
      <c r="G171" s="1" t="s">
        <v>106</v>
      </c>
      <c r="H171" s="7"/>
      <c r="I171" s="8"/>
      <c r="J171" s="8"/>
      <c r="K171" s="3"/>
      <c r="L171" s="76"/>
      <c r="M171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71" s="73"/>
      <c r="O171" s="2"/>
      <c r="P171" s="2"/>
      <c r="Q171" s="11"/>
      <c r="R17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71" s="9"/>
      <c r="T171" s="16"/>
    </row>
    <row r="172" spans="1:20">
      <c r="A172" s="13" t="str">
        <f>VLOOKUP(C172,Data[],2,FALSE)</f>
        <v>MANHATTAN</v>
      </c>
      <c r="B172" s="1"/>
      <c r="C172" s="1" t="s">
        <v>125</v>
      </c>
      <c r="D172" s="1" t="str">
        <f>VLOOKUP(Table1[[#This Row],[DEVELOPMENT]],Data[],MATCH(Table1[[#Headers],[NRR]],Data[#Headers],0),FALSE)</f>
        <v>Zone 2</v>
      </c>
      <c r="E172" s="1" t="e">
        <f>VLOOKUP(Table1[[#This Row],[DEVELOPMENT]],Data[],MATCH(Table1[[#Headers],[Priority Level]],Data[#Headers],0),FALSE)</f>
        <v>#N/A</v>
      </c>
      <c r="F172" s="1" t="e">
        <f>VLOOKUP(Table1[[#This Row],[DEVELOPMENT]],Data[],MATCH(Table1[[#Headers],[RAD/PACT]],Data[#Headers],0),FALSE)</f>
        <v>#N/A</v>
      </c>
      <c r="G172" s="9" t="s">
        <v>106</v>
      </c>
      <c r="H172" s="12"/>
      <c r="I172" s="8"/>
      <c r="J172" s="8"/>
      <c r="K172" s="3"/>
      <c r="L172" s="76"/>
      <c r="M172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72" s="73"/>
      <c r="O172" s="2"/>
      <c r="P172" s="2"/>
      <c r="Q172" s="11"/>
      <c r="R17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72" s="9"/>
      <c r="T172" s="16"/>
    </row>
    <row r="173" spans="1:20">
      <c r="A173" s="13" t="str">
        <f>VLOOKUP(C173,Data[],2,FALSE)</f>
        <v>MANHATTAN</v>
      </c>
      <c r="B173" s="1"/>
      <c r="C173" s="1" t="s">
        <v>122</v>
      </c>
      <c r="D173" s="1" t="str">
        <f>VLOOKUP(Table1[[#This Row],[DEVELOPMENT]],Data[],MATCH(Table1[[#Headers],[NRR]],Data[#Headers],0),FALSE)</f>
        <v>Zone 2</v>
      </c>
      <c r="E173" s="1" t="e">
        <f>VLOOKUP(Table1[[#This Row],[DEVELOPMENT]],Data[],MATCH(Table1[[#Headers],[Priority Level]],Data[#Headers],0),FALSE)</f>
        <v>#N/A</v>
      </c>
      <c r="F173" s="1" t="e">
        <f>VLOOKUP(Table1[[#This Row],[DEVELOPMENT]],Data[],MATCH(Table1[[#Headers],[RAD/PACT]],Data[#Headers],0),FALSE)</f>
        <v>#N/A</v>
      </c>
      <c r="G173" s="9" t="s">
        <v>106</v>
      </c>
      <c r="H173" s="12"/>
      <c r="I173" s="8"/>
      <c r="J173" s="8"/>
      <c r="K173" s="3"/>
      <c r="L173" s="76"/>
      <c r="M173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73" s="73"/>
      <c r="O173" s="2"/>
      <c r="P173" s="2"/>
      <c r="Q173" s="11"/>
      <c r="R17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73" s="9"/>
      <c r="T173" s="16"/>
    </row>
    <row r="174" spans="1:20">
      <c r="A174" s="13" t="str">
        <f>VLOOKUP(C174,Data[],2,FALSE)</f>
        <v>MANHATTAN</v>
      </c>
      <c r="B174" s="1"/>
      <c r="C174" s="1" t="s">
        <v>89</v>
      </c>
      <c r="D174" s="1" t="str">
        <f>VLOOKUP(Table1[[#This Row],[DEVELOPMENT]],Data[],MATCH(Table1[[#Headers],[NRR]],Data[#Headers],0),FALSE)</f>
        <v>Zone 3</v>
      </c>
      <c r="E174" s="1" t="e">
        <f>VLOOKUP(Table1[[#This Row],[DEVELOPMENT]],Data[],MATCH(Table1[[#Headers],[Priority Level]],Data[#Headers],0),FALSE)</f>
        <v>#N/A</v>
      </c>
      <c r="F174" s="1" t="e">
        <f>VLOOKUP(Table1[[#This Row],[DEVELOPMENT]],Data[],MATCH(Table1[[#Headers],[RAD/PACT]],Data[#Headers],0),FALSE)</f>
        <v>#N/A</v>
      </c>
      <c r="G174" s="1" t="s">
        <v>106</v>
      </c>
      <c r="H174" s="7"/>
      <c r="I174" s="8"/>
      <c r="J174" s="8"/>
      <c r="K174" s="3"/>
      <c r="L174" s="76"/>
      <c r="M174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74" s="73"/>
      <c r="O174" s="2"/>
      <c r="P174" s="2"/>
      <c r="Q174" s="11"/>
      <c r="R17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74" s="9"/>
      <c r="T174" s="16"/>
    </row>
    <row r="175" spans="1:20">
      <c r="A175" s="13" t="str">
        <f>VLOOKUP(C175,Data[],2,FALSE)</f>
        <v>MANHATTAN</v>
      </c>
      <c r="B175" s="1"/>
      <c r="C175" s="1" t="s">
        <v>137</v>
      </c>
      <c r="D175" s="1" t="str">
        <f>VLOOKUP(Table1[[#This Row],[DEVELOPMENT]],Data[],MATCH(Table1[[#Headers],[NRR]],Data[#Headers],0),FALSE)</f>
        <v>Zone 2</v>
      </c>
      <c r="E175" s="1" t="e">
        <f>VLOOKUP(Table1[[#This Row],[DEVELOPMENT]],Data[],MATCH(Table1[[#Headers],[Priority Level]],Data[#Headers],0),FALSE)</f>
        <v>#N/A</v>
      </c>
      <c r="F175" s="1" t="e">
        <f>VLOOKUP(Table1[[#This Row],[DEVELOPMENT]],Data[],MATCH(Table1[[#Headers],[RAD/PACT]],Data[#Headers],0),FALSE)</f>
        <v>#N/A</v>
      </c>
      <c r="G175" s="9" t="s">
        <v>106</v>
      </c>
      <c r="H175" s="12"/>
      <c r="I175" s="8"/>
      <c r="J175" s="8"/>
      <c r="K175" s="3"/>
      <c r="L175" s="76"/>
      <c r="M175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75" s="73"/>
      <c r="O175" s="2"/>
      <c r="P175" s="2"/>
      <c r="Q175" s="11"/>
      <c r="R17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75" s="9"/>
      <c r="T175" s="16"/>
    </row>
    <row r="176" spans="1:20">
      <c r="A176" s="13" t="str">
        <f>VLOOKUP(C176,Data[],2,FALSE)</f>
        <v>MANHATTAN</v>
      </c>
      <c r="B176" s="1"/>
      <c r="C176" s="1" t="s">
        <v>78</v>
      </c>
      <c r="D176" s="1" t="str">
        <f>VLOOKUP(Table1[[#This Row],[DEVELOPMENT]],Data[],MATCH(Table1[[#Headers],[NRR]],Data[#Headers],0),FALSE)</f>
        <v>Zone 2</v>
      </c>
      <c r="E176" s="1" t="e">
        <f>VLOOKUP(Table1[[#This Row],[DEVELOPMENT]],Data[],MATCH(Table1[[#Headers],[Priority Level]],Data[#Headers],0),FALSE)</f>
        <v>#N/A</v>
      </c>
      <c r="F176" s="1" t="e">
        <f>VLOOKUP(Table1[[#This Row],[DEVELOPMENT]],Data[],MATCH(Table1[[#Headers],[RAD/PACT]],Data[#Headers],0),FALSE)</f>
        <v>#N/A</v>
      </c>
      <c r="G176" s="9" t="s">
        <v>106</v>
      </c>
      <c r="H176" s="7"/>
      <c r="I176" s="8"/>
      <c r="J176" s="8"/>
      <c r="K176" s="3"/>
      <c r="L176" s="76"/>
      <c r="M176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76" s="73"/>
      <c r="O176" s="2"/>
      <c r="P176" s="2"/>
      <c r="Q176" s="11"/>
      <c r="R17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76" s="9"/>
      <c r="T176" s="16"/>
    </row>
    <row r="177" spans="1:20">
      <c r="A177" s="13" t="str">
        <f>VLOOKUP(C177,Data[],2,FALSE)</f>
        <v>MANHATTAN</v>
      </c>
      <c r="B177" s="1"/>
      <c r="C177" s="1" t="s">
        <v>81</v>
      </c>
      <c r="D177" s="1" t="str">
        <f>VLOOKUP(Table1[[#This Row],[DEVELOPMENT]],Data[],MATCH(Table1[[#Headers],[NRR]],Data[#Headers],0),FALSE)</f>
        <v>Zone 2</v>
      </c>
      <c r="E177" s="1" t="e">
        <f>VLOOKUP(Table1[[#This Row],[DEVELOPMENT]],Data[],MATCH(Table1[[#Headers],[Priority Level]],Data[#Headers],0),FALSE)</f>
        <v>#N/A</v>
      </c>
      <c r="F177" s="1" t="e">
        <f>VLOOKUP(Table1[[#This Row],[DEVELOPMENT]],Data[],MATCH(Table1[[#Headers],[RAD/PACT]],Data[#Headers],0),FALSE)</f>
        <v>#N/A</v>
      </c>
      <c r="G177" s="9" t="s">
        <v>106</v>
      </c>
      <c r="H177" s="7"/>
      <c r="I177" s="8"/>
      <c r="J177" s="8"/>
      <c r="K177" s="3"/>
      <c r="L177" s="76"/>
      <c r="M177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77" s="73"/>
      <c r="O177" s="2"/>
      <c r="P177" s="2"/>
      <c r="Q177" s="11"/>
      <c r="R17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77" s="9"/>
      <c r="T177" s="16"/>
    </row>
    <row r="178" spans="1:20">
      <c r="A178" s="13" t="str">
        <f>VLOOKUP(C178,Data[],2,FALSE)</f>
        <v>BRONX</v>
      </c>
      <c r="B178" s="1"/>
      <c r="C178" s="1" t="s">
        <v>132</v>
      </c>
      <c r="D178" s="1" t="str">
        <f>VLOOKUP(Table1[[#This Row],[DEVELOPMENT]],Data[],MATCH(Table1[[#Headers],[NRR]],Data[#Headers],0),FALSE)</f>
        <v>Zone 3</v>
      </c>
      <c r="E178" s="1" t="e">
        <f>VLOOKUP(Table1[[#This Row],[DEVELOPMENT]],Data[],MATCH(Table1[[#Headers],[Priority Level]],Data[#Headers],0),FALSE)</f>
        <v>#N/A</v>
      </c>
      <c r="F178" s="1" t="e">
        <f>VLOOKUP(Table1[[#This Row],[DEVELOPMENT]],Data[],MATCH(Table1[[#Headers],[RAD/PACT]],Data[#Headers],0),FALSE)</f>
        <v>#N/A</v>
      </c>
      <c r="G178" s="1" t="s">
        <v>106</v>
      </c>
      <c r="H178" s="7"/>
      <c r="I178" s="8"/>
      <c r="J178" s="8"/>
      <c r="K178" s="3"/>
      <c r="L178" s="76"/>
      <c r="M178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>Yes</v>
      </c>
      <c r="N178" s="73"/>
      <c r="O178" s="2"/>
      <c r="P178" s="2"/>
      <c r="Q178" s="11"/>
      <c r="R17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78" s="9"/>
      <c r="T178" s="16"/>
    </row>
    <row r="179" spans="1:20">
      <c r="A179" s="13" t="str">
        <f>VLOOKUP(C179,Data[],2,FALSE)</f>
        <v>BRONX</v>
      </c>
      <c r="B179" s="9" t="s">
        <v>25</v>
      </c>
      <c r="C179" s="9" t="s">
        <v>47</v>
      </c>
      <c r="D179" s="1" t="str">
        <f>VLOOKUP(Table1[[#This Row],[DEVELOPMENT]],Data[],MATCH(Table1[[#Headers],[NRR]],Data[#Headers],0),FALSE)</f>
        <v>Zone 1</v>
      </c>
      <c r="E179" s="1" t="e">
        <f>VLOOKUP(Table1[[#This Row],[DEVELOPMENT]],Data[],MATCH(Table1[[#Headers],[Priority Level]],Data[#Headers],0),FALSE)</f>
        <v>#N/A</v>
      </c>
      <c r="F179" s="1" t="e">
        <f>VLOOKUP(Table1[[#This Row],[DEVELOPMENT]],Data[],MATCH(Table1[[#Headers],[RAD/PACT]],Data[#Headers],0),FALSE)</f>
        <v>#N/A</v>
      </c>
      <c r="G179" s="9" t="s">
        <v>106</v>
      </c>
      <c r="H179" s="12" t="s">
        <v>85</v>
      </c>
      <c r="I179" s="10"/>
      <c r="J179" s="10">
        <f>K179</f>
        <v>370955</v>
      </c>
      <c r="K179" s="11">
        <v>370955</v>
      </c>
      <c r="L179" s="73">
        <v>2019</v>
      </c>
      <c r="M179" s="75" t="str">
        <f ca="1"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79" s="75"/>
      <c r="O179" s="2" t="s">
        <v>53</v>
      </c>
      <c r="P179" s="2"/>
      <c r="Q179" s="3"/>
      <c r="R17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79" s="1"/>
      <c r="T179" s="16"/>
    </row>
    <row r="180" spans="1:20">
      <c r="A180" s="13" t="str">
        <f>VLOOKUP(C180,Data[],2,FALSE)</f>
        <v>BROOKLYN</v>
      </c>
      <c r="B180" s="9" t="s">
        <v>25</v>
      </c>
      <c r="C180" s="9" t="s">
        <v>139</v>
      </c>
      <c r="D180" s="1" t="str">
        <f>VLOOKUP(Table1[[#This Row],[DEVELOPMENT]],Data[],MATCH(Table1[[#Headers],[NRR]],Data[#Headers],0),FALSE)</f>
        <v>Zone 1</v>
      </c>
      <c r="E180" s="1" t="e">
        <f>VLOOKUP(Table1[[#This Row],[DEVELOPMENT]],Data[],MATCH(Table1[[#Headers],[Priority Level]],Data[#Headers],0),FALSE)</f>
        <v>#N/A</v>
      </c>
      <c r="F180" s="1" t="e">
        <f>VLOOKUP(Table1[[#This Row],[DEVELOPMENT]],Data[],MATCH(Table1[[#Headers],[RAD/PACT]],Data[#Headers],0),FALSE)</f>
        <v>#N/A</v>
      </c>
      <c r="G180" s="9" t="s">
        <v>49</v>
      </c>
      <c r="H180" s="12" t="s">
        <v>33</v>
      </c>
      <c r="I180" s="10"/>
      <c r="J180" s="10">
        <f>K180</f>
        <v>137417.5</v>
      </c>
      <c r="K180" s="11">
        <v>137417.5</v>
      </c>
      <c r="L180" s="74">
        <v>2019</v>
      </c>
      <c r="M180" s="75" t="str">
        <f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80" s="75"/>
      <c r="O180" s="2" t="s">
        <v>53</v>
      </c>
      <c r="P180" s="2"/>
      <c r="Q180" s="3"/>
      <c r="R18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80" s="1"/>
      <c r="T180" s="16"/>
    </row>
    <row r="181" spans="1:20">
      <c r="A181" s="13" t="str">
        <f>VLOOKUP(C181,Data[],2,FALSE)</f>
        <v>BROOKLYN</v>
      </c>
      <c r="B181" s="9" t="s">
        <v>25</v>
      </c>
      <c r="C181" s="9" t="s">
        <v>37</v>
      </c>
      <c r="D181" s="1" t="str">
        <f>VLOOKUP(Table1[[#This Row],[DEVELOPMENT]],Data[],MATCH(Table1[[#Headers],[NRR]],Data[#Headers],0),FALSE)</f>
        <v>Zone 1</v>
      </c>
      <c r="E181" s="1" t="e">
        <f>VLOOKUP(Table1[[#This Row],[DEVELOPMENT]],Data[],MATCH(Table1[[#Headers],[Priority Level]],Data[#Headers],0),FALSE)</f>
        <v>#N/A</v>
      </c>
      <c r="F181" s="1" t="e">
        <f>VLOOKUP(Table1[[#This Row],[DEVELOPMENT]],Data[],MATCH(Table1[[#Headers],[RAD/PACT]],Data[#Headers],0),FALSE)</f>
        <v>#N/A</v>
      </c>
      <c r="G181" s="9" t="s">
        <v>49</v>
      </c>
      <c r="H181" s="12" t="s">
        <v>33</v>
      </c>
      <c r="I181" s="10"/>
      <c r="J181" s="10">
        <f>K181</f>
        <v>632251.84219999996</v>
      </c>
      <c r="K181" s="11">
        <v>632251.84219999996</v>
      </c>
      <c r="L181" s="74">
        <v>2019</v>
      </c>
      <c r="M181" s="75" t="str">
        <f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81" s="75"/>
      <c r="O181" s="2" t="s">
        <v>53</v>
      </c>
      <c r="P181" s="2"/>
      <c r="Q181" s="3"/>
      <c r="R18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81" s="1"/>
      <c r="T181" s="16"/>
    </row>
    <row r="182" spans="1:20">
      <c r="A182" s="13" t="str">
        <f>VLOOKUP(C182,Data[],2,FALSE)</f>
        <v>BROOKLYN</v>
      </c>
      <c r="B182" s="9" t="s">
        <v>25</v>
      </c>
      <c r="C182" s="9" t="s">
        <v>38</v>
      </c>
      <c r="D182" s="1" t="str">
        <f>VLOOKUP(Table1[[#This Row],[DEVELOPMENT]],Data[],MATCH(Table1[[#Headers],[NRR]],Data[#Headers],0),FALSE)</f>
        <v>Zone 1</v>
      </c>
      <c r="E182" s="1" t="e">
        <f>VLOOKUP(Table1[[#This Row],[DEVELOPMENT]],Data[],MATCH(Table1[[#Headers],[Priority Level]],Data[#Headers],0),FALSE)</f>
        <v>#N/A</v>
      </c>
      <c r="F182" s="1" t="e">
        <f>VLOOKUP(Table1[[#This Row],[DEVELOPMENT]],Data[],MATCH(Table1[[#Headers],[RAD/PACT]],Data[#Headers],0),FALSE)</f>
        <v>#N/A</v>
      </c>
      <c r="G182" s="9" t="s">
        <v>49</v>
      </c>
      <c r="H182" s="12" t="s">
        <v>28</v>
      </c>
      <c r="I182" s="10">
        <f>K182</f>
        <v>1160763.6500000001</v>
      </c>
      <c r="J182" s="10"/>
      <c r="K182" s="11">
        <v>1160763.6500000001</v>
      </c>
      <c r="L182" s="74">
        <v>2019</v>
      </c>
      <c r="M182" s="75" t="str">
        <f>IF(Table1[[#This Row],[WORK TYPE]]="Exterior Compactors",VLOOKUP(Table1[[#This Row],[DEVELOPMENT]],ExtComp[],12,FALSE),IF(Table1[[#This Row],[WORK TYPE]]="Interior Compactors",VLOOKUP(Table1[[#This Row],[DEVELOPMENT]],IntComp[],12,FALSE),""))</f>
        <v/>
      </c>
      <c r="N182" s="75"/>
      <c r="O182" s="2" t="s">
        <v>53</v>
      </c>
      <c r="P182" s="2"/>
      <c r="Q182" s="3"/>
      <c r="R18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82" s="1"/>
      <c r="T182" s="16"/>
    </row>
    <row r="183" spans="1:20">
      <c r="A183" s="13" t="str">
        <f>VLOOKUP(C183,Data[],2,FALSE)</f>
        <v>MANHATTAN</v>
      </c>
      <c r="B183" s="1"/>
      <c r="C183" s="1" t="s">
        <v>120</v>
      </c>
      <c r="D183" s="1" t="str">
        <f>VLOOKUP(Table1[[#This Row],[DEVELOPMENT]],Data[],MATCH(Table1[[#Headers],[NRR]],Data[#Headers],0),FALSE)</f>
        <v>Zone 2</v>
      </c>
      <c r="E183" s="1" t="e">
        <f>VLOOKUP(Table1[[#This Row],[DEVELOPMENT]],Data[],MATCH(Table1[[#Headers],[Priority Level]],Data[#Headers],0),FALSE)</f>
        <v>#N/A</v>
      </c>
      <c r="F183" s="1" t="e">
        <f>VLOOKUP(Table1[[#This Row],[DEVELOPMENT]],Data[],MATCH(Table1[[#Headers],[RAD/PACT]],Data[#Headers],0),FALSE)</f>
        <v>#N/A</v>
      </c>
      <c r="G183" s="1" t="s">
        <v>109</v>
      </c>
      <c r="H183" s="7"/>
      <c r="I183" s="8"/>
      <c r="J183" s="8"/>
      <c r="K183" s="3"/>
      <c r="L183" s="76"/>
      <c r="M183" s="73"/>
      <c r="N183" s="73"/>
      <c r="O183" s="2"/>
      <c r="P183" s="2"/>
      <c r="Q183" s="11"/>
      <c r="R18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83" s="9"/>
      <c r="T183" s="16"/>
    </row>
    <row r="184" spans="1:20">
      <c r="A184" s="13" t="str">
        <f>VLOOKUP(C184,Data[],2,FALSE)</f>
        <v>MANHATTAN</v>
      </c>
      <c r="B184" s="1"/>
      <c r="C184" s="1" t="s">
        <v>129</v>
      </c>
      <c r="D184" s="1" t="str">
        <f>VLOOKUP(Table1[[#This Row],[DEVELOPMENT]],Data[],MATCH(Table1[[#Headers],[NRR]],Data[#Headers],0),FALSE)</f>
        <v>Zone 2</v>
      </c>
      <c r="E184" s="1" t="e">
        <f>VLOOKUP(Table1[[#This Row],[DEVELOPMENT]],Data[],MATCH(Table1[[#Headers],[Priority Level]],Data[#Headers],0),FALSE)</f>
        <v>#N/A</v>
      </c>
      <c r="F184" s="1" t="e">
        <f>VLOOKUP(Table1[[#This Row],[DEVELOPMENT]],Data[],MATCH(Table1[[#Headers],[RAD/PACT]],Data[#Headers],0),FALSE)</f>
        <v>#N/A</v>
      </c>
      <c r="G184" s="1" t="s">
        <v>109</v>
      </c>
      <c r="H184" s="7"/>
      <c r="I184" s="8"/>
      <c r="J184" s="8"/>
      <c r="K184" s="3"/>
      <c r="L184" s="76"/>
      <c r="M184" s="73"/>
      <c r="N184" s="73"/>
      <c r="O184" s="2"/>
      <c r="P184" s="2"/>
      <c r="Q184" s="11"/>
      <c r="R18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84" s="9"/>
      <c r="T184" s="16"/>
    </row>
    <row r="185" spans="1:20">
      <c r="A185" s="13" t="str">
        <f>VLOOKUP(C185,Data[],2,FALSE)</f>
        <v>MANHATTAN</v>
      </c>
      <c r="B185" s="1"/>
      <c r="C185" s="1" t="s">
        <v>77</v>
      </c>
      <c r="D185" s="1" t="str">
        <f>VLOOKUP(Table1[[#This Row],[DEVELOPMENT]],Data[],MATCH(Table1[[#Headers],[NRR]],Data[#Headers],0),FALSE)</f>
        <v>Zone 2</v>
      </c>
      <c r="E185" s="1" t="e">
        <f>VLOOKUP(Table1[[#This Row],[DEVELOPMENT]],Data[],MATCH(Table1[[#Headers],[Priority Level]],Data[#Headers],0),FALSE)</f>
        <v>#N/A</v>
      </c>
      <c r="F185" s="1" t="e">
        <f>VLOOKUP(Table1[[#This Row],[DEVELOPMENT]],Data[],MATCH(Table1[[#Headers],[RAD/PACT]],Data[#Headers],0),FALSE)</f>
        <v>#N/A</v>
      </c>
      <c r="G185" s="1" t="s">
        <v>109</v>
      </c>
      <c r="H185" s="7"/>
      <c r="I185" s="8"/>
      <c r="J185" s="8"/>
      <c r="K185" s="3"/>
      <c r="L185" s="76"/>
      <c r="M185" s="73"/>
      <c r="N185" s="73"/>
      <c r="O185" s="2"/>
      <c r="P185" s="2"/>
      <c r="Q185" s="11"/>
      <c r="R18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85" s="9"/>
      <c r="T185" s="16"/>
    </row>
    <row r="186" spans="1:20">
      <c r="A186" s="13" t="str">
        <f>VLOOKUP(C186,Data[],2,FALSE)</f>
        <v>MANHATTAN</v>
      </c>
      <c r="B186" s="1"/>
      <c r="C186" s="1" t="s">
        <v>78</v>
      </c>
      <c r="D186" s="1" t="str">
        <f>VLOOKUP(Table1[[#This Row],[DEVELOPMENT]],Data[],MATCH(Table1[[#Headers],[NRR]],Data[#Headers],0),FALSE)</f>
        <v>Zone 2</v>
      </c>
      <c r="E186" s="1" t="e">
        <f>VLOOKUP(Table1[[#This Row],[DEVELOPMENT]],Data[],MATCH(Table1[[#Headers],[Priority Level]],Data[#Headers],0),FALSE)</f>
        <v>#N/A</v>
      </c>
      <c r="F186" s="1" t="e">
        <f>VLOOKUP(Table1[[#This Row],[DEVELOPMENT]],Data[],MATCH(Table1[[#Headers],[RAD/PACT]],Data[#Headers],0),FALSE)</f>
        <v>#N/A</v>
      </c>
      <c r="G186" s="1" t="s">
        <v>109</v>
      </c>
      <c r="H186" s="7"/>
      <c r="I186" s="8"/>
      <c r="J186" s="8"/>
      <c r="K186" s="3"/>
      <c r="L186" s="76"/>
      <c r="M186" s="73"/>
      <c r="N186" s="73"/>
      <c r="O186" s="2"/>
      <c r="P186" s="2"/>
      <c r="Q186" s="11"/>
      <c r="R18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86" s="9"/>
      <c r="T186" s="16"/>
    </row>
    <row r="187" spans="1:20">
      <c r="A187" s="13" t="str">
        <f>VLOOKUP(C187,Data[],2,FALSE)</f>
        <v>MANHATTAN</v>
      </c>
      <c r="B187" s="1"/>
      <c r="C187" s="1" t="s">
        <v>81</v>
      </c>
      <c r="D187" s="1" t="str">
        <f>VLOOKUP(Table1[[#This Row],[DEVELOPMENT]],Data[],MATCH(Table1[[#Headers],[NRR]],Data[#Headers],0),FALSE)</f>
        <v>Zone 2</v>
      </c>
      <c r="E187" s="1" t="e">
        <f>VLOOKUP(Table1[[#This Row],[DEVELOPMENT]],Data[],MATCH(Table1[[#Headers],[Priority Level]],Data[#Headers],0),FALSE)</f>
        <v>#N/A</v>
      </c>
      <c r="F187" s="1" t="e">
        <f>VLOOKUP(Table1[[#This Row],[DEVELOPMENT]],Data[],MATCH(Table1[[#Headers],[RAD/PACT]],Data[#Headers],0),FALSE)</f>
        <v>#N/A</v>
      </c>
      <c r="G187" s="1" t="s">
        <v>109</v>
      </c>
      <c r="H187" s="7"/>
      <c r="I187" s="8"/>
      <c r="J187" s="8"/>
      <c r="K187" s="3"/>
      <c r="L187" s="76"/>
      <c r="M187" s="73"/>
      <c r="N187" s="73"/>
      <c r="O187" s="2"/>
      <c r="P187" s="2"/>
      <c r="Q187" s="11"/>
      <c r="R18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87" s="9"/>
      <c r="T187" s="16"/>
    </row>
    <row r="188" spans="1:20">
      <c r="A188" s="13" t="str">
        <f>VLOOKUP(C188,Data[],2,FALSE)</f>
        <v>MANHATTAN</v>
      </c>
      <c r="B188" s="1"/>
      <c r="C188" s="1" t="s">
        <v>112</v>
      </c>
      <c r="D188" s="1" t="str">
        <f>VLOOKUP(Table1[[#This Row],[DEVELOPMENT]],Data[],MATCH(Table1[[#Headers],[NRR]],Data[#Headers],0),FALSE)</f>
        <v>Zone 2</v>
      </c>
      <c r="E188" s="1" t="e">
        <f>VLOOKUP(Table1[[#This Row],[DEVELOPMENT]],Data[],MATCH(Table1[[#Headers],[Priority Level]],Data[#Headers],0),FALSE)</f>
        <v>#N/A</v>
      </c>
      <c r="F188" s="1" t="e">
        <f>VLOOKUP(Table1[[#This Row],[DEVELOPMENT]],Data[],MATCH(Table1[[#Headers],[RAD/PACT]],Data[#Headers],0),FALSE)</f>
        <v>#N/A</v>
      </c>
      <c r="G188" s="1" t="s">
        <v>109</v>
      </c>
      <c r="H188" s="7"/>
      <c r="I188" s="8"/>
      <c r="J188" s="8"/>
      <c r="K188" s="3"/>
      <c r="L188" s="76"/>
      <c r="M188" s="73"/>
      <c r="N188" s="73"/>
      <c r="O188" s="2"/>
      <c r="P188" s="2"/>
      <c r="Q188" s="11"/>
      <c r="R18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88" s="9"/>
      <c r="T188" s="16"/>
    </row>
    <row r="189" spans="1:20">
      <c r="A189" s="13" t="str">
        <f>VLOOKUP(C189,Data[],2,FALSE)</f>
        <v>MANHATTAN</v>
      </c>
      <c r="B189" s="1"/>
      <c r="C189" s="1" t="s">
        <v>83</v>
      </c>
      <c r="D189" s="1" t="str">
        <f>VLOOKUP(Table1[[#This Row],[DEVELOPMENT]],Data[],MATCH(Table1[[#Headers],[NRR]],Data[#Headers],0),FALSE)</f>
        <v>Zone 2</v>
      </c>
      <c r="E189" s="1" t="e">
        <f>VLOOKUP(Table1[[#This Row],[DEVELOPMENT]],Data[],MATCH(Table1[[#Headers],[Priority Level]],Data[#Headers],0),FALSE)</f>
        <v>#N/A</v>
      </c>
      <c r="F189" s="1" t="e">
        <f>VLOOKUP(Table1[[#This Row],[DEVELOPMENT]],Data[],MATCH(Table1[[#Headers],[RAD/PACT]],Data[#Headers],0),FALSE)</f>
        <v>#N/A</v>
      </c>
      <c r="G189" s="1" t="s">
        <v>109</v>
      </c>
      <c r="H189" s="7"/>
      <c r="I189" s="8"/>
      <c r="J189" s="8"/>
      <c r="K189" s="3"/>
      <c r="L189" s="76"/>
      <c r="M189" s="73"/>
      <c r="N189" s="73"/>
      <c r="O189" s="2"/>
      <c r="P189" s="2"/>
      <c r="Q189" s="11"/>
      <c r="R18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89" s="9"/>
      <c r="T189" s="16"/>
    </row>
    <row r="190" spans="1:20">
      <c r="A190" s="13" t="str">
        <f>VLOOKUP(C190,Data[],2,FALSE)</f>
        <v>MANHATTAN</v>
      </c>
      <c r="B190" s="1"/>
      <c r="C190" s="1" t="s">
        <v>131</v>
      </c>
      <c r="D190" s="1" t="str">
        <f>VLOOKUP(Table1[[#This Row],[DEVELOPMENT]],Data[],MATCH(Table1[[#Headers],[NRR]],Data[#Headers],0),FALSE)</f>
        <v>Zone 2</v>
      </c>
      <c r="E190" s="1" t="e">
        <f>VLOOKUP(Table1[[#This Row],[DEVELOPMENT]],Data[],MATCH(Table1[[#Headers],[Priority Level]],Data[#Headers],0),FALSE)</f>
        <v>#N/A</v>
      </c>
      <c r="F190" s="1" t="e">
        <f>VLOOKUP(Table1[[#This Row],[DEVELOPMENT]],Data[],MATCH(Table1[[#Headers],[RAD/PACT]],Data[#Headers],0),FALSE)</f>
        <v>#N/A</v>
      </c>
      <c r="G190" s="1" t="s">
        <v>109</v>
      </c>
      <c r="H190" s="7"/>
      <c r="I190" s="8"/>
      <c r="J190" s="8"/>
      <c r="K190" s="3"/>
      <c r="L190" s="76"/>
      <c r="M190" s="73"/>
      <c r="N190" s="73"/>
      <c r="O190" s="2"/>
      <c r="P190" s="2"/>
      <c r="Q190" s="11"/>
      <c r="R19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90" s="9"/>
      <c r="T190" s="16"/>
    </row>
    <row r="191" spans="1:20">
      <c r="A191" s="13" t="str">
        <f>VLOOKUP(C191,Data[],2,FALSE)</f>
        <v>MANHATTAN</v>
      </c>
      <c r="B191" s="1"/>
      <c r="C191" s="1" t="s">
        <v>113</v>
      </c>
      <c r="D191" s="1" t="str">
        <f>VLOOKUP(Table1[[#This Row],[DEVELOPMENT]],Data[],MATCH(Table1[[#Headers],[NRR]],Data[#Headers],0),FALSE)</f>
        <v>Zone 2</v>
      </c>
      <c r="E191" s="1" t="e">
        <f>VLOOKUP(Table1[[#This Row],[DEVELOPMENT]],Data[],MATCH(Table1[[#Headers],[Priority Level]],Data[#Headers],0),FALSE)</f>
        <v>#N/A</v>
      </c>
      <c r="F191" s="1" t="e">
        <f>VLOOKUP(Table1[[#This Row],[DEVELOPMENT]],Data[],MATCH(Table1[[#Headers],[RAD/PACT]],Data[#Headers],0),FALSE)</f>
        <v>#N/A</v>
      </c>
      <c r="G191" s="1" t="s">
        <v>109</v>
      </c>
      <c r="H191" s="7"/>
      <c r="I191" s="8"/>
      <c r="J191" s="8"/>
      <c r="K191" s="3"/>
      <c r="L191" s="76"/>
      <c r="M191" s="73"/>
      <c r="N191" s="73"/>
      <c r="O191" s="2"/>
      <c r="P191" s="2"/>
      <c r="Q191" s="11"/>
      <c r="R19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91" s="9"/>
      <c r="T191" s="16"/>
    </row>
    <row r="192" spans="1:20">
      <c r="A192" s="13" t="str">
        <f>VLOOKUP(C192,Data[],2,FALSE)</f>
        <v>MANHATTAN</v>
      </c>
      <c r="B192" s="1"/>
      <c r="C192" s="1" t="s">
        <v>122</v>
      </c>
      <c r="D192" s="1" t="str">
        <f>VLOOKUP(Table1[[#This Row],[DEVELOPMENT]],Data[],MATCH(Table1[[#Headers],[NRR]],Data[#Headers],0),FALSE)</f>
        <v>Zone 2</v>
      </c>
      <c r="E192" s="1" t="e">
        <f>VLOOKUP(Table1[[#This Row],[DEVELOPMENT]],Data[],MATCH(Table1[[#Headers],[Priority Level]],Data[#Headers],0),FALSE)</f>
        <v>#N/A</v>
      </c>
      <c r="F192" s="1" t="e">
        <f>VLOOKUP(Table1[[#This Row],[DEVELOPMENT]],Data[],MATCH(Table1[[#Headers],[RAD/PACT]],Data[#Headers],0),FALSE)</f>
        <v>#N/A</v>
      </c>
      <c r="G192" s="1" t="s">
        <v>109</v>
      </c>
      <c r="H192" s="7"/>
      <c r="I192" s="8"/>
      <c r="J192" s="8"/>
      <c r="K192" s="3"/>
      <c r="L192" s="76"/>
      <c r="M192" s="73"/>
      <c r="N192" s="73"/>
      <c r="O192" s="2"/>
      <c r="P192" s="2"/>
      <c r="Q192" s="11"/>
      <c r="R19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92" s="9"/>
      <c r="T192" s="16"/>
    </row>
    <row r="193" spans="1:20">
      <c r="A193" s="13" t="str">
        <f>VLOOKUP(C193,Data[],2,FALSE)</f>
        <v>BROOKLYN</v>
      </c>
      <c r="B193" s="9" t="s">
        <v>25</v>
      </c>
      <c r="C193" s="9" t="s">
        <v>38</v>
      </c>
      <c r="D193" s="1" t="str">
        <f>VLOOKUP(Table1[[#This Row],[DEVELOPMENT]],Data[],MATCH(Table1[[#Headers],[NRR]],Data[#Headers],0),FALSE)</f>
        <v>Zone 1</v>
      </c>
      <c r="E193" s="1" t="e">
        <f>VLOOKUP(Table1[[#This Row],[DEVELOPMENT]],Data[],MATCH(Table1[[#Headers],[Priority Level]],Data[#Headers],0),FALSE)</f>
        <v>#N/A</v>
      </c>
      <c r="F193" s="1" t="e">
        <f>VLOOKUP(Table1[[#This Row],[DEVELOPMENT]],Data[],MATCH(Table1[[#Headers],[RAD/PACT]],Data[#Headers],0),FALSE)</f>
        <v>#N/A</v>
      </c>
      <c r="G193" s="9" t="s">
        <v>109</v>
      </c>
      <c r="H193" s="58" t="s">
        <v>85</v>
      </c>
      <c r="I193" s="10"/>
      <c r="J193" s="10">
        <f>K193</f>
        <v>1362690</v>
      </c>
      <c r="K193" s="11">
        <v>1362690</v>
      </c>
      <c r="L193" s="73">
        <v>2019</v>
      </c>
      <c r="M193" s="75"/>
      <c r="N193" s="75"/>
      <c r="O193" s="2" t="s">
        <v>53</v>
      </c>
      <c r="P193" s="2"/>
      <c r="Q193" s="3"/>
      <c r="R19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93" s="1"/>
      <c r="T193" s="16"/>
    </row>
    <row r="194" spans="1:20">
      <c r="A194" s="13" t="str">
        <f>VLOOKUP(C194,Data[],2,FALSE)</f>
        <v>MANHATTAN</v>
      </c>
      <c r="B194" s="1"/>
      <c r="C194" s="1" t="s">
        <v>90</v>
      </c>
      <c r="D194" s="1" t="str">
        <f>VLOOKUP(Table1[[#This Row],[DEVELOPMENT]],Data[],MATCH(Table1[[#Headers],[NRR]],Data[#Headers],0),FALSE)</f>
        <v>Zone 2</v>
      </c>
      <c r="E194" s="1" t="e">
        <f>VLOOKUP(Table1[[#This Row],[DEVELOPMENT]],Data[],MATCH(Table1[[#Headers],[Priority Level]],Data[#Headers],0),FALSE)</f>
        <v>#N/A</v>
      </c>
      <c r="F194" s="1" t="e">
        <f>VLOOKUP(Table1[[#This Row],[DEVELOPMENT]],Data[],MATCH(Table1[[#Headers],[RAD/PACT]],Data[#Headers],0),FALSE)</f>
        <v>#N/A</v>
      </c>
      <c r="G194" s="1" t="s">
        <v>109</v>
      </c>
      <c r="H194" s="7"/>
      <c r="I194" s="8"/>
      <c r="J194" s="8"/>
      <c r="K194" s="3"/>
      <c r="L194" s="76"/>
      <c r="M194" s="73"/>
      <c r="N194" s="73"/>
      <c r="O194" s="2"/>
      <c r="P194" s="2"/>
      <c r="Q194" s="11"/>
      <c r="R19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94" s="9"/>
      <c r="T194" s="16"/>
    </row>
    <row r="195" spans="1:20">
      <c r="A195" s="13" t="str">
        <f>VLOOKUP(C195,Data[],2,FALSE)</f>
        <v>BRONX</v>
      </c>
      <c r="B195" s="1" t="s">
        <v>25</v>
      </c>
      <c r="C195" s="1" t="s">
        <v>140</v>
      </c>
      <c r="D195" s="1" t="str">
        <f>VLOOKUP(Table1[[#This Row],[DEVELOPMENT]],Data[],MATCH(Table1[[#Headers],[NRR]],Data[#Headers],0),FALSE)</f>
        <v>Zone 1</v>
      </c>
      <c r="E195" s="1" t="e">
        <f>VLOOKUP(Table1[[#This Row],[DEVELOPMENT]],Data[],MATCH(Table1[[#Headers],[Priority Level]],Data[#Headers],0),FALSE)</f>
        <v>#N/A</v>
      </c>
      <c r="F195" s="1" t="e">
        <f>VLOOKUP(Table1[[#This Row],[DEVELOPMENT]],Data[],MATCH(Table1[[#Headers],[RAD/PACT]],Data[#Headers],0),FALSE)</f>
        <v>#N/A</v>
      </c>
      <c r="G195" s="1" t="s">
        <v>109</v>
      </c>
      <c r="H195" s="58" t="s">
        <v>85</v>
      </c>
      <c r="I195" s="8"/>
      <c r="J195" s="8">
        <f>K195</f>
        <v>1362690</v>
      </c>
      <c r="K195" s="3">
        <v>1362690</v>
      </c>
      <c r="L195" s="75">
        <v>2019</v>
      </c>
      <c r="M195" s="75"/>
      <c r="N195" s="75"/>
      <c r="O195" s="2" t="s">
        <v>53</v>
      </c>
      <c r="P195" s="2"/>
      <c r="Q195" s="3"/>
      <c r="R19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95" s="1"/>
      <c r="T195" s="16"/>
    </row>
    <row r="196" spans="1:20">
      <c r="A196" s="13" t="str">
        <f>VLOOKUP(C196,Data[],2,FALSE)</f>
        <v>MANHATTAN</v>
      </c>
      <c r="B196" s="1"/>
      <c r="C196" s="1" t="s">
        <v>133</v>
      </c>
      <c r="D196" s="1" t="str">
        <f>VLOOKUP(Table1[[#This Row],[DEVELOPMENT]],Data[],MATCH(Table1[[#Headers],[NRR]],Data[#Headers],0),FALSE)</f>
        <v>Zone 2</v>
      </c>
      <c r="E196" s="1" t="e">
        <f>VLOOKUP(Table1[[#This Row],[DEVELOPMENT]],Data[],MATCH(Table1[[#Headers],[Priority Level]],Data[#Headers],0),FALSE)</f>
        <v>#N/A</v>
      </c>
      <c r="F196" s="1" t="e">
        <f>VLOOKUP(Table1[[#This Row],[DEVELOPMENT]],Data[],MATCH(Table1[[#Headers],[RAD/PACT]],Data[#Headers],0),FALSE)</f>
        <v>#N/A</v>
      </c>
      <c r="G196" s="1" t="s">
        <v>109</v>
      </c>
      <c r="H196" s="7"/>
      <c r="I196" s="8"/>
      <c r="J196" s="8"/>
      <c r="K196" s="3"/>
      <c r="L196" s="76"/>
      <c r="M196" s="73"/>
      <c r="N196" s="73"/>
      <c r="O196" s="2"/>
      <c r="P196" s="2"/>
      <c r="Q196" s="11"/>
      <c r="R19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96" s="9"/>
      <c r="T196" s="16"/>
    </row>
    <row r="197" spans="1:20">
      <c r="A197" s="13" t="str">
        <f>VLOOKUP(C197,Data[],2,FALSE)</f>
        <v>MANHATTAN</v>
      </c>
      <c r="B197" s="1"/>
      <c r="C197" s="1" t="s">
        <v>115</v>
      </c>
      <c r="D197" s="1" t="str">
        <f>VLOOKUP(Table1[[#This Row],[DEVELOPMENT]],Data[],MATCH(Table1[[#Headers],[NRR]],Data[#Headers],0),FALSE)</f>
        <v>Zone 2</v>
      </c>
      <c r="E197" s="1" t="e">
        <f>VLOOKUP(Table1[[#This Row],[DEVELOPMENT]],Data[],MATCH(Table1[[#Headers],[Priority Level]],Data[#Headers],0),FALSE)</f>
        <v>#N/A</v>
      </c>
      <c r="F197" s="1" t="e">
        <f>VLOOKUP(Table1[[#This Row],[DEVELOPMENT]],Data[],MATCH(Table1[[#Headers],[RAD/PACT]],Data[#Headers],0),FALSE)</f>
        <v>#N/A</v>
      </c>
      <c r="G197" s="1" t="s">
        <v>109</v>
      </c>
      <c r="H197" s="7"/>
      <c r="I197" s="8"/>
      <c r="J197" s="8"/>
      <c r="K197" s="3"/>
      <c r="L197" s="76"/>
      <c r="M197" s="73"/>
      <c r="N197" s="73"/>
      <c r="O197" s="2"/>
      <c r="P197" s="2"/>
      <c r="Q197" s="11"/>
      <c r="R19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97" s="9"/>
      <c r="T197" s="16"/>
    </row>
    <row r="198" spans="1:20">
      <c r="A198" s="13" t="str">
        <f>VLOOKUP(C198,Data[],2,FALSE)</f>
        <v>MANHATTAN</v>
      </c>
      <c r="B198" s="1"/>
      <c r="C198" s="1" t="s">
        <v>136</v>
      </c>
      <c r="D198" s="1" t="str">
        <f>VLOOKUP(Table1[[#This Row],[DEVELOPMENT]],Data[],MATCH(Table1[[#Headers],[NRR]],Data[#Headers],0),FALSE)</f>
        <v>Zone 2</v>
      </c>
      <c r="E198" s="1" t="e">
        <f>VLOOKUP(Table1[[#This Row],[DEVELOPMENT]],Data[],MATCH(Table1[[#Headers],[Priority Level]],Data[#Headers],0),FALSE)</f>
        <v>#N/A</v>
      </c>
      <c r="F198" s="1" t="e">
        <f>VLOOKUP(Table1[[#This Row],[DEVELOPMENT]],Data[],MATCH(Table1[[#Headers],[RAD/PACT]],Data[#Headers],0),FALSE)</f>
        <v>#N/A</v>
      </c>
      <c r="G198" s="1" t="s">
        <v>109</v>
      </c>
      <c r="H198" s="7"/>
      <c r="I198" s="8"/>
      <c r="J198" s="8"/>
      <c r="K198" s="3"/>
      <c r="L198" s="76"/>
      <c r="M198" s="73"/>
      <c r="N198" s="73"/>
      <c r="O198" s="2"/>
      <c r="P198" s="2"/>
      <c r="Q198" s="11"/>
      <c r="R19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98" s="9"/>
      <c r="T198" s="16"/>
    </row>
    <row r="199" spans="1:20">
      <c r="A199" s="13" t="str">
        <f>VLOOKUP(C199,Data[],2,FALSE)</f>
        <v>MANHATTAN</v>
      </c>
      <c r="B199" s="1"/>
      <c r="C199" s="1" t="s">
        <v>128</v>
      </c>
      <c r="D199" s="1" t="str">
        <f>VLOOKUP(Table1[[#This Row],[DEVELOPMENT]],Data[],MATCH(Table1[[#Headers],[NRR]],Data[#Headers],0),FALSE)</f>
        <v>Zone 2</v>
      </c>
      <c r="E199" s="1" t="e">
        <f>VLOOKUP(Table1[[#This Row],[DEVELOPMENT]],Data[],MATCH(Table1[[#Headers],[Priority Level]],Data[#Headers],0),FALSE)</f>
        <v>#N/A</v>
      </c>
      <c r="F199" s="1" t="e">
        <f>VLOOKUP(Table1[[#This Row],[DEVELOPMENT]],Data[],MATCH(Table1[[#Headers],[RAD/PACT]],Data[#Headers],0),FALSE)</f>
        <v>#N/A</v>
      </c>
      <c r="G199" s="1" t="s">
        <v>109</v>
      </c>
      <c r="H199" s="7"/>
      <c r="I199" s="8"/>
      <c r="J199" s="8"/>
      <c r="K199" s="3"/>
      <c r="L199" s="76"/>
      <c r="M199" s="73"/>
      <c r="N199" s="73"/>
      <c r="O199" s="2"/>
      <c r="P199" s="2"/>
      <c r="Q199" s="11"/>
      <c r="R19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199" s="9"/>
      <c r="T199" s="16"/>
    </row>
    <row r="200" spans="1:20">
      <c r="A200" s="13" t="str">
        <f>VLOOKUP(C200,Data[],2,FALSE)</f>
        <v>MANHATTAN</v>
      </c>
      <c r="B200" s="1"/>
      <c r="C200" s="1" t="s">
        <v>127</v>
      </c>
      <c r="D200" s="1" t="str">
        <f>VLOOKUP(Table1[[#This Row],[DEVELOPMENT]],Data[],MATCH(Table1[[#Headers],[NRR]],Data[#Headers],0),FALSE)</f>
        <v>Zone 2</v>
      </c>
      <c r="E200" s="1" t="e">
        <f>VLOOKUP(Table1[[#This Row],[DEVELOPMENT]],Data[],MATCH(Table1[[#Headers],[Priority Level]],Data[#Headers],0),FALSE)</f>
        <v>#N/A</v>
      </c>
      <c r="F200" s="1" t="e">
        <f>VLOOKUP(Table1[[#This Row],[DEVELOPMENT]],Data[],MATCH(Table1[[#Headers],[RAD/PACT]],Data[#Headers],0),FALSE)</f>
        <v>#N/A</v>
      </c>
      <c r="G200" s="1" t="s">
        <v>109</v>
      </c>
      <c r="H200" s="7"/>
      <c r="I200" s="8"/>
      <c r="J200" s="8"/>
      <c r="K200" s="3"/>
      <c r="L200" s="76"/>
      <c r="M200" s="73"/>
      <c r="N200" s="73"/>
      <c r="O200" s="2"/>
      <c r="P200" s="2"/>
      <c r="Q200" s="11"/>
      <c r="R20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00" s="9"/>
      <c r="T200" s="16"/>
    </row>
    <row r="201" spans="1:20">
      <c r="A201" s="13" t="str">
        <f>VLOOKUP(C201,Data[],2,FALSE)</f>
        <v>BRONX</v>
      </c>
      <c r="B201" s="1" t="s">
        <v>25</v>
      </c>
      <c r="C201" s="1" t="s">
        <v>47</v>
      </c>
      <c r="D201" s="1" t="str">
        <f>VLOOKUP(Table1[[#This Row],[DEVELOPMENT]],Data[],MATCH(Table1[[#Headers],[NRR]],Data[#Headers],0),FALSE)</f>
        <v>Zone 1</v>
      </c>
      <c r="E201" s="1" t="e">
        <f>VLOOKUP(Table1[[#This Row],[DEVELOPMENT]],Data[],MATCH(Table1[[#Headers],[Priority Level]],Data[#Headers],0),FALSE)</f>
        <v>#N/A</v>
      </c>
      <c r="F201" s="1" t="e">
        <f>VLOOKUP(Table1[[#This Row],[DEVELOPMENT]],Data[],MATCH(Table1[[#Headers],[RAD/PACT]],Data[#Headers],0),FALSE)</f>
        <v>#N/A</v>
      </c>
      <c r="G201" s="1" t="s">
        <v>109</v>
      </c>
      <c r="H201" s="58" t="s">
        <v>85</v>
      </c>
      <c r="I201" s="8"/>
      <c r="J201" s="8">
        <f>K201</f>
        <v>1362690</v>
      </c>
      <c r="K201" s="3">
        <v>1362690</v>
      </c>
      <c r="L201" s="75">
        <v>2019</v>
      </c>
      <c r="M201" s="75"/>
      <c r="N201" s="75"/>
      <c r="O201" s="2" t="s">
        <v>53</v>
      </c>
      <c r="P201" s="2"/>
      <c r="Q201" s="3"/>
      <c r="R20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01" s="1"/>
      <c r="T201" s="16"/>
    </row>
    <row r="202" spans="1:20">
      <c r="A202" s="13" t="str">
        <f>VLOOKUP(C202,Data[],2,FALSE)</f>
        <v>MANHATTAN</v>
      </c>
      <c r="B202" s="1"/>
      <c r="C202" s="1" t="s">
        <v>120</v>
      </c>
      <c r="D202" s="1" t="str">
        <f>VLOOKUP(Table1[[#This Row],[DEVELOPMENT]],Data[],MATCH(Table1[[#Headers],[NRR]],Data[#Headers],0),FALSE)</f>
        <v>Zone 2</v>
      </c>
      <c r="E202" s="1" t="e">
        <f>VLOOKUP(Table1[[#This Row],[DEVELOPMENT]],Data[],MATCH(Table1[[#Headers],[Priority Level]],Data[#Headers],0),FALSE)</f>
        <v>#N/A</v>
      </c>
      <c r="F202" s="1" t="e">
        <f>VLOOKUP(Table1[[#This Row],[DEVELOPMENT]],Data[],MATCH(Table1[[#Headers],[RAD/PACT]],Data[#Headers],0),FALSE)</f>
        <v>#N/A</v>
      </c>
      <c r="G202" s="9" t="s">
        <v>52</v>
      </c>
      <c r="H202" s="12"/>
      <c r="I202" s="8"/>
      <c r="J202" s="8"/>
      <c r="K202" s="3"/>
      <c r="L202" s="76"/>
      <c r="M202" s="73"/>
      <c r="N202" s="73"/>
      <c r="O202" s="2"/>
      <c r="P202" s="2"/>
      <c r="Q202" s="11"/>
      <c r="R20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02" s="9"/>
      <c r="T202" s="16"/>
    </row>
    <row r="203" spans="1:20">
      <c r="A203" s="13" t="str">
        <f>VLOOKUP(C203,Data[],2,FALSE)</f>
        <v>MANHATTAN</v>
      </c>
      <c r="B203" s="1"/>
      <c r="C203" s="1" t="s">
        <v>129</v>
      </c>
      <c r="D203" s="1" t="str">
        <f>VLOOKUP(Table1[[#This Row],[DEVELOPMENT]],Data[],MATCH(Table1[[#Headers],[NRR]],Data[#Headers],0),FALSE)</f>
        <v>Zone 2</v>
      </c>
      <c r="E203" s="1" t="e">
        <f>VLOOKUP(Table1[[#This Row],[DEVELOPMENT]],Data[],MATCH(Table1[[#Headers],[Priority Level]],Data[#Headers],0),FALSE)</f>
        <v>#N/A</v>
      </c>
      <c r="F203" s="1" t="e">
        <f>VLOOKUP(Table1[[#This Row],[DEVELOPMENT]],Data[],MATCH(Table1[[#Headers],[RAD/PACT]],Data[#Headers],0),FALSE)</f>
        <v>#N/A</v>
      </c>
      <c r="G203" s="9" t="s">
        <v>52</v>
      </c>
      <c r="H203" s="12"/>
      <c r="I203" s="8"/>
      <c r="J203" s="8"/>
      <c r="K203" s="3"/>
      <c r="L203" s="76"/>
      <c r="M203" s="73"/>
      <c r="N203" s="73"/>
      <c r="O203" s="2"/>
      <c r="P203" s="2"/>
      <c r="Q203" s="11"/>
      <c r="R20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03" s="9"/>
      <c r="T203" s="16"/>
    </row>
    <row r="204" spans="1:20">
      <c r="A204" s="13" t="str">
        <f>VLOOKUP(C204,Data[],2,FALSE)</f>
        <v>MANHATTAN</v>
      </c>
      <c r="B204" s="1"/>
      <c r="C204" s="1" t="s">
        <v>77</v>
      </c>
      <c r="D204" s="1" t="str">
        <f>VLOOKUP(Table1[[#This Row],[DEVELOPMENT]],Data[],MATCH(Table1[[#Headers],[NRR]],Data[#Headers],0),FALSE)</f>
        <v>Zone 2</v>
      </c>
      <c r="E204" s="1" t="e">
        <f>VLOOKUP(Table1[[#This Row],[DEVELOPMENT]],Data[],MATCH(Table1[[#Headers],[Priority Level]],Data[#Headers],0),FALSE)</f>
        <v>#N/A</v>
      </c>
      <c r="F204" s="1" t="e">
        <f>VLOOKUP(Table1[[#This Row],[DEVELOPMENT]],Data[],MATCH(Table1[[#Headers],[RAD/PACT]],Data[#Headers],0),FALSE)</f>
        <v>#N/A</v>
      </c>
      <c r="G204" s="9" t="s">
        <v>52</v>
      </c>
      <c r="H204" s="12"/>
      <c r="I204" s="8"/>
      <c r="J204" s="8"/>
      <c r="K204" s="3"/>
      <c r="L204" s="76"/>
      <c r="M204" s="73"/>
      <c r="N204" s="73"/>
      <c r="O204" s="2"/>
      <c r="P204" s="2"/>
      <c r="Q204" s="11"/>
      <c r="R20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04" s="9"/>
      <c r="T204" s="16"/>
    </row>
    <row r="205" spans="1:20">
      <c r="A205" s="13" t="str">
        <f>VLOOKUP(C205,Data[],2,FALSE)</f>
        <v>MANHATTAN</v>
      </c>
      <c r="B205" s="1"/>
      <c r="C205" s="1" t="s">
        <v>78</v>
      </c>
      <c r="D205" s="1" t="str">
        <f>VLOOKUP(Table1[[#This Row],[DEVELOPMENT]],Data[],MATCH(Table1[[#Headers],[NRR]],Data[#Headers],0),FALSE)</f>
        <v>Zone 2</v>
      </c>
      <c r="E205" s="1" t="e">
        <f>VLOOKUP(Table1[[#This Row],[DEVELOPMENT]],Data[],MATCH(Table1[[#Headers],[Priority Level]],Data[#Headers],0),FALSE)</f>
        <v>#N/A</v>
      </c>
      <c r="F205" s="1" t="e">
        <f>VLOOKUP(Table1[[#This Row],[DEVELOPMENT]],Data[],MATCH(Table1[[#Headers],[RAD/PACT]],Data[#Headers],0),FALSE)</f>
        <v>#N/A</v>
      </c>
      <c r="G205" s="9" t="s">
        <v>52</v>
      </c>
      <c r="H205" s="12"/>
      <c r="I205" s="8"/>
      <c r="J205" s="8"/>
      <c r="K205" s="3"/>
      <c r="L205" s="76"/>
      <c r="M205" s="73"/>
      <c r="N205" s="73"/>
      <c r="O205" s="2"/>
      <c r="P205" s="2"/>
      <c r="Q205" s="11"/>
      <c r="R20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05" s="9"/>
      <c r="T205" s="16"/>
    </row>
    <row r="206" spans="1:20">
      <c r="A206" s="13" t="str">
        <f>VLOOKUP(C206,Data[],2,FALSE)</f>
        <v>MANHATTAN</v>
      </c>
      <c r="B206" s="1"/>
      <c r="C206" s="1" t="s">
        <v>81</v>
      </c>
      <c r="D206" s="1" t="str">
        <f>VLOOKUP(Table1[[#This Row],[DEVELOPMENT]],Data[],MATCH(Table1[[#Headers],[NRR]],Data[#Headers],0),FALSE)</f>
        <v>Zone 2</v>
      </c>
      <c r="E206" s="1" t="e">
        <f>VLOOKUP(Table1[[#This Row],[DEVELOPMENT]],Data[],MATCH(Table1[[#Headers],[Priority Level]],Data[#Headers],0),FALSE)</f>
        <v>#N/A</v>
      </c>
      <c r="F206" s="1" t="e">
        <f>VLOOKUP(Table1[[#This Row],[DEVELOPMENT]],Data[],MATCH(Table1[[#Headers],[RAD/PACT]],Data[#Headers],0),FALSE)</f>
        <v>#N/A</v>
      </c>
      <c r="G206" s="9" t="s">
        <v>52</v>
      </c>
      <c r="H206" s="12"/>
      <c r="I206" s="8"/>
      <c r="J206" s="8"/>
      <c r="K206" s="3"/>
      <c r="L206" s="76"/>
      <c r="M206" s="73"/>
      <c r="N206" s="73"/>
      <c r="O206" s="2"/>
      <c r="P206" s="2"/>
      <c r="Q206" s="11"/>
      <c r="R20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06" s="9"/>
      <c r="T206" s="16"/>
    </row>
    <row r="207" spans="1:20">
      <c r="A207" s="13" t="str">
        <f>VLOOKUP(C207,Data[],2,FALSE)</f>
        <v>MANHATTAN</v>
      </c>
      <c r="B207" s="1"/>
      <c r="C207" s="1" t="s">
        <v>112</v>
      </c>
      <c r="D207" s="1" t="str">
        <f>VLOOKUP(Table1[[#This Row],[DEVELOPMENT]],Data[],MATCH(Table1[[#Headers],[NRR]],Data[#Headers],0),FALSE)</f>
        <v>Zone 2</v>
      </c>
      <c r="E207" s="1" t="e">
        <f>VLOOKUP(Table1[[#This Row],[DEVELOPMENT]],Data[],MATCH(Table1[[#Headers],[Priority Level]],Data[#Headers],0),FALSE)</f>
        <v>#N/A</v>
      </c>
      <c r="F207" s="1" t="e">
        <f>VLOOKUP(Table1[[#This Row],[DEVELOPMENT]],Data[],MATCH(Table1[[#Headers],[RAD/PACT]],Data[#Headers],0),FALSE)</f>
        <v>#N/A</v>
      </c>
      <c r="G207" s="9" t="s">
        <v>52</v>
      </c>
      <c r="H207" s="12"/>
      <c r="I207" s="8"/>
      <c r="J207" s="8"/>
      <c r="K207" s="3"/>
      <c r="L207" s="76"/>
      <c r="M207" s="73"/>
      <c r="N207" s="73"/>
      <c r="O207" s="2"/>
      <c r="P207" s="2"/>
      <c r="Q207" s="11"/>
      <c r="R20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07" s="9"/>
      <c r="T207" s="16"/>
    </row>
    <row r="208" spans="1:20">
      <c r="A208" s="13" t="str">
        <f>VLOOKUP(C208,Data[],2,FALSE)</f>
        <v>MANHATTAN</v>
      </c>
      <c r="B208" s="1"/>
      <c r="C208" s="1" t="s">
        <v>83</v>
      </c>
      <c r="D208" s="1" t="str">
        <f>VLOOKUP(Table1[[#This Row],[DEVELOPMENT]],Data[],MATCH(Table1[[#Headers],[NRR]],Data[#Headers],0),FALSE)</f>
        <v>Zone 2</v>
      </c>
      <c r="E208" s="1" t="e">
        <f>VLOOKUP(Table1[[#This Row],[DEVELOPMENT]],Data[],MATCH(Table1[[#Headers],[Priority Level]],Data[#Headers],0),FALSE)</f>
        <v>#N/A</v>
      </c>
      <c r="F208" s="1" t="e">
        <f>VLOOKUP(Table1[[#This Row],[DEVELOPMENT]],Data[],MATCH(Table1[[#Headers],[RAD/PACT]],Data[#Headers],0),FALSE)</f>
        <v>#N/A</v>
      </c>
      <c r="G208" s="9" t="s">
        <v>52</v>
      </c>
      <c r="H208" s="12"/>
      <c r="I208" s="8"/>
      <c r="J208" s="8"/>
      <c r="K208" s="3"/>
      <c r="L208" s="76"/>
      <c r="M208" s="73"/>
      <c r="N208" s="73"/>
      <c r="O208" s="2"/>
      <c r="P208" s="2"/>
      <c r="Q208" s="11"/>
      <c r="R20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08" s="9"/>
      <c r="T208" s="16"/>
    </row>
    <row r="209" spans="1:20">
      <c r="A209" s="13" t="str">
        <f>VLOOKUP(C209,Data[],2,FALSE)</f>
        <v>MANHATTAN</v>
      </c>
      <c r="B209" s="1"/>
      <c r="C209" s="1" t="s">
        <v>131</v>
      </c>
      <c r="D209" s="1" t="str">
        <f>VLOOKUP(Table1[[#This Row],[DEVELOPMENT]],Data[],MATCH(Table1[[#Headers],[NRR]],Data[#Headers],0),FALSE)</f>
        <v>Zone 2</v>
      </c>
      <c r="E209" s="1" t="e">
        <f>VLOOKUP(Table1[[#This Row],[DEVELOPMENT]],Data[],MATCH(Table1[[#Headers],[Priority Level]],Data[#Headers],0),FALSE)</f>
        <v>#N/A</v>
      </c>
      <c r="F209" s="1" t="e">
        <f>VLOOKUP(Table1[[#This Row],[DEVELOPMENT]],Data[],MATCH(Table1[[#Headers],[RAD/PACT]],Data[#Headers],0),FALSE)</f>
        <v>#N/A</v>
      </c>
      <c r="G209" s="9" t="s">
        <v>52</v>
      </c>
      <c r="H209" s="12"/>
      <c r="I209" s="8"/>
      <c r="J209" s="8"/>
      <c r="K209" s="3"/>
      <c r="L209" s="76"/>
      <c r="M209" s="73"/>
      <c r="N209" s="73"/>
      <c r="O209" s="2"/>
      <c r="P209" s="2"/>
      <c r="Q209" s="11"/>
      <c r="R20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09" s="9"/>
      <c r="T209" s="16"/>
    </row>
    <row r="210" spans="1:20">
      <c r="A210" s="13" t="str">
        <f>VLOOKUP(C210,Data[],2,FALSE)</f>
        <v>MANHATTAN</v>
      </c>
      <c r="B210" s="1"/>
      <c r="C210" s="1" t="s">
        <v>113</v>
      </c>
      <c r="D210" s="1" t="str">
        <f>VLOOKUP(Table1[[#This Row],[DEVELOPMENT]],Data[],MATCH(Table1[[#Headers],[NRR]],Data[#Headers],0),FALSE)</f>
        <v>Zone 2</v>
      </c>
      <c r="E210" s="1" t="e">
        <f>VLOOKUP(Table1[[#This Row],[DEVELOPMENT]],Data[],MATCH(Table1[[#Headers],[Priority Level]],Data[#Headers],0),FALSE)</f>
        <v>#N/A</v>
      </c>
      <c r="F210" s="1" t="e">
        <f>VLOOKUP(Table1[[#This Row],[DEVELOPMENT]],Data[],MATCH(Table1[[#Headers],[RAD/PACT]],Data[#Headers],0),FALSE)</f>
        <v>#N/A</v>
      </c>
      <c r="G210" s="9" t="s">
        <v>52</v>
      </c>
      <c r="H210" s="12"/>
      <c r="I210" s="8"/>
      <c r="J210" s="8"/>
      <c r="K210" s="3"/>
      <c r="L210" s="76"/>
      <c r="M210" s="73"/>
      <c r="N210" s="73"/>
      <c r="O210" s="2"/>
      <c r="P210" s="2"/>
      <c r="Q210" s="11"/>
      <c r="R21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10" s="9"/>
      <c r="T210" s="16"/>
    </row>
    <row r="211" spans="1:20">
      <c r="A211" s="13" t="str">
        <f>VLOOKUP(C211,Data[],2,FALSE)</f>
        <v>MANHATTAN</v>
      </c>
      <c r="B211" s="1"/>
      <c r="C211" s="1" t="s">
        <v>122</v>
      </c>
      <c r="D211" s="1" t="str">
        <f>VLOOKUP(Table1[[#This Row],[DEVELOPMENT]],Data[],MATCH(Table1[[#Headers],[NRR]],Data[#Headers],0),FALSE)</f>
        <v>Zone 2</v>
      </c>
      <c r="E211" s="1" t="e">
        <f>VLOOKUP(Table1[[#This Row],[DEVELOPMENT]],Data[],MATCH(Table1[[#Headers],[Priority Level]],Data[#Headers],0),FALSE)</f>
        <v>#N/A</v>
      </c>
      <c r="F211" s="1" t="e">
        <f>VLOOKUP(Table1[[#This Row],[DEVELOPMENT]],Data[],MATCH(Table1[[#Headers],[RAD/PACT]],Data[#Headers],0),FALSE)</f>
        <v>#N/A</v>
      </c>
      <c r="G211" s="9" t="s">
        <v>52</v>
      </c>
      <c r="H211" s="12"/>
      <c r="I211" s="8"/>
      <c r="J211" s="8"/>
      <c r="K211" s="3"/>
      <c r="L211" s="76"/>
      <c r="M211" s="73"/>
      <c r="N211" s="73"/>
      <c r="O211" s="2"/>
      <c r="P211" s="2"/>
      <c r="Q211" s="11"/>
      <c r="R21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11" s="9"/>
      <c r="T211" s="16"/>
    </row>
    <row r="212" spans="1:20">
      <c r="A212" s="13" t="str">
        <f>VLOOKUP(C212,Data[],2,FALSE)</f>
        <v>BROOKLYN</v>
      </c>
      <c r="B212" s="9" t="s">
        <v>25</v>
      </c>
      <c r="C212" s="9" t="s">
        <v>38</v>
      </c>
      <c r="D212" s="1" t="str">
        <f>VLOOKUP(Table1[[#This Row],[DEVELOPMENT]],Data[],MATCH(Table1[[#Headers],[NRR]],Data[#Headers],0),FALSE)</f>
        <v>Zone 1</v>
      </c>
      <c r="E212" s="1" t="e">
        <f>VLOOKUP(Table1[[#This Row],[DEVELOPMENT]],Data[],MATCH(Table1[[#Headers],[Priority Level]],Data[#Headers],0),FALSE)</f>
        <v>#N/A</v>
      </c>
      <c r="F212" s="1" t="e">
        <f>VLOOKUP(Table1[[#This Row],[DEVELOPMENT]],Data[],MATCH(Table1[[#Headers],[RAD/PACT]],Data[#Headers],0),FALSE)</f>
        <v>#N/A</v>
      </c>
      <c r="G212" s="9" t="s">
        <v>52</v>
      </c>
      <c r="H212" s="2" t="s">
        <v>28</v>
      </c>
      <c r="I212" s="10">
        <f>K212</f>
        <v>33089.670899999997</v>
      </c>
      <c r="J212" s="10"/>
      <c r="K212" s="11">
        <v>33089.670899999997</v>
      </c>
      <c r="L212" s="73">
        <v>2019</v>
      </c>
      <c r="M212" s="75"/>
      <c r="N212" s="75"/>
      <c r="O212" s="2" t="s">
        <v>53</v>
      </c>
      <c r="P212" s="2"/>
      <c r="Q212" s="3"/>
      <c r="R21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12" s="1"/>
      <c r="T212" s="16"/>
    </row>
    <row r="213" spans="1:20">
      <c r="A213" s="13" t="str">
        <f>VLOOKUP(C213,Data[],2,FALSE)</f>
        <v>BRONX</v>
      </c>
      <c r="B213" s="1" t="s">
        <v>25</v>
      </c>
      <c r="C213" s="1" t="s">
        <v>39</v>
      </c>
      <c r="D213" s="1" t="str">
        <f>VLOOKUP(Table1[[#This Row],[DEVELOPMENT]],Data[],MATCH(Table1[[#Headers],[NRR]],Data[#Headers],0),FALSE)</f>
        <v>Zone 1</v>
      </c>
      <c r="E213" s="1" t="e">
        <f>VLOOKUP(Table1[[#This Row],[DEVELOPMENT]],Data[],MATCH(Table1[[#Headers],[Priority Level]],Data[#Headers],0),FALSE)</f>
        <v>#N/A</v>
      </c>
      <c r="F213" s="1" t="e">
        <f>VLOOKUP(Table1[[#This Row],[DEVELOPMENT]],Data[],MATCH(Table1[[#Headers],[RAD/PACT]],Data[#Headers],0),FALSE)</f>
        <v>#N/A</v>
      </c>
      <c r="G213" s="1" t="s">
        <v>52</v>
      </c>
      <c r="H213" s="6" t="s">
        <v>33</v>
      </c>
      <c r="I213" s="8"/>
      <c r="J213" s="8">
        <f>K213</f>
        <v>34083.566126999998</v>
      </c>
      <c r="K213" s="3">
        <v>34083.566126999998</v>
      </c>
      <c r="L213" s="75">
        <v>2019</v>
      </c>
      <c r="M213" s="75"/>
      <c r="N213" s="75"/>
      <c r="O213" s="2" t="s">
        <v>53</v>
      </c>
      <c r="P213" s="2"/>
      <c r="Q213" s="3"/>
      <c r="R21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13" s="1"/>
      <c r="T213" s="16"/>
    </row>
    <row r="214" spans="1:20">
      <c r="A214" s="13" t="str">
        <f>VLOOKUP(C214,Data[],2,FALSE)</f>
        <v>MANHATTAN</v>
      </c>
      <c r="B214" s="1"/>
      <c r="C214" s="1" t="s">
        <v>90</v>
      </c>
      <c r="D214" s="1" t="str">
        <f>VLOOKUP(Table1[[#This Row],[DEVELOPMENT]],Data[],MATCH(Table1[[#Headers],[NRR]],Data[#Headers],0),FALSE)</f>
        <v>Zone 2</v>
      </c>
      <c r="E214" s="1" t="e">
        <f>VLOOKUP(Table1[[#This Row],[DEVELOPMENT]],Data[],MATCH(Table1[[#Headers],[Priority Level]],Data[#Headers],0),FALSE)</f>
        <v>#N/A</v>
      </c>
      <c r="F214" s="1" t="e">
        <f>VLOOKUP(Table1[[#This Row],[DEVELOPMENT]],Data[],MATCH(Table1[[#Headers],[RAD/PACT]],Data[#Headers],0),FALSE)</f>
        <v>#N/A</v>
      </c>
      <c r="G214" s="9" t="s">
        <v>52</v>
      </c>
      <c r="H214" s="12"/>
      <c r="I214" s="8"/>
      <c r="J214" s="8"/>
      <c r="K214" s="3"/>
      <c r="L214" s="76"/>
      <c r="M214" s="73"/>
      <c r="N214" s="73"/>
      <c r="O214" s="2"/>
      <c r="P214" s="2"/>
      <c r="Q214" s="11"/>
      <c r="R21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14" s="9"/>
      <c r="T214" s="16"/>
    </row>
    <row r="215" spans="1:20">
      <c r="A215" s="13" t="str">
        <f>VLOOKUP(C215,Data[],2,FALSE)</f>
        <v>BRONX</v>
      </c>
      <c r="B215" s="1" t="s">
        <v>25</v>
      </c>
      <c r="C215" s="1" t="s">
        <v>40</v>
      </c>
      <c r="D215" s="1" t="str">
        <f>VLOOKUP(Table1[[#This Row],[DEVELOPMENT]],Data[],MATCH(Table1[[#Headers],[NRR]],Data[#Headers],0),FALSE)</f>
        <v>Zone 1</v>
      </c>
      <c r="E215" s="1" t="e">
        <f>VLOOKUP(Table1[[#This Row],[DEVELOPMENT]],Data[],MATCH(Table1[[#Headers],[Priority Level]],Data[#Headers],0),FALSE)</f>
        <v>#N/A</v>
      </c>
      <c r="F215" s="1" t="e">
        <f>VLOOKUP(Table1[[#This Row],[DEVELOPMENT]],Data[],MATCH(Table1[[#Headers],[RAD/PACT]],Data[#Headers],0),FALSE)</f>
        <v>#N/A</v>
      </c>
      <c r="G215" s="1" t="s">
        <v>52</v>
      </c>
      <c r="H215" s="6" t="s">
        <v>28</v>
      </c>
      <c r="I215" s="8">
        <f>K215</f>
        <v>33090.840899999996</v>
      </c>
      <c r="J215" s="8"/>
      <c r="K215" s="3">
        <v>33090.840899999996</v>
      </c>
      <c r="L215" s="75">
        <v>2019</v>
      </c>
      <c r="M215" s="75"/>
      <c r="N215" s="75"/>
      <c r="O215" s="2" t="s">
        <v>53</v>
      </c>
      <c r="P215" s="2"/>
      <c r="Q215" s="3"/>
      <c r="R21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15" s="1"/>
      <c r="T215" s="16"/>
    </row>
    <row r="216" spans="1:20">
      <c r="A216" s="13" t="str">
        <f>VLOOKUP(C216,Data[],2,FALSE)</f>
        <v>BRONX</v>
      </c>
      <c r="B216" s="1" t="s">
        <v>25</v>
      </c>
      <c r="C216" s="1" t="s">
        <v>41</v>
      </c>
      <c r="D216" s="1" t="str">
        <f>VLOOKUP(Table1[[#This Row],[DEVELOPMENT]],Data[],MATCH(Table1[[#Headers],[NRR]],Data[#Headers],0),FALSE)</f>
        <v>Zone 1</v>
      </c>
      <c r="E216" s="1" t="e">
        <f>VLOOKUP(Table1[[#This Row],[DEVELOPMENT]],Data[],MATCH(Table1[[#Headers],[Priority Level]],Data[#Headers],0),FALSE)</f>
        <v>#N/A</v>
      </c>
      <c r="F216" s="1" t="e">
        <f>VLOOKUP(Table1[[#This Row],[DEVELOPMENT]],Data[],MATCH(Table1[[#Headers],[RAD/PACT]],Data[#Headers],0),FALSE)</f>
        <v>#N/A</v>
      </c>
      <c r="G216" s="1" t="s">
        <v>52</v>
      </c>
      <c r="H216" s="6" t="s">
        <v>33</v>
      </c>
      <c r="I216" s="8"/>
      <c r="J216" s="8">
        <f>K216</f>
        <v>33090.840899999996</v>
      </c>
      <c r="K216" s="3">
        <v>33090.840899999996</v>
      </c>
      <c r="L216" s="75">
        <v>2019</v>
      </c>
      <c r="M216" s="75"/>
      <c r="N216" s="75"/>
      <c r="O216" s="2" t="s">
        <v>53</v>
      </c>
      <c r="P216" s="2"/>
      <c r="Q216" s="3"/>
      <c r="R21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16" s="1"/>
      <c r="T216" s="16"/>
    </row>
    <row r="217" spans="1:20">
      <c r="A217" s="13" t="str">
        <f>VLOOKUP(C217,Data[],2,FALSE)</f>
        <v>MANHATTAN</v>
      </c>
      <c r="B217" s="1"/>
      <c r="C217" s="1" t="s">
        <v>133</v>
      </c>
      <c r="D217" s="1" t="str">
        <f>VLOOKUP(Table1[[#This Row],[DEVELOPMENT]],Data[],MATCH(Table1[[#Headers],[NRR]],Data[#Headers],0),FALSE)</f>
        <v>Zone 2</v>
      </c>
      <c r="E217" s="1" t="e">
        <f>VLOOKUP(Table1[[#This Row],[DEVELOPMENT]],Data[],MATCH(Table1[[#Headers],[Priority Level]],Data[#Headers],0),FALSE)</f>
        <v>#N/A</v>
      </c>
      <c r="F217" s="1" t="e">
        <f>VLOOKUP(Table1[[#This Row],[DEVELOPMENT]],Data[],MATCH(Table1[[#Headers],[RAD/PACT]],Data[#Headers],0),FALSE)</f>
        <v>#N/A</v>
      </c>
      <c r="G217" s="9" t="s">
        <v>52</v>
      </c>
      <c r="H217" s="12"/>
      <c r="I217" s="8"/>
      <c r="J217" s="8"/>
      <c r="K217" s="3"/>
      <c r="L217" s="76"/>
      <c r="M217" s="73"/>
      <c r="N217" s="73"/>
      <c r="O217" s="2"/>
      <c r="P217" s="2"/>
      <c r="Q217" s="11"/>
      <c r="R21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17" s="9"/>
      <c r="T217" s="16"/>
    </row>
    <row r="218" spans="1:20">
      <c r="A218" s="13" t="str">
        <f>VLOOKUP(C218,Data[],2,FALSE)</f>
        <v>MANHATTAN</v>
      </c>
      <c r="B218" s="1"/>
      <c r="C218" s="1" t="s">
        <v>115</v>
      </c>
      <c r="D218" s="1" t="str">
        <f>VLOOKUP(Table1[[#This Row],[DEVELOPMENT]],Data[],MATCH(Table1[[#Headers],[NRR]],Data[#Headers],0),FALSE)</f>
        <v>Zone 2</v>
      </c>
      <c r="E218" s="1" t="e">
        <f>VLOOKUP(Table1[[#This Row],[DEVELOPMENT]],Data[],MATCH(Table1[[#Headers],[Priority Level]],Data[#Headers],0),FALSE)</f>
        <v>#N/A</v>
      </c>
      <c r="F218" s="1" t="e">
        <f>VLOOKUP(Table1[[#This Row],[DEVELOPMENT]],Data[],MATCH(Table1[[#Headers],[RAD/PACT]],Data[#Headers],0),FALSE)</f>
        <v>#N/A</v>
      </c>
      <c r="G218" s="9" t="s">
        <v>52</v>
      </c>
      <c r="H218" s="12"/>
      <c r="I218" s="8"/>
      <c r="J218" s="8"/>
      <c r="K218" s="3"/>
      <c r="L218" s="76"/>
      <c r="M218" s="73"/>
      <c r="N218" s="73"/>
      <c r="O218" s="2"/>
      <c r="P218" s="2"/>
      <c r="Q218" s="11"/>
      <c r="R21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18" s="9"/>
      <c r="T218" s="16"/>
    </row>
    <row r="219" spans="1:20">
      <c r="A219" s="13" t="str">
        <f>VLOOKUP(C219,Data[],2,FALSE)</f>
        <v>BROOKLYN</v>
      </c>
      <c r="B219" s="9" t="s">
        <v>25</v>
      </c>
      <c r="C219" s="9" t="s">
        <v>42</v>
      </c>
      <c r="D219" s="1" t="str">
        <f>VLOOKUP(Table1[[#This Row],[DEVELOPMENT]],Data[],MATCH(Table1[[#Headers],[NRR]],Data[#Headers],0),FALSE)</f>
        <v>Zone 1</v>
      </c>
      <c r="E219" s="1" t="e">
        <f>VLOOKUP(Table1[[#This Row],[DEVELOPMENT]],Data[],MATCH(Table1[[#Headers],[Priority Level]],Data[#Headers],0),FALSE)</f>
        <v>#N/A</v>
      </c>
      <c r="F219" s="1" t="e">
        <f>VLOOKUP(Table1[[#This Row],[DEVELOPMENT]],Data[],MATCH(Table1[[#Headers],[RAD/PACT]],Data[#Headers],0),FALSE)</f>
        <v>#N/A</v>
      </c>
      <c r="G219" s="9" t="s">
        <v>52</v>
      </c>
      <c r="H219" s="2" t="s">
        <v>33</v>
      </c>
      <c r="I219" s="10"/>
      <c r="J219" s="10">
        <f>K219</f>
        <v>37244.032963258331</v>
      </c>
      <c r="K219" s="11">
        <v>37244.032963258331</v>
      </c>
      <c r="L219" s="73">
        <v>2019</v>
      </c>
      <c r="M219" s="75"/>
      <c r="N219" s="75"/>
      <c r="O219" s="2" t="s">
        <v>53</v>
      </c>
      <c r="P219" s="2"/>
      <c r="Q219" s="3"/>
      <c r="R21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19" s="1"/>
      <c r="T219" s="16"/>
    </row>
    <row r="220" spans="1:20">
      <c r="A220" s="13" t="str">
        <f>VLOOKUP(C220,Data[],2,FALSE)</f>
        <v>MANHATTAN</v>
      </c>
      <c r="B220" s="1"/>
      <c r="C220" s="1" t="s">
        <v>136</v>
      </c>
      <c r="D220" s="1" t="str">
        <f>VLOOKUP(Table1[[#This Row],[DEVELOPMENT]],Data[],MATCH(Table1[[#Headers],[NRR]],Data[#Headers],0),FALSE)</f>
        <v>Zone 2</v>
      </c>
      <c r="E220" s="1" t="e">
        <f>VLOOKUP(Table1[[#This Row],[DEVELOPMENT]],Data[],MATCH(Table1[[#Headers],[Priority Level]],Data[#Headers],0),FALSE)</f>
        <v>#N/A</v>
      </c>
      <c r="F220" s="1" t="e">
        <f>VLOOKUP(Table1[[#This Row],[DEVELOPMENT]],Data[],MATCH(Table1[[#Headers],[RAD/PACT]],Data[#Headers],0),FALSE)</f>
        <v>#N/A</v>
      </c>
      <c r="G220" s="9" t="s">
        <v>52</v>
      </c>
      <c r="H220" s="12"/>
      <c r="I220" s="8"/>
      <c r="J220" s="8"/>
      <c r="K220" s="3"/>
      <c r="L220" s="76"/>
      <c r="M220" s="73"/>
      <c r="N220" s="73"/>
      <c r="O220" s="2"/>
      <c r="P220" s="2"/>
      <c r="Q220" s="11"/>
      <c r="R22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20" s="9"/>
      <c r="T220" s="16"/>
    </row>
    <row r="221" spans="1:20">
      <c r="A221" s="13" t="str">
        <f>VLOOKUP(C221,Data[],2,FALSE)</f>
        <v>BROOKLYN</v>
      </c>
      <c r="B221" s="9" t="s">
        <v>25</v>
      </c>
      <c r="C221" s="9" t="s">
        <v>45</v>
      </c>
      <c r="D221" s="1" t="str">
        <f>VLOOKUP(Table1[[#This Row],[DEVELOPMENT]],Data[],MATCH(Table1[[#Headers],[NRR]],Data[#Headers],0),FALSE)</f>
        <v>Zone 1</v>
      </c>
      <c r="E221" s="1" t="e">
        <f>VLOOKUP(Table1[[#This Row],[DEVELOPMENT]],Data[],MATCH(Table1[[#Headers],[Priority Level]],Data[#Headers],0),FALSE)</f>
        <v>#N/A</v>
      </c>
      <c r="F221" s="1" t="e">
        <f>VLOOKUP(Table1[[#This Row],[DEVELOPMENT]],Data[],MATCH(Table1[[#Headers],[RAD/PACT]],Data[#Headers],0),FALSE)</f>
        <v>#N/A</v>
      </c>
      <c r="G221" s="9" t="s">
        <v>52</v>
      </c>
      <c r="H221" s="2" t="s">
        <v>33</v>
      </c>
      <c r="I221" s="10"/>
      <c r="J221" s="10">
        <f>K221</f>
        <v>38361.353952156082</v>
      </c>
      <c r="K221" s="11">
        <v>38361.353952156082</v>
      </c>
      <c r="L221" s="73">
        <v>2019</v>
      </c>
      <c r="M221" s="75"/>
      <c r="N221" s="75"/>
      <c r="O221" s="2" t="s">
        <v>53</v>
      </c>
      <c r="P221" s="2"/>
      <c r="Q221" s="3"/>
      <c r="R22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21" s="1"/>
      <c r="T221" s="16"/>
    </row>
    <row r="222" spans="1:20">
      <c r="A222" s="13" t="str">
        <f>VLOOKUP(C222,Data[],2,FALSE)</f>
        <v>MANHATTAN</v>
      </c>
      <c r="B222" s="1"/>
      <c r="C222" s="1" t="s">
        <v>128</v>
      </c>
      <c r="D222" s="1" t="str">
        <f>VLOOKUP(Table1[[#This Row],[DEVELOPMENT]],Data[],MATCH(Table1[[#Headers],[NRR]],Data[#Headers],0),FALSE)</f>
        <v>Zone 2</v>
      </c>
      <c r="E222" s="1" t="e">
        <f>VLOOKUP(Table1[[#This Row],[DEVELOPMENT]],Data[],MATCH(Table1[[#Headers],[Priority Level]],Data[#Headers],0),FALSE)</f>
        <v>#N/A</v>
      </c>
      <c r="F222" s="1" t="e">
        <f>VLOOKUP(Table1[[#This Row],[DEVELOPMENT]],Data[],MATCH(Table1[[#Headers],[RAD/PACT]],Data[#Headers],0),FALSE)</f>
        <v>#N/A</v>
      </c>
      <c r="G222" s="9" t="s">
        <v>52</v>
      </c>
      <c r="H222" s="12"/>
      <c r="I222" s="8"/>
      <c r="J222" s="8"/>
      <c r="K222" s="3"/>
      <c r="L222" s="76"/>
      <c r="M222" s="73"/>
      <c r="N222" s="73"/>
      <c r="O222" s="2"/>
      <c r="P222" s="2"/>
      <c r="Q222" s="11"/>
      <c r="R22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22" s="9"/>
      <c r="T222" s="16"/>
    </row>
    <row r="223" spans="1:20">
      <c r="A223" s="13" t="str">
        <f>VLOOKUP(C223,Data[],2,FALSE)</f>
        <v>MANHATTAN</v>
      </c>
      <c r="B223" s="1"/>
      <c r="C223" s="1" t="s">
        <v>127</v>
      </c>
      <c r="D223" s="1" t="str">
        <f>VLOOKUP(Table1[[#This Row],[DEVELOPMENT]],Data[],MATCH(Table1[[#Headers],[NRR]],Data[#Headers],0),FALSE)</f>
        <v>Zone 2</v>
      </c>
      <c r="E223" s="1" t="e">
        <f>VLOOKUP(Table1[[#This Row],[DEVELOPMENT]],Data[],MATCH(Table1[[#Headers],[Priority Level]],Data[#Headers],0),FALSE)</f>
        <v>#N/A</v>
      </c>
      <c r="F223" s="1" t="e">
        <f>VLOOKUP(Table1[[#This Row],[DEVELOPMENT]],Data[],MATCH(Table1[[#Headers],[RAD/PACT]],Data[#Headers],0),FALSE)</f>
        <v>#N/A</v>
      </c>
      <c r="G223" s="9" t="s">
        <v>52</v>
      </c>
      <c r="H223" s="12"/>
      <c r="I223" s="8"/>
      <c r="J223" s="8"/>
      <c r="K223" s="3"/>
      <c r="L223" s="76"/>
      <c r="M223" s="73"/>
      <c r="N223" s="73"/>
      <c r="O223" s="2"/>
      <c r="P223" s="2"/>
      <c r="Q223" s="11"/>
      <c r="R22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23" s="9"/>
      <c r="T223" s="16"/>
    </row>
    <row r="224" spans="1:20">
      <c r="A224" s="13" t="str">
        <f>VLOOKUP(C224,Data[],2,FALSE)</f>
        <v>BRONX</v>
      </c>
      <c r="B224" s="9" t="s">
        <v>25</v>
      </c>
      <c r="C224" s="9" t="s">
        <v>47</v>
      </c>
      <c r="D224" s="1" t="str">
        <f>VLOOKUP(Table1[[#This Row],[DEVELOPMENT]],Data[],MATCH(Table1[[#Headers],[NRR]],Data[#Headers],0),FALSE)</f>
        <v>Zone 1</v>
      </c>
      <c r="E224" s="1" t="e">
        <f>VLOOKUP(Table1[[#This Row],[DEVELOPMENT]],Data[],MATCH(Table1[[#Headers],[Priority Level]],Data[#Headers],0),FALSE)</f>
        <v>#N/A</v>
      </c>
      <c r="F224" s="1" t="e">
        <f>VLOOKUP(Table1[[#This Row],[DEVELOPMENT]],Data[],MATCH(Table1[[#Headers],[RAD/PACT]],Data[#Headers],0),FALSE)</f>
        <v>#N/A</v>
      </c>
      <c r="G224" s="9" t="s">
        <v>52</v>
      </c>
      <c r="H224" s="2" t="s">
        <v>28</v>
      </c>
      <c r="I224" s="10">
        <f>K224</f>
        <v>37244.032963258331</v>
      </c>
      <c r="J224" s="10"/>
      <c r="K224" s="11">
        <v>37244.032963258331</v>
      </c>
      <c r="L224" s="73">
        <v>2019</v>
      </c>
      <c r="M224" s="75"/>
      <c r="N224" s="75"/>
      <c r="O224" s="2" t="s">
        <v>53</v>
      </c>
      <c r="P224" s="2"/>
      <c r="Q224" s="3"/>
      <c r="R22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24" s="1"/>
      <c r="T224" s="16"/>
    </row>
    <row r="225" spans="1:20">
      <c r="A225" s="13" t="str">
        <f>VLOOKUP(C225,Data[],2,FALSE)</f>
        <v>MANHATTAN</v>
      </c>
      <c r="B225" s="1"/>
      <c r="C225" s="1" t="s">
        <v>120</v>
      </c>
      <c r="D225" s="1" t="str">
        <f>VLOOKUP(Table1[[#This Row],[DEVELOPMENT]],Data[],MATCH(Table1[[#Headers],[NRR]],Data[#Headers],0),FALSE)</f>
        <v>Zone 2</v>
      </c>
      <c r="E225" s="1" t="e">
        <f>VLOOKUP(Table1[[#This Row],[DEVELOPMENT]],Data[],MATCH(Table1[[#Headers],[Priority Level]],Data[#Headers],0),FALSE)</f>
        <v>#N/A</v>
      </c>
      <c r="F225" s="1" t="e">
        <f>VLOOKUP(Table1[[#This Row],[DEVELOPMENT]],Data[],MATCH(Table1[[#Headers],[RAD/PACT]],Data[#Headers],0),FALSE)</f>
        <v>#N/A</v>
      </c>
      <c r="G225" s="1" t="s">
        <v>141</v>
      </c>
      <c r="H225" s="7"/>
      <c r="I225" s="8"/>
      <c r="J225" s="8"/>
      <c r="K225" s="3"/>
      <c r="L225" s="76"/>
      <c r="M225" s="73"/>
      <c r="N225" s="73"/>
      <c r="O225" s="2"/>
      <c r="P225" s="2"/>
      <c r="Q225" s="11"/>
      <c r="R22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25" s="9"/>
      <c r="T225" s="16"/>
    </row>
    <row r="226" spans="1:20">
      <c r="A226" s="13" t="str">
        <f>VLOOKUP(C226,Data[],2,FALSE)</f>
        <v>MANHATTAN</v>
      </c>
      <c r="B226" s="1"/>
      <c r="C226" s="1" t="s">
        <v>78</v>
      </c>
      <c r="D226" s="1" t="str">
        <f>VLOOKUP(Table1[[#This Row],[DEVELOPMENT]],Data[],MATCH(Table1[[#Headers],[NRR]],Data[#Headers],0),FALSE)</f>
        <v>Zone 2</v>
      </c>
      <c r="E226" s="1" t="e">
        <f>VLOOKUP(Table1[[#This Row],[DEVELOPMENT]],Data[],MATCH(Table1[[#Headers],[Priority Level]],Data[#Headers],0),FALSE)</f>
        <v>#N/A</v>
      </c>
      <c r="F226" s="1" t="e">
        <f>VLOOKUP(Table1[[#This Row],[DEVELOPMENT]],Data[],MATCH(Table1[[#Headers],[RAD/PACT]],Data[#Headers],0),FALSE)</f>
        <v>#N/A</v>
      </c>
      <c r="G226" s="1" t="s">
        <v>141</v>
      </c>
      <c r="H226" s="7"/>
      <c r="I226" s="8"/>
      <c r="J226" s="8"/>
      <c r="K226" s="3"/>
      <c r="L226" s="76"/>
      <c r="M226" s="73"/>
      <c r="N226" s="73"/>
      <c r="O226" s="2"/>
      <c r="P226" s="2"/>
      <c r="Q226" s="11"/>
      <c r="R22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26" s="9"/>
      <c r="T226" s="16"/>
    </row>
    <row r="227" spans="1:20">
      <c r="A227" s="13" t="str">
        <f>VLOOKUP(C227,Data[],2,FALSE)</f>
        <v>MANHATTAN</v>
      </c>
      <c r="B227" s="1"/>
      <c r="C227" s="1" t="s">
        <v>81</v>
      </c>
      <c r="D227" s="1" t="str">
        <f>VLOOKUP(Table1[[#This Row],[DEVELOPMENT]],Data[],MATCH(Table1[[#Headers],[NRR]],Data[#Headers],0),FALSE)</f>
        <v>Zone 2</v>
      </c>
      <c r="E227" s="1" t="e">
        <f>VLOOKUP(Table1[[#This Row],[DEVELOPMENT]],Data[],MATCH(Table1[[#Headers],[Priority Level]],Data[#Headers],0),FALSE)</f>
        <v>#N/A</v>
      </c>
      <c r="F227" s="1" t="e">
        <f>VLOOKUP(Table1[[#This Row],[DEVELOPMENT]],Data[],MATCH(Table1[[#Headers],[RAD/PACT]],Data[#Headers],0),FALSE)</f>
        <v>#N/A</v>
      </c>
      <c r="G227" s="1" t="s">
        <v>141</v>
      </c>
      <c r="H227" s="7"/>
      <c r="I227" s="8"/>
      <c r="J227" s="8"/>
      <c r="K227" s="3"/>
      <c r="L227" s="76"/>
      <c r="M227" s="73"/>
      <c r="N227" s="73"/>
      <c r="O227" s="2"/>
      <c r="P227" s="2"/>
      <c r="Q227" s="11"/>
      <c r="R22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27" s="9"/>
      <c r="T227" s="16"/>
    </row>
    <row r="228" spans="1:20">
      <c r="A228" s="13" t="str">
        <f>VLOOKUP(C228,Data[],2,FALSE)</f>
        <v>MANHATTAN</v>
      </c>
      <c r="B228" s="1"/>
      <c r="C228" s="1" t="s">
        <v>112</v>
      </c>
      <c r="D228" s="1" t="str">
        <f>VLOOKUP(Table1[[#This Row],[DEVELOPMENT]],Data[],MATCH(Table1[[#Headers],[NRR]],Data[#Headers],0),FALSE)</f>
        <v>Zone 2</v>
      </c>
      <c r="E228" s="1" t="e">
        <f>VLOOKUP(Table1[[#This Row],[DEVELOPMENT]],Data[],MATCH(Table1[[#Headers],[Priority Level]],Data[#Headers],0),FALSE)</f>
        <v>#N/A</v>
      </c>
      <c r="F228" s="1" t="e">
        <f>VLOOKUP(Table1[[#This Row],[DEVELOPMENT]],Data[],MATCH(Table1[[#Headers],[RAD/PACT]],Data[#Headers],0),FALSE)</f>
        <v>#N/A</v>
      </c>
      <c r="G228" s="1" t="s">
        <v>141</v>
      </c>
      <c r="H228" s="7"/>
      <c r="I228" s="8"/>
      <c r="J228" s="8"/>
      <c r="K228" s="3"/>
      <c r="L228" s="76"/>
      <c r="M228" s="73"/>
      <c r="N228" s="73"/>
      <c r="O228" s="2"/>
      <c r="P228" s="2"/>
      <c r="Q228" s="11"/>
      <c r="R22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28" s="9"/>
      <c r="T228" s="16"/>
    </row>
    <row r="229" spans="1:20">
      <c r="A229" s="13" t="str">
        <f>VLOOKUP(C229,Data[],2,FALSE)</f>
        <v>MANHATTAN</v>
      </c>
      <c r="B229" s="1"/>
      <c r="C229" s="1" t="s">
        <v>83</v>
      </c>
      <c r="D229" s="1" t="str">
        <f>VLOOKUP(Table1[[#This Row],[DEVELOPMENT]],Data[],MATCH(Table1[[#Headers],[NRR]],Data[#Headers],0),FALSE)</f>
        <v>Zone 2</v>
      </c>
      <c r="E229" s="1" t="e">
        <f>VLOOKUP(Table1[[#This Row],[DEVELOPMENT]],Data[],MATCH(Table1[[#Headers],[Priority Level]],Data[#Headers],0),FALSE)</f>
        <v>#N/A</v>
      </c>
      <c r="F229" s="1" t="e">
        <f>VLOOKUP(Table1[[#This Row],[DEVELOPMENT]],Data[],MATCH(Table1[[#Headers],[RAD/PACT]],Data[#Headers],0),FALSE)</f>
        <v>#N/A</v>
      </c>
      <c r="G229" s="1" t="s">
        <v>141</v>
      </c>
      <c r="H229" s="7"/>
      <c r="I229" s="8"/>
      <c r="J229" s="8"/>
      <c r="K229" s="3"/>
      <c r="L229" s="76"/>
      <c r="M229" s="73"/>
      <c r="N229" s="73"/>
      <c r="O229" s="2"/>
      <c r="P229" s="2"/>
      <c r="Q229" s="11"/>
      <c r="R22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29" s="9"/>
      <c r="T229" s="16"/>
    </row>
    <row r="230" spans="1:20">
      <c r="A230" s="13" t="str">
        <f>VLOOKUP(C230,Data[],2,FALSE)</f>
        <v>MANHATTAN</v>
      </c>
      <c r="B230" s="1"/>
      <c r="C230" s="1" t="s">
        <v>131</v>
      </c>
      <c r="D230" s="1" t="str">
        <f>VLOOKUP(Table1[[#This Row],[DEVELOPMENT]],Data[],MATCH(Table1[[#Headers],[NRR]],Data[#Headers],0),FALSE)</f>
        <v>Zone 2</v>
      </c>
      <c r="E230" s="1" t="e">
        <f>VLOOKUP(Table1[[#This Row],[DEVELOPMENT]],Data[],MATCH(Table1[[#Headers],[Priority Level]],Data[#Headers],0),FALSE)</f>
        <v>#N/A</v>
      </c>
      <c r="F230" s="1" t="e">
        <f>VLOOKUP(Table1[[#This Row],[DEVELOPMENT]],Data[],MATCH(Table1[[#Headers],[RAD/PACT]],Data[#Headers],0),FALSE)</f>
        <v>#N/A</v>
      </c>
      <c r="G230" s="1" t="s">
        <v>141</v>
      </c>
      <c r="H230" s="7"/>
      <c r="I230" s="8"/>
      <c r="J230" s="8"/>
      <c r="K230" s="3"/>
      <c r="L230" s="76"/>
      <c r="M230" s="73"/>
      <c r="N230" s="73"/>
      <c r="O230" s="2"/>
      <c r="P230" s="2"/>
      <c r="Q230" s="11"/>
      <c r="R23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30" s="9"/>
      <c r="T230" s="16"/>
    </row>
    <row r="231" spans="1:20">
      <c r="A231" s="13" t="str">
        <f>VLOOKUP(C231,Data[],2,FALSE)</f>
        <v>MANHATTAN</v>
      </c>
      <c r="B231" s="1"/>
      <c r="C231" s="1" t="s">
        <v>113</v>
      </c>
      <c r="D231" s="1" t="str">
        <f>VLOOKUP(Table1[[#This Row],[DEVELOPMENT]],Data[],MATCH(Table1[[#Headers],[NRR]],Data[#Headers],0),FALSE)</f>
        <v>Zone 2</v>
      </c>
      <c r="E231" s="1" t="e">
        <f>VLOOKUP(Table1[[#This Row],[DEVELOPMENT]],Data[],MATCH(Table1[[#Headers],[Priority Level]],Data[#Headers],0),FALSE)</f>
        <v>#N/A</v>
      </c>
      <c r="F231" s="1" t="e">
        <f>VLOOKUP(Table1[[#This Row],[DEVELOPMENT]],Data[],MATCH(Table1[[#Headers],[RAD/PACT]],Data[#Headers],0),FALSE)</f>
        <v>#N/A</v>
      </c>
      <c r="G231" s="1" t="s">
        <v>141</v>
      </c>
      <c r="H231" s="7"/>
      <c r="I231" s="8"/>
      <c r="J231" s="8"/>
      <c r="K231" s="3"/>
      <c r="L231" s="76"/>
      <c r="M231" s="73"/>
      <c r="N231" s="73"/>
      <c r="O231" s="2"/>
      <c r="P231" s="2"/>
      <c r="Q231" s="11"/>
      <c r="R23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31" s="9"/>
      <c r="T231" s="16"/>
    </row>
    <row r="232" spans="1:20">
      <c r="A232" s="13" t="str">
        <f>VLOOKUP(C232,Data[],2,FALSE)</f>
        <v>MANHATTAN</v>
      </c>
      <c r="B232" s="1"/>
      <c r="C232" s="1" t="s">
        <v>115</v>
      </c>
      <c r="D232" s="1" t="str">
        <f>VLOOKUP(Table1[[#This Row],[DEVELOPMENT]],Data[],MATCH(Table1[[#Headers],[NRR]],Data[#Headers],0),FALSE)</f>
        <v>Zone 2</v>
      </c>
      <c r="E232" s="1" t="e">
        <f>VLOOKUP(Table1[[#This Row],[DEVELOPMENT]],Data[],MATCH(Table1[[#Headers],[Priority Level]],Data[#Headers],0),FALSE)</f>
        <v>#N/A</v>
      </c>
      <c r="F232" s="1" t="e">
        <f>VLOOKUP(Table1[[#This Row],[DEVELOPMENT]],Data[],MATCH(Table1[[#Headers],[RAD/PACT]],Data[#Headers],0),FALSE)</f>
        <v>#N/A</v>
      </c>
      <c r="G232" s="1" t="s">
        <v>141</v>
      </c>
      <c r="H232" s="7"/>
      <c r="I232" s="8"/>
      <c r="J232" s="8"/>
      <c r="K232" s="3"/>
      <c r="L232" s="76"/>
      <c r="M232" s="73"/>
      <c r="N232" s="73"/>
      <c r="O232" s="2"/>
      <c r="P232" s="2"/>
      <c r="Q232" s="11"/>
      <c r="R23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32" s="9"/>
      <c r="T232" s="16"/>
    </row>
    <row r="233" spans="1:20">
      <c r="A233" s="13" t="str">
        <f>VLOOKUP(C233,Data[],2,FALSE)</f>
        <v>MANHATTAN</v>
      </c>
      <c r="B233" s="1"/>
      <c r="C233" s="1" t="s">
        <v>136</v>
      </c>
      <c r="D233" s="1" t="str">
        <f>VLOOKUP(Table1[[#This Row],[DEVELOPMENT]],Data[],MATCH(Table1[[#Headers],[NRR]],Data[#Headers],0),FALSE)</f>
        <v>Zone 2</v>
      </c>
      <c r="E233" s="1" t="e">
        <f>VLOOKUP(Table1[[#This Row],[DEVELOPMENT]],Data[],MATCH(Table1[[#Headers],[Priority Level]],Data[#Headers],0),FALSE)</f>
        <v>#N/A</v>
      </c>
      <c r="F233" s="1" t="e">
        <f>VLOOKUP(Table1[[#This Row],[DEVELOPMENT]],Data[],MATCH(Table1[[#Headers],[RAD/PACT]],Data[#Headers],0),FALSE)</f>
        <v>#N/A</v>
      </c>
      <c r="G233" s="1" t="s">
        <v>141</v>
      </c>
      <c r="H233" s="7"/>
      <c r="I233" s="8"/>
      <c r="J233" s="8"/>
      <c r="K233" s="3"/>
      <c r="L233" s="76"/>
      <c r="M233" s="73"/>
      <c r="N233" s="73"/>
      <c r="O233" s="2"/>
      <c r="P233" s="2"/>
      <c r="Q233" s="11"/>
      <c r="R23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33" s="9"/>
      <c r="T233" s="16"/>
    </row>
    <row r="234" spans="1:20">
      <c r="A234" s="13" t="str">
        <f>VLOOKUP(C234,Data[],2,FALSE)</f>
        <v>MANHATTAN</v>
      </c>
      <c r="B234" s="1"/>
      <c r="C234" s="1" t="s">
        <v>128</v>
      </c>
      <c r="D234" s="1" t="str">
        <f>VLOOKUP(Table1[[#This Row],[DEVELOPMENT]],Data[],MATCH(Table1[[#Headers],[NRR]],Data[#Headers],0),FALSE)</f>
        <v>Zone 2</v>
      </c>
      <c r="E234" s="1" t="e">
        <f>VLOOKUP(Table1[[#This Row],[DEVELOPMENT]],Data[],MATCH(Table1[[#Headers],[Priority Level]],Data[#Headers],0),FALSE)</f>
        <v>#N/A</v>
      </c>
      <c r="F234" s="1" t="e">
        <f>VLOOKUP(Table1[[#This Row],[DEVELOPMENT]],Data[],MATCH(Table1[[#Headers],[RAD/PACT]],Data[#Headers],0),FALSE)</f>
        <v>#N/A</v>
      </c>
      <c r="G234" s="1" t="s">
        <v>141</v>
      </c>
      <c r="H234" s="7"/>
      <c r="I234" s="8"/>
      <c r="J234" s="8"/>
      <c r="K234" s="3"/>
      <c r="L234" s="76"/>
      <c r="M234" s="73"/>
      <c r="N234" s="73"/>
      <c r="O234" s="2"/>
      <c r="P234" s="2"/>
      <c r="Q234" s="11"/>
      <c r="R23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34" s="9"/>
      <c r="T234" s="16"/>
    </row>
    <row r="235" spans="1:20">
      <c r="A235" s="13" t="str">
        <f>VLOOKUP(C235,Data[],2,FALSE)</f>
        <v>MANHATTAN</v>
      </c>
      <c r="B235" s="1"/>
      <c r="C235" s="1" t="s">
        <v>127</v>
      </c>
      <c r="D235" s="1" t="str">
        <f>VLOOKUP(Table1[[#This Row],[DEVELOPMENT]],Data[],MATCH(Table1[[#Headers],[NRR]],Data[#Headers],0),FALSE)</f>
        <v>Zone 2</v>
      </c>
      <c r="E235" s="1" t="e">
        <f>VLOOKUP(Table1[[#This Row],[DEVELOPMENT]],Data[],MATCH(Table1[[#Headers],[Priority Level]],Data[#Headers],0),FALSE)</f>
        <v>#N/A</v>
      </c>
      <c r="F235" s="1" t="e">
        <f>VLOOKUP(Table1[[#This Row],[DEVELOPMENT]],Data[],MATCH(Table1[[#Headers],[RAD/PACT]],Data[#Headers],0),FALSE)</f>
        <v>#N/A</v>
      </c>
      <c r="G235" s="1" t="s">
        <v>141</v>
      </c>
      <c r="H235" s="7"/>
      <c r="I235" s="8"/>
      <c r="J235" s="8"/>
      <c r="K235" s="3"/>
      <c r="L235" s="76"/>
      <c r="M235" s="73"/>
      <c r="N235" s="73"/>
      <c r="O235" s="2"/>
      <c r="P235" s="2"/>
      <c r="Q235" s="11"/>
      <c r="R23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35" s="9"/>
      <c r="T235" s="16"/>
    </row>
    <row r="236" spans="1:20">
      <c r="A236" s="13" t="str">
        <f>VLOOKUP(C236,Data[],2,FALSE)</f>
        <v>MANHATTAN</v>
      </c>
      <c r="B236" s="1"/>
      <c r="C236" s="1" t="s">
        <v>67</v>
      </c>
      <c r="D236" s="1" t="str">
        <f>VLOOKUP(Table1[[#This Row],[DEVELOPMENT]],Data[],MATCH(Table1[[#Headers],[NRR]],Data[#Headers],0),FALSE)</f>
        <v>Zone 2</v>
      </c>
      <c r="E236" s="1" t="e">
        <f>VLOOKUP(Table1[[#This Row],[DEVELOPMENT]],Data[],MATCH(Table1[[#Headers],[Priority Level]],Data[#Headers],0),FALSE)</f>
        <v>#N/A</v>
      </c>
      <c r="F236" s="1" t="e">
        <f>VLOOKUP(Table1[[#This Row],[DEVELOPMENT]],Data[],MATCH(Table1[[#Headers],[RAD/PACT]],Data[#Headers],0),FALSE)</f>
        <v>#N/A</v>
      </c>
      <c r="G236" s="9" t="s">
        <v>27</v>
      </c>
      <c r="H236" s="7"/>
      <c r="I236" s="8"/>
      <c r="J236" s="8"/>
      <c r="K236" s="3"/>
      <c r="L236" s="76"/>
      <c r="M236" s="73"/>
      <c r="N236" s="73"/>
      <c r="O236" s="2"/>
      <c r="P236" s="2"/>
      <c r="Q236" s="11"/>
      <c r="R23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36" s="9"/>
      <c r="T236" s="16"/>
    </row>
    <row r="237" spans="1:20">
      <c r="A237" s="13" t="str">
        <f>VLOOKUP(C237,Data[],2,FALSE)</f>
        <v>BROOKLYN</v>
      </c>
      <c r="B237" s="9" t="s">
        <v>25</v>
      </c>
      <c r="C237" s="9" t="s">
        <v>118</v>
      </c>
      <c r="D237" s="1" t="str">
        <f>VLOOKUP(Table1[[#This Row],[DEVELOPMENT]],Data[],MATCH(Table1[[#Headers],[NRR]],Data[#Headers],0),FALSE)</f>
        <v>Zone 1</v>
      </c>
      <c r="E237" s="1" t="e">
        <f>VLOOKUP(Table1[[#This Row],[DEVELOPMENT]],Data[],MATCH(Table1[[#Headers],[Priority Level]],Data[#Headers],0),FALSE)</f>
        <v>#N/A</v>
      </c>
      <c r="F237" s="1" t="e">
        <f>VLOOKUP(Table1[[#This Row],[DEVELOPMENT]],Data[],MATCH(Table1[[#Headers],[RAD/PACT]],Data[#Headers],0),FALSE)</f>
        <v>#N/A</v>
      </c>
      <c r="G237" s="9" t="s">
        <v>27</v>
      </c>
      <c r="H237" s="2" t="s">
        <v>33</v>
      </c>
      <c r="I237" s="12"/>
      <c r="J237" s="10">
        <f>K237</f>
        <v>3000</v>
      </c>
      <c r="K237" s="11">
        <v>3000</v>
      </c>
      <c r="L237" s="73">
        <v>2019</v>
      </c>
      <c r="M237" s="75"/>
      <c r="N237" s="75"/>
      <c r="O237" s="2" t="s">
        <v>53</v>
      </c>
      <c r="P237" s="2"/>
      <c r="Q237" s="3"/>
      <c r="R23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37" s="1"/>
      <c r="T237" s="16"/>
    </row>
    <row r="238" spans="1:20">
      <c r="A238" s="13" t="str">
        <f>VLOOKUP(C238,Data[],2,FALSE)</f>
        <v>BROOKLYN</v>
      </c>
      <c r="B238" s="9" t="s">
        <v>25</v>
      </c>
      <c r="C238" s="9" t="s">
        <v>142</v>
      </c>
      <c r="D238" s="1" t="str">
        <f>VLOOKUP(Table1[[#This Row],[DEVELOPMENT]],Data[],MATCH(Table1[[#Headers],[NRR]],Data[#Headers],0),FALSE)</f>
        <v>Zone 1</v>
      </c>
      <c r="E238" s="1" t="e">
        <f>VLOOKUP(Table1[[#This Row],[DEVELOPMENT]],Data[],MATCH(Table1[[#Headers],[Priority Level]],Data[#Headers],0),FALSE)</f>
        <v>#N/A</v>
      </c>
      <c r="F238" s="1" t="e">
        <f>VLOOKUP(Table1[[#This Row],[DEVELOPMENT]],Data[],MATCH(Table1[[#Headers],[RAD/PACT]],Data[#Headers],0),FALSE)</f>
        <v>#N/A</v>
      </c>
      <c r="G238" s="9" t="s">
        <v>27</v>
      </c>
      <c r="H238" s="2" t="s">
        <v>33</v>
      </c>
      <c r="I238" s="12"/>
      <c r="J238" s="10">
        <f>K238</f>
        <v>15000</v>
      </c>
      <c r="K238" s="11">
        <v>15000</v>
      </c>
      <c r="L238" s="73">
        <v>2019</v>
      </c>
      <c r="M238" s="75"/>
      <c r="N238" s="75"/>
      <c r="O238" s="2" t="s">
        <v>53</v>
      </c>
      <c r="P238" s="2"/>
      <c r="Q238" s="3"/>
      <c r="R23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38" s="1"/>
      <c r="T238" s="16"/>
    </row>
    <row r="239" spans="1:20">
      <c r="A239" s="13" t="str">
        <f>VLOOKUP(C239,Data[],2,FALSE)</f>
        <v>MANHATTAN</v>
      </c>
      <c r="B239" s="1"/>
      <c r="C239" s="1" t="s">
        <v>120</v>
      </c>
      <c r="D239" s="1" t="str">
        <f>VLOOKUP(Table1[[#This Row],[DEVELOPMENT]],Data[],MATCH(Table1[[#Headers],[NRR]],Data[#Headers],0),FALSE)</f>
        <v>Zone 2</v>
      </c>
      <c r="E239" s="1" t="e">
        <f>VLOOKUP(Table1[[#This Row],[DEVELOPMENT]],Data[],MATCH(Table1[[#Headers],[Priority Level]],Data[#Headers],0),FALSE)</f>
        <v>#N/A</v>
      </c>
      <c r="F239" s="1" t="e">
        <f>VLOOKUP(Table1[[#This Row],[DEVELOPMENT]],Data[],MATCH(Table1[[#Headers],[RAD/PACT]],Data[#Headers],0),FALSE)</f>
        <v>#N/A</v>
      </c>
      <c r="G239" s="9" t="s">
        <v>27</v>
      </c>
      <c r="H239" s="7"/>
      <c r="I239" s="8"/>
      <c r="J239" s="8"/>
      <c r="K239" s="3"/>
      <c r="L239" s="76"/>
      <c r="M239" s="73"/>
      <c r="N239" s="73"/>
      <c r="O239" s="2"/>
      <c r="P239" s="2"/>
      <c r="Q239" s="11"/>
      <c r="R23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39" s="9"/>
      <c r="T239" s="16"/>
    </row>
    <row r="240" spans="1:20">
      <c r="A240" s="13" t="str">
        <f>VLOOKUP(C240,Data[],2,FALSE)</f>
        <v>BRONX</v>
      </c>
      <c r="B240" s="9" t="s">
        <v>25</v>
      </c>
      <c r="C240" s="9" t="s">
        <v>143</v>
      </c>
      <c r="D240" s="1" t="str">
        <f>VLOOKUP(Table1[[#This Row],[DEVELOPMENT]],Data[],MATCH(Table1[[#Headers],[NRR]],Data[#Headers],0),FALSE)</f>
        <v>Zone 1</v>
      </c>
      <c r="E240" s="1" t="e">
        <f>VLOOKUP(Table1[[#This Row],[DEVELOPMENT]],Data[],MATCH(Table1[[#Headers],[Priority Level]],Data[#Headers],0),FALSE)</f>
        <v>#N/A</v>
      </c>
      <c r="F240" s="1" t="e">
        <f>VLOOKUP(Table1[[#This Row],[DEVELOPMENT]],Data[],MATCH(Table1[[#Headers],[RAD/PACT]],Data[#Headers],0),FALSE)</f>
        <v>#N/A</v>
      </c>
      <c r="G240" s="9" t="s">
        <v>27</v>
      </c>
      <c r="H240" s="2" t="s">
        <v>33</v>
      </c>
      <c r="I240" s="12"/>
      <c r="J240" s="10">
        <f>K240</f>
        <v>12000</v>
      </c>
      <c r="K240" s="11">
        <v>12000</v>
      </c>
      <c r="L240" s="73">
        <v>2019</v>
      </c>
      <c r="M240" s="75"/>
      <c r="N240" s="75"/>
      <c r="O240" s="2" t="s">
        <v>53</v>
      </c>
      <c r="P240" s="2"/>
      <c r="Q240" s="3"/>
      <c r="R24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40" s="1"/>
      <c r="T240" s="16"/>
    </row>
    <row r="241" spans="1:20">
      <c r="A241" s="13" t="str">
        <f>VLOOKUP(C241,Data[],2,FALSE)</f>
        <v>BRONX</v>
      </c>
      <c r="B241" s="9" t="s">
        <v>25</v>
      </c>
      <c r="C241" s="9" t="s">
        <v>144</v>
      </c>
      <c r="D241" s="1" t="str">
        <f>VLOOKUP(Table1[[#This Row],[DEVELOPMENT]],Data[],MATCH(Table1[[#Headers],[NRR]],Data[#Headers],0),FALSE)</f>
        <v>Zone 1</v>
      </c>
      <c r="E241" s="1" t="e">
        <f>VLOOKUP(Table1[[#This Row],[DEVELOPMENT]],Data[],MATCH(Table1[[#Headers],[Priority Level]],Data[#Headers],0),FALSE)</f>
        <v>#N/A</v>
      </c>
      <c r="F241" s="1" t="e">
        <f>VLOOKUP(Table1[[#This Row],[DEVELOPMENT]],Data[],MATCH(Table1[[#Headers],[RAD/PACT]],Data[#Headers],0),FALSE)</f>
        <v>#N/A</v>
      </c>
      <c r="G241" s="9" t="s">
        <v>27</v>
      </c>
      <c r="H241" s="2" t="s">
        <v>33</v>
      </c>
      <c r="I241" s="12"/>
      <c r="J241" s="10">
        <f>K241</f>
        <v>9000</v>
      </c>
      <c r="K241" s="11">
        <v>9000</v>
      </c>
      <c r="L241" s="73">
        <v>2019</v>
      </c>
      <c r="M241" s="75"/>
      <c r="N241" s="75"/>
      <c r="O241" s="2" t="s">
        <v>53</v>
      </c>
      <c r="P241" s="2"/>
      <c r="Q241" s="3"/>
      <c r="R24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41" s="1"/>
      <c r="T241" s="16"/>
    </row>
    <row r="242" spans="1:20">
      <c r="A242" s="13" t="str">
        <f>VLOOKUP(C242,Data[],2,FALSE)</f>
        <v>MANHATTAN</v>
      </c>
      <c r="B242" s="1"/>
      <c r="C242" s="1" t="s">
        <v>129</v>
      </c>
      <c r="D242" s="1" t="str">
        <f>VLOOKUP(Table1[[#This Row],[DEVELOPMENT]],Data[],MATCH(Table1[[#Headers],[NRR]],Data[#Headers],0),FALSE)</f>
        <v>Zone 2</v>
      </c>
      <c r="E242" s="1" t="e">
        <f>VLOOKUP(Table1[[#This Row],[DEVELOPMENT]],Data[],MATCH(Table1[[#Headers],[Priority Level]],Data[#Headers],0),FALSE)</f>
        <v>#N/A</v>
      </c>
      <c r="F242" s="1" t="e">
        <f>VLOOKUP(Table1[[#This Row],[DEVELOPMENT]],Data[],MATCH(Table1[[#Headers],[RAD/PACT]],Data[#Headers],0),FALSE)</f>
        <v>#N/A</v>
      </c>
      <c r="G242" s="9" t="s">
        <v>27</v>
      </c>
      <c r="H242" s="7"/>
      <c r="I242" s="8"/>
      <c r="J242" s="8"/>
      <c r="K242" s="3"/>
      <c r="L242" s="76"/>
      <c r="M242" s="73"/>
      <c r="N242" s="73"/>
      <c r="O242" s="2"/>
      <c r="P242" s="2"/>
      <c r="Q242" s="11"/>
      <c r="R24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42" s="9"/>
      <c r="T242" s="16"/>
    </row>
    <row r="243" spans="1:20">
      <c r="A243" s="13" t="str">
        <f>VLOOKUP(C243,Data[],2,FALSE)</f>
        <v>BRONX</v>
      </c>
      <c r="B243" s="9" t="s">
        <v>25</v>
      </c>
      <c r="C243" s="9" t="s">
        <v>145</v>
      </c>
      <c r="D243" s="1" t="str">
        <f>VLOOKUP(Table1[[#This Row],[DEVELOPMENT]],Data[],MATCH(Table1[[#Headers],[NRR]],Data[#Headers],0),FALSE)</f>
        <v>Zone 1</v>
      </c>
      <c r="E243" s="1" t="e">
        <f>VLOOKUP(Table1[[#This Row],[DEVELOPMENT]],Data[],MATCH(Table1[[#Headers],[Priority Level]],Data[#Headers],0),FALSE)</f>
        <v>#N/A</v>
      </c>
      <c r="F243" s="1" t="e">
        <f>VLOOKUP(Table1[[#This Row],[DEVELOPMENT]],Data[],MATCH(Table1[[#Headers],[RAD/PACT]],Data[#Headers],0),FALSE)</f>
        <v>#N/A</v>
      </c>
      <c r="G243" s="9" t="s">
        <v>27</v>
      </c>
      <c r="H243" s="2" t="s">
        <v>33</v>
      </c>
      <c r="I243" s="12"/>
      <c r="J243" s="10">
        <f>K243</f>
        <v>3000</v>
      </c>
      <c r="K243" s="11">
        <v>3000</v>
      </c>
      <c r="L243" s="73">
        <v>2019</v>
      </c>
      <c r="M243" s="75"/>
      <c r="N243" s="75"/>
      <c r="O243" s="2" t="s">
        <v>53</v>
      </c>
      <c r="P243" s="2"/>
      <c r="Q243" s="3"/>
      <c r="R24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43" s="1"/>
      <c r="T243" s="16"/>
    </row>
    <row r="244" spans="1:20">
      <c r="A244" s="13" t="str">
        <f>VLOOKUP(C244,Data[],2,FALSE)</f>
        <v>MANHATTAN</v>
      </c>
      <c r="B244" s="1"/>
      <c r="C244" s="1" t="s">
        <v>74</v>
      </c>
      <c r="D244" s="1" t="str">
        <f>VLOOKUP(Table1[[#This Row],[DEVELOPMENT]],Data[],MATCH(Table1[[#Headers],[NRR]],Data[#Headers],0),FALSE)</f>
        <v>Zone 2</v>
      </c>
      <c r="E244" s="1" t="e">
        <f>VLOOKUP(Table1[[#This Row],[DEVELOPMENT]],Data[],MATCH(Table1[[#Headers],[Priority Level]],Data[#Headers],0),FALSE)</f>
        <v>#N/A</v>
      </c>
      <c r="F244" s="1" t="e">
        <f>VLOOKUP(Table1[[#This Row],[DEVELOPMENT]],Data[],MATCH(Table1[[#Headers],[RAD/PACT]],Data[#Headers],0),FALSE)</f>
        <v>#N/A</v>
      </c>
      <c r="G244" s="9" t="s">
        <v>27</v>
      </c>
      <c r="H244" s="7"/>
      <c r="I244" s="8"/>
      <c r="J244" s="8"/>
      <c r="K244" s="3"/>
      <c r="L244" s="76"/>
      <c r="M244" s="73"/>
      <c r="N244" s="73"/>
      <c r="O244" s="2"/>
      <c r="P244" s="2"/>
      <c r="Q244" s="11"/>
      <c r="R24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44" s="9"/>
      <c r="T244" s="16"/>
    </row>
    <row r="245" spans="1:20">
      <c r="A245" s="13" t="str">
        <f>VLOOKUP(C245,Data[],2,FALSE)</f>
        <v>MANHATTAN</v>
      </c>
      <c r="B245" s="1"/>
      <c r="C245" s="1" t="s">
        <v>77</v>
      </c>
      <c r="D245" s="1" t="str">
        <f>VLOOKUP(Table1[[#This Row],[DEVELOPMENT]],Data[],MATCH(Table1[[#Headers],[NRR]],Data[#Headers],0),FALSE)</f>
        <v>Zone 2</v>
      </c>
      <c r="E245" s="1" t="e">
        <f>VLOOKUP(Table1[[#This Row],[DEVELOPMENT]],Data[],MATCH(Table1[[#Headers],[Priority Level]],Data[#Headers],0),FALSE)</f>
        <v>#N/A</v>
      </c>
      <c r="F245" s="1" t="e">
        <f>VLOOKUP(Table1[[#This Row],[DEVELOPMENT]],Data[],MATCH(Table1[[#Headers],[RAD/PACT]],Data[#Headers],0),FALSE)</f>
        <v>#N/A</v>
      </c>
      <c r="G245" s="9" t="s">
        <v>27</v>
      </c>
      <c r="H245" s="7"/>
      <c r="I245" s="8"/>
      <c r="J245" s="8"/>
      <c r="K245" s="3"/>
      <c r="L245" s="76"/>
      <c r="M245" s="73"/>
      <c r="N245" s="73"/>
      <c r="O245" s="2"/>
      <c r="P245" s="2"/>
      <c r="Q245" s="11"/>
      <c r="R24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45" s="9"/>
      <c r="T245" s="16"/>
    </row>
    <row r="246" spans="1:20">
      <c r="A246" s="13" t="str">
        <f>VLOOKUP(C246,Data[],2,FALSE)</f>
        <v>BRONX</v>
      </c>
      <c r="B246" s="9" t="s">
        <v>25</v>
      </c>
      <c r="C246" s="9" t="s">
        <v>121</v>
      </c>
      <c r="D246" s="1" t="str">
        <f>VLOOKUP(Table1[[#This Row],[DEVELOPMENT]],Data[],MATCH(Table1[[#Headers],[NRR]],Data[#Headers],0),FALSE)</f>
        <v>Zone 1</v>
      </c>
      <c r="E246" s="1" t="e">
        <f>VLOOKUP(Table1[[#This Row],[DEVELOPMENT]],Data[],MATCH(Table1[[#Headers],[Priority Level]],Data[#Headers],0),FALSE)</f>
        <v>#N/A</v>
      </c>
      <c r="F246" s="1" t="e">
        <f>VLOOKUP(Table1[[#This Row],[DEVELOPMENT]],Data[],MATCH(Table1[[#Headers],[RAD/PACT]],Data[#Headers],0),FALSE)</f>
        <v>#N/A</v>
      </c>
      <c r="G246" s="9" t="s">
        <v>27</v>
      </c>
      <c r="H246" s="2" t="s">
        <v>28</v>
      </c>
      <c r="I246" s="10">
        <f>K246</f>
        <v>3000</v>
      </c>
      <c r="J246" s="10"/>
      <c r="K246" s="11">
        <v>3000</v>
      </c>
      <c r="L246" s="73">
        <v>2019</v>
      </c>
      <c r="M246" s="75"/>
      <c r="N246" s="75"/>
      <c r="O246" s="2" t="s">
        <v>53</v>
      </c>
      <c r="P246" s="2"/>
      <c r="Q246" s="3"/>
      <c r="R24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46" s="1"/>
      <c r="T246" s="16"/>
    </row>
    <row r="247" spans="1:20">
      <c r="A247" s="13" t="str">
        <f>VLOOKUP(C247,Data[],2,FALSE)</f>
        <v>MANHATTAN</v>
      </c>
      <c r="B247" s="1"/>
      <c r="C247" s="1" t="s">
        <v>78</v>
      </c>
      <c r="D247" s="1" t="str">
        <f>VLOOKUP(Table1[[#This Row],[DEVELOPMENT]],Data[],MATCH(Table1[[#Headers],[NRR]],Data[#Headers],0),FALSE)</f>
        <v>Zone 2</v>
      </c>
      <c r="E247" s="1" t="e">
        <f>VLOOKUP(Table1[[#This Row],[DEVELOPMENT]],Data[],MATCH(Table1[[#Headers],[Priority Level]],Data[#Headers],0),FALSE)</f>
        <v>#N/A</v>
      </c>
      <c r="F247" s="1" t="e">
        <f>VLOOKUP(Table1[[#This Row],[DEVELOPMENT]],Data[],MATCH(Table1[[#Headers],[RAD/PACT]],Data[#Headers],0),FALSE)</f>
        <v>#N/A</v>
      </c>
      <c r="G247" s="9" t="s">
        <v>27</v>
      </c>
      <c r="H247" s="7"/>
      <c r="I247" s="8"/>
      <c r="J247" s="8"/>
      <c r="K247" s="3"/>
      <c r="L247" s="76"/>
      <c r="M247" s="73"/>
      <c r="N247" s="73"/>
      <c r="O247" s="2"/>
      <c r="P247" s="2"/>
      <c r="Q247" s="11"/>
      <c r="R24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47" s="9"/>
      <c r="T247" s="16"/>
    </row>
    <row r="248" spans="1:20">
      <c r="A248" s="13" t="str">
        <f>VLOOKUP(C248,Data[],2,FALSE)</f>
        <v>MANHATTAN</v>
      </c>
      <c r="B248" s="1"/>
      <c r="C248" s="1" t="s">
        <v>81</v>
      </c>
      <c r="D248" s="1" t="str">
        <f>VLOOKUP(Table1[[#This Row],[DEVELOPMENT]],Data[],MATCH(Table1[[#Headers],[NRR]],Data[#Headers],0),FALSE)</f>
        <v>Zone 2</v>
      </c>
      <c r="E248" s="1" t="e">
        <f>VLOOKUP(Table1[[#This Row],[DEVELOPMENT]],Data[],MATCH(Table1[[#Headers],[Priority Level]],Data[#Headers],0),FALSE)</f>
        <v>#N/A</v>
      </c>
      <c r="F248" s="1" t="e">
        <f>VLOOKUP(Table1[[#This Row],[DEVELOPMENT]],Data[],MATCH(Table1[[#Headers],[RAD/PACT]],Data[#Headers],0),FALSE)</f>
        <v>#N/A</v>
      </c>
      <c r="G248" s="9" t="s">
        <v>27</v>
      </c>
      <c r="H248" s="7"/>
      <c r="I248" s="8"/>
      <c r="J248" s="8"/>
      <c r="K248" s="3"/>
      <c r="L248" s="76"/>
      <c r="M248" s="73"/>
      <c r="N248" s="73"/>
      <c r="O248" s="2"/>
      <c r="P248" s="2"/>
      <c r="Q248" s="11"/>
      <c r="R24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48" s="9"/>
      <c r="T248" s="16"/>
    </row>
    <row r="249" spans="1:20">
      <c r="A249" s="13" t="str">
        <f>VLOOKUP(C249,Data[],2,FALSE)</f>
        <v>BROOKLYN</v>
      </c>
      <c r="B249" s="9" t="s">
        <v>25</v>
      </c>
      <c r="C249" s="9" t="s">
        <v>139</v>
      </c>
      <c r="D249" s="1" t="str">
        <f>VLOOKUP(Table1[[#This Row],[DEVELOPMENT]],Data[],MATCH(Table1[[#Headers],[NRR]],Data[#Headers],0),FALSE)</f>
        <v>Zone 1</v>
      </c>
      <c r="E249" s="1" t="e">
        <f>VLOOKUP(Table1[[#This Row],[DEVELOPMENT]],Data[],MATCH(Table1[[#Headers],[Priority Level]],Data[#Headers],0),FALSE)</f>
        <v>#N/A</v>
      </c>
      <c r="F249" s="1" t="e">
        <f>VLOOKUP(Table1[[#This Row],[DEVELOPMENT]],Data[],MATCH(Table1[[#Headers],[RAD/PACT]],Data[#Headers],0),FALSE)</f>
        <v>#N/A</v>
      </c>
      <c r="G249" s="9" t="s">
        <v>27</v>
      </c>
      <c r="H249" s="2" t="s">
        <v>33</v>
      </c>
      <c r="I249" s="12"/>
      <c r="J249" s="10">
        <f>K249</f>
        <v>3000</v>
      </c>
      <c r="K249" s="11">
        <v>3000</v>
      </c>
      <c r="L249" s="73">
        <v>2019</v>
      </c>
      <c r="M249" s="75"/>
      <c r="N249" s="75"/>
      <c r="O249" s="2" t="s">
        <v>53</v>
      </c>
      <c r="P249" s="2"/>
      <c r="Q249" s="3"/>
      <c r="R24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49" s="1"/>
      <c r="T249" s="16"/>
    </row>
    <row r="250" spans="1:20">
      <c r="A250" s="13" t="str">
        <f>VLOOKUP(C250,Data[],2,FALSE)</f>
        <v>MANHATTAN</v>
      </c>
      <c r="B250" s="1"/>
      <c r="C250" s="1" t="s">
        <v>112</v>
      </c>
      <c r="D250" s="1" t="str">
        <f>VLOOKUP(Table1[[#This Row],[DEVELOPMENT]],Data[],MATCH(Table1[[#Headers],[NRR]],Data[#Headers],0),FALSE)</f>
        <v>Zone 2</v>
      </c>
      <c r="E250" s="1" t="e">
        <f>VLOOKUP(Table1[[#This Row],[DEVELOPMENT]],Data[],MATCH(Table1[[#Headers],[Priority Level]],Data[#Headers],0),FALSE)</f>
        <v>#N/A</v>
      </c>
      <c r="F250" s="1" t="e">
        <f>VLOOKUP(Table1[[#This Row],[DEVELOPMENT]],Data[],MATCH(Table1[[#Headers],[RAD/PACT]],Data[#Headers],0),FALSE)</f>
        <v>#N/A</v>
      </c>
      <c r="G250" s="9" t="s">
        <v>27</v>
      </c>
      <c r="H250" s="7"/>
      <c r="I250" s="8"/>
      <c r="J250" s="8"/>
      <c r="K250" s="3"/>
      <c r="L250" s="76"/>
      <c r="M250" s="73"/>
      <c r="N250" s="73"/>
      <c r="O250" s="2"/>
      <c r="P250" s="2"/>
      <c r="Q250" s="11"/>
      <c r="R25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0" s="9"/>
      <c r="T250" s="16"/>
    </row>
    <row r="251" spans="1:20">
      <c r="A251" s="13" t="str">
        <f>VLOOKUP(C251,Data[],2,FALSE)</f>
        <v>MANHATTAN</v>
      </c>
      <c r="B251" s="1"/>
      <c r="C251" s="1" t="s">
        <v>83</v>
      </c>
      <c r="D251" s="1" t="str">
        <f>VLOOKUP(Table1[[#This Row],[DEVELOPMENT]],Data[],MATCH(Table1[[#Headers],[NRR]],Data[#Headers],0),FALSE)</f>
        <v>Zone 2</v>
      </c>
      <c r="E251" s="1" t="e">
        <f>VLOOKUP(Table1[[#This Row],[DEVELOPMENT]],Data[],MATCH(Table1[[#Headers],[Priority Level]],Data[#Headers],0),FALSE)</f>
        <v>#N/A</v>
      </c>
      <c r="F251" s="1" t="e">
        <f>VLOOKUP(Table1[[#This Row],[DEVELOPMENT]],Data[],MATCH(Table1[[#Headers],[RAD/PACT]],Data[#Headers],0),FALSE)</f>
        <v>#N/A</v>
      </c>
      <c r="G251" s="9" t="s">
        <v>27</v>
      </c>
      <c r="H251" s="7"/>
      <c r="I251" s="8"/>
      <c r="J251" s="8"/>
      <c r="K251" s="3"/>
      <c r="L251" s="76"/>
      <c r="M251" s="73"/>
      <c r="N251" s="73"/>
      <c r="O251" s="2"/>
      <c r="P251" s="2"/>
      <c r="Q251" s="11"/>
      <c r="R25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1" s="9"/>
      <c r="T251" s="16"/>
    </row>
    <row r="252" spans="1:20">
      <c r="A252" s="13" t="str">
        <f>VLOOKUP(C252,Data[],2,FALSE)</f>
        <v>MANHATTAN</v>
      </c>
      <c r="B252" s="1"/>
      <c r="C252" s="1" t="s">
        <v>131</v>
      </c>
      <c r="D252" s="1" t="str">
        <f>VLOOKUP(Table1[[#This Row],[DEVELOPMENT]],Data[],MATCH(Table1[[#Headers],[NRR]],Data[#Headers],0),FALSE)</f>
        <v>Zone 2</v>
      </c>
      <c r="E252" s="1" t="e">
        <f>VLOOKUP(Table1[[#This Row],[DEVELOPMENT]],Data[],MATCH(Table1[[#Headers],[Priority Level]],Data[#Headers],0),FALSE)</f>
        <v>#N/A</v>
      </c>
      <c r="F252" s="1" t="e">
        <f>VLOOKUP(Table1[[#This Row],[DEVELOPMENT]],Data[],MATCH(Table1[[#Headers],[RAD/PACT]],Data[#Headers],0),FALSE)</f>
        <v>#N/A</v>
      </c>
      <c r="G252" s="9" t="s">
        <v>27</v>
      </c>
      <c r="H252" s="7"/>
      <c r="I252" s="8"/>
      <c r="J252" s="8"/>
      <c r="K252" s="3"/>
      <c r="L252" s="76"/>
      <c r="M252" s="73"/>
      <c r="N252" s="73"/>
      <c r="O252" s="2"/>
      <c r="P252" s="2"/>
      <c r="Q252" s="11"/>
      <c r="R25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2" s="9"/>
      <c r="T252" s="16"/>
    </row>
    <row r="253" spans="1:20">
      <c r="A253" s="13" t="str">
        <f>VLOOKUP(C253,Data[],2,FALSE)</f>
        <v>MANHATTAN</v>
      </c>
      <c r="B253" s="1"/>
      <c r="C253" s="26" t="s">
        <v>146</v>
      </c>
      <c r="D253" s="1">
        <f>VLOOKUP(Table1[[#This Row],[DEVELOPMENT]],Data[],MATCH(Table1[[#Headers],[NRR]],Data[#Headers],0),FALSE)</f>
        <v>0</v>
      </c>
      <c r="E253" s="1" t="e">
        <f>VLOOKUP(Table1[[#This Row],[DEVELOPMENT]],Data[],MATCH(Table1[[#Headers],[Priority Level]],Data[#Headers],0),FALSE)</f>
        <v>#N/A</v>
      </c>
      <c r="F253" s="1" t="e">
        <f>VLOOKUP(Table1[[#This Row],[DEVELOPMENT]],Data[],MATCH(Table1[[#Headers],[RAD/PACT]],Data[#Headers],0),FALSE)</f>
        <v>#N/A</v>
      </c>
      <c r="G253" s="9" t="s">
        <v>27</v>
      </c>
      <c r="H253" s="7"/>
      <c r="I253" s="8"/>
      <c r="J253" s="8"/>
      <c r="K253" s="3"/>
      <c r="L253" s="76"/>
      <c r="M253" s="73"/>
      <c r="N253" s="73"/>
      <c r="O253" s="2"/>
      <c r="P253" s="2"/>
      <c r="Q253" s="11"/>
      <c r="R25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3" s="9"/>
      <c r="T253" s="16"/>
    </row>
    <row r="254" spans="1:20">
      <c r="A254" s="13" t="str">
        <f>VLOOKUP(C254,Data[],2,FALSE)</f>
        <v>MANHATTAN</v>
      </c>
      <c r="B254" s="1"/>
      <c r="C254" s="1" t="s">
        <v>125</v>
      </c>
      <c r="D254" s="1" t="str">
        <f>VLOOKUP(Table1[[#This Row],[DEVELOPMENT]],Data[],MATCH(Table1[[#Headers],[NRR]],Data[#Headers],0),FALSE)</f>
        <v>Zone 2</v>
      </c>
      <c r="E254" s="1" t="e">
        <f>VLOOKUP(Table1[[#This Row],[DEVELOPMENT]],Data[],MATCH(Table1[[#Headers],[Priority Level]],Data[#Headers],0),FALSE)</f>
        <v>#N/A</v>
      </c>
      <c r="F254" s="1" t="e">
        <f>VLOOKUP(Table1[[#This Row],[DEVELOPMENT]],Data[],MATCH(Table1[[#Headers],[RAD/PACT]],Data[#Headers],0),FALSE)</f>
        <v>#N/A</v>
      </c>
      <c r="G254" s="9" t="s">
        <v>27</v>
      </c>
      <c r="H254" s="7"/>
      <c r="I254" s="8"/>
      <c r="J254" s="8"/>
      <c r="K254" s="3"/>
      <c r="L254" s="76"/>
      <c r="M254" s="73"/>
      <c r="N254" s="73"/>
      <c r="O254" s="2"/>
      <c r="P254" s="2"/>
      <c r="Q254" s="11"/>
      <c r="R25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4" s="9"/>
      <c r="T254" s="16"/>
    </row>
    <row r="255" spans="1:20">
      <c r="A255" s="13" t="str">
        <f>VLOOKUP(C255,Data[],2,FALSE)</f>
        <v>MANHATTAN</v>
      </c>
      <c r="B255" s="1"/>
      <c r="C255" s="1" t="s">
        <v>113</v>
      </c>
      <c r="D255" s="1" t="str">
        <f>VLOOKUP(Table1[[#This Row],[DEVELOPMENT]],Data[],MATCH(Table1[[#Headers],[NRR]],Data[#Headers],0),FALSE)</f>
        <v>Zone 2</v>
      </c>
      <c r="E255" s="1" t="e">
        <f>VLOOKUP(Table1[[#This Row],[DEVELOPMENT]],Data[],MATCH(Table1[[#Headers],[Priority Level]],Data[#Headers],0),FALSE)</f>
        <v>#N/A</v>
      </c>
      <c r="F255" s="1" t="e">
        <f>VLOOKUP(Table1[[#This Row],[DEVELOPMENT]],Data[],MATCH(Table1[[#Headers],[RAD/PACT]],Data[#Headers],0),FALSE)</f>
        <v>#N/A</v>
      </c>
      <c r="G255" s="9" t="s">
        <v>27</v>
      </c>
      <c r="H255" s="7"/>
      <c r="I255" s="8"/>
      <c r="J255" s="8"/>
      <c r="K255" s="3"/>
      <c r="L255" s="76"/>
      <c r="M255" s="73"/>
      <c r="N255" s="73"/>
      <c r="O255" s="2"/>
      <c r="P255" s="2"/>
      <c r="Q255" s="11"/>
      <c r="R25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5" s="9"/>
      <c r="T255" s="16"/>
    </row>
    <row r="256" spans="1:20">
      <c r="A256" s="13" t="str">
        <f>VLOOKUP(C256,Data[],2,FALSE)</f>
        <v>MANHATTAN</v>
      </c>
      <c r="B256" s="1"/>
      <c r="C256" s="1" t="s">
        <v>122</v>
      </c>
      <c r="D256" s="1" t="str">
        <f>VLOOKUP(Table1[[#This Row],[DEVELOPMENT]],Data[],MATCH(Table1[[#Headers],[NRR]],Data[#Headers],0),FALSE)</f>
        <v>Zone 2</v>
      </c>
      <c r="E256" s="1" t="e">
        <f>VLOOKUP(Table1[[#This Row],[DEVELOPMENT]],Data[],MATCH(Table1[[#Headers],[Priority Level]],Data[#Headers],0),FALSE)</f>
        <v>#N/A</v>
      </c>
      <c r="F256" s="1" t="e">
        <f>VLOOKUP(Table1[[#This Row],[DEVELOPMENT]],Data[],MATCH(Table1[[#Headers],[RAD/PACT]],Data[#Headers],0),FALSE)</f>
        <v>#N/A</v>
      </c>
      <c r="G256" s="9" t="s">
        <v>27</v>
      </c>
      <c r="H256" s="7"/>
      <c r="I256" s="8"/>
      <c r="J256" s="8"/>
      <c r="K256" s="3"/>
      <c r="L256" s="76"/>
      <c r="M256" s="73"/>
      <c r="N256" s="73"/>
      <c r="O256" s="2"/>
      <c r="P256" s="2"/>
      <c r="Q256" s="11"/>
      <c r="R25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6" s="9"/>
      <c r="T256" s="16"/>
    </row>
    <row r="257" spans="1:20">
      <c r="A257" s="13" t="str">
        <f>VLOOKUP(C257,Data[],2,FALSE)</f>
        <v>MANHATTAN</v>
      </c>
      <c r="B257" s="1"/>
      <c r="C257" s="1" t="s">
        <v>90</v>
      </c>
      <c r="D257" s="1" t="str">
        <f>VLOOKUP(Table1[[#This Row],[DEVELOPMENT]],Data[],MATCH(Table1[[#Headers],[NRR]],Data[#Headers],0),FALSE)</f>
        <v>Zone 2</v>
      </c>
      <c r="E257" s="1" t="e">
        <f>VLOOKUP(Table1[[#This Row],[DEVELOPMENT]],Data[],MATCH(Table1[[#Headers],[Priority Level]],Data[#Headers],0),FALSE)</f>
        <v>#N/A</v>
      </c>
      <c r="F257" s="1" t="e">
        <f>VLOOKUP(Table1[[#This Row],[DEVELOPMENT]],Data[],MATCH(Table1[[#Headers],[RAD/PACT]],Data[#Headers],0),FALSE)</f>
        <v>#N/A</v>
      </c>
      <c r="G257" s="9" t="s">
        <v>27</v>
      </c>
      <c r="H257" s="7"/>
      <c r="I257" s="8"/>
      <c r="J257" s="8"/>
      <c r="K257" s="3"/>
      <c r="L257" s="76"/>
      <c r="M257" s="73"/>
      <c r="N257" s="73"/>
      <c r="O257" s="2"/>
      <c r="P257" s="2"/>
      <c r="Q257" s="11"/>
      <c r="R25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7" s="9"/>
      <c r="T257" s="16"/>
    </row>
    <row r="258" spans="1:20">
      <c r="A258" s="13" t="str">
        <f>VLOOKUP(C258,Data[],2,FALSE)</f>
        <v>BRONX</v>
      </c>
      <c r="B258" s="9" t="s">
        <v>25</v>
      </c>
      <c r="C258" s="9" t="s">
        <v>140</v>
      </c>
      <c r="D258" s="1" t="str">
        <f>VLOOKUP(Table1[[#This Row],[DEVELOPMENT]],Data[],MATCH(Table1[[#Headers],[NRR]],Data[#Headers],0),FALSE)</f>
        <v>Zone 1</v>
      </c>
      <c r="E258" s="1" t="e">
        <f>VLOOKUP(Table1[[#This Row],[DEVELOPMENT]],Data[],MATCH(Table1[[#Headers],[Priority Level]],Data[#Headers],0),FALSE)</f>
        <v>#N/A</v>
      </c>
      <c r="F258" s="1" t="e">
        <f>VLOOKUP(Table1[[#This Row],[DEVELOPMENT]],Data[],MATCH(Table1[[#Headers],[RAD/PACT]],Data[#Headers],0),FALSE)</f>
        <v>#N/A</v>
      </c>
      <c r="G258" s="9" t="s">
        <v>27</v>
      </c>
      <c r="H258" s="2" t="s">
        <v>28</v>
      </c>
      <c r="I258" s="10">
        <f>K258</f>
        <v>3000</v>
      </c>
      <c r="J258" s="10"/>
      <c r="K258" s="11">
        <v>3000</v>
      </c>
      <c r="L258" s="73">
        <v>2019</v>
      </c>
      <c r="M258" s="75"/>
      <c r="N258" s="75"/>
      <c r="O258" s="2" t="s">
        <v>53</v>
      </c>
      <c r="P258" s="2"/>
      <c r="Q258" s="3"/>
      <c r="R25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8" s="1"/>
      <c r="T258" s="16"/>
    </row>
    <row r="259" spans="1:20">
      <c r="A259" s="13" t="str">
        <f>VLOOKUP(C259,Data[],2,FALSE)</f>
        <v>MANHATTAN</v>
      </c>
      <c r="B259" s="1"/>
      <c r="C259" s="1" t="s">
        <v>92</v>
      </c>
      <c r="D259" s="1" t="str">
        <f>VLOOKUP(Table1[[#This Row],[DEVELOPMENT]],Data[],MATCH(Table1[[#Headers],[NRR]],Data[#Headers],0),FALSE)</f>
        <v>Zone 2</v>
      </c>
      <c r="E259" s="1" t="e">
        <f>VLOOKUP(Table1[[#This Row],[DEVELOPMENT]],Data[],MATCH(Table1[[#Headers],[Priority Level]],Data[#Headers],0),FALSE)</f>
        <v>#N/A</v>
      </c>
      <c r="F259" s="1" t="e">
        <f>VLOOKUP(Table1[[#This Row],[DEVELOPMENT]],Data[],MATCH(Table1[[#Headers],[RAD/PACT]],Data[#Headers],0),FALSE)</f>
        <v>#N/A</v>
      </c>
      <c r="G259" s="9" t="s">
        <v>27</v>
      </c>
      <c r="H259" s="7"/>
      <c r="I259" s="8"/>
      <c r="J259" s="8"/>
      <c r="K259" s="3"/>
      <c r="L259" s="76"/>
      <c r="M259" s="73"/>
      <c r="N259" s="73"/>
      <c r="O259" s="2"/>
      <c r="P259" s="2"/>
      <c r="Q259" s="11"/>
      <c r="R25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59" s="9"/>
      <c r="T259" s="16"/>
    </row>
    <row r="260" spans="1:20">
      <c r="A260" s="13" t="str">
        <f>VLOOKUP(C260,Data[],2,FALSE)</f>
        <v>BRONX</v>
      </c>
      <c r="B260" s="9" t="s">
        <v>25</v>
      </c>
      <c r="C260" s="9" t="s">
        <v>147</v>
      </c>
      <c r="D260" s="1" t="str">
        <f>VLOOKUP(Table1[[#This Row],[DEVELOPMENT]],Data[],MATCH(Table1[[#Headers],[NRR]],Data[#Headers],0),FALSE)</f>
        <v>Zone 1</v>
      </c>
      <c r="E260" s="1" t="e">
        <f>VLOOKUP(Table1[[#This Row],[DEVELOPMENT]],Data[],MATCH(Table1[[#Headers],[Priority Level]],Data[#Headers],0),FALSE)</f>
        <v>#N/A</v>
      </c>
      <c r="F260" s="1" t="e">
        <f>VLOOKUP(Table1[[#This Row],[DEVELOPMENT]],Data[],MATCH(Table1[[#Headers],[RAD/PACT]],Data[#Headers],0),FALSE)</f>
        <v>#N/A</v>
      </c>
      <c r="G260" s="9" t="s">
        <v>27</v>
      </c>
      <c r="H260" s="2" t="s">
        <v>28</v>
      </c>
      <c r="I260" s="10">
        <f>K260</f>
        <v>6000</v>
      </c>
      <c r="J260" s="10"/>
      <c r="K260" s="11">
        <v>6000</v>
      </c>
      <c r="L260" s="73">
        <v>2019</v>
      </c>
      <c r="M260" s="75"/>
      <c r="N260" s="75"/>
      <c r="O260" s="2" t="s">
        <v>53</v>
      </c>
      <c r="P260" s="2"/>
      <c r="Q260" s="3"/>
      <c r="R26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0" s="1"/>
      <c r="T260" s="16"/>
    </row>
    <row r="261" spans="1:20">
      <c r="A261" s="13" t="str">
        <f>VLOOKUP(C261,Data[],2,FALSE)</f>
        <v>MANHATTAN</v>
      </c>
      <c r="B261" s="1"/>
      <c r="C261" s="1" t="s">
        <v>133</v>
      </c>
      <c r="D261" s="1" t="str">
        <f>VLOOKUP(Table1[[#This Row],[DEVELOPMENT]],Data[],MATCH(Table1[[#Headers],[NRR]],Data[#Headers],0),FALSE)</f>
        <v>Zone 2</v>
      </c>
      <c r="E261" s="1" t="e">
        <f>VLOOKUP(Table1[[#This Row],[DEVELOPMENT]],Data[],MATCH(Table1[[#Headers],[Priority Level]],Data[#Headers],0),FALSE)</f>
        <v>#N/A</v>
      </c>
      <c r="F261" s="1" t="e">
        <f>VLOOKUP(Table1[[#This Row],[DEVELOPMENT]],Data[],MATCH(Table1[[#Headers],[RAD/PACT]],Data[#Headers],0),FALSE)</f>
        <v>#N/A</v>
      </c>
      <c r="G261" s="9" t="s">
        <v>27</v>
      </c>
      <c r="H261" s="7"/>
      <c r="I261" s="8"/>
      <c r="J261" s="8"/>
      <c r="K261" s="3"/>
      <c r="L261" s="76"/>
      <c r="M261" s="73"/>
      <c r="N261" s="73"/>
      <c r="O261" s="2"/>
      <c r="P261" s="2"/>
      <c r="Q261" s="11"/>
      <c r="R26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1" s="9"/>
      <c r="T261" s="16"/>
    </row>
    <row r="262" spans="1:20">
      <c r="A262" s="13" t="str">
        <f>VLOOKUP(C262,Data[],2,FALSE)</f>
        <v>MANHATTAN</v>
      </c>
      <c r="B262" s="1"/>
      <c r="C262" s="1" t="s">
        <v>115</v>
      </c>
      <c r="D262" s="1" t="str">
        <f>VLOOKUP(Table1[[#This Row],[DEVELOPMENT]],Data[],MATCH(Table1[[#Headers],[NRR]],Data[#Headers],0),FALSE)</f>
        <v>Zone 2</v>
      </c>
      <c r="E262" s="1" t="e">
        <f>VLOOKUP(Table1[[#This Row],[DEVELOPMENT]],Data[],MATCH(Table1[[#Headers],[Priority Level]],Data[#Headers],0),FALSE)</f>
        <v>#N/A</v>
      </c>
      <c r="F262" s="1" t="e">
        <f>VLOOKUP(Table1[[#This Row],[DEVELOPMENT]],Data[],MATCH(Table1[[#Headers],[RAD/PACT]],Data[#Headers],0),FALSE)</f>
        <v>#N/A</v>
      </c>
      <c r="G262" s="9" t="s">
        <v>27</v>
      </c>
      <c r="H262" s="7"/>
      <c r="I262" s="8"/>
      <c r="J262" s="8"/>
      <c r="K262" s="3"/>
      <c r="L262" s="76"/>
      <c r="M262" s="73"/>
      <c r="N262" s="73"/>
      <c r="O262" s="2"/>
      <c r="P262" s="2"/>
      <c r="Q262" s="11"/>
      <c r="R26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2" s="9"/>
      <c r="T262" s="16"/>
    </row>
    <row r="263" spans="1:20">
      <c r="A263" s="13" t="str">
        <f>VLOOKUP(C263,Data[],2,FALSE)</f>
        <v>MANHATTAN</v>
      </c>
      <c r="B263" s="1"/>
      <c r="C263" s="1" t="s">
        <v>107</v>
      </c>
      <c r="D263" s="1" t="str">
        <f>VLOOKUP(Table1[[#This Row],[DEVELOPMENT]],Data[],MATCH(Table1[[#Headers],[NRR]],Data[#Headers],0),FALSE)</f>
        <v>Zone 2</v>
      </c>
      <c r="E263" s="1" t="e">
        <f>VLOOKUP(Table1[[#This Row],[DEVELOPMENT]],Data[],MATCH(Table1[[#Headers],[Priority Level]],Data[#Headers],0),FALSE)</f>
        <v>#N/A</v>
      </c>
      <c r="F263" s="1" t="e">
        <f>VLOOKUP(Table1[[#This Row],[DEVELOPMENT]],Data[],MATCH(Table1[[#Headers],[RAD/PACT]],Data[#Headers],0),FALSE)</f>
        <v>#N/A</v>
      </c>
      <c r="G263" s="9" t="s">
        <v>27</v>
      </c>
      <c r="H263" s="7"/>
      <c r="I263" s="8"/>
      <c r="J263" s="8"/>
      <c r="K263" s="3"/>
      <c r="L263" s="76"/>
      <c r="M263" s="73"/>
      <c r="N263" s="73"/>
      <c r="O263" s="2"/>
      <c r="P263" s="2"/>
      <c r="Q263" s="11"/>
      <c r="R26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3" s="9"/>
      <c r="T263" s="16"/>
    </row>
    <row r="264" spans="1:20">
      <c r="A264" s="13" t="str">
        <f>VLOOKUP(C264,Data[],2,FALSE)</f>
        <v>BROOKLYN</v>
      </c>
      <c r="B264" s="9" t="s">
        <v>25</v>
      </c>
      <c r="C264" s="9" t="s">
        <v>148</v>
      </c>
      <c r="D264" s="1" t="str">
        <f>VLOOKUP(Table1[[#This Row],[DEVELOPMENT]],Data[],MATCH(Table1[[#Headers],[NRR]],Data[#Headers],0),FALSE)</f>
        <v>Zone 1</v>
      </c>
      <c r="E264" s="1" t="e">
        <f>VLOOKUP(Table1[[#This Row],[DEVELOPMENT]],Data[],MATCH(Table1[[#Headers],[Priority Level]],Data[#Headers],0),FALSE)</f>
        <v>#N/A</v>
      </c>
      <c r="F264" s="1" t="e">
        <f>VLOOKUP(Table1[[#This Row],[DEVELOPMENT]],Data[],MATCH(Table1[[#Headers],[RAD/PACT]],Data[#Headers],0),FALSE)</f>
        <v>#N/A</v>
      </c>
      <c r="G264" s="9" t="s">
        <v>27</v>
      </c>
      <c r="H264" s="2" t="s">
        <v>33</v>
      </c>
      <c r="I264" s="12"/>
      <c r="J264" s="10">
        <f>K264</f>
        <v>9000</v>
      </c>
      <c r="K264" s="11">
        <v>9000</v>
      </c>
      <c r="L264" s="73">
        <v>2019</v>
      </c>
      <c r="M264" s="75"/>
      <c r="N264" s="75"/>
      <c r="O264" s="2" t="s">
        <v>53</v>
      </c>
      <c r="P264" s="2"/>
      <c r="Q264" s="3"/>
      <c r="R26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4" s="1"/>
      <c r="T264" s="16"/>
    </row>
    <row r="265" spans="1:20">
      <c r="A265" s="13" t="str">
        <f>VLOOKUP(C265,Data[],2,FALSE)</f>
        <v>MANHATTAN</v>
      </c>
      <c r="B265" s="1"/>
      <c r="C265" s="1" t="s">
        <v>136</v>
      </c>
      <c r="D265" s="1" t="str">
        <f>VLOOKUP(Table1[[#This Row],[DEVELOPMENT]],Data[],MATCH(Table1[[#Headers],[NRR]],Data[#Headers],0),FALSE)</f>
        <v>Zone 2</v>
      </c>
      <c r="E265" s="1" t="e">
        <f>VLOOKUP(Table1[[#This Row],[DEVELOPMENT]],Data[],MATCH(Table1[[#Headers],[Priority Level]],Data[#Headers],0),FALSE)</f>
        <v>#N/A</v>
      </c>
      <c r="F265" s="1" t="e">
        <f>VLOOKUP(Table1[[#This Row],[DEVELOPMENT]],Data[],MATCH(Table1[[#Headers],[RAD/PACT]],Data[#Headers],0),FALSE)</f>
        <v>#N/A</v>
      </c>
      <c r="G265" s="9" t="s">
        <v>27</v>
      </c>
      <c r="H265" s="7"/>
      <c r="I265" s="8"/>
      <c r="J265" s="8"/>
      <c r="K265" s="3"/>
      <c r="L265" s="76"/>
      <c r="M265" s="73"/>
      <c r="N265" s="73"/>
      <c r="O265" s="2"/>
      <c r="P265" s="2"/>
      <c r="Q265" s="11"/>
      <c r="R26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5" s="9"/>
      <c r="T265" s="16"/>
    </row>
    <row r="266" spans="1:20">
      <c r="A266" s="13" t="str">
        <f>VLOOKUP(C266,Data[],2,FALSE)</f>
        <v>MANHATTAN</v>
      </c>
      <c r="B266" s="1"/>
      <c r="C266" s="1" t="s">
        <v>95</v>
      </c>
      <c r="D266" s="1" t="str">
        <f>VLOOKUP(Table1[[#This Row],[DEVELOPMENT]],Data[],MATCH(Table1[[#Headers],[NRR]],Data[#Headers],0),FALSE)</f>
        <v>Zone 2</v>
      </c>
      <c r="E266" s="1" t="e">
        <f>VLOOKUP(Table1[[#This Row],[DEVELOPMENT]],Data[],MATCH(Table1[[#Headers],[Priority Level]],Data[#Headers],0),FALSE)</f>
        <v>#N/A</v>
      </c>
      <c r="F266" s="1" t="e">
        <f>VLOOKUP(Table1[[#This Row],[DEVELOPMENT]],Data[],MATCH(Table1[[#Headers],[RAD/PACT]],Data[#Headers],0),FALSE)</f>
        <v>#N/A</v>
      </c>
      <c r="G266" s="9" t="s">
        <v>27</v>
      </c>
      <c r="H266" s="7"/>
      <c r="I266" s="8"/>
      <c r="J266" s="8"/>
      <c r="K266" s="3"/>
      <c r="L266" s="76"/>
      <c r="M266" s="73"/>
      <c r="N266" s="73"/>
      <c r="O266" s="2"/>
      <c r="P266" s="2"/>
      <c r="Q266" s="11"/>
      <c r="R26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6" s="9"/>
      <c r="T266" s="16"/>
    </row>
    <row r="267" spans="1:20">
      <c r="A267" s="13" t="str">
        <f>VLOOKUP(C267,Data[],2,FALSE)</f>
        <v>MANHATTAN</v>
      </c>
      <c r="B267" s="1"/>
      <c r="C267" s="1" t="s">
        <v>128</v>
      </c>
      <c r="D267" s="1" t="str">
        <f>VLOOKUP(Table1[[#This Row],[DEVELOPMENT]],Data[],MATCH(Table1[[#Headers],[NRR]],Data[#Headers],0),FALSE)</f>
        <v>Zone 2</v>
      </c>
      <c r="E267" s="1" t="e">
        <f>VLOOKUP(Table1[[#This Row],[DEVELOPMENT]],Data[],MATCH(Table1[[#Headers],[Priority Level]],Data[#Headers],0),FALSE)</f>
        <v>#N/A</v>
      </c>
      <c r="F267" s="1" t="e">
        <f>VLOOKUP(Table1[[#This Row],[DEVELOPMENT]],Data[],MATCH(Table1[[#Headers],[RAD/PACT]],Data[#Headers],0),FALSE)</f>
        <v>#N/A</v>
      </c>
      <c r="G267" s="9" t="s">
        <v>27</v>
      </c>
      <c r="H267" s="7"/>
      <c r="I267" s="8"/>
      <c r="J267" s="8"/>
      <c r="K267" s="3"/>
      <c r="L267" s="76"/>
      <c r="M267" s="73"/>
      <c r="N267" s="73"/>
      <c r="O267" s="2"/>
      <c r="P267" s="2"/>
      <c r="Q267" s="11"/>
      <c r="R26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7" s="9"/>
      <c r="T267" s="16"/>
    </row>
    <row r="268" spans="1:20">
      <c r="A268" s="13" t="str">
        <f>VLOOKUP(C268,Data[],2,FALSE)</f>
        <v>BRONX</v>
      </c>
      <c r="B268" s="9" t="s">
        <v>25</v>
      </c>
      <c r="C268" s="9" t="s">
        <v>149</v>
      </c>
      <c r="D268" s="1" t="str">
        <f>VLOOKUP(Table1[[#This Row],[DEVELOPMENT]],Data[],MATCH(Table1[[#Headers],[NRR]],Data[#Headers],0),FALSE)</f>
        <v>Zone 1</v>
      </c>
      <c r="E268" s="1" t="e">
        <f>VLOOKUP(Table1[[#This Row],[DEVELOPMENT]],Data[],MATCH(Table1[[#Headers],[Priority Level]],Data[#Headers],0),FALSE)</f>
        <v>#N/A</v>
      </c>
      <c r="F268" s="1" t="e">
        <f>VLOOKUP(Table1[[#This Row],[DEVELOPMENT]],Data[],MATCH(Table1[[#Headers],[RAD/PACT]],Data[#Headers],0),FALSE)</f>
        <v>#N/A</v>
      </c>
      <c r="G268" s="9" t="s">
        <v>27</v>
      </c>
      <c r="H268" s="2" t="s">
        <v>33</v>
      </c>
      <c r="I268" s="12"/>
      <c r="J268" s="10">
        <f>K268</f>
        <v>6000</v>
      </c>
      <c r="K268" s="11">
        <v>6000</v>
      </c>
      <c r="L268" s="73">
        <v>2019</v>
      </c>
      <c r="M268" s="75"/>
      <c r="N268" s="75"/>
      <c r="O268" s="2" t="s">
        <v>53</v>
      </c>
      <c r="P268" s="2"/>
      <c r="Q268" s="3"/>
      <c r="R26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8" s="1"/>
      <c r="T268" s="16"/>
    </row>
    <row r="269" spans="1:20">
      <c r="A269" s="13" t="str">
        <f>VLOOKUP(C269,Data[],2,FALSE)</f>
        <v>MANHATTAN</v>
      </c>
      <c r="B269" s="1"/>
      <c r="C269" s="1" t="s">
        <v>126</v>
      </c>
      <c r="D269" s="1" t="str">
        <f>VLOOKUP(Table1[[#This Row],[DEVELOPMENT]],Data[],MATCH(Table1[[#Headers],[NRR]],Data[#Headers],0),FALSE)</f>
        <v>Zone 2</v>
      </c>
      <c r="E269" s="1" t="e">
        <f>VLOOKUP(Table1[[#This Row],[DEVELOPMENT]],Data[],MATCH(Table1[[#Headers],[Priority Level]],Data[#Headers],0),FALSE)</f>
        <v>#N/A</v>
      </c>
      <c r="F269" s="1" t="e">
        <f>VLOOKUP(Table1[[#This Row],[DEVELOPMENT]],Data[],MATCH(Table1[[#Headers],[RAD/PACT]],Data[#Headers],0),FALSE)</f>
        <v>#N/A</v>
      </c>
      <c r="G269" s="9" t="s">
        <v>27</v>
      </c>
      <c r="H269" s="7"/>
      <c r="I269" s="8"/>
      <c r="J269" s="8"/>
      <c r="K269" s="3"/>
      <c r="L269" s="76"/>
      <c r="M269" s="73"/>
      <c r="N269" s="73"/>
      <c r="O269" s="2"/>
      <c r="P269" s="2"/>
      <c r="Q269" s="11"/>
      <c r="R26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69" s="9"/>
      <c r="T269" s="16"/>
    </row>
    <row r="270" spans="1:20">
      <c r="A270" s="13" t="str">
        <f>VLOOKUP(C270,Data[],2,FALSE)</f>
        <v>MANHATTAN</v>
      </c>
      <c r="B270" s="1"/>
      <c r="C270" s="1" t="s">
        <v>100</v>
      </c>
      <c r="D270" s="1" t="str">
        <f>VLOOKUP(Table1[[#This Row],[DEVELOPMENT]],Data[],MATCH(Table1[[#Headers],[NRR]],Data[#Headers],0),FALSE)</f>
        <v>Zone 2</v>
      </c>
      <c r="E270" s="1" t="e">
        <f>VLOOKUP(Table1[[#This Row],[DEVELOPMENT]],Data[],MATCH(Table1[[#Headers],[Priority Level]],Data[#Headers],0),FALSE)</f>
        <v>#N/A</v>
      </c>
      <c r="F270" s="1" t="e">
        <f>VLOOKUP(Table1[[#This Row],[DEVELOPMENT]],Data[],MATCH(Table1[[#Headers],[RAD/PACT]],Data[#Headers],0),FALSE)</f>
        <v>#N/A</v>
      </c>
      <c r="G270" s="9" t="s">
        <v>27</v>
      </c>
      <c r="H270" s="7"/>
      <c r="I270" s="8"/>
      <c r="J270" s="8"/>
      <c r="K270" s="3"/>
      <c r="L270" s="76"/>
      <c r="M270" s="73"/>
      <c r="N270" s="73"/>
      <c r="O270" s="2"/>
      <c r="P270" s="2"/>
      <c r="Q270" s="11"/>
      <c r="R27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0" s="9"/>
      <c r="T270" s="16"/>
    </row>
    <row r="271" spans="1:20">
      <c r="A271" s="13" t="str">
        <f>VLOOKUP(C271,Data[],2,FALSE)</f>
        <v>MANHATTAN</v>
      </c>
      <c r="B271" s="1"/>
      <c r="C271" s="1" t="s">
        <v>127</v>
      </c>
      <c r="D271" s="1" t="str">
        <f>VLOOKUP(Table1[[#This Row],[DEVELOPMENT]],Data[],MATCH(Table1[[#Headers],[NRR]],Data[#Headers],0),FALSE)</f>
        <v>Zone 2</v>
      </c>
      <c r="E271" s="1" t="e">
        <f>VLOOKUP(Table1[[#This Row],[DEVELOPMENT]],Data[],MATCH(Table1[[#Headers],[Priority Level]],Data[#Headers],0),FALSE)</f>
        <v>#N/A</v>
      </c>
      <c r="F271" s="1" t="e">
        <f>VLOOKUP(Table1[[#This Row],[DEVELOPMENT]],Data[],MATCH(Table1[[#Headers],[RAD/PACT]],Data[#Headers],0),FALSE)</f>
        <v>#N/A</v>
      </c>
      <c r="G271" s="9" t="s">
        <v>27</v>
      </c>
      <c r="H271" s="7"/>
      <c r="I271" s="8"/>
      <c r="J271" s="8"/>
      <c r="K271" s="3"/>
      <c r="L271" s="76"/>
      <c r="M271" s="73"/>
      <c r="N271" s="73"/>
      <c r="O271" s="2"/>
      <c r="P271" s="2"/>
      <c r="Q271" s="11"/>
      <c r="R27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1" s="9"/>
      <c r="T271" s="16"/>
    </row>
    <row r="272" spans="1:20">
      <c r="A272" s="13" t="str">
        <f>VLOOKUP(C272,Data[],2,FALSE)</f>
        <v>MANHATTAN</v>
      </c>
      <c r="B272" s="1"/>
      <c r="C272" s="1" t="s">
        <v>137</v>
      </c>
      <c r="D272" s="1" t="str">
        <f>VLOOKUP(Table1[[#This Row],[DEVELOPMENT]],Data[],MATCH(Table1[[#Headers],[NRR]],Data[#Headers],0),FALSE)</f>
        <v>Zone 2</v>
      </c>
      <c r="E272" s="1" t="e">
        <f>VLOOKUP(Table1[[#This Row],[DEVELOPMENT]],Data[],MATCH(Table1[[#Headers],[Priority Level]],Data[#Headers],0),FALSE)</f>
        <v>#N/A</v>
      </c>
      <c r="F272" s="1" t="e">
        <f>VLOOKUP(Table1[[#This Row],[DEVELOPMENT]],Data[],MATCH(Table1[[#Headers],[RAD/PACT]],Data[#Headers],0),FALSE)</f>
        <v>#N/A</v>
      </c>
      <c r="G272" s="9" t="s">
        <v>27</v>
      </c>
      <c r="H272" s="7"/>
      <c r="I272" s="8"/>
      <c r="J272" s="8"/>
      <c r="K272" s="3"/>
      <c r="L272" s="76"/>
      <c r="M272" s="73"/>
      <c r="N272" s="73"/>
      <c r="O272" s="2"/>
      <c r="P272" s="2"/>
      <c r="Q272" s="11"/>
      <c r="R27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2" s="9"/>
      <c r="T272" s="16"/>
    </row>
    <row r="273" spans="1:20">
      <c r="A273" s="13" t="str">
        <f>VLOOKUP(C273,Data[],2,FALSE)</f>
        <v>MANHATTAN</v>
      </c>
      <c r="B273" s="1"/>
      <c r="C273" s="1" t="s">
        <v>102</v>
      </c>
      <c r="D273" s="1" t="str">
        <f>VLOOKUP(Table1[[#This Row],[DEVELOPMENT]],Data[],MATCH(Table1[[#Headers],[NRR]],Data[#Headers],0),FALSE)</f>
        <v>Zone 2</v>
      </c>
      <c r="E273" s="1" t="e">
        <f>VLOOKUP(Table1[[#This Row],[DEVELOPMENT]],Data[],MATCH(Table1[[#Headers],[Priority Level]],Data[#Headers],0),FALSE)</f>
        <v>#N/A</v>
      </c>
      <c r="F273" s="1" t="e">
        <f>VLOOKUP(Table1[[#This Row],[DEVELOPMENT]],Data[],MATCH(Table1[[#Headers],[RAD/PACT]],Data[#Headers],0),FALSE)</f>
        <v>#N/A</v>
      </c>
      <c r="G273" s="9" t="s">
        <v>27</v>
      </c>
      <c r="H273" s="7"/>
      <c r="I273" s="8"/>
      <c r="J273" s="8"/>
      <c r="K273" s="3"/>
      <c r="L273" s="76"/>
      <c r="M273" s="73"/>
      <c r="N273" s="73"/>
      <c r="O273" s="2"/>
      <c r="P273" s="2"/>
      <c r="Q273" s="11"/>
      <c r="R27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3" s="9"/>
      <c r="T273" s="16"/>
    </row>
    <row r="274" spans="1:20">
      <c r="A274" s="13" t="str">
        <f>VLOOKUP(C274,Data[],2,FALSE)</f>
        <v>MANHATTAN</v>
      </c>
      <c r="B274" s="1"/>
      <c r="C274" s="1" t="s">
        <v>116</v>
      </c>
      <c r="D274" s="1" t="str">
        <f>VLOOKUP(Table1[[#This Row],[DEVELOPMENT]],Data[],MATCH(Table1[[#Headers],[NRR]],Data[#Headers],0),FALSE)</f>
        <v>Zone 2</v>
      </c>
      <c r="E274" s="1" t="e">
        <f>VLOOKUP(Table1[[#This Row],[DEVELOPMENT]],Data[],MATCH(Table1[[#Headers],[Priority Level]],Data[#Headers],0),FALSE)</f>
        <v>#N/A</v>
      </c>
      <c r="F274" s="1" t="e">
        <f>VLOOKUP(Table1[[#This Row],[DEVELOPMENT]],Data[],MATCH(Table1[[#Headers],[RAD/PACT]],Data[#Headers],0),FALSE)</f>
        <v>#N/A</v>
      </c>
      <c r="G274" s="9" t="s">
        <v>27</v>
      </c>
      <c r="H274" s="7"/>
      <c r="I274" s="8"/>
      <c r="J274" s="8"/>
      <c r="K274" s="3"/>
      <c r="L274" s="76"/>
      <c r="M274" s="73"/>
      <c r="N274" s="73"/>
      <c r="O274" s="2"/>
      <c r="P274" s="2"/>
      <c r="Q274" s="11"/>
      <c r="R27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4" s="9"/>
      <c r="T274" s="16"/>
    </row>
    <row r="275" spans="1:20">
      <c r="A275" s="13" t="str">
        <f>VLOOKUP(C275,Data[],2,FALSE)</f>
        <v>MANHATTAN</v>
      </c>
      <c r="B275" s="1"/>
      <c r="C275" s="1" t="s">
        <v>120</v>
      </c>
      <c r="D275" s="1" t="str">
        <f>VLOOKUP(Table1[[#This Row],[DEVELOPMENT]],Data[],MATCH(Table1[[#Headers],[NRR]],Data[#Headers],0),FALSE)</f>
        <v>Zone 2</v>
      </c>
      <c r="E275" s="1" t="e">
        <f>VLOOKUP(Table1[[#This Row],[DEVELOPMENT]],Data[],MATCH(Table1[[#Headers],[Priority Level]],Data[#Headers],0),FALSE)</f>
        <v>#N/A</v>
      </c>
      <c r="F275" s="1" t="e">
        <f>VLOOKUP(Table1[[#This Row],[DEVELOPMENT]],Data[],MATCH(Table1[[#Headers],[RAD/PACT]],Data[#Headers],0),FALSE)</f>
        <v>#N/A</v>
      </c>
      <c r="G275" s="1" t="s">
        <v>150</v>
      </c>
      <c r="H275" s="7"/>
      <c r="I275" s="8"/>
      <c r="J275" s="8"/>
      <c r="K275" s="3"/>
      <c r="L275" s="76"/>
      <c r="M275" s="73"/>
      <c r="N275" s="73"/>
      <c r="O275" s="2"/>
      <c r="P275" s="2"/>
      <c r="Q275" s="11"/>
      <c r="R27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5" s="9"/>
      <c r="T275" s="16"/>
    </row>
    <row r="276" spans="1:20">
      <c r="A276" s="13" t="str">
        <f>VLOOKUP(C276,Data[],2,FALSE)</f>
        <v>MANHATTAN</v>
      </c>
      <c r="B276" s="1"/>
      <c r="C276" s="1" t="s">
        <v>129</v>
      </c>
      <c r="D276" s="1" t="str">
        <f>VLOOKUP(Table1[[#This Row],[DEVELOPMENT]],Data[],MATCH(Table1[[#Headers],[NRR]],Data[#Headers],0),FALSE)</f>
        <v>Zone 2</v>
      </c>
      <c r="E276" s="1" t="e">
        <f>VLOOKUP(Table1[[#This Row],[DEVELOPMENT]],Data[],MATCH(Table1[[#Headers],[Priority Level]],Data[#Headers],0),FALSE)</f>
        <v>#N/A</v>
      </c>
      <c r="F276" s="1" t="e">
        <f>VLOOKUP(Table1[[#This Row],[DEVELOPMENT]],Data[],MATCH(Table1[[#Headers],[RAD/PACT]],Data[#Headers],0),FALSE)</f>
        <v>#N/A</v>
      </c>
      <c r="G276" s="1" t="s">
        <v>150</v>
      </c>
      <c r="H276" s="7"/>
      <c r="I276" s="8"/>
      <c r="J276" s="8"/>
      <c r="K276" s="3"/>
      <c r="L276" s="76"/>
      <c r="M276" s="73"/>
      <c r="N276" s="73"/>
      <c r="O276" s="2"/>
      <c r="P276" s="2"/>
      <c r="Q276" s="11"/>
      <c r="R27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6" s="9"/>
      <c r="T276" s="16"/>
    </row>
    <row r="277" spans="1:20">
      <c r="A277" s="13" t="str">
        <f>VLOOKUP(C277,Data[],2,FALSE)</f>
        <v>MANHATTAN</v>
      </c>
      <c r="B277" s="1"/>
      <c r="C277" s="1" t="s">
        <v>77</v>
      </c>
      <c r="D277" s="1" t="str">
        <f>VLOOKUP(Table1[[#This Row],[DEVELOPMENT]],Data[],MATCH(Table1[[#Headers],[NRR]],Data[#Headers],0),FALSE)</f>
        <v>Zone 2</v>
      </c>
      <c r="E277" s="1" t="e">
        <f>VLOOKUP(Table1[[#This Row],[DEVELOPMENT]],Data[],MATCH(Table1[[#Headers],[Priority Level]],Data[#Headers],0),FALSE)</f>
        <v>#N/A</v>
      </c>
      <c r="F277" s="1" t="e">
        <f>VLOOKUP(Table1[[#This Row],[DEVELOPMENT]],Data[],MATCH(Table1[[#Headers],[RAD/PACT]],Data[#Headers],0),FALSE)</f>
        <v>#N/A</v>
      </c>
      <c r="G277" s="1" t="s">
        <v>150</v>
      </c>
      <c r="H277" s="7"/>
      <c r="I277" s="8"/>
      <c r="J277" s="8"/>
      <c r="K277" s="3"/>
      <c r="L277" s="76"/>
      <c r="M277" s="73"/>
      <c r="N277" s="73"/>
      <c r="O277" s="2"/>
      <c r="P277" s="2"/>
      <c r="Q277" s="11"/>
      <c r="R27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7" s="9"/>
      <c r="T277" s="16"/>
    </row>
    <row r="278" spans="1:20">
      <c r="A278" s="13" t="str">
        <f>VLOOKUP(C278,Data[],2,FALSE)</f>
        <v>MANHATTAN</v>
      </c>
      <c r="B278" s="1"/>
      <c r="C278" s="1" t="s">
        <v>78</v>
      </c>
      <c r="D278" s="1" t="str">
        <f>VLOOKUP(Table1[[#This Row],[DEVELOPMENT]],Data[],MATCH(Table1[[#Headers],[NRR]],Data[#Headers],0),FALSE)</f>
        <v>Zone 2</v>
      </c>
      <c r="E278" s="1" t="e">
        <f>VLOOKUP(Table1[[#This Row],[DEVELOPMENT]],Data[],MATCH(Table1[[#Headers],[Priority Level]],Data[#Headers],0),FALSE)</f>
        <v>#N/A</v>
      </c>
      <c r="F278" s="1" t="e">
        <f>VLOOKUP(Table1[[#This Row],[DEVELOPMENT]],Data[],MATCH(Table1[[#Headers],[RAD/PACT]],Data[#Headers],0),FALSE)</f>
        <v>#N/A</v>
      </c>
      <c r="G278" s="1" t="s">
        <v>150</v>
      </c>
      <c r="H278" s="7"/>
      <c r="I278" s="8"/>
      <c r="J278" s="8"/>
      <c r="K278" s="3"/>
      <c r="L278" s="76"/>
      <c r="M278" s="73"/>
      <c r="N278" s="73"/>
      <c r="O278" s="2"/>
      <c r="P278" s="2"/>
      <c r="Q278" s="11"/>
      <c r="R27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8" s="9"/>
      <c r="T278" s="16"/>
    </row>
    <row r="279" spans="1:20">
      <c r="A279" s="13" t="str">
        <f>VLOOKUP(C279,Data[],2,FALSE)</f>
        <v>MANHATTAN</v>
      </c>
      <c r="B279" s="1"/>
      <c r="C279" s="1" t="s">
        <v>81</v>
      </c>
      <c r="D279" s="1" t="str">
        <f>VLOOKUP(Table1[[#This Row],[DEVELOPMENT]],Data[],MATCH(Table1[[#Headers],[NRR]],Data[#Headers],0),FALSE)</f>
        <v>Zone 2</v>
      </c>
      <c r="E279" s="1" t="e">
        <f>VLOOKUP(Table1[[#This Row],[DEVELOPMENT]],Data[],MATCH(Table1[[#Headers],[Priority Level]],Data[#Headers],0),FALSE)</f>
        <v>#N/A</v>
      </c>
      <c r="F279" s="1" t="e">
        <f>VLOOKUP(Table1[[#This Row],[DEVELOPMENT]],Data[],MATCH(Table1[[#Headers],[RAD/PACT]],Data[#Headers],0),FALSE)</f>
        <v>#N/A</v>
      </c>
      <c r="G279" s="1" t="s">
        <v>150</v>
      </c>
      <c r="H279" s="7"/>
      <c r="I279" s="8"/>
      <c r="J279" s="8"/>
      <c r="K279" s="3"/>
      <c r="L279" s="76"/>
      <c r="M279" s="73"/>
      <c r="N279" s="73"/>
      <c r="O279" s="2"/>
      <c r="P279" s="2"/>
      <c r="Q279" s="11"/>
      <c r="R27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79" s="9"/>
      <c r="T279" s="16"/>
    </row>
    <row r="280" spans="1:20">
      <c r="A280" s="13" t="str">
        <f>VLOOKUP(C280,Data[],2,FALSE)</f>
        <v>MANHATTAN</v>
      </c>
      <c r="B280" s="1"/>
      <c r="C280" s="1" t="s">
        <v>112</v>
      </c>
      <c r="D280" s="1" t="str">
        <f>VLOOKUP(Table1[[#This Row],[DEVELOPMENT]],Data[],MATCH(Table1[[#Headers],[NRR]],Data[#Headers],0),FALSE)</f>
        <v>Zone 2</v>
      </c>
      <c r="E280" s="1" t="e">
        <f>VLOOKUP(Table1[[#This Row],[DEVELOPMENT]],Data[],MATCH(Table1[[#Headers],[Priority Level]],Data[#Headers],0),FALSE)</f>
        <v>#N/A</v>
      </c>
      <c r="F280" s="1" t="e">
        <f>VLOOKUP(Table1[[#This Row],[DEVELOPMENT]],Data[],MATCH(Table1[[#Headers],[RAD/PACT]],Data[#Headers],0),FALSE)</f>
        <v>#N/A</v>
      </c>
      <c r="G280" s="1" t="s">
        <v>150</v>
      </c>
      <c r="H280" s="7"/>
      <c r="I280" s="8"/>
      <c r="J280" s="8"/>
      <c r="K280" s="3"/>
      <c r="L280" s="76"/>
      <c r="M280" s="73"/>
      <c r="N280" s="73"/>
      <c r="O280" s="2"/>
      <c r="P280" s="2"/>
      <c r="Q280" s="11"/>
      <c r="R28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0" s="9"/>
      <c r="T280" s="16"/>
    </row>
    <row r="281" spans="1:20">
      <c r="A281" s="13" t="str">
        <f>VLOOKUP(C281,Data[],2,FALSE)</f>
        <v>MANHATTAN</v>
      </c>
      <c r="B281" s="1"/>
      <c r="C281" s="1" t="s">
        <v>83</v>
      </c>
      <c r="D281" s="1" t="str">
        <f>VLOOKUP(Table1[[#This Row],[DEVELOPMENT]],Data[],MATCH(Table1[[#Headers],[NRR]],Data[#Headers],0),FALSE)</f>
        <v>Zone 2</v>
      </c>
      <c r="E281" s="1" t="e">
        <f>VLOOKUP(Table1[[#This Row],[DEVELOPMENT]],Data[],MATCH(Table1[[#Headers],[Priority Level]],Data[#Headers],0),FALSE)</f>
        <v>#N/A</v>
      </c>
      <c r="F281" s="1" t="e">
        <f>VLOOKUP(Table1[[#This Row],[DEVELOPMENT]],Data[],MATCH(Table1[[#Headers],[RAD/PACT]],Data[#Headers],0),FALSE)</f>
        <v>#N/A</v>
      </c>
      <c r="G281" s="1" t="s">
        <v>150</v>
      </c>
      <c r="H281" s="7"/>
      <c r="I281" s="8"/>
      <c r="J281" s="8"/>
      <c r="K281" s="3"/>
      <c r="L281" s="76"/>
      <c r="M281" s="73"/>
      <c r="N281" s="73"/>
      <c r="O281" s="2"/>
      <c r="P281" s="2"/>
      <c r="Q281" s="11"/>
      <c r="R28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1" s="9"/>
      <c r="T281" s="16"/>
    </row>
    <row r="282" spans="1:20">
      <c r="A282" s="13" t="str">
        <f>VLOOKUP(C282,Data[],2,FALSE)</f>
        <v>MANHATTAN</v>
      </c>
      <c r="B282" s="1"/>
      <c r="C282" s="1" t="s">
        <v>131</v>
      </c>
      <c r="D282" s="1" t="str">
        <f>VLOOKUP(Table1[[#This Row],[DEVELOPMENT]],Data[],MATCH(Table1[[#Headers],[NRR]],Data[#Headers],0),FALSE)</f>
        <v>Zone 2</v>
      </c>
      <c r="E282" s="1" t="e">
        <f>VLOOKUP(Table1[[#This Row],[DEVELOPMENT]],Data[],MATCH(Table1[[#Headers],[Priority Level]],Data[#Headers],0),FALSE)</f>
        <v>#N/A</v>
      </c>
      <c r="F282" s="1" t="e">
        <f>VLOOKUP(Table1[[#This Row],[DEVELOPMENT]],Data[],MATCH(Table1[[#Headers],[RAD/PACT]],Data[#Headers],0),FALSE)</f>
        <v>#N/A</v>
      </c>
      <c r="G282" s="1" t="s">
        <v>150</v>
      </c>
      <c r="H282" s="7"/>
      <c r="I282" s="8"/>
      <c r="J282" s="8"/>
      <c r="K282" s="3"/>
      <c r="L282" s="76"/>
      <c r="M282" s="73"/>
      <c r="N282" s="73"/>
      <c r="O282" s="2"/>
      <c r="P282" s="2"/>
      <c r="Q282" s="11"/>
      <c r="R28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2" s="9"/>
      <c r="T282" s="16"/>
    </row>
    <row r="283" spans="1:20">
      <c r="A283" s="13" t="str">
        <f>VLOOKUP(C283,Data[],2,FALSE)</f>
        <v>MANHATTAN</v>
      </c>
      <c r="B283" s="1"/>
      <c r="C283" s="1" t="s">
        <v>113</v>
      </c>
      <c r="D283" s="1" t="str">
        <f>VLOOKUP(Table1[[#This Row],[DEVELOPMENT]],Data[],MATCH(Table1[[#Headers],[NRR]],Data[#Headers],0),FALSE)</f>
        <v>Zone 2</v>
      </c>
      <c r="E283" s="1" t="e">
        <f>VLOOKUP(Table1[[#This Row],[DEVELOPMENT]],Data[],MATCH(Table1[[#Headers],[Priority Level]],Data[#Headers],0),FALSE)</f>
        <v>#N/A</v>
      </c>
      <c r="F283" s="1" t="e">
        <f>VLOOKUP(Table1[[#This Row],[DEVELOPMENT]],Data[],MATCH(Table1[[#Headers],[RAD/PACT]],Data[#Headers],0),FALSE)</f>
        <v>#N/A</v>
      </c>
      <c r="G283" s="1" t="s">
        <v>150</v>
      </c>
      <c r="H283" s="7"/>
      <c r="I283" s="8"/>
      <c r="J283" s="8"/>
      <c r="K283" s="3"/>
      <c r="L283" s="76"/>
      <c r="M283" s="73"/>
      <c r="N283" s="73"/>
      <c r="O283" s="2"/>
      <c r="P283" s="2"/>
      <c r="Q283" s="11"/>
      <c r="R28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3" s="9"/>
      <c r="T283" s="16"/>
    </row>
    <row r="284" spans="1:20">
      <c r="A284" s="13" t="str">
        <f>VLOOKUP(C284,Data[],2,FALSE)</f>
        <v>MANHATTAN</v>
      </c>
      <c r="B284" s="1"/>
      <c r="C284" s="1" t="s">
        <v>122</v>
      </c>
      <c r="D284" s="1" t="str">
        <f>VLOOKUP(Table1[[#This Row],[DEVELOPMENT]],Data[],MATCH(Table1[[#Headers],[NRR]],Data[#Headers],0),FALSE)</f>
        <v>Zone 2</v>
      </c>
      <c r="E284" s="1" t="e">
        <f>VLOOKUP(Table1[[#This Row],[DEVELOPMENT]],Data[],MATCH(Table1[[#Headers],[Priority Level]],Data[#Headers],0),FALSE)</f>
        <v>#N/A</v>
      </c>
      <c r="F284" s="1" t="e">
        <f>VLOOKUP(Table1[[#This Row],[DEVELOPMENT]],Data[],MATCH(Table1[[#Headers],[RAD/PACT]],Data[#Headers],0),FALSE)</f>
        <v>#N/A</v>
      </c>
      <c r="G284" s="1" t="s">
        <v>150</v>
      </c>
      <c r="H284" s="7"/>
      <c r="I284" s="8"/>
      <c r="J284" s="8"/>
      <c r="K284" s="3"/>
      <c r="L284" s="76"/>
      <c r="M284" s="73"/>
      <c r="N284" s="73"/>
      <c r="O284" s="2"/>
      <c r="P284" s="2"/>
      <c r="Q284" s="11"/>
      <c r="R28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4" s="9"/>
      <c r="T284" s="16"/>
    </row>
    <row r="285" spans="1:20">
      <c r="A285" s="13" t="str">
        <f>VLOOKUP(C285,Data[],2,FALSE)</f>
        <v>MANHATTAN</v>
      </c>
      <c r="B285" s="1"/>
      <c r="C285" s="1" t="s">
        <v>90</v>
      </c>
      <c r="D285" s="1" t="str">
        <f>VLOOKUP(Table1[[#This Row],[DEVELOPMENT]],Data[],MATCH(Table1[[#Headers],[NRR]],Data[#Headers],0),FALSE)</f>
        <v>Zone 2</v>
      </c>
      <c r="E285" s="1" t="e">
        <f>VLOOKUP(Table1[[#This Row],[DEVELOPMENT]],Data[],MATCH(Table1[[#Headers],[Priority Level]],Data[#Headers],0),FALSE)</f>
        <v>#N/A</v>
      </c>
      <c r="F285" s="1" t="e">
        <f>VLOOKUP(Table1[[#This Row],[DEVELOPMENT]],Data[],MATCH(Table1[[#Headers],[RAD/PACT]],Data[#Headers],0),FALSE)</f>
        <v>#N/A</v>
      </c>
      <c r="G285" s="1" t="s">
        <v>150</v>
      </c>
      <c r="H285" s="7"/>
      <c r="I285" s="8"/>
      <c r="J285" s="8"/>
      <c r="K285" s="3"/>
      <c r="L285" s="76"/>
      <c r="M285" s="73"/>
      <c r="N285" s="73"/>
      <c r="O285" s="2"/>
      <c r="P285" s="2"/>
      <c r="Q285" s="11"/>
      <c r="R28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5" s="9"/>
      <c r="T285" s="16"/>
    </row>
    <row r="286" spans="1:20">
      <c r="A286" s="13" t="str">
        <f>VLOOKUP(C286,Data[],2,FALSE)</f>
        <v>MANHATTAN</v>
      </c>
      <c r="B286" s="1"/>
      <c r="C286" s="1" t="s">
        <v>133</v>
      </c>
      <c r="D286" s="1" t="str">
        <f>VLOOKUP(Table1[[#This Row],[DEVELOPMENT]],Data[],MATCH(Table1[[#Headers],[NRR]],Data[#Headers],0),FALSE)</f>
        <v>Zone 2</v>
      </c>
      <c r="E286" s="1" t="e">
        <f>VLOOKUP(Table1[[#This Row],[DEVELOPMENT]],Data[],MATCH(Table1[[#Headers],[Priority Level]],Data[#Headers],0),FALSE)</f>
        <v>#N/A</v>
      </c>
      <c r="F286" s="1" t="e">
        <f>VLOOKUP(Table1[[#This Row],[DEVELOPMENT]],Data[],MATCH(Table1[[#Headers],[RAD/PACT]],Data[#Headers],0),FALSE)</f>
        <v>#N/A</v>
      </c>
      <c r="G286" s="1" t="s">
        <v>150</v>
      </c>
      <c r="H286" s="7"/>
      <c r="I286" s="8"/>
      <c r="J286" s="8"/>
      <c r="K286" s="3"/>
      <c r="L286" s="76"/>
      <c r="M286" s="73"/>
      <c r="N286" s="73"/>
      <c r="O286" s="2"/>
      <c r="P286" s="2"/>
      <c r="Q286" s="11"/>
      <c r="R28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6" s="9"/>
      <c r="T286" s="16"/>
    </row>
    <row r="287" spans="1:20">
      <c r="A287" s="13" t="str">
        <f>VLOOKUP(C287,Data[],2,FALSE)</f>
        <v>MANHATTAN</v>
      </c>
      <c r="B287" s="1"/>
      <c r="C287" s="1" t="s">
        <v>115</v>
      </c>
      <c r="D287" s="1" t="str">
        <f>VLOOKUP(Table1[[#This Row],[DEVELOPMENT]],Data[],MATCH(Table1[[#Headers],[NRR]],Data[#Headers],0),FALSE)</f>
        <v>Zone 2</v>
      </c>
      <c r="E287" s="1" t="e">
        <f>VLOOKUP(Table1[[#This Row],[DEVELOPMENT]],Data[],MATCH(Table1[[#Headers],[Priority Level]],Data[#Headers],0),FALSE)</f>
        <v>#N/A</v>
      </c>
      <c r="F287" s="1" t="e">
        <f>VLOOKUP(Table1[[#This Row],[DEVELOPMENT]],Data[],MATCH(Table1[[#Headers],[RAD/PACT]],Data[#Headers],0),FALSE)</f>
        <v>#N/A</v>
      </c>
      <c r="G287" s="1" t="s">
        <v>150</v>
      </c>
      <c r="H287" s="7"/>
      <c r="I287" s="8"/>
      <c r="J287" s="8"/>
      <c r="K287" s="3"/>
      <c r="L287" s="76"/>
      <c r="M287" s="73"/>
      <c r="N287" s="73"/>
      <c r="O287" s="2"/>
      <c r="P287" s="2"/>
      <c r="Q287" s="11"/>
      <c r="R28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7" s="9"/>
      <c r="T287" s="16"/>
    </row>
    <row r="288" spans="1:20">
      <c r="A288" s="13" t="str">
        <f>VLOOKUP(C288,Data[],2,FALSE)</f>
        <v>MANHATTAN</v>
      </c>
      <c r="B288" s="1"/>
      <c r="C288" s="1" t="s">
        <v>136</v>
      </c>
      <c r="D288" s="1" t="str">
        <f>VLOOKUP(Table1[[#This Row],[DEVELOPMENT]],Data[],MATCH(Table1[[#Headers],[NRR]],Data[#Headers],0),FALSE)</f>
        <v>Zone 2</v>
      </c>
      <c r="E288" s="1" t="e">
        <f>VLOOKUP(Table1[[#This Row],[DEVELOPMENT]],Data[],MATCH(Table1[[#Headers],[Priority Level]],Data[#Headers],0),FALSE)</f>
        <v>#N/A</v>
      </c>
      <c r="F288" s="1" t="e">
        <f>VLOOKUP(Table1[[#This Row],[DEVELOPMENT]],Data[],MATCH(Table1[[#Headers],[RAD/PACT]],Data[#Headers],0),FALSE)</f>
        <v>#N/A</v>
      </c>
      <c r="G288" s="1" t="s">
        <v>150</v>
      </c>
      <c r="H288" s="7"/>
      <c r="I288" s="8"/>
      <c r="J288" s="8"/>
      <c r="K288" s="3"/>
      <c r="L288" s="76"/>
      <c r="M288" s="73"/>
      <c r="N288" s="73"/>
      <c r="O288" s="2"/>
      <c r="P288" s="2"/>
      <c r="Q288" s="11"/>
      <c r="R28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8" s="9"/>
      <c r="T288" s="16"/>
    </row>
    <row r="289" spans="1:20">
      <c r="A289" s="13" t="str">
        <f>VLOOKUP(C289,Data[],2,FALSE)</f>
        <v>MANHATTAN</v>
      </c>
      <c r="B289" s="1"/>
      <c r="C289" s="1" t="s">
        <v>128</v>
      </c>
      <c r="D289" s="1" t="str">
        <f>VLOOKUP(Table1[[#This Row],[DEVELOPMENT]],Data[],MATCH(Table1[[#Headers],[NRR]],Data[#Headers],0),FALSE)</f>
        <v>Zone 2</v>
      </c>
      <c r="E289" s="1" t="e">
        <f>VLOOKUP(Table1[[#This Row],[DEVELOPMENT]],Data[],MATCH(Table1[[#Headers],[Priority Level]],Data[#Headers],0),FALSE)</f>
        <v>#N/A</v>
      </c>
      <c r="F289" s="1" t="e">
        <f>VLOOKUP(Table1[[#This Row],[DEVELOPMENT]],Data[],MATCH(Table1[[#Headers],[RAD/PACT]],Data[#Headers],0),FALSE)</f>
        <v>#N/A</v>
      </c>
      <c r="G289" s="1" t="s">
        <v>150</v>
      </c>
      <c r="H289" s="7"/>
      <c r="I289" s="8"/>
      <c r="J289" s="8"/>
      <c r="K289" s="3"/>
      <c r="L289" s="76"/>
      <c r="M289" s="73"/>
      <c r="N289" s="73"/>
      <c r="O289" s="2"/>
      <c r="P289" s="2"/>
      <c r="Q289" s="11"/>
      <c r="R28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89" s="9"/>
      <c r="T289" s="16"/>
    </row>
    <row r="290" spans="1:20">
      <c r="A290" s="13" t="str">
        <f>VLOOKUP(C290,Data[],2,FALSE)</f>
        <v>MANHATTAN</v>
      </c>
      <c r="B290" s="1"/>
      <c r="C290" s="1" t="s">
        <v>127</v>
      </c>
      <c r="D290" s="1" t="str">
        <f>VLOOKUP(Table1[[#This Row],[DEVELOPMENT]],Data[],MATCH(Table1[[#Headers],[NRR]],Data[#Headers],0),FALSE)</f>
        <v>Zone 2</v>
      </c>
      <c r="E290" s="1" t="e">
        <f>VLOOKUP(Table1[[#This Row],[DEVELOPMENT]],Data[],MATCH(Table1[[#Headers],[Priority Level]],Data[#Headers],0),FALSE)</f>
        <v>#N/A</v>
      </c>
      <c r="F290" s="1" t="e">
        <f>VLOOKUP(Table1[[#This Row],[DEVELOPMENT]],Data[],MATCH(Table1[[#Headers],[RAD/PACT]],Data[#Headers],0),FALSE)</f>
        <v>#N/A</v>
      </c>
      <c r="G290" s="1" t="s">
        <v>150</v>
      </c>
      <c r="H290" s="7"/>
      <c r="I290" s="8"/>
      <c r="J290" s="8"/>
      <c r="K290" s="3"/>
      <c r="L290" s="76"/>
      <c r="M290" s="73"/>
      <c r="N290" s="73"/>
      <c r="O290" s="2"/>
      <c r="P290" s="2"/>
      <c r="Q290" s="11"/>
      <c r="R29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0" s="9"/>
      <c r="T290" s="16"/>
    </row>
    <row r="291" spans="1:20">
      <c r="A291" s="13" t="str">
        <f>VLOOKUP(C291,Data[],2,FALSE)</f>
        <v>MANHATTAN</v>
      </c>
      <c r="B291" s="1"/>
      <c r="C291" s="1" t="s">
        <v>120</v>
      </c>
      <c r="D291" s="1" t="str">
        <f>VLOOKUP(Table1[[#This Row],[DEVELOPMENT]],Data[],MATCH(Table1[[#Headers],[NRR]],Data[#Headers],0),FALSE)</f>
        <v>Zone 2</v>
      </c>
      <c r="E291" s="1" t="e">
        <f>VLOOKUP(Table1[[#This Row],[DEVELOPMENT]],Data[],MATCH(Table1[[#Headers],[Priority Level]],Data[#Headers],0),FALSE)</f>
        <v>#N/A</v>
      </c>
      <c r="F291" s="1" t="e">
        <f>VLOOKUP(Table1[[#This Row],[DEVELOPMENT]],Data[],MATCH(Table1[[#Headers],[RAD/PACT]],Data[#Headers],0),FALSE)</f>
        <v>#N/A</v>
      </c>
      <c r="G291" s="9" t="s">
        <v>151</v>
      </c>
      <c r="H291" s="7"/>
      <c r="I291" s="8"/>
      <c r="J291" s="8"/>
      <c r="K291" s="3"/>
      <c r="L291" s="76"/>
      <c r="M291" s="73"/>
      <c r="N291" s="73"/>
      <c r="O291" s="2"/>
      <c r="P291" s="2"/>
      <c r="Q291" s="11"/>
      <c r="R29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1" s="9"/>
      <c r="T291" s="16"/>
    </row>
    <row r="292" spans="1:20">
      <c r="A292" s="13" t="str">
        <f>VLOOKUP(C292,Data[],2,FALSE)</f>
        <v>MANHATTAN</v>
      </c>
      <c r="B292" s="1"/>
      <c r="C292" s="1" t="s">
        <v>78</v>
      </c>
      <c r="D292" s="1" t="str">
        <f>VLOOKUP(Table1[[#This Row],[DEVELOPMENT]],Data[],MATCH(Table1[[#Headers],[NRR]],Data[#Headers],0),FALSE)</f>
        <v>Zone 2</v>
      </c>
      <c r="E292" s="1" t="e">
        <f>VLOOKUP(Table1[[#This Row],[DEVELOPMENT]],Data[],MATCH(Table1[[#Headers],[Priority Level]],Data[#Headers],0),FALSE)</f>
        <v>#N/A</v>
      </c>
      <c r="F292" s="1" t="e">
        <f>VLOOKUP(Table1[[#This Row],[DEVELOPMENT]],Data[],MATCH(Table1[[#Headers],[RAD/PACT]],Data[#Headers],0),FALSE)</f>
        <v>#N/A</v>
      </c>
      <c r="G292" s="9" t="s">
        <v>151</v>
      </c>
      <c r="H292" s="7"/>
      <c r="I292" s="8"/>
      <c r="J292" s="8"/>
      <c r="K292" s="3"/>
      <c r="L292" s="76"/>
      <c r="M292" s="73"/>
      <c r="N292" s="73"/>
      <c r="O292" s="2"/>
      <c r="P292" s="2"/>
      <c r="Q292" s="11"/>
      <c r="R29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2" s="9"/>
      <c r="T292" s="16"/>
    </row>
    <row r="293" spans="1:20">
      <c r="A293" s="13" t="str">
        <f>VLOOKUP(C293,Data[],2,FALSE)</f>
        <v>MANHATTAN</v>
      </c>
      <c r="B293" s="1"/>
      <c r="C293" s="1" t="s">
        <v>81</v>
      </c>
      <c r="D293" s="1" t="str">
        <f>VLOOKUP(Table1[[#This Row],[DEVELOPMENT]],Data[],MATCH(Table1[[#Headers],[NRR]],Data[#Headers],0),FALSE)</f>
        <v>Zone 2</v>
      </c>
      <c r="E293" s="1" t="e">
        <f>VLOOKUP(Table1[[#This Row],[DEVELOPMENT]],Data[],MATCH(Table1[[#Headers],[Priority Level]],Data[#Headers],0),FALSE)</f>
        <v>#N/A</v>
      </c>
      <c r="F293" s="1" t="e">
        <f>VLOOKUP(Table1[[#This Row],[DEVELOPMENT]],Data[],MATCH(Table1[[#Headers],[RAD/PACT]],Data[#Headers],0),FALSE)</f>
        <v>#N/A</v>
      </c>
      <c r="G293" s="9" t="s">
        <v>151</v>
      </c>
      <c r="H293" s="7"/>
      <c r="I293" s="8"/>
      <c r="J293" s="8"/>
      <c r="K293" s="3"/>
      <c r="L293" s="76"/>
      <c r="M293" s="73"/>
      <c r="N293" s="73"/>
      <c r="O293" s="2"/>
      <c r="P293" s="2"/>
      <c r="Q293" s="11"/>
      <c r="R293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3" s="9"/>
      <c r="T293" s="16"/>
    </row>
    <row r="294" spans="1:20">
      <c r="A294" s="13" t="str">
        <f>VLOOKUP(C294,Data[],2,FALSE)</f>
        <v>MANHATTAN</v>
      </c>
      <c r="B294" s="1"/>
      <c r="C294" s="1" t="s">
        <v>112</v>
      </c>
      <c r="D294" s="1" t="str">
        <f>VLOOKUP(Table1[[#This Row],[DEVELOPMENT]],Data[],MATCH(Table1[[#Headers],[NRR]],Data[#Headers],0),FALSE)</f>
        <v>Zone 2</v>
      </c>
      <c r="E294" s="1" t="e">
        <f>VLOOKUP(Table1[[#This Row],[DEVELOPMENT]],Data[],MATCH(Table1[[#Headers],[Priority Level]],Data[#Headers],0),FALSE)</f>
        <v>#N/A</v>
      </c>
      <c r="F294" s="1" t="e">
        <f>VLOOKUP(Table1[[#This Row],[DEVELOPMENT]],Data[],MATCH(Table1[[#Headers],[RAD/PACT]],Data[#Headers],0),FALSE)</f>
        <v>#N/A</v>
      </c>
      <c r="G294" s="9" t="s">
        <v>151</v>
      </c>
      <c r="H294" s="7"/>
      <c r="I294" s="8"/>
      <c r="J294" s="8"/>
      <c r="K294" s="3"/>
      <c r="L294" s="76"/>
      <c r="M294" s="73"/>
      <c r="N294" s="73"/>
      <c r="O294" s="2"/>
      <c r="P294" s="2"/>
      <c r="Q294" s="11"/>
      <c r="R294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4" s="9"/>
      <c r="T294" s="16"/>
    </row>
    <row r="295" spans="1:20">
      <c r="A295" s="13" t="str">
        <f>VLOOKUP(C295,Data[],2,FALSE)</f>
        <v>MANHATTAN</v>
      </c>
      <c r="B295" s="1"/>
      <c r="C295" s="1" t="s">
        <v>83</v>
      </c>
      <c r="D295" s="1" t="str">
        <f>VLOOKUP(Table1[[#This Row],[DEVELOPMENT]],Data[],MATCH(Table1[[#Headers],[NRR]],Data[#Headers],0),FALSE)</f>
        <v>Zone 2</v>
      </c>
      <c r="E295" s="1" t="e">
        <f>VLOOKUP(Table1[[#This Row],[DEVELOPMENT]],Data[],MATCH(Table1[[#Headers],[Priority Level]],Data[#Headers],0),FALSE)</f>
        <v>#N/A</v>
      </c>
      <c r="F295" s="1" t="e">
        <f>VLOOKUP(Table1[[#This Row],[DEVELOPMENT]],Data[],MATCH(Table1[[#Headers],[RAD/PACT]],Data[#Headers],0),FALSE)</f>
        <v>#N/A</v>
      </c>
      <c r="G295" s="9" t="s">
        <v>151</v>
      </c>
      <c r="H295" s="7"/>
      <c r="I295" s="8"/>
      <c r="J295" s="8"/>
      <c r="K295" s="3"/>
      <c r="L295" s="76"/>
      <c r="M295" s="73"/>
      <c r="N295" s="73"/>
      <c r="O295" s="2"/>
      <c r="P295" s="2"/>
      <c r="Q295" s="11"/>
      <c r="R295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5" s="9"/>
      <c r="T295" s="16"/>
    </row>
    <row r="296" spans="1:20">
      <c r="A296" s="13" t="str">
        <f>VLOOKUP(C296,Data[],2,FALSE)</f>
        <v>MANHATTAN</v>
      </c>
      <c r="B296" s="1"/>
      <c r="C296" s="1" t="s">
        <v>131</v>
      </c>
      <c r="D296" s="1" t="str">
        <f>VLOOKUP(Table1[[#This Row],[DEVELOPMENT]],Data[],MATCH(Table1[[#Headers],[NRR]],Data[#Headers],0),FALSE)</f>
        <v>Zone 2</v>
      </c>
      <c r="E296" s="1" t="e">
        <f>VLOOKUP(Table1[[#This Row],[DEVELOPMENT]],Data[],MATCH(Table1[[#Headers],[Priority Level]],Data[#Headers],0),FALSE)</f>
        <v>#N/A</v>
      </c>
      <c r="F296" s="1" t="e">
        <f>VLOOKUP(Table1[[#This Row],[DEVELOPMENT]],Data[],MATCH(Table1[[#Headers],[RAD/PACT]],Data[#Headers],0),FALSE)</f>
        <v>#N/A</v>
      </c>
      <c r="G296" s="9" t="s">
        <v>151</v>
      </c>
      <c r="H296" s="7"/>
      <c r="I296" s="8"/>
      <c r="J296" s="8"/>
      <c r="K296" s="3"/>
      <c r="L296" s="76"/>
      <c r="M296" s="73"/>
      <c r="N296" s="73"/>
      <c r="O296" s="2"/>
      <c r="P296" s="2"/>
      <c r="Q296" s="11"/>
      <c r="R296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6" s="9"/>
      <c r="T296" s="16"/>
    </row>
    <row r="297" spans="1:20">
      <c r="A297" s="13" t="str">
        <f>VLOOKUP(C297,Data[],2,FALSE)</f>
        <v>MANHATTAN</v>
      </c>
      <c r="B297" s="1"/>
      <c r="C297" s="1" t="s">
        <v>113</v>
      </c>
      <c r="D297" s="1" t="str">
        <f>VLOOKUP(Table1[[#This Row],[DEVELOPMENT]],Data[],MATCH(Table1[[#Headers],[NRR]],Data[#Headers],0),FALSE)</f>
        <v>Zone 2</v>
      </c>
      <c r="E297" s="1" t="e">
        <f>VLOOKUP(Table1[[#This Row],[DEVELOPMENT]],Data[],MATCH(Table1[[#Headers],[Priority Level]],Data[#Headers],0),FALSE)</f>
        <v>#N/A</v>
      </c>
      <c r="F297" s="1" t="e">
        <f>VLOOKUP(Table1[[#This Row],[DEVELOPMENT]],Data[],MATCH(Table1[[#Headers],[RAD/PACT]],Data[#Headers],0),FALSE)</f>
        <v>#N/A</v>
      </c>
      <c r="G297" s="9" t="s">
        <v>151</v>
      </c>
      <c r="H297" s="7"/>
      <c r="I297" s="8"/>
      <c r="J297" s="8"/>
      <c r="K297" s="3"/>
      <c r="L297" s="76"/>
      <c r="M297" s="73"/>
      <c r="N297" s="73"/>
      <c r="O297" s="2"/>
      <c r="P297" s="2"/>
      <c r="Q297" s="11"/>
      <c r="R297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7" s="9"/>
      <c r="T297" s="16"/>
    </row>
    <row r="298" spans="1:20">
      <c r="A298" s="13" t="str">
        <f>VLOOKUP(C298,Data[],2,FALSE)</f>
        <v>BROOKLYN</v>
      </c>
      <c r="B298" s="9" t="s">
        <v>25</v>
      </c>
      <c r="C298" s="9" t="s">
        <v>38</v>
      </c>
      <c r="D298" s="1" t="str">
        <f>VLOOKUP(Table1[[#This Row],[DEVELOPMENT]],Data[],MATCH(Table1[[#Headers],[NRR]],Data[#Headers],0),FALSE)</f>
        <v>Zone 1</v>
      </c>
      <c r="E298" s="1" t="e">
        <f>VLOOKUP(Table1[[#This Row],[DEVELOPMENT]],Data[],MATCH(Table1[[#Headers],[Priority Level]],Data[#Headers],0),FALSE)</f>
        <v>#N/A</v>
      </c>
      <c r="F298" s="1" t="e">
        <f>VLOOKUP(Table1[[#This Row],[DEVELOPMENT]],Data[],MATCH(Table1[[#Headers],[RAD/PACT]],Data[#Headers],0),FALSE)</f>
        <v>#N/A</v>
      </c>
      <c r="G298" s="9" t="s">
        <v>151</v>
      </c>
      <c r="H298" s="12" t="s">
        <v>85</v>
      </c>
      <c r="I298" s="10"/>
      <c r="J298" s="10">
        <f>K298</f>
        <v>800958.9</v>
      </c>
      <c r="K298" s="11">
        <v>800958.9</v>
      </c>
      <c r="L298" s="73">
        <v>2019</v>
      </c>
      <c r="M298" s="75"/>
      <c r="N298" s="75"/>
      <c r="O298" s="1"/>
      <c r="P298" s="1"/>
      <c r="Q298" s="3"/>
      <c r="R298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8" s="1"/>
      <c r="T298" s="16"/>
    </row>
    <row r="299" spans="1:20">
      <c r="A299" s="13" t="str">
        <f>VLOOKUP(C299,Data[],2,FALSE)</f>
        <v>MANHATTAN</v>
      </c>
      <c r="B299" s="1"/>
      <c r="C299" s="1" t="s">
        <v>115</v>
      </c>
      <c r="D299" s="1" t="str">
        <f>VLOOKUP(Table1[[#This Row],[DEVELOPMENT]],Data[],MATCH(Table1[[#Headers],[NRR]],Data[#Headers],0),FALSE)</f>
        <v>Zone 2</v>
      </c>
      <c r="E299" s="1" t="e">
        <f>VLOOKUP(Table1[[#This Row],[DEVELOPMENT]],Data[],MATCH(Table1[[#Headers],[Priority Level]],Data[#Headers],0),FALSE)</f>
        <v>#N/A</v>
      </c>
      <c r="F299" s="1" t="e">
        <f>VLOOKUP(Table1[[#This Row],[DEVELOPMENT]],Data[],MATCH(Table1[[#Headers],[RAD/PACT]],Data[#Headers],0),FALSE)</f>
        <v>#N/A</v>
      </c>
      <c r="G299" s="9" t="s">
        <v>151</v>
      </c>
      <c r="H299" s="7"/>
      <c r="I299" s="8"/>
      <c r="J299" s="8"/>
      <c r="K299" s="3"/>
      <c r="L299" s="76"/>
      <c r="M299" s="73"/>
      <c r="N299" s="73"/>
      <c r="O299" s="2"/>
      <c r="P299" s="2"/>
      <c r="Q299" s="11"/>
      <c r="R299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299" s="9"/>
      <c r="T299" s="16"/>
    </row>
    <row r="300" spans="1:20">
      <c r="A300" s="13" t="str">
        <f>VLOOKUP(C300,Data[],2,FALSE)</f>
        <v>MANHATTAN</v>
      </c>
      <c r="B300" s="1"/>
      <c r="C300" s="1" t="s">
        <v>136</v>
      </c>
      <c r="D300" s="1" t="str">
        <f>VLOOKUP(Table1[[#This Row],[DEVELOPMENT]],Data[],MATCH(Table1[[#Headers],[NRR]],Data[#Headers],0),FALSE)</f>
        <v>Zone 2</v>
      </c>
      <c r="E300" s="1" t="e">
        <f>VLOOKUP(Table1[[#This Row],[DEVELOPMENT]],Data[],MATCH(Table1[[#Headers],[Priority Level]],Data[#Headers],0),FALSE)</f>
        <v>#N/A</v>
      </c>
      <c r="F300" s="1" t="e">
        <f>VLOOKUP(Table1[[#This Row],[DEVELOPMENT]],Data[],MATCH(Table1[[#Headers],[RAD/PACT]],Data[#Headers],0),FALSE)</f>
        <v>#N/A</v>
      </c>
      <c r="G300" s="9" t="s">
        <v>151</v>
      </c>
      <c r="H300" s="7"/>
      <c r="I300" s="8"/>
      <c r="J300" s="8"/>
      <c r="K300" s="3"/>
      <c r="L300" s="76"/>
      <c r="M300" s="73"/>
      <c r="N300" s="73"/>
      <c r="O300" s="2"/>
      <c r="P300" s="2"/>
      <c r="Q300" s="11"/>
      <c r="R300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00" s="9"/>
      <c r="T300" s="16"/>
    </row>
    <row r="301" spans="1:20">
      <c r="A301" s="13" t="str">
        <f>VLOOKUP(C301,Data[],2,FALSE)</f>
        <v>MANHATTAN</v>
      </c>
      <c r="B301" s="1"/>
      <c r="C301" s="1" t="s">
        <v>128</v>
      </c>
      <c r="D301" s="1" t="str">
        <f>VLOOKUP(Table1[[#This Row],[DEVELOPMENT]],Data[],MATCH(Table1[[#Headers],[NRR]],Data[#Headers],0),FALSE)</f>
        <v>Zone 2</v>
      </c>
      <c r="E301" s="1" t="e">
        <f>VLOOKUP(Table1[[#This Row],[DEVELOPMENT]],Data[],MATCH(Table1[[#Headers],[Priority Level]],Data[#Headers],0),FALSE)</f>
        <v>#N/A</v>
      </c>
      <c r="F301" s="1" t="e">
        <f>VLOOKUP(Table1[[#This Row],[DEVELOPMENT]],Data[],MATCH(Table1[[#Headers],[RAD/PACT]],Data[#Headers],0),FALSE)</f>
        <v>#N/A</v>
      </c>
      <c r="G301" s="9" t="s">
        <v>151</v>
      </c>
      <c r="H301" s="7"/>
      <c r="I301" s="8"/>
      <c r="J301" s="8"/>
      <c r="K301" s="3"/>
      <c r="L301" s="76"/>
      <c r="M301" s="73"/>
      <c r="N301" s="73"/>
      <c r="O301" s="2"/>
      <c r="P301" s="2"/>
      <c r="Q301" s="11"/>
      <c r="R301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01" s="9"/>
      <c r="T301" s="16"/>
    </row>
    <row r="302" spans="1:20">
      <c r="A302" s="13" t="str">
        <f>VLOOKUP(C302,Data[],2,FALSE)</f>
        <v>MANHATTAN</v>
      </c>
      <c r="B302" s="1"/>
      <c r="C302" s="1" t="s">
        <v>127</v>
      </c>
      <c r="D302" s="1" t="str">
        <f>VLOOKUP(Table1[[#This Row],[DEVELOPMENT]],Data[],MATCH(Table1[[#Headers],[NRR]],Data[#Headers],0),FALSE)</f>
        <v>Zone 2</v>
      </c>
      <c r="E302" s="1" t="e">
        <f>VLOOKUP(Table1[[#This Row],[DEVELOPMENT]],Data[],MATCH(Table1[[#Headers],[Priority Level]],Data[#Headers],0),FALSE)</f>
        <v>#N/A</v>
      </c>
      <c r="F302" s="1" t="e">
        <f>VLOOKUP(Table1[[#This Row],[DEVELOPMENT]],Data[],MATCH(Table1[[#Headers],[RAD/PACT]],Data[#Headers],0),FALSE)</f>
        <v>#N/A</v>
      </c>
      <c r="G302" s="9" t="s">
        <v>151</v>
      </c>
      <c r="H302" s="7"/>
      <c r="I302" s="8"/>
      <c r="J302" s="8"/>
      <c r="K302" s="3"/>
      <c r="L302" s="76"/>
      <c r="M302" s="73"/>
      <c r="N302" s="73"/>
      <c r="O302" s="2"/>
      <c r="P302" s="2"/>
      <c r="Q302" s="11"/>
      <c r="R302" s="3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02" s="9"/>
      <c r="T302" s="16"/>
    </row>
    <row r="303" spans="1:20">
      <c r="A303" s="48" t="str">
        <f>VLOOKUP(C303,Data[],2,FALSE)</f>
        <v>MANHATTAN</v>
      </c>
      <c r="B303" s="36"/>
      <c r="C303" s="36" t="s">
        <v>137</v>
      </c>
      <c r="D303" s="36" t="str">
        <f>VLOOKUP(Table1[[#This Row],[DEVELOPMENT]],Data[],MATCH(Table1[[#Headers],[NRR]],Data[#Headers],0),FALSE)</f>
        <v>Zone 2</v>
      </c>
      <c r="E303" s="36" t="e">
        <f>VLOOKUP(Table1[[#This Row],[DEVELOPMENT]],Data[],MATCH(Table1[[#Headers],[Priority Level]],Data[#Headers],0),FALSE)</f>
        <v>#N/A</v>
      </c>
      <c r="F303" s="36" t="e">
        <f>VLOOKUP(Table1[[#This Row],[DEVELOPMENT]],Data[],MATCH(Table1[[#Headers],[RAD/PACT]],Data[#Headers],0),FALSE)</f>
        <v>#N/A</v>
      </c>
      <c r="G303" s="24" t="s">
        <v>151</v>
      </c>
      <c r="H303" s="40"/>
      <c r="I303" s="41"/>
      <c r="J303" s="41"/>
      <c r="K303" s="42"/>
      <c r="L303" s="78"/>
      <c r="M303" s="77"/>
      <c r="N303" s="77"/>
      <c r="O303" s="43"/>
      <c r="P303" s="43"/>
      <c r="Q303" s="25"/>
      <c r="R303" s="42" t="e">
        <f ca="1">IF(Table1[[#This Row],[RAD/PACT]]="",IF(Table1[[#This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TYPE]],Data[#Headers],0),FALSE))),IF(Table1[[#This Row],[RAD/PACT]]-YEAR(TODAY())&lt;=5,0,IF(Table1[[#This Row],[WORK TYPE]]="Exterior Compactors",VLOOKUP(Table1[[#This Row],[DEVELOPMENT]],ExtComp[],10,FALSE),IF(Table1[[#This Row],[WORK TYPE]]="Interior Compactors",VLOOKUP(Table1[[#This Row],[DEVELOPMENT]],IntComp[],10,FALSE),INDEX(UnitCosts[],MATCH(Table1[[#This Row],[WORK TYPE]],UnitCosts[Work Type],0),2)*VLOOKUP(Table1[[#This Row],[DEVELOPMENT]],Data[],MATCH(Table1[[#This Row],[WORK TYPE]],Data[#Headers],0),FALSE)))))</f>
        <v>#N/A</v>
      </c>
      <c r="S303" s="24"/>
      <c r="T303" s="79"/>
    </row>
  </sheetData>
  <conditionalFormatting sqref="A5:S303">
    <cfRule type="containsErrors" dxfId="614" priority="7">
      <formula>ISERROR(A5)</formula>
    </cfRule>
  </conditionalFormatting>
  <conditionalFormatting sqref="M238:M303">
    <cfRule type="containsErrors" dxfId="613" priority="6">
      <formula>ISERROR(M238)</formula>
    </cfRule>
  </conditionalFormatting>
  <conditionalFormatting sqref="C271:C303">
    <cfRule type="containsErrors" dxfId="612" priority="4">
      <formula>ISERROR(C271)</formula>
    </cfRule>
  </conditionalFormatting>
  <conditionalFormatting sqref="C271:C303">
    <cfRule type="containsErrors" dxfId="611" priority="3">
      <formula>ISERROR(C271)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F314"/>
  <sheetViews>
    <sheetView zoomScaleNormal="100" workbookViewId="0">
      <pane xSplit="2" ySplit="3" topLeftCell="C4" activePane="bottomRight" state="frozen"/>
      <selection pane="bottomRight" activeCell="B9" sqref="B9"/>
      <selection pane="bottomLeft" activeCell="A4" sqref="A4"/>
      <selection pane="topRight" activeCell="C1" sqref="C1"/>
    </sheetView>
  </sheetViews>
  <sheetFormatPr defaultColWidth="8.7109375" defaultRowHeight="14.45"/>
  <cols>
    <col min="1" max="1" width="6.42578125" style="82" bestFit="1" customWidth="1"/>
    <col min="2" max="2" width="57" bestFit="1" customWidth="1"/>
    <col min="3" max="3" width="12.28515625" bestFit="1" customWidth="1"/>
    <col min="4" max="4" width="14.7109375" customWidth="1"/>
    <col min="5" max="5" width="11.7109375" bestFit="1" customWidth="1"/>
    <col min="6" max="6" width="50" bestFit="1" customWidth="1"/>
    <col min="7" max="7" width="16" style="107" bestFit="1" customWidth="1"/>
    <col min="8" max="8" width="14.28515625" bestFit="1" customWidth="1"/>
    <col min="9" max="9" width="13.28515625" bestFit="1" customWidth="1"/>
    <col min="10" max="10" width="14" bestFit="1" customWidth="1"/>
    <col min="11" max="11" width="7" customWidth="1"/>
    <col min="12" max="12" width="7.42578125" bestFit="1" customWidth="1"/>
    <col min="13" max="13" width="10.42578125" bestFit="1" customWidth="1"/>
    <col min="14" max="14" width="16.140625" bestFit="1" customWidth="1"/>
    <col min="15" max="15" width="12" bestFit="1" customWidth="1"/>
    <col min="16" max="16" width="12.42578125" customWidth="1"/>
    <col min="17" max="17" width="14.28515625" customWidth="1"/>
    <col min="18" max="18" width="6.7109375" customWidth="1"/>
    <col min="19" max="19" width="13.140625" bestFit="1" customWidth="1"/>
    <col min="20" max="20" width="12.7109375" customWidth="1"/>
    <col min="21" max="21" width="13.7109375" customWidth="1"/>
    <col min="22" max="22" width="22.42578125" customWidth="1"/>
    <col min="23" max="23" width="13.7109375" bestFit="1" customWidth="1"/>
    <col min="24" max="24" width="22.7109375" bestFit="1" customWidth="1"/>
    <col min="25" max="25" width="11.42578125" bestFit="1" customWidth="1"/>
    <col min="26" max="26" width="16.7109375" bestFit="1" customWidth="1"/>
    <col min="27" max="28" width="16.28515625" bestFit="1" customWidth="1"/>
    <col min="29" max="29" width="20.28515625" customWidth="1"/>
    <col min="30" max="30" width="16.28515625" bestFit="1" customWidth="1"/>
    <col min="31" max="31" width="16.28515625" customWidth="1"/>
    <col min="32" max="32" width="20.140625" customWidth="1"/>
  </cols>
  <sheetData>
    <row r="1" spans="1:32" s="54" customFormat="1">
      <c r="A1" s="222"/>
      <c r="B1" s="54">
        <v>1</v>
      </c>
      <c r="C1" s="54">
        <v>2</v>
      </c>
      <c r="D1" s="54">
        <v>3</v>
      </c>
      <c r="E1" s="54">
        <v>4</v>
      </c>
      <c r="F1" s="54">
        <v>5</v>
      </c>
      <c r="G1" s="54">
        <v>6</v>
      </c>
      <c r="H1" s="54">
        <v>7</v>
      </c>
      <c r="I1" s="54">
        <v>8</v>
      </c>
      <c r="J1" s="54">
        <v>9</v>
      </c>
      <c r="K1" s="54">
        <v>10</v>
      </c>
      <c r="L1" s="54">
        <v>11</v>
      </c>
      <c r="M1" s="54">
        <v>12</v>
      </c>
      <c r="N1" s="54">
        <v>13</v>
      </c>
      <c r="O1" s="54">
        <v>14</v>
      </c>
      <c r="P1" s="54">
        <v>15</v>
      </c>
      <c r="Q1" s="54">
        <v>16</v>
      </c>
      <c r="R1" s="54">
        <v>17</v>
      </c>
      <c r="S1" s="54">
        <v>18</v>
      </c>
      <c r="AA1" s="223">
        <f ca="1">SUM(all[FWD Estimate])</f>
        <v>294201188.32332414</v>
      </c>
      <c r="AB1" s="223">
        <f ca="1">SUM(all[EHD Estimate])</f>
        <v>22865272.970415015</v>
      </c>
      <c r="AC1" s="223">
        <f ca="1">SUM(all[Interior Compactor Estimate])</f>
        <v>133797599.9375</v>
      </c>
      <c r="AD1" s="223">
        <f ca="1">SUM(all[Waste Yard Estimate])</f>
        <v>459631326.8559829</v>
      </c>
      <c r="AE1" s="223">
        <f ca="1">SUM(all[SUM per Development])</f>
        <v>910495388.0872227</v>
      </c>
    </row>
    <row r="2" spans="1:32">
      <c r="A2" s="241" t="s">
        <v>152</v>
      </c>
      <c r="B2" s="241"/>
      <c r="C2" s="240"/>
      <c r="D2" s="60">
        <v>2</v>
      </c>
      <c r="E2" s="60"/>
      <c r="F2" s="60">
        <v>2</v>
      </c>
      <c r="G2" s="108"/>
      <c r="H2" s="60"/>
      <c r="I2" s="60"/>
      <c r="J2" s="60"/>
      <c r="K2" s="60">
        <v>2</v>
      </c>
      <c r="L2" s="60"/>
      <c r="M2" s="60">
        <v>3</v>
      </c>
      <c r="N2" s="60"/>
      <c r="O2" s="60"/>
      <c r="P2" s="100">
        <v>5</v>
      </c>
      <c r="Q2" s="100">
        <v>5</v>
      </c>
      <c r="R2" s="100">
        <v>2</v>
      </c>
      <c r="S2" s="100">
        <v>8</v>
      </c>
      <c r="T2" s="100">
        <v>2</v>
      </c>
      <c r="U2" s="100">
        <v>1</v>
      </c>
      <c r="V2" s="100">
        <v>1</v>
      </c>
      <c r="W2" s="60">
        <v>1</v>
      </c>
      <c r="X2" s="60">
        <v>1</v>
      </c>
      <c r="Y2" s="60">
        <v>6</v>
      </c>
      <c r="Z2" s="60">
        <v>5</v>
      </c>
      <c r="AA2" s="60" t="s">
        <v>153</v>
      </c>
      <c r="AB2" s="60" t="s">
        <v>154</v>
      </c>
      <c r="AC2" s="60" t="s">
        <v>154</v>
      </c>
      <c r="AD2" s="60" t="s">
        <v>154</v>
      </c>
      <c r="AE2" s="60"/>
      <c r="AF2" s="60">
        <v>7</v>
      </c>
    </row>
    <row r="3" spans="1:32" s="124" customFormat="1" ht="57.6">
      <c r="A3" s="122" t="s">
        <v>155</v>
      </c>
      <c r="B3" s="122" t="s">
        <v>7</v>
      </c>
      <c r="C3" s="122" t="s">
        <v>156</v>
      </c>
      <c r="D3" s="122" t="s">
        <v>5</v>
      </c>
      <c r="E3" s="122" t="s">
        <v>157</v>
      </c>
      <c r="F3" s="122" t="s">
        <v>158</v>
      </c>
      <c r="G3" s="123" t="s">
        <v>159</v>
      </c>
      <c r="H3" s="123" t="s">
        <v>160</v>
      </c>
      <c r="I3" s="123" t="s">
        <v>161</v>
      </c>
      <c r="J3" s="123" t="s">
        <v>162</v>
      </c>
      <c r="K3" s="123" t="s">
        <v>8</v>
      </c>
      <c r="L3" s="123" t="s">
        <v>163</v>
      </c>
      <c r="M3" s="123" t="s">
        <v>164</v>
      </c>
      <c r="N3" s="123" t="s">
        <v>165</v>
      </c>
      <c r="O3" s="123" t="s">
        <v>166</v>
      </c>
      <c r="P3" s="122" t="s">
        <v>10</v>
      </c>
      <c r="Q3" s="122" t="s">
        <v>167</v>
      </c>
      <c r="R3" s="122" t="s">
        <v>168</v>
      </c>
      <c r="S3" s="122" t="s">
        <v>169</v>
      </c>
      <c r="T3" s="122" t="s">
        <v>170</v>
      </c>
      <c r="U3" s="122" t="s">
        <v>171</v>
      </c>
      <c r="V3" s="122" t="s">
        <v>172</v>
      </c>
      <c r="W3" s="122" t="s">
        <v>173</v>
      </c>
      <c r="X3" s="122" t="s">
        <v>174</v>
      </c>
      <c r="Y3" s="122" t="s">
        <v>175</v>
      </c>
      <c r="Z3" s="122" t="s">
        <v>176</v>
      </c>
      <c r="AA3" s="122" t="s">
        <v>177</v>
      </c>
      <c r="AB3" s="122" t="s">
        <v>178</v>
      </c>
      <c r="AC3" s="122" t="s">
        <v>179</v>
      </c>
      <c r="AD3" s="122" t="s">
        <v>180</v>
      </c>
      <c r="AE3" s="122" t="s">
        <v>181</v>
      </c>
      <c r="AF3" s="122" t="s">
        <v>24</v>
      </c>
    </row>
    <row r="4" spans="1:32">
      <c r="A4" s="101">
        <f>VLOOKUP(B4,Data[],24,FALSE)</f>
        <v>208</v>
      </c>
      <c r="B4" t="s">
        <v>121</v>
      </c>
      <c r="C4" t="str">
        <f>VLOOKUP(all[[#This Row],[DEVELOPMENT]],Data[],MATCH(all[[#Headers],[PROGRAM]],Data[#Headers],0),FALSE)</f>
        <v>FEDERAL</v>
      </c>
      <c r="D4" t="str">
        <f>VLOOKUP(B4,Data[],2,FALSE)</f>
        <v>BRONX</v>
      </c>
      <c r="E4">
        <f>VLOOKUP(all[[#This Row],[DEVELOPMENT]],Data[],65,FALSE)</f>
        <v>86</v>
      </c>
      <c r="F4" t="e">
        <f>VLOOKUP(all[[#This Row],[DEVELOPMENT]],Data[],3,FALSE)</f>
        <v>#N/A</v>
      </c>
      <c r="G4" s="107" t="s">
        <v>182</v>
      </c>
      <c r="H4" t="s">
        <v>183</v>
      </c>
      <c r="I4">
        <f>VLOOKUP(all[[#This Row],[DEVELOPMENT]],Data[],34,FALSE)</f>
        <v>0</v>
      </c>
      <c r="J4" t="s">
        <v>184</v>
      </c>
      <c r="K4" t="str">
        <f>VLOOKUP(B4,Data[],8,FALSE)</f>
        <v>Zone 1</v>
      </c>
      <c r="L4" t="str">
        <f>VLOOKUP(all[[#This Row],[DEVELOPMENT]],Data[],61,FALSE)</f>
        <v>No</v>
      </c>
      <c r="M4">
        <f>VLOOKUP(B4,Data[],9,FALSE)</f>
        <v>3</v>
      </c>
      <c r="N4" t="s">
        <v>185</v>
      </c>
      <c r="O4" t="s">
        <v>185</v>
      </c>
      <c r="P4" t="str">
        <f ca="1">IFERROR(VLOOKUP(B4,Data[],4,FALSE),"")</f>
        <v/>
      </c>
      <c r="Q4" t="str">
        <f ca="1">IF(all[[#This Row],[RAD/PACT]]="","",IF(OR(all[[#This Row],[RAD/PACT]]="2021-2025",all[[#This Row],[RAD/PACT]]="2019-2020"),"Yes",""))</f>
        <v/>
      </c>
      <c r="R4">
        <f>VLOOKUP(all[[#This Row],[DEVELOPMENT]],Data[],7,FALSE)</f>
        <v>239</v>
      </c>
      <c r="S4">
        <f>VLOOKUP(all[[#This Row],[DEVELOPMENT]],Data[],25,FALSE)</f>
        <v>0</v>
      </c>
      <c r="T4">
        <f>VLOOKUP(all[[#This Row],[DEVELOPMENT]],Data[],5,FALSE)</f>
        <v>1</v>
      </c>
      <c r="U4">
        <f>VLOOKUP(all[[#This Row],[DEVELOPMENT]],Data[],10,FALSE)</f>
        <v>2</v>
      </c>
      <c r="V4">
        <f>VLOOKUP(all[[#This Row],[DEVELOPMENT]],Data[],10,FALSE)</f>
        <v>2</v>
      </c>
      <c r="W4">
        <f>VLOOKUP(all[[#This Row],[DEVELOPMENT]],Data[],33,FALSE)</f>
        <v>1</v>
      </c>
      <c r="X4">
        <f>VLOOKUP(all[[#This Row],[DEVELOPMENT]],Data[],33,FALSE)</f>
        <v>1</v>
      </c>
      <c r="Y4">
        <f>VLOOKUP(all[[#This Row],[DEVELOPMENT]],Data[],28,FALSE)</f>
        <v>0</v>
      </c>
      <c r="Z4">
        <f>IF(all[[#This Row],['# Bulk Crushers]]=0,1,0)</f>
        <v>1</v>
      </c>
      <c r="AA4" s="5">
        <f ca="1">IFERROR(INDEX(FWD[],MATCH($B4,FWD[DEVELOPMENT],0),MATCH("ESTIMATE",FWD[#Headers],0)),0)</f>
        <v>410777.89142723696</v>
      </c>
      <c r="AB4" s="5">
        <f ca="1">IFERROR(INDEX(EHDAll[],MATCH($B4,EHDAll[DEVELOPMENT],0),MATCH("ESTIMATE",EHDAll[#Headers],0)),0)</f>
        <v>14871.287</v>
      </c>
      <c r="AC4" s="5">
        <f ca="1">IFERROR(INDEX(IntAll[],MATCH($B4,IntAll[DEVELOPMENT],0),MATCH("ESTIMATE",IntAll[#Headers],0)),0)</f>
        <v>0</v>
      </c>
      <c r="AD4" s="5">
        <f ca="1">IFERROR(INDEX(YardsAll[],MATCH($B4,YardsAll[DEVELOPMENT],0),MATCH("TOTAL ESTIMATE",YardsAll[#Headers],0)),0)</f>
        <v>1870809.8553900004</v>
      </c>
      <c r="AE4" s="99">
        <f ca="1">SUM(AA4:AD4)</f>
        <v>2296459.0338172372</v>
      </c>
      <c r="AF4" s="5"/>
    </row>
    <row r="5" spans="1:32">
      <c r="A5" s="101">
        <f>VLOOKUP(B5,Data[],24,FALSE)</f>
        <v>21</v>
      </c>
      <c r="B5" t="s">
        <v>38</v>
      </c>
      <c r="C5" t="str">
        <f>VLOOKUP(all[[#This Row],[DEVELOPMENT]],Data[],MATCH(all[[#Headers],[PROGRAM]],Data[#Headers],0),FALSE)</f>
        <v>FEDERAL</v>
      </c>
      <c r="D5" t="str">
        <f>VLOOKUP(B5,Data[],2,FALSE)</f>
        <v>BROOKLYN</v>
      </c>
      <c r="E5">
        <f>VLOOKUP(all[[#This Row],[DEVELOPMENT]],Data[],65,FALSE)</f>
        <v>56</v>
      </c>
      <c r="F5" t="e">
        <f>VLOOKUP(all[[#This Row],[DEVELOPMENT]],Data[],3,FALSE)</f>
        <v>#N/A</v>
      </c>
      <c r="G5" s="107" t="s">
        <v>182</v>
      </c>
      <c r="H5" t="s">
        <v>183</v>
      </c>
      <c r="I5">
        <f>VLOOKUP(all[[#This Row],[DEVELOPMENT]],Data[],34,FALSE)</f>
        <v>0</v>
      </c>
      <c r="J5" t="s">
        <v>183</v>
      </c>
      <c r="K5" t="str">
        <f>VLOOKUP(B5,Data[],8,FALSE)</f>
        <v>Zone 1</v>
      </c>
      <c r="L5" t="str">
        <f>VLOOKUP(all[[#This Row],[DEVELOPMENT]],Data[],61,FALSE)</f>
        <v>No</v>
      </c>
      <c r="M5">
        <f>VLOOKUP(B5,Data[],9,FALSE)</f>
        <v>3</v>
      </c>
      <c r="N5">
        <v>3</v>
      </c>
      <c r="O5" t="s">
        <v>185</v>
      </c>
      <c r="P5" t="str">
        <f ca="1">IFERROR(VLOOKUP(B5,Data[],4,FALSE),"")</f>
        <v>2026+</v>
      </c>
      <c r="Q5" t="str">
        <f ca="1">IF(all[[#This Row],[RAD/PACT]]="","",IF(OR(all[[#This Row],[RAD/PACT]]="2021-2025",all[[#This Row],[RAD/PACT]]="2019-2020"),"Yes",""))</f>
        <v/>
      </c>
      <c r="R5">
        <f>VLOOKUP(all[[#This Row],[DEVELOPMENT]],Data[],7,FALSE)</f>
        <v>1716</v>
      </c>
      <c r="S5" t="str">
        <f>VLOOKUP(all[[#This Row],[DEVELOPMENT]],Data[],25,FALSE)</f>
        <v>Newtown Creek</v>
      </c>
      <c r="T5">
        <f>VLOOKUP(all[[#This Row],[DEVELOPMENT]],Data[],5,FALSE)</f>
        <v>27</v>
      </c>
      <c r="U5">
        <f>VLOOKUP(all[[#This Row],[DEVELOPMENT]],Data[],10,FALSE)</f>
        <v>70</v>
      </c>
      <c r="V5">
        <f>VLOOKUP(all[[#This Row],[DEVELOPMENT]],Data[],10,FALSE)</f>
        <v>70</v>
      </c>
      <c r="W5">
        <f>VLOOKUP(all[[#This Row],[DEVELOPMENT]],Data[],33,FALSE)</f>
        <v>3</v>
      </c>
      <c r="X5">
        <f>VLOOKUP(all[[#This Row],[DEVELOPMENT]],Data[],33,FALSE)</f>
        <v>3</v>
      </c>
      <c r="Y5">
        <f>VLOOKUP(all[[#This Row],[DEVELOPMENT]],Data[],28,FALSE)</f>
        <v>0</v>
      </c>
      <c r="Z5">
        <f>IF(all[[#This Row],['# Bulk Crushers]]=0,1,0)</f>
        <v>1</v>
      </c>
      <c r="AA5" s="5">
        <f ca="1">IFERROR(INDEX(FWD[],MATCH($B5,FWD[DEVELOPMENT],0),MATCH("ESTIMATE",FWD[#Headers],0)),0)</f>
        <v>2949350.8857286135</v>
      </c>
      <c r="AB5" s="5">
        <f>IFERROR(INDEX(EHDAll[],MATCH($B5,EHDAll[DEVELOPMENT],0),MATCH("ESTIMATE",EHDAll[#Headers],0)),0)</f>
        <v>0</v>
      </c>
      <c r="AC5" s="5">
        <f ca="1">IFERROR(INDEX(IntAll[],MATCH($B5,IntAll[DEVELOPMENT],0),MATCH("ESTIMATE",IntAll[#Headers],0)),0)</f>
        <v>4879818.125</v>
      </c>
      <c r="AD5" s="5">
        <f ca="1">IFERROR(INDEX(YardsAll[],MATCH($B5,YardsAll[DEVELOPMENT],0),MATCH("TOTAL ESTIMATE",YardsAll[#Headers],0)),0)</f>
        <v>1409943.0865095002</v>
      </c>
      <c r="AE5" s="99">
        <f t="shared" ref="AE5:AE67" ca="1" si="0">SUM(AA5:AD5)</f>
        <v>9239112.0972381141</v>
      </c>
      <c r="AF5" s="5"/>
    </row>
    <row r="6" spans="1:32">
      <c r="A6" s="101">
        <f>VLOOKUP(B6,Data[],24,FALSE)</f>
        <v>502</v>
      </c>
      <c r="B6" t="s">
        <v>140</v>
      </c>
      <c r="C6" t="str">
        <f>VLOOKUP(all[[#This Row],[DEVELOPMENT]],Data[],MATCH(all[[#Headers],[PROGRAM]],Data[#Headers],0),FALSE)</f>
        <v>FEDERAL</v>
      </c>
      <c r="D6" t="str">
        <f>VLOOKUP(B6,Data[],2,FALSE)</f>
        <v>BRONX</v>
      </c>
      <c r="E6">
        <f>VLOOKUP(all[[#This Row],[DEVELOPMENT]],Data[],65,FALSE)</f>
        <v>79</v>
      </c>
      <c r="F6" t="e">
        <f>VLOOKUP(all[[#This Row],[DEVELOPMENT]],Data[],3,FALSE)</f>
        <v>#N/A</v>
      </c>
      <c r="G6" s="107" t="s">
        <v>182</v>
      </c>
      <c r="H6" t="s">
        <v>183</v>
      </c>
      <c r="I6">
        <f>VLOOKUP(all[[#This Row],[DEVELOPMENT]],Data[],34,FALSE)</f>
        <v>0</v>
      </c>
      <c r="J6" t="s">
        <v>184</v>
      </c>
      <c r="K6" t="str">
        <f>VLOOKUP(B6,Data[],8,FALSE)</f>
        <v>Zone 1</v>
      </c>
      <c r="L6" t="str">
        <f>VLOOKUP(all[[#This Row],[DEVELOPMENT]],Data[],61,FALSE)</f>
        <v>No</v>
      </c>
      <c r="M6">
        <f>VLOOKUP(B6,Data[],9,FALSE)</f>
        <v>2</v>
      </c>
      <c r="N6">
        <v>3</v>
      </c>
      <c r="O6">
        <v>3</v>
      </c>
      <c r="P6" t="str">
        <f ca="1">IFERROR(VLOOKUP(B6,Data[],4,FALSE),"")</f>
        <v/>
      </c>
      <c r="Q6" t="str">
        <f ca="1">IF(all[[#This Row],[RAD/PACT]]="","",IF(OR(all[[#This Row],[RAD/PACT]]="2021-2025",all[[#This Row],[RAD/PACT]]="2019-2020"),"Yes",""))</f>
        <v/>
      </c>
      <c r="R6">
        <f>VLOOKUP(all[[#This Row],[DEVELOPMENT]],Data[],7,FALSE)</f>
        <v>802</v>
      </c>
      <c r="S6">
        <f>VLOOKUP(all[[#This Row],[DEVELOPMENT]],Data[],25,FALSE)</f>
        <v>0</v>
      </c>
      <c r="T6">
        <f>VLOOKUP(all[[#This Row],[DEVELOPMENT]],Data[],5,FALSE)</f>
        <v>7</v>
      </c>
      <c r="U6">
        <f>VLOOKUP(all[[#This Row],[DEVELOPMENT]],Data[],10,FALSE)</f>
        <v>8</v>
      </c>
      <c r="V6">
        <f>VLOOKUP(all[[#This Row],[DEVELOPMENT]],Data[],10,FALSE)</f>
        <v>8</v>
      </c>
      <c r="W6">
        <f>VLOOKUP(all[[#This Row],[DEVELOPMENT]],Data[],33,FALSE)</f>
        <v>2</v>
      </c>
      <c r="X6">
        <f>VLOOKUP(all[[#This Row],[DEVELOPMENT]],Data[],33,FALSE)</f>
        <v>2</v>
      </c>
      <c r="Y6">
        <f>VLOOKUP(all[[#This Row],[DEVELOPMENT]],Data[],28,FALSE)</f>
        <v>0</v>
      </c>
      <c r="Z6">
        <f>IF(all[[#This Row],['# Bulk Crushers]]=0,1,0)</f>
        <v>1</v>
      </c>
      <c r="AA6" s="5">
        <f ca="1">IFERROR(INDEX(FWD[],MATCH($B6,FWD[DEVELOPMENT],0),MATCH("ESTIMATE",FWD[#Headers],0)),0)</f>
        <v>1378426.2298102262</v>
      </c>
      <c r="AB6" s="5">
        <f ca="1">IFERROR(INDEX(EHDAll[],MATCH($B6,EHDAll[DEVELOPMENT],0),MATCH("ESTIMATE",EHDAll[#Headers],0)),0)</f>
        <v>52049.504500000003</v>
      </c>
      <c r="AC6" s="5">
        <f ca="1">IFERROR(INDEX(IntAll[],MATCH($B6,IntAll[DEVELOPMENT],0),MATCH("ESTIMATE",IntAll[#Headers],0)),0)</f>
        <v>0</v>
      </c>
      <c r="AD6" s="5">
        <f ca="1">IFERROR(INDEX(YardsAll[],MATCH($B6,YardsAll[DEVELOPMENT],0),MATCH("TOTAL ESTIMATE",YardsAll[#Headers],0)),0)</f>
        <v>2091143.9285775004</v>
      </c>
      <c r="AE6" s="99">
        <f t="shared" ca="1" si="0"/>
        <v>3521619.6628877269</v>
      </c>
      <c r="AF6" s="5"/>
    </row>
    <row r="7" spans="1:32">
      <c r="A7" s="101">
        <f>VLOOKUP(B7,Data[],24,FALSE)</f>
        <v>156</v>
      </c>
      <c r="B7" t="s">
        <v>118</v>
      </c>
      <c r="C7" t="str">
        <f>VLOOKUP(all[[#This Row],[DEVELOPMENT]],Data[],MATCH(all[[#Headers],[PROGRAM]],Data[#Headers],0),FALSE)</f>
        <v>FEDERAL</v>
      </c>
      <c r="D7" t="str">
        <f>VLOOKUP(B7,Data[],2,FALSE)</f>
        <v>BROOKLYN</v>
      </c>
      <c r="E7">
        <f>VLOOKUP(all[[#This Row],[DEVELOPMENT]],Data[],65,FALSE)</f>
        <v>54</v>
      </c>
      <c r="F7" t="e">
        <f>VLOOKUP(all[[#This Row],[DEVELOPMENT]],Data[],3,FALSE)</f>
        <v>#N/A</v>
      </c>
      <c r="G7" s="107" t="s">
        <v>182</v>
      </c>
      <c r="H7" t="s">
        <v>183</v>
      </c>
      <c r="I7">
        <f>VLOOKUP(all[[#This Row],[DEVELOPMENT]],Data[],34,FALSE)</f>
        <v>1</v>
      </c>
      <c r="J7" t="s">
        <v>184</v>
      </c>
      <c r="K7" t="str">
        <f>VLOOKUP(B7,Data[],8,FALSE)</f>
        <v>Zone 1</v>
      </c>
      <c r="L7" t="str">
        <f>VLOOKUP(all[[#This Row],[DEVELOPMENT]],Data[],61,FALSE)</f>
        <v>No</v>
      </c>
      <c r="M7">
        <f>VLOOKUP(B7,Data[],9,FALSE)</f>
        <v>4</v>
      </c>
      <c r="N7">
        <v>2</v>
      </c>
      <c r="O7" t="s">
        <v>185</v>
      </c>
      <c r="P7" t="str">
        <f ca="1">IFERROR(VLOOKUP(B7,Data[],4,FALSE),"")</f>
        <v/>
      </c>
      <c r="Q7" t="str">
        <f ca="1">IF(all[[#This Row],[RAD/PACT]]="","",IF(OR(all[[#This Row],[RAD/PACT]]="2021-2025",all[[#This Row],[RAD/PACT]]="2019-2020"),"Yes",""))</f>
        <v/>
      </c>
      <c r="R7">
        <f>VLOOKUP(all[[#This Row],[DEVELOPMENT]],Data[],7,FALSE)</f>
        <v>234</v>
      </c>
      <c r="S7" t="str">
        <f>VLOOKUP(all[[#This Row],[DEVELOPMENT]],Data[],25,FALSE)</f>
        <v>Newtown Creek</v>
      </c>
      <c r="T7">
        <f>VLOOKUP(all[[#This Row],[DEVELOPMENT]],Data[],5,FALSE)</f>
        <v>1</v>
      </c>
      <c r="U7">
        <f>VLOOKUP(all[[#This Row],[DEVELOPMENT]],Data[],10,FALSE)</f>
        <v>1</v>
      </c>
      <c r="V7">
        <f>VLOOKUP(all[[#This Row],[DEVELOPMENT]],Data[],10,FALSE)</f>
        <v>1</v>
      </c>
      <c r="W7">
        <f>VLOOKUP(all[[#This Row],[DEVELOPMENT]],Data[],33,FALSE)</f>
        <v>1</v>
      </c>
      <c r="X7">
        <f>VLOOKUP(all[[#This Row],[DEVELOPMENT]],Data[],33,FALSE)</f>
        <v>1</v>
      </c>
      <c r="Y7">
        <f>VLOOKUP(all[[#This Row],[DEVELOPMENT]],Data[],28,FALSE)</f>
        <v>0</v>
      </c>
      <c r="Z7">
        <f>IF(all[[#This Row],['# Bulk Crushers]]=0,1,0)</f>
        <v>1</v>
      </c>
      <c r="AA7" s="5">
        <f ca="1">IFERROR(INDEX(FWD[],MATCH($B7,FWD[DEVELOPMENT],0),MATCH("ESTIMATE",FWD[#Headers],0)),0)</f>
        <v>402184.21169026551</v>
      </c>
      <c r="AB7" s="5">
        <f ca="1">IFERROR(INDEX(EHDAll[],MATCH($B7,EHDAll[DEVELOPMENT],0),MATCH("ESTIMATE",EHDAll[#Headers],0)),0)</f>
        <v>7435.6435000000001</v>
      </c>
      <c r="AC7" s="5">
        <f ca="1">IFERROR(INDEX(IntAll[],MATCH($B7,IntAll[DEVELOPMENT],0),MATCH("ESTIMATE",IntAll[#Headers],0)),0)</f>
        <v>63087.5</v>
      </c>
      <c r="AD7" s="5">
        <f ca="1">IFERROR(INDEX(YardsAll[],MATCH($B7,YardsAll[DEVELOPMENT],0),MATCH("TOTAL ESTIMATE",YardsAll[#Headers],0)),0)</f>
        <v>1870809.8553900004</v>
      </c>
      <c r="AE7" s="99">
        <f t="shared" ca="1" si="0"/>
        <v>2343517.2105802661</v>
      </c>
      <c r="AF7" s="5"/>
    </row>
    <row r="8" spans="1:32">
      <c r="A8" s="101">
        <f>VLOOKUP(B8,Data[],24,FALSE)</f>
        <v>267</v>
      </c>
      <c r="B8" t="s">
        <v>41</v>
      </c>
      <c r="C8" t="str">
        <f>VLOOKUP(all[[#This Row],[DEVELOPMENT]],Data[],MATCH(all[[#Headers],[PROGRAM]],Data[#Headers],0),FALSE)</f>
        <v>FEDERAL</v>
      </c>
      <c r="D8" t="str">
        <f>VLOOKUP(B8,Data[],2,FALSE)</f>
        <v>BRONX</v>
      </c>
      <c r="E8">
        <f>VLOOKUP(all[[#This Row],[DEVELOPMENT]],Data[],65,FALSE)</f>
        <v>79</v>
      </c>
      <c r="F8" t="e">
        <f>VLOOKUP(all[[#This Row],[DEVELOPMENT]],Data[],3,FALSE)</f>
        <v>#N/A</v>
      </c>
      <c r="G8" s="107" t="s">
        <v>182</v>
      </c>
      <c r="H8" t="s">
        <v>183</v>
      </c>
      <c r="I8">
        <f>VLOOKUP(all[[#This Row],[DEVELOPMENT]],Data[],34,FALSE)</f>
        <v>1</v>
      </c>
      <c r="J8" t="s">
        <v>184</v>
      </c>
      <c r="K8" t="str">
        <f>VLOOKUP(B8,Data[],8,FALSE)</f>
        <v>Zone 1</v>
      </c>
      <c r="L8" t="str">
        <f>VLOOKUP(all[[#This Row],[DEVELOPMENT]],Data[],61,FALSE)</f>
        <v>No</v>
      </c>
      <c r="M8">
        <f>VLOOKUP(B8,Data[],9,FALSE)</f>
        <v>4</v>
      </c>
      <c r="N8">
        <v>2</v>
      </c>
      <c r="O8" t="s">
        <v>185</v>
      </c>
      <c r="P8" t="str">
        <f ca="1">IFERROR(VLOOKUP(B8,Data[],4,FALSE),"")</f>
        <v/>
      </c>
      <c r="Q8" t="str">
        <f ca="1">IF(all[[#This Row],[RAD/PACT]]="","",IF(OR(all[[#This Row],[RAD/PACT]]="2021-2025",all[[#This Row],[RAD/PACT]]="2019-2020"),"Yes",""))</f>
        <v/>
      </c>
      <c r="R8">
        <f>VLOOKUP(all[[#This Row],[DEVELOPMENT]],Data[],7,FALSE)</f>
        <v>841</v>
      </c>
      <c r="S8">
        <f>VLOOKUP(all[[#This Row],[DEVELOPMENT]],Data[],25,FALSE)</f>
        <v>0</v>
      </c>
      <c r="T8">
        <f>VLOOKUP(all[[#This Row],[DEVELOPMENT]],Data[],5,FALSE)</f>
        <v>3</v>
      </c>
      <c r="U8">
        <f>VLOOKUP(all[[#This Row],[DEVELOPMENT]],Data[],10,FALSE)</f>
        <v>5</v>
      </c>
      <c r="V8">
        <f>VLOOKUP(all[[#This Row],[DEVELOPMENT]],Data[],10,FALSE)</f>
        <v>5</v>
      </c>
      <c r="W8">
        <f>VLOOKUP(all[[#This Row],[DEVELOPMENT]],Data[],33,FALSE)</f>
        <v>2</v>
      </c>
      <c r="X8">
        <f>VLOOKUP(all[[#This Row],[DEVELOPMENT]],Data[],33,FALSE)</f>
        <v>2</v>
      </c>
      <c r="Y8">
        <f>VLOOKUP(all[[#This Row],[DEVELOPMENT]],Data[],28,FALSE)</f>
        <v>0</v>
      </c>
      <c r="Z8">
        <f>IF(all[[#This Row],['# Bulk Crushers]]=0,1,0)</f>
        <v>1</v>
      </c>
      <c r="AA8" s="5">
        <f ca="1">IFERROR(INDEX(FWD[],MATCH($B8,FWD[DEVELOPMENT],0),MATCH("ESTIMATE",FWD[#Headers],0)),0)</f>
        <v>1445456.9317586038</v>
      </c>
      <c r="AB8" s="5">
        <f>IFERROR(INDEX(EHDAll[],MATCH($B8,EHDAll[DEVELOPMENT],0),MATCH("ESTIMATE",EHDAll[#Headers],0)),0)</f>
        <v>0</v>
      </c>
      <c r="AC8" s="5">
        <f ca="1">IFERROR(INDEX(IntAll[],MATCH($B8,IntAll[DEVELOPMENT],0),MATCH("ESTIMATE",IntAll[#Headers],0)),0)</f>
        <v>315437.5</v>
      </c>
      <c r="AD8" s="5">
        <f ca="1">IFERROR(INDEX(YardsAll[],MATCH($B8,YardsAll[DEVELOPMENT],0),MATCH("TOTAL ESTIMATE",YardsAll[#Headers],0)),0)</f>
        <v>1505301.5561285003</v>
      </c>
      <c r="AE8" s="99">
        <f t="shared" ca="1" si="0"/>
        <v>3266195.987887104</v>
      </c>
      <c r="AF8" s="5"/>
    </row>
    <row r="9" spans="1:32">
      <c r="A9" s="101">
        <f>VLOOKUP(B9,Data[],24,FALSE)</f>
        <v>28</v>
      </c>
      <c r="B9" t="s">
        <v>39</v>
      </c>
      <c r="C9" t="str">
        <f>VLOOKUP(all[[#This Row],[DEVELOPMENT]],Data[],MATCH(all[[#Headers],[PROGRAM]],Data[#Headers],0),FALSE)</f>
        <v>FEDERAL</v>
      </c>
      <c r="D9" t="str">
        <f>VLOOKUP(B9,Data[],2,FALSE)</f>
        <v>BRONX</v>
      </c>
      <c r="E9" t="str">
        <f>VLOOKUP(all[[#This Row],[DEVELOPMENT]],Data[],65,FALSE)</f>
        <v>79, 84</v>
      </c>
      <c r="F9" t="e">
        <f>VLOOKUP(all[[#This Row],[DEVELOPMENT]],Data[],3,FALSE)</f>
        <v>#N/A</v>
      </c>
      <c r="G9" s="107" t="s">
        <v>182</v>
      </c>
      <c r="H9" t="s">
        <v>183</v>
      </c>
      <c r="I9">
        <f>VLOOKUP(all[[#This Row],[DEVELOPMENT]],Data[],34,FALSE)</f>
        <v>2</v>
      </c>
      <c r="J9" t="s">
        <v>183</v>
      </c>
      <c r="K9" t="str">
        <f>VLOOKUP(B9,Data[],8,FALSE)</f>
        <v>Zone 1</v>
      </c>
      <c r="L9" t="str">
        <f>VLOOKUP(all[[#This Row],[DEVELOPMENT]],Data[],61,FALSE)</f>
        <v>No</v>
      </c>
      <c r="M9">
        <f>VLOOKUP(B9,Data[],9,FALSE)</f>
        <v>4</v>
      </c>
      <c r="N9">
        <v>1</v>
      </c>
      <c r="O9">
        <v>1</v>
      </c>
      <c r="P9" t="str">
        <f ca="1">IFERROR(VLOOKUP(B9,Data[],4,FALSE),"")</f>
        <v>2022-2025</v>
      </c>
      <c r="Q9" t="str">
        <f ca="1">IF(all[[#This Row],[RAD/PACT]]="","",IF(OR(all[[#This Row],[RAD/PACT]]="2021-2025",all[[#This Row],[RAD/PACT]]="2019-2020"),"Yes",""))</f>
        <v/>
      </c>
      <c r="R9">
        <f>VLOOKUP(all[[#This Row],[DEVELOPMENT]],Data[],7,FALSE)</f>
        <v>1021</v>
      </c>
      <c r="S9">
        <f>VLOOKUP(all[[#This Row],[DEVELOPMENT]],Data[],25,FALSE)</f>
        <v>0</v>
      </c>
      <c r="T9">
        <f>VLOOKUP(all[[#This Row],[DEVELOPMENT]],Data[],5,FALSE)</f>
        <v>8</v>
      </c>
      <c r="U9">
        <f>VLOOKUP(all[[#This Row],[DEVELOPMENT]],Data[],10,FALSE)</f>
        <v>8</v>
      </c>
      <c r="V9">
        <f>VLOOKUP(all[[#This Row],[DEVELOPMENT]],Data[],10,FALSE)</f>
        <v>8</v>
      </c>
      <c r="W9">
        <f>VLOOKUP(all[[#This Row],[DEVELOPMENT]],Data[],33,FALSE)</f>
        <v>2</v>
      </c>
      <c r="X9">
        <f>VLOOKUP(all[[#This Row],[DEVELOPMENT]],Data[],33,FALSE)</f>
        <v>2</v>
      </c>
      <c r="Y9">
        <f>VLOOKUP(all[[#This Row],[DEVELOPMENT]],Data[],28,FALSE)</f>
        <v>0</v>
      </c>
      <c r="Z9">
        <f>IF(all[[#This Row],['# Bulk Crushers]]=0,1,0)</f>
        <v>1</v>
      </c>
      <c r="AA9" s="5">
        <f ca="1">IFERROR(INDEX(FWD[],MATCH($B9,FWD[DEVELOPMENT],0),MATCH("ESTIMATE",FWD[#Headers],0)),0)</f>
        <v>1754829.4022895773</v>
      </c>
      <c r="AB9" s="5">
        <f>IFERROR(INDEX(EHDAll[],MATCH($B9,EHDAll[DEVELOPMENT],0),MATCH("ESTIMATE",EHDAll[#Headers],0)),0)</f>
        <v>0</v>
      </c>
      <c r="AC9" s="5">
        <f ca="1">IFERROR(INDEX(IntAll[],MATCH($B9,IntAll[DEVELOPMENT],0),MATCH("ESTIMATE",IntAll[#Headers],0)),0)</f>
        <v>0</v>
      </c>
      <c r="AD9" s="5">
        <f ca="1">IFERROR(INDEX(YardsAll[],MATCH($B9,YardsAll[DEVELOPMENT],0),MATCH("TOTAL ESTIMATE",YardsAll[#Headers],0)),0)</f>
        <v>0</v>
      </c>
      <c r="AE9" s="99">
        <f t="shared" ca="1" si="0"/>
        <v>1754829.4022895773</v>
      </c>
      <c r="AF9" s="5"/>
    </row>
    <row r="10" spans="1:32">
      <c r="A10" s="101">
        <f>VLOOKUP(B10,Data[],24,FALSE)</f>
        <v>141</v>
      </c>
      <c r="B10" t="s">
        <v>47</v>
      </c>
      <c r="C10" t="str">
        <f>VLOOKUP(all[[#This Row],[DEVELOPMENT]],Data[],MATCH(all[[#Headers],[PROGRAM]],Data[#Headers],0),FALSE)</f>
        <v>FEDERAL</v>
      </c>
      <c r="D10" t="str">
        <f>VLOOKUP(B10,Data[],2,FALSE)</f>
        <v>BRONX</v>
      </c>
      <c r="E10">
        <f>VLOOKUP(all[[#This Row],[DEVELOPMENT]],Data[],65,FALSE)</f>
        <v>79</v>
      </c>
      <c r="F10" t="e">
        <f>VLOOKUP(all[[#This Row],[DEVELOPMENT]],Data[],3,FALSE)</f>
        <v>#N/A</v>
      </c>
      <c r="G10" s="107" t="s">
        <v>182</v>
      </c>
      <c r="H10" t="s">
        <v>183</v>
      </c>
      <c r="I10">
        <f>VLOOKUP(all[[#This Row],[DEVELOPMENT]],Data[],34,FALSE)</f>
        <v>3</v>
      </c>
      <c r="J10" t="s">
        <v>184</v>
      </c>
      <c r="K10" t="str">
        <f>VLOOKUP(B10,Data[],8,FALSE)</f>
        <v>Zone 1</v>
      </c>
      <c r="L10" t="str">
        <f>VLOOKUP(all[[#This Row],[DEVELOPMENT]],Data[],61,FALSE)</f>
        <v>No</v>
      </c>
      <c r="M10">
        <f>VLOOKUP(B10,Data[],9,FALSE)</f>
        <v>4</v>
      </c>
      <c r="N10">
        <v>4</v>
      </c>
      <c r="O10" t="s">
        <v>185</v>
      </c>
      <c r="P10" t="str">
        <f ca="1">IFERROR(VLOOKUP(B10,Data[],4,FALSE),"")</f>
        <v/>
      </c>
      <c r="Q10" t="str">
        <f ca="1">IF(all[[#This Row],[RAD/PACT]]="","",IF(OR(all[[#This Row],[RAD/PACT]]="2021-2025",all[[#This Row],[RAD/PACT]]="2019-2020"),"Yes",""))</f>
        <v/>
      </c>
      <c r="R10">
        <f>VLOOKUP(all[[#This Row],[DEVELOPMENT]],Data[],7,FALSE)</f>
        <v>606</v>
      </c>
      <c r="S10">
        <f>VLOOKUP(all[[#This Row],[DEVELOPMENT]],Data[],25,FALSE)</f>
        <v>0</v>
      </c>
      <c r="T10">
        <f>VLOOKUP(all[[#This Row],[DEVELOPMENT]],Data[],5,FALSE)</f>
        <v>5</v>
      </c>
      <c r="U10">
        <f>VLOOKUP(all[[#This Row],[DEVELOPMENT]],Data[],10,FALSE)</f>
        <v>5</v>
      </c>
      <c r="V10">
        <f>VLOOKUP(all[[#This Row],[DEVELOPMENT]],Data[],10,FALSE)</f>
        <v>5</v>
      </c>
      <c r="W10">
        <f>VLOOKUP(all[[#This Row],[DEVELOPMENT]],Data[],33,FALSE)</f>
        <v>2</v>
      </c>
      <c r="X10">
        <f>VLOOKUP(all[[#This Row],[DEVELOPMENT]],Data[],33,FALSE)</f>
        <v>2</v>
      </c>
      <c r="Y10">
        <f>VLOOKUP(all[[#This Row],[DEVELOPMENT]],Data[],28,FALSE)</f>
        <v>0</v>
      </c>
      <c r="Z10">
        <f>IF(all[[#This Row],['# Bulk Crushers]]=0,1,0)</f>
        <v>1</v>
      </c>
      <c r="AA10" s="5">
        <f ca="1">IFERROR(INDEX(FWD[],MATCH($B10,FWD[DEVELOPMENT],0),MATCH("ESTIMATE",FWD[#Headers],0)),0)</f>
        <v>1041553.9841209439</v>
      </c>
      <c r="AB10" s="5">
        <f>IFERROR(INDEX(EHDAll[],MATCH($B10,EHDAll[DEVELOPMENT],0),MATCH("ESTIMATE",EHDAll[#Headers],0)),0)</f>
        <v>0</v>
      </c>
      <c r="AC10" s="5">
        <f ca="1">IFERROR(INDEX(IntAll[],MATCH($B10,IntAll[DEVELOPMENT],0),MATCH("ESTIMATE",IntAll[#Headers],0)),0)</f>
        <v>0</v>
      </c>
      <c r="AD10" s="5">
        <f ca="1">IFERROR(INDEX(YardsAll[],MATCH($B10,YardsAll[DEVELOPMENT],0),MATCH("TOTAL ESTIMATE",YardsAll[#Headers],0)),0)</f>
        <v>2091143.9285775004</v>
      </c>
      <c r="AE10" s="99">
        <f t="shared" ca="1" si="0"/>
        <v>3132697.9126984444</v>
      </c>
      <c r="AF10" s="5"/>
    </row>
    <row r="11" spans="1:32">
      <c r="A11" s="101">
        <f>VLOOKUP(B11,Data[],24,FALSE)</f>
        <v>76</v>
      </c>
      <c r="B11" t="s">
        <v>36</v>
      </c>
      <c r="C11" t="str">
        <f>VLOOKUP(all[[#This Row],[DEVELOPMENT]],Data[],MATCH(all[[#Headers],[PROGRAM]],Data[#Headers],0),FALSE)</f>
        <v>FEDERAL</v>
      </c>
      <c r="D11" t="str">
        <f>VLOOKUP(B11,Data[],2,FALSE)</f>
        <v>MANHATTAN</v>
      </c>
      <c r="E11">
        <f>VLOOKUP(all[[#This Row],[DEVELOPMENT]],Data[],65,FALSE)</f>
        <v>65</v>
      </c>
      <c r="F11" t="e">
        <f>VLOOKUP(all[[#This Row],[DEVELOPMENT]],Data[],3,FALSE)</f>
        <v>#N/A</v>
      </c>
      <c r="G11" s="107" t="s">
        <v>182</v>
      </c>
      <c r="H11" t="s">
        <v>183</v>
      </c>
      <c r="I11">
        <f>VLOOKUP(all[[#This Row],[DEVELOPMENT]],Data[],34,FALSE)</f>
        <v>4</v>
      </c>
      <c r="J11" t="s">
        <v>184</v>
      </c>
      <c r="K11" t="str">
        <f>VLOOKUP(B11,Data[],8,FALSE)</f>
        <v>Zone 1</v>
      </c>
      <c r="L11" t="str">
        <f>VLOOKUP(all[[#This Row],[DEVELOPMENT]],Data[],61,FALSE)</f>
        <v>No</v>
      </c>
      <c r="M11">
        <f>VLOOKUP(B11,Data[],9,FALSE)</f>
        <v>3</v>
      </c>
      <c r="N11">
        <v>2</v>
      </c>
      <c r="O11" t="s">
        <v>185</v>
      </c>
      <c r="P11" t="str">
        <f ca="1">IFERROR(VLOOKUP(B11,Data[],4,FALSE),"")</f>
        <v/>
      </c>
      <c r="Q11" t="str">
        <f ca="1">IF(all[[#This Row],[RAD/PACT]]="","",IF(OR(all[[#This Row],[RAD/PACT]]="2021-2025",all[[#This Row],[RAD/PACT]]="2019-2020"),"Yes",""))</f>
        <v/>
      </c>
      <c r="R11">
        <f>VLOOKUP(all[[#This Row],[DEVELOPMENT]],Data[],7,FALSE)</f>
        <v>1091</v>
      </c>
      <c r="S11" t="str">
        <f>VLOOKUP(all[[#This Row],[DEVELOPMENT]],Data[],25,FALSE)</f>
        <v>Newtown Creek</v>
      </c>
      <c r="T11">
        <f>VLOOKUP(all[[#This Row],[DEVELOPMENT]],Data[],5,FALSE)</f>
        <v>9</v>
      </c>
      <c r="U11">
        <f>VLOOKUP(all[[#This Row],[DEVELOPMENT]],Data[],10,FALSE)</f>
        <v>9</v>
      </c>
      <c r="V11">
        <f>VLOOKUP(all[[#This Row],[DEVELOPMENT]],Data[],10,FALSE)</f>
        <v>9</v>
      </c>
      <c r="W11">
        <f>VLOOKUP(all[[#This Row],[DEVELOPMENT]],Data[],33,FALSE)</f>
        <v>2</v>
      </c>
      <c r="X11">
        <f>VLOOKUP(all[[#This Row],[DEVELOPMENT]],Data[],33,FALSE)</f>
        <v>2</v>
      </c>
      <c r="Y11">
        <f>VLOOKUP(all[[#This Row],[DEVELOPMENT]],Data[],28,FALSE)</f>
        <v>0</v>
      </c>
      <c r="Z11">
        <f>IF(all[[#This Row],['# Bulk Crushers]]=0,1,0)</f>
        <v>1</v>
      </c>
      <c r="AA11" s="5">
        <f ca="1">IFERROR(INDEX(FWD[],MATCH($B11,FWD[DEVELOPMENT],0),MATCH("ESTIMATE",FWD[#Headers],0)),0)</f>
        <v>1875140.9186071779</v>
      </c>
      <c r="AB11" s="5">
        <f>IFERROR(INDEX(EHDAll[],MATCH($B11,EHDAll[DEVELOPMENT],0),MATCH("ESTIMATE",EHDAll[#Headers],0)),0)</f>
        <v>0</v>
      </c>
      <c r="AC11" s="5">
        <f ca="1">IFERROR(INDEX(IntAll[],MATCH($B11,IntAll[DEVELOPMENT],0),MATCH("ESTIMATE",IntAll[#Headers],0)),0)</f>
        <v>479884</v>
      </c>
      <c r="AD11" s="5">
        <f ca="1">IFERROR(INDEX(YardsAll[],MATCH($B11,YardsAll[DEVELOPMENT],0),MATCH("TOTAL ESTIMATE",YardsAll[#Headers],0)),0)</f>
        <v>2091143.9285775004</v>
      </c>
      <c r="AE11" s="99">
        <f t="shared" ca="1" si="0"/>
        <v>4446168.8471846785</v>
      </c>
      <c r="AF11" s="5"/>
    </row>
    <row r="12" spans="1:32">
      <c r="A12" s="101">
        <f>VLOOKUP(B12,Data[],24,FALSE)</f>
        <v>18</v>
      </c>
      <c r="B12" t="s">
        <v>55</v>
      </c>
      <c r="C12" t="str">
        <f>VLOOKUP(all[[#This Row],[DEVELOPMENT]],Data[],MATCH(all[[#Headers],[PROGRAM]],Data[#Headers],0),FALSE)</f>
        <v>FEDERAL</v>
      </c>
      <c r="D12" t="str">
        <f>VLOOKUP(B12,Data[],2,FALSE)</f>
        <v>MANHATTAN</v>
      </c>
      <c r="E12">
        <f>VLOOKUP(all[[#This Row],[DEVELOPMENT]],Data[],65,FALSE)</f>
        <v>74</v>
      </c>
      <c r="F12" t="e">
        <f>VLOOKUP(all[[#This Row],[DEVELOPMENT]],Data[],3,FALSE)</f>
        <v>#N/A</v>
      </c>
      <c r="G12" s="107" t="s">
        <v>182</v>
      </c>
      <c r="H12" t="s">
        <v>183</v>
      </c>
      <c r="I12">
        <f>VLOOKUP(all[[#This Row],[DEVELOPMENT]],Data[],34,FALSE)</f>
        <v>4</v>
      </c>
      <c r="J12" t="s">
        <v>184</v>
      </c>
      <c r="K12" t="str">
        <f>VLOOKUP(B12,Data[],8,FALSE)</f>
        <v>Zone 1</v>
      </c>
      <c r="L12" t="str">
        <f>VLOOKUP(all[[#This Row],[DEVELOPMENT]],Data[],61,FALSE)</f>
        <v>No</v>
      </c>
      <c r="M12">
        <f>VLOOKUP(B12,Data[],9,FALSE)</f>
        <v>4</v>
      </c>
      <c r="N12">
        <v>1</v>
      </c>
      <c r="O12">
        <v>1</v>
      </c>
      <c r="P12" t="str">
        <f ca="1">IFERROR(VLOOKUP(B12,Data[],4,FALSE),"")</f>
        <v/>
      </c>
      <c r="Q12" t="str">
        <f ca="1">IF(all[[#This Row],[RAD/PACT]]="","",IF(OR(all[[#This Row],[RAD/PACT]]="2021-2025",all[[#This Row],[RAD/PACT]]="2019-2020"),"Yes",""))</f>
        <v/>
      </c>
      <c r="R12">
        <f>VLOOKUP(all[[#This Row],[DEVELOPMENT]],Data[],7,FALSE)</f>
        <v>1191</v>
      </c>
      <c r="S12" t="str">
        <f>VLOOKUP(all[[#This Row],[DEVELOPMENT]],Data[],25,FALSE)</f>
        <v>Newtown Creek</v>
      </c>
      <c r="T12">
        <f>VLOOKUP(all[[#This Row],[DEVELOPMENT]],Data[],5,FALSE)</f>
        <v>13</v>
      </c>
      <c r="U12">
        <f>VLOOKUP(all[[#This Row],[DEVELOPMENT]],Data[],10,FALSE)</f>
        <v>18</v>
      </c>
      <c r="V12">
        <f>VLOOKUP(all[[#This Row],[DEVELOPMENT]],Data[],10,FALSE)</f>
        <v>18</v>
      </c>
      <c r="W12">
        <f>VLOOKUP(all[[#This Row],[DEVELOPMENT]],Data[],33,FALSE)</f>
        <v>2</v>
      </c>
      <c r="X12">
        <f>VLOOKUP(all[[#This Row],[DEVELOPMENT]],Data[],33,FALSE)</f>
        <v>2</v>
      </c>
      <c r="Y12">
        <f>VLOOKUP(all[[#This Row],[DEVELOPMENT]],Data[],28,FALSE)</f>
        <v>0</v>
      </c>
      <c r="Z12">
        <f>IF(all[[#This Row],['# Bulk Crushers]]=0,1,0)</f>
        <v>1</v>
      </c>
      <c r="AA12" s="5">
        <f ca="1">IFERROR(INDEX(FWD[],MATCH($B12,FWD[DEVELOPMENT],0),MATCH("ESTIMATE",FWD[#Headers],0)),0)</f>
        <v>2047014.5133466078</v>
      </c>
      <c r="AB12" s="5">
        <f ca="1">IFERROR(INDEX(EHDAll[],MATCH($B12,EHDAll[DEVELOPMENT],0),MATCH("ESTIMATE",EHDAll[#Headers],0)),0)</f>
        <v>133841.58300000001</v>
      </c>
      <c r="AC12" s="5">
        <f ca="1">IFERROR(INDEX(IntAll[],MATCH($B12,IntAll[DEVELOPMENT],0),MATCH("ESTIMATE",IntAll[#Headers],0)),0)</f>
        <v>1135575</v>
      </c>
      <c r="AD12" s="5">
        <f ca="1">IFERROR(INDEX(YardsAll[],MATCH($B12,YardsAll[DEVELOPMENT],0),MATCH("TOTAL ESTIMATE",YardsAll[#Headers],0)),0)</f>
        <v>1457622.3213190003</v>
      </c>
      <c r="AE12" s="99">
        <f t="shared" ca="1" si="0"/>
        <v>4774053.4176656082</v>
      </c>
      <c r="AF12" s="5"/>
    </row>
    <row r="13" spans="1:32">
      <c r="A13" s="101">
        <f>VLOOKUP(B13,Data[],24,FALSE)</f>
        <v>311</v>
      </c>
      <c r="B13" t="s">
        <v>142</v>
      </c>
      <c r="C13" t="str">
        <f>VLOOKUP(all[[#This Row],[DEVELOPMENT]],Data[],MATCH(all[[#Headers],[PROGRAM]],Data[#Headers],0),FALSE)</f>
        <v>FEDERAL</v>
      </c>
      <c r="D13" t="str">
        <f>VLOOKUP(B13,Data[],2,FALSE)</f>
        <v>BROOKLYN</v>
      </c>
      <c r="E13">
        <f>VLOOKUP(all[[#This Row],[DEVELOPMENT]],Data[],65,FALSE)</f>
        <v>54</v>
      </c>
      <c r="F13" t="e">
        <f>VLOOKUP(all[[#This Row],[DEVELOPMENT]],Data[],3,FALSE)</f>
        <v>#N/A</v>
      </c>
      <c r="G13" s="107" t="s">
        <v>186</v>
      </c>
      <c r="H13" t="s">
        <v>184</v>
      </c>
      <c r="I13">
        <f>VLOOKUP(all[[#This Row],[DEVELOPMENT]],Data[],34,FALSE)</f>
        <v>0</v>
      </c>
      <c r="J13" t="s">
        <v>183</v>
      </c>
      <c r="K13" t="str">
        <f>VLOOKUP(B13,Data[],8,FALSE)</f>
        <v>Zone 1</v>
      </c>
      <c r="L13" t="str">
        <f>VLOOKUP(all[[#This Row],[DEVELOPMENT]],Data[],61,FALSE)</f>
        <v>No</v>
      </c>
      <c r="M13">
        <f>VLOOKUP(B13,Data[],9,FALSE)</f>
        <v>4</v>
      </c>
      <c r="N13">
        <v>3</v>
      </c>
      <c r="O13" t="s">
        <v>185</v>
      </c>
      <c r="P13" t="str">
        <f ca="1">IFERROR(VLOOKUP(B13,Data[],4,FALSE),"")</f>
        <v/>
      </c>
      <c r="Q13" t="str">
        <f ca="1">IF(all[[#This Row],[RAD/PACT]]="","",IF(OR(all[[#This Row],[RAD/PACT]]="2021-2025",all[[#This Row],[RAD/PACT]]="2019-2020"),"Yes",""))</f>
        <v/>
      </c>
      <c r="R13">
        <f>VLOOKUP(all[[#This Row],[DEVELOPMENT]],Data[],7,FALSE)</f>
        <v>84</v>
      </c>
      <c r="S13" t="str">
        <f>VLOOKUP(all[[#This Row],[DEVELOPMENT]],Data[],25,FALSE)</f>
        <v>Newtown Creek</v>
      </c>
      <c r="T13">
        <f>VLOOKUP(all[[#This Row],[DEVELOPMENT]],Data[],5,FALSE)</f>
        <v>3</v>
      </c>
      <c r="U13">
        <f>VLOOKUP(all[[#This Row],[DEVELOPMENT]],Data[],10,FALSE)</f>
        <v>5</v>
      </c>
      <c r="V13">
        <f>VLOOKUP(all[[#This Row],[DEVELOPMENT]],Data[],10,FALSE)</f>
        <v>5</v>
      </c>
      <c r="W13">
        <f>VLOOKUP(all[[#This Row],[DEVELOPMENT]],Data[],33,FALSE)</f>
        <v>0</v>
      </c>
      <c r="X13">
        <f>VLOOKUP(all[[#This Row],[DEVELOPMENT]],Data[],33,FALSE)</f>
        <v>0</v>
      </c>
      <c r="Y13">
        <f>VLOOKUP(all[[#This Row],[DEVELOPMENT]],Data[],28,FALSE)</f>
        <v>0</v>
      </c>
      <c r="Z13">
        <f>IF(all[[#This Row],['# Bulk Crushers]]=0,1,0)</f>
        <v>1</v>
      </c>
      <c r="AA13" s="5">
        <f ca="1">IFERROR(INDEX(FWD[],MATCH($B13,FWD[DEVELOPMENT],0),MATCH("ESTIMATE",FWD[#Headers],0)),0)</f>
        <v>144373.81958112094</v>
      </c>
      <c r="AB13" s="5">
        <f ca="1">IFERROR(INDEX(EHDAll[],MATCH($B13,EHDAll[DEVELOPMENT],0),MATCH("ESTIMATE",EHDAll[#Headers],0)),0)</f>
        <v>37178.217499999999</v>
      </c>
      <c r="AC13" s="5">
        <f ca="1">IFERROR(INDEX(IntAll[],MATCH($B13,IntAll[DEVELOPMENT],0),MATCH("ESTIMATE",IntAll[#Headers],0)),0)</f>
        <v>0</v>
      </c>
      <c r="AD13" s="5">
        <f ca="1">IFERROR(INDEX(YardsAll[],MATCH($B13,YardsAll[DEVELOPMENT],0),MATCH("TOTAL ESTIMATE",YardsAll[#Headers],0)),0)</f>
        <v>1934073.9567800006</v>
      </c>
      <c r="AE13" s="99">
        <f t="shared" ca="1" si="0"/>
        <v>2115625.9938611216</v>
      </c>
      <c r="AF13" s="5"/>
    </row>
    <row r="14" spans="1:32">
      <c r="A14" s="101">
        <f>VLOOKUP(B14,Data[],24,FALSE)</f>
        <v>346</v>
      </c>
      <c r="B14" t="s">
        <v>187</v>
      </c>
      <c r="C14" t="str">
        <f>VLOOKUP(all[[#This Row],[DEVELOPMENT]],Data[],MATCH(all[[#Headers],[PROGRAM]],Data[#Headers],0),FALSE)</f>
        <v>FEDERAL</v>
      </c>
      <c r="D14" t="str">
        <f>VLOOKUP(B14,Data[],2,FALSE)</f>
        <v>BRONX</v>
      </c>
      <c r="E14">
        <f>VLOOKUP(all[[#This Row],[DEVELOPMENT]],Data[],65,FALSE)</f>
        <v>85</v>
      </c>
      <c r="F14" t="e">
        <f>VLOOKUP(all[[#This Row],[DEVELOPMENT]],Data[],3,FALSE)</f>
        <v>#N/A</v>
      </c>
      <c r="G14" s="107" t="s">
        <v>186</v>
      </c>
      <c r="H14" t="s">
        <v>184</v>
      </c>
      <c r="I14">
        <f>VLOOKUP(all[[#This Row],[DEVELOPMENT]],Data[],34,FALSE)</f>
        <v>0</v>
      </c>
      <c r="J14" t="s">
        <v>184</v>
      </c>
      <c r="K14" t="str">
        <f>VLOOKUP(B14,Data[],8,FALSE)</f>
        <v>Zone 3</v>
      </c>
      <c r="L14" t="str">
        <f>VLOOKUP(all[[#This Row],[DEVELOPMENT]],Data[],61,FALSE)</f>
        <v>No</v>
      </c>
      <c r="M14">
        <f>VLOOKUP(B14,Data[],9,FALSE)</f>
        <v>0</v>
      </c>
      <c r="N14">
        <v>1</v>
      </c>
      <c r="O14">
        <v>1</v>
      </c>
      <c r="P14" t="str">
        <f ca="1">IFERROR(VLOOKUP(B14,Data[],4,FALSE),"")</f>
        <v/>
      </c>
      <c r="Q14" t="str">
        <f ca="1">IF(all[[#This Row],[RAD/PACT]]="","",IF(OR(all[[#This Row],[RAD/PACT]]="2021-2025",all[[#This Row],[RAD/PACT]]="2019-2020"),"Yes",""))</f>
        <v/>
      </c>
      <c r="R14">
        <f>VLOOKUP(all[[#This Row],[DEVELOPMENT]],Data[],7,FALSE)</f>
        <v>82</v>
      </c>
      <c r="S14">
        <f>VLOOKUP(all[[#This Row],[DEVELOPMENT]],Data[],25,FALSE)</f>
        <v>0</v>
      </c>
      <c r="T14">
        <f>VLOOKUP(all[[#This Row],[DEVELOPMENT]],Data[],5,FALSE)</f>
        <v>3</v>
      </c>
      <c r="U14">
        <f>VLOOKUP(all[[#This Row],[DEVELOPMENT]],Data[],10,FALSE)</f>
        <v>3</v>
      </c>
      <c r="V14">
        <f>VLOOKUP(all[[#This Row],[DEVELOPMENT]],Data[],10,FALSE)</f>
        <v>3</v>
      </c>
      <c r="W14">
        <f>VLOOKUP(all[[#This Row],[DEVELOPMENT]],Data[],33,FALSE)</f>
        <v>0</v>
      </c>
      <c r="X14">
        <f>VLOOKUP(all[[#This Row],[DEVELOPMENT]],Data[],33,FALSE)</f>
        <v>0</v>
      </c>
      <c r="Y14">
        <f>VLOOKUP(all[[#This Row],[DEVELOPMENT]],Data[],28,FALSE)</f>
        <v>0</v>
      </c>
      <c r="Z14">
        <f>IF(all[[#This Row],['# Bulk Crushers]]=0,1,0)</f>
        <v>1</v>
      </c>
      <c r="AA14" s="5">
        <f ca="1">IFERROR(INDEX(FWD[],MATCH($B14,FWD[DEVELOPMENT],0),MATCH("ESTIMATE",FWD[#Headers],0)),0)</f>
        <v>140936.34768633236</v>
      </c>
      <c r="AB14" s="5">
        <f ca="1">IFERROR(INDEX(EHDAll[],MATCH($B14,EHDAll[DEVELOPMENT],0),MATCH("ESTIMATE",EHDAll[#Headers],0)),0)</f>
        <v>23868.415635000005</v>
      </c>
      <c r="AC14" s="5">
        <f ca="1">IFERROR(INDEX(IntAll[],MATCH($B14,IntAll[DEVELOPMENT],0),MATCH("ESTIMATE",IntAll[#Headers],0)),0)</f>
        <v>189262.5</v>
      </c>
      <c r="AD14" s="5">
        <f ca="1">IFERROR(INDEX(YardsAll[],MATCH($B14,YardsAll[DEVELOPMENT],0),MATCH("TOTAL ESTIMATE",YardsAll[#Headers],0)),0)</f>
        <v>1934073.9567800006</v>
      </c>
      <c r="AE14" s="99">
        <f t="shared" ca="1" si="0"/>
        <v>2288141.2201013332</v>
      </c>
      <c r="AF14" s="5"/>
    </row>
    <row r="15" spans="1:32">
      <c r="A15" s="101">
        <f>VLOOKUP(B15,Data[],24,FALSE)</f>
        <v>56</v>
      </c>
      <c r="B15" t="s">
        <v>188</v>
      </c>
      <c r="C15" t="str">
        <f>VLOOKUP(all[[#This Row],[DEVELOPMENT]],Data[],MATCH(all[[#Headers],[PROGRAM]],Data[#Headers],0),FALSE)</f>
        <v>FEDERAL</v>
      </c>
      <c r="D15" t="str">
        <f>VLOOKUP(B15,Data[],2,FALSE)</f>
        <v>BROOKLYN</v>
      </c>
      <c r="E15" t="str">
        <f>VLOOKUP(all[[#This Row],[DEVELOPMENT]],Data[],65,FALSE)</f>
        <v>58, 60</v>
      </c>
      <c r="F15" t="e">
        <f>VLOOKUP(all[[#This Row],[DEVELOPMENT]],Data[],3,FALSE)</f>
        <v>#N/A</v>
      </c>
      <c r="G15" s="107" t="s">
        <v>186</v>
      </c>
      <c r="H15" t="s">
        <v>184</v>
      </c>
      <c r="I15">
        <f>VLOOKUP(all[[#This Row],[DEVELOPMENT]],Data[],34,FALSE)</f>
        <v>0</v>
      </c>
      <c r="J15" t="s">
        <v>183</v>
      </c>
      <c r="K15">
        <f>VLOOKUP(B15,Data[],8,FALSE)</f>
        <v>0</v>
      </c>
      <c r="L15" t="str">
        <f>VLOOKUP(all[[#This Row],[DEVELOPMENT]],Data[],61,FALSE)</f>
        <v>No</v>
      </c>
      <c r="M15">
        <f>VLOOKUP(B15,Data[],9,FALSE)</f>
        <v>0</v>
      </c>
      <c r="N15" t="s">
        <v>185</v>
      </c>
      <c r="O15" t="s">
        <v>185</v>
      </c>
      <c r="P15" t="str">
        <f ca="1">IFERROR(VLOOKUP(B15,Data[],4,FALSE),"")</f>
        <v>2020-2021</v>
      </c>
      <c r="Q15" t="str">
        <f ca="1">IF(all[[#This Row],[RAD/PACT]]="","",IF(OR(all[[#This Row],[RAD/PACT]]="2021-2025",all[[#This Row],[RAD/PACT]]="2019-2020"),"Yes",""))</f>
        <v/>
      </c>
      <c r="R15">
        <f>VLOOKUP(all[[#This Row],[DEVELOPMENT]],Data[],7,FALSE)</f>
        <v>1592</v>
      </c>
      <c r="S15">
        <f>VLOOKUP(all[[#This Row],[DEVELOPMENT]],Data[],25,FALSE)</f>
        <v>0</v>
      </c>
      <c r="T15">
        <f>VLOOKUP(all[[#This Row],[DEVELOPMENT]],Data[],5,FALSE)</f>
        <v>30</v>
      </c>
      <c r="U15">
        <f>VLOOKUP(all[[#This Row],[DEVELOPMENT]],Data[],10,FALSE)</f>
        <v>94</v>
      </c>
      <c r="V15">
        <f>VLOOKUP(all[[#This Row],[DEVELOPMENT]],Data[],10,FALSE)</f>
        <v>94</v>
      </c>
      <c r="W15">
        <f>VLOOKUP(all[[#This Row],[DEVELOPMENT]],Data[],33,FALSE)</f>
        <v>4</v>
      </c>
      <c r="X15">
        <f>VLOOKUP(all[[#This Row],[DEVELOPMENT]],Data[],33,FALSE)</f>
        <v>4</v>
      </c>
      <c r="Y15">
        <f>VLOOKUP(all[[#This Row],[DEVELOPMENT]],Data[],28,FALSE)</f>
        <v>0</v>
      </c>
      <c r="Z15">
        <f>IF(all[[#This Row],['# Bulk Crushers]]=0,1,0)</f>
        <v>1</v>
      </c>
      <c r="AA15" s="5">
        <f ca="1">IFERROR(INDEX(FWD[],MATCH($B15,FWD[DEVELOPMENT],0),MATCH("ESTIMATE",FWD[#Headers],0)),0)</f>
        <v>2736227.6282517207</v>
      </c>
      <c r="AB15" s="5">
        <f ca="1">IFERROR(INDEX(EHDAll[],MATCH($B15,EHDAll[DEVELOPMENT],0),MATCH("ESTIMATE",EHDAll[#Headers],0)),0)</f>
        <v>747877.02323000005</v>
      </c>
      <c r="AC15" s="5">
        <f ca="1">IFERROR(INDEX(IntAll[],MATCH($B15,IntAll[DEVELOPMENT],0),MATCH("ESTIMATE",IntAll[#Headers],0)),0)</f>
        <v>0</v>
      </c>
      <c r="AD15" s="5">
        <f ca="1">IFERROR(INDEX(YardsAll[],MATCH($B15,YardsAll[DEVELOPMENT],0),MATCH("TOTAL ESTIMATE",YardsAll[#Headers],0)),0)</f>
        <v>0</v>
      </c>
      <c r="AE15" s="99">
        <f t="shared" ca="1" si="0"/>
        <v>3484104.6514817206</v>
      </c>
      <c r="AF15" s="5"/>
    </row>
    <row r="16" spans="1:32">
      <c r="A16" s="101">
        <f>VLOOKUP(B16,Data[],24,FALSE)</f>
        <v>157</v>
      </c>
      <c r="B16" t="s">
        <v>189</v>
      </c>
      <c r="C16" t="str">
        <f>VLOOKUP(all[[#This Row],[DEVELOPMENT]],Data[],MATCH(all[[#Headers],[PROGRAM]],Data[#Headers],0),FALSE)</f>
        <v>FEDERAL</v>
      </c>
      <c r="D16" t="str">
        <f>VLOOKUP(B16,Data[],2,FALSE)</f>
        <v>BRONX</v>
      </c>
      <c r="E16">
        <f>VLOOKUP(all[[#This Row],[DEVELOPMENT]],Data[],65,FALSE)</f>
        <v>85</v>
      </c>
      <c r="F16" t="e">
        <f>VLOOKUP(all[[#This Row],[DEVELOPMENT]],Data[],3,FALSE)</f>
        <v>#N/A</v>
      </c>
      <c r="G16" s="107" t="s">
        <v>186</v>
      </c>
      <c r="H16" t="s">
        <v>184</v>
      </c>
      <c r="I16">
        <f>VLOOKUP(all[[#This Row],[DEVELOPMENT]],Data[],34,FALSE)</f>
        <v>0</v>
      </c>
      <c r="J16" t="s">
        <v>183</v>
      </c>
      <c r="K16" t="str">
        <f>VLOOKUP(B16,Data[],8,FALSE)</f>
        <v>Zone 3</v>
      </c>
      <c r="L16" t="str">
        <f>VLOOKUP(all[[#This Row],[DEVELOPMENT]],Data[],61,FALSE)</f>
        <v>No</v>
      </c>
      <c r="M16">
        <f>VLOOKUP(B16,Data[],9,FALSE)</f>
        <v>0</v>
      </c>
      <c r="N16" t="s">
        <v>185</v>
      </c>
      <c r="O16" t="s">
        <v>185</v>
      </c>
      <c r="P16" t="str">
        <f ca="1">IFERROR(VLOOKUP(B16,Data[],4,FALSE),"")</f>
        <v/>
      </c>
      <c r="Q16" t="str">
        <f ca="1">IF(all[[#This Row],[RAD/PACT]]="","",IF(OR(all[[#This Row],[RAD/PACT]]="2021-2025",all[[#This Row],[RAD/PACT]]="2019-2020"),"Yes",""))</f>
        <v/>
      </c>
      <c r="R16">
        <f>VLOOKUP(all[[#This Row],[DEVELOPMENT]],Data[],7,FALSE)</f>
        <v>226</v>
      </c>
      <c r="S16">
        <f>VLOOKUP(all[[#This Row],[DEVELOPMENT]],Data[],25,FALSE)</f>
        <v>0</v>
      </c>
      <c r="T16">
        <f>VLOOKUP(all[[#This Row],[DEVELOPMENT]],Data[],5,FALSE)</f>
        <v>2</v>
      </c>
      <c r="U16">
        <f>VLOOKUP(all[[#This Row],[DEVELOPMENT]],Data[],10,FALSE)</f>
        <v>2</v>
      </c>
      <c r="V16">
        <f>VLOOKUP(all[[#This Row],[DEVELOPMENT]],Data[],10,FALSE)</f>
        <v>2</v>
      </c>
      <c r="W16">
        <f>VLOOKUP(all[[#This Row],[DEVELOPMENT]],Data[],33,FALSE)</f>
        <v>0</v>
      </c>
      <c r="X16">
        <f>VLOOKUP(all[[#This Row],[DEVELOPMENT]],Data[],33,FALSE)</f>
        <v>0</v>
      </c>
      <c r="Y16">
        <f>VLOOKUP(all[[#This Row],[DEVELOPMENT]],Data[],28,FALSE)</f>
        <v>0</v>
      </c>
      <c r="Z16">
        <f>IF(all[[#This Row],['# Bulk Crushers]]=0,1,0)</f>
        <v>1</v>
      </c>
      <c r="AA16" s="5">
        <f ca="1">IFERROR(INDEX(FWD[],MATCH($B16,FWD[DEVELOPMENT],0),MATCH("ESTIMATE",FWD[#Headers],0)),0)</f>
        <v>388434.32411111111</v>
      </c>
      <c r="AB16" s="5">
        <f>IFERROR(INDEX(EHDAll[],MATCH($B16,EHDAll[DEVELOPMENT],0),MATCH("ESTIMATE",EHDAll[#Headers],0)),0)</f>
        <v>0</v>
      </c>
      <c r="AC16" s="5">
        <f ca="1">IFERROR(INDEX(IntAll[],MATCH($B16,IntAll[DEVELOPMENT],0),MATCH("ESTIMATE",IntAll[#Headers],0)),0)</f>
        <v>161504</v>
      </c>
      <c r="AD16" s="5">
        <f ca="1">IFERROR(INDEX(YardsAll[],MATCH($B16,YardsAll[DEVELOPMENT],0),MATCH("TOTAL ESTIMATE",YardsAll[#Headers],0)),0)</f>
        <v>1997338.0581700003</v>
      </c>
      <c r="AE16" s="99">
        <f t="shared" ca="1" si="0"/>
        <v>2547276.3822811116</v>
      </c>
      <c r="AF16" s="5"/>
    </row>
    <row r="17" spans="1:32">
      <c r="A17" s="101">
        <f>VLOOKUP(B17,Data[],24,FALSE)</f>
        <v>69</v>
      </c>
      <c r="B17" t="s">
        <v>190</v>
      </c>
      <c r="C17" t="str">
        <f>VLOOKUP(all[[#This Row],[DEVELOPMENT]],Data[],MATCH(all[[#Headers],[PROGRAM]],Data[#Headers],0),FALSE)</f>
        <v>FEDERAL</v>
      </c>
      <c r="D17" t="str">
        <f>VLOOKUP(B17,Data[],2,FALSE)</f>
        <v>BROOKLYN</v>
      </c>
      <c r="E17">
        <f>VLOOKUP(all[[#This Row],[DEVELOPMENT]],Data[],65,FALSE)</f>
        <v>50</v>
      </c>
      <c r="F17" t="e">
        <f>VLOOKUP(all[[#This Row],[DEVELOPMENT]],Data[],3,FALSE)</f>
        <v>#N/A</v>
      </c>
      <c r="G17" s="107" t="s">
        <v>186</v>
      </c>
      <c r="H17" t="s">
        <v>184</v>
      </c>
      <c r="I17">
        <f>VLOOKUP(all[[#This Row],[DEVELOPMENT]],Data[],34,FALSE)</f>
        <v>0</v>
      </c>
      <c r="J17" t="s">
        <v>183</v>
      </c>
      <c r="K17">
        <f>VLOOKUP(B17,Data[],8,FALSE)</f>
        <v>0</v>
      </c>
      <c r="L17" t="str">
        <f>VLOOKUP(all[[#This Row],[DEVELOPMENT]],Data[],61,FALSE)</f>
        <v>No</v>
      </c>
      <c r="M17">
        <f>VLOOKUP(B17,Data[],9,FALSE)</f>
        <v>0</v>
      </c>
      <c r="N17">
        <v>3</v>
      </c>
      <c r="O17" t="s">
        <v>185</v>
      </c>
      <c r="P17" t="str">
        <f ca="1">IFERROR(VLOOKUP(B17,Data[],4,FALSE),"")</f>
        <v>2026+</v>
      </c>
      <c r="Q17" t="str">
        <f ca="1">IF(all[[#This Row],[RAD/PACT]]="","",IF(OR(all[[#This Row],[RAD/PACT]]="2021-2025",all[[#This Row],[RAD/PACT]]="2019-2020"),"Yes",""))</f>
        <v/>
      </c>
      <c r="R17">
        <f>VLOOKUP(all[[#This Row],[DEVELOPMENT]],Data[],7,FALSE)</f>
        <v>700</v>
      </c>
      <c r="S17" t="str">
        <f>VLOOKUP(all[[#This Row],[DEVELOPMENT]],Data[],25,FALSE)</f>
        <v>Newtown Creek</v>
      </c>
      <c r="T17">
        <f>VLOOKUP(all[[#This Row],[DEVELOPMENT]],Data[],5,FALSE)</f>
        <v>11</v>
      </c>
      <c r="U17">
        <f>VLOOKUP(all[[#This Row],[DEVELOPMENT]],Data[],10,FALSE)</f>
        <v>13</v>
      </c>
      <c r="V17">
        <f>VLOOKUP(all[[#This Row],[DEVELOPMENT]],Data[],10,FALSE)</f>
        <v>13</v>
      </c>
      <c r="W17">
        <f>VLOOKUP(all[[#This Row],[DEVELOPMENT]],Data[],33,FALSE)</f>
        <v>2</v>
      </c>
      <c r="X17">
        <f>VLOOKUP(all[[#This Row],[DEVELOPMENT]],Data[],33,FALSE)</f>
        <v>2</v>
      </c>
      <c r="Y17">
        <f>VLOOKUP(all[[#This Row],[DEVELOPMENT]],Data[],28,FALSE)</f>
        <v>0</v>
      </c>
      <c r="Z17">
        <f>IF(all[[#This Row],['# Bulk Crushers]]=0,1,0)</f>
        <v>1</v>
      </c>
      <c r="AA17" s="5">
        <f ca="1">IFERROR(INDEX(FWD[],MATCH($B17,FWD[DEVELOPMENT],0),MATCH("ESTIMATE",FWD[#Headers],0)),0)</f>
        <v>1203115.1631760078</v>
      </c>
      <c r="AB17" s="5">
        <f ca="1">IFERROR(INDEX(EHDAll[],MATCH($B17,EHDAll[DEVELOPMENT],0),MATCH("ESTIMATE",EHDAll[#Headers],0)),0)</f>
        <v>103429.801085</v>
      </c>
      <c r="AC17" s="5">
        <f ca="1">IFERROR(INDEX(IntAll[],MATCH($B17,IntAll[DEVELOPMENT],0),MATCH("ESTIMATE",IntAll[#Headers],0)),0)</f>
        <v>963661.5625</v>
      </c>
      <c r="AD17" s="5">
        <f ca="1">IFERROR(INDEX(YardsAll[],MATCH($B17,YardsAll[DEVELOPMENT],0),MATCH("TOTAL ESTIMATE",YardsAll[#Headers],0)),0)</f>
        <v>2161858.9406550005</v>
      </c>
      <c r="AE17" s="99">
        <f t="shared" ca="1" si="0"/>
        <v>4432065.467416008</v>
      </c>
      <c r="AF17" s="5"/>
    </row>
    <row r="18" spans="1:32">
      <c r="A18" s="101">
        <f>VLOOKUP(B18,Data[],24,FALSE)</f>
        <v>3</v>
      </c>
      <c r="B18" t="s">
        <v>117</v>
      </c>
      <c r="C18" t="str">
        <f>VLOOKUP(all[[#This Row],[DEVELOPMENT]],Data[],MATCH(all[[#Headers],[PROGRAM]],Data[#Headers],0),FALSE)</f>
        <v>FEDERAL</v>
      </c>
      <c r="D18" t="str">
        <f>VLOOKUP(B18,Data[],2,FALSE)</f>
        <v>MANHATTAN</v>
      </c>
      <c r="E18">
        <f>VLOOKUP(all[[#This Row],[DEVELOPMENT]],Data[],65,FALSE)</f>
        <v>71</v>
      </c>
      <c r="F18">
        <f>VLOOKUP(all[[#This Row],[DEVELOPMENT]],Data[],3,FALSE)</f>
        <v>0</v>
      </c>
      <c r="G18" s="107" t="s">
        <v>186</v>
      </c>
      <c r="H18" t="s">
        <v>184</v>
      </c>
      <c r="I18">
        <f>VLOOKUP(all[[#This Row],[DEVELOPMENT]],Data[],34,FALSE)</f>
        <v>0</v>
      </c>
      <c r="J18" t="s">
        <v>183</v>
      </c>
      <c r="K18" t="str">
        <f>VLOOKUP(B18,Data[],8,FALSE)</f>
        <v>Zone 3</v>
      </c>
      <c r="L18" t="str">
        <f>VLOOKUP(all[[#This Row],[DEVELOPMENT]],Data[],61,FALSE)</f>
        <v>No</v>
      </c>
      <c r="M18">
        <f>VLOOKUP(B18,Data[],9,FALSE)</f>
        <v>4</v>
      </c>
      <c r="N18">
        <v>4</v>
      </c>
      <c r="O18" t="s">
        <v>185</v>
      </c>
      <c r="P18" t="str">
        <f ca="1">IFERROR(VLOOKUP(B18,Data[],4,FALSE),"")</f>
        <v>2020-2021</v>
      </c>
      <c r="Q18" t="str">
        <f ca="1">IF(all[[#This Row],[RAD/PACT]]="","",IF(OR(all[[#This Row],[RAD/PACT]]="2021-2025",all[[#This Row],[RAD/PACT]]="2019-2020"),"Yes",""))</f>
        <v/>
      </c>
      <c r="R18">
        <f>VLOOKUP(all[[#This Row],[DEVELOPMENT]],Data[],7,FALSE)</f>
        <v>574</v>
      </c>
      <c r="S18">
        <f>VLOOKUP(all[[#This Row],[DEVELOPMENT]],Data[],25,FALSE)</f>
        <v>0</v>
      </c>
      <c r="T18">
        <f>VLOOKUP(all[[#This Row],[DEVELOPMENT]],Data[],5,FALSE)</f>
        <v>7</v>
      </c>
      <c r="U18">
        <f>VLOOKUP(all[[#This Row],[DEVELOPMENT]],Data[],10,FALSE)</f>
        <v>47</v>
      </c>
      <c r="V18">
        <f>VLOOKUP(all[[#This Row],[DEVELOPMENT]],Data[],10,FALSE)</f>
        <v>47</v>
      </c>
      <c r="W18">
        <f>VLOOKUP(all[[#This Row],[DEVELOPMENT]],Data[],33,FALSE)</f>
        <v>2</v>
      </c>
      <c r="X18">
        <f>VLOOKUP(all[[#This Row],[DEVELOPMENT]],Data[],33,FALSE)</f>
        <v>2</v>
      </c>
      <c r="Y18">
        <f>VLOOKUP(all[[#This Row],[DEVELOPMENT]],Data[],28,FALSE)</f>
        <v>0</v>
      </c>
      <c r="Z18">
        <f>IF(all[[#This Row],['# Bulk Crushers]]=0,1,0)</f>
        <v>1</v>
      </c>
      <c r="AA18" s="5">
        <f ca="1">IFERROR(INDEX(FWD[],MATCH($B18,FWD[DEVELOPMENT],0),MATCH("ESTIMATE",FWD[#Headers],0)),0)</f>
        <v>986554.43380432646</v>
      </c>
      <c r="AB18" s="5">
        <f ca="1">IFERROR(INDEX(EHDAll[],MATCH($B18,EHDAll[DEVELOPMENT],0),MATCH("ESTIMATE",EHDAll[#Headers],0)),0)</f>
        <v>361706.8780575</v>
      </c>
      <c r="AC18" s="5">
        <f ca="1">IFERROR(INDEX(IntAll[],MATCH($B18,IntAll[DEVELOPMENT],0),MATCH("ESTIMATE",IntAll[#Headers],0)),0)</f>
        <v>0</v>
      </c>
      <c r="AD18" s="5">
        <f ca="1">IFERROR(INDEX(YardsAll[],MATCH($B18,YardsAll[DEVELOPMENT],0),MATCH("TOTAL ESTIMATE",YardsAll[#Headers],0)),0)</f>
        <v>0</v>
      </c>
      <c r="AE18" s="99">
        <f t="shared" ca="1" si="0"/>
        <v>1348261.3118618266</v>
      </c>
      <c r="AF18" s="5"/>
    </row>
    <row r="19" spans="1:32">
      <c r="A19" s="101">
        <f>VLOOKUP(B19,Data[],24,FALSE)</f>
        <v>147</v>
      </c>
      <c r="B19" t="s">
        <v>82</v>
      </c>
      <c r="C19" t="str">
        <f>VLOOKUP(all[[#This Row],[DEVELOPMENT]],Data[],MATCH(all[[#Headers],[PROGRAM]],Data[#Headers],0),FALSE)</f>
        <v>FEDERAL</v>
      </c>
      <c r="D19" t="str">
        <f>VLOOKUP(B19,Data[],2,FALSE)</f>
        <v>MANHATTAN</v>
      </c>
      <c r="E19">
        <f>VLOOKUP(all[[#This Row],[DEVELOPMENT]],Data[],65,FALSE)</f>
        <v>71</v>
      </c>
      <c r="F19" t="e">
        <f>VLOOKUP(all[[#This Row],[DEVELOPMENT]],Data[],3,FALSE)</f>
        <v>#N/A</v>
      </c>
      <c r="G19" s="107" t="s">
        <v>186</v>
      </c>
      <c r="H19" t="s">
        <v>184</v>
      </c>
      <c r="I19">
        <f>VLOOKUP(all[[#This Row],[DEVELOPMENT]],Data[],34,FALSE)</f>
        <v>0</v>
      </c>
      <c r="J19" t="s">
        <v>183</v>
      </c>
      <c r="K19" t="str">
        <f>VLOOKUP(B19,Data[],8,FALSE)</f>
        <v>Zone 3</v>
      </c>
      <c r="L19" t="str">
        <f>VLOOKUP(all[[#This Row],[DEVELOPMENT]],Data[],61,FALSE)</f>
        <v>No</v>
      </c>
      <c r="M19">
        <f>VLOOKUP(B19,Data[],9,FALSE)</f>
        <v>3</v>
      </c>
      <c r="N19">
        <v>3</v>
      </c>
      <c r="O19">
        <v>3</v>
      </c>
      <c r="P19" t="str">
        <f ca="1">IFERROR(VLOOKUP(B19,Data[],4,FALSE),"")</f>
        <v>2020-2021</v>
      </c>
      <c r="Q19" t="str">
        <f ca="1">IF(all[[#This Row],[RAD/PACT]]="","",IF(OR(all[[#This Row],[RAD/PACT]]="2021-2025",all[[#This Row],[RAD/PACT]]="2019-2020"),"Yes",""))</f>
        <v/>
      </c>
      <c r="R19">
        <f>VLOOKUP(all[[#This Row],[DEVELOPMENT]],Data[],7,FALSE)</f>
        <v>116</v>
      </c>
      <c r="S19">
        <f>VLOOKUP(all[[#This Row],[DEVELOPMENT]],Data[],25,FALSE)</f>
        <v>0</v>
      </c>
      <c r="T19">
        <f>VLOOKUP(all[[#This Row],[DEVELOPMENT]],Data[],5,FALSE)</f>
        <v>1</v>
      </c>
      <c r="U19">
        <f>VLOOKUP(all[[#This Row],[DEVELOPMENT]],Data[],10,FALSE)</f>
        <v>1</v>
      </c>
      <c r="V19">
        <f>VLOOKUP(all[[#This Row],[DEVELOPMENT]],Data[],10,FALSE)</f>
        <v>1</v>
      </c>
      <c r="W19">
        <f>VLOOKUP(all[[#This Row],[DEVELOPMENT]],Data[],33,FALSE)</f>
        <v>0</v>
      </c>
      <c r="X19">
        <f>VLOOKUP(all[[#This Row],[DEVELOPMENT]],Data[],33,FALSE)</f>
        <v>0</v>
      </c>
      <c r="Y19">
        <f>VLOOKUP(all[[#This Row],[DEVELOPMENT]],Data[],28,FALSE)</f>
        <v>0</v>
      </c>
      <c r="Z19">
        <f>IF(all[[#This Row],['# Bulk Crushers]]=0,1,0)</f>
        <v>1</v>
      </c>
      <c r="AA19" s="5">
        <f ca="1">IFERROR(INDEX(FWD[],MATCH($B19,FWD[DEVELOPMENT],0),MATCH("ESTIMATE",FWD[#Headers],0)),0)</f>
        <v>199373.36989773845</v>
      </c>
      <c r="AB19" s="5">
        <f ca="1">IFERROR(INDEX(EHDAll[],MATCH($B19,EHDAll[DEVELOPMENT],0),MATCH("ESTIMATE",EHDAll[#Headers],0)),0)</f>
        <v>7435.6435000000001</v>
      </c>
      <c r="AC19" s="5">
        <f ca="1">IFERROR(INDEX(IntAll[],MATCH($B19,IntAll[DEVELOPMENT],0),MATCH("ESTIMATE",IntAll[#Headers],0)),0)</f>
        <v>0</v>
      </c>
      <c r="AD19" s="5">
        <f ca="1">IFERROR(INDEX(YardsAll[],MATCH($B19,YardsAll[DEVELOPMENT],0),MATCH("TOTAL ESTIMATE",YardsAll[#Headers],0)),0)</f>
        <v>0</v>
      </c>
      <c r="AE19" s="99">
        <f t="shared" ca="1" si="0"/>
        <v>206809.01339773845</v>
      </c>
      <c r="AF19" s="5"/>
    </row>
    <row r="20" spans="1:32">
      <c r="A20" s="101">
        <f>VLOOKUP(B20,Data[],24,FALSE)</f>
        <v>161</v>
      </c>
      <c r="B20" t="s">
        <v>191</v>
      </c>
      <c r="C20" t="str">
        <f>VLOOKUP(all[[#This Row],[DEVELOPMENT]],Data[],MATCH(all[[#Headers],[PROGRAM]],Data[#Headers],0),FALSE)</f>
        <v>FEDERAL</v>
      </c>
      <c r="D20" t="str">
        <f>VLOOKUP(B20,Data[],2,FALSE)</f>
        <v>BROOKLYN</v>
      </c>
      <c r="E20">
        <f>VLOOKUP(all[[#This Row],[DEVELOPMENT]],Data[],65,FALSE)</f>
        <v>56</v>
      </c>
      <c r="F20" t="e">
        <f>VLOOKUP(all[[#This Row],[DEVELOPMENT]],Data[],3,FALSE)</f>
        <v>#N/A</v>
      </c>
      <c r="G20" s="107" t="s">
        <v>186</v>
      </c>
      <c r="H20" t="s">
        <v>184</v>
      </c>
      <c r="I20">
        <f>VLOOKUP(all[[#This Row],[DEVELOPMENT]],Data[],34,FALSE)</f>
        <v>0</v>
      </c>
      <c r="J20" t="s">
        <v>183</v>
      </c>
      <c r="K20" t="str">
        <f>VLOOKUP(B20,Data[],8,FALSE)</f>
        <v>Zone 4</v>
      </c>
      <c r="L20" t="str">
        <f>VLOOKUP(all[[#This Row],[DEVELOPMENT]],Data[],61,FALSE)</f>
        <v>No</v>
      </c>
      <c r="M20">
        <f>VLOOKUP(B20,Data[],9,FALSE)</f>
        <v>0</v>
      </c>
      <c r="N20">
        <v>3</v>
      </c>
      <c r="O20">
        <v>4</v>
      </c>
      <c r="P20" t="str">
        <f ca="1">IFERROR(VLOOKUP(B20,Data[],4,FALSE),"")</f>
        <v/>
      </c>
      <c r="Q20" t="str">
        <f ca="1">IF(all[[#This Row],[RAD/PACT]]="","",IF(OR(all[[#This Row],[RAD/PACT]]="2021-2025",all[[#This Row],[RAD/PACT]]="2019-2020"),"Yes",""))</f>
        <v/>
      </c>
      <c r="R20">
        <f>VLOOKUP(all[[#This Row],[DEVELOPMENT]],Data[],7,FALSE)</f>
        <v>182</v>
      </c>
      <c r="S20" t="str">
        <f>VLOOKUP(all[[#This Row],[DEVELOPMENT]],Data[],25,FALSE)</f>
        <v>Newtown Creek</v>
      </c>
      <c r="T20">
        <f>VLOOKUP(all[[#This Row],[DEVELOPMENT]],Data[],5,FALSE)</f>
        <v>1</v>
      </c>
      <c r="U20">
        <f>VLOOKUP(all[[#This Row],[DEVELOPMENT]],Data[],10,FALSE)</f>
        <v>1</v>
      </c>
      <c r="V20">
        <f>VLOOKUP(all[[#This Row],[DEVELOPMENT]],Data[],10,FALSE)</f>
        <v>1</v>
      </c>
      <c r="W20">
        <f>VLOOKUP(all[[#This Row],[DEVELOPMENT]],Data[],33,FALSE)</f>
        <v>0</v>
      </c>
      <c r="X20">
        <f>VLOOKUP(all[[#This Row],[DEVELOPMENT]],Data[],33,FALSE)</f>
        <v>0</v>
      </c>
      <c r="Y20">
        <f>VLOOKUP(all[[#This Row],[DEVELOPMENT]],Data[],28,FALSE)</f>
        <v>0</v>
      </c>
      <c r="Z20">
        <f>IF(all[[#This Row],['# Bulk Crushers]]=0,1,0)</f>
        <v>1</v>
      </c>
      <c r="AA20" s="5">
        <f ca="1">IFERROR(INDEX(FWD[],MATCH($B20,FWD[DEVELOPMENT],0),MATCH("ESTIMATE",FWD[#Headers],0)),0)</f>
        <v>312809.94242576207</v>
      </c>
      <c r="AB20" s="5">
        <f>IFERROR(INDEX(EHDAll[],MATCH($B20,EHDAll[DEVELOPMENT],0),MATCH("ESTIMATE",EHDAll[#Headers],0)),0)</f>
        <v>0</v>
      </c>
      <c r="AC20" s="5">
        <f ca="1">IFERROR(INDEX(IntAll[],MATCH($B20,IntAll[DEVELOPMENT],0),MATCH("ESTIMATE",IntAll[#Headers],0)),0)</f>
        <v>76335.875</v>
      </c>
      <c r="AD20" s="5">
        <f ca="1">IFERROR(INDEX(YardsAll[],MATCH($B20,YardsAll[DEVELOPMENT],0),MATCH("TOTAL ESTIMATE",YardsAll[#Headers],0)),0)</f>
        <v>0</v>
      </c>
      <c r="AE20" s="99">
        <f t="shared" ca="1" si="0"/>
        <v>389145.81742576207</v>
      </c>
      <c r="AF20" s="5"/>
    </row>
    <row r="21" spans="1:32">
      <c r="A21" s="101">
        <f>VLOOKUP(B21,Data[],24,FALSE)</f>
        <v>169</v>
      </c>
      <c r="B21" t="s">
        <v>192</v>
      </c>
      <c r="C21" t="str">
        <f>VLOOKUP(all[[#This Row],[DEVELOPMENT]],Data[],MATCH(all[[#Headers],[PROGRAM]],Data[#Headers],0),FALSE)</f>
        <v>FEDERAL</v>
      </c>
      <c r="D21" t="str">
        <f>VLOOKUP(B21,Data[],2,FALSE)</f>
        <v>BROOKLYN</v>
      </c>
      <c r="E21">
        <f>VLOOKUP(all[[#This Row],[DEVELOPMENT]],Data[],65,FALSE)</f>
        <v>55</v>
      </c>
      <c r="F21" t="e">
        <f>VLOOKUP(all[[#This Row],[DEVELOPMENT]],Data[],3,FALSE)</f>
        <v>#N/A</v>
      </c>
      <c r="G21" s="107" t="s">
        <v>186</v>
      </c>
      <c r="H21" t="s">
        <v>184</v>
      </c>
      <c r="I21">
        <f>VLOOKUP(all[[#This Row],[DEVELOPMENT]],Data[],34,FALSE)</f>
        <v>0</v>
      </c>
      <c r="J21" t="s">
        <v>183</v>
      </c>
      <c r="K21">
        <f>VLOOKUP(B21,Data[],8,FALSE)</f>
        <v>0</v>
      </c>
      <c r="L21" t="str">
        <f>VLOOKUP(all[[#This Row],[DEVELOPMENT]],Data[],61,FALSE)</f>
        <v>No</v>
      </c>
      <c r="M21">
        <f>VLOOKUP(B21,Data[],9,FALSE)</f>
        <v>0</v>
      </c>
      <c r="N21">
        <v>3</v>
      </c>
      <c r="O21" t="s">
        <v>185</v>
      </c>
      <c r="P21" t="str">
        <f ca="1">IFERROR(VLOOKUP(B21,Data[],4,FALSE),"")</f>
        <v/>
      </c>
      <c r="Q21" t="str">
        <f ca="1">IF(all[[#This Row],[RAD/PACT]]="","",IF(OR(all[[#This Row],[RAD/PACT]]="2021-2025",all[[#This Row],[RAD/PACT]]="2019-2020"),"Yes",""))</f>
        <v/>
      </c>
      <c r="R21">
        <f>VLOOKUP(all[[#This Row],[DEVELOPMENT]],Data[],7,FALSE)</f>
        <v>534</v>
      </c>
      <c r="S21">
        <f>VLOOKUP(all[[#This Row],[DEVELOPMENT]],Data[],25,FALSE)</f>
        <v>0</v>
      </c>
      <c r="T21">
        <f>VLOOKUP(all[[#This Row],[DEVELOPMENT]],Data[],5,FALSE)</f>
        <v>4</v>
      </c>
      <c r="U21">
        <f>VLOOKUP(all[[#This Row],[DEVELOPMENT]],Data[],10,FALSE)</f>
        <v>4</v>
      </c>
      <c r="V21">
        <f>VLOOKUP(all[[#This Row],[DEVELOPMENT]],Data[],10,FALSE)</f>
        <v>4</v>
      </c>
      <c r="W21">
        <f>VLOOKUP(all[[#This Row],[DEVELOPMENT]],Data[],33,FALSE)</f>
        <v>0</v>
      </c>
      <c r="X21">
        <f>VLOOKUP(all[[#This Row],[DEVELOPMENT]],Data[],33,FALSE)</f>
        <v>0</v>
      </c>
      <c r="Y21">
        <f>VLOOKUP(all[[#This Row],[DEVELOPMENT]],Data[],28,FALSE)</f>
        <v>0</v>
      </c>
      <c r="Z21">
        <f>IF(all[[#This Row],['# Bulk Crushers]]=0,1,0)</f>
        <v>1</v>
      </c>
      <c r="AA21" s="5">
        <f ca="1">IFERROR(INDEX(FWD[],MATCH($B21,FWD[DEVELOPMENT],0),MATCH("ESTIMATE",FWD[#Headers],0)),0)</f>
        <v>917804.99590855464</v>
      </c>
      <c r="AB21" s="5">
        <f ca="1">IFERROR(INDEX(EHDAll[],MATCH($B21,EHDAll[DEVELOPMENT],0),MATCH("ESTIMATE",EHDAll[#Headers],0)),0)</f>
        <v>31824.554180000003</v>
      </c>
      <c r="AC21" s="5">
        <f ca="1">IFERROR(INDEX(IntAll[],MATCH($B21,IntAll[DEVELOPMENT],0),MATCH("ESTIMATE",IntAll[#Headers],0)),0)</f>
        <v>305343.5</v>
      </c>
      <c r="AD21" s="5">
        <f ca="1">IFERROR(INDEX(YardsAll[],MATCH($B21,YardsAll[DEVELOPMENT],0),MATCH("TOTAL ESTIMATE",YardsAll[#Headers],0)),0)</f>
        <v>1997338.0581700003</v>
      </c>
      <c r="AE21" s="99">
        <f t="shared" ca="1" si="0"/>
        <v>3252311.1082585547</v>
      </c>
      <c r="AF21" s="5"/>
    </row>
    <row r="22" spans="1:32">
      <c r="A22" s="101">
        <f>VLOOKUP(B22,Data[],24,FALSE)</f>
        <v>83</v>
      </c>
      <c r="B22" t="s">
        <v>193</v>
      </c>
      <c r="C22" t="str">
        <f>VLOOKUP(all[[#This Row],[DEVELOPMENT]],Data[],MATCH(all[[#Headers],[PROGRAM]],Data[#Headers],0),FALSE)</f>
        <v>MIXED FINANCE/LLC1</v>
      </c>
      <c r="D22" t="str">
        <f>VLOOKUP(B22,Data[],2,FALSE)</f>
        <v>BROOKLYN</v>
      </c>
      <c r="E22" t="str">
        <f>VLOOKUP(all[[#This Row],[DEVELOPMENT]],Data[],65,FALSE)</f>
        <v>45, 47</v>
      </c>
      <c r="F22" t="e">
        <f>VLOOKUP(all[[#This Row],[DEVELOPMENT]],Data[],3,FALSE)</f>
        <v>#N/A</v>
      </c>
      <c r="G22" s="107" t="s">
        <v>186</v>
      </c>
      <c r="H22" t="s">
        <v>184</v>
      </c>
      <c r="I22">
        <f>VLOOKUP(all[[#This Row],[DEVELOPMENT]],Data[],34,FALSE)</f>
        <v>0</v>
      </c>
      <c r="J22" t="s">
        <v>183</v>
      </c>
      <c r="K22">
        <f>VLOOKUP(B22,Data[],8,FALSE)</f>
        <v>0</v>
      </c>
      <c r="L22" t="str">
        <f>VLOOKUP(all[[#This Row],[DEVELOPMENT]],Data[],61,FALSE)</f>
        <v>No</v>
      </c>
      <c r="M22">
        <f>VLOOKUP(B22,Data[],9,FALSE)</f>
        <v>0</v>
      </c>
      <c r="N22">
        <v>3</v>
      </c>
      <c r="O22">
        <v>3</v>
      </c>
      <c r="P22" t="str">
        <f ca="1">IFERROR(VLOOKUP(B22,Data[],4,FALSE),"")</f>
        <v>2026+</v>
      </c>
      <c r="Q22" t="str">
        <f ca="1">IF(all[[#This Row],[RAD/PACT]]="","",IF(OR(all[[#This Row],[RAD/PACT]]="2021-2025",all[[#This Row],[RAD/PACT]]="2019-2020"),"Yes",""))</f>
        <v/>
      </c>
      <c r="R22">
        <f>VLOOKUP(all[[#This Row],[DEVELOPMENT]],Data[],7,FALSE)</f>
        <v>1764</v>
      </c>
      <c r="S22">
        <f>VLOOKUP(all[[#This Row],[DEVELOPMENT]],Data[],25,FALSE)</f>
        <v>0</v>
      </c>
      <c r="T22">
        <f>VLOOKUP(all[[#This Row],[DEVELOPMENT]],Data[],5,FALSE)</f>
        <v>28</v>
      </c>
      <c r="U22">
        <f>VLOOKUP(all[[#This Row],[DEVELOPMENT]],Data[],10,FALSE)</f>
        <v>28</v>
      </c>
      <c r="V22">
        <f>VLOOKUP(all[[#This Row],[DEVELOPMENT]],Data[],10,FALSE)</f>
        <v>28</v>
      </c>
      <c r="W22">
        <f>VLOOKUP(all[[#This Row],[DEVELOPMENT]],Data[],33,FALSE)</f>
        <v>4</v>
      </c>
      <c r="X22">
        <f>VLOOKUP(all[[#This Row],[DEVELOPMENT]],Data[],33,FALSE)</f>
        <v>4</v>
      </c>
      <c r="Y22">
        <f>VLOOKUP(all[[#This Row],[DEVELOPMENT]],Data[],28,FALSE)</f>
        <v>0</v>
      </c>
      <c r="Z22">
        <f>IF(all[[#This Row],['# Bulk Crushers]]=0,1,0)</f>
        <v>1</v>
      </c>
      <c r="AA22" s="5">
        <f ca="1">IFERROR(INDEX(FWD[],MATCH($B22,FWD[DEVELOPMENT],0),MATCH("ESTIMATE",FWD[#Headers],0)),0)</f>
        <v>3031850.2112035397</v>
      </c>
      <c r="AB22" s="5">
        <f ca="1">IFERROR(INDEX(EHDAll[],MATCH($B22,EHDAll[DEVELOPMENT],0),MATCH("ESTIMATE",EHDAll[#Headers],0)),0)</f>
        <v>222771.87926000002</v>
      </c>
      <c r="AC22" s="5">
        <f ca="1">IFERROR(INDEX(IntAll[],MATCH($B22,IntAll[DEVELOPMENT],0),MATCH("ESTIMATE",IntAll[#Headers],0)),0)</f>
        <v>1951927.25</v>
      </c>
      <c r="AD22" s="5">
        <f ca="1">IFERROR(INDEX(YardsAll[],MATCH($B22,YardsAll[DEVELOPMENT],0),MATCH("TOTAL ESTIMATE",YardsAll[#Headers],0)),0)</f>
        <v>2866095.5599910002</v>
      </c>
      <c r="AE22" s="99">
        <f t="shared" ca="1" si="0"/>
        <v>8072644.9004545398</v>
      </c>
      <c r="AF22" s="5"/>
    </row>
    <row r="23" spans="1:32">
      <c r="A23" s="101">
        <f>VLOOKUP(B23,Data[],24,FALSE)</f>
        <v>344</v>
      </c>
      <c r="B23" t="s">
        <v>89</v>
      </c>
      <c r="C23" t="str">
        <f>VLOOKUP(all[[#This Row],[DEVELOPMENT]],Data[],MATCH(all[[#Headers],[PROGRAM]],Data[#Headers],0),FALSE)</f>
        <v>FEDERAL</v>
      </c>
      <c r="D23" t="str">
        <f>VLOOKUP(B23,Data[],2,FALSE)</f>
        <v>MANHATTAN</v>
      </c>
      <c r="E23">
        <f>VLOOKUP(all[[#This Row],[DEVELOPMENT]],Data[],65,FALSE)</f>
        <v>71</v>
      </c>
      <c r="F23" t="e">
        <f>VLOOKUP(all[[#This Row],[DEVELOPMENT]],Data[],3,FALSE)</f>
        <v>#N/A</v>
      </c>
      <c r="G23" s="107" t="s">
        <v>186</v>
      </c>
      <c r="H23" t="s">
        <v>184</v>
      </c>
      <c r="I23">
        <f>VLOOKUP(all[[#This Row],[DEVELOPMENT]],Data[],34,FALSE)</f>
        <v>0</v>
      </c>
      <c r="J23" t="s">
        <v>184</v>
      </c>
      <c r="K23" t="str">
        <f>VLOOKUP(B23,Data[],8,FALSE)</f>
        <v>Zone 3</v>
      </c>
      <c r="L23" t="str">
        <f>VLOOKUP(all[[#This Row],[DEVELOPMENT]],Data[],61,FALSE)</f>
        <v>No</v>
      </c>
      <c r="M23">
        <f>VLOOKUP(B23,Data[],9,FALSE)</f>
        <v>3</v>
      </c>
      <c r="N23">
        <v>1</v>
      </c>
      <c r="O23">
        <v>1</v>
      </c>
      <c r="P23" t="str">
        <f ca="1">IFERROR(VLOOKUP(B23,Data[],4,FALSE),"")</f>
        <v>2020-2021</v>
      </c>
      <c r="Q23" t="str">
        <f ca="1">IF(all[[#This Row],[RAD/PACT]]="","",IF(OR(all[[#This Row],[RAD/PACT]]="2021-2025",all[[#This Row],[RAD/PACT]]="2019-2020"),"Yes",""))</f>
        <v/>
      </c>
      <c r="R23">
        <f>VLOOKUP(all[[#This Row],[DEVELOPMENT]],Data[],7,FALSE)</f>
        <v>180</v>
      </c>
      <c r="S23">
        <f>VLOOKUP(all[[#This Row],[DEVELOPMENT]],Data[],25,FALSE)</f>
        <v>0</v>
      </c>
      <c r="T23">
        <f>VLOOKUP(all[[#This Row],[DEVELOPMENT]],Data[],5,FALSE)</f>
        <v>1</v>
      </c>
      <c r="U23">
        <f>VLOOKUP(all[[#This Row],[DEVELOPMENT]],Data[],10,FALSE)</f>
        <v>1</v>
      </c>
      <c r="V23">
        <f>VLOOKUP(all[[#This Row],[DEVELOPMENT]],Data[],10,FALSE)</f>
        <v>1</v>
      </c>
      <c r="W23">
        <f>VLOOKUP(all[[#This Row],[DEVELOPMENT]],Data[],33,FALSE)</f>
        <v>0</v>
      </c>
      <c r="X23">
        <f>VLOOKUP(all[[#This Row],[DEVELOPMENT]],Data[],33,FALSE)</f>
        <v>0</v>
      </c>
      <c r="Y23">
        <f>VLOOKUP(all[[#This Row],[DEVELOPMENT]],Data[],28,FALSE)</f>
        <v>0</v>
      </c>
      <c r="Z23">
        <f>IF(all[[#This Row],['# Bulk Crushers]]=0,1,0)</f>
        <v>1</v>
      </c>
      <c r="AA23" s="5">
        <f ca="1">IFERROR(INDEX(FWD[],MATCH($B23,FWD[DEVELOPMENT],0),MATCH("ESTIMATE",FWD[#Headers],0)),0)</f>
        <v>309372.47053097346</v>
      </c>
      <c r="AB23" s="5">
        <f>IFERROR(INDEX(EHDAll[],MATCH($B23,EHDAll[DEVELOPMENT],0),MATCH("ESTIMATE",EHDAll[#Headers],0)),0)</f>
        <v>0</v>
      </c>
      <c r="AC23" s="5">
        <f ca="1">IFERROR(INDEX(IntAll[],MATCH($B23,IntAll[DEVELOPMENT],0),MATCH("ESTIMATE",IntAll[#Headers],0)),0)</f>
        <v>0</v>
      </c>
      <c r="AD23" s="5">
        <f ca="1">IFERROR(INDEX(YardsAll[],MATCH($B23,YardsAll[DEVELOPMENT],0),MATCH("TOTAL ESTIMATE",YardsAll[#Headers],0)),0)</f>
        <v>0</v>
      </c>
      <c r="AE23" s="99">
        <f t="shared" ca="1" si="0"/>
        <v>309372.47053097346</v>
      </c>
      <c r="AF23" s="5"/>
    </row>
    <row r="24" spans="1:32">
      <c r="A24" s="101">
        <f>VLOOKUP(B24,Data[],24,FALSE)</f>
        <v>55</v>
      </c>
      <c r="B24" t="s">
        <v>194</v>
      </c>
      <c r="C24" t="str">
        <f>VLOOKUP(all[[#This Row],[DEVELOPMENT]],Data[],MATCH(all[[#Headers],[PROGRAM]],Data[#Headers],0),FALSE)</f>
        <v>FEDERAL</v>
      </c>
      <c r="D24" t="str">
        <f>VLOOKUP(B24,Data[],2,FALSE)</f>
        <v>QUEENS</v>
      </c>
      <c r="E24">
        <f>VLOOKUP(all[[#This Row],[DEVELOPMENT]],Data[],65,FALSE)</f>
        <v>31</v>
      </c>
      <c r="F24" t="e">
        <f>VLOOKUP(all[[#This Row],[DEVELOPMENT]],Data[],3,FALSE)</f>
        <v>#N/A</v>
      </c>
      <c r="G24" s="107" t="s">
        <v>186</v>
      </c>
      <c r="H24" t="s">
        <v>184</v>
      </c>
      <c r="I24">
        <f>VLOOKUP(all[[#This Row],[DEVELOPMENT]],Data[],34,FALSE)</f>
        <v>0</v>
      </c>
      <c r="J24" t="s">
        <v>184</v>
      </c>
      <c r="K24">
        <f>VLOOKUP(B24,Data[],8,FALSE)</f>
        <v>0</v>
      </c>
      <c r="L24" t="str">
        <f>VLOOKUP(all[[#This Row],[DEVELOPMENT]],Data[],61,FALSE)</f>
        <v>No</v>
      </c>
      <c r="M24">
        <f>VLOOKUP(B24,Data[],9,FALSE)</f>
        <v>0</v>
      </c>
      <c r="N24">
        <v>1</v>
      </c>
      <c r="O24">
        <v>1</v>
      </c>
      <c r="P24" t="str">
        <f ca="1">IFERROR(VLOOKUP(B24,Data[],4,FALSE),"")</f>
        <v>2020-2021</v>
      </c>
      <c r="Q24" t="str">
        <f ca="1">IF(all[[#This Row],[RAD/PACT]]="","",IF(OR(all[[#This Row],[RAD/PACT]]="2021-2025",all[[#This Row],[RAD/PACT]]="2019-2020"),"Yes",""))</f>
        <v/>
      </c>
      <c r="R24">
        <f>VLOOKUP(all[[#This Row],[DEVELOPMENT]],Data[],7,FALSE)</f>
        <v>599</v>
      </c>
      <c r="S24">
        <f>VLOOKUP(all[[#This Row],[DEVELOPMENT]],Data[],25,FALSE)</f>
        <v>0</v>
      </c>
      <c r="T24">
        <f>VLOOKUP(all[[#This Row],[DEVELOPMENT]],Data[],5,FALSE)</f>
        <v>9</v>
      </c>
      <c r="U24">
        <f>VLOOKUP(all[[#This Row],[DEVELOPMENT]],Data[],10,FALSE)</f>
        <v>16</v>
      </c>
      <c r="V24">
        <f>VLOOKUP(all[[#This Row],[DEVELOPMENT]],Data[],10,FALSE)</f>
        <v>16</v>
      </c>
      <c r="W24">
        <f>VLOOKUP(all[[#This Row],[DEVELOPMENT]],Data[],33,FALSE)</f>
        <v>2</v>
      </c>
      <c r="X24">
        <f>VLOOKUP(all[[#This Row],[DEVELOPMENT]],Data[],33,FALSE)</f>
        <v>2</v>
      </c>
      <c r="Y24">
        <f>VLOOKUP(all[[#This Row],[DEVELOPMENT]],Data[],28,FALSE)</f>
        <v>0</v>
      </c>
      <c r="Z24">
        <f>IF(all[[#This Row],['# Bulk Crushers]]=0,1,0)</f>
        <v>1</v>
      </c>
      <c r="AA24" s="5">
        <f ca="1">IFERROR(INDEX(FWD[],MATCH($B24,FWD[DEVELOPMENT],0),MATCH("ESTIMATE",FWD[#Headers],0)),0)</f>
        <v>1029522.8324891839</v>
      </c>
      <c r="AB24" s="5">
        <f ca="1">IFERROR(INDEX(EHDAll[],MATCH($B24,EHDAll[DEVELOPMENT],0),MATCH("ESTIMATE",EHDAll[#Headers],0)),0)</f>
        <v>131462.17707999999</v>
      </c>
      <c r="AC24" s="5">
        <f ca="1">IFERROR(INDEX(IntAll[],MATCH($B24,IntAll[DEVELOPMENT],0),MATCH("ESTIMATE",IntAll[#Headers],0)),0)</f>
        <v>0</v>
      </c>
      <c r="AD24" s="5">
        <f ca="1">IFERROR(INDEX(YardsAll[],MATCH($B24,YardsAll[DEVELOPMENT],0),MATCH("TOTAL ESTIMATE",YardsAll[#Headers],0)),0)</f>
        <v>0</v>
      </c>
      <c r="AE24" s="99">
        <f t="shared" ca="1" si="0"/>
        <v>1160985.0095691839</v>
      </c>
      <c r="AF24" s="5"/>
    </row>
    <row r="25" spans="1:32">
      <c r="A25" s="101">
        <f>VLOOKUP(B25,Data[],24,FALSE)</f>
        <v>218</v>
      </c>
      <c r="B25" t="s">
        <v>195</v>
      </c>
      <c r="C25" t="str">
        <f>VLOOKUP(all[[#This Row],[DEVELOPMENT]],Data[],MATCH(all[[#Headers],[PROGRAM]],Data[#Headers],0),FALSE)</f>
        <v>FEDERAL</v>
      </c>
      <c r="D25" t="str">
        <f>VLOOKUP(B25,Data[],2,FALSE)</f>
        <v>MANHATTAN</v>
      </c>
      <c r="E25">
        <f>VLOOKUP(all[[#This Row],[DEVELOPMENT]],Data[],65,FALSE)</f>
        <v>76</v>
      </c>
      <c r="F25" t="e">
        <f>VLOOKUP(all[[#This Row],[DEVELOPMENT]],Data[],3,FALSE)</f>
        <v>#N/A</v>
      </c>
      <c r="G25" s="107" t="s">
        <v>186</v>
      </c>
      <c r="H25" t="s">
        <v>184</v>
      </c>
      <c r="I25">
        <f>VLOOKUP(all[[#This Row],[DEVELOPMENT]],Data[],34,FALSE)</f>
        <v>0</v>
      </c>
      <c r="J25" t="s">
        <v>184</v>
      </c>
      <c r="K25">
        <f>VLOOKUP(B25,Data[],8,FALSE)</f>
        <v>0</v>
      </c>
      <c r="L25" t="str">
        <f>VLOOKUP(all[[#This Row],[DEVELOPMENT]],Data[],61,FALSE)</f>
        <v>No</v>
      </c>
      <c r="M25">
        <f>VLOOKUP(B25,Data[],9,FALSE)</f>
        <v>0</v>
      </c>
      <c r="N25">
        <v>1</v>
      </c>
      <c r="O25">
        <v>1</v>
      </c>
      <c r="P25" t="str">
        <f ca="1">IFERROR(VLOOKUP(B25,Data[],4,FALSE),"")</f>
        <v/>
      </c>
      <c r="Q25" t="str">
        <f ca="1">IF(all[[#This Row],[RAD/PACT]]="","",IF(OR(all[[#This Row],[RAD/PACT]]="2021-2025",all[[#This Row],[RAD/PACT]]="2019-2020"),"Yes",""))</f>
        <v/>
      </c>
      <c r="R25">
        <f>VLOOKUP(all[[#This Row],[DEVELOPMENT]],Data[],7,FALSE)</f>
        <v>150</v>
      </c>
      <c r="S25">
        <f>VLOOKUP(all[[#This Row],[DEVELOPMENT]],Data[],25,FALSE)</f>
        <v>0</v>
      </c>
      <c r="T25">
        <f>VLOOKUP(all[[#This Row],[DEVELOPMENT]],Data[],5,FALSE)</f>
        <v>1</v>
      </c>
      <c r="U25">
        <f>VLOOKUP(all[[#This Row],[DEVELOPMENT]],Data[],10,FALSE)</f>
        <v>1</v>
      </c>
      <c r="V25">
        <f>VLOOKUP(all[[#This Row],[DEVELOPMENT]],Data[],10,FALSE)</f>
        <v>1</v>
      </c>
      <c r="W25">
        <f>VLOOKUP(all[[#This Row],[DEVELOPMENT]],Data[],33,FALSE)</f>
        <v>0</v>
      </c>
      <c r="X25">
        <f>VLOOKUP(all[[#This Row],[DEVELOPMENT]],Data[],33,FALSE)</f>
        <v>0</v>
      </c>
      <c r="Y25">
        <f>VLOOKUP(all[[#This Row],[DEVELOPMENT]],Data[],28,FALSE)</f>
        <v>0</v>
      </c>
      <c r="Z25">
        <f>IF(all[[#This Row],['# Bulk Crushers]]=0,1,0)</f>
        <v>1</v>
      </c>
      <c r="AA25" s="5">
        <f ca="1">IFERROR(INDEX(FWD[],MATCH($B25,FWD[DEVELOPMENT],0),MATCH("ESTIMATE",FWD[#Headers],0)),0)</f>
        <v>257810.39210914454</v>
      </c>
      <c r="AB25" s="5">
        <f>IFERROR(INDEX(EHDAll[],MATCH($B25,EHDAll[DEVELOPMENT],0),MATCH("ESTIMATE",EHDAll[#Headers],0)),0)</f>
        <v>0</v>
      </c>
      <c r="AC25" s="5">
        <f ca="1">IFERROR(INDEX(IntAll[],MATCH($B25,IntAll[DEVELOPMENT],0),MATCH("ESTIMATE",IntAll[#Headers],0)),0)</f>
        <v>63087.5</v>
      </c>
      <c r="AD25" s="5">
        <f ca="1">IFERROR(INDEX(YardsAll[],MATCH($B25,YardsAll[DEVELOPMENT],0),MATCH("TOTAL ESTIMATE",YardsAll[#Headers],0)),0)</f>
        <v>1934073.9567800006</v>
      </c>
      <c r="AE25" s="99">
        <f t="shared" ca="1" si="0"/>
        <v>2254971.8488891451</v>
      </c>
      <c r="AF25" s="5"/>
    </row>
    <row r="26" spans="1:32">
      <c r="A26" s="101">
        <f>VLOOKUP(B26,Data[],24,FALSE)</f>
        <v>36</v>
      </c>
      <c r="B26" t="s">
        <v>196</v>
      </c>
      <c r="C26" t="str">
        <f>VLOOKUP(all[[#This Row],[DEVELOPMENT]],Data[],MATCH(all[[#Headers],[PROGRAM]],Data[#Headers],0),FALSE)</f>
        <v>FEDERAL</v>
      </c>
      <c r="D26" t="str">
        <f>VLOOKUP(B26,Data[],2,FALSE)</f>
        <v>BROOKLYN</v>
      </c>
      <c r="E26">
        <f>VLOOKUP(all[[#This Row],[DEVELOPMENT]],Data[],65,FALSE)</f>
        <v>41</v>
      </c>
      <c r="F26" t="e">
        <f>VLOOKUP(all[[#This Row],[DEVELOPMENT]],Data[],3,FALSE)</f>
        <v>#N/A</v>
      </c>
      <c r="G26" s="107" t="s">
        <v>186</v>
      </c>
      <c r="H26" t="s">
        <v>184</v>
      </c>
      <c r="I26">
        <f>VLOOKUP(all[[#This Row],[DEVELOPMENT]],Data[],34,FALSE)</f>
        <v>0</v>
      </c>
      <c r="J26" t="s">
        <v>183</v>
      </c>
      <c r="K26">
        <f>VLOOKUP(B26,Data[],8,FALSE)</f>
        <v>0</v>
      </c>
      <c r="L26" t="str">
        <f>VLOOKUP(all[[#This Row],[DEVELOPMENT]],Data[],61,FALSE)</f>
        <v>No</v>
      </c>
      <c r="M26">
        <f>VLOOKUP(B26,Data[],9,FALSE)</f>
        <v>0</v>
      </c>
      <c r="N26">
        <v>4</v>
      </c>
      <c r="O26">
        <v>4</v>
      </c>
      <c r="P26" t="str">
        <f ca="1">IFERROR(VLOOKUP(B26,Data[],4,FALSE),"")</f>
        <v>2026+</v>
      </c>
      <c r="Q26" t="str">
        <f ca="1">IF(all[[#This Row],[RAD/PACT]]="","",IF(OR(all[[#This Row],[RAD/PACT]]="2021-2025",all[[#This Row],[RAD/PACT]]="2019-2020"),"Yes",""))</f>
        <v/>
      </c>
      <c r="R26">
        <f>VLOOKUP(all[[#This Row],[DEVELOPMENT]],Data[],7,FALSE)</f>
        <v>1054</v>
      </c>
      <c r="S26">
        <f>VLOOKUP(all[[#This Row],[DEVELOPMENT]],Data[],25,FALSE)</f>
        <v>0</v>
      </c>
      <c r="T26">
        <f>VLOOKUP(all[[#This Row],[DEVELOPMENT]],Data[],5,FALSE)</f>
        <v>18</v>
      </c>
      <c r="U26">
        <f>VLOOKUP(all[[#This Row],[DEVELOPMENT]],Data[],10,FALSE)</f>
        <v>36</v>
      </c>
      <c r="V26">
        <f>VLOOKUP(all[[#This Row],[DEVELOPMENT]],Data[],10,FALSE)</f>
        <v>36</v>
      </c>
      <c r="W26">
        <f>VLOOKUP(all[[#This Row],[DEVELOPMENT]],Data[],33,FALSE)</f>
        <v>5</v>
      </c>
      <c r="X26">
        <f>VLOOKUP(all[[#This Row],[DEVELOPMENT]],Data[],33,FALSE)</f>
        <v>5</v>
      </c>
      <c r="Y26">
        <f>VLOOKUP(all[[#This Row],[DEVELOPMENT]],Data[],28,FALSE)</f>
        <v>0</v>
      </c>
      <c r="Z26">
        <f>IF(all[[#This Row],['# Bulk Crushers]]=0,1,0)</f>
        <v>1</v>
      </c>
      <c r="AA26" s="5">
        <f ca="1">IFERROR(INDEX(FWD[],MATCH($B26,FWD[DEVELOPMENT],0),MATCH("ESTIMATE",FWD[#Headers],0)),0)</f>
        <v>1811547.6885535889</v>
      </c>
      <c r="AB26" s="5">
        <f ca="1">IFERROR(INDEX(EHDAll[],MATCH($B26,EHDAll[DEVELOPMENT],0),MATCH("ESTIMATE",EHDAll[#Headers],0)),0)</f>
        <v>295789.89843</v>
      </c>
      <c r="AC26" s="5">
        <f ca="1">IFERROR(INDEX(IntAll[],MATCH($B26,IntAll[DEVELOPMENT],0),MATCH("ESTIMATE",IntAll[#Headers],0)),0)</f>
        <v>2827581.7500000005</v>
      </c>
      <c r="AD26" s="5">
        <f ca="1">IFERROR(INDEX(YardsAll[],MATCH($B26,YardsAll[DEVELOPMENT],0),MATCH("TOTAL ESTIMATE",YardsAll[#Headers],0)),0)</f>
        <v>3323482.5476384996</v>
      </c>
      <c r="AE26" s="99">
        <f t="shared" ca="1" si="0"/>
        <v>8258401.8846220896</v>
      </c>
      <c r="AF26" s="5"/>
    </row>
    <row r="27" spans="1:32">
      <c r="A27" s="101">
        <f>VLOOKUP(B27,Data[],24,FALSE)</f>
        <v>67</v>
      </c>
      <c r="B27" t="s">
        <v>197</v>
      </c>
      <c r="C27" t="str">
        <f>VLOOKUP(all[[#This Row],[DEVELOPMENT]],Data[],MATCH(all[[#Headers],[PROGRAM]],Data[#Headers],0),FALSE)</f>
        <v>FEDERAL</v>
      </c>
      <c r="D27" t="str">
        <f>VLOOKUP(B27,Data[],2,FALSE)</f>
        <v>BRONX</v>
      </c>
      <c r="E27">
        <f>VLOOKUP(all[[#This Row],[DEVELOPMENT]],Data[],65,FALSE)</f>
        <v>85</v>
      </c>
      <c r="F27" t="e">
        <f>VLOOKUP(all[[#This Row],[DEVELOPMENT]],Data[],3,FALSE)</f>
        <v>#N/A</v>
      </c>
      <c r="G27" s="107" t="s">
        <v>186</v>
      </c>
      <c r="H27" t="s">
        <v>184</v>
      </c>
      <c r="I27">
        <f>VLOOKUP(all[[#This Row],[DEVELOPMENT]],Data[],34,FALSE)</f>
        <v>0</v>
      </c>
      <c r="J27" t="s">
        <v>183</v>
      </c>
      <c r="K27">
        <f>VLOOKUP(B27,Data[],8,FALSE)</f>
        <v>0</v>
      </c>
      <c r="L27" t="str">
        <f>VLOOKUP(all[[#This Row],[DEVELOPMENT]],Data[],61,FALSE)</f>
        <v>No</v>
      </c>
      <c r="M27">
        <f>VLOOKUP(B27,Data[],9,FALSE)</f>
        <v>0</v>
      </c>
      <c r="N27">
        <v>3</v>
      </c>
      <c r="O27">
        <v>4</v>
      </c>
      <c r="P27" t="str">
        <f ca="1">IFERROR(VLOOKUP(B27,Data[],4,FALSE),"")</f>
        <v>2026+</v>
      </c>
      <c r="Q27" t="str">
        <f ca="1">IF(all[[#This Row],[RAD/PACT]]="","",IF(OR(all[[#This Row],[RAD/PACT]]="2021-2025",all[[#This Row],[RAD/PACT]]="2019-2020"),"Yes",""))</f>
        <v/>
      </c>
      <c r="R27">
        <f>VLOOKUP(all[[#This Row],[DEVELOPMENT]],Data[],7,FALSE)</f>
        <v>1495</v>
      </c>
      <c r="S27">
        <f>VLOOKUP(all[[#This Row],[DEVELOPMENT]],Data[],25,FALSE)</f>
        <v>0</v>
      </c>
      <c r="T27">
        <f>VLOOKUP(all[[#This Row],[DEVELOPMENT]],Data[],5,FALSE)</f>
        <v>28</v>
      </c>
      <c r="U27">
        <f>VLOOKUP(all[[#This Row],[DEVELOPMENT]],Data[],10,FALSE)</f>
        <v>28</v>
      </c>
      <c r="V27">
        <f>VLOOKUP(all[[#This Row],[DEVELOPMENT]],Data[],10,FALSE)</f>
        <v>28</v>
      </c>
      <c r="W27">
        <f>VLOOKUP(all[[#This Row],[DEVELOPMENT]],Data[],33,FALSE)</f>
        <v>4</v>
      </c>
      <c r="X27">
        <f>VLOOKUP(all[[#This Row],[DEVELOPMENT]],Data[],33,FALSE)</f>
        <v>4</v>
      </c>
      <c r="Y27">
        <f>VLOOKUP(all[[#This Row],[DEVELOPMENT]],Data[],28,FALSE)</f>
        <v>0</v>
      </c>
      <c r="Z27">
        <f>IF(all[[#This Row],['# Bulk Crushers]]=0,1,0)</f>
        <v>1</v>
      </c>
      <c r="AA27" s="5">
        <f ca="1">IFERROR(INDEX(FWD[],MATCH($B27,FWD[DEVELOPMENT],0),MATCH("ESTIMATE",FWD[#Headers],0)),0)</f>
        <v>2569510.2413544739</v>
      </c>
      <c r="AB27" s="5">
        <f ca="1">IFERROR(INDEX(EHDAll[],MATCH($B27,EHDAll[DEVELOPMENT],0),MATCH("ESTIMATE",EHDAll[#Headers],0)),0)</f>
        <v>230058.80989</v>
      </c>
      <c r="AC27" s="5">
        <f ca="1">IFERROR(INDEX(IntAll[],MATCH($B27,IntAll[DEVELOPMENT],0),MATCH("ESTIMATE",IntAll[#Headers],0)),0)</f>
        <v>2075578.75</v>
      </c>
      <c r="AD27" s="5">
        <f ca="1">IFERROR(INDEX(YardsAll[],MATCH($B27,YardsAll[DEVELOPMENT],0),MATCH("TOTAL ESTIMATE",YardsAll[#Headers],0)),0)</f>
        <v>2866095.5599910002</v>
      </c>
      <c r="AE27" s="99">
        <f t="shared" ca="1" si="0"/>
        <v>7741243.3612354742</v>
      </c>
      <c r="AF27" s="5"/>
    </row>
    <row r="28" spans="1:32">
      <c r="A28" s="101">
        <f>VLOOKUP(B28,Data[],24,FALSE)</f>
        <v>153</v>
      </c>
      <c r="B28" t="s">
        <v>198</v>
      </c>
      <c r="C28" t="str">
        <f>VLOOKUP(all[[#This Row],[DEVELOPMENT]],Data[],MATCH(all[[#Headers],[PROGRAM]],Data[#Headers],0),FALSE)</f>
        <v>FEDERAL</v>
      </c>
      <c r="D28" t="str">
        <f>VLOOKUP(B28,Data[],2,FALSE)</f>
        <v>MANHATTAN</v>
      </c>
      <c r="E28">
        <f>VLOOKUP(all[[#This Row],[DEVELOPMENT]],Data[],65,FALSE)</f>
        <v>74</v>
      </c>
      <c r="F28" t="e">
        <f>VLOOKUP(all[[#This Row],[DEVELOPMENT]],Data[],3,FALSE)</f>
        <v>#N/A</v>
      </c>
      <c r="G28" s="107" t="s">
        <v>186</v>
      </c>
      <c r="H28" t="s">
        <v>184</v>
      </c>
      <c r="I28">
        <f>VLOOKUP(all[[#This Row],[DEVELOPMENT]],Data[],34,FALSE)</f>
        <v>0</v>
      </c>
      <c r="J28" t="s">
        <v>183</v>
      </c>
      <c r="K28">
        <f>VLOOKUP(B28,Data[],8,FALSE)</f>
        <v>0</v>
      </c>
      <c r="L28" t="str">
        <f>VLOOKUP(all[[#This Row],[DEVELOPMENT]],Data[],61,FALSE)</f>
        <v>No</v>
      </c>
      <c r="M28">
        <f>VLOOKUP(B28,Data[],9,FALSE)</f>
        <v>0</v>
      </c>
      <c r="N28">
        <v>2</v>
      </c>
      <c r="O28">
        <v>2</v>
      </c>
      <c r="P28" t="str">
        <f ca="1">IFERROR(VLOOKUP(B28,Data[],4,FALSE),"")</f>
        <v/>
      </c>
      <c r="Q28" t="str">
        <f ca="1">IF(all[[#This Row],[RAD/PACT]]="","",IF(OR(all[[#This Row],[RAD/PACT]]="2021-2025",all[[#This Row],[RAD/PACT]]="2019-2020"),"Yes",""))</f>
        <v/>
      </c>
      <c r="R28">
        <f>VLOOKUP(all[[#This Row],[DEVELOPMENT]],Data[],7,FALSE)</f>
        <v>267</v>
      </c>
      <c r="S28" t="str">
        <f>VLOOKUP(all[[#This Row],[DEVELOPMENT]],Data[],25,FALSE)</f>
        <v>Newtown Creek</v>
      </c>
      <c r="T28">
        <f>VLOOKUP(all[[#This Row],[DEVELOPMENT]],Data[],5,FALSE)</f>
        <v>2</v>
      </c>
      <c r="U28">
        <f>VLOOKUP(all[[#This Row],[DEVELOPMENT]],Data[],10,FALSE)</f>
        <v>2</v>
      </c>
      <c r="V28">
        <f>VLOOKUP(all[[#This Row],[DEVELOPMENT]],Data[],10,FALSE)</f>
        <v>2</v>
      </c>
      <c r="W28">
        <f>VLOOKUP(all[[#This Row],[DEVELOPMENT]],Data[],33,FALSE)</f>
        <v>0</v>
      </c>
      <c r="X28">
        <f>VLOOKUP(all[[#This Row],[DEVELOPMENT]],Data[],33,FALSE)</f>
        <v>0</v>
      </c>
      <c r="Y28">
        <f>VLOOKUP(all[[#This Row],[DEVELOPMENT]],Data[],28,FALSE)</f>
        <v>0</v>
      </c>
      <c r="Z28">
        <f>IF(all[[#This Row],['# Bulk Crushers]]=0,1,0)</f>
        <v>1</v>
      </c>
      <c r="AA28" s="5">
        <f ca="1">IFERROR(INDEX(FWD[],MATCH($B28,FWD[DEVELOPMENT],0),MATCH("ESTIMATE",FWD[#Headers],0)),0)</f>
        <v>458902.49795427732</v>
      </c>
      <c r="AB28" s="5">
        <f ca="1">IFERROR(INDEX(EHDAll[],MATCH($B28,EHDAll[DEVELOPMENT],0),MATCH("ESTIMATE",EHDAll[#Headers],0)),0)</f>
        <v>16432.772134999999</v>
      </c>
      <c r="AC28" s="5">
        <f ca="1">IFERROR(INDEX(IntAll[],MATCH($B28,IntAll[DEVELOPMENT],0),MATCH("ESTIMATE",IntAll[#Headers],0)),0)</f>
        <v>135007.25</v>
      </c>
      <c r="AD28" s="5">
        <f ca="1">IFERROR(INDEX(YardsAll[],MATCH($B28,YardsAll[DEVELOPMENT],0),MATCH("TOTAL ESTIMATE",YardsAll[#Headers],0)),0)</f>
        <v>1934073.9567800006</v>
      </c>
      <c r="AE28" s="99">
        <f t="shared" ca="1" si="0"/>
        <v>2544416.4768692777</v>
      </c>
      <c r="AF28" s="5"/>
    </row>
    <row r="29" spans="1:32">
      <c r="A29" s="101">
        <f>VLOOKUP(B29,Data[],24,FALSE)</f>
        <v>97</v>
      </c>
      <c r="B29" t="s">
        <v>128</v>
      </c>
      <c r="C29" t="str">
        <f>VLOOKUP(all[[#This Row],[DEVELOPMENT]],Data[],MATCH(all[[#Headers],[PROGRAM]],Data[#Headers],0),FALSE)</f>
        <v>FEDERAL</v>
      </c>
      <c r="D29" t="str">
        <f>VLOOKUP(B29,Data[],2,FALSE)</f>
        <v>MANHATTAN</v>
      </c>
      <c r="E29">
        <f>VLOOKUP(all[[#This Row],[DEVELOPMENT]],Data[],65,FALSE)</f>
        <v>68</v>
      </c>
      <c r="F29" t="e">
        <f>VLOOKUP(all[[#This Row],[DEVELOPMENT]],Data[],3,FALSE)</f>
        <v>#N/A</v>
      </c>
      <c r="G29" s="107" t="s">
        <v>186</v>
      </c>
      <c r="H29" t="s">
        <v>184</v>
      </c>
      <c r="I29">
        <f>VLOOKUP(all[[#This Row],[DEVELOPMENT]],Data[],34,FALSE)</f>
        <v>0</v>
      </c>
      <c r="J29" t="s">
        <v>183</v>
      </c>
      <c r="K29" t="str">
        <f>VLOOKUP(B29,Data[],8,FALSE)</f>
        <v>Zone 2</v>
      </c>
      <c r="L29" t="str">
        <f>VLOOKUP(all[[#This Row],[DEVELOPMENT]],Data[],61,FALSE)</f>
        <v>No</v>
      </c>
      <c r="M29">
        <f>VLOOKUP(B29,Data[],9,FALSE)</f>
        <v>2</v>
      </c>
      <c r="N29">
        <v>3</v>
      </c>
      <c r="O29" t="s">
        <v>185</v>
      </c>
      <c r="P29" t="str">
        <f ca="1">IFERROR(VLOOKUP(B29,Data[],4,FALSE),"")</f>
        <v>2026+</v>
      </c>
      <c r="Q29" t="str">
        <f ca="1">IF(all[[#This Row],[RAD/PACT]]="","",IF(OR(all[[#This Row],[RAD/PACT]]="2021-2025",all[[#This Row],[RAD/PACT]]="2019-2020"),"Yes",""))</f>
        <v/>
      </c>
      <c r="R29">
        <f>VLOOKUP(all[[#This Row],[DEVELOPMENT]],Data[],7,FALSE)</f>
        <v>1463</v>
      </c>
      <c r="S29">
        <f>VLOOKUP(all[[#This Row],[DEVELOPMENT]],Data[],25,FALSE)</f>
        <v>0</v>
      </c>
      <c r="T29">
        <f>VLOOKUP(all[[#This Row],[DEVELOPMENT]],Data[],5,FALSE)</f>
        <v>9</v>
      </c>
      <c r="U29">
        <f>VLOOKUP(all[[#This Row],[DEVELOPMENT]],Data[],10,FALSE)</f>
        <v>18</v>
      </c>
      <c r="V29">
        <f>VLOOKUP(all[[#This Row],[DEVELOPMENT]],Data[],10,FALSE)</f>
        <v>18</v>
      </c>
      <c r="W29">
        <f>VLOOKUP(all[[#This Row],[DEVELOPMENT]],Data[],33,FALSE)</f>
        <v>4</v>
      </c>
      <c r="X29">
        <f>VLOOKUP(all[[#This Row],[DEVELOPMENT]],Data[],33,FALSE)</f>
        <v>4</v>
      </c>
      <c r="Y29">
        <f>VLOOKUP(all[[#This Row],[DEVELOPMENT]],Data[],28,FALSE)</f>
        <v>0</v>
      </c>
      <c r="Z29">
        <f>IF(all[[#This Row],['# Bulk Crushers]]=0,1,0)</f>
        <v>1</v>
      </c>
      <c r="AA29" s="5">
        <f ca="1">IFERROR(INDEX(FWD[],MATCH($B29,FWD[DEVELOPMENT],0),MATCH("ESTIMATE",FWD[#Headers],0)),0)</f>
        <v>2514510.6910378565</v>
      </c>
      <c r="AB29" s="5">
        <f ca="1">IFERROR(INDEX(EHDAll[],MATCH($B29,EHDAll[DEVELOPMENT],0),MATCH("ESTIMATE",EHDAll[#Headers],0)),0)</f>
        <v>133841.58300000001</v>
      </c>
      <c r="AC29" s="5">
        <f ca="1">IFERROR(INDEX(IntAll[],MATCH($B29,IntAll[DEVELOPMENT],0),MATCH("ESTIMATE",IntAll[#Headers],0)),0)</f>
        <v>1254810.375</v>
      </c>
      <c r="AD29" s="5">
        <f ca="1">IFERROR(INDEX(YardsAll[],MATCH($B29,YardsAll[DEVELOPMENT],0),MATCH("TOTAL ESTIMATE",YardsAll[#Headers],0)),0)</f>
        <v>1457622.3213190003</v>
      </c>
      <c r="AE29" s="99">
        <f t="shared" ca="1" si="0"/>
        <v>5360784.9703568574</v>
      </c>
      <c r="AF29" s="5"/>
    </row>
    <row r="30" spans="1:32">
      <c r="A30" s="101">
        <f>VLOOKUP(B30,Data[],24,FALSE)</f>
        <v>7</v>
      </c>
      <c r="B30" t="s">
        <v>108</v>
      </c>
      <c r="C30" t="str">
        <f>VLOOKUP(all[[#This Row],[DEVELOPMENT]],Data[],MATCH(all[[#Headers],[PROGRAM]],Data[#Headers],0),FALSE)</f>
        <v>FEDERAL</v>
      </c>
      <c r="D30" t="str">
        <f>VLOOKUP(B30,Data[],2,FALSE)</f>
        <v>MANHATTAN</v>
      </c>
      <c r="E30">
        <f>VLOOKUP(all[[#This Row],[DEVELOPMENT]],Data[],65,FALSE)</f>
        <v>65</v>
      </c>
      <c r="F30" t="e">
        <f>VLOOKUP(all[[#This Row],[DEVELOPMENT]],Data[],3,FALSE)</f>
        <v>#N/A</v>
      </c>
      <c r="G30" s="107" t="s">
        <v>186</v>
      </c>
      <c r="H30" t="s">
        <v>184</v>
      </c>
      <c r="I30">
        <f>VLOOKUP(all[[#This Row],[DEVELOPMENT]],Data[],34,FALSE)</f>
        <v>0</v>
      </c>
      <c r="J30" t="s">
        <v>183</v>
      </c>
      <c r="K30" t="str">
        <f>VLOOKUP(B30,Data[],8,FALSE)</f>
        <v>Zone 1</v>
      </c>
      <c r="L30" t="str">
        <f>VLOOKUP(all[[#This Row],[DEVELOPMENT]],Data[],61,FALSE)</f>
        <v>No</v>
      </c>
      <c r="M30">
        <f>VLOOKUP(B30,Data[],9,FALSE)</f>
        <v>4</v>
      </c>
      <c r="N30">
        <v>2</v>
      </c>
      <c r="O30" t="s">
        <v>185</v>
      </c>
      <c r="P30" t="str">
        <f ca="1">IFERROR(VLOOKUP(B30,Data[],4,FALSE),"")</f>
        <v/>
      </c>
      <c r="Q30" t="str">
        <f ca="1">IF(all[[#This Row],[RAD/PACT]]="","",IF(OR(all[[#This Row],[RAD/PACT]]="2021-2025",all[[#This Row],[RAD/PACT]]="2019-2020"),"Yes",""))</f>
        <v/>
      </c>
      <c r="R30">
        <f>VLOOKUP(all[[#This Row],[DEVELOPMENT]],Data[],7,FALSE)</f>
        <v>240</v>
      </c>
      <c r="S30" t="str">
        <f>VLOOKUP(all[[#This Row],[DEVELOPMENT]],Data[],25,FALSE)</f>
        <v>Newtown Creek</v>
      </c>
      <c r="T30">
        <f>VLOOKUP(all[[#This Row],[DEVELOPMENT]],Data[],5,FALSE)</f>
        <v>4</v>
      </c>
      <c r="U30">
        <f>VLOOKUP(all[[#This Row],[DEVELOPMENT]],Data[],10,FALSE)</f>
        <v>8</v>
      </c>
      <c r="V30">
        <f>VLOOKUP(all[[#This Row],[DEVELOPMENT]],Data[],10,FALSE)</f>
        <v>8</v>
      </c>
      <c r="W30">
        <f>VLOOKUP(all[[#This Row],[DEVELOPMENT]],Data[],33,FALSE)</f>
        <v>0</v>
      </c>
      <c r="X30">
        <f>VLOOKUP(all[[#This Row],[DEVELOPMENT]],Data[],33,FALSE)</f>
        <v>0</v>
      </c>
      <c r="Y30">
        <f>VLOOKUP(all[[#This Row],[DEVELOPMENT]],Data[],28,FALSE)</f>
        <v>0</v>
      </c>
      <c r="Z30">
        <f>IF(all[[#This Row],['# Bulk Crushers]]=0,1,0)</f>
        <v>1</v>
      </c>
      <c r="AA30" s="5">
        <f ca="1">IFERROR(INDEX(FWD[],MATCH($B30,FWD[DEVELOPMENT],0),MATCH("ESTIMATE",FWD[#Headers],0)),0)</f>
        <v>412496.62737463129</v>
      </c>
      <c r="AB30" s="5">
        <f ca="1">IFERROR(INDEX(EHDAll[],MATCH($B30,EHDAll[DEVELOPMENT],0),MATCH("ESTIMATE",EHDAll[#Headers],0)),0)</f>
        <v>66920.791500000007</v>
      </c>
      <c r="AC30" s="5">
        <f ca="1">IFERROR(INDEX(IntAll[],MATCH($B30,IntAll[DEVELOPMENT],0),MATCH("ESTIMATE",IntAll[#Headers],0)),0)</f>
        <v>0</v>
      </c>
      <c r="AD30" s="5">
        <f ca="1">IFERROR(INDEX(YardsAll[],MATCH($B30,YardsAll[DEVELOPMENT],0),MATCH("TOTAL ESTIMATE",YardsAll[#Headers],0)),0)</f>
        <v>0</v>
      </c>
      <c r="AE30" s="99">
        <f t="shared" ca="1" si="0"/>
        <v>479417.41887463129</v>
      </c>
      <c r="AF30" s="5"/>
    </row>
    <row r="31" spans="1:32">
      <c r="A31" s="101">
        <f>VLOOKUP(B31,Data[],24,FALSE)</f>
        <v>124</v>
      </c>
      <c r="B31" t="s">
        <v>102</v>
      </c>
      <c r="C31" t="str">
        <f>VLOOKUP(all[[#This Row],[DEVELOPMENT]],Data[],MATCH(all[[#Headers],[PROGRAM]],Data[#Headers],0),FALSE)</f>
        <v>FEDERAL</v>
      </c>
      <c r="D31" t="str">
        <f>VLOOKUP(B31,Data[],2,FALSE)</f>
        <v>MANHATTAN</v>
      </c>
      <c r="E31">
        <f>VLOOKUP(all[[#This Row],[DEVELOPMENT]],Data[],65,FALSE)</f>
        <v>68</v>
      </c>
      <c r="F31" t="e">
        <f>VLOOKUP(all[[#This Row],[DEVELOPMENT]],Data[],3,FALSE)</f>
        <v>#N/A</v>
      </c>
      <c r="G31" s="107" t="s">
        <v>186</v>
      </c>
      <c r="H31" t="s">
        <v>184</v>
      </c>
      <c r="I31">
        <f>VLOOKUP(all[[#This Row],[DEVELOPMENT]],Data[],34,FALSE)</f>
        <v>0</v>
      </c>
      <c r="J31" t="s">
        <v>184</v>
      </c>
      <c r="K31" t="str">
        <f>VLOOKUP(B31,Data[],8,FALSE)</f>
        <v>Zone 2</v>
      </c>
      <c r="L31" t="str">
        <f>VLOOKUP(all[[#This Row],[DEVELOPMENT]],Data[],61,FALSE)</f>
        <v>No</v>
      </c>
      <c r="M31">
        <f>VLOOKUP(B31,Data[],9,FALSE)</f>
        <v>4</v>
      </c>
      <c r="N31">
        <v>1</v>
      </c>
      <c r="O31">
        <v>1</v>
      </c>
      <c r="P31" t="str">
        <f ca="1">IFERROR(VLOOKUP(B31,Data[],4,FALSE),"")</f>
        <v>2026+</v>
      </c>
      <c r="Q31" t="str">
        <f ca="1">IF(all[[#This Row],[RAD/PACT]]="","",IF(OR(all[[#This Row],[RAD/PACT]]="2021-2025",all[[#This Row],[RAD/PACT]]="2019-2020"),"Yes",""))</f>
        <v/>
      </c>
      <c r="R31">
        <f>VLOOKUP(all[[#This Row],[DEVELOPMENT]],Data[],7,FALSE)</f>
        <v>246</v>
      </c>
      <c r="S31">
        <f>VLOOKUP(all[[#This Row],[DEVELOPMENT]],Data[],25,FALSE)</f>
        <v>0</v>
      </c>
      <c r="T31">
        <f>VLOOKUP(all[[#This Row],[DEVELOPMENT]],Data[],5,FALSE)</f>
        <v>1</v>
      </c>
      <c r="U31">
        <f>VLOOKUP(all[[#This Row],[DEVELOPMENT]],Data[],10,FALSE)</f>
        <v>1</v>
      </c>
      <c r="V31">
        <f>VLOOKUP(all[[#This Row],[DEVELOPMENT]],Data[],10,FALSE)</f>
        <v>1</v>
      </c>
      <c r="W31">
        <f>VLOOKUP(all[[#This Row],[DEVELOPMENT]],Data[],33,FALSE)</f>
        <v>0</v>
      </c>
      <c r="X31">
        <f>VLOOKUP(all[[#This Row],[DEVELOPMENT]],Data[],33,FALSE)</f>
        <v>0</v>
      </c>
      <c r="Y31">
        <f>VLOOKUP(all[[#This Row],[DEVELOPMENT]],Data[],28,FALSE)</f>
        <v>0</v>
      </c>
      <c r="Z31">
        <f>IF(all[[#This Row],['# Bulk Crushers]]=0,1,0)</f>
        <v>1</v>
      </c>
      <c r="AA31" s="5">
        <f ca="1">IFERROR(INDEX(FWD[],MATCH($B31,FWD[DEVELOPMENT],0),MATCH("ESTIMATE",FWD[#Headers],0)),0)</f>
        <v>422809.04305899708</v>
      </c>
      <c r="AB31" s="5">
        <f>IFERROR(INDEX(EHDAll[],MATCH($B31,EHDAll[DEVELOPMENT],0),MATCH("ESTIMATE",EHDAll[#Headers],0)),0)</f>
        <v>0</v>
      </c>
      <c r="AC31" s="5">
        <f ca="1">IFERROR(INDEX(IntAll[],MATCH($B31,IntAll[DEVELOPMENT],0),MATCH("ESTIMATE",IntAll[#Headers],0)),0)</f>
        <v>63087.5</v>
      </c>
      <c r="AD31" s="5">
        <f ca="1">IFERROR(INDEX(YardsAll[],MATCH($B31,YardsAll[DEVELOPMENT],0),MATCH("TOTAL ESTIMATE",YardsAll[#Headers],0)),0)</f>
        <v>1934073.9567800006</v>
      </c>
      <c r="AE31" s="99">
        <f t="shared" ca="1" si="0"/>
        <v>2419970.4998389976</v>
      </c>
      <c r="AF31" s="5"/>
    </row>
    <row r="32" spans="1:32">
      <c r="A32" s="101">
        <f>VLOOKUP(B32,Data[],24,FALSE)</f>
        <v>243</v>
      </c>
      <c r="B32" t="s">
        <v>119</v>
      </c>
      <c r="C32" t="str">
        <f>VLOOKUP(all[[#This Row],[DEVELOPMENT]],Data[],MATCH(all[[#Headers],[PROGRAM]],Data[#Headers],0),FALSE)</f>
        <v>FEDERAL</v>
      </c>
      <c r="D32" t="str">
        <f>VLOOKUP(B32,Data[],2,FALSE)</f>
        <v>BROOKLYN</v>
      </c>
      <c r="E32">
        <f>VLOOKUP(all[[#This Row],[DEVELOPMENT]],Data[],65,FALSE)</f>
        <v>53</v>
      </c>
      <c r="F32" t="e">
        <f>VLOOKUP(all[[#This Row],[DEVELOPMENT]],Data[],3,FALSE)</f>
        <v>#N/A</v>
      </c>
      <c r="G32" s="107" t="s">
        <v>186</v>
      </c>
      <c r="H32" t="s">
        <v>184</v>
      </c>
      <c r="I32">
        <f>VLOOKUP(all[[#This Row],[DEVELOPMENT]],Data[],34,FALSE)</f>
        <v>1</v>
      </c>
      <c r="J32" t="s">
        <v>184</v>
      </c>
      <c r="K32" t="str">
        <f>VLOOKUP(B32,Data[],8,FALSE)</f>
        <v>Zone 3</v>
      </c>
      <c r="L32" t="str">
        <f>VLOOKUP(all[[#This Row],[DEVELOPMENT]],Data[],61,FALSE)</f>
        <v>No</v>
      </c>
      <c r="M32">
        <f>VLOOKUP(B32,Data[],9,FALSE)</f>
        <v>1</v>
      </c>
      <c r="N32">
        <v>2</v>
      </c>
      <c r="O32" t="s">
        <v>185</v>
      </c>
      <c r="P32" t="str">
        <f ca="1">IFERROR(VLOOKUP(B32,Data[],4,FALSE),"")</f>
        <v>2026+</v>
      </c>
      <c r="Q32" t="str">
        <f ca="1">IF(all[[#This Row],[RAD/PACT]]="","",IF(OR(all[[#This Row],[RAD/PACT]]="2021-2025",all[[#This Row],[RAD/PACT]]="2019-2020"),"Yes",""))</f>
        <v/>
      </c>
      <c r="R32">
        <f>VLOOKUP(all[[#This Row],[DEVELOPMENT]],Data[],7,FALSE)</f>
        <v>509</v>
      </c>
      <c r="S32" t="str">
        <f>VLOOKUP(all[[#This Row],[DEVELOPMENT]],Data[],25,FALSE)</f>
        <v>Newtown Creek</v>
      </c>
      <c r="T32">
        <f>VLOOKUP(all[[#This Row],[DEVELOPMENT]],Data[],5,FALSE)</f>
        <v>8</v>
      </c>
      <c r="U32">
        <f>VLOOKUP(all[[#This Row],[DEVELOPMENT]],Data[],10,FALSE)</f>
        <v>8</v>
      </c>
      <c r="V32">
        <f>VLOOKUP(all[[#This Row],[DEVELOPMENT]],Data[],10,FALSE)</f>
        <v>8</v>
      </c>
      <c r="W32">
        <f>VLOOKUP(all[[#This Row],[DEVELOPMENT]],Data[],33,FALSE)</f>
        <v>2</v>
      </c>
      <c r="X32">
        <f>VLOOKUP(all[[#This Row],[DEVELOPMENT]],Data[],33,FALSE)</f>
        <v>2</v>
      </c>
      <c r="Y32">
        <f>VLOOKUP(all[[#This Row],[DEVELOPMENT]],Data[],28,FALSE)</f>
        <v>0</v>
      </c>
      <c r="Z32">
        <f>IF(all[[#This Row],['# Bulk Crushers]]=0,1,0)</f>
        <v>1</v>
      </c>
      <c r="AA32" s="5">
        <f ca="1">IFERROR(INDEX(FWD[],MATCH($B32,FWD[DEVELOPMENT],0),MATCH("ESTIMATE",FWD[#Headers],0)),0)</f>
        <v>874836.59722369723</v>
      </c>
      <c r="AB32" s="5">
        <f ca="1">IFERROR(INDEX(EHDAll[],MATCH($B32,EHDAll[DEVELOPMENT],0),MATCH("ESTIMATE",EHDAll[#Headers],0)),0)</f>
        <v>59485.148000000001</v>
      </c>
      <c r="AC32" s="5">
        <f ca="1">IFERROR(INDEX(IntAll[],MATCH($B32,IntAll[DEVELOPMENT],0),MATCH("ESTIMATE",IntAll[#Headers],0)),0)</f>
        <v>522364.49999999994</v>
      </c>
      <c r="AD32" s="5">
        <f ca="1">IFERROR(INDEX(YardsAll[],MATCH($B32,YardsAll[DEVELOPMENT],0),MATCH("TOTAL ESTIMATE",YardsAll[#Headers],0)),0)</f>
        <v>2161858.9406550005</v>
      </c>
      <c r="AE32" s="99">
        <f t="shared" ca="1" si="0"/>
        <v>3618545.1858786978</v>
      </c>
      <c r="AF32" s="5"/>
    </row>
    <row r="33" spans="1:32">
      <c r="A33" s="101">
        <f>VLOOKUP(B33,Data[],24,FALSE)</f>
        <v>65</v>
      </c>
      <c r="B33" t="s">
        <v>199</v>
      </c>
      <c r="C33" t="str">
        <f>VLOOKUP(all[[#This Row],[DEVELOPMENT]],Data[],MATCH(all[[#Headers],[PROGRAM]],Data[#Headers],0),FALSE)</f>
        <v>FEDERAL</v>
      </c>
      <c r="D33" t="str">
        <f>VLOOKUP(B33,Data[],2,FALSE)</f>
        <v>BROOKLYN</v>
      </c>
      <c r="E33">
        <f>VLOOKUP(all[[#This Row],[DEVELOPMENT]],Data[],65,FALSE)</f>
        <v>55</v>
      </c>
      <c r="F33" t="e">
        <f>VLOOKUP(all[[#This Row],[DEVELOPMENT]],Data[],3,FALSE)</f>
        <v>#N/A</v>
      </c>
      <c r="G33" s="107" t="s">
        <v>186</v>
      </c>
      <c r="H33" t="s">
        <v>184</v>
      </c>
      <c r="I33">
        <f>VLOOKUP(all[[#This Row],[DEVELOPMENT]],Data[],34,FALSE)</f>
        <v>1</v>
      </c>
      <c r="J33" t="s">
        <v>183</v>
      </c>
      <c r="K33">
        <f>VLOOKUP(B33,Data[],8,FALSE)</f>
        <v>0</v>
      </c>
      <c r="L33" t="str">
        <f>VLOOKUP(all[[#This Row],[DEVELOPMENT]],Data[],61,FALSE)</f>
        <v>No</v>
      </c>
      <c r="M33">
        <f>VLOOKUP(B33,Data[],9,FALSE)</f>
        <v>0</v>
      </c>
      <c r="N33">
        <v>3</v>
      </c>
      <c r="O33" t="s">
        <v>185</v>
      </c>
      <c r="P33" t="str">
        <f ca="1">IFERROR(VLOOKUP(B33,Data[],4,FALSE),"")</f>
        <v>2026+</v>
      </c>
      <c r="Q33" t="str">
        <f ca="1">IF(all[[#This Row],[RAD/PACT]]="","",IF(OR(all[[#This Row],[RAD/PACT]]="2021-2025",all[[#This Row],[RAD/PACT]]="2019-2020"),"Yes",""))</f>
        <v/>
      </c>
      <c r="R33">
        <f>VLOOKUP(all[[#This Row],[DEVELOPMENT]],Data[],7,FALSE)</f>
        <v>894</v>
      </c>
      <c r="S33" t="str">
        <f>VLOOKUP(all[[#This Row],[DEVELOPMENT]],Data[],25,FALSE)</f>
        <v>Newtown Creek</v>
      </c>
      <c r="T33">
        <f>VLOOKUP(all[[#This Row],[DEVELOPMENT]],Data[],5,FALSE)</f>
        <v>13</v>
      </c>
      <c r="U33">
        <f>VLOOKUP(all[[#This Row],[DEVELOPMENT]],Data[],10,FALSE)</f>
        <v>26</v>
      </c>
      <c r="V33">
        <f>VLOOKUP(all[[#This Row],[DEVELOPMENT]],Data[],10,FALSE)</f>
        <v>26</v>
      </c>
      <c r="W33">
        <f>VLOOKUP(all[[#This Row],[DEVELOPMENT]],Data[],33,FALSE)</f>
        <v>2</v>
      </c>
      <c r="X33">
        <f>VLOOKUP(all[[#This Row],[DEVELOPMENT]],Data[],33,FALSE)</f>
        <v>2</v>
      </c>
      <c r="Y33">
        <f>VLOOKUP(all[[#This Row],[DEVELOPMENT]],Data[],28,FALSE)</f>
        <v>0</v>
      </c>
      <c r="Z33">
        <f>IF(all[[#This Row],['# Bulk Crushers]]=0,1,0)</f>
        <v>1</v>
      </c>
      <c r="AA33" s="5">
        <f ca="1">IFERROR(INDEX(FWD[],MATCH($B33,FWD[DEVELOPMENT],0),MATCH("ESTIMATE",FWD[#Headers],0)),0)</f>
        <v>1536549.9369705014</v>
      </c>
      <c r="AB33" s="5">
        <f ca="1">IFERROR(INDEX(EHDAll[],MATCH($B33,EHDAll[DEVELOPMENT],0),MATCH("ESTIMATE",EHDAll[#Headers],0)),0)</f>
        <v>206859.60217</v>
      </c>
      <c r="AC33" s="5">
        <f ca="1">IFERROR(INDEX(IntAll[],MATCH($B33,IntAll[DEVELOPMENT],0),MATCH("ESTIMATE",IntAll[#Headers],0)),0)</f>
        <v>1869913.5000000002</v>
      </c>
      <c r="AD33" s="5">
        <f ca="1">IFERROR(INDEX(YardsAll[],MATCH($B33,YardsAll[DEVELOPMENT],0),MATCH("TOTAL ESTIMATE",YardsAll[#Headers],0)),0)</f>
        <v>2161858.9406550005</v>
      </c>
      <c r="AE33" s="99">
        <f t="shared" ca="1" si="0"/>
        <v>5775181.9797955025</v>
      </c>
      <c r="AF33" s="5"/>
    </row>
    <row r="34" spans="1:32">
      <c r="A34" s="101">
        <f>VLOOKUP(B34,Data[],24,FALSE)</f>
        <v>32</v>
      </c>
      <c r="B34" t="s">
        <v>73</v>
      </c>
      <c r="C34" t="str">
        <f>VLOOKUP(all[[#This Row],[DEVELOPMENT]],Data[],MATCH(all[[#Headers],[PROGRAM]],Data[#Headers],0),FALSE)</f>
        <v>FEDERAL</v>
      </c>
      <c r="D34" t="str">
        <f>VLOOKUP(B34,Data[],2,FALSE)</f>
        <v>BRONX</v>
      </c>
      <c r="E34">
        <f>VLOOKUP(all[[#This Row],[DEVELOPMENT]],Data[],65,FALSE)</f>
        <v>85</v>
      </c>
      <c r="F34" t="e">
        <f>VLOOKUP(all[[#This Row],[DEVELOPMENT]],Data[],3,FALSE)</f>
        <v>#N/A</v>
      </c>
      <c r="G34" s="107" t="s">
        <v>186</v>
      </c>
      <c r="H34" t="s">
        <v>184</v>
      </c>
      <c r="I34">
        <f>VLOOKUP(all[[#This Row],[DEVELOPMENT]],Data[],34,FALSE)</f>
        <v>1</v>
      </c>
      <c r="J34" t="s">
        <v>183</v>
      </c>
      <c r="K34" t="str">
        <f>VLOOKUP(B34,Data[],8,FALSE)</f>
        <v>Zone 3</v>
      </c>
      <c r="L34" t="str">
        <f>VLOOKUP(all[[#This Row],[DEVELOPMENT]],Data[],61,FALSE)</f>
        <v>No</v>
      </c>
      <c r="M34">
        <f>VLOOKUP(B34,Data[],9,FALSE)</f>
        <v>4</v>
      </c>
      <c r="N34" t="s">
        <v>185</v>
      </c>
      <c r="O34" t="s">
        <v>185</v>
      </c>
      <c r="P34" t="str">
        <f ca="1">IFERROR(VLOOKUP(B34,Data[],4,FALSE),"")</f>
        <v/>
      </c>
      <c r="Q34" t="str">
        <f ca="1">IF(all[[#This Row],[RAD/PACT]]="","",IF(OR(all[[#This Row],[RAD/PACT]]="2021-2025",all[[#This Row],[RAD/PACT]]="2019-2020"),"Yes",""))</f>
        <v/>
      </c>
      <c r="R34">
        <f>VLOOKUP(all[[#This Row],[DEVELOPMENT]],Data[],7,FALSE)</f>
        <v>1245</v>
      </c>
      <c r="S34">
        <f>VLOOKUP(all[[#This Row],[DEVELOPMENT]],Data[],25,FALSE)</f>
        <v>0</v>
      </c>
      <c r="T34">
        <f>VLOOKUP(all[[#This Row],[DEVELOPMENT]],Data[],5,FALSE)</f>
        <v>9</v>
      </c>
      <c r="U34">
        <f>VLOOKUP(all[[#This Row],[DEVELOPMENT]],Data[],10,FALSE)</f>
        <v>9</v>
      </c>
      <c r="V34">
        <f>VLOOKUP(all[[#This Row],[DEVELOPMENT]],Data[],10,FALSE)</f>
        <v>9</v>
      </c>
      <c r="W34">
        <f>VLOOKUP(all[[#This Row],[DEVELOPMENT]],Data[],33,FALSE)</f>
        <v>3</v>
      </c>
      <c r="X34">
        <f>VLOOKUP(all[[#This Row],[DEVELOPMENT]],Data[],33,FALSE)</f>
        <v>3</v>
      </c>
      <c r="Y34">
        <f>VLOOKUP(all[[#This Row],[DEVELOPMENT]],Data[],28,FALSE)</f>
        <v>0</v>
      </c>
      <c r="Z34">
        <f>IF(all[[#This Row],['# Bulk Crushers]]=0,1,0)</f>
        <v>1</v>
      </c>
      <c r="AA34" s="5">
        <f ca="1">IFERROR(INDEX(FWD[],MATCH($B34,FWD[DEVELOPMENT],0),MATCH("ESTIMATE",FWD[#Headers],0)),0)</f>
        <v>2139826.2545058997</v>
      </c>
      <c r="AB34" s="5">
        <f ca="1">IFERROR(INDEX(EHDAll[],MATCH($B34,EHDAll[DEVELOPMENT],0),MATCH("ESTIMATE",EHDAll[#Headers],0)),0)</f>
        <v>69263.0192025</v>
      </c>
      <c r="AC34" s="5">
        <f ca="1">IFERROR(INDEX(IntAll[],MATCH($B34,IntAll[DEVELOPMENT],0),MATCH("ESTIMATE",IntAll[#Headers],0)),0)</f>
        <v>726768</v>
      </c>
      <c r="AD34" s="5">
        <f ca="1">IFERROR(INDEX(YardsAll[],MATCH($B34,YardsAll[DEVELOPMENT],0),MATCH("TOTAL ESTIMATE",YardsAll[#Headers],0)),0)</f>
        <v>2596210.1510345</v>
      </c>
      <c r="AE34" s="99">
        <f t="shared" ca="1" si="0"/>
        <v>5532067.4247428998</v>
      </c>
      <c r="AF34" s="5"/>
    </row>
    <row r="35" spans="1:32">
      <c r="A35" s="101">
        <f>VLOOKUP(B35,Data[],24,FALSE)</f>
        <v>80</v>
      </c>
      <c r="B35" t="s">
        <v>200</v>
      </c>
      <c r="C35" t="str">
        <f>VLOOKUP(all[[#This Row],[DEVELOPMENT]],Data[],MATCH(all[[#Headers],[PROGRAM]],Data[#Headers],0),FALSE)</f>
        <v>MIXED FINANCE/LLC1</v>
      </c>
      <c r="D35" t="str">
        <f>VLOOKUP(B35,Data[],2,FALSE)</f>
        <v>BRONX</v>
      </c>
      <c r="E35">
        <f>VLOOKUP(all[[#This Row],[DEVELOPMENT]],Data[],65,FALSE)</f>
        <v>87</v>
      </c>
      <c r="F35" t="e">
        <f>VLOOKUP(all[[#This Row],[DEVELOPMENT]],Data[],3,FALSE)</f>
        <v>#N/A</v>
      </c>
      <c r="G35" s="107" t="s">
        <v>186</v>
      </c>
      <c r="H35" t="s">
        <v>184</v>
      </c>
      <c r="I35">
        <f>VLOOKUP(all[[#This Row],[DEVELOPMENT]],Data[],34,FALSE)</f>
        <v>1</v>
      </c>
      <c r="J35" t="s">
        <v>183</v>
      </c>
      <c r="K35">
        <f>VLOOKUP(B35,Data[],8,FALSE)</f>
        <v>0</v>
      </c>
      <c r="L35" t="str">
        <f>VLOOKUP(all[[#This Row],[DEVELOPMENT]],Data[],61,FALSE)</f>
        <v>Yes</v>
      </c>
      <c r="M35">
        <f>VLOOKUP(B35,Data[],9,FALSE)</f>
        <v>0</v>
      </c>
      <c r="N35">
        <v>2</v>
      </c>
      <c r="O35" t="s">
        <v>185</v>
      </c>
      <c r="P35" t="str">
        <f ca="1">IFERROR(VLOOKUP(B35,Data[],4,FALSE),"")</f>
        <v/>
      </c>
      <c r="Q35" t="str">
        <f ca="1">IF(all[[#This Row],[RAD/PACT]]="","",IF(OR(all[[#This Row],[RAD/PACT]]="2021-2025",all[[#This Row],[RAD/PACT]]="2019-2020"),"Yes",""))</f>
        <v/>
      </c>
      <c r="R35">
        <f>VLOOKUP(all[[#This Row],[DEVELOPMENT]],Data[],7,FALSE)</f>
        <v>2022</v>
      </c>
      <c r="S35">
        <f>VLOOKUP(all[[#This Row],[DEVELOPMENT]],Data[],25,FALSE)</f>
        <v>0</v>
      </c>
      <c r="T35">
        <f>VLOOKUP(all[[#This Row],[DEVELOPMENT]],Data[],5,FALSE)</f>
        <v>14</v>
      </c>
      <c r="U35">
        <f>VLOOKUP(all[[#This Row],[DEVELOPMENT]],Data[],10,FALSE)</f>
        <v>14</v>
      </c>
      <c r="V35">
        <f>VLOOKUP(all[[#This Row],[DEVELOPMENT]],Data[],10,FALSE)</f>
        <v>14</v>
      </c>
      <c r="W35">
        <f>VLOOKUP(all[[#This Row],[DEVELOPMENT]],Data[],33,FALSE)</f>
        <v>4</v>
      </c>
      <c r="X35">
        <f>VLOOKUP(all[[#This Row],[DEVELOPMENT]],Data[],33,FALSE)</f>
        <v>4</v>
      </c>
      <c r="Y35">
        <f>VLOOKUP(all[[#This Row],[DEVELOPMENT]],Data[],28,FALSE)</f>
        <v>0</v>
      </c>
      <c r="Z35">
        <f>IF(all[[#This Row],['# Bulk Crushers]]=0,1,0)</f>
        <v>1</v>
      </c>
      <c r="AA35" s="5">
        <f ca="1">IFERROR(INDEX(FWD[],MATCH($B35,FWD[DEVELOPMENT],0),MATCH("ESTIMATE",FWD[#Headers],0)),0)</f>
        <v>3475284.0856312686</v>
      </c>
      <c r="AB35" s="5">
        <f ca="1">IFERROR(INDEX(EHDAll[],MATCH($B35,EHDAll[DEVELOPMENT],0),MATCH("ESTIMATE",EHDAll[#Headers],0)),0)</f>
        <v>111385.93963000001</v>
      </c>
      <c r="AC35" s="5">
        <f ca="1">IFERROR(INDEX(IntAll[],MATCH($B35,IntAll[DEVELOPMENT],0),MATCH("ESTIMATE",IntAll[#Headers],0)),0)</f>
        <v>975963.625</v>
      </c>
      <c r="AD35" s="5">
        <f ca="1">IFERROR(INDEX(YardsAll[],MATCH($B35,YardsAll[DEVELOPMENT],0),MATCH("TOTAL ESTIMATE",YardsAll[#Headers],0)),0)</f>
        <v>1505301.5561285003</v>
      </c>
      <c r="AE35" s="99">
        <f t="shared" ca="1" si="0"/>
        <v>6067935.206389768</v>
      </c>
      <c r="AF35" s="5"/>
    </row>
    <row r="36" spans="1:32">
      <c r="A36" s="101">
        <f>VLOOKUP(B36,Data[],24,FALSE)</f>
        <v>82</v>
      </c>
      <c r="B36" t="s">
        <v>130</v>
      </c>
      <c r="C36" t="str">
        <f>VLOOKUP(all[[#This Row],[DEVELOPMENT]],Data[],MATCH(all[[#Headers],[PROGRAM]],Data[#Headers],0),FALSE)</f>
        <v>FEDERAL</v>
      </c>
      <c r="D36" t="str">
        <f>VLOOKUP(B36,Data[],2,FALSE)</f>
        <v>MANHATTAN</v>
      </c>
      <c r="E36">
        <f>VLOOKUP(all[[#This Row],[DEVELOPMENT]],Data[],65,FALSE)</f>
        <v>69</v>
      </c>
      <c r="F36" t="e">
        <f>VLOOKUP(all[[#This Row],[DEVELOPMENT]],Data[],3,FALSE)</f>
        <v>#N/A</v>
      </c>
      <c r="G36" s="107" t="s">
        <v>186</v>
      </c>
      <c r="H36" t="s">
        <v>184</v>
      </c>
      <c r="I36">
        <f>VLOOKUP(all[[#This Row],[DEVELOPMENT]],Data[],34,FALSE)</f>
        <v>1</v>
      </c>
      <c r="J36" t="s">
        <v>184</v>
      </c>
      <c r="K36" t="str">
        <f>VLOOKUP(B36,Data[],8,FALSE)</f>
        <v>Zone 3</v>
      </c>
      <c r="L36" t="str">
        <f>VLOOKUP(all[[#This Row],[DEVELOPMENT]],Data[],61,FALSE)</f>
        <v>No</v>
      </c>
      <c r="M36">
        <f>VLOOKUP(B36,Data[],9,FALSE)</f>
        <v>2</v>
      </c>
      <c r="N36">
        <v>3</v>
      </c>
      <c r="O36" t="s">
        <v>185</v>
      </c>
      <c r="P36" t="str">
        <f ca="1">IFERROR(VLOOKUP(B36,Data[],4,FALSE),"")</f>
        <v/>
      </c>
      <c r="Q36" t="str">
        <f ca="1">IF(all[[#This Row],[RAD/PACT]]="","",IF(OR(all[[#This Row],[RAD/PACT]]="2021-2025",all[[#This Row],[RAD/PACT]]="2019-2020"),"Yes",""))</f>
        <v/>
      </c>
      <c r="R36">
        <f>VLOOKUP(all[[#This Row],[DEVELOPMENT]],Data[],7,FALSE)</f>
        <v>1302</v>
      </c>
      <c r="S36">
        <f>VLOOKUP(all[[#This Row],[DEVELOPMENT]],Data[],25,FALSE)</f>
        <v>0</v>
      </c>
      <c r="T36">
        <f>VLOOKUP(all[[#This Row],[DEVELOPMENT]],Data[],5,FALSE)</f>
        <v>11</v>
      </c>
      <c r="U36">
        <f>VLOOKUP(all[[#This Row],[DEVELOPMENT]],Data[],10,FALSE)</f>
        <v>11</v>
      </c>
      <c r="V36">
        <f>VLOOKUP(all[[#This Row],[DEVELOPMENT]],Data[],10,FALSE)</f>
        <v>11</v>
      </c>
      <c r="W36">
        <f>VLOOKUP(all[[#This Row],[DEVELOPMENT]],Data[],33,FALSE)</f>
        <v>3</v>
      </c>
      <c r="X36">
        <f>VLOOKUP(all[[#This Row],[DEVELOPMENT]],Data[],33,FALSE)</f>
        <v>3</v>
      </c>
      <c r="Y36">
        <f>VLOOKUP(all[[#This Row],[DEVELOPMENT]],Data[],28,FALSE)</f>
        <v>0</v>
      </c>
      <c r="Z36">
        <f>IF(all[[#This Row],['# Bulk Crushers]]=0,1,0)</f>
        <v>1</v>
      </c>
      <c r="AA36" s="5">
        <f ca="1">IFERROR(INDEX(FWD[],MATCH($B36,FWD[DEVELOPMENT],0),MATCH("ESTIMATE",FWD[#Headers],0)),0)</f>
        <v>2237794.2035073745</v>
      </c>
      <c r="AB36" s="5">
        <f ca="1">IFERROR(INDEX(EHDAll[],MATCH($B36,EHDAll[DEVELOPMENT],0),MATCH("ESTIMATE",EHDAll[#Headers],0)),0)</f>
        <v>0</v>
      </c>
      <c r="AC36" s="5">
        <f ca="1">IFERROR(INDEX(IntAll[],MATCH($B36,IntAll[DEVELOPMENT],0),MATCH("ESTIMATE",IntAll[#Headers],0)),0)</f>
        <v>766828.5625</v>
      </c>
      <c r="AD36" s="5">
        <f ca="1">IFERROR(INDEX(YardsAll[],MATCH($B36,YardsAll[DEVELOPMENT],0),MATCH("TOTAL ESTIMATE",YardsAll[#Headers],0)),0)</f>
        <v>1457622.3213190003</v>
      </c>
      <c r="AE36" s="99">
        <f t="shared" ca="1" si="0"/>
        <v>4462245.0873263748</v>
      </c>
      <c r="AF36" s="5"/>
    </row>
    <row r="37" spans="1:32">
      <c r="A37" s="101">
        <f>VLOOKUP(B37,Data[],24,FALSE)</f>
        <v>57</v>
      </c>
      <c r="B37" t="s">
        <v>201</v>
      </c>
      <c r="C37" t="str">
        <f>VLOOKUP(all[[#This Row],[DEVELOPMENT]],Data[],MATCH(all[[#Headers],[PROGRAM]],Data[#Headers],0),FALSE)</f>
        <v>FEDERAL</v>
      </c>
      <c r="D37" t="str">
        <f>VLOOKUP(B37,Data[],2,FALSE)</f>
        <v>BRONX</v>
      </c>
      <c r="E37">
        <f>VLOOKUP(all[[#This Row],[DEVELOPMENT]],Data[],65,FALSE)</f>
        <v>83</v>
      </c>
      <c r="F37" t="e">
        <f>VLOOKUP(all[[#This Row],[DEVELOPMENT]],Data[],3,FALSE)</f>
        <v>#N/A</v>
      </c>
      <c r="G37" s="107" t="s">
        <v>186</v>
      </c>
      <c r="H37" t="s">
        <v>184</v>
      </c>
      <c r="I37">
        <f>VLOOKUP(all[[#This Row],[DEVELOPMENT]],Data[],34,FALSE)</f>
        <v>1</v>
      </c>
      <c r="J37" t="s">
        <v>183</v>
      </c>
      <c r="K37">
        <f>VLOOKUP(B37,Data[],8,FALSE)</f>
        <v>0</v>
      </c>
      <c r="L37" t="str">
        <f>VLOOKUP(all[[#This Row],[DEVELOPMENT]],Data[],61,FALSE)</f>
        <v>No</v>
      </c>
      <c r="M37">
        <f>VLOOKUP(B37,Data[],9,FALSE)</f>
        <v>0</v>
      </c>
      <c r="N37">
        <v>4</v>
      </c>
      <c r="O37" t="s">
        <v>185</v>
      </c>
      <c r="P37" t="str">
        <f ca="1">IFERROR(VLOOKUP(B37,Data[],4,FALSE),"")</f>
        <v>2022-2025</v>
      </c>
      <c r="Q37" t="str">
        <f ca="1">IF(all[[#This Row],[RAD/PACT]]="","",IF(OR(all[[#This Row],[RAD/PACT]]="2021-2025",all[[#This Row],[RAD/PACT]]="2019-2020"),"Yes",""))</f>
        <v/>
      </c>
      <c r="R37">
        <f>VLOOKUP(all[[#This Row],[DEVELOPMENT]],Data[],7,FALSE)</f>
        <v>2035</v>
      </c>
      <c r="S37">
        <f>VLOOKUP(all[[#This Row],[DEVELOPMENT]],Data[],25,FALSE)</f>
        <v>0</v>
      </c>
      <c r="T37">
        <f>VLOOKUP(all[[#This Row],[DEVELOPMENT]],Data[],5,FALSE)</f>
        <v>40</v>
      </c>
      <c r="U37">
        <f>VLOOKUP(all[[#This Row],[DEVELOPMENT]],Data[],10,FALSE)</f>
        <v>71</v>
      </c>
      <c r="V37">
        <f>VLOOKUP(all[[#This Row],[DEVELOPMENT]],Data[],10,FALSE)</f>
        <v>71</v>
      </c>
      <c r="W37">
        <f>VLOOKUP(all[[#This Row],[DEVELOPMENT]],Data[],33,FALSE)</f>
        <v>5</v>
      </c>
      <c r="X37">
        <f>VLOOKUP(all[[#This Row],[DEVELOPMENT]],Data[],33,FALSE)</f>
        <v>5</v>
      </c>
      <c r="Y37">
        <f>VLOOKUP(all[[#This Row],[DEVELOPMENT]],Data[],28,FALSE)</f>
        <v>0</v>
      </c>
      <c r="Z37">
        <f>IF(all[[#This Row],['# Bulk Crushers]]=0,1,0)</f>
        <v>1</v>
      </c>
      <c r="AA37" s="5">
        <f ca="1">IFERROR(INDEX(FWD[],MATCH($B37,FWD[DEVELOPMENT],0),MATCH("ESTIMATE",FWD[#Headers],0)),0)</f>
        <v>3497627.6529473942</v>
      </c>
      <c r="AB37" s="5">
        <f ca="1">IFERROR(INDEX(EHDAll[],MATCH($B37,EHDAll[DEVELOPMENT],0),MATCH("ESTIMATE",EHDAll[#Headers],0)),0)</f>
        <v>564885.83669500006</v>
      </c>
      <c r="AC37" s="5">
        <f ca="1">IFERROR(INDEX(IntAll[],MATCH($B37,IntAll[DEVELOPMENT],0),MATCH("ESTIMATE",IntAll[#Headers],0)),0)</f>
        <v>0</v>
      </c>
      <c r="AD37" s="5">
        <f ca="1">IFERROR(INDEX(YardsAll[],MATCH($B37,YardsAll[DEVELOPMENT],0),MATCH("TOTAL ESTIMATE",YardsAll[#Headers],0)),0)</f>
        <v>0</v>
      </c>
      <c r="AE37" s="99">
        <f t="shared" ca="1" si="0"/>
        <v>4062513.4896423942</v>
      </c>
      <c r="AF37" s="5"/>
    </row>
    <row r="38" spans="1:32">
      <c r="A38" s="101">
        <f>VLOOKUP(B38,Data[],24,FALSE)</f>
        <v>29</v>
      </c>
      <c r="B38" t="s">
        <v>202</v>
      </c>
      <c r="C38" t="str">
        <f>VLOOKUP(all[[#This Row],[DEVELOPMENT]],Data[],MATCH(all[[#Headers],[PROGRAM]],Data[#Headers],0),FALSE)</f>
        <v>FEDERAL</v>
      </c>
      <c r="D38" t="str">
        <f>VLOOKUP(B38,Data[],2,FALSE)</f>
        <v>BROOKLYN</v>
      </c>
      <c r="E38">
        <f>VLOOKUP(all[[#This Row],[DEVELOPMENT]],Data[],65,FALSE)</f>
        <v>57</v>
      </c>
      <c r="F38" t="e">
        <f>VLOOKUP(all[[#This Row],[DEVELOPMENT]],Data[],3,FALSE)</f>
        <v>#N/A</v>
      </c>
      <c r="G38" s="107" t="s">
        <v>186</v>
      </c>
      <c r="H38" t="s">
        <v>184</v>
      </c>
      <c r="I38">
        <f>VLOOKUP(all[[#This Row],[DEVELOPMENT]],Data[],34,FALSE)</f>
        <v>1</v>
      </c>
      <c r="J38" t="s">
        <v>183</v>
      </c>
      <c r="K38">
        <f>VLOOKUP(B38,Data[],8,FALSE)</f>
        <v>0</v>
      </c>
      <c r="L38" t="str">
        <f>VLOOKUP(all[[#This Row],[DEVELOPMENT]],Data[],61,FALSE)</f>
        <v>No</v>
      </c>
      <c r="M38">
        <f>VLOOKUP(B38,Data[],9,FALSE)</f>
        <v>0</v>
      </c>
      <c r="N38">
        <v>1</v>
      </c>
      <c r="O38">
        <v>1</v>
      </c>
      <c r="P38" t="str">
        <f ca="1">IFERROR(VLOOKUP(B38,Data[],4,FALSE),"")</f>
        <v>2026+</v>
      </c>
      <c r="Q38" t="str">
        <f ca="1">IF(all[[#This Row],[RAD/PACT]]="","",IF(OR(all[[#This Row],[RAD/PACT]]="2021-2025",all[[#This Row],[RAD/PACT]]="2019-2020"),"Yes",""))</f>
        <v/>
      </c>
      <c r="R38">
        <f>VLOOKUP(all[[#This Row],[DEVELOPMENT]],Data[],7,FALSE)</f>
        <v>1389</v>
      </c>
      <c r="S38" t="str">
        <f>VLOOKUP(all[[#This Row],[DEVELOPMENT]],Data[],25,FALSE)</f>
        <v>Newtown Creek</v>
      </c>
      <c r="T38">
        <f>VLOOKUP(all[[#This Row],[DEVELOPMENT]],Data[],5,FALSE)</f>
        <v>10</v>
      </c>
      <c r="U38">
        <f>VLOOKUP(all[[#This Row],[DEVELOPMENT]],Data[],10,FALSE)</f>
        <v>10</v>
      </c>
      <c r="V38">
        <f>VLOOKUP(all[[#This Row],[DEVELOPMENT]],Data[],10,FALSE)</f>
        <v>10</v>
      </c>
      <c r="W38">
        <f>VLOOKUP(all[[#This Row],[DEVELOPMENT]],Data[],33,FALSE)</f>
        <v>3</v>
      </c>
      <c r="X38">
        <f>VLOOKUP(all[[#This Row],[DEVELOPMENT]],Data[],33,FALSE)</f>
        <v>3</v>
      </c>
      <c r="Y38">
        <f>VLOOKUP(all[[#This Row],[DEVELOPMENT]],Data[],28,FALSE)</f>
        <v>0</v>
      </c>
      <c r="Z38">
        <f>IF(all[[#This Row],['# Bulk Crushers]]=0,1,0)</f>
        <v>1</v>
      </c>
      <c r="AA38" s="5">
        <f ca="1">IFERROR(INDEX(FWD[],MATCH($B38,FWD[DEVELOPMENT],0),MATCH("ESTIMATE",FWD[#Headers],0)),0)</f>
        <v>2387324.2309306785</v>
      </c>
      <c r="AB38" s="5">
        <f ca="1">IFERROR(INDEX(EHDAll[],MATCH($B38,EHDAll[DEVELOPMENT],0),MATCH("ESTIMATE",EHDAll[#Headers],0)),0)</f>
        <v>79561.385450000002</v>
      </c>
      <c r="AC38" s="5">
        <f ca="1">IFERROR(INDEX(IntAll[],MATCH($B38,IntAll[DEVELOPMENT],0),MATCH("ESTIMATE",IntAll[#Headers],0)),0)</f>
        <v>630875</v>
      </c>
      <c r="AD38" s="5">
        <f ca="1">IFERROR(INDEX(YardsAll[],MATCH($B38,YardsAll[DEVELOPMENT],0),MATCH("TOTAL ESTIMATE",YardsAll[#Headers],0)),0)</f>
        <v>2513977.2503230004</v>
      </c>
      <c r="AE38" s="99">
        <f t="shared" ca="1" si="0"/>
        <v>5611737.8667036789</v>
      </c>
      <c r="AF38" s="5"/>
    </row>
    <row r="39" spans="1:32">
      <c r="A39" s="101">
        <f>VLOOKUP(B39,Data[],24,FALSE)</f>
        <v>207</v>
      </c>
      <c r="B39" t="s">
        <v>203</v>
      </c>
      <c r="C39" t="str">
        <f>VLOOKUP(all[[#This Row],[DEVELOPMENT]],Data[],MATCH(all[[#Headers],[PROGRAM]],Data[#Headers],0),FALSE)</f>
        <v>FEDERAL</v>
      </c>
      <c r="D39" t="str">
        <f>VLOOKUP(B39,Data[],2,FALSE)</f>
        <v>BROOKLYN</v>
      </c>
      <c r="E39">
        <f>VLOOKUP(all[[#This Row],[DEVELOPMENT]],Data[],65,FALSE)</f>
        <v>55</v>
      </c>
      <c r="F39" t="e">
        <f>VLOOKUP(all[[#This Row],[DEVELOPMENT]],Data[],3,FALSE)</f>
        <v>#N/A</v>
      </c>
      <c r="G39" s="107" t="s">
        <v>186</v>
      </c>
      <c r="H39" t="s">
        <v>184</v>
      </c>
      <c r="I39">
        <f>VLOOKUP(all[[#This Row],[DEVELOPMENT]],Data[],34,FALSE)</f>
        <v>1</v>
      </c>
      <c r="J39" t="s">
        <v>184</v>
      </c>
      <c r="K39">
        <f>VLOOKUP(B39,Data[],8,FALSE)</f>
        <v>0</v>
      </c>
      <c r="L39" t="str">
        <f>VLOOKUP(all[[#This Row],[DEVELOPMENT]],Data[],61,FALSE)</f>
        <v>No</v>
      </c>
      <c r="M39">
        <f>VLOOKUP(B39,Data[],9,FALSE)</f>
        <v>0</v>
      </c>
      <c r="N39">
        <v>3</v>
      </c>
      <c r="O39">
        <v>4</v>
      </c>
      <c r="P39" t="str">
        <f ca="1">IFERROR(VLOOKUP(B39,Data[],4,FALSE),"")</f>
        <v>2026+</v>
      </c>
      <c r="Q39" t="str">
        <f ca="1">IF(all[[#This Row],[RAD/PACT]]="","",IF(OR(all[[#This Row],[RAD/PACT]]="2021-2025",all[[#This Row],[RAD/PACT]]="2019-2020"),"Yes",""))</f>
        <v/>
      </c>
      <c r="R39">
        <f>VLOOKUP(all[[#This Row],[DEVELOPMENT]],Data[],7,FALSE)</f>
        <v>158</v>
      </c>
      <c r="S39">
        <f>VLOOKUP(all[[#This Row],[DEVELOPMENT]],Data[],25,FALSE)</f>
        <v>0</v>
      </c>
      <c r="T39">
        <f>VLOOKUP(all[[#This Row],[DEVELOPMENT]],Data[],5,FALSE)</f>
        <v>8</v>
      </c>
      <c r="U39">
        <f>VLOOKUP(all[[#This Row],[DEVELOPMENT]],Data[],10,FALSE)</f>
        <v>10</v>
      </c>
      <c r="V39">
        <f>VLOOKUP(all[[#This Row],[DEVELOPMENT]],Data[],10,FALSE)</f>
        <v>10</v>
      </c>
      <c r="W39">
        <f>VLOOKUP(all[[#This Row],[DEVELOPMENT]],Data[],33,FALSE)</f>
        <v>0</v>
      </c>
      <c r="X39">
        <f>VLOOKUP(all[[#This Row],[DEVELOPMENT]],Data[],33,FALSE)</f>
        <v>0</v>
      </c>
      <c r="Y39">
        <f>VLOOKUP(all[[#This Row],[DEVELOPMENT]],Data[],28,FALSE)</f>
        <v>0</v>
      </c>
      <c r="Z39">
        <f>IF(all[[#This Row],['# Bulk Crushers]]=0,1,0)</f>
        <v>1</v>
      </c>
      <c r="AA39" s="5">
        <f ca="1">IFERROR(INDEX(FWD[],MATCH($B39,FWD[DEVELOPMENT],0),MATCH("ESTIMATE",FWD[#Headers],0)),0)</f>
        <v>271560.27968829894</v>
      </c>
      <c r="AB39" s="5">
        <f ca="1">IFERROR(INDEX(EHDAll[],MATCH($B39,EHDAll[DEVELOPMENT],0),MATCH("ESTIMATE",EHDAll[#Headers],0)),0)</f>
        <v>82163.860674999989</v>
      </c>
      <c r="AC39" s="5">
        <f ca="1">IFERROR(INDEX(IntAll[],MATCH($B39,IntAll[DEVELOPMENT],0),MATCH("ESTIMATE",IntAll[#Headers],0)),0)</f>
        <v>630875</v>
      </c>
      <c r="AD39" s="5">
        <f ca="1">IFERROR(INDEX(YardsAll[],MATCH($B39,YardsAll[DEVELOPMENT],0),MATCH("TOTAL ESTIMATE",YardsAll[#Headers],0)),0)</f>
        <v>1934073.9567800006</v>
      </c>
      <c r="AE39" s="99">
        <f t="shared" ca="1" si="0"/>
        <v>2918673.0971432994</v>
      </c>
      <c r="AF39" s="5"/>
    </row>
    <row r="40" spans="1:32">
      <c r="A40" s="101">
        <f>VLOOKUP(B40,Data[],24,FALSE)</f>
        <v>59</v>
      </c>
      <c r="B40" t="s">
        <v>204</v>
      </c>
      <c r="C40" t="str">
        <f>VLOOKUP(all[[#This Row],[DEVELOPMENT]],Data[],MATCH(all[[#Headers],[PROGRAM]],Data[#Headers],0),FALSE)</f>
        <v>FEDERAL</v>
      </c>
      <c r="D40" t="str">
        <f>VLOOKUP(B40,Data[],2,FALSE)</f>
        <v>BRONX</v>
      </c>
      <c r="E40">
        <f>VLOOKUP(all[[#This Row],[DEVELOPMENT]],Data[],65,FALSE)</f>
        <v>79</v>
      </c>
      <c r="F40" t="e">
        <f>VLOOKUP(all[[#This Row],[DEVELOPMENT]],Data[],3,FALSE)</f>
        <v>#N/A</v>
      </c>
      <c r="G40" s="107" t="s">
        <v>186</v>
      </c>
      <c r="H40" t="s">
        <v>184</v>
      </c>
      <c r="I40">
        <f>VLOOKUP(all[[#This Row],[DEVELOPMENT]],Data[],34,FALSE)</f>
        <v>1</v>
      </c>
      <c r="J40" t="s">
        <v>183</v>
      </c>
      <c r="K40" t="str">
        <f>VLOOKUP(B40,Data[],8,FALSE)</f>
        <v>Zone 4</v>
      </c>
      <c r="L40" t="str">
        <f>VLOOKUP(all[[#This Row],[DEVELOPMENT]],Data[],61,FALSE)</f>
        <v>No</v>
      </c>
      <c r="M40">
        <f>VLOOKUP(B40,Data[],9,FALSE)</f>
        <v>0</v>
      </c>
      <c r="N40">
        <v>4</v>
      </c>
      <c r="O40">
        <v>4</v>
      </c>
      <c r="P40" t="str">
        <f ca="1">IFERROR(VLOOKUP(B40,Data[],4,FALSE),"")</f>
        <v>2026+</v>
      </c>
      <c r="Q40" t="str">
        <f ca="1">IF(all[[#This Row],[RAD/PACT]]="","",IF(OR(all[[#This Row],[RAD/PACT]]="2021-2025",all[[#This Row],[RAD/PACT]]="2019-2020"),"Yes",""))</f>
        <v/>
      </c>
      <c r="R40">
        <f>VLOOKUP(all[[#This Row],[DEVELOPMENT]],Data[],7,FALSE)</f>
        <v>1348</v>
      </c>
      <c r="S40">
        <f>VLOOKUP(all[[#This Row],[DEVELOPMENT]],Data[],25,FALSE)</f>
        <v>0</v>
      </c>
      <c r="T40">
        <f>VLOOKUP(all[[#This Row],[DEVELOPMENT]],Data[],5,FALSE)</f>
        <v>15</v>
      </c>
      <c r="U40">
        <f>VLOOKUP(all[[#This Row],[DEVELOPMENT]],Data[],10,FALSE)</f>
        <v>15</v>
      </c>
      <c r="V40">
        <f>VLOOKUP(all[[#This Row],[DEVELOPMENT]],Data[],10,FALSE)</f>
        <v>15</v>
      </c>
      <c r="W40">
        <f>VLOOKUP(all[[#This Row],[DEVELOPMENT]],Data[],33,FALSE)</f>
        <v>3</v>
      </c>
      <c r="X40">
        <f>VLOOKUP(all[[#This Row],[DEVELOPMENT]],Data[],33,FALSE)</f>
        <v>3</v>
      </c>
      <c r="Y40">
        <f>VLOOKUP(all[[#This Row],[DEVELOPMENT]],Data[],28,FALSE)</f>
        <v>0</v>
      </c>
      <c r="Z40">
        <f>IF(all[[#This Row],['# Bulk Crushers]]=0,1,0)</f>
        <v>1</v>
      </c>
      <c r="AA40" s="5">
        <f ca="1">IFERROR(INDEX(FWD[],MATCH($B40,FWD[DEVELOPMENT],0),MATCH("ESTIMATE",FWD[#Headers],0)),0)</f>
        <v>2316856.0570875122</v>
      </c>
      <c r="AB40" s="5">
        <f ca="1">IFERROR(INDEX(EHDAll[],MATCH($B40,EHDAll[DEVELOPMENT],0),MATCH("ESTIMATE",EHDAll[#Headers],0)),0)</f>
        <v>238684.15635</v>
      </c>
      <c r="AC40" s="5">
        <f ca="1">IFERROR(INDEX(IntAll[],MATCH($B40,IntAll[DEVELOPMENT],0),MATCH("ESTIMATE",IntAll[#Headers],0)),0)</f>
        <v>1211280</v>
      </c>
      <c r="AD40" s="5">
        <f ca="1">IFERROR(INDEX(YardsAll[],MATCH($B40,YardsAll[DEVELOPMENT],0),MATCH("TOTAL ESTIMATE",YardsAll[#Headers],0)),0)</f>
        <v>2596210.1510345</v>
      </c>
      <c r="AE40" s="99">
        <f t="shared" ca="1" si="0"/>
        <v>6363030.364472012</v>
      </c>
      <c r="AF40" s="5"/>
    </row>
    <row r="41" spans="1:32">
      <c r="A41" s="101">
        <f>VLOOKUP(B41,Data[],24,FALSE)</f>
        <v>171</v>
      </c>
      <c r="B41" t="s">
        <v>205</v>
      </c>
      <c r="C41" t="str">
        <f>VLOOKUP(all[[#This Row],[DEVELOPMENT]],Data[],MATCH(all[[#Headers],[PROGRAM]],Data[#Headers],0),FALSE)</f>
        <v>FEDERAL</v>
      </c>
      <c r="D41" t="str">
        <f>VLOOKUP(B41,Data[],2,FALSE)</f>
        <v>BROOKLYN</v>
      </c>
      <c r="E41">
        <f>VLOOKUP(all[[#This Row],[DEVELOPMENT]],Data[],65,FALSE)</f>
        <v>55</v>
      </c>
      <c r="F41" t="e">
        <f>VLOOKUP(all[[#This Row],[DEVELOPMENT]],Data[],3,FALSE)</f>
        <v>#N/A</v>
      </c>
      <c r="G41" s="107" t="s">
        <v>186</v>
      </c>
      <c r="H41" t="s">
        <v>184</v>
      </c>
      <c r="I41">
        <f>VLOOKUP(all[[#This Row],[DEVELOPMENT]],Data[],34,FALSE)</f>
        <v>1</v>
      </c>
      <c r="J41" t="s">
        <v>183</v>
      </c>
      <c r="K41">
        <f>VLOOKUP(B41,Data[],8,FALSE)</f>
        <v>0</v>
      </c>
      <c r="L41" t="str">
        <f>VLOOKUP(all[[#This Row],[DEVELOPMENT]],Data[],61,FALSE)</f>
        <v>No</v>
      </c>
      <c r="M41">
        <f>VLOOKUP(B41,Data[],9,FALSE)</f>
        <v>0</v>
      </c>
      <c r="N41">
        <v>3</v>
      </c>
      <c r="O41">
        <v>4</v>
      </c>
      <c r="P41" t="str">
        <f ca="1">IFERROR(VLOOKUP(B41,Data[],4,FALSE),"")</f>
        <v/>
      </c>
      <c r="Q41" t="str">
        <f ca="1">IF(all[[#This Row],[RAD/PACT]]="","",IF(OR(all[[#This Row],[RAD/PACT]]="2021-2025",all[[#This Row],[RAD/PACT]]="2019-2020"),"Yes",""))</f>
        <v/>
      </c>
      <c r="R41">
        <f>VLOOKUP(all[[#This Row],[DEVELOPMENT]],Data[],7,FALSE)</f>
        <v>439</v>
      </c>
      <c r="S41">
        <f>VLOOKUP(all[[#This Row],[DEVELOPMENT]],Data[],25,FALSE)</f>
        <v>0</v>
      </c>
      <c r="T41">
        <f>VLOOKUP(all[[#This Row],[DEVELOPMENT]],Data[],5,FALSE)</f>
        <v>4</v>
      </c>
      <c r="U41">
        <f>VLOOKUP(all[[#This Row],[DEVELOPMENT]],Data[],10,FALSE)</f>
        <v>5</v>
      </c>
      <c r="V41">
        <f>VLOOKUP(all[[#This Row],[DEVELOPMENT]],Data[],10,FALSE)</f>
        <v>5</v>
      </c>
      <c r="W41">
        <f>VLOOKUP(all[[#This Row],[DEVELOPMENT]],Data[],33,FALSE)</f>
        <v>0</v>
      </c>
      <c r="X41">
        <f>VLOOKUP(all[[#This Row],[DEVELOPMENT]],Data[],33,FALSE)</f>
        <v>0</v>
      </c>
      <c r="Y41">
        <f>VLOOKUP(all[[#This Row],[DEVELOPMENT]],Data[],28,FALSE)</f>
        <v>0</v>
      </c>
      <c r="Z41">
        <f>IF(all[[#This Row],['# Bulk Crushers]]=0,1,0)</f>
        <v>1</v>
      </c>
      <c r="AA41" s="5">
        <f ca="1">IFERROR(INDEX(FWD[],MATCH($B41,FWD[DEVELOPMENT],0),MATCH("ESTIMATE",FWD[#Headers],0)),0)</f>
        <v>754525.08090609638</v>
      </c>
      <c r="AB41" s="5">
        <f ca="1">IFERROR(INDEX(EHDAll[],MATCH($B41,EHDAll[DEVELOPMENT],0),MATCH("ESTIMATE",EHDAll[#Headers],0)),0)</f>
        <v>39780.692725000001</v>
      </c>
      <c r="AC41" s="5">
        <f ca="1">IFERROR(INDEX(IntAll[],MATCH($B41,IntAll[DEVELOPMENT],0),MATCH("ESTIMATE",IntAll[#Headers],0)),0)</f>
        <v>381679.375</v>
      </c>
      <c r="AD41" s="5">
        <f ca="1">IFERROR(INDEX(YardsAll[],MATCH($B41,YardsAll[DEVELOPMENT],0),MATCH("TOTAL ESTIMATE",YardsAll[#Headers],0)),0)</f>
        <v>1934073.9567800006</v>
      </c>
      <c r="AE41" s="99">
        <f t="shared" ca="1" si="0"/>
        <v>3110059.1054110969</v>
      </c>
      <c r="AF41" s="5"/>
    </row>
    <row r="42" spans="1:32">
      <c r="A42" s="101">
        <f>VLOOKUP(B42,Data[],24,FALSE)</f>
        <v>72</v>
      </c>
      <c r="B42" t="s">
        <v>206</v>
      </c>
      <c r="C42" t="str">
        <f>VLOOKUP(all[[#This Row],[DEVELOPMENT]],Data[],MATCH(all[[#Headers],[PROGRAM]],Data[#Headers],0),FALSE)</f>
        <v>FEDERAL</v>
      </c>
      <c r="D42" t="str">
        <f>VLOOKUP(B42,Data[],2,FALSE)</f>
        <v>BROOKLYN</v>
      </c>
      <c r="E42">
        <f>VLOOKUP(all[[#This Row],[DEVELOPMENT]],Data[],65,FALSE)</f>
        <v>55</v>
      </c>
      <c r="F42" t="e">
        <f>VLOOKUP(all[[#This Row],[DEVELOPMENT]],Data[],3,FALSE)</f>
        <v>#N/A</v>
      </c>
      <c r="G42" s="107" t="s">
        <v>186</v>
      </c>
      <c r="H42" t="s">
        <v>184</v>
      </c>
      <c r="I42">
        <f>VLOOKUP(all[[#This Row],[DEVELOPMENT]],Data[],34,FALSE)</f>
        <v>1</v>
      </c>
      <c r="J42" t="s">
        <v>183</v>
      </c>
      <c r="K42">
        <f>VLOOKUP(B42,Data[],8,FALSE)</f>
        <v>0</v>
      </c>
      <c r="L42" t="str">
        <f>VLOOKUP(all[[#This Row],[DEVELOPMENT]],Data[],61,FALSE)</f>
        <v>No</v>
      </c>
      <c r="M42">
        <f>VLOOKUP(B42,Data[],9,FALSE)</f>
        <v>0</v>
      </c>
      <c r="N42">
        <v>4</v>
      </c>
      <c r="O42" t="s">
        <v>185</v>
      </c>
      <c r="P42" t="str">
        <f ca="1">IFERROR(VLOOKUP(B42,Data[],4,FALSE),"")</f>
        <v>2026+</v>
      </c>
      <c r="Q42" t="str">
        <f ca="1">IF(all[[#This Row],[RAD/PACT]]="","",IF(OR(all[[#This Row],[RAD/PACT]]="2021-2025",all[[#This Row],[RAD/PACT]]="2019-2020"),"Yes",""))</f>
        <v/>
      </c>
      <c r="R42">
        <f>VLOOKUP(all[[#This Row],[DEVELOPMENT]],Data[],7,FALSE)</f>
        <v>813</v>
      </c>
      <c r="S42">
        <f>VLOOKUP(all[[#This Row],[DEVELOPMENT]],Data[],25,FALSE)</f>
        <v>0</v>
      </c>
      <c r="T42">
        <f>VLOOKUP(all[[#This Row],[DEVELOPMENT]],Data[],5,FALSE)</f>
        <v>10</v>
      </c>
      <c r="U42">
        <f>VLOOKUP(all[[#This Row],[DEVELOPMENT]],Data[],10,FALSE)</f>
        <v>16</v>
      </c>
      <c r="V42">
        <f>VLOOKUP(all[[#This Row],[DEVELOPMENT]],Data[],10,FALSE)</f>
        <v>16</v>
      </c>
      <c r="W42">
        <f>VLOOKUP(all[[#This Row],[DEVELOPMENT]],Data[],33,FALSE)</f>
        <v>2</v>
      </c>
      <c r="X42">
        <f>VLOOKUP(all[[#This Row],[DEVELOPMENT]],Data[],33,FALSE)</f>
        <v>2</v>
      </c>
      <c r="Y42">
        <f>VLOOKUP(all[[#This Row],[DEVELOPMENT]],Data[],28,FALSE)</f>
        <v>0</v>
      </c>
      <c r="Z42">
        <f>IF(all[[#This Row],['# Bulk Crushers]]=0,1,0)</f>
        <v>1</v>
      </c>
      <c r="AA42" s="5">
        <f ca="1">IFERROR(INDEX(FWD[],MATCH($B42,FWD[DEVELOPMENT],0),MATCH("ESTIMATE",FWD[#Headers],0)),0)</f>
        <v>1397332.3252315635</v>
      </c>
      <c r="AB42" s="5">
        <f ca="1">IFERROR(INDEX(EHDAll[],MATCH($B42,EHDAll[DEVELOPMENT],0),MATCH("ESTIMATE",EHDAll[#Headers],0)),0)</f>
        <v>127298.21672000001</v>
      </c>
      <c r="AC42" s="5">
        <f ca="1">IFERROR(INDEX(IntAll[],MATCH($B42,IntAll[DEVELOPMENT],0),MATCH("ESTIMATE",IntAll[#Headers],0)),0)</f>
        <v>1256703</v>
      </c>
      <c r="AD42" s="5">
        <f ca="1">IFERROR(INDEX(YardsAll[],MATCH($B42,YardsAll[DEVELOPMENT],0),MATCH("TOTAL ESTIMATE",YardsAll[#Headers],0)),0)</f>
        <v>2232573.9527325006</v>
      </c>
      <c r="AE42" s="99">
        <f t="shared" ca="1" si="0"/>
        <v>5013907.4946840638</v>
      </c>
      <c r="AF42" s="5"/>
    </row>
    <row r="43" spans="1:32">
      <c r="A43" s="101">
        <f>VLOOKUP(B43,Data[],24,FALSE)</f>
        <v>14</v>
      </c>
      <c r="B43" t="s">
        <v>207</v>
      </c>
      <c r="C43" t="str">
        <f>VLOOKUP(all[[#This Row],[DEVELOPMENT]],Data[],MATCH(all[[#Headers],[PROGRAM]],Data[#Headers],0),FALSE)</f>
        <v>FEDERAL</v>
      </c>
      <c r="D43" t="str">
        <f>VLOOKUP(B43,Data[],2,FALSE)</f>
        <v>BROOKLYN</v>
      </c>
      <c r="E43">
        <f>VLOOKUP(all[[#This Row],[DEVELOPMENT]],Data[],65,FALSE)</f>
        <v>57</v>
      </c>
      <c r="F43" t="e">
        <f>VLOOKUP(all[[#This Row],[DEVELOPMENT]],Data[],3,FALSE)</f>
        <v>#N/A</v>
      </c>
      <c r="G43" s="107" t="s">
        <v>186</v>
      </c>
      <c r="H43" t="s">
        <v>184</v>
      </c>
      <c r="I43">
        <f>VLOOKUP(all[[#This Row],[DEVELOPMENT]],Data[],34,FALSE)</f>
        <v>1</v>
      </c>
      <c r="J43" t="s">
        <v>183</v>
      </c>
      <c r="K43">
        <f>VLOOKUP(B43,Data[],8,FALSE)</f>
        <v>0</v>
      </c>
      <c r="L43" t="str">
        <f>VLOOKUP(all[[#This Row],[DEVELOPMENT]],Data[],61,FALSE)</f>
        <v>Yes</v>
      </c>
      <c r="M43">
        <f>VLOOKUP(B43,Data[],9,FALSE)</f>
        <v>0</v>
      </c>
      <c r="N43">
        <v>3</v>
      </c>
      <c r="O43">
        <v>3</v>
      </c>
      <c r="P43" t="str">
        <f ca="1">IFERROR(VLOOKUP(B43,Data[],4,FALSE),"")</f>
        <v/>
      </c>
      <c r="Q43" t="str">
        <f ca="1">IF(all[[#This Row],[RAD/PACT]]="","",IF(OR(all[[#This Row],[RAD/PACT]]="2021-2025",all[[#This Row],[RAD/PACT]]="2019-2020"),"Yes",""))</f>
        <v/>
      </c>
      <c r="R43">
        <f>VLOOKUP(all[[#This Row],[DEVELOPMENT]],Data[],7,FALSE)</f>
        <v>1830</v>
      </c>
      <c r="S43" t="str">
        <f>VLOOKUP(all[[#This Row],[DEVELOPMENT]],Data[],25,FALSE)</f>
        <v>Newtown Creek</v>
      </c>
      <c r="T43">
        <f>VLOOKUP(all[[#This Row],[DEVELOPMENT]],Data[],5,FALSE)</f>
        <v>20</v>
      </c>
      <c r="U43">
        <f>VLOOKUP(all[[#This Row],[DEVELOPMENT]],Data[],10,FALSE)</f>
        <v>45</v>
      </c>
      <c r="V43">
        <f>VLOOKUP(all[[#This Row],[DEVELOPMENT]],Data[],10,FALSE)</f>
        <v>45</v>
      </c>
      <c r="W43">
        <f>VLOOKUP(all[[#This Row],[DEVELOPMENT]],Data[],33,FALSE)</f>
        <v>3</v>
      </c>
      <c r="X43">
        <f>VLOOKUP(all[[#This Row],[DEVELOPMENT]],Data[],33,FALSE)</f>
        <v>3</v>
      </c>
      <c r="Y43">
        <f>VLOOKUP(all[[#This Row],[DEVELOPMENT]],Data[],28,FALSE)</f>
        <v>0</v>
      </c>
      <c r="Z43">
        <f>IF(all[[#This Row],['# Bulk Crushers]]=0,1,0)</f>
        <v>1</v>
      </c>
      <c r="AA43" s="5">
        <f ca="1">IFERROR(INDEX(FWD[],MATCH($B43,FWD[DEVELOPMENT],0),MATCH("ESTIMATE",FWD[#Headers],0)),0)</f>
        <v>3145286.7837315635</v>
      </c>
      <c r="AB43" s="5">
        <f ca="1">IFERROR(INDEX(EHDAll[],MATCH($B43,EHDAll[DEVELOPMENT],0),MATCH("ESTIMATE",EHDAll[#Headers],0)),0)</f>
        <v>358026.23452500004</v>
      </c>
      <c r="AC43" s="5">
        <f ca="1">IFERROR(INDEX(IntAll[],MATCH($B43,IntAll[DEVELOPMENT],0),MATCH("ESTIMATE",IntAll[#Headers],0)),0)</f>
        <v>3335751.5625</v>
      </c>
      <c r="AD43" s="5">
        <f ca="1">IFERROR(INDEX(YardsAll[],MATCH($B43,YardsAll[DEVELOPMENT],0),MATCH("TOTAL ESTIMATE",YardsAll[#Headers],0)),0)</f>
        <v>0</v>
      </c>
      <c r="AE43" s="99">
        <f t="shared" ca="1" si="0"/>
        <v>6839064.5807565637</v>
      </c>
      <c r="AF43" s="5"/>
    </row>
    <row r="44" spans="1:32">
      <c r="A44" s="101">
        <f>VLOOKUP(B44,Data[],24,FALSE)</f>
        <v>10</v>
      </c>
      <c r="B44" t="s">
        <v>84</v>
      </c>
      <c r="C44" t="str">
        <f>VLOOKUP(all[[#This Row],[DEVELOPMENT]],Data[],MATCH(all[[#Headers],[PROGRAM]],Data[#Headers],0),FALSE)</f>
        <v>FEDERAL</v>
      </c>
      <c r="D44" t="str">
        <f>VLOOKUP(B44,Data[],2,FALSE)</f>
        <v>BROOKLYN</v>
      </c>
      <c r="E44" t="str">
        <f>VLOOKUP(all[[#This Row],[DEVELOPMENT]],Data[],65,FALSE)</f>
        <v>55, 56</v>
      </c>
      <c r="F44" t="e">
        <f>VLOOKUP(all[[#This Row],[DEVELOPMENT]],Data[],3,FALSE)</f>
        <v>#N/A</v>
      </c>
      <c r="G44" s="107" t="s">
        <v>186</v>
      </c>
      <c r="H44" t="s">
        <v>184</v>
      </c>
      <c r="I44">
        <f>VLOOKUP(all[[#This Row],[DEVELOPMENT]],Data[],34,FALSE)</f>
        <v>1</v>
      </c>
      <c r="J44" t="s">
        <v>183</v>
      </c>
      <c r="K44" t="str">
        <f>VLOOKUP(B44,Data[],8,FALSE)</f>
        <v>Zone 3</v>
      </c>
      <c r="L44" t="str">
        <f>VLOOKUP(all[[#This Row],[DEVELOPMENT]],Data[],61,FALSE)</f>
        <v>No</v>
      </c>
      <c r="M44">
        <f>VLOOKUP(B44,Data[],9,FALSE)</f>
        <v>4</v>
      </c>
      <c r="N44">
        <v>3</v>
      </c>
      <c r="O44">
        <v>3</v>
      </c>
      <c r="P44" t="str">
        <f ca="1">IFERROR(VLOOKUP(B44,Data[],4,FALSE),"")</f>
        <v/>
      </c>
      <c r="Q44" t="str">
        <f ca="1">IF(all[[#This Row],[RAD/PACT]]="","",IF(OR(all[[#This Row],[RAD/PACT]]="2021-2025",all[[#This Row],[RAD/PACT]]="2019-2020"),"Yes",""))</f>
        <v/>
      </c>
      <c r="R44">
        <f>VLOOKUP(all[[#This Row],[DEVELOPMENT]],Data[],7,FALSE)</f>
        <v>1154</v>
      </c>
      <c r="S44" t="str">
        <f>VLOOKUP(all[[#This Row],[DEVELOPMENT]],Data[],25,FALSE)</f>
        <v>Newtown Creek</v>
      </c>
      <c r="T44">
        <f>VLOOKUP(all[[#This Row],[DEVELOPMENT]],Data[],5,FALSE)</f>
        <v>16</v>
      </c>
      <c r="U44">
        <f>VLOOKUP(all[[#This Row],[DEVELOPMENT]],Data[],10,FALSE)</f>
        <v>35</v>
      </c>
      <c r="V44">
        <f>VLOOKUP(all[[#This Row],[DEVELOPMENT]],Data[],10,FALSE)</f>
        <v>35</v>
      </c>
      <c r="W44">
        <f>VLOOKUP(all[[#This Row],[DEVELOPMENT]],Data[],33,FALSE)</f>
        <v>0</v>
      </c>
      <c r="X44">
        <f>VLOOKUP(all[[#This Row],[DEVELOPMENT]],Data[],33,FALSE)</f>
        <v>0</v>
      </c>
      <c r="Y44">
        <f>VLOOKUP(all[[#This Row],[DEVELOPMENT]],Data[],28,FALSE)</f>
        <v>0</v>
      </c>
      <c r="Z44">
        <f>IF(all[[#This Row],['# Bulk Crushers]]=0,1,0)</f>
        <v>1</v>
      </c>
      <c r="AA44" s="5">
        <f ca="1">IFERROR(INDEX(FWD[],MATCH($B44,FWD[DEVELOPMENT],0),MATCH("ESTIMATE",FWD[#Headers],0)),0)</f>
        <v>1983421.2832930188</v>
      </c>
      <c r="AB44" s="5">
        <f ca="1">IFERROR(INDEX(EHDAll[],MATCH($B44,EHDAll[DEVELOPMENT],0),MATCH("ESTIMATE",EHDAll[#Headers],0)),0)</f>
        <v>269356.1857875</v>
      </c>
      <c r="AC44" s="5">
        <f ca="1">IFERROR(INDEX(IntAll[],MATCH($B44,IntAll[DEVELOPMENT],0),MATCH("ESTIMATE",IntAll[#Headers],0)),0)</f>
        <v>2439909.0625</v>
      </c>
      <c r="AD44" s="5">
        <f ca="1">IFERROR(INDEX(YardsAll[],MATCH($B44,YardsAll[DEVELOPMENT],0),MATCH("TOTAL ESTIMATE",YardsAll[#Headers],0)),0)</f>
        <v>1934073.9567800006</v>
      </c>
      <c r="AE44" s="99">
        <f t="shared" ca="1" si="0"/>
        <v>6626760.4883605195</v>
      </c>
      <c r="AF44" s="5"/>
    </row>
    <row r="45" spans="1:32">
      <c r="A45" s="101">
        <f>VLOOKUP(B45,Data[],24,FALSE)</f>
        <v>276</v>
      </c>
      <c r="B45" t="s">
        <v>208</v>
      </c>
      <c r="C45" t="str">
        <f>VLOOKUP(all[[#This Row],[DEVELOPMENT]],Data[],MATCH(all[[#Headers],[PROGRAM]],Data[#Headers],0),FALSE)</f>
        <v>FEDERAL</v>
      </c>
      <c r="D45" t="str">
        <f>VLOOKUP(B45,Data[],2,FALSE)</f>
        <v>BROOKLYN</v>
      </c>
      <c r="E45">
        <f>VLOOKUP(all[[#This Row],[DEVELOPMENT]],Data[],65,FALSE)</f>
        <v>60</v>
      </c>
      <c r="F45" t="e">
        <f>VLOOKUP(all[[#This Row],[DEVELOPMENT]],Data[],3,FALSE)</f>
        <v>#N/A</v>
      </c>
      <c r="G45" s="107" t="s">
        <v>186</v>
      </c>
      <c r="H45" t="s">
        <v>184</v>
      </c>
      <c r="I45">
        <f>VLOOKUP(all[[#This Row],[DEVELOPMENT]],Data[],34,FALSE)</f>
        <v>1</v>
      </c>
      <c r="J45" t="s">
        <v>184</v>
      </c>
      <c r="K45">
        <f>VLOOKUP(B45,Data[],8,FALSE)</f>
        <v>0</v>
      </c>
      <c r="L45" t="str">
        <f>VLOOKUP(all[[#This Row],[DEVELOPMENT]],Data[],61,FALSE)</f>
        <v>No</v>
      </c>
      <c r="M45">
        <f>VLOOKUP(B45,Data[],9,FALSE)</f>
        <v>0</v>
      </c>
      <c r="N45">
        <v>1</v>
      </c>
      <c r="O45">
        <v>1</v>
      </c>
      <c r="P45" t="str">
        <f ca="1">IFERROR(VLOOKUP(B45,Data[],4,FALSE),"")</f>
        <v>2026+</v>
      </c>
      <c r="Q45" t="str">
        <f ca="1">IF(all[[#This Row],[RAD/PACT]]="","",IF(OR(all[[#This Row],[RAD/PACT]]="2021-2025",all[[#This Row],[RAD/PACT]]="2019-2020"),"Yes",""))</f>
        <v/>
      </c>
      <c r="R45">
        <f>VLOOKUP(all[[#This Row],[DEVELOPMENT]],Data[],7,FALSE)</f>
        <v>229</v>
      </c>
      <c r="S45">
        <f>VLOOKUP(all[[#This Row],[DEVELOPMENT]],Data[],25,FALSE)</f>
        <v>0</v>
      </c>
      <c r="T45">
        <f>VLOOKUP(all[[#This Row],[DEVELOPMENT]],Data[],5,FALSE)</f>
        <v>4</v>
      </c>
      <c r="U45">
        <f>VLOOKUP(all[[#This Row],[DEVELOPMENT]],Data[],10,FALSE)</f>
        <v>4</v>
      </c>
      <c r="V45">
        <f>VLOOKUP(all[[#This Row],[DEVELOPMENT]],Data[],10,FALSE)</f>
        <v>4</v>
      </c>
      <c r="W45">
        <f>VLOOKUP(all[[#This Row],[DEVELOPMENT]],Data[],33,FALSE)</f>
        <v>0</v>
      </c>
      <c r="X45">
        <f>VLOOKUP(all[[#This Row],[DEVELOPMENT]],Data[],33,FALSE)</f>
        <v>0</v>
      </c>
      <c r="Y45">
        <f>VLOOKUP(all[[#This Row],[DEVELOPMENT]],Data[],28,FALSE)</f>
        <v>0</v>
      </c>
      <c r="Z45">
        <f>IF(all[[#This Row],['# Bulk Crushers]]=0,1,0)</f>
        <v>1</v>
      </c>
      <c r="AA45" s="5">
        <f ca="1">IFERROR(INDEX(FWD[],MATCH($B45,FWD[DEVELOPMENT],0),MATCH("ESTIMATE",FWD[#Headers],0)),0)</f>
        <v>393590.531953294</v>
      </c>
      <c r="AB45" s="5">
        <f ca="1">IFERROR(INDEX(EHDAll[],MATCH($B45,EHDAll[DEVELOPMENT],0),MATCH("ESTIMATE",EHDAll[#Headers],0)),0)</f>
        <v>32865.544269999999</v>
      </c>
      <c r="AC45" s="5">
        <f ca="1">IFERROR(INDEX(IntAll[],MATCH($B45,IntAll[DEVELOPMENT],0),MATCH("ESTIMATE",IntAll[#Headers],0)),0)</f>
        <v>252350</v>
      </c>
      <c r="AD45" s="5">
        <f ca="1">IFERROR(INDEX(YardsAll[],MATCH($B45,YardsAll[DEVELOPMENT],0),MATCH("TOTAL ESTIMATE",YardsAll[#Headers],0)),0)</f>
        <v>1934073.9567800006</v>
      </c>
      <c r="AE45" s="99">
        <f t="shared" ca="1" si="0"/>
        <v>2612880.0330032948</v>
      </c>
      <c r="AF45" s="5"/>
    </row>
    <row r="46" spans="1:32">
      <c r="A46" s="101">
        <f>VLOOKUP(B46,Data[],24,FALSE)</f>
        <v>88</v>
      </c>
      <c r="B46" t="s">
        <v>114</v>
      </c>
      <c r="C46" t="str">
        <f>VLOOKUP(all[[#This Row],[DEVELOPMENT]],Data[],MATCH(all[[#Headers],[PROGRAM]],Data[#Headers],0),FALSE)</f>
        <v>FEDERAL</v>
      </c>
      <c r="D46" t="str">
        <f>VLOOKUP(B46,Data[],2,FALSE)</f>
        <v>BRONX</v>
      </c>
      <c r="E46">
        <f>VLOOKUP(all[[#This Row],[DEVELOPMENT]],Data[],65,FALSE)</f>
        <v>85</v>
      </c>
      <c r="F46" t="e">
        <f>VLOOKUP(all[[#This Row],[DEVELOPMENT]],Data[],3,FALSE)</f>
        <v>#N/A</v>
      </c>
      <c r="G46" s="107" t="s">
        <v>186</v>
      </c>
      <c r="H46" t="s">
        <v>184</v>
      </c>
      <c r="I46">
        <f>VLOOKUP(all[[#This Row],[DEVELOPMENT]],Data[],34,FALSE)</f>
        <v>1</v>
      </c>
      <c r="J46" t="s">
        <v>183</v>
      </c>
      <c r="K46" t="str">
        <f>VLOOKUP(B46,Data[],8,FALSE)</f>
        <v>Zone 3</v>
      </c>
      <c r="L46" t="str">
        <f>VLOOKUP(all[[#This Row],[DEVELOPMENT]],Data[],61,FALSE)</f>
        <v>No</v>
      </c>
      <c r="M46">
        <f>VLOOKUP(B46,Data[],9,FALSE)</f>
        <v>4</v>
      </c>
      <c r="N46">
        <v>2</v>
      </c>
      <c r="O46">
        <v>3</v>
      </c>
      <c r="P46" t="str">
        <f ca="1">IFERROR(VLOOKUP(B46,Data[],4,FALSE),"")</f>
        <v>2026+</v>
      </c>
      <c r="Q46" t="str">
        <f ca="1">IF(all[[#This Row],[RAD/PACT]]="","",IF(OR(all[[#This Row],[RAD/PACT]]="2021-2025",all[[#This Row],[RAD/PACT]]="2019-2020"),"Yes",""))</f>
        <v/>
      </c>
      <c r="R46">
        <f>VLOOKUP(all[[#This Row],[DEVELOPMENT]],Data[],7,FALSE)</f>
        <v>1100</v>
      </c>
      <c r="S46">
        <f>VLOOKUP(all[[#This Row],[DEVELOPMENT]],Data[],25,FALSE)</f>
        <v>0</v>
      </c>
      <c r="T46">
        <f>VLOOKUP(all[[#This Row],[DEVELOPMENT]],Data[],5,FALSE)</f>
        <v>12</v>
      </c>
      <c r="U46">
        <f>VLOOKUP(all[[#This Row],[DEVELOPMENT]],Data[],10,FALSE)</f>
        <v>18</v>
      </c>
      <c r="V46">
        <f>VLOOKUP(all[[#This Row],[DEVELOPMENT]],Data[],10,FALSE)</f>
        <v>18</v>
      </c>
      <c r="W46">
        <f>VLOOKUP(all[[#This Row],[DEVELOPMENT]],Data[],33,FALSE)</f>
        <v>2</v>
      </c>
      <c r="X46">
        <f>VLOOKUP(all[[#This Row],[DEVELOPMENT]],Data[],33,FALSE)</f>
        <v>2</v>
      </c>
      <c r="Y46">
        <f>VLOOKUP(all[[#This Row],[DEVELOPMENT]],Data[],28,FALSE)</f>
        <v>0</v>
      </c>
      <c r="Z46">
        <f>IF(all[[#This Row],['# Bulk Crushers]]=0,1,0)</f>
        <v>1</v>
      </c>
      <c r="AA46" s="5">
        <f ca="1">IFERROR(INDEX(FWD[],MATCH($B46,FWD[DEVELOPMENT],0),MATCH("ESTIMATE",FWD[#Headers],0)),0)</f>
        <v>1890609.5421337266</v>
      </c>
      <c r="AB46" s="5">
        <f ca="1">IFERROR(INDEX(EHDAll[],MATCH($B46,EHDAll[DEVELOPMENT],0),MATCH("ESTIMATE",EHDAll[#Headers],0)),0)</f>
        <v>138526.038405</v>
      </c>
      <c r="AC46" s="5">
        <f ca="1">IFERROR(INDEX(IntAll[],MATCH($B46,IntAll[DEVELOPMENT],0),MATCH("ESTIMATE",IntAll[#Headers],0)),0)</f>
        <v>1175320.125</v>
      </c>
      <c r="AD46" s="5">
        <f ca="1">IFERROR(INDEX(YardsAll[],MATCH($B46,YardsAll[DEVELOPMENT],0),MATCH("TOTAL ESTIMATE",YardsAll[#Headers],0)),0)</f>
        <v>2161858.9406550005</v>
      </c>
      <c r="AE46" s="99">
        <f t="shared" ca="1" si="0"/>
        <v>5366314.6461937269</v>
      </c>
      <c r="AF46" s="5"/>
    </row>
    <row r="47" spans="1:32">
      <c r="A47" s="101">
        <f>VLOOKUP(B47,Data[],24,FALSE)</f>
        <v>43</v>
      </c>
      <c r="B47" t="s">
        <v>209</v>
      </c>
      <c r="C47" t="str">
        <f>VLOOKUP(all[[#This Row],[DEVELOPMENT]],Data[],MATCH(all[[#Headers],[PROGRAM]],Data[#Headers],0),FALSE)</f>
        <v>FEDERAL</v>
      </c>
      <c r="D47" t="str">
        <f>VLOOKUP(B47,Data[],2,FALSE)</f>
        <v>BROOKLYN</v>
      </c>
      <c r="E47">
        <f>VLOOKUP(all[[#This Row],[DEVELOPMENT]],Data[],65,FALSE)</f>
        <v>41</v>
      </c>
      <c r="F47" t="e">
        <f>VLOOKUP(all[[#This Row],[DEVELOPMENT]],Data[],3,FALSE)</f>
        <v>#N/A</v>
      </c>
      <c r="G47" s="107" t="s">
        <v>186</v>
      </c>
      <c r="H47" t="s">
        <v>184</v>
      </c>
      <c r="I47">
        <f>VLOOKUP(all[[#This Row],[DEVELOPMENT]],Data[],34,FALSE)</f>
        <v>1</v>
      </c>
      <c r="J47" t="s">
        <v>184</v>
      </c>
      <c r="K47">
        <f>VLOOKUP(B47,Data[],8,FALSE)</f>
        <v>0</v>
      </c>
      <c r="L47" t="str">
        <f>VLOOKUP(all[[#This Row],[DEVELOPMENT]],Data[],61,FALSE)</f>
        <v>No</v>
      </c>
      <c r="M47">
        <f>VLOOKUP(B47,Data[],9,FALSE)</f>
        <v>0</v>
      </c>
      <c r="N47">
        <v>4</v>
      </c>
      <c r="O47" t="s">
        <v>185</v>
      </c>
      <c r="P47" t="str">
        <f ca="1">IFERROR(VLOOKUP(B47,Data[],4,FALSE),"")</f>
        <v>2026+</v>
      </c>
      <c r="Q47" t="str">
        <f ca="1">IF(all[[#This Row],[RAD/PACT]]="","",IF(OR(all[[#This Row],[RAD/PACT]]="2021-2025",all[[#This Row],[RAD/PACT]]="2019-2020"),"Yes",""))</f>
        <v/>
      </c>
      <c r="R47">
        <f>VLOOKUP(all[[#This Row],[DEVELOPMENT]],Data[],7,FALSE)</f>
        <v>1146</v>
      </c>
      <c r="S47">
        <f>VLOOKUP(all[[#This Row],[DEVELOPMENT]],Data[],25,FALSE)</f>
        <v>0</v>
      </c>
      <c r="T47">
        <f>VLOOKUP(all[[#This Row],[DEVELOPMENT]],Data[],5,FALSE)</f>
        <v>16</v>
      </c>
      <c r="U47">
        <f>VLOOKUP(all[[#This Row],[DEVELOPMENT]],Data[],10,FALSE)</f>
        <v>32</v>
      </c>
      <c r="V47">
        <f>VLOOKUP(all[[#This Row],[DEVELOPMENT]],Data[],10,FALSE)</f>
        <v>32</v>
      </c>
      <c r="W47">
        <f>VLOOKUP(all[[#This Row],[DEVELOPMENT]],Data[],33,FALSE)</f>
        <v>0</v>
      </c>
      <c r="X47">
        <f>VLOOKUP(all[[#This Row],[DEVELOPMENT]],Data[],33,FALSE)</f>
        <v>0</v>
      </c>
      <c r="Y47">
        <f>VLOOKUP(all[[#This Row],[DEVELOPMENT]],Data[],28,FALSE)</f>
        <v>0</v>
      </c>
      <c r="Z47">
        <f>IF(all[[#This Row],['# Bulk Crushers]]=0,1,0)</f>
        <v>1</v>
      </c>
      <c r="AA47" s="5">
        <f ca="1">IFERROR(INDEX(FWD[],MATCH($B47,FWD[DEVELOPMENT],0),MATCH("ESTIMATE",FWD[#Headers],0)),0)</f>
        <v>1969671.3957138644</v>
      </c>
      <c r="AB47" s="5">
        <f ca="1">IFERROR(INDEX(EHDAll[],MATCH($B47,EHDAll[DEVELOPMENT],0),MATCH("ESTIMATE",EHDAll[#Headers],0)),0)</f>
        <v>262924.35415999999</v>
      </c>
      <c r="AC47" s="5">
        <f ca="1">IFERROR(INDEX(IntAll[],MATCH($B47,IntAll[DEVELOPMENT],0),MATCH("ESTIMATE",IntAll[#Headers],0)),0)</f>
        <v>2513406</v>
      </c>
      <c r="AD47" s="5">
        <f ca="1">IFERROR(INDEX(YardsAll[],MATCH($B47,YardsAll[DEVELOPMENT],0),MATCH("TOTAL ESTIMATE",YardsAll[#Headers],0)),0)</f>
        <v>1997338.0581700003</v>
      </c>
      <c r="AE47" s="99">
        <f t="shared" ca="1" si="0"/>
        <v>6743339.8080438646</v>
      </c>
      <c r="AF47" s="5"/>
    </row>
    <row r="48" spans="1:32">
      <c r="A48" s="101">
        <f>VLOOKUP(B48,Data[],24,FALSE)</f>
        <v>24</v>
      </c>
      <c r="B48" t="s">
        <v>132</v>
      </c>
      <c r="C48" t="str">
        <f>VLOOKUP(all[[#This Row],[DEVELOPMENT]],Data[],MATCH(all[[#Headers],[PROGRAM]],Data[#Headers],0),FALSE)</f>
        <v>FEDERAL</v>
      </c>
      <c r="D48" t="str">
        <f>VLOOKUP(B48,Data[],2,FALSE)</f>
        <v>BRONX</v>
      </c>
      <c r="E48">
        <f>VLOOKUP(all[[#This Row],[DEVELOPMENT]],Data[],65,FALSE)</f>
        <v>84</v>
      </c>
      <c r="F48" t="e">
        <f>VLOOKUP(all[[#This Row],[DEVELOPMENT]],Data[],3,FALSE)</f>
        <v>#N/A</v>
      </c>
      <c r="G48" s="107" t="s">
        <v>186</v>
      </c>
      <c r="H48" t="s">
        <v>184</v>
      </c>
      <c r="I48">
        <f>VLOOKUP(all[[#This Row],[DEVELOPMENT]],Data[],34,FALSE)</f>
        <v>1</v>
      </c>
      <c r="J48" t="s">
        <v>183</v>
      </c>
      <c r="K48" t="str">
        <f>VLOOKUP(B48,Data[],8,FALSE)</f>
        <v>Zone 3</v>
      </c>
      <c r="L48" t="str">
        <f>VLOOKUP(all[[#This Row],[DEVELOPMENT]],Data[],61,FALSE)</f>
        <v>Yes</v>
      </c>
      <c r="M48">
        <f>VLOOKUP(B48,Data[],9,FALSE)</f>
        <v>3</v>
      </c>
      <c r="N48">
        <v>2</v>
      </c>
      <c r="O48">
        <v>4</v>
      </c>
      <c r="P48" t="str">
        <f ca="1">IFERROR(VLOOKUP(B48,Data[],4,FALSE),"")</f>
        <v>2022-2025</v>
      </c>
      <c r="Q48" t="str">
        <f ca="1">IF(all[[#This Row],[RAD/PACT]]="","",IF(OR(all[[#This Row],[RAD/PACT]]="2021-2025",all[[#This Row],[RAD/PACT]]="2019-2020"),"Yes",""))</f>
        <v/>
      </c>
      <c r="R48">
        <f>VLOOKUP(all[[#This Row],[DEVELOPMENT]],Data[],7,FALSE)</f>
        <v>1789</v>
      </c>
      <c r="S48">
        <f>VLOOKUP(all[[#This Row],[DEVELOPMENT]],Data[],25,FALSE)</f>
        <v>0</v>
      </c>
      <c r="T48">
        <f>VLOOKUP(all[[#This Row],[DEVELOPMENT]],Data[],5,FALSE)</f>
        <v>15</v>
      </c>
      <c r="U48">
        <f>VLOOKUP(all[[#This Row],[DEVELOPMENT]],Data[],10,FALSE)</f>
        <v>25</v>
      </c>
      <c r="V48">
        <f>VLOOKUP(all[[#This Row],[DEVELOPMENT]],Data[],10,FALSE)</f>
        <v>25</v>
      </c>
      <c r="W48">
        <f>VLOOKUP(all[[#This Row],[DEVELOPMENT]],Data[],33,FALSE)</f>
        <v>4</v>
      </c>
      <c r="X48">
        <f>VLOOKUP(all[[#This Row],[DEVELOPMENT]],Data[],33,FALSE)</f>
        <v>4</v>
      </c>
      <c r="Y48">
        <f>VLOOKUP(all[[#This Row],[DEVELOPMENT]],Data[],28,FALSE)</f>
        <v>0</v>
      </c>
      <c r="Z48">
        <f>IF(all[[#This Row],['# Bulk Crushers]]=0,1,0)</f>
        <v>1</v>
      </c>
      <c r="AA48" s="5">
        <f ca="1">IFERROR(INDEX(FWD[],MATCH($B48,FWD[DEVELOPMENT],0),MATCH("ESTIMATE",FWD[#Headers],0)),0)</f>
        <v>3074818.6098883972</v>
      </c>
      <c r="AB48" s="5">
        <f ca="1">IFERROR(INDEX(EHDAll[],MATCH($B48,EHDAll[DEVELOPMENT],0),MATCH("ESTIMATE",EHDAll[#Headers],0)),0)</f>
        <v>185891.08749999999</v>
      </c>
      <c r="AC48" s="5">
        <f ca="1">IFERROR(INDEX(IntAll[],MATCH($B48,IntAll[DEVELOPMENT],0),MATCH("ESTIMATE",IntAll[#Headers],0)),0)</f>
        <v>0</v>
      </c>
      <c r="AD48" s="5">
        <f ca="1">IFERROR(INDEX(YardsAll[],MATCH($B48,YardsAll[DEVELOPMENT],0),MATCH("TOTAL ESTIMATE",YardsAll[#Headers],0)),0)</f>
        <v>0</v>
      </c>
      <c r="AE48" s="99">
        <f t="shared" ca="1" si="0"/>
        <v>3260709.6973883971</v>
      </c>
      <c r="AF48" s="5"/>
    </row>
    <row r="49" spans="1:32">
      <c r="A49" s="101">
        <f>VLOOKUP(B49,Data[],24,FALSE)</f>
        <v>39</v>
      </c>
      <c r="B49" t="s">
        <v>210</v>
      </c>
      <c r="C49" t="str">
        <f>VLOOKUP(all[[#This Row],[DEVELOPMENT]],Data[],MATCH(all[[#Headers],[PROGRAM]],Data[#Headers],0),FALSE)</f>
        <v>FEDERAL</v>
      </c>
      <c r="D49" t="str">
        <f>VLOOKUP(B49,Data[],2,FALSE)</f>
        <v>BRONX</v>
      </c>
      <c r="E49">
        <f>VLOOKUP(all[[#This Row],[DEVELOPMENT]],Data[],65,FALSE)</f>
        <v>80</v>
      </c>
      <c r="F49" t="e">
        <f>VLOOKUP(all[[#This Row],[DEVELOPMENT]],Data[],3,FALSE)</f>
        <v>#N/A</v>
      </c>
      <c r="G49" s="107" t="s">
        <v>186</v>
      </c>
      <c r="H49" t="s">
        <v>184</v>
      </c>
      <c r="I49">
        <f>VLOOKUP(all[[#This Row],[DEVELOPMENT]],Data[],34,FALSE)</f>
        <v>1</v>
      </c>
      <c r="J49" t="s">
        <v>183</v>
      </c>
      <c r="K49">
        <f>VLOOKUP(B49,Data[],8,FALSE)</f>
        <v>0</v>
      </c>
      <c r="L49" t="str">
        <f>VLOOKUP(all[[#This Row],[DEVELOPMENT]],Data[],61,FALSE)</f>
        <v>No</v>
      </c>
      <c r="M49">
        <f>VLOOKUP(B49,Data[],9,FALSE)</f>
        <v>0</v>
      </c>
      <c r="N49">
        <v>2</v>
      </c>
      <c r="O49">
        <v>4</v>
      </c>
      <c r="P49" t="str">
        <f ca="1">IFERROR(VLOOKUP(B49,Data[],4,FALSE),"")</f>
        <v>2022-2025</v>
      </c>
      <c r="Q49" t="str">
        <f ca="1">IF(all[[#This Row],[RAD/PACT]]="","",IF(OR(all[[#This Row],[RAD/PACT]]="2021-2025",all[[#This Row],[RAD/PACT]]="2019-2020"),"Yes",""))</f>
        <v/>
      </c>
      <c r="R49">
        <f>VLOOKUP(all[[#This Row],[DEVELOPMENT]],Data[],7,FALSE)</f>
        <v>1265</v>
      </c>
      <c r="S49">
        <f>VLOOKUP(all[[#This Row],[DEVELOPMENT]],Data[],25,FALSE)</f>
        <v>0</v>
      </c>
      <c r="T49">
        <f>VLOOKUP(all[[#This Row],[DEVELOPMENT]],Data[],5,FALSE)</f>
        <v>23</v>
      </c>
      <c r="U49">
        <f>VLOOKUP(all[[#This Row],[DEVELOPMENT]],Data[],10,FALSE)</f>
        <v>38</v>
      </c>
      <c r="V49">
        <f>VLOOKUP(all[[#This Row],[DEVELOPMENT]],Data[],10,FALSE)</f>
        <v>38</v>
      </c>
      <c r="W49">
        <f>VLOOKUP(all[[#This Row],[DEVELOPMENT]],Data[],33,FALSE)</f>
        <v>3</v>
      </c>
      <c r="X49">
        <f>VLOOKUP(all[[#This Row],[DEVELOPMENT]],Data[],33,FALSE)</f>
        <v>3</v>
      </c>
      <c r="Y49">
        <f>VLOOKUP(all[[#This Row],[DEVELOPMENT]],Data[],28,FALSE)</f>
        <v>0</v>
      </c>
      <c r="Z49">
        <f>IF(all[[#This Row],['# Bulk Crushers]]=0,1,0)</f>
        <v>1</v>
      </c>
      <c r="AA49" s="5">
        <f ca="1">IFERROR(INDEX(FWD[],MATCH($B49,FWD[DEVELOPMENT],0),MATCH("ESTIMATE",FWD[#Headers],0)),0)</f>
        <v>2174200.9734537858</v>
      </c>
      <c r="AB49" s="5">
        <f ca="1">IFERROR(INDEX(EHDAll[],MATCH($B49,EHDAll[DEVELOPMENT],0),MATCH("ESTIMATE",EHDAll[#Headers],0)),0)</f>
        <v>302333.26471000002</v>
      </c>
      <c r="AC49" s="5">
        <f ca="1">IFERROR(INDEX(IntAll[],MATCH($B49,IntAll[DEVELOPMENT],0),MATCH("ESTIMATE",IntAll[#Headers],0)),0)</f>
        <v>0</v>
      </c>
      <c r="AD49" s="5">
        <f ca="1">IFERROR(INDEX(YardsAll[],MATCH($B49,YardsAll[DEVELOPMENT],0),MATCH("TOTAL ESTIMATE",YardsAll[#Headers],0)),0)</f>
        <v>0</v>
      </c>
      <c r="AE49" s="99">
        <f t="shared" ca="1" si="0"/>
        <v>2476534.238163786</v>
      </c>
      <c r="AF49" s="5"/>
    </row>
    <row r="50" spans="1:32">
      <c r="A50" s="101">
        <f>VLOOKUP(B50,Data[],24,FALSE)</f>
        <v>53</v>
      </c>
      <c r="B50" t="s">
        <v>211</v>
      </c>
      <c r="C50" t="str">
        <f>VLOOKUP(all[[#This Row],[DEVELOPMENT]],Data[],MATCH(all[[#Headers],[PROGRAM]],Data[#Headers],0),FALSE)</f>
        <v>FEDERAL</v>
      </c>
      <c r="D50" t="str">
        <f>VLOOKUP(B50,Data[],2,FALSE)</f>
        <v>QUEENS</v>
      </c>
      <c r="E50">
        <f>VLOOKUP(all[[#This Row],[DEVELOPMENT]],Data[],65,FALSE)</f>
        <v>27</v>
      </c>
      <c r="F50" t="e">
        <f>VLOOKUP(all[[#This Row],[DEVELOPMENT]],Data[],3,FALSE)</f>
        <v>#N/A</v>
      </c>
      <c r="G50" s="107" t="s">
        <v>186</v>
      </c>
      <c r="H50" t="s">
        <v>184</v>
      </c>
      <c r="I50">
        <f>VLOOKUP(all[[#This Row],[DEVELOPMENT]],Data[],34,FALSE)</f>
        <v>1</v>
      </c>
      <c r="J50" t="s">
        <v>184</v>
      </c>
      <c r="K50">
        <f>VLOOKUP(B50,Data[],8,FALSE)</f>
        <v>0</v>
      </c>
      <c r="L50" t="str">
        <f>VLOOKUP(all[[#This Row],[DEVELOPMENT]],Data[],61,FALSE)</f>
        <v>No</v>
      </c>
      <c r="M50">
        <f>VLOOKUP(B50,Data[],9,FALSE)</f>
        <v>0</v>
      </c>
      <c r="N50">
        <v>3</v>
      </c>
      <c r="O50" t="s">
        <v>185</v>
      </c>
      <c r="P50" t="str">
        <f ca="1">IFERROR(VLOOKUP(B50,Data[],4,FALSE),"")</f>
        <v>2026+</v>
      </c>
      <c r="Q50" t="str">
        <f ca="1">IF(all[[#This Row],[RAD/PACT]]="","",IF(OR(all[[#This Row],[RAD/PACT]]="2021-2025",all[[#This Row],[RAD/PACT]]="2019-2020"),"Yes",""))</f>
        <v/>
      </c>
      <c r="R50">
        <f>VLOOKUP(all[[#This Row],[DEVELOPMENT]],Data[],7,FALSE)</f>
        <v>2069</v>
      </c>
      <c r="S50">
        <f>VLOOKUP(all[[#This Row],[DEVELOPMENT]],Data[],25,FALSE)</f>
        <v>0</v>
      </c>
      <c r="T50">
        <f>VLOOKUP(all[[#This Row],[DEVELOPMENT]],Data[],5,FALSE)</f>
        <v>35</v>
      </c>
      <c r="U50">
        <f>VLOOKUP(all[[#This Row],[DEVELOPMENT]],Data[],10,FALSE)</f>
        <v>121</v>
      </c>
      <c r="V50">
        <f>VLOOKUP(all[[#This Row],[DEVELOPMENT]],Data[],10,FALSE)</f>
        <v>121</v>
      </c>
      <c r="W50">
        <f>VLOOKUP(all[[#This Row],[DEVELOPMENT]],Data[],33,FALSE)</f>
        <v>5</v>
      </c>
      <c r="X50">
        <f>VLOOKUP(all[[#This Row],[DEVELOPMENT]],Data[],33,FALSE)</f>
        <v>5</v>
      </c>
      <c r="Y50">
        <f>VLOOKUP(all[[#This Row],[DEVELOPMENT]],Data[],28,FALSE)</f>
        <v>0</v>
      </c>
      <c r="Z50">
        <f>IF(all[[#This Row],['# Bulk Crushers]]=0,1,0)</f>
        <v>1</v>
      </c>
      <c r="AA50" s="5">
        <f ca="1">IFERROR(INDEX(FWD[],MATCH($B50,FWD[DEVELOPMENT],0),MATCH("ESTIMATE",FWD[#Headers],0)),0)</f>
        <v>3556064.6751588006</v>
      </c>
      <c r="AB50" s="5">
        <f ca="1">IFERROR(INDEX(EHDAll[],MATCH($B50,EHDAll[DEVELOPMENT],0),MATCH("ESTIMATE",EHDAll[#Headers],0)),0)</f>
        <v>994182.71416749991</v>
      </c>
      <c r="AC50" s="5">
        <f ca="1">IFERROR(INDEX(IntAll[],MATCH($B50,IntAll[DEVELOPMENT],0),MATCH("ESTIMATE",IntAll[#Headers],0)),0)</f>
        <v>8969465.3125</v>
      </c>
      <c r="AD50" s="5">
        <f ca="1">IFERROR(INDEX(YardsAll[],MATCH($B50,YardsAll[DEVELOPMENT],0),MATCH("TOTAL ESTIMATE",YardsAll[#Headers],0)),0)</f>
        <v>3323482.5476384996</v>
      </c>
      <c r="AE50" s="99">
        <f t="shared" ca="1" si="0"/>
        <v>16843195.249464799</v>
      </c>
      <c r="AF50" s="5"/>
    </row>
    <row r="51" spans="1:32">
      <c r="A51" s="101">
        <f>VLOOKUP(B51,Data[],24,FALSE)</f>
        <v>48</v>
      </c>
      <c r="B51" t="s">
        <v>212</v>
      </c>
      <c r="C51" t="str">
        <f>VLOOKUP(all[[#This Row],[DEVELOPMENT]],Data[],MATCH(all[[#Headers],[PROGRAM]],Data[#Headers],0),FALSE)</f>
        <v>FEDERAL</v>
      </c>
      <c r="D51" t="str">
        <f>VLOOKUP(B51,Data[],2,FALSE)</f>
        <v>QUEENS</v>
      </c>
      <c r="E51">
        <f>VLOOKUP(all[[#This Row],[DEVELOPMENT]],Data[],65,FALSE)</f>
        <v>37</v>
      </c>
      <c r="F51" t="e">
        <f>VLOOKUP(all[[#This Row],[DEVELOPMENT]],Data[],3,FALSE)</f>
        <v>#N/A</v>
      </c>
      <c r="G51" s="107" t="s">
        <v>186</v>
      </c>
      <c r="H51" t="s">
        <v>184</v>
      </c>
      <c r="I51">
        <f>VLOOKUP(all[[#This Row],[DEVELOPMENT]],Data[],34,FALSE)</f>
        <v>1</v>
      </c>
      <c r="J51" t="s">
        <v>184</v>
      </c>
      <c r="K51">
        <f>VLOOKUP(B51,Data[],8,FALSE)</f>
        <v>0</v>
      </c>
      <c r="L51" t="str">
        <f>VLOOKUP(all[[#This Row],[DEVELOPMENT]],Data[],61,FALSE)</f>
        <v>No</v>
      </c>
      <c r="M51">
        <f>VLOOKUP(B51,Data[],9,FALSE)</f>
        <v>0</v>
      </c>
      <c r="N51">
        <v>2</v>
      </c>
      <c r="O51" t="s">
        <v>185</v>
      </c>
      <c r="P51" t="str">
        <f ca="1">IFERROR(VLOOKUP(B51,Data[],4,FALSE),"")</f>
        <v/>
      </c>
      <c r="Q51" t="str">
        <f ca="1">IF(all[[#This Row],[RAD/PACT]]="","",IF(OR(all[[#This Row],[RAD/PACT]]="2021-2025",all[[#This Row],[RAD/PACT]]="2019-2020"),"Yes",""))</f>
        <v/>
      </c>
      <c r="R51">
        <f>VLOOKUP(all[[#This Row],[DEVELOPMENT]],Data[],7,FALSE)</f>
        <v>2164</v>
      </c>
      <c r="S51">
        <f>VLOOKUP(all[[#This Row],[DEVELOPMENT]],Data[],25,FALSE)</f>
        <v>0</v>
      </c>
      <c r="T51">
        <f>VLOOKUP(all[[#This Row],[DEVELOPMENT]],Data[],5,FALSE)</f>
        <v>31</v>
      </c>
      <c r="U51">
        <f>VLOOKUP(all[[#This Row],[DEVELOPMENT]],Data[],10,FALSE)</f>
        <v>45</v>
      </c>
      <c r="V51">
        <f>VLOOKUP(all[[#This Row],[DEVELOPMENT]],Data[],10,FALSE)</f>
        <v>45</v>
      </c>
      <c r="W51">
        <f>VLOOKUP(all[[#This Row],[DEVELOPMENT]],Data[],33,FALSE)</f>
        <v>4</v>
      </c>
      <c r="X51">
        <f>VLOOKUP(all[[#This Row],[DEVELOPMENT]],Data[],33,FALSE)</f>
        <v>4</v>
      </c>
      <c r="Y51">
        <f>VLOOKUP(all[[#This Row],[DEVELOPMENT]],Data[],28,FALSE)</f>
        <v>0</v>
      </c>
      <c r="Z51">
        <f>IF(all[[#This Row],['# Bulk Crushers]]=0,1,0)</f>
        <v>1</v>
      </c>
      <c r="AA51" s="5">
        <f ca="1">IFERROR(INDEX(FWD[],MATCH($B51,FWD[DEVELOPMENT],0),MATCH("ESTIMATE",FWD[#Headers],0)),0)</f>
        <v>3719344.5901612588</v>
      </c>
      <c r="AB51" s="5">
        <f ca="1">IFERROR(INDEX(EHDAll[],MATCH($B51,EHDAll[DEVELOPMENT],0),MATCH("ESTIMATE",EHDAll[#Headers],0)),0)</f>
        <v>369737.37303750002</v>
      </c>
      <c r="AC51" s="5">
        <f ca="1">IFERROR(INDEX(IntAll[],MATCH($B51,IntAll[DEVELOPMENT],0),MATCH("ESTIMATE",IntAll[#Headers],0)),0)</f>
        <v>2938300.3125</v>
      </c>
      <c r="AD51" s="5">
        <f ca="1">IFERROR(INDEX(YardsAll[],MATCH($B51,YardsAll[DEVELOPMENT],0),MATCH("TOTAL ESTIMATE",YardsAll[#Headers],0)),0)</f>
        <v>2866095.5599910002</v>
      </c>
      <c r="AE51" s="99">
        <f t="shared" ca="1" si="0"/>
        <v>9893477.8356897589</v>
      </c>
      <c r="AF51" s="5"/>
    </row>
    <row r="52" spans="1:32">
      <c r="A52" s="101">
        <f>VLOOKUP(B52,Data[],24,FALSE)</f>
        <v>4</v>
      </c>
      <c r="B52" t="s">
        <v>213</v>
      </c>
      <c r="C52" t="str">
        <f>VLOOKUP(all[[#This Row],[DEVELOPMENT]],Data[],MATCH(all[[#Headers],[PROGRAM]],Data[#Headers],0),FALSE)</f>
        <v>FEDERAL</v>
      </c>
      <c r="D52" t="str">
        <f>VLOOKUP(B52,Data[],2,FALSE)</f>
        <v>BROOKLYN</v>
      </c>
      <c r="E52">
        <f>VLOOKUP(all[[#This Row],[DEVELOPMENT]],Data[],65,FALSE)</f>
        <v>51</v>
      </c>
      <c r="F52" t="e">
        <f>VLOOKUP(all[[#This Row],[DEVELOPMENT]],Data[],3,FALSE)</f>
        <v>#N/A</v>
      </c>
      <c r="G52" s="107" t="s">
        <v>186</v>
      </c>
      <c r="H52" t="s">
        <v>184</v>
      </c>
      <c r="I52">
        <f>VLOOKUP(all[[#This Row],[DEVELOPMENT]],Data[],34,FALSE)</f>
        <v>1</v>
      </c>
      <c r="J52" t="s">
        <v>184</v>
      </c>
      <c r="K52">
        <f>VLOOKUP(B52,Data[],8,FALSE)</f>
        <v>0</v>
      </c>
      <c r="L52" t="str">
        <f>VLOOKUP(all[[#This Row],[DEVELOPMENT]],Data[],61,FALSE)</f>
        <v>Yes</v>
      </c>
      <c r="M52">
        <f>VLOOKUP(B52,Data[],9,FALSE)</f>
        <v>0</v>
      </c>
      <c r="N52">
        <v>3</v>
      </c>
      <c r="O52">
        <v>3</v>
      </c>
      <c r="P52" t="str">
        <f ca="1">IFERROR(VLOOKUP(B52,Data[],4,FALSE),"")</f>
        <v>2022-2025</v>
      </c>
      <c r="Q52" t="str">
        <f ca="1">IF(all[[#This Row],[RAD/PACT]]="","",IF(OR(all[[#This Row],[RAD/PACT]]="2021-2025",all[[#This Row],[RAD/PACT]]="2019-2020"),"Yes",""))</f>
        <v/>
      </c>
      <c r="R52">
        <f>VLOOKUP(all[[#This Row],[DEVELOPMENT]],Data[],7,FALSE)</f>
        <v>1404</v>
      </c>
      <c r="S52">
        <f>VLOOKUP(all[[#This Row],[DEVELOPMENT]],Data[],25,FALSE)</f>
        <v>0</v>
      </c>
      <c r="T52">
        <f>VLOOKUP(all[[#This Row],[DEVELOPMENT]],Data[],5,FALSE)</f>
        <v>16</v>
      </c>
      <c r="U52">
        <f>VLOOKUP(all[[#This Row],[DEVELOPMENT]],Data[],10,FALSE)</f>
        <v>47</v>
      </c>
      <c r="V52">
        <f>VLOOKUP(all[[#This Row],[DEVELOPMENT]],Data[],10,FALSE)</f>
        <v>47</v>
      </c>
      <c r="W52">
        <f>VLOOKUP(all[[#This Row],[DEVELOPMENT]],Data[],33,FALSE)</f>
        <v>2</v>
      </c>
      <c r="X52">
        <f>VLOOKUP(all[[#This Row],[DEVELOPMENT]],Data[],33,FALSE)</f>
        <v>2</v>
      </c>
      <c r="Y52">
        <f>VLOOKUP(all[[#This Row],[DEVELOPMENT]],Data[],28,FALSE)</f>
        <v>0</v>
      </c>
      <c r="Z52">
        <f>IF(all[[#This Row],['# Bulk Crushers]]=0,1,0)</f>
        <v>1</v>
      </c>
      <c r="AA52" s="5">
        <f ca="1">IFERROR(INDEX(FWD[],MATCH($B52,FWD[DEVELOPMENT],0),MATCH("ESTIMATE",FWD[#Headers],0)),0)</f>
        <v>2413105.2701415932</v>
      </c>
      <c r="AB52" s="5">
        <f ca="1">IFERROR(INDEX(EHDAll[],MATCH($B52,EHDAll[DEVELOPMENT],0),MATCH("ESTIMATE",EHDAll[#Headers],0)),0)</f>
        <v>386170.14517250005</v>
      </c>
      <c r="AC52" s="5">
        <f ca="1">IFERROR(INDEX(IntAll[],MATCH($B52,IntAll[DEVELOPMENT],0),MATCH("ESTIMATE",IntAll[#Headers],0)),0)</f>
        <v>0</v>
      </c>
      <c r="AD52" s="5">
        <f ca="1">IFERROR(INDEX(YardsAll[],MATCH($B52,YardsAll[DEVELOPMENT],0),MATCH("TOTAL ESTIMATE",YardsAll[#Headers],0)),0)</f>
        <v>0</v>
      </c>
      <c r="AE52" s="99">
        <f t="shared" ca="1" si="0"/>
        <v>2799275.4153140932</v>
      </c>
      <c r="AF52" s="5"/>
    </row>
    <row r="53" spans="1:32">
      <c r="A53" s="101">
        <f>VLOOKUP(B53,Data[],24,FALSE)</f>
        <v>79</v>
      </c>
      <c r="B53" t="s">
        <v>214</v>
      </c>
      <c r="C53" t="str">
        <f>VLOOKUP(all[[#This Row],[DEVELOPMENT]],Data[],MATCH(all[[#Headers],[PROGRAM]],Data[#Headers],0),FALSE)</f>
        <v>FEDERAL</v>
      </c>
      <c r="D53" t="str">
        <f>VLOOKUP(B53,Data[],2,FALSE)</f>
        <v>BROOKLYN</v>
      </c>
      <c r="E53">
        <f>VLOOKUP(all[[#This Row],[DEVELOPMENT]],Data[],65,FALSE)</f>
        <v>51</v>
      </c>
      <c r="F53" t="e">
        <f>VLOOKUP(all[[#This Row],[DEVELOPMENT]],Data[],3,FALSE)</f>
        <v>#N/A</v>
      </c>
      <c r="G53" s="107" t="s">
        <v>186</v>
      </c>
      <c r="H53" t="s">
        <v>184</v>
      </c>
      <c r="I53">
        <f>VLOOKUP(all[[#This Row],[DEVELOPMENT]],Data[],34,FALSE)</f>
        <v>1</v>
      </c>
      <c r="J53" t="s">
        <v>184</v>
      </c>
      <c r="K53">
        <f>VLOOKUP(B53,Data[],8,FALSE)</f>
        <v>0</v>
      </c>
      <c r="L53" t="str">
        <f>VLOOKUP(all[[#This Row],[DEVELOPMENT]],Data[],61,FALSE)</f>
        <v>Yes</v>
      </c>
      <c r="M53">
        <f>VLOOKUP(B53,Data[],9,FALSE)</f>
        <v>0</v>
      </c>
      <c r="N53">
        <v>4</v>
      </c>
      <c r="O53" t="s">
        <v>185</v>
      </c>
      <c r="P53" t="str">
        <f ca="1">IFERROR(VLOOKUP(B53,Data[],4,FALSE),"")</f>
        <v>2022-2025</v>
      </c>
      <c r="Q53" t="str">
        <f ca="1">IF(all[[#This Row],[RAD/PACT]]="","",IF(OR(all[[#This Row],[RAD/PACT]]="2021-2025",all[[#This Row],[RAD/PACT]]="2019-2020"),"Yes",""))</f>
        <v/>
      </c>
      <c r="R53">
        <f>VLOOKUP(all[[#This Row],[DEVELOPMENT]],Data[],7,FALSE)</f>
        <v>1471</v>
      </c>
      <c r="S53">
        <f>VLOOKUP(all[[#This Row],[DEVELOPMENT]],Data[],25,FALSE)</f>
        <v>0</v>
      </c>
      <c r="T53">
        <f>VLOOKUP(all[[#This Row],[DEVELOPMENT]],Data[],5,FALSE)</f>
        <v>14</v>
      </c>
      <c r="U53">
        <f>VLOOKUP(all[[#This Row],[DEVELOPMENT]],Data[],10,FALSE)</f>
        <v>49</v>
      </c>
      <c r="V53">
        <f>VLOOKUP(all[[#This Row],[DEVELOPMENT]],Data[],10,FALSE)</f>
        <v>49</v>
      </c>
      <c r="W53">
        <f>VLOOKUP(all[[#This Row],[DEVELOPMENT]],Data[],33,FALSE)</f>
        <v>2</v>
      </c>
      <c r="X53">
        <f>VLOOKUP(all[[#This Row],[DEVELOPMENT]],Data[],33,FALSE)</f>
        <v>2</v>
      </c>
      <c r="Y53">
        <f>VLOOKUP(all[[#This Row],[DEVELOPMENT]],Data[],28,FALSE)</f>
        <v>0</v>
      </c>
      <c r="Z53">
        <f>IF(all[[#This Row],['# Bulk Crushers]]=0,1,0)</f>
        <v>1</v>
      </c>
      <c r="AA53" s="5">
        <f ca="1">IFERROR(INDEX(FWD[],MATCH($B53,FWD[DEVELOPMENT],0),MATCH("ESTIMATE",FWD[#Headers],0)),0)</f>
        <v>2528260.5786170107</v>
      </c>
      <c r="AB53" s="5">
        <f ca="1">IFERROR(INDEX(EHDAll[],MATCH($B53,EHDAll[DEVELOPMENT],0),MATCH("ESTIMATE",EHDAll[#Headers],0)),0)</f>
        <v>402602.91730749997</v>
      </c>
      <c r="AC53" s="5">
        <f ca="1">IFERROR(INDEX(IntAll[],MATCH($B53,IntAll[DEVELOPMENT],0),MATCH("ESTIMATE",IntAll[#Headers],0)),0)</f>
        <v>0</v>
      </c>
      <c r="AD53" s="5">
        <f ca="1">IFERROR(INDEX(YardsAll[],MATCH($B53,YardsAll[DEVELOPMENT],0),MATCH("TOTAL ESTIMATE",YardsAll[#Headers],0)),0)</f>
        <v>0</v>
      </c>
      <c r="AE53" s="99">
        <f t="shared" ca="1" si="0"/>
        <v>2930863.4959245105</v>
      </c>
      <c r="AF53" s="5"/>
    </row>
    <row r="54" spans="1:32">
      <c r="A54" s="101">
        <f>VLOOKUP(B54,Data[],24,FALSE)</f>
        <v>143</v>
      </c>
      <c r="B54" t="s">
        <v>215</v>
      </c>
      <c r="C54" t="str">
        <f>VLOOKUP(all[[#This Row],[DEVELOPMENT]],Data[],MATCH(all[[#Headers],[PROGRAM]],Data[#Headers],0),FALSE)</f>
        <v>FEDERAL</v>
      </c>
      <c r="D54" t="str">
        <f>VLOOKUP(B54,Data[],2,FALSE)</f>
        <v>QUEENS</v>
      </c>
      <c r="E54">
        <f>VLOOKUP(all[[#This Row],[DEVELOPMENT]],Data[],65,FALSE)</f>
        <v>27</v>
      </c>
      <c r="F54" t="e">
        <f>VLOOKUP(all[[#This Row],[DEVELOPMENT]],Data[],3,FALSE)</f>
        <v>#N/A</v>
      </c>
      <c r="G54" s="107" t="s">
        <v>186</v>
      </c>
      <c r="H54" t="s">
        <v>184</v>
      </c>
      <c r="I54">
        <f>VLOOKUP(all[[#This Row],[DEVELOPMENT]],Data[],34,FALSE)</f>
        <v>1</v>
      </c>
      <c r="J54" t="s">
        <v>184</v>
      </c>
      <c r="K54">
        <f>VLOOKUP(B54,Data[],8,FALSE)</f>
        <v>0</v>
      </c>
      <c r="L54" t="str">
        <f>VLOOKUP(all[[#This Row],[DEVELOPMENT]],Data[],61,FALSE)</f>
        <v>No</v>
      </c>
      <c r="M54">
        <f>VLOOKUP(B54,Data[],9,FALSE)</f>
        <v>0</v>
      </c>
      <c r="N54">
        <v>3</v>
      </c>
      <c r="O54" t="s">
        <v>185</v>
      </c>
      <c r="P54" t="str">
        <f ca="1">IFERROR(VLOOKUP(B54,Data[],4,FALSE),"")</f>
        <v/>
      </c>
      <c r="Q54" t="str">
        <f ca="1">IF(all[[#This Row],[RAD/PACT]]="","",IF(OR(all[[#This Row],[RAD/PACT]]="2021-2025",all[[#This Row],[RAD/PACT]]="2019-2020"),"Yes",""))</f>
        <v/>
      </c>
      <c r="R54">
        <f>VLOOKUP(all[[#This Row],[DEVELOPMENT]],Data[],7,FALSE)</f>
        <v>13</v>
      </c>
      <c r="S54">
        <f>VLOOKUP(all[[#This Row],[DEVELOPMENT]],Data[],25,FALSE)</f>
        <v>0</v>
      </c>
      <c r="T54">
        <f>VLOOKUP(all[[#This Row],[DEVELOPMENT]],Data[],5,FALSE)</f>
        <v>1</v>
      </c>
      <c r="U54">
        <f>VLOOKUP(all[[#This Row],[DEVELOPMENT]],Data[],10,FALSE)</f>
        <v>0</v>
      </c>
      <c r="V54">
        <f>VLOOKUP(all[[#This Row],[DEVELOPMENT]],Data[],10,FALSE)</f>
        <v>0</v>
      </c>
      <c r="W54">
        <f>VLOOKUP(all[[#This Row],[DEVELOPMENT]],Data[],33,FALSE)</f>
        <v>0</v>
      </c>
      <c r="X54">
        <f>VLOOKUP(all[[#This Row],[DEVELOPMENT]],Data[],33,FALSE)</f>
        <v>0</v>
      </c>
      <c r="Y54">
        <f>VLOOKUP(all[[#This Row],[DEVELOPMENT]],Data[],28,FALSE)</f>
        <v>0</v>
      </c>
      <c r="Z54">
        <f>IF(all[[#This Row],['# Bulk Crushers]]=0,1,0)</f>
        <v>1</v>
      </c>
      <c r="AA54" s="5">
        <f ca="1">IFERROR(INDEX(FWD[],MATCH($B54,FWD[DEVELOPMENT],0),MATCH("ESTIMATE",FWD[#Headers],0)),0)</f>
        <v>22343.56731612586</v>
      </c>
      <c r="AB54" s="5">
        <f ca="1">IFERROR(INDEX(EHDAll[],MATCH($B54,EHDAll[DEVELOPMENT],0),MATCH("ESTIMATE",EHDAll[#Headers],0)),0)</f>
        <v>0</v>
      </c>
      <c r="AC54" s="5">
        <f ca="1">IFERROR(INDEX(IntAll[],MATCH($B54,IntAll[DEVELOPMENT],0),MATCH("ESTIMATE",IntAll[#Headers],0)),0)</f>
        <v>0</v>
      </c>
      <c r="AD54" s="5">
        <f ca="1">IFERROR(INDEX(YardsAll[],MATCH($B54,YardsAll[DEVELOPMENT],0),MATCH("TOTAL ESTIMATE",YardsAll[#Headers],0)),0)</f>
        <v>1997338.0581700003</v>
      </c>
      <c r="AE54" s="99">
        <f t="shared" ca="1" si="0"/>
        <v>2019681.6254861262</v>
      </c>
      <c r="AF54" s="5"/>
    </row>
    <row r="55" spans="1:32">
      <c r="A55" s="101">
        <f>VLOOKUP(B55,Data[],24,FALSE)</f>
        <v>282</v>
      </c>
      <c r="B55" t="s">
        <v>216</v>
      </c>
      <c r="C55" t="str">
        <f>VLOOKUP(all[[#This Row],[DEVELOPMENT]],Data[],MATCH(all[[#Headers],[PROGRAM]],Data[#Headers],0),FALSE)</f>
        <v>FEDERAL</v>
      </c>
      <c r="D55" t="str">
        <f>VLOOKUP(B55,Data[],2,FALSE)</f>
        <v>BROOKLYN</v>
      </c>
      <c r="E55">
        <f>VLOOKUP(all[[#This Row],[DEVELOPMENT]],Data[],65,FALSE)</f>
        <v>58</v>
      </c>
      <c r="F55" t="e">
        <f>VLOOKUP(all[[#This Row],[DEVELOPMENT]],Data[],3,FALSE)</f>
        <v>#N/A</v>
      </c>
      <c r="G55" s="107" t="s">
        <v>186</v>
      </c>
      <c r="H55" t="s">
        <v>184</v>
      </c>
      <c r="I55">
        <f>VLOOKUP(all[[#This Row],[DEVELOPMENT]],Data[],34,FALSE)</f>
        <v>1</v>
      </c>
      <c r="J55" t="s">
        <v>183</v>
      </c>
      <c r="K55">
        <f>VLOOKUP(B55,Data[],8,FALSE)</f>
        <v>0</v>
      </c>
      <c r="L55" t="str">
        <f>VLOOKUP(all[[#This Row],[DEVELOPMENT]],Data[],61,FALSE)</f>
        <v>No</v>
      </c>
      <c r="M55">
        <f>VLOOKUP(B55,Data[],9,FALSE)</f>
        <v>0</v>
      </c>
      <c r="N55">
        <v>2</v>
      </c>
      <c r="O55" t="s">
        <v>185</v>
      </c>
      <c r="P55" t="str">
        <f ca="1">IFERROR(VLOOKUP(B55,Data[],4,FALSE),"")</f>
        <v>2020-2021</v>
      </c>
      <c r="Q55" t="str">
        <f ca="1">IF(all[[#This Row],[RAD/PACT]]="","",IF(OR(all[[#This Row],[RAD/PACT]]="2021-2025",all[[#This Row],[RAD/PACT]]="2019-2020"),"Yes",""))</f>
        <v/>
      </c>
      <c r="R55">
        <f>VLOOKUP(all[[#This Row],[DEVELOPMENT]],Data[],7,FALSE)</f>
        <v>60</v>
      </c>
      <c r="S55">
        <f>VLOOKUP(all[[#This Row],[DEVELOPMENT]],Data[],25,FALSE)</f>
        <v>0</v>
      </c>
      <c r="T55">
        <f>VLOOKUP(all[[#This Row],[DEVELOPMENT]],Data[],5,FALSE)</f>
        <v>1</v>
      </c>
      <c r="U55">
        <f>VLOOKUP(all[[#This Row],[DEVELOPMENT]],Data[],10,FALSE)</f>
        <v>1</v>
      </c>
      <c r="V55">
        <f>VLOOKUP(all[[#This Row],[DEVELOPMENT]],Data[],10,FALSE)</f>
        <v>1</v>
      </c>
      <c r="W55">
        <f>VLOOKUP(all[[#This Row],[DEVELOPMENT]],Data[],33,FALSE)</f>
        <v>0</v>
      </c>
      <c r="X55">
        <f>VLOOKUP(all[[#This Row],[DEVELOPMENT]],Data[],33,FALSE)</f>
        <v>0</v>
      </c>
      <c r="Y55">
        <f>VLOOKUP(all[[#This Row],[DEVELOPMENT]],Data[],28,FALSE)</f>
        <v>0</v>
      </c>
      <c r="Z55">
        <f>IF(all[[#This Row],['# Bulk Crushers]]=0,1,0)</f>
        <v>1</v>
      </c>
      <c r="AA55" s="5">
        <f ca="1">IFERROR(INDEX(FWD[],MATCH($B55,FWD[DEVELOPMENT],0),MATCH("ESTIMATE",FWD[#Headers],0)),0)</f>
        <v>103124.15684365782</v>
      </c>
      <c r="AB55" s="5">
        <f ca="1">IFERROR(INDEX(EHDAll[],MATCH($B55,EHDAll[DEVELOPMENT],0),MATCH("ESTIMATE",EHDAll[#Headers],0)),0)</f>
        <v>8216.3860674999996</v>
      </c>
      <c r="AC55" s="5">
        <f ca="1">IFERROR(INDEX(IntAll[],MATCH($B55,IntAll[DEVELOPMENT],0),MATCH("ESTIMATE",IntAll[#Headers],0)),0)</f>
        <v>0</v>
      </c>
      <c r="AD55" s="5">
        <f ca="1">IFERROR(INDEX(YardsAll[],MATCH($B55,YardsAll[DEVELOPMENT],0),MATCH("TOTAL ESTIMATE",YardsAll[#Headers],0)),0)</f>
        <v>0</v>
      </c>
      <c r="AE55" s="99">
        <f t="shared" ca="1" si="0"/>
        <v>111340.54291115783</v>
      </c>
      <c r="AF55" s="5"/>
    </row>
    <row r="56" spans="1:32">
      <c r="A56" s="101">
        <f>VLOOKUP(B56,Data[],24,FALSE)</f>
        <v>63</v>
      </c>
      <c r="B56" t="s">
        <v>217</v>
      </c>
      <c r="C56" t="str">
        <f>VLOOKUP(all[[#This Row],[DEVELOPMENT]],Data[],MATCH(all[[#Headers],[PROGRAM]],Data[#Headers],0),FALSE)</f>
        <v>FEDERAL</v>
      </c>
      <c r="D56" t="str">
        <f>VLOOKUP(B56,Data[],2,FALSE)</f>
        <v>BRONX</v>
      </c>
      <c r="E56">
        <f>VLOOKUP(all[[#This Row],[DEVELOPMENT]],Data[],65,FALSE)</f>
        <v>82</v>
      </c>
      <c r="F56" t="e">
        <f>VLOOKUP(all[[#This Row],[DEVELOPMENT]],Data[],3,FALSE)</f>
        <v>#N/A</v>
      </c>
      <c r="G56" s="107" t="s">
        <v>186</v>
      </c>
      <c r="H56" t="s">
        <v>184</v>
      </c>
      <c r="I56">
        <f>VLOOKUP(all[[#This Row],[DEVELOPMENT]],Data[],34,FALSE)</f>
        <v>1</v>
      </c>
      <c r="J56" t="s">
        <v>183</v>
      </c>
      <c r="K56">
        <f>VLOOKUP(B56,Data[],8,FALSE)</f>
        <v>0</v>
      </c>
      <c r="L56" t="str">
        <f>VLOOKUP(all[[#This Row],[DEVELOPMENT]],Data[],61,FALSE)</f>
        <v>No</v>
      </c>
      <c r="M56">
        <f>VLOOKUP(B56,Data[],9,FALSE)</f>
        <v>0</v>
      </c>
      <c r="N56">
        <v>4</v>
      </c>
      <c r="O56" t="s">
        <v>185</v>
      </c>
      <c r="P56" t="str">
        <f ca="1">IFERROR(VLOOKUP(B56,Data[],4,FALSE),"")</f>
        <v>2020-2021</v>
      </c>
      <c r="Q56" t="str">
        <f ca="1">IF(all[[#This Row],[RAD/PACT]]="","",IF(OR(all[[#This Row],[RAD/PACT]]="2021-2025",all[[#This Row],[RAD/PACT]]="2019-2020"),"Yes",""))</f>
        <v/>
      </c>
      <c r="R56">
        <f>VLOOKUP(all[[#This Row],[DEVELOPMENT]],Data[],7,FALSE)</f>
        <v>1182</v>
      </c>
      <c r="S56">
        <f>VLOOKUP(all[[#This Row],[DEVELOPMENT]],Data[],25,FALSE)</f>
        <v>0</v>
      </c>
      <c r="T56">
        <f>VLOOKUP(all[[#This Row],[DEVELOPMENT]],Data[],5,FALSE)</f>
        <v>29</v>
      </c>
      <c r="U56">
        <f>VLOOKUP(all[[#This Row],[DEVELOPMENT]],Data[],10,FALSE)</f>
        <v>62</v>
      </c>
      <c r="V56">
        <f>VLOOKUP(all[[#This Row],[DEVELOPMENT]],Data[],10,FALSE)</f>
        <v>62</v>
      </c>
      <c r="W56">
        <f>VLOOKUP(all[[#This Row],[DEVELOPMENT]],Data[],33,FALSE)</f>
        <v>5</v>
      </c>
      <c r="X56">
        <f>VLOOKUP(all[[#This Row],[DEVELOPMENT]],Data[],33,FALSE)</f>
        <v>5</v>
      </c>
      <c r="Y56">
        <f>VLOOKUP(all[[#This Row],[DEVELOPMENT]],Data[],28,FALSE)</f>
        <v>0</v>
      </c>
      <c r="Z56">
        <f>IF(all[[#This Row],['# Bulk Crushers]]=0,1,0)</f>
        <v>1</v>
      </c>
      <c r="AA56" s="5">
        <f ca="1">IFERROR(INDEX(FWD[],MATCH($B56,FWD[DEVELOPMENT],0),MATCH("ESTIMATE",FWD[#Headers],0)),0)</f>
        <v>2031545.8898200591</v>
      </c>
      <c r="AB56" s="5">
        <f ca="1">IFERROR(INDEX(EHDAll[],MATCH($B56,EHDAll[DEVELOPMENT],0),MATCH("ESTIMATE",EHDAll[#Headers],0)),0)</f>
        <v>509415.936185</v>
      </c>
      <c r="AC56" s="5">
        <f ca="1">IFERROR(INDEX(IntAll[],MATCH($B56,IntAll[DEVELOPMENT],0),MATCH("ESTIMATE",IntAll[#Headers],0)),0)</f>
        <v>0</v>
      </c>
      <c r="AD56" s="5">
        <f ca="1">IFERROR(INDEX(YardsAll[],MATCH($B56,YardsAll[DEVELOPMENT],0),MATCH("TOTAL ESTIMATE",YardsAll[#Headers],0)),0)</f>
        <v>0</v>
      </c>
      <c r="AE56" s="99">
        <f t="shared" ca="1" si="0"/>
        <v>2540961.8260050593</v>
      </c>
      <c r="AF56" s="5"/>
    </row>
    <row r="57" spans="1:32">
      <c r="A57" s="101">
        <f>VLOOKUP(B57,Data[],24,FALSE)</f>
        <v>287</v>
      </c>
      <c r="B57" t="s">
        <v>138</v>
      </c>
      <c r="C57" t="str">
        <f>VLOOKUP(all[[#This Row],[DEVELOPMENT]],Data[],MATCH(all[[#Headers],[PROGRAM]],Data[#Headers],0),FALSE)</f>
        <v>FEDERAL</v>
      </c>
      <c r="D57" t="str">
        <f>VLOOKUP(B57,Data[],2,FALSE)</f>
        <v>BRONX</v>
      </c>
      <c r="E57">
        <f>VLOOKUP(all[[#This Row],[DEVELOPMENT]],Data[],65,FALSE)</f>
        <v>79</v>
      </c>
      <c r="F57" t="e">
        <f>VLOOKUP(all[[#This Row],[DEVELOPMENT]],Data[],3,FALSE)</f>
        <v>#N/A</v>
      </c>
      <c r="G57" s="107" t="s">
        <v>186</v>
      </c>
      <c r="H57" t="s">
        <v>184</v>
      </c>
      <c r="I57">
        <f>VLOOKUP(all[[#This Row],[DEVELOPMENT]],Data[],34,FALSE)</f>
        <v>1</v>
      </c>
      <c r="J57" t="s">
        <v>183</v>
      </c>
      <c r="K57" t="str">
        <f>VLOOKUP(B57,Data[],8,FALSE)</f>
        <v>Zone 1</v>
      </c>
      <c r="L57" t="str">
        <f>VLOOKUP(all[[#This Row],[DEVELOPMENT]],Data[],61,FALSE)</f>
        <v>No</v>
      </c>
      <c r="M57">
        <f>VLOOKUP(B57,Data[],9,FALSE)</f>
        <v>4</v>
      </c>
      <c r="N57">
        <v>4</v>
      </c>
      <c r="O57" t="s">
        <v>185</v>
      </c>
      <c r="P57" t="str">
        <f ca="1">IFERROR(VLOOKUP(B57,Data[],4,FALSE),"")</f>
        <v/>
      </c>
      <c r="Q57" t="str">
        <f ca="1">IF(all[[#This Row],[RAD/PACT]]="","",IF(OR(all[[#This Row],[RAD/PACT]]="2021-2025",all[[#This Row],[RAD/PACT]]="2019-2020"),"Yes",""))</f>
        <v/>
      </c>
      <c r="R57">
        <f>VLOOKUP(all[[#This Row],[DEVELOPMENT]],Data[],7,FALSE)</f>
        <v>219</v>
      </c>
      <c r="S57">
        <f>VLOOKUP(all[[#This Row],[DEVELOPMENT]],Data[],25,FALSE)</f>
        <v>0</v>
      </c>
      <c r="T57">
        <f>VLOOKUP(all[[#This Row],[DEVELOPMENT]],Data[],5,FALSE)</f>
        <v>1</v>
      </c>
      <c r="U57">
        <f>VLOOKUP(all[[#This Row],[DEVELOPMENT]],Data[],10,FALSE)</f>
        <v>1</v>
      </c>
      <c r="V57">
        <f>VLOOKUP(all[[#This Row],[DEVELOPMENT]],Data[],10,FALSE)</f>
        <v>1</v>
      </c>
      <c r="W57">
        <f>VLOOKUP(all[[#This Row],[DEVELOPMENT]],Data[],33,FALSE)</f>
        <v>0</v>
      </c>
      <c r="X57">
        <f>VLOOKUP(all[[#This Row],[DEVELOPMENT]],Data[],33,FALSE)</f>
        <v>0</v>
      </c>
      <c r="Y57">
        <f>VLOOKUP(all[[#This Row],[DEVELOPMENT]],Data[],28,FALSE)</f>
        <v>0</v>
      </c>
      <c r="Z57">
        <f>IF(all[[#This Row],['# Bulk Crushers]]=0,1,0)</f>
        <v>1</v>
      </c>
      <c r="AA57" s="5">
        <f ca="1">IFERROR(INDEX(FWD[],MATCH($B57,FWD[DEVELOPMENT],0),MATCH("ESTIMATE",FWD[#Headers],0)),0)</f>
        <v>376403.17247935105</v>
      </c>
      <c r="AB57" s="5">
        <f>IFERROR(INDEX(EHDAll[],MATCH($B57,EHDAll[DEVELOPMENT],0),MATCH("ESTIMATE",EHDAll[#Headers],0)),0)</f>
        <v>0</v>
      </c>
      <c r="AC57" s="5">
        <f ca="1">IFERROR(INDEX(IntAll[],MATCH($B57,IntAll[DEVELOPMENT],0),MATCH("ESTIMATE",IntAll[#Headers],0)),0)</f>
        <v>0</v>
      </c>
      <c r="AD57" s="5">
        <f ca="1">IFERROR(INDEX(YardsAll[],MATCH($B57,YardsAll[DEVELOPMENT],0),MATCH("TOTAL ESTIMATE",YardsAll[#Headers],0)),0)</f>
        <v>1997338.0581700003</v>
      </c>
      <c r="AE57" s="99">
        <f t="shared" ca="1" si="0"/>
        <v>2373741.2306493511</v>
      </c>
      <c r="AF57" s="5"/>
    </row>
    <row r="58" spans="1:32">
      <c r="A58" s="101">
        <f>VLOOKUP(B58,Data[],24,FALSE)</f>
        <v>240</v>
      </c>
      <c r="B58" t="s">
        <v>218</v>
      </c>
      <c r="C58" t="str">
        <f>VLOOKUP(all[[#This Row],[DEVELOPMENT]],Data[],MATCH(all[[#Headers],[PROGRAM]],Data[#Headers],0),FALSE)</f>
        <v>FEDERAL</v>
      </c>
      <c r="D58" t="str">
        <f>VLOOKUP(B58,Data[],2,FALSE)</f>
        <v>BROOKLYN</v>
      </c>
      <c r="E58">
        <f>VLOOKUP(all[[#This Row],[DEVELOPMENT]],Data[],65,FALSE)</f>
        <v>60</v>
      </c>
      <c r="F58" t="e">
        <f>VLOOKUP(all[[#This Row],[DEVELOPMENT]],Data[],3,FALSE)</f>
        <v>#N/A</v>
      </c>
      <c r="G58" s="107" t="s">
        <v>186</v>
      </c>
      <c r="H58" t="s">
        <v>184</v>
      </c>
      <c r="I58">
        <f>VLOOKUP(all[[#This Row],[DEVELOPMENT]],Data[],34,FALSE)</f>
        <v>1</v>
      </c>
      <c r="J58" t="s">
        <v>184</v>
      </c>
      <c r="K58">
        <f>VLOOKUP(B58,Data[],8,FALSE)</f>
        <v>0</v>
      </c>
      <c r="L58" t="str">
        <f>VLOOKUP(all[[#This Row],[DEVELOPMENT]],Data[],61,FALSE)</f>
        <v>No</v>
      </c>
      <c r="M58">
        <f>VLOOKUP(B58,Data[],9,FALSE)</f>
        <v>0</v>
      </c>
      <c r="N58">
        <v>3</v>
      </c>
      <c r="O58" t="s">
        <v>185</v>
      </c>
      <c r="P58" t="str">
        <f ca="1">IFERROR(VLOOKUP(B58,Data[],4,FALSE),"")</f>
        <v>2026+</v>
      </c>
      <c r="Q58" t="str">
        <f ca="1">IF(all[[#This Row],[RAD/PACT]]="","",IF(OR(all[[#This Row],[RAD/PACT]]="2021-2025",all[[#This Row],[RAD/PACT]]="2019-2020"),"Yes",""))</f>
        <v/>
      </c>
      <c r="R58">
        <f>VLOOKUP(all[[#This Row],[DEVELOPMENT]],Data[],7,FALSE)</f>
        <v>167</v>
      </c>
      <c r="S58">
        <f>VLOOKUP(all[[#This Row],[DEVELOPMENT]],Data[],25,FALSE)</f>
        <v>0</v>
      </c>
      <c r="T58">
        <f>VLOOKUP(all[[#This Row],[DEVELOPMENT]],Data[],5,FALSE)</f>
        <v>3</v>
      </c>
      <c r="U58">
        <f>VLOOKUP(all[[#This Row],[DEVELOPMENT]],Data[],10,FALSE)</f>
        <v>4</v>
      </c>
      <c r="V58">
        <f>VLOOKUP(all[[#This Row],[DEVELOPMENT]],Data[],10,FALSE)</f>
        <v>4</v>
      </c>
      <c r="W58">
        <f>VLOOKUP(all[[#This Row],[DEVELOPMENT]],Data[],33,FALSE)</f>
        <v>0</v>
      </c>
      <c r="X58">
        <f>VLOOKUP(all[[#This Row],[DEVELOPMENT]],Data[],33,FALSE)</f>
        <v>0</v>
      </c>
      <c r="Y58">
        <f>VLOOKUP(all[[#This Row],[DEVELOPMENT]],Data[],28,FALSE)</f>
        <v>0</v>
      </c>
      <c r="Z58">
        <f>IF(all[[#This Row],['# Bulk Crushers]]=0,1,0)</f>
        <v>1</v>
      </c>
      <c r="AA58" s="5">
        <f ca="1">IFERROR(INDEX(FWD[],MATCH($B58,FWD[DEVELOPMENT],0),MATCH("ESTIMATE",FWD[#Headers],0)),0)</f>
        <v>287028.90321484761</v>
      </c>
      <c r="AB58" s="5">
        <f ca="1">IFERROR(INDEX(EHDAll[],MATCH($B58,EHDAll[DEVELOPMENT],0),MATCH("ESTIMATE",EHDAll[#Headers],0)),0)</f>
        <v>41081.930337499994</v>
      </c>
      <c r="AC58" s="5">
        <f ca="1">IFERROR(INDEX(IntAll[],MATCH($B58,IntAll[DEVELOPMENT],0),MATCH("ESTIMATE",IntAll[#Headers],0)),0)</f>
        <v>305343.5</v>
      </c>
      <c r="AD58" s="5">
        <f ca="1">IFERROR(INDEX(YardsAll[],MATCH($B58,YardsAll[DEVELOPMENT],0),MATCH("TOTAL ESTIMATE",YardsAll[#Headers],0)),0)</f>
        <v>1997338.0581700003</v>
      </c>
      <c r="AE58" s="99">
        <f t="shared" ca="1" si="0"/>
        <v>2630792.3917223481</v>
      </c>
      <c r="AF58" s="5"/>
    </row>
    <row r="59" spans="1:32">
      <c r="A59" s="101">
        <f>VLOOKUP(B59,Data[],24,FALSE)</f>
        <v>261</v>
      </c>
      <c r="B59" t="s">
        <v>219</v>
      </c>
      <c r="C59" t="str">
        <f>VLOOKUP(all[[#This Row],[DEVELOPMENT]],Data[],MATCH(all[[#Headers],[PROGRAM]],Data[#Headers],0),FALSE)</f>
        <v>FEDERAL</v>
      </c>
      <c r="D59" t="str">
        <f>VLOOKUP(B59,Data[],2,FALSE)</f>
        <v>BROOKLYN</v>
      </c>
      <c r="E59">
        <f>VLOOKUP(all[[#This Row],[DEVELOPMENT]],Data[],65,FALSE)</f>
        <v>60</v>
      </c>
      <c r="F59" t="e">
        <f>VLOOKUP(all[[#This Row],[DEVELOPMENT]],Data[],3,FALSE)</f>
        <v>#N/A</v>
      </c>
      <c r="G59" s="107" t="s">
        <v>186</v>
      </c>
      <c r="H59" t="s">
        <v>184</v>
      </c>
      <c r="I59">
        <f>VLOOKUP(all[[#This Row],[DEVELOPMENT]],Data[],34,FALSE)</f>
        <v>1</v>
      </c>
      <c r="J59" t="s">
        <v>184</v>
      </c>
      <c r="K59">
        <f>VLOOKUP(B59,Data[],8,FALSE)</f>
        <v>0</v>
      </c>
      <c r="L59" t="str">
        <f>VLOOKUP(all[[#This Row],[DEVELOPMENT]],Data[],61,FALSE)</f>
        <v>No</v>
      </c>
      <c r="M59">
        <f>VLOOKUP(B59,Data[],9,FALSE)</f>
        <v>0</v>
      </c>
      <c r="N59">
        <v>3</v>
      </c>
      <c r="O59" t="s">
        <v>185</v>
      </c>
      <c r="P59" t="str">
        <f ca="1">IFERROR(VLOOKUP(B59,Data[],4,FALSE),"")</f>
        <v>2026+</v>
      </c>
      <c r="Q59" t="str">
        <f ca="1">IF(all[[#This Row],[RAD/PACT]]="","",IF(OR(all[[#This Row],[RAD/PACT]]="2021-2025",all[[#This Row],[RAD/PACT]]="2019-2020"),"Yes",""))</f>
        <v/>
      </c>
      <c r="R59">
        <f>VLOOKUP(all[[#This Row],[DEVELOPMENT]],Data[],7,FALSE)</f>
        <v>460</v>
      </c>
      <c r="S59">
        <f>VLOOKUP(all[[#This Row],[DEVELOPMENT]],Data[],25,FALSE)</f>
        <v>0</v>
      </c>
      <c r="T59">
        <f>VLOOKUP(all[[#This Row],[DEVELOPMENT]],Data[],5,FALSE)</f>
        <v>5</v>
      </c>
      <c r="U59">
        <f>VLOOKUP(all[[#This Row],[DEVELOPMENT]],Data[],10,FALSE)</f>
        <v>13</v>
      </c>
      <c r="V59">
        <f>VLOOKUP(all[[#This Row],[DEVELOPMENT]],Data[],10,FALSE)</f>
        <v>13</v>
      </c>
      <c r="W59">
        <f>VLOOKUP(all[[#This Row],[DEVELOPMENT]],Data[],33,FALSE)</f>
        <v>0</v>
      </c>
      <c r="X59">
        <f>VLOOKUP(all[[#This Row],[DEVELOPMENT]],Data[],33,FALSE)</f>
        <v>0</v>
      </c>
      <c r="Y59">
        <f>VLOOKUP(all[[#This Row],[DEVELOPMENT]],Data[],28,FALSE)</f>
        <v>0</v>
      </c>
      <c r="Z59">
        <f>IF(all[[#This Row],['# Bulk Crushers]]=0,1,0)</f>
        <v>1</v>
      </c>
      <c r="AA59" s="5">
        <f ca="1">IFERROR(INDEX(FWD[],MATCH($B59,FWD[DEVELOPMENT],0),MATCH("ESTIMATE",FWD[#Headers],0)),0)</f>
        <v>790618.53580137657</v>
      </c>
      <c r="AB59" s="5">
        <f ca="1">IFERROR(INDEX(EHDAll[],MATCH($B59,EHDAll[DEVELOPMENT],0),MATCH("ESTIMATE",EHDAll[#Headers],0)),0)</f>
        <v>98596.63281000001</v>
      </c>
      <c r="AC59" s="5">
        <f ca="1">IFERROR(INDEX(IntAll[],MATCH($B59,IntAll[DEVELOPMENT],0),MATCH("ESTIMATE",IntAll[#Headers],0)),0)</f>
        <v>992366.375</v>
      </c>
      <c r="AD59" s="5">
        <f ca="1">IFERROR(INDEX(YardsAll[],MATCH($B59,YardsAll[DEVELOPMENT],0),MATCH("TOTAL ESTIMATE",YardsAll[#Headers],0)),0)</f>
        <v>1997338.0581700003</v>
      </c>
      <c r="AE59" s="99">
        <f t="shared" ca="1" si="0"/>
        <v>3878919.6017813766</v>
      </c>
      <c r="AF59" s="5"/>
    </row>
    <row r="60" spans="1:32">
      <c r="A60" s="101">
        <f>VLOOKUP(B60,Data[],24,FALSE)</f>
        <v>6</v>
      </c>
      <c r="B60" t="s">
        <v>56</v>
      </c>
      <c r="C60" t="str">
        <f>VLOOKUP(all[[#This Row],[DEVELOPMENT]],Data[],MATCH(all[[#Headers],[PROGRAM]],Data[#Headers],0),FALSE)</f>
        <v>FEDERAL</v>
      </c>
      <c r="D60" t="str">
        <f>VLOOKUP(B60,Data[],2,FALSE)</f>
        <v>MANHATTAN</v>
      </c>
      <c r="E60">
        <f>VLOOKUP(all[[#This Row],[DEVELOPMENT]],Data[],65,FALSE)</f>
        <v>65</v>
      </c>
      <c r="F60" t="e">
        <f>VLOOKUP(all[[#This Row],[DEVELOPMENT]],Data[],3,FALSE)</f>
        <v>#N/A</v>
      </c>
      <c r="G60" s="107" t="s">
        <v>186</v>
      </c>
      <c r="H60" t="s">
        <v>184</v>
      </c>
      <c r="I60">
        <f>VLOOKUP(all[[#This Row],[DEVELOPMENT]],Data[],34,FALSE)</f>
        <v>1</v>
      </c>
      <c r="J60" t="s">
        <v>183</v>
      </c>
      <c r="K60" t="str">
        <f>VLOOKUP(B60,Data[],8,FALSE)</f>
        <v>Zone 1</v>
      </c>
      <c r="L60" t="str">
        <f>VLOOKUP(all[[#This Row],[DEVELOPMENT]],Data[],61,FALSE)</f>
        <v>No</v>
      </c>
      <c r="M60">
        <f>VLOOKUP(B60,Data[],9,FALSE)</f>
        <v>3</v>
      </c>
      <c r="N60">
        <v>4</v>
      </c>
      <c r="O60">
        <v>4</v>
      </c>
      <c r="P60" t="str">
        <f ca="1">IFERROR(VLOOKUP(B60,Data[],4,FALSE),"")</f>
        <v/>
      </c>
      <c r="Q60" t="str">
        <f ca="1">IF(all[[#This Row],[RAD/PACT]]="","",IF(OR(all[[#This Row],[RAD/PACT]]="2021-2025",all[[#This Row],[RAD/PACT]]="2019-2020"),"Yes",""))</f>
        <v/>
      </c>
      <c r="R60">
        <f>VLOOKUP(all[[#This Row],[DEVELOPMENT]],Data[],7,FALSE)</f>
        <v>1527</v>
      </c>
      <c r="S60" t="str">
        <f>VLOOKUP(all[[#This Row],[DEVELOPMENT]],Data[],25,FALSE)</f>
        <v>Newtown Creek</v>
      </c>
      <c r="T60">
        <f>VLOOKUP(all[[#This Row],[DEVELOPMENT]],Data[],5,FALSE)</f>
        <v>20</v>
      </c>
      <c r="U60">
        <f>VLOOKUP(all[[#This Row],[DEVELOPMENT]],Data[],10,FALSE)</f>
        <v>46</v>
      </c>
      <c r="V60">
        <f>VLOOKUP(all[[#This Row],[DEVELOPMENT]],Data[],10,FALSE)</f>
        <v>46</v>
      </c>
      <c r="W60">
        <f>VLOOKUP(all[[#This Row],[DEVELOPMENT]],Data[],33,FALSE)</f>
        <v>0</v>
      </c>
      <c r="X60">
        <f>VLOOKUP(all[[#This Row],[DEVELOPMENT]],Data[],33,FALSE)</f>
        <v>0</v>
      </c>
      <c r="Y60">
        <f>VLOOKUP(all[[#This Row],[DEVELOPMENT]],Data[],28,FALSE)</f>
        <v>0</v>
      </c>
      <c r="Z60">
        <f>IF(all[[#This Row],['# Bulk Crushers]]=0,1,0)</f>
        <v>1</v>
      </c>
      <c r="AA60" s="5">
        <f ca="1">IFERROR(INDEX(FWD[],MATCH($B60,FWD[DEVELOPMENT],0),MATCH("ESTIMATE",FWD[#Headers],0)),0)</f>
        <v>2624509.7916710917</v>
      </c>
      <c r="AB60" s="5">
        <f ca="1">IFERROR(INDEX(EHDAll[],MATCH($B60,EHDAll[DEVELOPMENT],0),MATCH("ESTIMATE",EHDAll[#Headers],0)),0)</f>
        <v>346315.0960125</v>
      </c>
      <c r="AC60" s="5">
        <f ca="1">IFERROR(INDEX(IntAll[],MATCH($B60,IntAll[DEVELOPMENT],0),MATCH("ESTIMATE",IntAll[#Headers],0)),0)</f>
        <v>0</v>
      </c>
      <c r="AD60" s="5">
        <f ca="1">IFERROR(INDEX(YardsAll[],MATCH($B60,YardsAll[DEVELOPMENT],0),MATCH("TOTAL ESTIMATE",YardsAll[#Headers],0)),0)</f>
        <v>0</v>
      </c>
      <c r="AE60" s="99">
        <f t="shared" ca="1" si="0"/>
        <v>2970824.8876835918</v>
      </c>
      <c r="AF60" s="5"/>
    </row>
    <row r="61" spans="1:32">
      <c r="A61" s="101">
        <f>VLOOKUP(B61,Data[],24,FALSE)</f>
        <v>229</v>
      </c>
      <c r="B61" t="s">
        <v>220</v>
      </c>
      <c r="C61" t="str">
        <f>VLOOKUP(all[[#This Row],[DEVELOPMENT]],Data[],MATCH(all[[#Headers],[PROGRAM]],Data[#Headers],0),FALSE)</f>
        <v>FEDERAL</v>
      </c>
      <c r="D61" t="str">
        <f>VLOOKUP(B61,Data[],2,FALSE)</f>
        <v>BROOKLYN</v>
      </c>
      <c r="E61">
        <f>VLOOKUP(all[[#This Row],[DEVELOPMENT]],Data[],65,FALSE)</f>
        <v>56</v>
      </c>
      <c r="F61" t="e">
        <f>VLOOKUP(all[[#This Row],[DEVELOPMENT]],Data[],3,FALSE)</f>
        <v>#N/A</v>
      </c>
      <c r="G61" s="107" t="s">
        <v>186</v>
      </c>
      <c r="H61" t="s">
        <v>184</v>
      </c>
      <c r="I61">
        <f>VLOOKUP(all[[#This Row],[DEVELOPMENT]],Data[],34,FALSE)</f>
        <v>1</v>
      </c>
      <c r="J61" t="s">
        <v>183</v>
      </c>
      <c r="K61">
        <f>VLOOKUP(B61,Data[],8,FALSE)</f>
        <v>0</v>
      </c>
      <c r="L61" t="str">
        <f>VLOOKUP(all[[#This Row],[DEVELOPMENT]],Data[],61,FALSE)</f>
        <v>No</v>
      </c>
      <c r="M61">
        <f>VLOOKUP(B61,Data[],9,FALSE)</f>
        <v>0</v>
      </c>
      <c r="N61">
        <v>2</v>
      </c>
      <c r="O61" t="s">
        <v>185</v>
      </c>
      <c r="P61">
        <f ca="1">IFERROR(VLOOKUP(B61,Data[],4,FALSE),"")</f>
        <v>2019</v>
      </c>
      <c r="Q61" t="str">
        <f ca="1">IF(all[[#This Row],[RAD/PACT]]="","",IF(OR(all[[#This Row],[RAD/PACT]]="2021-2025",all[[#This Row],[RAD/PACT]]="2019-2020"),"Yes",""))</f>
        <v/>
      </c>
      <c r="R61">
        <f>VLOOKUP(all[[#This Row],[DEVELOPMENT]],Data[],7,FALSE)</f>
        <v>256</v>
      </c>
      <c r="S61" t="str">
        <f>VLOOKUP(all[[#This Row],[DEVELOPMENT]],Data[],25,FALSE)</f>
        <v>Newtown Creek</v>
      </c>
      <c r="T61">
        <f>VLOOKUP(all[[#This Row],[DEVELOPMENT]],Data[],5,FALSE)</f>
        <v>2</v>
      </c>
      <c r="U61">
        <f>VLOOKUP(all[[#This Row],[DEVELOPMENT]],Data[],10,FALSE)</f>
        <v>0</v>
      </c>
      <c r="V61">
        <f>VLOOKUP(all[[#This Row],[DEVELOPMENT]],Data[],10,FALSE)</f>
        <v>0</v>
      </c>
      <c r="W61">
        <f>VLOOKUP(all[[#This Row],[DEVELOPMENT]],Data[],33,FALSE)</f>
        <v>0</v>
      </c>
      <c r="X61">
        <f>VLOOKUP(all[[#This Row],[DEVELOPMENT]],Data[],33,FALSE)</f>
        <v>0</v>
      </c>
      <c r="Y61">
        <f>VLOOKUP(all[[#This Row],[DEVELOPMENT]],Data[],28,FALSE)</f>
        <v>0</v>
      </c>
      <c r="Z61">
        <f>IF(all[[#This Row],['# Bulk Crushers]]=0,1,0)</f>
        <v>1</v>
      </c>
      <c r="AA61" s="5">
        <f ca="1">IFERROR(INDEX(FWD[],MATCH($B61,FWD[DEVELOPMENT],0),MATCH("ESTIMATE",FWD[#Headers],0)),0)</f>
        <v>439996.40253294003</v>
      </c>
      <c r="AB61" s="5">
        <f ca="1">IFERROR(INDEX(EHDAll[],MATCH($B61,EHDAll[DEVELOPMENT],0),MATCH("ESTIMATE",EHDAll[#Headers],0)),0)</f>
        <v>0</v>
      </c>
      <c r="AC61" s="5">
        <f ca="1">IFERROR(INDEX(IntAll[],MATCH($B61,IntAll[DEVELOPMENT],0),MATCH("ESTIMATE",IntAll[#Headers],0)),0)</f>
        <v>0</v>
      </c>
      <c r="AD61" s="5">
        <f ca="1">IFERROR(INDEX(YardsAll[],MATCH($B61,YardsAll[DEVELOPMENT],0),MATCH("TOTAL ESTIMATE",YardsAll[#Headers],0)),0)</f>
        <v>0</v>
      </c>
      <c r="AE61" s="99">
        <f t="shared" ca="1" si="0"/>
        <v>439996.40253294003</v>
      </c>
      <c r="AF61" s="5"/>
    </row>
    <row r="62" spans="1:32">
      <c r="A62" s="101">
        <f>VLOOKUP(B62,Data[],24,FALSE)</f>
        <v>15</v>
      </c>
      <c r="B62" t="s">
        <v>221</v>
      </c>
      <c r="C62" t="str">
        <f>VLOOKUP(all[[#This Row],[DEVELOPMENT]],Data[],MATCH(all[[#Headers],[PROGRAM]],Data[#Headers],0),FALSE)</f>
        <v>FEDERAL</v>
      </c>
      <c r="D62" t="str">
        <f>VLOOKUP(B62,Data[],2,FALSE)</f>
        <v>MANHATTAN</v>
      </c>
      <c r="E62">
        <f>VLOOKUP(all[[#This Row],[DEVELOPMENT]],Data[],65,FALSE)</f>
        <v>75</v>
      </c>
      <c r="F62" t="e">
        <f>VLOOKUP(all[[#This Row],[DEVELOPMENT]],Data[],3,FALSE)</f>
        <v>#N/A</v>
      </c>
      <c r="G62" s="107" t="s">
        <v>186</v>
      </c>
      <c r="H62" t="s">
        <v>184</v>
      </c>
      <c r="I62">
        <f>VLOOKUP(all[[#This Row],[DEVELOPMENT]],Data[],34,FALSE)</f>
        <v>2</v>
      </c>
      <c r="J62" t="s">
        <v>184</v>
      </c>
      <c r="K62" t="str">
        <f>VLOOKUP(B62,Data[],8,FALSE)</f>
        <v>Zone 3</v>
      </c>
      <c r="L62" t="str">
        <f>VLOOKUP(all[[#This Row],[DEVELOPMENT]],Data[],61,FALSE)</f>
        <v>No</v>
      </c>
      <c r="M62">
        <f>VLOOKUP(B62,Data[],9,FALSE)</f>
        <v>0</v>
      </c>
      <c r="N62">
        <v>3</v>
      </c>
      <c r="O62">
        <v>4</v>
      </c>
      <c r="P62" t="str">
        <f ca="1">IFERROR(VLOOKUP(B62,Data[],4,FALSE),"")</f>
        <v/>
      </c>
      <c r="Q62" t="str">
        <f ca="1">IF(all[[#This Row],[RAD/PACT]]="","",IF(OR(all[[#This Row],[RAD/PACT]]="2021-2025",all[[#This Row],[RAD/PACT]]="2019-2020"),"Yes",""))</f>
        <v/>
      </c>
      <c r="R62">
        <f>VLOOKUP(all[[#This Row],[DEVELOPMENT]],Data[],7,FALSE)</f>
        <v>606</v>
      </c>
      <c r="S62">
        <f>VLOOKUP(all[[#This Row],[DEVELOPMENT]],Data[],25,FALSE)</f>
        <v>0</v>
      </c>
      <c r="T62">
        <f>VLOOKUP(all[[#This Row],[DEVELOPMENT]],Data[],5,FALSE)</f>
        <v>4</v>
      </c>
      <c r="U62">
        <f>VLOOKUP(all[[#This Row],[DEVELOPMENT]],Data[],10,FALSE)</f>
        <v>8</v>
      </c>
      <c r="V62">
        <f>VLOOKUP(all[[#This Row],[DEVELOPMENT]],Data[],10,FALSE)</f>
        <v>8</v>
      </c>
      <c r="W62">
        <f>VLOOKUP(all[[#This Row],[DEVELOPMENT]],Data[],33,FALSE)</f>
        <v>0</v>
      </c>
      <c r="X62">
        <f>VLOOKUP(all[[#This Row],[DEVELOPMENT]],Data[],33,FALSE)</f>
        <v>0</v>
      </c>
      <c r="Y62">
        <f>VLOOKUP(all[[#This Row],[DEVELOPMENT]],Data[],28,FALSE)</f>
        <v>0</v>
      </c>
      <c r="Z62">
        <f>IF(all[[#This Row],['# Bulk Crushers]]=0,1,0)</f>
        <v>1</v>
      </c>
      <c r="AA62" s="5">
        <f ca="1">IFERROR(INDEX(FWD[],MATCH($B62,FWD[DEVELOPMENT],0),MATCH("ESTIMATE",FWD[#Headers],0)),0)</f>
        <v>1041553.9841209439</v>
      </c>
      <c r="AB62" s="5">
        <f ca="1">IFERROR(INDEX(EHDAll[],MATCH($B62,EHDAll[DEVELOPMENT],0),MATCH("ESTIMATE",EHDAll[#Headers],0)),0)</f>
        <v>63649.108360000006</v>
      </c>
      <c r="AC62" s="5">
        <f ca="1">IFERROR(INDEX(IntAll[],MATCH($B62,IntAll[DEVELOPMENT],0),MATCH("ESTIMATE",IntAll[#Headers],0)),0)</f>
        <v>610687</v>
      </c>
      <c r="AD62" s="5">
        <f ca="1">IFERROR(INDEX(YardsAll[],MATCH($B62,YardsAll[DEVELOPMENT],0),MATCH("TOTAL ESTIMATE",YardsAll[#Headers],0)),0)</f>
        <v>1934073.9567800006</v>
      </c>
      <c r="AE62" s="99">
        <f t="shared" ca="1" si="0"/>
        <v>3649964.0492609446</v>
      </c>
      <c r="AF62" s="5"/>
    </row>
    <row r="63" spans="1:32">
      <c r="A63" s="101">
        <f>VLOOKUP(B63,Data[],24,FALSE)</f>
        <v>103</v>
      </c>
      <c r="B63" t="s">
        <v>222</v>
      </c>
      <c r="C63" t="str">
        <f>VLOOKUP(all[[#This Row],[DEVELOPMENT]],Data[],MATCH(all[[#Headers],[PROGRAM]],Data[#Headers],0),FALSE)</f>
        <v>FEDERAL</v>
      </c>
      <c r="D63" t="str">
        <f>VLOOKUP(B63,Data[],2,FALSE)</f>
        <v>BRONX</v>
      </c>
      <c r="E63">
        <f>VLOOKUP(all[[#This Row],[DEVELOPMENT]],Data[],65,FALSE)</f>
        <v>79</v>
      </c>
      <c r="F63" t="e">
        <f>VLOOKUP(all[[#This Row],[DEVELOPMENT]],Data[],3,FALSE)</f>
        <v>#N/A</v>
      </c>
      <c r="G63" s="107" t="s">
        <v>186</v>
      </c>
      <c r="H63" t="s">
        <v>184</v>
      </c>
      <c r="I63">
        <f>VLOOKUP(all[[#This Row],[DEVELOPMENT]],Data[],34,FALSE)</f>
        <v>2</v>
      </c>
      <c r="J63" t="s">
        <v>183</v>
      </c>
      <c r="K63" t="str">
        <f>VLOOKUP(B63,Data[],8,FALSE)</f>
        <v>Zone 4</v>
      </c>
      <c r="L63" t="str">
        <f>VLOOKUP(all[[#This Row],[DEVELOPMENT]],Data[],61,FALSE)</f>
        <v>No</v>
      </c>
      <c r="M63">
        <f>VLOOKUP(B63,Data[],9,FALSE)</f>
        <v>0</v>
      </c>
      <c r="N63">
        <v>4</v>
      </c>
      <c r="O63">
        <v>4</v>
      </c>
      <c r="P63" t="str">
        <f ca="1">IFERROR(VLOOKUP(B63,Data[],4,FALSE),"")</f>
        <v>2026+</v>
      </c>
      <c r="Q63" t="str">
        <f ca="1">IF(all[[#This Row],[RAD/PACT]]="","",IF(OR(all[[#This Row],[RAD/PACT]]="2021-2025",all[[#This Row],[RAD/PACT]]="2019-2020"),"Yes",""))</f>
        <v/>
      </c>
      <c r="R63">
        <f>VLOOKUP(all[[#This Row],[DEVELOPMENT]],Data[],7,FALSE)</f>
        <v>615</v>
      </c>
      <c r="S63">
        <f>VLOOKUP(all[[#This Row],[DEVELOPMENT]],Data[],25,FALSE)</f>
        <v>0</v>
      </c>
      <c r="T63">
        <f>VLOOKUP(all[[#This Row],[DEVELOPMENT]],Data[],5,FALSE)</f>
        <v>5</v>
      </c>
      <c r="U63">
        <f>VLOOKUP(all[[#This Row],[DEVELOPMENT]],Data[],10,FALSE)</f>
        <v>5</v>
      </c>
      <c r="V63">
        <f>VLOOKUP(all[[#This Row],[DEVELOPMENT]],Data[],10,FALSE)</f>
        <v>5</v>
      </c>
      <c r="W63">
        <f>VLOOKUP(all[[#This Row],[DEVELOPMENT]],Data[],33,FALSE)</f>
        <v>2</v>
      </c>
      <c r="X63">
        <f>VLOOKUP(all[[#This Row],[DEVELOPMENT]],Data[],33,FALSE)</f>
        <v>2</v>
      </c>
      <c r="Y63">
        <f>VLOOKUP(all[[#This Row],[DEVELOPMENT]],Data[],28,FALSE)</f>
        <v>0</v>
      </c>
      <c r="Z63">
        <f>IF(all[[#This Row],['# Bulk Crushers]]=0,1,0)</f>
        <v>1</v>
      </c>
      <c r="AA63" s="5">
        <f ca="1">IFERROR(INDEX(FWD[],MATCH($B63,FWD[DEVELOPMENT],0),MATCH("ESTIMATE",FWD[#Headers],0)),0)</f>
        <v>1057022.6076474926</v>
      </c>
      <c r="AB63" s="5">
        <f ca="1">IFERROR(INDEX(EHDAll[],MATCH($B63,EHDAll[DEVELOPMENT],0),MATCH("ESTIMATE",EHDAll[#Headers],0)),0)</f>
        <v>39780.692725000001</v>
      </c>
      <c r="AC63" s="5">
        <f ca="1">IFERROR(INDEX(IntAll[],MATCH($B63,IntAll[DEVELOPMENT],0),MATCH("ESTIMATE",IntAll[#Headers],0)),0)</f>
        <v>403760</v>
      </c>
      <c r="AD63" s="5">
        <f ca="1">IFERROR(INDEX(YardsAll[],MATCH($B63,YardsAll[DEVELOPMENT],0),MATCH("TOTAL ESTIMATE",YardsAll[#Headers],0)),0)</f>
        <v>2232573.9527325006</v>
      </c>
      <c r="AE63" s="99">
        <f t="shared" ca="1" si="0"/>
        <v>3733137.2531049931</v>
      </c>
      <c r="AF63" s="5"/>
    </row>
    <row r="64" spans="1:32">
      <c r="A64" s="101">
        <f>VLOOKUP(B64,Data[],24,FALSE)</f>
        <v>145</v>
      </c>
      <c r="B64" t="s">
        <v>223</v>
      </c>
      <c r="C64" t="str">
        <f>VLOOKUP(all[[#This Row],[DEVELOPMENT]],Data[],MATCH(all[[#Headers],[PROGRAM]],Data[#Headers],0),FALSE)</f>
        <v>FEDERAL</v>
      </c>
      <c r="D64" t="str">
        <f>VLOOKUP(B64,Data[],2,FALSE)</f>
        <v>BRONX</v>
      </c>
      <c r="E64">
        <f>VLOOKUP(all[[#This Row],[DEVELOPMENT]],Data[],65,FALSE)</f>
        <v>84</v>
      </c>
      <c r="F64" t="e">
        <f>VLOOKUP(all[[#This Row],[DEVELOPMENT]],Data[],3,FALSE)</f>
        <v>#N/A</v>
      </c>
      <c r="G64" s="107" t="s">
        <v>186</v>
      </c>
      <c r="H64" t="s">
        <v>184</v>
      </c>
      <c r="I64">
        <f>VLOOKUP(all[[#This Row],[DEVELOPMENT]],Data[],34,FALSE)</f>
        <v>2</v>
      </c>
      <c r="J64" t="s">
        <v>183</v>
      </c>
      <c r="K64">
        <f>VLOOKUP(B64,Data[],8,FALSE)</f>
        <v>0</v>
      </c>
      <c r="L64" t="str">
        <f>VLOOKUP(all[[#This Row],[DEVELOPMENT]],Data[],61,FALSE)</f>
        <v>No</v>
      </c>
      <c r="M64">
        <f>VLOOKUP(B64,Data[],9,FALSE)</f>
        <v>0</v>
      </c>
      <c r="N64">
        <v>2</v>
      </c>
      <c r="O64" t="s">
        <v>185</v>
      </c>
      <c r="P64" t="str">
        <f ca="1">IFERROR(VLOOKUP(B64,Data[],4,FALSE),"")</f>
        <v>2026+</v>
      </c>
      <c r="Q64" t="str">
        <f ca="1">IF(all[[#This Row],[RAD/PACT]]="","",IF(OR(all[[#This Row],[RAD/PACT]]="2021-2025",all[[#This Row],[RAD/PACT]]="2019-2020"),"Yes",""))</f>
        <v/>
      </c>
      <c r="R64">
        <f>VLOOKUP(all[[#This Row],[DEVELOPMENT]],Data[],7,FALSE)</f>
        <v>1732</v>
      </c>
      <c r="S64">
        <f>VLOOKUP(all[[#This Row],[DEVELOPMENT]],Data[],25,FALSE)</f>
        <v>0</v>
      </c>
      <c r="T64">
        <f>VLOOKUP(all[[#This Row],[DEVELOPMENT]],Data[],5,FALSE)</f>
        <v>10</v>
      </c>
      <c r="U64">
        <f>VLOOKUP(all[[#This Row],[DEVELOPMENT]],Data[],10,FALSE)</f>
        <v>10</v>
      </c>
      <c r="V64">
        <f>VLOOKUP(all[[#This Row],[DEVELOPMENT]],Data[],10,FALSE)</f>
        <v>10</v>
      </c>
      <c r="W64">
        <f>VLOOKUP(all[[#This Row],[DEVELOPMENT]],Data[],33,FALSE)</f>
        <v>4</v>
      </c>
      <c r="X64">
        <f>VLOOKUP(all[[#This Row],[DEVELOPMENT]],Data[],33,FALSE)</f>
        <v>4</v>
      </c>
      <c r="Y64">
        <f>VLOOKUP(all[[#This Row],[DEVELOPMENT]],Data[],28,FALSE)</f>
        <v>0</v>
      </c>
      <c r="Z64">
        <f>IF(all[[#This Row],['# Bulk Crushers]]=0,1,0)</f>
        <v>1</v>
      </c>
      <c r="AA64" s="5">
        <f ca="1">IFERROR(INDEX(FWD[],MATCH($B64,FWD[DEVELOPMENT],0),MATCH("ESTIMATE",FWD[#Headers],0)),0)</f>
        <v>2976850.6608869224</v>
      </c>
      <c r="AB64" s="5">
        <f ca="1">IFERROR(INDEX(EHDAll[],MATCH($B64,EHDAll[DEVELOPMENT],0),MATCH("ESTIMATE",EHDAll[#Headers],0)),0)</f>
        <v>79561.385450000002</v>
      </c>
      <c r="AC64" s="5">
        <f ca="1">IFERROR(INDEX(IntAll[],MATCH($B64,IntAll[DEVELOPMENT],0),MATCH("ESTIMATE",IntAll[#Headers],0)),0)</f>
        <v>675036.25</v>
      </c>
      <c r="AD64" s="5">
        <f ca="1">IFERROR(INDEX(YardsAll[],MATCH($B64,YardsAll[DEVELOPMENT],0),MATCH("TOTAL ESTIMATE",YardsAll[#Headers],0)),0)</f>
        <v>2866095.5599910002</v>
      </c>
      <c r="AE64" s="99">
        <f t="shared" ca="1" si="0"/>
        <v>6597543.856327923</v>
      </c>
      <c r="AF64" s="5"/>
    </row>
    <row r="65" spans="1:32">
      <c r="A65" s="101">
        <f>VLOOKUP(B65,Data[],24,FALSE)</f>
        <v>8</v>
      </c>
      <c r="B65" t="s">
        <v>224</v>
      </c>
      <c r="C65" t="str">
        <f>VLOOKUP(all[[#This Row],[DEVELOPMENT]],Data[],MATCH(all[[#Headers],[PROGRAM]],Data[#Headers],0),FALSE)</f>
        <v>FEDERAL</v>
      </c>
      <c r="D65" t="str">
        <f>VLOOKUP(B65,Data[],2,FALSE)</f>
        <v>QUEENS</v>
      </c>
      <c r="E65">
        <f>VLOOKUP(all[[#This Row],[DEVELOPMENT]],Data[],65,FALSE)</f>
        <v>32</v>
      </c>
      <c r="F65" t="e">
        <f>VLOOKUP(all[[#This Row],[DEVELOPMENT]],Data[],3,FALSE)</f>
        <v>#N/A</v>
      </c>
      <c r="G65" s="107" t="s">
        <v>186</v>
      </c>
      <c r="H65" t="s">
        <v>184</v>
      </c>
      <c r="I65">
        <f>VLOOKUP(all[[#This Row],[DEVELOPMENT]],Data[],34,FALSE)</f>
        <v>2</v>
      </c>
      <c r="J65" t="s">
        <v>184</v>
      </c>
      <c r="K65">
        <f>VLOOKUP(B65,Data[],8,FALSE)</f>
        <v>0</v>
      </c>
      <c r="L65" t="str">
        <f>VLOOKUP(all[[#This Row],[DEVELOPMENT]],Data[],61,FALSE)</f>
        <v>No</v>
      </c>
      <c r="M65">
        <f>VLOOKUP(B65,Data[],9,FALSE)</f>
        <v>0</v>
      </c>
      <c r="N65">
        <v>1</v>
      </c>
      <c r="O65">
        <v>1</v>
      </c>
      <c r="P65" t="str">
        <f ca="1">IFERROR(VLOOKUP(B65,Data[],4,FALSE),"")</f>
        <v>2026+</v>
      </c>
      <c r="Q65" t="str">
        <f ca="1">IF(all[[#This Row],[RAD/PACT]]="","",IF(OR(all[[#This Row],[RAD/PACT]]="2021-2025",all[[#This Row],[RAD/PACT]]="2019-2020"),"Yes",""))</f>
        <v/>
      </c>
      <c r="R65">
        <f>VLOOKUP(all[[#This Row],[DEVELOPMENT]],Data[],7,FALSE)</f>
        <v>448</v>
      </c>
      <c r="S65">
        <f>VLOOKUP(all[[#This Row],[DEVELOPMENT]],Data[],25,FALSE)</f>
        <v>0</v>
      </c>
      <c r="T65">
        <f>VLOOKUP(all[[#This Row],[DEVELOPMENT]],Data[],5,FALSE)</f>
        <v>11</v>
      </c>
      <c r="U65">
        <f>VLOOKUP(all[[#This Row],[DEVELOPMENT]],Data[],10,FALSE)</f>
        <v>33</v>
      </c>
      <c r="V65">
        <f>VLOOKUP(all[[#This Row],[DEVELOPMENT]],Data[],10,FALSE)</f>
        <v>33</v>
      </c>
      <c r="W65">
        <f>VLOOKUP(all[[#This Row],[DEVELOPMENT]],Data[],33,FALSE)</f>
        <v>2</v>
      </c>
      <c r="X65">
        <f>VLOOKUP(all[[#This Row],[DEVELOPMENT]],Data[],33,FALSE)</f>
        <v>2</v>
      </c>
      <c r="Y65">
        <f>VLOOKUP(all[[#This Row],[DEVELOPMENT]],Data[],28,FALSE)</f>
        <v>0</v>
      </c>
      <c r="Z65">
        <f>IF(all[[#This Row],['# Bulk Crushers]]=0,1,0)</f>
        <v>1</v>
      </c>
      <c r="AA65" s="5">
        <f ca="1">IFERROR(INDEX(FWD[],MATCH($B65,FWD[DEVELOPMENT],0),MATCH("ESTIMATE",FWD[#Headers],0)),0)</f>
        <v>769993.70443264511</v>
      </c>
      <c r="AB65" s="5">
        <f ca="1">IFERROR(INDEX(EHDAll[],MATCH($B65,EHDAll[DEVELOPMENT],0),MATCH("ESTIMATE",EHDAll[#Headers],0)),0)</f>
        <v>271140.74022750003</v>
      </c>
      <c r="AC65" s="5">
        <f ca="1">IFERROR(INDEX(IntAll[],MATCH($B65,IntAll[DEVELOPMENT],0),MATCH("ESTIMATE",IntAll[#Headers],0)),0)</f>
        <v>2154753.5625</v>
      </c>
      <c r="AD65" s="5">
        <f ca="1">IFERROR(INDEX(YardsAll[],MATCH($B65,YardsAll[DEVELOPMENT],0),MATCH("TOTAL ESTIMATE",YardsAll[#Headers],0)),0)</f>
        <v>2161858.9406550005</v>
      </c>
      <c r="AE65" s="99">
        <f t="shared" ca="1" si="0"/>
        <v>5357746.9478151454</v>
      </c>
      <c r="AF65" s="5"/>
    </row>
    <row r="66" spans="1:32">
      <c r="A66" s="101">
        <f>VLOOKUP(B66,Data[],24,FALSE)</f>
        <v>193</v>
      </c>
      <c r="B66" t="s">
        <v>225</v>
      </c>
      <c r="C66" t="str">
        <f>VLOOKUP(all[[#This Row],[DEVELOPMENT]],Data[],MATCH(all[[#Headers],[PROGRAM]],Data[#Headers],0),FALSE)</f>
        <v>FEDERAL</v>
      </c>
      <c r="D66" t="str">
        <f>VLOOKUP(B66,Data[],2,FALSE)</f>
        <v>BRONX</v>
      </c>
      <c r="E66">
        <f>VLOOKUP(all[[#This Row],[DEVELOPMENT]],Data[],65,FALSE)</f>
        <v>82</v>
      </c>
      <c r="F66" t="e">
        <f>VLOOKUP(all[[#This Row],[DEVELOPMENT]],Data[],3,FALSE)</f>
        <v>#N/A</v>
      </c>
      <c r="G66" s="107" t="s">
        <v>186</v>
      </c>
      <c r="H66" t="s">
        <v>184</v>
      </c>
      <c r="I66">
        <f>VLOOKUP(all[[#This Row],[DEVELOPMENT]],Data[],34,FALSE)</f>
        <v>2</v>
      </c>
      <c r="J66" t="s">
        <v>183</v>
      </c>
      <c r="K66">
        <f>VLOOKUP(B66,Data[],8,FALSE)</f>
        <v>0</v>
      </c>
      <c r="L66" t="str">
        <f>VLOOKUP(all[[#This Row],[DEVELOPMENT]],Data[],61,FALSE)</f>
        <v>No</v>
      </c>
      <c r="M66">
        <f>VLOOKUP(B66,Data[],9,FALSE)</f>
        <v>0</v>
      </c>
      <c r="N66">
        <v>4</v>
      </c>
      <c r="O66" t="s">
        <v>185</v>
      </c>
      <c r="P66" t="str">
        <f ca="1">IFERROR(VLOOKUP(B66,Data[],4,FALSE),"")</f>
        <v>2020-2021</v>
      </c>
      <c r="Q66" t="str">
        <f ca="1">IF(all[[#This Row],[RAD/PACT]]="","",IF(OR(all[[#This Row],[RAD/PACT]]="2021-2025",all[[#This Row],[RAD/PACT]]="2019-2020"),"Yes",""))</f>
        <v/>
      </c>
      <c r="R66">
        <f>VLOOKUP(all[[#This Row],[DEVELOPMENT]],Data[],7,FALSE)</f>
        <v>287</v>
      </c>
      <c r="S66">
        <f>VLOOKUP(all[[#This Row],[DEVELOPMENT]],Data[],25,FALSE)</f>
        <v>0</v>
      </c>
      <c r="T66">
        <f>VLOOKUP(all[[#This Row],[DEVELOPMENT]],Data[],5,FALSE)</f>
        <v>4</v>
      </c>
      <c r="U66">
        <f>VLOOKUP(all[[#This Row],[DEVELOPMENT]],Data[],10,FALSE)</f>
        <v>4</v>
      </c>
      <c r="V66">
        <f>VLOOKUP(all[[#This Row],[DEVELOPMENT]],Data[],10,FALSE)</f>
        <v>4</v>
      </c>
      <c r="W66">
        <f>VLOOKUP(all[[#This Row],[DEVELOPMENT]],Data[],33,FALSE)</f>
        <v>0</v>
      </c>
      <c r="X66">
        <f>VLOOKUP(all[[#This Row],[DEVELOPMENT]],Data[],33,FALSE)</f>
        <v>0</v>
      </c>
      <c r="Y66">
        <f>VLOOKUP(all[[#This Row],[DEVELOPMENT]],Data[],28,FALSE)</f>
        <v>0</v>
      </c>
      <c r="Z66">
        <f>IF(all[[#This Row],['# Bulk Crushers]]=0,1,0)</f>
        <v>1</v>
      </c>
      <c r="AA66" s="5">
        <f ca="1">IFERROR(INDEX(FWD[],MATCH($B66,FWD[DEVELOPMENT],0),MATCH("ESTIMATE",FWD[#Headers],0)),0)</f>
        <v>493277.21690216323</v>
      </c>
      <c r="AB66" s="5">
        <f ca="1">IFERROR(INDEX(EHDAll[],MATCH($B66,EHDAll[DEVELOPMENT],0),MATCH("ESTIMATE",EHDAll[#Headers],0)),0)</f>
        <v>32865.544269999999</v>
      </c>
      <c r="AC66" s="5">
        <f ca="1">IFERROR(INDEX(IntAll[],MATCH($B66,IntAll[DEVELOPMENT],0),MATCH("ESTIMATE",IntAll[#Headers],0)),0)</f>
        <v>0</v>
      </c>
      <c r="AD66" s="5">
        <f ca="1">IFERROR(INDEX(YardsAll[],MATCH($B66,YardsAll[DEVELOPMENT],0),MATCH("TOTAL ESTIMATE",YardsAll[#Headers],0)),0)</f>
        <v>0</v>
      </c>
      <c r="AE66" s="99">
        <f t="shared" ca="1" si="0"/>
        <v>526142.76117216318</v>
      </c>
      <c r="AF66" s="5"/>
    </row>
    <row r="67" spans="1:32">
      <c r="A67" s="101">
        <f>VLOOKUP(B67,Data[],24,FALSE)</f>
        <v>46</v>
      </c>
      <c r="B67" t="s">
        <v>226</v>
      </c>
      <c r="C67" t="str">
        <f>VLOOKUP(all[[#This Row],[DEVELOPMENT]],Data[],MATCH(all[[#Headers],[PROGRAM]],Data[#Headers],0),FALSE)</f>
        <v>MIXED FINANCE/LLC2</v>
      </c>
      <c r="D67" t="str">
        <f>VLOOKUP(B67,Data[],2,FALSE)</f>
        <v>BROOKLYN</v>
      </c>
      <c r="E67">
        <f>VLOOKUP(all[[#This Row],[DEVELOPMENT]],Data[],65,FALSE)</f>
        <v>60</v>
      </c>
      <c r="F67" t="e">
        <f>VLOOKUP(all[[#This Row],[DEVELOPMENT]],Data[],3,FALSE)</f>
        <v>#N/A</v>
      </c>
      <c r="G67" s="107" t="s">
        <v>186</v>
      </c>
      <c r="H67" t="s">
        <v>184</v>
      </c>
      <c r="I67">
        <f>VLOOKUP(all[[#This Row],[DEVELOPMENT]],Data[],34,FALSE)</f>
        <v>4</v>
      </c>
      <c r="J67" t="s">
        <v>183</v>
      </c>
      <c r="K67">
        <f>VLOOKUP(B67,Data[],8,FALSE)</f>
        <v>0</v>
      </c>
      <c r="L67" t="str">
        <f>VLOOKUP(all[[#This Row],[DEVELOPMENT]],Data[],61,FALSE)</f>
        <v>Yes</v>
      </c>
      <c r="M67">
        <f>VLOOKUP(B67,Data[],9,FALSE)</f>
        <v>0</v>
      </c>
      <c r="N67">
        <v>3</v>
      </c>
      <c r="O67" t="s">
        <v>185</v>
      </c>
      <c r="P67" t="str">
        <f ca="1">IFERROR(VLOOKUP(B67,Data[],4,FALSE),"")</f>
        <v>2020-2021</v>
      </c>
      <c r="Q67" t="str">
        <f ca="1">IF(all[[#This Row],[RAD/PACT]]="","",IF(OR(all[[#This Row],[RAD/PACT]]="2021-2025",all[[#This Row],[RAD/PACT]]="2019-2020"),"Yes",""))</f>
        <v/>
      </c>
      <c r="R67">
        <f>VLOOKUP(all[[#This Row],[DEVELOPMENT]],Data[],7,FALSE)</f>
        <v>1424</v>
      </c>
      <c r="S67">
        <f>VLOOKUP(all[[#This Row],[DEVELOPMENT]],Data[],25,FALSE)</f>
        <v>0</v>
      </c>
      <c r="T67">
        <f>VLOOKUP(all[[#This Row],[DEVELOPMENT]],Data[],5,FALSE)</f>
        <v>18</v>
      </c>
      <c r="U67">
        <f>VLOOKUP(all[[#This Row],[DEVELOPMENT]],Data[],10,FALSE)</f>
        <v>30</v>
      </c>
      <c r="V67">
        <f>VLOOKUP(all[[#This Row],[DEVELOPMENT]],Data[],10,FALSE)</f>
        <v>30</v>
      </c>
      <c r="W67">
        <f>VLOOKUP(all[[#This Row],[DEVELOPMENT]],Data[],33,FALSE)</f>
        <v>0</v>
      </c>
      <c r="X67">
        <f>VLOOKUP(all[[#This Row],[DEVELOPMENT]],Data[],33,FALSE)</f>
        <v>0</v>
      </c>
      <c r="Y67">
        <f>VLOOKUP(all[[#This Row],[DEVELOPMENT]],Data[],28,FALSE)</f>
        <v>0</v>
      </c>
      <c r="Z67">
        <f>IF(all[[#This Row],['# Bulk Crushers]]=0,1,0)</f>
        <v>1</v>
      </c>
      <c r="AA67" s="5">
        <f ca="1">IFERROR(INDEX(FWD[],MATCH($B67,FWD[DEVELOPMENT],0),MATCH("ESTIMATE",FWD[#Headers],0)),0)</f>
        <v>2447479.9890894787</v>
      </c>
      <c r="AB67" s="5">
        <f ca="1">IFERROR(INDEX(EHDAll[],MATCH($B67,EHDAll[DEVELOPMENT],0),MATCH("ESTIMATE",EHDAll[#Headers],0)),0)</f>
        <v>238684.15635</v>
      </c>
      <c r="AC67" s="5">
        <f ca="1">IFERROR(INDEX(IntAll[],MATCH($B67,IntAll[DEVELOPMENT],0),MATCH("ESTIMATE",IntAll[#Headers],0)),0)</f>
        <v>0</v>
      </c>
      <c r="AD67" s="5">
        <f ca="1">IFERROR(INDEX(YardsAll[],MATCH($B67,YardsAll[DEVELOPMENT],0),MATCH("TOTAL ESTIMATE",YardsAll[#Headers],0)),0)</f>
        <v>0</v>
      </c>
      <c r="AE67" s="99">
        <f t="shared" ca="1" si="0"/>
        <v>2686164.1454394786</v>
      </c>
      <c r="AF67" s="5"/>
    </row>
    <row r="68" spans="1:32">
      <c r="A68" s="101">
        <f>VLOOKUP(B68,Data[],24,FALSE)</f>
        <v>86</v>
      </c>
      <c r="B68" t="s">
        <v>26</v>
      </c>
      <c r="C68" t="str">
        <f>VLOOKUP(all[[#This Row],[DEVELOPMENT]],Data[],MATCH(all[[#Headers],[PROGRAM]],Data[#Headers],0),FALSE)</f>
        <v>MIXED FINANCE/LLC1</v>
      </c>
      <c r="D68" t="str">
        <f>VLOOKUP(B68,Data[],2,FALSE)</f>
        <v>BROOKLYN</v>
      </c>
      <c r="E68">
        <f>VLOOKUP(all[[#This Row],[DEVELOPMENT]],Data[],65,FALSE)</f>
        <v>53</v>
      </c>
      <c r="F68" t="e">
        <f>VLOOKUP(all[[#This Row],[DEVELOPMENT]],Data[],3,FALSE)</f>
        <v>#N/A</v>
      </c>
      <c r="G68" s="107" t="s">
        <v>186</v>
      </c>
      <c r="H68" t="s">
        <v>184</v>
      </c>
      <c r="I68">
        <f>VLOOKUP(all[[#This Row],[DEVELOPMENT]],Data[],34,FALSE)</f>
        <v>4</v>
      </c>
      <c r="J68" t="s">
        <v>183</v>
      </c>
      <c r="K68" t="str">
        <f>VLOOKUP(B68,Data[],8,FALSE)</f>
        <v>Zone 1</v>
      </c>
      <c r="L68" t="str">
        <f>VLOOKUP(all[[#This Row],[DEVELOPMENT]],Data[],61,FALSE)</f>
        <v>Yes</v>
      </c>
      <c r="M68">
        <f>VLOOKUP(B68,Data[],9,FALSE)</f>
        <v>3</v>
      </c>
      <c r="N68">
        <v>3</v>
      </c>
      <c r="O68">
        <v>4</v>
      </c>
      <c r="P68" t="str">
        <f ca="1">IFERROR(VLOOKUP(B68,Data[],4,FALSE),"")</f>
        <v/>
      </c>
      <c r="Q68" t="str">
        <f ca="1">IF(all[[#This Row],[RAD/PACT]]="","",IF(OR(all[[#This Row],[RAD/PACT]]="2021-2025",all[[#This Row],[RAD/PACT]]="2019-2020"),"Yes",""))</f>
        <v/>
      </c>
      <c r="R68">
        <f>VLOOKUP(all[[#This Row],[DEVELOPMENT]],Data[],7,FALSE)</f>
        <v>1219</v>
      </c>
      <c r="S68" t="str">
        <f>VLOOKUP(all[[#This Row],[DEVELOPMENT]],Data[],25,FALSE)</f>
        <v>Newtown Creek</v>
      </c>
      <c r="T68">
        <f>VLOOKUP(all[[#This Row],[DEVELOPMENT]],Data[],5,FALSE)</f>
        <v>8</v>
      </c>
      <c r="U68">
        <f>VLOOKUP(all[[#This Row],[DEVELOPMENT]],Data[],10,FALSE)</f>
        <v>8</v>
      </c>
      <c r="V68">
        <f>VLOOKUP(all[[#This Row],[DEVELOPMENT]],Data[],10,FALSE)</f>
        <v>8</v>
      </c>
      <c r="W68">
        <f>VLOOKUP(all[[#This Row],[DEVELOPMENT]],Data[],33,FALSE)</f>
        <v>2</v>
      </c>
      <c r="X68">
        <f>VLOOKUP(all[[#This Row],[DEVELOPMENT]],Data[],33,FALSE)</f>
        <v>2</v>
      </c>
      <c r="Y68">
        <f>VLOOKUP(all[[#This Row],[DEVELOPMENT]],Data[],28,FALSE)</f>
        <v>0</v>
      </c>
      <c r="Z68">
        <f>IF(all[[#This Row],['# Bulk Crushers]]=0,1,0)</f>
        <v>1</v>
      </c>
      <c r="AA68" s="5">
        <f ca="1">IFERROR(INDEX(FWD[],MATCH($B68,FWD[DEVELOPMENT],0),MATCH("ESTIMATE",FWD[#Headers],0)),0)</f>
        <v>2095139.119873648</v>
      </c>
      <c r="AB68" s="5">
        <f>IFERROR(INDEX(EHDAll[],MATCH($B68,EHDAll[DEVELOPMENT],0),MATCH("ESTIMATE",EHDAll[#Headers],0)),0)</f>
        <v>0</v>
      </c>
      <c r="AC68" s="5">
        <f ca="1">IFERROR(INDEX(IntAll[],MATCH($B68,IntAll[DEVELOPMENT],0),MATCH("ESTIMATE",IntAll[#Headers],0)),0)</f>
        <v>220329</v>
      </c>
      <c r="AD68" s="5">
        <f ca="1">IFERROR(INDEX(YardsAll[],MATCH($B68,YardsAll[DEVELOPMENT],0),MATCH("TOTAL ESTIMATE",YardsAll[#Headers],0)),0)</f>
        <v>40080</v>
      </c>
      <c r="AE68" s="99">
        <f t="shared" ref="AE68:AE131" ca="1" si="1">SUM(AA68:AD68)</f>
        <v>2355548.119873648</v>
      </c>
      <c r="AF68" s="5"/>
    </row>
    <row r="69" spans="1:32">
      <c r="A69" s="101">
        <f>VLOOKUP(B69,Data[],24,FALSE)</f>
        <v>281</v>
      </c>
      <c r="B69" t="s">
        <v>80</v>
      </c>
      <c r="C69" t="str">
        <f>VLOOKUP(all[[#This Row],[DEVELOPMENT]],Data[],MATCH(all[[#Headers],[PROGRAM]],Data[#Headers],0),FALSE)</f>
        <v>FEDERAL</v>
      </c>
      <c r="D69" t="str">
        <f>VLOOKUP(B69,Data[],2,FALSE)</f>
        <v>MANHATTAN</v>
      </c>
      <c r="E69">
        <f>VLOOKUP(all[[#This Row],[DEVELOPMENT]],Data[],65,FALSE)</f>
        <v>70</v>
      </c>
      <c r="F69" t="e">
        <f>VLOOKUP(all[[#This Row],[DEVELOPMENT]],Data[],3,FALSE)</f>
        <v>#N/A</v>
      </c>
      <c r="G69" s="107" t="s">
        <v>186</v>
      </c>
      <c r="H69" t="s">
        <v>184</v>
      </c>
      <c r="I69" t="str">
        <f>VLOOKUP(all[[#This Row],[DEVELOPMENT]],Data[],34,FALSE)</f>
        <v>Follow up</v>
      </c>
      <c r="J69" t="s">
        <v>183</v>
      </c>
      <c r="K69" t="str">
        <f>VLOOKUP(B69,Data[],8,FALSE)</f>
        <v>Zone 3</v>
      </c>
      <c r="L69" t="str">
        <f>VLOOKUP(all[[#This Row],[DEVELOPMENT]],Data[],61,FALSE)</f>
        <v>No</v>
      </c>
      <c r="M69">
        <f>VLOOKUP(B69,Data[],9,FALSE)</f>
        <v>4</v>
      </c>
      <c r="N69">
        <v>3</v>
      </c>
      <c r="O69" t="s">
        <v>185</v>
      </c>
      <c r="P69" t="str">
        <f ca="1">IFERROR(VLOOKUP(B69,Data[],4,FALSE),"")</f>
        <v>2020-2021</v>
      </c>
      <c r="Q69" t="str">
        <f ca="1">IF(all[[#This Row],[RAD/PACT]]="","",IF(OR(all[[#This Row],[RAD/PACT]]="2021-2025",all[[#This Row],[RAD/PACT]]="2019-2020"),"Yes",""))</f>
        <v/>
      </c>
      <c r="R69">
        <f>VLOOKUP(all[[#This Row],[DEVELOPMENT]],Data[],7,FALSE)</f>
        <v>35</v>
      </c>
      <c r="S69">
        <f>VLOOKUP(all[[#This Row],[DEVELOPMENT]],Data[],25,FALSE)</f>
        <v>0</v>
      </c>
      <c r="T69">
        <f>VLOOKUP(all[[#This Row],[DEVELOPMENT]],Data[],5,FALSE)</f>
        <v>1</v>
      </c>
      <c r="U69">
        <f>VLOOKUP(all[[#This Row],[DEVELOPMENT]],Data[],10,FALSE)</f>
        <v>1</v>
      </c>
      <c r="V69">
        <f>VLOOKUP(all[[#This Row],[DEVELOPMENT]],Data[],10,FALSE)</f>
        <v>1</v>
      </c>
      <c r="W69">
        <f>VLOOKUP(all[[#This Row],[DEVELOPMENT]],Data[],33,FALSE)</f>
        <v>0</v>
      </c>
      <c r="X69">
        <f>VLOOKUP(all[[#This Row],[DEVELOPMENT]],Data[],33,FALSE)</f>
        <v>0</v>
      </c>
      <c r="Y69">
        <f>VLOOKUP(all[[#This Row],[DEVELOPMENT]],Data[],28,FALSE)</f>
        <v>0</v>
      </c>
      <c r="Z69">
        <f>IF(all[[#This Row],['# Bulk Crushers]]=0,1,0)</f>
        <v>1</v>
      </c>
      <c r="AA69" s="5">
        <f ca="1">IFERROR(INDEX(FWD[],MATCH($B69,FWD[DEVELOPMENT],0),MATCH("ESTIMATE",FWD[#Headers],0)),0)</f>
        <v>60155.758158800396</v>
      </c>
      <c r="AB69" s="5">
        <f ca="1">IFERROR(INDEX(EHDAll[],MATCH($B69,EHDAll[DEVELOPMENT],0),MATCH("ESTIMATE",EHDAll[#Headers],0)),0)</f>
        <v>7695.8910225</v>
      </c>
      <c r="AC69" s="5">
        <f ca="1">IFERROR(INDEX(IntAll[],MATCH($B69,IntAll[DEVELOPMENT],0),MATCH("ESTIMATE",IntAll[#Headers],0)),0)</f>
        <v>0</v>
      </c>
      <c r="AD69" s="5">
        <f ca="1">IFERROR(INDEX(YardsAll[],MATCH($B69,YardsAll[DEVELOPMENT],0),MATCH("TOTAL ESTIMATE",YardsAll[#Headers],0)),0)</f>
        <v>0</v>
      </c>
      <c r="AE69" s="99">
        <f t="shared" ca="1" si="1"/>
        <v>67851.649181300396</v>
      </c>
      <c r="AF69" s="5"/>
    </row>
    <row r="70" spans="1:32">
      <c r="A70" s="101">
        <f>VLOOKUP(B70,Data[],24,FALSE)</f>
        <v>214</v>
      </c>
      <c r="B70" t="s">
        <v>227</v>
      </c>
      <c r="C70" t="str">
        <f>VLOOKUP(all[[#This Row],[DEVELOPMENT]],Data[],MATCH(all[[#Headers],[PROGRAM]],Data[#Headers],0),FALSE)</f>
        <v>FEDERAL</v>
      </c>
      <c r="D70" t="str">
        <f>VLOOKUP(B70,Data[],2,FALSE)</f>
        <v>BRONX</v>
      </c>
      <c r="E70">
        <f>VLOOKUP(all[[#This Row],[DEVELOPMENT]],Data[],65,FALSE)</f>
        <v>85</v>
      </c>
      <c r="F70" t="e">
        <f>VLOOKUP(all[[#This Row],[DEVELOPMENT]],Data[],3,FALSE)</f>
        <v>#N/A</v>
      </c>
      <c r="G70" s="107" t="s">
        <v>228</v>
      </c>
      <c r="H70" t="s">
        <v>184</v>
      </c>
      <c r="I70">
        <f>VLOOKUP(all[[#This Row],[DEVELOPMENT]],Data[],34,FALSE)</f>
        <v>0</v>
      </c>
      <c r="J70" t="s">
        <v>184</v>
      </c>
      <c r="K70" t="str">
        <f>VLOOKUP(B70,Data[],8,FALSE)</f>
        <v>Zone 3</v>
      </c>
      <c r="L70" t="str">
        <f>VLOOKUP(all[[#This Row],[DEVELOPMENT]],Data[],61,FALSE)</f>
        <v>No</v>
      </c>
      <c r="M70">
        <f>VLOOKUP(B70,Data[],9,FALSE)</f>
        <v>0</v>
      </c>
      <c r="N70">
        <v>4</v>
      </c>
      <c r="O70">
        <v>3</v>
      </c>
      <c r="P70" t="str">
        <f ca="1">IFERROR(VLOOKUP(B70,Data[],4,FALSE),"")</f>
        <v>2026+</v>
      </c>
      <c r="Q70" t="str">
        <f ca="1">IF(all[[#This Row],[RAD/PACT]]="","",IF(OR(all[[#This Row],[RAD/PACT]]="2021-2025",all[[#This Row],[RAD/PACT]]="2019-2020"),"Yes",""))</f>
        <v/>
      </c>
      <c r="R70">
        <f>VLOOKUP(all[[#This Row],[DEVELOPMENT]],Data[],7,FALSE)</f>
        <v>96</v>
      </c>
      <c r="S70">
        <f>VLOOKUP(all[[#This Row],[DEVELOPMENT]],Data[],25,FALSE)</f>
        <v>0</v>
      </c>
      <c r="T70">
        <f>VLOOKUP(all[[#This Row],[DEVELOPMENT]],Data[],5,FALSE)</f>
        <v>1</v>
      </c>
      <c r="U70">
        <f>VLOOKUP(all[[#This Row],[DEVELOPMENT]],Data[],10,FALSE)</f>
        <v>2</v>
      </c>
      <c r="V70">
        <f>VLOOKUP(all[[#This Row],[DEVELOPMENT]],Data[],10,FALSE)</f>
        <v>2</v>
      </c>
      <c r="W70">
        <f>VLOOKUP(all[[#This Row],[DEVELOPMENT]],Data[],33,FALSE)</f>
        <v>0</v>
      </c>
      <c r="X70">
        <f>VLOOKUP(all[[#This Row],[DEVELOPMENT]],Data[],33,FALSE)</f>
        <v>0</v>
      </c>
      <c r="Y70">
        <f>VLOOKUP(all[[#This Row],[DEVELOPMENT]],Data[],28,FALSE)</f>
        <v>0</v>
      </c>
      <c r="Z70">
        <f>IF(all[[#This Row],['# Bulk Crushers]]=0,1,0)</f>
        <v>1</v>
      </c>
      <c r="AA70" s="5">
        <f ca="1">IFERROR(INDEX(FWD[],MATCH($B70,FWD[DEVELOPMENT],0),MATCH("ESTIMATE",FWD[#Headers],0)),0)</f>
        <v>164998.65094985251</v>
      </c>
      <c r="AB70" s="5">
        <f ca="1">IFERROR(INDEX(EHDAll[],MATCH($B70,EHDAll[DEVELOPMENT],0),MATCH("ESTIMATE",EHDAll[#Headers],0)),0)</f>
        <v>16953.267180000003</v>
      </c>
      <c r="AC70" s="5">
        <f ca="1">IFERROR(INDEX(IntAll[],MATCH($B70,IntAll[DEVELOPMENT],0),MATCH("ESTIMATE",IntAll[#Headers],0)),0)</f>
        <v>157087.875</v>
      </c>
      <c r="AD70" s="5">
        <f ca="1">IFERROR(INDEX(YardsAll[],MATCH($B70,YardsAll[DEVELOPMENT],0),MATCH("TOTAL ESTIMATE",YardsAll[#Headers],0)),0)</f>
        <v>2123866.2609500005</v>
      </c>
      <c r="AE70" s="99">
        <f t="shared" ca="1" si="1"/>
        <v>2462906.054079853</v>
      </c>
      <c r="AF70" s="5"/>
    </row>
    <row r="71" spans="1:32">
      <c r="A71" s="101">
        <f>VLOOKUP(B71,Data[],24,FALSE)</f>
        <v>359</v>
      </c>
      <c r="B71" t="s">
        <v>229</v>
      </c>
      <c r="C71" t="str">
        <f>VLOOKUP(all[[#This Row],[DEVELOPMENT]],Data[],MATCH(all[[#Headers],[PROGRAM]],Data[#Headers],0),FALSE)</f>
        <v>FEDERAL</v>
      </c>
      <c r="D71" t="str">
        <f>VLOOKUP(B71,Data[],2,FALSE)</f>
        <v>MANHATTAN</v>
      </c>
      <c r="E71">
        <f>VLOOKUP(all[[#This Row],[DEVELOPMENT]],Data[],65,FALSE)</f>
        <v>69</v>
      </c>
      <c r="F71" t="e">
        <f>VLOOKUP(all[[#This Row],[DEVELOPMENT]],Data[],3,FALSE)</f>
        <v>#N/A</v>
      </c>
      <c r="G71" s="107" t="s">
        <v>228</v>
      </c>
      <c r="H71" t="s">
        <v>184</v>
      </c>
      <c r="I71">
        <f>VLOOKUP(all[[#This Row],[DEVELOPMENT]],Data[],34,FALSE)</f>
        <v>0</v>
      </c>
      <c r="J71" t="s">
        <v>184</v>
      </c>
      <c r="K71">
        <f>VLOOKUP(B71,Data[],8,FALSE)</f>
        <v>0</v>
      </c>
      <c r="L71" t="str">
        <f>VLOOKUP(all[[#This Row],[DEVELOPMENT]],Data[],61,FALSE)</f>
        <v>No</v>
      </c>
      <c r="M71">
        <f>VLOOKUP(B71,Data[],9,FALSE)</f>
        <v>0</v>
      </c>
      <c r="N71">
        <v>2</v>
      </c>
      <c r="O71">
        <v>3</v>
      </c>
      <c r="P71" t="str">
        <f ca="1">IFERROR(VLOOKUP(B71,Data[],4,FALSE),"")</f>
        <v/>
      </c>
      <c r="Q71" t="str">
        <f ca="1">IF(all[[#This Row],[RAD/PACT]]="","",IF(OR(all[[#This Row],[RAD/PACT]]="2021-2025",all[[#This Row],[RAD/PACT]]="2019-2020"),"Yes",""))</f>
        <v/>
      </c>
      <c r="R71">
        <f>VLOOKUP(all[[#This Row],[DEVELOPMENT]],Data[],7,FALSE)</f>
        <v>35</v>
      </c>
      <c r="S71">
        <f>VLOOKUP(all[[#This Row],[DEVELOPMENT]],Data[],25,FALSE)</f>
        <v>0</v>
      </c>
      <c r="T71">
        <f>VLOOKUP(all[[#This Row],[DEVELOPMENT]],Data[],5,FALSE)</f>
        <v>1</v>
      </c>
      <c r="U71">
        <f>VLOOKUP(all[[#This Row],[DEVELOPMENT]],Data[],10,FALSE)</f>
        <v>0</v>
      </c>
      <c r="V71">
        <f>VLOOKUP(all[[#This Row],[DEVELOPMENT]],Data[],10,FALSE)</f>
        <v>0</v>
      </c>
      <c r="W71">
        <f>VLOOKUP(all[[#This Row],[DEVELOPMENT]],Data[],33,FALSE)</f>
        <v>0</v>
      </c>
      <c r="X71">
        <f>VLOOKUP(all[[#This Row],[DEVELOPMENT]],Data[],33,FALSE)</f>
        <v>0</v>
      </c>
      <c r="Y71">
        <f>VLOOKUP(all[[#This Row],[DEVELOPMENT]],Data[],28,FALSE)</f>
        <v>0</v>
      </c>
      <c r="Z71">
        <f>IF(all[[#This Row],['# Bulk Crushers]]=0,1,0)</f>
        <v>1</v>
      </c>
      <c r="AA71" s="5">
        <f ca="1">IFERROR(INDEX(FWD[],MATCH($B71,FWD[DEVELOPMENT],0),MATCH("ESTIMATE",FWD[#Headers],0)),0)</f>
        <v>60155.758158800396</v>
      </c>
      <c r="AB71" s="5">
        <f ca="1">IFERROR(INDEX(EHDAll[],MATCH($B71,EHDAll[DEVELOPMENT],0),MATCH("ESTIMATE",EHDAll[#Headers],0)),0)</f>
        <v>8476.6335900000013</v>
      </c>
      <c r="AC71" s="5">
        <f ca="1">IFERROR(INDEX(IntAll[],MATCH($B71,IntAll[DEVELOPMENT],0),MATCH("ESTIMATE",IntAll[#Headers],0)),0)</f>
        <v>0</v>
      </c>
      <c r="AD71" s="5">
        <f ca="1">IFERROR(INDEX(YardsAll[],MATCH($B71,YardsAll[DEVELOPMENT],0),MATCH("TOTAL ESTIMATE",YardsAll[#Headers],0)),0)</f>
        <v>1997338.0581700003</v>
      </c>
      <c r="AE71" s="99">
        <f t="shared" ca="1" si="1"/>
        <v>2065970.4499188007</v>
      </c>
      <c r="AF71" s="5"/>
    </row>
    <row r="72" spans="1:32">
      <c r="A72" s="101">
        <f>VLOOKUP(B72,Data[],24,FALSE)</f>
        <v>228</v>
      </c>
      <c r="B72" t="s">
        <v>230</v>
      </c>
      <c r="C72" t="str">
        <f>VLOOKUP(all[[#This Row],[DEVELOPMENT]],Data[],MATCH(all[[#Headers],[PROGRAM]],Data[#Headers],0),FALSE)</f>
        <v>FEDERAL</v>
      </c>
      <c r="D72" t="str">
        <f>VLOOKUP(B72,Data[],2,FALSE)</f>
        <v>BROOKLYN</v>
      </c>
      <c r="E72">
        <f>VLOOKUP(all[[#This Row],[DEVELOPMENT]],Data[],65,FALSE)</f>
        <v>56</v>
      </c>
      <c r="F72" t="e">
        <f>VLOOKUP(all[[#This Row],[DEVELOPMENT]],Data[],3,FALSE)</f>
        <v>#N/A</v>
      </c>
      <c r="G72" s="107" t="s">
        <v>228</v>
      </c>
      <c r="H72" t="s">
        <v>184</v>
      </c>
      <c r="I72">
        <f>VLOOKUP(all[[#This Row],[DEVELOPMENT]],Data[],34,FALSE)</f>
        <v>0</v>
      </c>
      <c r="J72" t="s">
        <v>184</v>
      </c>
      <c r="K72" t="str">
        <f>VLOOKUP(B72,Data[],8,FALSE)</f>
        <v>Zone 1</v>
      </c>
      <c r="L72" t="str">
        <f>VLOOKUP(all[[#This Row],[DEVELOPMENT]],Data[],61,FALSE)</f>
        <v>No</v>
      </c>
      <c r="M72">
        <f>VLOOKUP(B72,Data[],9,FALSE)</f>
        <v>4</v>
      </c>
      <c r="N72">
        <v>3</v>
      </c>
      <c r="O72">
        <v>3</v>
      </c>
      <c r="P72">
        <f ca="1">IFERROR(VLOOKUP(B72,Data[],4,FALSE),"")</f>
        <v>2019</v>
      </c>
      <c r="Q72" t="str">
        <f ca="1">IF(all[[#This Row],[RAD/PACT]]="","",IF(OR(all[[#This Row],[RAD/PACT]]="2021-2025",all[[#This Row],[RAD/PACT]]="2019-2020"),"Yes",""))</f>
        <v/>
      </c>
      <c r="R72">
        <f>VLOOKUP(all[[#This Row],[DEVELOPMENT]],Data[],7,FALSE)</f>
        <v>248</v>
      </c>
      <c r="S72" t="str">
        <f>VLOOKUP(all[[#This Row],[DEVELOPMENT]],Data[],25,FALSE)</f>
        <v>Newtown Creek</v>
      </c>
      <c r="T72">
        <f>VLOOKUP(all[[#This Row],[DEVELOPMENT]],Data[],5,FALSE)</f>
        <v>5</v>
      </c>
      <c r="U72">
        <f>VLOOKUP(all[[#This Row],[DEVELOPMENT]],Data[],10,FALSE)</f>
        <v>9</v>
      </c>
      <c r="V72">
        <f>VLOOKUP(all[[#This Row],[DEVELOPMENT]],Data[],10,FALSE)</f>
        <v>9</v>
      </c>
      <c r="W72">
        <f>VLOOKUP(all[[#This Row],[DEVELOPMENT]],Data[],33,FALSE)</f>
        <v>0</v>
      </c>
      <c r="X72">
        <f>VLOOKUP(all[[#This Row],[DEVELOPMENT]],Data[],33,FALSE)</f>
        <v>0</v>
      </c>
      <c r="Y72">
        <f>VLOOKUP(all[[#This Row],[DEVELOPMENT]],Data[],28,FALSE)</f>
        <v>0</v>
      </c>
      <c r="Z72">
        <f>IF(all[[#This Row],['# Bulk Crushers]]=0,1,0)</f>
        <v>1</v>
      </c>
      <c r="AA72" s="5">
        <f ca="1">IFERROR(INDEX(FWD[],MATCH($B72,FWD[DEVELOPMENT],0),MATCH("ESTIMATE",FWD[#Headers],0)),0)</f>
        <v>426246.51495378563</v>
      </c>
      <c r="AB72" s="5">
        <f ca="1">IFERROR(INDEX(EHDAll[],MATCH($B72,EHDAll[DEVELOPMENT],0),MATCH("ESTIMATE",EHDAll[#Headers],0)),0)</f>
        <v>69263.0192025</v>
      </c>
      <c r="AC72" s="5">
        <f ca="1">IFERROR(INDEX(IntAll[],MATCH($B72,IntAll[DEVELOPMENT],0),MATCH("ESTIMATE",IntAll[#Headers],0)),0)</f>
        <v>0</v>
      </c>
      <c r="AD72" s="5">
        <f ca="1">IFERROR(INDEX(YardsAll[],MATCH($B72,YardsAll[DEVELOPMENT],0),MATCH("TOTAL ESTIMATE",YardsAll[#Headers],0)),0)</f>
        <v>0</v>
      </c>
      <c r="AE72" s="99">
        <f t="shared" ca="1" si="1"/>
        <v>495509.53415628563</v>
      </c>
      <c r="AF72" s="5"/>
    </row>
    <row r="73" spans="1:32">
      <c r="A73" s="101">
        <f>VLOOKUP(B73,Data[],24,FALSE)</f>
        <v>125</v>
      </c>
      <c r="B73" t="s">
        <v>70</v>
      </c>
      <c r="C73" t="str">
        <f>VLOOKUP(all[[#This Row],[DEVELOPMENT]],Data[],MATCH(all[[#Headers],[PROGRAM]],Data[#Headers],0),FALSE)</f>
        <v>FEDERAL</v>
      </c>
      <c r="D73" t="str">
        <f>VLOOKUP(B73,Data[],2,FALSE)</f>
        <v>MANHATTAN</v>
      </c>
      <c r="E73">
        <f>VLOOKUP(all[[#This Row],[DEVELOPMENT]],Data[],65,FALSE)</f>
        <v>71</v>
      </c>
      <c r="F73" t="e">
        <f>VLOOKUP(all[[#This Row],[DEVELOPMENT]],Data[],3,FALSE)</f>
        <v>#N/A</v>
      </c>
      <c r="G73" s="107" t="s">
        <v>228</v>
      </c>
      <c r="H73" t="s">
        <v>184</v>
      </c>
      <c r="I73">
        <f>VLOOKUP(all[[#This Row],[DEVELOPMENT]],Data[],34,FALSE)</f>
        <v>0</v>
      </c>
      <c r="J73" t="s">
        <v>184</v>
      </c>
      <c r="K73" t="str">
        <f>VLOOKUP(B73,Data[],8,FALSE)</f>
        <v>Zone 3</v>
      </c>
      <c r="L73" t="str">
        <f>VLOOKUP(all[[#This Row],[DEVELOPMENT]],Data[],61,FALSE)</f>
        <v>No</v>
      </c>
      <c r="M73">
        <f>VLOOKUP(B73,Data[],9,FALSE)</f>
        <v>1</v>
      </c>
      <c r="N73">
        <v>3</v>
      </c>
      <c r="O73">
        <v>3</v>
      </c>
      <c r="P73" t="str">
        <f ca="1">IFERROR(VLOOKUP(B73,Data[],4,FALSE),"")</f>
        <v>2020-2021</v>
      </c>
      <c r="Q73" t="str">
        <f ca="1">IF(all[[#This Row],[RAD/PACT]]="","",IF(OR(all[[#This Row],[RAD/PACT]]="2021-2025",all[[#This Row],[RAD/PACT]]="2019-2020"),"Yes",""))</f>
        <v/>
      </c>
      <c r="R73">
        <f>VLOOKUP(all[[#This Row],[DEVELOPMENT]],Data[],7,FALSE)</f>
        <v>167</v>
      </c>
      <c r="S73">
        <f>VLOOKUP(all[[#This Row],[DEVELOPMENT]],Data[],25,FALSE)</f>
        <v>0</v>
      </c>
      <c r="T73">
        <f>VLOOKUP(all[[#This Row],[DEVELOPMENT]],Data[],5,FALSE)</f>
        <v>1</v>
      </c>
      <c r="U73">
        <f>VLOOKUP(all[[#This Row],[DEVELOPMENT]],Data[],10,FALSE)</f>
        <v>1</v>
      </c>
      <c r="V73">
        <f>VLOOKUP(all[[#This Row],[DEVELOPMENT]],Data[],10,FALSE)</f>
        <v>1</v>
      </c>
      <c r="W73">
        <f>VLOOKUP(all[[#This Row],[DEVELOPMENT]],Data[],33,FALSE)</f>
        <v>0</v>
      </c>
      <c r="X73">
        <f>VLOOKUP(all[[#This Row],[DEVELOPMENT]],Data[],33,FALSE)</f>
        <v>0</v>
      </c>
      <c r="Y73">
        <f>VLOOKUP(all[[#This Row],[DEVELOPMENT]],Data[],28,FALSE)</f>
        <v>0</v>
      </c>
      <c r="Z73">
        <f>IF(all[[#This Row],['# Bulk Crushers]]=0,1,0)</f>
        <v>1</v>
      </c>
      <c r="AA73" s="5">
        <f ca="1">IFERROR(INDEX(FWD[],MATCH($B73,FWD[DEVELOPMENT],0),MATCH("ESTIMATE",FWD[#Headers],0)),0)</f>
        <v>287028.90321484761</v>
      </c>
      <c r="AB73" s="5">
        <f ca="1">IFERROR(INDEX(EHDAll[],MATCH($B73,EHDAll[DEVELOPMENT],0),MATCH("ESTIMATE",EHDAll[#Headers],0)),0)</f>
        <v>7435.6435000000001</v>
      </c>
      <c r="AC73" s="5">
        <f ca="1">IFERROR(INDEX(IntAll[],MATCH($B73,IntAll[DEVELOPMENT],0),MATCH("ESTIMATE",IntAll[#Headers],0)),0)</f>
        <v>0</v>
      </c>
      <c r="AD73" s="5">
        <f ca="1">IFERROR(INDEX(YardsAll[],MATCH($B73,YardsAll[DEVELOPMENT],0),MATCH("TOTAL ESTIMATE",YardsAll[#Headers],0)),0)</f>
        <v>0</v>
      </c>
      <c r="AE73" s="99">
        <f t="shared" ca="1" si="1"/>
        <v>294464.54671484762</v>
      </c>
      <c r="AF73" s="5"/>
    </row>
    <row r="74" spans="1:32">
      <c r="A74" s="101">
        <f>VLOOKUP(B74,Data[],24,FALSE)</f>
        <v>92</v>
      </c>
      <c r="B74" t="s">
        <v>231</v>
      </c>
      <c r="C74" t="str">
        <f>VLOOKUP(all[[#This Row],[DEVELOPMENT]],Data[],MATCH(all[[#Headers],[PROGRAM]],Data[#Headers],0),FALSE)</f>
        <v>MIXED FINANCE/LLC1</v>
      </c>
      <c r="D74" t="str">
        <f>VLOOKUP(B74,Data[],2,FALSE)</f>
        <v>BROOKLYN</v>
      </c>
      <c r="E74">
        <f>VLOOKUP(all[[#This Row],[DEVELOPMENT]],Data[],65,FALSE)</f>
        <v>59</v>
      </c>
      <c r="F74" t="e">
        <f>VLOOKUP(all[[#This Row],[DEVELOPMENT]],Data[],3,FALSE)</f>
        <v>#N/A</v>
      </c>
      <c r="G74" s="107" t="s">
        <v>228</v>
      </c>
      <c r="H74" t="s">
        <v>184</v>
      </c>
      <c r="I74">
        <f>VLOOKUP(all[[#This Row],[DEVELOPMENT]],Data[],34,FALSE)</f>
        <v>0</v>
      </c>
      <c r="J74" t="s">
        <v>184</v>
      </c>
      <c r="K74">
        <f>VLOOKUP(B74,Data[],8,FALSE)</f>
        <v>0</v>
      </c>
      <c r="L74" t="str">
        <f>VLOOKUP(all[[#This Row],[DEVELOPMENT]],Data[],61,FALSE)</f>
        <v>No</v>
      </c>
      <c r="M74">
        <f>VLOOKUP(B74,Data[],9,FALSE)</f>
        <v>0</v>
      </c>
      <c r="N74">
        <v>2</v>
      </c>
      <c r="O74">
        <v>3</v>
      </c>
      <c r="P74" t="str">
        <f ca="1">IFERROR(VLOOKUP(B74,Data[],4,FALSE),"")</f>
        <v>2026+</v>
      </c>
      <c r="Q74" t="str">
        <f ca="1">IF(all[[#This Row],[RAD/PACT]]="","",IF(OR(all[[#This Row],[RAD/PACT]]="2021-2025",all[[#This Row],[RAD/PACT]]="2019-2020"),"Yes",""))</f>
        <v/>
      </c>
      <c r="R74">
        <f>VLOOKUP(all[[#This Row],[DEVELOPMENT]],Data[],7,FALSE)</f>
        <v>1609</v>
      </c>
      <c r="S74">
        <f>VLOOKUP(all[[#This Row],[DEVELOPMENT]],Data[],25,FALSE)</f>
        <v>0</v>
      </c>
      <c r="T74">
        <f>VLOOKUP(all[[#This Row],[DEVELOPMENT]],Data[],5,FALSE)</f>
        <v>23</v>
      </c>
      <c r="U74">
        <f>VLOOKUP(all[[#This Row],[DEVELOPMENT]],Data[],10,FALSE)</f>
        <v>23</v>
      </c>
      <c r="V74">
        <f>VLOOKUP(all[[#This Row],[DEVELOPMENT]],Data[],10,FALSE)</f>
        <v>23</v>
      </c>
      <c r="W74">
        <f>VLOOKUP(all[[#This Row],[DEVELOPMENT]],Data[],33,FALSE)</f>
        <v>4</v>
      </c>
      <c r="X74">
        <f>VLOOKUP(all[[#This Row],[DEVELOPMENT]],Data[],33,FALSE)</f>
        <v>4</v>
      </c>
      <c r="Y74">
        <f>VLOOKUP(all[[#This Row],[DEVELOPMENT]],Data[],28,FALSE)</f>
        <v>0</v>
      </c>
      <c r="Z74">
        <f>IF(all[[#This Row],['# Bulk Crushers]]=0,1,0)</f>
        <v>1</v>
      </c>
      <c r="AA74" s="5">
        <f ca="1">IFERROR(INDEX(FWD[],MATCH($B74,FWD[DEVELOPMENT],0),MATCH("ESTIMATE",FWD[#Headers],0)),0)</f>
        <v>2765446.1393574239</v>
      </c>
      <c r="AB74" s="5">
        <f ca="1">IFERROR(INDEX(EHDAll[],MATCH($B74,EHDAll[DEVELOPMENT],0),MATCH("ESTIMATE",EHDAll[#Headers],0)),0)</f>
        <v>194962.57257000005</v>
      </c>
      <c r="AC74" s="5">
        <f ca="1">IFERROR(INDEX(IntAll[],MATCH($B74,IntAll[DEVELOPMENT],0),MATCH("ESTIMATE",IntAll[#Headers],0)),0)</f>
        <v>1603368.8125</v>
      </c>
      <c r="AD74" s="5">
        <f ca="1">IFERROR(INDEX(YardsAll[],MATCH($B74,YardsAll[DEVELOPMENT],0),MATCH("TOTAL ESTIMATE",YardsAll[#Headers],0)),0)</f>
        <v>3147347.9280274995</v>
      </c>
      <c r="AE74" s="99">
        <f t="shared" ca="1" si="1"/>
        <v>7711125.4524549227</v>
      </c>
      <c r="AF74" s="5"/>
    </row>
    <row r="75" spans="1:32">
      <c r="A75" s="101">
        <f>VLOOKUP(B75,Data[],24,FALSE)</f>
        <v>52</v>
      </c>
      <c r="B75" t="s">
        <v>232</v>
      </c>
      <c r="C75" t="str">
        <f>VLOOKUP(all[[#This Row],[DEVELOPMENT]],Data[],MATCH(all[[#Headers],[PROGRAM]],Data[#Headers],0),FALSE)</f>
        <v>FEDERAL</v>
      </c>
      <c r="D75" t="str">
        <f>VLOOKUP(B75,Data[],2,FALSE)</f>
        <v>STATEN ISLAND</v>
      </c>
      <c r="E75">
        <f>VLOOKUP(all[[#This Row],[DEVELOPMENT]],Data[],65,FALSE)</f>
        <v>63</v>
      </c>
      <c r="F75" t="e">
        <f>VLOOKUP(all[[#This Row],[DEVELOPMENT]],Data[],3,FALSE)</f>
        <v>#N/A</v>
      </c>
      <c r="G75" s="107" t="s">
        <v>228</v>
      </c>
      <c r="H75" t="s">
        <v>184</v>
      </c>
      <c r="I75">
        <f>VLOOKUP(all[[#This Row],[DEVELOPMENT]],Data[],34,FALSE)</f>
        <v>0</v>
      </c>
      <c r="J75" t="s">
        <v>184</v>
      </c>
      <c r="K75">
        <f>VLOOKUP(B75,Data[],8,FALSE)</f>
        <v>0</v>
      </c>
      <c r="L75" t="str">
        <f>VLOOKUP(all[[#This Row],[DEVELOPMENT]],Data[],61,FALSE)</f>
        <v>No</v>
      </c>
      <c r="M75">
        <f>VLOOKUP(B75,Data[],9,FALSE)</f>
        <v>0</v>
      </c>
      <c r="N75">
        <v>2</v>
      </c>
      <c r="O75">
        <v>3</v>
      </c>
      <c r="P75" t="str">
        <f ca="1">IFERROR(VLOOKUP(B75,Data[],4,FALSE),"")</f>
        <v/>
      </c>
      <c r="Q75" t="str">
        <f ca="1">IF(all[[#This Row],[RAD/PACT]]="","",IF(OR(all[[#This Row],[RAD/PACT]]="2021-2025",all[[#This Row],[RAD/PACT]]="2019-2020"),"Yes",""))</f>
        <v/>
      </c>
      <c r="R75">
        <f>VLOOKUP(all[[#This Row],[DEVELOPMENT]],Data[],7,FALSE)</f>
        <v>506</v>
      </c>
      <c r="S75">
        <f>VLOOKUP(all[[#This Row],[DEVELOPMENT]],Data[],25,FALSE)</f>
        <v>0</v>
      </c>
      <c r="T75">
        <f>VLOOKUP(all[[#This Row],[DEVELOPMENT]],Data[],5,FALSE)</f>
        <v>8</v>
      </c>
      <c r="U75">
        <f>VLOOKUP(all[[#This Row],[DEVELOPMENT]],Data[],10,FALSE)</f>
        <v>16</v>
      </c>
      <c r="V75">
        <f>VLOOKUP(all[[#This Row],[DEVELOPMENT]],Data[],10,FALSE)</f>
        <v>16</v>
      </c>
      <c r="W75">
        <f>VLOOKUP(all[[#This Row],[DEVELOPMENT]],Data[],33,FALSE)</f>
        <v>1</v>
      </c>
      <c r="X75">
        <f>VLOOKUP(all[[#This Row],[DEVELOPMENT]],Data[],33,FALSE)</f>
        <v>1</v>
      </c>
      <c r="Y75">
        <f>VLOOKUP(all[[#This Row],[DEVELOPMENT]],Data[],28,FALSE)</f>
        <v>0</v>
      </c>
      <c r="Z75">
        <f>IF(all[[#This Row],['# Bulk Crushers]]=0,1,0)</f>
        <v>1</v>
      </c>
      <c r="AA75" s="5">
        <f ca="1">IFERROR(INDEX(FWD[],MATCH($B75,FWD[DEVELOPMENT],0),MATCH("ESTIMATE",FWD[#Headers],0)),0)</f>
        <v>869680.38938151428</v>
      </c>
      <c r="AB75" s="5">
        <f ca="1">IFERROR(INDEX(EHDAll[],MATCH($B75,EHDAll[DEVELOPMENT],0),MATCH("ESTIMATE",EHDAll[#Headers],0)),0)</f>
        <v>135626.13744000002</v>
      </c>
      <c r="AC75" s="5">
        <f ca="1">IFERROR(INDEX(IntAll[],MATCH($B75,IntAll[DEVELOPMENT],0),MATCH("ESTIMATE",IntAll[#Headers],0)),0)</f>
        <v>1080058</v>
      </c>
      <c r="AD75" s="5">
        <f ca="1">IFERROR(INDEX(YardsAll[],MATCH($B75,YardsAll[DEVELOPMENT],0),MATCH("TOTAL ESTIMATE",YardsAll[#Headers],0)),0)</f>
        <v>1997338.0581700003</v>
      </c>
      <c r="AE75" s="99">
        <f t="shared" ca="1" si="1"/>
        <v>4082702.5849915147</v>
      </c>
      <c r="AF75" s="5"/>
    </row>
    <row r="76" spans="1:32">
      <c r="A76" s="101">
        <f>VLOOKUP(B76,Data[],24,FALSE)</f>
        <v>54</v>
      </c>
      <c r="B76" t="s">
        <v>233</v>
      </c>
      <c r="C76" t="str">
        <f>VLOOKUP(all[[#This Row],[DEVELOPMENT]],Data[],MATCH(all[[#Headers],[PROGRAM]],Data[#Headers],0),FALSE)</f>
        <v>FEDERAL</v>
      </c>
      <c r="D76" t="str">
        <f>VLOOKUP(B76,Data[],2,FALSE)</f>
        <v>QUEENS</v>
      </c>
      <c r="E76">
        <f>VLOOKUP(all[[#This Row],[DEVELOPMENT]],Data[],65,FALSE)</f>
        <v>40</v>
      </c>
      <c r="F76" t="e">
        <f>VLOOKUP(all[[#This Row],[DEVELOPMENT]],Data[],3,FALSE)</f>
        <v>#N/A</v>
      </c>
      <c r="G76" s="107" t="s">
        <v>228</v>
      </c>
      <c r="H76" t="s">
        <v>184</v>
      </c>
      <c r="I76">
        <f>VLOOKUP(all[[#This Row],[DEVELOPMENT]],Data[],34,FALSE)</f>
        <v>0</v>
      </c>
      <c r="J76" t="s">
        <v>184</v>
      </c>
      <c r="K76">
        <f>VLOOKUP(B76,Data[],8,FALSE)</f>
        <v>0</v>
      </c>
      <c r="L76" t="str">
        <f>VLOOKUP(all[[#This Row],[DEVELOPMENT]],Data[],61,FALSE)</f>
        <v>No</v>
      </c>
      <c r="M76">
        <f>VLOOKUP(B76,Data[],9,FALSE)</f>
        <v>0</v>
      </c>
      <c r="N76">
        <v>4</v>
      </c>
      <c r="O76">
        <v>3</v>
      </c>
      <c r="P76" t="str">
        <f ca="1">IFERROR(VLOOKUP(B76,Data[],4,FALSE),"")</f>
        <v/>
      </c>
      <c r="Q76" t="str">
        <f ca="1">IF(all[[#This Row],[RAD/PACT]]="","",IF(OR(all[[#This Row],[RAD/PACT]]="2021-2025",all[[#This Row],[RAD/PACT]]="2019-2020"),"Yes",""))</f>
        <v/>
      </c>
      <c r="R76">
        <f>VLOOKUP(all[[#This Row],[DEVELOPMENT]],Data[],7,FALSE)</f>
        <v>399</v>
      </c>
      <c r="S76">
        <f>VLOOKUP(all[[#This Row],[DEVELOPMENT]],Data[],25,FALSE)</f>
        <v>0</v>
      </c>
      <c r="T76">
        <f>VLOOKUP(all[[#This Row],[DEVELOPMENT]],Data[],5,FALSE)</f>
        <v>5</v>
      </c>
      <c r="U76">
        <f>VLOOKUP(all[[#This Row],[DEVELOPMENT]],Data[],10,FALSE)</f>
        <v>5</v>
      </c>
      <c r="V76">
        <f>VLOOKUP(all[[#This Row],[DEVELOPMENT]],Data[],10,FALSE)</f>
        <v>5</v>
      </c>
      <c r="W76">
        <f>VLOOKUP(all[[#This Row],[DEVELOPMENT]],Data[],33,FALSE)</f>
        <v>0</v>
      </c>
      <c r="X76">
        <f>VLOOKUP(all[[#This Row],[DEVELOPMENT]],Data[],33,FALSE)</f>
        <v>0</v>
      </c>
      <c r="Y76">
        <f>VLOOKUP(all[[#This Row],[DEVELOPMENT]],Data[],28,FALSE)</f>
        <v>0</v>
      </c>
      <c r="Z76">
        <f>IF(all[[#This Row],['# Bulk Crushers]]=0,1,0)</f>
        <v>1</v>
      </c>
      <c r="AA76" s="5">
        <f ca="1">IFERROR(INDEX(FWD[],MATCH($B76,FWD[DEVELOPMENT],0),MATCH("ESTIMATE",FWD[#Headers],0)),0)</f>
        <v>685775.64301032445</v>
      </c>
      <c r="AB76" s="5">
        <f ca="1">IFERROR(INDEX(EHDAll[],MATCH($B76,EHDAll[DEVELOPMENT],0),MATCH("ESTIMATE",EHDAll[#Headers],0)),0)</f>
        <v>42383.167950000003</v>
      </c>
      <c r="AC76" s="5">
        <f ca="1">IFERROR(INDEX(IntAll[],MATCH($B76,IntAll[DEVELOPMENT],0),MATCH("ESTIMATE",IntAll[#Headers],0)),0)</f>
        <v>315437.5</v>
      </c>
      <c r="AD76" s="5">
        <f ca="1">IFERROR(INDEX(YardsAll[],MATCH($B76,YardsAll[DEVELOPMENT],0),MATCH("TOTAL ESTIMATE",YardsAll[#Headers],0)),0)</f>
        <v>2123866.2609500005</v>
      </c>
      <c r="AE76" s="99">
        <f t="shared" ca="1" si="1"/>
        <v>3167462.571910325</v>
      </c>
      <c r="AF76" s="5"/>
    </row>
    <row r="77" spans="1:32">
      <c r="A77" s="101">
        <f>VLOOKUP(B77,Data[],24,FALSE)</f>
        <v>189</v>
      </c>
      <c r="B77" t="s">
        <v>234</v>
      </c>
      <c r="C77" t="str">
        <f>VLOOKUP(all[[#This Row],[DEVELOPMENT]],Data[],MATCH(all[[#Headers],[PROGRAM]],Data[#Headers],0),FALSE)</f>
        <v>FEDERAL</v>
      </c>
      <c r="D77" t="str">
        <f>VLOOKUP(B77,Data[],2,FALSE)</f>
        <v>BRONX</v>
      </c>
      <c r="E77">
        <f>VLOOKUP(all[[#This Row],[DEVELOPMENT]],Data[],65,FALSE)</f>
        <v>80</v>
      </c>
      <c r="F77" t="e">
        <f>VLOOKUP(all[[#This Row],[DEVELOPMENT]],Data[],3,FALSE)</f>
        <v>#N/A</v>
      </c>
      <c r="G77" s="107" t="s">
        <v>228</v>
      </c>
      <c r="H77" t="s">
        <v>184</v>
      </c>
      <c r="I77">
        <f>VLOOKUP(all[[#This Row],[DEVELOPMENT]],Data[],34,FALSE)</f>
        <v>0</v>
      </c>
      <c r="J77" t="s">
        <v>184</v>
      </c>
      <c r="K77">
        <f>VLOOKUP(B77,Data[],8,FALSE)</f>
        <v>0</v>
      </c>
      <c r="L77" t="str">
        <f>VLOOKUP(all[[#This Row],[DEVELOPMENT]],Data[],61,FALSE)</f>
        <v>No</v>
      </c>
      <c r="M77">
        <f>VLOOKUP(B77,Data[],9,FALSE)</f>
        <v>0</v>
      </c>
      <c r="N77">
        <v>3</v>
      </c>
      <c r="O77">
        <v>3</v>
      </c>
      <c r="P77" t="str">
        <f ca="1">IFERROR(VLOOKUP(B77,Data[],4,FALSE),"")</f>
        <v>2022-2025</v>
      </c>
      <c r="Q77" t="str">
        <f ca="1">IF(all[[#This Row],[RAD/PACT]]="","",IF(OR(all[[#This Row],[RAD/PACT]]="2021-2025",all[[#This Row],[RAD/PACT]]="2019-2020"),"Yes",""))</f>
        <v/>
      </c>
      <c r="R77">
        <f>VLOOKUP(all[[#This Row],[DEVELOPMENT]],Data[],7,FALSE)</f>
        <v>232</v>
      </c>
      <c r="S77">
        <f>VLOOKUP(all[[#This Row],[DEVELOPMENT]],Data[],25,FALSE)</f>
        <v>0</v>
      </c>
      <c r="T77">
        <f>VLOOKUP(all[[#This Row],[DEVELOPMENT]],Data[],5,FALSE)</f>
        <v>1</v>
      </c>
      <c r="U77">
        <f>VLOOKUP(all[[#This Row],[DEVELOPMENT]],Data[],10,FALSE)</f>
        <v>1</v>
      </c>
      <c r="V77">
        <f>VLOOKUP(all[[#This Row],[DEVELOPMENT]],Data[],10,FALSE)</f>
        <v>1</v>
      </c>
      <c r="W77">
        <f>VLOOKUP(all[[#This Row],[DEVELOPMENT]],Data[],33,FALSE)</f>
        <v>0</v>
      </c>
      <c r="X77">
        <f>VLOOKUP(all[[#This Row],[DEVELOPMENT]],Data[],33,FALSE)</f>
        <v>0</v>
      </c>
      <c r="Y77">
        <f>VLOOKUP(all[[#This Row],[DEVELOPMENT]],Data[],28,FALSE)</f>
        <v>0</v>
      </c>
      <c r="Z77">
        <f>IF(all[[#This Row],['# Bulk Crushers]]=0,1,0)</f>
        <v>1</v>
      </c>
      <c r="AA77" s="5">
        <f ca="1">IFERROR(INDEX(FWD[],MATCH($B77,FWD[DEVELOPMENT],0),MATCH("ESTIMATE",FWD[#Headers],0)),0)</f>
        <v>398746.7397954769</v>
      </c>
      <c r="AB77" s="5">
        <f>IFERROR(INDEX(EHDAll[],MATCH($B77,EHDAll[DEVELOPMENT],0),MATCH("ESTIMATE",EHDAll[#Headers],0)),0)</f>
        <v>0</v>
      </c>
      <c r="AC77" s="5">
        <f ca="1">IFERROR(INDEX(IntAll[],MATCH($B77,IntAll[DEVELOPMENT],0),MATCH("ESTIMATE",IntAll[#Headers],0)),0)</f>
        <v>0</v>
      </c>
      <c r="AD77" s="5">
        <f ca="1">IFERROR(INDEX(YardsAll[],MATCH($B77,YardsAll[DEVELOPMENT],0),MATCH("TOTAL ESTIMATE",YardsAll[#Headers],0)),0)</f>
        <v>0</v>
      </c>
      <c r="AE77" s="99">
        <f t="shared" ca="1" si="1"/>
        <v>398746.7397954769</v>
      </c>
      <c r="AF77" s="5"/>
    </row>
    <row r="78" spans="1:32">
      <c r="A78" s="101">
        <f>VLOOKUP(B78,Data[],24,FALSE)</f>
        <v>334</v>
      </c>
      <c r="B78" t="s">
        <v>124</v>
      </c>
      <c r="C78" t="str">
        <f>VLOOKUP(all[[#This Row],[DEVELOPMENT]],Data[],MATCH(all[[#Headers],[PROGRAM]],Data[#Headers],0),FALSE)</f>
        <v>FEDERAL</v>
      </c>
      <c r="D78" t="str">
        <f>VLOOKUP(B78,Data[],2,FALSE)</f>
        <v>BRONX</v>
      </c>
      <c r="E78">
        <f>VLOOKUP(all[[#This Row],[DEVELOPMENT]],Data[],65,FALSE)</f>
        <v>79</v>
      </c>
      <c r="F78" t="e">
        <f>VLOOKUP(all[[#This Row],[DEVELOPMENT]],Data[],3,FALSE)</f>
        <v>#N/A</v>
      </c>
      <c r="G78" s="107" t="s">
        <v>228</v>
      </c>
      <c r="H78" t="s">
        <v>184</v>
      </c>
      <c r="I78">
        <f>VLOOKUP(all[[#This Row],[DEVELOPMENT]],Data[],34,FALSE)</f>
        <v>0</v>
      </c>
      <c r="J78" t="s">
        <v>184</v>
      </c>
      <c r="K78" t="str">
        <f>VLOOKUP(B78,Data[],8,FALSE)</f>
        <v>Zone 3</v>
      </c>
      <c r="L78" t="str">
        <f>VLOOKUP(all[[#This Row],[DEVELOPMENT]],Data[],61,FALSE)</f>
        <v>No</v>
      </c>
      <c r="M78">
        <f>VLOOKUP(B78,Data[],9,FALSE)</f>
        <v>4</v>
      </c>
      <c r="N78">
        <v>4</v>
      </c>
      <c r="O78">
        <v>3</v>
      </c>
      <c r="P78" t="str">
        <f ca="1">IFERROR(VLOOKUP(B78,Data[],4,FALSE),"")</f>
        <v>2026+</v>
      </c>
      <c r="Q78" t="str">
        <f ca="1">IF(all[[#This Row],[RAD/PACT]]="","",IF(OR(all[[#This Row],[RAD/PACT]]="2021-2025",all[[#This Row],[RAD/PACT]]="2019-2020"),"Yes",""))</f>
        <v/>
      </c>
      <c r="R78">
        <f>VLOOKUP(all[[#This Row],[DEVELOPMENT]],Data[],7,FALSE)</f>
        <v>187</v>
      </c>
      <c r="S78">
        <f>VLOOKUP(all[[#This Row],[DEVELOPMENT]],Data[],25,FALSE)</f>
        <v>0</v>
      </c>
      <c r="T78">
        <f>VLOOKUP(all[[#This Row],[DEVELOPMENT]],Data[],5,FALSE)</f>
        <v>3</v>
      </c>
      <c r="U78">
        <f>VLOOKUP(all[[#This Row],[DEVELOPMENT]],Data[],10,FALSE)</f>
        <v>3</v>
      </c>
      <c r="V78">
        <f>VLOOKUP(all[[#This Row],[DEVELOPMENT]],Data[],10,FALSE)</f>
        <v>3</v>
      </c>
      <c r="W78">
        <f>VLOOKUP(all[[#This Row],[DEVELOPMENT]],Data[],33,FALSE)</f>
        <v>1</v>
      </c>
      <c r="X78">
        <f>VLOOKUP(all[[#This Row],[DEVELOPMENT]],Data[],33,FALSE)</f>
        <v>1</v>
      </c>
      <c r="Y78">
        <f>VLOOKUP(all[[#This Row],[DEVELOPMENT]],Data[],28,FALSE)</f>
        <v>0</v>
      </c>
      <c r="Z78">
        <f>IF(all[[#This Row],['# Bulk Crushers]]=0,1,0)</f>
        <v>1</v>
      </c>
      <c r="AA78" s="5">
        <f ca="1">IFERROR(INDEX(FWD[],MATCH($B78,FWD[DEVELOPMENT],0),MATCH("ESTIMATE",FWD[#Headers],0)),0)</f>
        <v>321403.62216273352</v>
      </c>
      <c r="AB78" s="5">
        <f ca="1">IFERROR(INDEX(EHDAll[],MATCH($B78,EHDAll[DEVELOPMENT],0),MATCH("ESTIMATE",EHDAll[#Headers],0)),0)</f>
        <v>23087.6730675</v>
      </c>
      <c r="AC78" s="5">
        <f ca="1">IFERROR(INDEX(IntAll[],MATCH($B78,IntAll[DEVELOPMENT],0),MATCH("ESTIMATE",IntAll[#Headers],0)),0)</f>
        <v>229007.625</v>
      </c>
      <c r="AD78" s="5">
        <f ca="1">IFERROR(INDEX(YardsAll[],MATCH($B78,YardsAll[DEVELOPMENT],0),MATCH("TOTAL ESTIMATE",YardsAll[#Headers],0)),0)</f>
        <v>2123866.2609500005</v>
      </c>
      <c r="AE78" s="99">
        <f t="shared" ca="1" si="1"/>
        <v>2697365.1811802341</v>
      </c>
      <c r="AF78" s="5"/>
    </row>
    <row r="79" spans="1:32">
      <c r="A79" s="101">
        <f>VLOOKUP(B79,Data[],24,FALSE)</f>
        <v>308</v>
      </c>
      <c r="B79" t="s">
        <v>32</v>
      </c>
      <c r="C79" t="str">
        <f>VLOOKUP(all[[#This Row],[DEVELOPMENT]],Data[],MATCH(all[[#Headers],[PROGRAM]],Data[#Headers],0),FALSE)</f>
        <v>FEDERAL</v>
      </c>
      <c r="D79" t="str">
        <f>VLOOKUP(B79,Data[],2,FALSE)</f>
        <v>BRONX</v>
      </c>
      <c r="E79">
        <f>VLOOKUP(all[[#This Row],[DEVELOPMENT]],Data[],65,FALSE)</f>
        <v>77</v>
      </c>
      <c r="F79" t="e">
        <f>VLOOKUP(all[[#This Row],[DEVELOPMENT]],Data[],3,FALSE)</f>
        <v>#N/A</v>
      </c>
      <c r="G79" s="107" t="s">
        <v>228</v>
      </c>
      <c r="H79" t="s">
        <v>184</v>
      </c>
      <c r="I79">
        <f>VLOOKUP(all[[#This Row],[DEVELOPMENT]],Data[],34,FALSE)</f>
        <v>0</v>
      </c>
      <c r="J79" t="s">
        <v>184</v>
      </c>
      <c r="K79" t="str">
        <f>VLOOKUP(B79,Data[],8,FALSE)</f>
        <v>Zone 1</v>
      </c>
      <c r="L79" t="str">
        <f>VLOOKUP(all[[#This Row],[DEVELOPMENT]],Data[],61,FALSE)</f>
        <v>No</v>
      </c>
      <c r="M79">
        <f>VLOOKUP(B79,Data[],9,FALSE)</f>
        <v>4</v>
      </c>
      <c r="N79">
        <v>3</v>
      </c>
      <c r="O79">
        <v>3</v>
      </c>
      <c r="P79" t="str">
        <f ca="1">IFERROR(VLOOKUP(B79,Data[],4,FALSE),"")</f>
        <v>2022-2025</v>
      </c>
      <c r="Q79" t="str">
        <f ca="1">IF(all[[#This Row],[RAD/PACT]]="","",IF(OR(all[[#This Row],[RAD/PACT]]="2021-2025",all[[#This Row],[RAD/PACT]]="2019-2020"),"Yes",""))</f>
        <v/>
      </c>
      <c r="R79">
        <f>VLOOKUP(all[[#This Row],[DEVELOPMENT]],Data[],7,FALSE)</f>
        <v>107</v>
      </c>
      <c r="S79">
        <f>VLOOKUP(all[[#This Row],[DEVELOPMENT]],Data[],25,FALSE)</f>
        <v>0</v>
      </c>
      <c r="T79">
        <f>VLOOKUP(all[[#This Row],[DEVELOPMENT]],Data[],5,FALSE)</f>
        <v>5</v>
      </c>
      <c r="U79">
        <f>VLOOKUP(all[[#This Row],[DEVELOPMENT]],Data[],10,FALSE)</f>
        <v>8</v>
      </c>
      <c r="V79">
        <f>VLOOKUP(all[[#This Row],[DEVELOPMENT]],Data[],10,FALSE)</f>
        <v>8</v>
      </c>
      <c r="W79">
        <f>VLOOKUP(all[[#This Row],[DEVELOPMENT]],Data[],33,FALSE)</f>
        <v>0</v>
      </c>
      <c r="X79">
        <f>VLOOKUP(all[[#This Row],[DEVELOPMENT]],Data[],33,FALSE)</f>
        <v>0</v>
      </c>
      <c r="Y79">
        <f>VLOOKUP(all[[#This Row],[DEVELOPMENT]],Data[],28,FALSE)</f>
        <v>0</v>
      </c>
      <c r="Z79">
        <f>IF(all[[#This Row],['# Bulk Crushers]]=0,1,0)</f>
        <v>1</v>
      </c>
      <c r="AA79" s="5">
        <f ca="1">IFERROR(INDEX(FWD[],MATCH($B79,FWD[DEVELOPMENT],0),MATCH("ESTIMATE",FWD[#Headers],0)),0)</f>
        <v>183904.74637118977</v>
      </c>
      <c r="AB79" s="5">
        <f>IFERROR(INDEX(EHDAll[],MATCH($B79,EHDAll[DEVELOPMENT],0),MATCH("ESTIMATE",EHDAll[#Headers],0)),0)</f>
        <v>0</v>
      </c>
      <c r="AC79" s="5">
        <f ca="1">IFERROR(INDEX(IntAll[],MATCH($B79,IntAll[DEVELOPMENT],0),MATCH("ESTIMATE",IntAll[#Headers],0)),0)</f>
        <v>0</v>
      </c>
      <c r="AD79" s="5">
        <f ca="1">IFERROR(INDEX(YardsAll[],MATCH($B79,YardsAll[DEVELOPMENT],0),MATCH("TOTAL ESTIMATE",YardsAll[#Headers],0)),0)</f>
        <v>0</v>
      </c>
      <c r="AE79" s="99">
        <f t="shared" ca="1" si="1"/>
        <v>183904.74637118977</v>
      </c>
      <c r="AF79" s="5"/>
    </row>
    <row r="80" spans="1:32">
      <c r="A80" s="101">
        <f>VLOOKUP(B80,Data[],24,FALSE)</f>
        <v>236</v>
      </c>
      <c r="B80" t="s">
        <v>145</v>
      </c>
      <c r="C80" t="str">
        <f>VLOOKUP(all[[#This Row],[DEVELOPMENT]],Data[],MATCH(all[[#Headers],[PROGRAM]],Data[#Headers],0),FALSE)</f>
        <v>FEDERAL</v>
      </c>
      <c r="D80" t="str">
        <f>VLOOKUP(B80,Data[],2,FALSE)</f>
        <v>BRONX</v>
      </c>
      <c r="E80">
        <f>VLOOKUP(all[[#This Row],[DEVELOPMENT]],Data[],65,FALSE)</f>
        <v>77</v>
      </c>
      <c r="F80" t="e">
        <f>VLOOKUP(all[[#This Row],[DEVELOPMENT]],Data[],3,FALSE)</f>
        <v>#N/A</v>
      </c>
      <c r="G80" s="107" t="s">
        <v>228</v>
      </c>
      <c r="H80" t="s">
        <v>184</v>
      </c>
      <c r="I80">
        <f>VLOOKUP(all[[#This Row],[DEVELOPMENT]],Data[],34,FALSE)</f>
        <v>0</v>
      </c>
      <c r="J80" t="s">
        <v>184</v>
      </c>
      <c r="K80" t="str">
        <f>VLOOKUP(B80,Data[],8,FALSE)</f>
        <v>Zone 1</v>
      </c>
      <c r="L80" t="str">
        <f>VLOOKUP(all[[#This Row],[DEVELOPMENT]],Data[],61,FALSE)</f>
        <v>No</v>
      </c>
      <c r="M80">
        <f>VLOOKUP(B80,Data[],9,FALSE)</f>
        <v>4</v>
      </c>
      <c r="N80">
        <v>3</v>
      </c>
      <c r="O80">
        <v>3</v>
      </c>
      <c r="P80" t="str">
        <f ca="1">IFERROR(VLOOKUP(B80,Data[],4,FALSE),"")</f>
        <v>2022-2025</v>
      </c>
      <c r="Q80" t="str">
        <f ca="1">IF(all[[#This Row],[RAD/PACT]]="","",IF(OR(all[[#This Row],[RAD/PACT]]="2021-2025",all[[#This Row],[RAD/PACT]]="2019-2020"),"Yes",""))</f>
        <v/>
      </c>
      <c r="R80">
        <f>VLOOKUP(all[[#This Row],[DEVELOPMENT]],Data[],7,FALSE)</f>
        <v>95</v>
      </c>
      <c r="S80">
        <f>VLOOKUP(all[[#This Row],[DEVELOPMENT]],Data[],25,FALSE)</f>
        <v>0</v>
      </c>
      <c r="T80">
        <f>VLOOKUP(all[[#This Row],[DEVELOPMENT]],Data[],5,FALSE)</f>
        <v>1</v>
      </c>
      <c r="U80">
        <f>VLOOKUP(all[[#This Row],[DEVELOPMENT]],Data[],10,FALSE)</f>
        <v>1</v>
      </c>
      <c r="V80">
        <f>VLOOKUP(all[[#This Row],[DEVELOPMENT]],Data[],10,FALSE)</f>
        <v>1</v>
      </c>
      <c r="W80">
        <f>VLOOKUP(all[[#This Row],[DEVELOPMENT]],Data[],33,FALSE)</f>
        <v>1</v>
      </c>
      <c r="X80">
        <f>VLOOKUP(all[[#This Row],[DEVELOPMENT]],Data[],33,FALSE)</f>
        <v>1</v>
      </c>
      <c r="Y80">
        <f>VLOOKUP(all[[#This Row],[DEVELOPMENT]],Data[],28,FALSE)</f>
        <v>0</v>
      </c>
      <c r="Z80">
        <f>IF(all[[#This Row],['# Bulk Crushers]]=0,1,0)</f>
        <v>1</v>
      </c>
      <c r="AA80" s="5">
        <f ca="1">IFERROR(INDEX(FWD[],MATCH($B80,FWD[DEVELOPMENT],0),MATCH("ESTIMATE",FWD[#Headers],0)),0)</f>
        <v>163279.9150024582</v>
      </c>
      <c r="AB80" s="5">
        <f ca="1">IFERROR(INDEX(EHDAll[],MATCH($B80,EHDAll[DEVELOPMENT],0),MATCH("ESTIMATE",EHDAll[#Headers],0)),0)</f>
        <v>7435.6435000000001</v>
      </c>
      <c r="AC80" s="5">
        <f ca="1">IFERROR(INDEX(IntAll[],MATCH($B80,IntAll[DEVELOPMENT],0),MATCH("ESTIMATE",IntAll[#Headers],0)),0)</f>
        <v>0</v>
      </c>
      <c r="AD80" s="5">
        <f ca="1">IFERROR(INDEX(YardsAll[],MATCH($B80,YardsAll[DEVELOPMENT],0),MATCH("TOTAL ESTIMATE",YardsAll[#Headers],0)),0)</f>
        <v>0</v>
      </c>
      <c r="AE80" s="99">
        <f t="shared" ca="1" si="1"/>
        <v>170715.55850245821</v>
      </c>
      <c r="AF80" s="5"/>
    </row>
    <row r="81" spans="1:32">
      <c r="A81" s="101">
        <f>VLOOKUP(B81,Data[],24,FALSE)</f>
        <v>94</v>
      </c>
      <c r="B81" t="s">
        <v>235</v>
      </c>
      <c r="C81" t="str">
        <f>VLOOKUP(all[[#This Row],[DEVELOPMENT]],Data[],MATCH(all[[#Headers],[PROGRAM]],Data[#Headers],0),FALSE)</f>
        <v>FEDERAL</v>
      </c>
      <c r="D81" t="str">
        <f>VLOOKUP(B81,Data[],2,FALSE)</f>
        <v>BROOKLYN</v>
      </c>
      <c r="E81">
        <f>VLOOKUP(all[[#This Row],[DEVELOPMENT]],Data[],65,FALSE)</f>
        <v>46</v>
      </c>
      <c r="F81" t="e">
        <f>VLOOKUP(all[[#This Row],[DEVELOPMENT]],Data[],3,FALSE)</f>
        <v>#N/A</v>
      </c>
      <c r="G81" s="107" t="s">
        <v>228</v>
      </c>
      <c r="H81" t="s">
        <v>184</v>
      </c>
      <c r="I81">
        <f>VLOOKUP(all[[#This Row],[DEVELOPMENT]],Data[],34,FALSE)</f>
        <v>0</v>
      </c>
      <c r="J81" t="s">
        <v>184</v>
      </c>
      <c r="K81">
        <f>VLOOKUP(B81,Data[],8,FALSE)</f>
        <v>0</v>
      </c>
      <c r="L81" t="str">
        <f>VLOOKUP(all[[#This Row],[DEVELOPMENT]],Data[],61,FALSE)</f>
        <v>No</v>
      </c>
      <c r="M81">
        <f>VLOOKUP(B81,Data[],9,FALSE)</f>
        <v>0</v>
      </c>
      <c r="N81">
        <v>3</v>
      </c>
      <c r="O81">
        <v>3</v>
      </c>
      <c r="P81" t="str">
        <f ca="1">IFERROR(VLOOKUP(B81,Data[],4,FALSE),"")</f>
        <v/>
      </c>
      <c r="Q81" t="str">
        <f ca="1">IF(all[[#This Row],[RAD/PACT]]="","",IF(OR(all[[#This Row],[RAD/PACT]]="2021-2025",all[[#This Row],[RAD/PACT]]="2019-2020"),"Yes",""))</f>
        <v/>
      </c>
      <c r="R81">
        <f>VLOOKUP(all[[#This Row],[DEVELOPMENT]],Data[],7,FALSE)</f>
        <v>530</v>
      </c>
      <c r="S81">
        <f>VLOOKUP(all[[#This Row],[DEVELOPMENT]],Data[],25,FALSE)</f>
        <v>0</v>
      </c>
      <c r="T81">
        <f>VLOOKUP(all[[#This Row],[DEVELOPMENT]],Data[],5,FALSE)</f>
        <v>5</v>
      </c>
      <c r="U81">
        <f>VLOOKUP(all[[#This Row],[DEVELOPMENT]],Data[],10,FALSE)</f>
        <v>5</v>
      </c>
      <c r="V81">
        <f>VLOOKUP(all[[#This Row],[DEVELOPMENT]],Data[],10,FALSE)</f>
        <v>5</v>
      </c>
      <c r="W81">
        <f>VLOOKUP(all[[#This Row],[DEVELOPMENT]],Data[],33,FALSE)</f>
        <v>0</v>
      </c>
      <c r="X81">
        <f>VLOOKUP(all[[#This Row],[DEVELOPMENT]],Data[],33,FALSE)</f>
        <v>0</v>
      </c>
      <c r="Y81">
        <f>VLOOKUP(all[[#This Row],[DEVELOPMENT]],Data[],28,FALSE)</f>
        <v>0</v>
      </c>
      <c r="Z81">
        <f>IF(all[[#This Row],['# Bulk Crushers]]=0,1,0)</f>
        <v>1</v>
      </c>
      <c r="AA81" s="5">
        <f ca="1">IFERROR(INDEX(FWD[],MATCH($B81,FWD[DEVELOPMENT],0),MATCH("ESTIMATE",FWD[#Headers],0)),0)</f>
        <v>910930.05211897742</v>
      </c>
      <c r="AB81" s="5">
        <f ca="1">IFERROR(INDEX(EHDAll[],MATCH($B81,EHDAll[DEVELOPMENT],0),MATCH("ESTIMATE",EHDAll[#Headers],0)),0)</f>
        <v>42383.167950000003</v>
      </c>
      <c r="AC81" s="5">
        <f ca="1">IFERROR(INDEX(IntAll[],MATCH($B81,IntAll[DEVELOPMENT],0),MATCH("ESTIMATE",IntAll[#Headers],0)),0)</f>
        <v>381679.375</v>
      </c>
      <c r="AD81" s="5">
        <f ca="1">IFERROR(INDEX(YardsAll[],MATCH($B81,YardsAll[DEVELOPMENT],0),MATCH("TOTAL ESTIMATE",YardsAll[#Headers],0)),0)</f>
        <v>2060602.1595600008</v>
      </c>
      <c r="AE81" s="99">
        <f t="shared" ca="1" si="1"/>
        <v>3395594.7546289782</v>
      </c>
      <c r="AF81" s="5"/>
    </row>
    <row r="82" spans="1:32">
      <c r="A82" s="101">
        <f>VLOOKUP(B82,Data[],24,FALSE)</f>
        <v>238</v>
      </c>
      <c r="B82" t="s">
        <v>236</v>
      </c>
      <c r="C82" t="str">
        <f>VLOOKUP(all[[#This Row],[DEVELOPMENT]],Data[],MATCH(all[[#Headers],[PROGRAM]],Data[#Headers],0),FALSE)</f>
        <v>FEDERAL</v>
      </c>
      <c r="D82" t="str">
        <f>VLOOKUP(B82,Data[],2,FALSE)</f>
        <v>BROOKLYN</v>
      </c>
      <c r="E82">
        <f>VLOOKUP(all[[#This Row],[DEVELOPMENT]],Data[],65,FALSE)</f>
        <v>46</v>
      </c>
      <c r="F82" t="e">
        <f>VLOOKUP(all[[#This Row],[DEVELOPMENT]],Data[],3,FALSE)</f>
        <v>#N/A</v>
      </c>
      <c r="G82" s="107" t="s">
        <v>228</v>
      </c>
      <c r="H82" t="s">
        <v>184</v>
      </c>
      <c r="I82">
        <f>VLOOKUP(all[[#This Row],[DEVELOPMENT]],Data[],34,FALSE)</f>
        <v>0</v>
      </c>
      <c r="J82" t="s">
        <v>184</v>
      </c>
      <c r="K82">
        <f>VLOOKUP(B82,Data[],8,FALSE)</f>
        <v>0</v>
      </c>
      <c r="L82" t="str">
        <f>VLOOKUP(all[[#This Row],[DEVELOPMENT]],Data[],61,FALSE)</f>
        <v>No</v>
      </c>
      <c r="M82">
        <f>VLOOKUP(B82,Data[],9,FALSE)</f>
        <v>0</v>
      </c>
      <c r="N82">
        <v>4</v>
      </c>
      <c r="O82">
        <v>3</v>
      </c>
      <c r="P82" t="str">
        <f ca="1">IFERROR(VLOOKUP(B82,Data[],4,FALSE),"")</f>
        <v>2026+</v>
      </c>
      <c r="Q82" t="str">
        <f ca="1">IF(all[[#This Row],[RAD/PACT]]="","",IF(OR(all[[#This Row],[RAD/PACT]]="2021-2025",all[[#This Row],[RAD/PACT]]="2019-2020"),"Yes",""))</f>
        <v/>
      </c>
      <c r="R82">
        <f>VLOOKUP(all[[#This Row],[DEVELOPMENT]],Data[],7,FALSE)</f>
        <v>124</v>
      </c>
      <c r="S82">
        <f>VLOOKUP(all[[#This Row],[DEVELOPMENT]],Data[],25,FALSE)</f>
        <v>0</v>
      </c>
      <c r="T82">
        <f>VLOOKUP(all[[#This Row],[DEVELOPMENT]],Data[],5,FALSE)</f>
        <v>1</v>
      </c>
      <c r="U82">
        <f>VLOOKUP(all[[#This Row],[DEVELOPMENT]],Data[],10,FALSE)</f>
        <v>1</v>
      </c>
      <c r="V82">
        <f>VLOOKUP(all[[#This Row],[DEVELOPMENT]],Data[],10,FALSE)</f>
        <v>1</v>
      </c>
      <c r="W82">
        <f>VLOOKUP(all[[#This Row],[DEVELOPMENT]],Data[],33,FALSE)</f>
        <v>0</v>
      </c>
      <c r="X82">
        <f>VLOOKUP(all[[#This Row],[DEVELOPMENT]],Data[],33,FALSE)</f>
        <v>0</v>
      </c>
      <c r="Y82">
        <f>VLOOKUP(all[[#This Row],[DEVELOPMENT]],Data[],28,FALSE)</f>
        <v>0</v>
      </c>
      <c r="Z82">
        <f>IF(all[[#This Row],['# Bulk Crushers]]=0,1,0)</f>
        <v>1</v>
      </c>
      <c r="AA82" s="5">
        <f ca="1">IFERROR(INDEX(FWD[],MATCH($B82,FWD[DEVELOPMENT],0),MATCH("ESTIMATE",FWD[#Headers],0)),0)</f>
        <v>213123.25747689282</v>
      </c>
      <c r="AB82" s="5">
        <f ca="1">IFERROR(INDEX(EHDAll[],MATCH($B82,EHDAll[DEVELOPMENT],0),MATCH("ESTIMATE",EHDAll[#Headers],0)),0)</f>
        <v>8476.6335900000013</v>
      </c>
      <c r="AC82" s="5">
        <f ca="1">IFERROR(INDEX(IntAll[],MATCH($B82,IntAll[DEVELOPMENT],0),MATCH("ESTIMATE",IntAll[#Headers],0)),0)</f>
        <v>78543.9375</v>
      </c>
      <c r="AD82" s="5">
        <f ca="1">IFERROR(INDEX(YardsAll[],MATCH($B82,YardsAll[DEVELOPMENT],0),MATCH("TOTAL ESTIMATE",YardsAll[#Headers],0)),0)</f>
        <v>2123866.2609500005</v>
      </c>
      <c r="AE82" s="99">
        <f t="shared" ca="1" si="1"/>
        <v>2424010.0895168935</v>
      </c>
      <c r="AF82" s="5"/>
    </row>
    <row r="83" spans="1:32">
      <c r="A83" s="101">
        <f>VLOOKUP(B83,Data[],24,FALSE)</f>
        <v>212</v>
      </c>
      <c r="B83" t="s">
        <v>237</v>
      </c>
      <c r="C83" t="str">
        <f>VLOOKUP(all[[#This Row],[DEVELOPMENT]],Data[],MATCH(all[[#Headers],[PROGRAM]],Data[#Headers],0),FALSE)</f>
        <v>FEDERAL</v>
      </c>
      <c r="D83">
        <f>VLOOKUP(B83,Data[],2,FALSE)</f>
        <v>0</v>
      </c>
      <c r="E83">
        <f>VLOOKUP(all[[#This Row],[DEVELOPMENT]],Data[],65,FALSE)</f>
        <v>0</v>
      </c>
      <c r="F83" t="e">
        <f>VLOOKUP(all[[#This Row],[DEVELOPMENT]],Data[],3,FALSE)</f>
        <v>#N/A</v>
      </c>
      <c r="G83" s="107" t="s">
        <v>228</v>
      </c>
      <c r="H83" t="s">
        <v>184</v>
      </c>
      <c r="I83">
        <f>VLOOKUP(all[[#This Row],[DEVELOPMENT]],Data[],34,FALSE)</f>
        <v>0</v>
      </c>
      <c r="J83" t="s">
        <v>184</v>
      </c>
      <c r="K83">
        <f>VLOOKUP(B83,Data[],8,FALSE)</f>
        <v>0</v>
      </c>
      <c r="L83" t="str">
        <f>VLOOKUP(all[[#This Row],[DEVELOPMENT]],Data[],61,FALSE)</f>
        <v>No</v>
      </c>
      <c r="M83">
        <f>VLOOKUP(B83,Data[],9,FALSE)</f>
        <v>0</v>
      </c>
      <c r="N83">
        <v>3</v>
      </c>
      <c r="O83">
        <v>3</v>
      </c>
      <c r="P83" t="str">
        <f ca="1">IFERROR(VLOOKUP(B83,Data[],4,FALSE),"")</f>
        <v/>
      </c>
      <c r="Q83" t="str">
        <f ca="1">IF(all[[#This Row],[RAD/PACT]]="","",IF(OR(all[[#This Row],[RAD/PACT]]="2021-2025",all[[#This Row],[RAD/PACT]]="2019-2020"),"Yes",""))</f>
        <v/>
      </c>
      <c r="R83">
        <f>VLOOKUP(all[[#This Row],[DEVELOPMENT]],Data[],7,FALSE)</f>
        <v>10</v>
      </c>
      <c r="S83">
        <f>VLOOKUP(all[[#This Row],[DEVELOPMENT]],Data[],25,FALSE)</f>
        <v>0</v>
      </c>
      <c r="T83">
        <f>VLOOKUP(all[[#This Row],[DEVELOPMENT]],Data[],5,FALSE)</f>
        <v>12</v>
      </c>
      <c r="U83">
        <f>VLOOKUP(all[[#This Row],[DEVELOPMENT]],Data[],10,FALSE)</f>
        <v>0</v>
      </c>
      <c r="V83">
        <f>VLOOKUP(all[[#This Row],[DEVELOPMENT]],Data[],10,FALSE)</f>
        <v>0</v>
      </c>
      <c r="W83">
        <f>VLOOKUP(all[[#This Row],[DEVELOPMENT]],Data[],33,FALSE)</f>
        <v>0</v>
      </c>
      <c r="X83">
        <f>VLOOKUP(all[[#This Row],[DEVELOPMENT]],Data[],33,FALSE)</f>
        <v>0</v>
      </c>
      <c r="Y83">
        <f>VLOOKUP(all[[#This Row],[DEVELOPMENT]],Data[],28,FALSE)</f>
        <v>0</v>
      </c>
      <c r="Z83">
        <f>IF(all[[#This Row],['# Bulk Crushers]]=0,1,0)</f>
        <v>1</v>
      </c>
      <c r="AA83" s="5">
        <f ca="1">IFERROR(INDEX(FWD[],MATCH($B83,FWD[DEVELOPMENT],0),MATCH("ESTIMATE",FWD[#Headers],0)),0)</f>
        <v>17187.359473942968</v>
      </c>
      <c r="AB83" s="5">
        <f ca="1">IFERROR(INDEX(EHDAll[],MATCH($B83,EHDAll[DEVELOPMENT],0),MATCH("ESTIMATE",EHDAll[#Headers],0)),0)</f>
        <v>0</v>
      </c>
      <c r="AC83" s="5">
        <f ca="1">IFERROR(INDEX(IntAll[],MATCH($B83,IntAll[DEVELOPMENT],0),MATCH("ESTIMATE",IntAll[#Headers],0)),0)</f>
        <v>0</v>
      </c>
      <c r="AD83" s="5">
        <f ca="1">IFERROR(INDEX(YardsAll[],MATCH($B83,YardsAll[DEVELOPMENT],0),MATCH("TOTAL ESTIMATE",YardsAll[#Headers],0)),0)</f>
        <v>0</v>
      </c>
      <c r="AE83" s="99">
        <f t="shared" ca="1" si="1"/>
        <v>17187.359473942968</v>
      </c>
      <c r="AF83" s="5"/>
    </row>
    <row r="84" spans="1:32">
      <c r="A84" s="101">
        <f>VLOOKUP(B84,Data[],24,FALSE)</f>
        <v>213</v>
      </c>
      <c r="B84" t="s">
        <v>238</v>
      </c>
      <c r="C84" t="str">
        <f>VLOOKUP(all[[#This Row],[DEVELOPMENT]],Data[],MATCH(all[[#Headers],[PROGRAM]],Data[#Headers],0),FALSE)</f>
        <v>FEDERAL</v>
      </c>
      <c r="D84">
        <f>VLOOKUP(B84,Data[],2,FALSE)</f>
        <v>0</v>
      </c>
      <c r="E84">
        <f>VLOOKUP(all[[#This Row],[DEVELOPMENT]],Data[],65,FALSE)</f>
        <v>0</v>
      </c>
      <c r="F84" t="e">
        <f>VLOOKUP(all[[#This Row],[DEVELOPMENT]],Data[],3,FALSE)</f>
        <v>#N/A</v>
      </c>
      <c r="G84" s="107" t="s">
        <v>228</v>
      </c>
      <c r="H84" t="s">
        <v>184</v>
      </c>
      <c r="I84">
        <f>VLOOKUP(all[[#This Row],[DEVELOPMENT]],Data[],34,FALSE)</f>
        <v>0</v>
      </c>
      <c r="J84" t="s">
        <v>184</v>
      </c>
      <c r="K84">
        <f>VLOOKUP(B84,Data[],8,FALSE)</f>
        <v>0</v>
      </c>
      <c r="L84" t="str">
        <f>VLOOKUP(all[[#This Row],[DEVELOPMENT]],Data[],61,FALSE)</f>
        <v>No</v>
      </c>
      <c r="M84">
        <f>VLOOKUP(B84,Data[],9,FALSE)</f>
        <v>0</v>
      </c>
      <c r="N84">
        <v>3</v>
      </c>
      <c r="O84">
        <v>3</v>
      </c>
      <c r="P84" t="str">
        <f ca="1">IFERROR(VLOOKUP(B84,Data[],4,FALSE),"")</f>
        <v/>
      </c>
      <c r="Q84" t="str">
        <f ca="1">IF(all[[#This Row],[RAD/PACT]]="","",IF(OR(all[[#This Row],[RAD/PACT]]="2021-2025",all[[#This Row],[RAD/PACT]]="2019-2020"),"Yes",""))</f>
        <v/>
      </c>
      <c r="R84">
        <f>VLOOKUP(all[[#This Row],[DEVELOPMENT]],Data[],7,FALSE)</f>
        <v>11</v>
      </c>
      <c r="S84">
        <f>VLOOKUP(all[[#This Row],[DEVELOPMENT]],Data[],25,FALSE)</f>
        <v>0</v>
      </c>
      <c r="T84">
        <f>VLOOKUP(all[[#This Row],[DEVELOPMENT]],Data[],5,FALSE)</f>
        <v>12</v>
      </c>
      <c r="U84">
        <f>VLOOKUP(all[[#This Row],[DEVELOPMENT]],Data[],10,FALSE)</f>
        <v>0</v>
      </c>
      <c r="V84">
        <f>VLOOKUP(all[[#This Row],[DEVELOPMENT]],Data[],10,FALSE)</f>
        <v>0</v>
      </c>
      <c r="W84">
        <f>VLOOKUP(all[[#This Row],[DEVELOPMENT]],Data[],33,FALSE)</f>
        <v>0</v>
      </c>
      <c r="X84">
        <f>VLOOKUP(all[[#This Row],[DEVELOPMENT]],Data[],33,FALSE)</f>
        <v>0</v>
      </c>
      <c r="Y84">
        <f>VLOOKUP(all[[#This Row],[DEVELOPMENT]],Data[],28,FALSE)</f>
        <v>0</v>
      </c>
      <c r="Z84">
        <f>IF(all[[#This Row],['# Bulk Crushers]]=0,1,0)</f>
        <v>1</v>
      </c>
      <c r="AA84" s="5">
        <f ca="1">IFERROR(INDEX(FWD[],MATCH($B84,FWD[DEVELOPMENT],0),MATCH("ESTIMATE",FWD[#Headers],0)),0)</f>
        <v>18906.095421337268</v>
      </c>
      <c r="AB84" s="5">
        <f ca="1">IFERROR(INDEX(EHDAll[],MATCH($B84,EHDAll[DEVELOPMENT],0),MATCH("ESTIMATE",EHDAll[#Headers],0)),0)</f>
        <v>0</v>
      </c>
      <c r="AC84" s="5">
        <f ca="1">IFERROR(INDEX(IntAll[],MATCH($B84,IntAll[DEVELOPMENT],0),MATCH("ESTIMATE",IntAll[#Headers],0)),0)</f>
        <v>0</v>
      </c>
      <c r="AD84" s="5">
        <f ca="1">IFERROR(INDEX(YardsAll[],MATCH($B84,YardsAll[DEVELOPMENT],0),MATCH("TOTAL ESTIMATE",YardsAll[#Headers],0)),0)</f>
        <v>0</v>
      </c>
      <c r="AE84" s="99">
        <f t="shared" ca="1" si="1"/>
        <v>18906.095421337268</v>
      </c>
      <c r="AF84" s="5"/>
    </row>
    <row r="85" spans="1:32">
      <c r="A85" s="101">
        <f>VLOOKUP(B85,Data[],24,FALSE)</f>
        <v>226</v>
      </c>
      <c r="B85" t="s">
        <v>239</v>
      </c>
      <c r="C85" t="str">
        <f>VLOOKUP(all[[#This Row],[DEVELOPMENT]],Data[],MATCH(all[[#Headers],[PROGRAM]],Data[#Headers],0),FALSE)</f>
        <v>FEDERAL</v>
      </c>
      <c r="D85">
        <f>VLOOKUP(B85,Data[],2,FALSE)</f>
        <v>0</v>
      </c>
      <c r="E85">
        <f>VLOOKUP(all[[#This Row],[DEVELOPMENT]],Data[],65,FALSE)</f>
        <v>0</v>
      </c>
      <c r="F85" t="e">
        <f>VLOOKUP(all[[#This Row],[DEVELOPMENT]],Data[],3,FALSE)</f>
        <v>#N/A</v>
      </c>
      <c r="G85" s="107" t="s">
        <v>228</v>
      </c>
      <c r="H85" t="s">
        <v>184</v>
      </c>
      <c r="I85">
        <f>VLOOKUP(all[[#This Row],[DEVELOPMENT]],Data[],34,FALSE)</f>
        <v>0</v>
      </c>
      <c r="J85" t="s">
        <v>184</v>
      </c>
      <c r="K85">
        <f>VLOOKUP(B85,Data[],8,FALSE)</f>
        <v>0</v>
      </c>
      <c r="L85" t="str">
        <f>VLOOKUP(all[[#This Row],[DEVELOPMENT]],Data[],61,FALSE)</f>
        <v>No</v>
      </c>
      <c r="M85">
        <f>VLOOKUP(B85,Data[],9,FALSE)</f>
        <v>0</v>
      </c>
      <c r="N85">
        <v>3</v>
      </c>
      <c r="O85">
        <v>3</v>
      </c>
      <c r="P85" t="str">
        <f ca="1">IFERROR(VLOOKUP(B85,Data[],4,FALSE),"")</f>
        <v/>
      </c>
      <c r="Q85" t="str">
        <f ca="1">IF(all[[#This Row],[RAD/PACT]]="","",IF(OR(all[[#This Row],[RAD/PACT]]="2021-2025",all[[#This Row],[RAD/PACT]]="2019-2020"),"Yes",""))</f>
        <v/>
      </c>
      <c r="R85">
        <f>VLOOKUP(all[[#This Row],[DEVELOPMENT]],Data[],7,FALSE)</f>
        <v>10</v>
      </c>
      <c r="S85">
        <f>VLOOKUP(all[[#This Row],[DEVELOPMENT]],Data[],25,FALSE)</f>
        <v>0</v>
      </c>
      <c r="T85">
        <f>VLOOKUP(all[[#This Row],[DEVELOPMENT]],Data[],5,FALSE)</f>
        <v>13</v>
      </c>
      <c r="U85">
        <f>VLOOKUP(all[[#This Row],[DEVELOPMENT]],Data[],10,FALSE)</f>
        <v>0</v>
      </c>
      <c r="V85">
        <f>VLOOKUP(all[[#This Row],[DEVELOPMENT]],Data[],10,FALSE)</f>
        <v>0</v>
      </c>
      <c r="W85">
        <f>VLOOKUP(all[[#This Row],[DEVELOPMENT]],Data[],33,FALSE)</f>
        <v>0</v>
      </c>
      <c r="X85">
        <f>VLOOKUP(all[[#This Row],[DEVELOPMENT]],Data[],33,FALSE)</f>
        <v>0</v>
      </c>
      <c r="Y85">
        <f>VLOOKUP(all[[#This Row],[DEVELOPMENT]],Data[],28,FALSE)</f>
        <v>0</v>
      </c>
      <c r="Z85">
        <f>IF(all[[#This Row],['# Bulk Crushers]]=0,1,0)</f>
        <v>1</v>
      </c>
      <c r="AA85" s="5">
        <f ca="1">IFERROR(INDEX(FWD[],MATCH($B85,FWD[DEVELOPMENT],0),MATCH("ESTIMATE",FWD[#Headers],0)),0)</f>
        <v>17187.359473942968</v>
      </c>
      <c r="AB85" s="5">
        <f ca="1">IFERROR(INDEX(EHDAll[],MATCH($B85,EHDAll[DEVELOPMENT],0),MATCH("ESTIMATE",EHDAll[#Headers],0)),0)</f>
        <v>0</v>
      </c>
      <c r="AC85" s="5">
        <f ca="1">IFERROR(INDEX(IntAll[],MATCH($B85,IntAll[DEVELOPMENT],0),MATCH("ESTIMATE",IntAll[#Headers],0)),0)</f>
        <v>0</v>
      </c>
      <c r="AD85" s="5">
        <f ca="1">IFERROR(INDEX(YardsAll[],MATCH($B85,YardsAll[DEVELOPMENT],0),MATCH("TOTAL ESTIMATE",YardsAll[#Headers],0)),0)</f>
        <v>0</v>
      </c>
      <c r="AE85" s="99">
        <f t="shared" ca="1" si="1"/>
        <v>17187.359473942968</v>
      </c>
      <c r="AF85" s="5"/>
    </row>
    <row r="86" spans="1:32">
      <c r="A86" s="101">
        <f>VLOOKUP(B86,Data[],24,FALSE)</f>
        <v>283</v>
      </c>
      <c r="B86" t="s">
        <v>240</v>
      </c>
      <c r="C86" t="str">
        <f>VLOOKUP(all[[#This Row],[DEVELOPMENT]],Data[],MATCH(all[[#Headers],[PROGRAM]],Data[#Headers],0),FALSE)</f>
        <v>FEDERAL</v>
      </c>
      <c r="D86">
        <f>VLOOKUP(B86,Data[],2,FALSE)</f>
        <v>0</v>
      </c>
      <c r="E86">
        <f>VLOOKUP(all[[#This Row],[DEVELOPMENT]],Data[],65,FALSE)</f>
        <v>0</v>
      </c>
      <c r="F86" t="e">
        <f>VLOOKUP(all[[#This Row],[DEVELOPMENT]],Data[],3,FALSE)</f>
        <v>#N/A</v>
      </c>
      <c r="G86" s="107" t="s">
        <v>228</v>
      </c>
      <c r="H86" t="s">
        <v>184</v>
      </c>
      <c r="I86">
        <f>VLOOKUP(all[[#This Row],[DEVELOPMENT]],Data[],34,FALSE)</f>
        <v>0</v>
      </c>
      <c r="J86" t="s">
        <v>184</v>
      </c>
      <c r="K86" t="str">
        <f>VLOOKUP(B86,Data[],8,FALSE)</f>
        <v>Zone 4</v>
      </c>
      <c r="L86" t="str">
        <f>VLOOKUP(all[[#This Row],[DEVELOPMENT]],Data[],61,FALSE)</f>
        <v>No</v>
      </c>
      <c r="M86">
        <f>VLOOKUP(B86,Data[],9,FALSE)</f>
        <v>0</v>
      </c>
      <c r="N86">
        <v>3</v>
      </c>
      <c r="O86">
        <v>3</v>
      </c>
      <c r="P86" t="str">
        <f ca="1">IFERROR(VLOOKUP(B86,Data[],4,FALSE),"")</f>
        <v/>
      </c>
      <c r="Q86" t="str">
        <f ca="1">IF(all[[#This Row],[RAD/PACT]]="","",IF(OR(all[[#This Row],[RAD/PACT]]="2021-2025",all[[#This Row],[RAD/PACT]]="2019-2020"),"Yes",""))</f>
        <v/>
      </c>
      <c r="R86">
        <f>VLOOKUP(all[[#This Row],[DEVELOPMENT]],Data[],7,FALSE)</f>
        <v>16</v>
      </c>
      <c r="S86" t="str">
        <f>VLOOKUP(all[[#This Row],[DEVELOPMENT]],Data[],25,FALSE)</f>
        <v>Newtown Creek</v>
      </c>
      <c r="T86">
        <f>VLOOKUP(all[[#This Row],[DEVELOPMENT]],Data[],5,FALSE)</f>
        <v>16</v>
      </c>
      <c r="U86">
        <f>VLOOKUP(all[[#This Row],[DEVELOPMENT]],Data[],10,FALSE)</f>
        <v>0</v>
      </c>
      <c r="V86">
        <f>VLOOKUP(all[[#This Row],[DEVELOPMENT]],Data[],10,FALSE)</f>
        <v>0</v>
      </c>
      <c r="W86">
        <f>VLOOKUP(all[[#This Row],[DEVELOPMENT]],Data[],33,FALSE)</f>
        <v>0</v>
      </c>
      <c r="X86">
        <f>VLOOKUP(all[[#This Row],[DEVELOPMENT]],Data[],33,FALSE)</f>
        <v>0</v>
      </c>
      <c r="Y86">
        <f>VLOOKUP(all[[#This Row],[DEVELOPMENT]],Data[],28,FALSE)</f>
        <v>0</v>
      </c>
      <c r="Z86">
        <f>IF(all[[#This Row],['# Bulk Crushers]]=0,1,0)</f>
        <v>1</v>
      </c>
      <c r="AA86" s="5">
        <f ca="1">IFERROR(INDEX(FWD[],MATCH($B86,FWD[DEVELOPMENT],0),MATCH("ESTIMATE",FWD[#Headers],0)),0)</f>
        <v>27499.775158308752</v>
      </c>
      <c r="AB86" s="5">
        <f ca="1">IFERROR(INDEX(EHDAll[],MATCH($B86,EHDAll[DEVELOPMENT],0),MATCH("ESTIMATE",EHDAll[#Headers],0)),0)</f>
        <v>0</v>
      </c>
      <c r="AC86" s="5">
        <f ca="1">IFERROR(INDEX(IntAll[],MATCH($B86,IntAll[DEVELOPMENT],0),MATCH("ESTIMATE",IntAll[#Headers],0)),0)</f>
        <v>0</v>
      </c>
      <c r="AD86" s="5">
        <f ca="1">IFERROR(INDEX(YardsAll[],MATCH($B86,YardsAll[DEVELOPMENT],0),MATCH("TOTAL ESTIMATE",YardsAll[#Headers],0)),0)</f>
        <v>0</v>
      </c>
      <c r="AE86" s="99">
        <f t="shared" ca="1" si="1"/>
        <v>27499.775158308752</v>
      </c>
      <c r="AF86" s="5"/>
    </row>
    <row r="87" spans="1:32">
      <c r="A87" s="101">
        <f>VLOOKUP(B87,Data[],24,FALSE)</f>
        <v>275</v>
      </c>
      <c r="B87" t="s">
        <v>241</v>
      </c>
      <c r="C87" t="str">
        <f>VLOOKUP(all[[#This Row],[DEVELOPMENT]],Data[],MATCH(all[[#Headers],[PROGRAM]],Data[#Headers],0),FALSE)</f>
        <v>FEDERAL</v>
      </c>
      <c r="D87">
        <f>VLOOKUP(B87,Data[],2,FALSE)</f>
        <v>0</v>
      </c>
      <c r="E87">
        <f>VLOOKUP(all[[#This Row],[DEVELOPMENT]],Data[],65,FALSE)</f>
        <v>0</v>
      </c>
      <c r="F87" t="e">
        <f>VLOOKUP(all[[#This Row],[DEVELOPMENT]],Data[],3,FALSE)</f>
        <v>#N/A</v>
      </c>
      <c r="G87" s="107" t="s">
        <v>228</v>
      </c>
      <c r="H87" t="s">
        <v>184</v>
      </c>
      <c r="I87">
        <f>VLOOKUP(all[[#This Row],[DEVELOPMENT]],Data[],34,FALSE)</f>
        <v>0</v>
      </c>
      <c r="J87" t="s">
        <v>184</v>
      </c>
      <c r="K87">
        <f>VLOOKUP(B87,Data[],8,FALSE)</f>
        <v>0</v>
      </c>
      <c r="L87" t="str">
        <f>VLOOKUP(all[[#This Row],[DEVELOPMENT]],Data[],61,FALSE)</f>
        <v>No</v>
      </c>
      <c r="M87">
        <f>VLOOKUP(B87,Data[],9,FALSE)</f>
        <v>0</v>
      </c>
      <c r="N87">
        <v>4</v>
      </c>
      <c r="O87">
        <v>3</v>
      </c>
      <c r="P87" t="str">
        <f ca="1">IFERROR(VLOOKUP(B87,Data[],4,FALSE),"")</f>
        <v/>
      </c>
      <c r="Q87" t="str">
        <f ca="1">IF(all[[#This Row],[RAD/PACT]]="","",IF(OR(all[[#This Row],[RAD/PACT]]="2021-2025",all[[#This Row],[RAD/PACT]]="2019-2020"),"Yes",""))</f>
        <v/>
      </c>
      <c r="R87">
        <f>VLOOKUP(all[[#This Row],[DEVELOPMENT]],Data[],7,FALSE)</f>
        <v>5</v>
      </c>
      <c r="S87">
        <f>VLOOKUP(all[[#This Row],[DEVELOPMENT]],Data[],25,FALSE)</f>
        <v>0</v>
      </c>
      <c r="T87">
        <f>VLOOKUP(all[[#This Row],[DEVELOPMENT]],Data[],5,FALSE)</f>
        <v>9</v>
      </c>
      <c r="U87">
        <f>VLOOKUP(all[[#This Row],[DEVELOPMENT]],Data[],10,FALSE)</f>
        <v>0</v>
      </c>
      <c r="V87">
        <f>VLOOKUP(all[[#This Row],[DEVELOPMENT]],Data[],10,FALSE)</f>
        <v>0</v>
      </c>
      <c r="W87">
        <f>VLOOKUP(all[[#This Row],[DEVELOPMENT]],Data[],33,FALSE)</f>
        <v>0</v>
      </c>
      <c r="X87">
        <f>VLOOKUP(all[[#This Row],[DEVELOPMENT]],Data[],33,FALSE)</f>
        <v>0</v>
      </c>
      <c r="Y87">
        <f>VLOOKUP(all[[#This Row],[DEVELOPMENT]],Data[],28,FALSE)</f>
        <v>0</v>
      </c>
      <c r="Z87">
        <f>IF(all[[#This Row],['# Bulk Crushers]]=0,1,0)</f>
        <v>1</v>
      </c>
      <c r="AA87" s="5">
        <f ca="1">IFERROR(INDEX(FWD[],MATCH($B87,FWD[DEVELOPMENT],0),MATCH("ESTIMATE",FWD[#Headers],0)),0)</f>
        <v>8593.6797369714841</v>
      </c>
      <c r="AB87" s="5">
        <f ca="1">IFERROR(INDEX(EHDAll[],MATCH($B87,EHDAll[DEVELOPMENT],0),MATCH("ESTIMATE",EHDAll[#Headers],0)),0)</f>
        <v>0</v>
      </c>
      <c r="AC87" s="5">
        <f ca="1">IFERROR(INDEX(IntAll[],MATCH($B87,IntAll[DEVELOPMENT],0),MATCH("ESTIMATE",IntAll[#Headers],0)),0)</f>
        <v>0</v>
      </c>
      <c r="AD87" s="5">
        <f ca="1">IFERROR(INDEX(YardsAll[],MATCH($B87,YardsAll[DEVELOPMENT],0),MATCH("TOTAL ESTIMATE",YardsAll[#Headers],0)),0)</f>
        <v>0</v>
      </c>
      <c r="AE87" s="99">
        <f t="shared" ca="1" si="1"/>
        <v>8593.6797369714841</v>
      </c>
      <c r="AF87" s="5"/>
    </row>
    <row r="88" spans="1:32">
      <c r="A88" s="101">
        <f>VLOOKUP(B88,Data[],24,FALSE)</f>
        <v>1</v>
      </c>
      <c r="B88" t="s">
        <v>242</v>
      </c>
      <c r="C88" t="str">
        <f>VLOOKUP(all[[#This Row],[DEVELOPMENT]],Data[],MATCH(all[[#Headers],[PROGRAM]],Data[#Headers],0),FALSE)</f>
        <v>FEDERAL</v>
      </c>
      <c r="D88" t="str">
        <f>VLOOKUP(B88,Data[],2,FALSE)</f>
        <v>MANHATTAN</v>
      </c>
      <c r="E88">
        <f>VLOOKUP(all[[#This Row],[DEVELOPMENT]],Data[],65,FALSE)</f>
        <v>74</v>
      </c>
      <c r="F88" t="e">
        <f>VLOOKUP(all[[#This Row],[DEVELOPMENT]],Data[],3,FALSE)</f>
        <v>#N/A</v>
      </c>
      <c r="G88" s="107" t="s">
        <v>228</v>
      </c>
      <c r="H88" t="s">
        <v>184</v>
      </c>
      <c r="I88">
        <f>VLOOKUP(all[[#This Row],[DEVELOPMENT]],Data[],34,FALSE)</f>
        <v>0</v>
      </c>
      <c r="J88" t="s">
        <v>184</v>
      </c>
      <c r="K88" t="str">
        <f>VLOOKUP(B88,Data[],8,FALSE)</f>
        <v>Zone 1</v>
      </c>
      <c r="L88" t="str">
        <f>VLOOKUP(all[[#This Row],[DEVELOPMENT]],Data[],61,FALSE)</f>
        <v>No</v>
      </c>
      <c r="M88">
        <f>VLOOKUP(B88,Data[],9,FALSE)</f>
        <v>4</v>
      </c>
      <c r="N88">
        <v>4</v>
      </c>
      <c r="O88">
        <v>3</v>
      </c>
      <c r="P88" t="str">
        <f ca="1">IFERROR(VLOOKUP(B88,Data[],4,FALSE),"")</f>
        <v>2026+</v>
      </c>
      <c r="Q88" t="str">
        <f ca="1">IF(all[[#This Row],[RAD/PACT]]="","",IF(OR(all[[#This Row],[RAD/PACT]]="2021-2025",all[[#This Row],[RAD/PACT]]="2019-2020"),"Yes",""))</f>
        <v/>
      </c>
      <c r="R88">
        <f>VLOOKUP(all[[#This Row],[DEVELOPMENT]],Data[],7,FALSE)</f>
        <v>126</v>
      </c>
      <c r="S88" t="str">
        <f>VLOOKUP(all[[#This Row],[DEVELOPMENT]],Data[],25,FALSE)</f>
        <v>Newtown Creek</v>
      </c>
      <c r="T88">
        <f>VLOOKUP(all[[#This Row],[DEVELOPMENT]],Data[],5,FALSE)</f>
        <v>8</v>
      </c>
      <c r="U88">
        <f>VLOOKUP(all[[#This Row],[DEVELOPMENT]],Data[],10,FALSE)</f>
        <v>8</v>
      </c>
      <c r="V88">
        <f>VLOOKUP(all[[#This Row],[DEVELOPMENT]],Data[],10,FALSE)</f>
        <v>8</v>
      </c>
      <c r="W88">
        <f>VLOOKUP(all[[#This Row],[DEVELOPMENT]],Data[],33,FALSE)</f>
        <v>0</v>
      </c>
      <c r="X88">
        <f>VLOOKUP(all[[#This Row],[DEVELOPMENT]],Data[],33,FALSE)</f>
        <v>0</v>
      </c>
      <c r="Y88">
        <f>VLOOKUP(all[[#This Row],[DEVELOPMENT]],Data[],28,FALSE)</f>
        <v>0</v>
      </c>
      <c r="Z88">
        <f>IF(all[[#This Row],['# Bulk Crushers]]=0,1,0)</f>
        <v>1</v>
      </c>
      <c r="AA88" s="5">
        <f ca="1">IFERROR(INDEX(FWD[],MATCH($B88,FWD[DEVELOPMENT],0),MATCH("ESTIMATE",FWD[#Headers],0)),0)</f>
        <v>216560.72937168143</v>
      </c>
      <c r="AB88" s="5">
        <f>IFERROR(INDEX(EHDAll[],MATCH($B88,EHDAll[DEVELOPMENT],0),MATCH("ESTIMATE",EHDAll[#Headers],0)),0)</f>
        <v>0</v>
      </c>
      <c r="AC88" s="5">
        <f ca="1">IFERROR(INDEX(IntAll[],MATCH($B88,IntAll[DEVELOPMENT],0),MATCH("ESTIMATE",IntAll[#Headers],0)),0)</f>
        <v>405596</v>
      </c>
      <c r="AD88" s="5">
        <f ca="1">IFERROR(INDEX(YardsAll[],MATCH($B88,YardsAll[DEVELOPMENT],0),MATCH("TOTAL ESTIMATE",YardsAll[#Headers],0)),0)</f>
        <v>0</v>
      </c>
      <c r="AE88" s="99">
        <f t="shared" ca="1" si="1"/>
        <v>622156.72937168146</v>
      </c>
      <c r="AF88" s="5"/>
    </row>
    <row r="89" spans="1:32">
      <c r="A89" s="101">
        <f>VLOOKUP(B89,Data[],24,FALSE)</f>
        <v>225</v>
      </c>
      <c r="B89" t="s">
        <v>243</v>
      </c>
      <c r="C89" t="str">
        <f>VLOOKUP(all[[#This Row],[DEVELOPMENT]],Data[],MATCH(all[[#Headers],[PROGRAM]],Data[#Headers],0),FALSE)</f>
        <v>FEDERAL</v>
      </c>
      <c r="D89" t="str">
        <f>VLOOKUP(B89,Data[],2,FALSE)</f>
        <v>BRONX</v>
      </c>
      <c r="E89">
        <f>VLOOKUP(all[[#This Row],[DEVELOPMENT]],Data[],65,FALSE)</f>
        <v>87</v>
      </c>
      <c r="F89" t="e">
        <f>VLOOKUP(all[[#This Row],[DEVELOPMENT]],Data[],3,FALSE)</f>
        <v>#N/A</v>
      </c>
      <c r="G89" s="107" t="s">
        <v>228</v>
      </c>
      <c r="H89" t="s">
        <v>184</v>
      </c>
      <c r="I89">
        <f>VLOOKUP(all[[#This Row],[DEVELOPMENT]],Data[],34,FALSE)</f>
        <v>0</v>
      </c>
      <c r="J89" t="s">
        <v>184</v>
      </c>
      <c r="K89">
        <f>VLOOKUP(B89,Data[],8,FALSE)</f>
        <v>0</v>
      </c>
      <c r="L89" t="str">
        <f>VLOOKUP(all[[#This Row],[DEVELOPMENT]],Data[],61,FALSE)</f>
        <v>No</v>
      </c>
      <c r="M89">
        <f>VLOOKUP(B89,Data[],9,FALSE)</f>
        <v>0</v>
      </c>
      <c r="N89">
        <v>3</v>
      </c>
      <c r="O89">
        <v>3</v>
      </c>
      <c r="P89" t="str">
        <f ca="1">IFERROR(VLOOKUP(B89,Data[],4,FALSE),"")</f>
        <v>2026+</v>
      </c>
      <c r="Q89" t="str">
        <f ca="1">IF(all[[#This Row],[RAD/PACT]]="","",IF(OR(all[[#This Row],[RAD/PACT]]="2021-2025",all[[#This Row],[RAD/PACT]]="2019-2020"),"Yes",""))</f>
        <v/>
      </c>
      <c r="R89">
        <f>VLOOKUP(all[[#This Row],[DEVELOPMENT]],Data[],7,FALSE)</f>
        <v>131</v>
      </c>
      <c r="S89">
        <f>VLOOKUP(all[[#This Row],[DEVELOPMENT]],Data[],25,FALSE)</f>
        <v>0</v>
      </c>
      <c r="T89">
        <f>VLOOKUP(all[[#This Row],[DEVELOPMENT]],Data[],5,FALSE)</f>
        <v>1</v>
      </c>
      <c r="U89">
        <f>VLOOKUP(all[[#This Row],[DEVELOPMENT]],Data[],10,FALSE)</f>
        <v>1</v>
      </c>
      <c r="V89">
        <f>VLOOKUP(all[[#This Row],[DEVELOPMENT]],Data[],10,FALSE)</f>
        <v>1</v>
      </c>
      <c r="W89">
        <f>VLOOKUP(all[[#This Row],[DEVELOPMENT]],Data[],33,FALSE)</f>
        <v>0</v>
      </c>
      <c r="X89">
        <f>VLOOKUP(all[[#This Row],[DEVELOPMENT]],Data[],33,FALSE)</f>
        <v>0</v>
      </c>
      <c r="Y89">
        <f>VLOOKUP(all[[#This Row],[DEVELOPMENT]],Data[],28,FALSE)</f>
        <v>0</v>
      </c>
      <c r="Z89">
        <f>IF(all[[#This Row],['# Bulk Crushers]]=0,1,0)</f>
        <v>1</v>
      </c>
      <c r="AA89" s="5">
        <f ca="1">IFERROR(INDEX(FWD[],MATCH($B89,FWD[DEVELOPMENT],0),MATCH("ESTIMATE",FWD[#Headers],0)),0)</f>
        <v>225154.40910865291</v>
      </c>
      <c r="AB89" s="5">
        <f ca="1">IFERROR(INDEX(EHDAll[],MATCH($B89,EHDAll[DEVELOPMENT],0),MATCH("ESTIMATE",EHDAll[#Headers],0)),0)</f>
        <v>8476.6335900000013</v>
      </c>
      <c r="AC89" s="5">
        <f ca="1">IFERROR(INDEX(IntAll[],MATCH($B89,IntAll[DEVELOPMENT],0),MATCH("ESTIMATE",IntAll[#Headers],0)),0)</f>
        <v>71919.750000000015</v>
      </c>
      <c r="AD89" s="5">
        <f ca="1">IFERROR(INDEX(YardsAll[],MATCH($B89,YardsAll[DEVELOPMENT],0),MATCH("TOTAL ESTIMATE",YardsAll[#Headers],0)),0)</f>
        <v>2060602.1595600008</v>
      </c>
      <c r="AE89" s="99">
        <f t="shared" ca="1" si="1"/>
        <v>2366152.9522586539</v>
      </c>
      <c r="AF89" s="5"/>
    </row>
    <row r="90" spans="1:32">
      <c r="A90" s="101">
        <f>VLOOKUP(B90,Data[],24,FALSE)</f>
        <v>100</v>
      </c>
      <c r="B90" t="s">
        <v>61</v>
      </c>
      <c r="C90" t="str">
        <f>VLOOKUP(all[[#This Row],[DEVELOPMENT]],Data[],MATCH(all[[#Headers],[PROGRAM]],Data[#Headers],0),FALSE)</f>
        <v>FEDERAL</v>
      </c>
      <c r="D90" t="str">
        <f>VLOOKUP(B90,Data[],2,FALSE)</f>
        <v>MANHATTAN</v>
      </c>
      <c r="E90">
        <f>VLOOKUP(all[[#This Row],[DEVELOPMENT]],Data[],65,FALSE)</f>
        <v>74</v>
      </c>
      <c r="F90" t="e">
        <f>VLOOKUP(all[[#This Row],[DEVELOPMENT]],Data[],3,FALSE)</f>
        <v>#N/A</v>
      </c>
      <c r="G90" s="107" t="s">
        <v>228</v>
      </c>
      <c r="H90" t="s">
        <v>184</v>
      </c>
      <c r="I90">
        <f>VLOOKUP(all[[#This Row],[DEVELOPMENT]],Data[],34,FALSE)</f>
        <v>0</v>
      </c>
      <c r="J90" t="s">
        <v>184</v>
      </c>
      <c r="K90" t="str">
        <f>VLOOKUP(B90,Data[],8,FALSE)</f>
        <v>Zone 1</v>
      </c>
      <c r="L90" t="str">
        <f>VLOOKUP(all[[#This Row],[DEVELOPMENT]],Data[],61,FALSE)</f>
        <v>No</v>
      </c>
      <c r="M90">
        <f>VLOOKUP(B90,Data[],9,FALSE)</f>
        <v>4</v>
      </c>
      <c r="N90">
        <v>3</v>
      </c>
      <c r="O90">
        <v>3</v>
      </c>
      <c r="P90" t="str">
        <f ca="1">IFERROR(VLOOKUP(B90,Data[],4,FALSE),"")</f>
        <v/>
      </c>
      <c r="Q90" t="str">
        <f ca="1">IF(all[[#This Row],[RAD/PACT]]="","",IF(OR(all[[#This Row],[RAD/PACT]]="2021-2025",all[[#This Row],[RAD/PACT]]="2019-2020"),"Yes",""))</f>
        <v/>
      </c>
      <c r="R90">
        <f>VLOOKUP(all[[#This Row],[DEVELOPMENT]],Data[],7,FALSE)</f>
        <v>472</v>
      </c>
      <c r="S90" t="str">
        <f>VLOOKUP(all[[#This Row],[DEVELOPMENT]],Data[],25,FALSE)</f>
        <v>Newtown Creek</v>
      </c>
      <c r="T90">
        <f>VLOOKUP(all[[#This Row],[DEVELOPMENT]],Data[],5,FALSE)</f>
        <v>2</v>
      </c>
      <c r="U90">
        <f>VLOOKUP(all[[#This Row],[DEVELOPMENT]],Data[],10,FALSE)</f>
        <v>4</v>
      </c>
      <c r="V90">
        <f>VLOOKUP(all[[#This Row],[DEVELOPMENT]],Data[],10,FALSE)</f>
        <v>4</v>
      </c>
      <c r="W90">
        <f>VLOOKUP(all[[#This Row],[DEVELOPMENT]],Data[],33,FALSE)</f>
        <v>1</v>
      </c>
      <c r="X90">
        <f>VLOOKUP(all[[#This Row],[DEVELOPMENT]],Data[],33,FALSE)</f>
        <v>1</v>
      </c>
      <c r="Y90">
        <f>VLOOKUP(all[[#This Row],[DEVELOPMENT]],Data[],28,FALSE)</f>
        <v>0</v>
      </c>
      <c r="Z90">
        <f>IF(all[[#This Row],['# Bulk Crushers]]=0,1,0)</f>
        <v>1</v>
      </c>
      <c r="AA90" s="5">
        <f ca="1">IFERROR(INDEX(FWD[],MATCH($B90,FWD[DEVELOPMENT],0),MATCH("ESTIMATE",FWD[#Headers],0)),0)</f>
        <v>811243.36717010813</v>
      </c>
      <c r="AB90" s="5">
        <f ca="1">IFERROR(INDEX(EHDAll[],MATCH($B90,EHDAll[DEVELOPMENT],0),MATCH("ESTIMATE",EHDAll[#Headers],0)),0)</f>
        <v>29742.574000000001</v>
      </c>
      <c r="AC90" s="5">
        <f ca="1">IFERROR(INDEX(IntAll[],MATCH($B90,IntAll[DEVELOPMENT],0),MATCH("ESTIMATE",IntAll[#Headers],0)),0)</f>
        <v>191322</v>
      </c>
      <c r="AD90" s="5">
        <f ca="1">IFERROR(INDEX(YardsAll[],MATCH($B90,YardsAll[DEVELOPMENT],0),MATCH("TOTAL ESTIMATE",YardsAll[#Headers],0)),0)</f>
        <v>1552980.7909380002</v>
      </c>
      <c r="AE90" s="99">
        <f t="shared" ca="1" si="1"/>
        <v>2585288.7321081082</v>
      </c>
      <c r="AF90" s="5"/>
    </row>
    <row r="91" spans="1:32">
      <c r="A91" s="101">
        <f>VLOOKUP(B91,Data[],24,FALSE)</f>
        <v>75</v>
      </c>
      <c r="B91" t="s">
        <v>244</v>
      </c>
      <c r="C91" t="str">
        <f>VLOOKUP(all[[#This Row],[DEVELOPMENT]],Data[],MATCH(all[[#Headers],[PROGRAM]],Data[#Headers],0),FALSE)</f>
        <v>FEDERAL</v>
      </c>
      <c r="D91" t="str">
        <f>VLOOKUP(B91,Data[],2,FALSE)</f>
        <v>QUEENS</v>
      </c>
      <c r="E91">
        <f>VLOOKUP(all[[#This Row],[DEVELOPMENT]],Data[],65,FALSE)</f>
        <v>31</v>
      </c>
      <c r="F91" t="e">
        <f>VLOOKUP(all[[#This Row],[DEVELOPMENT]],Data[],3,FALSE)</f>
        <v>#N/A</v>
      </c>
      <c r="G91" s="107" t="s">
        <v>228</v>
      </c>
      <c r="H91" t="s">
        <v>184</v>
      </c>
      <c r="I91">
        <f>VLOOKUP(all[[#This Row],[DEVELOPMENT]],Data[],34,FALSE)</f>
        <v>0</v>
      </c>
      <c r="J91" t="s">
        <v>184</v>
      </c>
      <c r="K91">
        <f>VLOOKUP(B91,Data[],8,FALSE)</f>
        <v>0</v>
      </c>
      <c r="L91" t="str">
        <f>VLOOKUP(all[[#This Row],[DEVELOPMENT]],Data[],61,FALSE)</f>
        <v>No</v>
      </c>
      <c r="M91">
        <f>VLOOKUP(B91,Data[],9,FALSE)</f>
        <v>0</v>
      </c>
      <c r="N91">
        <v>4</v>
      </c>
      <c r="O91">
        <v>3</v>
      </c>
      <c r="P91" t="str">
        <f ca="1">IFERROR(VLOOKUP(B91,Data[],4,FALSE),"")</f>
        <v>2026+</v>
      </c>
      <c r="Q91" t="str">
        <f ca="1">IF(all[[#This Row],[RAD/PACT]]="","",IF(OR(all[[#This Row],[RAD/PACT]]="2021-2025",all[[#This Row],[RAD/PACT]]="2019-2020"),"Yes",""))</f>
        <v/>
      </c>
      <c r="R91">
        <f>VLOOKUP(all[[#This Row],[DEVELOPMENT]],Data[],7,FALSE)</f>
        <v>710</v>
      </c>
      <c r="S91">
        <f>VLOOKUP(all[[#This Row],[DEVELOPMENT]],Data[],25,FALSE)</f>
        <v>0</v>
      </c>
      <c r="T91">
        <f>VLOOKUP(all[[#This Row],[DEVELOPMENT]],Data[],5,FALSE)</f>
        <v>14</v>
      </c>
      <c r="U91">
        <f>VLOOKUP(all[[#This Row],[DEVELOPMENT]],Data[],10,FALSE)</f>
        <v>14</v>
      </c>
      <c r="V91">
        <f>VLOOKUP(all[[#This Row],[DEVELOPMENT]],Data[],10,FALSE)</f>
        <v>14</v>
      </c>
      <c r="W91">
        <f>VLOOKUP(all[[#This Row],[DEVELOPMENT]],Data[],33,FALSE)</f>
        <v>2</v>
      </c>
      <c r="X91">
        <f>VLOOKUP(all[[#This Row],[DEVELOPMENT]],Data[],33,FALSE)</f>
        <v>2</v>
      </c>
      <c r="Y91">
        <f>VLOOKUP(all[[#This Row],[DEVELOPMENT]],Data[],28,FALSE)</f>
        <v>0</v>
      </c>
      <c r="Z91">
        <f>IF(all[[#This Row],['# Bulk Crushers]]=0,1,0)</f>
        <v>1</v>
      </c>
      <c r="AA91" s="5">
        <f ca="1">IFERROR(INDEX(FWD[],MATCH($B91,FWD[DEVELOPMENT],0),MATCH("ESTIMATE",FWD[#Headers],0)),0)</f>
        <v>1220302.5226499508</v>
      </c>
      <c r="AB91" s="5">
        <f ca="1">IFERROR(INDEX(EHDAll[],MATCH($B91,EHDAll[DEVELOPMENT],0),MATCH("ESTIMATE",EHDAll[#Headers],0)),0)</f>
        <v>118672.87026000003</v>
      </c>
      <c r="AC91" s="5">
        <f ca="1">IFERROR(INDEX(IntAll[],MATCH($B91,IntAll[DEVELOPMENT],0),MATCH("ESTIMATE",IntAll[#Headers],0)),0)</f>
        <v>1099615.125</v>
      </c>
      <c r="AD91" s="5">
        <f ca="1">IFERROR(INDEX(YardsAll[],MATCH($B91,YardsAll[DEVELOPMENT],0),MATCH("TOTAL ESTIMATE",YardsAll[#Headers],0)),0)</f>
        <v>2374003.9768875008</v>
      </c>
      <c r="AE91" s="99">
        <f t="shared" ca="1" si="1"/>
        <v>4812594.4947974514</v>
      </c>
      <c r="AF91" s="5"/>
    </row>
    <row r="92" spans="1:32">
      <c r="A92" s="101">
        <f>VLOOKUP(B92,Data[],24,FALSE)</f>
        <v>339</v>
      </c>
      <c r="B92" t="s">
        <v>245</v>
      </c>
      <c r="C92" t="str">
        <f>VLOOKUP(all[[#This Row],[DEVELOPMENT]],Data[],MATCH(all[[#Headers],[PROGRAM]],Data[#Headers],0),FALSE)</f>
        <v>FEDERAL</v>
      </c>
      <c r="D92" t="str">
        <f>VLOOKUP(B92,Data[],2,FALSE)</f>
        <v>BROOKLYN</v>
      </c>
      <c r="E92">
        <f>VLOOKUP(all[[#This Row],[DEVELOPMENT]],Data[],65,FALSE)</f>
        <v>55</v>
      </c>
      <c r="F92" t="e">
        <f>VLOOKUP(all[[#This Row],[DEVELOPMENT]],Data[],3,FALSE)</f>
        <v>#N/A</v>
      </c>
      <c r="G92" s="107" t="s">
        <v>228</v>
      </c>
      <c r="H92" t="s">
        <v>184</v>
      </c>
      <c r="I92">
        <f>VLOOKUP(all[[#This Row],[DEVELOPMENT]],Data[],34,FALSE)</f>
        <v>0</v>
      </c>
      <c r="J92" t="s">
        <v>184</v>
      </c>
      <c r="K92">
        <f>VLOOKUP(B92,Data[],8,FALSE)</f>
        <v>0</v>
      </c>
      <c r="L92" t="str">
        <f>VLOOKUP(all[[#This Row],[DEVELOPMENT]],Data[],61,FALSE)</f>
        <v>No</v>
      </c>
      <c r="M92">
        <f>VLOOKUP(B92,Data[],9,FALSE)</f>
        <v>0</v>
      </c>
      <c r="N92">
        <v>4</v>
      </c>
      <c r="O92">
        <v>3</v>
      </c>
      <c r="P92" t="str">
        <f ca="1">IFERROR(VLOOKUP(B92,Data[],4,FALSE),"")</f>
        <v>2022-2025</v>
      </c>
      <c r="Q92" t="str">
        <f ca="1">IF(all[[#This Row],[RAD/PACT]]="","",IF(OR(all[[#This Row],[RAD/PACT]]="2021-2025",all[[#This Row],[RAD/PACT]]="2019-2020"),"Yes",""))</f>
        <v/>
      </c>
      <c r="R92">
        <f>VLOOKUP(all[[#This Row],[DEVELOPMENT]],Data[],7,FALSE)</f>
        <v>148</v>
      </c>
      <c r="S92">
        <f>VLOOKUP(all[[#This Row],[DEVELOPMENT]],Data[],25,FALSE)</f>
        <v>0</v>
      </c>
      <c r="T92">
        <f>VLOOKUP(all[[#This Row],[DEVELOPMENT]],Data[],5,FALSE)</f>
        <v>5</v>
      </c>
      <c r="U92">
        <f>VLOOKUP(all[[#This Row],[DEVELOPMENT]],Data[],10,FALSE)</f>
        <v>0</v>
      </c>
      <c r="V92">
        <f>VLOOKUP(all[[#This Row],[DEVELOPMENT]],Data[],10,FALSE)</f>
        <v>0</v>
      </c>
      <c r="W92">
        <f>VLOOKUP(all[[#This Row],[DEVELOPMENT]],Data[],33,FALSE)</f>
        <v>0</v>
      </c>
      <c r="X92">
        <f>VLOOKUP(all[[#This Row],[DEVELOPMENT]],Data[],33,FALSE)</f>
        <v>0</v>
      </c>
      <c r="Y92">
        <f>VLOOKUP(all[[#This Row],[DEVELOPMENT]],Data[],28,FALSE)</f>
        <v>0</v>
      </c>
      <c r="Z92">
        <f>IF(all[[#This Row],['# Bulk Crushers]]=0,1,0)</f>
        <v>1</v>
      </c>
      <c r="AA92" s="5">
        <f ca="1">IFERROR(INDEX(FWD[],MATCH($B92,FWD[DEVELOPMENT],0),MATCH("ESTIMATE",FWD[#Headers],0)),0)</f>
        <v>254372.92021435595</v>
      </c>
      <c r="AB92" s="5">
        <f ca="1">IFERROR(INDEX(EHDAll[],MATCH($B92,EHDAll[DEVELOPMENT],0),MATCH("ESTIMATE",EHDAll[#Headers],0)),0)</f>
        <v>0</v>
      </c>
      <c r="AC92" s="5">
        <f ca="1">IFERROR(INDEX(IntAll[],MATCH($B92,IntAll[DEVELOPMENT],0),MATCH("ESTIMATE",IntAll[#Headers],0)),0)</f>
        <v>0</v>
      </c>
      <c r="AD92" s="5">
        <f ca="1">IFERROR(INDEX(YardsAll[],MATCH($B92,YardsAll[DEVELOPMENT],0),MATCH("TOTAL ESTIMATE",YardsAll[#Headers],0)),0)</f>
        <v>0</v>
      </c>
      <c r="AE92" s="99">
        <f t="shared" ca="1" si="1"/>
        <v>254372.92021435595</v>
      </c>
      <c r="AF92" s="5"/>
    </row>
    <row r="93" spans="1:32">
      <c r="A93" s="101">
        <f>VLOOKUP(B93,Data[],24,FALSE)</f>
        <v>365</v>
      </c>
      <c r="B93" t="s">
        <v>246</v>
      </c>
      <c r="C93" t="str">
        <f>VLOOKUP(all[[#This Row],[DEVELOPMENT]],Data[],MATCH(all[[#Headers],[PROGRAM]],Data[#Headers],0),FALSE)</f>
        <v>FEDERAL</v>
      </c>
      <c r="D93" t="str">
        <f>VLOOKUP(B93,Data[],2,FALSE)</f>
        <v>BROOKLYN</v>
      </c>
      <c r="E93">
        <f>VLOOKUP(all[[#This Row],[DEVELOPMENT]],Data[],65,FALSE)</f>
        <v>55</v>
      </c>
      <c r="F93" t="e">
        <f>VLOOKUP(all[[#This Row],[DEVELOPMENT]],Data[],3,FALSE)</f>
        <v>#N/A</v>
      </c>
      <c r="G93" s="107" t="s">
        <v>228</v>
      </c>
      <c r="H93" t="s">
        <v>184</v>
      </c>
      <c r="I93">
        <f>VLOOKUP(all[[#This Row],[DEVELOPMENT]],Data[],34,FALSE)</f>
        <v>0</v>
      </c>
      <c r="J93" t="s">
        <v>184</v>
      </c>
      <c r="K93" t="str">
        <f>VLOOKUP(B93,Data[],8,FALSE)</f>
        <v>Zone 4</v>
      </c>
      <c r="L93" t="str">
        <f>VLOOKUP(all[[#This Row],[DEVELOPMENT]],Data[],61,FALSE)</f>
        <v>No</v>
      </c>
      <c r="M93">
        <f>VLOOKUP(B93,Data[],9,FALSE)</f>
        <v>0</v>
      </c>
      <c r="N93">
        <v>4</v>
      </c>
      <c r="O93">
        <v>3</v>
      </c>
      <c r="P93" t="str">
        <f ca="1">IFERROR(VLOOKUP(B93,Data[],4,FALSE),"")</f>
        <v>2022-2025</v>
      </c>
      <c r="Q93" t="str">
        <f ca="1">IF(all[[#This Row],[RAD/PACT]]="","",IF(OR(all[[#This Row],[RAD/PACT]]="2021-2025",all[[#This Row],[RAD/PACT]]="2019-2020"),"Yes",""))</f>
        <v/>
      </c>
      <c r="R93">
        <f>VLOOKUP(all[[#This Row],[DEVELOPMENT]],Data[],7,FALSE)</f>
        <v>155</v>
      </c>
      <c r="S93">
        <f>VLOOKUP(all[[#This Row],[DEVELOPMENT]],Data[],25,FALSE)</f>
        <v>0</v>
      </c>
      <c r="T93">
        <f>VLOOKUP(all[[#This Row],[DEVELOPMENT]],Data[],5,FALSE)</f>
        <v>8</v>
      </c>
      <c r="U93">
        <f>VLOOKUP(all[[#This Row],[DEVELOPMENT]],Data[],10,FALSE)</f>
        <v>0</v>
      </c>
      <c r="V93">
        <f>VLOOKUP(all[[#This Row],[DEVELOPMENT]],Data[],10,FALSE)</f>
        <v>0</v>
      </c>
      <c r="W93">
        <f>VLOOKUP(all[[#This Row],[DEVELOPMENT]],Data[],33,FALSE)</f>
        <v>0</v>
      </c>
      <c r="X93">
        <f>VLOOKUP(all[[#This Row],[DEVELOPMENT]],Data[],33,FALSE)</f>
        <v>0</v>
      </c>
      <c r="Y93">
        <f>VLOOKUP(all[[#This Row],[DEVELOPMENT]],Data[],28,FALSE)</f>
        <v>0</v>
      </c>
      <c r="Z93">
        <f>IF(all[[#This Row],['# Bulk Crushers]]=0,1,0)</f>
        <v>1</v>
      </c>
      <c r="AA93" s="5">
        <f ca="1">IFERROR(INDEX(FWD[],MATCH($B93,FWD[DEVELOPMENT],0),MATCH("ESTIMATE",FWD[#Headers],0)),0)</f>
        <v>266404.07184611604</v>
      </c>
      <c r="AB93" s="5">
        <f ca="1">IFERROR(INDEX(EHDAll[],MATCH($B93,EHDAll[DEVELOPMENT],0),MATCH("ESTIMATE",EHDAll[#Headers],0)),0)</f>
        <v>0</v>
      </c>
      <c r="AC93" s="5">
        <f ca="1">IFERROR(INDEX(IntAll[],MATCH($B93,IntAll[DEVELOPMENT],0),MATCH("ESTIMATE",IntAll[#Headers],0)),0)</f>
        <v>0</v>
      </c>
      <c r="AD93" s="5">
        <f ca="1">IFERROR(INDEX(YardsAll[],MATCH($B93,YardsAll[DEVELOPMENT],0),MATCH("TOTAL ESTIMATE",YardsAll[#Headers],0)),0)</f>
        <v>0</v>
      </c>
      <c r="AE93" s="99">
        <f t="shared" ca="1" si="1"/>
        <v>266404.07184611604</v>
      </c>
      <c r="AF93" s="5"/>
    </row>
    <row r="94" spans="1:32">
      <c r="A94" s="101">
        <f>VLOOKUP(B94,Data[],24,FALSE)</f>
        <v>64</v>
      </c>
      <c r="B94" t="s">
        <v>112</v>
      </c>
      <c r="C94" t="str">
        <f>VLOOKUP(all[[#This Row],[DEVELOPMENT]],Data[],MATCH(all[[#Headers],[PROGRAM]],Data[#Headers],0),FALSE)</f>
        <v>FEDERAL</v>
      </c>
      <c r="D94" t="str">
        <f>VLOOKUP(B94,Data[],2,FALSE)</f>
        <v>MANHATTAN</v>
      </c>
      <c r="E94">
        <f>VLOOKUP(all[[#This Row],[DEVELOPMENT]],Data[],65,FALSE)</f>
        <v>68</v>
      </c>
      <c r="F94" t="e">
        <f>VLOOKUP(all[[#This Row],[DEVELOPMENT]],Data[],3,FALSE)</f>
        <v>#N/A</v>
      </c>
      <c r="G94" s="107" t="s">
        <v>228</v>
      </c>
      <c r="H94" t="s">
        <v>184</v>
      </c>
      <c r="I94">
        <f>VLOOKUP(all[[#This Row],[DEVELOPMENT]],Data[],34,FALSE)</f>
        <v>0</v>
      </c>
      <c r="J94" t="s">
        <v>184</v>
      </c>
      <c r="K94" t="str">
        <f>VLOOKUP(B94,Data[],8,FALSE)</f>
        <v>Zone 2</v>
      </c>
      <c r="L94" t="str">
        <f>VLOOKUP(all[[#This Row],[DEVELOPMENT]],Data[],61,FALSE)</f>
        <v>No</v>
      </c>
      <c r="M94">
        <f>VLOOKUP(B94,Data[],9,FALSE)</f>
        <v>3</v>
      </c>
      <c r="N94">
        <v>3</v>
      </c>
      <c r="O94">
        <v>3</v>
      </c>
      <c r="P94" t="str">
        <f ca="1">IFERROR(VLOOKUP(B94,Data[],4,FALSE),"")</f>
        <v>2026+</v>
      </c>
      <c r="Q94" t="str">
        <f ca="1">IF(all[[#This Row],[RAD/PACT]]="","",IF(OR(all[[#This Row],[RAD/PACT]]="2021-2025",all[[#This Row],[RAD/PACT]]="2019-2020"),"Yes",""))</f>
        <v/>
      </c>
      <c r="R94">
        <f>VLOOKUP(all[[#This Row],[DEVELOPMENT]],Data[],7,FALSE)</f>
        <v>1486</v>
      </c>
      <c r="S94">
        <f>VLOOKUP(all[[#This Row],[DEVELOPMENT]],Data[],25,FALSE)</f>
        <v>0</v>
      </c>
      <c r="T94">
        <f>VLOOKUP(all[[#This Row],[DEVELOPMENT]],Data[],5,FALSE)</f>
        <v>18</v>
      </c>
      <c r="U94">
        <f>VLOOKUP(all[[#This Row],[DEVELOPMENT]],Data[],10,FALSE)</f>
        <v>34</v>
      </c>
      <c r="V94">
        <f>VLOOKUP(all[[#This Row],[DEVELOPMENT]],Data[],10,FALSE)</f>
        <v>34</v>
      </c>
      <c r="W94">
        <f>VLOOKUP(all[[#This Row],[DEVELOPMENT]],Data[],33,FALSE)</f>
        <v>4</v>
      </c>
      <c r="X94">
        <f>VLOOKUP(all[[#This Row],[DEVELOPMENT]],Data[],33,FALSE)</f>
        <v>4</v>
      </c>
      <c r="Y94">
        <f>VLOOKUP(all[[#This Row],[DEVELOPMENT]],Data[],28,FALSE)</f>
        <v>0</v>
      </c>
      <c r="Z94">
        <f>IF(all[[#This Row],['# Bulk Crushers]]=0,1,0)</f>
        <v>1</v>
      </c>
      <c r="AA94" s="5">
        <f ca="1">IFERROR(INDEX(FWD[],MATCH($B94,FWD[DEVELOPMENT],0),MATCH("ESTIMATE",FWD[#Headers],0)),0)</f>
        <v>2554041.6178279254</v>
      </c>
      <c r="AB94" s="5">
        <f ca="1">IFERROR(INDEX(EHDAll[],MATCH($B94,EHDAll[DEVELOPMENT],0),MATCH("ESTIMATE",EHDAll[#Headers],0)),0)</f>
        <v>261660.294765</v>
      </c>
      <c r="AC94" s="5">
        <f ca="1">IFERROR(INDEX(IntAll[],MATCH($B94,IntAll[DEVELOPMENT],0),MATCH("ESTIMATE",IntAll[#Headers],0)),0)</f>
        <v>2370197.375</v>
      </c>
      <c r="AD94" s="5">
        <f ca="1">IFERROR(INDEX(YardsAll[],MATCH($B94,YardsAll[DEVELOPMENT],0),MATCH("TOTAL ESTIMATE",YardsAll[#Headers],0)),0)</f>
        <v>3053597.1386819999</v>
      </c>
      <c r="AE94" s="99">
        <f t="shared" ca="1" si="1"/>
        <v>8239496.4262749255</v>
      </c>
      <c r="AF94" s="5"/>
    </row>
    <row r="95" spans="1:32">
      <c r="A95" s="101">
        <f>VLOOKUP(B95,Data[],24,FALSE)</f>
        <v>17</v>
      </c>
      <c r="B95" t="s">
        <v>83</v>
      </c>
      <c r="C95" t="str">
        <f>VLOOKUP(all[[#This Row],[DEVELOPMENT]],Data[],MATCH(all[[#Headers],[PROGRAM]],Data[#Headers],0),FALSE)</f>
        <v>FEDERAL</v>
      </c>
      <c r="D95" t="str">
        <f>VLOOKUP(B95,Data[],2,FALSE)</f>
        <v>MANHATTAN</v>
      </c>
      <c r="E95">
        <f>VLOOKUP(all[[#This Row],[DEVELOPMENT]],Data[],65,FALSE)</f>
        <v>68</v>
      </c>
      <c r="F95" t="e">
        <f>VLOOKUP(all[[#This Row],[DEVELOPMENT]],Data[],3,FALSE)</f>
        <v>#N/A</v>
      </c>
      <c r="G95" s="107" t="s">
        <v>228</v>
      </c>
      <c r="H95" t="s">
        <v>184</v>
      </c>
      <c r="I95">
        <f>VLOOKUP(all[[#This Row],[DEVELOPMENT]],Data[],34,FALSE)</f>
        <v>0</v>
      </c>
      <c r="J95" t="s">
        <v>184</v>
      </c>
      <c r="K95" t="str">
        <f>VLOOKUP(B95,Data[],8,FALSE)</f>
        <v>Zone 2</v>
      </c>
      <c r="L95" t="str">
        <f>VLOOKUP(all[[#This Row],[DEVELOPMENT]],Data[],61,FALSE)</f>
        <v>No</v>
      </c>
      <c r="M95">
        <f>VLOOKUP(B95,Data[],9,FALSE)</f>
        <v>2</v>
      </c>
      <c r="N95">
        <v>3</v>
      </c>
      <c r="O95">
        <v>3</v>
      </c>
      <c r="P95" t="str">
        <f ca="1">IFERROR(VLOOKUP(B95,Data[],4,FALSE),"")</f>
        <v>2026+</v>
      </c>
      <c r="Q95" t="str">
        <f ca="1">IF(all[[#This Row],[RAD/PACT]]="","",IF(OR(all[[#This Row],[RAD/PACT]]="2021-2025",all[[#This Row],[RAD/PACT]]="2019-2020"),"Yes",""))</f>
        <v/>
      </c>
      <c r="R95">
        <f>VLOOKUP(all[[#This Row],[DEVELOPMENT]],Data[],7,FALSE)</f>
        <v>1296</v>
      </c>
      <c r="S95">
        <f>VLOOKUP(all[[#This Row],[DEVELOPMENT]],Data[],25,FALSE)</f>
        <v>0</v>
      </c>
      <c r="T95">
        <f>VLOOKUP(all[[#This Row],[DEVELOPMENT]],Data[],5,FALSE)</f>
        <v>10</v>
      </c>
      <c r="U95">
        <f>VLOOKUP(all[[#This Row],[DEVELOPMENT]],Data[],10,FALSE)</f>
        <v>17</v>
      </c>
      <c r="V95">
        <f>VLOOKUP(all[[#This Row],[DEVELOPMENT]],Data[],10,FALSE)</f>
        <v>17</v>
      </c>
      <c r="W95">
        <f>VLOOKUP(all[[#This Row],[DEVELOPMENT]],Data[],33,FALSE)</f>
        <v>2</v>
      </c>
      <c r="X95">
        <f>VLOOKUP(all[[#This Row],[DEVELOPMENT]],Data[],33,FALSE)</f>
        <v>2</v>
      </c>
      <c r="Y95">
        <f>VLOOKUP(all[[#This Row],[DEVELOPMENT]],Data[],28,FALSE)</f>
        <v>0</v>
      </c>
      <c r="Z95">
        <f>IF(all[[#This Row],['# Bulk Crushers]]=0,1,0)</f>
        <v>1</v>
      </c>
      <c r="AA95" s="5">
        <f ca="1">IFERROR(INDEX(FWD[],MATCH($B95,FWD[DEVELOPMENT],0),MATCH("ESTIMATE",FWD[#Headers],0)),0)</f>
        <v>2227481.7878230088</v>
      </c>
      <c r="AB95" s="5">
        <f ca="1">IFERROR(INDEX(EHDAll[],MATCH($B95,EHDAll[DEVELOPMENT],0),MATCH("ESTIMATE",EHDAll[#Headers],0)),0)</f>
        <v>126405.93950000001</v>
      </c>
      <c r="AC95" s="5">
        <f ca="1">IFERROR(INDEX(IntAll[],MATCH($B95,IntAll[DEVELOPMENT],0),MATCH("ESTIMATE",IntAll[#Headers],0)),0)</f>
        <v>1072487.5</v>
      </c>
      <c r="AD95" s="5">
        <f ca="1">IFERROR(INDEX(YardsAll[],MATCH($B95,YardsAll[DEVELOPMENT],0),MATCH("TOTAL ESTIMATE",YardsAll[#Headers],0)),0)</f>
        <v>2303288.9648100007</v>
      </c>
      <c r="AE95" s="99">
        <f t="shared" ca="1" si="1"/>
        <v>5729664.1921330094</v>
      </c>
      <c r="AF95" s="5"/>
    </row>
    <row r="96" spans="1:32">
      <c r="A96" s="101">
        <f>VLOOKUP(B96,Data[],24,FALSE)</f>
        <v>30</v>
      </c>
      <c r="B96" t="s">
        <v>131</v>
      </c>
      <c r="C96" t="str">
        <f>VLOOKUP(all[[#This Row],[DEVELOPMENT]],Data[],MATCH(all[[#Headers],[PROGRAM]],Data[#Headers],0),FALSE)</f>
        <v>FEDERAL</v>
      </c>
      <c r="D96" t="str">
        <f>VLOOKUP(B96,Data[],2,FALSE)</f>
        <v>MANHATTAN</v>
      </c>
      <c r="E96">
        <f>VLOOKUP(all[[#This Row],[DEVELOPMENT]],Data[],65,FALSE)</f>
        <v>68</v>
      </c>
      <c r="F96" t="e">
        <f>VLOOKUP(all[[#This Row],[DEVELOPMENT]],Data[],3,FALSE)</f>
        <v>#N/A</v>
      </c>
      <c r="G96" s="107" t="s">
        <v>228</v>
      </c>
      <c r="H96" t="s">
        <v>184</v>
      </c>
      <c r="I96">
        <f>VLOOKUP(all[[#This Row],[DEVELOPMENT]],Data[],34,FALSE)</f>
        <v>0</v>
      </c>
      <c r="J96" t="s">
        <v>184</v>
      </c>
      <c r="K96" t="str">
        <f>VLOOKUP(B96,Data[],8,FALSE)</f>
        <v>Zone 2</v>
      </c>
      <c r="L96" t="str">
        <f>VLOOKUP(all[[#This Row],[DEVELOPMENT]],Data[],61,FALSE)</f>
        <v>No</v>
      </c>
      <c r="M96">
        <f>VLOOKUP(B96,Data[],9,FALSE)</f>
        <v>2</v>
      </c>
      <c r="N96">
        <v>3</v>
      </c>
      <c r="O96">
        <v>3</v>
      </c>
      <c r="P96" t="str">
        <f ca="1">IFERROR(VLOOKUP(B96,Data[],4,FALSE),"")</f>
        <v/>
      </c>
      <c r="Q96" t="str">
        <f ca="1">IF(all[[#This Row],[RAD/PACT]]="","",IF(OR(all[[#This Row],[RAD/PACT]]="2021-2025",all[[#This Row],[RAD/PACT]]="2019-2020"),"Yes",""))</f>
        <v/>
      </c>
      <c r="R96">
        <f>VLOOKUP(all[[#This Row],[DEVELOPMENT]],Data[],7,FALSE)</f>
        <v>1377</v>
      </c>
      <c r="S96">
        <f>VLOOKUP(all[[#This Row],[DEVELOPMENT]],Data[],25,FALSE)</f>
        <v>0</v>
      </c>
      <c r="T96">
        <f>VLOOKUP(all[[#This Row],[DEVELOPMENT]],Data[],5,FALSE)</f>
        <v>10</v>
      </c>
      <c r="U96">
        <f>VLOOKUP(all[[#This Row],[DEVELOPMENT]],Data[],10,FALSE)</f>
        <v>10</v>
      </c>
      <c r="V96">
        <f>VLOOKUP(all[[#This Row],[DEVELOPMENT]],Data[],10,FALSE)</f>
        <v>10</v>
      </c>
      <c r="W96">
        <f>VLOOKUP(all[[#This Row],[DEVELOPMENT]],Data[],33,FALSE)</f>
        <v>2</v>
      </c>
      <c r="X96">
        <f>VLOOKUP(all[[#This Row],[DEVELOPMENT]],Data[],33,FALSE)</f>
        <v>2</v>
      </c>
      <c r="Y96">
        <f>VLOOKUP(all[[#This Row],[DEVELOPMENT]],Data[],28,FALSE)</f>
        <v>0</v>
      </c>
      <c r="Z96">
        <f>IF(all[[#This Row],['# Bulk Crushers]]=0,1,0)</f>
        <v>1</v>
      </c>
      <c r="AA96" s="5">
        <f ca="1">IFERROR(INDEX(FWD[],MATCH($B96,FWD[DEVELOPMENT],0),MATCH("ESTIMATE",FWD[#Headers],0)),0)</f>
        <v>2366699.3995619467</v>
      </c>
      <c r="AB96" s="5">
        <f ca="1">IFERROR(INDEX(EHDAll[],MATCH($B96,EHDAll[DEVELOPMENT],0),MATCH("ESTIMATE",EHDAll[#Headers],0)),0)</f>
        <v>74356.434999999998</v>
      </c>
      <c r="AC96" s="5">
        <f ca="1">IFERROR(INDEX(IntAll[],MATCH($B96,IntAll[DEVELOPMENT],0),MATCH("ESTIMATE",IntAll[#Headers],0)),0)</f>
        <v>630875</v>
      </c>
      <c r="AD96" s="5">
        <f ca="1">IFERROR(INDEX(YardsAll[],MATCH($B96,YardsAll[DEVELOPMENT],0),MATCH("TOTAL ESTIMATE",YardsAll[#Headers],0)),0)</f>
        <v>1552980.7909380002</v>
      </c>
      <c r="AE96" s="99">
        <f t="shared" ca="1" si="1"/>
        <v>4624911.625499947</v>
      </c>
      <c r="AF96" s="5"/>
    </row>
    <row r="97" spans="1:32">
      <c r="A97" s="101">
        <f>VLOOKUP(B97,Data[],24,FALSE)</f>
        <v>122</v>
      </c>
      <c r="B97" t="s">
        <v>37</v>
      </c>
      <c r="C97" t="str">
        <f>VLOOKUP(all[[#This Row],[DEVELOPMENT]],Data[],MATCH(all[[#Headers],[PROGRAM]],Data[#Headers],0),FALSE)</f>
        <v>FEDERAL</v>
      </c>
      <c r="D97" t="str">
        <f>VLOOKUP(B97,Data[],2,FALSE)</f>
        <v>BROOKLYN</v>
      </c>
      <c r="E97">
        <f>VLOOKUP(all[[#This Row],[DEVELOPMENT]],Data[],65,FALSE)</f>
        <v>57</v>
      </c>
      <c r="F97" t="e">
        <f>VLOOKUP(all[[#This Row],[DEVELOPMENT]],Data[],3,FALSE)</f>
        <v>#N/A</v>
      </c>
      <c r="G97" s="107" t="s">
        <v>228</v>
      </c>
      <c r="H97" t="s">
        <v>184</v>
      </c>
      <c r="I97">
        <f>VLOOKUP(all[[#This Row],[DEVELOPMENT]],Data[],34,FALSE)</f>
        <v>0</v>
      </c>
      <c r="J97" t="s">
        <v>184</v>
      </c>
      <c r="K97" t="str">
        <f>VLOOKUP(B97,Data[],8,FALSE)</f>
        <v>Zone 1</v>
      </c>
      <c r="L97" t="str">
        <f>VLOOKUP(all[[#This Row],[DEVELOPMENT]],Data[],61,FALSE)</f>
        <v>No</v>
      </c>
      <c r="M97">
        <f>VLOOKUP(B97,Data[],9,FALSE)</f>
        <v>2</v>
      </c>
      <c r="N97">
        <v>2</v>
      </c>
      <c r="O97">
        <v>3</v>
      </c>
      <c r="P97" t="str">
        <f ca="1">IFERROR(VLOOKUP(B97,Data[],4,FALSE),"")</f>
        <v/>
      </c>
      <c r="Q97" t="str">
        <f ca="1">IF(all[[#This Row],[RAD/PACT]]="","",IF(OR(all[[#This Row],[RAD/PACT]]="2021-2025",all[[#This Row],[RAD/PACT]]="2019-2020"),"Yes",""))</f>
        <v/>
      </c>
      <c r="R97">
        <f>VLOOKUP(all[[#This Row],[DEVELOPMENT]],Data[],7,FALSE)</f>
        <v>882</v>
      </c>
      <c r="S97" t="str">
        <f>VLOOKUP(all[[#This Row],[DEVELOPMENT]],Data[],25,FALSE)</f>
        <v>Newtown Creek</v>
      </c>
      <c r="T97">
        <f>VLOOKUP(all[[#This Row],[DEVELOPMENT]],Data[],5,FALSE)</f>
        <v>7</v>
      </c>
      <c r="U97">
        <f>VLOOKUP(all[[#This Row],[DEVELOPMENT]],Data[],10,FALSE)</f>
        <v>7</v>
      </c>
      <c r="V97">
        <f>VLOOKUP(all[[#This Row],[DEVELOPMENT]],Data[],10,FALSE)</f>
        <v>7</v>
      </c>
      <c r="W97">
        <f>VLOOKUP(all[[#This Row],[DEVELOPMENT]],Data[],33,FALSE)</f>
        <v>2</v>
      </c>
      <c r="X97">
        <f>VLOOKUP(all[[#This Row],[DEVELOPMENT]],Data[],33,FALSE)</f>
        <v>2</v>
      </c>
      <c r="Y97">
        <f>VLOOKUP(all[[#This Row],[DEVELOPMENT]],Data[],28,FALSE)</f>
        <v>0</v>
      </c>
      <c r="Z97">
        <f>IF(all[[#This Row],['# Bulk Crushers]]=0,1,0)</f>
        <v>1</v>
      </c>
      <c r="AA97" s="5">
        <f ca="1">IFERROR(INDEX(FWD[],MATCH($B97,FWD[DEVELOPMENT],0),MATCH("ESTIMATE",FWD[#Headers],0)),0)</f>
        <v>1515925.1056017699</v>
      </c>
      <c r="AB97" s="5">
        <f>IFERROR(INDEX(EHDAll[],MATCH($B97,EHDAll[DEVELOPMENT],0),MATCH("ESTIMATE",EHDAll[#Headers],0)),0)</f>
        <v>0</v>
      </c>
      <c r="AC97" s="5">
        <f ca="1">IFERROR(INDEX(IntAll[],MATCH($B97,IntAll[DEVELOPMENT],0),MATCH("ESTIMATE",IntAll[#Headers],0)),0)</f>
        <v>441612.5</v>
      </c>
      <c r="AD97" s="5">
        <f ca="1">IFERROR(INDEX(YardsAll[],MATCH($B97,YardsAll[DEVELOPMENT],0),MATCH("TOTAL ESTIMATE",YardsAll[#Headers],0)),0)</f>
        <v>1505301.5561285003</v>
      </c>
      <c r="AE97" s="99">
        <f t="shared" ca="1" si="1"/>
        <v>3462839.1617302699</v>
      </c>
      <c r="AF97" s="5"/>
    </row>
    <row r="98" spans="1:32">
      <c r="A98" s="101">
        <f>VLOOKUP(B98,Data[],24,FALSE)</f>
        <v>364</v>
      </c>
      <c r="B98" t="s">
        <v>247</v>
      </c>
      <c r="C98" t="str">
        <f>VLOOKUP(all[[#This Row],[DEVELOPMENT]],Data[],MATCH(all[[#Headers],[PROGRAM]],Data[#Headers],0),FALSE)</f>
        <v>FEDERAL</v>
      </c>
      <c r="D98" t="str">
        <f>VLOOKUP(B98,Data[],2,FALSE)</f>
        <v>MANHATTAN</v>
      </c>
      <c r="E98">
        <f>VLOOKUP(all[[#This Row],[DEVELOPMENT]],Data[],65,FALSE)</f>
        <v>74</v>
      </c>
      <c r="F98" t="e">
        <f>VLOOKUP(all[[#This Row],[DEVELOPMENT]],Data[],3,FALSE)</f>
        <v>#N/A</v>
      </c>
      <c r="G98" s="107" t="s">
        <v>228</v>
      </c>
      <c r="H98" t="s">
        <v>184</v>
      </c>
      <c r="I98">
        <f>VLOOKUP(all[[#This Row],[DEVELOPMENT]],Data[],34,FALSE)</f>
        <v>0</v>
      </c>
      <c r="J98" t="s">
        <v>184</v>
      </c>
      <c r="K98" t="str">
        <f>VLOOKUP(B98,Data[],8,FALSE)</f>
        <v>Zone 1</v>
      </c>
      <c r="L98" t="str">
        <f>VLOOKUP(all[[#This Row],[DEVELOPMENT]],Data[],61,FALSE)</f>
        <v>No</v>
      </c>
      <c r="M98">
        <f>VLOOKUP(B98,Data[],9,FALSE)</f>
        <v>4</v>
      </c>
      <c r="N98">
        <v>4</v>
      </c>
      <c r="O98">
        <v>3</v>
      </c>
      <c r="P98" t="str">
        <f ca="1">IFERROR(VLOOKUP(B98,Data[],4,FALSE),"")</f>
        <v/>
      </c>
      <c r="Q98" t="str">
        <f ca="1">IF(all[[#This Row],[RAD/PACT]]="","",IF(OR(all[[#This Row],[RAD/PACT]]="2021-2025",all[[#This Row],[RAD/PACT]]="2019-2020"),"Yes",""))</f>
        <v/>
      </c>
      <c r="R98">
        <f>VLOOKUP(all[[#This Row],[DEVELOPMENT]],Data[],7,FALSE)</f>
        <v>56</v>
      </c>
      <c r="S98" t="str">
        <f>VLOOKUP(all[[#This Row],[DEVELOPMENT]],Data[],25,FALSE)</f>
        <v>Newtown Creek</v>
      </c>
      <c r="T98">
        <f>VLOOKUP(all[[#This Row],[DEVELOPMENT]],Data[],5,FALSE)</f>
        <v>2</v>
      </c>
      <c r="U98">
        <f>VLOOKUP(all[[#This Row],[DEVELOPMENT]],Data[],10,FALSE)</f>
        <v>0</v>
      </c>
      <c r="V98">
        <f>VLOOKUP(all[[#This Row],[DEVELOPMENT]],Data[],10,FALSE)</f>
        <v>0</v>
      </c>
      <c r="W98">
        <f>VLOOKUP(all[[#This Row],[DEVELOPMENT]],Data[],33,FALSE)</f>
        <v>0</v>
      </c>
      <c r="X98">
        <f>VLOOKUP(all[[#This Row],[DEVELOPMENT]],Data[],33,FALSE)</f>
        <v>0</v>
      </c>
      <c r="Y98">
        <f>VLOOKUP(all[[#This Row],[DEVELOPMENT]],Data[],28,FALSE)</f>
        <v>0</v>
      </c>
      <c r="Z98">
        <f>IF(all[[#This Row],['# Bulk Crushers]]=0,1,0)</f>
        <v>1</v>
      </c>
      <c r="AA98" s="5">
        <f ca="1">IFERROR(INDEX(FWD[],MATCH($B98,FWD[DEVELOPMENT],0),MATCH("ESTIMATE",FWD[#Headers],0)),0)</f>
        <v>96249.213054080639</v>
      </c>
      <c r="AB98" s="5">
        <f ca="1">IFERROR(INDEX(EHDAll[],MATCH($B98,EHDAll[DEVELOPMENT],0),MATCH("ESTIMATE",EHDAll[#Headers],0)),0)</f>
        <v>0</v>
      </c>
      <c r="AC98" s="5">
        <f ca="1">IFERROR(INDEX(IntAll[],MATCH($B98,IntAll[DEVELOPMENT],0),MATCH("ESTIMATE",IntAll[#Headers],0)),0)</f>
        <v>0</v>
      </c>
      <c r="AD98" s="5">
        <f ca="1">IFERROR(INDEX(YardsAll[],MATCH($B98,YardsAll[DEVELOPMENT],0),MATCH("TOTAL ESTIMATE",YardsAll[#Headers],0)),0)</f>
        <v>2123866.2609500005</v>
      </c>
      <c r="AE98" s="99">
        <f t="shared" ca="1" si="1"/>
        <v>2220115.474004081</v>
      </c>
      <c r="AF98" s="5"/>
    </row>
    <row r="99" spans="1:32">
      <c r="A99" s="101">
        <f>VLOOKUP(B99,Data[],24,FALSE)</f>
        <v>358</v>
      </c>
      <c r="B99" t="s">
        <v>248</v>
      </c>
      <c r="C99" t="str">
        <f>VLOOKUP(all[[#This Row],[DEVELOPMENT]],Data[],MATCH(all[[#Headers],[PROGRAM]],Data[#Headers],0),FALSE)</f>
        <v>FEDERAL</v>
      </c>
      <c r="D99" t="str">
        <f>VLOOKUP(B99,Data[],2,FALSE)</f>
        <v>BROOKLYN</v>
      </c>
      <c r="E99">
        <f>VLOOKUP(all[[#This Row],[DEVELOPMENT]],Data[],65,FALSE)</f>
        <v>56</v>
      </c>
      <c r="F99" t="e">
        <f>VLOOKUP(all[[#This Row],[DEVELOPMENT]],Data[],3,FALSE)</f>
        <v>#N/A</v>
      </c>
      <c r="G99" s="107" t="s">
        <v>228</v>
      </c>
      <c r="H99" t="s">
        <v>184</v>
      </c>
      <c r="I99">
        <f>VLOOKUP(all[[#This Row],[DEVELOPMENT]],Data[],34,FALSE)</f>
        <v>0</v>
      </c>
      <c r="J99" t="s">
        <v>184</v>
      </c>
      <c r="K99">
        <f>VLOOKUP(B99,Data[],8,FALSE)</f>
        <v>0</v>
      </c>
      <c r="L99" t="str">
        <f>VLOOKUP(all[[#This Row],[DEVELOPMENT]],Data[],61,FALSE)</f>
        <v>No</v>
      </c>
      <c r="M99">
        <f>VLOOKUP(B99,Data[],9,FALSE)</f>
        <v>0</v>
      </c>
      <c r="N99">
        <v>2</v>
      </c>
      <c r="O99">
        <v>3</v>
      </c>
      <c r="P99">
        <f ca="1">IFERROR(VLOOKUP(B99,Data[],4,FALSE),"")</f>
        <v>2019</v>
      </c>
      <c r="Q99" t="str">
        <f ca="1">IF(all[[#This Row],[RAD/PACT]]="","",IF(OR(all[[#This Row],[RAD/PACT]]="2021-2025",all[[#This Row],[RAD/PACT]]="2019-2020"),"Yes",""))</f>
        <v/>
      </c>
      <c r="R99">
        <f>VLOOKUP(all[[#This Row],[DEVELOPMENT]],Data[],7,FALSE)</f>
        <v>30</v>
      </c>
      <c r="S99">
        <f>VLOOKUP(all[[#This Row],[DEVELOPMENT]],Data[],25,FALSE)</f>
        <v>0</v>
      </c>
      <c r="T99">
        <f>VLOOKUP(all[[#This Row],[DEVELOPMENT]],Data[],5,FALSE)</f>
        <v>1</v>
      </c>
      <c r="U99">
        <f>VLOOKUP(all[[#This Row],[DEVELOPMENT]],Data[],10,FALSE)</f>
        <v>0</v>
      </c>
      <c r="V99">
        <f>VLOOKUP(all[[#This Row],[DEVELOPMENT]],Data[],10,FALSE)</f>
        <v>0</v>
      </c>
      <c r="W99">
        <f>VLOOKUP(all[[#This Row],[DEVELOPMENT]],Data[],33,FALSE)</f>
        <v>0</v>
      </c>
      <c r="X99">
        <f>VLOOKUP(all[[#This Row],[DEVELOPMENT]],Data[],33,FALSE)</f>
        <v>0</v>
      </c>
      <c r="Y99">
        <f>VLOOKUP(all[[#This Row],[DEVELOPMENT]],Data[],28,FALSE)</f>
        <v>0</v>
      </c>
      <c r="Z99">
        <f>IF(all[[#This Row],['# Bulk Crushers]]=0,1,0)</f>
        <v>1</v>
      </c>
      <c r="AA99" s="5">
        <f ca="1">IFERROR(INDEX(FWD[],MATCH($B99,FWD[DEVELOPMENT],0),MATCH("ESTIMATE",FWD[#Headers],0)),0)</f>
        <v>51562.078421828912</v>
      </c>
      <c r="AB99" s="5">
        <f ca="1">IFERROR(INDEX(EHDAll[],MATCH($B99,EHDAll[DEVELOPMENT],0),MATCH("ESTIMATE",EHDAll[#Headers],0)),0)</f>
        <v>0</v>
      </c>
      <c r="AC99" s="5">
        <f ca="1">IFERROR(INDEX(IntAll[],MATCH($B99,IntAll[DEVELOPMENT],0),MATCH("ESTIMATE",IntAll[#Headers],0)),0)</f>
        <v>0</v>
      </c>
      <c r="AD99" s="5">
        <f ca="1">IFERROR(INDEX(YardsAll[],MATCH($B99,YardsAll[DEVELOPMENT],0),MATCH("TOTAL ESTIMATE",YardsAll[#Headers],0)),0)</f>
        <v>0</v>
      </c>
      <c r="AE99" s="99">
        <f t="shared" ca="1" si="1"/>
        <v>51562.078421828912</v>
      </c>
      <c r="AF99" s="5"/>
    </row>
    <row r="100" spans="1:32">
      <c r="A100" s="101">
        <f>VLOOKUP(B100,Data[],24,FALSE)</f>
        <v>277</v>
      </c>
      <c r="B100" t="s">
        <v>92</v>
      </c>
      <c r="C100" t="str">
        <f>VLOOKUP(all[[#This Row],[DEVELOPMENT]],Data[],MATCH(all[[#Headers],[PROGRAM]],Data[#Headers],0),FALSE)</f>
        <v>FEDERAL</v>
      </c>
      <c r="D100" t="str">
        <f>VLOOKUP(B100,Data[],2,FALSE)</f>
        <v>MANHATTAN</v>
      </c>
      <c r="E100">
        <f>VLOOKUP(all[[#This Row],[DEVELOPMENT]],Data[],65,FALSE)</f>
        <v>68</v>
      </c>
      <c r="F100" t="e">
        <f>VLOOKUP(all[[#This Row],[DEVELOPMENT]],Data[],3,FALSE)</f>
        <v>#N/A</v>
      </c>
      <c r="G100" s="107" t="s">
        <v>228</v>
      </c>
      <c r="H100" t="s">
        <v>184</v>
      </c>
      <c r="I100">
        <f>VLOOKUP(all[[#This Row],[DEVELOPMENT]],Data[],34,FALSE)</f>
        <v>0</v>
      </c>
      <c r="J100" t="s">
        <v>184</v>
      </c>
      <c r="K100" t="str">
        <f>VLOOKUP(B100,Data[],8,FALSE)</f>
        <v>Zone 2</v>
      </c>
      <c r="L100" t="str">
        <f>VLOOKUP(all[[#This Row],[DEVELOPMENT]],Data[],61,FALSE)</f>
        <v>No</v>
      </c>
      <c r="M100">
        <f>VLOOKUP(B100,Data[],9,FALSE)</f>
        <v>1</v>
      </c>
      <c r="N100">
        <v>2</v>
      </c>
      <c r="O100">
        <v>3</v>
      </c>
      <c r="P100" t="str">
        <f ca="1">IFERROR(VLOOKUP(B100,Data[],4,FALSE),"")</f>
        <v/>
      </c>
      <c r="Q100" t="str">
        <f ca="1">IF(all[[#This Row],[RAD/PACT]]="","",IF(OR(all[[#This Row],[RAD/PACT]]="2021-2025",all[[#This Row],[RAD/PACT]]="2019-2020"),"Yes",""))</f>
        <v/>
      </c>
      <c r="R100">
        <f>VLOOKUP(all[[#This Row],[DEVELOPMENT]],Data[],7,FALSE)</f>
        <v>97</v>
      </c>
      <c r="S100">
        <f>VLOOKUP(all[[#This Row],[DEVELOPMENT]],Data[],25,FALSE)</f>
        <v>0</v>
      </c>
      <c r="T100">
        <f>VLOOKUP(all[[#This Row],[DEVELOPMENT]],Data[],5,FALSE)</f>
        <v>1</v>
      </c>
      <c r="U100">
        <f>VLOOKUP(all[[#This Row],[DEVELOPMENT]],Data[],10,FALSE)</f>
        <v>1</v>
      </c>
      <c r="V100">
        <f>VLOOKUP(all[[#This Row],[DEVELOPMENT]],Data[],10,FALSE)</f>
        <v>1</v>
      </c>
      <c r="W100">
        <f>VLOOKUP(all[[#This Row],[DEVELOPMENT]],Data[],33,FALSE)</f>
        <v>0</v>
      </c>
      <c r="X100">
        <f>VLOOKUP(all[[#This Row],[DEVELOPMENT]],Data[],33,FALSE)</f>
        <v>0</v>
      </c>
      <c r="Y100">
        <f>VLOOKUP(all[[#This Row],[DEVELOPMENT]],Data[],28,FALSE)</f>
        <v>0</v>
      </c>
      <c r="Z100">
        <f>IF(all[[#This Row],['# Bulk Crushers]]=0,1,0)</f>
        <v>1</v>
      </c>
      <c r="AA100" s="5">
        <f ca="1">IFERROR(INDEX(FWD[],MATCH($B100,FWD[DEVELOPMENT],0),MATCH("ESTIMATE",FWD[#Headers],0)),0)</f>
        <v>166717.38689724682</v>
      </c>
      <c r="AB100" s="5">
        <f ca="1">IFERROR(INDEX(EHDAll[],MATCH($B100,EHDAll[DEVELOPMENT],0),MATCH("ESTIMATE",EHDAll[#Headers],0)),0)</f>
        <v>7435.6435000000001</v>
      </c>
      <c r="AC100" s="5">
        <f ca="1">IFERROR(INDEX(IntAll[],MATCH($B100,IntAll[DEVELOPMENT],0),MATCH("ESTIMATE",IntAll[#Headers],0)),0)</f>
        <v>65295.562499999993</v>
      </c>
      <c r="AD100" s="5">
        <f ca="1">IFERROR(INDEX(YardsAll[],MATCH($B100,YardsAll[DEVELOPMENT],0),MATCH("TOTAL ESTIMATE",YardsAll[#Headers],0)),0)</f>
        <v>1997338.0581700003</v>
      </c>
      <c r="AE100" s="99">
        <f t="shared" ca="1" si="1"/>
        <v>2236786.6510672471</v>
      </c>
      <c r="AF100" s="5"/>
    </row>
    <row r="101" spans="1:32">
      <c r="A101" s="101">
        <f>VLOOKUP(B101,Data[],24,FALSE)</f>
        <v>89</v>
      </c>
      <c r="B101" t="s">
        <v>249</v>
      </c>
      <c r="C101" t="str">
        <f>VLOOKUP(all[[#This Row],[DEVELOPMENT]],Data[],MATCH(all[[#Headers],[PROGRAM]],Data[#Headers],0),FALSE)</f>
        <v>FEDERAL</v>
      </c>
      <c r="D101" t="str">
        <f>VLOOKUP(B101,Data[],2,FALSE)</f>
        <v>BROOKLYN</v>
      </c>
      <c r="E101">
        <f>VLOOKUP(all[[#This Row],[DEVELOPMENT]],Data[],65,FALSE)</f>
        <v>60</v>
      </c>
      <c r="F101" t="e">
        <f>VLOOKUP(all[[#This Row],[DEVELOPMENT]],Data[],3,FALSE)</f>
        <v>#N/A</v>
      </c>
      <c r="G101" s="107" t="s">
        <v>228</v>
      </c>
      <c r="H101" t="s">
        <v>184</v>
      </c>
      <c r="I101">
        <f>VLOOKUP(all[[#This Row],[DEVELOPMENT]],Data[],34,FALSE)</f>
        <v>0</v>
      </c>
      <c r="J101" t="s">
        <v>184</v>
      </c>
      <c r="K101">
        <f>VLOOKUP(B101,Data[],8,FALSE)</f>
        <v>0</v>
      </c>
      <c r="L101" t="str">
        <f>VLOOKUP(all[[#This Row],[DEVELOPMENT]],Data[],61,FALSE)</f>
        <v>No</v>
      </c>
      <c r="M101">
        <f>VLOOKUP(B101,Data[],9,FALSE)</f>
        <v>0</v>
      </c>
      <c r="N101">
        <v>3</v>
      </c>
      <c r="O101">
        <v>3</v>
      </c>
      <c r="P101" t="str">
        <f ca="1">IFERROR(VLOOKUP(B101,Data[],4,FALSE),"")</f>
        <v/>
      </c>
      <c r="Q101" t="str">
        <f ca="1">IF(all[[#This Row],[RAD/PACT]]="","",IF(OR(all[[#This Row],[RAD/PACT]]="2021-2025",all[[#This Row],[RAD/PACT]]="2019-2020"),"Yes",""))</f>
        <v/>
      </c>
      <c r="R101">
        <f>VLOOKUP(all[[#This Row],[DEVELOPMENT]],Data[],7,FALSE)</f>
        <v>1500</v>
      </c>
      <c r="S101">
        <f>VLOOKUP(all[[#This Row],[DEVELOPMENT]],Data[],25,FALSE)</f>
        <v>0</v>
      </c>
      <c r="T101">
        <f>VLOOKUP(all[[#This Row],[DEVELOPMENT]],Data[],5,FALSE)</f>
        <v>22</v>
      </c>
      <c r="U101">
        <f>VLOOKUP(all[[#This Row],[DEVELOPMENT]],Data[],10,FALSE)</f>
        <v>22</v>
      </c>
      <c r="V101">
        <f>VLOOKUP(all[[#This Row],[DEVELOPMENT]],Data[],10,FALSE)</f>
        <v>22</v>
      </c>
      <c r="W101">
        <f>VLOOKUP(all[[#This Row],[DEVELOPMENT]],Data[],33,FALSE)</f>
        <v>4</v>
      </c>
      <c r="X101">
        <f>VLOOKUP(all[[#This Row],[DEVELOPMENT]],Data[],33,FALSE)</f>
        <v>4</v>
      </c>
      <c r="Y101">
        <f>VLOOKUP(all[[#This Row],[DEVELOPMENT]],Data[],28,FALSE)</f>
        <v>0</v>
      </c>
      <c r="Z101">
        <f>IF(all[[#This Row],['# Bulk Crushers]]=0,1,0)</f>
        <v>1</v>
      </c>
      <c r="AA101" s="5">
        <f ca="1">IFERROR(INDEX(FWD[],MATCH($B101,FWD[DEVELOPMENT],0),MATCH("ESTIMATE",FWD[#Headers],0)),0)</f>
        <v>2578103.9210914457</v>
      </c>
      <c r="AB101" s="5">
        <f ca="1">IFERROR(INDEX(EHDAll[],MATCH($B101,EHDAll[DEVELOPMENT],0),MATCH("ESTIMATE",EHDAll[#Headers],0)),0)</f>
        <v>186485.93898000004</v>
      </c>
      <c r="AC101" s="5">
        <f ca="1">IFERROR(INDEX(IntAll[],MATCH($B101,IntAll[DEVELOPMENT],0),MATCH("ESTIMATE",IntAll[#Headers],0)),0)</f>
        <v>1387925</v>
      </c>
      <c r="AD101" s="5">
        <f ca="1">IFERROR(INDEX(YardsAll[],MATCH($B101,YardsAll[DEVELOPMENT],0),MATCH("TOTAL ESTIMATE",YardsAll[#Headers],0)),0)</f>
        <v>1552980.7909380002</v>
      </c>
      <c r="AE101" s="99">
        <f t="shared" ca="1" si="1"/>
        <v>5705495.651009446</v>
      </c>
      <c r="AF101" s="5"/>
    </row>
    <row r="102" spans="1:32">
      <c r="A102" s="101">
        <f>VLOOKUP(B102,Data[],24,FALSE)</f>
        <v>340</v>
      </c>
      <c r="B102" t="s">
        <v>94</v>
      </c>
      <c r="C102" t="str">
        <f>VLOOKUP(all[[#This Row],[DEVELOPMENT]],Data[],MATCH(all[[#Headers],[PROGRAM]],Data[#Headers],0),FALSE)</f>
        <v>FEDERAL</v>
      </c>
      <c r="D102" t="str">
        <f>VLOOKUP(B102,Data[],2,FALSE)</f>
        <v>MANHATTAN</v>
      </c>
      <c r="E102">
        <f>VLOOKUP(all[[#This Row],[DEVELOPMENT]],Data[],65,FALSE)</f>
        <v>70</v>
      </c>
      <c r="F102" t="e">
        <f>VLOOKUP(all[[#This Row],[DEVELOPMENT]],Data[],3,FALSE)</f>
        <v>#N/A</v>
      </c>
      <c r="G102" s="107" t="s">
        <v>228</v>
      </c>
      <c r="H102" t="s">
        <v>184</v>
      </c>
      <c r="I102">
        <f>VLOOKUP(all[[#This Row],[DEVELOPMENT]],Data[],34,FALSE)</f>
        <v>0</v>
      </c>
      <c r="J102" t="s">
        <v>184</v>
      </c>
      <c r="K102" t="str">
        <f>VLOOKUP(B102,Data[],8,FALSE)</f>
        <v>Zone 3</v>
      </c>
      <c r="L102" t="str">
        <f>VLOOKUP(all[[#This Row],[DEVELOPMENT]],Data[],61,FALSE)</f>
        <v>No</v>
      </c>
      <c r="M102">
        <f>VLOOKUP(B102,Data[],9,FALSE)</f>
        <v>4</v>
      </c>
      <c r="N102">
        <v>3</v>
      </c>
      <c r="O102">
        <v>3</v>
      </c>
      <c r="P102" t="str">
        <f ca="1">IFERROR(VLOOKUP(B102,Data[],4,FALSE),"")</f>
        <v>2020-2021</v>
      </c>
      <c r="Q102" t="str">
        <f ca="1">IF(all[[#This Row],[RAD/PACT]]="","",IF(OR(all[[#This Row],[RAD/PACT]]="2021-2025",all[[#This Row],[RAD/PACT]]="2019-2020"),"Yes",""))</f>
        <v/>
      </c>
      <c r="R102">
        <f>VLOOKUP(all[[#This Row],[DEVELOPMENT]],Data[],7,FALSE)</f>
        <v>125</v>
      </c>
      <c r="S102">
        <f>VLOOKUP(all[[#This Row],[DEVELOPMENT]],Data[],25,FALSE)</f>
        <v>0</v>
      </c>
      <c r="T102">
        <f>VLOOKUP(all[[#This Row],[DEVELOPMENT]],Data[],5,FALSE)</f>
        <v>1</v>
      </c>
      <c r="U102">
        <f>VLOOKUP(all[[#This Row],[DEVELOPMENT]],Data[],10,FALSE)</f>
        <v>1</v>
      </c>
      <c r="V102">
        <f>VLOOKUP(all[[#This Row],[DEVELOPMENT]],Data[],10,FALSE)</f>
        <v>1</v>
      </c>
      <c r="W102">
        <f>VLOOKUP(all[[#This Row],[DEVELOPMENT]],Data[],33,FALSE)</f>
        <v>0</v>
      </c>
      <c r="X102">
        <f>VLOOKUP(all[[#This Row],[DEVELOPMENT]],Data[],33,FALSE)</f>
        <v>0</v>
      </c>
      <c r="Y102">
        <f>VLOOKUP(all[[#This Row],[DEVELOPMENT]],Data[],28,FALSE)</f>
        <v>0</v>
      </c>
      <c r="Z102">
        <f>IF(all[[#This Row],['# Bulk Crushers]]=0,1,0)</f>
        <v>1</v>
      </c>
      <c r="AA102" s="5">
        <f ca="1">IFERROR(INDEX(FWD[],MATCH($B102,FWD[DEVELOPMENT],0),MATCH("ESTIMATE",FWD[#Headers],0)),0)</f>
        <v>214841.99342428712</v>
      </c>
      <c r="AB102" s="5">
        <f ca="1">IFERROR(INDEX(EHDAll[],MATCH($B102,EHDAll[DEVELOPMENT],0),MATCH("ESTIMATE",EHDAll[#Headers],0)),0)</f>
        <v>7695.8910225</v>
      </c>
      <c r="AC102" s="5">
        <f ca="1">IFERROR(INDEX(IntAll[],MATCH($B102,IntAll[DEVELOPMENT],0),MATCH("ESTIMATE",IntAll[#Headers],0)),0)</f>
        <v>0</v>
      </c>
      <c r="AD102" s="5">
        <f ca="1">IFERROR(INDEX(YardsAll[],MATCH($B102,YardsAll[DEVELOPMENT],0),MATCH("TOTAL ESTIMATE",YardsAll[#Headers],0)),0)</f>
        <v>0</v>
      </c>
      <c r="AE102" s="99">
        <f t="shared" ca="1" si="1"/>
        <v>222537.88444678712</v>
      </c>
      <c r="AF102" s="5"/>
    </row>
    <row r="103" spans="1:32">
      <c r="A103" s="101">
        <f>VLOOKUP(B103,Data[],24,FALSE)</f>
        <v>515</v>
      </c>
      <c r="B103" t="s">
        <v>250</v>
      </c>
      <c r="C103" t="str">
        <f>VLOOKUP(all[[#This Row],[DEVELOPMENT]],Data[],MATCH(all[[#Headers],[PROGRAM]],Data[#Headers],0),FALSE)</f>
        <v>FEDERAL</v>
      </c>
      <c r="D103" t="str">
        <f>VLOOKUP(B103,Data[],2,FALSE)</f>
        <v>MANHATTAN</v>
      </c>
      <c r="E103">
        <f>VLOOKUP(all[[#This Row],[DEVELOPMENT]],Data[],65,FALSE)</f>
        <v>69</v>
      </c>
      <c r="F103" t="e">
        <f>VLOOKUP(all[[#This Row],[DEVELOPMENT]],Data[],3,FALSE)</f>
        <v>#N/A</v>
      </c>
      <c r="G103" s="107" t="s">
        <v>228</v>
      </c>
      <c r="H103" t="s">
        <v>184</v>
      </c>
      <c r="I103">
        <f>VLOOKUP(all[[#This Row],[DEVELOPMENT]],Data[],34,FALSE)</f>
        <v>0</v>
      </c>
      <c r="J103" t="s">
        <v>184</v>
      </c>
      <c r="K103" t="str">
        <f>VLOOKUP(B103,Data[],8,FALSE)</f>
        <v>Zone 3</v>
      </c>
      <c r="L103" t="str">
        <f>VLOOKUP(all[[#This Row],[DEVELOPMENT]],Data[],61,FALSE)</f>
        <v>No</v>
      </c>
      <c r="M103">
        <f>VLOOKUP(B103,Data[],9,FALSE)</f>
        <v>0</v>
      </c>
      <c r="N103">
        <v>4</v>
      </c>
      <c r="O103">
        <v>3</v>
      </c>
      <c r="P103" t="str">
        <f ca="1">IFERROR(VLOOKUP(B103,Data[],4,FALSE),"")</f>
        <v/>
      </c>
      <c r="Q103" t="str">
        <f ca="1">IF(all[[#This Row],[RAD/PACT]]="","",IF(OR(all[[#This Row],[RAD/PACT]]="2021-2025",all[[#This Row],[RAD/PACT]]="2019-2020"),"Yes",""))</f>
        <v/>
      </c>
      <c r="R103">
        <f>VLOOKUP(all[[#This Row],[DEVELOPMENT]],Data[],7,FALSE)</f>
        <v>112</v>
      </c>
      <c r="S103">
        <f>VLOOKUP(all[[#This Row],[DEVELOPMENT]],Data[],25,FALSE)</f>
        <v>0</v>
      </c>
      <c r="T103">
        <f>VLOOKUP(all[[#This Row],[DEVELOPMENT]],Data[],5,FALSE)</f>
        <v>4</v>
      </c>
      <c r="U103">
        <f>VLOOKUP(all[[#This Row],[DEVELOPMENT]],Data[],10,FALSE)</f>
        <v>1</v>
      </c>
      <c r="V103">
        <f>VLOOKUP(all[[#This Row],[DEVELOPMENT]],Data[],10,FALSE)</f>
        <v>1</v>
      </c>
      <c r="W103">
        <f>VLOOKUP(all[[#This Row],[DEVELOPMENT]],Data[],33,FALSE)</f>
        <v>0</v>
      </c>
      <c r="X103">
        <f>VLOOKUP(all[[#This Row],[DEVELOPMENT]],Data[],33,FALSE)</f>
        <v>0</v>
      </c>
      <c r="Y103">
        <f>VLOOKUP(all[[#This Row],[DEVELOPMENT]],Data[],28,FALSE)</f>
        <v>0</v>
      </c>
      <c r="Z103">
        <f>IF(all[[#This Row],['# Bulk Crushers]]=0,1,0)</f>
        <v>1</v>
      </c>
      <c r="AA103" s="5">
        <f ca="1">IFERROR(INDEX(FWD[],MATCH($B103,FWD[DEVELOPMENT],0),MATCH("ESTIMATE",FWD[#Headers],0)),0)</f>
        <v>192498.42610816128</v>
      </c>
      <c r="AB103" s="5">
        <f ca="1">IFERROR(INDEX(EHDAll[],MATCH($B103,EHDAll[DEVELOPMENT],0),MATCH("ESTIMATE",EHDAll[#Headers],0)),0)</f>
        <v>25429.900770000004</v>
      </c>
      <c r="AC103" s="5">
        <f ca="1">IFERROR(INDEX(IntAll[],MATCH($B103,IntAll[DEVELOPMENT],0),MATCH("ESTIMATE",IntAll[#Headers],0)),0)</f>
        <v>63087.5</v>
      </c>
      <c r="AD103" s="5">
        <f ca="1">IFERROR(INDEX(YardsAll[],MATCH($B103,YardsAll[DEVELOPMENT],0),MATCH("TOTAL ESTIMATE",YardsAll[#Headers],0)),0)</f>
        <v>2123866.2609500005</v>
      </c>
      <c r="AE103" s="99">
        <f t="shared" ca="1" si="1"/>
        <v>2404882.0878281617</v>
      </c>
      <c r="AF103" s="5"/>
    </row>
    <row r="104" spans="1:32">
      <c r="A104" s="101">
        <f>VLOOKUP(B104,Data[],24,FALSE)</f>
        <v>516</v>
      </c>
      <c r="B104" t="s">
        <v>251</v>
      </c>
      <c r="C104" t="str">
        <f>VLOOKUP(all[[#This Row],[DEVELOPMENT]],Data[],MATCH(all[[#Headers],[PROGRAM]],Data[#Headers],0),FALSE)</f>
        <v>FEDERAL</v>
      </c>
      <c r="D104" t="str">
        <f>VLOOKUP(B104,Data[],2,FALSE)</f>
        <v>MANHATTAN</v>
      </c>
      <c r="E104">
        <f>VLOOKUP(all[[#This Row],[DEVELOPMENT]],Data[],65,FALSE)</f>
        <v>70</v>
      </c>
      <c r="F104" t="e">
        <f>VLOOKUP(all[[#This Row],[DEVELOPMENT]],Data[],3,FALSE)</f>
        <v>#N/A</v>
      </c>
      <c r="G104" s="107" t="s">
        <v>228</v>
      </c>
      <c r="H104" t="s">
        <v>184</v>
      </c>
      <c r="I104">
        <f>VLOOKUP(all[[#This Row],[DEVELOPMENT]],Data[],34,FALSE)</f>
        <v>0</v>
      </c>
      <c r="J104" t="s">
        <v>184</v>
      </c>
      <c r="K104">
        <f>VLOOKUP(B104,Data[],8,FALSE)</f>
        <v>0</v>
      </c>
      <c r="L104" t="str">
        <f>VLOOKUP(all[[#This Row],[DEVELOPMENT]],Data[],61,FALSE)</f>
        <v>No</v>
      </c>
      <c r="M104">
        <f>VLOOKUP(B104,Data[],9,FALSE)</f>
        <v>0</v>
      </c>
      <c r="N104">
        <v>2</v>
      </c>
      <c r="O104">
        <v>3</v>
      </c>
      <c r="P104" t="str">
        <f ca="1">IFERROR(VLOOKUP(B104,Data[],4,FALSE),"")</f>
        <v/>
      </c>
      <c r="Q104" t="str">
        <f ca="1">IF(all[[#This Row],[RAD/PACT]]="","",IF(OR(all[[#This Row],[RAD/PACT]]="2021-2025",all[[#This Row],[RAD/PACT]]="2019-2020"),"Yes",""))</f>
        <v/>
      </c>
      <c r="R104">
        <f>VLOOKUP(all[[#This Row],[DEVELOPMENT]],Data[],7,FALSE)</f>
        <v>156</v>
      </c>
      <c r="S104">
        <f>VLOOKUP(all[[#This Row],[DEVELOPMENT]],Data[],25,FALSE)</f>
        <v>0</v>
      </c>
      <c r="T104">
        <f>VLOOKUP(all[[#This Row],[DEVELOPMENT]],Data[],5,FALSE)</f>
        <v>4</v>
      </c>
      <c r="U104">
        <f>VLOOKUP(all[[#This Row],[DEVELOPMENT]],Data[],10,FALSE)</f>
        <v>0</v>
      </c>
      <c r="V104">
        <f>VLOOKUP(all[[#This Row],[DEVELOPMENT]],Data[],10,FALSE)</f>
        <v>0</v>
      </c>
      <c r="W104">
        <f>VLOOKUP(all[[#This Row],[DEVELOPMENT]],Data[],33,FALSE)</f>
        <v>0</v>
      </c>
      <c r="X104">
        <f>VLOOKUP(all[[#This Row],[DEVELOPMENT]],Data[],33,FALSE)</f>
        <v>0</v>
      </c>
      <c r="Y104">
        <f>VLOOKUP(all[[#This Row],[DEVELOPMENT]],Data[],28,FALSE)</f>
        <v>0</v>
      </c>
      <c r="Z104">
        <f>IF(all[[#This Row],['# Bulk Crushers]]=0,1,0)</f>
        <v>1</v>
      </c>
      <c r="AA104" s="5">
        <f ca="1">IFERROR(INDEX(FWD[],MATCH($B104,FWD[DEVELOPMENT],0),MATCH("ESTIMATE",FWD[#Headers],0)),0)</f>
        <v>268122.80779351032</v>
      </c>
      <c r="AB104" s="5">
        <f ca="1">IFERROR(INDEX(EHDAll[],MATCH($B104,EHDAll[DEVELOPMENT],0),MATCH("ESTIMATE",EHDAll[#Headers],0)),0)</f>
        <v>33906.534360000005</v>
      </c>
      <c r="AC104" s="5">
        <f ca="1">IFERROR(INDEX(IntAll[],MATCH($B104,IntAll[DEVELOPMENT],0),MATCH("ESTIMATE",IntAll[#Headers],0)),0)</f>
        <v>0</v>
      </c>
      <c r="AD104" s="5">
        <f ca="1">IFERROR(INDEX(YardsAll[],MATCH($B104,YardsAll[DEVELOPMENT],0),MATCH("TOTAL ESTIMATE",YardsAll[#Headers],0)),0)</f>
        <v>1997338.0581700003</v>
      </c>
      <c r="AE104" s="99">
        <f t="shared" ca="1" si="1"/>
        <v>2299367.4003235106</v>
      </c>
      <c r="AF104" s="5"/>
    </row>
    <row r="105" spans="1:32">
      <c r="A105" s="101">
        <f>VLOOKUP(B105,Data[],24,FALSE)</f>
        <v>517</v>
      </c>
      <c r="B105" t="s">
        <v>252</v>
      </c>
      <c r="C105" t="str">
        <f>VLOOKUP(all[[#This Row],[DEVELOPMENT]],Data[],MATCH(all[[#Headers],[PROGRAM]],Data[#Headers],0),FALSE)</f>
        <v>FEDERAL</v>
      </c>
      <c r="D105" t="str">
        <f>VLOOKUP(B105,Data[],2,FALSE)</f>
        <v>MANHATTAN</v>
      </c>
      <c r="E105">
        <f>VLOOKUP(all[[#This Row],[DEVELOPMENT]],Data[],65,FALSE)</f>
        <v>69</v>
      </c>
      <c r="F105" t="e">
        <f>VLOOKUP(all[[#This Row],[DEVELOPMENT]],Data[],3,FALSE)</f>
        <v>#N/A</v>
      </c>
      <c r="G105" s="107" t="s">
        <v>228</v>
      </c>
      <c r="H105" t="s">
        <v>184</v>
      </c>
      <c r="I105">
        <f>VLOOKUP(all[[#This Row],[DEVELOPMENT]],Data[],34,FALSE)</f>
        <v>0</v>
      </c>
      <c r="J105" t="s">
        <v>184</v>
      </c>
      <c r="K105" t="str">
        <f>VLOOKUP(B105,Data[],8,FALSE)</f>
        <v>Zone 4</v>
      </c>
      <c r="L105" t="str">
        <f>VLOOKUP(all[[#This Row],[DEVELOPMENT]],Data[],61,FALSE)</f>
        <v>No</v>
      </c>
      <c r="M105">
        <f>VLOOKUP(B105,Data[],9,FALSE)</f>
        <v>0</v>
      </c>
      <c r="N105">
        <v>3</v>
      </c>
      <c r="O105">
        <v>3</v>
      </c>
      <c r="P105" t="str">
        <f ca="1">IFERROR(VLOOKUP(B105,Data[],4,FALSE),"")</f>
        <v/>
      </c>
      <c r="Q105" t="str">
        <f ca="1">IF(all[[#This Row],[RAD/PACT]]="","",IF(OR(all[[#This Row],[RAD/PACT]]="2021-2025",all[[#This Row],[RAD/PACT]]="2019-2020"),"Yes",""))</f>
        <v/>
      </c>
      <c r="R105">
        <f>VLOOKUP(all[[#This Row],[DEVELOPMENT]],Data[],7,FALSE)</f>
        <v>40</v>
      </c>
      <c r="S105">
        <f>VLOOKUP(all[[#This Row],[DEVELOPMENT]],Data[],25,FALSE)</f>
        <v>0</v>
      </c>
      <c r="T105">
        <f>VLOOKUP(all[[#This Row],[DEVELOPMENT]],Data[],5,FALSE)</f>
        <v>1</v>
      </c>
      <c r="U105">
        <f>VLOOKUP(all[[#This Row],[DEVELOPMENT]],Data[],10,FALSE)</f>
        <v>1</v>
      </c>
      <c r="V105">
        <f>VLOOKUP(all[[#This Row],[DEVELOPMENT]],Data[],10,FALSE)</f>
        <v>1</v>
      </c>
      <c r="W105">
        <f>VLOOKUP(all[[#This Row],[DEVELOPMENT]],Data[],33,FALSE)</f>
        <v>0</v>
      </c>
      <c r="X105">
        <f>VLOOKUP(all[[#This Row],[DEVELOPMENT]],Data[],33,FALSE)</f>
        <v>0</v>
      </c>
      <c r="Y105">
        <f>VLOOKUP(all[[#This Row],[DEVELOPMENT]],Data[],28,FALSE)</f>
        <v>0</v>
      </c>
      <c r="Z105">
        <f>IF(all[[#This Row],['# Bulk Crushers]]=0,1,0)</f>
        <v>1</v>
      </c>
      <c r="AA105" s="5">
        <f ca="1">IFERROR(INDEX(FWD[],MATCH($B105,FWD[DEVELOPMENT],0),MATCH("ESTIMATE",FWD[#Headers],0)),0)</f>
        <v>68749.437895771873</v>
      </c>
      <c r="AB105" s="5">
        <f ca="1">IFERROR(INDEX(EHDAll[],MATCH($B105,EHDAll[DEVELOPMENT],0),MATCH("ESTIMATE",EHDAll[#Headers],0)),0)</f>
        <v>8476.6335900000013</v>
      </c>
      <c r="AC105" s="5">
        <f ca="1">IFERROR(INDEX(IntAll[],MATCH($B105,IntAll[DEVELOPMENT],0),MATCH("ESTIMATE",IntAll[#Headers],0)),0)</f>
        <v>76335.875</v>
      </c>
      <c r="AD105" s="5">
        <f ca="1">IFERROR(INDEX(YardsAll[],MATCH($B105,YardsAll[DEVELOPMENT],0),MATCH("TOTAL ESTIMATE",YardsAll[#Headers],0)),0)</f>
        <v>0</v>
      </c>
      <c r="AE105" s="99">
        <f t="shared" ca="1" si="1"/>
        <v>153561.94648577186</v>
      </c>
      <c r="AF105" s="5"/>
    </row>
    <row r="106" spans="1:32">
      <c r="A106" s="101">
        <f>VLOOKUP(B106,Data[],24,FALSE)</f>
        <v>280</v>
      </c>
      <c r="B106" t="s">
        <v>253</v>
      </c>
      <c r="C106" t="str">
        <f>VLOOKUP(all[[#This Row],[DEVELOPMENT]],Data[],MATCH(all[[#Headers],[PROGRAM]],Data[#Headers],0),FALSE)</f>
        <v>FEDERAL</v>
      </c>
      <c r="D106" t="str">
        <f>VLOOKUP(B106,Data[],2,FALSE)</f>
        <v>BRONX</v>
      </c>
      <c r="E106">
        <f>VLOOKUP(all[[#This Row],[DEVELOPMENT]],Data[],65,FALSE)</f>
        <v>85</v>
      </c>
      <c r="F106" t="e">
        <f>VLOOKUP(all[[#This Row],[DEVELOPMENT]],Data[],3,FALSE)</f>
        <v>#N/A</v>
      </c>
      <c r="G106" s="107" t="s">
        <v>228</v>
      </c>
      <c r="H106" t="s">
        <v>184</v>
      </c>
      <c r="I106">
        <f>VLOOKUP(all[[#This Row],[DEVELOPMENT]],Data[],34,FALSE)</f>
        <v>0</v>
      </c>
      <c r="J106" t="s">
        <v>184</v>
      </c>
      <c r="K106">
        <f>VLOOKUP(B106,Data[],8,FALSE)</f>
        <v>0</v>
      </c>
      <c r="L106" t="str">
        <f>VLOOKUP(all[[#This Row],[DEVELOPMENT]],Data[],61,FALSE)</f>
        <v>No</v>
      </c>
      <c r="M106">
        <f>VLOOKUP(B106,Data[],9,FALSE)</f>
        <v>0</v>
      </c>
      <c r="N106">
        <v>3</v>
      </c>
      <c r="O106">
        <v>3</v>
      </c>
      <c r="P106" t="str">
        <f ca="1">IFERROR(VLOOKUP(B106,Data[],4,FALSE),"")</f>
        <v>2022-2025</v>
      </c>
      <c r="Q106" t="str">
        <f ca="1">IF(all[[#This Row],[RAD/PACT]]="","",IF(OR(all[[#This Row],[RAD/PACT]]="2021-2025",all[[#This Row],[RAD/PACT]]="2019-2020"),"Yes",""))</f>
        <v/>
      </c>
      <c r="R106">
        <f>VLOOKUP(all[[#This Row],[DEVELOPMENT]],Data[],7,FALSE)</f>
        <v>411</v>
      </c>
      <c r="S106">
        <f>VLOOKUP(all[[#This Row],[DEVELOPMENT]],Data[],25,FALSE)</f>
        <v>0</v>
      </c>
      <c r="T106">
        <f>VLOOKUP(all[[#This Row],[DEVELOPMENT]],Data[],5,FALSE)</f>
        <v>7</v>
      </c>
      <c r="U106">
        <f>VLOOKUP(all[[#This Row],[DEVELOPMENT]],Data[],10,FALSE)</f>
        <v>7</v>
      </c>
      <c r="V106">
        <f>VLOOKUP(all[[#This Row],[DEVELOPMENT]],Data[],10,FALSE)</f>
        <v>7</v>
      </c>
      <c r="W106">
        <f>VLOOKUP(all[[#This Row],[DEVELOPMENT]],Data[],33,FALSE)</f>
        <v>0</v>
      </c>
      <c r="X106">
        <f>VLOOKUP(all[[#This Row],[DEVELOPMENT]],Data[],33,FALSE)</f>
        <v>0</v>
      </c>
      <c r="Y106">
        <f>VLOOKUP(all[[#This Row],[DEVELOPMENT]],Data[],28,FALSE)</f>
        <v>0</v>
      </c>
      <c r="Z106">
        <f>IF(all[[#This Row],['# Bulk Crushers]]=0,1,0)</f>
        <v>1</v>
      </c>
      <c r="AA106" s="5">
        <f ca="1">IFERROR(INDEX(FWD[],MATCH($B106,FWD[DEVELOPMENT],0),MATCH("ESTIMATE",FWD[#Headers],0)),0)</f>
        <v>706400.47437905602</v>
      </c>
      <c r="AB106" s="5">
        <f ca="1">IFERROR(INDEX(EHDAll[],MATCH($B106,EHDAll[DEVELOPMENT],0),MATCH("ESTIMATE",EHDAll[#Headers],0)),0)</f>
        <v>59336.435130000013</v>
      </c>
      <c r="AC106" s="5">
        <f ca="1">IFERROR(INDEX(IntAll[],MATCH($B106,IntAll[DEVELOPMENT],0),MATCH("ESTIMATE",IntAll[#Headers],0)),0)</f>
        <v>0</v>
      </c>
      <c r="AD106" s="5">
        <f ca="1">IFERROR(INDEX(YardsAll[],MATCH($B106,YardsAll[DEVELOPMENT],0),MATCH("TOTAL ESTIMATE",YardsAll[#Headers],0)),0)</f>
        <v>0</v>
      </c>
      <c r="AE106" s="99">
        <f t="shared" ca="1" si="1"/>
        <v>765736.90950905601</v>
      </c>
      <c r="AF106" s="5"/>
    </row>
    <row r="107" spans="1:32">
      <c r="A107" s="101">
        <f>VLOOKUP(B107,Data[],24,FALSE)</f>
        <v>158</v>
      </c>
      <c r="B107" t="s">
        <v>254</v>
      </c>
      <c r="C107" t="str">
        <f>VLOOKUP(all[[#This Row],[DEVELOPMENT]],Data[],MATCH(all[[#Headers],[PROGRAM]],Data[#Headers],0),FALSE)</f>
        <v>FEDERAL</v>
      </c>
      <c r="D107" t="str">
        <f>VLOOKUP(B107,Data[],2,FALSE)</f>
        <v>BROOKLYN</v>
      </c>
      <c r="E107">
        <f>VLOOKUP(all[[#This Row],[DEVELOPMENT]],Data[],65,FALSE)</f>
        <v>55</v>
      </c>
      <c r="F107" t="e">
        <f>VLOOKUP(all[[#This Row],[DEVELOPMENT]],Data[],3,FALSE)</f>
        <v>#N/A</v>
      </c>
      <c r="G107" s="107" t="s">
        <v>228</v>
      </c>
      <c r="H107" t="s">
        <v>184</v>
      </c>
      <c r="I107">
        <f>VLOOKUP(all[[#This Row],[DEVELOPMENT]],Data[],34,FALSE)</f>
        <v>0</v>
      </c>
      <c r="J107" t="s">
        <v>184</v>
      </c>
      <c r="K107">
        <f>VLOOKUP(B107,Data[],8,FALSE)</f>
        <v>0</v>
      </c>
      <c r="L107" t="str">
        <f>VLOOKUP(all[[#This Row],[DEVELOPMENT]],Data[],61,FALSE)</f>
        <v>No</v>
      </c>
      <c r="M107">
        <f>VLOOKUP(B107,Data[],9,FALSE)</f>
        <v>0</v>
      </c>
      <c r="N107">
        <v>3</v>
      </c>
      <c r="O107">
        <v>3</v>
      </c>
      <c r="P107" t="str">
        <f ca="1">IFERROR(VLOOKUP(B107,Data[],4,FALSE),"")</f>
        <v/>
      </c>
      <c r="Q107" t="str">
        <f ca="1">IF(all[[#This Row],[RAD/PACT]]="","",IF(OR(all[[#This Row],[RAD/PACT]]="2021-2025",all[[#This Row],[RAD/PACT]]="2019-2020"),"Yes",""))</f>
        <v/>
      </c>
      <c r="R107">
        <f>VLOOKUP(all[[#This Row],[DEVELOPMENT]],Data[],7,FALSE)</f>
        <v>125</v>
      </c>
      <c r="S107" t="str">
        <f>VLOOKUP(all[[#This Row],[DEVELOPMENT]],Data[],25,FALSE)</f>
        <v>Newtown Creek</v>
      </c>
      <c r="T107">
        <f>VLOOKUP(all[[#This Row],[DEVELOPMENT]],Data[],5,FALSE)</f>
        <v>1</v>
      </c>
      <c r="U107">
        <f>VLOOKUP(all[[#This Row],[DEVELOPMENT]],Data[],10,FALSE)</f>
        <v>1</v>
      </c>
      <c r="V107">
        <f>VLOOKUP(all[[#This Row],[DEVELOPMENT]],Data[],10,FALSE)</f>
        <v>1</v>
      </c>
      <c r="W107">
        <f>VLOOKUP(all[[#This Row],[DEVELOPMENT]],Data[],33,FALSE)</f>
        <v>0</v>
      </c>
      <c r="X107">
        <f>VLOOKUP(all[[#This Row],[DEVELOPMENT]],Data[],33,FALSE)</f>
        <v>0</v>
      </c>
      <c r="Y107">
        <f>VLOOKUP(all[[#This Row],[DEVELOPMENT]],Data[],28,FALSE)</f>
        <v>0</v>
      </c>
      <c r="Z107">
        <f>IF(all[[#This Row],['# Bulk Crushers]]=0,1,0)</f>
        <v>1</v>
      </c>
      <c r="AA107" s="5">
        <f ca="1">IFERROR(INDEX(FWD[],MATCH($B107,FWD[DEVELOPMENT],0),MATCH("ESTIMATE",FWD[#Headers],0)),0)</f>
        <v>214841.99342428712</v>
      </c>
      <c r="AB107" s="5">
        <f ca="1">IFERROR(INDEX(EHDAll[],MATCH($B107,EHDAll[DEVELOPMENT],0),MATCH("ESTIMATE",EHDAll[#Headers],0)),0)</f>
        <v>8476.6335900000013</v>
      </c>
      <c r="AC107" s="5">
        <f ca="1">IFERROR(INDEX(IntAll[],MATCH($B107,IntAll[DEVELOPMENT],0),MATCH("ESTIMATE",IntAll[#Headers],0)),0)</f>
        <v>76335.875</v>
      </c>
      <c r="AD107" s="5">
        <f ca="1">IFERROR(INDEX(YardsAll[],MATCH($B107,YardsAll[DEVELOPMENT],0),MATCH("TOTAL ESTIMATE",YardsAll[#Headers],0)),0)</f>
        <v>2060602.1595600008</v>
      </c>
      <c r="AE107" s="99">
        <f t="shared" ca="1" si="1"/>
        <v>2360256.6615742878</v>
      </c>
      <c r="AF107" s="5"/>
    </row>
    <row r="108" spans="1:32">
      <c r="A108" s="101">
        <f>VLOOKUP(B108,Data[],24,FALSE)</f>
        <v>27</v>
      </c>
      <c r="B108" t="s">
        <v>44</v>
      </c>
      <c r="C108" t="str">
        <f>VLOOKUP(all[[#This Row],[DEVELOPMENT]],Data[],MATCH(all[[#Headers],[PROGRAM]],Data[#Headers],0),FALSE)</f>
        <v>FEDERAL</v>
      </c>
      <c r="D108" t="str">
        <f>VLOOKUP(B108,Data[],2,FALSE)</f>
        <v>MANHATTAN</v>
      </c>
      <c r="E108">
        <f>VLOOKUP(all[[#This Row],[DEVELOPMENT]],Data[],65,FALSE)</f>
        <v>65</v>
      </c>
      <c r="F108" t="e">
        <f>VLOOKUP(all[[#This Row],[DEVELOPMENT]],Data[],3,FALSE)</f>
        <v>#N/A</v>
      </c>
      <c r="G108" s="107" t="s">
        <v>228</v>
      </c>
      <c r="H108" t="s">
        <v>184</v>
      </c>
      <c r="I108">
        <f>VLOOKUP(all[[#This Row],[DEVELOPMENT]],Data[],34,FALSE)</f>
        <v>0</v>
      </c>
      <c r="J108" t="s">
        <v>184</v>
      </c>
      <c r="K108" t="str">
        <f>VLOOKUP(B108,Data[],8,FALSE)</f>
        <v>Zone 1</v>
      </c>
      <c r="L108" t="str">
        <f>VLOOKUP(all[[#This Row],[DEVELOPMENT]],Data[],61,FALSE)</f>
        <v>No</v>
      </c>
      <c r="M108">
        <f>VLOOKUP(B108,Data[],9,FALSE)</f>
        <v>4</v>
      </c>
      <c r="N108">
        <v>3</v>
      </c>
      <c r="O108">
        <v>3</v>
      </c>
      <c r="P108" t="str">
        <f ca="1">IFERROR(VLOOKUP(B108,Data[],4,FALSE),"")</f>
        <v/>
      </c>
      <c r="Q108" t="str">
        <f ca="1">IF(all[[#This Row],[RAD/PACT]]="","",IF(OR(all[[#This Row],[RAD/PACT]]="2021-2025",all[[#This Row],[RAD/PACT]]="2019-2020"),"Yes",""))</f>
        <v/>
      </c>
      <c r="R108">
        <f>VLOOKUP(all[[#This Row],[DEVELOPMENT]],Data[],7,FALSE)</f>
        <v>1934</v>
      </c>
      <c r="S108" t="str">
        <f>VLOOKUP(all[[#This Row],[DEVELOPMENT]],Data[],25,FALSE)</f>
        <v>Newtown Creek</v>
      </c>
      <c r="T108">
        <f>VLOOKUP(all[[#This Row],[DEVELOPMENT]],Data[],5,FALSE)</f>
        <v>12</v>
      </c>
      <c r="U108">
        <f>VLOOKUP(all[[#This Row],[DEVELOPMENT]],Data[],10,FALSE)</f>
        <v>12</v>
      </c>
      <c r="V108">
        <f>VLOOKUP(all[[#This Row],[DEVELOPMENT]],Data[],10,FALSE)</f>
        <v>12</v>
      </c>
      <c r="W108">
        <f>VLOOKUP(all[[#This Row],[DEVELOPMENT]],Data[],33,FALSE)</f>
        <v>4</v>
      </c>
      <c r="X108">
        <f>VLOOKUP(all[[#This Row],[DEVELOPMENT]],Data[],33,FALSE)</f>
        <v>4</v>
      </c>
      <c r="Y108">
        <f>VLOOKUP(all[[#This Row],[DEVELOPMENT]],Data[],28,FALSE)</f>
        <v>0</v>
      </c>
      <c r="Z108">
        <f>IF(all[[#This Row],['# Bulk Crushers]]=0,1,0)</f>
        <v>1</v>
      </c>
      <c r="AA108" s="5">
        <f ca="1">IFERROR(INDEX(FWD[],MATCH($B108,FWD[DEVELOPMENT],0),MATCH("ESTIMATE",FWD[#Headers],0)),0)</f>
        <v>3324035.3222605702</v>
      </c>
      <c r="AB108" s="5">
        <f>IFERROR(INDEX(EHDAll[],MATCH($B108,EHDAll[DEVELOPMENT],0),MATCH("ESTIMATE",EHDAll[#Headers],0)),0)</f>
        <v>0</v>
      </c>
      <c r="AC108" s="5">
        <f ca="1">IFERROR(INDEX(IntAll[],MATCH($B108,IntAll[DEVELOPMENT],0),MATCH("ESTIMATE",IntAll[#Headers],0)),0)</f>
        <v>1153953</v>
      </c>
      <c r="AD108" s="5">
        <f ca="1">IFERROR(INDEX(YardsAll[],MATCH($B108,YardsAll[DEVELOPMENT],0),MATCH("TOTAL ESTIMATE",YardsAll[#Headers],0)),0)</f>
        <v>1552980.7909380002</v>
      </c>
      <c r="AE108" s="99">
        <f t="shared" ca="1" si="1"/>
        <v>6030969.11319857</v>
      </c>
      <c r="AF108" s="5"/>
    </row>
    <row r="109" spans="1:32">
      <c r="A109" s="101">
        <f>VLOOKUP(B109,Data[],24,FALSE)</f>
        <v>35</v>
      </c>
      <c r="B109" t="s">
        <v>255</v>
      </c>
      <c r="C109" t="str">
        <f>VLOOKUP(all[[#This Row],[DEVELOPMENT]],Data[],MATCH(all[[#Headers],[PROGRAM]],Data[#Headers],0),FALSE)</f>
        <v>FEDERAL</v>
      </c>
      <c r="D109" t="str">
        <f>VLOOKUP(B109,Data[],2,FALSE)</f>
        <v>STATEN ISLAND</v>
      </c>
      <c r="E109">
        <f>VLOOKUP(all[[#This Row],[DEVELOPMENT]],Data[],65,FALSE)</f>
        <v>64</v>
      </c>
      <c r="F109" t="e">
        <f>VLOOKUP(all[[#This Row],[DEVELOPMENT]],Data[],3,FALSE)</f>
        <v>#N/A</v>
      </c>
      <c r="G109" s="107" t="s">
        <v>228</v>
      </c>
      <c r="H109" t="s">
        <v>184</v>
      </c>
      <c r="I109">
        <f>VLOOKUP(all[[#This Row],[DEVELOPMENT]],Data[],34,FALSE)</f>
        <v>0</v>
      </c>
      <c r="J109" t="s">
        <v>184</v>
      </c>
      <c r="K109">
        <f>VLOOKUP(B109,Data[],8,FALSE)</f>
        <v>0</v>
      </c>
      <c r="L109" t="str">
        <f>VLOOKUP(all[[#This Row],[DEVELOPMENT]],Data[],61,FALSE)</f>
        <v>No</v>
      </c>
      <c r="M109">
        <f>VLOOKUP(B109,Data[],9,FALSE)</f>
        <v>0</v>
      </c>
      <c r="N109">
        <v>3</v>
      </c>
      <c r="O109">
        <v>3</v>
      </c>
      <c r="P109" t="str">
        <f ca="1">IFERROR(VLOOKUP(B109,Data[],4,FALSE),"")</f>
        <v/>
      </c>
      <c r="Q109" t="str">
        <f ca="1">IF(all[[#This Row],[RAD/PACT]]="","",IF(OR(all[[#This Row],[RAD/PACT]]="2021-2025",all[[#This Row],[RAD/PACT]]="2019-2020"),"Yes",""))</f>
        <v/>
      </c>
      <c r="R109">
        <f>VLOOKUP(all[[#This Row],[DEVELOPMENT]],Data[],7,FALSE)</f>
        <v>421</v>
      </c>
      <c r="S109">
        <f>VLOOKUP(all[[#This Row],[DEVELOPMENT]],Data[],25,FALSE)</f>
        <v>0</v>
      </c>
      <c r="T109">
        <f>VLOOKUP(all[[#This Row],[DEVELOPMENT]],Data[],5,FALSE)</f>
        <v>8</v>
      </c>
      <c r="U109">
        <f>VLOOKUP(all[[#This Row],[DEVELOPMENT]],Data[],10,FALSE)</f>
        <v>15</v>
      </c>
      <c r="V109">
        <f>VLOOKUP(all[[#This Row],[DEVELOPMENT]],Data[],10,FALSE)</f>
        <v>15</v>
      </c>
      <c r="W109">
        <f>VLOOKUP(all[[#This Row],[DEVELOPMENT]],Data[],33,FALSE)</f>
        <v>1</v>
      </c>
      <c r="X109">
        <f>VLOOKUP(all[[#This Row],[DEVELOPMENT]],Data[],33,FALSE)</f>
        <v>1</v>
      </c>
      <c r="Y109">
        <f>VLOOKUP(all[[#This Row],[DEVELOPMENT]],Data[],28,FALSE)</f>
        <v>0</v>
      </c>
      <c r="Z109">
        <f>IF(all[[#This Row],['# Bulk Crushers]]=0,1,0)</f>
        <v>1</v>
      </c>
      <c r="AA109" s="5">
        <f ca="1">IFERROR(INDEX(FWD[],MATCH($B109,FWD[DEVELOPMENT],0),MATCH("ESTIMATE",FWD[#Headers],0)),0)</f>
        <v>723587.83385299903</v>
      </c>
      <c r="AB109" s="5">
        <f ca="1">IFERROR(INDEX(EHDAll[],MATCH($B109,EHDAll[DEVELOPMENT],0),MATCH("ESTIMATE",EHDAll[#Headers],0)),0)</f>
        <v>127149.50385000001</v>
      </c>
      <c r="AC109" s="5">
        <f ca="1">IFERROR(INDEX(IntAll[],MATCH($B109,IntAll[DEVELOPMENT],0),MATCH("ESTIMATE",IntAll[#Headers],0)),0)</f>
        <v>1145038.125</v>
      </c>
      <c r="AD109" s="5">
        <f ca="1">IFERROR(INDEX(YardsAll[],MATCH($B109,YardsAll[DEVELOPMENT],0),MATCH("TOTAL ESTIMATE",YardsAll[#Headers],0)),0)</f>
        <v>2060602.1595600008</v>
      </c>
      <c r="AE109" s="99">
        <f t="shared" ca="1" si="1"/>
        <v>4056377.6222629994</v>
      </c>
      <c r="AF109" s="5"/>
    </row>
    <row r="110" spans="1:32">
      <c r="A110" s="101">
        <f>VLOOKUP(B110,Data[],24,FALSE)</f>
        <v>368</v>
      </c>
      <c r="B110" t="s">
        <v>256</v>
      </c>
      <c r="C110" t="str">
        <f>VLOOKUP(all[[#This Row],[DEVELOPMENT]],Data[],MATCH(all[[#Headers],[PROGRAM]],Data[#Headers],0),FALSE)</f>
        <v>FEDERAL</v>
      </c>
      <c r="D110" t="str">
        <f>VLOOKUP(B110,Data[],2,FALSE)</f>
        <v>BROOKLYN</v>
      </c>
      <c r="E110">
        <f>VLOOKUP(all[[#This Row],[DEVELOPMENT]],Data[],65,FALSE)</f>
        <v>55</v>
      </c>
      <c r="F110" t="e">
        <f>VLOOKUP(all[[#This Row],[DEVELOPMENT]],Data[],3,FALSE)</f>
        <v>#N/A</v>
      </c>
      <c r="G110" s="107" t="s">
        <v>228</v>
      </c>
      <c r="H110" t="s">
        <v>184</v>
      </c>
      <c r="I110">
        <f>VLOOKUP(all[[#This Row],[DEVELOPMENT]],Data[],34,FALSE)</f>
        <v>0</v>
      </c>
      <c r="J110" t="s">
        <v>184</v>
      </c>
      <c r="K110">
        <f>VLOOKUP(B110,Data[],8,FALSE)</f>
        <v>0</v>
      </c>
      <c r="L110" t="str">
        <f>VLOOKUP(all[[#This Row],[DEVELOPMENT]],Data[],61,FALSE)</f>
        <v>No</v>
      </c>
      <c r="M110">
        <f>VLOOKUP(B110,Data[],9,FALSE)</f>
        <v>0</v>
      </c>
      <c r="N110">
        <v>3</v>
      </c>
      <c r="O110">
        <v>3</v>
      </c>
      <c r="P110" t="str">
        <f ca="1">IFERROR(VLOOKUP(B110,Data[],4,FALSE),"")</f>
        <v>2022-2025</v>
      </c>
      <c r="Q110" t="str">
        <f ca="1">IF(all[[#This Row],[RAD/PACT]]="","",IF(OR(all[[#This Row],[RAD/PACT]]="2021-2025",all[[#This Row],[RAD/PACT]]="2019-2020"),"Yes",""))</f>
        <v/>
      </c>
      <c r="R110">
        <f>VLOOKUP(all[[#This Row],[DEVELOPMENT]],Data[],7,FALSE)</f>
        <v>125</v>
      </c>
      <c r="S110" t="str">
        <f>VLOOKUP(all[[#This Row],[DEVELOPMENT]],Data[],25,FALSE)</f>
        <v>Newtown Creek</v>
      </c>
      <c r="T110">
        <f>VLOOKUP(all[[#This Row],[DEVELOPMENT]],Data[],5,FALSE)</f>
        <v>7</v>
      </c>
      <c r="U110">
        <f>VLOOKUP(all[[#This Row],[DEVELOPMENT]],Data[],10,FALSE)</f>
        <v>7</v>
      </c>
      <c r="V110">
        <f>VLOOKUP(all[[#This Row],[DEVELOPMENT]],Data[],10,FALSE)</f>
        <v>7</v>
      </c>
      <c r="W110">
        <f>VLOOKUP(all[[#This Row],[DEVELOPMENT]],Data[],33,FALSE)</f>
        <v>0</v>
      </c>
      <c r="X110">
        <f>VLOOKUP(all[[#This Row],[DEVELOPMENT]],Data[],33,FALSE)</f>
        <v>0</v>
      </c>
      <c r="Y110">
        <f>VLOOKUP(all[[#This Row],[DEVELOPMENT]],Data[],28,FALSE)</f>
        <v>0</v>
      </c>
      <c r="Z110">
        <f>IF(all[[#This Row],['# Bulk Crushers]]=0,1,0)</f>
        <v>1</v>
      </c>
      <c r="AA110" s="5">
        <f ca="1">IFERROR(INDEX(FWD[],MATCH($B110,FWD[DEVELOPMENT],0),MATCH("ESTIMATE",FWD[#Headers],0)),0)</f>
        <v>214841.99342428712</v>
      </c>
      <c r="AB110" s="5">
        <f ca="1">IFERROR(INDEX(EHDAll[],MATCH($B110,EHDAll[DEVELOPMENT],0),MATCH("ESTIMATE",EHDAll[#Headers],0)),0)</f>
        <v>59336.435130000013</v>
      </c>
      <c r="AC110" s="5">
        <f ca="1">IFERROR(INDEX(IntAll[],MATCH($B110,IntAll[DEVELOPMENT],0),MATCH("ESTIMATE",IntAll[#Headers],0)),0)</f>
        <v>0</v>
      </c>
      <c r="AD110" s="5">
        <f ca="1">IFERROR(INDEX(YardsAll[],MATCH($B110,YardsAll[DEVELOPMENT],0),MATCH("TOTAL ESTIMATE",YardsAll[#Headers],0)),0)</f>
        <v>0</v>
      </c>
      <c r="AE110" s="99">
        <f t="shared" ca="1" si="1"/>
        <v>274178.42855428712</v>
      </c>
      <c r="AF110" s="5"/>
    </row>
    <row r="111" spans="1:32">
      <c r="A111" s="101">
        <f>VLOOKUP(B111,Data[],24,FALSE)</f>
        <v>221</v>
      </c>
      <c r="B111" t="s">
        <v>257</v>
      </c>
      <c r="C111" t="str">
        <f>VLOOKUP(all[[#This Row],[DEVELOPMENT]],Data[],MATCH(all[[#Headers],[PROGRAM]],Data[#Headers],0),FALSE)</f>
        <v>FEDERAL</v>
      </c>
      <c r="D111" t="str">
        <f>VLOOKUP(B111,Data[],2,FALSE)</f>
        <v>BROOKLYN</v>
      </c>
      <c r="E111">
        <f>VLOOKUP(all[[#This Row],[DEVELOPMENT]],Data[],65,FALSE)</f>
        <v>56</v>
      </c>
      <c r="F111" t="e">
        <f>VLOOKUP(all[[#This Row],[DEVELOPMENT]],Data[],3,FALSE)</f>
        <v>#N/A</v>
      </c>
      <c r="G111" s="107" t="s">
        <v>228</v>
      </c>
      <c r="H111" t="s">
        <v>184</v>
      </c>
      <c r="I111">
        <f>VLOOKUP(all[[#This Row],[DEVELOPMENT]],Data[],34,FALSE)</f>
        <v>0</v>
      </c>
      <c r="J111" t="s">
        <v>184</v>
      </c>
      <c r="K111">
        <f>VLOOKUP(B111,Data[],8,FALSE)</f>
        <v>0</v>
      </c>
      <c r="L111" t="str">
        <f>VLOOKUP(all[[#This Row],[DEVELOPMENT]],Data[],61,FALSE)</f>
        <v>No</v>
      </c>
      <c r="M111">
        <f>VLOOKUP(B111,Data[],9,FALSE)</f>
        <v>0</v>
      </c>
      <c r="N111">
        <v>3</v>
      </c>
      <c r="O111">
        <v>3</v>
      </c>
      <c r="P111" t="str">
        <f ca="1">IFERROR(VLOOKUP(B111,Data[],4,FALSE),"")</f>
        <v>2026+</v>
      </c>
      <c r="Q111" t="str">
        <f ca="1">IF(all[[#This Row],[RAD/PACT]]="","",IF(OR(all[[#This Row],[RAD/PACT]]="2021-2025",all[[#This Row],[RAD/PACT]]="2019-2020"),"Yes",""))</f>
        <v/>
      </c>
      <c r="R111">
        <f>VLOOKUP(all[[#This Row],[DEVELOPMENT]],Data[],7,FALSE)</f>
        <v>329</v>
      </c>
      <c r="S111" t="str">
        <f>VLOOKUP(all[[#This Row],[DEVELOPMENT]],Data[],25,FALSE)</f>
        <v>Newtown Creek</v>
      </c>
      <c r="T111">
        <f>VLOOKUP(all[[#This Row],[DEVELOPMENT]],Data[],5,FALSE)</f>
        <v>5</v>
      </c>
      <c r="U111">
        <f>VLOOKUP(all[[#This Row],[DEVELOPMENT]],Data[],10,FALSE)</f>
        <v>11</v>
      </c>
      <c r="V111">
        <f>VLOOKUP(all[[#This Row],[DEVELOPMENT]],Data[],10,FALSE)</f>
        <v>11</v>
      </c>
      <c r="W111">
        <f>VLOOKUP(all[[#This Row],[DEVELOPMENT]],Data[],33,FALSE)</f>
        <v>1</v>
      </c>
      <c r="X111">
        <f>VLOOKUP(all[[#This Row],[DEVELOPMENT]],Data[],33,FALSE)</f>
        <v>1</v>
      </c>
      <c r="Y111">
        <f>VLOOKUP(all[[#This Row],[DEVELOPMENT]],Data[],28,FALSE)</f>
        <v>0</v>
      </c>
      <c r="Z111">
        <f>IF(all[[#This Row],['# Bulk Crushers]]=0,1,0)</f>
        <v>1</v>
      </c>
      <c r="AA111" s="5">
        <f ca="1">IFERROR(INDEX(FWD[],MATCH($B111,FWD[DEVELOPMENT],0),MATCH("ESTIMATE",FWD[#Headers],0)),0)</f>
        <v>565464.12669272372</v>
      </c>
      <c r="AB111" s="5">
        <f ca="1">IFERROR(INDEX(EHDAll[],MATCH($B111,EHDAll[DEVELOPMENT],0),MATCH("ESTIMATE",EHDAll[#Headers],0)),0)</f>
        <v>93242.969490000018</v>
      </c>
      <c r="AC111" s="5">
        <f ca="1">IFERROR(INDEX(IntAll[],MATCH($B111,IntAll[DEVELOPMENT],0),MATCH("ESTIMATE",IntAll[#Headers],0)),0)</f>
        <v>791117.25000000012</v>
      </c>
      <c r="AD111" s="5">
        <f ca="1">IFERROR(INDEX(YardsAll[],MATCH($B111,YardsAll[DEVELOPMENT],0),MATCH("TOTAL ESTIMATE",YardsAll[#Headers],0)),0)</f>
        <v>2060602.1595600008</v>
      </c>
      <c r="AE111" s="99">
        <f t="shared" ca="1" si="1"/>
        <v>3510426.505742725</v>
      </c>
      <c r="AF111" s="5"/>
    </row>
    <row r="112" spans="1:32">
      <c r="A112" s="101">
        <f>VLOOKUP(B112,Data[],24,FALSE)</f>
        <v>333</v>
      </c>
      <c r="B112" t="s">
        <v>258</v>
      </c>
      <c r="C112" t="str">
        <f>VLOOKUP(all[[#This Row],[DEVELOPMENT]],Data[],MATCH(all[[#Headers],[PROGRAM]],Data[#Headers],0),FALSE)</f>
        <v>FEDERAL</v>
      </c>
      <c r="D112" t="str">
        <f>VLOOKUP(B112,Data[],2,FALSE)</f>
        <v>BROOKLYN</v>
      </c>
      <c r="E112">
        <f>VLOOKUP(all[[#This Row],[DEVELOPMENT]],Data[],65,FALSE)</f>
        <v>56</v>
      </c>
      <c r="F112" t="e">
        <f>VLOOKUP(all[[#This Row],[DEVELOPMENT]],Data[],3,FALSE)</f>
        <v>#N/A</v>
      </c>
      <c r="G112" s="107" t="s">
        <v>228</v>
      </c>
      <c r="H112" t="s">
        <v>184</v>
      </c>
      <c r="I112">
        <f>VLOOKUP(all[[#This Row],[DEVELOPMENT]],Data[],34,FALSE)</f>
        <v>0</v>
      </c>
      <c r="J112" t="s">
        <v>184</v>
      </c>
      <c r="K112">
        <f>VLOOKUP(B112,Data[],8,FALSE)</f>
        <v>0</v>
      </c>
      <c r="L112" t="str">
        <f>VLOOKUP(all[[#This Row],[DEVELOPMENT]],Data[],61,FALSE)</f>
        <v>No</v>
      </c>
      <c r="M112">
        <f>VLOOKUP(B112,Data[],9,FALSE)</f>
        <v>0</v>
      </c>
      <c r="N112">
        <v>4</v>
      </c>
      <c r="O112">
        <v>3</v>
      </c>
      <c r="P112" t="str">
        <f ca="1">IFERROR(VLOOKUP(B112,Data[],4,FALSE),"")</f>
        <v>2026+</v>
      </c>
      <c r="Q112" t="str">
        <f ca="1">IF(all[[#This Row],[RAD/PACT]]="","",IF(OR(all[[#This Row],[RAD/PACT]]="2021-2025",all[[#This Row],[RAD/PACT]]="2019-2020"),"Yes",""))</f>
        <v/>
      </c>
      <c r="R112">
        <f>VLOOKUP(all[[#This Row],[DEVELOPMENT]],Data[],7,FALSE)</f>
        <v>150</v>
      </c>
      <c r="S112" t="str">
        <f>VLOOKUP(all[[#This Row],[DEVELOPMENT]],Data[],25,FALSE)</f>
        <v>Newtown Creek</v>
      </c>
      <c r="T112">
        <f>VLOOKUP(all[[#This Row],[DEVELOPMENT]],Data[],5,FALSE)</f>
        <v>1</v>
      </c>
      <c r="U112">
        <f>VLOOKUP(all[[#This Row],[DEVELOPMENT]],Data[],10,FALSE)</f>
        <v>1</v>
      </c>
      <c r="V112">
        <f>VLOOKUP(all[[#This Row],[DEVELOPMENT]],Data[],10,FALSE)</f>
        <v>1</v>
      </c>
      <c r="W112">
        <f>VLOOKUP(all[[#This Row],[DEVELOPMENT]],Data[],33,FALSE)</f>
        <v>0</v>
      </c>
      <c r="X112">
        <f>VLOOKUP(all[[#This Row],[DEVELOPMENT]],Data[],33,FALSE)</f>
        <v>0</v>
      </c>
      <c r="Y112">
        <f>VLOOKUP(all[[#This Row],[DEVELOPMENT]],Data[],28,FALSE)</f>
        <v>0</v>
      </c>
      <c r="Z112">
        <f>IF(all[[#This Row],['# Bulk Crushers]]=0,1,0)</f>
        <v>1</v>
      </c>
      <c r="AA112" s="5">
        <f ca="1">IFERROR(INDEX(FWD[],MATCH($B112,FWD[DEVELOPMENT],0),MATCH("ESTIMATE",FWD[#Headers],0)),0)</f>
        <v>257810.39210914454</v>
      </c>
      <c r="AB112" s="5">
        <f>IFERROR(INDEX(EHDAll[],MATCH($B112,EHDAll[DEVELOPMENT],0),MATCH("ESTIMATE",EHDAll[#Headers],0)),0)</f>
        <v>0</v>
      </c>
      <c r="AC112" s="5">
        <f ca="1">IFERROR(INDEX(IntAll[],MATCH($B112,IntAll[DEVELOPMENT],0),MATCH("ESTIMATE",IntAll[#Headers],0)),0)</f>
        <v>0</v>
      </c>
      <c r="AD112" s="5">
        <f ca="1">IFERROR(INDEX(YardsAll[],MATCH($B112,YardsAll[DEVELOPMENT],0),MATCH("TOTAL ESTIMATE",YardsAll[#Headers],0)),0)</f>
        <v>2123866.2609500005</v>
      </c>
      <c r="AE112" s="99">
        <f t="shared" ca="1" si="1"/>
        <v>2381676.653059145</v>
      </c>
      <c r="AF112" s="5"/>
    </row>
    <row r="113" spans="1:32">
      <c r="A113" s="101">
        <f>VLOOKUP(B113,Data[],24,FALSE)</f>
        <v>355</v>
      </c>
      <c r="B113" t="s">
        <v>100</v>
      </c>
      <c r="C113" t="str">
        <f>VLOOKUP(all[[#This Row],[DEVELOPMENT]],Data[],MATCH(all[[#Headers],[PROGRAM]],Data[#Headers],0),FALSE)</f>
        <v>FEDERAL</v>
      </c>
      <c r="D113" t="str">
        <f>VLOOKUP(B113,Data[],2,FALSE)</f>
        <v>MANHATTAN</v>
      </c>
      <c r="E113">
        <f>VLOOKUP(all[[#This Row],[DEVELOPMENT]],Data[],65,FALSE)</f>
        <v>68</v>
      </c>
      <c r="F113" t="e">
        <f>VLOOKUP(all[[#This Row],[DEVELOPMENT]],Data[],3,FALSE)</f>
        <v>#N/A</v>
      </c>
      <c r="G113" s="107" t="s">
        <v>228</v>
      </c>
      <c r="H113" t="s">
        <v>184</v>
      </c>
      <c r="I113">
        <f>VLOOKUP(all[[#This Row],[DEVELOPMENT]],Data[],34,FALSE)</f>
        <v>0</v>
      </c>
      <c r="J113" t="s">
        <v>184</v>
      </c>
      <c r="K113" t="str">
        <f>VLOOKUP(B113,Data[],8,FALSE)</f>
        <v>Zone 2</v>
      </c>
      <c r="L113" t="str">
        <f>VLOOKUP(all[[#This Row],[DEVELOPMENT]],Data[],61,FALSE)</f>
        <v>No</v>
      </c>
      <c r="M113">
        <f>VLOOKUP(B113,Data[],9,FALSE)</f>
        <v>4</v>
      </c>
      <c r="N113">
        <v>4</v>
      </c>
      <c r="O113">
        <v>3</v>
      </c>
      <c r="P113" t="str">
        <f ca="1">IFERROR(VLOOKUP(B113,Data[],4,FALSE),"")</f>
        <v/>
      </c>
      <c r="Q113" t="str">
        <f ca="1">IF(all[[#This Row],[RAD/PACT]]="","",IF(OR(all[[#This Row],[RAD/PACT]]="2021-2025",all[[#This Row],[RAD/PACT]]="2019-2020"),"Yes",""))</f>
        <v/>
      </c>
      <c r="R113">
        <f>VLOOKUP(all[[#This Row],[DEVELOPMENT]],Data[],7,FALSE)</f>
        <v>150</v>
      </c>
      <c r="S113">
        <f>VLOOKUP(all[[#This Row],[DEVELOPMENT]],Data[],25,FALSE)</f>
        <v>0</v>
      </c>
      <c r="T113">
        <f>VLOOKUP(all[[#This Row],[DEVELOPMENT]],Data[],5,FALSE)</f>
        <v>1</v>
      </c>
      <c r="U113">
        <f>VLOOKUP(all[[#This Row],[DEVELOPMENT]],Data[],10,FALSE)</f>
        <v>1</v>
      </c>
      <c r="V113">
        <f>VLOOKUP(all[[#This Row],[DEVELOPMENT]],Data[],10,FALSE)</f>
        <v>1</v>
      </c>
      <c r="W113">
        <f>VLOOKUP(all[[#This Row],[DEVELOPMENT]],Data[],33,FALSE)</f>
        <v>2</v>
      </c>
      <c r="X113">
        <f>VLOOKUP(all[[#This Row],[DEVELOPMENT]],Data[],33,FALSE)</f>
        <v>2</v>
      </c>
      <c r="Y113">
        <f>VLOOKUP(all[[#This Row],[DEVELOPMENT]],Data[],28,FALSE)</f>
        <v>0</v>
      </c>
      <c r="Z113">
        <f>IF(all[[#This Row],['# Bulk Crushers]]=0,1,0)</f>
        <v>1</v>
      </c>
      <c r="AA113" s="5">
        <f ca="1">IFERROR(INDEX(FWD[],MATCH($B113,FWD[DEVELOPMENT],0),MATCH("ESTIMATE",FWD[#Headers],0)),0)</f>
        <v>257810.39210914454</v>
      </c>
      <c r="AB113" s="5">
        <f ca="1">IFERROR(INDEX(EHDAll[],MATCH($B113,EHDAll[DEVELOPMENT],0),MATCH("ESTIMATE",EHDAll[#Headers],0)),0)</f>
        <v>46175.346135</v>
      </c>
      <c r="AC113" s="5">
        <f ca="1">IFERROR(INDEX(IntAll[],MATCH($B113,IntAll[DEVELOPMENT],0),MATCH("ESTIMATE",IntAll[#Headers],0)),0)</f>
        <v>76335.875</v>
      </c>
      <c r="AD113" s="5">
        <f ca="1">IFERROR(INDEX(YardsAll[],MATCH($B113,YardsAll[DEVELOPMENT],0),MATCH("TOTAL ESTIMATE",YardsAll[#Headers],0)),0)</f>
        <v>2374003.9768875008</v>
      </c>
      <c r="AE113" s="99">
        <f t="shared" ca="1" si="1"/>
        <v>2754325.5901316456</v>
      </c>
      <c r="AF113" s="5"/>
    </row>
    <row r="114" spans="1:32">
      <c r="A114" s="101">
        <f>VLOOKUP(B114,Data[],24,FALSE)</f>
        <v>330</v>
      </c>
      <c r="B114" t="s">
        <v>259</v>
      </c>
      <c r="C114" t="str">
        <f>VLOOKUP(all[[#This Row],[DEVELOPMENT]],Data[],MATCH(all[[#Headers],[PROGRAM]],Data[#Headers],0),FALSE)</f>
        <v>FEDERAL</v>
      </c>
      <c r="D114" t="str">
        <f>VLOOKUP(B114,Data[],2,FALSE)</f>
        <v>MANHATTAN</v>
      </c>
      <c r="E114">
        <f>VLOOKUP(all[[#This Row],[DEVELOPMENT]],Data[],65,FALSE)</f>
        <v>72</v>
      </c>
      <c r="F114" t="e">
        <f>VLOOKUP(all[[#This Row],[DEVELOPMENT]],Data[],3,FALSE)</f>
        <v>#N/A</v>
      </c>
      <c r="G114" s="107" t="s">
        <v>228</v>
      </c>
      <c r="H114" t="s">
        <v>184</v>
      </c>
      <c r="I114">
        <f>VLOOKUP(all[[#This Row],[DEVELOPMENT]],Data[],34,FALSE)</f>
        <v>0</v>
      </c>
      <c r="J114" t="s">
        <v>184</v>
      </c>
      <c r="K114">
        <f>VLOOKUP(B114,Data[],8,FALSE)</f>
        <v>0</v>
      </c>
      <c r="L114" t="str">
        <f>VLOOKUP(all[[#This Row],[DEVELOPMENT]],Data[],61,FALSE)</f>
        <v>No</v>
      </c>
      <c r="M114">
        <f>VLOOKUP(B114,Data[],9,FALSE)</f>
        <v>0</v>
      </c>
      <c r="N114">
        <v>2</v>
      </c>
      <c r="O114">
        <v>3</v>
      </c>
      <c r="P114" t="str">
        <f ca="1">IFERROR(VLOOKUP(B114,Data[],4,FALSE),"")</f>
        <v>2020-2021</v>
      </c>
      <c r="Q114" t="str">
        <f ca="1">IF(all[[#This Row],[RAD/PACT]]="","",IF(OR(all[[#This Row],[RAD/PACT]]="2021-2025",all[[#This Row],[RAD/PACT]]="2019-2020"),"Yes",""))</f>
        <v/>
      </c>
      <c r="R114">
        <f>VLOOKUP(all[[#This Row],[DEVELOPMENT]],Data[],7,FALSE)</f>
        <v>32</v>
      </c>
      <c r="S114">
        <f>VLOOKUP(all[[#This Row],[DEVELOPMENT]],Data[],25,FALSE)</f>
        <v>0</v>
      </c>
      <c r="T114">
        <f>VLOOKUP(all[[#This Row],[DEVELOPMENT]],Data[],5,FALSE)</f>
        <v>2</v>
      </c>
      <c r="U114">
        <f>VLOOKUP(all[[#This Row],[DEVELOPMENT]],Data[],10,FALSE)</f>
        <v>0</v>
      </c>
      <c r="V114">
        <f>VLOOKUP(all[[#This Row],[DEVELOPMENT]],Data[],10,FALSE)</f>
        <v>0</v>
      </c>
      <c r="W114">
        <f>VLOOKUP(all[[#This Row],[DEVELOPMENT]],Data[],33,FALSE)</f>
        <v>0</v>
      </c>
      <c r="X114">
        <f>VLOOKUP(all[[#This Row],[DEVELOPMENT]],Data[],33,FALSE)</f>
        <v>0</v>
      </c>
      <c r="Y114">
        <f>VLOOKUP(all[[#This Row],[DEVELOPMENT]],Data[],28,FALSE)</f>
        <v>0</v>
      </c>
      <c r="Z114">
        <f>IF(all[[#This Row],['# Bulk Crushers]]=0,1,0)</f>
        <v>1</v>
      </c>
      <c r="AA114" s="5">
        <f ca="1">IFERROR(INDEX(FWD[],MATCH($B114,FWD[DEVELOPMENT],0),MATCH("ESTIMATE",FWD[#Headers],0)),0)</f>
        <v>54999.550316617504</v>
      </c>
      <c r="AB114" s="5">
        <f ca="1">IFERROR(INDEX(EHDAll[],MATCH($B114,EHDAll[DEVELOPMENT],0),MATCH("ESTIMATE",EHDAll[#Headers],0)),0)</f>
        <v>16953.267180000003</v>
      </c>
      <c r="AC114" s="5">
        <f ca="1">IFERROR(INDEX(IntAll[],MATCH($B114,IntAll[DEVELOPMENT],0),MATCH("ESTIMATE",IntAll[#Headers],0)),0)</f>
        <v>0</v>
      </c>
      <c r="AD114" s="5">
        <f ca="1">IFERROR(INDEX(YardsAll[],MATCH($B114,YardsAll[DEVELOPMENT],0),MATCH("TOTAL ESTIMATE",YardsAll[#Headers],0)),0)</f>
        <v>0</v>
      </c>
      <c r="AE114" s="99">
        <f t="shared" ca="1" si="1"/>
        <v>71952.817496617499</v>
      </c>
      <c r="AF114" s="5"/>
    </row>
    <row r="115" spans="1:32">
      <c r="A115" s="101">
        <f>VLOOKUP(B115,Data[],24,FALSE)</f>
        <v>112</v>
      </c>
      <c r="B115" t="s">
        <v>116</v>
      </c>
      <c r="C115" t="str">
        <f>VLOOKUP(all[[#This Row],[DEVELOPMENT]],Data[],MATCH(all[[#Headers],[PROGRAM]],Data[#Headers],0),FALSE)</f>
        <v>FEDERAL</v>
      </c>
      <c r="D115" t="str">
        <f>VLOOKUP(B115,Data[],2,FALSE)</f>
        <v>MANHATTAN</v>
      </c>
      <c r="E115">
        <f>VLOOKUP(all[[#This Row],[DEVELOPMENT]],Data[],65,FALSE)</f>
        <v>68</v>
      </c>
      <c r="F115" t="e">
        <f>VLOOKUP(all[[#This Row],[DEVELOPMENT]],Data[],3,FALSE)</f>
        <v>#N/A</v>
      </c>
      <c r="G115" s="107" t="s">
        <v>228</v>
      </c>
      <c r="H115" t="s">
        <v>184</v>
      </c>
      <c r="I115">
        <f>VLOOKUP(all[[#This Row],[DEVELOPMENT]],Data[],34,FALSE)</f>
        <v>0</v>
      </c>
      <c r="J115" t="s">
        <v>184</v>
      </c>
      <c r="K115" t="str">
        <f>VLOOKUP(B115,Data[],8,FALSE)</f>
        <v>Zone 2</v>
      </c>
      <c r="L115" t="str">
        <f>VLOOKUP(all[[#This Row],[DEVELOPMENT]],Data[],61,FALSE)</f>
        <v>No</v>
      </c>
      <c r="M115">
        <f>VLOOKUP(B115,Data[],9,FALSE)</f>
        <v>4</v>
      </c>
      <c r="N115">
        <v>3</v>
      </c>
      <c r="O115">
        <v>3</v>
      </c>
      <c r="P115" t="str">
        <f ca="1">IFERROR(VLOOKUP(B115,Data[],4,FALSE),"")</f>
        <v>2026+</v>
      </c>
      <c r="Q115" t="str">
        <f ca="1">IF(all[[#This Row],[RAD/PACT]]="","",IF(OR(all[[#This Row],[RAD/PACT]]="2021-2025",all[[#This Row],[RAD/PACT]]="2019-2020"),"Yes",""))</f>
        <v/>
      </c>
      <c r="R115">
        <f>VLOOKUP(all[[#This Row],[DEVELOPMENT]],Data[],7,FALSE)</f>
        <v>398</v>
      </c>
      <c r="S115">
        <f>VLOOKUP(all[[#This Row],[DEVELOPMENT]],Data[],25,FALSE)</f>
        <v>0</v>
      </c>
      <c r="T115">
        <f>VLOOKUP(all[[#This Row],[DEVELOPMENT]],Data[],5,FALSE)</f>
        <v>3</v>
      </c>
      <c r="U115">
        <f>VLOOKUP(all[[#This Row],[DEVELOPMENT]],Data[],10,FALSE)</f>
        <v>3</v>
      </c>
      <c r="V115">
        <f>VLOOKUP(all[[#This Row],[DEVELOPMENT]],Data[],10,FALSE)</f>
        <v>3</v>
      </c>
      <c r="W115">
        <f>VLOOKUP(all[[#This Row],[DEVELOPMENT]],Data[],33,FALSE)</f>
        <v>2</v>
      </c>
      <c r="X115">
        <f>VLOOKUP(all[[#This Row],[DEVELOPMENT]],Data[],33,FALSE)</f>
        <v>2</v>
      </c>
      <c r="Y115">
        <f>VLOOKUP(all[[#This Row],[DEVELOPMENT]],Data[],28,FALSE)</f>
        <v>0</v>
      </c>
      <c r="Z115">
        <f>IF(all[[#This Row],['# Bulk Crushers]]=0,1,0)</f>
        <v>1</v>
      </c>
      <c r="AA115" s="5">
        <f ca="1">IFERROR(INDEX(FWD[],MATCH($B115,FWD[DEVELOPMENT],0),MATCH("ESTIMATE",FWD[#Headers],0)),0)</f>
        <v>684056.90706293017</v>
      </c>
      <c r="AB115" s="5">
        <f ca="1">IFERROR(INDEX(EHDAll[],MATCH($B115,EHDAll[DEVELOPMENT],0),MATCH("ESTIMATE",EHDAll[#Headers],0)),0)</f>
        <v>23087.6730675</v>
      </c>
      <c r="AC115" s="5">
        <f ca="1">IFERROR(INDEX(IntAll[],MATCH($B115,IntAll[DEVELOPMENT],0),MATCH("ESTIMATE",IntAll[#Headers],0)),0)</f>
        <v>215759.25000000003</v>
      </c>
      <c r="AD115" s="5">
        <f ca="1">IFERROR(INDEX(YardsAll[],MATCH($B115,YardsAll[DEVELOPMENT],0),MATCH("TOTAL ESTIMATE",YardsAll[#Headers],0)),0)</f>
        <v>2303288.9648100007</v>
      </c>
      <c r="AE115" s="99">
        <f t="shared" ca="1" si="1"/>
        <v>3226192.7949404307</v>
      </c>
      <c r="AF115" s="5"/>
    </row>
    <row r="116" spans="1:32">
      <c r="A116" s="101">
        <f>VLOOKUP(B116,Data[],24,FALSE)</f>
        <v>163</v>
      </c>
      <c r="B116" t="s">
        <v>260</v>
      </c>
      <c r="C116" t="str">
        <f>VLOOKUP(all[[#This Row],[DEVELOPMENT]],Data[],MATCH(all[[#Headers],[PROGRAM]],Data[#Headers],0),FALSE)</f>
        <v>FEDERAL</v>
      </c>
      <c r="D116" t="str">
        <f>VLOOKUP(B116,Data[],2,FALSE)</f>
        <v>BROOKLYN</v>
      </c>
      <c r="E116">
        <f>VLOOKUP(all[[#This Row],[DEVELOPMENT]],Data[],65,FALSE)</f>
        <v>52</v>
      </c>
      <c r="F116" t="e">
        <f>VLOOKUP(all[[#This Row],[DEVELOPMENT]],Data[],3,FALSE)</f>
        <v>#N/A</v>
      </c>
      <c r="G116" s="107" t="s">
        <v>228</v>
      </c>
      <c r="H116" t="s">
        <v>184</v>
      </c>
      <c r="I116">
        <f>VLOOKUP(all[[#This Row],[DEVELOPMENT]],Data[],34,FALSE)</f>
        <v>0</v>
      </c>
      <c r="J116" t="s">
        <v>184</v>
      </c>
      <c r="K116">
        <f>VLOOKUP(B116,Data[],8,FALSE)</f>
        <v>0</v>
      </c>
      <c r="L116" t="str">
        <f>VLOOKUP(all[[#This Row],[DEVELOPMENT]],Data[],61,FALSE)</f>
        <v>No</v>
      </c>
      <c r="M116">
        <f>VLOOKUP(B116,Data[],9,FALSE)</f>
        <v>0</v>
      </c>
      <c r="N116">
        <v>2</v>
      </c>
      <c r="O116">
        <v>3</v>
      </c>
      <c r="P116" t="str">
        <f ca="1">IFERROR(VLOOKUP(B116,Data[],4,FALSE),"")</f>
        <v/>
      </c>
      <c r="Q116" t="str">
        <f ca="1">IF(all[[#This Row],[RAD/PACT]]="","",IF(OR(all[[#This Row],[RAD/PACT]]="2021-2025",all[[#This Row],[RAD/PACT]]="2019-2020"),"Yes",""))</f>
        <v/>
      </c>
      <c r="R116">
        <f>VLOOKUP(all[[#This Row],[DEVELOPMENT]],Data[],7,FALSE)</f>
        <v>528</v>
      </c>
      <c r="S116">
        <f>VLOOKUP(all[[#This Row],[DEVELOPMENT]],Data[],25,FALSE)</f>
        <v>0</v>
      </c>
      <c r="T116">
        <f>VLOOKUP(all[[#This Row],[DEVELOPMENT]],Data[],5,FALSE)</f>
        <v>3</v>
      </c>
      <c r="U116">
        <f>VLOOKUP(all[[#This Row],[DEVELOPMENT]],Data[],10,FALSE)</f>
        <v>3</v>
      </c>
      <c r="V116">
        <f>VLOOKUP(all[[#This Row],[DEVELOPMENT]],Data[],10,FALSE)</f>
        <v>3</v>
      </c>
      <c r="W116">
        <f>VLOOKUP(all[[#This Row],[DEVELOPMENT]],Data[],33,FALSE)</f>
        <v>2</v>
      </c>
      <c r="X116">
        <f>VLOOKUP(all[[#This Row],[DEVELOPMENT]],Data[],33,FALSE)</f>
        <v>2</v>
      </c>
      <c r="Y116">
        <f>VLOOKUP(all[[#This Row],[DEVELOPMENT]],Data[],28,FALSE)</f>
        <v>0</v>
      </c>
      <c r="Z116">
        <f>IF(all[[#This Row],['# Bulk Crushers]]=0,1,0)</f>
        <v>1</v>
      </c>
      <c r="AA116" s="5">
        <f ca="1">IFERROR(INDEX(FWD[],MATCH($B116,FWD[DEVELOPMENT],0),MATCH("ESTIMATE",FWD[#Headers],0)),0)</f>
        <v>907492.58022418886</v>
      </c>
      <c r="AB116" s="5">
        <f ca="1">IFERROR(INDEX(EHDAll[],MATCH($B116,EHDAll[DEVELOPMENT],0),MATCH("ESTIMATE",EHDAll[#Headers],0)),0)</f>
        <v>25429.900770000004</v>
      </c>
      <c r="AC116" s="5">
        <f ca="1">IFERROR(INDEX(IntAll[],MATCH($B116,IntAll[DEVELOPMENT],0),MATCH("ESTIMATE",IntAll[#Headers],0)),0)</f>
        <v>195886.68749999997</v>
      </c>
      <c r="AD116" s="5">
        <f ca="1">IFERROR(INDEX(YardsAll[],MATCH($B116,YardsAll[DEVELOPMENT],0),MATCH("TOTAL ESTIMATE",YardsAll[#Headers],0)),0)</f>
        <v>2232573.9527325006</v>
      </c>
      <c r="AE116" s="99">
        <f t="shared" ca="1" si="1"/>
        <v>3361383.1212266893</v>
      </c>
      <c r="AF116" s="5"/>
    </row>
    <row r="117" spans="1:32">
      <c r="A117" s="101">
        <f>VLOOKUP(B117,Data[],24,FALSE)</f>
        <v>22</v>
      </c>
      <c r="B117" t="s">
        <v>261</v>
      </c>
      <c r="C117" t="str">
        <f>VLOOKUP(all[[#This Row],[DEVELOPMENT]],Data[],MATCH(all[[#Headers],[PROGRAM]],Data[#Headers],0),FALSE)</f>
        <v>FEDERAL</v>
      </c>
      <c r="D117" t="str">
        <f>VLOOKUP(B117,Data[],2,FALSE)</f>
        <v>MANHATTAN</v>
      </c>
      <c r="E117">
        <f>VLOOKUP(all[[#This Row],[DEVELOPMENT]],Data[],65,FALSE)</f>
        <v>67</v>
      </c>
      <c r="F117" t="e">
        <f>VLOOKUP(all[[#This Row],[DEVELOPMENT]],Data[],3,FALSE)</f>
        <v>#N/A</v>
      </c>
      <c r="G117" s="107" t="s">
        <v>228</v>
      </c>
      <c r="H117" t="s">
        <v>184</v>
      </c>
      <c r="I117">
        <f>VLOOKUP(all[[#This Row],[DEVELOPMENT]],Data[],34,FALSE)</f>
        <v>2</v>
      </c>
      <c r="J117" t="s">
        <v>184</v>
      </c>
      <c r="K117" t="str">
        <f>VLOOKUP(B117,Data[],8,FALSE)</f>
        <v>Zone 4</v>
      </c>
      <c r="L117" t="str">
        <f>VLOOKUP(all[[#This Row],[DEVELOPMENT]],Data[],61,FALSE)</f>
        <v>No</v>
      </c>
      <c r="M117">
        <f>VLOOKUP(B117,Data[],9,FALSE)</f>
        <v>0</v>
      </c>
      <c r="N117">
        <v>2</v>
      </c>
      <c r="O117" t="s">
        <v>185</v>
      </c>
      <c r="P117" t="str">
        <f ca="1">IFERROR(VLOOKUP(B117,Data[],4,FALSE),"")</f>
        <v/>
      </c>
      <c r="Q117" t="str">
        <f ca="1">IF(all[[#This Row],[RAD/PACT]]="","",IF(OR(all[[#This Row],[RAD/PACT]]="2021-2025",all[[#This Row],[RAD/PACT]]="2019-2020"),"Yes",""))</f>
        <v/>
      </c>
      <c r="R117">
        <f>VLOOKUP(all[[#This Row],[DEVELOPMENT]],Data[],7,FALSE)</f>
        <v>1084</v>
      </c>
      <c r="S117">
        <f>VLOOKUP(all[[#This Row],[DEVELOPMENT]],Data[],25,FALSE)</f>
        <v>0</v>
      </c>
      <c r="T117">
        <f>VLOOKUP(all[[#This Row],[DEVELOPMENT]],Data[],5,FALSE)</f>
        <v>13</v>
      </c>
      <c r="U117">
        <f>VLOOKUP(all[[#This Row],[DEVELOPMENT]],Data[],10,FALSE)</f>
        <v>24</v>
      </c>
      <c r="V117">
        <f>VLOOKUP(all[[#This Row],[DEVELOPMENT]],Data[],10,FALSE)</f>
        <v>24</v>
      </c>
      <c r="W117">
        <f>VLOOKUP(all[[#This Row],[DEVELOPMENT]],Data[],33,FALSE)</f>
        <v>3</v>
      </c>
      <c r="X117">
        <f>VLOOKUP(all[[#This Row],[DEVELOPMENT]],Data[],33,FALSE)</f>
        <v>3</v>
      </c>
      <c r="Y117">
        <f>VLOOKUP(all[[#This Row],[DEVELOPMENT]],Data[],28,FALSE)</f>
        <v>0</v>
      </c>
      <c r="Z117">
        <f>IF(all[[#This Row],['# Bulk Crushers]]=0,1,0)</f>
        <v>1</v>
      </c>
      <c r="AA117" s="5">
        <f ca="1">IFERROR(INDEX(FWD[],MATCH($B117,FWD[DEVELOPMENT],0),MATCH("ESTIMATE",FWD[#Headers],0)),0)</f>
        <v>1863109.766975418</v>
      </c>
      <c r="AB117" s="5">
        <f ca="1">IFERROR(INDEX(EHDAll[],MATCH($B117,EHDAll[DEVELOPMENT],0),MATCH("ESTIMATE",EHDAll[#Headers],0)),0)</f>
        <v>203439.20616000003</v>
      </c>
      <c r="AC117" s="5">
        <f ca="1">IFERROR(INDEX(IntAll[],MATCH($B117,IntAll[DEVELOPMENT],0),MATCH("ESTIMATE",IntAll[#Headers],0)),0)</f>
        <v>1620087</v>
      </c>
      <c r="AD117" s="5">
        <f ca="1">IFERROR(INDEX(YardsAll[],MATCH($B117,YardsAll[DEVELOPMENT],0),MATCH("TOTAL ESTIMATE",YardsAll[#Headers],0)),0)</f>
        <v>2678443.0517460005</v>
      </c>
      <c r="AE117" s="99">
        <f t="shared" ca="1" si="1"/>
        <v>6365079.0248814188</v>
      </c>
      <c r="AF117" s="5"/>
    </row>
    <row r="118" spans="1:32">
      <c r="A118" s="101">
        <f>VLOOKUP(B118,Data[],24,FALSE)</f>
        <v>187</v>
      </c>
      <c r="B118" t="s">
        <v>262</v>
      </c>
      <c r="C118" t="str">
        <f>VLOOKUP(all[[#This Row],[DEVELOPMENT]],Data[],MATCH(all[[#Headers],[PROGRAM]],Data[#Headers],0),FALSE)</f>
        <v>MIXED FINANCE/LLC1</v>
      </c>
      <c r="D118" t="str">
        <f>VLOOKUP(B118,Data[],2,FALSE)</f>
        <v>MANHATTAN</v>
      </c>
      <c r="E118">
        <f>VLOOKUP(all[[#This Row],[DEVELOPMENT]],Data[],65,FALSE)</f>
        <v>67</v>
      </c>
      <c r="F118" t="e">
        <f>VLOOKUP(all[[#This Row],[DEVELOPMENT]],Data[],3,FALSE)</f>
        <v>#N/A</v>
      </c>
      <c r="G118" s="107" t="s">
        <v>228</v>
      </c>
      <c r="H118" t="s">
        <v>184</v>
      </c>
      <c r="I118">
        <f>VLOOKUP(all[[#This Row],[DEVELOPMENT]],Data[],34,FALSE)</f>
        <v>2</v>
      </c>
      <c r="J118" t="s">
        <v>184</v>
      </c>
      <c r="K118">
        <f>VLOOKUP(B118,Data[],8,FALSE)</f>
        <v>0</v>
      </c>
      <c r="L118" t="str">
        <f>VLOOKUP(all[[#This Row],[DEVELOPMENT]],Data[],61,FALSE)</f>
        <v>No</v>
      </c>
      <c r="M118">
        <f>VLOOKUP(B118,Data[],9,FALSE)</f>
        <v>0</v>
      </c>
      <c r="N118">
        <v>3</v>
      </c>
      <c r="O118" t="s">
        <v>185</v>
      </c>
      <c r="P118" t="str">
        <f ca="1">IFERROR(VLOOKUP(B118,Data[],4,FALSE),"")</f>
        <v/>
      </c>
      <c r="Q118" t="str">
        <f ca="1">IF(all[[#This Row],[RAD/PACT]]="","",IF(OR(all[[#This Row],[RAD/PACT]]="2021-2025",all[[#This Row],[RAD/PACT]]="2019-2020"),"Yes",""))</f>
        <v/>
      </c>
      <c r="R118">
        <f>VLOOKUP(all[[#This Row],[DEVELOPMENT]],Data[],7,FALSE)</f>
        <v>175</v>
      </c>
      <c r="S118">
        <f>VLOOKUP(all[[#This Row],[DEVELOPMENT]],Data[],25,FALSE)</f>
        <v>0</v>
      </c>
      <c r="T118">
        <f>VLOOKUP(all[[#This Row],[DEVELOPMENT]],Data[],5,FALSE)</f>
        <v>1</v>
      </c>
      <c r="U118">
        <f>VLOOKUP(all[[#This Row],[DEVELOPMENT]],Data[],10,FALSE)</f>
        <v>1</v>
      </c>
      <c r="V118">
        <f>VLOOKUP(all[[#This Row],[DEVELOPMENT]],Data[],10,FALSE)</f>
        <v>1</v>
      </c>
      <c r="W118">
        <f>VLOOKUP(all[[#This Row],[DEVELOPMENT]],Data[],33,FALSE)</f>
        <v>0</v>
      </c>
      <c r="X118">
        <f>VLOOKUP(all[[#This Row],[DEVELOPMENT]],Data[],33,FALSE)</f>
        <v>0</v>
      </c>
      <c r="Y118">
        <f>VLOOKUP(all[[#This Row],[DEVELOPMENT]],Data[],28,FALSE)</f>
        <v>0</v>
      </c>
      <c r="Z118">
        <f>IF(all[[#This Row],['# Bulk Crushers]]=0,1,0)</f>
        <v>1</v>
      </c>
      <c r="AA118" s="5">
        <f ca="1">IFERROR(INDEX(FWD[],MATCH($B118,FWD[DEVELOPMENT],0),MATCH("ESTIMATE",FWD[#Headers],0)),0)</f>
        <v>300778.79079400195</v>
      </c>
      <c r="AB118" s="5">
        <f ca="1">IFERROR(INDEX(EHDAll[],MATCH($B118,EHDAll[DEVELOPMENT],0),MATCH("ESTIMATE",EHDAll[#Headers],0)),0)</f>
        <v>8476.6335900000013</v>
      </c>
      <c r="AC118" s="5">
        <f ca="1">IFERROR(INDEX(IntAll[],MATCH($B118,IntAll[DEVELOPMENT],0),MATCH("ESTIMATE",IntAll[#Headers],0)),0)</f>
        <v>69711.6875</v>
      </c>
      <c r="AD118" s="5">
        <f ca="1">IFERROR(INDEX(YardsAll[],MATCH($B118,YardsAll[DEVELOPMENT],0),MATCH("TOTAL ESTIMATE",YardsAll[#Headers],0)),0)</f>
        <v>2123866.2609500005</v>
      </c>
      <c r="AE118" s="99">
        <f t="shared" ca="1" si="1"/>
        <v>2502833.3728340026</v>
      </c>
      <c r="AF118" s="5"/>
    </row>
    <row r="119" spans="1:32">
      <c r="A119" s="101">
        <f>VLOOKUP(B119,Data[],24,FALSE)</f>
        <v>155</v>
      </c>
      <c r="B119" t="s">
        <v>263</v>
      </c>
      <c r="C119" t="str">
        <f>VLOOKUP(all[[#This Row],[DEVELOPMENT]],Data[],MATCH(all[[#Headers],[PROGRAM]],Data[#Headers],0),FALSE)</f>
        <v>FEDERAL</v>
      </c>
      <c r="D119" t="str">
        <f>VLOOKUP(B119,Data[],2,FALSE)</f>
        <v>MANHATTAN</v>
      </c>
      <c r="E119">
        <f>VLOOKUP(all[[#This Row],[DEVELOPMENT]],Data[],65,FALSE)</f>
        <v>69</v>
      </c>
      <c r="F119" t="e">
        <f>VLOOKUP(all[[#This Row],[DEVELOPMENT]],Data[],3,FALSE)</f>
        <v>#N/A</v>
      </c>
      <c r="G119" s="107" t="s">
        <v>228</v>
      </c>
      <c r="H119" t="s">
        <v>184</v>
      </c>
      <c r="I119">
        <f>VLOOKUP(all[[#This Row],[DEVELOPMENT]],Data[],34,FALSE)</f>
        <v>2</v>
      </c>
      <c r="J119" t="s">
        <v>184</v>
      </c>
      <c r="K119" t="str">
        <f>VLOOKUP(B119,Data[],8,FALSE)</f>
        <v>Zone 3</v>
      </c>
      <c r="L119" t="str">
        <f>VLOOKUP(all[[#This Row],[DEVELOPMENT]],Data[],61,FALSE)</f>
        <v>No</v>
      </c>
      <c r="M119">
        <f>VLOOKUP(B119,Data[],9,FALSE)</f>
        <v>0</v>
      </c>
      <c r="N119">
        <v>2</v>
      </c>
      <c r="O119">
        <v>4</v>
      </c>
      <c r="P119" t="str">
        <f ca="1">IFERROR(VLOOKUP(B119,Data[],4,FALSE),"")</f>
        <v/>
      </c>
      <c r="Q119" t="str">
        <f ca="1">IF(all[[#This Row],[RAD/PACT]]="","",IF(OR(all[[#This Row],[RAD/PACT]]="2021-2025",all[[#This Row],[RAD/PACT]]="2019-2020"),"Yes",""))</f>
        <v/>
      </c>
      <c r="R119">
        <f>VLOOKUP(all[[#This Row],[DEVELOPMENT]],Data[],7,FALSE)</f>
        <v>219</v>
      </c>
      <c r="S119">
        <f>VLOOKUP(all[[#This Row],[DEVELOPMENT]],Data[],25,FALSE)</f>
        <v>0</v>
      </c>
      <c r="T119">
        <f>VLOOKUP(all[[#This Row],[DEVELOPMENT]],Data[],5,FALSE)</f>
        <v>1</v>
      </c>
      <c r="U119">
        <f>VLOOKUP(all[[#This Row],[DEVELOPMENT]],Data[],10,FALSE)</f>
        <v>1</v>
      </c>
      <c r="V119">
        <f>VLOOKUP(all[[#This Row],[DEVELOPMENT]],Data[],10,FALSE)</f>
        <v>1</v>
      </c>
      <c r="W119">
        <f>VLOOKUP(all[[#This Row],[DEVELOPMENT]],Data[],33,FALSE)</f>
        <v>0</v>
      </c>
      <c r="X119">
        <f>VLOOKUP(all[[#This Row],[DEVELOPMENT]],Data[],33,FALSE)</f>
        <v>0</v>
      </c>
      <c r="Y119">
        <f>VLOOKUP(all[[#This Row],[DEVELOPMENT]],Data[],28,FALSE)</f>
        <v>0</v>
      </c>
      <c r="Z119">
        <f>IF(all[[#This Row],['# Bulk Crushers]]=0,1,0)</f>
        <v>1</v>
      </c>
      <c r="AA119" s="5">
        <f ca="1">IFERROR(INDEX(FWD[],MATCH($B119,FWD[DEVELOPMENT],0),MATCH("ESTIMATE",FWD[#Headers],0)),0)</f>
        <v>376403.17247935105</v>
      </c>
      <c r="AB119" s="5">
        <f ca="1">IFERROR(INDEX(EHDAll[],MATCH($B119,EHDAll[DEVELOPMENT],0),MATCH("ESTIMATE",EHDAll[#Headers],0)),0)</f>
        <v>8476.6335900000013</v>
      </c>
      <c r="AC119" s="5">
        <f ca="1">IFERROR(INDEX(IntAll[],MATCH($B119,IntAll[DEVELOPMENT],0),MATCH("ESTIMATE",IntAll[#Headers],0)),0)</f>
        <v>65295.562499999993</v>
      </c>
      <c r="AD119" s="5">
        <f ca="1">IFERROR(INDEX(YardsAll[],MATCH($B119,YardsAll[DEVELOPMENT],0),MATCH("TOTAL ESTIMATE",YardsAll[#Headers],0)),0)</f>
        <v>1997338.0581700003</v>
      </c>
      <c r="AE119" s="99">
        <f t="shared" ca="1" si="1"/>
        <v>2447513.4267393514</v>
      </c>
      <c r="AF119" s="5"/>
    </row>
    <row r="120" spans="1:32">
      <c r="A120" s="101">
        <f>VLOOKUP(B120,Data[],24,FALSE)</f>
        <v>111</v>
      </c>
      <c r="B120" t="s">
        <v>77</v>
      </c>
      <c r="C120" t="str">
        <f>VLOOKUP(all[[#This Row],[DEVELOPMENT]],Data[],MATCH(all[[#Headers],[PROGRAM]],Data[#Headers],0),FALSE)</f>
        <v>MIXED FINANCE/LLC1</v>
      </c>
      <c r="D120" t="str">
        <f>VLOOKUP(B120,Data[],2,FALSE)</f>
        <v>MANHATTAN</v>
      </c>
      <c r="E120">
        <f>VLOOKUP(all[[#This Row],[DEVELOPMENT]],Data[],65,FALSE)</f>
        <v>70</v>
      </c>
      <c r="F120" t="e">
        <f>VLOOKUP(all[[#This Row],[DEVELOPMENT]],Data[],3,FALSE)</f>
        <v>#N/A</v>
      </c>
      <c r="G120" s="107" t="s">
        <v>228</v>
      </c>
      <c r="H120" t="s">
        <v>184</v>
      </c>
      <c r="I120">
        <f>VLOOKUP(all[[#This Row],[DEVELOPMENT]],Data[],34,FALSE)</f>
        <v>2</v>
      </c>
      <c r="J120" t="s">
        <v>184</v>
      </c>
      <c r="K120" t="str">
        <f>VLOOKUP(B120,Data[],8,FALSE)</f>
        <v>Zone 2</v>
      </c>
      <c r="L120" t="str">
        <f>VLOOKUP(all[[#This Row],[DEVELOPMENT]],Data[],61,FALSE)</f>
        <v>No</v>
      </c>
      <c r="M120">
        <f>VLOOKUP(B120,Data[],9,FALSE)</f>
        <v>4</v>
      </c>
      <c r="N120" t="s">
        <v>185</v>
      </c>
      <c r="O120" t="s">
        <v>185</v>
      </c>
      <c r="P120" t="str">
        <f ca="1">IFERROR(VLOOKUP(B120,Data[],4,FALSE),"")</f>
        <v/>
      </c>
      <c r="Q120" t="str">
        <f ca="1">IF(all[[#This Row],[RAD/PACT]]="","",IF(OR(all[[#This Row],[RAD/PACT]]="2021-2025",all[[#This Row],[RAD/PACT]]="2019-2020"),"Yes",""))</f>
        <v/>
      </c>
      <c r="R120">
        <f>VLOOKUP(all[[#This Row],[DEVELOPMENT]],Data[],7,FALSE)</f>
        <v>1211</v>
      </c>
      <c r="S120">
        <f>VLOOKUP(all[[#This Row],[DEVELOPMENT]],Data[],25,FALSE)</f>
        <v>0</v>
      </c>
      <c r="T120">
        <f>VLOOKUP(all[[#This Row],[DEVELOPMENT]],Data[],5,FALSE)</f>
        <v>5</v>
      </c>
      <c r="U120">
        <f>VLOOKUP(all[[#This Row],[DEVELOPMENT]],Data[],10,FALSE)</f>
        <v>5</v>
      </c>
      <c r="V120">
        <f>VLOOKUP(all[[#This Row],[DEVELOPMENT]],Data[],10,FALSE)</f>
        <v>5</v>
      </c>
      <c r="W120">
        <f>VLOOKUP(all[[#This Row],[DEVELOPMENT]],Data[],33,FALSE)</f>
        <v>2</v>
      </c>
      <c r="X120">
        <f>VLOOKUP(all[[#This Row],[DEVELOPMENT]],Data[],33,FALSE)</f>
        <v>2</v>
      </c>
      <c r="Y120">
        <f>VLOOKUP(all[[#This Row],[DEVELOPMENT]],Data[],28,FALSE)</f>
        <v>0</v>
      </c>
      <c r="Z120">
        <f>IF(all[[#This Row],['# Bulk Crushers]]=0,1,0)</f>
        <v>1</v>
      </c>
      <c r="AA120" s="5">
        <f ca="1">IFERROR(INDEX(FWD[],MATCH($B120,FWD[DEVELOPMENT],0),MATCH("ESTIMATE",FWD[#Headers],0)),0)</f>
        <v>2081389.2322944936</v>
      </c>
      <c r="AB120" s="5">
        <f ca="1">IFERROR(INDEX(EHDAll[],MATCH($B120,EHDAll[DEVELOPMENT],0),MATCH("ESTIMATE",EHDAll[#Headers],0)),0)</f>
        <v>38479.455112499993</v>
      </c>
      <c r="AC120" s="5">
        <f ca="1">IFERROR(INDEX(IntAll[],MATCH($B120,IntAll[DEVELOPMENT],0),MATCH("ESTIMATE",IntAll[#Headers],0)),0)</f>
        <v>359598.75000000006</v>
      </c>
      <c r="AD120" s="5">
        <f ca="1">IFERROR(INDEX(YardsAll[],MATCH($B120,YardsAll[DEVELOPMENT],0),MATCH("TOTAL ESTIMATE",YardsAll[#Headers],0)),0)</f>
        <v>2374003.9768875008</v>
      </c>
      <c r="AE120" s="99">
        <f t="shared" ca="1" si="1"/>
        <v>4853471.4142944943</v>
      </c>
      <c r="AF120" s="5"/>
    </row>
    <row r="121" spans="1:32">
      <c r="A121" s="101">
        <f>VLOOKUP(B121,Data[],24,FALSE)</f>
        <v>224</v>
      </c>
      <c r="B121" t="s">
        <v>264</v>
      </c>
      <c r="C121" t="str">
        <f>VLOOKUP(all[[#This Row],[DEVELOPMENT]],Data[],MATCH(all[[#Headers],[PROGRAM]],Data[#Headers],0),FALSE)</f>
        <v>FEDERAL</v>
      </c>
      <c r="D121" t="str">
        <f>VLOOKUP(B121,Data[],2,FALSE)</f>
        <v>BRONX</v>
      </c>
      <c r="E121">
        <f>VLOOKUP(all[[#This Row],[DEVELOPMENT]],Data[],65,FALSE)</f>
        <v>79</v>
      </c>
      <c r="F121" t="e">
        <f>VLOOKUP(all[[#This Row],[DEVELOPMENT]],Data[],3,FALSE)</f>
        <v>#N/A</v>
      </c>
      <c r="G121" s="107" t="s">
        <v>228</v>
      </c>
      <c r="H121" t="s">
        <v>184</v>
      </c>
      <c r="I121">
        <f>VLOOKUP(all[[#This Row],[DEVELOPMENT]],Data[],34,FALSE)</f>
        <v>2</v>
      </c>
      <c r="J121" t="s">
        <v>184</v>
      </c>
      <c r="K121">
        <f>VLOOKUP(B121,Data[],8,FALSE)</f>
        <v>0</v>
      </c>
      <c r="L121" t="str">
        <f>VLOOKUP(all[[#This Row],[DEVELOPMENT]],Data[],61,FALSE)</f>
        <v>No</v>
      </c>
      <c r="M121">
        <f>VLOOKUP(B121,Data[],9,FALSE)</f>
        <v>0</v>
      </c>
      <c r="N121">
        <v>2</v>
      </c>
      <c r="O121" t="s">
        <v>185</v>
      </c>
      <c r="P121" t="str">
        <f ca="1">IFERROR(VLOOKUP(B121,Data[],4,FALSE),"")</f>
        <v>2026+</v>
      </c>
      <c r="Q121" t="str">
        <f ca="1">IF(all[[#This Row],[RAD/PACT]]="","",IF(OR(all[[#This Row],[RAD/PACT]]="2021-2025",all[[#This Row],[RAD/PACT]]="2019-2020"),"Yes",""))</f>
        <v/>
      </c>
      <c r="R121">
        <f>VLOOKUP(all[[#This Row],[DEVELOPMENT]],Data[],7,FALSE)</f>
        <v>65</v>
      </c>
      <c r="S121">
        <f>VLOOKUP(all[[#This Row],[DEVELOPMENT]],Data[],25,FALSE)</f>
        <v>0</v>
      </c>
      <c r="T121">
        <f>VLOOKUP(all[[#This Row],[DEVELOPMENT]],Data[],5,FALSE)</f>
        <v>1</v>
      </c>
      <c r="U121">
        <f>VLOOKUP(all[[#This Row],[DEVELOPMENT]],Data[],10,FALSE)</f>
        <v>1</v>
      </c>
      <c r="V121">
        <f>VLOOKUP(all[[#This Row],[DEVELOPMENT]],Data[],10,FALSE)</f>
        <v>1</v>
      </c>
      <c r="W121">
        <f>VLOOKUP(all[[#This Row],[DEVELOPMENT]],Data[],33,FALSE)</f>
        <v>0</v>
      </c>
      <c r="X121">
        <f>VLOOKUP(all[[#This Row],[DEVELOPMENT]],Data[],33,FALSE)</f>
        <v>0</v>
      </c>
      <c r="Y121">
        <f>VLOOKUP(all[[#This Row],[DEVELOPMENT]],Data[],28,FALSE)</f>
        <v>0</v>
      </c>
      <c r="Z121">
        <f>IF(all[[#This Row],['# Bulk Crushers]]=0,1,0)</f>
        <v>1</v>
      </c>
      <c r="AA121" s="5">
        <f ca="1">IFERROR(INDEX(FWD[],MATCH($B121,FWD[DEVELOPMENT],0),MATCH("ESTIMATE",FWD[#Headers],0)),0)</f>
        <v>111717.8365806293</v>
      </c>
      <c r="AB121" s="5">
        <f ca="1">IFERROR(INDEX(EHDAll[],MATCH($B121,EHDAll[DEVELOPMENT],0),MATCH("ESTIMATE",EHDAll[#Headers],0)),0)</f>
        <v>8476.6335900000013</v>
      </c>
      <c r="AC121" s="5">
        <f ca="1">IFERROR(INDEX(IntAll[],MATCH($B121,IntAll[DEVELOPMENT],0),MATCH("ESTIMATE",IntAll[#Headers],0)),0)</f>
        <v>65295.562499999993</v>
      </c>
      <c r="AD121" s="5">
        <f ca="1">IFERROR(INDEX(YardsAll[],MATCH($B121,YardsAll[DEVELOPMENT],0),MATCH("TOTAL ESTIMATE",YardsAll[#Headers],0)),0)</f>
        <v>2060602.1595600008</v>
      </c>
      <c r="AE121" s="99">
        <f t="shared" ca="1" si="1"/>
        <v>2246092.1922306302</v>
      </c>
      <c r="AF121" s="5"/>
    </row>
    <row r="122" spans="1:32">
      <c r="A122" s="101">
        <f>VLOOKUP(B122,Data[],24,FALSE)</f>
        <v>262</v>
      </c>
      <c r="B122" t="s">
        <v>265</v>
      </c>
      <c r="C122" t="str">
        <f>VLOOKUP(all[[#This Row],[DEVELOPMENT]],Data[],MATCH(all[[#Headers],[PROGRAM]],Data[#Headers],0),FALSE)</f>
        <v>FEDERAL</v>
      </c>
      <c r="D122" t="str">
        <f>VLOOKUP(B122,Data[],2,FALSE)</f>
        <v>MANHATTAN</v>
      </c>
      <c r="E122">
        <f>VLOOKUP(all[[#This Row],[DEVELOPMENT]],Data[],65,FALSE)</f>
        <v>67</v>
      </c>
      <c r="F122" t="e">
        <f>VLOOKUP(all[[#This Row],[DEVELOPMENT]],Data[],3,FALSE)</f>
        <v>#N/A</v>
      </c>
      <c r="G122" s="107" t="s">
        <v>228</v>
      </c>
      <c r="H122" t="s">
        <v>184</v>
      </c>
      <c r="I122">
        <f>VLOOKUP(all[[#This Row],[DEVELOPMENT]],Data[],34,FALSE)</f>
        <v>2</v>
      </c>
      <c r="J122" t="s">
        <v>184</v>
      </c>
      <c r="K122">
        <f>VLOOKUP(B122,Data[],8,FALSE)</f>
        <v>0</v>
      </c>
      <c r="L122" t="str">
        <f>VLOOKUP(all[[#This Row],[DEVELOPMENT]],Data[],61,FALSE)</f>
        <v>No</v>
      </c>
      <c r="M122">
        <f>VLOOKUP(B122,Data[],9,FALSE)</f>
        <v>0</v>
      </c>
      <c r="N122">
        <v>4</v>
      </c>
      <c r="O122" t="s">
        <v>185</v>
      </c>
      <c r="P122" t="str">
        <f ca="1">IFERROR(VLOOKUP(B122,Data[],4,FALSE),"")</f>
        <v/>
      </c>
      <c r="Q122" t="str">
        <f ca="1">IF(all[[#This Row],[RAD/PACT]]="","",IF(OR(all[[#This Row],[RAD/PACT]]="2021-2025",all[[#This Row],[RAD/PACT]]="2019-2020"),"Yes",""))</f>
        <v/>
      </c>
      <c r="R122">
        <f>VLOOKUP(all[[#This Row],[DEVELOPMENT]],Data[],7,FALSE)</f>
        <v>377</v>
      </c>
      <c r="S122">
        <f>VLOOKUP(all[[#This Row],[DEVELOPMENT]],Data[],25,FALSE)</f>
        <v>0</v>
      </c>
      <c r="T122">
        <f>VLOOKUP(all[[#This Row],[DEVELOPMENT]],Data[],5,FALSE)</f>
        <v>2</v>
      </c>
      <c r="U122">
        <f>VLOOKUP(all[[#This Row],[DEVELOPMENT]],Data[],10,FALSE)</f>
        <v>2</v>
      </c>
      <c r="V122">
        <f>VLOOKUP(all[[#This Row],[DEVELOPMENT]],Data[],10,FALSE)</f>
        <v>2</v>
      </c>
      <c r="W122">
        <f>VLOOKUP(all[[#This Row],[DEVELOPMENT]],Data[],33,FALSE)</f>
        <v>1</v>
      </c>
      <c r="X122">
        <f>VLOOKUP(all[[#This Row],[DEVELOPMENT]],Data[],33,FALSE)</f>
        <v>1</v>
      </c>
      <c r="Y122">
        <f>VLOOKUP(all[[#This Row],[DEVELOPMENT]],Data[],28,FALSE)</f>
        <v>0</v>
      </c>
      <c r="Z122">
        <f>IF(all[[#This Row],['# Bulk Crushers]]=0,1,0)</f>
        <v>1</v>
      </c>
      <c r="AA122" s="5">
        <f ca="1">IFERROR(INDEX(FWD[],MATCH($B122,FWD[DEVELOPMENT],0),MATCH("ESTIMATE",FWD[#Headers],0)),0)</f>
        <v>647963.45216764999</v>
      </c>
      <c r="AB122" s="5">
        <f ca="1">IFERROR(INDEX(EHDAll[],MATCH($B122,EHDAll[DEVELOPMENT],0),MATCH("ESTIMATE",EHDAll[#Headers],0)),0)</f>
        <v>16953.267180000003</v>
      </c>
      <c r="AC122" s="5">
        <f ca="1">IFERROR(INDEX(IntAll[],MATCH($B122,IntAll[DEVELOPMENT],0),MATCH("ESTIMATE",IntAll[#Headers],0)),0)</f>
        <v>126175</v>
      </c>
      <c r="AD122" s="5">
        <f ca="1">IFERROR(INDEX(YardsAll[],MATCH($B122,YardsAll[DEVELOPMENT],0),MATCH("TOTAL ESTIMATE",YardsAll[#Headers],0)),0)</f>
        <v>2123866.2609500005</v>
      </c>
      <c r="AE122" s="99">
        <f t="shared" ca="1" si="1"/>
        <v>2914957.9802976502</v>
      </c>
      <c r="AF122" s="5"/>
    </row>
    <row r="123" spans="1:32">
      <c r="A123" s="101">
        <f>VLOOKUP(B123,Data[],24,FALSE)</f>
        <v>184</v>
      </c>
      <c r="B123" t="s">
        <v>266</v>
      </c>
      <c r="C123" t="str">
        <f>VLOOKUP(all[[#This Row],[DEVELOPMENT]],Data[],MATCH(all[[#Headers],[PROGRAM]],Data[#Headers],0),FALSE)</f>
        <v>FEDERAL</v>
      </c>
      <c r="D123" t="str">
        <f>VLOOKUP(B123,Data[],2,FALSE)</f>
        <v>MANHATTAN</v>
      </c>
      <c r="E123">
        <f>VLOOKUP(all[[#This Row],[DEVELOPMENT]],Data[],65,FALSE)</f>
        <v>65</v>
      </c>
      <c r="F123" t="e">
        <f>VLOOKUP(all[[#This Row],[DEVELOPMENT]],Data[],3,FALSE)</f>
        <v>#N/A</v>
      </c>
      <c r="G123" s="107" t="s">
        <v>228</v>
      </c>
      <c r="H123" t="s">
        <v>184</v>
      </c>
      <c r="I123">
        <f>VLOOKUP(all[[#This Row],[DEVELOPMENT]],Data[],34,FALSE)</f>
        <v>2</v>
      </c>
      <c r="J123" t="s">
        <v>184</v>
      </c>
      <c r="K123" t="str">
        <f>VLOOKUP(B123,Data[],8,FALSE)</f>
        <v>Zone 1</v>
      </c>
      <c r="L123" t="str">
        <f>VLOOKUP(all[[#This Row],[DEVELOPMENT]],Data[],61,FALSE)</f>
        <v>No</v>
      </c>
      <c r="M123">
        <f>VLOOKUP(B123,Data[],9,FALSE)</f>
        <v>3</v>
      </c>
      <c r="N123">
        <v>3</v>
      </c>
      <c r="O123">
        <v>3</v>
      </c>
      <c r="P123" t="str">
        <f ca="1">IFERROR(VLOOKUP(B123,Data[],4,FALSE),"")</f>
        <v/>
      </c>
      <c r="Q123" t="str">
        <f ca="1">IF(all[[#This Row],[RAD/PACT]]="","",IF(OR(all[[#This Row],[RAD/PACT]]="2021-2025",all[[#This Row],[RAD/PACT]]="2019-2020"),"Yes",""))</f>
        <v/>
      </c>
      <c r="R123">
        <f>VLOOKUP(all[[#This Row],[DEVELOPMENT]],Data[],7,FALSE)</f>
        <v>149</v>
      </c>
      <c r="S123" t="str">
        <f>VLOOKUP(all[[#This Row],[DEVELOPMENT]],Data[],25,FALSE)</f>
        <v>Newtown Creek</v>
      </c>
      <c r="T123">
        <f>VLOOKUP(all[[#This Row],[DEVELOPMENT]],Data[],5,FALSE)</f>
        <v>1</v>
      </c>
      <c r="U123">
        <f>VLOOKUP(all[[#This Row],[DEVELOPMENT]],Data[],10,FALSE)</f>
        <v>1</v>
      </c>
      <c r="V123">
        <f>VLOOKUP(all[[#This Row],[DEVELOPMENT]],Data[],10,FALSE)</f>
        <v>1</v>
      </c>
      <c r="W123">
        <f>VLOOKUP(all[[#This Row],[DEVELOPMENT]],Data[],33,FALSE)</f>
        <v>0</v>
      </c>
      <c r="X123">
        <f>VLOOKUP(all[[#This Row],[DEVELOPMENT]],Data[],33,FALSE)</f>
        <v>0</v>
      </c>
      <c r="Y123">
        <f>VLOOKUP(all[[#This Row],[DEVELOPMENT]],Data[],28,FALSE)</f>
        <v>0</v>
      </c>
      <c r="Z123">
        <f>IF(all[[#This Row],['# Bulk Crushers]]=0,1,0)</f>
        <v>1</v>
      </c>
      <c r="AA123" s="5">
        <f ca="1">IFERROR(INDEX(FWD[],MATCH($B123,FWD[DEVELOPMENT],0),MATCH("ESTIMATE",FWD[#Headers],0)),0)</f>
        <v>256091.65616175026</v>
      </c>
      <c r="AB123" s="5">
        <f ca="1">IFERROR(INDEX(EHDAll[],MATCH($B123,EHDAll[DEVELOPMENT],0),MATCH("ESTIMATE",EHDAll[#Headers],0)),0)</f>
        <v>7435.6435000000001</v>
      </c>
      <c r="AC123" s="5">
        <f ca="1">IFERROR(INDEX(IntAll[],MATCH($B123,IntAll[DEVELOPMENT],0),MATCH("ESTIMATE",IntAll[#Headers],0)),0)</f>
        <v>59677</v>
      </c>
      <c r="AD123" s="5">
        <f ca="1">IFERROR(INDEX(YardsAll[],MATCH($B123,YardsAll[DEVELOPMENT],0),MATCH("TOTAL ESTIMATE",YardsAll[#Headers],0)),0)</f>
        <v>2060602.1595600008</v>
      </c>
      <c r="AE123" s="99">
        <f t="shared" ca="1" si="1"/>
        <v>2383806.459221751</v>
      </c>
      <c r="AF123" s="5"/>
    </row>
    <row r="124" spans="1:32">
      <c r="A124" s="101">
        <f>VLOOKUP(B124,Data[],24,FALSE)</f>
        <v>120</v>
      </c>
      <c r="B124" t="s">
        <v>35</v>
      </c>
      <c r="C124" t="str">
        <f>VLOOKUP(all[[#This Row],[DEVELOPMENT]],Data[],MATCH(all[[#Headers],[PROGRAM]],Data[#Headers],0),FALSE)</f>
        <v>FEDERAL</v>
      </c>
      <c r="D124" t="str">
        <f>VLOOKUP(B124,Data[],2,FALSE)</f>
        <v>BRONX</v>
      </c>
      <c r="E124">
        <f>VLOOKUP(all[[#This Row],[DEVELOPMENT]],Data[],65,FALSE)</f>
        <v>79</v>
      </c>
      <c r="F124" t="e">
        <f>VLOOKUP(all[[#This Row],[DEVELOPMENT]],Data[],3,FALSE)</f>
        <v>#N/A</v>
      </c>
      <c r="G124" s="107" t="s">
        <v>228</v>
      </c>
      <c r="H124" t="s">
        <v>184</v>
      </c>
      <c r="I124">
        <f>VLOOKUP(all[[#This Row],[DEVELOPMENT]],Data[],34,FALSE)</f>
        <v>2</v>
      </c>
      <c r="J124" t="s">
        <v>184</v>
      </c>
      <c r="K124" t="str">
        <f>VLOOKUP(B124,Data[],8,FALSE)</f>
        <v>Zone 1</v>
      </c>
      <c r="L124" t="str">
        <f>VLOOKUP(all[[#This Row],[DEVELOPMENT]],Data[],61,FALSE)</f>
        <v>No</v>
      </c>
      <c r="M124">
        <f>VLOOKUP(B124,Data[],9,FALSE)</f>
        <v>4</v>
      </c>
      <c r="N124">
        <v>3</v>
      </c>
      <c r="O124" t="s">
        <v>185</v>
      </c>
      <c r="P124" t="str">
        <f ca="1">IFERROR(VLOOKUP(B124,Data[],4,FALSE),"")</f>
        <v/>
      </c>
      <c r="Q124" t="str">
        <f ca="1">IF(all[[#This Row],[RAD/PACT]]="","",IF(OR(all[[#This Row],[RAD/PACT]]="2021-2025",all[[#This Row],[RAD/PACT]]="2019-2020"),"Yes",""))</f>
        <v/>
      </c>
      <c r="R124">
        <f>VLOOKUP(all[[#This Row],[DEVELOPMENT]],Data[],7,FALSE)</f>
        <v>868</v>
      </c>
      <c r="S124">
        <f>VLOOKUP(all[[#This Row],[DEVELOPMENT]],Data[],25,FALSE)</f>
        <v>0</v>
      </c>
      <c r="T124">
        <f>VLOOKUP(all[[#This Row],[DEVELOPMENT]],Data[],5,FALSE)</f>
        <v>7</v>
      </c>
      <c r="U124">
        <f>VLOOKUP(all[[#This Row],[DEVELOPMENT]],Data[],10,FALSE)</f>
        <v>7</v>
      </c>
      <c r="V124">
        <f>VLOOKUP(all[[#This Row],[DEVELOPMENT]],Data[],10,FALSE)</f>
        <v>7</v>
      </c>
      <c r="W124">
        <f>VLOOKUP(all[[#This Row],[DEVELOPMENT]],Data[],33,FALSE)</f>
        <v>2</v>
      </c>
      <c r="X124">
        <f>VLOOKUP(all[[#This Row],[DEVELOPMENT]],Data[],33,FALSE)</f>
        <v>2</v>
      </c>
      <c r="Y124">
        <f>VLOOKUP(all[[#This Row],[DEVELOPMENT]],Data[],28,FALSE)</f>
        <v>0</v>
      </c>
      <c r="Z124">
        <f>IF(all[[#This Row],['# Bulk Crushers]]=0,1,0)</f>
        <v>1</v>
      </c>
      <c r="AA124" s="5">
        <f ca="1">IFERROR(INDEX(FWD[],MATCH($B124,FWD[DEVELOPMENT],0),MATCH("ESTIMATE",FWD[#Headers],0)),0)</f>
        <v>1491862.8023382497</v>
      </c>
      <c r="AB124" s="5">
        <f>IFERROR(INDEX(EHDAll[],MATCH($B124,EHDAll[DEVELOPMENT],0),MATCH("ESTIMATE",EHDAll[#Headers],0)),0)</f>
        <v>0</v>
      </c>
      <c r="AC124" s="5">
        <f ca="1">IFERROR(INDEX(IntAll[],MATCH($B124,IntAll[DEVELOPMENT],0),MATCH("ESTIMATE",IntAll[#Headers],0)),0)</f>
        <v>503438.25000000006</v>
      </c>
      <c r="AD124" s="5">
        <f ca="1">IFERROR(INDEX(YardsAll[],MATCH($B124,YardsAll[DEVELOPMENT],0),MATCH("TOTAL ESTIMATE",YardsAll[#Headers],0)),0)</f>
        <v>2000000</v>
      </c>
      <c r="AE124" s="99">
        <f t="shared" ca="1" si="1"/>
        <v>3995301.05233825</v>
      </c>
      <c r="AF124" s="5"/>
    </row>
    <row r="125" spans="1:32">
      <c r="A125" s="101">
        <f>VLOOKUP(B125,Data[],24,FALSE)</f>
        <v>326</v>
      </c>
      <c r="B125" t="s">
        <v>62</v>
      </c>
      <c r="C125" t="str">
        <f>VLOOKUP(all[[#This Row],[DEVELOPMENT]],Data[],MATCH(all[[#Headers],[PROGRAM]],Data[#Headers],0),FALSE)</f>
        <v>FEDERAL</v>
      </c>
      <c r="D125" t="str">
        <f>VLOOKUP(B125,Data[],2,FALSE)</f>
        <v>MANHATTAN</v>
      </c>
      <c r="E125">
        <f>VLOOKUP(all[[#This Row],[DEVELOPMENT]],Data[],65,FALSE)</f>
        <v>65</v>
      </c>
      <c r="F125" t="e">
        <f>VLOOKUP(all[[#This Row],[DEVELOPMENT]],Data[],3,FALSE)</f>
        <v>#N/A</v>
      </c>
      <c r="G125" s="107" t="s">
        <v>228</v>
      </c>
      <c r="H125" t="s">
        <v>184</v>
      </c>
      <c r="I125">
        <f>VLOOKUP(all[[#This Row],[DEVELOPMENT]],Data[],34,FALSE)</f>
        <v>2</v>
      </c>
      <c r="J125" t="s">
        <v>184</v>
      </c>
      <c r="K125" t="str">
        <f>VLOOKUP(B125,Data[],8,FALSE)</f>
        <v>Zone 1</v>
      </c>
      <c r="L125" t="str">
        <f>VLOOKUP(all[[#This Row],[DEVELOPMENT]],Data[],61,FALSE)</f>
        <v>No</v>
      </c>
      <c r="M125">
        <f>VLOOKUP(B125,Data[],9,FALSE)</f>
        <v>3</v>
      </c>
      <c r="N125">
        <v>3</v>
      </c>
      <c r="O125">
        <v>3</v>
      </c>
      <c r="P125" t="str">
        <f ca="1">IFERROR(VLOOKUP(B125,Data[],4,FALSE),"")</f>
        <v/>
      </c>
      <c r="Q125" t="str">
        <f ca="1">IF(all[[#This Row],[RAD/PACT]]="","",IF(OR(all[[#This Row],[RAD/PACT]]="2021-2025",all[[#This Row],[RAD/PACT]]="2019-2020"),"Yes",""))</f>
        <v/>
      </c>
      <c r="R125">
        <f>VLOOKUP(all[[#This Row],[DEVELOPMENT]],Data[],7,FALSE)</f>
        <v>189</v>
      </c>
      <c r="S125" t="str">
        <f>VLOOKUP(all[[#This Row],[DEVELOPMENT]],Data[],25,FALSE)</f>
        <v>Newtown Creek</v>
      </c>
      <c r="T125">
        <f>VLOOKUP(all[[#This Row],[DEVELOPMENT]],Data[],5,FALSE)</f>
        <v>5</v>
      </c>
      <c r="U125">
        <f>VLOOKUP(all[[#This Row],[DEVELOPMENT]],Data[],10,FALSE)</f>
        <v>1</v>
      </c>
      <c r="V125">
        <f>VLOOKUP(all[[#This Row],[DEVELOPMENT]],Data[],10,FALSE)</f>
        <v>1</v>
      </c>
      <c r="W125">
        <f>VLOOKUP(all[[#This Row],[DEVELOPMENT]],Data[],33,FALSE)</f>
        <v>0</v>
      </c>
      <c r="X125">
        <f>VLOOKUP(all[[#This Row],[DEVELOPMENT]],Data[],33,FALSE)</f>
        <v>0</v>
      </c>
      <c r="Y125">
        <f>VLOOKUP(all[[#This Row],[DEVELOPMENT]],Data[],28,FALSE)</f>
        <v>0</v>
      </c>
      <c r="Z125">
        <f>IF(all[[#This Row],['# Bulk Crushers]]=0,1,0)</f>
        <v>1</v>
      </c>
      <c r="AA125" s="5">
        <f ca="1">IFERROR(INDEX(FWD[],MATCH($B125,FWD[DEVELOPMENT],0),MATCH("ESTIMATE",FWD[#Headers],0)),0)</f>
        <v>324841.09405752213</v>
      </c>
      <c r="AB125" s="5">
        <f ca="1">IFERROR(INDEX(EHDAll[],MATCH($B125,EHDAll[DEVELOPMENT],0),MATCH("ESTIMATE",EHDAll[#Headers],0)),0)</f>
        <v>7435.6435000000001</v>
      </c>
      <c r="AC125" s="5">
        <f ca="1">IFERROR(INDEX(IntAll[],MATCH($B125,IntAll[DEVELOPMENT],0),MATCH("ESTIMATE",IntAll[#Headers],0)),0)</f>
        <v>0</v>
      </c>
      <c r="AD125" s="5">
        <f ca="1">IFERROR(INDEX(YardsAll[],MATCH($B125,YardsAll[DEVELOPMENT],0),MATCH("TOTAL ESTIMATE",YardsAll[#Headers],0)),0)</f>
        <v>2060602.1595600008</v>
      </c>
      <c r="AE125" s="99">
        <f t="shared" ca="1" si="1"/>
        <v>2392878.897117523</v>
      </c>
      <c r="AF125" s="5"/>
    </row>
    <row r="126" spans="1:32">
      <c r="A126" s="101">
        <f>VLOOKUP(B126,Data[],24,FALSE)</f>
        <v>183</v>
      </c>
      <c r="B126" t="s">
        <v>50</v>
      </c>
      <c r="C126" t="str">
        <f>VLOOKUP(all[[#This Row],[DEVELOPMENT]],Data[],MATCH(all[[#Headers],[PROGRAM]],Data[#Headers],0),FALSE)</f>
        <v>FEDERAL</v>
      </c>
      <c r="D126" t="str">
        <f>VLOOKUP(B126,Data[],2,FALSE)</f>
        <v>MANHATTAN</v>
      </c>
      <c r="E126">
        <f>VLOOKUP(all[[#This Row],[DEVELOPMENT]],Data[],65,FALSE)</f>
        <v>65</v>
      </c>
      <c r="F126" t="e">
        <f>VLOOKUP(all[[#This Row],[DEVELOPMENT]],Data[],3,FALSE)</f>
        <v>#N/A</v>
      </c>
      <c r="G126" s="107" t="s">
        <v>228</v>
      </c>
      <c r="H126" t="s">
        <v>184</v>
      </c>
      <c r="I126">
        <f>VLOOKUP(all[[#This Row],[DEVELOPMENT]],Data[],34,FALSE)</f>
        <v>2</v>
      </c>
      <c r="J126" t="s">
        <v>184</v>
      </c>
      <c r="K126" t="str">
        <f>VLOOKUP(B126,Data[],8,FALSE)</f>
        <v>Zone 1</v>
      </c>
      <c r="L126" t="str">
        <f>VLOOKUP(all[[#This Row],[DEVELOPMENT]],Data[],61,FALSE)</f>
        <v>No</v>
      </c>
      <c r="M126">
        <f>VLOOKUP(B126,Data[],9,FALSE)</f>
        <v>4</v>
      </c>
      <c r="N126">
        <v>3</v>
      </c>
      <c r="O126">
        <v>3</v>
      </c>
      <c r="P126" t="str">
        <f ca="1">IFERROR(VLOOKUP(B126,Data[],4,FALSE),"")</f>
        <v/>
      </c>
      <c r="Q126" t="str">
        <f ca="1">IF(all[[#This Row],[RAD/PACT]]="","",IF(OR(all[[#This Row],[RAD/PACT]]="2021-2025",all[[#This Row],[RAD/PACT]]="2019-2020"),"Yes",""))</f>
        <v/>
      </c>
      <c r="R126">
        <f>VLOOKUP(all[[#This Row],[DEVELOPMENT]],Data[],7,FALSE)</f>
        <v>229</v>
      </c>
      <c r="S126" t="str">
        <f>VLOOKUP(all[[#This Row],[DEVELOPMENT]],Data[],25,FALSE)</f>
        <v>Newtown Creek</v>
      </c>
      <c r="T126">
        <f>VLOOKUP(all[[#This Row],[DEVELOPMENT]],Data[],5,FALSE)</f>
        <v>1</v>
      </c>
      <c r="U126">
        <f>VLOOKUP(all[[#This Row],[DEVELOPMENT]],Data[],10,FALSE)</f>
        <v>1</v>
      </c>
      <c r="V126">
        <f>VLOOKUP(all[[#This Row],[DEVELOPMENT]],Data[],10,FALSE)</f>
        <v>1</v>
      </c>
      <c r="W126">
        <f>VLOOKUP(all[[#This Row],[DEVELOPMENT]],Data[],33,FALSE)</f>
        <v>0</v>
      </c>
      <c r="X126">
        <f>VLOOKUP(all[[#This Row],[DEVELOPMENT]],Data[],33,FALSE)</f>
        <v>0</v>
      </c>
      <c r="Y126">
        <f>VLOOKUP(all[[#This Row],[DEVELOPMENT]],Data[],28,FALSE)</f>
        <v>0</v>
      </c>
      <c r="Z126">
        <f>IF(all[[#This Row],['# Bulk Crushers]]=0,1,0)</f>
        <v>1</v>
      </c>
      <c r="AA126" s="5">
        <f>IFERROR(INDEX(FWD[],MATCH($B126,FWD[DEVELOPMENT],0),MATCH("ESTIMATE",FWD[#Headers],0)),0)</f>
        <v>0</v>
      </c>
      <c r="AB126" s="5">
        <f>IFERROR(INDEX(EHDAll[],MATCH($B126,EHDAll[DEVELOPMENT],0),MATCH("ESTIMATE",EHDAll[#Headers],0)),0)</f>
        <v>0</v>
      </c>
      <c r="AC126" s="5">
        <f ca="1">IFERROR(INDEX(IntAll[],MATCH($B126,IntAll[DEVELOPMENT],0),MATCH("ESTIMATE",IntAll[#Headers],0)),0)</f>
        <v>55349</v>
      </c>
      <c r="AD126" s="5">
        <f ca="1">IFERROR(INDEX(YardsAll[],MATCH($B126,YardsAll[DEVELOPMENT],0),MATCH("TOTAL ESTIMATE",YardsAll[#Headers],0)),0)</f>
        <v>0</v>
      </c>
      <c r="AE126" s="99">
        <f t="shared" ca="1" si="1"/>
        <v>55349</v>
      </c>
      <c r="AF126" s="5"/>
    </row>
    <row r="127" spans="1:32">
      <c r="A127" s="101">
        <f>VLOOKUP(B127,Data[],24,FALSE)</f>
        <v>84</v>
      </c>
      <c r="B127" t="s">
        <v>267</v>
      </c>
      <c r="C127" t="str">
        <f>VLOOKUP(all[[#This Row],[DEVELOPMENT]],Data[],MATCH(all[[#Headers],[PROGRAM]],Data[#Headers],0),FALSE)</f>
        <v>FEDERAL</v>
      </c>
      <c r="D127" t="str">
        <f>VLOOKUP(B127,Data[],2,FALSE)</f>
        <v>BRONX</v>
      </c>
      <c r="E127">
        <f>VLOOKUP(all[[#This Row],[DEVELOPMENT]],Data[],65,FALSE)</f>
        <v>84</v>
      </c>
      <c r="F127" t="e">
        <f>VLOOKUP(all[[#This Row],[DEVELOPMENT]],Data[],3,FALSE)</f>
        <v>#N/A</v>
      </c>
      <c r="G127" s="107" t="s">
        <v>228</v>
      </c>
      <c r="H127" t="s">
        <v>184</v>
      </c>
      <c r="I127">
        <f>VLOOKUP(all[[#This Row],[DEVELOPMENT]],Data[],34,FALSE)</f>
        <v>2</v>
      </c>
      <c r="J127" t="s">
        <v>184</v>
      </c>
      <c r="K127">
        <f>VLOOKUP(B127,Data[],8,FALSE)</f>
        <v>0</v>
      </c>
      <c r="L127" t="str">
        <f>VLOOKUP(all[[#This Row],[DEVELOPMENT]],Data[],61,FALSE)</f>
        <v>No</v>
      </c>
      <c r="M127">
        <f>VLOOKUP(B127,Data[],9,FALSE)</f>
        <v>0</v>
      </c>
      <c r="N127">
        <v>3</v>
      </c>
      <c r="O127">
        <v>4</v>
      </c>
      <c r="P127" t="str">
        <f ca="1">IFERROR(VLOOKUP(B127,Data[],4,FALSE),"")</f>
        <v/>
      </c>
      <c r="Q127" t="str">
        <f ca="1">IF(all[[#This Row],[RAD/PACT]]="","",IF(OR(all[[#This Row],[RAD/PACT]]="2021-2025",all[[#This Row],[RAD/PACT]]="2019-2020"),"Yes",""))</f>
        <v/>
      </c>
      <c r="R127">
        <f>VLOOKUP(all[[#This Row],[DEVELOPMENT]],Data[],7,FALSE)</f>
        <v>1251</v>
      </c>
      <c r="S127">
        <f>VLOOKUP(all[[#This Row],[DEVELOPMENT]],Data[],25,FALSE)</f>
        <v>0</v>
      </c>
      <c r="T127">
        <f>VLOOKUP(all[[#This Row],[DEVELOPMENT]],Data[],5,FALSE)</f>
        <v>9</v>
      </c>
      <c r="U127">
        <f>VLOOKUP(all[[#This Row],[DEVELOPMENT]],Data[],10,FALSE)</f>
        <v>12</v>
      </c>
      <c r="V127">
        <f>VLOOKUP(all[[#This Row],[DEVELOPMENT]],Data[],10,FALSE)</f>
        <v>12</v>
      </c>
      <c r="W127">
        <f>VLOOKUP(all[[#This Row],[DEVELOPMENT]],Data[],33,FALSE)</f>
        <v>2</v>
      </c>
      <c r="X127">
        <f>VLOOKUP(all[[#This Row],[DEVELOPMENT]],Data[],33,FALSE)</f>
        <v>2</v>
      </c>
      <c r="Y127">
        <f>VLOOKUP(all[[#This Row],[DEVELOPMENT]],Data[],28,FALSE)</f>
        <v>0</v>
      </c>
      <c r="Z127">
        <f>IF(all[[#This Row],['# Bulk Crushers]]=0,1,0)</f>
        <v>1</v>
      </c>
      <c r="AA127" s="5">
        <f ca="1">IFERROR(INDEX(FWD[],MATCH($B127,FWD[DEVELOPMENT],0),MATCH("ESTIMATE",FWD[#Headers],0)),0)</f>
        <v>2150138.6701902654</v>
      </c>
      <c r="AB127" s="5">
        <f ca="1">IFERROR(INDEX(EHDAll[],MATCH($B127,EHDAll[DEVELOPMENT],0),MATCH("ESTIMATE",EHDAll[#Headers],0)),0)</f>
        <v>101719.60308000002</v>
      </c>
      <c r="AC127" s="5">
        <f ca="1">IFERROR(INDEX(IntAll[],MATCH($B127,IntAll[DEVELOPMENT],0),MATCH("ESTIMATE",IntAll[#Headers],0)),0)</f>
        <v>916030.5</v>
      </c>
      <c r="AD127" s="5">
        <f ca="1">IFERROR(INDEX(YardsAll[],MATCH($B127,YardsAll[DEVELOPMENT],0),MATCH("TOTAL ESTIMATE",YardsAll[#Headers],0)),0)</f>
        <v>1600660.0257475004</v>
      </c>
      <c r="AE127" s="99">
        <f t="shared" ca="1" si="1"/>
        <v>4768548.7990177656</v>
      </c>
      <c r="AF127" s="5"/>
    </row>
    <row r="128" spans="1:32">
      <c r="A128" s="101">
        <f>VLOOKUP(B128,Data[],24,FALSE)</f>
        <v>505</v>
      </c>
      <c r="B128" t="s">
        <v>134</v>
      </c>
      <c r="C128" t="str">
        <f>VLOOKUP(all[[#This Row],[DEVELOPMENT]],Data[],MATCH(all[[#Headers],[PROGRAM]],Data[#Headers],0),FALSE)</f>
        <v>FEDERAL</v>
      </c>
      <c r="D128" t="str">
        <f>VLOOKUP(B128,Data[],2,FALSE)</f>
        <v>QUEENS</v>
      </c>
      <c r="E128">
        <f>VLOOKUP(all[[#This Row],[DEVELOPMENT]],Data[],65,FALSE)</f>
        <v>37</v>
      </c>
      <c r="F128" t="e">
        <f>VLOOKUP(all[[#This Row],[DEVELOPMENT]],Data[],3,FALSE)</f>
        <v>#N/A</v>
      </c>
      <c r="G128" s="107" t="s">
        <v>228</v>
      </c>
      <c r="H128" t="s">
        <v>184</v>
      </c>
      <c r="I128">
        <f>VLOOKUP(all[[#This Row],[DEVELOPMENT]],Data[],34,FALSE)</f>
        <v>2</v>
      </c>
      <c r="J128" t="s">
        <v>184</v>
      </c>
      <c r="K128" t="str">
        <f>VLOOKUP(B128,Data[],8,FALSE)</f>
        <v>Zone 3</v>
      </c>
      <c r="L128" t="str">
        <f>VLOOKUP(all[[#This Row],[DEVELOPMENT]],Data[],61,FALSE)</f>
        <v>Yes</v>
      </c>
      <c r="M128">
        <f>VLOOKUP(B128,Data[],9,FALSE)</f>
        <v>4</v>
      </c>
      <c r="N128">
        <v>3</v>
      </c>
      <c r="O128">
        <v>4</v>
      </c>
      <c r="P128" t="str">
        <f ca="1">IFERROR(VLOOKUP(B128,Data[],4,FALSE),"")</f>
        <v>2026+</v>
      </c>
      <c r="Q128" t="str">
        <f ca="1">IF(all[[#This Row],[RAD/PACT]]="","",IF(OR(all[[#This Row],[RAD/PACT]]="2021-2025",all[[#This Row],[RAD/PACT]]="2019-2020"),"Yes",""))</f>
        <v/>
      </c>
      <c r="R128">
        <f>VLOOKUP(all[[#This Row],[DEVELOPMENT]],Data[],7,FALSE)</f>
        <v>1542</v>
      </c>
      <c r="S128">
        <f>VLOOKUP(all[[#This Row],[DEVELOPMENT]],Data[],25,FALSE)</f>
        <v>0</v>
      </c>
      <c r="T128">
        <f>VLOOKUP(all[[#This Row],[DEVELOPMENT]],Data[],5,FALSE)</f>
        <v>13</v>
      </c>
      <c r="U128">
        <f>VLOOKUP(all[[#This Row],[DEVELOPMENT]],Data[],10,FALSE)</f>
        <v>47</v>
      </c>
      <c r="V128">
        <f>VLOOKUP(all[[#This Row],[DEVELOPMENT]],Data[],10,FALSE)</f>
        <v>47</v>
      </c>
      <c r="W128">
        <f>VLOOKUP(all[[#This Row],[DEVELOPMENT]],Data[],33,FALSE)</f>
        <v>3</v>
      </c>
      <c r="X128">
        <f>VLOOKUP(all[[#This Row],[DEVELOPMENT]],Data[],33,FALSE)</f>
        <v>3</v>
      </c>
      <c r="Y128">
        <f>VLOOKUP(all[[#This Row],[DEVELOPMENT]],Data[],28,FALSE)</f>
        <v>0</v>
      </c>
      <c r="Z128">
        <f>IF(all[[#This Row],['# Bulk Crushers]]=0,1,0)</f>
        <v>1</v>
      </c>
      <c r="AA128" s="5">
        <f ca="1">IFERROR(INDEX(FWD[],MATCH($B128,FWD[DEVELOPMENT],0),MATCH("ESTIMATE",FWD[#Headers],0)),0)</f>
        <v>2650290.8308820059</v>
      </c>
      <c r="AB128" s="5">
        <f ca="1">IFERROR(INDEX(EHDAll[],MATCH($B128,EHDAll[DEVELOPMENT],0),MATCH("ESTIMATE",EHDAll[#Headers],0)),0)</f>
        <v>361706.8780575</v>
      </c>
      <c r="AC128" s="5">
        <f ca="1">IFERROR(INDEX(IntAll[],MATCH($B128,IntAll[DEVELOPMENT],0),MATCH("ESTIMATE",IntAll[#Headers],0)),0)</f>
        <v>3380228.2500000005</v>
      </c>
      <c r="AD128" s="5">
        <f ca="1">IFERROR(INDEX(YardsAll[],MATCH($B128,YardsAll[DEVELOPMENT],0),MATCH("TOTAL ESTIMATE",YardsAll[#Headers],0)),0)</f>
        <v>1552980.7909380002</v>
      </c>
      <c r="AE128" s="99">
        <f t="shared" ca="1" si="1"/>
        <v>7945206.7498775059</v>
      </c>
      <c r="AF128" s="5"/>
    </row>
    <row r="129" spans="1:32">
      <c r="A129" s="101">
        <f>VLOOKUP(B129,Data[],24,FALSE)</f>
        <v>5</v>
      </c>
      <c r="B129" t="s">
        <v>135</v>
      </c>
      <c r="C129" t="str">
        <f>VLOOKUP(all[[#This Row],[DEVELOPMENT]],Data[],MATCH(all[[#Headers],[PROGRAM]],Data[#Headers],0),FALSE)</f>
        <v>FEDERAL</v>
      </c>
      <c r="D129" t="str">
        <f>VLOOKUP(B129,Data[],2,FALSE)</f>
        <v>QUEENS</v>
      </c>
      <c r="E129">
        <f>VLOOKUP(all[[#This Row],[DEVELOPMENT]],Data[],65,FALSE)</f>
        <v>37</v>
      </c>
      <c r="F129" t="e">
        <f>VLOOKUP(all[[#This Row],[DEVELOPMENT]],Data[],3,FALSE)</f>
        <v>#N/A</v>
      </c>
      <c r="G129" s="107" t="s">
        <v>228</v>
      </c>
      <c r="H129" t="s">
        <v>184</v>
      </c>
      <c r="I129">
        <f>VLOOKUP(all[[#This Row],[DEVELOPMENT]],Data[],34,FALSE)</f>
        <v>2</v>
      </c>
      <c r="J129" t="s">
        <v>184</v>
      </c>
      <c r="K129" t="str">
        <f>VLOOKUP(B129,Data[],8,FALSE)</f>
        <v>Zone 3</v>
      </c>
      <c r="L129" t="str">
        <f>VLOOKUP(all[[#This Row],[DEVELOPMENT]],Data[],61,FALSE)</f>
        <v>Yes</v>
      </c>
      <c r="M129">
        <f>VLOOKUP(B129,Data[],9,FALSE)</f>
        <v>4</v>
      </c>
      <c r="N129">
        <v>3</v>
      </c>
      <c r="O129" t="s">
        <v>185</v>
      </c>
      <c r="P129" t="str">
        <f ca="1">IFERROR(VLOOKUP(B129,Data[],4,FALSE),"")</f>
        <v>2026+</v>
      </c>
      <c r="Q129" t="str">
        <f ca="1">IF(all[[#This Row],[RAD/PACT]]="","",IF(OR(all[[#This Row],[RAD/PACT]]="2021-2025",all[[#This Row],[RAD/PACT]]="2019-2020"),"Yes",""))</f>
        <v/>
      </c>
      <c r="R129">
        <f>VLOOKUP(all[[#This Row],[DEVELOPMENT]],Data[],7,FALSE)</f>
        <v>1603</v>
      </c>
      <c r="S129">
        <f>VLOOKUP(all[[#This Row],[DEVELOPMENT]],Data[],25,FALSE)</f>
        <v>0</v>
      </c>
      <c r="T129">
        <f>VLOOKUP(all[[#This Row],[DEVELOPMENT]],Data[],5,FALSE)</f>
        <v>13</v>
      </c>
      <c r="U129">
        <f>VLOOKUP(all[[#This Row],[DEVELOPMENT]],Data[],10,FALSE)</f>
        <v>49</v>
      </c>
      <c r="V129">
        <f>VLOOKUP(all[[#This Row],[DEVELOPMENT]],Data[],10,FALSE)</f>
        <v>49</v>
      </c>
      <c r="W129">
        <f>VLOOKUP(all[[#This Row],[DEVELOPMENT]],Data[],33,FALSE)</f>
        <v>3</v>
      </c>
      <c r="X129">
        <f>VLOOKUP(all[[#This Row],[DEVELOPMENT]],Data[],33,FALSE)</f>
        <v>3</v>
      </c>
      <c r="Y129">
        <f>VLOOKUP(all[[#This Row],[DEVELOPMENT]],Data[],28,FALSE)</f>
        <v>0</v>
      </c>
      <c r="Z129">
        <f>IF(all[[#This Row],['# Bulk Crushers]]=0,1,0)</f>
        <v>1</v>
      </c>
      <c r="AA129" s="5">
        <f ca="1">IFERROR(INDEX(FWD[],MATCH($B129,FWD[DEVELOPMENT],0),MATCH("ESTIMATE",FWD[#Headers],0)),0)</f>
        <v>2755133.7236730582</v>
      </c>
      <c r="AB129" s="5">
        <f ca="1">IFERROR(INDEX(EHDAll[],MATCH($B129,EHDAll[DEVELOPMENT],0),MATCH("ESTIMATE",EHDAll[#Headers],0)),0)</f>
        <v>377098.66010249994</v>
      </c>
      <c r="AC129" s="5">
        <f ca="1">IFERROR(INDEX(IntAll[],MATCH($B129,IntAll[DEVELOPMENT],0),MATCH("ESTIMATE",IntAll[#Headers],0)),0)</f>
        <v>3524067.7500000005</v>
      </c>
      <c r="AD129" s="5">
        <f ca="1">IFERROR(INDEX(YardsAll[],MATCH($B129,YardsAll[DEVELOPMENT],0),MATCH("TOTAL ESTIMATE",YardsAll[#Headers],0)),0)</f>
        <v>1552980.7909380002</v>
      </c>
      <c r="AE129" s="99">
        <f t="shared" ca="1" si="1"/>
        <v>8209280.9247135585</v>
      </c>
      <c r="AF129" s="5"/>
    </row>
    <row r="130" spans="1:32">
      <c r="A130" s="101">
        <f>VLOOKUP(B130,Data[],24,FALSE)</f>
        <v>245</v>
      </c>
      <c r="B130" t="s">
        <v>268</v>
      </c>
      <c r="C130" t="str">
        <f>VLOOKUP(all[[#This Row],[DEVELOPMENT]],Data[],MATCH(all[[#Headers],[PROGRAM]],Data[#Headers],0),FALSE)</f>
        <v>FEDERAL</v>
      </c>
      <c r="D130" t="str">
        <f>VLOOKUP(B130,Data[],2,FALSE)</f>
        <v>BRONX</v>
      </c>
      <c r="E130">
        <f>VLOOKUP(all[[#This Row],[DEVELOPMENT]],Data[],65,FALSE)</f>
        <v>82</v>
      </c>
      <c r="F130" t="e">
        <f>VLOOKUP(all[[#This Row],[DEVELOPMENT]],Data[],3,FALSE)</f>
        <v>#N/A</v>
      </c>
      <c r="G130" s="107" t="s">
        <v>228</v>
      </c>
      <c r="H130" t="s">
        <v>184</v>
      </c>
      <c r="I130">
        <f>VLOOKUP(all[[#This Row],[DEVELOPMENT]],Data[],34,FALSE)</f>
        <v>2</v>
      </c>
      <c r="J130" t="s">
        <v>184</v>
      </c>
      <c r="K130">
        <f>VLOOKUP(B130,Data[],8,FALSE)</f>
        <v>0</v>
      </c>
      <c r="L130" t="str">
        <f>VLOOKUP(all[[#This Row],[DEVELOPMENT]],Data[],61,FALSE)</f>
        <v>No</v>
      </c>
      <c r="M130">
        <f>VLOOKUP(B130,Data[],9,FALSE)</f>
        <v>0</v>
      </c>
      <c r="N130" t="s">
        <v>185</v>
      </c>
      <c r="O130" t="s">
        <v>185</v>
      </c>
      <c r="P130" t="str">
        <f ca="1">IFERROR(VLOOKUP(B130,Data[],4,FALSE),"")</f>
        <v>2020-2021</v>
      </c>
      <c r="Q130" t="str">
        <f ca="1">IF(all[[#This Row],[RAD/PACT]]="","",IF(OR(all[[#This Row],[RAD/PACT]]="2021-2025",all[[#This Row],[RAD/PACT]]="2019-2020"),"Yes",""))</f>
        <v/>
      </c>
      <c r="R130">
        <f>VLOOKUP(all[[#This Row],[DEVELOPMENT]],Data[],7,FALSE)</f>
        <v>251</v>
      </c>
      <c r="S130">
        <f>VLOOKUP(all[[#This Row],[DEVELOPMENT]],Data[],25,FALSE)</f>
        <v>0</v>
      </c>
      <c r="T130">
        <f>VLOOKUP(all[[#This Row],[DEVELOPMENT]],Data[],5,FALSE)</f>
        <v>3</v>
      </c>
      <c r="U130">
        <f>VLOOKUP(all[[#This Row],[DEVELOPMENT]],Data[],10,FALSE)</f>
        <v>3</v>
      </c>
      <c r="V130">
        <f>VLOOKUP(all[[#This Row],[DEVELOPMENT]],Data[],10,FALSE)</f>
        <v>3</v>
      </c>
      <c r="W130">
        <f>VLOOKUP(all[[#This Row],[DEVELOPMENT]],Data[],33,FALSE)</f>
        <v>1</v>
      </c>
      <c r="X130">
        <f>VLOOKUP(all[[#This Row],[DEVELOPMENT]],Data[],33,FALSE)</f>
        <v>1</v>
      </c>
      <c r="Y130">
        <f>VLOOKUP(all[[#This Row],[DEVELOPMENT]],Data[],28,FALSE)</f>
        <v>0</v>
      </c>
      <c r="Z130">
        <f>IF(all[[#This Row],['# Bulk Crushers]]=0,1,0)</f>
        <v>1</v>
      </c>
      <c r="AA130" s="5">
        <f ca="1">IFERROR(INDEX(FWD[],MATCH($B130,FWD[DEVELOPMENT],0),MATCH("ESTIMATE",FWD[#Headers],0)),0)</f>
        <v>431402.72279596853</v>
      </c>
      <c r="AB130" s="5">
        <f>IFERROR(INDEX(EHDAll[],MATCH($B130,EHDAll[DEVELOPMENT],0),MATCH("ESTIMATE",EHDAll[#Headers],0)),0)</f>
        <v>0</v>
      </c>
      <c r="AC130" s="5">
        <f ca="1">IFERROR(INDEX(IntAll[],MATCH($B130,IntAll[DEVELOPMENT],0),MATCH("ESTIMATE",IntAll[#Headers],0)),0)</f>
        <v>0</v>
      </c>
      <c r="AD130" s="5">
        <f ca="1">IFERROR(INDEX(YardsAll[],MATCH($B130,YardsAll[DEVELOPMENT],0),MATCH("TOTAL ESTIMATE",YardsAll[#Headers],0)),0)</f>
        <v>0</v>
      </c>
      <c r="AE130" s="99">
        <f t="shared" ca="1" si="1"/>
        <v>431402.72279596853</v>
      </c>
      <c r="AF130" s="5"/>
    </row>
    <row r="131" spans="1:32">
      <c r="A131" s="101">
        <f>VLOOKUP(B131,Data[],24,FALSE)</f>
        <v>66</v>
      </c>
      <c r="B131" t="s">
        <v>269</v>
      </c>
      <c r="C131" t="str">
        <f>VLOOKUP(all[[#This Row],[DEVELOPMENT]],Data[],MATCH(all[[#Headers],[PROGRAM]],Data[#Headers],0),FALSE)</f>
        <v>FEDERAL</v>
      </c>
      <c r="D131" t="str">
        <f>VLOOKUP(B131,Data[],2,FALSE)</f>
        <v>QUEENS</v>
      </c>
      <c r="E131">
        <f>VLOOKUP(all[[#This Row],[DEVELOPMENT]],Data[],65,FALSE)</f>
        <v>32</v>
      </c>
      <c r="F131" t="e">
        <f>VLOOKUP(all[[#This Row],[DEVELOPMENT]],Data[],3,FALSE)</f>
        <v>#N/A</v>
      </c>
      <c r="G131" s="107" t="s">
        <v>228</v>
      </c>
      <c r="H131" t="s">
        <v>184</v>
      </c>
      <c r="I131">
        <f>VLOOKUP(all[[#This Row],[DEVELOPMENT]],Data[],34,FALSE)</f>
        <v>2</v>
      </c>
      <c r="J131" t="s">
        <v>184</v>
      </c>
      <c r="K131">
        <f>VLOOKUP(B131,Data[],8,FALSE)</f>
        <v>0</v>
      </c>
      <c r="L131" t="str">
        <f>VLOOKUP(all[[#This Row],[DEVELOPMENT]],Data[],61,FALSE)</f>
        <v>No</v>
      </c>
      <c r="M131">
        <f>VLOOKUP(B131,Data[],9,FALSE)</f>
        <v>0</v>
      </c>
      <c r="N131">
        <v>2</v>
      </c>
      <c r="O131" t="s">
        <v>185</v>
      </c>
      <c r="P131" t="str">
        <f ca="1">IFERROR(VLOOKUP(B131,Data[],4,FALSE),"")</f>
        <v>2026+</v>
      </c>
      <c r="Q131" t="str">
        <f ca="1">IF(all[[#This Row],[RAD/PACT]]="","",IF(OR(all[[#This Row],[RAD/PACT]]="2021-2025",all[[#This Row],[RAD/PACT]]="2019-2020"),"Yes",""))</f>
        <v/>
      </c>
      <c r="R131">
        <f>VLOOKUP(all[[#This Row],[DEVELOPMENT]],Data[],7,FALSE)</f>
        <v>598</v>
      </c>
      <c r="S131">
        <f>VLOOKUP(all[[#This Row],[DEVELOPMENT]],Data[],25,FALSE)</f>
        <v>0</v>
      </c>
      <c r="T131">
        <f>VLOOKUP(all[[#This Row],[DEVELOPMENT]],Data[],5,FALSE)</f>
        <v>16</v>
      </c>
      <c r="U131">
        <f>VLOOKUP(all[[#This Row],[DEVELOPMENT]],Data[],10,FALSE)</f>
        <v>27</v>
      </c>
      <c r="V131">
        <f>VLOOKUP(all[[#This Row],[DEVELOPMENT]],Data[],10,FALSE)</f>
        <v>27</v>
      </c>
      <c r="W131">
        <f>VLOOKUP(all[[#This Row],[DEVELOPMENT]],Data[],33,FALSE)</f>
        <v>2</v>
      </c>
      <c r="X131">
        <f>VLOOKUP(all[[#This Row],[DEVELOPMENT]],Data[],33,FALSE)</f>
        <v>2</v>
      </c>
      <c r="Y131">
        <f>VLOOKUP(all[[#This Row],[DEVELOPMENT]],Data[],28,FALSE)</f>
        <v>0</v>
      </c>
      <c r="Z131">
        <f>IF(all[[#This Row],['# Bulk Crushers]]=0,1,0)</f>
        <v>1</v>
      </c>
      <c r="AA131" s="5">
        <f ca="1">IFERROR(INDEX(FWD[],MATCH($B131,FWD[DEVELOPMENT],0),MATCH("ESTIMATE",FWD[#Headers],0)),0)</f>
        <v>1027804.0965417896</v>
      </c>
      <c r="AB131" s="5">
        <f ca="1">IFERROR(INDEX(EHDAll[],MATCH($B131,EHDAll[DEVELOPMENT],0),MATCH("ESTIMATE",EHDAll[#Headers],0)),0)</f>
        <v>228869.10693000004</v>
      </c>
      <c r="AC131" s="5">
        <f ca="1">IFERROR(INDEX(IntAll[],MATCH($B131,IntAll[DEVELOPMENT],0),MATCH("ESTIMATE",IntAll[#Headers],0)),0)</f>
        <v>1822597.875</v>
      </c>
      <c r="AD131" s="5">
        <f ca="1">IFERROR(INDEX(YardsAll[],MATCH($B131,YardsAll[DEVELOPMENT],0),MATCH("TOTAL ESTIMATE",YardsAll[#Headers],0)),0)</f>
        <v>2303288.9648100007</v>
      </c>
      <c r="AE131" s="99">
        <f t="shared" ca="1" si="1"/>
        <v>5382560.0432817899</v>
      </c>
      <c r="AF131" s="5"/>
    </row>
    <row r="132" spans="1:32">
      <c r="A132" s="101">
        <f>VLOOKUP(B132,Data[],24,FALSE)</f>
        <v>73</v>
      </c>
      <c r="B132" t="s">
        <v>45</v>
      </c>
      <c r="C132" t="str">
        <f>VLOOKUP(all[[#This Row],[DEVELOPMENT]],Data[],MATCH(all[[#Headers],[PROGRAM]],Data[#Headers],0),FALSE)</f>
        <v>FEDERAL</v>
      </c>
      <c r="D132" t="str">
        <f>VLOOKUP(B132,Data[],2,FALSE)</f>
        <v>BROOKLYN</v>
      </c>
      <c r="E132">
        <f>VLOOKUP(all[[#This Row],[DEVELOPMENT]],Data[],65,FALSE)</f>
        <v>56</v>
      </c>
      <c r="F132" t="e">
        <f>VLOOKUP(all[[#This Row],[DEVELOPMENT]],Data[],3,FALSE)</f>
        <v>#N/A</v>
      </c>
      <c r="G132" s="107" t="s">
        <v>228</v>
      </c>
      <c r="H132" t="s">
        <v>184</v>
      </c>
      <c r="I132">
        <f>VLOOKUP(all[[#This Row],[DEVELOPMENT]],Data[],34,FALSE)</f>
        <v>2</v>
      </c>
      <c r="J132" t="s">
        <v>184</v>
      </c>
      <c r="K132" t="str">
        <f>VLOOKUP(B132,Data[],8,FALSE)</f>
        <v>Zone 1</v>
      </c>
      <c r="L132" t="str">
        <f>VLOOKUP(all[[#This Row],[DEVELOPMENT]],Data[],61,FALSE)</f>
        <v>No</v>
      </c>
      <c r="M132">
        <f>VLOOKUP(B132,Data[],9,FALSE)</f>
        <v>4</v>
      </c>
      <c r="N132">
        <v>3</v>
      </c>
      <c r="O132">
        <v>4</v>
      </c>
      <c r="P132" t="str">
        <f ca="1">IFERROR(VLOOKUP(B132,Data[],4,FALSE),"")</f>
        <v/>
      </c>
      <c r="Q132" t="str">
        <f ca="1">IF(all[[#This Row],[RAD/PACT]]="","",IF(OR(all[[#This Row],[RAD/PACT]]="2021-2025",all[[#This Row],[RAD/PACT]]="2019-2020"),"Yes",""))</f>
        <v/>
      </c>
      <c r="R132">
        <f>VLOOKUP(all[[#This Row],[DEVELOPMENT]],Data[],7,FALSE)</f>
        <v>1098</v>
      </c>
      <c r="S132" t="str">
        <f>VLOOKUP(all[[#This Row],[DEVELOPMENT]],Data[],25,FALSE)</f>
        <v>Newtown Creek</v>
      </c>
      <c r="T132">
        <f>VLOOKUP(all[[#This Row],[DEVELOPMENT]],Data[],5,FALSE)</f>
        <v>13</v>
      </c>
      <c r="U132">
        <f>VLOOKUP(all[[#This Row],[DEVELOPMENT]],Data[],10,FALSE)</f>
        <v>24</v>
      </c>
      <c r="V132">
        <f>VLOOKUP(all[[#This Row],[DEVELOPMENT]],Data[],10,FALSE)</f>
        <v>24</v>
      </c>
      <c r="W132">
        <f>VLOOKUP(all[[#This Row],[DEVELOPMENT]],Data[],33,FALSE)</f>
        <v>3</v>
      </c>
      <c r="X132">
        <f>VLOOKUP(all[[#This Row],[DEVELOPMENT]],Data[],33,FALSE)</f>
        <v>3</v>
      </c>
      <c r="Y132">
        <f>VLOOKUP(all[[#This Row],[DEVELOPMENT]],Data[],28,FALSE)</f>
        <v>0</v>
      </c>
      <c r="Z132">
        <f>IF(all[[#This Row],['# Bulk Crushers]]=0,1,0)</f>
        <v>1</v>
      </c>
      <c r="AA132" s="5">
        <f ca="1">IFERROR(INDEX(FWD[],MATCH($B132,FWD[DEVELOPMENT],0),MATCH("ESTIMATE",FWD[#Headers],0)),0)</f>
        <v>1887172.0702389381</v>
      </c>
      <c r="AB132" s="5">
        <f>IFERROR(INDEX(EHDAll[],MATCH($B132,EHDAll[DEVELOPMENT],0),MATCH("ESTIMATE",EHDAll[#Headers],0)),0)</f>
        <v>0</v>
      </c>
      <c r="AC132" s="5">
        <f ca="1">IFERROR(INDEX(IntAll[],MATCH($B132,IntAll[DEVELOPMENT],0),MATCH("ESTIMATE",IntAll[#Headers],0)),0)</f>
        <v>957660</v>
      </c>
      <c r="AD132" s="5">
        <f ca="1">IFERROR(INDEX(YardsAll[],MATCH($B132,YardsAll[DEVELOPMENT],0),MATCH("TOTAL ESTIMATE",YardsAll[#Headers],0)),0)</f>
        <v>1552980.7909380002</v>
      </c>
      <c r="AE132" s="99">
        <f t="shared" ref="AE132:AE195" ca="1" si="2">SUM(AA132:AD132)</f>
        <v>4397812.8611769378</v>
      </c>
      <c r="AF132" s="5"/>
    </row>
    <row r="133" spans="1:32">
      <c r="A133" s="101">
        <f>VLOOKUP(B133,Data[],24,FALSE)</f>
        <v>96</v>
      </c>
      <c r="B133" t="s">
        <v>270</v>
      </c>
      <c r="C133" t="str">
        <f>VLOOKUP(all[[#This Row],[DEVELOPMENT]],Data[],MATCH(all[[#Headers],[PROGRAM]],Data[#Headers],0),FALSE)</f>
        <v>FEDERAL</v>
      </c>
      <c r="D133" t="str">
        <f>VLOOKUP(B133,Data[],2,FALSE)</f>
        <v>BROOKLYN</v>
      </c>
      <c r="E133">
        <f>VLOOKUP(all[[#This Row],[DEVELOPMENT]],Data[],65,FALSE)</f>
        <v>55</v>
      </c>
      <c r="F133" t="e">
        <f>VLOOKUP(all[[#This Row],[DEVELOPMENT]],Data[],3,FALSE)</f>
        <v>#N/A</v>
      </c>
      <c r="G133" s="107" t="s">
        <v>228</v>
      </c>
      <c r="H133" t="s">
        <v>184</v>
      </c>
      <c r="I133">
        <f>VLOOKUP(all[[#This Row],[DEVELOPMENT]],Data[],34,FALSE)</f>
        <v>2</v>
      </c>
      <c r="J133" t="s">
        <v>184</v>
      </c>
      <c r="K133">
        <f>VLOOKUP(B133,Data[],8,FALSE)</f>
        <v>0</v>
      </c>
      <c r="L133" t="str">
        <f>VLOOKUP(all[[#This Row],[DEVELOPMENT]],Data[],61,FALSE)</f>
        <v>No</v>
      </c>
      <c r="M133">
        <f>VLOOKUP(B133,Data[],9,FALSE)</f>
        <v>0</v>
      </c>
      <c r="N133">
        <v>4</v>
      </c>
      <c r="O133">
        <v>3</v>
      </c>
      <c r="P133" t="str">
        <f ca="1">IFERROR(VLOOKUP(B133,Data[],4,FALSE),"")</f>
        <v/>
      </c>
      <c r="Q133" t="str">
        <f ca="1">IF(all[[#This Row],[RAD/PACT]]="","",IF(OR(all[[#This Row],[RAD/PACT]]="2021-2025",all[[#This Row],[RAD/PACT]]="2019-2020"),"Yes",""))</f>
        <v/>
      </c>
      <c r="R133">
        <f>VLOOKUP(all[[#This Row],[DEVELOPMENT]],Data[],7,FALSE)</f>
        <v>998</v>
      </c>
      <c r="S133">
        <f>VLOOKUP(all[[#This Row],[DEVELOPMENT]],Data[],25,FALSE)</f>
        <v>0</v>
      </c>
      <c r="T133">
        <f>VLOOKUP(all[[#This Row],[DEVELOPMENT]],Data[],5,FALSE)</f>
        <v>8</v>
      </c>
      <c r="U133">
        <f>VLOOKUP(all[[#This Row],[DEVELOPMENT]],Data[],10,FALSE)</f>
        <v>8</v>
      </c>
      <c r="V133">
        <f>VLOOKUP(all[[#This Row],[DEVELOPMENT]],Data[],10,FALSE)</f>
        <v>8</v>
      </c>
      <c r="W133">
        <f>VLOOKUP(all[[#This Row],[DEVELOPMENT]],Data[],33,FALSE)</f>
        <v>2</v>
      </c>
      <c r="X133">
        <f>VLOOKUP(all[[#This Row],[DEVELOPMENT]],Data[],33,FALSE)</f>
        <v>2</v>
      </c>
      <c r="Y133">
        <f>VLOOKUP(all[[#This Row],[DEVELOPMENT]],Data[],28,FALSE)</f>
        <v>0</v>
      </c>
      <c r="Z133">
        <f>IF(all[[#This Row],['# Bulk Crushers]]=0,1,0)</f>
        <v>1</v>
      </c>
      <c r="AA133" s="5">
        <f ca="1">IFERROR(INDEX(FWD[],MATCH($B133,FWD[DEVELOPMENT],0),MATCH("ESTIMATE",FWD[#Headers],0)),0)</f>
        <v>1715298.4754995084</v>
      </c>
      <c r="AB133" s="5">
        <f ca="1">IFERROR(INDEX(EHDAll[],MATCH($B133,EHDAll[DEVELOPMENT],0),MATCH("ESTIMATE",EHDAll[#Headers],0)),0)</f>
        <v>67813.06872000001</v>
      </c>
      <c r="AC133" s="5">
        <f ca="1">IFERROR(INDEX(IntAll[],MATCH($B133,IntAll[DEVELOPMENT],0),MATCH("ESTIMATE",IntAll[#Headers],0)),0)</f>
        <v>628351.5</v>
      </c>
      <c r="AD133" s="5">
        <f ca="1">IFERROR(INDEX(YardsAll[],MATCH($B133,YardsAll[DEVELOPMENT],0),MATCH("TOTAL ESTIMATE",YardsAll[#Headers],0)),0)</f>
        <v>2374003.9768875008</v>
      </c>
      <c r="AE133" s="99">
        <f t="shared" ca="1" si="2"/>
        <v>4785467.0211070096</v>
      </c>
      <c r="AF133" s="5"/>
    </row>
    <row r="134" spans="1:32">
      <c r="A134" s="101">
        <f>VLOOKUP(B134,Data[],24,FALSE)</f>
        <v>33</v>
      </c>
      <c r="B134" t="s">
        <v>271</v>
      </c>
      <c r="C134" t="str">
        <f>VLOOKUP(all[[#This Row],[DEVELOPMENT]],Data[],MATCH(all[[#Headers],[PROGRAM]],Data[#Headers],0),FALSE)</f>
        <v>FEDERAL</v>
      </c>
      <c r="D134" t="str">
        <f>VLOOKUP(B134,Data[],2,FALSE)</f>
        <v>QUEENS</v>
      </c>
      <c r="E134">
        <f>VLOOKUP(all[[#This Row],[DEVELOPMENT]],Data[],65,FALSE)</f>
        <v>30</v>
      </c>
      <c r="F134" t="e">
        <f>VLOOKUP(all[[#This Row],[DEVELOPMENT]],Data[],3,FALSE)</f>
        <v>#N/A</v>
      </c>
      <c r="G134" s="107" t="s">
        <v>228</v>
      </c>
      <c r="H134" t="s">
        <v>184</v>
      </c>
      <c r="I134">
        <f>VLOOKUP(all[[#This Row],[DEVELOPMENT]],Data[],34,FALSE)</f>
        <v>2</v>
      </c>
      <c r="J134" t="s">
        <v>184</v>
      </c>
      <c r="K134">
        <f>VLOOKUP(B134,Data[],8,FALSE)</f>
        <v>0</v>
      </c>
      <c r="L134" t="str">
        <f>VLOOKUP(all[[#This Row],[DEVELOPMENT]],Data[],61,FALSE)</f>
        <v>No</v>
      </c>
      <c r="M134">
        <f>VLOOKUP(B134,Data[],9,FALSE)</f>
        <v>0</v>
      </c>
      <c r="N134">
        <v>3</v>
      </c>
      <c r="O134">
        <v>4</v>
      </c>
      <c r="P134" t="str">
        <f ca="1">IFERROR(VLOOKUP(B134,Data[],4,FALSE),"")</f>
        <v/>
      </c>
      <c r="Q134" t="str">
        <f ca="1">IF(all[[#This Row],[RAD/PACT]]="","",IF(OR(all[[#This Row],[RAD/PACT]]="2021-2025",all[[#This Row],[RAD/PACT]]="2019-2020"),"Yes",""))</f>
        <v/>
      </c>
      <c r="R134">
        <f>VLOOKUP(all[[#This Row],[DEVELOPMENT]],Data[],7,FALSE)</f>
        <v>1355</v>
      </c>
      <c r="S134">
        <f>VLOOKUP(all[[#This Row],[DEVELOPMENT]],Data[],25,FALSE)</f>
        <v>0</v>
      </c>
      <c r="T134">
        <f>VLOOKUP(all[[#This Row],[DEVELOPMENT]],Data[],5,FALSE)</f>
        <v>20</v>
      </c>
      <c r="U134">
        <f>VLOOKUP(all[[#This Row],[DEVELOPMENT]],Data[],10,FALSE)</f>
        <v>55</v>
      </c>
      <c r="V134">
        <f>VLOOKUP(all[[#This Row],[DEVELOPMENT]],Data[],10,FALSE)</f>
        <v>55</v>
      </c>
      <c r="W134">
        <f>VLOOKUP(all[[#This Row],[DEVELOPMENT]],Data[],33,FALSE)</f>
        <v>3</v>
      </c>
      <c r="X134">
        <f>VLOOKUP(all[[#This Row],[DEVELOPMENT]],Data[],33,FALSE)</f>
        <v>3</v>
      </c>
      <c r="Y134">
        <f>VLOOKUP(all[[#This Row],[DEVELOPMENT]],Data[],28,FALSE)</f>
        <v>0</v>
      </c>
      <c r="Z134">
        <f>IF(all[[#This Row],['# Bulk Crushers]]=0,1,0)</f>
        <v>1</v>
      </c>
      <c r="AA134" s="5">
        <f ca="1">IFERROR(INDEX(FWD[],MATCH($B134,FWD[DEVELOPMENT],0),MATCH("ESTIMATE",FWD[#Headers],0)),0)</f>
        <v>2328887.2087192726</v>
      </c>
      <c r="AB134" s="5">
        <f ca="1">IFERROR(INDEX(EHDAll[],MATCH($B134,EHDAll[DEVELOPMENT],0),MATCH("ESTIMATE",EHDAll[#Headers],0)),0)</f>
        <v>466214.84745000006</v>
      </c>
      <c r="AC134" s="5">
        <f ca="1">IFERROR(INDEX(IntAll[],MATCH($B134,IntAll[DEVELOPMENT],0),MATCH("ESTIMATE",IntAll[#Headers],0)),0)</f>
        <v>4198473.125</v>
      </c>
      <c r="AD134" s="5">
        <f ca="1">IFERROR(INDEX(YardsAll[],MATCH($B134,YardsAll[DEVELOPMENT],0),MATCH("TOTAL ESTIMATE",YardsAll[#Headers],0)),0)</f>
        <v>2760675.9524575002</v>
      </c>
      <c r="AE134" s="99">
        <f t="shared" ca="1" si="2"/>
        <v>9754251.133626774</v>
      </c>
      <c r="AF134" s="5"/>
    </row>
    <row r="135" spans="1:32">
      <c r="A135" s="101">
        <f>VLOOKUP(B135,Data[],24,FALSE)</f>
        <v>26</v>
      </c>
      <c r="B135" t="s">
        <v>272</v>
      </c>
      <c r="C135" t="str">
        <f>VLOOKUP(all[[#This Row],[DEVELOPMENT]],Data[],MATCH(all[[#Headers],[PROGRAM]],Data[#Headers],0),FALSE)</f>
        <v>FEDERAL</v>
      </c>
      <c r="D135" t="str">
        <f>VLOOKUP(B135,Data[],2,FALSE)</f>
        <v>QUEENS</v>
      </c>
      <c r="E135">
        <f>VLOOKUP(all[[#This Row],[DEVELOPMENT]],Data[],65,FALSE)</f>
        <v>37</v>
      </c>
      <c r="F135" t="e">
        <f>VLOOKUP(all[[#This Row],[DEVELOPMENT]],Data[],3,FALSE)</f>
        <v>#N/A</v>
      </c>
      <c r="G135" s="107" t="s">
        <v>228</v>
      </c>
      <c r="H135" t="s">
        <v>184</v>
      </c>
      <c r="I135">
        <f>VLOOKUP(all[[#This Row],[DEVELOPMENT]],Data[],34,FALSE)</f>
        <v>3</v>
      </c>
      <c r="J135" t="s">
        <v>184</v>
      </c>
      <c r="K135">
        <f>VLOOKUP(B135,Data[],8,FALSE)</f>
        <v>0</v>
      </c>
      <c r="L135" t="str">
        <f>VLOOKUP(all[[#This Row],[DEVELOPMENT]],Data[],61,FALSE)</f>
        <v>No</v>
      </c>
      <c r="M135">
        <f>VLOOKUP(B135,Data[],9,FALSE)</f>
        <v>0</v>
      </c>
      <c r="N135">
        <v>3</v>
      </c>
      <c r="O135">
        <v>4</v>
      </c>
      <c r="P135" t="str">
        <f ca="1">IFERROR(VLOOKUP(B135,Data[],4,FALSE),"")</f>
        <v>2022-2025</v>
      </c>
      <c r="Q135" t="str">
        <f ca="1">IF(all[[#This Row],[RAD/PACT]]="","",IF(OR(all[[#This Row],[RAD/PACT]]="2021-2025",all[[#This Row],[RAD/PACT]]="2019-2020"),"Yes",""))</f>
        <v/>
      </c>
      <c r="R135">
        <f>VLOOKUP(all[[#This Row],[DEVELOPMENT]],Data[],7,FALSE)</f>
        <v>1104</v>
      </c>
      <c r="S135">
        <f>VLOOKUP(all[[#This Row],[DEVELOPMENT]],Data[],25,FALSE)</f>
        <v>0</v>
      </c>
      <c r="T135">
        <f>VLOOKUP(all[[#This Row],[DEVELOPMENT]],Data[],5,FALSE)</f>
        <v>22</v>
      </c>
      <c r="U135">
        <f>VLOOKUP(all[[#This Row],[DEVELOPMENT]],Data[],10,FALSE)</f>
        <v>22</v>
      </c>
      <c r="V135">
        <f>VLOOKUP(all[[#This Row],[DEVELOPMENT]],Data[],10,FALSE)</f>
        <v>22</v>
      </c>
      <c r="W135">
        <f>VLOOKUP(all[[#This Row],[DEVELOPMENT]],Data[],33,FALSE)</f>
        <v>3</v>
      </c>
      <c r="X135">
        <f>VLOOKUP(all[[#This Row],[DEVELOPMENT]],Data[],33,FALSE)</f>
        <v>3</v>
      </c>
      <c r="Y135">
        <f>VLOOKUP(all[[#This Row],[DEVELOPMENT]],Data[],28,FALSE)</f>
        <v>0</v>
      </c>
      <c r="Z135">
        <f>IF(all[[#This Row],['# Bulk Crushers]]=0,1,0)</f>
        <v>1</v>
      </c>
      <c r="AA135" s="5">
        <f ca="1">IFERROR(INDEX(FWD[],MATCH($B135,FWD[DEVELOPMENT],0),MATCH("ESTIMATE",FWD[#Headers],0)),0)</f>
        <v>1897484.485923304</v>
      </c>
      <c r="AB135" s="5">
        <f ca="1">IFERROR(INDEX(EHDAll[],MATCH($B135,EHDAll[DEVELOPMENT],0),MATCH("ESTIMATE",EHDAll[#Headers],0)),0)</f>
        <v>186485.93898000004</v>
      </c>
      <c r="AC135" s="5">
        <f ca="1">IFERROR(INDEX(IntAll[],MATCH($B135,IntAll[DEVELOPMENT],0),MATCH("ESTIMATE",IntAll[#Headers],0)),0)</f>
        <v>0</v>
      </c>
      <c r="AD135" s="5">
        <f ca="1">IFERROR(INDEX(YardsAll[],MATCH($B135,YardsAll[DEVELOPMENT],0),MATCH("TOTAL ESTIMATE",YardsAll[#Headers],0)),0)</f>
        <v>0</v>
      </c>
      <c r="AE135" s="99">
        <f t="shared" ca="1" si="2"/>
        <v>2083970.4249033041</v>
      </c>
      <c r="AF135" s="5"/>
    </row>
    <row r="136" spans="1:32">
      <c r="A136" s="101">
        <f>VLOOKUP(B136,Data[],24,FALSE)</f>
        <v>202</v>
      </c>
      <c r="B136" t="s">
        <v>273</v>
      </c>
      <c r="C136" t="str">
        <f>VLOOKUP(all[[#This Row],[DEVELOPMENT]],Data[],MATCH(all[[#Headers],[PROGRAM]],Data[#Headers],0),FALSE)</f>
        <v>FEDERAL</v>
      </c>
      <c r="D136" t="str">
        <f>VLOOKUP(B136,Data[],2,FALSE)</f>
        <v>BRONX</v>
      </c>
      <c r="E136">
        <f>VLOOKUP(all[[#This Row],[DEVELOPMENT]],Data[],65,FALSE)</f>
        <v>86</v>
      </c>
      <c r="F136" t="e">
        <f>VLOOKUP(all[[#This Row],[DEVELOPMENT]],Data[],3,FALSE)</f>
        <v>#N/A</v>
      </c>
      <c r="G136" s="107" t="s">
        <v>228</v>
      </c>
      <c r="H136" t="s">
        <v>184</v>
      </c>
      <c r="I136">
        <f>VLOOKUP(all[[#This Row],[DEVELOPMENT]],Data[],34,FALSE)</f>
        <v>3</v>
      </c>
      <c r="J136" t="s">
        <v>184</v>
      </c>
      <c r="K136">
        <f>VLOOKUP(B136,Data[],8,FALSE)</f>
        <v>0</v>
      </c>
      <c r="L136" t="str">
        <f>VLOOKUP(all[[#This Row],[DEVELOPMENT]],Data[],61,FALSE)</f>
        <v>No</v>
      </c>
      <c r="M136">
        <f>VLOOKUP(B136,Data[],9,FALSE)</f>
        <v>0</v>
      </c>
      <c r="N136">
        <v>3</v>
      </c>
      <c r="O136">
        <v>4</v>
      </c>
      <c r="P136" t="str">
        <f ca="1">IFERROR(VLOOKUP(B136,Data[],4,FALSE),"")</f>
        <v/>
      </c>
      <c r="Q136" t="str">
        <f ca="1">IF(all[[#This Row],[RAD/PACT]]="","",IF(OR(all[[#This Row],[RAD/PACT]]="2021-2025",all[[#This Row],[RAD/PACT]]="2019-2020"),"Yes",""))</f>
        <v/>
      </c>
      <c r="R136">
        <f>VLOOKUP(all[[#This Row],[DEVELOPMENT]],Data[],7,FALSE)</f>
        <v>232</v>
      </c>
      <c r="S136">
        <f>VLOOKUP(all[[#This Row],[DEVELOPMENT]],Data[],25,FALSE)</f>
        <v>0</v>
      </c>
      <c r="T136">
        <f>VLOOKUP(all[[#This Row],[DEVELOPMENT]],Data[],5,FALSE)</f>
        <v>1</v>
      </c>
      <c r="U136">
        <f>VLOOKUP(all[[#This Row],[DEVELOPMENT]],Data[],10,FALSE)</f>
        <v>1</v>
      </c>
      <c r="V136">
        <f>VLOOKUP(all[[#This Row],[DEVELOPMENT]],Data[],10,FALSE)</f>
        <v>1</v>
      </c>
      <c r="W136">
        <f>VLOOKUP(all[[#This Row],[DEVELOPMENT]],Data[],33,FALSE)</f>
        <v>1</v>
      </c>
      <c r="X136">
        <f>VLOOKUP(all[[#This Row],[DEVELOPMENT]],Data[],33,FALSE)</f>
        <v>1</v>
      </c>
      <c r="Y136">
        <f>VLOOKUP(all[[#This Row],[DEVELOPMENT]],Data[],28,FALSE)</f>
        <v>0</v>
      </c>
      <c r="Z136">
        <f>IF(all[[#This Row],['# Bulk Crushers]]=0,1,0)</f>
        <v>1</v>
      </c>
      <c r="AA136" s="5">
        <f ca="1">IFERROR(INDEX(FWD[],MATCH($B136,FWD[DEVELOPMENT],0),MATCH("ESTIMATE",FWD[#Headers],0)),0)</f>
        <v>398746.7397954769</v>
      </c>
      <c r="AB136" s="5">
        <f ca="1">IFERROR(INDEX(EHDAll[],MATCH($B136,EHDAll[DEVELOPMENT],0),MATCH("ESTIMATE",EHDAll[#Headers],0)),0)</f>
        <v>8476.6335900000013</v>
      </c>
      <c r="AC136" s="5">
        <f ca="1">IFERROR(INDEX(IntAll[],MATCH($B136,IntAll[DEVELOPMENT],0),MATCH("ESTIMATE",IntAll[#Headers],0)),0)</f>
        <v>76335.875</v>
      </c>
      <c r="AD136" s="5">
        <f ca="1">IFERROR(INDEX(YardsAll[],MATCH($B136,YardsAll[DEVELOPMENT],0),MATCH("TOTAL ESTIMATE",YardsAll[#Headers],0)),0)</f>
        <v>2123866.2609500005</v>
      </c>
      <c r="AE136" s="99">
        <f t="shared" ca="1" si="2"/>
        <v>2607425.5093354774</v>
      </c>
      <c r="AF136" s="5"/>
    </row>
    <row r="137" spans="1:32">
      <c r="A137" s="101">
        <f>VLOOKUP(B137,Data[],24,FALSE)</f>
        <v>271</v>
      </c>
      <c r="B137" t="s">
        <v>72</v>
      </c>
      <c r="C137" t="str">
        <f>VLOOKUP(all[[#This Row],[DEVELOPMENT]],Data[],MATCH(all[[#Headers],[PROGRAM]],Data[#Headers],0),FALSE)</f>
        <v>FEDERAL</v>
      </c>
      <c r="D137" t="str">
        <f>VLOOKUP(B137,Data[],2,FALSE)</f>
        <v>BROOKLYN</v>
      </c>
      <c r="E137">
        <f>VLOOKUP(all[[#This Row],[DEVELOPMENT]],Data[],65,FALSE)</f>
        <v>53</v>
      </c>
      <c r="F137" t="e">
        <f>VLOOKUP(all[[#This Row],[DEVELOPMENT]],Data[],3,FALSE)</f>
        <v>#N/A</v>
      </c>
      <c r="G137" s="107" t="s">
        <v>228</v>
      </c>
      <c r="H137" t="s">
        <v>184</v>
      </c>
      <c r="I137">
        <f>VLOOKUP(all[[#This Row],[DEVELOPMENT]],Data[],34,FALSE)</f>
        <v>3</v>
      </c>
      <c r="J137" t="s">
        <v>184</v>
      </c>
      <c r="K137" t="str">
        <f>VLOOKUP(B137,Data[],8,FALSE)</f>
        <v>Zone 3</v>
      </c>
      <c r="L137" t="str">
        <f>VLOOKUP(all[[#This Row],[DEVELOPMENT]],Data[],61,FALSE)</f>
        <v>No</v>
      </c>
      <c r="M137">
        <f>VLOOKUP(B137,Data[],9,FALSE)</f>
        <v>2</v>
      </c>
      <c r="N137">
        <v>3</v>
      </c>
      <c r="O137">
        <v>3</v>
      </c>
      <c r="P137" t="str">
        <f ca="1">IFERROR(VLOOKUP(B137,Data[],4,FALSE),"")</f>
        <v>2026+</v>
      </c>
      <c r="Q137" t="str">
        <f ca="1">IF(all[[#This Row],[RAD/PACT]]="","",IF(OR(all[[#This Row],[RAD/PACT]]="2021-2025",all[[#This Row],[RAD/PACT]]="2019-2020"),"Yes",""))</f>
        <v/>
      </c>
      <c r="R137">
        <f>VLOOKUP(all[[#This Row],[DEVELOPMENT]],Data[],7,FALSE)</f>
        <v>425</v>
      </c>
      <c r="S137" t="str">
        <f>VLOOKUP(all[[#This Row],[DEVELOPMENT]],Data[],25,FALSE)</f>
        <v>Newtown Creek</v>
      </c>
      <c r="T137">
        <f>VLOOKUP(all[[#This Row],[DEVELOPMENT]],Data[],5,FALSE)</f>
        <v>7</v>
      </c>
      <c r="U137">
        <f>VLOOKUP(all[[#This Row],[DEVELOPMENT]],Data[],10,FALSE)</f>
        <v>7</v>
      </c>
      <c r="V137">
        <f>VLOOKUP(all[[#This Row],[DEVELOPMENT]],Data[],10,FALSE)</f>
        <v>7</v>
      </c>
      <c r="W137">
        <f>VLOOKUP(all[[#This Row],[DEVELOPMENT]],Data[],33,FALSE)</f>
        <v>0</v>
      </c>
      <c r="X137">
        <f>VLOOKUP(all[[#This Row],[DEVELOPMENT]],Data[],33,FALSE)</f>
        <v>0</v>
      </c>
      <c r="Y137">
        <f>VLOOKUP(all[[#This Row],[DEVELOPMENT]],Data[],28,FALSE)</f>
        <v>0</v>
      </c>
      <c r="Z137">
        <f>IF(all[[#This Row],['# Bulk Crushers]]=0,1,0)</f>
        <v>1</v>
      </c>
      <c r="AA137" s="5">
        <f ca="1">IFERROR(INDEX(FWD[],MATCH($B137,FWD[DEVELOPMENT],0),MATCH("ESTIMATE",FWD[#Headers],0)),0)</f>
        <v>730462.77764257626</v>
      </c>
      <c r="AB137" s="5">
        <f ca="1">IFERROR(INDEX(EHDAll[],MATCH($B137,EHDAll[DEVELOPMENT],0),MATCH("ESTIMATE",EHDAll[#Headers],0)),0)</f>
        <v>52049.504500000003</v>
      </c>
      <c r="AC137" s="5">
        <f ca="1">IFERROR(INDEX(IntAll[],MATCH($B137,IntAll[DEVELOPMENT],0),MATCH("ESTIMATE",IntAll[#Headers],0)),0)</f>
        <v>487981.8125</v>
      </c>
      <c r="AD137" s="5">
        <f ca="1">IFERROR(INDEX(YardsAll[],MATCH($B137,YardsAll[DEVELOPMENT],0),MATCH("TOTAL ESTIMATE",YardsAll[#Headers],0)),0)</f>
        <v>2060602.1595600008</v>
      </c>
      <c r="AE137" s="99">
        <f t="shared" ca="1" si="2"/>
        <v>3331096.2542025773</v>
      </c>
      <c r="AF137" s="5"/>
    </row>
    <row r="138" spans="1:32">
      <c r="A138" s="101">
        <f>VLOOKUP(B138,Data[],24,FALSE)</f>
        <v>113</v>
      </c>
      <c r="B138" t="s">
        <v>31</v>
      </c>
      <c r="C138" t="str">
        <f>VLOOKUP(all[[#This Row],[DEVELOPMENT]],Data[],MATCH(all[[#Headers],[PROGRAM]],Data[#Headers],0),FALSE)</f>
        <v>FEDERAL</v>
      </c>
      <c r="D138" t="str">
        <f>VLOOKUP(B138,Data[],2,FALSE)</f>
        <v>BRONX</v>
      </c>
      <c r="E138">
        <f>VLOOKUP(all[[#This Row],[DEVELOPMENT]],Data[],65,FALSE)</f>
        <v>79</v>
      </c>
      <c r="F138" t="e">
        <f>VLOOKUP(all[[#This Row],[DEVELOPMENT]],Data[],3,FALSE)</f>
        <v>#N/A</v>
      </c>
      <c r="G138" s="107" t="s">
        <v>228</v>
      </c>
      <c r="H138" t="s">
        <v>184</v>
      </c>
      <c r="I138">
        <f>VLOOKUP(all[[#This Row],[DEVELOPMENT]],Data[],34,FALSE)</f>
        <v>3</v>
      </c>
      <c r="J138" t="s">
        <v>184</v>
      </c>
      <c r="K138" t="str">
        <f>VLOOKUP(B138,Data[],8,FALSE)</f>
        <v>Zone 1</v>
      </c>
      <c r="L138" t="str">
        <f>VLOOKUP(all[[#This Row],[DEVELOPMENT]],Data[],61,FALSE)</f>
        <v>Yes</v>
      </c>
      <c r="M138">
        <f>VLOOKUP(B138,Data[],9,FALSE)</f>
        <v>3</v>
      </c>
      <c r="N138" t="s">
        <v>185</v>
      </c>
      <c r="O138" t="s">
        <v>185</v>
      </c>
      <c r="P138" t="str">
        <f ca="1">IFERROR(VLOOKUP(B138,Data[],4,FALSE),"")</f>
        <v/>
      </c>
      <c r="Q138" t="str">
        <f ca="1">IF(all[[#This Row],[RAD/PACT]]="","",IF(OR(all[[#This Row],[RAD/PACT]]="2021-2025",all[[#This Row],[RAD/PACT]]="2019-2020"),"Yes",""))</f>
        <v/>
      </c>
      <c r="R138">
        <f>VLOOKUP(all[[#This Row],[DEVELOPMENT]],Data[],7,FALSE)</f>
        <v>1476</v>
      </c>
      <c r="S138">
        <f>VLOOKUP(all[[#This Row],[DEVELOPMENT]],Data[],25,FALSE)</f>
        <v>0</v>
      </c>
      <c r="T138">
        <f>VLOOKUP(all[[#This Row],[DEVELOPMENT]],Data[],5,FALSE)</f>
        <v>6</v>
      </c>
      <c r="U138">
        <f>VLOOKUP(all[[#This Row],[DEVELOPMENT]],Data[],10,FALSE)</f>
        <v>6</v>
      </c>
      <c r="V138">
        <f>VLOOKUP(all[[#This Row],[DEVELOPMENT]],Data[],10,FALSE)</f>
        <v>6</v>
      </c>
      <c r="W138">
        <f>VLOOKUP(all[[#This Row],[DEVELOPMENT]],Data[],33,FALSE)</f>
        <v>4</v>
      </c>
      <c r="X138">
        <f>VLOOKUP(all[[#This Row],[DEVELOPMENT]],Data[],33,FALSE)</f>
        <v>4</v>
      </c>
      <c r="Y138">
        <f>VLOOKUP(all[[#This Row],[DEVELOPMENT]],Data[],28,FALSE)</f>
        <v>0</v>
      </c>
      <c r="Z138">
        <f>IF(all[[#This Row],['# Bulk Crushers]]=0,1,0)</f>
        <v>1</v>
      </c>
      <c r="AA138" s="5">
        <f ca="1">IFERROR(INDEX(FWD[],MATCH($B138,FWD[DEVELOPMENT],0),MATCH("ESTIMATE",FWD[#Headers],0)),0)</f>
        <v>2536854.2583539826</v>
      </c>
      <c r="AB138" s="5">
        <f>IFERROR(INDEX(EHDAll[],MATCH($B138,EHDAll[DEVELOPMENT],0),MATCH("ESTIMATE",EHDAll[#Headers],0)),0)</f>
        <v>0</v>
      </c>
      <c r="AC138" s="5">
        <f ca="1">IFERROR(INDEX(IntAll[],MATCH($B138,IntAll[DEVELOPMENT],0),MATCH("ESTIMATE",IntAll[#Headers],0)),0)</f>
        <v>0</v>
      </c>
      <c r="AD138" s="5">
        <f ca="1">IFERROR(INDEX(YardsAll[],MATCH($B138,YardsAll[DEVELOPMENT],0),MATCH("TOTAL ESTIMATE",YardsAll[#Headers],0)),0)</f>
        <v>0</v>
      </c>
      <c r="AE138" s="99">
        <f t="shared" ca="1" si="2"/>
        <v>2536854.2583539826</v>
      </c>
      <c r="AF138" s="5"/>
    </row>
    <row r="139" spans="1:32">
      <c r="A139" s="101">
        <f>VLOOKUP(B139,Data[],24,FALSE)</f>
        <v>176</v>
      </c>
      <c r="B139" t="s">
        <v>274</v>
      </c>
      <c r="C139" t="str">
        <f>VLOOKUP(all[[#This Row],[DEVELOPMENT]],Data[],MATCH(all[[#Headers],[PROGRAM]],Data[#Headers],0),FALSE)</f>
        <v>FEDERAL</v>
      </c>
      <c r="D139" t="str">
        <f>VLOOKUP(B139,Data[],2,FALSE)</f>
        <v>MANHATTAN</v>
      </c>
      <c r="E139">
        <f>VLOOKUP(all[[#This Row],[DEVELOPMENT]],Data[],65,FALSE)</f>
        <v>75</v>
      </c>
      <c r="F139" t="e">
        <f>VLOOKUP(all[[#This Row],[DEVELOPMENT]],Data[],3,FALSE)</f>
        <v>#N/A</v>
      </c>
      <c r="G139" s="107" t="s">
        <v>228</v>
      </c>
      <c r="H139" t="s">
        <v>184</v>
      </c>
      <c r="I139">
        <f>VLOOKUP(all[[#This Row],[DEVELOPMENT]],Data[],34,FALSE)</f>
        <v>3</v>
      </c>
      <c r="J139" t="s">
        <v>184</v>
      </c>
      <c r="K139" t="str">
        <f>VLOOKUP(B139,Data[],8,FALSE)</f>
        <v>Zone 3</v>
      </c>
      <c r="L139" t="str">
        <f>VLOOKUP(all[[#This Row],[DEVELOPMENT]],Data[],61,FALSE)</f>
        <v>No</v>
      </c>
      <c r="M139">
        <f>VLOOKUP(B139,Data[],9,FALSE)</f>
        <v>0</v>
      </c>
      <c r="N139">
        <v>4</v>
      </c>
      <c r="O139">
        <v>3</v>
      </c>
      <c r="P139" t="str">
        <f ca="1">IFERROR(VLOOKUP(B139,Data[],4,FALSE),"")</f>
        <v/>
      </c>
      <c r="Q139" t="str">
        <f ca="1">IF(all[[#This Row],[RAD/PACT]]="","",IF(OR(all[[#This Row],[RAD/PACT]]="2021-2025",all[[#This Row],[RAD/PACT]]="2019-2020"),"Yes",""))</f>
        <v/>
      </c>
      <c r="R139">
        <f>VLOOKUP(all[[#This Row],[DEVELOPMENT]],Data[],7,FALSE)</f>
        <v>96</v>
      </c>
      <c r="S139">
        <f>VLOOKUP(all[[#This Row],[DEVELOPMENT]],Data[],25,FALSE)</f>
        <v>0</v>
      </c>
      <c r="T139">
        <f>VLOOKUP(all[[#This Row],[DEVELOPMENT]],Data[],5,FALSE)</f>
        <v>1</v>
      </c>
      <c r="U139">
        <f>VLOOKUP(all[[#This Row],[DEVELOPMENT]],Data[],10,FALSE)</f>
        <v>1</v>
      </c>
      <c r="V139">
        <f>VLOOKUP(all[[#This Row],[DEVELOPMENT]],Data[],10,FALSE)</f>
        <v>1</v>
      </c>
      <c r="W139">
        <f>VLOOKUP(all[[#This Row],[DEVELOPMENT]],Data[],33,FALSE)</f>
        <v>0</v>
      </c>
      <c r="X139">
        <f>VLOOKUP(all[[#This Row],[DEVELOPMENT]],Data[],33,FALSE)</f>
        <v>0</v>
      </c>
      <c r="Y139">
        <f>VLOOKUP(all[[#This Row],[DEVELOPMENT]],Data[],28,FALSE)</f>
        <v>0</v>
      </c>
      <c r="Z139">
        <f>IF(all[[#This Row],['# Bulk Crushers]]=0,1,0)</f>
        <v>1</v>
      </c>
      <c r="AA139" s="5">
        <f ca="1">IFERROR(INDEX(FWD[],MATCH($B139,FWD[DEVELOPMENT],0),MATCH("ESTIMATE",FWD[#Headers],0)),0)</f>
        <v>164998.65094985251</v>
      </c>
      <c r="AB139" s="5">
        <f ca="1">IFERROR(INDEX(EHDAll[],MATCH($B139,EHDAll[DEVELOPMENT],0),MATCH("ESTIMATE",EHDAll[#Headers],0)),0)</f>
        <v>8476.6335900000013</v>
      </c>
      <c r="AC139" s="5">
        <f ca="1">IFERROR(INDEX(IntAll[],MATCH($B139,IntAll[DEVELOPMENT],0),MATCH("ESTIMATE",IntAll[#Headers],0)),0)</f>
        <v>78543.9375</v>
      </c>
      <c r="AD139" s="5">
        <f ca="1">IFERROR(INDEX(YardsAll[],MATCH($B139,YardsAll[DEVELOPMENT],0),MATCH("TOTAL ESTIMATE",YardsAll[#Headers],0)),0)</f>
        <v>2123866.2609500005</v>
      </c>
      <c r="AE139" s="99">
        <f t="shared" ca="1" si="2"/>
        <v>2375885.4829898532</v>
      </c>
      <c r="AF139" s="5"/>
    </row>
    <row r="140" spans="1:32">
      <c r="A140" s="101">
        <f>VLOOKUP(B140,Data[],24,FALSE)</f>
        <v>237</v>
      </c>
      <c r="B140" t="s">
        <v>275</v>
      </c>
      <c r="C140" t="str">
        <f>VLOOKUP(all[[#This Row],[DEVELOPMENT]],Data[],MATCH(all[[#Headers],[PROGRAM]],Data[#Headers],0),FALSE)</f>
        <v>FEDERAL</v>
      </c>
      <c r="D140" t="str">
        <f>VLOOKUP(B140,Data[],2,FALSE)</f>
        <v>BRONX</v>
      </c>
      <c r="E140">
        <f>VLOOKUP(all[[#This Row],[DEVELOPMENT]],Data[],65,FALSE)</f>
        <v>84</v>
      </c>
      <c r="F140" t="e">
        <f>VLOOKUP(all[[#This Row],[DEVELOPMENT]],Data[],3,FALSE)</f>
        <v>#N/A</v>
      </c>
      <c r="G140" s="107" t="s">
        <v>228</v>
      </c>
      <c r="H140" t="s">
        <v>184</v>
      </c>
      <c r="I140">
        <f>VLOOKUP(all[[#This Row],[DEVELOPMENT]],Data[],34,FALSE)</f>
        <v>3</v>
      </c>
      <c r="J140" t="s">
        <v>184</v>
      </c>
      <c r="K140">
        <f>VLOOKUP(B140,Data[],8,FALSE)</f>
        <v>0</v>
      </c>
      <c r="L140" t="str">
        <f>VLOOKUP(all[[#This Row],[DEVELOPMENT]],Data[],61,FALSE)</f>
        <v>No</v>
      </c>
      <c r="M140">
        <f>VLOOKUP(B140,Data[],9,FALSE)</f>
        <v>0</v>
      </c>
      <c r="N140">
        <v>3</v>
      </c>
      <c r="O140" t="s">
        <v>185</v>
      </c>
      <c r="P140" t="str">
        <f ca="1">IFERROR(VLOOKUP(B140,Data[],4,FALSE),"")</f>
        <v>2022-2025</v>
      </c>
      <c r="Q140" t="str">
        <f ca="1">IF(all[[#This Row],[RAD/PACT]]="","",IF(OR(all[[#This Row],[RAD/PACT]]="2021-2025",all[[#This Row],[RAD/PACT]]="2019-2020"),"Yes",""))</f>
        <v/>
      </c>
      <c r="R140">
        <f>VLOOKUP(all[[#This Row],[DEVELOPMENT]],Data[],7,FALSE)</f>
        <v>221</v>
      </c>
      <c r="S140">
        <f>VLOOKUP(all[[#This Row],[DEVELOPMENT]],Data[],25,FALSE)</f>
        <v>0</v>
      </c>
      <c r="T140">
        <f>VLOOKUP(all[[#This Row],[DEVELOPMENT]],Data[],5,FALSE)</f>
        <v>2</v>
      </c>
      <c r="U140">
        <f>VLOOKUP(all[[#This Row],[DEVELOPMENT]],Data[],10,FALSE)</f>
        <v>2</v>
      </c>
      <c r="V140">
        <f>VLOOKUP(all[[#This Row],[DEVELOPMENT]],Data[],10,FALSE)</f>
        <v>2</v>
      </c>
      <c r="W140">
        <f>VLOOKUP(all[[#This Row],[DEVELOPMENT]],Data[],33,FALSE)</f>
        <v>1</v>
      </c>
      <c r="X140">
        <f>VLOOKUP(all[[#This Row],[DEVELOPMENT]],Data[],33,FALSE)</f>
        <v>1</v>
      </c>
      <c r="Y140">
        <f>VLOOKUP(all[[#This Row],[DEVELOPMENT]],Data[],28,FALSE)</f>
        <v>0</v>
      </c>
      <c r="Z140">
        <f>IF(all[[#This Row],['# Bulk Crushers]]=0,1,0)</f>
        <v>1</v>
      </c>
      <c r="AA140" s="5">
        <f ca="1">IFERROR(INDEX(FWD[],MATCH($B140,FWD[DEVELOPMENT],0),MATCH("ESTIMATE",FWD[#Headers],0)),0)</f>
        <v>379840.64437413967</v>
      </c>
      <c r="AB140" s="5">
        <f ca="1">IFERROR(INDEX(EHDAll[],MATCH($B140,EHDAll[DEVELOPMENT],0),MATCH("ESTIMATE",EHDAll[#Headers],0)),0)</f>
        <v>16953.267180000003</v>
      </c>
      <c r="AC140" s="5">
        <f ca="1">IFERROR(INDEX(IntAll[],MATCH($B140,IntAll[DEVELOPMENT],0),MATCH("ESTIMATE",IntAll[#Headers],0)),0)</f>
        <v>0</v>
      </c>
      <c r="AD140" s="5">
        <f ca="1">IFERROR(INDEX(YardsAll[],MATCH($B140,YardsAll[DEVELOPMENT],0),MATCH("TOTAL ESTIMATE",YardsAll[#Headers],0)),0)</f>
        <v>0</v>
      </c>
      <c r="AE140" s="99">
        <f t="shared" ca="1" si="2"/>
        <v>396793.91155413969</v>
      </c>
      <c r="AF140" s="5"/>
    </row>
    <row r="141" spans="1:32">
      <c r="A141" s="101">
        <f>VLOOKUP(B141,Data[],24,FALSE)</f>
        <v>197</v>
      </c>
      <c r="B141" t="s">
        <v>276</v>
      </c>
      <c r="C141" t="str">
        <f>VLOOKUP(all[[#This Row],[DEVELOPMENT]],Data[],MATCH(all[[#Headers],[PROGRAM]],Data[#Headers],0),FALSE)</f>
        <v>FEDERAL</v>
      </c>
      <c r="D141" t="str">
        <f>VLOOKUP(B141,Data[],2,FALSE)</f>
        <v>BRONX</v>
      </c>
      <c r="E141">
        <f>VLOOKUP(all[[#This Row],[DEVELOPMENT]],Data[],65,FALSE)</f>
        <v>81</v>
      </c>
      <c r="F141" t="e">
        <f>VLOOKUP(all[[#This Row],[DEVELOPMENT]],Data[],3,FALSE)</f>
        <v>#N/A</v>
      </c>
      <c r="G141" s="107" t="s">
        <v>228</v>
      </c>
      <c r="H141" t="s">
        <v>184</v>
      </c>
      <c r="I141">
        <f>VLOOKUP(all[[#This Row],[DEVELOPMENT]],Data[],34,FALSE)</f>
        <v>3</v>
      </c>
      <c r="J141" t="s">
        <v>184</v>
      </c>
      <c r="K141">
        <f>VLOOKUP(B141,Data[],8,FALSE)</f>
        <v>0</v>
      </c>
      <c r="L141" t="str">
        <f>VLOOKUP(all[[#This Row],[DEVELOPMENT]],Data[],61,FALSE)</f>
        <v>No</v>
      </c>
      <c r="M141">
        <f>VLOOKUP(B141,Data[],9,FALSE)</f>
        <v>0</v>
      </c>
      <c r="N141">
        <v>4</v>
      </c>
      <c r="O141" t="s">
        <v>185</v>
      </c>
      <c r="P141" t="str">
        <f ca="1">IFERROR(VLOOKUP(B141,Data[],4,FALSE),"")</f>
        <v/>
      </c>
      <c r="Q141" t="str">
        <f ca="1">IF(all[[#This Row],[RAD/PACT]]="","",IF(OR(all[[#This Row],[RAD/PACT]]="2021-2025",all[[#This Row],[RAD/PACT]]="2019-2020"),"Yes",""))</f>
        <v/>
      </c>
      <c r="R141">
        <f>VLOOKUP(all[[#This Row],[DEVELOPMENT]],Data[],7,FALSE)</f>
        <v>342</v>
      </c>
      <c r="S141">
        <f>VLOOKUP(all[[#This Row],[DEVELOPMENT]],Data[],25,FALSE)</f>
        <v>0</v>
      </c>
      <c r="T141">
        <f>VLOOKUP(all[[#This Row],[DEVELOPMENT]],Data[],5,FALSE)</f>
        <v>1</v>
      </c>
      <c r="U141">
        <f>VLOOKUP(all[[#This Row],[DEVELOPMENT]],Data[],10,FALSE)</f>
        <v>2</v>
      </c>
      <c r="V141">
        <f>VLOOKUP(all[[#This Row],[DEVELOPMENT]],Data[],10,FALSE)</f>
        <v>2</v>
      </c>
      <c r="W141">
        <f>VLOOKUP(all[[#This Row],[DEVELOPMENT]],Data[],33,FALSE)</f>
        <v>1</v>
      </c>
      <c r="X141">
        <f>VLOOKUP(all[[#This Row],[DEVELOPMENT]],Data[],33,FALSE)</f>
        <v>1</v>
      </c>
      <c r="Y141">
        <f>VLOOKUP(all[[#This Row],[DEVELOPMENT]],Data[],28,FALSE)</f>
        <v>0</v>
      </c>
      <c r="Z141">
        <f>IF(all[[#This Row],['# Bulk Crushers]]=0,1,0)</f>
        <v>1</v>
      </c>
      <c r="AA141" s="5">
        <f ca="1">IFERROR(INDEX(FWD[],MATCH($B141,FWD[DEVELOPMENT],0),MATCH("ESTIMATE",FWD[#Headers],0)),0)</f>
        <v>587807.69400884956</v>
      </c>
      <c r="AB141" s="5">
        <f ca="1">IFERROR(INDEX(EHDAll[],MATCH($B141,EHDAll[DEVELOPMENT],0),MATCH("ESTIMATE",EHDAll[#Headers],0)),0)</f>
        <v>16953.267180000003</v>
      </c>
      <c r="AC141" s="5">
        <f ca="1">IFERROR(INDEX(IntAll[],MATCH($B141,IntAll[DEVELOPMENT],0),MATCH("ESTIMATE",IntAll[#Headers],0)),0)</f>
        <v>161504</v>
      </c>
      <c r="AD141" s="5">
        <f ca="1">IFERROR(INDEX(YardsAll[],MATCH($B141,YardsAll[DEVELOPMENT],0),MATCH("TOTAL ESTIMATE",YardsAll[#Headers],0)),0)</f>
        <v>2123866.2609500005</v>
      </c>
      <c r="AE141" s="99">
        <f t="shared" ca="1" si="2"/>
        <v>2890131.22213885</v>
      </c>
      <c r="AF141" s="5"/>
    </row>
    <row r="142" spans="1:32">
      <c r="A142" s="101">
        <f>VLOOKUP(B142,Data[],24,FALSE)</f>
        <v>20</v>
      </c>
      <c r="B142" t="s">
        <v>113</v>
      </c>
      <c r="C142" t="str">
        <f>VLOOKUP(all[[#This Row],[DEVELOPMENT]],Data[],MATCH(all[[#Headers],[PROGRAM]],Data[#Headers],0),FALSE)</f>
        <v>FEDERAL</v>
      </c>
      <c r="D142" t="str">
        <f>VLOOKUP(B142,Data[],2,FALSE)</f>
        <v>MANHATTAN</v>
      </c>
      <c r="E142">
        <f>VLOOKUP(all[[#This Row],[DEVELOPMENT]],Data[],65,FALSE)</f>
        <v>70</v>
      </c>
      <c r="F142" t="e">
        <f>VLOOKUP(all[[#This Row],[DEVELOPMENT]],Data[],3,FALSE)</f>
        <v>#N/A</v>
      </c>
      <c r="G142" s="107" t="s">
        <v>228</v>
      </c>
      <c r="H142" t="s">
        <v>184</v>
      </c>
      <c r="I142">
        <f>VLOOKUP(all[[#This Row],[DEVELOPMENT]],Data[],34,FALSE)</f>
        <v>3</v>
      </c>
      <c r="J142" t="s">
        <v>184</v>
      </c>
      <c r="K142" t="str">
        <f>VLOOKUP(B142,Data[],8,FALSE)</f>
        <v>Zone 2</v>
      </c>
      <c r="L142" t="str">
        <f>VLOOKUP(all[[#This Row],[DEVELOPMENT]],Data[],61,FALSE)</f>
        <v>No</v>
      </c>
      <c r="M142">
        <f>VLOOKUP(B142,Data[],9,FALSE)</f>
        <v>1</v>
      </c>
      <c r="N142">
        <v>3</v>
      </c>
      <c r="O142">
        <v>3</v>
      </c>
      <c r="P142" t="str">
        <f ca="1">IFERROR(VLOOKUP(B142,Data[],4,FALSE),"")</f>
        <v>2026+</v>
      </c>
      <c r="Q142" t="str">
        <f ca="1">IF(all[[#This Row],[RAD/PACT]]="","",IF(OR(all[[#This Row],[RAD/PACT]]="2021-2025",all[[#This Row],[RAD/PACT]]="2019-2020"),"Yes",""))</f>
        <v/>
      </c>
      <c r="R142">
        <f>VLOOKUP(all[[#This Row],[DEVELOPMENT]],Data[],7,FALSE)</f>
        <v>1280</v>
      </c>
      <c r="S142">
        <f>VLOOKUP(all[[#This Row],[DEVELOPMENT]],Data[],25,FALSE)</f>
        <v>0</v>
      </c>
      <c r="T142">
        <f>VLOOKUP(all[[#This Row],[DEVELOPMENT]],Data[],5,FALSE)</f>
        <v>14</v>
      </c>
      <c r="U142">
        <f>VLOOKUP(all[[#This Row],[DEVELOPMENT]],Data[],10,FALSE)</f>
        <v>20</v>
      </c>
      <c r="V142">
        <f>VLOOKUP(all[[#This Row],[DEVELOPMENT]],Data[],10,FALSE)</f>
        <v>20</v>
      </c>
      <c r="W142">
        <f>VLOOKUP(all[[#This Row],[DEVELOPMENT]],Data[],33,FALSE)</f>
        <v>2</v>
      </c>
      <c r="X142">
        <f>VLOOKUP(all[[#This Row],[DEVELOPMENT]],Data[],33,FALSE)</f>
        <v>2</v>
      </c>
      <c r="Y142">
        <f>VLOOKUP(all[[#This Row],[DEVELOPMENT]],Data[],28,FALSE)</f>
        <v>0</v>
      </c>
      <c r="Z142">
        <f>IF(all[[#This Row],['# Bulk Crushers]]=0,1,0)</f>
        <v>1</v>
      </c>
      <c r="AA142" s="5">
        <f ca="1">IFERROR(INDEX(FWD[],MATCH($B142,FWD[DEVELOPMENT],0),MATCH("ESTIMATE",FWD[#Headers],0)),0)</f>
        <v>2199982.0126646999</v>
      </c>
      <c r="AB142" s="5">
        <f ca="1">IFERROR(INDEX(EHDAll[],MATCH($B142,EHDAll[DEVELOPMENT],0),MATCH("ESTIMATE",EHDAll[#Headers],0)),0)</f>
        <v>148712.87</v>
      </c>
      <c r="AC142" s="5">
        <f ca="1">IFERROR(INDEX(IntAll[],MATCH($B142,IntAll[DEVELOPMENT],0),MATCH("ESTIMATE",IntAll[#Headers],0)),0)</f>
        <v>1350072.5</v>
      </c>
      <c r="AD142" s="5">
        <f ca="1">IFERROR(INDEX(YardsAll[],MATCH($B142,YardsAll[DEVELOPMENT],0),MATCH("TOTAL ESTIMATE",YardsAll[#Headers],0)),0)</f>
        <v>2303288.9648100007</v>
      </c>
      <c r="AE142" s="99">
        <f t="shared" ca="1" si="2"/>
        <v>6002056.3474747008</v>
      </c>
      <c r="AF142" s="5"/>
    </row>
    <row r="143" spans="1:32">
      <c r="A143" s="101">
        <f>VLOOKUP(B143,Data[],24,FALSE)</f>
        <v>81</v>
      </c>
      <c r="B143" t="s">
        <v>122</v>
      </c>
      <c r="C143" t="str">
        <f>VLOOKUP(all[[#This Row],[DEVELOPMENT]],Data[],MATCH(all[[#Headers],[PROGRAM]],Data[#Headers],0),FALSE)</f>
        <v>MIXED FINANCE/LLC1</v>
      </c>
      <c r="D143" t="str">
        <f>VLOOKUP(B143,Data[],2,FALSE)</f>
        <v>MANHATTAN</v>
      </c>
      <c r="E143">
        <f>VLOOKUP(all[[#This Row],[DEVELOPMENT]],Data[],65,FALSE)</f>
        <v>70</v>
      </c>
      <c r="F143" t="e">
        <f>VLOOKUP(all[[#This Row],[DEVELOPMENT]],Data[],3,FALSE)</f>
        <v>#N/A</v>
      </c>
      <c r="G143" s="107" t="s">
        <v>228</v>
      </c>
      <c r="H143" t="s">
        <v>184</v>
      </c>
      <c r="I143">
        <f>VLOOKUP(all[[#This Row],[DEVELOPMENT]],Data[],34,FALSE)</f>
        <v>3</v>
      </c>
      <c r="J143" t="s">
        <v>184</v>
      </c>
      <c r="K143" t="str">
        <f>VLOOKUP(B143,Data[],8,FALSE)</f>
        <v>Zone 2</v>
      </c>
      <c r="L143" t="str">
        <f>VLOOKUP(all[[#This Row],[DEVELOPMENT]],Data[],61,FALSE)</f>
        <v>No</v>
      </c>
      <c r="M143">
        <f>VLOOKUP(B143,Data[],9,FALSE)</f>
        <v>4</v>
      </c>
      <c r="N143">
        <v>2</v>
      </c>
      <c r="O143" t="s">
        <v>185</v>
      </c>
      <c r="P143" t="str">
        <f ca="1">IFERROR(VLOOKUP(B143,Data[],4,FALSE),"")</f>
        <v>2026+</v>
      </c>
      <c r="Q143" t="str">
        <f ca="1">IF(all[[#This Row],[RAD/PACT]]="","",IF(OR(all[[#This Row],[RAD/PACT]]="2021-2025",all[[#This Row],[RAD/PACT]]="2019-2020"),"Yes",""))</f>
        <v/>
      </c>
      <c r="R143">
        <f>VLOOKUP(all[[#This Row],[DEVELOPMENT]],Data[],7,FALSE)</f>
        <v>1272</v>
      </c>
      <c r="S143">
        <f>VLOOKUP(all[[#This Row],[DEVELOPMENT]],Data[],25,FALSE)</f>
        <v>0</v>
      </c>
      <c r="T143">
        <f>VLOOKUP(all[[#This Row],[DEVELOPMENT]],Data[],5,FALSE)</f>
        <v>6</v>
      </c>
      <c r="U143">
        <f>VLOOKUP(all[[#This Row],[DEVELOPMENT]],Data[],10,FALSE)</f>
        <v>6</v>
      </c>
      <c r="V143">
        <f>VLOOKUP(all[[#This Row],[DEVELOPMENT]],Data[],10,FALSE)</f>
        <v>6</v>
      </c>
      <c r="W143">
        <f>VLOOKUP(all[[#This Row],[DEVELOPMENT]],Data[],33,FALSE)</f>
        <v>3</v>
      </c>
      <c r="X143">
        <f>VLOOKUP(all[[#This Row],[DEVELOPMENT]],Data[],33,FALSE)</f>
        <v>3</v>
      </c>
      <c r="Y143">
        <f>VLOOKUP(all[[#This Row],[DEVELOPMENT]],Data[],28,FALSE)</f>
        <v>0</v>
      </c>
      <c r="Z143">
        <f>IF(all[[#This Row],['# Bulk Crushers]]=0,1,0)</f>
        <v>1</v>
      </c>
      <c r="AA143" s="5">
        <f ca="1">IFERROR(INDEX(FWD[],MATCH($B143,FWD[DEVELOPMENT],0),MATCH("ESTIMATE",FWD[#Headers],0)),0)</f>
        <v>2186232.1250855457</v>
      </c>
      <c r="AB143" s="5">
        <f ca="1">IFERROR(INDEX(EHDAll[],MATCH($B143,EHDAll[DEVELOPMENT],0),MATCH("ESTIMATE",EHDAll[#Headers],0)),0)</f>
        <v>46175.346135</v>
      </c>
      <c r="AC143" s="5">
        <f ca="1">IFERROR(INDEX(IntAll[],MATCH($B143,IntAll[DEVELOPMENT],0),MATCH("ESTIMATE",IntAll[#Headers],0)),0)</f>
        <v>405021.75</v>
      </c>
      <c r="AD143" s="5">
        <f ca="1">IFERROR(INDEX(YardsAll[],MATCH($B143,YardsAll[DEVELOPMENT],0),MATCH("TOTAL ESTIMATE",YardsAll[#Headers],0)),0)</f>
        <v>2760675.9524575002</v>
      </c>
      <c r="AE143" s="99">
        <f t="shared" ca="1" si="2"/>
        <v>5398105.1736780461</v>
      </c>
      <c r="AF143" s="5"/>
    </row>
    <row r="144" spans="1:32">
      <c r="A144" s="101">
        <f>VLOOKUP(B144,Data[],24,FALSE)</f>
        <v>132</v>
      </c>
      <c r="B144" t="s">
        <v>277</v>
      </c>
      <c r="C144" t="str">
        <f>VLOOKUP(all[[#This Row],[DEVELOPMENT]],Data[],MATCH(all[[#Headers],[PROGRAM]],Data[#Headers],0),FALSE)</f>
        <v>FEDERAL</v>
      </c>
      <c r="D144" t="str">
        <f>VLOOKUP(B144,Data[],2,FALSE)</f>
        <v>BRONX</v>
      </c>
      <c r="E144">
        <f>VLOOKUP(all[[#This Row],[DEVELOPMENT]],Data[],65,FALSE)</f>
        <v>84</v>
      </c>
      <c r="F144" t="e">
        <f>VLOOKUP(all[[#This Row],[DEVELOPMENT]],Data[],3,FALSE)</f>
        <v>#N/A</v>
      </c>
      <c r="G144" s="107" t="s">
        <v>228</v>
      </c>
      <c r="H144" t="s">
        <v>184</v>
      </c>
      <c r="I144">
        <f>VLOOKUP(all[[#This Row],[DEVELOPMENT]],Data[],34,FALSE)</f>
        <v>3</v>
      </c>
      <c r="J144" t="s">
        <v>184</v>
      </c>
      <c r="K144">
        <f>VLOOKUP(B144,Data[],8,FALSE)</f>
        <v>0</v>
      </c>
      <c r="L144" t="str">
        <f>VLOOKUP(all[[#This Row],[DEVELOPMENT]],Data[],61,FALSE)</f>
        <v>No</v>
      </c>
      <c r="M144">
        <f>VLOOKUP(B144,Data[],9,FALSE)</f>
        <v>0</v>
      </c>
      <c r="N144">
        <v>2</v>
      </c>
      <c r="O144">
        <v>3</v>
      </c>
      <c r="P144" t="str">
        <f ca="1">IFERROR(VLOOKUP(B144,Data[],4,FALSE),"")</f>
        <v/>
      </c>
      <c r="Q144" t="str">
        <f ca="1">IF(all[[#This Row],[RAD/PACT]]="","",IF(OR(all[[#This Row],[RAD/PACT]]="2021-2025",all[[#This Row],[RAD/PACT]]="2019-2020"),"Yes",""))</f>
        <v/>
      </c>
      <c r="R144">
        <f>VLOOKUP(all[[#This Row],[DEVELOPMENT]],Data[],7,FALSE)</f>
        <v>125</v>
      </c>
      <c r="S144">
        <f>VLOOKUP(all[[#This Row],[DEVELOPMENT]],Data[],25,FALSE)</f>
        <v>0</v>
      </c>
      <c r="T144">
        <f>VLOOKUP(all[[#This Row],[DEVELOPMENT]],Data[],5,FALSE)</f>
        <v>1</v>
      </c>
      <c r="U144">
        <f>VLOOKUP(all[[#This Row],[DEVELOPMENT]],Data[],10,FALSE)</f>
        <v>1</v>
      </c>
      <c r="V144">
        <f>VLOOKUP(all[[#This Row],[DEVELOPMENT]],Data[],10,FALSE)</f>
        <v>1</v>
      </c>
      <c r="W144">
        <f>VLOOKUP(all[[#This Row],[DEVELOPMENT]],Data[],33,FALSE)</f>
        <v>1</v>
      </c>
      <c r="X144">
        <f>VLOOKUP(all[[#This Row],[DEVELOPMENT]],Data[],33,FALSE)</f>
        <v>1</v>
      </c>
      <c r="Y144">
        <f>VLOOKUP(all[[#This Row],[DEVELOPMENT]],Data[],28,FALSE)</f>
        <v>0</v>
      </c>
      <c r="Z144">
        <f>IF(all[[#This Row],['# Bulk Crushers]]=0,1,0)</f>
        <v>1</v>
      </c>
      <c r="AA144" s="5">
        <f ca="1">IFERROR(INDEX(FWD[],MATCH($B144,FWD[DEVELOPMENT],0),MATCH("ESTIMATE",FWD[#Headers],0)),0)</f>
        <v>214841.99342428712</v>
      </c>
      <c r="AB144" s="5">
        <f ca="1">IFERROR(INDEX(EHDAll[],MATCH($B144,EHDAll[DEVELOPMENT],0),MATCH("ESTIMATE",EHDAll[#Headers],0)),0)</f>
        <v>8476.6335900000013</v>
      </c>
      <c r="AC144" s="5">
        <f ca="1">IFERROR(INDEX(IntAll[],MATCH($B144,IntAll[DEVELOPMENT],0),MATCH("ESTIMATE",IntAll[#Headers],0)),0)</f>
        <v>67503.625</v>
      </c>
      <c r="AD144" s="5">
        <f ca="1">IFERROR(INDEX(YardsAll[],MATCH($B144,YardsAll[DEVELOPMENT],0),MATCH("TOTAL ESTIMATE",YardsAll[#Headers],0)),0)</f>
        <v>1997338.0581700003</v>
      </c>
      <c r="AE144" s="99">
        <f t="shared" ca="1" si="2"/>
        <v>2288160.3101842874</v>
      </c>
      <c r="AF144" s="5"/>
    </row>
    <row r="145" spans="1:32">
      <c r="A145" s="101">
        <f>VLOOKUP(B145,Data[],24,FALSE)</f>
        <v>130</v>
      </c>
      <c r="B145" t="s">
        <v>147</v>
      </c>
      <c r="C145" t="str">
        <f>VLOOKUP(all[[#This Row],[DEVELOPMENT]],Data[],MATCH(all[[#Headers],[PROGRAM]],Data[#Headers],0),FALSE)</f>
        <v>FEDERAL</v>
      </c>
      <c r="D145" t="str">
        <f>VLOOKUP(B145,Data[],2,FALSE)</f>
        <v>BRONX</v>
      </c>
      <c r="E145">
        <f>VLOOKUP(all[[#This Row],[DEVELOPMENT]],Data[],65,FALSE)</f>
        <v>79</v>
      </c>
      <c r="F145" t="e">
        <f>VLOOKUP(all[[#This Row],[DEVELOPMENT]],Data[],3,FALSE)</f>
        <v>#N/A</v>
      </c>
      <c r="G145" s="107" t="s">
        <v>228</v>
      </c>
      <c r="H145" t="s">
        <v>184</v>
      </c>
      <c r="I145">
        <f>VLOOKUP(all[[#This Row],[DEVELOPMENT]],Data[],34,FALSE)</f>
        <v>3</v>
      </c>
      <c r="J145" t="s">
        <v>184</v>
      </c>
      <c r="K145" t="str">
        <f>VLOOKUP(B145,Data[],8,FALSE)</f>
        <v>Zone 1</v>
      </c>
      <c r="L145" t="str">
        <f>VLOOKUP(all[[#This Row],[DEVELOPMENT]],Data[],61,FALSE)</f>
        <v>No</v>
      </c>
      <c r="M145">
        <f>VLOOKUP(B145,Data[],9,FALSE)</f>
        <v>1</v>
      </c>
      <c r="N145" t="s">
        <v>185</v>
      </c>
      <c r="O145" t="s">
        <v>185</v>
      </c>
      <c r="P145" t="str">
        <f ca="1">IFERROR(VLOOKUP(B145,Data[],4,FALSE),"")</f>
        <v/>
      </c>
      <c r="Q145" t="str">
        <f ca="1">IF(all[[#This Row],[RAD/PACT]]="","",IF(OR(all[[#This Row],[RAD/PACT]]="2021-2025",all[[#This Row],[RAD/PACT]]="2019-2020"),"Yes",""))</f>
        <v/>
      </c>
      <c r="R145">
        <f>VLOOKUP(all[[#This Row],[DEVELOPMENT]],Data[],7,FALSE)</f>
        <v>206</v>
      </c>
      <c r="S145">
        <f>VLOOKUP(all[[#This Row],[DEVELOPMENT]],Data[],25,FALSE)</f>
        <v>0</v>
      </c>
      <c r="T145">
        <f>VLOOKUP(all[[#This Row],[DEVELOPMENT]],Data[],5,FALSE)</f>
        <v>2</v>
      </c>
      <c r="U145">
        <f>VLOOKUP(all[[#This Row],[DEVELOPMENT]],Data[],10,FALSE)</f>
        <v>2</v>
      </c>
      <c r="V145">
        <f>VLOOKUP(all[[#This Row],[DEVELOPMENT]],Data[],10,FALSE)</f>
        <v>2</v>
      </c>
      <c r="W145">
        <f>VLOOKUP(all[[#This Row],[DEVELOPMENT]],Data[],33,FALSE)</f>
        <v>0</v>
      </c>
      <c r="X145">
        <f>VLOOKUP(all[[#This Row],[DEVELOPMENT]],Data[],33,FALSE)</f>
        <v>0</v>
      </c>
      <c r="Y145">
        <f>VLOOKUP(all[[#This Row],[DEVELOPMENT]],Data[],28,FALSE)</f>
        <v>0</v>
      </c>
      <c r="Z145">
        <f>IF(all[[#This Row],['# Bulk Crushers]]=0,1,0)</f>
        <v>1</v>
      </c>
      <c r="AA145" s="5">
        <f ca="1">IFERROR(INDEX(FWD[],MATCH($B145,FWD[DEVELOPMENT],0),MATCH("ESTIMATE",FWD[#Headers],0)),0)</f>
        <v>354059.60516322521</v>
      </c>
      <c r="AB145" s="5">
        <f ca="1">IFERROR(INDEX(EHDAll[],MATCH($B145,EHDAll[DEVELOPMENT],0),MATCH("ESTIMATE",EHDAll[#Headers],0)),0)</f>
        <v>14871.287</v>
      </c>
      <c r="AC145" s="5">
        <f ca="1">IFERROR(INDEX(IntAll[],MATCH($B145,IntAll[DEVELOPMENT],0),MATCH("ESTIMATE",IntAll[#Headers],0)),0)</f>
        <v>161504</v>
      </c>
      <c r="AD145" s="5">
        <f ca="1">IFERROR(INDEX(YardsAll[],MATCH($B145,YardsAll[DEVELOPMENT],0),MATCH("TOTAL ESTIMATE",YardsAll[#Headers],0)),0)</f>
        <v>2123866.2609500005</v>
      </c>
      <c r="AE145" s="99">
        <f t="shared" ca="1" si="2"/>
        <v>2654301.1531132255</v>
      </c>
      <c r="AF145" s="5"/>
    </row>
    <row r="146" spans="1:32">
      <c r="A146" s="101">
        <f>VLOOKUP(B146,Data[],24,FALSE)</f>
        <v>118</v>
      </c>
      <c r="B146" t="s">
        <v>278</v>
      </c>
      <c r="C146" t="str">
        <f>VLOOKUP(all[[#This Row],[DEVELOPMENT]],Data[],MATCH(all[[#Headers],[PROGRAM]],Data[#Headers],0),FALSE)</f>
        <v>FEDERAL</v>
      </c>
      <c r="D146" t="str">
        <f>VLOOKUP(B146,Data[],2,FALSE)</f>
        <v>BRONX</v>
      </c>
      <c r="E146">
        <f>VLOOKUP(all[[#This Row],[DEVELOPMENT]],Data[],65,FALSE)</f>
        <v>84</v>
      </c>
      <c r="F146" t="e">
        <f>VLOOKUP(all[[#This Row],[DEVELOPMENT]],Data[],3,FALSE)</f>
        <v>#N/A</v>
      </c>
      <c r="G146" s="107" t="s">
        <v>228</v>
      </c>
      <c r="H146" t="s">
        <v>184</v>
      </c>
      <c r="I146">
        <f>VLOOKUP(all[[#This Row],[DEVELOPMENT]],Data[],34,FALSE)</f>
        <v>4</v>
      </c>
      <c r="J146" t="s">
        <v>184</v>
      </c>
      <c r="K146">
        <f>VLOOKUP(B146,Data[],8,FALSE)</f>
        <v>0</v>
      </c>
      <c r="L146" t="str">
        <f>VLOOKUP(all[[#This Row],[DEVELOPMENT]],Data[],61,FALSE)</f>
        <v>No</v>
      </c>
      <c r="M146">
        <f>VLOOKUP(B146,Data[],9,FALSE)</f>
        <v>0</v>
      </c>
      <c r="N146">
        <v>2</v>
      </c>
      <c r="O146">
        <v>3</v>
      </c>
      <c r="P146" t="str">
        <f ca="1">IFERROR(VLOOKUP(B146,Data[],4,FALSE),"")</f>
        <v/>
      </c>
      <c r="Q146" t="str">
        <f ca="1">IF(all[[#This Row],[RAD/PACT]]="","",IF(OR(all[[#This Row],[RAD/PACT]]="2021-2025",all[[#This Row],[RAD/PACT]]="2019-2020"),"Yes",""))</f>
        <v/>
      </c>
      <c r="R146">
        <f>VLOOKUP(all[[#This Row],[DEVELOPMENT]],Data[],7,FALSE)</f>
        <v>924</v>
      </c>
      <c r="S146">
        <f>VLOOKUP(all[[#This Row],[DEVELOPMENT]],Data[],25,FALSE)</f>
        <v>0</v>
      </c>
      <c r="T146">
        <f>VLOOKUP(all[[#This Row],[DEVELOPMENT]],Data[],5,FALSE)</f>
        <v>7</v>
      </c>
      <c r="U146">
        <f>VLOOKUP(all[[#This Row],[DEVELOPMENT]],Data[],10,FALSE)</f>
        <v>7</v>
      </c>
      <c r="V146">
        <f>VLOOKUP(all[[#This Row],[DEVELOPMENT]],Data[],10,FALSE)</f>
        <v>7</v>
      </c>
      <c r="W146">
        <f>VLOOKUP(all[[#This Row],[DEVELOPMENT]],Data[],33,FALSE)</f>
        <v>2</v>
      </c>
      <c r="X146">
        <f>VLOOKUP(all[[#This Row],[DEVELOPMENT]],Data[],33,FALSE)</f>
        <v>2</v>
      </c>
      <c r="Y146">
        <f>VLOOKUP(all[[#This Row],[DEVELOPMENT]],Data[],28,FALSE)</f>
        <v>0</v>
      </c>
      <c r="Z146">
        <f>IF(all[[#This Row],['# Bulk Crushers]]=0,1,0)</f>
        <v>1</v>
      </c>
      <c r="AA146" s="5">
        <f ca="1">IFERROR(INDEX(FWD[],MATCH($B146,FWD[DEVELOPMENT],0),MATCH("ESTIMATE",FWD[#Headers],0)),0)</f>
        <v>1588112.0153923305</v>
      </c>
      <c r="AB146" s="5">
        <f ca="1">IFERROR(INDEX(EHDAll[],MATCH($B146,EHDAll[DEVELOPMENT],0),MATCH("ESTIMATE",EHDAll[#Headers],0)),0)</f>
        <v>57514.702472500001</v>
      </c>
      <c r="AC146" s="5">
        <f ca="1">IFERROR(INDEX(IntAll[],MATCH($B146,IntAll[DEVELOPMENT],0),MATCH("ESTIMATE",IntAll[#Headers],0)),0)</f>
        <v>472525.375</v>
      </c>
      <c r="AD146" s="5">
        <f ca="1">IFERROR(INDEX(YardsAll[],MATCH($B146,YardsAll[DEVELOPMENT],0),MATCH("TOTAL ESTIMATE",YardsAll[#Headers],0)),0)</f>
        <v>2232573.9527325006</v>
      </c>
      <c r="AE146" s="99">
        <f t="shared" ca="1" si="2"/>
        <v>4350726.0455973316</v>
      </c>
      <c r="AF146" s="5"/>
    </row>
    <row r="147" spans="1:32">
      <c r="A147" s="101">
        <f>VLOOKUP(B147,Data[],24,FALSE)</f>
        <v>190</v>
      </c>
      <c r="B147" t="s">
        <v>105</v>
      </c>
      <c r="C147" t="str">
        <f>VLOOKUP(all[[#This Row],[DEVELOPMENT]],Data[],MATCH(all[[#Headers],[PROGRAM]],Data[#Headers],0),FALSE)</f>
        <v>FEDERAL</v>
      </c>
      <c r="D147" t="str">
        <f>VLOOKUP(B147,Data[],2,FALSE)</f>
        <v>BRONX</v>
      </c>
      <c r="E147">
        <f>VLOOKUP(all[[#This Row],[DEVELOPMENT]],Data[],65,FALSE)</f>
        <v>79</v>
      </c>
      <c r="F147" t="e">
        <f>VLOOKUP(all[[#This Row],[DEVELOPMENT]],Data[],3,FALSE)</f>
        <v>#N/A</v>
      </c>
      <c r="G147" s="107" t="s">
        <v>228</v>
      </c>
      <c r="H147" t="s">
        <v>184</v>
      </c>
      <c r="I147">
        <f>VLOOKUP(all[[#This Row],[DEVELOPMENT]],Data[],34,FALSE)</f>
        <v>4</v>
      </c>
      <c r="J147" t="s">
        <v>184</v>
      </c>
      <c r="K147" t="str">
        <f>VLOOKUP(B147,Data[],8,FALSE)</f>
        <v>Zone 3</v>
      </c>
      <c r="L147" t="str">
        <f>VLOOKUP(all[[#This Row],[DEVELOPMENT]],Data[],61,FALSE)</f>
        <v>No</v>
      </c>
      <c r="M147">
        <f>VLOOKUP(B147,Data[],9,FALSE)</f>
        <v>4</v>
      </c>
      <c r="N147">
        <v>2</v>
      </c>
      <c r="O147">
        <v>3</v>
      </c>
      <c r="P147" t="str">
        <f ca="1">IFERROR(VLOOKUP(B147,Data[],4,FALSE),"")</f>
        <v>2026+</v>
      </c>
      <c r="Q147" t="str">
        <f ca="1">IF(all[[#This Row],[RAD/PACT]]="","",IF(OR(all[[#This Row],[RAD/PACT]]="2021-2025",all[[#This Row],[RAD/PACT]]="2019-2020"),"Yes",""))</f>
        <v/>
      </c>
      <c r="R147">
        <f>VLOOKUP(all[[#This Row],[DEVELOPMENT]],Data[],7,FALSE)</f>
        <v>175</v>
      </c>
      <c r="S147">
        <f>VLOOKUP(all[[#This Row],[DEVELOPMENT]],Data[],25,FALSE)</f>
        <v>0</v>
      </c>
      <c r="T147">
        <f>VLOOKUP(all[[#This Row],[DEVELOPMENT]],Data[],5,FALSE)</f>
        <v>1</v>
      </c>
      <c r="U147">
        <f>VLOOKUP(all[[#This Row],[DEVELOPMENT]],Data[],10,FALSE)</f>
        <v>1</v>
      </c>
      <c r="V147">
        <f>VLOOKUP(all[[#This Row],[DEVELOPMENT]],Data[],10,FALSE)</f>
        <v>1</v>
      </c>
      <c r="W147">
        <f>VLOOKUP(all[[#This Row],[DEVELOPMENT]],Data[],33,FALSE)</f>
        <v>1</v>
      </c>
      <c r="X147">
        <f>VLOOKUP(all[[#This Row],[DEVELOPMENT]],Data[],33,FALSE)</f>
        <v>1</v>
      </c>
      <c r="Y147">
        <f>VLOOKUP(all[[#This Row],[DEVELOPMENT]],Data[],28,FALSE)</f>
        <v>0</v>
      </c>
      <c r="Z147">
        <f>IF(all[[#This Row],['# Bulk Crushers]]=0,1,0)</f>
        <v>1</v>
      </c>
      <c r="AA147" s="5">
        <f ca="1">IFERROR(INDEX(FWD[],MATCH($B147,FWD[DEVELOPMENT],0),MATCH("ESTIMATE",FWD[#Headers],0)),0)</f>
        <v>300778.79079400195</v>
      </c>
      <c r="AB147" s="5">
        <f ca="1">IFERROR(INDEX(EHDAll[],MATCH($B147,EHDAll[DEVELOPMENT],0),MATCH("ESTIMATE",EHDAll[#Headers],0)),0)</f>
        <v>7695.8910225</v>
      </c>
      <c r="AC147" s="5">
        <f ca="1">IFERROR(INDEX(IntAll[],MATCH($B147,IntAll[DEVELOPMENT],0),MATCH("ESTIMATE",IntAll[#Headers],0)),0)</f>
        <v>63087.5</v>
      </c>
      <c r="AD147" s="5">
        <f ca="1">IFERROR(INDEX(YardsAll[],MATCH($B147,YardsAll[DEVELOPMENT],0),MATCH("TOTAL ESTIMATE",YardsAll[#Headers],0)),0)</f>
        <v>1997338.0581700003</v>
      </c>
      <c r="AE147" s="99">
        <f t="shared" ca="1" si="2"/>
        <v>2368900.2399865021</v>
      </c>
      <c r="AF147" s="5"/>
    </row>
    <row r="148" spans="1:32">
      <c r="A148" s="101">
        <f>VLOOKUP(B148,Data[],24,FALSE)</f>
        <v>41</v>
      </c>
      <c r="B148" t="s">
        <v>279</v>
      </c>
      <c r="C148" t="str">
        <f>VLOOKUP(all[[#This Row],[DEVELOPMENT]],Data[],MATCH(all[[#Headers],[PROGRAM]],Data[#Headers],0),FALSE)</f>
        <v>FEDERAL</v>
      </c>
      <c r="D148" t="str">
        <f>VLOOKUP(B148,Data[],2,FALSE)</f>
        <v>MANHATTAN</v>
      </c>
      <c r="E148">
        <f>VLOOKUP(all[[#This Row],[DEVELOPMENT]],Data[],65,FALSE)</f>
        <v>72</v>
      </c>
      <c r="F148" t="e">
        <f>VLOOKUP(all[[#This Row],[DEVELOPMENT]],Data[],3,FALSE)</f>
        <v>#N/A</v>
      </c>
      <c r="G148" s="107" t="s">
        <v>228</v>
      </c>
      <c r="H148" t="s">
        <v>184</v>
      </c>
      <c r="I148">
        <f>VLOOKUP(all[[#This Row],[DEVELOPMENT]],Data[],34,FALSE)</f>
        <v>4</v>
      </c>
      <c r="J148" t="s">
        <v>184</v>
      </c>
      <c r="K148">
        <f>VLOOKUP(B148,Data[],8,FALSE)</f>
        <v>0</v>
      </c>
      <c r="L148" t="str">
        <f>VLOOKUP(all[[#This Row],[DEVELOPMENT]],Data[],61,FALSE)</f>
        <v>No</v>
      </c>
      <c r="M148">
        <f>VLOOKUP(B148,Data[],9,FALSE)</f>
        <v>0</v>
      </c>
      <c r="N148">
        <v>4</v>
      </c>
      <c r="O148">
        <v>3</v>
      </c>
      <c r="P148" t="str">
        <f ca="1">IFERROR(VLOOKUP(B148,Data[],4,FALSE),"")</f>
        <v/>
      </c>
      <c r="Q148" t="str">
        <f ca="1">IF(all[[#This Row],[RAD/PACT]]="","",IF(OR(all[[#This Row],[RAD/PACT]]="2021-2025",all[[#This Row],[RAD/PACT]]="2019-2020"),"Yes",""))</f>
        <v/>
      </c>
      <c r="R148">
        <f>VLOOKUP(all[[#This Row],[DEVELOPMENT]],Data[],7,FALSE)</f>
        <v>1167</v>
      </c>
      <c r="S148">
        <f>VLOOKUP(all[[#This Row],[DEVELOPMENT]],Data[],25,FALSE)</f>
        <v>0</v>
      </c>
      <c r="T148">
        <f>VLOOKUP(all[[#This Row],[DEVELOPMENT]],Data[],5,FALSE)</f>
        <v>7</v>
      </c>
      <c r="U148">
        <f>VLOOKUP(all[[#This Row],[DEVELOPMENT]],Data[],10,FALSE)</f>
        <v>7</v>
      </c>
      <c r="V148">
        <f>VLOOKUP(all[[#This Row],[DEVELOPMENT]],Data[],10,FALSE)</f>
        <v>7</v>
      </c>
      <c r="W148">
        <f>VLOOKUP(all[[#This Row],[DEVELOPMENT]],Data[],33,FALSE)</f>
        <v>2</v>
      </c>
      <c r="X148">
        <f>VLOOKUP(all[[#This Row],[DEVELOPMENT]],Data[],33,FALSE)</f>
        <v>2</v>
      </c>
      <c r="Y148">
        <f>VLOOKUP(all[[#This Row],[DEVELOPMENT]],Data[],28,FALSE)</f>
        <v>0</v>
      </c>
      <c r="Z148">
        <f>IF(all[[#This Row],['# Bulk Crushers]]=0,1,0)</f>
        <v>1</v>
      </c>
      <c r="AA148" s="5">
        <f ca="1">IFERROR(INDEX(FWD[],MATCH($B148,FWD[DEVELOPMENT],0),MATCH("ESTIMATE",FWD[#Headers],0)),0)</f>
        <v>2005764.8506091447</v>
      </c>
      <c r="AB148" s="5">
        <f ca="1">IFERROR(INDEX(EHDAll[],MATCH($B148,EHDAll[DEVELOPMENT],0),MATCH("ESTIMATE",EHDAll[#Headers],0)),0)</f>
        <v>59336.435130000013</v>
      </c>
      <c r="AC148" s="5">
        <f ca="1">IFERROR(INDEX(IntAll[],MATCH($B148,IntAll[DEVELOPMENT],0),MATCH("ESTIMATE",IntAll[#Headers],0)),0)</f>
        <v>549807.5625</v>
      </c>
      <c r="AD148" s="5">
        <f ca="1">IFERROR(INDEX(YardsAll[],MATCH($B148,YardsAll[DEVELOPMENT],0),MATCH("TOTAL ESTIMATE",YardsAll[#Headers],0)),0)</f>
        <v>1600660.0257475004</v>
      </c>
      <c r="AE148" s="99">
        <f t="shared" ca="1" si="2"/>
        <v>4215568.8739866447</v>
      </c>
      <c r="AF148" s="5"/>
    </row>
    <row r="149" spans="1:32">
      <c r="A149" s="101">
        <f>VLOOKUP(B149,Data[],24,FALSE)</f>
        <v>304</v>
      </c>
      <c r="B149" t="s">
        <v>280</v>
      </c>
      <c r="C149" t="str">
        <f>VLOOKUP(all[[#This Row],[DEVELOPMENT]],Data[],MATCH(all[[#Headers],[PROGRAM]],Data[#Headers],0),FALSE)</f>
        <v>FEDERAL</v>
      </c>
      <c r="D149" t="str">
        <f>VLOOKUP(B149,Data[],2,FALSE)</f>
        <v>BRONX</v>
      </c>
      <c r="E149">
        <f>VLOOKUP(all[[#This Row],[DEVELOPMENT]],Data[],65,FALSE)</f>
        <v>85</v>
      </c>
      <c r="F149" t="e">
        <f>VLOOKUP(all[[#This Row],[DEVELOPMENT]],Data[],3,FALSE)</f>
        <v>#N/A</v>
      </c>
      <c r="G149" s="107" t="s">
        <v>228</v>
      </c>
      <c r="H149" t="s">
        <v>184</v>
      </c>
      <c r="I149">
        <f>VLOOKUP(all[[#This Row],[DEVELOPMENT]],Data[],34,FALSE)</f>
        <v>4</v>
      </c>
      <c r="J149" t="s">
        <v>184</v>
      </c>
      <c r="K149" t="str">
        <f>VLOOKUP(B149,Data[],8,FALSE)</f>
        <v>Zone 4</v>
      </c>
      <c r="L149" t="str">
        <f>VLOOKUP(all[[#This Row],[DEVELOPMENT]],Data[],61,FALSE)</f>
        <v>No</v>
      </c>
      <c r="M149">
        <f>VLOOKUP(B149,Data[],9,FALSE)</f>
        <v>0</v>
      </c>
      <c r="N149">
        <v>3</v>
      </c>
      <c r="O149">
        <v>3</v>
      </c>
      <c r="P149" t="str">
        <f ca="1">IFERROR(VLOOKUP(B149,Data[],4,FALSE),"")</f>
        <v/>
      </c>
      <c r="Q149" t="str">
        <f ca="1">IF(all[[#This Row],[RAD/PACT]]="","",IF(OR(all[[#This Row],[RAD/PACT]]="2021-2025",all[[#This Row],[RAD/PACT]]="2019-2020"),"Yes",""))</f>
        <v/>
      </c>
      <c r="R149">
        <f>VLOOKUP(all[[#This Row],[DEVELOPMENT]],Data[],7,FALSE)</f>
        <v>111</v>
      </c>
      <c r="S149">
        <f>VLOOKUP(all[[#This Row],[DEVELOPMENT]],Data[],25,FALSE)</f>
        <v>0</v>
      </c>
      <c r="T149">
        <f>VLOOKUP(all[[#This Row],[DEVELOPMENT]],Data[],5,FALSE)</f>
        <v>5</v>
      </c>
      <c r="U149">
        <f>VLOOKUP(all[[#This Row],[DEVELOPMENT]],Data[],10,FALSE)</f>
        <v>0</v>
      </c>
      <c r="V149">
        <f>VLOOKUP(all[[#This Row],[DEVELOPMENT]],Data[],10,FALSE)</f>
        <v>0</v>
      </c>
      <c r="W149">
        <f>VLOOKUP(all[[#This Row],[DEVELOPMENT]],Data[],33,FALSE)</f>
        <v>0</v>
      </c>
      <c r="X149">
        <f>VLOOKUP(all[[#This Row],[DEVELOPMENT]],Data[],33,FALSE)</f>
        <v>0</v>
      </c>
      <c r="Y149">
        <f>VLOOKUP(all[[#This Row],[DEVELOPMENT]],Data[],28,FALSE)</f>
        <v>0</v>
      </c>
      <c r="Z149">
        <f>IF(all[[#This Row],['# Bulk Crushers]]=0,1,0)</f>
        <v>1</v>
      </c>
      <c r="AA149" s="5">
        <f ca="1">IFERROR(INDEX(FWD[],MATCH($B149,FWD[DEVELOPMENT],0),MATCH("ESTIMATE",FWD[#Headers],0)),0)</f>
        <v>190779.69016076697</v>
      </c>
      <c r="AB149" s="5">
        <f ca="1">IFERROR(INDEX(EHDAll[],MATCH($B149,EHDAll[DEVELOPMENT],0),MATCH("ESTIMATE",EHDAll[#Headers],0)),0)</f>
        <v>0</v>
      </c>
      <c r="AC149" s="5">
        <f ca="1">IFERROR(INDEX(IntAll[],MATCH($B149,IntAll[DEVELOPMENT],0),MATCH("ESTIMATE",IntAll[#Headers],0)),0)</f>
        <v>0</v>
      </c>
      <c r="AD149" s="5">
        <f ca="1">IFERROR(INDEX(YardsAll[],MATCH($B149,YardsAll[DEVELOPMENT],0),MATCH("TOTAL ESTIMATE",YardsAll[#Headers],0)),0)</f>
        <v>2060602.1595600008</v>
      </c>
      <c r="AE149" s="99">
        <f t="shared" ca="1" si="2"/>
        <v>2251381.8497207677</v>
      </c>
      <c r="AF149" s="5"/>
    </row>
    <row r="150" spans="1:32">
      <c r="A150" s="101">
        <f>VLOOKUP(B150,Data[],24,FALSE)</f>
        <v>109</v>
      </c>
      <c r="B150" t="s">
        <v>139</v>
      </c>
      <c r="C150" t="str">
        <f>VLOOKUP(all[[#This Row],[DEVELOPMENT]],Data[],MATCH(all[[#Headers],[PROGRAM]],Data[#Headers],0),FALSE)</f>
        <v>FEDERAL</v>
      </c>
      <c r="D150" t="str">
        <f>VLOOKUP(B150,Data[],2,FALSE)</f>
        <v>BROOKLYN</v>
      </c>
      <c r="E150">
        <f>VLOOKUP(all[[#This Row],[DEVELOPMENT]],Data[],65,FALSE)</f>
        <v>53</v>
      </c>
      <c r="F150" t="e">
        <f>VLOOKUP(all[[#This Row],[DEVELOPMENT]],Data[],3,FALSE)</f>
        <v>#N/A</v>
      </c>
      <c r="G150" s="107" t="s">
        <v>228</v>
      </c>
      <c r="H150" t="s">
        <v>184</v>
      </c>
      <c r="I150">
        <f>VLOOKUP(all[[#This Row],[DEVELOPMENT]],Data[],34,FALSE)</f>
        <v>4</v>
      </c>
      <c r="J150" t="s">
        <v>184</v>
      </c>
      <c r="K150" t="str">
        <f>VLOOKUP(B150,Data[],8,FALSE)</f>
        <v>Zone 1</v>
      </c>
      <c r="L150" t="str">
        <f>VLOOKUP(all[[#This Row],[DEVELOPMENT]],Data[],61,FALSE)</f>
        <v>No</v>
      </c>
      <c r="M150">
        <f>VLOOKUP(B150,Data[],9,FALSE)</f>
        <v>4</v>
      </c>
      <c r="N150">
        <v>4</v>
      </c>
      <c r="O150">
        <v>3</v>
      </c>
      <c r="P150" t="str">
        <f ca="1">IFERROR(VLOOKUP(B150,Data[],4,FALSE),"")</f>
        <v/>
      </c>
      <c r="Q150" t="str">
        <f ca="1">IF(all[[#This Row],[RAD/PACT]]="","",IF(OR(all[[#This Row],[RAD/PACT]]="2021-2025",all[[#This Row],[RAD/PACT]]="2019-2020"),"Yes",""))</f>
        <v/>
      </c>
      <c r="R150">
        <f>VLOOKUP(all[[#This Row],[DEVELOPMENT]],Data[],7,FALSE)</f>
        <v>209</v>
      </c>
      <c r="S150" t="str">
        <f>VLOOKUP(all[[#This Row],[DEVELOPMENT]],Data[],25,FALSE)</f>
        <v>Newtown Creek</v>
      </c>
      <c r="T150">
        <f>VLOOKUP(all[[#This Row],[DEVELOPMENT]],Data[],5,FALSE)</f>
        <v>1</v>
      </c>
      <c r="U150">
        <f>VLOOKUP(all[[#This Row],[DEVELOPMENT]],Data[],10,FALSE)</f>
        <v>1</v>
      </c>
      <c r="V150">
        <f>VLOOKUP(all[[#This Row],[DEVELOPMENT]],Data[],10,FALSE)</f>
        <v>1</v>
      </c>
      <c r="W150">
        <f>VLOOKUP(all[[#This Row],[DEVELOPMENT]],Data[],33,FALSE)</f>
        <v>0</v>
      </c>
      <c r="X150">
        <f>VLOOKUP(all[[#This Row],[DEVELOPMENT]],Data[],33,FALSE)</f>
        <v>0</v>
      </c>
      <c r="Y150">
        <f>VLOOKUP(all[[#This Row],[DEVELOPMENT]],Data[],28,FALSE)</f>
        <v>0</v>
      </c>
      <c r="Z150">
        <f>IF(all[[#This Row],['# Bulk Crushers]]=0,1,0)</f>
        <v>1</v>
      </c>
      <c r="AA150" s="5">
        <f ca="1">IFERROR(INDEX(FWD[],MATCH($B150,FWD[DEVELOPMENT],0),MATCH("ESTIMATE",FWD[#Headers],0)),0)</f>
        <v>359215.8130054081</v>
      </c>
      <c r="AB150" s="5">
        <f ca="1">IFERROR(INDEX(EHDAll[],MATCH($B150,EHDAll[DEVELOPMENT],0),MATCH("ESTIMATE",EHDAll[#Headers],0)),0)</f>
        <v>7435.6435000000001</v>
      </c>
      <c r="AC150" s="5">
        <f ca="1">IFERROR(INDEX(IntAll[],MATCH($B150,IntAll[DEVELOPMENT],0),MATCH("ESTIMATE",IntAll[#Headers],0)),0)</f>
        <v>63283</v>
      </c>
      <c r="AD150" s="5">
        <f ca="1">IFERROR(INDEX(YardsAll[],MATCH($B150,YardsAll[DEVELOPMENT],0),MATCH("TOTAL ESTIMATE",YardsAll[#Headers],0)),0)</f>
        <v>2123866.2609500005</v>
      </c>
      <c r="AE150" s="99">
        <f t="shared" ca="1" si="2"/>
        <v>2553800.7174554085</v>
      </c>
      <c r="AF150" s="5"/>
    </row>
    <row r="151" spans="1:32">
      <c r="A151" s="101">
        <f>VLOOKUP(B151,Data[],24,FALSE)</f>
        <v>152</v>
      </c>
      <c r="B151" t="s">
        <v>103</v>
      </c>
      <c r="C151" t="str">
        <f>VLOOKUP(all[[#This Row],[DEVELOPMENT]],Data[],MATCH(all[[#Headers],[PROGRAM]],Data[#Headers],0),FALSE)</f>
        <v>FEDERAL</v>
      </c>
      <c r="D151" t="str">
        <f>VLOOKUP(B151,Data[],2,FALSE)</f>
        <v>MANHATTAN</v>
      </c>
      <c r="E151">
        <f>VLOOKUP(all[[#This Row],[DEVELOPMENT]],Data[],65,FALSE)</f>
        <v>65</v>
      </c>
      <c r="F151" t="e">
        <f>VLOOKUP(all[[#This Row],[DEVELOPMENT]],Data[],3,FALSE)</f>
        <v>#N/A</v>
      </c>
      <c r="G151" s="107" t="s">
        <v>228</v>
      </c>
      <c r="H151" t="s">
        <v>184</v>
      </c>
      <c r="I151">
        <f>VLOOKUP(all[[#This Row],[DEVELOPMENT]],Data[],34,FALSE)</f>
        <v>4</v>
      </c>
      <c r="J151" t="s">
        <v>184</v>
      </c>
      <c r="K151" t="str">
        <f>VLOOKUP(B151,Data[],8,FALSE)</f>
        <v>Zone 1</v>
      </c>
      <c r="L151" t="str">
        <f>VLOOKUP(all[[#This Row],[DEVELOPMENT]],Data[],61,FALSE)</f>
        <v>No</v>
      </c>
      <c r="M151">
        <f>VLOOKUP(B151,Data[],9,FALSE)</f>
        <v>4</v>
      </c>
      <c r="N151">
        <v>3</v>
      </c>
      <c r="O151">
        <v>3</v>
      </c>
      <c r="P151" t="str">
        <f ca="1">IFERROR(VLOOKUP(B151,Data[],4,FALSE),"")</f>
        <v/>
      </c>
      <c r="Q151" t="str">
        <f ca="1">IF(all[[#This Row],[RAD/PACT]]="","",IF(OR(all[[#This Row],[RAD/PACT]]="2021-2025",all[[#This Row],[RAD/PACT]]="2019-2020"),"Yes",""))</f>
        <v/>
      </c>
      <c r="R151">
        <f>VLOOKUP(all[[#This Row],[DEVELOPMENT]],Data[],7,FALSE)</f>
        <v>149</v>
      </c>
      <c r="S151" t="str">
        <f>VLOOKUP(all[[#This Row],[DEVELOPMENT]],Data[],25,FALSE)</f>
        <v>Newtown Creek</v>
      </c>
      <c r="T151">
        <f>VLOOKUP(all[[#This Row],[DEVELOPMENT]],Data[],5,FALSE)</f>
        <v>1</v>
      </c>
      <c r="U151">
        <f>VLOOKUP(all[[#This Row],[DEVELOPMENT]],Data[],10,FALSE)</f>
        <v>1</v>
      </c>
      <c r="V151">
        <f>VLOOKUP(all[[#This Row],[DEVELOPMENT]],Data[],10,FALSE)</f>
        <v>1</v>
      </c>
      <c r="W151">
        <f>VLOOKUP(all[[#This Row],[DEVELOPMENT]],Data[],33,FALSE)</f>
        <v>0</v>
      </c>
      <c r="X151">
        <f>VLOOKUP(all[[#This Row],[DEVELOPMENT]],Data[],33,FALSE)</f>
        <v>0</v>
      </c>
      <c r="Y151">
        <f>VLOOKUP(all[[#This Row],[DEVELOPMENT]],Data[],28,FALSE)</f>
        <v>0</v>
      </c>
      <c r="Z151">
        <f>IF(all[[#This Row],['# Bulk Crushers]]=0,1,0)</f>
        <v>1</v>
      </c>
      <c r="AA151" s="5">
        <f ca="1">IFERROR(INDEX(FWD[],MATCH($B151,FWD[DEVELOPMENT],0),MATCH("ESTIMATE",FWD[#Headers],0)),0)</f>
        <v>256091.65616175026</v>
      </c>
      <c r="AB151" s="5">
        <f>IFERROR(INDEX(EHDAll[],MATCH($B151,EHDAll[DEVELOPMENT],0),MATCH("ESTIMATE",EHDAll[#Headers],0)),0)</f>
        <v>0</v>
      </c>
      <c r="AC151" s="5">
        <f ca="1">IFERROR(INDEX(IntAll[],MATCH($B151,IntAll[DEVELOPMENT],0),MATCH("ESTIMATE",IntAll[#Headers],0)),0)</f>
        <v>46198</v>
      </c>
      <c r="AD151" s="5">
        <f ca="1">IFERROR(INDEX(YardsAll[],MATCH($B151,YardsAll[DEVELOPMENT],0),MATCH("TOTAL ESTIMATE",YardsAll[#Headers],0)),0)</f>
        <v>0</v>
      </c>
      <c r="AE151" s="99">
        <f t="shared" ca="1" si="2"/>
        <v>302289.65616175026</v>
      </c>
      <c r="AF151" s="5"/>
    </row>
    <row r="152" spans="1:32">
      <c r="A152" s="101">
        <f>VLOOKUP(B152,Data[],24,FALSE)</f>
        <v>129</v>
      </c>
      <c r="B152" t="s">
        <v>91</v>
      </c>
      <c r="C152" t="str">
        <f>VLOOKUP(all[[#This Row],[DEVELOPMENT]],Data[],MATCH(all[[#Headers],[PROGRAM]],Data[#Headers],0),FALSE)</f>
        <v>FEDERAL</v>
      </c>
      <c r="D152" t="str">
        <f>VLOOKUP(B152,Data[],2,FALSE)</f>
        <v>BRONX</v>
      </c>
      <c r="E152">
        <f>VLOOKUP(all[[#This Row],[DEVELOPMENT]],Data[],65,FALSE)</f>
        <v>84</v>
      </c>
      <c r="F152" t="e">
        <f>VLOOKUP(all[[#This Row],[DEVELOPMENT]],Data[],3,FALSE)</f>
        <v>#N/A</v>
      </c>
      <c r="G152" s="107" t="s">
        <v>228</v>
      </c>
      <c r="H152" t="s">
        <v>184</v>
      </c>
      <c r="I152">
        <f>VLOOKUP(all[[#This Row],[DEVELOPMENT]],Data[],34,FALSE)</f>
        <v>4</v>
      </c>
      <c r="J152" t="s">
        <v>184</v>
      </c>
      <c r="K152" t="str">
        <f>VLOOKUP(B152,Data[],8,FALSE)</f>
        <v>Zone 3</v>
      </c>
      <c r="L152" t="str">
        <f>VLOOKUP(all[[#This Row],[DEVELOPMENT]],Data[],61,FALSE)</f>
        <v>No</v>
      </c>
      <c r="M152">
        <f>VLOOKUP(B152,Data[],9,FALSE)</f>
        <v>3</v>
      </c>
      <c r="N152">
        <v>3</v>
      </c>
      <c r="O152">
        <v>3</v>
      </c>
      <c r="P152" t="str">
        <f ca="1">IFERROR(VLOOKUP(B152,Data[],4,FALSE),"")</f>
        <v>2026+</v>
      </c>
      <c r="Q152" t="str">
        <f ca="1">IF(all[[#This Row],[RAD/PACT]]="","",IF(OR(all[[#This Row],[RAD/PACT]]="2021-2025",all[[#This Row],[RAD/PACT]]="2019-2020"),"Yes",""))</f>
        <v/>
      </c>
      <c r="R152">
        <f>VLOOKUP(all[[#This Row],[DEVELOPMENT]],Data[],7,FALSE)</f>
        <v>463</v>
      </c>
      <c r="S152">
        <f>VLOOKUP(all[[#This Row],[DEVELOPMENT]],Data[],25,FALSE)</f>
        <v>0</v>
      </c>
      <c r="T152">
        <f>VLOOKUP(all[[#This Row],[DEVELOPMENT]],Data[],5,FALSE)</f>
        <v>2</v>
      </c>
      <c r="U152">
        <f>VLOOKUP(all[[#This Row],[DEVELOPMENT]],Data[],10,FALSE)</f>
        <v>4</v>
      </c>
      <c r="V152">
        <f>VLOOKUP(all[[#This Row],[DEVELOPMENT]],Data[],10,FALSE)</f>
        <v>4</v>
      </c>
      <c r="W152">
        <f>VLOOKUP(all[[#This Row],[DEVELOPMENT]],Data[],33,FALSE)</f>
        <v>1</v>
      </c>
      <c r="X152">
        <f>VLOOKUP(all[[#This Row],[DEVELOPMENT]],Data[],33,FALSE)</f>
        <v>1</v>
      </c>
      <c r="Y152">
        <f>VLOOKUP(all[[#This Row],[DEVELOPMENT]],Data[],28,FALSE)</f>
        <v>0</v>
      </c>
      <c r="Z152">
        <f>IF(all[[#This Row],['# Bulk Crushers]]=0,1,0)</f>
        <v>1</v>
      </c>
      <c r="AA152" s="5">
        <f ca="1">IFERROR(INDEX(FWD[],MATCH($B152,FWD[DEVELOPMENT],0),MATCH("ESTIMATE",FWD[#Headers],0)),0)</f>
        <v>795774.74364355952</v>
      </c>
      <c r="AB152" s="5">
        <f ca="1">IFERROR(INDEX(EHDAll[],MATCH($B152,EHDAll[DEVELOPMENT],0),MATCH("ESTIMATE",EHDAll[#Headers],0)),0)</f>
        <v>30783.56409</v>
      </c>
      <c r="AC152" s="5">
        <f ca="1">IFERROR(INDEX(IntAll[],MATCH($B152,IntAll[DEVELOPMENT],0),MATCH("ESTIMATE",IntAll[#Headers],0)),0)</f>
        <v>278846.75</v>
      </c>
      <c r="AD152" s="5">
        <f ca="1">IFERROR(INDEX(YardsAll[],MATCH($B152,YardsAll[DEVELOPMENT],0),MATCH("TOTAL ESTIMATE",YardsAll[#Headers],0)),0)</f>
        <v>2060602.1595600008</v>
      </c>
      <c r="AE152" s="99">
        <f t="shared" ca="1" si="2"/>
        <v>3166007.2172935605</v>
      </c>
      <c r="AF152" s="5"/>
    </row>
    <row r="153" spans="1:32">
      <c r="A153" s="101">
        <f>VLOOKUP(B153,Data[],24,FALSE)</f>
        <v>265</v>
      </c>
      <c r="B153" t="s">
        <v>57</v>
      </c>
      <c r="C153" t="str">
        <f>VLOOKUP(all[[#This Row],[DEVELOPMENT]],Data[],MATCH(all[[#Headers],[PROGRAM]],Data[#Headers],0),FALSE)</f>
        <v>FEDERAL</v>
      </c>
      <c r="D153" t="str">
        <f>VLOOKUP(B153,Data[],2,FALSE)</f>
        <v>MANHATTAN</v>
      </c>
      <c r="E153">
        <f>VLOOKUP(all[[#This Row],[DEVELOPMENT]],Data[],65,FALSE)</f>
        <v>65</v>
      </c>
      <c r="F153" t="e">
        <f>VLOOKUP(all[[#This Row],[DEVELOPMENT]],Data[],3,FALSE)</f>
        <v>#N/A</v>
      </c>
      <c r="G153" s="107" t="s">
        <v>281</v>
      </c>
      <c r="H153" t="s">
        <v>184</v>
      </c>
      <c r="I153">
        <f>VLOOKUP(all[[#This Row],[DEVELOPMENT]],Data[],34,FALSE)</f>
        <v>0</v>
      </c>
      <c r="J153" t="s">
        <v>184</v>
      </c>
      <c r="K153" t="str">
        <f>VLOOKUP(B153,Data[],8,FALSE)</f>
        <v>Zone 1</v>
      </c>
      <c r="L153" t="str">
        <f>VLOOKUP(all[[#This Row],[DEVELOPMENT]],Data[],61,FALSE)</f>
        <v>No</v>
      </c>
      <c r="M153">
        <f>VLOOKUP(B153,Data[],9,FALSE)</f>
        <v>3</v>
      </c>
      <c r="N153">
        <v>2</v>
      </c>
      <c r="O153" t="s">
        <v>185</v>
      </c>
      <c r="P153" t="str">
        <f ca="1">IFERROR(VLOOKUP(B153,Data[],4,FALSE),"")</f>
        <v/>
      </c>
      <c r="Q153" t="str">
        <f ca="1">IF(all[[#This Row],[RAD/PACT]]="","",IF(OR(all[[#This Row],[RAD/PACT]]="2021-2025",all[[#This Row],[RAD/PACT]]="2019-2020"),"Yes",""))</f>
        <v/>
      </c>
      <c r="R153">
        <f>VLOOKUP(all[[#This Row],[DEVELOPMENT]],Data[],7,FALSE)</f>
        <v>107</v>
      </c>
      <c r="S153" t="str">
        <f>VLOOKUP(all[[#This Row],[DEVELOPMENT]],Data[],25,FALSE)</f>
        <v>Newtown Creek</v>
      </c>
      <c r="T153">
        <f>VLOOKUP(all[[#This Row],[DEVELOPMENT]],Data[],5,FALSE)</f>
        <v>1</v>
      </c>
      <c r="U153">
        <f>VLOOKUP(all[[#This Row],[DEVELOPMENT]],Data[],10,FALSE)</f>
        <v>1</v>
      </c>
      <c r="V153">
        <f>VLOOKUP(all[[#This Row],[DEVELOPMENT]],Data[],10,FALSE)</f>
        <v>1</v>
      </c>
      <c r="W153">
        <f>VLOOKUP(all[[#This Row],[DEVELOPMENT]],Data[],33,FALSE)</f>
        <v>0</v>
      </c>
      <c r="X153">
        <f>VLOOKUP(all[[#This Row],[DEVELOPMENT]],Data[],33,FALSE)</f>
        <v>0</v>
      </c>
      <c r="Y153">
        <f>VLOOKUP(all[[#This Row],[DEVELOPMENT]],Data[],28,FALSE)</f>
        <v>0</v>
      </c>
      <c r="Z153">
        <f>IF(all[[#This Row],['# Bulk Crushers]]=0,1,0)</f>
        <v>1</v>
      </c>
      <c r="AA153" s="5">
        <f ca="1">IFERROR(INDEX(FWD[],MATCH($B153,FWD[DEVELOPMENT],0),MATCH("ESTIMATE",FWD[#Headers],0)),0)</f>
        <v>183904.74637118977</v>
      </c>
      <c r="AB153" s="5">
        <f ca="1">IFERROR(INDEX(EHDAll[],MATCH($B153,EHDAll[DEVELOPMENT],0),MATCH("ESTIMATE",EHDAll[#Headers],0)),0)</f>
        <v>7435.6435000000001</v>
      </c>
      <c r="AC153" s="5">
        <f ca="1">IFERROR(INDEX(IntAll[],MATCH($B153,IntAll[DEVELOPMENT],0),MATCH("ESTIMATE",IntAll[#Headers],0)),0)</f>
        <v>53023</v>
      </c>
      <c r="AD153" s="5">
        <f ca="1">IFERROR(INDEX(YardsAll[],MATCH($B153,YardsAll[DEVELOPMENT],0),MATCH("TOTAL ESTIMATE",YardsAll[#Headers],0)),0)</f>
        <v>2123866.2609500005</v>
      </c>
      <c r="AE153" s="99">
        <f t="shared" ca="1" si="2"/>
        <v>2368229.6508211903</v>
      </c>
      <c r="AF153" s="5"/>
    </row>
    <row r="154" spans="1:32">
      <c r="A154" s="101">
        <f>VLOOKUP(B154,Data[],24,FALSE)</f>
        <v>185</v>
      </c>
      <c r="B154" t="s">
        <v>282</v>
      </c>
      <c r="C154" t="str">
        <f>VLOOKUP(all[[#This Row],[DEVELOPMENT]],Data[],MATCH(all[[#Headers],[PROGRAM]],Data[#Headers],0),FALSE)</f>
        <v>MIXED FINANCE/LLC2</v>
      </c>
      <c r="D154" t="str">
        <f>VLOOKUP(B154,Data[],2,FALSE)</f>
        <v>MANHATTAN</v>
      </c>
      <c r="E154">
        <f>VLOOKUP(all[[#This Row],[DEVELOPMENT]],Data[],65,FALSE)</f>
        <v>74</v>
      </c>
      <c r="F154" t="e">
        <f>VLOOKUP(all[[#This Row],[DEVELOPMENT]],Data[],3,FALSE)</f>
        <v>#N/A</v>
      </c>
      <c r="G154" s="107" t="s">
        <v>281</v>
      </c>
      <c r="H154" t="s">
        <v>184</v>
      </c>
      <c r="I154">
        <f>VLOOKUP(all[[#This Row],[DEVELOPMENT]],Data[],34,FALSE)</f>
        <v>4</v>
      </c>
      <c r="J154" t="s">
        <v>184</v>
      </c>
      <c r="K154">
        <f>VLOOKUP(B154,Data[],8,FALSE)</f>
        <v>0</v>
      </c>
      <c r="L154" t="str">
        <f>VLOOKUP(all[[#This Row],[DEVELOPMENT]],Data[],61,FALSE)</f>
        <v>No</v>
      </c>
      <c r="M154">
        <f>VLOOKUP(B154,Data[],9,FALSE)</f>
        <v>0</v>
      </c>
      <c r="N154">
        <v>2</v>
      </c>
      <c r="O154" t="s">
        <v>185</v>
      </c>
      <c r="P154" t="str">
        <f ca="1">IFERROR(VLOOKUP(B154,Data[],4,FALSE),"")</f>
        <v>2020-2021</v>
      </c>
      <c r="Q154" t="str">
        <f ca="1">IF(all[[#This Row],[RAD/PACT]]="","",IF(OR(all[[#This Row],[RAD/PACT]]="2021-2025",all[[#This Row],[RAD/PACT]]="2019-2020"),"Yes",""))</f>
        <v/>
      </c>
      <c r="R154">
        <f>VLOOKUP(all[[#This Row],[DEVELOPMENT]],Data[],7,FALSE)</f>
        <v>225</v>
      </c>
      <c r="S154" t="str">
        <f>VLOOKUP(all[[#This Row],[DEVELOPMENT]],Data[],25,FALSE)</f>
        <v>Newtown Creek</v>
      </c>
      <c r="T154">
        <f>VLOOKUP(all[[#This Row],[DEVELOPMENT]],Data[],5,FALSE)</f>
        <v>1</v>
      </c>
      <c r="U154">
        <f>VLOOKUP(all[[#This Row],[DEVELOPMENT]],Data[],10,FALSE)</f>
        <v>1</v>
      </c>
      <c r="V154">
        <f>VLOOKUP(all[[#This Row],[DEVELOPMENT]],Data[],10,FALSE)</f>
        <v>1</v>
      </c>
      <c r="W154">
        <f>VLOOKUP(all[[#This Row],[DEVELOPMENT]],Data[],33,FALSE)</f>
        <v>0</v>
      </c>
      <c r="X154">
        <f>VLOOKUP(all[[#This Row],[DEVELOPMENT]],Data[],33,FALSE)</f>
        <v>0</v>
      </c>
      <c r="Y154">
        <f>VLOOKUP(all[[#This Row],[DEVELOPMENT]],Data[],28,FALSE)</f>
        <v>0</v>
      </c>
      <c r="Z154">
        <f>IF(all[[#This Row],['# Bulk Crushers]]=0,1,0)</f>
        <v>1</v>
      </c>
      <c r="AA154" s="5">
        <f ca="1">IFERROR(INDEX(FWD[],MATCH($B154,FWD[DEVELOPMENT],0),MATCH("ESTIMATE",FWD[#Headers],0)),0)</f>
        <v>386715.58816371683</v>
      </c>
      <c r="AB154" s="5">
        <f ca="1">IFERROR(INDEX(EHDAll[],MATCH($B154,EHDAll[DEVELOPMENT],0),MATCH("ESTIMATE",EHDAll[#Headers],0)),0)</f>
        <v>8476.6335900000013</v>
      </c>
      <c r="AC154" s="5">
        <f ca="1">IFERROR(INDEX(IntAll[],MATCH($B154,IntAll[DEVELOPMENT],0),MATCH("ESTIMATE",IntAll[#Headers],0)),0)</f>
        <v>0</v>
      </c>
      <c r="AD154" s="5">
        <f ca="1">IFERROR(INDEX(YardsAll[],MATCH($B154,YardsAll[DEVELOPMENT],0),MATCH("TOTAL ESTIMATE",YardsAll[#Headers],0)),0)</f>
        <v>0</v>
      </c>
      <c r="AE154" s="99">
        <f t="shared" ca="1" si="2"/>
        <v>395192.22175371682</v>
      </c>
      <c r="AF154" s="5"/>
    </row>
    <row r="155" spans="1:32">
      <c r="A155" s="101">
        <f>VLOOKUP(B155,Data[],24,FALSE)</f>
        <v>235</v>
      </c>
      <c r="B155" t="s">
        <v>283</v>
      </c>
      <c r="C155" t="str">
        <f>VLOOKUP(all[[#This Row],[DEVELOPMENT]],Data[],MATCH(all[[#Headers],[PROGRAM]],Data[#Headers],0),FALSE)</f>
        <v>FEDERAL</v>
      </c>
      <c r="D155" t="str">
        <f>VLOOKUP(B155,Data[],2,FALSE)</f>
        <v>BRONX</v>
      </c>
      <c r="E155">
        <f>VLOOKUP(all[[#This Row],[DEVELOPMENT]],Data[],65,FALSE)</f>
        <v>79</v>
      </c>
      <c r="F155" t="e">
        <f>VLOOKUP(all[[#This Row],[DEVELOPMENT]],Data[],3,FALSE)</f>
        <v>#N/A</v>
      </c>
      <c r="G155" s="107" t="s">
        <v>281</v>
      </c>
      <c r="H155" t="s">
        <v>184</v>
      </c>
      <c r="I155">
        <f>VLOOKUP(all[[#This Row],[DEVELOPMENT]],Data[],34,FALSE)</f>
        <v>4</v>
      </c>
      <c r="J155" t="s">
        <v>184</v>
      </c>
      <c r="K155">
        <f>VLOOKUP(B155,Data[],8,FALSE)</f>
        <v>0</v>
      </c>
      <c r="L155" t="str">
        <f>VLOOKUP(all[[#This Row],[DEVELOPMENT]],Data[],61,FALSE)</f>
        <v>No</v>
      </c>
      <c r="M155">
        <f>VLOOKUP(B155,Data[],9,FALSE)</f>
        <v>0</v>
      </c>
      <c r="N155" t="s">
        <v>185</v>
      </c>
      <c r="O155" t="s">
        <v>185</v>
      </c>
      <c r="P155" t="str">
        <f ca="1">IFERROR(VLOOKUP(B155,Data[],4,FALSE),"")</f>
        <v/>
      </c>
      <c r="Q155" t="str">
        <f ca="1">IF(all[[#This Row],[RAD/PACT]]="","",IF(OR(all[[#This Row],[RAD/PACT]]="2021-2025",all[[#This Row],[RAD/PACT]]="2019-2020"),"Yes",""))</f>
        <v/>
      </c>
      <c r="R155">
        <f>VLOOKUP(all[[#This Row],[DEVELOPMENT]],Data[],7,FALSE)</f>
        <v>72</v>
      </c>
      <c r="S155">
        <f>VLOOKUP(all[[#This Row],[DEVELOPMENT]],Data[],25,FALSE)</f>
        <v>0</v>
      </c>
      <c r="T155">
        <f>VLOOKUP(all[[#This Row],[DEVELOPMENT]],Data[],5,FALSE)</f>
        <v>1</v>
      </c>
      <c r="U155">
        <f>VLOOKUP(all[[#This Row],[DEVELOPMENT]],Data[],10,FALSE)</f>
        <v>0</v>
      </c>
      <c r="V155">
        <f>VLOOKUP(all[[#This Row],[DEVELOPMENT]],Data[],10,FALSE)</f>
        <v>0</v>
      </c>
      <c r="W155">
        <f>VLOOKUP(all[[#This Row],[DEVELOPMENT]],Data[],33,FALSE)</f>
        <v>0</v>
      </c>
      <c r="X155">
        <f>VLOOKUP(all[[#This Row],[DEVELOPMENT]],Data[],33,FALSE)</f>
        <v>0</v>
      </c>
      <c r="Y155">
        <f>VLOOKUP(all[[#This Row],[DEVELOPMENT]],Data[],28,FALSE)</f>
        <v>0</v>
      </c>
      <c r="Z155">
        <f>IF(all[[#This Row],['# Bulk Crushers]]=0,1,0)</f>
        <v>1</v>
      </c>
      <c r="AA155" s="5">
        <f ca="1">IFERROR(INDEX(FWD[],MATCH($B155,FWD[DEVELOPMENT],0),MATCH("ESTIMATE",FWD[#Headers],0)),0)</f>
        <v>123748.98821238938</v>
      </c>
      <c r="AB155" s="5">
        <f ca="1">IFERROR(INDEX(EHDAll[],MATCH($B155,EHDAll[DEVELOPMENT],0),MATCH("ESTIMATE",EHDAll[#Headers],0)),0)</f>
        <v>8476.6335900000013</v>
      </c>
      <c r="AC155" s="5">
        <f ca="1">IFERROR(INDEX(IntAll[],MATCH($B155,IntAll[DEVELOPMENT],0),MATCH("ESTIMATE",IntAll[#Headers],0)),0)</f>
        <v>0</v>
      </c>
      <c r="AD155" s="5">
        <f ca="1">IFERROR(INDEX(YardsAll[],MATCH($B155,YardsAll[DEVELOPMENT],0),MATCH("TOTAL ESTIMATE",YardsAll[#Headers],0)),0)</f>
        <v>2187130.3623400005</v>
      </c>
      <c r="AE155" s="99">
        <f t="shared" ca="1" si="2"/>
        <v>2319355.9841423901</v>
      </c>
      <c r="AF155" s="5"/>
    </row>
    <row r="156" spans="1:32">
      <c r="A156" s="101">
        <f>VLOOKUP(B156,Data[],24,FALSE)</f>
        <v>58</v>
      </c>
      <c r="B156" t="s">
        <v>120</v>
      </c>
      <c r="C156" t="str">
        <f>VLOOKUP(all[[#This Row],[DEVELOPMENT]],Data[],MATCH(all[[#Headers],[PROGRAM]],Data[#Headers],0),FALSE)</f>
        <v>FEDERAL</v>
      </c>
      <c r="D156" t="str">
        <f>VLOOKUP(B156,Data[],2,FALSE)</f>
        <v>MANHATTAN</v>
      </c>
      <c r="E156">
        <f>VLOOKUP(all[[#This Row],[DEVELOPMENT]],Data[],65,FALSE)</f>
        <v>68</v>
      </c>
      <c r="F156" t="e">
        <f>VLOOKUP(all[[#This Row],[DEVELOPMENT]],Data[],3,FALSE)</f>
        <v>#N/A</v>
      </c>
      <c r="G156" s="107" t="s">
        <v>281</v>
      </c>
      <c r="H156" t="s">
        <v>184</v>
      </c>
      <c r="I156">
        <f>VLOOKUP(all[[#This Row],[DEVELOPMENT]],Data[],34,FALSE)</f>
        <v>4</v>
      </c>
      <c r="J156" t="s">
        <v>184</v>
      </c>
      <c r="K156" t="str">
        <f>VLOOKUP(B156,Data[],8,FALSE)</f>
        <v>Zone 2</v>
      </c>
      <c r="L156" t="str">
        <f>VLOOKUP(all[[#This Row],[DEVELOPMENT]],Data[],61,FALSE)</f>
        <v>No</v>
      </c>
      <c r="M156">
        <f>VLOOKUP(B156,Data[],9,FALSE)</f>
        <v>3</v>
      </c>
      <c r="N156" s="105" t="s">
        <v>185</v>
      </c>
      <c r="O156" t="s">
        <v>185</v>
      </c>
      <c r="P156" t="str">
        <f ca="1">IFERROR(VLOOKUP(B156,Data[],4,FALSE),"")</f>
        <v>2026+</v>
      </c>
      <c r="Q156" t="str">
        <f ca="1">IF(all[[#This Row],[RAD/PACT]]="","",IF(OR(all[[#This Row],[RAD/PACT]]="2021-2025",all[[#This Row],[RAD/PACT]]="2019-2020"),"Yes",""))</f>
        <v/>
      </c>
      <c r="R156">
        <f>VLOOKUP(all[[#This Row],[DEVELOPMENT]],Data[],7,FALSE)</f>
        <v>1244</v>
      </c>
      <c r="S156">
        <f>VLOOKUP(all[[#This Row],[DEVELOPMENT]],Data[],25,FALSE)</f>
        <v>0</v>
      </c>
      <c r="T156">
        <f>VLOOKUP(all[[#This Row],[DEVELOPMENT]],Data[],5,FALSE)</f>
        <v>13</v>
      </c>
      <c r="U156">
        <f>VLOOKUP(all[[#This Row],[DEVELOPMENT]],Data[],10,FALSE)</f>
        <v>13</v>
      </c>
      <c r="V156">
        <f>VLOOKUP(all[[#This Row],[DEVELOPMENT]],Data[],10,FALSE)</f>
        <v>13</v>
      </c>
      <c r="W156">
        <f>VLOOKUP(all[[#This Row],[DEVELOPMENT]],Data[],33,FALSE)</f>
        <v>3</v>
      </c>
      <c r="X156">
        <f>VLOOKUP(all[[#This Row],[DEVELOPMENT]],Data[],33,FALSE)</f>
        <v>3</v>
      </c>
      <c r="Y156">
        <f>VLOOKUP(all[[#This Row],[DEVELOPMENT]],Data[],28,FALSE)</f>
        <v>0</v>
      </c>
      <c r="Z156">
        <f>IF(all[[#This Row],['# Bulk Crushers]]=0,1,0)</f>
        <v>1</v>
      </c>
      <c r="AA156" s="5">
        <f ca="1">IFERROR(INDEX(FWD[],MATCH($B156,FWD[DEVELOPMENT],0),MATCH("ESTIMATE",FWD[#Headers],0)),0)</f>
        <v>2138107.5185585055</v>
      </c>
      <c r="AB156" s="5">
        <f ca="1">IFERROR(INDEX(EHDAll[],MATCH($B156,EHDAll[DEVELOPMENT],0),MATCH("ESTIMATE",EHDAll[#Headers],0)),0)</f>
        <v>100046.58329249998</v>
      </c>
      <c r="AC156" s="5">
        <f ca="1">IFERROR(INDEX(IntAll[],MATCH($B156,IntAll[DEVELOPMENT],0),MATCH("ESTIMATE",IntAll[#Headers],0)),0)</f>
        <v>1049776</v>
      </c>
      <c r="AD156" s="5">
        <f ca="1">IFERROR(INDEX(YardsAll[],MATCH($B156,YardsAll[DEVELOPMENT],0),MATCH("TOTAL ESTIMATE",YardsAll[#Headers],0)),0)</f>
        <v>2842908.8531690002</v>
      </c>
      <c r="AE156" s="99">
        <f t="shared" ca="1" si="2"/>
        <v>6130838.9550200058</v>
      </c>
      <c r="AF156" s="5"/>
    </row>
    <row r="157" spans="1:32">
      <c r="A157" s="101">
        <f>VLOOKUP(B157,Data[],24,FALSE)</f>
        <v>123</v>
      </c>
      <c r="B157" t="s">
        <v>129</v>
      </c>
      <c r="C157" t="str">
        <f>VLOOKUP(all[[#This Row],[DEVELOPMENT]],Data[],MATCH(all[[#Headers],[PROGRAM]],Data[#Headers],0),FALSE)</f>
        <v>FEDERAL</v>
      </c>
      <c r="D157" t="str">
        <f>VLOOKUP(B157,Data[],2,FALSE)</f>
        <v>MANHATTAN</v>
      </c>
      <c r="E157">
        <f>VLOOKUP(all[[#This Row],[DEVELOPMENT]],Data[],65,FALSE)</f>
        <v>68</v>
      </c>
      <c r="F157" t="e">
        <f>VLOOKUP(all[[#This Row],[DEVELOPMENT]],Data[],3,FALSE)</f>
        <v>#N/A</v>
      </c>
      <c r="G157" s="107" t="s">
        <v>281</v>
      </c>
      <c r="H157" t="s">
        <v>184</v>
      </c>
      <c r="I157">
        <f>VLOOKUP(all[[#This Row],[DEVELOPMENT]],Data[],34,FALSE)</f>
        <v>4</v>
      </c>
      <c r="J157" t="s">
        <v>184</v>
      </c>
      <c r="K157" t="str">
        <f>VLOOKUP(B157,Data[],8,FALSE)</f>
        <v>Zone 2</v>
      </c>
      <c r="L157" t="str">
        <f>VLOOKUP(all[[#This Row],[DEVELOPMENT]],Data[],61,FALSE)</f>
        <v>No</v>
      </c>
      <c r="M157">
        <f>VLOOKUP(B157,Data[],9,FALSE)</f>
        <v>1</v>
      </c>
      <c r="N157">
        <v>3</v>
      </c>
      <c r="O157">
        <v>4</v>
      </c>
      <c r="P157" t="str">
        <f ca="1">IFERROR(VLOOKUP(B157,Data[],4,FALSE),"")</f>
        <v/>
      </c>
      <c r="Q157" t="str">
        <f ca="1">IF(all[[#This Row],[RAD/PACT]]="","",IF(OR(all[[#This Row],[RAD/PACT]]="2021-2025",all[[#This Row],[RAD/PACT]]="2019-2020"),"Yes",""))</f>
        <v/>
      </c>
      <c r="R157">
        <f>VLOOKUP(all[[#This Row],[DEVELOPMENT]],Data[],7,FALSE)</f>
        <v>748</v>
      </c>
      <c r="S157">
        <f>VLOOKUP(all[[#This Row],[DEVELOPMENT]],Data[],25,FALSE)</f>
        <v>0</v>
      </c>
      <c r="T157">
        <f>VLOOKUP(all[[#This Row],[DEVELOPMENT]],Data[],5,FALSE)</f>
        <v>6</v>
      </c>
      <c r="U157">
        <f>VLOOKUP(all[[#This Row],[DEVELOPMENT]],Data[],10,FALSE)</f>
        <v>6</v>
      </c>
      <c r="V157">
        <f>VLOOKUP(all[[#This Row],[DEVELOPMENT]],Data[],10,FALSE)</f>
        <v>6</v>
      </c>
      <c r="W157">
        <f>VLOOKUP(all[[#This Row],[DEVELOPMENT]],Data[],33,FALSE)</f>
        <v>2</v>
      </c>
      <c r="X157">
        <f>VLOOKUP(all[[#This Row],[DEVELOPMENT]],Data[],33,FALSE)</f>
        <v>2</v>
      </c>
      <c r="Y157">
        <f>VLOOKUP(all[[#This Row],[DEVELOPMENT]],Data[],28,FALSE)</f>
        <v>0</v>
      </c>
      <c r="Z157">
        <f>IF(all[[#This Row],['# Bulk Crushers]]=0,1,0)</f>
        <v>1</v>
      </c>
      <c r="AA157" s="5">
        <f ca="1">IFERROR(INDEX(FWD[],MATCH($B157,FWD[DEVELOPMENT],0),MATCH("ESTIMATE",FWD[#Headers],0)),0)</f>
        <v>1285614.4886509341</v>
      </c>
      <c r="AB157" s="5">
        <f ca="1">IFERROR(INDEX(EHDAll[],MATCH($B157,EHDAll[DEVELOPMENT],0),MATCH("ESTIMATE",EHDAll[#Headers],0)),0)</f>
        <v>44613.861000000004</v>
      </c>
      <c r="AC157" s="5">
        <f ca="1">IFERROR(INDEX(IntAll[],MATCH($B157,IntAll[DEVELOPMENT],0),MATCH("ESTIMATE",IntAll[#Headers],0)),0)</f>
        <v>378525</v>
      </c>
      <c r="AD157" s="5">
        <f ca="1">IFERROR(INDEX(YardsAll[],MATCH($B157,YardsAll[DEVELOPMENT],0),MATCH("TOTAL ESTIMATE",YardsAll[#Headers],0)),0)</f>
        <v>1648339.2605570003</v>
      </c>
      <c r="AE157" s="99">
        <f t="shared" ca="1" si="2"/>
        <v>3357092.6102079344</v>
      </c>
      <c r="AF157" s="5"/>
    </row>
    <row r="158" spans="1:32">
      <c r="A158" s="101">
        <f>VLOOKUP(B158,Data[],24,FALSE)</f>
        <v>338</v>
      </c>
      <c r="B158" t="s">
        <v>284</v>
      </c>
      <c r="C158" t="str">
        <f>VLOOKUP(all[[#This Row],[DEVELOPMENT]],Data[],MATCH(all[[#Headers],[PROGRAM]],Data[#Headers],0),FALSE)</f>
        <v>FEDERAL</v>
      </c>
      <c r="D158" t="str">
        <f>VLOOKUP(B158,Data[],2,FALSE)</f>
        <v>BRONX</v>
      </c>
      <c r="E158">
        <f>VLOOKUP(all[[#This Row],[DEVELOPMENT]],Data[],65,FALSE)</f>
        <v>79</v>
      </c>
      <c r="F158" t="e">
        <f>VLOOKUP(all[[#This Row],[DEVELOPMENT]],Data[],3,FALSE)</f>
        <v>#N/A</v>
      </c>
      <c r="G158" s="107" t="s">
        <v>281</v>
      </c>
      <c r="H158" t="s">
        <v>184</v>
      </c>
      <c r="I158">
        <f>VLOOKUP(all[[#This Row],[DEVELOPMENT]],Data[],34,FALSE)</f>
        <v>4</v>
      </c>
      <c r="J158" t="s">
        <v>184</v>
      </c>
      <c r="K158" t="str">
        <f>VLOOKUP(B158,Data[],8,FALSE)</f>
        <v>Zone 4</v>
      </c>
      <c r="L158" t="str">
        <f>VLOOKUP(all[[#This Row],[DEVELOPMENT]],Data[],61,FALSE)</f>
        <v>No</v>
      </c>
      <c r="M158">
        <f>VLOOKUP(B158,Data[],9,FALSE)</f>
        <v>0</v>
      </c>
      <c r="N158" t="s">
        <v>185</v>
      </c>
      <c r="O158" t="s">
        <v>185</v>
      </c>
      <c r="P158" t="str">
        <f ca="1">IFERROR(VLOOKUP(B158,Data[],4,FALSE),"")</f>
        <v/>
      </c>
      <c r="Q158" t="str">
        <f ca="1">IF(all[[#This Row],[RAD/PACT]]="","",IF(OR(all[[#This Row],[RAD/PACT]]="2021-2025",all[[#This Row],[RAD/PACT]]="2019-2020"),"Yes",""))</f>
        <v/>
      </c>
      <c r="R158">
        <f>VLOOKUP(all[[#This Row],[DEVELOPMENT]],Data[],7,FALSE)</f>
        <v>168</v>
      </c>
      <c r="S158">
        <f>VLOOKUP(all[[#This Row],[DEVELOPMENT]],Data[],25,FALSE)</f>
        <v>0</v>
      </c>
      <c r="T158">
        <f>VLOOKUP(all[[#This Row],[DEVELOPMENT]],Data[],5,FALSE)</f>
        <v>7</v>
      </c>
      <c r="U158">
        <f>VLOOKUP(all[[#This Row],[DEVELOPMENT]],Data[],10,FALSE)</f>
        <v>0</v>
      </c>
      <c r="V158">
        <f>VLOOKUP(all[[#This Row],[DEVELOPMENT]],Data[],10,FALSE)</f>
        <v>0</v>
      </c>
      <c r="W158">
        <f>VLOOKUP(all[[#This Row],[DEVELOPMENT]],Data[],33,FALSE)</f>
        <v>0</v>
      </c>
      <c r="X158">
        <f>VLOOKUP(all[[#This Row],[DEVELOPMENT]],Data[],33,FALSE)</f>
        <v>0</v>
      </c>
      <c r="Y158">
        <f>VLOOKUP(all[[#This Row],[DEVELOPMENT]],Data[],28,FALSE)</f>
        <v>0</v>
      </c>
      <c r="Z158">
        <f>IF(all[[#This Row],['# Bulk Crushers]]=0,1,0)</f>
        <v>1</v>
      </c>
      <c r="AA158" s="5">
        <f ca="1">IFERROR(INDEX(FWD[],MATCH($B158,FWD[DEVELOPMENT],0),MATCH("ESTIMATE",FWD[#Headers],0)),0)</f>
        <v>288747.63916224189</v>
      </c>
      <c r="AB158" s="5">
        <f ca="1">IFERROR(INDEX(EHDAll[],MATCH($B158,EHDAll[DEVELOPMENT],0),MATCH("ESTIMATE",EHDAll[#Headers],0)),0)</f>
        <v>0</v>
      </c>
      <c r="AC158" s="5">
        <f ca="1">IFERROR(INDEX(IntAll[],MATCH($B158,IntAll[DEVELOPMENT],0),MATCH("ESTIMATE",IntAll[#Headers],0)),0)</f>
        <v>0</v>
      </c>
      <c r="AD158" s="5">
        <f ca="1">IFERROR(INDEX(YardsAll[],MATCH($B158,YardsAll[DEVELOPMENT],0),MATCH("TOTAL ESTIMATE",YardsAll[#Headers],0)),0)</f>
        <v>0</v>
      </c>
      <c r="AE158" s="99">
        <f t="shared" ca="1" si="2"/>
        <v>288747.63916224189</v>
      </c>
      <c r="AF158" s="5"/>
    </row>
    <row r="159" spans="1:32">
      <c r="A159" s="101">
        <f>VLOOKUP(B159,Data[],24,FALSE)</f>
        <v>136</v>
      </c>
      <c r="B159" t="s">
        <v>111</v>
      </c>
      <c r="C159" t="str">
        <f>VLOOKUP(all[[#This Row],[DEVELOPMENT]],Data[],MATCH(all[[#Headers],[PROGRAM]],Data[#Headers],0),FALSE)</f>
        <v>FEDERAL</v>
      </c>
      <c r="D159" t="str">
        <f>VLOOKUP(B159,Data[],2,FALSE)</f>
        <v>MANHATTAN</v>
      </c>
      <c r="E159">
        <f>VLOOKUP(all[[#This Row],[DEVELOPMENT]],Data[],65,FALSE)</f>
        <v>75</v>
      </c>
      <c r="F159" t="e">
        <f>VLOOKUP(all[[#This Row],[DEVELOPMENT]],Data[],3,FALSE)</f>
        <v>#N/A</v>
      </c>
      <c r="G159" s="107" t="s">
        <v>281</v>
      </c>
      <c r="H159" t="s">
        <v>184</v>
      </c>
      <c r="I159">
        <f>VLOOKUP(all[[#This Row],[DEVELOPMENT]],Data[],34,FALSE)</f>
        <v>4</v>
      </c>
      <c r="J159" t="s">
        <v>184</v>
      </c>
      <c r="K159" t="str">
        <f>VLOOKUP(B159,Data[],8,FALSE)</f>
        <v>Zone 3</v>
      </c>
      <c r="L159" t="str">
        <f>VLOOKUP(all[[#This Row],[DEVELOPMENT]],Data[],61,FALSE)</f>
        <v>No</v>
      </c>
      <c r="M159">
        <f>VLOOKUP(B159,Data[],9,FALSE)</f>
        <v>4</v>
      </c>
      <c r="N159">
        <v>2</v>
      </c>
      <c r="O159" t="s">
        <v>185</v>
      </c>
      <c r="P159" t="str">
        <f ca="1">IFERROR(VLOOKUP(B159,Data[],4,FALSE),"")</f>
        <v/>
      </c>
      <c r="Q159" t="str">
        <f ca="1">IF(all[[#This Row],[RAD/PACT]]="","",IF(OR(all[[#This Row],[RAD/PACT]]="2021-2025",all[[#This Row],[RAD/PACT]]="2019-2020"),"Yes",""))</f>
        <v/>
      </c>
      <c r="R159">
        <f>VLOOKUP(all[[#This Row],[DEVELOPMENT]],Data[],7,FALSE)</f>
        <v>944</v>
      </c>
      <c r="S159">
        <f>VLOOKUP(all[[#This Row],[DEVELOPMENT]],Data[],25,FALSE)</f>
        <v>0</v>
      </c>
      <c r="T159">
        <f>VLOOKUP(all[[#This Row],[DEVELOPMENT]],Data[],5,FALSE)</f>
        <v>11</v>
      </c>
      <c r="U159">
        <f>VLOOKUP(all[[#This Row],[DEVELOPMENT]],Data[],10,FALSE)</f>
        <v>19</v>
      </c>
      <c r="V159">
        <f>VLOOKUP(all[[#This Row],[DEVELOPMENT]],Data[],10,FALSE)</f>
        <v>19</v>
      </c>
      <c r="W159">
        <f>VLOOKUP(all[[#This Row],[DEVELOPMENT]],Data[],33,FALSE)</f>
        <v>2</v>
      </c>
      <c r="X159">
        <f>VLOOKUP(all[[#This Row],[DEVELOPMENT]],Data[],33,FALSE)</f>
        <v>2</v>
      </c>
      <c r="Y159">
        <f>VLOOKUP(all[[#This Row],[DEVELOPMENT]],Data[],28,FALSE)</f>
        <v>0</v>
      </c>
      <c r="Z159">
        <f>IF(all[[#This Row],['# Bulk Crushers]]=0,1,0)</f>
        <v>1</v>
      </c>
      <c r="AA159" s="5">
        <f ca="1">IFERROR(INDEX(FWD[],MATCH($B159,FWD[DEVELOPMENT],0),MATCH("ESTIMATE",FWD[#Headers],0)),0)</f>
        <v>1622486.7343402163</v>
      </c>
      <c r="AB159" s="5">
        <f ca="1">IFERROR(INDEX(EHDAll[],MATCH($B159,EHDAll[DEVELOPMENT],0),MATCH("ESTIMATE",EHDAll[#Headers],0)),0)</f>
        <v>146221.92942749997</v>
      </c>
      <c r="AC159" s="5">
        <f ca="1">IFERROR(INDEX(IntAll[],MATCH($B159,IntAll[DEVELOPMENT],0),MATCH("ESTIMATE",IntAll[#Headers],0)),0)</f>
        <v>1240615.6875</v>
      </c>
      <c r="AD159" s="5">
        <f ca="1">IFERROR(INDEX(YardsAll[],MATCH($B159,YardsAll[DEVELOPMENT],0),MATCH("TOTAL ESTIMATE",YardsAll[#Headers],0)),0)</f>
        <v>2374003.9768875008</v>
      </c>
      <c r="AE159" s="99">
        <f t="shared" ca="1" si="2"/>
        <v>5383328.3281552168</v>
      </c>
      <c r="AF159" s="5"/>
    </row>
    <row r="160" spans="1:32">
      <c r="A160" s="101">
        <f>VLOOKUP(B160,Data[],24,FALSE)</f>
        <v>215</v>
      </c>
      <c r="B160" t="s">
        <v>285</v>
      </c>
      <c r="C160" t="str">
        <f>VLOOKUP(all[[#This Row],[DEVELOPMENT]],Data[],MATCH(all[[#Headers],[PROGRAM]],Data[#Headers],0),FALSE)</f>
        <v>FEDERAL</v>
      </c>
      <c r="D160" t="str">
        <f>VLOOKUP(B160,Data[],2,FALSE)</f>
        <v>BRONX</v>
      </c>
      <c r="E160">
        <f>VLOOKUP(all[[#This Row],[DEVELOPMENT]],Data[],65,FALSE)</f>
        <v>79</v>
      </c>
      <c r="F160" t="e">
        <f>VLOOKUP(all[[#This Row],[DEVELOPMENT]],Data[],3,FALSE)</f>
        <v>#N/A</v>
      </c>
      <c r="G160" s="107" t="s">
        <v>281</v>
      </c>
      <c r="H160" t="s">
        <v>184</v>
      </c>
      <c r="I160">
        <f>VLOOKUP(all[[#This Row],[DEVELOPMENT]],Data[],34,FALSE)</f>
        <v>4</v>
      </c>
      <c r="J160" t="s">
        <v>184</v>
      </c>
      <c r="K160">
        <f>VLOOKUP(B160,Data[],8,FALSE)</f>
        <v>0</v>
      </c>
      <c r="L160" t="str">
        <f>VLOOKUP(all[[#This Row],[DEVELOPMENT]],Data[],61,FALSE)</f>
        <v>No</v>
      </c>
      <c r="M160">
        <f>VLOOKUP(B160,Data[],9,FALSE)</f>
        <v>0</v>
      </c>
      <c r="N160">
        <v>3</v>
      </c>
      <c r="O160">
        <v>4</v>
      </c>
      <c r="P160" t="str">
        <f ca="1">IFERROR(VLOOKUP(B160,Data[],4,FALSE),"")</f>
        <v/>
      </c>
      <c r="Q160" t="str">
        <f ca="1">IF(all[[#This Row],[RAD/PACT]]="","",IF(OR(all[[#This Row],[RAD/PACT]]="2021-2025",all[[#This Row],[RAD/PACT]]="2019-2020"),"Yes",""))</f>
        <v/>
      </c>
      <c r="R160">
        <f>VLOOKUP(all[[#This Row],[DEVELOPMENT]],Data[],7,FALSE)</f>
        <v>65</v>
      </c>
      <c r="S160">
        <f>VLOOKUP(all[[#This Row],[DEVELOPMENT]],Data[],25,FALSE)</f>
        <v>0</v>
      </c>
      <c r="T160">
        <f>VLOOKUP(all[[#This Row],[DEVELOPMENT]],Data[],5,FALSE)</f>
        <v>1</v>
      </c>
      <c r="U160">
        <f>VLOOKUP(all[[#This Row],[DEVELOPMENT]],Data[],10,FALSE)</f>
        <v>0</v>
      </c>
      <c r="V160">
        <f>VLOOKUP(all[[#This Row],[DEVELOPMENT]],Data[],10,FALSE)</f>
        <v>0</v>
      </c>
      <c r="W160">
        <f>VLOOKUP(all[[#This Row],[DEVELOPMENT]],Data[],33,FALSE)</f>
        <v>0</v>
      </c>
      <c r="X160">
        <f>VLOOKUP(all[[#This Row],[DEVELOPMENT]],Data[],33,FALSE)</f>
        <v>0</v>
      </c>
      <c r="Y160">
        <f>VLOOKUP(all[[#This Row],[DEVELOPMENT]],Data[],28,FALSE)</f>
        <v>0</v>
      </c>
      <c r="Z160">
        <f>IF(all[[#This Row],['# Bulk Crushers]]=0,1,0)</f>
        <v>1</v>
      </c>
      <c r="AA160" s="5">
        <f ca="1">IFERROR(INDEX(FWD[],MATCH($B160,FWD[DEVELOPMENT],0),MATCH("ESTIMATE",FWD[#Headers],0)),0)</f>
        <v>111717.8365806293</v>
      </c>
      <c r="AB160" s="5">
        <f ca="1">IFERROR(INDEX(EHDAll[],MATCH($B160,EHDAll[DEVELOPMENT],0),MATCH("ESTIMATE",EHDAll[#Headers],0)),0)</f>
        <v>8476.6335900000013</v>
      </c>
      <c r="AC160" s="5">
        <f ca="1">IFERROR(INDEX(IntAll[],MATCH($B160,IntAll[DEVELOPMENT],0),MATCH("ESTIMATE",IntAll[#Headers],0)),0)</f>
        <v>0</v>
      </c>
      <c r="AD160" s="5">
        <f ca="1">IFERROR(INDEX(YardsAll[],MATCH($B160,YardsAll[DEVELOPMENT],0),MATCH("TOTAL ESTIMATE",YardsAll[#Headers],0)),0)</f>
        <v>2187130.3623400005</v>
      </c>
      <c r="AE160" s="99">
        <f t="shared" ca="1" si="2"/>
        <v>2307324.8325106297</v>
      </c>
      <c r="AF160" s="5"/>
    </row>
    <row r="161" spans="1:32">
      <c r="A161" s="101">
        <f>VLOOKUP(B161,Data[],24,FALSE)</f>
        <v>367</v>
      </c>
      <c r="B161" t="s">
        <v>286</v>
      </c>
      <c r="C161" t="str">
        <f>VLOOKUP(all[[#This Row],[DEVELOPMENT]],Data[],MATCH(all[[#Headers],[PROGRAM]],Data[#Headers],0),FALSE)</f>
        <v>FEDERAL</v>
      </c>
      <c r="D161" t="str">
        <f>VLOOKUP(B161,Data[],2,FALSE)</f>
        <v>BRONX</v>
      </c>
      <c r="E161">
        <f>VLOOKUP(all[[#This Row],[DEVELOPMENT]],Data[],65,FALSE)</f>
        <v>85</v>
      </c>
      <c r="F161" t="e">
        <f>VLOOKUP(all[[#This Row],[DEVELOPMENT]],Data[],3,FALSE)</f>
        <v>#N/A</v>
      </c>
      <c r="G161" s="107" t="s">
        <v>281</v>
      </c>
      <c r="H161" t="s">
        <v>184</v>
      </c>
      <c r="I161">
        <f>VLOOKUP(all[[#This Row],[DEVELOPMENT]],Data[],34,FALSE)</f>
        <v>4</v>
      </c>
      <c r="J161" t="s">
        <v>184</v>
      </c>
      <c r="K161" t="str">
        <f>VLOOKUP(B161,Data[],8,FALSE)</f>
        <v>Zone 3</v>
      </c>
      <c r="L161" t="str">
        <f>VLOOKUP(all[[#This Row],[DEVELOPMENT]],Data[],61,FALSE)</f>
        <v>No</v>
      </c>
      <c r="M161">
        <f>VLOOKUP(B161,Data[],9,FALSE)</f>
        <v>0</v>
      </c>
      <c r="N161">
        <v>3</v>
      </c>
      <c r="O161" t="s">
        <v>185</v>
      </c>
      <c r="P161" t="str">
        <f ca="1">IFERROR(VLOOKUP(B161,Data[],4,FALSE),"")</f>
        <v/>
      </c>
      <c r="Q161" t="str">
        <f ca="1">IF(all[[#This Row],[RAD/PACT]]="","",IF(OR(all[[#This Row],[RAD/PACT]]="2021-2025",all[[#This Row],[RAD/PACT]]="2019-2020"),"Yes",""))</f>
        <v/>
      </c>
      <c r="R161">
        <f>VLOOKUP(all[[#This Row],[DEVELOPMENT]],Data[],7,FALSE)</f>
        <v>131</v>
      </c>
      <c r="S161">
        <f>VLOOKUP(all[[#This Row],[DEVELOPMENT]],Data[],25,FALSE)</f>
        <v>0</v>
      </c>
      <c r="T161">
        <f>VLOOKUP(all[[#This Row],[DEVELOPMENT]],Data[],5,FALSE)</f>
        <v>13</v>
      </c>
      <c r="U161">
        <f>VLOOKUP(all[[#This Row],[DEVELOPMENT]],Data[],10,FALSE)</f>
        <v>0</v>
      </c>
      <c r="V161">
        <f>VLOOKUP(all[[#This Row],[DEVELOPMENT]],Data[],10,FALSE)</f>
        <v>0</v>
      </c>
      <c r="W161">
        <f>VLOOKUP(all[[#This Row],[DEVELOPMENT]],Data[],33,FALSE)</f>
        <v>0</v>
      </c>
      <c r="X161">
        <f>VLOOKUP(all[[#This Row],[DEVELOPMENT]],Data[],33,FALSE)</f>
        <v>0</v>
      </c>
      <c r="Y161">
        <f>VLOOKUP(all[[#This Row],[DEVELOPMENT]],Data[],28,FALSE)</f>
        <v>0</v>
      </c>
      <c r="Z161">
        <f>IF(all[[#This Row],['# Bulk Crushers]]=0,1,0)</f>
        <v>1</v>
      </c>
      <c r="AA161" s="5">
        <f ca="1">IFERROR(INDEX(FWD[],MATCH($B161,FWD[DEVELOPMENT],0),MATCH("ESTIMATE",FWD[#Headers],0)),0)</f>
        <v>225154.40910865291</v>
      </c>
      <c r="AB161" s="5">
        <f ca="1">IFERROR(INDEX(EHDAll[],MATCH($B161,EHDAll[DEVELOPMENT],0),MATCH("ESTIMATE",EHDAll[#Headers],0)),0)</f>
        <v>8476.6335900000013</v>
      </c>
      <c r="AC161" s="5">
        <f ca="1">IFERROR(INDEX(IntAll[],MATCH($B161,IntAll[DEVELOPMENT],0),MATCH("ESTIMATE",IntAll[#Headers],0)),0)</f>
        <v>0</v>
      </c>
      <c r="AD161" s="5">
        <f ca="1">IFERROR(INDEX(YardsAll[],MATCH($B161,YardsAll[DEVELOPMENT],0),MATCH("TOTAL ESTIMATE",YardsAll[#Headers],0)),0)</f>
        <v>2187130.3623400005</v>
      </c>
      <c r="AE161" s="99">
        <f t="shared" ca="1" si="2"/>
        <v>2420761.4050386534</v>
      </c>
      <c r="AF161" s="5"/>
    </row>
    <row r="162" spans="1:32">
      <c r="A162" s="101">
        <f>VLOOKUP(B162,Data[],24,FALSE)</f>
        <v>101</v>
      </c>
      <c r="B162" t="s">
        <v>146</v>
      </c>
      <c r="C162" t="str">
        <f>VLOOKUP(all[[#This Row],[DEVELOPMENT]],Data[],MATCH(all[[#Headers],[PROGRAM]],Data[#Headers],0),FALSE)</f>
        <v>FEDERAL</v>
      </c>
      <c r="D162" t="str">
        <f>VLOOKUP(B162,Data[],2,FALSE)</f>
        <v>MANHATTAN</v>
      </c>
      <c r="E162">
        <f>VLOOKUP(all[[#This Row],[DEVELOPMENT]],Data[],65,FALSE)</f>
        <v>68</v>
      </c>
      <c r="F162" t="e">
        <f>VLOOKUP(all[[#This Row],[DEVELOPMENT]],Data[],3,FALSE)</f>
        <v>#N/A</v>
      </c>
      <c r="G162" s="107" t="s">
        <v>281</v>
      </c>
      <c r="H162" t="s">
        <v>184</v>
      </c>
      <c r="I162">
        <f>VLOOKUP(all[[#This Row],[DEVELOPMENT]],Data[],34,FALSE)</f>
        <v>4</v>
      </c>
      <c r="J162" t="s">
        <v>184</v>
      </c>
      <c r="K162">
        <f>VLOOKUP(B162,Data[],8,FALSE)</f>
        <v>0</v>
      </c>
      <c r="L162" t="str">
        <f>VLOOKUP(all[[#This Row],[DEVELOPMENT]],Data[],61,FALSE)</f>
        <v>No</v>
      </c>
      <c r="M162">
        <f>VLOOKUP(B162,Data[],9,FALSE)</f>
        <v>0</v>
      </c>
      <c r="N162">
        <v>3</v>
      </c>
      <c r="O162" t="s">
        <v>185</v>
      </c>
      <c r="P162" t="str">
        <f ca="1">IFERROR(VLOOKUP(B162,Data[],4,FALSE),"")</f>
        <v/>
      </c>
      <c r="Q162" t="str">
        <f ca="1">IF(all[[#This Row],[RAD/PACT]]="","",IF(OR(all[[#This Row],[RAD/PACT]]="2021-2025",all[[#This Row],[RAD/PACT]]="2019-2020"),"Yes",""))</f>
        <v/>
      </c>
      <c r="R162">
        <f>VLOOKUP(all[[#This Row],[DEVELOPMENT]],Data[],7,FALSE)</f>
        <v>617</v>
      </c>
      <c r="S162">
        <f>VLOOKUP(all[[#This Row],[DEVELOPMENT]],Data[],25,FALSE)</f>
        <v>0</v>
      </c>
      <c r="T162">
        <f>VLOOKUP(all[[#This Row],[DEVELOPMENT]],Data[],5,FALSE)</f>
        <v>4</v>
      </c>
      <c r="U162">
        <f>VLOOKUP(all[[#This Row],[DEVELOPMENT]],Data[],10,FALSE)</f>
        <v>4</v>
      </c>
      <c r="V162">
        <f>VLOOKUP(all[[#This Row],[DEVELOPMENT]],Data[],10,FALSE)</f>
        <v>4</v>
      </c>
      <c r="W162">
        <f>VLOOKUP(all[[#This Row],[DEVELOPMENT]],Data[],33,FALSE)</f>
        <v>2</v>
      </c>
      <c r="X162">
        <f>VLOOKUP(all[[#This Row],[DEVELOPMENT]],Data[],33,FALSE)</f>
        <v>2</v>
      </c>
      <c r="Y162">
        <f>VLOOKUP(all[[#This Row],[DEVELOPMENT]],Data[],28,FALSE)</f>
        <v>0</v>
      </c>
      <c r="Z162">
        <f>IF(all[[#This Row],['# Bulk Crushers]]=0,1,0)</f>
        <v>1</v>
      </c>
      <c r="AA162" s="5">
        <f ca="1">IFERROR(INDEX(FWD[],MATCH($B162,FWD[DEVELOPMENT],0),MATCH("ESTIMATE",FWD[#Headers],0)),0)</f>
        <v>1060460.0795422813</v>
      </c>
      <c r="AB162" s="5">
        <f ca="1">IFERROR(INDEX(EHDAll[],MATCH($B162,EHDAll[DEVELOPMENT],0),MATCH("ESTIMATE",EHDAll[#Headers],0)),0)</f>
        <v>33906.534360000005</v>
      </c>
      <c r="AC162" s="5">
        <f ca="1">IFERROR(INDEX(IntAll[],MATCH($B162,IntAll[DEVELOPMENT],0),MATCH("ESTIMATE",IntAll[#Headers],0)),0)</f>
        <v>305343.5</v>
      </c>
      <c r="AD162" s="5">
        <f ca="1">IFERROR(INDEX(YardsAll[],MATCH($B162,YardsAll[DEVELOPMENT],0),MATCH("TOTAL ESTIMATE",YardsAll[#Headers],0)),0)</f>
        <v>1648339.2605570003</v>
      </c>
      <c r="AE162" s="99">
        <f t="shared" ca="1" si="2"/>
        <v>3048049.3744592816</v>
      </c>
      <c r="AF162" s="5"/>
    </row>
    <row r="163" spans="1:32">
      <c r="A163" s="101">
        <f>VLOOKUP(B163,Data[],24,FALSE)</f>
        <v>50</v>
      </c>
      <c r="B163" t="s">
        <v>125</v>
      </c>
      <c r="C163" t="str">
        <f>VLOOKUP(all[[#This Row],[DEVELOPMENT]],Data[],MATCH(all[[#Headers],[PROGRAM]],Data[#Headers],0),FALSE)</f>
        <v>FEDERAL</v>
      </c>
      <c r="D163" t="str">
        <f>VLOOKUP(B163,Data[],2,FALSE)</f>
        <v>MANHATTAN</v>
      </c>
      <c r="E163">
        <f>VLOOKUP(all[[#This Row],[DEVELOPMENT]],Data[],65,FALSE)</f>
        <v>68</v>
      </c>
      <c r="F163" t="e">
        <f>VLOOKUP(all[[#This Row],[DEVELOPMENT]],Data[],3,FALSE)</f>
        <v>#N/A</v>
      </c>
      <c r="G163" s="107" t="s">
        <v>281</v>
      </c>
      <c r="H163" t="s">
        <v>184</v>
      </c>
      <c r="I163">
        <f>VLOOKUP(all[[#This Row],[DEVELOPMENT]],Data[],34,FALSE)</f>
        <v>4</v>
      </c>
      <c r="J163" t="s">
        <v>184</v>
      </c>
      <c r="K163" t="str">
        <f>VLOOKUP(B163,Data[],8,FALSE)</f>
        <v>Zone 2</v>
      </c>
      <c r="L163" t="str">
        <f>VLOOKUP(all[[#This Row],[DEVELOPMENT]],Data[],61,FALSE)</f>
        <v>No</v>
      </c>
      <c r="M163">
        <f>VLOOKUP(B163,Data[],9,FALSE)</f>
        <v>4</v>
      </c>
      <c r="N163">
        <v>3</v>
      </c>
      <c r="O163">
        <v>4</v>
      </c>
      <c r="P163" t="str">
        <f ca="1">IFERROR(VLOOKUP(B163,Data[],4,FALSE),"")</f>
        <v>2022-2025</v>
      </c>
      <c r="Q163" t="str">
        <f ca="1">IF(all[[#This Row],[RAD/PACT]]="","",IF(OR(all[[#This Row],[RAD/PACT]]="2021-2025",all[[#This Row],[RAD/PACT]]="2019-2020"),"Yes",""))</f>
        <v/>
      </c>
      <c r="R163">
        <f>VLOOKUP(all[[#This Row],[DEVELOPMENT]],Data[],7,FALSE)</f>
        <v>448</v>
      </c>
      <c r="S163">
        <f>VLOOKUP(all[[#This Row],[DEVELOPMENT]],Data[],25,FALSE)</f>
        <v>0</v>
      </c>
      <c r="T163">
        <f>VLOOKUP(all[[#This Row],[DEVELOPMENT]],Data[],5,FALSE)</f>
        <v>4</v>
      </c>
      <c r="U163">
        <f>VLOOKUP(all[[#This Row],[DEVELOPMENT]],Data[],10,FALSE)</f>
        <v>4</v>
      </c>
      <c r="V163">
        <f>VLOOKUP(all[[#This Row],[DEVELOPMENT]],Data[],10,FALSE)</f>
        <v>4</v>
      </c>
      <c r="W163">
        <f>VLOOKUP(all[[#This Row],[DEVELOPMENT]],Data[],33,FALSE)</f>
        <v>1</v>
      </c>
      <c r="X163">
        <f>VLOOKUP(all[[#This Row],[DEVELOPMENT]],Data[],33,FALSE)</f>
        <v>1</v>
      </c>
      <c r="Y163">
        <f>VLOOKUP(all[[#This Row],[DEVELOPMENT]],Data[],28,FALSE)</f>
        <v>0</v>
      </c>
      <c r="Z163">
        <f>IF(all[[#This Row],['# Bulk Crushers]]=0,1,0)</f>
        <v>1</v>
      </c>
      <c r="AA163" s="5">
        <f ca="1">IFERROR(INDEX(FWD[],MATCH($B163,FWD[DEVELOPMENT],0),MATCH("ESTIMATE",FWD[#Headers],0)),0)</f>
        <v>769993.70443264511</v>
      </c>
      <c r="AB163" s="5">
        <f ca="1">IFERROR(INDEX(EHDAll[],MATCH($B163,EHDAll[DEVELOPMENT],0),MATCH("ESTIMATE",EHDAll[#Headers],0)),0)</f>
        <v>30783.56409</v>
      </c>
      <c r="AC163" s="5">
        <f ca="1">IFERROR(INDEX(IntAll[],MATCH($B163,IntAll[DEVELOPMENT],0),MATCH("ESTIMATE",IntAll[#Headers],0)),0)</f>
        <v>0</v>
      </c>
      <c r="AD163" s="5">
        <f ca="1">IFERROR(INDEX(YardsAll[],MATCH($B163,YardsAll[DEVELOPMENT],0),MATCH("TOTAL ESTIMATE",YardsAll[#Headers],0)),0)</f>
        <v>0</v>
      </c>
      <c r="AE163" s="99">
        <f t="shared" ca="1" si="2"/>
        <v>800777.26852264511</v>
      </c>
      <c r="AF163" s="5"/>
    </row>
    <row r="164" spans="1:32">
      <c r="A164" s="101">
        <f>VLOOKUP(B164,Data[],24,FALSE)</f>
        <v>362</v>
      </c>
      <c r="B164" t="s">
        <v>287</v>
      </c>
      <c r="C164" t="str">
        <f>VLOOKUP(all[[#This Row],[DEVELOPMENT]],Data[],MATCH(all[[#Headers],[PROGRAM]],Data[#Headers],0),FALSE)</f>
        <v>FEDERAL</v>
      </c>
      <c r="D164" t="str">
        <f>VLOOKUP(B164,Data[],2,FALSE)</f>
        <v>BRONX</v>
      </c>
      <c r="E164">
        <f>VLOOKUP(all[[#This Row],[DEVELOPMENT]],Data[],65,FALSE)</f>
        <v>85</v>
      </c>
      <c r="F164" t="e">
        <f>VLOOKUP(all[[#This Row],[DEVELOPMENT]],Data[],3,FALSE)</f>
        <v>#N/A</v>
      </c>
      <c r="G164" s="107" t="s">
        <v>281</v>
      </c>
      <c r="H164" t="s">
        <v>184</v>
      </c>
      <c r="I164">
        <f>VLOOKUP(all[[#This Row],[DEVELOPMENT]],Data[],34,FALSE)</f>
        <v>4</v>
      </c>
      <c r="J164" t="s">
        <v>184</v>
      </c>
      <c r="K164">
        <f>VLOOKUP(B164,Data[],8,FALSE)</f>
        <v>0</v>
      </c>
      <c r="L164" t="str">
        <f>VLOOKUP(all[[#This Row],[DEVELOPMENT]],Data[],61,FALSE)</f>
        <v>No</v>
      </c>
      <c r="M164">
        <f>VLOOKUP(B164,Data[],9,FALSE)</f>
        <v>0</v>
      </c>
      <c r="N164">
        <v>3</v>
      </c>
      <c r="O164" t="s">
        <v>185</v>
      </c>
      <c r="P164" t="str">
        <f ca="1">IFERROR(VLOOKUP(B164,Data[],4,FALSE),"")</f>
        <v/>
      </c>
      <c r="Q164" t="str">
        <f ca="1">IF(all[[#This Row],[RAD/PACT]]="","",IF(OR(all[[#This Row],[RAD/PACT]]="2021-2025",all[[#This Row],[RAD/PACT]]="2019-2020"),"Yes",""))</f>
        <v/>
      </c>
      <c r="R164">
        <f>VLOOKUP(all[[#This Row],[DEVELOPMENT]],Data[],7,FALSE)</f>
        <v>75</v>
      </c>
      <c r="S164">
        <f>VLOOKUP(all[[#This Row],[DEVELOPMENT]],Data[],25,FALSE)</f>
        <v>0</v>
      </c>
      <c r="T164">
        <f>VLOOKUP(all[[#This Row],[DEVELOPMENT]],Data[],5,FALSE)</f>
        <v>2</v>
      </c>
      <c r="U164">
        <f>VLOOKUP(all[[#This Row],[DEVELOPMENT]],Data[],10,FALSE)</f>
        <v>0</v>
      </c>
      <c r="V164">
        <f>VLOOKUP(all[[#This Row],[DEVELOPMENT]],Data[],10,FALSE)</f>
        <v>0</v>
      </c>
      <c r="W164">
        <f>VLOOKUP(all[[#This Row],[DEVELOPMENT]],Data[],33,FALSE)</f>
        <v>0</v>
      </c>
      <c r="X164">
        <f>VLOOKUP(all[[#This Row],[DEVELOPMENT]],Data[],33,FALSE)</f>
        <v>0</v>
      </c>
      <c r="Y164">
        <f>VLOOKUP(all[[#This Row],[DEVELOPMENT]],Data[],28,FALSE)</f>
        <v>0</v>
      </c>
      <c r="Z164">
        <f>IF(all[[#This Row],['# Bulk Crushers]]=0,1,0)</f>
        <v>1</v>
      </c>
      <c r="AA164" s="5">
        <f ca="1">IFERROR(INDEX(FWD[],MATCH($B164,FWD[DEVELOPMENT],0),MATCH("ESTIMATE",FWD[#Headers],0)),0)</f>
        <v>128905.19605457227</v>
      </c>
      <c r="AB164" s="5">
        <f ca="1">IFERROR(INDEX(EHDAll[],MATCH($B164,EHDAll[DEVELOPMENT],0),MATCH("ESTIMATE",EHDAll[#Headers],0)),0)</f>
        <v>42383.167950000003</v>
      </c>
      <c r="AC164" s="5">
        <f ca="1">IFERROR(INDEX(IntAll[],MATCH($B164,IntAll[DEVELOPMENT],0),MATCH("ESTIMATE",IntAll[#Headers],0)),0)</f>
        <v>0</v>
      </c>
      <c r="AD164" s="5">
        <f ca="1">IFERROR(INDEX(YardsAll[],MATCH($B164,YardsAll[DEVELOPMENT],0),MATCH("TOTAL ESTIMATE",YardsAll[#Headers],0)),0)</f>
        <v>2187130.3623400005</v>
      </c>
      <c r="AE164" s="99">
        <f t="shared" ca="1" si="2"/>
        <v>2358418.7263445728</v>
      </c>
      <c r="AF164" s="5"/>
    </row>
    <row r="165" spans="1:32">
      <c r="A165" s="101">
        <f>VLOOKUP(B165,Data[],24,FALSE)</f>
        <v>37</v>
      </c>
      <c r="B165" t="s">
        <v>115</v>
      </c>
      <c r="C165" t="str">
        <f>VLOOKUP(all[[#This Row],[DEVELOPMENT]],Data[],MATCH(all[[#Headers],[PROGRAM]],Data[#Headers],0),FALSE)</f>
        <v>FEDERAL</v>
      </c>
      <c r="D165" t="str">
        <f>VLOOKUP(B165,Data[],2,FALSE)</f>
        <v>MANHATTAN</v>
      </c>
      <c r="E165">
        <f>VLOOKUP(all[[#This Row],[DEVELOPMENT]],Data[],65,FALSE)</f>
        <v>71</v>
      </c>
      <c r="F165" t="e">
        <f>VLOOKUP(all[[#This Row],[DEVELOPMENT]],Data[],3,FALSE)</f>
        <v>#N/A</v>
      </c>
      <c r="G165" s="107" t="s">
        <v>281</v>
      </c>
      <c r="H165" t="s">
        <v>184</v>
      </c>
      <c r="I165">
        <f>VLOOKUP(all[[#This Row],[DEVELOPMENT]],Data[],34,FALSE)</f>
        <v>4</v>
      </c>
      <c r="J165" t="s">
        <v>184</v>
      </c>
      <c r="K165" t="str">
        <f>VLOOKUP(B165,Data[],8,FALSE)</f>
        <v>Zone 2</v>
      </c>
      <c r="L165" t="str">
        <f>VLOOKUP(all[[#This Row],[DEVELOPMENT]],Data[],61,FALSE)</f>
        <v>No</v>
      </c>
      <c r="M165">
        <f>VLOOKUP(B165,Data[],9,FALSE)</f>
        <v>4</v>
      </c>
      <c r="N165">
        <v>2</v>
      </c>
      <c r="O165" t="s">
        <v>185</v>
      </c>
      <c r="P165" t="str">
        <f ca="1">IFERROR(VLOOKUP(B165,Data[],4,FALSE),"")</f>
        <v/>
      </c>
      <c r="Q165" t="str">
        <f ca="1">IF(all[[#This Row],[RAD/PACT]]="","",IF(OR(all[[#This Row],[RAD/PACT]]="2021-2025",all[[#This Row],[RAD/PACT]]="2019-2020"),"Yes",""))</f>
        <v/>
      </c>
      <c r="R165">
        <f>VLOOKUP(all[[#This Row],[DEVELOPMENT]],Data[],7,FALSE)</f>
        <v>982</v>
      </c>
      <c r="S165">
        <f>VLOOKUP(all[[#This Row],[DEVELOPMENT]],Data[],25,FALSE)</f>
        <v>0</v>
      </c>
      <c r="T165">
        <f>VLOOKUP(all[[#This Row],[DEVELOPMENT]],Data[],5,FALSE)</f>
        <v>8</v>
      </c>
      <c r="U165">
        <f>VLOOKUP(all[[#This Row],[DEVELOPMENT]],Data[],10,FALSE)</f>
        <v>9</v>
      </c>
      <c r="V165">
        <f>VLOOKUP(all[[#This Row],[DEVELOPMENT]],Data[],10,FALSE)</f>
        <v>9</v>
      </c>
      <c r="W165">
        <f>VLOOKUP(all[[#This Row],[DEVELOPMENT]],Data[],33,FALSE)</f>
        <v>3</v>
      </c>
      <c r="X165">
        <f>VLOOKUP(all[[#This Row],[DEVELOPMENT]],Data[],33,FALSE)</f>
        <v>3</v>
      </c>
      <c r="Y165">
        <f>VLOOKUP(all[[#This Row],[DEVELOPMENT]],Data[],28,FALSE)</f>
        <v>0</v>
      </c>
      <c r="Z165">
        <f>IF(all[[#This Row],['# Bulk Crushers]]=0,1,0)</f>
        <v>1</v>
      </c>
      <c r="AA165" s="5">
        <f ca="1">IFERROR(INDEX(FWD[],MATCH($B165,FWD[DEVELOPMENT],0),MATCH("ESTIMATE",FWD[#Headers],0)),0)</f>
        <v>1687798.7003411998</v>
      </c>
      <c r="AB165" s="5">
        <f ca="1">IFERROR(INDEX(EHDAll[],MATCH($B165,EHDAll[DEVELOPMENT],0),MATCH("ESTIMATE",EHDAll[#Headers],0)),0)</f>
        <v>69263.0192025</v>
      </c>
      <c r="AC165" s="5">
        <f ca="1">IFERROR(INDEX(IntAll[],MATCH($B165,IntAll[DEVELOPMENT],0),MATCH("ESTIMATE",IntAll[#Headers],0)),0)</f>
        <v>587660.0625</v>
      </c>
      <c r="AD165" s="5">
        <f ca="1">IFERROR(INDEX(YardsAll[],MATCH($B165,YardsAll[DEVELOPMENT],0),MATCH("TOTAL ESTIMATE",YardsAll[#Headers],0)),0)</f>
        <v>2760675.9524575002</v>
      </c>
      <c r="AE165" s="99">
        <f t="shared" ca="1" si="2"/>
        <v>5105397.7345011998</v>
      </c>
      <c r="AF165" s="5"/>
    </row>
    <row r="166" spans="1:32">
      <c r="A166" s="101">
        <f>VLOOKUP(B166,Data[],24,FALSE)</f>
        <v>19</v>
      </c>
      <c r="B166" t="s">
        <v>104</v>
      </c>
      <c r="C166" t="str">
        <f>VLOOKUP(all[[#This Row],[DEVELOPMENT]],Data[],MATCH(all[[#Headers],[PROGRAM]],Data[#Headers],0),FALSE)</f>
        <v>FEDERAL</v>
      </c>
      <c r="D166" t="str">
        <f>VLOOKUP(B166,Data[],2,FALSE)</f>
        <v>MANHATTAN</v>
      </c>
      <c r="E166">
        <f>VLOOKUP(all[[#This Row],[DEVELOPMENT]],Data[],65,FALSE)</f>
        <v>74</v>
      </c>
      <c r="F166" t="e">
        <f>VLOOKUP(all[[#This Row],[DEVELOPMENT]],Data[],3,FALSE)</f>
        <v>#N/A</v>
      </c>
      <c r="G166" s="107" t="s">
        <v>281</v>
      </c>
      <c r="H166" t="s">
        <v>184</v>
      </c>
      <c r="I166">
        <f>VLOOKUP(all[[#This Row],[DEVELOPMENT]],Data[],34,FALSE)</f>
        <v>4</v>
      </c>
      <c r="J166" t="s">
        <v>184</v>
      </c>
      <c r="K166" t="str">
        <f>VLOOKUP(B166,Data[],8,FALSE)</f>
        <v>Zone 1</v>
      </c>
      <c r="L166" t="str">
        <f>VLOOKUP(all[[#This Row],[DEVELOPMENT]],Data[],61,FALSE)</f>
        <v>No</v>
      </c>
      <c r="M166">
        <f>VLOOKUP(B166,Data[],9,FALSE)</f>
        <v>3</v>
      </c>
      <c r="N166">
        <v>2</v>
      </c>
      <c r="O166">
        <v>4</v>
      </c>
      <c r="P166" t="str">
        <f ca="1">IFERROR(VLOOKUP(B166,Data[],4,FALSE),"")</f>
        <v/>
      </c>
      <c r="Q166" t="str">
        <f ca="1">IF(all[[#This Row],[RAD/PACT]]="","",IF(OR(all[[#This Row],[RAD/PACT]]="2021-2025",all[[#This Row],[RAD/PACT]]="2019-2020"),"Yes",""))</f>
        <v/>
      </c>
      <c r="R166">
        <f>VLOOKUP(all[[#This Row],[DEVELOPMENT]],Data[],7,FALSE)</f>
        <v>577</v>
      </c>
      <c r="S166" t="str">
        <f>VLOOKUP(all[[#This Row],[DEVELOPMENT]],Data[],25,FALSE)</f>
        <v>Newtown Creek</v>
      </c>
      <c r="T166">
        <f>VLOOKUP(all[[#This Row],[DEVELOPMENT]],Data[],5,FALSE)</f>
        <v>6</v>
      </c>
      <c r="U166">
        <f>VLOOKUP(all[[#This Row],[DEVELOPMENT]],Data[],10,FALSE)</f>
        <v>8</v>
      </c>
      <c r="V166">
        <f>VLOOKUP(all[[#This Row],[DEVELOPMENT]],Data[],10,FALSE)</f>
        <v>8</v>
      </c>
      <c r="W166">
        <f>VLOOKUP(all[[#This Row],[DEVELOPMENT]],Data[],33,FALSE)</f>
        <v>1</v>
      </c>
      <c r="X166">
        <f>VLOOKUP(all[[#This Row],[DEVELOPMENT]],Data[],33,FALSE)</f>
        <v>1</v>
      </c>
      <c r="Y166">
        <f>VLOOKUP(all[[#This Row],[DEVELOPMENT]],Data[],28,FALSE)</f>
        <v>0</v>
      </c>
      <c r="Z166">
        <f>IF(all[[#This Row],['# Bulk Crushers]]=0,1,0)</f>
        <v>1</v>
      </c>
      <c r="AA166" s="5">
        <f ca="1">IFERROR(INDEX(FWD[],MATCH($B166,FWD[DEVELOPMENT],0),MATCH("ESTIMATE",FWD[#Headers],0)),0)</f>
        <v>991710.64164650941</v>
      </c>
      <c r="AB166" s="5">
        <f ca="1">IFERROR(INDEX(EHDAll[],MATCH($B166,EHDAll[DEVELOPMENT],0),MATCH("ESTIMATE",EHDAll[#Headers],0)),0)</f>
        <v>59485.148000000001</v>
      </c>
      <c r="AC166" s="5">
        <f ca="1">IFERROR(INDEX(IntAll[],MATCH($B166,IntAll[DEVELOPMENT],0),MATCH("ESTIMATE",IntAll[#Headers],0)),0)</f>
        <v>504700</v>
      </c>
      <c r="AD166" s="5">
        <f ca="1">IFERROR(INDEX(YardsAll[],MATCH($B166,YardsAll[DEVELOPMENT],0),MATCH("TOTAL ESTIMATE",YardsAll[#Headers],0)),0)</f>
        <v>0</v>
      </c>
      <c r="AE166" s="99">
        <f t="shared" ca="1" si="2"/>
        <v>1555895.7896465093</v>
      </c>
      <c r="AF166" s="5"/>
    </row>
    <row r="167" spans="1:32">
      <c r="A167" s="101">
        <f>VLOOKUP(B167,Data[],24,FALSE)</f>
        <v>93</v>
      </c>
      <c r="B167" t="s">
        <v>123</v>
      </c>
      <c r="C167" t="str">
        <f>VLOOKUP(all[[#This Row],[DEVELOPMENT]],Data[],MATCH(all[[#Headers],[PROGRAM]],Data[#Headers],0),FALSE)</f>
        <v>MIXED FINANCE/LLC1</v>
      </c>
      <c r="D167" t="str">
        <f>VLOOKUP(B167,Data[],2,FALSE)</f>
        <v>BRONX</v>
      </c>
      <c r="E167" t="str">
        <f>VLOOKUP(all[[#This Row],[DEVELOPMENT]],Data[],65,FALSE)</f>
        <v>79, 84</v>
      </c>
      <c r="F167" t="e">
        <f>VLOOKUP(all[[#This Row],[DEVELOPMENT]],Data[],3,FALSE)</f>
        <v>#N/A</v>
      </c>
      <c r="G167" s="107" t="s">
        <v>281</v>
      </c>
      <c r="H167" t="s">
        <v>184</v>
      </c>
      <c r="I167">
        <f>VLOOKUP(all[[#This Row],[DEVELOPMENT]],Data[],34,FALSE)</f>
        <v>4</v>
      </c>
      <c r="J167" t="s">
        <v>184</v>
      </c>
      <c r="K167" t="str">
        <f>VLOOKUP(B167,Data[],8,FALSE)</f>
        <v>Zone 3</v>
      </c>
      <c r="L167" t="str">
        <f>VLOOKUP(all[[#This Row],[DEVELOPMENT]],Data[],61,FALSE)</f>
        <v>No</v>
      </c>
      <c r="M167">
        <f>VLOOKUP(B167,Data[],9,FALSE)</f>
        <v>4</v>
      </c>
      <c r="N167" t="s">
        <v>185</v>
      </c>
      <c r="O167" t="s">
        <v>185</v>
      </c>
      <c r="P167" t="str">
        <f ca="1">IFERROR(VLOOKUP(B167,Data[],4,FALSE),"")</f>
        <v>2026+</v>
      </c>
      <c r="Q167" t="str">
        <f ca="1">IF(all[[#This Row],[RAD/PACT]]="","",IF(OR(all[[#This Row],[RAD/PACT]]="2021-2025",all[[#This Row],[RAD/PACT]]="2019-2020"),"Yes",""))</f>
        <v/>
      </c>
      <c r="R167">
        <f>VLOOKUP(all[[#This Row],[DEVELOPMENT]],Data[],7,FALSE)</f>
        <v>1005</v>
      </c>
      <c r="S167">
        <f>VLOOKUP(all[[#This Row],[DEVELOPMENT]],Data[],25,FALSE)</f>
        <v>0</v>
      </c>
      <c r="T167">
        <f>VLOOKUP(all[[#This Row],[DEVELOPMENT]],Data[],5,FALSE)</f>
        <v>6</v>
      </c>
      <c r="U167">
        <f>VLOOKUP(all[[#This Row],[DEVELOPMENT]],Data[],10,FALSE)</f>
        <v>6</v>
      </c>
      <c r="V167">
        <f>VLOOKUP(all[[#This Row],[DEVELOPMENT]],Data[],10,FALSE)</f>
        <v>6</v>
      </c>
      <c r="W167">
        <f>VLOOKUP(all[[#This Row],[DEVELOPMENT]],Data[],33,FALSE)</f>
        <v>2</v>
      </c>
      <c r="X167">
        <f>VLOOKUP(all[[#This Row],[DEVELOPMENT]],Data[],33,FALSE)</f>
        <v>2</v>
      </c>
      <c r="Y167">
        <f>VLOOKUP(all[[#This Row],[DEVELOPMENT]],Data[],28,FALSE)</f>
        <v>0</v>
      </c>
      <c r="Z167">
        <f>IF(all[[#This Row],['# Bulk Crushers]]=0,1,0)</f>
        <v>1</v>
      </c>
      <c r="AA167" s="5">
        <f ca="1">IFERROR(INDEX(FWD[],MATCH($B167,FWD[DEVELOPMENT],0),MATCH("ESTIMATE",FWD[#Headers],0)),0)</f>
        <v>1727329.6271312684</v>
      </c>
      <c r="AB167" s="5">
        <f ca="1">IFERROR(INDEX(EHDAll[],MATCH($B167,EHDAll[DEVELOPMENT],0),MATCH("ESTIMATE",EHDAll[#Headers],0)),0)</f>
        <v>46175.346135</v>
      </c>
      <c r="AC167" s="5">
        <f ca="1">IFERROR(INDEX(IntAll[],MATCH($B167,IntAll[DEVELOPMENT],0),MATCH("ESTIMATE",IntAll[#Headers],0)),0)</f>
        <v>431518.50000000006</v>
      </c>
      <c r="AD167" s="5">
        <f ca="1">IFERROR(INDEX(YardsAll[],MATCH($B167,YardsAll[DEVELOPMENT],0),MATCH("TOTAL ESTIMATE",YardsAll[#Headers],0)),0)</f>
        <v>2374003.9768875008</v>
      </c>
      <c r="AE167" s="99">
        <f t="shared" ca="1" si="2"/>
        <v>4579027.4501537699</v>
      </c>
      <c r="AF167" s="5"/>
    </row>
    <row r="168" spans="1:32">
      <c r="A168" s="101">
        <f>VLOOKUP(B168,Data[],24,FALSE)</f>
        <v>42</v>
      </c>
      <c r="B168" t="s">
        <v>288</v>
      </c>
      <c r="C168" t="str">
        <f>VLOOKUP(all[[#This Row],[DEVELOPMENT]],Data[],MATCH(all[[#Headers],[PROGRAM]],Data[#Headers],0),FALSE)</f>
        <v>FEDERAL</v>
      </c>
      <c r="D168" t="str">
        <f>VLOOKUP(B168,Data[],2,FALSE)</f>
        <v>STATEN ISLAND</v>
      </c>
      <c r="E168">
        <f>VLOOKUP(all[[#This Row],[DEVELOPMENT]],Data[],65,FALSE)</f>
        <v>63</v>
      </c>
      <c r="F168" t="e">
        <f>VLOOKUP(all[[#This Row],[DEVELOPMENT]],Data[],3,FALSE)</f>
        <v>#N/A</v>
      </c>
      <c r="G168" s="107" t="s">
        <v>281</v>
      </c>
      <c r="H168" t="s">
        <v>184</v>
      </c>
      <c r="I168">
        <f>VLOOKUP(all[[#This Row],[DEVELOPMENT]],Data[],34,FALSE)</f>
        <v>4</v>
      </c>
      <c r="J168" t="s">
        <v>184</v>
      </c>
      <c r="K168">
        <f>VLOOKUP(B168,Data[],8,FALSE)</f>
        <v>0</v>
      </c>
      <c r="L168" t="str">
        <f>VLOOKUP(all[[#This Row],[DEVELOPMENT]],Data[],61,FALSE)</f>
        <v>No</v>
      </c>
      <c r="M168">
        <f>VLOOKUP(B168,Data[],9,FALSE)</f>
        <v>0</v>
      </c>
      <c r="N168">
        <v>4</v>
      </c>
      <c r="O168">
        <v>4</v>
      </c>
      <c r="P168" t="str">
        <f ca="1">IFERROR(VLOOKUP(B168,Data[],4,FALSE),"")</f>
        <v/>
      </c>
      <c r="Q168" t="str">
        <f ca="1">IF(all[[#This Row],[RAD/PACT]]="","",IF(OR(all[[#This Row],[RAD/PACT]]="2021-2025",all[[#This Row],[RAD/PACT]]="2019-2020"),"Yes",""))</f>
        <v/>
      </c>
      <c r="R168">
        <f>VLOOKUP(all[[#This Row],[DEVELOPMENT]],Data[],7,FALSE)</f>
        <v>502</v>
      </c>
      <c r="S168">
        <f>VLOOKUP(all[[#This Row],[DEVELOPMENT]],Data[],25,FALSE)</f>
        <v>0</v>
      </c>
      <c r="T168">
        <f>VLOOKUP(all[[#This Row],[DEVELOPMENT]],Data[],5,FALSE)</f>
        <v>7</v>
      </c>
      <c r="U168">
        <f>VLOOKUP(all[[#This Row],[DEVELOPMENT]],Data[],10,FALSE)</f>
        <v>14</v>
      </c>
      <c r="V168">
        <f>VLOOKUP(all[[#This Row],[DEVELOPMENT]],Data[],10,FALSE)</f>
        <v>14</v>
      </c>
      <c r="W168">
        <f>VLOOKUP(all[[#This Row],[DEVELOPMENT]],Data[],33,FALSE)</f>
        <v>1</v>
      </c>
      <c r="X168">
        <f>VLOOKUP(all[[#This Row],[DEVELOPMENT]],Data[],33,FALSE)</f>
        <v>1</v>
      </c>
      <c r="Y168">
        <f>VLOOKUP(all[[#This Row],[DEVELOPMENT]],Data[],28,FALSE)</f>
        <v>0</v>
      </c>
      <c r="Z168">
        <f>IF(all[[#This Row],['# Bulk Crushers]]=0,1,0)</f>
        <v>1</v>
      </c>
      <c r="AA168" s="5">
        <f ca="1">IFERROR(INDEX(FWD[],MATCH($B168,FWD[DEVELOPMENT],0),MATCH("ESTIMATE",FWD[#Headers],0)),0)</f>
        <v>862805.44559193705</v>
      </c>
      <c r="AB168" s="5">
        <f ca="1">IFERROR(INDEX(EHDAll[],MATCH($B168,EHDAll[DEVELOPMENT],0),MATCH("ESTIMATE",EHDAll[#Headers],0)),0)</f>
        <v>118672.87026000003</v>
      </c>
      <c r="AC168" s="5">
        <f ca="1">IFERROR(INDEX(IntAll[],MATCH($B168,IntAll[DEVELOPMENT],0),MATCH("ESTIMATE",IntAll[#Headers],0)),0)</f>
        <v>1099615.125</v>
      </c>
      <c r="AD168" s="5">
        <f ca="1">IFERROR(INDEX(YardsAll[],MATCH($B168,YardsAll[DEVELOPMENT],0),MATCH("TOTAL ESTIMATE",YardsAll[#Headers],0)),0)</f>
        <v>2187130.3623400005</v>
      </c>
      <c r="AE168" s="99">
        <f t="shared" ca="1" si="2"/>
        <v>4268223.8031919375</v>
      </c>
      <c r="AF168" s="5"/>
    </row>
    <row r="169" spans="1:32">
      <c r="A169" s="101">
        <f>VLOOKUP(B169,Data[],24,FALSE)</f>
        <v>266</v>
      </c>
      <c r="B169" t="s">
        <v>51</v>
      </c>
      <c r="C169" t="str">
        <f>VLOOKUP(all[[#This Row],[DEVELOPMENT]],Data[],MATCH(all[[#Headers],[PROGRAM]],Data[#Headers],0),FALSE)</f>
        <v>FEDERAL</v>
      </c>
      <c r="D169" t="str">
        <f>VLOOKUP(B169,Data[],2,FALSE)</f>
        <v>MANHATTAN</v>
      </c>
      <c r="E169">
        <f>VLOOKUP(all[[#This Row],[DEVELOPMENT]],Data[],65,FALSE)</f>
        <v>65</v>
      </c>
      <c r="F169" t="e">
        <f>VLOOKUP(all[[#This Row],[DEVELOPMENT]],Data[],3,FALSE)</f>
        <v>#N/A</v>
      </c>
      <c r="G169" s="107" t="s">
        <v>281</v>
      </c>
      <c r="H169" t="s">
        <v>184</v>
      </c>
      <c r="I169">
        <f>VLOOKUP(all[[#This Row],[DEVELOPMENT]],Data[],34,FALSE)</f>
        <v>4</v>
      </c>
      <c r="J169" t="s">
        <v>184</v>
      </c>
      <c r="K169" t="str">
        <f>VLOOKUP(B169,Data[],8,FALSE)</f>
        <v>Zone 1</v>
      </c>
      <c r="L169" t="str">
        <f>VLOOKUP(all[[#This Row],[DEVELOPMENT]],Data[],61,FALSE)</f>
        <v>No</v>
      </c>
      <c r="M169">
        <f>VLOOKUP(B169,Data[],9,FALSE)</f>
        <v>4</v>
      </c>
      <c r="N169">
        <v>2</v>
      </c>
      <c r="O169">
        <v>4</v>
      </c>
      <c r="P169" t="str">
        <f ca="1">IFERROR(VLOOKUP(B169,Data[],4,FALSE),"")</f>
        <v/>
      </c>
      <c r="Q169" t="str">
        <f ca="1">IF(all[[#This Row],[RAD/PACT]]="","",IF(OR(all[[#This Row],[RAD/PACT]]="2021-2025",all[[#This Row],[RAD/PACT]]="2019-2020"),"Yes",""))</f>
        <v/>
      </c>
      <c r="R169">
        <f>VLOOKUP(all[[#This Row],[DEVELOPMENT]],Data[],7,FALSE)</f>
        <v>250</v>
      </c>
      <c r="S169" t="str">
        <f>VLOOKUP(all[[#This Row],[DEVELOPMENT]],Data[],25,FALSE)</f>
        <v>Newtown Creek</v>
      </c>
      <c r="T169">
        <f>VLOOKUP(all[[#This Row],[DEVELOPMENT]],Data[],5,FALSE)</f>
        <v>1</v>
      </c>
      <c r="U169">
        <f>VLOOKUP(all[[#This Row],[DEVELOPMENT]],Data[],10,FALSE)</f>
        <v>1</v>
      </c>
      <c r="V169">
        <f>VLOOKUP(all[[#This Row],[DEVELOPMENT]],Data[],10,FALSE)</f>
        <v>1</v>
      </c>
      <c r="W169">
        <f>VLOOKUP(all[[#This Row],[DEVELOPMENT]],Data[],33,FALSE)</f>
        <v>0</v>
      </c>
      <c r="X169">
        <f>VLOOKUP(all[[#This Row],[DEVELOPMENT]],Data[],33,FALSE)</f>
        <v>0</v>
      </c>
      <c r="Y169">
        <f>VLOOKUP(all[[#This Row],[DEVELOPMENT]],Data[],28,FALSE)</f>
        <v>0</v>
      </c>
      <c r="Z169">
        <f>IF(all[[#This Row],['# Bulk Crushers]]=0,1,0)</f>
        <v>1</v>
      </c>
      <c r="AA169" s="5">
        <f>IFERROR(INDEX(FWD[],MATCH($B169,FWD[DEVELOPMENT],0),MATCH("ESTIMATE",FWD[#Headers],0)),0)</f>
        <v>0</v>
      </c>
      <c r="AB169" s="5">
        <f ca="1">IFERROR(INDEX(EHDAll[],MATCH($B169,EHDAll[DEVELOPMENT],0),MATCH("ESTIMATE",EHDAll[#Headers],0)),0)</f>
        <v>7435.6435000000001</v>
      </c>
      <c r="AC169" s="5">
        <f ca="1">IFERROR(INDEX(IntAll[],MATCH($B169,IntAll[DEVELOPMENT],0),MATCH("ESTIMATE",IntAll[#Headers],0)),0)</f>
        <v>84804</v>
      </c>
      <c r="AD169" s="5">
        <f ca="1">IFERROR(INDEX(YardsAll[],MATCH($B169,YardsAll[DEVELOPMENT],0),MATCH("TOTAL ESTIMATE",YardsAll[#Headers],0)),0)</f>
        <v>0</v>
      </c>
      <c r="AE169" s="99">
        <f t="shared" ca="1" si="2"/>
        <v>92239.643500000006</v>
      </c>
      <c r="AF169" s="5"/>
    </row>
    <row r="170" spans="1:32">
      <c r="A170" s="101">
        <f>VLOOKUP(B170,Data[],24,FALSE)</f>
        <v>62</v>
      </c>
      <c r="B170" t="s">
        <v>137</v>
      </c>
      <c r="C170" t="str">
        <f>VLOOKUP(all[[#This Row],[DEVELOPMENT]],Data[],MATCH(all[[#Headers],[PROGRAM]],Data[#Headers],0),FALSE)</f>
        <v>FEDERAL</v>
      </c>
      <c r="D170" t="str">
        <f>VLOOKUP(B170,Data[],2,FALSE)</f>
        <v>MANHATTAN</v>
      </c>
      <c r="E170">
        <f>VLOOKUP(all[[#This Row],[DEVELOPMENT]],Data[],65,FALSE)</f>
        <v>68</v>
      </c>
      <c r="F170" t="e">
        <f>VLOOKUP(all[[#This Row],[DEVELOPMENT]],Data[],3,FALSE)</f>
        <v>#N/A</v>
      </c>
      <c r="G170" s="107" t="s">
        <v>281</v>
      </c>
      <c r="H170" t="s">
        <v>184</v>
      </c>
      <c r="I170">
        <f>VLOOKUP(all[[#This Row],[DEVELOPMENT]],Data[],34,FALSE)</f>
        <v>4</v>
      </c>
      <c r="J170" t="s">
        <v>184</v>
      </c>
      <c r="K170" t="str">
        <f>VLOOKUP(B170,Data[],8,FALSE)</f>
        <v>Zone 2</v>
      </c>
      <c r="L170" t="str">
        <f>VLOOKUP(all[[#This Row],[DEVELOPMENT]],Data[],61,FALSE)</f>
        <v>No</v>
      </c>
      <c r="M170">
        <f>VLOOKUP(B170,Data[],9,FALSE)</f>
        <v>2</v>
      </c>
      <c r="N170">
        <v>3</v>
      </c>
      <c r="O170" t="s">
        <v>185</v>
      </c>
      <c r="P170" t="str">
        <f ca="1">IFERROR(VLOOKUP(B170,Data[],4,FALSE),"")</f>
        <v>2022-2025</v>
      </c>
      <c r="Q170" t="s">
        <v>183</v>
      </c>
      <c r="R170">
        <f>VLOOKUP(all[[#This Row],[DEVELOPMENT]],Data[],7,FALSE)</f>
        <v>1515</v>
      </c>
      <c r="S170">
        <f>VLOOKUP(all[[#This Row],[DEVELOPMENT]],Data[],25,FALSE)</f>
        <v>0</v>
      </c>
      <c r="T170">
        <f>VLOOKUP(all[[#This Row],[DEVELOPMENT]],Data[],5,FALSE)</f>
        <v>14</v>
      </c>
      <c r="U170">
        <f>VLOOKUP(all[[#This Row],[DEVELOPMENT]],Data[],10,FALSE)</f>
        <v>14</v>
      </c>
      <c r="V170">
        <f>VLOOKUP(all[[#This Row],[DEVELOPMENT]],Data[],10,FALSE)</f>
        <v>14</v>
      </c>
      <c r="W170">
        <f>VLOOKUP(all[[#This Row],[DEVELOPMENT]],Data[],33,FALSE)</f>
        <v>4</v>
      </c>
      <c r="X170">
        <f>VLOOKUP(all[[#This Row],[DEVELOPMENT]],Data[],33,FALSE)</f>
        <v>4</v>
      </c>
      <c r="Y170">
        <f>VLOOKUP(all[[#This Row],[DEVELOPMENT]],Data[],28,FALSE)</f>
        <v>1</v>
      </c>
      <c r="Z170">
        <f>IF(all[[#This Row],['# Bulk Crushers]]=0,1,0)</f>
        <v>0</v>
      </c>
      <c r="AA170" s="5">
        <f ca="1">IFERROR(INDEX(FWD[],MATCH($B170,FWD[DEVELOPMENT],0),MATCH("ESTIMATE",FWD[#Headers],0)),0)</f>
        <v>2603884.9603023599</v>
      </c>
      <c r="AB170" s="5">
        <f ca="1">IFERROR(INDEX(EHDAll[],MATCH($B170,EHDAll[DEVELOPMENT],0),MATCH("ESTIMATE",EHDAll[#Headers],0)),0)</f>
        <v>104099.00900000001</v>
      </c>
      <c r="AC170" s="5">
        <f ca="1">IFERROR(INDEX(IntAll[],MATCH($B170,IntAll[DEVELOPMENT],0),MATCH("ESTIMATE",IntAll[#Headers],0)),0)</f>
        <v>0</v>
      </c>
      <c r="AD170" s="5">
        <f ca="1">IFERROR(INDEX(YardsAll[],MATCH($B170,YardsAll[DEVELOPMENT],0),MATCH("TOTAL ESTIMATE",YardsAll[#Headers],0)),0)</f>
        <v>0</v>
      </c>
      <c r="AE170" s="99">
        <f t="shared" ca="1" si="2"/>
        <v>2707983.96930236</v>
      </c>
      <c r="AF170" s="5"/>
    </row>
    <row r="171" spans="1:32">
      <c r="A171" s="101">
        <f>VLOOKUP(B171,Data[],24,FALSE)</f>
        <v>360</v>
      </c>
      <c r="B171" t="s">
        <v>289</v>
      </c>
      <c r="C171" t="str">
        <f>VLOOKUP(all[[#This Row],[DEVELOPMENT]],Data[],MATCH(all[[#Headers],[PROGRAM]],Data[#Headers],0),FALSE)</f>
        <v>FEDERAL</v>
      </c>
      <c r="D171" t="str">
        <f>VLOOKUP(B171,Data[],2,FALSE)</f>
        <v>BRONX</v>
      </c>
      <c r="E171">
        <f>VLOOKUP(all[[#This Row],[DEVELOPMENT]],Data[],65,FALSE)</f>
        <v>85</v>
      </c>
      <c r="F171" t="e">
        <f>VLOOKUP(all[[#This Row],[DEVELOPMENT]],Data[],3,FALSE)</f>
        <v>#N/A</v>
      </c>
      <c r="G171" s="107" t="s">
        <v>281</v>
      </c>
      <c r="H171" t="s">
        <v>184</v>
      </c>
      <c r="I171">
        <f>VLOOKUP(all[[#This Row],[DEVELOPMENT]],Data[],34,FALSE)</f>
        <v>4</v>
      </c>
      <c r="J171" t="s">
        <v>184</v>
      </c>
      <c r="K171">
        <f>VLOOKUP(B171,Data[],8,FALSE)</f>
        <v>0</v>
      </c>
      <c r="L171" t="str">
        <f>VLOOKUP(all[[#This Row],[DEVELOPMENT]],Data[],61,FALSE)</f>
        <v>No</v>
      </c>
      <c r="M171">
        <f>VLOOKUP(B171,Data[],9,FALSE)</f>
        <v>0</v>
      </c>
      <c r="N171">
        <v>2</v>
      </c>
      <c r="O171" t="s">
        <v>185</v>
      </c>
      <c r="P171" t="str">
        <f ca="1">IFERROR(VLOOKUP(B171,Data[],4,FALSE),"")</f>
        <v/>
      </c>
      <c r="Q171" t="str">
        <f ca="1">IF(all[[#This Row],[RAD/PACT]]="","",IF(OR(all[[#This Row],[RAD/PACT]]="2021-2025",all[[#This Row],[RAD/PACT]]="2019-2020"),"Yes",""))</f>
        <v/>
      </c>
      <c r="R171">
        <f>VLOOKUP(all[[#This Row],[DEVELOPMENT]],Data[],7,FALSE)</f>
        <v>208</v>
      </c>
      <c r="S171">
        <f>VLOOKUP(all[[#This Row],[DEVELOPMENT]],Data[],25,FALSE)</f>
        <v>0</v>
      </c>
      <c r="T171">
        <f>VLOOKUP(all[[#This Row],[DEVELOPMENT]],Data[],5,FALSE)</f>
        <v>4</v>
      </c>
      <c r="U171">
        <f>VLOOKUP(all[[#This Row],[DEVELOPMENT]],Data[],10,FALSE)</f>
        <v>0</v>
      </c>
      <c r="V171">
        <f>VLOOKUP(all[[#This Row],[DEVELOPMENT]],Data[],10,FALSE)</f>
        <v>0</v>
      </c>
      <c r="W171">
        <f>VLOOKUP(all[[#This Row],[DEVELOPMENT]],Data[],33,FALSE)</f>
        <v>0</v>
      </c>
      <c r="X171">
        <f>VLOOKUP(all[[#This Row],[DEVELOPMENT]],Data[],33,FALSE)</f>
        <v>0</v>
      </c>
      <c r="Y171">
        <f>VLOOKUP(all[[#This Row],[DEVELOPMENT]],Data[],28,FALSE)</f>
        <v>0</v>
      </c>
      <c r="Z171">
        <f>IF(all[[#This Row],['# Bulk Crushers]]=0,1,0)</f>
        <v>1</v>
      </c>
      <c r="AA171" s="5">
        <f ca="1">IFERROR(INDEX(FWD[],MATCH($B171,FWD[DEVELOPMENT],0),MATCH("ESTIMATE",FWD[#Headers],0)),0)</f>
        <v>357497.07705801376</v>
      </c>
      <c r="AB171" s="5">
        <f ca="1">IFERROR(INDEX(EHDAll[],MATCH($B171,EHDAll[DEVELOPMENT],0),MATCH("ESTIMATE",EHDAll[#Headers],0)),0)</f>
        <v>59336.435130000013</v>
      </c>
      <c r="AC171" s="5">
        <f ca="1">IFERROR(INDEX(IntAll[],MATCH($B171,IntAll[DEVELOPMENT],0),MATCH("ESTIMATE",IntAll[#Headers],0)),0)</f>
        <v>0</v>
      </c>
      <c r="AD171" s="5">
        <f ca="1">IFERROR(INDEX(YardsAll[],MATCH($B171,YardsAll[DEVELOPMENT],0),MATCH("TOTAL ESTIMATE",YardsAll[#Headers],0)),0)</f>
        <v>2123866.2609500005</v>
      </c>
      <c r="AE171" s="99">
        <f t="shared" ca="1" si="2"/>
        <v>2540699.7731380141</v>
      </c>
      <c r="AF171" s="5"/>
    </row>
    <row r="172" spans="1:32">
      <c r="A172" s="101">
        <f>VLOOKUP(B172,Data[],24,FALSE)</f>
        <v>526</v>
      </c>
      <c r="B172" t="s">
        <v>290</v>
      </c>
      <c r="C172" t="str">
        <f>VLOOKUP(all[[#This Row],[DEVELOPMENT]],Data[],MATCH(all[[#Headers],[PROGRAM]],Data[#Headers],0),FALSE)</f>
        <v>FEDERAL</v>
      </c>
      <c r="D172" t="str">
        <f>VLOOKUP(B172,Data[],2,FALSE)</f>
        <v>BRONX</v>
      </c>
      <c r="E172">
        <f>VLOOKUP(all[[#This Row],[DEVELOPMENT]],Data[],65,FALSE)</f>
        <v>85</v>
      </c>
      <c r="F172" t="e">
        <f>VLOOKUP(all[[#This Row],[DEVELOPMENT]],Data[],3,FALSE)</f>
        <v>#N/A</v>
      </c>
      <c r="G172" s="107" t="s">
        <v>281</v>
      </c>
      <c r="H172" t="s">
        <v>184</v>
      </c>
      <c r="I172">
        <f>VLOOKUP(all[[#This Row],[DEVELOPMENT]],Data[],34,FALSE)</f>
        <v>4</v>
      </c>
      <c r="J172" t="s">
        <v>184</v>
      </c>
      <c r="K172">
        <f>VLOOKUP(B172,Data[],8,FALSE)</f>
        <v>0</v>
      </c>
      <c r="L172" t="str">
        <f>VLOOKUP(all[[#This Row],[DEVELOPMENT]],Data[],61,FALSE)</f>
        <v>No</v>
      </c>
      <c r="M172">
        <f>VLOOKUP(B172,Data[],9,FALSE)</f>
        <v>0</v>
      </c>
      <c r="N172">
        <v>2</v>
      </c>
      <c r="O172">
        <v>4</v>
      </c>
      <c r="P172" t="str">
        <f ca="1">IFERROR(VLOOKUP(B172,Data[],4,FALSE),"")</f>
        <v/>
      </c>
      <c r="Q172" t="str">
        <f ca="1">IF(all[[#This Row],[RAD/PACT]]="","",IF(OR(all[[#This Row],[RAD/PACT]]="2021-2025",all[[#This Row],[RAD/PACT]]="2019-2020"),"Yes",""))</f>
        <v/>
      </c>
      <c r="R172">
        <f>VLOOKUP(all[[#This Row],[DEVELOPMENT]],Data[],7,FALSE)</f>
        <v>20</v>
      </c>
      <c r="S172">
        <f>VLOOKUP(all[[#This Row],[DEVELOPMENT]],Data[],25,FALSE)</f>
        <v>0</v>
      </c>
      <c r="T172">
        <f>VLOOKUP(all[[#This Row],[DEVELOPMENT]],Data[],5,FALSE)</f>
        <v>1</v>
      </c>
      <c r="U172">
        <f>VLOOKUP(all[[#This Row],[DEVELOPMENT]],Data[],10,FALSE)</f>
        <v>0</v>
      </c>
      <c r="V172">
        <f>VLOOKUP(all[[#This Row],[DEVELOPMENT]],Data[],10,FALSE)</f>
        <v>0</v>
      </c>
      <c r="W172">
        <f>VLOOKUP(all[[#This Row],[DEVELOPMENT]],Data[],33,FALSE)</f>
        <v>0</v>
      </c>
      <c r="X172">
        <f>VLOOKUP(all[[#This Row],[DEVELOPMENT]],Data[],33,FALSE)</f>
        <v>0</v>
      </c>
      <c r="Y172">
        <f>VLOOKUP(all[[#This Row],[DEVELOPMENT]],Data[],28,FALSE)</f>
        <v>0</v>
      </c>
      <c r="Z172">
        <f>IF(all[[#This Row],['# Bulk Crushers]]=0,1,0)</f>
        <v>1</v>
      </c>
      <c r="AA172" s="5">
        <f ca="1">IFERROR(INDEX(FWD[],MATCH($B172,FWD[DEVELOPMENT],0),MATCH("ESTIMATE",FWD[#Headers],0)),0)</f>
        <v>34374.718947885936</v>
      </c>
      <c r="AB172" s="5">
        <f ca="1">IFERROR(INDEX(EHDAll[],MATCH($B172,EHDAll[DEVELOPMENT],0),MATCH("ESTIMATE",EHDAll[#Headers],0)),0)</f>
        <v>8476.6335900000013</v>
      </c>
      <c r="AC172" s="5">
        <f ca="1">IFERROR(INDEX(IntAll[],MATCH($B172,IntAll[DEVELOPMENT],0),MATCH("ESTIMATE",IntAll[#Headers],0)),0)</f>
        <v>0</v>
      </c>
      <c r="AD172" s="5">
        <f ca="1">IFERROR(INDEX(YardsAll[],MATCH($B172,YardsAll[DEVELOPMENT],0),MATCH("TOTAL ESTIMATE",YardsAll[#Headers],0)),0)</f>
        <v>2123866.2609500005</v>
      </c>
      <c r="AE172" s="99">
        <f t="shared" ca="1" si="2"/>
        <v>2166717.6134878863</v>
      </c>
      <c r="AF172" s="5"/>
    </row>
    <row r="173" spans="1:32">
      <c r="A173" s="101">
        <f>VLOOKUP(B173,Data[],24,FALSE)</f>
        <v>180</v>
      </c>
      <c r="B173" t="s">
        <v>291</v>
      </c>
      <c r="C173" t="str">
        <f>VLOOKUP(all[[#This Row],[DEVELOPMENT]],Data[],MATCH(all[[#Headers],[PROGRAM]],Data[#Headers],0),FALSE)</f>
        <v>FEDERAL</v>
      </c>
      <c r="D173" t="str">
        <f>VLOOKUP(B173,Data[],2,FALSE)</f>
        <v>BRONX</v>
      </c>
      <c r="E173">
        <f>VLOOKUP(all[[#This Row],[DEVELOPMENT]],Data[],65,FALSE)</f>
        <v>87</v>
      </c>
      <c r="F173" t="e">
        <f>VLOOKUP(all[[#This Row],[DEVELOPMENT]],Data[],3,FALSE)</f>
        <v>#N/A</v>
      </c>
      <c r="G173" s="107" t="s">
        <v>185</v>
      </c>
      <c r="H173" t="s">
        <v>184</v>
      </c>
      <c r="I173">
        <f>VLOOKUP(all[[#This Row],[DEVELOPMENT]],Data[],34,FALSE)</f>
        <v>0</v>
      </c>
      <c r="J173" t="s">
        <v>184</v>
      </c>
      <c r="K173">
        <f>VLOOKUP(B173,Data[],8,FALSE)</f>
        <v>0</v>
      </c>
      <c r="L173" t="str">
        <f>VLOOKUP(all[[#This Row],[DEVELOPMENT]],Data[],61,FALSE)</f>
        <v>No</v>
      </c>
      <c r="M173">
        <f>VLOOKUP(B173,Data[],9,FALSE)</f>
        <v>0</v>
      </c>
      <c r="N173">
        <v>4</v>
      </c>
      <c r="O173" t="s">
        <v>185</v>
      </c>
      <c r="P173" t="str">
        <f ca="1">IFERROR(VLOOKUP(B173,Data[],4,FALSE),"")</f>
        <v/>
      </c>
      <c r="Q173" t="str">
        <f ca="1">IF(all[[#This Row],[RAD/PACT]]="","",IF(OR(all[[#This Row],[RAD/PACT]]="2021-2025",all[[#This Row],[RAD/PACT]]="2019-2020"),"Yes",""))</f>
        <v/>
      </c>
      <c r="R173">
        <f>VLOOKUP(all[[#This Row],[DEVELOPMENT]],Data[],7,FALSE)</f>
        <v>218</v>
      </c>
      <c r="S173">
        <f>VLOOKUP(all[[#This Row],[DEVELOPMENT]],Data[],25,FALSE)</f>
        <v>0</v>
      </c>
      <c r="T173" s="102">
        <f>VLOOKUP(all[[#This Row],[DEVELOPMENT]],Data[],5,FALSE)</f>
        <v>1</v>
      </c>
      <c r="U173">
        <f>VLOOKUP(all[[#This Row],[DEVELOPMENT]],Data[],10,FALSE)</f>
        <v>1</v>
      </c>
      <c r="V173">
        <f>VLOOKUP(all[[#This Row],[DEVELOPMENT]],Data[],10,FALSE)</f>
        <v>1</v>
      </c>
      <c r="W173">
        <f>VLOOKUP(all[[#This Row],[DEVELOPMENT]],Data[],33,FALSE)</f>
        <v>0</v>
      </c>
      <c r="X173">
        <f>VLOOKUP(all[[#This Row],[DEVELOPMENT]],Data[],33,FALSE)</f>
        <v>0</v>
      </c>
      <c r="Y173">
        <f>VLOOKUP(all[[#This Row],[DEVELOPMENT]],Data[],28,FALSE)</f>
        <v>0</v>
      </c>
      <c r="Z173">
        <f>IF(all[[#This Row],['# Bulk Crushers]]=0,1,0)</f>
        <v>1</v>
      </c>
      <c r="AA173" s="5">
        <f ca="1">IFERROR(INDEX(FWD[],MATCH($B173,FWD[DEVELOPMENT],0),MATCH("ESTIMATE",FWD[#Headers],0)),0)</f>
        <v>374684.43653195677</v>
      </c>
      <c r="AB173" s="5">
        <f ca="1">IFERROR(INDEX(EHDAll[],MATCH($B173,EHDAll[DEVELOPMENT],0),MATCH("ESTIMATE",EHDAll[#Headers],0)),0)</f>
        <v>8736.8811125000011</v>
      </c>
      <c r="AC173" s="5">
        <f ca="1">IFERROR(INDEX(IntAll[],MATCH($B173,IntAll[DEVELOPMENT],0),MATCH("ESTIMATE",IntAll[#Headers],0)),0)</f>
        <v>78543.9375</v>
      </c>
      <c r="AD173" s="5">
        <f ca="1">IFERROR(INDEX(YardsAll[],MATCH($B173,YardsAll[DEVELOPMENT],0),MATCH("TOTAL ESTIMATE",YardsAll[#Headers],0)),0)</f>
        <v>2313658.5651200004</v>
      </c>
      <c r="AE173" s="99">
        <f t="shared" ca="1" si="2"/>
        <v>2775623.8202644573</v>
      </c>
      <c r="AF173" s="5"/>
    </row>
    <row r="174" spans="1:32">
      <c r="A174" s="101">
        <f>VLOOKUP(B174,Data[],24,FALSE)</f>
        <v>242</v>
      </c>
      <c r="B174" t="s">
        <v>292</v>
      </c>
      <c r="C174" t="str">
        <f>VLOOKUP(all[[#This Row],[DEVELOPMENT]],Data[],MATCH(all[[#Headers],[PROGRAM]],Data[#Headers],0),FALSE)</f>
        <v>FEDERAL</v>
      </c>
      <c r="D174" t="str">
        <f>VLOOKUP(B174,Data[],2,FALSE)</f>
        <v>BROOKLYN</v>
      </c>
      <c r="E174">
        <f>VLOOKUP(all[[#This Row],[DEVELOPMENT]],Data[],65,FALSE)</f>
        <v>55</v>
      </c>
      <c r="F174" t="e">
        <f>VLOOKUP(all[[#This Row],[DEVELOPMENT]],Data[],3,FALSE)</f>
        <v>#N/A</v>
      </c>
      <c r="G174" s="107" t="s">
        <v>185</v>
      </c>
      <c r="H174" t="s">
        <v>184</v>
      </c>
      <c r="I174">
        <f>VLOOKUP(all[[#This Row],[DEVELOPMENT]],Data[],34,FALSE)</f>
        <v>0</v>
      </c>
      <c r="J174" t="s">
        <v>184</v>
      </c>
      <c r="K174">
        <f>VLOOKUP(B174,Data[],8,FALSE)</f>
        <v>0</v>
      </c>
      <c r="L174" t="str">
        <f>VLOOKUP(all[[#This Row],[DEVELOPMENT]],Data[],61,FALSE)</f>
        <v>No</v>
      </c>
      <c r="M174">
        <f>VLOOKUP(B174,Data[],9,FALSE)</f>
        <v>0</v>
      </c>
      <c r="N174">
        <v>4</v>
      </c>
      <c r="O174" t="s">
        <v>185</v>
      </c>
      <c r="P174" t="str">
        <f ca="1">IFERROR(VLOOKUP(B174,Data[],4,FALSE),"")</f>
        <v>2020-2021</v>
      </c>
      <c r="Q174" t="str">
        <f ca="1">IF(all[[#This Row],[RAD/PACT]]="","",IF(OR(all[[#This Row],[RAD/PACT]]="2021-2025",all[[#This Row],[RAD/PACT]]="2019-2020"),"Yes",""))</f>
        <v/>
      </c>
      <c r="R174">
        <f>VLOOKUP(all[[#This Row],[DEVELOPMENT]],Data[],7,FALSE)</f>
        <v>30</v>
      </c>
      <c r="S174">
        <f>VLOOKUP(all[[#This Row],[DEVELOPMENT]],Data[],25,FALSE)</f>
        <v>0</v>
      </c>
      <c r="T174">
        <f>VLOOKUP(all[[#This Row],[DEVELOPMENT]],Data[],5,FALSE)</f>
        <v>1</v>
      </c>
      <c r="U174">
        <f>VLOOKUP(all[[#This Row],[DEVELOPMENT]],Data[],10,FALSE)</f>
        <v>1</v>
      </c>
      <c r="V174">
        <f>VLOOKUP(all[[#This Row],[DEVELOPMENT]],Data[],10,FALSE)</f>
        <v>1</v>
      </c>
      <c r="W174">
        <f>VLOOKUP(all[[#This Row],[DEVELOPMENT]],Data[],33,FALSE)</f>
        <v>0</v>
      </c>
      <c r="X174">
        <f>VLOOKUP(all[[#This Row],[DEVELOPMENT]],Data[],33,FALSE)</f>
        <v>0</v>
      </c>
      <c r="Y174">
        <f>VLOOKUP(all[[#This Row],[DEVELOPMENT]],Data[],28,FALSE)</f>
        <v>0</v>
      </c>
      <c r="Z174">
        <f>IF(all[[#This Row],['# Bulk Crushers]]=0,1,0)</f>
        <v>1</v>
      </c>
      <c r="AA174" s="5">
        <f ca="1">IFERROR(INDEX(FWD[],MATCH($B174,FWD[DEVELOPMENT],0),MATCH("ESTIMATE",FWD[#Headers],0)),0)</f>
        <v>51562.078421828912</v>
      </c>
      <c r="AB174" s="5">
        <f ca="1">IFERROR(INDEX(EHDAll[],MATCH($B174,EHDAll[DEVELOPMENT],0),MATCH("ESTIMATE",EHDAll[#Headers],0)),0)</f>
        <v>8736.8811125000011</v>
      </c>
      <c r="AC174" s="5">
        <f ca="1">IFERROR(INDEX(IntAll[],MATCH($B174,IntAll[DEVELOPMENT],0),MATCH("ESTIMATE",IntAll[#Headers],0)),0)</f>
        <v>0</v>
      </c>
      <c r="AD174" s="5">
        <f ca="1">IFERROR(INDEX(YardsAll[],MATCH($B174,YardsAll[DEVELOPMENT],0),MATCH("TOTAL ESTIMATE",YardsAll[#Headers],0)),0)</f>
        <v>0</v>
      </c>
      <c r="AE174" s="99">
        <f t="shared" ca="1" si="2"/>
        <v>60298.959534328911</v>
      </c>
      <c r="AF174" s="5"/>
    </row>
    <row r="175" spans="1:32">
      <c r="A175" s="101">
        <f>VLOOKUP(B175,Data[],24,FALSE)</f>
        <v>233</v>
      </c>
      <c r="B175" t="s">
        <v>293</v>
      </c>
      <c r="C175" t="str">
        <f>VLOOKUP(all[[#This Row],[DEVELOPMENT]],Data[],MATCH(all[[#Headers],[PROGRAM]],Data[#Headers],0),FALSE)</f>
        <v>FEDERAL</v>
      </c>
      <c r="D175" t="str">
        <f>VLOOKUP(B175,Data[],2,FALSE)</f>
        <v>BRONX</v>
      </c>
      <c r="E175">
        <f>VLOOKUP(all[[#This Row],[DEVELOPMENT]],Data[],65,FALSE)</f>
        <v>79</v>
      </c>
      <c r="F175" t="e">
        <f>VLOOKUP(all[[#This Row],[DEVELOPMENT]],Data[],3,FALSE)</f>
        <v>#N/A</v>
      </c>
      <c r="G175" s="107" t="s">
        <v>185</v>
      </c>
      <c r="H175" t="s">
        <v>184</v>
      </c>
      <c r="I175">
        <f>VLOOKUP(all[[#This Row],[DEVELOPMENT]],Data[],34,FALSE)</f>
        <v>0</v>
      </c>
      <c r="J175" t="s">
        <v>184</v>
      </c>
      <c r="K175">
        <f>VLOOKUP(B175,Data[],8,FALSE)</f>
        <v>0</v>
      </c>
      <c r="L175" t="str">
        <f>VLOOKUP(all[[#This Row],[DEVELOPMENT]],Data[],61,FALSE)</f>
        <v>No</v>
      </c>
      <c r="M175">
        <f>VLOOKUP(B175,Data[],9,FALSE)</f>
        <v>0</v>
      </c>
      <c r="N175">
        <v>2</v>
      </c>
      <c r="O175" t="s">
        <v>185</v>
      </c>
      <c r="P175" t="str">
        <f ca="1">IFERROR(VLOOKUP(B175,Data[],4,FALSE),"")</f>
        <v>2022-2025</v>
      </c>
      <c r="Q175" t="str">
        <f ca="1">IF(all[[#This Row],[RAD/PACT]]="","",IF(OR(all[[#This Row],[RAD/PACT]]="2021-2025",all[[#This Row],[RAD/PACT]]="2019-2020"),"Yes",""))</f>
        <v/>
      </c>
      <c r="R175">
        <f>VLOOKUP(all[[#This Row],[DEVELOPMENT]],Data[],7,FALSE)</f>
        <v>65</v>
      </c>
      <c r="S175">
        <f>VLOOKUP(all[[#This Row],[DEVELOPMENT]],Data[],25,FALSE)</f>
        <v>0</v>
      </c>
      <c r="T175">
        <f>VLOOKUP(all[[#This Row],[DEVELOPMENT]],Data[],5,FALSE)</f>
        <v>1</v>
      </c>
      <c r="U175">
        <f>VLOOKUP(all[[#This Row],[DEVELOPMENT]],Data[],10,FALSE)</f>
        <v>1</v>
      </c>
      <c r="V175">
        <f>VLOOKUP(all[[#This Row],[DEVELOPMENT]],Data[],10,FALSE)</f>
        <v>1</v>
      </c>
      <c r="W175">
        <f>VLOOKUP(all[[#This Row],[DEVELOPMENT]],Data[],33,FALSE)</f>
        <v>0</v>
      </c>
      <c r="X175">
        <f>VLOOKUP(all[[#This Row],[DEVELOPMENT]],Data[],33,FALSE)</f>
        <v>0</v>
      </c>
      <c r="Y175">
        <f>VLOOKUP(all[[#This Row],[DEVELOPMENT]],Data[],28,FALSE)</f>
        <v>0</v>
      </c>
      <c r="Z175">
        <f>IF(all[[#This Row],['# Bulk Crushers]]=0,1,0)</f>
        <v>1</v>
      </c>
      <c r="AA175" s="5">
        <f ca="1">IFERROR(INDEX(FWD[],MATCH($B175,FWD[DEVELOPMENT],0),MATCH("ESTIMATE",FWD[#Headers],0)),0)</f>
        <v>111717.8365806293</v>
      </c>
      <c r="AB175" s="5">
        <f ca="1">IFERROR(INDEX(EHDAll[],MATCH($B175,EHDAll[DEVELOPMENT],0),MATCH("ESTIMATE",EHDAll[#Headers],0)),0)</f>
        <v>8476.6335900000013</v>
      </c>
      <c r="AC175" s="5">
        <f ca="1">IFERROR(INDEX(IntAll[],MATCH($B175,IntAll[DEVELOPMENT],0),MATCH("ESTIMATE",IntAll[#Headers],0)),0)</f>
        <v>0</v>
      </c>
      <c r="AD175" s="5">
        <f ca="1">IFERROR(INDEX(YardsAll[],MATCH($B175,YardsAll[DEVELOPMENT],0),MATCH("TOTAL ESTIMATE",YardsAll[#Headers],0)),0)</f>
        <v>0</v>
      </c>
      <c r="AE175" s="99">
        <f t="shared" ca="1" si="2"/>
        <v>120194.4701706293</v>
      </c>
      <c r="AF175" s="5"/>
    </row>
    <row r="176" spans="1:32">
      <c r="A176" s="101">
        <f>VLOOKUP(B176,Data[],24,FALSE)</f>
        <v>154</v>
      </c>
      <c r="B176" t="s">
        <v>67</v>
      </c>
      <c r="C176" t="str">
        <f>VLOOKUP(all[[#This Row],[DEVELOPMENT]],Data[],MATCH(all[[#Headers],[PROGRAM]],Data[#Headers],0),FALSE)</f>
        <v>FEDERAL</v>
      </c>
      <c r="D176" t="str">
        <f>VLOOKUP(B176,Data[],2,FALSE)</f>
        <v>MANHATTAN</v>
      </c>
      <c r="E176">
        <f>VLOOKUP(all[[#This Row],[DEVELOPMENT]],Data[],65,FALSE)</f>
        <v>70</v>
      </c>
      <c r="F176" t="e">
        <f>VLOOKUP(all[[#This Row],[DEVELOPMENT]],Data[],3,FALSE)</f>
        <v>#N/A</v>
      </c>
      <c r="G176" s="107" t="s">
        <v>185</v>
      </c>
      <c r="H176" t="s">
        <v>184</v>
      </c>
      <c r="I176">
        <f>VLOOKUP(all[[#This Row],[DEVELOPMENT]],Data[],34,FALSE)</f>
        <v>0</v>
      </c>
      <c r="J176" t="s">
        <v>184</v>
      </c>
      <c r="K176" t="str">
        <f>VLOOKUP(B176,Data[],8,FALSE)</f>
        <v>Zone 2</v>
      </c>
      <c r="L176" t="str">
        <f>VLOOKUP(all[[#This Row],[DEVELOPMENT]],Data[],61,FALSE)</f>
        <v>No</v>
      </c>
      <c r="M176">
        <f>VLOOKUP(B176,Data[],9,FALSE)</f>
        <v>4</v>
      </c>
      <c r="N176">
        <v>4</v>
      </c>
      <c r="O176" t="s">
        <v>185</v>
      </c>
      <c r="P176" t="str">
        <f ca="1">IFERROR(VLOOKUP(B176,Data[],4,FALSE),"")</f>
        <v>2026+</v>
      </c>
      <c r="Q176" t="str">
        <f ca="1">IF(all[[#This Row],[RAD/PACT]]="","",IF(OR(all[[#This Row],[RAD/PACT]]="2021-2025",all[[#This Row],[RAD/PACT]]="2019-2020"),"Yes",""))</f>
        <v/>
      </c>
      <c r="R176">
        <f>VLOOKUP(all[[#This Row],[DEVELOPMENT]],Data[],7,FALSE)</f>
        <v>98</v>
      </c>
      <c r="S176">
        <f>VLOOKUP(all[[#This Row],[DEVELOPMENT]],Data[],25,FALSE)</f>
        <v>0</v>
      </c>
      <c r="T176">
        <f>VLOOKUP(all[[#This Row],[DEVELOPMENT]],Data[],5,FALSE)</f>
        <v>1</v>
      </c>
      <c r="U176">
        <f>VLOOKUP(all[[#This Row],[DEVELOPMENT]],Data[],10,FALSE)</f>
        <v>1</v>
      </c>
      <c r="V176">
        <f>VLOOKUP(all[[#This Row],[DEVELOPMENT]],Data[],10,FALSE)</f>
        <v>1</v>
      </c>
      <c r="W176">
        <f>VLOOKUP(all[[#This Row],[DEVELOPMENT]],Data[],33,FALSE)</f>
        <v>0</v>
      </c>
      <c r="X176">
        <f>VLOOKUP(all[[#This Row],[DEVELOPMENT]],Data[],33,FALSE)</f>
        <v>0</v>
      </c>
      <c r="Y176">
        <f>VLOOKUP(all[[#This Row],[DEVELOPMENT]],Data[],28,FALSE)</f>
        <v>0</v>
      </c>
      <c r="Z176">
        <f>IF(all[[#This Row],['# Bulk Crushers]]=0,1,0)</f>
        <v>1</v>
      </c>
      <c r="AA176" s="5">
        <f ca="1">IFERROR(INDEX(FWD[],MATCH($B176,FWD[DEVELOPMENT],0),MATCH("ESTIMATE",FWD[#Headers],0)),0)</f>
        <v>168436.1228446411</v>
      </c>
      <c r="AB176" s="5">
        <f ca="1">IFERROR(INDEX(EHDAll[],MATCH($B176,EHDAll[DEVELOPMENT],0),MATCH("ESTIMATE",EHDAll[#Headers],0)),0)</f>
        <v>7956.1385450000007</v>
      </c>
      <c r="AC176" s="5">
        <f ca="1">IFERROR(INDEX(IntAll[],MATCH($B176,IntAll[DEVELOPMENT],0),MATCH("ESTIMATE",IntAll[#Headers],0)),0)</f>
        <v>76335.875</v>
      </c>
      <c r="AD176" s="5">
        <f ca="1">IFERROR(INDEX(YardsAll[],MATCH($B176,YardsAll[DEVELOPMENT],0),MATCH("TOTAL ESTIMATE",YardsAll[#Headers],0)),0)</f>
        <v>2313658.5651200004</v>
      </c>
      <c r="AE176" s="99">
        <f t="shared" ca="1" si="2"/>
        <v>2566386.7015096415</v>
      </c>
      <c r="AF176" s="5"/>
    </row>
    <row r="177" spans="1:32">
      <c r="A177" s="101">
        <f>VLOOKUP(B177,Data[],24,FALSE)</f>
        <v>203</v>
      </c>
      <c r="B177" t="s">
        <v>69</v>
      </c>
      <c r="C177" t="str">
        <f>VLOOKUP(all[[#This Row],[DEVELOPMENT]],Data[],MATCH(all[[#Headers],[PROGRAM]],Data[#Headers],0),FALSE)</f>
        <v>FEDERAL</v>
      </c>
      <c r="D177" t="str">
        <f>VLOOKUP(B177,Data[],2,FALSE)</f>
        <v>MANHATTAN</v>
      </c>
      <c r="E177">
        <f>VLOOKUP(all[[#This Row],[DEVELOPMENT]],Data[],65,FALSE)</f>
        <v>68</v>
      </c>
      <c r="F177" t="e">
        <f>VLOOKUP(all[[#This Row],[DEVELOPMENT]],Data[],3,FALSE)</f>
        <v>#N/A</v>
      </c>
      <c r="G177" s="107" t="s">
        <v>185</v>
      </c>
      <c r="H177" t="s">
        <v>184</v>
      </c>
      <c r="I177">
        <f>VLOOKUP(all[[#This Row],[DEVELOPMENT]],Data[],34,FALSE)</f>
        <v>0</v>
      </c>
      <c r="J177" t="s">
        <v>184</v>
      </c>
      <c r="K177" t="str">
        <f>VLOOKUP(B177,Data[],8,FALSE)</f>
        <v>Zone 3</v>
      </c>
      <c r="L177" t="str">
        <f>VLOOKUP(all[[#This Row],[DEVELOPMENT]],Data[],61,FALSE)</f>
        <v>No</v>
      </c>
      <c r="M177">
        <f>VLOOKUP(B177,Data[],9,FALSE)</f>
        <v>4</v>
      </c>
      <c r="N177">
        <v>2</v>
      </c>
      <c r="O177" t="s">
        <v>185</v>
      </c>
      <c r="P177" t="str">
        <f ca="1">IFERROR(VLOOKUP(B177,Data[],4,FALSE),"")</f>
        <v>2020-2021</v>
      </c>
      <c r="Q177" t="str">
        <f ca="1">IF(all[[#This Row],[RAD/PACT]]="","",IF(OR(all[[#This Row],[RAD/PACT]]="2021-2025",all[[#This Row],[RAD/PACT]]="2019-2020"),"Yes",""))</f>
        <v/>
      </c>
      <c r="R177">
        <f>VLOOKUP(all[[#This Row],[DEVELOPMENT]],Data[],7,FALSE)</f>
        <v>66</v>
      </c>
      <c r="S177">
        <f>VLOOKUP(all[[#This Row],[DEVELOPMENT]],Data[],25,FALSE)</f>
        <v>0</v>
      </c>
      <c r="T177">
        <f>VLOOKUP(all[[#This Row],[DEVELOPMENT]],Data[],5,FALSE)</f>
        <v>1</v>
      </c>
      <c r="U177">
        <f>VLOOKUP(all[[#This Row],[DEVELOPMENT]],Data[],10,FALSE)</f>
        <v>1</v>
      </c>
      <c r="V177">
        <f>VLOOKUP(all[[#This Row],[DEVELOPMENT]],Data[],10,FALSE)</f>
        <v>1</v>
      </c>
      <c r="W177">
        <f>VLOOKUP(all[[#This Row],[DEVELOPMENT]],Data[],33,FALSE)</f>
        <v>0</v>
      </c>
      <c r="X177">
        <f>VLOOKUP(all[[#This Row],[DEVELOPMENT]],Data[],33,FALSE)</f>
        <v>0</v>
      </c>
      <c r="Y177">
        <f>VLOOKUP(all[[#This Row],[DEVELOPMENT]],Data[],28,FALSE)</f>
        <v>0</v>
      </c>
      <c r="Z177">
        <f>IF(all[[#This Row],['# Bulk Crushers]]=0,1,0)</f>
        <v>1</v>
      </c>
      <c r="AA177" s="5">
        <f ca="1">IFERROR(INDEX(FWD[],MATCH($B177,FWD[DEVELOPMENT],0),MATCH("ESTIMATE",FWD[#Headers],0)),0)</f>
        <v>113436.57252802361</v>
      </c>
      <c r="AB177" s="5">
        <f ca="1">IFERROR(INDEX(EHDAll[],MATCH($B177,EHDAll[DEVELOPMENT],0),MATCH("ESTIMATE",EHDAll[#Headers],0)),0)</f>
        <v>7695.8910225</v>
      </c>
      <c r="AC177" s="5">
        <f ca="1">IFERROR(INDEX(IntAll[],MATCH($B177,IntAll[DEVELOPMENT],0),MATCH("ESTIMATE",IntAll[#Headers],0)),0)</f>
        <v>0</v>
      </c>
      <c r="AD177" s="5">
        <f ca="1">IFERROR(INDEX(YardsAll[],MATCH($B177,YardsAll[DEVELOPMENT],0),MATCH("TOTAL ESTIMATE",YardsAll[#Headers],0)),0)</f>
        <v>0</v>
      </c>
      <c r="AE177" s="99">
        <f t="shared" ca="1" si="2"/>
        <v>121132.46355052361</v>
      </c>
      <c r="AF177" s="5"/>
    </row>
    <row r="178" spans="1:32">
      <c r="A178" s="101">
        <f>VLOOKUP(B178,Data[],24,FALSE)</f>
        <v>196</v>
      </c>
      <c r="B178" t="s">
        <v>294</v>
      </c>
      <c r="C178" t="str">
        <f>VLOOKUP(all[[#This Row],[DEVELOPMENT]],Data[],MATCH(all[[#Headers],[PROGRAM]],Data[#Headers],0),FALSE)</f>
        <v>FEDERAL</v>
      </c>
      <c r="D178" t="str">
        <f>VLOOKUP(B178,Data[],2,FALSE)</f>
        <v>BROOKLYN</v>
      </c>
      <c r="E178">
        <f>VLOOKUP(all[[#This Row],[DEVELOPMENT]],Data[],65,FALSE)</f>
        <v>52</v>
      </c>
      <c r="F178" t="e">
        <f>VLOOKUP(all[[#This Row],[DEVELOPMENT]],Data[],3,FALSE)</f>
        <v>#N/A</v>
      </c>
      <c r="G178" s="107" t="s">
        <v>185</v>
      </c>
      <c r="H178" t="s">
        <v>184</v>
      </c>
      <c r="I178">
        <f>VLOOKUP(all[[#This Row],[DEVELOPMENT]],Data[],34,FALSE)</f>
        <v>0</v>
      </c>
      <c r="J178" t="s">
        <v>184</v>
      </c>
      <c r="K178">
        <f>VLOOKUP(B178,Data[],8,FALSE)</f>
        <v>0</v>
      </c>
      <c r="L178" t="str">
        <f>VLOOKUP(all[[#This Row],[DEVELOPMENT]],Data[],61,FALSE)</f>
        <v>No</v>
      </c>
      <c r="M178">
        <f>VLOOKUP(B178,Data[],9,FALSE)</f>
        <v>0</v>
      </c>
      <c r="N178">
        <v>2</v>
      </c>
      <c r="O178" t="s">
        <v>185</v>
      </c>
      <c r="P178">
        <f ca="1">IFERROR(VLOOKUP(B178,Data[],4,FALSE),"")</f>
        <v>2019</v>
      </c>
      <c r="Q178" t="str">
        <f ca="1">IF(all[[#This Row],[RAD/PACT]]="","",IF(OR(all[[#This Row],[RAD/PACT]]="2021-2025",all[[#This Row],[RAD/PACT]]="2019-2020"),"Yes",""))</f>
        <v/>
      </c>
      <c r="R178">
        <f>VLOOKUP(all[[#This Row],[DEVELOPMENT]],Data[],7,FALSE)</f>
        <v>200</v>
      </c>
      <c r="S178">
        <f>VLOOKUP(all[[#This Row],[DEVELOPMENT]],Data[],25,FALSE)</f>
        <v>0</v>
      </c>
      <c r="T178">
        <f>VLOOKUP(all[[#This Row],[DEVELOPMENT]],Data[],5,FALSE)</f>
        <v>1</v>
      </c>
      <c r="U178">
        <f>VLOOKUP(all[[#This Row],[DEVELOPMENT]],Data[],10,FALSE)</f>
        <v>2</v>
      </c>
      <c r="V178">
        <f>VLOOKUP(all[[#This Row],[DEVELOPMENT]],Data[],10,FALSE)</f>
        <v>2</v>
      </c>
      <c r="W178">
        <f>VLOOKUP(all[[#This Row],[DEVELOPMENT]],Data[],33,FALSE)</f>
        <v>0</v>
      </c>
      <c r="X178">
        <f>VLOOKUP(all[[#This Row],[DEVELOPMENT]],Data[],33,FALSE)</f>
        <v>0</v>
      </c>
      <c r="Y178">
        <f>VLOOKUP(all[[#This Row],[DEVELOPMENT]],Data[],28,FALSE)</f>
        <v>0</v>
      </c>
      <c r="Z178">
        <f>IF(all[[#This Row],['# Bulk Crushers]]=0,1,0)</f>
        <v>1</v>
      </c>
      <c r="AA178" s="5">
        <f ca="1">IFERROR(INDEX(FWD[],MATCH($B178,FWD[DEVELOPMENT],0),MATCH("ESTIMATE",FWD[#Headers],0)),0)</f>
        <v>343747.18947885942</v>
      </c>
      <c r="AB178" s="5">
        <f ca="1">IFERROR(INDEX(EHDAll[],MATCH($B178,EHDAll[DEVELOPMENT],0),MATCH("ESTIMATE",EHDAll[#Headers],0)),0)</f>
        <v>17994.257269999998</v>
      </c>
      <c r="AC178" s="5">
        <f ca="1">IFERROR(INDEX(IntAll[],MATCH($B178,IntAll[DEVELOPMENT],0),MATCH("ESTIMATE",IntAll[#Headers],0)),0)</f>
        <v>0</v>
      </c>
      <c r="AD178" s="5">
        <f ca="1">IFERROR(INDEX(YardsAll[],MATCH($B178,YardsAll[DEVELOPMENT],0),MATCH("TOTAL ESTIMATE",YardsAll[#Headers],0)),0)</f>
        <v>0</v>
      </c>
      <c r="AE178" s="99">
        <f t="shared" ca="1" si="2"/>
        <v>361741.44674885942</v>
      </c>
      <c r="AF178" s="5"/>
    </row>
    <row r="179" spans="1:32">
      <c r="A179" s="101">
        <f>VLOOKUP(B179,Data[],24,FALSE)</f>
        <v>150</v>
      </c>
      <c r="B179" t="s">
        <v>295</v>
      </c>
      <c r="C179" t="str">
        <f>VLOOKUP(all[[#This Row],[DEVELOPMENT]],Data[],MATCH(all[[#Headers],[PROGRAM]],Data[#Headers],0),FALSE)</f>
        <v>FEDERAL</v>
      </c>
      <c r="D179" t="str">
        <f>VLOOKUP(B179,Data[],2,FALSE)</f>
        <v>MANHATTAN</v>
      </c>
      <c r="E179">
        <f>VLOOKUP(all[[#This Row],[DEVELOPMENT]],Data[],65,FALSE)</f>
        <v>69</v>
      </c>
      <c r="F179" t="e">
        <f>VLOOKUP(all[[#This Row],[DEVELOPMENT]],Data[],3,FALSE)</f>
        <v>#N/A</v>
      </c>
      <c r="G179" s="107" t="s">
        <v>185</v>
      </c>
      <c r="H179" t="s">
        <v>184</v>
      </c>
      <c r="I179">
        <f>VLOOKUP(all[[#This Row],[DEVELOPMENT]],Data[],34,FALSE)</f>
        <v>0</v>
      </c>
      <c r="J179" t="s">
        <v>184</v>
      </c>
      <c r="K179">
        <f>VLOOKUP(B179,Data[],8,FALSE)</f>
        <v>0</v>
      </c>
      <c r="L179" t="str">
        <f>VLOOKUP(all[[#This Row],[DEVELOPMENT]],Data[],61,FALSE)</f>
        <v>No</v>
      </c>
      <c r="M179">
        <f>VLOOKUP(B179,Data[],9,FALSE)</f>
        <v>0</v>
      </c>
      <c r="N179">
        <v>2</v>
      </c>
      <c r="O179">
        <v>4</v>
      </c>
      <c r="P179" t="str">
        <f ca="1">IFERROR(VLOOKUP(B179,Data[],4,FALSE),"")</f>
        <v/>
      </c>
      <c r="Q179" t="str">
        <f ca="1">IF(all[[#This Row],[RAD/PACT]]="","",IF(OR(all[[#This Row],[RAD/PACT]]="2021-2025",all[[#This Row],[RAD/PACT]]="2019-2020"),"Yes",""))</f>
        <v/>
      </c>
      <c r="R179">
        <f>VLOOKUP(all[[#This Row],[DEVELOPMENT]],Data[],7,FALSE)</f>
        <v>158</v>
      </c>
      <c r="S179">
        <f>VLOOKUP(all[[#This Row],[DEVELOPMENT]],Data[],25,FALSE)</f>
        <v>0</v>
      </c>
      <c r="T179">
        <f>VLOOKUP(all[[#This Row],[DEVELOPMENT]],Data[],5,FALSE)</f>
        <v>1</v>
      </c>
      <c r="U179">
        <f>VLOOKUP(all[[#This Row],[DEVELOPMENT]],Data[],10,FALSE)</f>
        <v>1</v>
      </c>
      <c r="V179">
        <f>VLOOKUP(all[[#This Row],[DEVELOPMENT]],Data[],10,FALSE)</f>
        <v>1</v>
      </c>
      <c r="W179">
        <f>VLOOKUP(all[[#This Row],[DEVELOPMENT]],Data[],33,FALSE)</f>
        <v>0</v>
      </c>
      <c r="X179">
        <f>VLOOKUP(all[[#This Row],[DEVELOPMENT]],Data[],33,FALSE)</f>
        <v>0</v>
      </c>
      <c r="Y179">
        <f>VLOOKUP(all[[#This Row],[DEVELOPMENT]],Data[],28,FALSE)</f>
        <v>0</v>
      </c>
      <c r="Z179">
        <f>IF(all[[#This Row],['# Bulk Crushers]]=0,1,0)</f>
        <v>1</v>
      </c>
      <c r="AA179" s="5">
        <f ca="1">IFERROR(INDEX(FWD[],MATCH($B179,FWD[DEVELOPMENT],0),MATCH("ESTIMATE",FWD[#Headers],0)),0)</f>
        <v>271560.27968829894</v>
      </c>
      <c r="AB179" s="5">
        <f ca="1">IFERROR(INDEX(EHDAll[],MATCH($B179,EHDAll[DEVELOPMENT],0),MATCH("ESTIMATE",EHDAll[#Headers],0)),0)</f>
        <v>8476.6335900000013</v>
      </c>
      <c r="AC179" s="5">
        <f ca="1">IFERROR(INDEX(IntAll[],MATCH($B179,IntAll[DEVELOPMENT],0),MATCH("ESTIMATE",IntAll[#Headers],0)),0)</f>
        <v>65295.562499999993</v>
      </c>
      <c r="AD179" s="5">
        <f ca="1">IFERROR(INDEX(YardsAll[],MATCH($B179,YardsAll[DEVELOPMENT],0),MATCH("TOTAL ESTIMATE",YardsAll[#Headers],0)),0)</f>
        <v>2187130.3623400005</v>
      </c>
      <c r="AE179" s="99">
        <f t="shared" ca="1" si="2"/>
        <v>2532462.8381182994</v>
      </c>
      <c r="AF179" s="5"/>
    </row>
    <row r="180" spans="1:32">
      <c r="A180" s="101">
        <f>VLOOKUP(B180,Data[],24,FALSE)</f>
        <v>31</v>
      </c>
      <c r="B180" t="s">
        <v>296</v>
      </c>
      <c r="C180" t="str">
        <f>VLOOKUP(all[[#This Row],[DEVELOPMENT]],Data[],MATCH(all[[#Headers],[PROGRAM]],Data[#Headers],0),FALSE)</f>
        <v>FEDERAL</v>
      </c>
      <c r="D180" t="str">
        <f>VLOOKUP(B180,Data[],2,FALSE)</f>
        <v>BROOKLYN</v>
      </c>
      <c r="E180">
        <f>VLOOKUP(all[[#This Row],[DEVELOPMENT]],Data[],65,FALSE)</f>
        <v>56</v>
      </c>
      <c r="F180" t="e">
        <f>VLOOKUP(all[[#This Row],[DEVELOPMENT]],Data[],3,FALSE)</f>
        <v>#N/A</v>
      </c>
      <c r="G180" s="107" t="s">
        <v>185</v>
      </c>
      <c r="H180" t="s">
        <v>184</v>
      </c>
      <c r="I180">
        <f>VLOOKUP(all[[#This Row],[DEVELOPMENT]],Data[],34,FALSE)</f>
        <v>0</v>
      </c>
      <c r="J180" t="s">
        <v>184</v>
      </c>
      <c r="K180">
        <f>VLOOKUP(B180,Data[],8,FALSE)</f>
        <v>0</v>
      </c>
      <c r="L180" t="str">
        <f>VLOOKUP(all[[#This Row],[DEVELOPMENT]],Data[],61,FALSE)</f>
        <v>No</v>
      </c>
      <c r="M180">
        <f>VLOOKUP(B180,Data[],9,FALSE)</f>
        <v>0</v>
      </c>
      <c r="N180">
        <v>2</v>
      </c>
      <c r="O180" t="s">
        <v>185</v>
      </c>
      <c r="P180" t="str">
        <f ca="1">IFERROR(VLOOKUP(B180,Data[],4,FALSE),"")</f>
        <v>2022-2025</v>
      </c>
      <c r="Q180" t="str">
        <f ca="1">IF(all[[#This Row],[RAD/PACT]]="","",IF(OR(all[[#This Row],[RAD/PACT]]="2021-2025",all[[#This Row],[RAD/PACT]]="2019-2020"),"Yes",""))</f>
        <v/>
      </c>
      <c r="R180">
        <f>VLOOKUP(all[[#This Row],[DEVELOPMENT]],Data[],7,FALSE)</f>
        <v>823</v>
      </c>
      <c r="S180" t="str">
        <f>VLOOKUP(all[[#This Row],[DEVELOPMENT]],Data[],25,FALSE)</f>
        <v>Newtown Creek</v>
      </c>
      <c r="T180">
        <f>VLOOKUP(all[[#This Row],[DEVELOPMENT]],Data[],5,FALSE)</f>
        <v>6</v>
      </c>
      <c r="U180">
        <f>VLOOKUP(all[[#This Row],[DEVELOPMENT]],Data[],10,FALSE)</f>
        <v>6</v>
      </c>
      <c r="V180">
        <f>VLOOKUP(all[[#This Row],[DEVELOPMENT]],Data[],10,FALSE)</f>
        <v>6</v>
      </c>
      <c r="W180">
        <f>VLOOKUP(all[[#This Row],[DEVELOPMENT]],Data[],33,FALSE)</f>
        <v>3</v>
      </c>
      <c r="X180">
        <f>VLOOKUP(all[[#This Row],[DEVELOPMENT]],Data[],33,FALSE)</f>
        <v>3</v>
      </c>
      <c r="Y180">
        <f>VLOOKUP(all[[#This Row],[DEVELOPMENT]],Data[],28,FALSE)</f>
        <v>0</v>
      </c>
      <c r="Z180">
        <f>IF(all[[#This Row],['# Bulk Crushers]]=0,1,0)</f>
        <v>1</v>
      </c>
      <c r="AA180" s="5">
        <f ca="1">IFERROR(INDEX(FWD[],MATCH($B180,FWD[DEVELOPMENT],0),MATCH("ESTIMATE",FWD[#Headers],0)),0)</f>
        <v>1414519.6847055065</v>
      </c>
      <c r="AB180" s="5">
        <f ca="1">IFERROR(INDEX(EHDAll[],MATCH($B180,EHDAll[DEVELOPMENT],0),MATCH("ESTIMATE",EHDAll[#Headers],0)),0)</f>
        <v>50859.801540000008</v>
      </c>
      <c r="AC180" s="5">
        <f ca="1">IFERROR(INDEX(IntAll[],MATCH($B180,IntAll[DEVELOPMENT],0),MATCH("ESTIMATE",IntAll[#Headers],0)),0)</f>
        <v>0</v>
      </c>
      <c r="AD180" s="5">
        <f ca="1">IFERROR(INDEX(YardsAll[],MATCH($B180,YardsAll[DEVELOPMENT],0),MATCH("TOTAL ESTIMATE",YardsAll[#Headers],0)),0)</f>
        <v>0</v>
      </c>
      <c r="AE180" s="99">
        <f t="shared" ca="1" si="2"/>
        <v>1465379.4862455064</v>
      </c>
      <c r="AF180" s="5"/>
    </row>
    <row r="181" spans="1:32">
      <c r="A181" s="101">
        <f>VLOOKUP(B181,Data[],24,FALSE)</f>
        <v>85</v>
      </c>
      <c r="B181" t="s">
        <v>297</v>
      </c>
      <c r="C181" t="str">
        <f>VLOOKUP(all[[#This Row],[DEVELOPMENT]],Data[],MATCH(all[[#Headers],[PROGRAM]],Data[#Headers],0),FALSE)</f>
        <v>FEDERAL</v>
      </c>
      <c r="D181" t="str">
        <f>VLOOKUP(B181,Data[],2,FALSE)</f>
        <v>BROOKLYN</v>
      </c>
      <c r="E181">
        <f>VLOOKUP(all[[#This Row],[DEVELOPMENT]],Data[],65,FALSE)</f>
        <v>56</v>
      </c>
      <c r="F181" t="e">
        <f>VLOOKUP(all[[#This Row],[DEVELOPMENT]],Data[],3,FALSE)</f>
        <v>#N/A</v>
      </c>
      <c r="G181" s="107" t="s">
        <v>185</v>
      </c>
      <c r="H181" t="s">
        <v>184</v>
      </c>
      <c r="I181">
        <f>VLOOKUP(all[[#This Row],[DEVELOPMENT]],Data[],34,FALSE)</f>
        <v>0</v>
      </c>
      <c r="J181" t="s">
        <v>184</v>
      </c>
      <c r="K181">
        <f>VLOOKUP(B181,Data[],8,FALSE)</f>
        <v>0</v>
      </c>
      <c r="L181" t="str">
        <f>VLOOKUP(all[[#This Row],[DEVELOPMENT]],Data[],61,FALSE)</f>
        <v>No</v>
      </c>
      <c r="M181">
        <f>VLOOKUP(B181,Data[],9,FALSE)</f>
        <v>0</v>
      </c>
      <c r="N181">
        <v>2</v>
      </c>
      <c r="O181" t="s">
        <v>185</v>
      </c>
      <c r="P181" t="str">
        <f ca="1">IFERROR(VLOOKUP(B181,Data[],4,FALSE),"")</f>
        <v>2022-2025</v>
      </c>
      <c r="Q181" t="str">
        <f ca="1">IF(all[[#This Row],[RAD/PACT]]="","",IF(OR(all[[#This Row],[RAD/PACT]]="2021-2025",all[[#This Row],[RAD/PACT]]="2019-2020"),"Yes",""))</f>
        <v/>
      </c>
      <c r="R181">
        <f>VLOOKUP(all[[#This Row],[DEVELOPMENT]],Data[],7,FALSE)</f>
        <v>400</v>
      </c>
      <c r="S181" t="str">
        <f>VLOOKUP(all[[#This Row],[DEVELOPMENT]],Data[],25,FALSE)</f>
        <v>Newtown Creek</v>
      </c>
      <c r="T181">
        <f>VLOOKUP(all[[#This Row],[DEVELOPMENT]],Data[],5,FALSE)</f>
        <v>3</v>
      </c>
      <c r="U181">
        <f>VLOOKUP(all[[#This Row],[DEVELOPMENT]],Data[],10,FALSE)</f>
        <v>3</v>
      </c>
      <c r="V181">
        <f>VLOOKUP(all[[#This Row],[DEVELOPMENT]],Data[],10,FALSE)</f>
        <v>3</v>
      </c>
      <c r="W181">
        <f>VLOOKUP(all[[#This Row],[DEVELOPMENT]],Data[],33,FALSE)</f>
        <v>0</v>
      </c>
      <c r="X181">
        <f>VLOOKUP(all[[#This Row],[DEVELOPMENT]],Data[],33,FALSE)</f>
        <v>0</v>
      </c>
      <c r="Y181">
        <f>VLOOKUP(all[[#This Row],[DEVELOPMENT]],Data[],28,FALSE)</f>
        <v>0</v>
      </c>
      <c r="Z181">
        <f>IF(all[[#This Row],['# Bulk Crushers]]=0,1,0)</f>
        <v>1</v>
      </c>
      <c r="AA181" s="5">
        <f ca="1">IFERROR(INDEX(FWD[],MATCH($B181,FWD[DEVELOPMENT],0),MATCH("ESTIMATE",FWD[#Headers],0)),0)</f>
        <v>687494.37895771884</v>
      </c>
      <c r="AB181" s="5">
        <f ca="1">IFERROR(INDEX(EHDAll[],MATCH($B181,EHDAll[DEVELOPMENT],0),MATCH("ESTIMATE",EHDAll[#Headers],0)),0)</f>
        <v>25429.900770000004</v>
      </c>
      <c r="AC181" s="5">
        <f ca="1">IFERROR(INDEX(IntAll[],MATCH($B181,IntAll[DEVELOPMENT],0),MATCH("ESTIMATE",IntAll[#Headers],0)),0)</f>
        <v>0</v>
      </c>
      <c r="AD181" s="5">
        <f ca="1">IFERROR(INDEX(YardsAll[],MATCH($B181,YardsAll[DEVELOPMENT],0),MATCH("TOTAL ESTIMATE",YardsAll[#Headers],0)),0)</f>
        <v>0</v>
      </c>
      <c r="AE181" s="99">
        <f t="shared" ca="1" si="2"/>
        <v>712924.27972771879</v>
      </c>
      <c r="AF181" s="5"/>
    </row>
    <row r="182" spans="1:32">
      <c r="A182" s="101">
        <f>VLOOKUP(B182,Data[],24,FALSE)</f>
        <v>210</v>
      </c>
      <c r="B182" t="s">
        <v>298</v>
      </c>
      <c r="C182" t="str">
        <f>VLOOKUP(all[[#This Row],[DEVELOPMENT]],Data[],MATCH(all[[#Headers],[PROGRAM]],Data[#Headers],0),FALSE)</f>
        <v>FEDERAL</v>
      </c>
      <c r="D182" t="str">
        <f>VLOOKUP(B182,Data[],2,FALSE)</f>
        <v>BROOKLYN</v>
      </c>
      <c r="E182" t="str">
        <f>VLOOKUP(all[[#This Row],[DEVELOPMENT]],Data[],65,FALSE)</f>
        <v>56, 57</v>
      </c>
      <c r="F182" t="e">
        <f>VLOOKUP(all[[#This Row],[DEVELOPMENT]],Data[],3,FALSE)</f>
        <v>#N/A</v>
      </c>
      <c r="G182" s="107" t="s">
        <v>185</v>
      </c>
      <c r="H182" t="s">
        <v>184</v>
      </c>
      <c r="I182">
        <f>VLOOKUP(all[[#This Row],[DEVELOPMENT]],Data[],34,FALSE)</f>
        <v>0</v>
      </c>
      <c r="J182" t="s">
        <v>184</v>
      </c>
      <c r="K182" t="str">
        <f>VLOOKUP(B182,Data[],8,FALSE)</f>
        <v>Zone 1</v>
      </c>
      <c r="L182" t="str">
        <f>VLOOKUP(all[[#This Row],[DEVELOPMENT]],Data[],61,FALSE)</f>
        <v>No</v>
      </c>
      <c r="M182">
        <f>VLOOKUP(B182,Data[],9,FALSE)</f>
        <v>4</v>
      </c>
      <c r="N182">
        <v>2</v>
      </c>
      <c r="O182" t="s">
        <v>185</v>
      </c>
      <c r="P182">
        <f ca="1">IFERROR(VLOOKUP(B182,Data[],4,FALSE),"")</f>
        <v>2019</v>
      </c>
      <c r="Q182" t="str">
        <f ca="1">IF(all[[#This Row],[RAD/PACT]]="","",IF(OR(all[[#This Row],[RAD/PACT]]="2021-2025",all[[#This Row],[RAD/PACT]]="2019-2020"),"Yes",""))</f>
        <v/>
      </c>
      <c r="R182">
        <f>VLOOKUP(all[[#This Row],[DEVELOPMENT]],Data[],7,FALSE)</f>
        <v>369</v>
      </c>
      <c r="S182" t="str">
        <f>VLOOKUP(all[[#This Row],[DEVELOPMENT]],Data[],25,FALSE)</f>
        <v>Newtown Creek</v>
      </c>
      <c r="T182">
        <f>VLOOKUP(all[[#This Row],[DEVELOPMENT]],Data[],5,FALSE)</f>
        <v>11</v>
      </c>
      <c r="U182">
        <f>VLOOKUP(all[[#This Row],[DEVELOPMENT]],Data[],10,FALSE)</f>
        <v>7</v>
      </c>
      <c r="V182">
        <f>VLOOKUP(all[[#This Row],[DEVELOPMENT]],Data[],10,FALSE)</f>
        <v>7</v>
      </c>
      <c r="W182">
        <f>VLOOKUP(all[[#This Row],[DEVELOPMENT]],Data[],33,FALSE)</f>
        <v>0</v>
      </c>
      <c r="X182">
        <f>VLOOKUP(all[[#This Row],[DEVELOPMENT]],Data[],33,FALSE)</f>
        <v>0</v>
      </c>
      <c r="Y182">
        <f>VLOOKUP(all[[#This Row],[DEVELOPMENT]],Data[],28,FALSE)</f>
        <v>0</v>
      </c>
      <c r="Z182">
        <f>IF(all[[#This Row],['# Bulk Crushers]]=0,1,0)</f>
        <v>1</v>
      </c>
      <c r="AA182" s="5">
        <f ca="1">IFERROR(INDEX(FWD[],MATCH($B182,FWD[DEVELOPMENT],0),MATCH("ESTIMATE",FWD[#Headers],0)),0)</f>
        <v>634213.56458849565</v>
      </c>
      <c r="AB182" s="5">
        <f ca="1">IFERROR(INDEX(EHDAll[],MATCH($B182,EHDAll[DEVELOPMENT],0),MATCH("ESTIMATE",EHDAll[#Headers],0)),0)</f>
        <v>53871.2371575</v>
      </c>
      <c r="AC182" s="5">
        <f ca="1">IFERROR(INDEX(IntAll[],MATCH($B182,IntAll[DEVELOPMENT],0),MATCH("ESTIMATE",IntAll[#Headers],0)),0)</f>
        <v>0</v>
      </c>
      <c r="AD182" s="5">
        <f ca="1">IFERROR(INDEX(YardsAll[],MATCH($B182,YardsAll[DEVELOPMENT],0),MATCH("TOTAL ESTIMATE",YardsAll[#Headers],0)),0)</f>
        <v>0</v>
      </c>
      <c r="AE182" s="99">
        <f t="shared" ca="1" si="2"/>
        <v>688084.80174599565</v>
      </c>
      <c r="AF182" s="5"/>
    </row>
    <row r="183" spans="1:32">
      <c r="A183" s="101">
        <f>VLOOKUP(B183,Data[],24,FALSE)</f>
        <v>256</v>
      </c>
      <c r="B183" t="s">
        <v>299</v>
      </c>
      <c r="C183" t="str">
        <f>VLOOKUP(all[[#This Row],[DEVELOPMENT]],Data[],MATCH(all[[#Headers],[PROGRAM]],Data[#Headers],0),FALSE)</f>
        <v>FEDERAL</v>
      </c>
      <c r="D183" t="str">
        <f>VLOOKUP(B183,Data[],2,FALSE)</f>
        <v>BROOKLYN</v>
      </c>
      <c r="E183">
        <f>VLOOKUP(all[[#This Row],[DEVELOPMENT]],Data[],65,FALSE)</f>
        <v>57</v>
      </c>
      <c r="F183" t="e">
        <f>VLOOKUP(all[[#This Row],[DEVELOPMENT]],Data[],3,FALSE)</f>
        <v>#N/A</v>
      </c>
      <c r="G183" s="107" t="s">
        <v>185</v>
      </c>
      <c r="H183" t="s">
        <v>184</v>
      </c>
      <c r="I183">
        <f>VLOOKUP(all[[#This Row],[DEVELOPMENT]],Data[],34,FALSE)</f>
        <v>0</v>
      </c>
      <c r="J183" t="s">
        <v>184</v>
      </c>
      <c r="K183">
        <f>VLOOKUP(B183,Data[],8,FALSE)</f>
        <v>0</v>
      </c>
      <c r="L183" t="str">
        <f>VLOOKUP(all[[#This Row],[DEVELOPMENT]],Data[],61,FALSE)</f>
        <v>No</v>
      </c>
      <c r="M183">
        <f>VLOOKUP(B183,Data[],9,FALSE)</f>
        <v>0</v>
      </c>
      <c r="N183">
        <v>3</v>
      </c>
      <c r="O183" t="s">
        <v>185</v>
      </c>
      <c r="P183" t="str">
        <f ca="1">IFERROR(VLOOKUP(B183,Data[],4,FALSE),"")</f>
        <v/>
      </c>
      <c r="Q183" t="str">
        <f ca="1">IF(all[[#This Row],[RAD/PACT]]="","",IF(OR(all[[#This Row],[RAD/PACT]]="2021-2025",all[[#This Row],[RAD/PACT]]="2019-2020"),"Yes",""))</f>
        <v/>
      </c>
      <c r="R183">
        <f>VLOOKUP(all[[#This Row],[DEVELOPMENT]],Data[],7,FALSE)</f>
        <v>299</v>
      </c>
      <c r="S183">
        <f>VLOOKUP(all[[#This Row],[DEVELOPMENT]],Data[],25,FALSE)</f>
        <v>0</v>
      </c>
      <c r="T183">
        <f>VLOOKUP(all[[#This Row],[DEVELOPMENT]],Data[],5,FALSE)</f>
        <v>1</v>
      </c>
      <c r="U183">
        <f>VLOOKUP(all[[#This Row],[DEVELOPMENT]],Data[],10,FALSE)</f>
        <v>1</v>
      </c>
      <c r="V183">
        <f>VLOOKUP(all[[#This Row],[DEVELOPMENT]],Data[],10,FALSE)</f>
        <v>1</v>
      </c>
      <c r="W183">
        <f>VLOOKUP(all[[#This Row],[DEVELOPMENT]],Data[],33,FALSE)</f>
        <v>1</v>
      </c>
      <c r="X183">
        <f>VLOOKUP(all[[#This Row],[DEVELOPMENT]],Data[],33,FALSE)</f>
        <v>1</v>
      </c>
      <c r="Y183">
        <f>VLOOKUP(all[[#This Row],[DEVELOPMENT]],Data[],28,FALSE)</f>
        <v>0</v>
      </c>
      <c r="Z183">
        <f>IF(all[[#This Row],['# Bulk Crushers]]=0,1,0)</f>
        <v>1</v>
      </c>
      <c r="AA183" s="5">
        <f ca="1">IFERROR(INDEX(FWD[],MATCH($B183,FWD[DEVELOPMENT],0),MATCH("ESTIMATE",FWD[#Headers],0)),0)</f>
        <v>513902.0482708948</v>
      </c>
      <c r="AB183" s="5">
        <f ca="1">IFERROR(INDEX(EHDAll[],MATCH($B183,EHDAll[DEVELOPMENT],0),MATCH("ESTIMATE",EHDAll[#Headers],0)),0)</f>
        <v>8997.1286349999991</v>
      </c>
      <c r="AC183" s="5">
        <f ca="1">IFERROR(INDEX(IntAll[],MATCH($B183,IntAll[DEVELOPMENT],0),MATCH("ESTIMATE",IntAll[#Headers],0)),0)</f>
        <v>76335.875</v>
      </c>
      <c r="AD183" s="5">
        <f ca="1">IFERROR(INDEX(YardsAll[],MATCH($B183,YardsAll[DEVELOPMENT],0),MATCH("TOTAL ESTIMATE",YardsAll[#Headers],0)),0)</f>
        <v>2313658.5651200004</v>
      </c>
      <c r="AE183" s="99">
        <f t="shared" ca="1" si="2"/>
        <v>2912893.617025895</v>
      </c>
      <c r="AF183" s="5"/>
    </row>
    <row r="184" spans="1:32">
      <c r="A184" s="101">
        <f>VLOOKUP(B184,Data[],24,FALSE)</f>
        <v>91</v>
      </c>
      <c r="B184" t="s">
        <v>300</v>
      </c>
      <c r="C184" t="str">
        <f>VLOOKUP(all[[#This Row],[DEVELOPMENT]],Data[],MATCH(all[[#Headers],[PROGRAM]],Data[#Headers],0),FALSE)</f>
        <v>FEDERAL</v>
      </c>
      <c r="D184" t="str">
        <f>VLOOKUP(B184,Data[],2,FALSE)</f>
        <v>QUEENS</v>
      </c>
      <c r="E184">
        <f>VLOOKUP(all[[#This Row],[DEVELOPMENT]],Data[],65,FALSE)</f>
        <v>32</v>
      </c>
      <c r="F184" t="e">
        <f>VLOOKUP(all[[#This Row],[DEVELOPMENT]],Data[],3,FALSE)</f>
        <v>#N/A</v>
      </c>
      <c r="G184" s="107" t="s">
        <v>185</v>
      </c>
      <c r="H184" t="s">
        <v>184</v>
      </c>
      <c r="I184">
        <f>VLOOKUP(all[[#This Row],[DEVELOPMENT]],Data[],34,FALSE)</f>
        <v>0</v>
      </c>
      <c r="J184" t="s">
        <v>184</v>
      </c>
      <c r="K184">
        <f>VLOOKUP(B184,Data[],8,FALSE)</f>
        <v>0</v>
      </c>
      <c r="L184" t="str">
        <f>VLOOKUP(all[[#This Row],[DEVELOPMENT]],Data[],61,FALSE)</f>
        <v>No</v>
      </c>
      <c r="M184">
        <f>VLOOKUP(B184,Data[],9,FALSE)</f>
        <v>0</v>
      </c>
      <c r="N184">
        <v>2</v>
      </c>
      <c r="O184" t="s">
        <v>185</v>
      </c>
      <c r="P184" t="str">
        <f ca="1">IFERROR(VLOOKUP(B184,Data[],4,FALSE),"")</f>
        <v/>
      </c>
      <c r="Q184" t="str">
        <f ca="1">IF(all[[#This Row],[RAD/PACT]]="","",IF(OR(all[[#This Row],[RAD/PACT]]="2021-2025",all[[#This Row],[RAD/PACT]]="2019-2020"),"Yes",""))</f>
        <v/>
      </c>
      <c r="R184">
        <f>VLOOKUP(all[[#This Row],[DEVELOPMENT]],Data[],7,FALSE)</f>
        <v>381</v>
      </c>
      <c r="S184">
        <f>VLOOKUP(all[[#This Row],[DEVELOPMENT]],Data[],25,FALSE)</f>
        <v>0</v>
      </c>
      <c r="T184">
        <f>VLOOKUP(all[[#This Row],[DEVELOPMENT]],Data[],5,FALSE)</f>
        <v>5</v>
      </c>
      <c r="U184">
        <f>VLOOKUP(all[[#This Row],[DEVELOPMENT]],Data[],10,FALSE)</f>
        <v>5</v>
      </c>
      <c r="V184">
        <f>VLOOKUP(all[[#This Row],[DEVELOPMENT]],Data[],10,FALSE)</f>
        <v>5</v>
      </c>
      <c r="W184">
        <f>VLOOKUP(all[[#This Row],[DEVELOPMENT]],Data[],33,FALSE)</f>
        <v>2</v>
      </c>
      <c r="X184">
        <f>VLOOKUP(all[[#This Row],[DEVELOPMENT]],Data[],33,FALSE)</f>
        <v>2</v>
      </c>
      <c r="Y184">
        <f>VLOOKUP(all[[#This Row],[DEVELOPMENT]],Data[],28,FALSE)</f>
        <v>0</v>
      </c>
      <c r="Z184">
        <f>IF(all[[#This Row],['# Bulk Crushers]]=0,1,0)</f>
        <v>1</v>
      </c>
      <c r="AA184" s="5">
        <f ca="1">IFERROR(INDEX(FWD[],MATCH($B184,FWD[DEVELOPMENT],0),MATCH("ESTIMATE",FWD[#Headers],0)),0)</f>
        <v>654838.39595722721</v>
      </c>
      <c r="AB184" s="5">
        <f ca="1">IFERROR(INDEX(EHDAll[],MATCH($B184,EHDAll[DEVELOPMENT],0),MATCH("ESTIMATE",EHDAll[#Headers],0)),0)</f>
        <v>42383.167950000003</v>
      </c>
      <c r="AC184" s="5">
        <f ca="1">IFERROR(INDEX(IntAll[],MATCH($B184,IntAll[DEVELOPMENT],0),MATCH("ESTIMATE",IntAll[#Headers],0)),0)</f>
        <v>337518.125</v>
      </c>
      <c r="AD184" s="5">
        <f ca="1">IFERROR(INDEX(YardsAll[],MATCH($B184,YardsAll[DEVELOPMENT],0),MATCH("TOTAL ESTIMATE",YardsAll[#Headers],0)),0)</f>
        <v>2444718.9889650005</v>
      </c>
      <c r="AE184" s="99">
        <f t="shared" ca="1" si="2"/>
        <v>3479458.6778722275</v>
      </c>
      <c r="AF184" s="5"/>
    </row>
    <row r="185" spans="1:32">
      <c r="A185" s="101">
        <f>VLOOKUP(B185,Data[],24,FALSE)</f>
        <v>60</v>
      </c>
      <c r="B185" t="s">
        <v>58</v>
      </c>
      <c r="C185" t="str">
        <f>VLOOKUP(all[[#This Row],[DEVELOPMENT]],Data[],MATCH(all[[#Headers],[PROGRAM]],Data[#Headers],0),FALSE)</f>
        <v>FEDERAL</v>
      </c>
      <c r="D185" t="str">
        <f>VLOOKUP(B185,Data[],2,FALSE)</f>
        <v>MANHATTAN</v>
      </c>
      <c r="E185">
        <f>VLOOKUP(all[[#This Row],[DEVELOPMENT]],Data[],65,FALSE)</f>
        <v>74</v>
      </c>
      <c r="F185" t="e">
        <f>VLOOKUP(all[[#This Row],[DEVELOPMENT]],Data[],3,FALSE)</f>
        <v>#N/A</v>
      </c>
      <c r="G185" s="107" t="s">
        <v>185</v>
      </c>
      <c r="H185" t="s">
        <v>184</v>
      </c>
      <c r="I185">
        <f>VLOOKUP(all[[#This Row],[DEVELOPMENT]],Data[],34,FALSE)</f>
        <v>0</v>
      </c>
      <c r="J185" t="s">
        <v>184</v>
      </c>
      <c r="K185" t="str">
        <f>VLOOKUP(B185,Data[],8,FALSE)</f>
        <v>Zone 1</v>
      </c>
      <c r="L185" t="str">
        <f>VLOOKUP(all[[#This Row],[DEVELOPMENT]],Data[],61,FALSE)</f>
        <v>No</v>
      </c>
      <c r="M185">
        <f>VLOOKUP(B185,Data[],9,FALSE)</f>
        <v>4</v>
      </c>
      <c r="N185">
        <v>2</v>
      </c>
      <c r="O185" t="s">
        <v>185</v>
      </c>
      <c r="P185" t="str">
        <f ca="1">IFERROR(VLOOKUP(B185,Data[],4,FALSE),"")</f>
        <v/>
      </c>
      <c r="Q185" t="str">
        <f ca="1">IF(all[[#This Row],[RAD/PACT]]="","",IF(OR(all[[#This Row],[RAD/PACT]]="2021-2025",all[[#This Row],[RAD/PACT]]="2019-2020"),"Yes",""))</f>
        <v/>
      </c>
      <c r="R185">
        <f>VLOOKUP(all[[#This Row],[DEVELOPMENT]],Data[],7,FALSE)</f>
        <v>2193</v>
      </c>
      <c r="S185" t="str">
        <f>VLOOKUP(all[[#This Row],[DEVELOPMENT]],Data[],25,FALSE)</f>
        <v>Newtown Creek</v>
      </c>
      <c r="T185">
        <f>VLOOKUP(all[[#This Row],[DEVELOPMENT]],Data[],5,FALSE)</f>
        <v>17</v>
      </c>
      <c r="U185">
        <f>VLOOKUP(all[[#This Row],[DEVELOPMENT]],Data[],10,FALSE)</f>
        <v>17</v>
      </c>
      <c r="V185">
        <f>VLOOKUP(all[[#This Row],[DEVELOPMENT]],Data[],10,FALSE)</f>
        <v>17</v>
      </c>
      <c r="W185">
        <f>VLOOKUP(all[[#This Row],[DEVELOPMENT]],Data[],33,FALSE)</f>
        <v>4</v>
      </c>
      <c r="X185">
        <f>VLOOKUP(all[[#This Row],[DEVELOPMENT]],Data[],33,FALSE)</f>
        <v>4</v>
      </c>
      <c r="Y185">
        <f>VLOOKUP(all[[#This Row],[DEVELOPMENT]],Data[],28,FALSE)</f>
        <v>0</v>
      </c>
      <c r="Z185">
        <f>IF(all[[#This Row],['# Bulk Crushers]]=0,1,0)</f>
        <v>1</v>
      </c>
      <c r="AA185" s="5">
        <f ca="1">IFERROR(INDEX(FWD[],MATCH($B185,FWD[DEVELOPMENT],0),MATCH("ESTIMATE",FWD[#Headers],0)),0)</f>
        <v>3769187.9326356933</v>
      </c>
      <c r="AB185" s="5">
        <f ca="1">IFERROR(INDEX(EHDAll[],MATCH($B185,EHDAll[DEVELOPMENT],0),MATCH("ESTIMATE",EHDAll[#Headers],0)),0)</f>
        <v>126405.93950000001</v>
      </c>
      <c r="AC185" s="5">
        <f ca="1">IFERROR(INDEX(IntAll[],MATCH($B185,IntAll[DEVELOPMENT],0),MATCH("ESTIMATE",IntAll[#Headers],0)),0)</f>
        <v>1110024.5625</v>
      </c>
      <c r="AD185" s="5">
        <f ca="1">IFERROR(INDEX(YardsAll[],MATCH($B185,YardsAll[DEVELOPMENT],0),MATCH("TOTAL ESTIMATE",YardsAll[#Headers],0)),0)</f>
        <v>0</v>
      </c>
      <c r="AE185" s="99">
        <f t="shared" ca="1" si="2"/>
        <v>5005618.4346356932</v>
      </c>
      <c r="AF185" s="5"/>
    </row>
    <row r="186" spans="1:32">
      <c r="A186" s="101">
        <f>VLOOKUP(B186,Data[],24,FALSE)</f>
        <v>198</v>
      </c>
      <c r="B186" t="s">
        <v>48</v>
      </c>
      <c r="C186" t="str">
        <f>VLOOKUP(all[[#This Row],[DEVELOPMENT]],Data[],MATCH(all[[#Headers],[PROGRAM]],Data[#Headers],0),FALSE)</f>
        <v>FEDERAL</v>
      </c>
      <c r="D186" t="str">
        <f>VLOOKUP(B186,Data[],2,FALSE)</f>
        <v>MANHATTAN</v>
      </c>
      <c r="E186">
        <f>VLOOKUP(all[[#This Row],[DEVELOPMENT]],Data[],65,FALSE)</f>
        <v>74</v>
      </c>
      <c r="F186" t="e">
        <f>VLOOKUP(all[[#This Row],[DEVELOPMENT]],Data[],3,FALSE)</f>
        <v>#N/A</v>
      </c>
      <c r="G186" s="107" t="s">
        <v>185</v>
      </c>
      <c r="H186" t="s">
        <v>184</v>
      </c>
      <c r="I186">
        <f>VLOOKUP(all[[#This Row],[DEVELOPMENT]],Data[],34,FALSE)</f>
        <v>0</v>
      </c>
      <c r="J186" t="s">
        <v>184</v>
      </c>
      <c r="K186" t="str">
        <f>VLOOKUP(B186,Data[],8,FALSE)</f>
        <v>Zone 1</v>
      </c>
      <c r="L186" t="str">
        <f>VLOOKUP(all[[#This Row],[DEVELOPMENT]],Data[],61,FALSE)</f>
        <v>No</v>
      </c>
      <c r="M186">
        <f>VLOOKUP(B186,Data[],9,FALSE)</f>
        <v>4</v>
      </c>
      <c r="N186">
        <v>2</v>
      </c>
      <c r="O186" t="s">
        <v>185</v>
      </c>
      <c r="P186" t="str">
        <f ca="1">IFERROR(VLOOKUP(B186,Data[],4,FALSE),"")</f>
        <v/>
      </c>
      <c r="Q186" t="str">
        <f ca="1">IF(all[[#This Row],[RAD/PACT]]="","",IF(OR(all[[#This Row],[RAD/PACT]]="2021-2025",all[[#This Row],[RAD/PACT]]="2019-2020"),"Yes",""))</f>
        <v/>
      </c>
      <c r="R186">
        <f>VLOOKUP(all[[#This Row],[DEVELOPMENT]],Data[],7,FALSE)</f>
        <v>197</v>
      </c>
      <c r="S186" t="str">
        <f>VLOOKUP(all[[#This Row],[DEVELOPMENT]],Data[],25,FALSE)</f>
        <v>Newtown Creek</v>
      </c>
      <c r="T186">
        <f>VLOOKUP(all[[#This Row],[DEVELOPMENT]],Data[],5,FALSE)</f>
        <v>1</v>
      </c>
      <c r="U186">
        <f>VLOOKUP(all[[#This Row],[DEVELOPMENT]],Data[],10,FALSE)</f>
        <v>1</v>
      </c>
      <c r="V186">
        <f>VLOOKUP(all[[#This Row],[DEVELOPMENT]],Data[],10,FALSE)</f>
        <v>1</v>
      </c>
      <c r="W186">
        <f>VLOOKUP(all[[#This Row],[DEVELOPMENT]],Data[],33,FALSE)</f>
        <v>0</v>
      </c>
      <c r="X186">
        <f>VLOOKUP(all[[#This Row],[DEVELOPMENT]],Data[],33,FALSE)</f>
        <v>0</v>
      </c>
      <c r="Y186">
        <f>VLOOKUP(all[[#This Row],[DEVELOPMENT]],Data[],28,FALSE)</f>
        <v>0</v>
      </c>
      <c r="Z186">
        <f>IF(all[[#This Row],['# Bulk Crushers]]=0,1,0)</f>
        <v>1</v>
      </c>
      <c r="AA186" s="5">
        <f>IFERROR(INDEX(FWD[],MATCH($B186,FWD[DEVELOPMENT],0),MATCH("ESTIMATE",FWD[#Headers],0)),0)</f>
        <v>0</v>
      </c>
      <c r="AB186" s="5">
        <f>IFERROR(INDEX(EHDAll[],MATCH($B186,EHDAll[DEVELOPMENT],0),MATCH("ESTIMATE",EHDAll[#Headers],0)),0)</f>
        <v>0</v>
      </c>
      <c r="AC186" s="5">
        <f ca="1">IFERROR(INDEX(IntAll[],MATCH($B186,IntAll[DEVELOPMENT],0),MATCH("ESTIMATE",IntAll[#Headers],0)),0)</f>
        <v>65295.562499999993</v>
      </c>
      <c r="AD186" s="5">
        <f ca="1">IFERROR(INDEX(YardsAll[],MATCH($B186,YardsAll[DEVELOPMENT],0),MATCH("TOTAL ESTIMATE",YardsAll[#Headers],0)),0)</f>
        <v>2187130.3623400005</v>
      </c>
      <c r="AE186" s="99">
        <f t="shared" ca="1" si="2"/>
        <v>2252425.9248400005</v>
      </c>
      <c r="AF186" s="5"/>
    </row>
    <row r="187" spans="1:32">
      <c r="A187" s="101">
        <f>VLOOKUP(B187,Data[],24,FALSE)</f>
        <v>165</v>
      </c>
      <c r="B187" t="s">
        <v>301</v>
      </c>
      <c r="C187" t="str">
        <f>VLOOKUP(all[[#This Row],[DEVELOPMENT]],Data[],MATCH(all[[#Headers],[PROGRAM]],Data[#Headers],0),FALSE)</f>
        <v>FEDERAL</v>
      </c>
      <c r="D187" t="str">
        <f>VLOOKUP(B187,Data[],2,FALSE)</f>
        <v>QUEENS</v>
      </c>
      <c r="E187">
        <f>VLOOKUP(all[[#This Row],[DEVELOPMENT]],Data[],65,FALSE)</f>
        <v>31</v>
      </c>
      <c r="F187" t="e">
        <f>VLOOKUP(all[[#This Row],[DEVELOPMENT]],Data[],3,FALSE)</f>
        <v>#N/A</v>
      </c>
      <c r="G187" s="107" t="s">
        <v>185</v>
      </c>
      <c r="H187" t="s">
        <v>184</v>
      </c>
      <c r="I187">
        <f>VLOOKUP(all[[#This Row],[DEVELOPMENT]],Data[],34,FALSE)</f>
        <v>0</v>
      </c>
      <c r="J187" t="s">
        <v>184</v>
      </c>
      <c r="K187">
        <f>VLOOKUP(B187,Data[],8,FALSE)</f>
        <v>0</v>
      </c>
      <c r="L187" t="str">
        <f>VLOOKUP(all[[#This Row],[DEVELOPMENT]],Data[],61,FALSE)</f>
        <v>No</v>
      </c>
      <c r="M187">
        <f>VLOOKUP(B187,Data[],9,FALSE)</f>
        <v>0</v>
      </c>
      <c r="N187" t="s">
        <v>185</v>
      </c>
      <c r="O187" t="s">
        <v>185</v>
      </c>
      <c r="P187" t="str">
        <f ca="1">IFERROR(VLOOKUP(B187,Data[],4,FALSE),"")</f>
        <v>2026+</v>
      </c>
      <c r="Q187" t="str">
        <f ca="1">IF(all[[#This Row],[RAD/PACT]]="","",IF(OR(all[[#This Row],[RAD/PACT]]="2021-2025",all[[#This Row],[RAD/PACT]]="2019-2020"),"Yes",""))</f>
        <v/>
      </c>
      <c r="R187">
        <f>VLOOKUP(all[[#This Row],[DEVELOPMENT]],Data[],7,FALSE)</f>
        <v>712</v>
      </c>
      <c r="S187">
        <f>VLOOKUP(all[[#This Row],[DEVELOPMENT]],Data[],25,FALSE)</f>
        <v>0</v>
      </c>
      <c r="T187">
        <f>VLOOKUP(all[[#This Row],[DEVELOPMENT]],Data[],5,FALSE)</f>
        <v>4</v>
      </c>
      <c r="U187">
        <f>VLOOKUP(all[[#This Row],[DEVELOPMENT]],Data[],10,FALSE)</f>
        <v>6</v>
      </c>
      <c r="V187">
        <f>VLOOKUP(all[[#This Row],[DEVELOPMENT]],Data[],10,FALSE)</f>
        <v>6</v>
      </c>
      <c r="W187">
        <f>VLOOKUP(all[[#This Row],[DEVELOPMENT]],Data[],33,FALSE)</f>
        <v>2</v>
      </c>
      <c r="X187">
        <f>VLOOKUP(all[[#This Row],[DEVELOPMENT]],Data[],33,FALSE)</f>
        <v>2</v>
      </c>
      <c r="Y187">
        <f>VLOOKUP(all[[#This Row],[DEVELOPMENT]],Data[],28,FALSE)</f>
        <v>0</v>
      </c>
      <c r="Z187">
        <f>IF(all[[#This Row],['# Bulk Crushers]]=0,1,0)</f>
        <v>1</v>
      </c>
      <c r="AA187" s="5">
        <f ca="1">IFERROR(INDEX(FWD[],MATCH($B187,FWD[DEVELOPMENT],0),MATCH("ESTIMATE",FWD[#Headers],0)),0)</f>
        <v>1223739.9945447394</v>
      </c>
      <c r="AB187" s="5">
        <f ca="1">IFERROR(INDEX(EHDAll[],MATCH($B187,EHDAll[DEVELOPMENT],0),MATCH("ESTIMATE",EHDAll[#Headers],0)),0)</f>
        <v>50859.801540000008</v>
      </c>
      <c r="AC187" s="5">
        <f ca="1">IFERROR(INDEX(IntAll[],MATCH($B187,IntAll[DEVELOPMENT],0),MATCH("ESTIMATE",IntAll[#Headers],0)),0)</f>
        <v>484512</v>
      </c>
      <c r="AD187" s="5">
        <f ca="1">IFERROR(INDEX(YardsAll[],MATCH($B187,YardsAll[DEVELOPMENT],0),MATCH("TOTAL ESTIMATE",YardsAll[#Headers],0)),0)</f>
        <v>1791376.9649855003</v>
      </c>
      <c r="AE187" s="99">
        <f t="shared" ca="1" si="2"/>
        <v>3550488.7610702394</v>
      </c>
      <c r="AF187" s="5"/>
    </row>
    <row r="188" spans="1:32">
      <c r="A188" s="101">
        <f>VLOOKUP(B188,Data[],24,FALSE)</f>
        <v>345</v>
      </c>
      <c r="B188" t="s">
        <v>302</v>
      </c>
      <c r="C188" t="str">
        <f>VLOOKUP(all[[#This Row],[DEVELOPMENT]],Data[],MATCH(all[[#Headers],[PROGRAM]],Data[#Headers],0),FALSE)</f>
        <v>FEDERAL</v>
      </c>
      <c r="D188" t="str">
        <f>VLOOKUP(B188,Data[],2,FALSE)</f>
        <v>BROOKLYN</v>
      </c>
      <c r="E188">
        <f>VLOOKUP(all[[#This Row],[DEVELOPMENT]],Data[],65,FALSE)</f>
        <v>60</v>
      </c>
      <c r="F188" t="e">
        <f>VLOOKUP(all[[#This Row],[DEVELOPMENT]],Data[],3,FALSE)</f>
        <v>#N/A</v>
      </c>
      <c r="G188" s="107" t="s">
        <v>185</v>
      </c>
      <c r="H188" t="s">
        <v>184</v>
      </c>
      <c r="I188">
        <f>VLOOKUP(all[[#This Row],[DEVELOPMENT]],Data[],34,FALSE)</f>
        <v>0</v>
      </c>
      <c r="J188" t="s">
        <v>184</v>
      </c>
      <c r="K188">
        <f>VLOOKUP(B188,Data[],8,FALSE)</f>
        <v>0</v>
      </c>
      <c r="L188" t="str">
        <f>VLOOKUP(all[[#This Row],[DEVELOPMENT]],Data[],61,FALSE)</f>
        <v>No</v>
      </c>
      <c r="M188">
        <f>VLOOKUP(B188,Data[],9,FALSE)</f>
        <v>0</v>
      </c>
      <c r="N188" t="s">
        <v>185</v>
      </c>
      <c r="O188" t="s">
        <v>185</v>
      </c>
      <c r="P188" t="str">
        <f ca="1">IFERROR(VLOOKUP(B188,Data[],4,FALSE),"")</f>
        <v/>
      </c>
      <c r="Q188" t="str">
        <f ca="1">IF(all[[#This Row],[RAD/PACT]]="","",IF(OR(all[[#This Row],[RAD/PACT]]="2021-2025",all[[#This Row],[RAD/PACT]]="2019-2020"),"Yes",""))</f>
        <v/>
      </c>
      <c r="R188">
        <f>VLOOKUP(all[[#This Row],[DEVELOPMENT]],Data[],7,FALSE)</f>
        <v>72</v>
      </c>
      <c r="S188">
        <f>VLOOKUP(all[[#This Row],[DEVELOPMENT]],Data[],25,FALSE)</f>
        <v>0</v>
      </c>
      <c r="T188">
        <f>VLOOKUP(all[[#This Row],[DEVELOPMENT]],Data[],5,FALSE)</f>
        <v>3</v>
      </c>
      <c r="U188">
        <f>VLOOKUP(all[[#This Row],[DEVELOPMENT]],Data[],10,FALSE)</f>
        <v>0</v>
      </c>
      <c r="V188">
        <f>VLOOKUP(all[[#This Row],[DEVELOPMENT]],Data[],10,FALSE)</f>
        <v>0</v>
      </c>
      <c r="W188">
        <f>VLOOKUP(all[[#This Row],[DEVELOPMENT]],Data[],33,FALSE)</f>
        <v>0</v>
      </c>
      <c r="X188">
        <f>VLOOKUP(all[[#This Row],[DEVELOPMENT]],Data[],33,FALSE)</f>
        <v>0</v>
      </c>
      <c r="Y188">
        <f>VLOOKUP(all[[#This Row],[DEVELOPMENT]],Data[],28,FALSE)</f>
        <v>0</v>
      </c>
      <c r="Z188">
        <f>IF(all[[#This Row],['# Bulk Crushers]]=0,1,0)</f>
        <v>1</v>
      </c>
      <c r="AA188" s="5">
        <f ca="1">IFERROR(INDEX(FWD[],MATCH($B188,FWD[DEVELOPMENT],0),MATCH("ESTIMATE",FWD[#Headers],0)),0)</f>
        <v>123748.98821238938</v>
      </c>
      <c r="AB188" s="5">
        <f ca="1">IFERROR(INDEX(EHDAll[],MATCH($B188,EHDAll[DEVELOPMENT],0),MATCH("ESTIMATE",EHDAll[#Headers],0)),0)</f>
        <v>0</v>
      </c>
      <c r="AC188" s="5">
        <f ca="1">IFERROR(INDEX(IntAll[],MATCH($B188,IntAll[DEVELOPMENT],0),MATCH("ESTIMATE",IntAll[#Headers],0)),0)</f>
        <v>0</v>
      </c>
      <c r="AD188" s="5">
        <f ca="1">IFERROR(INDEX(YardsAll[],MATCH($B188,YardsAll[DEVELOPMENT],0),MATCH("TOTAL ESTIMATE",YardsAll[#Headers],0)),0)</f>
        <v>2376922.6665100004</v>
      </c>
      <c r="AE188" s="99">
        <f t="shared" ca="1" si="2"/>
        <v>2500671.6547223898</v>
      </c>
      <c r="AF188" s="5"/>
    </row>
    <row r="189" spans="1:32">
      <c r="A189" s="101">
        <f>VLOOKUP(B189,Data[],24,FALSE)</f>
        <v>357</v>
      </c>
      <c r="B189" t="s">
        <v>303</v>
      </c>
      <c r="C189" t="str">
        <f>VLOOKUP(all[[#This Row],[DEVELOPMENT]],Data[],MATCH(all[[#Headers],[PROGRAM]],Data[#Headers],0),FALSE)</f>
        <v>FEDERAL</v>
      </c>
      <c r="D189" t="str">
        <f>VLOOKUP(B189,Data[],2,FALSE)</f>
        <v>BROOKLYN</v>
      </c>
      <c r="E189">
        <f>VLOOKUP(all[[#This Row],[DEVELOPMENT]],Data[],65,FALSE)</f>
        <v>50</v>
      </c>
      <c r="F189" t="e">
        <f>VLOOKUP(all[[#This Row],[DEVELOPMENT]],Data[],3,FALSE)</f>
        <v>#N/A</v>
      </c>
      <c r="G189" s="107" t="s">
        <v>185</v>
      </c>
      <c r="H189" t="s">
        <v>184</v>
      </c>
      <c r="I189">
        <f>VLOOKUP(all[[#This Row],[DEVELOPMENT]],Data[],34,FALSE)</f>
        <v>0</v>
      </c>
      <c r="J189" t="s">
        <v>184</v>
      </c>
      <c r="K189">
        <f>VLOOKUP(B189,Data[],8,FALSE)</f>
        <v>0</v>
      </c>
      <c r="L189" t="str">
        <f>VLOOKUP(all[[#This Row],[DEVELOPMENT]],Data[],61,FALSE)</f>
        <v>No</v>
      </c>
      <c r="M189">
        <f>VLOOKUP(B189,Data[],9,FALSE)</f>
        <v>0</v>
      </c>
      <c r="N189">
        <v>2</v>
      </c>
      <c r="O189" t="s">
        <v>185</v>
      </c>
      <c r="P189">
        <f ca="1">IFERROR(VLOOKUP(B189,Data[],4,FALSE),"")</f>
        <v>2019</v>
      </c>
      <c r="Q189" t="str">
        <f ca="1">IF(all[[#This Row],[RAD/PACT]]="","",IF(OR(all[[#This Row],[RAD/PACT]]="2021-2025",all[[#This Row],[RAD/PACT]]="2019-2020"),"Yes",""))</f>
        <v/>
      </c>
      <c r="R189">
        <f>VLOOKUP(all[[#This Row],[DEVELOPMENT]],Data[],7,FALSE)</f>
        <v>150</v>
      </c>
      <c r="S189" t="str">
        <f>VLOOKUP(all[[#This Row],[DEVELOPMENT]],Data[],25,FALSE)</f>
        <v>Newtown Creek</v>
      </c>
      <c r="T189">
        <f>VLOOKUP(all[[#This Row],[DEVELOPMENT]],Data[],5,FALSE)</f>
        <v>4</v>
      </c>
      <c r="U189">
        <f>VLOOKUP(all[[#This Row],[DEVELOPMENT]],Data[],10,FALSE)</f>
        <v>1</v>
      </c>
      <c r="V189">
        <f>VLOOKUP(all[[#This Row],[DEVELOPMENT]],Data[],10,FALSE)</f>
        <v>1</v>
      </c>
      <c r="W189">
        <f>VLOOKUP(all[[#This Row],[DEVELOPMENT]],Data[],33,FALSE)</f>
        <v>1</v>
      </c>
      <c r="X189">
        <f>VLOOKUP(all[[#This Row],[DEVELOPMENT]],Data[],33,FALSE)</f>
        <v>1</v>
      </c>
      <c r="Y189">
        <f>VLOOKUP(all[[#This Row],[DEVELOPMENT]],Data[],28,FALSE)</f>
        <v>0</v>
      </c>
      <c r="Z189">
        <f>IF(all[[#This Row],['# Bulk Crushers]]=0,1,0)</f>
        <v>1</v>
      </c>
      <c r="AA189" s="5">
        <f ca="1">IFERROR(INDEX(FWD[],MATCH($B189,FWD[DEVELOPMENT],0),MATCH("ESTIMATE",FWD[#Headers],0)),0)</f>
        <v>257810.39210914454</v>
      </c>
      <c r="AB189" s="5">
        <f ca="1">IFERROR(INDEX(EHDAll[],MATCH($B189,EHDAll[DEVELOPMENT],0),MATCH("ESTIMATE",EHDAll[#Headers],0)),0)</f>
        <v>8736.8811125000011</v>
      </c>
      <c r="AC189" s="5">
        <f ca="1">IFERROR(INDEX(IntAll[],MATCH($B189,IntAll[DEVELOPMENT],0),MATCH("ESTIMATE",IntAll[#Headers],0)),0)</f>
        <v>0</v>
      </c>
      <c r="AD189" s="5">
        <f ca="1">IFERROR(INDEX(YardsAll[],MATCH($B189,YardsAll[DEVELOPMENT],0),MATCH("TOTAL ESTIMATE",YardsAll[#Headers],0)),0)</f>
        <v>0</v>
      </c>
      <c r="AE189" s="99">
        <f t="shared" ca="1" si="2"/>
        <v>266547.27322164451</v>
      </c>
      <c r="AF189" s="5"/>
    </row>
    <row r="190" spans="1:32">
      <c r="A190" s="101">
        <f>VLOOKUP(B190,Data[],24,FALSE)</f>
        <v>160</v>
      </c>
      <c r="B190" t="s">
        <v>71</v>
      </c>
      <c r="C190" t="str">
        <f>VLOOKUP(all[[#This Row],[DEVELOPMENT]],Data[],MATCH(all[[#Headers],[PROGRAM]],Data[#Headers],0),FALSE)</f>
        <v>FEDERAL</v>
      </c>
      <c r="D190" t="str">
        <f>VLOOKUP(B190,Data[],2,FALSE)</f>
        <v>MANHATTAN</v>
      </c>
      <c r="E190">
        <f>VLOOKUP(all[[#This Row],[DEVELOPMENT]],Data[],65,FALSE)</f>
        <v>71</v>
      </c>
      <c r="F190" t="e">
        <f>VLOOKUP(all[[#This Row],[DEVELOPMENT]],Data[],3,FALSE)</f>
        <v>#N/A</v>
      </c>
      <c r="G190" s="107" t="s">
        <v>185</v>
      </c>
      <c r="H190" t="s">
        <v>184</v>
      </c>
      <c r="I190">
        <f>VLOOKUP(all[[#This Row],[DEVELOPMENT]],Data[],34,FALSE)</f>
        <v>0</v>
      </c>
      <c r="J190" t="s">
        <v>184</v>
      </c>
      <c r="K190" t="str">
        <f>VLOOKUP(B190,Data[],8,FALSE)</f>
        <v>Zone 3</v>
      </c>
      <c r="L190" t="str">
        <f>VLOOKUP(all[[#This Row],[DEVELOPMENT]],Data[],61,FALSE)</f>
        <v>No</v>
      </c>
      <c r="M190">
        <f>VLOOKUP(B190,Data[],9,FALSE)</f>
        <v>3</v>
      </c>
      <c r="N190" t="s">
        <v>185</v>
      </c>
      <c r="O190" t="s">
        <v>185</v>
      </c>
      <c r="P190" t="str">
        <f ca="1">IFERROR(VLOOKUP(B190,Data[],4,FALSE),"")</f>
        <v>2020-2021</v>
      </c>
      <c r="Q190" t="str">
        <f ca="1">IF(all[[#This Row],[RAD/PACT]]="","",IF(OR(all[[#This Row],[RAD/PACT]]="2021-2025",all[[#This Row],[RAD/PACT]]="2019-2020"),"Yes",""))</f>
        <v/>
      </c>
      <c r="R190">
        <f>VLOOKUP(all[[#This Row],[DEVELOPMENT]],Data[],7,FALSE)</f>
        <v>210</v>
      </c>
      <c r="S190">
        <f>VLOOKUP(all[[#This Row],[DEVELOPMENT]],Data[],25,FALSE)</f>
        <v>0</v>
      </c>
      <c r="T190">
        <f>VLOOKUP(all[[#This Row],[DEVELOPMENT]],Data[],5,FALSE)</f>
        <v>1</v>
      </c>
      <c r="U190">
        <f>VLOOKUP(all[[#This Row],[DEVELOPMENT]],Data[],10,FALSE)</f>
        <v>1</v>
      </c>
      <c r="V190">
        <f>VLOOKUP(all[[#This Row],[DEVELOPMENT]],Data[],10,FALSE)</f>
        <v>1</v>
      </c>
      <c r="W190">
        <f>VLOOKUP(all[[#This Row],[DEVELOPMENT]],Data[],33,FALSE)</f>
        <v>1</v>
      </c>
      <c r="X190">
        <f>VLOOKUP(all[[#This Row],[DEVELOPMENT]],Data[],33,FALSE)</f>
        <v>1</v>
      </c>
      <c r="Y190">
        <f>VLOOKUP(all[[#This Row],[DEVELOPMENT]],Data[],28,FALSE)</f>
        <v>0</v>
      </c>
      <c r="Z190">
        <f>IF(all[[#This Row],['# Bulk Crushers]]=0,1,0)</f>
        <v>1</v>
      </c>
      <c r="AA190" s="5">
        <f ca="1">IFERROR(INDEX(FWD[],MATCH($B190,FWD[DEVELOPMENT],0),MATCH("ESTIMATE",FWD[#Headers],0)),0)</f>
        <v>360934.54895280238</v>
      </c>
      <c r="AB190" s="5">
        <f>IFERROR(INDEX(EHDAll[],MATCH($B190,EHDAll[DEVELOPMENT],0),MATCH("ESTIMATE",EHDAll[#Headers],0)),0)</f>
        <v>0</v>
      </c>
      <c r="AC190" s="5">
        <f ca="1">IFERROR(INDEX(IntAll[],MATCH($B190,IntAll[DEVELOPMENT],0),MATCH("ESTIMATE",IntAll[#Headers],0)),0)</f>
        <v>0</v>
      </c>
      <c r="AD190" s="5">
        <f ca="1">IFERROR(INDEX(YardsAll[],MATCH($B190,YardsAll[DEVELOPMENT],0),MATCH("TOTAL ESTIMATE",YardsAll[#Headers],0)),0)</f>
        <v>0</v>
      </c>
      <c r="AE190" s="99">
        <f t="shared" ca="1" si="2"/>
        <v>360934.54895280238</v>
      </c>
      <c r="AF190" s="5"/>
    </row>
    <row r="191" spans="1:32">
      <c r="A191" s="101">
        <f>VLOOKUP(B191,Data[],24,FALSE)</f>
        <v>138</v>
      </c>
      <c r="B191" t="s">
        <v>304</v>
      </c>
      <c r="C191" t="str">
        <f>VLOOKUP(all[[#This Row],[DEVELOPMENT]],Data[],MATCH(all[[#Headers],[PROGRAM]],Data[#Headers],0),FALSE)</f>
        <v>FEDERAL</v>
      </c>
      <c r="D191" t="str">
        <f>VLOOKUP(B191,Data[],2,FALSE)</f>
        <v>BRONX</v>
      </c>
      <c r="E191">
        <f>VLOOKUP(all[[#This Row],[DEVELOPMENT]],Data[],65,FALSE)</f>
        <v>83</v>
      </c>
      <c r="F191" t="e">
        <f>VLOOKUP(all[[#This Row],[DEVELOPMENT]],Data[],3,FALSE)</f>
        <v>#N/A</v>
      </c>
      <c r="G191" s="107" t="s">
        <v>185</v>
      </c>
      <c r="H191" t="s">
        <v>184</v>
      </c>
      <c r="I191">
        <f>VLOOKUP(all[[#This Row],[DEVELOPMENT]],Data[],34,FALSE)</f>
        <v>0</v>
      </c>
      <c r="J191" t="s">
        <v>184</v>
      </c>
      <c r="K191">
        <f>VLOOKUP(B191,Data[],8,FALSE)</f>
        <v>0</v>
      </c>
      <c r="L191" t="str">
        <f>VLOOKUP(all[[#This Row],[DEVELOPMENT]],Data[],61,FALSE)</f>
        <v>No</v>
      </c>
      <c r="M191">
        <f>VLOOKUP(B191,Data[],9,FALSE)</f>
        <v>0</v>
      </c>
      <c r="N191">
        <v>4</v>
      </c>
      <c r="O191">
        <v>4</v>
      </c>
      <c r="P191" t="str">
        <f ca="1">IFERROR(VLOOKUP(B191,Data[],4,FALSE),"")</f>
        <v/>
      </c>
      <c r="Q191" t="str">
        <f ca="1">IF(all[[#This Row],[RAD/PACT]]="","",IF(OR(all[[#This Row],[RAD/PACT]]="2021-2025",all[[#This Row],[RAD/PACT]]="2019-2020"),"Yes",""))</f>
        <v/>
      </c>
      <c r="R191">
        <f>VLOOKUP(all[[#This Row],[DEVELOPMENT]],Data[],7,FALSE)</f>
        <v>538</v>
      </c>
      <c r="S191">
        <f>VLOOKUP(all[[#This Row],[DEVELOPMENT]],Data[],25,FALSE)</f>
        <v>0</v>
      </c>
      <c r="T191">
        <f>VLOOKUP(all[[#This Row],[DEVELOPMENT]],Data[],5,FALSE)</f>
        <v>4</v>
      </c>
      <c r="U191">
        <f>VLOOKUP(all[[#This Row],[DEVELOPMENT]],Data[],10,FALSE)</f>
        <v>4</v>
      </c>
      <c r="V191">
        <f>VLOOKUP(all[[#This Row],[DEVELOPMENT]],Data[],10,FALSE)</f>
        <v>4</v>
      </c>
      <c r="W191">
        <f>VLOOKUP(all[[#This Row],[DEVELOPMENT]],Data[],33,FALSE)</f>
        <v>2</v>
      </c>
      <c r="X191">
        <f>VLOOKUP(all[[#This Row],[DEVELOPMENT]],Data[],33,FALSE)</f>
        <v>2</v>
      </c>
      <c r="Y191">
        <f>VLOOKUP(all[[#This Row],[DEVELOPMENT]],Data[],28,FALSE)</f>
        <v>0</v>
      </c>
      <c r="Z191">
        <f>IF(all[[#This Row],['# Bulk Crushers]]=0,1,0)</f>
        <v>1</v>
      </c>
      <c r="AA191" s="5">
        <f ca="1">IFERROR(INDEX(FWD[],MATCH($B191,FWD[DEVELOPMENT],0),MATCH("ESTIMATE",FWD[#Headers],0)),0)</f>
        <v>924679.93969813175</v>
      </c>
      <c r="AB191" s="5">
        <f ca="1">IFERROR(INDEX(EHDAll[],MATCH($B191,EHDAll[DEVELOPMENT],0),MATCH("ESTIMATE",EHDAll[#Headers],0)),0)</f>
        <v>33906.534360000005</v>
      </c>
      <c r="AC191" s="5">
        <f ca="1">IFERROR(INDEX(IntAll[],MATCH($B191,IntAll[DEVELOPMENT],0),MATCH("ESTIMATE",IntAll[#Headers],0)),0)</f>
        <v>314175.75</v>
      </c>
      <c r="AD191" s="5">
        <f ca="1">IFERROR(INDEX(YardsAll[],MATCH($B191,YardsAll[DEVELOPMENT],0),MATCH("TOTAL ESTIMATE",YardsAll[#Headers],0)),0)</f>
        <v>2586149.0131200007</v>
      </c>
      <c r="AE191" s="99">
        <f t="shared" ca="1" si="2"/>
        <v>3858911.2371781324</v>
      </c>
      <c r="AF191" s="5"/>
    </row>
    <row r="192" spans="1:32">
      <c r="A192" s="101">
        <f>VLOOKUP(B192,Data[],24,FALSE)</f>
        <v>264</v>
      </c>
      <c r="B192" t="s">
        <v>59</v>
      </c>
      <c r="C192" t="str">
        <f>VLOOKUP(all[[#This Row],[DEVELOPMENT]],Data[],MATCH(all[[#Headers],[PROGRAM]],Data[#Headers],0),FALSE)</f>
        <v>FEDERAL</v>
      </c>
      <c r="D192" t="str">
        <f>VLOOKUP(B192,Data[],2,FALSE)</f>
        <v>MANHATTAN</v>
      </c>
      <c r="E192">
        <f>VLOOKUP(all[[#This Row],[DEVELOPMENT]],Data[],65,FALSE)</f>
        <v>74</v>
      </c>
      <c r="F192" t="e">
        <f>VLOOKUP(all[[#This Row],[DEVELOPMENT]],Data[],3,FALSE)</f>
        <v>#N/A</v>
      </c>
      <c r="G192" s="107" t="s">
        <v>185</v>
      </c>
      <c r="H192" t="s">
        <v>184</v>
      </c>
      <c r="I192">
        <f>VLOOKUP(all[[#This Row],[DEVELOPMENT]],Data[],34,FALSE)</f>
        <v>0</v>
      </c>
      <c r="J192" t="s">
        <v>184</v>
      </c>
      <c r="K192" t="str">
        <f>VLOOKUP(B192,Data[],8,FALSE)</f>
        <v>Zone 1</v>
      </c>
      <c r="L192" t="str">
        <f>VLOOKUP(all[[#This Row],[DEVELOPMENT]],Data[],61,FALSE)</f>
        <v>No</v>
      </c>
      <c r="M192">
        <f>VLOOKUP(B192,Data[],9,FALSE)</f>
        <v>4</v>
      </c>
      <c r="N192">
        <v>3</v>
      </c>
      <c r="O192">
        <v>4</v>
      </c>
      <c r="P192" t="str">
        <f ca="1">IFERROR(VLOOKUP(B192,Data[],4,FALSE),"")</f>
        <v>2026+</v>
      </c>
      <c r="Q192" t="str">
        <f ca="1">IF(all[[#This Row],[RAD/PACT]]="","",IF(OR(all[[#This Row],[RAD/PACT]]="2021-2025",all[[#This Row],[RAD/PACT]]="2019-2020"),"Yes",""))</f>
        <v/>
      </c>
      <c r="R192">
        <f>VLOOKUP(all[[#This Row],[DEVELOPMENT]],Data[],7,FALSE)</f>
        <v>108</v>
      </c>
      <c r="S192" t="str">
        <f>VLOOKUP(all[[#This Row],[DEVELOPMENT]],Data[],25,FALSE)</f>
        <v>Newtown Creek</v>
      </c>
      <c r="T192">
        <f>VLOOKUP(all[[#This Row],[DEVELOPMENT]],Data[],5,FALSE)</f>
        <v>1</v>
      </c>
      <c r="U192">
        <f>VLOOKUP(all[[#This Row],[DEVELOPMENT]],Data[],10,FALSE)</f>
        <v>2</v>
      </c>
      <c r="V192">
        <f>VLOOKUP(all[[#This Row],[DEVELOPMENT]],Data[],10,FALSE)</f>
        <v>2</v>
      </c>
      <c r="W192">
        <f>VLOOKUP(all[[#This Row],[DEVELOPMENT]],Data[],33,FALSE)</f>
        <v>0</v>
      </c>
      <c r="X192">
        <f>VLOOKUP(all[[#This Row],[DEVELOPMENT]],Data[],33,FALSE)</f>
        <v>0</v>
      </c>
      <c r="Y192">
        <f>VLOOKUP(all[[#This Row],[DEVELOPMENT]],Data[],28,FALSE)</f>
        <v>0</v>
      </c>
      <c r="Z192">
        <f>IF(all[[#This Row],['# Bulk Crushers]]=0,1,0)</f>
        <v>1</v>
      </c>
      <c r="AA192" s="5">
        <f ca="1">IFERROR(INDEX(FWD[],MATCH($B192,FWD[DEVELOPMENT],0),MATCH("ESTIMATE",FWD[#Headers],0)),0)</f>
        <v>185623.48231858408</v>
      </c>
      <c r="AB192" s="5">
        <f ca="1">IFERROR(INDEX(EHDAll[],MATCH($B192,EHDAll[DEVELOPMENT],0),MATCH("ESTIMATE",EHDAll[#Headers],0)),0)</f>
        <v>14871.287</v>
      </c>
      <c r="AC192" s="5">
        <f ca="1">IFERROR(INDEX(IntAll[],MATCH($B192,IntAll[DEVELOPMENT],0),MATCH("ESTIMATE",IntAll[#Headers],0)),0)</f>
        <v>94981</v>
      </c>
      <c r="AD192" s="5">
        <f ca="1">IFERROR(INDEX(YardsAll[],MATCH($B192,YardsAll[DEVELOPMENT],0),MATCH("TOTAL ESTIMATE",YardsAll[#Headers],0)),0)</f>
        <v>2250394.4637300009</v>
      </c>
      <c r="AE192" s="99">
        <f t="shared" ca="1" si="2"/>
        <v>2545870.2330485852</v>
      </c>
      <c r="AF192" s="5"/>
    </row>
    <row r="193" spans="1:32">
      <c r="A193" s="101">
        <f>VLOOKUP(B193,Data[],24,FALSE)</f>
        <v>325</v>
      </c>
      <c r="B193" t="s">
        <v>305</v>
      </c>
      <c r="C193" t="str">
        <f>VLOOKUP(all[[#This Row],[DEVELOPMENT]],Data[],MATCH(all[[#Headers],[PROGRAM]],Data[#Headers],0),FALSE)</f>
        <v>FEDERAL</v>
      </c>
      <c r="D193" t="str">
        <f>VLOOKUP(B193,Data[],2,FALSE)</f>
        <v>BROOKLYN</v>
      </c>
      <c r="E193">
        <f>VLOOKUP(all[[#This Row],[DEVELOPMENT]],Data[],65,FALSE)</f>
        <v>55</v>
      </c>
      <c r="F193" t="e">
        <f>VLOOKUP(all[[#This Row],[DEVELOPMENT]],Data[],3,FALSE)</f>
        <v>#N/A</v>
      </c>
      <c r="G193" s="107" t="s">
        <v>185</v>
      </c>
      <c r="H193" t="s">
        <v>184</v>
      </c>
      <c r="I193">
        <f>VLOOKUP(all[[#This Row],[DEVELOPMENT]],Data[],34,FALSE)</f>
        <v>0</v>
      </c>
      <c r="J193" t="s">
        <v>184</v>
      </c>
      <c r="K193">
        <f>VLOOKUP(B193,Data[],8,FALSE)</f>
        <v>0</v>
      </c>
      <c r="L193" t="str">
        <f>VLOOKUP(all[[#This Row],[DEVELOPMENT]],Data[],61,FALSE)</f>
        <v>No</v>
      </c>
      <c r="M193">
        <f>VLOOKUP(B193,Data[],9,FALSE)</f>
        <v>0</v>
      </c>
      <c r="N193" t="s">
        <v>185</v>
      </c>
      <c r="O193" t="s">
        <v>185</v>
      </c>
      <c r="P193" t="str">
        <f ca="1">IFERROR(VLOOKUP(B193,Data[],4,FALSE),"")</f>
        <v/>
      </c>
      <c r="Q193" t="str">
        <f ca="1">IF(all[[#This Row],[RAD/PACT]]="","",IF(OR(all[[#This Row],[RAD/PACT]]="2021-2025",all[[#This Row],[RAD/PACT]]="2019-2020"),"Yes",""))</f>
        <v/>
      </c>
      <c r="R193">
        <f>VLOOKUP(all[[#This Row],[DEVELOPMENT]],Data[],7,FALSE)</f>
        <v>200</v>
      </c>
      <c r="S193">
        <f>VLOOKUP(all[[#This Row],[DEVELOPMENT]],Data[],25,FALSE)</f>
        <v>0</v>
      </c>
      <c r="T193">
        <f>VLOOKUP(all[[#This Row],[DEVELOPMENT]],Data[],5,FALSE)</f>
        <v>2</v>
      </c>
      <c r="U193">
        <f>VLOOKUP(all[[#This Row],[DEVELOPMENT]],Data[],10,FALSE)</f>
        <v>2</v>
      </c>
      <c r="V193">
        <f>VLOOKUP(all[[#This Row],[DEVELOPMENT]],Data[],10,FALSE)</f>
        <v>2</v>
      </c>
      <c r="W193">
        <f>VLOOKUP(all[[#This Row],[DEVELOPMENT]],Data[],33,FALSE)</f>
        <v>0</v>
      </c>
      <c r="X193">
        <f>VLOOKUP(all[[#This Row],[DEVELOPMENT]],Data[],33,FALSE)</f>
        <v>0</v>
      </c>
      <c r="Y193">
        <f>VLOOKUP(all[[#This Row],[DEVELOPMENT]],Data[],28,FALSE)</f>
        <v>0</v>
      </c>
      <c r="Z193">
        <f>IF(all[[#This Row],['# Bulk Crushers]]=0,1,0)</f>
        <v>1</v>
      </c>
      <c r="AA193" s="5">
        <f ca="1">IFERROR(INDEX(FWD[],MATCH($B193,FWD[DEVELOPMENT],0),MATCH("ESTIMATE",FWD[#Headers],0)),0)</f>
        <v>343747.18947885942</v>
      </c>
      <c r="AB193" s="5">
        <f>IFERROR(INDEX(EHDAll[],MATCH($B193,EHDAll[DEVELOPMENT],0),MATCH("ESTIMATE",EHDAll[#Headers],0)),0)</f>
        <v>0</v>
      </c>
      <c r="AC193" s="5">
        <f ca="1">IFERROR(INDEX(IntAll[],MATCH($B193,IntAll[DEVELOPMENT],0),MATCH("ESTIMATE",IntAll[#Headers],0)),0)</f>
        <v>126175</v>
      </c>
      <c r="AD193" s="5">
        <f ca="1">IFERROR(INDEX(YardsAll[],MATCH($B193,YardsAll[DEVELOPMENT],0),MATCH("TOTAL ESTIMATE",YardsAll[#Headers],0)),0)</f>
        <v>2376922.6665100004</v>
      </c>
      <c r="AE193" s="99">
        <f t="shared" ca="1" si="2"/>
        <v>2846844.8559888597</v>
      </c>
      <c r="AF193" s="5"/>
    </row>
    <row r="194" spans="1:32">
      <c r="A194" s="101">
        <f>VLOOKUP(B194,Data[],24,FALSE)</f>
        <v>286</v>
      </c>
      <c r="B194" t="s">
        <v>60</v>
      </c>
      <c r="C194" t="str">
        <f>VLOOKUP(all[[#This Row],[DEVELOPMENT]],Data[],MATCH(all[[#Headers],[PROGRAM]],Data[#Headers],0),FALSE)</f>
        <v>FEDERAL</v>
      </c>
      <c r="D194" t="str">
        <f>VLOOKUP(B194,Data[],2,FALSE)</f>
        <v>MANHATTAN</v>
      </c>
      <c r="E194">
        <f>VLOOKUP(all[[#This Row],[DEVELOPMENT]],Data[],65,FALSE)</f>
        <v>74</v>
      </c>
      <c r="F194" t="e">
        <f>VLOOKUP(all[[#This Row],[DEVELOPMENT]],Data[],3,FALSE)</f>
        <v>#N/A</v>
      </c>
      <c r="G194" s="107" t="s">
        <v>185</v>
      </c>
      <c r="H194" t="s">
        <v>184</v>
      </c>
      <c r="I194">
        <f>VLOOKUP(all[[#This Row],[DEVELOPMENT]],Data[],34,FALSE)</f>
        <v>0</v>
      </c>
      <c r="J194" t="s">
        <v>184</v>
      </c>
      <c r="K194" t="str">
        <f>VLOOKUP(B194,Data[],8,FALSE)</f>
        <v>Zone 1</v>
      </c>
      <c r="L194" t="str">
        <f>VLOOKUP(all[[#This Row],[DEVELOPMENT]],Data[],61,FALSE)</f>
        <v>No</v>
      </c>
      <c r="M194">
        <f>VLOOKUP(B194,Data[],9,FALSE)</f>
        <v>3</v>
      </c>
      <c r="N194">
        <v>3</v>
      </c>
      <c r="O194" t="s">
        <v>185</v>
      </c>
      <c r="P194" t="str">
        <f ca="1">IFERROR(VLOOKUP(B194,Data[],4,FALSE),"")</f>
        <v>2026+</v>
      </c>
      <c r="Q194" t="str">
        <f ca="1">IF(all[[#This Row],[RAD/PACT]]="","",IF(OR(all[[#This Row],[RAD/PACT]]="2021-2025",all[[#This Row],[RAD/PACT]]="2019-2020"),"Yes",""))</f>
        <v/>
      </c>
      <c r="R194">
        <f>VLOOKUP(all[[#This Row],[DEVELOPMENT]],Data[],7,FALSE)</f>
        <v>224</v>
      </c>
      <c r="S194" t="str">
        <f>VLOOKUP(all[[#This Row],[DEVELOPMENT]],Data[],25,FALSE)</f>
        <v>Newtown Creek</v>
      </c>
      <c r="T194">
        <f>VLOOKUP(all[[#This Row],[DEVELOPMENT]],Data[],5,FALSE)</f>
        <v>2</v>
      </c>
      <c r="U194">
        <f>VLOOKUP(all[[#This Row],[DEVELOPMENT]],Data[],10,FALSE)</f>
        <v>3</v>
      </c>
      <c r="V194">
        <f>VLOOKUP(all[[#This Row],[DEVELOPMENT]],Data[],10,FALSE)</f>
        <v>3</v>
      </c>
      <c r="W194">
        <f>VLOOKUP(all[[#This Row],[DEVELOPMENT]],Data[],33,FALSE)</f>
        <v>0</v>
      </c>
      <c r="X194">
        <f>VLOOKUP(all[[#This Row],[DEVELOPMENT]],Data[],33,FALSE)</f>
        <v>0</v>
      </c>
      <c r="Y194">
        <f>VLOOKUP(all[[#This Row],[DEVELOPMENT]],Data[],28,FALSE)</f>
        <v>0</v>
      </c>
      <c r="Z194">
        <f>IF(all[[#This Row],['# Bulk Crushers]]=0,1,0)</f>
        <v>1</v>
      </c>
      <c r="AA194" s="5">
        <f ca="1">IFERROR(INDEX(FWD[],MATCH($B194,FWD[DEVELOPMENT],0),MATCH("ESTIMATE",FWD[#Headers],0)),0)</f>
        <v>384996.85221632256</v>
      </c>
      <c r="AB194" s="5">
        <f ca="1">IFERROR(INDEX(EHDAll[],MATCH($B194,EHDAll[DEVELOPMENT],0),MATCH("ESTIMATE",EHDAll[#Headers],0)),0)</f>
        <v>22306.930500000002</v>
      </c>
      <c r="AC194" s="5">
        <f ca="1">IFERROR(INDEX(IntAll[],MATCH($B194,IntAll[DEVELOPMENT],0),MATCH("ESTIMATE",IntAll[#Headers],0)),0)</f>
        <v>0</v>
      </c>
      <c r="AD194" s="5">
        <f ca="1">IFERROR(INDEX(YardsAll[],MATCH($B194,YardsAll[DEVELOPMENT],0),MATCH("TOTAL ESTIMATE",YardsAll[#Headers],0)),0)</f>
        <v>2250394.4637300009</v>
      </c>
      <c r="AE194" s="99">
        <f t="shared" ca="1" si="2"/>
        <v>2657698.2464463236</v>
      </c>
      <c r="AF194" s="5"/>
    </row>
    <row r="195" spans="1:32">
      <c r="A195" s="101">
        <f>VLOOKUP(B195,Data[],24,FALSE)</f>
        <v>166</v>
      </c>
      <c r="B195" t="s">
        <v>306</v>
      </c>
      <c r="C195" t="str">
        <f>VLOOKUP(all[[#This Row],[DEVELOPMENT]],Data[],MATCH(all[[#Headers],[PROGRAM]],Data[#Headers],0),FALSE)</f>
        <v>FEDERAL</v>
      </c>
      <c r="D195" t="str">
        <f>VLOOKUP(B195,Data[],2,FALSE)</f>
        <v>BROOKLYN</v>
      </c>
      <c r="E195">
        <f>VLOOKUP(all[[#This Row],[DEVELOPMENT]],Data[],65,FALSE)</f>
        <v>46</v>
      </c>
      <c r="F195" t="e">
        <f>VLOOKUP(all[[#This Row],[DEVELOPMENT]],Data[],3,FALSE)</f>
        <v>#N/A</v>
      </c>
      <c r="G195" s="107" t="s">
        <v>185</v>
      </c>
      <c r="H195" t="s">
        <v>184</v>
      </c>
      <c r="I195">
        <f>VLOOKUP(all[[#This Row],[DEVELOPMENT]],Data[],34,FALSE)</f>
        <v>0</v>
      </c>
      <c r="J195" t="s">
        <v>184</v>
      </c>
      <c r="K195">
        <f>VLOOKUP(B195,Data[],8,FALSE)</f>
        <v>0</v>
      </c>
      <c r="L195" t="str">
        <f>VLOOKUP(all[[#This Row],[DEVELOPMENT]],Data[],61,FALSE)</f>
        <v>No</v>
      </c>
      <c r="M195">
        <f>VLOOKUP(B195,Data[],9,FALSE)</f>
        <v>0</v>
      </c>
      <c r="N195" t="s">
        <v>185</v>
      </c>
      <c r="O195" t="s">
        <v>185</v>
      </c>
      <c r="P195" t="str">
        <f ca="1">IFERROR(VLOOKUP(B195,Data[],4,FALSE),"")</f>
        <v/>
      </c>
      <c r="Q195" t="str">
        <f ca="1">IF(all[[#This Row],[RAD/PACT]]="","",IF(OR(all[[#This Row],[RAD/PACT]]="2021-2025",all[[#This Row],[RAD/PACT]]="2019-2020"),"Yes",""))</f>
        <v/>
      </c>
      <c r="R195">
        <f>VLOOKUP(all[[#This Row],[DEVELOPMENT]],Data[],7,FALSE)</f>
        <v>682</v>
      </c>
      <c r="S195">
        <f>VLOOKUP(all[[#This Row],[DEVELOPMENT]],Data[],25,FALSE)</f>
        <v>0</v>
      </c>
      <c r="T195">
        <f>VLOOKUP(all[[#This Row],[DEVELOPMENT]],Data[],5,FALSE)</f>
        <v>3</v>
      </c>
      <c r="U195">
        <f>VLOOKUP(all[[#This Row],[DEVELOPMENT]],Data[],10,FALSE)</f>
        <v>3</v>
      </c>
      <c r="V195">
        <f>VLOOKUP(all[[#This Row],[DEVELOPMENT]],Data[],10,FALSE)</f>
        <v>3</v>
      </c>
      <c r="W195">
        <f>VLOOKUP(all[[#This Row],[DEVELOPMENT]],Data[],33,FALSE)</f>
        <v>2</v>
      </c>
      <c r="X195">
        <f>VLOOKUP(all[[#This Row],[DEVELOPMENT]],Data[],33,FALSE)</f>
        <v>2</v>
      </c>
      <c r="Y195">
        <f>VLOOKUP(all[[#This Row],[DEVELOPMENT]],Data[],28,FALSE)</f>
        <v>0</v>
      </c>
      <c r="Z195">
        <f>IF(all[[#This Row],['# Bulk Crushers]]=0,1,0)</f>
        <v>1</v>
      </c>
      <c r="AA195" s="5">
        <f ca="1">IFERROR(INDEX(FWD[],MATCH($B195,FWD[DEVELOPMENT],0),MATCH("ESTIMATE",FWD[#Headers],0)),0)</f>
        <v>1172177.9161229106</v>
      </c>
      <c r="AB195" s="5">
        <f ca="1">IFERROR(INDEX(EHDAll[],MATCH($B195,EHDAll[DEVELOPMENT],0),MATCH("ESTIMATE",EHDAll[#Headers],0)),0)</f>
        <v>25429.900770000004</v>
      </c>
      <c r="AC195" s="5">
        <f ca="1">IFERROR(INDEX(IntAll[],MATCH($B195,IntAll[DEVELOPMENT],0),MATCH("ESTIMATE",IntAll[#Headers],0)),0)</f>
        <v>242256</v>
      </c>
      <c r="AD195" s="5">
        <f ca="1">IFERROR(INDEX(YardsAll[],MATCH($B195,YardsAll[DEVELOPMENT],0),MATCH("TOTAL ESTIMATE",YardsAll[#Headers],0)),0)</f>
        <v>2656864.0251975004</v>
      </c>
      <c r="AE195" s="99">
        <f t="shared" ca="1" si="2"/>
        <v>4096727.8420904111</v>
      </c>
      <c r="AF195" s="5"/>
    </row>
    <row r="196" spans="1:32">
      <c r="A196" s="101">
        <f>VLOOKUP(B196,Data[],24,FALSE)</f>
        <v>164</v>
      </c>
      <c r="B196" t="s">
        <v>307</v>
      </c>
      <c r="C196" t="str">
        <f>VLOOKUP(all[[#This Row],[DEVELOPMENT]],Data[],MATCH(all[[#Headers],[PROGRAM]],Data[#Headers],0),FALSE)</f>
        <v>FEDERAL</v>
      </c>
      <c r="D196" t="str">
        <f>VLOOKUP(B196,Data[],2,FALSE)</f>
        <v>QUEENS</v>
      </c>
      <c r="E196">
        <f>VLOOKUP(all[[#This Row],[DEVELOPMENT]],Data[],65,FALSE)</f>
        <v>31</v>
      </c>
      <c r="F196" t="e">
        <f>VLOOKUP(all[[#This Row],[DEVELOPMENT]],Data[],3,FALSE)</f>
        <v>#N/A</v>
      </c>
      <c r="G196" s="107" t="s">
        <v>185</v>
      </c>
      <c r="H196" t="s">
        <v>184</v>
      </c>
      <c r="I196">
        <f>VLOOKUP(all[[#This Row],[DEVELOPMENT]],Data[],34,FALSE)</f>
        <v>0</v>
      </c>
      <c r="J196" t="s">
        <v>184</v>
      </c>
      <c r="K196">
        <f>VLOOKUP(B196,Data[],8,FALSE)</f>
        <v>0</v>
      </c>
      <c r="L196" t="str">
        <f>VLOOKUP(all[[#This Row],[DEVELOPMENT]],Data[],61,FALSE)</f>
        <v>No</v>
      </c>
      <c r="M196">
        <f>VLOOKUP(B196,Data[],9,FALSE)</f>
        <v>0</v>
      </c>
      <c r="N196" t="s">
        <v>185</v>
      </c>
      <c r="O196" t="s">
        <v>185</v>
      </c>
      <c r="P196" t="str">
        <f ca="1">IFERROR(VLOOKUP(B196,Data[],4,FALSE),"")</f>
        <v>2026+</v>
      </c>
      <c r="Q196" t="str">
        <f ca="1">IF(all[[#This Row],[RAD/PACT]]="","",IF(OR(all[[#This Row],[RAD/PACT]]="2021-2025",all[[#This Row],[RAD/PACT]]="2019-2020"),"Yes",""))</f>
        <v/>
      </c>
      <c r="R196">
        <f>VLOOKUP(all[[#This Row],[DEVELOPMENT]],Data[],7,FALSE)</f>
        <v>169</v>
      </c>
      <c r="S196">
        <f>VLOOKUP(all[[#This Row],[DEVELOPMENT]],Data[],25,FALSE)</f>
        <v>0</v>
      </c>
      <c r="T196">
        <f>VLOOKUP(all[[#This Row],[DEVELOPMENT]],Data[],5,FALSE)</f>
        <v>1</v>
      </c>
      <c r="U196">
        <f>VLOOKUP(all[[#This Row],[DEVELOPMENT]],Data[],10,FALSE)</f>
        <v>1</v>
      </c>
      <c r="V196">
        <f>VLOOKUP(all[[#This Row],[DEVELOPMENT]],Data[],10,FALSE)</f>
        <v>1</v>
      </c>
      <c r="W196">
        <f>VLOOKUP(all[[#This Row],[DEVELOPMENT]],Data[],33,FALSE)</f>
        <v>1</v>
      </c>
      <c r="X196">
        <f>VLOOKUP(all[[#This Row],[DEVELOPMENT]],Data[],33,FALSE)</f>
        <v>1</v>
      </c>
      <c r="Y196">
        <f>VLOOKUP(all[[#This Row],[DEVELOPMENT]],Data[],28,FALSE)</f>
        <v>0</v>
      </c>
      <c r="Z196">
        <f>IF(all[[#This Row],['# Bulk Crushers]]=0,1,0)</f>
        <v>1</v>
      </c>
      <c r="AA196" s="5">
        <f ca="1">IFERROR(INDEX(FWD[],MATCH($B196,FWD[DEVELOPMENT],0),MATCH("ESTIMATE",FWD[#Headers],0)),0)</f>
        <v>290466.37510963617</v>
      </c>
      <c r="AB196" s="5">
        <f ca="1">IFERROR(INDEX(EHDAll[],MATCH($B196,EHDAll[DEVELOPMENT],0),MATCH("ESTIMATE",EHDAll[#Headers],0)),0)</f>
        <v>8736.8811125000011</v>
      </c>
      <c r="AC196" s="5">
        <f ca="1">IFERROR(INDEX(IntAll[],MATCH($B196,IntAll[DEVELOPMENT],0),MATCH("ESTIMATE",IntAll[#Headers],0)),0)</f>
        <v>80752</v>
      </c>
      <c r="AD196" s="5">
        <f ca="1">IFERROR(INDEX(YardsAll[],MATCH($B196,YardsAll[DEVELOPMENT],0),MATCH("TOTAL ESTIMATE",YardsAll[#Headers],0)),0)</f>
        <v>2376922.6665100004</v>
      </c>
      <c r="AE196" s="99">
        <f t="shared" ref="AE196:AE259" ca="1" si="3">SUM(AA196:AD196)</f>
        <v>2756877.9227321367</v>
      </c>
      <c r="AF196" s="5"/>
    </row>
    <row r="197" spans="1:32">
      <c r="A197" s="101">
        <f>VLOOKUP(B197,Data[],24,FALSE)</f>
        <v>206</v>
      </c>
      <c r="B197" t="s">
        <v>308</v>
      </c>
      <c r="C197" t="str">
        <f>VLOOKUP(all[[#This Row],[DEVELOPMENT]],Data[],MATCH(all[[#Headers],[PROGRAM]],Data[#Headers],0),FALSE)</f>
        <v>FEDERAL</v>
      </c>
      <c r="D197" t="str">
        <f>VLOOKUP(B197,Data[],2,FALSE)</f>
        <v>STATEN ISLAND</v>
      </c>
      <c r="E197">
        <f>VLOOKUP(all[[#This Row],[DEVELOPMENT]],Data[],65,FALSE)</f>
        <v>61</v>
      </c>
      <c r="F197" t="e">
        <f>VLOOKUP(all[[#This Row],[DEVELOPMENT]],Data[],3,FALSE)</f>
        <v>#N/A</v>
      </c>
      <c r="G197" s="107" t="s">
        <v>185</v>
      </c>
      <c r="H197" t="s">
        <v>184</v>
      </c>
      <c r="I197">
        <f>VLOOKUP(all[[#This Row],[DEVELOPMENT]],Data[],34,FALSE)</f>
        <v>0</v>
      </c>
      <c r="J197" t="s">
        <v>184</v>
      </c>
      <c r="K197">
        <f>VLOOKUP(B197,Data[],8,FALSE)</f>
        <v>0</v>
      </c>
      <c r="L197" t="str">
        <f>VLOOKUP(all[[#This Row],[DEVELOPMENT]],Data[],61,FALSE)</f>
        <v>No</v>
      </c>
      <c r="M197">
        <f>VLOOKUP(B197,Data[],9,FALSE)</f>
        <v>0</v>
      </c>
      <c r="N197" t="s">
        <v>185</v>
      </c>
      <c r="O197" t="s">
        <v>185</v>
      </c>
      <c r="P197" t="str">
        <f ca="1">IFERROR(VLOOKUP(B197,Data[],4,FALSE),"")</f>
        <v/>
      </c>
      <c r="Q197" t="str">
        <f ca="1">IF(all[[#This Row],[RAD/PACT]]="","",IF(OR(all[[#This Row],[RAD/PACT]]="2021-2025",all[[#This Row],[RAD/PACT]]="2019-2020"),"Yes",""))</f>
        <v/>
      </c>
      <c r="R197">
        <f>VLOOKUP(all[[#This Row],[DEVELOPMENT]],Data[],7,FALSE)</f>
        <v>378</v>
      </c>
      <c r="S197">
        <f>VLOOKUP(all[[#This Row],[DEVELOPMENT]],Data[],25,FALSE)</f>
        <v>0</v>
      </c>
      <c r="T197">
        <f>VLOOKUP(all[[#This Row],[DEVELOPMENT]],Data[],5,FALSE)</f>
        <v>4</v>
      </c>
      <c r="U197">
        <f>VLOOKUP(all[[#This Row],[DEVELOPMENT]],Data[],10,FALSE)</f>
        <v>4</v>
      </c>
      <c r="V197">
        <f>VLOOKUP(all[[#This Row],[DEVELOPMENT]],Data[],10,FALSE)</f>
        <v>4</v>
      </c>
      <c r="W197">
        <f>VLOOKUP(all[[#This Row],[DEVELOPMENT]],Data[],33,FALSE)</f>
        <v>1</v>
      </c>
      <c r="X197">
        <f>VLOOKUP(all[[#This Row],[DEVELOPMENT]],Data[],33,FALSE)</f>
        <v>1</v>
      </c>
      <c r="Y197">
        <f>VLOOKUP(all[[#This Row],[DEVELOPMENT]],Data[],28,FALSE)</f>
        <v>0</v>
      </c>
      <c r="Z197">
        <f>IF(all[[#This Row],['# Bulk Crushers]]=0,1,0)</f>
        <v>1</v>
      </c>
      <c r="AA197" s="5">
        <f ca="1">IFERROR(INDEX(FWD[],MATCH($B197,FWD[DEVELOPMENT],0),MATCH("ESTIMATE",FWD[#Headers],0)),0)</f>
        <v>649682.18811504426</v>
      </c>
      <c r="AB197" s="5">
        <f>IFERROR(INDEX(EHDAll[],MATCH($B197,EHDAll[DEVELOPMENT],0),MATCH("ESTIMATE",EHDAll[#Headers],0)),0)</f>
        <v>0</v>
      </c>
      <c r="AC197" s="5">
        <f ca="1">IFERROR(INDEX(IntAll[],MATCH($B197,IntAll[DEVELOPMENT],0),MATCH("ESTIMATE",IntAll[#Headers],0)),0)</f>
        <v>323008</v>
      </c>
      <c r="AD197" s="5">
        <f ca="1">IFERROR(INDEX(YardsAll[],MATCH($B197,YardsAll[DEVELOPMENT],0),MATCH("TOTAL ESTIMATE",YardsAll[#Headers],0)),0)</f>
        <v>2376922.6665100004</v>
      </c>
      <c r="AE197" s="99">
        <f t="shared" ca="1" si="3"/>
        <v>3349612.8546250444</v>
      </c>
      <c r="AF197" s="5"/>
    </row>
    <row r="198" spans="1:32">
      <c r="A198" s="101">
        <f>VLOOKUP(B198,Data[],24,FALSE)</f>
        <v>134</v>
      </c>
      <c r="B198" t="s">
        <v>309</v>
      </c>
      <c r="C198" t="str">
        <f>VLOOKUP(all[[#This Row],[DEVELOPMENT]],Data[],MATCH(all[[#Headers],[PROGRAM]],Data[#Headers],0),FALSE)</f>
        <v>MIXED FINANCE/LLC1</v>
      </c>
      <c r="D198" t="str">
        <f>VLOOKUP(B198,Data[],2,FALSE)</f>
        <v>MANHATTAN</v>
      </c>
      <c r="E198">
        <f>VLOOKUP(all[[#This Row],[DEVELOPMENT]],Data[],65,FALSE)</f>
        <v>75</v>
      </c>
      <c r="F198" t="e">
        <f>VLOOKUP(all[[#This Row],[DEVELOPMENT]],Data[],3,FALSE)</f>
        <v>#N/A</v>
      </c>
      <c r="G198" s="107" t="s">
        <v>185</v>
      </c>
      <c r="H198" t="s">
        <v>184</v>
      </c>
      <c r="I198">
        <f>VLOOKUP(all[[#This Row],[DEVELOPMENT]],Data[],34,FALSE)</f>
        <v>0</v>
      </c>
      <c r="J198" t="s">
        <v>184</v>
      </c>
      <c r="K198">
        <f>VLOOKUP(B198,Data[],8,FALSE)</f>
        <v>0</v>
      </c>
      <c r="L198" t="str">
        <f>VLOOKUP(all[[#This Row],[DEVELOPMENT]],Data[],61,FALSE)</f>
        <v>No</v>
      </c>
      <c r="M198">
        <f>VLOOKUP(B198,Data[],9,FALSE)</f>
        <v>0</v>
      </c>
      <c r="N198">
        <v>4</v>
      </c>
      <c r="O198" t="s">
        <v>185</v>
      </c>
      <c r="P198" t="str">
        <f ca="1">IFERROR(VLOOKUP(B198,Data[],4,FALSE),"")</f>
        <v/>
      </c>
      <c r="Q198" t="str">
        <f ca="1">IF(all[[#This Row],[RAD/PACT]]="","",IF(OR(all[[#This Row],[RAD/PACT]]="2021-2025",all[[#This Row],[RAD/PACT]]="2019-2020"),"Yes",""))</f>
        <v/>
      </c>
      <c r="R198">
        <f>VLOOKUP(all[[#This Row],[DEVELOPMENT]],Data[],7,FALSE)</f>
        <v>425</v>
      </c>
      <c r="S198">
        <f>VLOOKUP(all[[#This Row],[DEVELOPMENT]],Data[],25,FALSE)</f>
        <v>0</v>
      </c>
      <c r="T198">
        <f>VLOOKUP(all[[#This Row],[DEVELOPMENT]],Data[],5,FALSE)</f>
        <v>2</v>
      </c>
      <c r="U198">
        <f>VLOOKUP(all[[#This Row],[DEVELOPMENT]],Data[],10,FALSE)</f>
        <v>4</v>
      </c>
      <c r="V198">
        <f>VLOOKUP(all[[#This Row],[DEVELOPMENT]],Data[],10,FALSE)</f>
        <v>4</v>
      </c>
      <c r="W198">
        <f>VLOOKUP(all[[#This Row],[DEVELOPMENT]],Data[],33,FALSE)</f>
        <v>2</v>
      </c>
      <c r="X198">
        <f>VLOOKUP(all[[#This Row],[DEVELOPMENT]],Data[],33,FALSE)</f>
        <v>2</v>
      </c>
      <c r="Y198">
        <f>VLOOKUP(all[[#This Row],[DEVELOPMENT]],Data[],28,FALSE)</f>
        <v>0</v>
      </c>
      <c r="Z198">
        <f>IF(all[[#This Row],['# Bulk Crushers]]=0,1,0)</f>
        <v>1</v>
      </c>
      <c r="AA198" s="5">
        <f ca="1">IFERROR(INDEX(FWD[],MATCH($B198,FWD[DEVELOPMENT],0),MATCH("ESTIMATE",FWD[#Headers],0)),0)</f>
        <v>730462.77764257626</v>
      </c>
      <c r="AB198" s="5">
        <f ca="1">IFERROR(INDEX(EHDAll[],MATCH($B198,EHDAll[DEVELOPMENT],0),MATCH("ESTIMATE",EHDAll[#Headers],0)),0)</f>
        <v>33906.534360000005</v>
      </c>
      <c r="AC198" s="5">
        <f ca="1">IFERROR(INDEX(IntAll[],MATCH($B198,IntAll[DEVELOPMENT],0),MATCH("ESTIMATE",IntAll[#Headers],0)),0)</f>
        <v>287679.00000000006</v>
      </c>
      <c r="AD198" s="5">
        <f ca="1">IFERROR(INDEX(YardsAll[],MATCH($B198,YardsAll[DEVELOPMENT],0),MATCH("TOTAL ESTIMATE",YardsAll[#Headers],0)),0)</f>
        <v>1696018.4953665005</v>
      </c>
      <c r="AE198" s="99">
        <f t="shared" ca="1" si="3"/>
        <v>2748066.8073690766</v>
      </c>
      <c r="AF198" s="5"/>
    </row>
    <row r="199" spans="1:32">
      <c r="A199" s="101">
        <f>VLOOKUP(B199,Data[],24,FALSE)</f>
        <v>307</v>
      </c>
      <c r="B199" t="s">
        <v>143</v>
      </c>
      <c r="C199" t="str">
        <f>VLOOKUP(all[[#This Row],[DEVELOPMENT]],Data[],MATCH(all[[#Headers],[PROGRAM]],Data[#Headers],0),FALSE)</f>
        <v>FEDERAL</v>
      </c>
      <c r="D199" t="str">
        <f>VLOOKUP(B199,Data[],2,FALSE)</f>
        <v>BRONX</v>
      </c>
      <c r="E199">
        <f>VLOOKUP(all[[#This Row],[DEVELOPMENT]],Data[],65,FALSE)</f>
        <v>77</v>
      </c>
      <c r="F199" t="e">
        <f>VLOOKUP(all[[#This Row],[DEVELOPMENT]],Data[],3,FALSE)</f>
        <v>#N/A</v>
      </c>
      <c r="G199" s="107" t="s">
        <v>185</v>
      </c>
      <c r="H199" t="s">
        <v>184</v>
      </c>
      <c r="I199">
        <f>VLOOKUP(all[[#This Row],[DEVELOPMENT]],Data[],34,FALSE)</f>
        <v>0</v>
      </c>
      <c r="J199" t="s">
        <v>184</v>
      </c>
      <c r="K199" t="str">
        <f>VLOOKUP(B199,Data[],8,FALSE)</f>
        <v>Zone 1</v>
      </c>
      <c r="L199" t="str">
        <f>VLOOKUP(all[[#This Row],[DEVELOPMENT]],Data[],61,FALSE)</f>
        <v>No</v>
      </c>
      <c r="M199">
        <f>VLOOKUP(B199,Data[],9,FALSE)</f>
        <v>4</v>
      </c>
      <c r="N199">
        <v>4</v>
      </c>
      <c r="O199" t="s">
        <v>185</v>
      </c>
      <c r="P199" t="str">
        <f ca="1">IFERROR(VLOOKUP(B199,Data[],4,FALSE),"")</f>
        <v>2022-2025</v>
      </c>
      <c r="Q199" t="str">
        <f ca="1">IF(all[[#This Row],[RAD/PACT]]="","",IF(OR(all[[#This Row],[RAD/PACT]]="2021-2025",all[[#This Row],[RAD/PACT]]="2019-2020"),"Yes",""))</f>
        <v/>
      </c>
      <c r="R199">
        <f>VLOOKUP(all[[#This Row],[DEVELOPMENT]],Data[],7,FALSE)</f>
        <v>106</v>
      </c>
      <c r="S199">
        <f>VLOOKUP(all[[#This Row],[DEVELOPMENT]],Data[],25,FALSE)</f>
        <v>0</v>
      </c>
      <c r="T199">
        <f>VLOOKUP(all[[#This Row],[DEVELOPMENT]],Data[],5,FALSE)</f>
        <v>6</v>
      </c>
      <c r="U199">
        <f>VLOOKUP(all[[#This Row],[DEVELOPMENT]],Data[],10,FALSE)</f>
        <v>4</v>
      </c>
      <c r="V199">
        <f>VLOOKUP(all[[#This Row],[DEVELOPMENT]],Data[],10,FALSE)</f>
        <v>4</v>
      </c>
      <c r="W199">
        <f>VLOOKUP(all[[#This Row],[DEVELOPMENT]],Data[],33,FALSE)</f>
        <v>0</v>
      </c>
      <c r="X199">
        <f>VLOOKUP(all[[#This Row],[DEVELOPMENT]],Data[],33,FALSE)</f>
        <v>0</v>
      </c>
      <c r="Y199">
        <f>VLOOKUP(all[[#This Row],[DEVELOPMENT]],Data[],28,FALSE)</f>
        <v>0</v>
      </c>
      <c r="Z199">
        <f>IF(all[[#This Row],['# Bulk Crushers]]=0,1,0)</f>
        <v>1</v>
      </c>
      <c r="AA199" s="5">
        <f ca="1">IFERROR(INDEX(FWD[],MATCH($B199,FWD[DEVELOPMENT],0),MATCH("ESTIMATE",FWD[#Headers],0)),0)</f>
        <v>182186.01042379549</v>
      </c>
      <c r="AB199" s="5">
        <f ca="1">IFERROR(INDEX(EHDAll[],MATCH($B199,EHDAll[DEVELOPMENT],0),MATCH("ESTIMATE",EHDAll[#Headers],0)),0)</f>
        <v>29742.574000000001</v>
      </c>
      <c r="AC199" s="5">
        <f ca="1">IFERROR(INDEX(IntAll[],MATCH($B199,IntAll[DEVELOPMENT],0),MATCH("ESTIMATE",IntAll[#Headers],0)),0)</f>
        <v>0</v>
      </c>
      <c r="AD199" s="5">
        <f ca="1">IFERROR(INDEX(YardsAll[],MATCH($B199,YardsAll[DEVELOPMENT],0),MATCH("TOTAL ESTIMATE",YardsAll[#Headers],0)),0)</f>
        <v>0</v>
      </c>
      <c r="AE199" s="99">
        <f t="shared" ca="1" si="3"/>
        <v>211928.58442379549</v>
      </c>
      <c r="AF199" s="5"/>
    </row>
    <row r="200" spans="1:32">
      <c r="A200" s="101">
        <f>VLOOKUP(B200,Data[],24,FALSE)</f>
        <v>335</v>
      </c>
      <c r="B200" t="s">
        <v>34</v>
      </c>
      <c r="C200" t="str">
        <f>VLOOKUP(all[[#This Row],[DEVELOPMENT]],Data[],MATCH(all[[#Headers],[PROGRAM]],Data[#Headers],0),FALSE)</f>
        <v>FEDERAL</v>
      </c>
      <c r="D200" t="str">
        <f>VLOOKUP(B200,Data[],2,FALSE)</f>
        <v>BRONX</v>
      </c>
      <c r="E200">
        <f>VLOOKUP(all[[#This Row],[DEVELOPMENT]],Data[],65,FALSE)</f>
        <v>77</v>
      </c>
      <c r="F200" t="e">
        <f>VLOOKUP(all[[#This Row],[DEVELOPMENT]],Data[],3,FALSE)</f>
        <v>#N/A</v>
      </c>
      <c r="G200" s="107" t="s">
        <v>185</v>
      </c>
      <c r="H200" t="s">
        <v>184</v>
      </c>
      <c r="I200">
        <f>VLOOKUP(all[[#This Row],[DEVELOPMENT]],Data[],34,FALSE)</f>
        <v>0</v>
      </c>
      <c r="J200" t="s">
        <v>184</v>
      </c>
      <c r="K200" t="str">
        <f>VLOOKUP(B200,Data[],8,FALSE)</f>
        <v>Zone 1</v>
      </c>
      <c r="L200" t="str">
        <f>VLOOKUP(all[[#This Row],[DEVELOPMENT]],Data[],61,FALSE)</f>
        <v>No</v>
      </c>
      <c r="M200">
        <f>VLOOKUP(B200,Data[],9,FALSE)</f>
        <v>4</v>
      </c>
      <c r="N200">
        <v>2</v>
      </c>
      <c r="O200" t="s">
        <v>185</v>
      </c>
      <c r="P200" t="str">
        <f ca="1">IFERROR(VLOOKUP(B200,Data[],4,FALSE),"")</f>
        <v>2022-2025</v>
      </c>
      <c r="Q200" t="str">
        <f ca="1">IF(all[[#This Row],[RAD/PACT]]="","",IF(OR(all[[#This Row],[RAD/PACT]]="2021-2025",all[[#This Row],[RAD/PACT]]="2019-2020"),"Yes",""))</f>
        <v/>
      </c>
      <c r="R200">
        <f>VLOOKUP(all[[#This Row],[DEVELOPMENT]],Data[],7,FALSE)</f>
        <v>147</v>
      </c>
      <c r="S200">
        <f>VLOOKUP(all[[#This Row],[DEVELOPMENT]],Data[],25,FALSE)</f>
        <v>0</v>
      </c>
      <c r="T200">
        <f>VLOOKUP(all[[#This Row],[DEVELOPMENT]],Data[],5,FALSE)</f>
        <v>9</v>
      </c>
      <c r="U200">
        <f>VLOOKUP(all[[#This Row],[DEVELOPMENT]],Data[],10,FALSE)</f>
        <v>9</v>
      </c>
      <c r="V200">
        <f>VLOOKUP(all[[#This Row],[DEVELOPMENT]],Data[],10,FALSE)</f>
        <v>9</v>
      </c>
      <c r="W200">
        <f>VLOOKUP(all[[#This Row],[DEVELOPMENT]],Data[],33,FALSE)</f>
        <v>0</v>
      </c>
      <c r="X200">
        <f>VLOOKUP(all[[#This Row],[DEVELOPMENT]],Data[],33,FALSE)</f>
        <v>0</v>
      </c>
      <c r="Y200">
        <f>VLOOKUP(all[[#This Row],[DEVELOPMENT]],Data[],28,FALSE)</f>
        <v>0</v>
      </c>
      <c r="Z200">
        <f>IF(all[[#This Row],['# Bulk Crushers]]=0,1,0)</f>
        <v>1</v>
      </c>
      <c r="AA200" s="5">
        <f ca="1">IFERROR(INDEX(FWD[],MATCH($B200,FWD[DEVELOPMENT],0),MATCH("ESTIMATE",FWD[#Headers],0)),0)</f>
        <v>252654.18426696165</v>
      </c>
      <c r="AB200" s="5">
        <f>IFERROR(INDEX(EHDAll[],MATCH($B200,EHDAll[DEVELOPMENT],0),MATCH("ESTIMATE",EHDAll[#Headers],0)),0)</f>
        <v>0</v>
      </c>
      <c r="AC200" s="5">
        <f ca="1">IFERROR(INDEX(IntAll[],MATCH($B200,IntAll[DEVELOPMENT],0),MATCH("ESTIMATE",IntAll[#Headers],0)),0)</f>
        <v>0</v>
      </c>
      <c r="AD200" s="5">
        <f ca="1">IFERROR(INDEX(YardsAll[],MATCH($B200,YardsAll[DEVELOPMENT],0),MATCH("TOTAL ESTIMATE",YardsAll[#Headers],0)),0)</f>
        <v>0</v>
      </c>
      <c r="AE200" s="99">
        <f t="shared" ca="1" si="3"/>
        <v>252654.18426696165</v>
      </c>
      <c r="AF200" s="5"/>
    </row>
    <row r="201" spans="1:32">
      <c r="A201" s="101">
        <f>VLOOKUP(B201,Data[],24,FALSE)</f>
        <v>336</v>
      </c>
      <c r="B201" t="s">
        <v>144</v>
      </c>
      <c r="C201" t="str">
        <f>VLOOKUP(all[[#This Row],[DEVELOPMENT]],Data[],MATCH(all[[#Headers],[PROGRAM]],Data[#Headers],0),FALSE)</f>
        <v>FEDERAL</v>
      </c>
      <c r="D201" t="str">
        <f>VLOOKUP(B201,Data[],2,FALSE)</f>
        <v>BRONX</v>
      </c>
      <c r="E201">
        <f>VLOOKUP(all[[#This Row],[DEVELOPMENT]],Data[],65,FALSE)</f>
        <v>77</v>
      </c>
      <c r="F201" t="e">
        <f>VLOOKUP(all[[#This Row],[DEVELOPMENT]],Data[],3,FALSE)</f>
        <v>#N/A</v>
      </c>
      <c r="G201" s="107" t="s">
        <v>185</v>
      </c>
      <c r="H201" t="s">
        <v>184</v>
      </c>
      <c r="I201">
        <f>VLOOKUP(all[[#This Row],[DEVELOPMENT]],Data[],34,FALSE)</f>
        <v>0</v>
      </c>
      <c r="J201" t="s">
        <v>184</v>
      </c>
      <c r="K201" t="str">
        <f>VLOOKUP(B201,Data[],8,FALSE)</f>
        <v>Zone 1</v>
      </c>
      <c r="L201" t="str">
        <f>VLOOKUP(all[[#This Row],[DEVELOPMENT]],Data[],61,FALSE)</f>
        <v>No</v>
      </c>
      <c r="M201">
        <f>VLOOKUP(B201,Data[],9,FALSE)</f>
        <v>4</v>
      </c>
      <c r="N201">
        <v>2</v>
      </c>
      <c r="O201" t="s">
        <v>185</v>
      </c>
      <c r="P201" t="str">
        <f ca="1">IFERROR(VLOOKUP(B201,Data[],4,FALSE),"")</f>
        <v>2022-2025</v>
      </c>
      <c r="Q201" t="str">
        <f ca="1">IF(all[[#This Row],[RAD/PACT]]="","",IF(OR(all[[#This Row],[RAD/PACT]]="2021-2025",all[[#This Row],[RAD/PACT]]="2019-2020"),"Yes",""))</f>
        <v/>
      </c>
      <c r="R201">
        <f>VLOOKUP(all[[#This Row],[DEVELOPMENT]],Data[],7,FALSE)</f>
        <v>129</v>
      </c>
      <c r="S201">
        <f>VLOOKUP(all[[#This Row],[DEVELOPMENT]],Data[],25,FALSE)</f>
        <v>0</v>
      </c>
      <c r="T201">
        <f>VLOOKUP(all[[#This Row],[DEVELOPMENT]],Data[],5,FALSE)</f>
        <v>3</v>
      </c>
      <c r="U201">
        <f>VLOOKUP(all[[#This Row],[DEVELOPMENT]],Data[],10,FALSE)</f>
        <v>3</v>
      </c>
      <c r="V201">
        <f>VLOOKUP(all[[#This Row],[DEVELOPMENT]],Data[],10,FALSE)</f>
        <v>3</v>
      </c>
      <c r="W201">
        <f>VLOOKUP(all[[#This Row],[DEVELOPMENT]],Data[],33,FALSE)</f>
        <v>0</v>
      </c>
      <c r="X201">
        <f>VLOOKUP(all[[#This Row],[DEVELOPMENT]],Data[],33,FALSE)</f>
        <v>0</v>
      </c>
      <c r="Y201">
        <f>VLOOKUP(all[[#This Row],[DEVELOPMENT]],Data[],28,FALSE)</f>
        <v>0</v>
      </c>
      <c r="Z201">
        <f>IF(all[[#This Row],['# Bulk Crushers]]=0,1,0)</f>
        <v>1</v>
      </c>
      <c r="AA201" s="5">
        <f ca="1">IFERROR(INDEX(FWD[],MATCH($B201,FWD[DEVELOPMENT],0),MATCH("ESTIMATE",FWD[#Headers],0)),0)</f>
        <v>221716.93721386432</v>
      </c>
      <c r="AB201" s="5">
        <f ca="1">IFERROR(INDEX(EHDAll[],MATCH($B201,EHDAll[DEVELOPMENT],0),MATCH("ESTIMATE",EHDAll[#Headers],0)),0)</f>
        <v>22306.930500000002</v>
      </c>
      <c r="AC201" s="5">
        <f ca="1">IFERROR(INDEX(IntAll[],MATCH($B201,IntAll[DEVELOPMENT],0),MATCH("ESTIMATE",IntAll[#Headers],0)),0)</f>
        <v>0</v>
      </c>
      <c r="AD201" s="5">
        <f ca="1">IFERROR(INDEX(YardsAll[],MATCH($B201,YardsAll[DEVELOPMENT],0),MATCH("TOTAL ESTIMATE",YardsAll[#Headers],0)),0)</f>
        <v>0</v>
      </c>
      <c r="AE201" s="99">
        <f t="shared" ca="1" si="3"/>
        <v>244023.86771386431</v>
      </c>
      <c r="AF201" s="5"/>
    </row>
    <row r="202" spans="1:32">
      <c r="A202" s="101">
        <f>VLOOKUP(B202,Data[],24,FALSE)</f>
        <v>11</v>
      </c>
      <c r="B202" t="s">
        <v>310</v>
      </c>
      <c r="C202" t="str">
        <f>VLOOKUP(all[[#This Row],[DEVELOPMENT]],Data[],MATCH(all[[#Headers],[PROGRAM]],Data[#Headers],0),FALSE)</f>
        <v>FEDERAL</v>
      </c>
      <c r="D202" t="str">
        <f>VLOOKUP(B202,Data[],2,FALSE)</f>
        <v>BRONX</v>
      </c>
      <c r="E202">
        <f>VLOOKUP(all[[#This Row],[DEVELOPMENT]],Data[],65,FALSE)</f>
        <v>85</v>
      </c>
      <c r="F202" t="e">
        <f>VLOOKUP(all[[#This Row],[DEVELOPMENT]],Data[],3,FALSE)</f>
        <v>#N/A</v>
      </c>
      <c r="G202" s="107" t="s">
        <v>185</v>
      </c>
      <c r="H202" t="s">
        <v>184</v>
      </c>
      <c r="I202">
        <f>VLOOKUP(all[[#This Row],[DEVELOPMENT]],Data[],34,FALSE)</f>
        <v>0</v>
      </c>
      <c r="J202" t="s">
        <v>184</v>
      </c>
      <c r="K202">
        <f>VLOOKUP(B202,Data[],8,FALSE)</f>
        <v>0</v>
      </c>
      <c r="L202" t="str">
        <f>VLOOKUP(all[[#This Row],[DEVELOPMENT]],Data[],61,FALSE)</f>
        <v>No</v>
      </c>
      <c r="M202">
        <f>VLOOKUP(B202,Data[],9,FALSE)</f>
        <v>0</v>
      </c>
      <c r="N202">
        <v>3</v>
      </c>
      <c r="O202" t="s">
        <v>185</v>
      </c>
      <c r="P202" t="str">
        <f ca="1">IFERROR(VLOOKUP(B202,Data[],4,FALSE),"")</f>
        <v>2022-2025</v>
      </c>
      <c r="Q202" t="str">
        <f ca="1">IF(all[[#This Row],[RAD/PACT]]="","",IF(OR(all[[#This Row],[RAD/PACT]]="2021-2025",all[[#This Row],[RAD/PACT]]="2019-2020"),"Yes",""))</f>
        <v/>
      </c>
      <c r="R202">
        <f>VLOOKUP(all[[#This Row],[DEVELOPMENT]],Data[],7,FALSE)</f>
        <v>401</v>
      </c>
      <c r="S202">
        <f>VLOOKUP(all[[#This Row],[DEVELOPMENT]],Data[],25,FALSE)</f>
        <v>0</v>
      </c>
      <c r="T202">
        <f>VLOOKUP(all[[#This Row],[DEVELOPMENT]],Data[],5,FALSE)</f>
        <v>46</v>
      </c>
      <c r="U202">
        <f>VLOOKUP(all[[#This Row],[DEVELOPMENT]],Data[],10,FALSE)</f>
        <v>0</v>
      </c>
      <c r="V202">
        <f>VLOOKUP(all[[#This Row],[DEVELOPMENT]],Data[],10,FALSE)</f>
        <v>0</v>
      </c>
      <c r="W202">
        <f>VLOOKUP(all[[#This Row],[DEVELOPMENT]],Data[],33,FALSE)</f>
        <v>0</v>
      </c>
      <c r="X202">
        <f>VLOOKUP(all[[#This Row],[DEVELOPMENT]],Data[],33,FALSE)</f>
        <v>0</v>
      </c>
      <c r="Y202">
        <f>VLOOKUP(all[[#This Row],[DEVELOPMENT]],Data[],28,FALSE)</f>
        <v>0</v>
      </c>
      <c r="Z202">
        <f>IF(all[[#This Row],['# Bulk Crushers]]=0,1,0)</f>
        <v>1</v>
      </c>
      <c r="AA202" s="5">
        <f ca="1">IFERROR(INDEX(FWD[],MATCH($B202,FWD[DEVELOPMENT],0),MATCH("ESTIMATE",FWD[#Headers],0)),0)</f>
        <v>689213.11490511312</v>
      </c>
      <c r="AB202" s="5">
        <f ca="1">IFERROR(INDEX(EHDAll[],MATCH($B202,EHDAll[DEVELOPMENT],0),MATCH("ESTIMATE",EHDAll[#Headers],0)),0)</f>
        <v>0</v>
      </c>
      <c r="AC202" s="5">
        <f ca="1">IFERROR(INDEX(IntAll[],MATCH($B202,IntAll[DEVELOPMENT],0),MATCH("ESTIMATE",IntAll[#Headers],0)),0)</f>
        <v>0</v>
      </c>
      <c r="AD202" s="5">
        <f ca="1">IFERROR(INDEX(YardsAll[],MATCH($B202,YardsAll[DEVELOPMENT],0),MATCH("TOTAL ESTIMATE",YardsAll[#Headers],0)),0)</f>
        <v>0</v>
      </c>
      <c r="AE202" s="99">
        <f t="shared" ca="1" si="3"/>
        <v>689213.11490511312</v>
      </c>
      <c r="AF202" s="5"/>
    </row>
    <row r="203" spans="1:32">
      <c r="A203" s="101">
        <f>VLOOKUP(B203,Data[],24,FALSE)</f>
        <v>239</v>
      </c>
      <c r="B203" t="s">
        <v>311</v>
      </c>
      <c r="C203" t="str">
        <f>VLOOKUP(all[[#This Row],[DEVELOPMENT]],Data[],MATCH(all[[#Headers],[PROGRAM]],Data[#Headers],0),FALSE)</f>
        <v>FEDERAL</v>
      </c>
      <c r="D203" t="str">
        <f>VLOOKUP(B203,Data[],2,FALSE)</f>
        <v>BROOKLYN</v>
      </c>
      <c r="E203">
        <f>VLOOKUP(all[[#This Row],[DEVELOPMENT]],Data[],65,FALSE)</f>
        <v>46</v>
      </c>
      <c r="F203" t="e">
        <f>VLOOKUP(all[[#This Row],[DEVELOPMENT]],Data[],3,FALSE)</f>
        <v>#N/A</v>
      </c>
      <c r="G203" s="107" t="s">
        <v>185</v>
      </c>
      <c r="H203" t="s">
        <v>184</v>
      </c>
      <c r="I203">
        <f>VLOOKUP(all[[#This Row],[DEVELOPMENT]],Data[],34,FALSE)</f>
        <v>0</v>
      </c>
      <c r="J203" t="s">
        <v>184</v>
      </c>
      <c r="K203">
        <f>VLOOKUP(B203,Data[],8,FALSE)</f>
        <v>0</v>
      </c>
      <c r="L203" t="str">
        <f>VLOOKUP(all[[#This Row],[DEVELOPMENT]],Data[],61,FALSE)</f>
        <v>No</v>
      </c>
      <c r="M203">
        <f>VLOOKUP(B203,Data[],9,FALSE)</f>
        <v>0</v>
      </c>
      <c r="N203">
        <v>2</v>
      </c>
      <c r="O203" t="s">
        <v>185</v>
      </c>
      <c r="P203" t="str">
        <f ca="1">IFERROR(VLOOKUP(B203,Data[],4,FALSE),"")</f>
        <v/>
      </c>
      <c r="Q203" t="str">
        <f ca="1">IF(all[[#This Row],[RAD/PACT]]="","",IF(OR(all[[#This Row],[RAD/PACT]]="2021-2025",all[[#This Row],[RAD/PACT]]="2019-2020"),"Yes",""))</f>
        <v/>
      </c>
      <c r="R203">
        <f>VLOOKUP(all[[#This Row],[DEVELOPMENT]],Data[],7,FALSE)</f>
        <v>192</v>
      </c>
      <c r="S203">
        <f>VLOOKUP(all[[#This Row],[DEVELOPMENT]],Data[],25,FALSE)</f>
        <v>0</v>
      </c>
      <c r="T203">
        <f>VLOOKUP(all[[#This Row],[DEVELOPMENT]],Data[],5,FALSE)</f>
        <v>1</v>
      </c>
      <c r="U203">
        <f>VLOOKUP(all[[#This Row],[DEVELOPMENT]],Data[],10,FALSE)</f>
        <v>1</v>
      </c>
      <c r="V203">
        <f>VLOOKUP(all[[#This Row],[DEVELOPMENT]],Data[],10,FALSE)</f>
        <v>1</v>
      </c>
      <c r="W203">
        <f>VLOOKUP(all[[#This Row],[DEVELOPMENT]],Data[],33,FALSE)</f>
        <v>0</v>
      </c>
      <c r="X203">
        <f>VLOOKUP(all[[#This Row],[DEVELOPMENT]],Data[],33,FALSE)</f>
        <v>0</v>
      </c>
      <c r="Y203">
        <f>VLOOKUP(all[[#This Row],[DEVELOPMENT]],Data[],28,FALSE)</f>
        <v>0</v>
      </c>
      <c r="Z203">
        <f>IF(all[[#This Row],['# Bulk Crushers]]=0,1,0)</f>
        <v>1</v>
      </c>
      <c r="AA203" s="5">
        <f ca="1">IFERROR(INDEX(FWD[],MATCH($B203,FWD[DEVELOPMENT],0),MATCH("ESTIMATE",FWD[#Headers],0)),0)</f>
        <v>329997.30189970502</v>
      </c>
      <c r="AB203" s="5">
        <f ca="1">IFERROR(INDEX(EHDAll[],MATCH($B203,EHDAll[DEVELOPMENT],0),MATCH("ESTIMATE",EHDAll[#Headers],0)),0)</f>
        <v>8476.6335900000013</v>
      </c>
      <c r="AC203" s="5">
        <f ca="1">IFERROR(INDEX(IntAll[],MATCH($B203,IntAll[DEVELOPMENT],0),MATCH("ESTIMATE",IntAll[#Headers],0)),0)</f>
        <v>0</v>
      </c>
      <c r="AD203" s="5">
        <f ca="1">IFERROR(INDEX(YardsAll[],MATCH($B203,YardsAll[DEVELOPMENT],0),MATCH("TOTAL ESTIMATE",YardsAll[#Headers],0)),0)</f>
        <v>2187130.3623400005</v>
      </c>
      <c r="AE203" s="99">
        <f t="shared" ca="1" si="3"/>
        <v>2525604.2978297053</v>
      </c>
      <c r="AF203" s="5"/>
    </row>
    <row r="204" spans="1:32">
      <c r="A204" s="101">
        <f>VLOOKUP(B204,Data[],24,FALSE)</f>
        <v>216</v>
      </c>
      <c r="B204" t="s">
        <v>312</v>
      </c>
      <c r="C204" t="str">
        <f>VLOOKUP(all[[#This Row],[DEVELOPMENT]],Data[],MATCH(all[[#Headers],[PROGRAM]],Data[#Headers],0),FALSE)</f>
        <v>FEDERAL</v>
      </c>
      <c r="D204" t="str">
        <f>VLOOKUP(B204,Data[],2,FALSE)</f>
        <v>BROOKLYN</v>
      </c>
      <c r="E204">
        <f>VLOOKUP(all[[#This Row],[DEVELOPMENT]],Data[],65,FALSE)</f>
        <v>46</v>
      </c>
      <c r="F204" t="e">
        <f>VLOOKUP(all[[#This Row],[DEVELOPMENT]],Data[],3,FALSE)</f>
        <v>#N/A</v>
      </c>
      <c r="G204" s="107" t="s">
        <v>185</v>
      </c>
      <c r="H204" t="s">
        <v>184</v>
      </c>
      <c r="I204">
        <f>VLOOKUP(all[[#This Row],[DEVELOPMENT]],Data[],34,FALSE)</f>
        <v>0</v>
      </c>
      <c r="J204" t="s">
        <v>184</v>
      </c>
      <c r="K204">
        <f>VLOOKUP(B204,Data[],8,FALSE)</f>
        <v>0</v>
      </c>
      <c r="L204" t="str">
        <f>VLOOKUP(all[[#This Row],[DEVELOPMENT]],Data[],61,FALSE)</f>
        <v>No</v>
      </c>
      <c r="M204">
        <f>VLOOKUP(B204,Data[],9,FALSE)</f>
        <v>0</v>
      </c>
      <c r="N204">
        <v>3</v>
      </c>
      <c r="O204" t="s">
        <v>185</v>
      </c>
      <c r="P204" t="str">
        <f ca="1">IFERROR(VLOOKUP(B204,Data[],4,FALSE),"")</f>
        <v/>
      </c>
      <c r="Q204" t="str">
        <f ca="1">IF(all[[#This Row],[RAD/PACT]]="","",IF(OR(all[[#This Row],[RAD/PACT]]="2021-2025",all[[#This Row],[RAD/PACT]]="2019-2020"),"Yes",""))</f>
        <v/>
      </c>
      <c r="R204">
        <f>VLOOKUP(all[[#This Row],[DEVELOPMENT]],Data[],7,FALSE)</f>
        <v>376</v>
      </c>
      <c r="S204">
        <f>VLOOKUP(all[[#This Row],[DEVELOPMENT]],Data[],25,FALSE)</f>
        <v>0</v>
      </c>
      <c r="T204">
        <f>VLOOKUP(all[[#This Row],[DEVELOPMENT]],Data[],5,FALSE)</f>
        <v>1</v>
      </c>
      <c r="U204">
        <f>VLOOKUP(all[[#This Row],[DEVELOPMENT]],Data[],10,FALSE)</f>
        <v>3</v>
      </c>
      <c r="V204">
        <f>VLOOKUP(all[[#This Row],[DEVELOPMENT]],Data[],10,FALSE)</f>
        <v>3</v>
      </c>
      <c r="W204">
        <f>VLOOKUP(all[[#This Row],[DEVELOPMENT]],Data[],33,FALSE)</f>
        <v>1</v>
      </c>
      <c r="X204">
        <f>VLOOKUP(all[[#This Row],[DEVELOPMENT]],Data[],33,FALSE)</f>
        <v>1</v>
      </c>
      <c r="Y204">
        <f>VLOOKUP(all[[#This Row],[DEVELOPMENT]],Data[],28,FALSE)</f>
        <v>1</v>
      </c>
      <c r="Z204">
        <f>IF(all[[#This Row],['# Bulk Crushers]]=0,1,0)</f>
        <v>0</v>
      </c>
      <c r="AA204" s="5">
        <f ca="1">IFERROR(INDEX(FWD[],MATCH($B204,FWD[DEVELOPMENT],0),MATCH("ESTIMATE",FWD[#Headers],0)),0)</f>
        <v>646244.71622025571</v>
      </c>
      <c r="AB204" s="5">
        <f ca="1">IFERROR(INDEX(EHDAll[],MATCH($B204,EHDAll[DEVELOPMENT],0),MATCH("ESTIMATE",EHDAll[#Headers],0)),0)</f>
        <v>26210.643337500005</v>
      </c>
      <c r="AC204" s="5">
        <f ca="1">IFERROR(INDEX(IntAll[],MATCH($B204,IntAll[DEVELOPMENT],0),MATCH("ESTIMATE",IntAll[#Headers],0)),0)</f>
        <v>0</v>
      </c>
      <c r="AD204" s="5">
        <f ca="1">IFERROR(INDEX(YardsAll[],MATCH($B204,YardsAll[DEVELOPMENT],0),MATCH("TOTAL ESTIMATE",YardsAll[#Headers],0)),0)</f>
        <v>2313658.5651200004</v>
      </c>
      <c r="AE204" s="99">
        <f t="shared" ca="1" si="3"/>
        <v>2986113.9246777561</v>
      </c>
      <c r="AF204" s="5"/>
    </row>
    <row r="205" spans="1:32">
      <c r="A205" s="101">
        <f>VLOOKUP(B205,Data[],24,FALSE)</f>
        <v>232</v>
      </c>
      <c r="B205" t="s">
        <v>313</v>
      </c>
      <c r="C205" t="str">
        <f>VLOOKUP(all[[#This Row],[DEVELOPMENT]],Data[],MATCH(all[[#Headers],[PROGRAM]],Data[#Headers],0),FALSE)</f>
        <v>FEDERAL</v>
      </c>
      <c r="D205" t="str">
        <f>VLOOKUP(B205,Data[],2,FALSE)</f>
        <v>QUEENS</v>
      </c>
      <c r="E205">
        <f>VLOOKUP(all[[#This Row],[DEVELOPMENT]],Data[],65,FALSE)</f>
        <v>29</v>
      </c>
      <c r="F205" t="e">
        <f>VLOOKUP(all[[#This Row],[DEVELOPMENT]],Data[],3,FALSE)</f>
        <v>#N/A</v>
      </c>
      <c r="G205" s="107" t="s">
        <v>185</v>
      </c>
      <c r="H205" t="s">
        <v>184</v>
      </c>
      <c r="I205">
        <f>VLOOKUP(all[[#This Row],[DEVELOPMENT]],Data[],34,FALSE)</f>
        <v>0</v>
      </c>
      <c r="J205" t="s">
        <v>184</v>
      </c>
      <c r="K205">
        <f>VLOOKUP(B205,Data[],8,FALSE)</f>
        <v>0</v>
      </c>
      <c r="L205" t="str">
        <f>VLOOKUP(all[[#This Row],[DEVELOPMENT]],Data[],61,FALSE)</f>
        <v>No</v>
      </c>
      <c r="M205">
        <f>VLOOKUP(B205,Data[],9,FALSE)</f>
        <v>0</v>
      </c>
      <c r="N205">
        <v>3</v>
      </c>
      <c r="O205">
        <v>4</v>
      </c>
      <c r="P205" t="str">
        <f ca="1">IFERROR(VLOOKUP(B205,Data[],4,FALSE),"")</f>
        <v/>
      </c>
      <c r="Q205" t="str">
        <f ca="1">IF(all[[#This Row],[RAD/PACT]]="","",IF(OR(all[[#This Row],[RAD/PACT]]="2021-2025",all[[#This Row],[RAD/PACT]]="2019-2020"),"Yes",""))</f>
        <v/>
      </c>
      <c r="R205">
        <f>VLOOKUP(all[[#This Row],[DEVELOPMENT]],Data[],7,FALSE)</f>
        <v>214</v>
      </c>
      <c r="S205">
        <f>VLOOKUP(all[[#This Row],[DEVELOPMENT]],Data[],25,FALSE)</f>
        <v>0</v>
      </c>
      <c r="T205">
        <f>VLOOKUP(all[[#This Row],[DEVELOPMENT]],Data[],5,FALSE)</f>
        <v>1</v>
      </c>
      <c r="U205">
        <f>VLOOKUP(all[[#This Row],[DEVELOPMENT]],Data[],10,FALSE)</f>
        <v>1</v>
      </c>
      <c r="V205">
        <f>VLOOKUP(all[[#This Row],[DEVELOPMENT]],Data[],10,FALSE)</f>
        <v>1</v>
      </c>
      <c r="W205">
        <f>VLOOKUP(all[[#This Row],[DEVELOPMENT]],Data[],33,FALSE)</f>
        <v>1</v>
      </c>
      <c r="X205">
        <f>VLOOKUP(all[[#This Row],[DEVELOPMENT]],Data[],33,FALSE)</f>
        <v>1</v>
      </c>
      <c r="Y205">
        <f>VLOOKUP(all[[#This Row],[DEVELOPMENT]],Data[],28,FALSE)</f>
        <v>0</v>
      </c>
      <c r="Z205">
        <f>IF(all[[#This Row],['# Bulk Crushers]]=0,1,0)</f>
        <v>1</v>
      </c>
      <c r="AA205" s="5">
        <f ca="1">IFERROR(INDEX(FWD[],MATCH($B205,FWD[DEVELOPMENT],0),MATCH("ESTIMATE",FWD[#Headers],0)),0)</f>
        <v>367809.49274237955</v>
      </c>
      <c r="AB205" s="5">
        <f>IFERROR(INDEX(EHDAll[],MATCH($B205,EHDAll[DEVELOPMENT],0),MATCH("ESTIMATE",EHDAll[#Headers],0)),0)</f>
        <v>0</v>
      </c>
      <c r="AC205" s="5">
        <f ca="1">IFERROR(INDEX(IntAll[],MATCH($B205,IntAll[DEVELOPMENT],0),MATCH("ESTIMATE",IntAll[#Headers],0)),0)</f>
        <v>76335.875</v>
      </c>
      <c r="AD205" s="5">
        <f ca="1">IFERROR(INDEX(YardsAll[],MATCH($B205,YardsAll[DEVELOPMENT],0),MATCH("TOTAL ESTIMATE",YardsAll[#Headers],0)),0)</f>
        <v>2250394.4637300009</v>
      </c>
      <c r="AE205" s="99">
        <f t="shared" ca="1" si="3"/>
        <v>2694539.8314723806</v>
      </c>
      <c r="AF205" s="5"/>
    </row>
    <row r="206" spans="1:32">
      <c r="A206" s="101">
        <f>VLOOKUP(B206,Data[],24,FALSE)</f>
        <v>199</v>
      </c>
      <c r="B206" t="s">
        <v>74</v>
      </c>
      <c r="C206" t="str">
        <f>VLOOKUP(all[[#This Row],[DEVELOPMENT]],Data[],MATCH(all[[#Headers],[PROGRAM]],Data[#Headers],0),FALSE)</f>
        <v>FEDERAL</v>
      </c>
      <c r="D206" t="str">
        <f>VLOOKUP(B206,Data[],2,FALSE)</f>
        <v>MANHATTAN</v>
      </c>
      <c r="E206">
        <f>VLOOKUP(all[[#This Row],[DEVELOPMENT]],Data[],65,FALSE)</f>
        <v>68</v>
      </c>
      <c r="F206" t="e">
        <f>VLOOKUP(all[[#This Row],[DEVELOPMENT]],Data[],3,FALSE)</f>
        <v>#N/A</v>
      </c>
      <c r="G206" s="107" t="s">
        <v>185</v>
      </c>
      <c r="H206" t="s">
        <v>184</v>
      </c>
      <c r="I206">
        <f>VLOOKUP(all[[#This Row],[DEVELOPMENT]],Data[],34,FALSE)</f>
        <v>0</v>
      </c>
      <c r="J206" t="s">
        <v>184</v>
      </c>
      <c r="K206" t="str">
        <f>VLOOKUP(B206,Data[],8,FALSE)</f>
        <v>Zone 2</v>
      </c>
      <c r="L206" t="str">
        <f>VLOOKUP(all[[#This Row],[DEVELOPMENT]],Data[],61,FALSE)</f>
        <v>No</v>
      </c>
      <c r="M206">
        <f>VLOOKUP(B206,Data[],9,FALSE)</f>
        <v>4</v>
      </c>
      <c r="N206">
        <v>3</v>
      </c>
      <c r="O206" t="s">
        <v>185</v>
      </c>
      <c r="P206" t="str">
        <f ca="1">IFERROR(VLOOKUP(B206,Data[],4,FALSE),"")</f>
        <v>2026+</v>
      </c>
      <c r="Q206" t="str">
        <f ca="1">IF(all[[#This Row],[RAD/PACT]]="","",IF(OR(all[[#This Row],[RAD/PACT]]="2021-2025",all[[#This Row],[RAD/PACT]]="2019-2020"),"Yes",""))</f>
        <v/>
      </c>
      <c r="R206">
        <f>VLOOKUP(all[[#This Row],[DEVELOPMENT]],Data[],7,FALSE)</f>
        <v>171</v>
      </c>
      <c r="S206">
        <f>VLOOKUP(all[[#This Row],[DEVELOPMENT]],Data[],25,FALSE)</f>
        <v>0</v>
      </c>
      <c r="T206">
        <f>VLOOKUP(all[[#This Row],[DEVELOPMENT]],Data[],5,FALSE)</f>
        <v>1</v>
      </c>
      <c r="U206">
        <f>VLOOKUP(all[[#This Row],[DEVELOPMENT]],Data[],10,FALSE)</f>
        <v>1</v>
      </c>
      <c r="V206">
        <f>VLOOKUP(all[[#This Row],[DEVELOPMENT]],Data[],10,FALSE)</f>
        <v>1</v>
      </c>
      <c r="W206">
        <f>VLOOKUP(all[[#This Row],[DEVELOPMENT]],Data[],33,FALSE)</f>
        <v>0</v>
      </c>
      <c r="X206">
        <f>VLOOKUP(all[[#This Row],[DEVELOPMENT]],Data[],33,FALSE)</f>
        <v>0</v>
      </c>
      <c r="Y206">
        <f>VLOOKUP(all[[#This Row],[DEVELOPMENT]],Data[],28,FALSE)</f>
        <v>0</v>
      </c>
      <c r="Z206">
        <f>IF(all[[#This Row],['# Bulk Crushers]]=0,1,0)</f>
        <v>1</v>
      </c>
      <c r="AA206" s="5">
        <f ca="1">IFERROR(INDEX(FWD[],MATCH($B206,FWD[DEVELOPMENT],0),MATCH("ESTIMATE",FWD[#Headers],0)),0)</f>
        <v>293903.84700442478</v>
      </c>
      <c r="AB206" s="5">
        <f>IFERROR(INDEX(EHDAll[],MATCH($B206,EHDAll[DEVELOPMENT],0),MATCH("ESTIMATE",EHDAll[#Headers],0)),0)</f>
        <v>0</v>
      </c>
      <c r="AC206" s="5">
        <f ca="1">IFERROR(INDEX(IntAll[],MATCH($B206,IntAll[DEVELOPMENT],0),MATCH("ESTIMATE",IntAll[#Headers],0)),0)</f>
        <v>69711.6875</v>
      </c>
      <c r="AD206" s="5">
        <f ca="1">IFERROR(INDEX(YardsAll[],MATCH($B206,YardsAll[DEVELOPMENT],0),MATCH("TOTAL ESTIMATE",YardsAll[#Headers],0)),0)</f>
        <v>2250394.4637300009</v>
      </c>
      <c r="AE206" s="99">
        <f t="shared" ca="1" si="3"/>
        <v>2614009.9982344257</v>
      </c>
      <c r="AF206" s="5"/>
    </row>
    <row r="207" spans="1:32">
      <c r="A207" s="101">
        <f>VLOOKUP(B207,Data[],24,FALSE)</f>
        <v>312</v>
      </c>
      <c r="B207" t="s">
        <v>314</v>
      </c>
      <c r="C207" t="str">
        <f>VLOOKUP(all[[#This Row],[DEVELOPMENT]],Data[],MATCH(all[[#Headers],[PROGRAM]],Data[#Headers],0),FALSE)</f>
        <v>FEDERAL</v>
      </c>
      <c r="D207" t="str">
        <f>VLOOKUP(B207,Data[],2,FALSE)</f>
        <v>BROOKLYN</v>
      </c>
      <c r="E207" t="str">
        <f>VLOOKUP(all[[#This Row],[DEVELOPMENT]],Data[],65,FALSE)</f>
        <v>55, 56</v>
      </c>
      <c r="F207" t="e">
        <f>VLOOKUP(all[[#This Row],[DEVELOPMENT]],Data[],3,FALSE)</f>
        <v>#N/A</v>
      </c>
      <c r="G207" s="107" t="s">
        <v>185</v>
      </c>
      <c r="H207" t="s">
        <v>184</v>
      </c>
      <c r="I207">
        <f>VLOOKUP(all[[#This Row],[DEVELOPMENT]],Data[],34,FALSE)</f>
        <v>0</v>
      </c>
      <c r="J207" t="s">
        <v>184</v>
      </c>
      <c r="K207" t="str">
        <f>VLOOKUP(B207,Data[],8,FALSE)</f>
        <v>Zone 4</v>
      </c>
      <c r="L207" t="str">
        <f>VLOOKUP(all[[#This Row],[DEVELOPMENT]],Data[],61,FALSE)</f>
        <v>No</v>
      </c>
      <c r="M207">
        <f>VLOOKUP(B207,Data[],9,FALSE)</f>
        <v>0</v>
      </c>
      <c r="N207">
        <v>3</v>
      </c>
      <c r="O207" t="s">
        <v>185</v>
      </c>
      <c r="P207" t="str">
        <f ca="1">IFERROR(VLOOKUP(B207,Data[],4,FALSE),"")</f>
        <v>2022-2025</v>
      </c>
      <c r="Q207" t="str">
        <f ca="1">IF(all[[#This Row],[RAD/PACT]]="","",IF(OR(all[[#This Row],[RAD/PACT]]="2021-2025",all[[#This Row],[RAD/PACT]]="2019-2020"),"Yes",""))</f>
        <v/>
      </c>
      <c r="R207">
        <f>VLOOKUP(all[[#This Row],[DEVELOPMENT]],Data[],7,FALSE)</f>
        <v>121</v>
      </c>
      <c r="S207" t="str">
        <f>VLOOKUP(all[[#This Row],[DEVELOPMENT]],Data[],25,FALSE)</f>
        <v>Newtown Creek</v>
      </c>
      <c r="T207">
        <f>VLOOKUP(all[[#This Row],[DEVELOPMENT]],Data[],5,FALSE)</f>
        <v>8</v>
      </c>
      <c r="U207">
        <f>VLOOKUP(all[[#This Row],[DEVELOPMENT]],Data[],10,FALSE)</f>
        <v>8</v>
      </c>
      <c r="V207">
        <f>VLOOKUP(all[[#This Row],[DEVELOPMENT]],Data[],10,FALSE)</f>
        <v>8</v>
      </c>
      <c r="W207">
        <f>VLOOKUP(all[[#This Row],[DEVELOPMENT]],Data[],33,FALSE)</f>
        <v>0</v>
      </c>
      <c r="X207">
        <f>VLOOKUP(all[[#This Row],[DEVELOPMENT]],Data[],33,FALSE)</f>
        <v>0</v>
      </c>
      <c r="Y207">
        <f>VLOOKUP(all[[#This Row],[DEVELOPMENT]],Data[],28,FALSE)</f>
        <v>0</v>
      </c>
      <c r="Z207">
        <f>IF(all[[#This Row],['# Bulk Crushers]]=0,1,0)</f>
        <v>1</v>
      </c>
      <c r="AA207" s="5">
        <f ca="1">IFERROR(INDEX(FWD[],MATCH($B207,FWD[DEVELOPMENT],0),MATCH("ESTIMATE",FWD[#Headers],0)),0)</f>
        <v>207967.04963470993</v>
      </c>
      <c r="AB207" s="5">
        <f ca="1">IFERROR(INDEX(EHDAll[],MATCH($B207,EHDAll[DEVELOPMENT],0),MATCH("ESTIMATE",EHDAll[#Headers],0)),0)</f>
        <v>69895.048900000009</v>
      </c>
      <c r="AC207" s="5">
        <f ca="1">IFERROR(INDEX(IntAll[],MATCH($B207,IntAll[DEVELOPMENT],0),MATCH("ESTIMATE",IntAll[#Headers],0)),0)</f>
        <v>0</v>
      </c>
      <c r="AD207" s="5">
        <f ca="1">IFERROR(INDEX(YardsAll[],MATCH($B207,YardsAll[DEVELOPMENT],0),MATCH("TOTAL ESTIMATE",YardsAll[#Headers],0)),0)</f>
        <v>0</v>
      </c>
      <c r="AE207" s="99">
        <f t="shared" ca="1" si="3"/>
        <v>277862.09853470995</v>
      </c>
      <c r="AF207" s="5"/>
    </row>
    <row r="208" spans="1:32">
      <c r="A208" s="101">
        <f>VLOOKUP(B208,Data[],24,FALSE)</f>
        <v>70</v>
      </c>
      <c r="B208" t="s">
        <v>315</v>
      </c>
      <c r="C208" t="str">
        <f>VLOOKUP(all[[#This Row],[DEVELOPMENT]],Data[],MATCH(all[[#Headers],[PROGRAM]],Data[#Headers],0),FALSE)</f>
        <v>FEDERAL</v>
      </c>
      <c r="D208" t="str">
        <f>VLOOKUP(B208,Data[],2,FALSE)</f>
        <v>BROOKLYN</v>
      </c>
      <c r="E208">
        <f>VLOOKUP(all[[#This Row],[DEVELOPMENT]],Data[],65,FALSE)</f>
        <v>60</v>
      </c>
      <c r="F208" t="e">
        <f>VLOOKUP(all[[#This Row],[DEVELOPMENT]],Data[],3,FALSE)</f>
        <v>#N/A</v>
      </c>
      <c r="G208" s="107" t="s">
        <v>185</v>
      </c>
      <c r="H208" t="s">
        <v>184</v>
      </c>
      <c r="I208">
        <f>VLOOKUP(all[[#This Row],[DEVELOPMENT]],Data[],34,FALSE)</f>
        <v>0</v>
      </c>
      <c r="J208" t="s">
        <v>184</v>
      </c>
      <c r="K208">
        <f>VLOOKUP(B208,Data[],8,FALSE)</f>
        <v>0</v>
      </c>
      <c r="L208" t="str">
        <f>VLOOKUP(all[[#This Row],[DEVELOPMENT]],Data[],61,FALSE)</f>
        <v>No</v>
      </c>
      <c r="M208">
        <f>VLOOKUP(B208,Data[],9,FALSE)</f>
        <v>0</v>
      </c>
      <c r="N208">
        <v>2</v>
      </c>
      <c r="O208">
        <v>4</v>
      </c>
      <c r="P208" t="str">
        <f ca="1">IFERROR(VLOOKUP(B208,Data[],4,FALSE),"")</f>
        <v>2022-2025</v>
      </c>
      <c r="Q208" t="str">
        <f ca="1">IF(all[[#This Row],[RAD/PACT]]="","",IF(OR(all[[#This Row],[RAD/PACT]]="2021-2025",all[[#This Row],[RAD/PACT]]="2019-2020"),"Yes",""))</f>
        <v/>
      </c>
      <c r="R208">
        <f>VLOOKUP(all[[#This Row],[DEVELOPMENT]],Data[],7,FALSE)</f>
        <v>1439</v>
      </c>
      <c r="S208">
        <f>VLOOKUP(all[[#This Row],[DEVELOPMENT]],Data[],25,FALSE)</f>
        <v>0</v>
      </c>
      <c r="T208">
        <f>VLOOKUP(all[[#This Row],[DEVELOPMENT]],Data[],5,FALSE)</f>
        <v>15</v>
      </c>
      <c r="U208">
        <f>VLOOKUP(all[[#This Row],[DEVELOPMENT]],Data[],10,FALSE)</f>
        <v>30</v>
      </c>
      <c r="V208">
        <f>VLOOKUP(all[[#This Row],[DEVELOPMENT]],Data[],10,FALSE)</f>
        <v>30</v>
      </c>
      <c r="W208">
        <f>VLOOKUP(all[[#This Row],[DEVELOPMENT]],Data[],33,FALSE)</f>
        <v>3</v>
      </c>
      <c r="X208">
        <f>VLOOKUP(all[[#This Row],[DEVELOPMENT]],Data[],33,FALSE)</f>
        <v>3</v>
      </c>
      <c r="Y208">
        <f>VLOOKUP(all[[#This Row],[DEVELOPMENT]],Data[],28,FALSE)</f>
        <v>0</v>
      </c>
      <c r="Z208">
        <f>IF(all[[#This Row],['# Bulk Crushers]]=0,1,0)</f>
        <v>1</v>
      </c>
      <c r="AA208" s="5">
        <f ca="1">IFERROR(INDEX(FWD[],MATCH($B208,FWD[DEVELOPMENT],0),MATCH("ESTIMATE",FWD[#Headers],0)),0)</f>
        <v>2473261.0283003934</v>
      </c>
      <c r="AB208" s="5">
        <f ca="1">IFERROR(INDEX(EHDAll[],MATCH($B208,EHDAll[DEVELOPMENT],0),MATCH("ESTIMATE",EHDAll[#Headers],0)),0)</f>
        <v>254299.00770000002</v>
      </c>
      <c r="AC208" s="5">
        <f ca="1">IFERROR(INDEX(IntAll[],MATCH($B208,IntAll[DEVELOPMENT],0),MATCH("ESTIMATE",IntAll[#Headers],0)),0)</f>
        <v>0</v>
      </c>
      <c r="AD208" s="5">
        <f ca="1">IFERROR(INDEX(YardsAll[],MATCH($B208,YardsAll[DEVELOPMENT],0),MATCH("TOTAL ESTIMATE",YardsAll[#Headers],0)),0)</f>
        <v>0</v>
      </c>
      <c r="AE208" s="99">
        <f t="shared" ca="1" si="3"/>
        <v>2727560.0360003933</v>
      </c>
      <c r="AF208" s="5"/>
    </row>
    <row r="209" spans="1:32">
      <c r="A209" s="101">
        <f>VLOOKUP(B209,Data[],24,FALSE)</f>
        <v>148</v>
      </c>
      <c r="B209" t="s">
        <v>75</v>
      </c>
      <c r="C209" t="str">
        <f>VLOOKUP(all[[#This Row],[DEVELOPMENT]],Data[],MATCH(all[[#Headers],[PROGRAM]],Data[#Headers],0),FALSE)</f>
        <v>FEDERAL</v>
      </c>
      <c r="D209" t="str">
        <f>VLOOKUP(B209,Data[],2,FALSE)</f>
        <v>MANHATTAN</v>
      </c>
      <c r="E209">
        <f>VLOOKUP(all[[#This Row],[DEVELOPMENT]],Data[],65,FALSE)</f>
        <v>69</v>
      </c>
      <c r="F209" t="e">
        <f>VLOOKUP(all[[#This Row],[DEVELOPMENT]],Data[],3,FALSE)</f>
        <v>#N/A</v>
      </c>
      <c r="G209" s="107" t="s">
        <v>185</v>
      </c>
      <c r="H209" t="s">
        <v>184</v>
      </c>
      <c r="I209">
        <f>VLOOKUP(all[[#This Row],[DEVELOPMENT]],Data[],34,FALSE)</f>
        <v>0</v>
      </c>
      <c r="J209" t="s">
        <v>184</v>
      </c>
      <c r="K209" t="str">
        <f>VLOOKUP(B209,Data[],8,FALSE)</f>
        <v>Zone 3</v>
      </c>
      <c r="L209" t="str">
        <f>VLOOKUP(all[[#This Row],[DEVELOPMENT]],Data[],61,FALSE)</f>
        <v>No</v>
      </c>
      <c r="M209">
        <f>VLOOKUP(B209,Data[],9,FALSE)</f>
        <v>4</v>
      </c>
      <c r="N209">
        <v>2</v>
      </c>
      <c r="O209" t="s">
        <v>185</v>
      </c>
      <c r="P209" t="str">
        <f ca="1">IFERROR(VLOOKUP(B209,Data[],4,FALSE),"")</f>
        <v/>
      </c>
      <c r="Q209" t="str">
        <f ca="1">IF(all[[#This Row],[RAD/PACT]]="","",IF(OR(all[[#This Row],[RAD/PACT]]="2021-2025",all[[#This Row],[RAD/PACT]]="2019-2020"),"Yes",""))</f>
        <v/>
      </c>
      <c r="R209">
        <f>VLOOKUP(all[[#This Row],[DEVELOPMENT]],Data[],7,FALSE)</f>
        <v>135</v>
      </c>
      <c r="S209">
        <f>VLOOKUP(all[[#This Row],[DEVELOPMENT]],Data[],25,FALSE)</f>
        <v>0</v>
      </c>
      <c r="T209">
        <f>VLOOKUP(all[[#This Row],[DEVELOPMENT]],Data[],5,FALSE)</f>
        <v>1</v>
      </c>
      <c r="U209">
        <f>VLOOKUP(all[[#This Row],[DEVELOPMENT]],Data[],10,FALSE)</f>
        <v>1</v>
      </c>
      <c r="V209">
        <f>VLOOKUP(all[[#This Row],[DEVELOPMENT]],Data[],10,FALSE)</f>
        <v>1</v>
      </c>
      <c r="W209">
        <f>VLOOKUP(all[[#This Row],[DEVELOPMENT]],Data[],33,FALSE)</f>
        <v>0</v>
      </c>
      <c r="X209">
        <f>VLOOKUP(all[[#This Row],[DEVELOPMENT]],Data[],33,FALSE)</f>
        <v>0</v>
      </c>
      <c r="Y209">
        <f>VLOOKUP(all[[#This Row],[DEVELOPMENT]],Data[],28,FALSE)</f>
        <v>0</v>
      </c>
      <c r="Z209">
        <f>IF(all[[#This Row],['# Bulk Crushers]]=0,1,0)</f>
        <v>1</v>
      </c>
      <c r="AA209" s="5">
        <f ca="1">IFERROR(INDEX(FWD[],MATCH($B209,FWD[DEVELOPMENT],0),MATCH("ESTIMATE",FWD[#Headers],0)),0)</f>
        <v>232029.35289823011</v>
      </c>
      <c r="AB209" s="5">
        <f>IFERROR(INDEX(EHDAll[],MATCH($B209,EHDAll[DEVELOPMENT],0),MATCH("ESTIMATE",EHDAll[#Headers],0)),0)</f>
        <v>0</v>
      </c>
      <c r="AC209" s="5">
        <f ca="1">IFERROR(INDEX(IntAll[],MATCH($B209,IntAll[DEVELOPMENT],0),MATCH("ESTIMATE",IntAll[#Headers],0)),0)</f>
        <v>63087.5</v>
      </c>
      <c r="AD209" s="5">
        <f ca="1">IFERROR(INDEX(YardsAll[],MATCH($B209,YardsAll[DEVELOPMENT],0),MATCH("TOTAL ESTIMATE",YardsAll[#Headers],0)),0)</f>
        <v>2187130.3623400005</v>
      </c>
      <c r="AE209" s="99">
        <f t="shared" ca="1" si="3"/>
        <v>2482247.2152382303</v>
      </c>
      <c r="AF209" s="5"/>
    </row>
    <row r="210" spans="1:32">
      <c r="A210" s="101">
        <f>VLOOKUP(B210,Data[],24,FALSE)</f>
        <v>582</v>
      </c>
      <c r="B210" t="s">
        <v>76</v>
      </c>
      <c r="C210" t="str">
        <f>VLOOKUP(all[[#This Row],[DEVELOPMENT]],Data[],MATCH(all[[#Headers],[PROGRAM]],Data[#Headers],0),FALSE)</f>
        <v>FEDERAL</v>
      </c>
      <c r="D210" t="str">
        <f>VLOOKUP(B210,Data[],2,FALSE)</f>
        <v>MANHATTAN</v>
      </c>
      <c r="E210">
        <f>VLOOKUP(all[[#This Row],[DEVELOPMENT]],Data[],65,FALSE)</f>
        <v>69</v>
      </c>
      <c r="F210" t="e">
        <f>VLOOKUP(all[[#This Row],[DEVELOPMENT]],Data[],3,FALSE)</f>
        <v>#N/A</v>
      </c>
      <c r="G210" s="107" t="s">
        <v>185</v>
      </c>
      <c r="H210" t="s">
        <v>184</v>
      </c>
      <c r="I210">
        <f>VLOOKUP(all[[#This Row],[DEVELOPMENT]],Data[],34,FALSE)</f>
        <v>0</v>
      </c>
      <c r="J210" t="s">
        <v>184</v>
      </c>
      <c r="K210" t="str">
        <f>VLOOKUP(B210,Data[],8,FALSE)</f>
        <v>Zone 3</v>
      </c>
      <c r="L210" t="str">
        <f>VLOOKUP(all[[#This Row],[DEVELOPMENT]],Data[],61,FALSE)</f>
        <v>No</v>
      </c>
      <c r="M210">
        <f>VLOOKUP(B210,Data[],9,FALSE)</f>
        <v>2</v>
      </c>
      <c r="N210">
        <v>3</v>
      </c>
      <c r="O210" t="s">
        <v>185</v>
      </c>
      <c r="P210" t="str">
        <f ca="1">IFERROR(VLOOKUP(B210,Data[],4,FALSE),"")</f>
        <v/>
      </c>
      <c r="Q210" t="str">
        <f ca="1">IF(all[[#This Row],[RAD/PACT]]="","",IF(OR(all[[#This Row],[RAD/PACT]]="2021-2025",all[[#This Row],[RAD/PACT]]="2019-2020"),"Yes",""))</f>
        <v/>
      </c>
      <c r="R210">
        <f>VLOOKUP(all[[#This Row],[DEVELOPMENT]],Data[],7,FALSE)</f>
        <v>752</v>
      </c>
      <c r="S210">
        <f>VLOOKUP(all[[#This Row],[DEVELOPMENT]],Data[],25,FALSE)</f>
        <v>0</v>
      </c>
      <c r="T210">
        <f>VLOOKUP(all[[#This Row],[DEVELOPMENT]],Data[],5,FALSE)</f>
        <v>6</v>
      </c>
      <c r="U210">
        <f>VLOOKUP(all[[#This Row],[DEVELOPMENT]],Data[],10,FALSE)</f>
        <v>6</v>
      </c>
      <c r="V210">
        <f>VLOOKUP(all[[#This Row],[DEVELOPMENT]],Data[],10,FALSE)</f>
        <v>6</v>
      </c>
      <c r="W210">
        <f>VLOOKUP(all[[#This Row],[DEVELOPMENT]],Data[],33,FALSE)</f>
        <v>0</v>
      </c>
      <c r="X210">
        <f>VLOOKUP(all[[#This Row],[DEVELOPMENT]],Data[],33,FALSE)</f>
        <v>0</v>
      </c>
      <c r="Y210">
        <f>VLOOKUP(all[[#This Row],[DEVELOPMENT]],Data[],28,FALSE)</f>
        <v>0</v>
      </c>
      <c r="Z210">
        <f>IF(all[[#This Row],['# Bulk Crushers]]=0,1,0)</f>
        <v>1</v>
      </c>
      <c r="AA210" s="5">
        <f ca="1">IFERROR(INDEX(FWD[],MATCH($B210,FWD[DEVELOPMENT],0),MATCH("ESTIMATE",FWD[#Headers],0)),0)</f>
        <v>1292489.4324405114</v>
      </c>
      <c r="AB210" s="5">
        <f ca="1">IFERROR(INDEX(EHDAll[],MATCH($B210,EHDAll[DEVELOPMENT],0),MATCH("ESTIMATE",EHDAll[#Headers],0)),0)</f>
        <v>0</v>
      </c>
      <c r="AC210" s="5">
        <f ca="1">IFERROR(INDEX(IntAll[],MATCH($B210,IntAll[DEVELOPMENT],0),MATCH("ESTIMATE",IntAll[#Headers],0)),0)</f>
        <v>418270.125</v>
      </c>
      <c r="AD210" s="5">
        <f ca="1">IFERROR(INDEX(YardsAll[],MATCH($B210,YardsAll[DEVELOPMENT],0),MATCH("TOTAL ESTIMATE",YardsAll[#Headers],0)),0)</f>
        <v>2250394.4637300009</v>
      </c>
      <c r="AE210" s="99">
        <f t="shared" ca="1" si="3"/>
        <v>3961154.0211705123</v>
      </c>
      <c r="AF210" s="5"/>
    </row>
    <row r="211" spans="1:32">
      <c r="A211" s="101">
        <f>VLOOKUP(B211,Data[],24,FALSE)</f>
        <v>263</v>
      </c>
      <c r="B211" t="s">
        <v>316</v>
      </c>
      <c r="C211" t="str">
        <f>VLOOKUP(all[[#This Row],[DEVELOPMENT]],Data[],MATCH(all[[#Headers],[PROGRAM]],Data[#Headers],0),FALSE)</f>
        <v>FEDERAL</v>
      </c>
      <c r="D211" t="str">
        <f>VLOOKUP(B211,Data[],2,FALSE)</f>
        <v>BROOKLYN</v>
      </c>
      <c r="E211">
        <f>VLOOKUP(all[[#This Row],[DEVELOPMENT]],Data[],65,FALSE)</f>
        <v>60</v>
      </c>
      <c r="F211" t="e">
        <f>VLOOKUP(all[[#This Row],[DEVELOPMENT]],Data[],3,FALSE)</f>
        <v>#N/A</v>
      </c>
      <c r="G211" s="107" t="s">
        <v>185</v>
      </c>
      <c r="H211" t="s">
        <v>184</v>
      </c>
      <c r="I211">
        <f>VLOOKUP(all[[#This Row],[DEVELOPMENT]],Data[],34,FALSE)</f>
        <v>0</v>
      </c>
      <c r="J211" t="s">
        <v>184</v>
      </c>
      <c r="K211">
        <f>VLOOKUP(B211,Data[],8,FALSE)</f>
        <v>0</v>
      </c>
      <c r="L211" t="str">
        <f>VLOOKUP(all[[#This Row],[DEVELOPMENT]],Data[],61,FALSE)</f>
        <v>No</v>
      </c>
      <c r="M211">
        <f>VLOOKUP(B211,Data[],9,FALSE)</f>
        <v>0</v>
      </c>
      <c r="N211">
        <v>3</v>
      </c>
      <c r="O211">
        <v>4</v>
      </c>
      <c r="P211" t="str">
        <f ca="1">IFERROR(VLOOKUP(B211,Data[],4,FALSE),"")</f>
        <v>2022-2025</v>
      </c>
      <c r="Q211" t="str">
        <f ca="1">IF(all[[#This Row],[RAD/PACT]]="","",IF(OR(all[[#This Row],[RAD/PACT]]="2021-2025",all[[#This Row],[RAD/PACT]]="2019-2020"),"Yes",""))</f>
        <v/>
      </c>
      <c r="R211">
        <f>VLOOKUP(all[[#This Row],[DEVELOPMENT]],Data[],7,FALSE)</f>
        <v>66</v>
      </c>
      <c r="S211">
        <f>VLOOKUP(all[[#This Row],[DEVELOPMENT]],Data[],25,FALSE)</f>
        <v>0</v>
      </c>
      <c r="T211">
        <f>VLOOKUP(all[[#This Row],[DEVELOPMENT]],Data[],5,FALSE)</f>
        <v>33</v>
      </c>
      <c r="U211">
        <f>VLOOKUP(all[[#This Row],[DEVELOPMENT]],Data[],10,FALSE)</f>
        <v>0</v>
      </c>
      <c r="V211">
        <f>VLOOKUP(all[[#This Row],[DEVELOPMENT]],Data[],10,FALSE)</f>
        <v>0</v>
      </c>
      <c r="W211">
        <f>VLOOKUP(all[[#This Row],[DEVELOPMENT]],Data[],33,FALSE)</f>
        <v>0</v>
      </c>
      <c r="X211">
        <f>VLOOKUP(all[[#This Row],[DEVELOPMENT]],Data[],33,FALSE)</f>
        <v>0</v>
      </c>
      <c r="Y211">
        <f>VLOOKUP(all[[#This Row],[DEVELOPMENT]],Data[],28,FALSE)</f>
        <v>0</v>
      </c>
      <c r="Z211">
        <f>IF(all[[#This Row],['# Bulk Crushers]]=0,1,0)</f>
        <v>1</v>
      </c>
      <c r="AA211" s="5">
        <f ca="1">IFERROR(INDEX(FWD[],MATCH($B211,FWD[DEVELOPMENT],0),MATCH("ESTIMATE",FWD[#Headers],0)),0)</f>
        <v>113436.57252802361</v>
      </c>
      <c r="AB211" s="5">
        <f ca="1">IFERROR(INDEX(EHDAll[],MATCH($B211,EHDAll[DEVELOPMENT],0),MATCH("ESTIMATE",EHDAll[#Headers],0)),0)</f>
        <v>0</v>
      </c>
      <c r="AC211" s="5">
        <f ca="1">IFERROR(INDEX(IntAll[],MATCH($B211,IntAll[DEVELOPMENT],0),MATCH("ESTIMATE",IntAll[#Headers],0)),0)</f>
        <v>0</v>
      </c>
      <c r="AD211" s="5">
        <f ca="1">IFERROR(INDEX(YardsAll[],MATCH($B211,YardsAll[DEVELOPMENT],0),MATCH("TOTAL ESTIMATE",YardsAll[#Headers],0)),0)</f>
        <v>0</v>
      </c>
      <c r="AE211" s="99">
        <f t="shared" ca="1" si="3"/>
        <v>113436.57252802361</v>
      </c>
      <c r="AF211" s="5"/>
    </row>
    <row r="212" spans="1:32">
      <c r="A212" s="101">
        <f>VLOOKUP(B212,Data[],24,FALSE)</f>
        <v>9</v>
      </c>
      <c r="B212" t="s">
        <v>78</v>
      </c>
      <c r="C212" t="str">
        <f>VLOOKUP(all[[#This Row],[DEVELOPMENT]],Data[],MATCH(all[[#Headers],[PROGRAM]],Data[#Headers],0),FALSE)</f>
        <v>FEDERAL</v>
      </c>
      <c r="D212" t="str">
        <f>VLOOKUP(B212,Data[],2,FALSE)</f>
        <v>MANHATTAN</v>
      </c>
      <c r="E212">
        <f>VLOOKUP(all[[#This Row],[DEVELOPMENT]],Data[],65,FALSE)</f>
        <v>68</v>
      </c>
      <c r="F212" t="e">
        <f>VLOOKUP(all[[#This Row],[DEVELOPMENT]],Data[],3,FALSE)</f>
        <v>#N/A</v>
      </c>
      <c r="G212" s="107" t="s">
        <v>185</v>
      </c>
      <c r="H212" t="s">
        <v>184</v>
      </c>
      <c r="I212">
        <f>VLOOKUP(all[[#This Row],[DEVELOPMENT]],Data[],34,FALSE)</f>
        <v>0</v>
      </c>
      <c r="J212" t="s">
        <v>184</v>
      </c>
      <c r="K212" t="str">
        <f>VLOOKUP(B212,Data[],8,FALSE)</f>
        <v>Zone 2</v>
      </c>
      <c r="L212" t="str">
        <f>VLOOKUP(all[[#This Row],[DEVELOPMENT]],Data[],61,FALSE)</f>
        <v>No</v>
      </c>
      <c r="M212">
        <f>VLOOKUP(B212,Data[],9,FALSE)</f>
        <v>4</v>
      </c>
      <c r="N212">
        <v>4</v>
      </c>
      <c r="O212" t="s">
        <v>185</v>
      </c>
      <c r="P212" t="str">
        <f ca="1">IFERROR(VLOOKUP(B212,Data[],4,FALSE),"")</f>
        <v>2022-2025</v>
      </c>
      <c r="Q212" t="str">
        <f ca="1">IF(all[[#This Row],[RAD/PACT]]="","",IF(OR(all[[#This Row],[RAD/PACT]]="2021-2025",all[[#This Row],[RAD/PACT]]="2019-2020"),"Yes",""))</f>
        <v/>
      </c>
      <c r="R212">
        <f>VLOOKUP(all[[#This Row],[DEVELOPMENT]],Data[],7,FALSE)</f>
        <v>1156</v>
      </c>
      <c r="S212">
        <f>VLOOKUP(all[[#This Row],[DEVELOPMENT]],Data[],25,FALSE)</f>
        <v>0</v>
      </c>
      <c r="T212">
        <f>VLOOKUP(all[[#This Row],[DEVELOPMENT]],Data[],5,FALSE)</f>
        <v>10</v>
      </c>
      <c r="U212">
        <f>VLOOKUP(all[[#This Row],[DEVELOPMENT]],Data[],10,FALSE)</f>
        <v>29</v>
      </c>
      <c r="V212">
        <f>VLOOKUP(all[[#This Row],[DEVELOPMENT]],Data[],10,FALSE)</f>
        <v>29</v>
      </c>
      <c r="W212">
        <f>VLOOKUP(all[[#This Row],[DEVELOPMENT]],Data[],33,FALSE)</f>
        <v>2</v>
      </c>
      <c r="X212">
        <f>VLOOKUP(all[[#This Row],[DEVELOPMENT]],Data[],33,FALSE)</f>
        <v>2</v>
      </c>
      <c r="Y212">
        <f>VLOOKUP(all[[#This Row],[DEVELOPMENT]],Data[],28,FALSE)</f>
        <v>0</v>
      </c>
      <c r="Z212">
        <f>IF(all[[#This Row],['# Bulk Crushers]]=0,1,0)</f>
        <v>1</v>
      </c>
      <c r="AA212" s="5">
        <f ca="1">IFERROR(INDEX(FWD[],MATCH($B212,FWD[DEVELOPMENT],0),MATCH("ESTIMATE",FWD[#Headers],0)),0)</f>
        <v>1986858.7551878074</v>
      </c>
      <c r="AB212" s="5">
        <f ca="1">IFERROR(INDEX(EHDAll[],MATCH($B212,EHDAll[DEVELOPMENT],0),MATCH("ESTIMATE",EHDAll[#Headers],0)),0)</f>
        <v>223180.8396525</v>
      </c>
      <c r="AC212" s="5">
        <f ca="1">IFERROR(INDEX(IntAll[],MATCH($B212,IntAll[DEVELOPMENT],0),MATCH("ESTIMATE",IntAll[#Headers],0)),0)</f>
        <v>0</v>
      </c>
      <c r="AD212" s="5">
        <f ca="1">IFERROR(INDEX(YardsAll[],MATCH($B212,YardsAll[DEVELOPMENT],0),MATCH("TOTAL ESTIMATE",YardsAll[#Headers],0)),0)</f>
        <v>0</v>
      </c>
      <c r="AE212" s="99">
        <f t="shared" ca="1" si="3"/>
        <v>2210039.5948403073</v>
      </c>
      <c r="AF212" s="5"/>
    </row>
    <row r="213" spans="1:32">
      <c r="A213" s="101">
        <f>VLOOKUP(B213,Data[],24,FALSE)</f>
        <v>34</v>
      </c>
      <c r="B213" t="s">
        <v>317</v>
      </c>
      <c r="C213" t="str">
        <f>VLOOKUP(all[[#This Row],[DEVELOPMENT]],Data[],MATCH(all[[#Headers],[PROGRAM]],Data[#Headers],0),FALSE)</f>
        <v>FEDERAL</v>
      </c>
      <c r="D213" t="str">
        <f>VLOOKUP(B213,Data[],2,FALSE)</f>
        <v>BRONX</v>
      </c>
      <c r="E213">
        <f>VLOOKUP(all[[#This Row],[DEVELOPMENT]],Data[],65,FALSE)</f>
        <v>83</v>
      </c>
      <c r="F213" t="e">
        <f>VLOOKUP(all[[#This Row],[DEVELOPMENT]],Data[],3,FALSE)</f>
        <v>#N/A</v>
      </c>
      <c r="G213" s="107" t="s">
        <v>185</v>
      </c>
      <c r="H213" t="s">
        <v>184</v>
      </c>
      <c r="I213">
        <f>VLOOKUP(all[[#This Row],[DEVELOPMENT]],Data[],34,FALSE)</f>
        <v>0</v>
      </c>
      <c r="J213" t="s">
        <v>184</v>
      </c>
      <c r="K213">
        <f>VLOOKUP(B213,Data[],8,FALSE)</f>
        <v>0</v>
      </c>
      <c r="L213" t="str">
        <f>VLOOKUP(all[[#This Row],[DEVELOPMENT]],Data[],61,FALSE)</f>
        <v>No</v>
      </c>
      <c r="M213">
        <f>VLOOKUP(B213,Data[],9,FALSE)</f>
        <v>0</v>
      </c>
      <c r="N213">
        <v>3</v>
      </c>
      <c r="O213" t="s">
        <v>185</v>
      </c>
      <c r="P213" t="str">
        <f ca="1">IFERROR(VLOOKUP(B213,Data[],4,FALSE),"")</f>
        <v>2026+</v>
      </c>
      <c r="Q213" t="str">
        <f ca="1">IF(all[[#This Row],[RAD/PACT]]="","",IF(OR(all[[#This Row],[RAD/PACT]]="2021-2025",all[[#This Row],[RAD/PACT]]="2019-2020"),"Yes",""))</f>
        <v/>
      </c>
      <c r="R213">
        <f>VLOOKUP(all[[#This Row],[DEVELOPMENT]],Data[],7,FALSE)</f>
        <v>877</v>
      </c>
      <c r="S213">
        <f>VLOOKUP(all[[#This Row],[DEVELOPMENT]],Data[],25,FALSE)</f>
        <v>0</v>
      </c>
      <c r="T213">
        <f>VLOOKUP(all[[#This Row],[DEVELOPMENT]],Data[],5,FALSE)</f>
        <v>10</v>
      </c>
      <c r="U213">
        <f>VLOOKUP(all[[#This Row],[DEVELOPMENT]],Data[],10,FALSE)</f>
        <v>15</v>
      </c>
      <c r="V213">
        <f>VLOOKUP(all[[#This Row],[DEVELOPMENT]],Data[],10,FALSE)</f>
        <v>15</v>
      </c>
      <c r="W213">
        <f>VLOOKUP(all[[#This Row],[DEVELOPMENT]],Data[],33,FALSE)</f>
        <v>2</v>
      </c>
      <c r="X213">
        <f>VLOOKUP(all[[#This Row],[DEVELOPMENT]],Data[],33,FALSE)</f>
        <v>2</v>
      </c>
      <c r="Y213">
        <f>VLOOKUP(all[[#This Row],[DEVELOPMENT]],Data[],28,FALSE)</f>
        <v>0</v>
      </c>
      <c r="Z213">
        <f>IF(all[[#This Row],['# Bulk Crushers]]=0,1,0)</f>
        <v>1</v>
      </c>
      <c r="AA213" s="5">
        <f ca="1">IFERROR(INDEX(FWD[],MATCH($B213,FWD[DEVELOPMENT],0),MATCH("ESTIMATE",FWD[#Headers],0)),0)</f>
        <v>1507331.4258647985</v>
      </c>
      <c r="AB213" s="5">
        <f ca="1">IFERROR(INDEX(EHDAll[],MATCH($B213,EHDAll[DEVELOPMENT],0),MATCH("ESTIMATE",EHDAll[#Headers],0)),0)</f>
        <v>127149.50385000001</v>
      </c>
      <c r="AC213" s="5">
        <f ca="1">IFERROR(INDEX(IntAll[],MATCH($B213,IntAll[DEVELOPMENT],0),MATCH("ESTIMATE",IntAll[#Headers],0)),0)</f>
        <v>1111917.1875</v>
      </c>
      <c r="AD213" s="5">
        <f ca="1">IFERROR(INDEX(YardsAll[],MATCH($B213,YardsAll[DEVELOPMENT],0),MATCH("TOTAL ESTIMATE",YardsAll[#Headers],0)),0)</f>
        <v>2586149.0131200007</v>
      </c>
      <c r="AE213" s="99">
        <f t="shared" ca="1" si="3"/>
        <v>5332547.1303347992</v>
      </c>
      <c r="AF213" s="5"/>
    </row>
    <row r="214" spans="1:32">
      <c r="A214" s="101">
        <f>VLOOKUP(B214,Data[],24,FALSE)</f>
        <v>205</v>
      </c>
      <c r="B214" t="s">
        <v>318</v>
      </c>
      <c r="C214" t="str">
        <f>VLOOKUP(all[[#This Row],[DEVELOPMENT]],Data[],MATCH(all[[#Headers],[PROGRAM]],Data[#Headers],0),FALSE)</f>
        <v>FEDERAL</v>
      </c>
      <c r="D214" t="str">
        <f>VLOOKUP(B214,Data[],2,FALSE)</f>
        <v>BROOKLYN</v>
      </c>
      <c r="E214">
        <f>VLOOKUP(all[[#This Row],[DEVELOPMENT]],Data[],65,FALSE)</f>
        <v>43</v>
      </c>
      <c r="F214" t="e">
        <f>VLOOKUP(all[[#This Row],[DEVELOPMENT]],Data[],3,FALSE)</f>
        <v>#N/A</v>
      </c>
      <c r="G214" s="107" t="s">
        <v>185</v>
      </c>
      <c r="H214" t="s">
        <v>184</v>
      </c>
      <c r="I214">
        <f>VLOOKUP(all[[#This Row],[DEVELOPMENT]],Data[],34,FALSE)</f>
        <v>0</v>
      </c>
      <c r="J214" t="s">
        <v>184</v>
      </c>
      <c r="K214">
        <f>VLOOKUP(B214,Data[],8,FALSE)</f>
        <v>0</v>
      </c>
      <c r="L214" t="str">
        <f>VLOOKUP(all[[#This Row],[DEVELOPMENT]],Data[],61,FALSE)</f>
        <v>No</v>
      </c>
      <c r="M214">
        <f>VLOOKUP(B214,Data[],9,FALSE)</f>
        <v>0</v>
      </c>
      <c r="N214">
        <v>2</v>
      </c>
      <c r="O214" t="s">
        <v>185</v>
      </c>
      <c r="P214" t="str">
        <f ca="1">IFERROR(VLOOKUP(B214,Data[],4,FALSE),"")</f>
        <v>2020-2021</v>
      </c>
      <c r="Q214" t="str">
        <f ca="1">IF(all[[#This Row],[RAD/PACT]]="","",IF(OR(all[[#This Row],[RAD/PACT]]="2021-2025",all[[#This Row],[RAD/PACT]]="2019-2020"),"Yes",""))</f>
        <v/>
      </c>
      <c r="R214">
        <f>VLOOKUP(all[[#This Row],[DEVELOPMENT]],Data[],7,FALSE)</f>
        <v>36</v>
      </c>
      <c r="S214">
        <f>VLOOKUP(all[[#This Row],[DEVELOPMENT]],Data[],25,FALSE)</f>
        <v>0</v>
      </c>
      <c r="T214">
        <f>VLOOKUP(all[[#This Row],[DEVELOPMENT]],Data[],5,FALSE)</f>
        <v>18</v>
      </c>
      <c r="U214">
        <f>VLOOKUP(all[[#This Row],[DEVELOPMENT]],Data[],10,FALSE)</f>
        <v>0</v>
      </c>
      <c r="V214">
        <f>VLOOKUP(all[[#This Row],[DEVELOPMENT]],Data[],10,FALSE)</f>
        <v>0</v>
      </c>
      <c r="W214">
        <f>VLOOKUP(all[[#This Row],[DEVELOPMENT]],Data[],33,FALSE)</f>
        <v>0</v>
      </c>
      <c r="X214">
        <f>VLOOKUP(all[[#This Row],[DEVELOPMENT]],Data[],33,FALSE)</f>
        <v>0</v>
      </c>
      <c r="Y214">
        <f>VLOOKUP(all[[#This Row],[DEVELOPMENT]],Data[],28,FALSE)</f>
        <v>0</v>
      </c>
      <c r="Z214">
        <f>IF(all[[#This Row],['# Bulk Crushers]]=0,1,0)</f>
        <v>1</v>
      </c>
      <c r="AA214" s="5">
        <f ca="1">IFERROR(INDEX(FWD[],MATCH($B214,FWD[DEVELOPMENT],0),MATCH("ESTIMATE",FWD[#Headers],0)),0)</f>
        <v>61874.494106194688</v>
      </c>
      <c r="AB214" s="5">
        <f ca="1">IFERROR(INDEX(EHDAll[],MATCH($B214,EHDAll[DEVELOPMENT],0),MATCH("ESTIMATE",EHDAll[#Headers],0)),0)</f>
        <v>0</v>
      </c>
      <c r="AC214" s="5">
        <f ca="1">IFERROR(INDEX(IntAll[],MATCH($B214,IntAll[DEVELOPMENT],0),MATCH("ESTIMATE",IntAll[#Headers],0)),0)</f>
        <v>0</v>
      </c>
      <c r="AD214" s="5">
        <f ca="1">IFERROR(INDEX(YardsAll[],MATCH($B214,YardsAll[DEVELOPMENT],0),MATCH("TOTAL ESTIMATE",YardsAll[#Headers],0)),0)</f>
        <v>0</v>
      </c>
      <c r="AE214" s="99">
        <f t="shared" ca="1" si="3"/>
        <v>61874.494106194688</v>
      </c>
      <c r="AF214" s="5"/>
    </row>
    <row r="215" spans="1:32">
      <c r="A215" s="101">
        <f>VLOOKUP(B215,Data[],24,FALSE)</f>
        <v>209</v>
      </c>
      <c r="B215" t="s">
        <v>319</v>
      </c>
      <c r="C215" t="str">
        <f>VLOOKUP(all[[#This Row],[DEVELOPMENT]],Data[],MATCH(all[[#Headers],[PROGRAM]],Data[#Headers],0),FALSE)</f>
        <v>FEDERAL</v>
      </c>
      <c r="D215">
        <f>VLOOKUP(B215,Data[],2,FALSE)</f>
        <v>0</v>
      </c>
      <c r="E215">
        <f>VLOOKUP(all[[#This Row],[DEVELOPMENT]],Data[],65,FALSE)</f>
        <v>0</v>
      </c>
      <c r="F215" t="e">
        <f>VLOOKUP(all[[#This Row],[DEVELOPMENT]],Data[],3,FALSE)</f>
        <v>#N/A</v>
      </c>
      <c r="G215" s="107" t="s">
        <v>185</v>
      </c>
      <c r="H215" t="s">
        <v>184</v>
      </c>
      <c r="I215">
        <f>VLOOKUP(all[[#This Row],[DEVELOPMENT]],Data[],34,FALSE)</f>
        <v>0</v>
      </c>
      <c r="J215" t="s">
        <v>184</v>
      </c>
      <c r="K215">
        <f>VLOOKUP(B215,Data[],8,FALSE)</f>
        <v>0</v>
      </c>
      <c r="L215" t="str">
        <f>VLOOKUP(all[[#This Row],[DEVELOPMENT]],Data[],61,FALSE)</f>
        <v>No</v>
      </c>
      <c r="M215">
        <f>VLOOKUP(B215,Data[],9,FALSE)</f>
        <v>0</v>
      </c>
      <c r="N215">
        <v>3</v>
      </c>
      <c r="O215">
        <v>4</v>
      </c>
      <c r="P215" t="str">
        <f ca="1">IFERROR(VLOOKUP(B215,Data[],4,FALSE),"")</f>
        <v/>
      </c>
      <c r="Q215" t="str">
        <f ca="1">IF(all[[#This Row],[RAD/PACT]]="","",IF(OR(all[[#This Row],[RAD/PACT]]="2021-2025",all[[#This Row],[RAD/PACT]]="2019-2020"),"Yes",""))</f>
        <v/>
      </c>
      <c r="R215">
        <f>VLOOKUP(all[[#This Row],[DEVELOPMENT]],Data[],7,FALSE)</f>
        <v>21</v>
      </c>
      <c r="S215">
        <f>VLOOKUP(all[[#This Row],[DEVELOPMENT]],Data[],25,FALSE)</f>
        <v>0</v>
      </c>
      <c r="T215">
        <f>VLOOKUP(all[[#This Row],[DEVELOPMENT]],Data[],5,FALSE)</f>
        <v>26</v>
      </c>
      <c r="U215">
        <f>VLOOKUP(all[[#This Row],[DEVELOPMENT]],Data[],10,FALSE)</f>
        <v>0</v>
      </c>
      <c r="V215">
        <f>VLOOKUP(all[[#This Row],[DEVELOPMENT]],Data[],10,FALSE)</f>
        <v>0</v>
      </c>
      <c r="W215">
        <f>VLOOKUP(all[[#This Row],[DEVELOPMENT]],Data[],33,FALSE)</f>
        <v>0</v>
      </c>
      <c r="X215">
        <f>VLOOKUP(all[[#This Row],[DEVELOPMENT]],Data[],33,FALSE)</f>
        <v>0</v>
      </c>
      <c r="Y215">
        <f>VLOOKUP(all[[#This Row],[DEVELOPMENT]],Data[],28,FALSE)</f>
        <v>0</v>
      </c>
      <c r="Z215">
        <f>IF(all[[#This Row],['# Bulk Crushers]]=0,1,0)</f>
        <v>1</v>
      </c>
      <c r="AA215" s="5">
        <f ca="1">IFERROR(INDEX(FWD[],MATCH($B215,FWD[DEVELOPMENT],0),MATCH("ESTIMATE",FWD[#Headers],0)),0)</f>
        <v>36093.454895280236</v>
      </c>
      <c r="AB215" s="5">
        <f ca="1">IFERROR(INDEX(EHDAll[],MATCH($B215,EHDAll[DEVELOPMENT],0),MATCH("ESTIMATE",EHDAll[#Headers],0)),0)</f>
        <v>0</v>
      </c>
      <c r="AC215" s="5">
        <f ca="1">IFERROR(INDEX(IntAll[],MATCH($B215,IntAll[DEVELOPMENT],0),MATCH("ESTIMATE",IntAll[#Headers],0)),0)</f>
        <v>0</v>
      </c>
      <c r="AD215" s="5">
        <f ca="1">IFERROR(INDEX(YardsAll[],MATCH($B215,YardsAll[DEVELOPMENT],0),MATCH("TOTAL ESTIMATE",YardsAll[#Headers],0)),0)</f>
        <v>0</v>
      </c>
      <c r="AE215" s="99">
        <f t="shared" ca="1" si="3"/>
        <v>36093.454895280236</v>
      </c>
      <c r="AF215" s="5"/>
    </row>
    <row r="216" spans="1:32">
      <c r="A216" s="101">
        <f>VLOOKUP(B216,Data[],24,FALSE)</f>
        <v>260</v>
      </c>
      <c r="B216" t="s">
        <v>320</v>
      </c>
      <c r="C216" t="str">
        <f>VLOOKUP(all[[#This Row],[DEVELOPMENT]],Data[],MATCH(all[[#Headers],[PROGRAM]],Data[#Headers],0),FALSE)</f>
        <v>FEDERAL</v>
      </c>
      <c r="D216">
        <f>VLOOKUP(B216,Data[],2,FALSE)</f>
        <v>0</v>
      </c>
      <c r="E216">
        <f>VLOOKUP(all[[#This Row],[DEVELOPMENT]],Data[],65,FALSE)</f>
        <v>0</v>
      </c>
      <c r="F216" t="e">
        <f>VLOOKUP(all[[#This Row],[DEVELOPMENT]],Data[],3,FALSE)</f>
        <v>#N/A</v>
      </c>
      <c r="G216" s="107" t="s">
        <v>185</v>
      </c>
      <c r="H216" t="s">
        <v>184</v>
      </c>
      <c r="I216">
        <f>VLOOKUP(all[[#This Row],[DEVELOPMENT]],Data[],34,FALSE)</f>
        <v>0</v>
      </c>
      <c r="J216" t="s">
        <v>184</v>
      </c>
      <c r="K216">
        <f>VLOOKUP(B216,Data[],8,FALSE)</f>
        <v>0</v>
      </c>
      <c r="L216" t="str">
        <f>VLOOKUP(all[[#This Row],[DEVELOPMENT]],Data[],61,FALSE)</f>
        <v>No</v>
      </c>
      <c r="M216">
        <f>VLOOKUP(B216,Data[],9,FALSE)</f>
        <v>0</v>
      </c>
      <c r="N216">
        <v>3</v>
      </c>
      <c r="O216">
        <v>4</v>
      </c>
      <c r="P216" t="str">
        <f ca="1">IFERROR(VLOOKUP(B216,Data[],4,FALSE),"")</f>
        <v/>
      </c>
      <c r="Q216" t="str">
        <f ca="1">IF(all[[#This Row],[RAD/PACT]]="","",IF(OR(all[[#This Row],[RAD/PACT]]="2021-2025",all[[#This Row],[RAD/PACT]]="2019-2020"),"Yes",""))</f>
        <v/>
      </c>
      <c r="R216">
        <f>VLOOKUP(all[[#This Row],[DEVELOPMENT]],Data[],7,FALSE)</f>
        <v>29</v>
      </c>
      <c r="S216">
        <f>VLOOKUP(all[[#This Row],[DEVELOPMENT]],Data[],25,FALSE)</f>
        <v>0</v>
      </c>
      <c r="T216">
        <f>VLOOKUP(all[[#This Row],[DEVELOPMENT]],Data[],5,FALSE)</f>
        <v>31</v>
      </c>
      <c r="U216">
        <f>VLOOKUP(all[[#This Row],[DEVELOPMENT]],Data[],10,FALSE)</f>
        <v>0</v>
      </c>
      <c r="V216">
        <f>VLOOKUP(all[[#This Row],[DEVELOPMENT]],Data[],10,FALSE)</f>
        <v>0</v>
      </c>
      <c r="W216">
        <f>VLOOKUP(all[[#This Row],[DEVELOPMENT]],Data[],33,FALSE)</f>
        <v>0</v>
      </c>
      <c r="X216">
        <f>VLOOKUP(all[[#This Row],[DEVELOPMENT]],Data[],33,FALSE)</f>
        <v>0</v>
      </c>
      <c r="Y216">
        <f>VLOOKUP(all[[#This Row],[DEVELOPMENT]],Data[],28,FALSE)</f>
        <v>0</v>
      </c>
      <c r="Z216">
        <f>IF(all[[#This Row],['# Bulk Crushers]]=0,1,0)</f>
        <v>1</v>
      </c>
      <c r="AA216" s="5">
        <f ca="1">IFERROR(INDEX(FWD[],MATCH($B216,FWD[DEVELOPMENT],0),MATCH("ESTIMATE",FWD[#Headers],0)),0)</f>
        <v>49843.342474434612</v>
      </c>
      <c r="AB216" s="5">
        <f ca="1">IFERROR(INDEX(EHDAll[],MATCH($B216,EHDAll[DEVELOPMENT],0),MATCH("ESTIMATE",EHDAll[#Headers],0)),0)</f>
        <v>0</v>
      </c>
      <c r="AC216" s="5">
        <f ca="1">IFERROR(INDEX(IntAll[],MATCH($B216,IntAll[DEVELOPMENT],0),MATCH("ESTIMATE",IntAll[#Headers],0)),0)</f>
        <v>0</v>
      </c>
      <c r="AD216" s="5">
        <f ca="1">IFERROR(INDEX(YardsAll[],MATCH($B216,YardsAll[DEVELOPMENT],0),MATCH("TOTAL ESTIMATE",YardsAll[#Headers],0)),0)</f>
        <v>0</v>
      </c>
      <c r="AE216" s="99">
        <f t="shared" ca="1" si="3"/>
        <v>49843.342474434612</v>
      </c>
      <c r="AF216" s="5"/>
    </row>
    <row r="217" spans="1:32">
      <c r="A217" s="101">
        <f>VLOOKUP(B217,Data[],24,FALSE)</f>
        <v>273</v>
      </c>
      <c r="B217" t="s">
        <v>321</v>
      </c>
      <c r="C217" t="str">
        <f>VLOOKUP(all[[#This Row],[DEVELOPMENT]],Data[],MATCH(all[[#Headers],[PROGRAM]],Data[#Headers],0),FALSE)</f>
        <v>FEDERAL</v>
      </c>
      <c r="D217">
        <f>VLOOKUP(B217,Data[],2,FALSE)</f>
        <v>0</v>
      </c>
      <c r="E217">
        <f>VLOOKUP(all[[#This Row],[DEVELOPMENT]],Data[],65,FALSE)</f>
        <v>0</v>
      </c>
      <c r="F217" t="e">
        <f>VLOOKUP(all[[#This Row],[DEVELOPMENT]],Data[],3,FALSE)</f>
        <v>#N/A</v>
      </c>
      <c r="G217" s="107" t="s">
        <v>185</v>
      </c>
      <c r="H217" t="s">
        <v>184</v>
      </c>
      <c r="I217">
        <f>VLOOKUP(all[[#This Row],[DEVELOPMENT]],Data[],34,FALSE)</f>
        <v>0</v>
      </c>
      <c r="J217" t="s">
        <v>184</v>
      </c>
      <c r="K217">
        <f>VLOOKUP(B217,Data[],8,FALSE)</f>
        <v>0</v>
      </c>
      <c r="L217" t="str">
        <f>VLOOKUP(all[[#This Row],[DEVELOPMENT]],Data[],61,FALSE)</f>
        <v>No</v>
      </c>
      <c r="M217">
        <f>VLOOKUP(B217,Data[],9,FALSE)</f>
        <v>0</v>
      </c>
      <c r="N217">
        <v>2</v>
      </c>
      <c r="O217" t="s">
        <v>185</v>
      </c>
      <c r="P217" t="str">
        <f ca="1">IFERROR(VLOOKUP(B217,Data[],4,FALSE),"")</f>
        <v/>
      </c>
      <c r="Q217" t="str">
        <f ca="1">IF(all[[#This Row],[RAD/PACT]]="","",IF(OR(all[[#This Row],[RAD/PACT]]="2021-2025",all[[#This Row],[RAD/PACT]]="2019-2020"),"Yes",""))</f>
        <v/>
      </c>
      <c r="R217">
        <f>VLOOKUP(all[[#This Row],[DEVELOPMENT]],Data[],7,FALSE)</f>
        <v>6</v>
      </c>
      <c r="S217">
        <f>VLOOKUP(all[[#This Row],[DEVELOPMENT]],Data[],25,FALSE)</f>
        <v>0</v>
      </c>
      <c r="T217">
        <f>VLOOKUP(all[[#This Row],[DEVELOPMENT]],Data[],5,FALSE)</f>
        <v>7</v>
      </c>
      <c r="U217">
        <f>VLOOKUP(all[[#This Row],[DEVELOPMENT]],Data[],10,FALSE)</f>
        <v>0</v>
      </c>
      <c r="V217">
        <f>VLOOKUP(all[[#This Row],[DEVELOPMENT]],Data[],10,FALSE)</f>
        <v>0</v>
      </c>
      <c r="W217">
        <f>VLOOKUP(all[[#This Row],[DEVELOPMENT]],Data[],33,FALSE)</f>
        <v>0</v>
      </c>
      <c r="X217">
        <f>VLOOKUP(all[[#This Row],[DEVELOPMENT]],Data[],33,FALSE)</f>
        <v>0</v>
      </c>
      <c r="Y217">
        <f>VLOOKUP(all[[#This Row],[DEVELOPMENT]],Data[],28,FALSE)</f>
        <v>0</v>
      </c>
      <c r="Z217">
        <f>IF(all[[#This Row],['# Bulk Crushers]]=0,1,0)</f>
        <v>1</v>
      </c>
      <c r="AA217" s="5">
        <f ca="1">IFERROR(INDEX(FWD[],MATCH($B217,FWD[DEVELOPMENT],0),MATCH("ESTIMATE",FWD[#Headers],0)),0)</f>
        <v>10312.415684365782</v>
      </c>
      <c r="AB217" s="5">
        <f ca="1">IFERROR(INDEX(EHDAll[],MATCH($B217,EHDAll[DEVELOPMENT],0),MATCH("ESTIMATE",EHDAll[#Headers],0)),0)</f>
        <v>0</v>
      </c>
      <c r="AC217" s="5">
        <f ca="1">IFERROR(INDEX(IntAll[],MATCH($B217,IntAll[DEVELOPMENT],0),MATCH("ESTIMATE",IntAll[#Headers],0)),0)</f>
        <v>0</v>
      </c>
      <c r="AD217" s="5">
        <f ca="1">IFERROR(INDEX(YardsAll[],MATCH($B217,YardsAll[DEVELOPMENT],0),MATCH("TOTAL ESTIMATE",YardsAll[#Headers],0)),0)</f>
        <v>0</v>
      </c>
      <c r="AE217" s="99">
        <f t="shared" ca="1" si="3"/>
        <v>10312.415684365782</v>
      </c>
      <c r="AF217" s="5"/>
    </row>
    <row r="218" spans="1:32">
      <c r="A218" s="101">
        <f>VLOOKUP(B218,Data[],24,FALSE)</f>
        <v>274</v>
      </c>
      <c r="B218" t="s">
        <v>322</v>
      </c>
      <c r="C218" t="str">
        <f>VLOOKUP(all[[#This Row],[DEVELOPMENT]],Data[],MATCH(all[[#Headers],[PROGRAM]],Data[#Headers],0),FALSE)</f>
        <v>FEDERAL</v>
      </c>
      <c r="D218">
        <f>VLOOKUP(B218,Data[],2,FALSE)</f>
        <v>0</v>
      </c>
      <c r="E218">
        <f>VLOOKUP(all[[#This Row],[DEVELOPMENT]],Data[],65,FALSE)</f>
        <v>0</v>
      </c>
      <c r="F218" t="e">
        <f>VLOOKUP(all[[#This Row],[DEVELOPMENT]],Data[],3,FALSE)</f>
        <v>#N/A</v>
      </c>
      <c r="G218" s="107" t="s">
        <v>185</v>
      </c>
      <c r="H218" t="s">
        <v>184</v>
      </c>
      <c r="I218">
        <f>VLOOKUP(all[[#This Row],[DEVELOPMENT]],Data[],34,FALSE)</f>
        <v>0</v>
      </c>
      <c r="J218" t="s">
        <v>184</v>
      </c>
      <c r="K218">
        <f>VLOOKUP(B218,Data[],8,FALSE)</f>
        <v>0</v>
      </c>
      <c r="L218" t="str">
        <f>VLOOKUP(all[[#This Row],[DEVELOPMENT]],Data[],61,FALSE)</f>
        <v>No</v>
      </c>
      <c r="M218">
        <f>VLOOKUP(B218,Data[],9,FALSE)</f>
        <v>0</v>
      </c>
      <c r="N218">
        <v>3</v>
      </c>
      <c r="O218" t="s">
        <v>185</v>
      </c>
      <c r="P218" t="str">
        <f ca="1">IFERROR(VLOOKUP(B218,Data[],4,FALSE),"")</f>
        <v/>
      </c>
      <c r="Q218" t="str">
        <f ca="1">IF(all[[#This Row],[RAD/PACT]]="","",IF(OR(all[[#This Row],[RAD/PACT]]="2021-2025",all[[#This Row],[RAD/PACT]]="2019-2020"),"Yes",""))</f>
        <v/>
      </c>
      <c r="R218">
        <f>VLOOKUP(all[[#This Row],[DEVELOPMENT]],Data[],7,FALSE)</f>
        <v>5</v>
      </c>
      <c r="S218">
        <f>VLOOKUP(all[[#This Row],[DEVELOPMENT]],Data[],25,FALSE)</f>
        <v>0</v>
      </c>
      <c r="T218">
        <f>VLOOKUP(all[[#This Row],[DEVELOPMENT]],Data[],5,FALSE)</f>
        <v>8</v>
      </c>
      <c r="U218">
        <f>VLOOKUP(all[[#This Row],[DEVELOPMENT]],Data[],10,FALSE)</f>
        <v>0</v>
      </c>
      <c r="V218">
        <f>VLOOKUP(all[[#This Row],[DEVELOPMENT]],Data[],10,FALSE)</f>
        <v>0</v>
      </c>
      <c r="W218">
        <f>VLOOKUP(all[[#This Row],[DEVELOPMENT]],Data[],33,FALSE)</f>
        <v>0</v>
      </c>
      <c r="X218">
        <f>VLOOKUP(all[[#This Row],[DEVELOPMENT]],Data[],33,FALSE)</f>
        <v>0</v>
      </c>
      <c r="Y218">
        <f>VLOOKUP(all[[#This Row],[DEVELOPMENT]],Data[],28,FALSE)</f>
        <v>0</v>
      </c>
      <c r="Z218">
        <f>IF(all[[#This Row],['# Bulk Crushers]]=0,1,0)</f>
        <v>1</v>
      </c>
      <c r="AA218" s="5">
        <f ca="1">IFERROR(INDEX(FWD[],MATCH($B218,FWD[DEVELOPMENT],0),MATCH("ESTIMATE",FWD[#Headers],0)),0)</f>
        <v>8593.6797369714841</v>
      </c>
      <c r="AB218" s="5">
        <f ca="1">IFERROR(INDEX(EHDAll[],MATCH($B218,EHDAll[DEVELOPMENT],0),MATCH("ESTIMATE",EHDAll[#Headers],0)),0)</f>
        <v>0</v>
      </c>
      <c r="AC218" s="5">
        <f ca="1">IFERROR(INDEX(IntAll[],MATCH($B218,IntAll[DEVELOPMENT],0),MATCH("ESTIMATE",IntAll[#Headers],0)),0)</f>
        <v>0</v>
      </c>
      <c r="AD218" s="5">
        <f ca="1">IFERROR(INDEX(YardsAll[],MATCH($B218,YardsAll[DEVELOPMENT],0),MATCH("TOTAL ESTIMATE",YardsAll[#Headers],0)),0)</f>
        <v>0</v>
      </c>
      <c r="AE218" s="99">
        <f t="shared" ca="1" si="3"/>
        <v>8593.6797369714841</v>
      </c>
      <c r="AF218" s="5"/>
    </row>
    <row r="219" spans="1:32">
      <c r="A219" s="101">
        <f>VLOOKUP(B219,Data[],24,FALSE)</f>
        <v>284</v>
      </c>
      <c r="B219" t="s">
        <v>323</v>
      </c>
      <c r="C219" t="str">
        <f>VLOOKUP(all[[#This Row],[DEVELOPMENT]],Data[],MATCH(all[[#Headers],[PROGRAM]],Data[#Headers],0),FALSE)</f>
        <v>FEDERAL</v>
      </c>
      <c r="D219">
        <f>VLOOKUP(B219,Data[],2,FALSE)</f>
        <v>0</v>
      </c>
      <c r="E219">
        <f>VLOOKUP(all[[#This Row],[DEVELOPMENT]],Data[],65,FALSE)</f>
        <v>0</v>
      </c>
      <c r="F219" t="e">
        <f>VLOOKUP(all[[#This Row],[DEVELOPMENT]],Data[],3,FALSE)</f>
        <v>#N/A</v>
      </c>
      <c r="G219" s="107" t="s">
        <v>185</v>
      </c>
      <c r="H219" t="s">
        <v>184</v>
      </c>
      <c r="I219">
        <f>VLOOKUP(all[[#This Row],[DEVELOPMENT]],Data[],34,FALSE)</f>
        <v>0</v>
      </c>
      <c r="J219" t="s">
        <v>184</v>
      </c>
      <c r="K219">
        <f>VLOOKUP(B219,Data[],8,FALSE)</f>
        <v>0</v>
      </c>
      <c r="L219" t="str">
        <f>VLOOKUP(all[[#This Row],[DEVELOPMENT]],Data[],61,FALSE)</f>
        <v>No</v>
      </c>
      <c r="M219">
        <f>VLOOKUP(B219,Data[],9,FALSE)</f>
        <v>0</v>
      </c>
      <c r="N219">
        <v>2</v>
      </c>
      <c r="O219" t="s">
        <v>185</v>
      </c>
      <c r="P219" t="str">
        <f ca="1">IFERROR(VLOOKUP(B219,Data[],4,FALSE),"")</f>
        <v/>
      </c>
      <c r="Q219" t="str">
        <f ca="1">IF(all[[#This Row],[RAD/PACT]]="","",IF(OR(all[[#This Row],[RAD/PACT]]="2021-2025",all[[#This Row],[RAD/PACT]]="2019-2020"),"Yes",""))</f>
        <v/>
      </c>
      <c r="R219">
        <f>VLOOKUP(all[[#This Row],[DEVELOPMENT]],Data[],7,FALSE)</f>
        <v>16</v>
      </c>
      <c r="S219">
        <f>VLOOKUP(all[[#This Row],[DEVELOPMENT]],Data[],25,FALSE)</f>
        <v>0</v>
      </c>
      <c r="T219">
        <f>VLOOKUP(all[[#This Row],[DEVELOPMENT]],Data[],5,FALSE)</f>
        <v>20</v>
      </c>
      <c r="U219">
        <f>VLOOKUP(all[[#This Row],[DEVELOPMENT]],Data[],10,FALSE)</f>
        <v>0</v>
      </c>
      <c r="V219">
        <f>VLOOKUP(all[[#This Row],[DEVELOPMENT]],Data[],10,FALSE)</f>
        <v>0</v>
      </c>
      <c r="W219">
        <f>VLOOKUP(all[[#This Row],[DEVELOPMENT]],Data[],33,FALSE)</f>
        <v>0</v>
      </c>
      <c r="X219">
        <f>VLOOKUP(all[[#This Row],[DEVELOPMENT]],Data[],33,FALSE)</f>
        <v>0</v>
      </c>
      <c r="Y219">
        <f>VLOOKUP(all[[#This Row],[DEVELOPMENT]],Data[],28,FALSE)</f>
        <v>0</v>
      </c>
      <c r="Z219">
        <f>IF(all[[#This Row],['# Bulk Crushers]]=0,1,0)</f>
        <v>1</v>
      </c>
      <c r="AA219" s="5">
        <f ca="1">IFERROR(INDEX(FWD[],MATCH($B219,FWD[DEVELOPMENT],0),MATCH("ESTIMATE",FWD[#Headers],0)),0)</f>
        <v>27499.775158308752</v>
      </c>
      <c r="AB219" s="5">
        <f ca="1">IFERROR(INDEX(EHDAll[],MATCH($B219,EHDAll[DEVELOPMENT],0),MATCH("ESTIMATE",EHDAll[#Headers],0)),0)</f>
        <v>0</v>
      </c>
      <c r="AC219" s="5">
        <f ca="1">IFERROR(INDEX(IntAll[],MATCH($B219,IntAll[DEVELOPMENT],0),MATCH("ESTIMATE",IntAll[#Headers],0)),0)</f>
        <v>0</v>
      </c>
      <c r="AD219" s="5">
        <f ca="1">IFERROR(INDEX(YardsAll[],MATCH($B219,YardsAll[DEVELOPMENT],0),MATCH("TOTAL ESTIMATE",YardsAll[#Headers],0)),0)</f>
        <v>0</v>
      </c>
      <c r="AE219" s="99">
        <f t="shared" ca="1" si="3"/>
        <v>27499.775158308752</v>
      </c>
      <c r="AF219" s="5"/>
    </row>
    <row r="220" spans="1:32">
      <c r="A220" s="101">
        <f>VLOOKUP(B220,Data[],24,FALSE)</f>
        <v>309</v>
      </c>
      <c r="B220" t="s">
        <v>79</v>
      </c>
      <c r="C220" t="str">
        <f>VLOOKUP(all[[#This Row],[DEVELOPMENT]],Data[],MATCH(all[[#Headers],[PROGRAM]],Data[#Headers],0),FALSE)</f>
        <v>FEDERAL</v>
      </c>
      <c r="D220" t="str">
        <f>VLOOKUP(B220,Data[],2,FALSE)</f>
        <v>MANHATTAN</v>
      </c>
      <c r="E220">
        <f>VLOOKUP(all[[#This Row],[DEVELOPMENT]],Data[],65,FALSE)</f>
        <v>71</v>
      </c>
      <c r="F220" t="e">
        <f>VLOOKUP(all[[#This Row],[DEVELOPMENT]],Data[],3,FALSE)</f>
        <v>#N/A</v>
      </c>
      <c r="G220" s="107" t="s">
        <v>185</v>
      </c>
      <c r="H220" t="s">
        <v>184</v>
      </c>
      <c r="I220">
        <f>VLOOKUP(all[[#This Row],[DEVELOPMENT]],Data[],34,FALSE)</f>
        <v>0</v>
      </c>
      <c r="J220" t="s">
        <v>184</v>
      </c>
      <c r="K220" t="str">
        <f>VLOOKUP(B220,Data[],8,FALSE)</f>
        <v>Zone 3</v>
      </c>
      <c r="L220" t="str">
        <f>VLOOKUP(all[[#This Row],[DEVELOPMENT]],Data[],61,FALSE)</f>
        <v>No</v>
      </c>
      <c r="M220">
        <f>VLOOKUP(B220,Data[],9,FALSE)</f>
        <v>4</v>
      </c>
      <c r="N220">
        <v>4</v>
      </c>
      <c r="O220">
        <v>4</v>
      </c>
      <c r="P220" t="str">
        <f ca="1">IFERROR(VLOOKUP(B220,Data[],4,FALSE),"")</f>
        <v>2020-2021</v>
      </c>
      <c r="Q220" t="str">
        <f ca="1">IF(all[[#This Row],[RAD/PACT]]="","",IF(OR(all[[#This Row],[RAD/PACT]]="2021-2025",all[[#This Row],[RAD/PACT]]="2019-2020"),"Yes",""))</f>
        <v/>
      </c>
      <c r="R220">
        <f>VLOOKUP(all[[#This Row],[DEVELOPMENT]],Data[],7,FALSE)</f>
        <v>226</v>
      </c>
      <c r="S220">
        <f>VLOOKUP(all[[#This Row],[DEVELOPMENT]],Data[],25,FALSE)</f>
        <v>0</v>
      </c>
      <c r="T220">
        <f>VLOOKUP(all[[#This Row],[DEVELOPMENT]],Data[],5,FALSE)</f>
        <v>1</v>
      </c>
      <c r="U220">
        <f>VLOOKUP(all[[#This Row],[DEVELOPMENT]],Data[],10,FALSE)</f>
        <v>1</v>
      </c>
      <c r="V220">
        <f>VLOOKUP(all[[#This Row],[DEVELOPMENT]],Data[],10,FALSE)</f>
        <v>1</v>
      </c>
      <c r="W220">
        <f>VLOOKUP(all[[#This Row],[DEVELOPMENT]],Data[],33,FALSE)</f>
        <v>0</v>
      </c>
      <c r="X220">
        <f>VLOOKUP(all[[#This Row],[DEVELOPMENT]],Data[],33,FALSE)</f>
        <v>0</v>
      </c>
      <c r="Y220">
        <f>VLOOKUP(all[[#This Row],[DEVELOPMENT]],Data[],28,FALSE)</f>
        <v>0</v>
      </c>
      <c r="Z220">
        <f>IF(all[[#This Row],['# Bulk Crushers]]=0,1,0)</f>
        <v>1</v>
      </c>
      <c r="AA220" s="5">
        <f ca="1">IFERROR(INDEX(FWD[],MATCH($B220,FWD[DEVELOPMENT],0),MATCH("ESTIMATE",FWD[#Headers],0)),0)</f>
        <v>388434.32411111111</v>
      </c>
      <c r="AB220" s="5">
        <f ca="1">IFERROR(INDEX(EHDAll[],MATCH($B220,EHDAll[DEVELOPMENT],0),MATCH("ESTIMATE",EHDAll[#Headers],0)),0)</f>
        <v>7695.8910225</v>
      </c>
      <c r="AC220" s="5">
        <f ca="1">IFERROR(INDEX(IntAll[],MATCH($B220,IntAll[DEVELOPMENT],0),MATCH("ESTIMATE",IntAll[#Headers],0)),0)</f>
        <v>0</v>
      </c>
      <c r="AD220" s="5">
        <f ca="1">IFERROR(INDEX(YardsAll[],MATCH($B220,YardsAll[DEVELOPMENT],0),MATCH("TOTAL ESTIMATE",YardsAll[#Headers],0)),0)</f>
        <v>0</v>
      </c>
      <c r="AE220" s="99">
        <f t="shared" ca="1" si="3"/>
        <v>396130.21513361111</v>
      </c>
      <c r="AF220" s="5"/>
    </row>
    <row r="221" spans="1:32">
      <c r="A221" s="101">
        <f>VLOOKUP(B221,Data[],24,FALSE)</f>
        <v>252</v>
      </c>
      <c r="B221" t="s">
        <v>324</v>
      </c>
      <c r="C221" t="str">
        <f>VLOOKUP(all[[#This Row],[DEVELOPMENT]],Data[],MATCH(all[[#Headers],[PROGRAM]],Data[#Headers],0),FALSE)</f>
        <v>FEDERAL</v>
      </c>
      <c r="D221" t="str">
        <f>VLOOKUP(B221,Data[],2,FALSE)</f>
        <v>BROOKLYN</v>
      </c>
      <c r="E221">
        <f>VLOOKUP(all[[#This Row],[DEVELOPMENT]],Data[],65,FALSE)</f>
        <v>55</v>
      </c>
      <c r="F221" t="e">
        <f>VLOOKUP(all[[#This Row],[DEVELOPMENT]],Data[],3,FALSE)</f>
        <v>#N/A</v>
      </c>
      <c r="G221" s="107" t="s">
        <v>185</v>
      </c>
      <c r="H221" t="s">
        <v>184</v>
      </c>
      <c r="I221">
        <f>VLOOKUP(all[[#This Row],[DEVELOPMENT]],Data[],34,FALSE)</f>
        <v>0</v>
      </c>
      <c r="J221" t="s">
        <v>184</v>
      </c>
      <c r="K221">
        <f>VLOOKUP(B221,Data[],8,FALSE)</f>
        <v>0</v>
      </c>
      <c r="L221" t="str">
        <f>VLOOKUP(all[[#This Row],[DEVELOPMENT]],Data[],61,FALSE)</f>
        <v>No</v>
      </c>
      <c r="M221">
        <f>VLOOKUP(B221,Data[],9,FALSE)</f>
        <v>0</v>
      </c>
      <c r="N221">
        <v>4</v>
      </c>
      <c r="O221">
        <v>4</v>
      </c>
      <c r="P221" t="str">
        <f ca="1">IFERROR(VLOOKUP(B221,Data[],4,FALSE),"")</f>
        <v/>
      </c>
      <c r="Q221" t="str">
        <f ca="1">IF(all[[#This Row],[RAD/PACT]]="","",IF(OR(all[[#This Row],[RAD/PACT]]="2021-2025",all[[#This Row],[RAD/PACT]]="2019-2020"),"Yes",""))</f>
        <v/>
      </c>
      <c r="R221">
        <f>VLOOKUP(all[[#This Row],[DEVELOPMENT]],Data[],7,FALSE)</f>
        <v>320</v>
      </c>
      <c r="S221">
        <f>VLOOKUP(all[[#This Row],[DEVELOPMENT]],Data[],25,FALSE)</f>
        <v>0</v>
      </c>
      <c r="T221">
        <f>VLOOKUP(all[[#This Row],[DEVELOPMENT]],Data[],5,FALSE)</f>
        <v>3</v>
      </c>
      <c r="U221">
        <f>VLOOKUP(all[[#This Row],[DEVELOPMENT]],Data[],10,FALSE)</f>
        <v>5</v>
      </c>
      <c r="V221">
        <f>VLOOKUP(all[[#This Row],[DEVELOPMENT]],Data[],10,FALSE)</f>
        <v>5</v>
      </c>
      <c r="W221">
        <f>VLOOKUP(all[[#This Row],[DEVELOPMENT]],Data[],33,FALSE)</f>
        <v>0</v>
      </c>
      <c r="X221">
        <f>VLOOKUP(all[[#This Row],[DEVELOPMENT]],Data[],33,FALSE)</f>
        <v>0</v>
      </c>
      <c r="Y221">
        <f>VLOOKUP(all[[#This Row],[DEVELOPMENT]],Data[],28,FALSE)</f>
        <v>0</v>
      </c>
      <c r="Z221">
        <f>IF(all[[#This Row],['# Bulk Crushers]]=0,1,0)</f>
        <v>1</v>
      </c>
      <c r="AA221" s="5">
        <f ca="1">IFERROR(INDEX(FWD[],MATCH($B221,FWD[DEVELOPMENT],0),MATCH("ESTIMATE",FWD[#Headers],0)),0)</f>
        <v>549995.50316617498</v>
      </c>
      <c r="AB221" s="5">
        <f ca="1">IFERROR(INDEX(EHDAll[],MATCH($B221,EHDAll[DEVELOPMENT],0),MATCH("ESTIMATE",EHDAll[#Headers],0)),0)</f>
        <v>42383.167950000003</v>
      </c>
      <c r="AC221" s="5">
        <f ca="1">IFERROR(INDEX(IntAll[],MATCH($B221,IntAll[DEVELOPMENT],0),MATCH("ESTIMATE",IntAll[#Headers],0)),0)</f>
        <v>392719.68750000006</v>
      </c>
      <c r="AD221" s="5">
        <f ca="1">IFERROR(INDEX(YardsAll[],MATCH($B221,YardsAll[DEVELOPMENT],0),MATCH("TOTAL ESTIMATE",YardsAll[#Headers],0)),0)</f>
        <v>2313658.5651200004</v>
      </c>
      <c r="AE221" s="99">
        <f t="shared" ca="1" si="3"/>
        <v>3298756.9237361755</v>
      </c>
      <c r="AF221" s="5"/>
    </row>
    <row r="222" spans="1:32">
      <c r="A222" s="101">
        <f>VLOOKUP(B222,Data[],24,FALSE)</f>
        <v>44</v>
      </c>
      <c r="B222" t="s">
        <v>325</v>
      </c>
      <c r="C222" t="str">
        <f>VLOOKUP(all[[#This Row],[DEVELOPMENT]],Data[],MATCH(all[[#Headers],[PROGRAM]],Data[#Headers],0),FALSE)</f>
        <v>FEDERAL</v>
      </c>
      <c r="D222" t="str">
        <f>VLOOKUP(B222,Data[],2,FALSE)</f>
        <v>BROOKLYN</v>
      </c>
      <c r="E222">
        <f>VLOOKUP(all[[#This Row],[DEVELOPMENT]],Data[],65,FALSE)</f>
        <v>59</v>
      </c>
      <c r="F222" t="e">
        <f>VLOOKUP(all[[#This Row],[DEVELOPMENT]],Data[],3,FALSE)</f>
        <v>#N/A</v>
      </c>
      <c r="G222" s="107" t="s">
        <v>185</v>
      </c>
      <c r="H222" t="s">
        <v>184</v>
      </c>
      <c r="I222">
        <f>VLOOKUP(all[[#This Row],[DEVELOPMENT]],Data[],34,FALSE)</f>
        <v>0</v>
      </c>
      <c r="J222" t="s">
        <v>184</v>
      </c>
      <c r="K222">
        <f>VLOOKUP(B222,Data[],8,FALSE)</f>
        <v>0</v>
      </c>
      <c r="L222" t="str">
        <f>VLOOKUP(all[[#This Row],[DEVELOPMENT]],Data[],61,FALSE)</f>
        <v>No</v>
      </c>
      <c r="M222">
        <f>VLOOKUP(B222,Data[],9,FALSE)</f>
        <v>0</v>
      </c>
      <c r="N222">
        <v>2</v>
      </c>
      <c r="O222" t="s">
        <v>185</v>
      </c>
      <c r="P222" t="str">
        <f ca="1">IFERROR(VLOOKUP(B222,Data[],4,FALSE),"")</f>
        <v>2026+</v>
      </c>
      <c r="Q222" t="str">
        <f ca="1">IF(all[[#This Row],[RAD/PACT]]="","",IF(OR(all[[#This Row],[RAD/PACT]]="2021-2025",all[[#This Row],[RAD/PACT]]="2019-2020"),"Yes",""))</f>
        <v/>
      </c>
      <c r="R222">
        <f>VLOOKUP(all[[#This Row],[DEVELOPMENT]],Data[],7,FALSE)</f>
        <v>1186</v>
      </c>
      <c r="S222">
        <f>VLOOKUP(all[[#This Row],[DEVELOPMENT]],Data[],25,FALSE)</f>
        <v>0</v>
      </c>
      <c r="T222">
        <f>VLOOKUP(all[[#This Row],[DEVELOPMENT]],Data[],5,FALSE)</f>
        <v>20</v>
      </c>
      <c r="U222">
        <f>VLOOKUP(all[[#This Row],[DEVELOPMENT]],Data[],10,FALSE)</f>
        <v>40</v>
      </c>
      <c r="V222">
        <f>VLOOKUP(all[[#This Row],[DEVELOPMENT]],Data[],10,FALSE)</f>
        <v>40</v>
      </c>
      <c r="W222">
        <f>VLOOKUP(all[[#This Row],[DEVELOPMENT]],Data[],33,FALSE)</f>
        <v>3</v>
      </c>
      <c r="X222">
        <f>VLOOKUP(all[[#This Row],[DEVELOPMENT]],Data[],33,FALSE)</f>
        <v>3</v>
      </c>
      <c r="Y222">
        <f>VLOOKUP(all[[#This Row],[DEVELOPMENT]],Data[],28,FALSE)</f>
        <v>0</v>
      </c>
      <c r="Z222">
        <f>IF(all[[#This Row],['# Bulk Crushers]]=0,1,0)</f>
        <v>1</v>
      </c>
      <c r="AA222" s="5">
        <f ca="1">IFERROR(INDEX(FWD[],MATCH($B222,FWD[DEVELOPMENT],0),MATCH("ESTIMATE",FWD[#Headers],0)),0)</f>
        <v>2038420.8336096362</v>
      </c>
      <c r="AB222" s="5">
        <f ca="1">IFERROR(INDEX(EHDAll[],MATCH($B222,EHDAll[DEVELOPMENT],0),MATCH("ESTIMATE",EHDAll[#Headers],0)),0)</f>
        <v>349475.24450000003</v>
      </c>
      <c r="AC222" s="5">
        <f ca="1">IFERROR(INDEX(IntAll[],MATCH($B222,IntAll[DEVELOPMENT],0),MATCH("ESTIMATE",IntAll[#Headers],0)),0)</f>
        <v>2700145</v>
      </c>
      <c r="AD222" s="5">
        <f ca="1">IFERROR(INDEX(YardsAll[],MATCH($B222,YardsAll[DEVELOPMENT],0),MATCH("TOTAL ESTIMATE",YardsAll[#Headers],0)),0)</f>
        <v>1648339.2605570003</v>
      </c>
      <c r="AE222" s="99">
        <f t="shared" ca="1" si="3"/>
        <v>6736380.3386666365</v>
      </c>
      <c r="AF222" s="5"/>
    </row>
    <row r="223" spans="1:32">
      <c r="A223" s="101">
        <f>VLOOKUP(B223,Data[],24,FALSE)</f>
        <v>25</v>
      </c>
      <c r="B223" t="s">
        <v>326</v>
      </c>
      <c r="C223" t="str">
        <f>VLOOKUP(all[[#This Row],[DEVELOPMENT]],Data[],MATCH(all[[#Headers],[PROGRAM]],Data[#Headers],0),FALSE)</f>
        <v>FEDERAL</v>
      </c>
      <c r="D223" t="str">
        <f>VLOOKUP(B223,Data[],2,FALSE)</f>
        <v>BROOKLYN</v>
      </c>
      <c r="E223">
        <f>VLOOKUP(all[[#This Row],[DEVELOPMENT]],Data[],65,FALSE)</f>
        <v>52</v>
      </c>
      <c r="F223" t="e">
        <f>VLOOKUP(all[[#This Row],[DEVELOPMENT]],Data[],3,FALSE)</f>
        <v>#N/A</v>
      </c>
      <c r="G223" s="107" t="s">
        <v>185</v>
      </c>
      <c r="H223" t="s">
        <v>184</v>
      </c>
      <c r="I223">
        <f>VLOOKUP(all[[#This Row],[DEVELOPMENT]],Data[],34,FALSE)</f>
        <v>0</v>
      </c>
      <c r="J223" t="s">
        <v>184</v>
      </c>
      <c r="K223">
        <f>VLOOKUP(B223,Data[],8,FALSE)</f>
        <v>0</v>
      </c>
      <c r="L223" t="str">
        <f>VLOOKUP(all[[#This Row],[DEVELOPMENT]],Data[],61,FALSE)</f>
        <v>No</v>
      </c>
      <c r="M223">
        <f>VLOOKUP(B223,Data[],9,FALSE)</f>
        <v>0</v>
      </c>
      <c r="N223">
        <v>4</v>
      </c>
      <c r="O223" t="s">
        <v>185</v>
      </c>
      <c r="P223" t="str">
        <f ca="1">IFERROR(VLOOKUP(B223,Data[],4,FALSE),"")</f>
        <v>2026+</v>
      </c>
      <c r="Q223" t="str">
        <f ca="1">IF(all[[#This Row],[RAD/PACT]]="","",IF(OR(all[[#This Row],[RAD/PACT]]="2021-2025",all[[#This Row],[RAD/PACT]]="2019-2020"),"Yes",""))</f>
        <v/>
      </c>
      <c r="R223">
        <f>VLOOKUP(all[[#This Row],[DEVELOPMENT]],Data[],7,FALSE)</f>
        <v>1137</v>
      </c>
      <c r="S223">
        <f>VLOOKUP(all[[#This Row],[DEVELOPMENT]],Data[],25,FALSE)</f>
        <v>0</v>
      </c>
      <c r="T223">
        <f>VLOOKUP(all[[#This Row],[DEVELOPMENT]],Data[],5,FALSE)</f>
        <v>15</v>
      </c>
      <c r="U223">
        <f>VLOOKUP(all[[#This Row],[DEVELOPMENT]],Data[],10,FALSE)</f>
        <v>24</v>
      </c>
      <c r="V223">
        <f>VLOOKUP(all[[#This Row],[DEVELOPMENT]],Data[],10,FALSE)</f>
        <v>24</v>
      </c>
      <c r="W223">
        <f>VLOOKUP(all[[#This Row],[DEVELOPMENT]],Data[],33,FALSE)</f>
        <v>3</v>
      </c>
      <c r="X223">
        <f>VLOOKUP(all[[#This Row],[DEVELOPMENT]],Data[],33,FALSE)</f>
        <v>3</v>
      </c>
      <c r="Y223">
        <f>VLOOKUP(all[[#This Row],[DEVELOPMENT]],Data[],28,FALSE)</f>
        <v>0</v>
      </c>
      <c r="Z223">
        <f>IF(all[[#This Row],['# Bulk Crushers]]=0,1,0)</f>
        <v>1</v>
      </c>
      <c r="AA223" s="5">
        <f ca="1">IFERROR(INDEX(FWD[],MATCH($B223,FWD[DEVELOPMENT],0),MATCH("ESTIMATE",FWD[#Headers],0)),0)</f>
        <v>1954202.7721873156</v>
      </c>
      <c r="AB223" s="5">
        <f ca="1">IFERROR(INDEX(EHDAll[],MATCH($B223,EHDAll[DEVELOPMENT],0),MATCH("ESTIMATE",EHDAll[#Headers],0)),0)</f>
        <v>209685.14670000004</v>
      </c>
      <c r="AC223" s="5">
        <f ca="1">IFERROR(INDEX(IntAll[],MATCH($B223,IntAll[DEVELOPMENT],0),MATCH("ESTIMATE",IntAll[#Headers],0)),0)</f>
        <v>1938048</v>
      </c>
      <c r="AD223" s="5">
        <f ca="1">IFERROR(INDEX(YardsAll[],MATCH($B223,YardsAll[DEVELOPMENT],0),MATCH("TOTAL ESTIMATE",YardsAll[#Headers],0)),0)</f>
        <v>3007374.6545920004</v>
      </c>
      <c r="AE223" s="99">
        <f t="shared" ca="1" si="3"/>
        <v>7109310.5734793162</v>
      </c>
      <c r="AF223" s="5"/>
    </row>
    <row r="224" spans="1:32">
      <c r="A224" s="101">
        <f>VLOOKUP(B224,Data[],24,FALSE)</f>
        <v>87</v>
      </c>
      <c r="B224" t="s">
        <v>81</v>
      </c>
      <c r="C224" t="str">
        <f>VLOOKUP(all[[#This Row],[DEVELOPMENT]],Data[],MATCH(all[[#Headers],[PROGRAM]],Data[#Headers],0),FALSE)</f>
        <v>FEDERAL</v>
      </c>
      <c r="D224" t="str">
        <f>VLOOKUP(B224,Data[],2,FALSE)</f>
        <v>MANHATTAN</v>
      </c>
      <c r="E224">
        <f>VLOOKUP(all[[#This Row],[DEVELOPMENT]],Data[],65,FALSE)</f>
        <v>69</v>
      </c>
      <c r="F224" t="e">
        <f>VLOOKUP(all[[#This Row],[DEVELOPMENT]],Data[],3,FALSE)</f>
        <v>#N/A</v>
      </c>
      <c r="G224" s="107" t="s">
        <v>185</v>
      </c>
      <c r="H224" t="s">
        <v>184</v>
      </c>
      <c r="I224">
        <f>VLOOKUP(all[[#This Row],[DEVELOPMENT]],Data[],34,FALSE)</f>
        <v>0</v>
      </c>
      <c r="J224" t="s">
        <v>184</v>
      </c>
      <c r="K224" t="str">
        <f>VLOOKUP(B224,Data[],8,FALSE)</f>
        <v>Zone 2</v>
      </c>
      <c r="L224" t="str">
        <f>VLOOKUP(all[[#This Row],[DEVELOPMENT]],Data[],61,FALSE)</f>
        <v>No</v>
      </c>
      <c r="M224">
        <f>VLOOKUP(B224,Data[],9,FALSE)</f>
        <v>1</v>
      </c>
      <c r="N224">
        <v>2</v>
      </c>
      <c r="O224" t="s">
        <v>185</v>
      </c>
      <c r="P224" t="str">
        <f ca="1">IFERROR(VLOOKUP(B224,Data[],4,FALSE),"")</f>
        <v>2026+</v>
      </c>
      <c r="Q224" t="str">
        <f ca="1">IF(all[[#This Row],[RAD/PACT]]="","",IF(OR(all[[#This Row],[RAD/PACT]]="2021-2025",all[[#This Row],[RAD/PACT]]="2019-2020"),"Yes",""))</f>
        <v/>
      </c>
      <c r="R224">
        <f>VLOOKUP(all[[#This Row],[DEVELOPMENT]],Data[],7,FALSE)</f>
        <v>1939</v>
      </c>
      <c r="S224">
        <f>VLOOKUP(all[[#This Row],[DEVELOPMENT]],Data[],25,FALSE)</f>
        <v>0</v>
      </c>
      <c r="T224">
        <f>VLOOKUP(all[[#This Row],[DEVELOPMENT]],Data[],5,FALSE)</f>
        <v>9</v>
      </c>
      <c r="U224">
        <f>VLOOKUP(all[[#This Row],[DEVELOPMENT]],Data[],10,FALSE)</f>
        <v>9</v>
      </c>
      <c r="V224">
        <f>VLOOKUP(all[[#This Row],[DEVELOPMENT]],Data[],10,FALSE)</f>
        <v>9</v>
      </c>
      <c r="W224">
        <f>VLOOKUP(all[[#This Row],[DEVELOPMENT]],Data[],33,FALSE)</f>
        <v>4</v>
      </c>
      <c r="X224">
        <f>VLOOKUP(all[[#This Row],[DEVELOPMENT]],Data[],33,FALSE)</f>
        <v>4</v>
      </c>
      <c r="Y224">
        <f>VLOOKUP(all[[#This Row],[DEVELOPMENT]],Data[],28,FALSE)</f>
        <v>0</v>
      </c>
      <c r="Z224">
        <f>IF(all[[#This Row],['# Bulk Crushers]]=0,1,0)</f>
        <v>1</v>
      </c>
      <c r="AA224" s="5">
        <f ca="1">IFERROR(INDEX(FWD[],MATCH($B224,FWD[DEVELOPMENT],0),MATCH("ESTIMATE",FWD[#Headers],0)),0)</f>
        <v>3332629.0019975421</v>
      </c>
      <c r="AB224" s="5">
        <f ca="1">IFERROR(INDEX(EHDAll[],MATCH($B224,EHDAll[DEVELOPMENT],0),MATCH("ESTIMATE",EHDAll[#Headers],0)),0)</f>
        <v>66920.791500000007</v>
      </c>
      <c r="AC224" s="5">
        <f ca="1">IFERROR(INDEX(IntAll[],MATCH($B224,IntAll[DEVELOPMENT],0),MATCH("ESTIMATE",IntAll[#Headers],0)),0)</f>
        <v>0</v>
      </c>
      <c r="AD224" s="5">
        <f ca="1">IFERROR(INDEX(YardsAll[],MATCH($B224,YardsAll[DEVELOPMENT],0),MATCH("TOTAL ESTIMATE",YardsAll[#Headers],0)),0)</f>
        <v>3241098.7173729995</v>
      </c>
      <c r="AE224" s="99">
        <f t="shared" ca="1" si="3"/>
        <v>6640648.5108705414</v>
      </c>
      <c r="AF224" s="5"/>
    </row>
    <row r="225" spans="1:32">
      <c r="A225" s="101">
        <f>VLOOKUP(B225,Data[],24,FALSE)</f>
        <v>68</v>
      </c>
      <c r="B225" t="s">
        <v>327</v>
      </c>
      <c r="C225" t="str">
        <f>VLOOKUP(all[[#This Row],[DEVELOPMENT]],Data[],MATCH(all[[#Headers],[PROGRAM]],Data[#Headers],0),FALSE)</f>
        <v>FEDERAL</v>
      </c>
      <c r="D225" t="str">
        <f>VLOOKUP(B225,Data[],2,FALSE)</f>
        <v>BROOKLYN</v>
      </c>
      <c r="E225">
        <f>VLOOKUP(all[[#This Row],[DEVELOPMENT]],Data[],65,FALSE)</f>
        <v>46</v>
      </c>
      <c r="F225" t="e">
        <f>VLOOKUP(all[[#This Row],[DEVELOPMENT]],Data[],3,FALSE)</f>
        <v>#N/A</v>
      </c>
      <c r="G225" s="107" t="s">
        <v>185</v>
      </c>
      <c r="H225" t="s">
        <v>184</v>
      </c>
      <c r="I225">
        <f>VLOOKUP(all[[#This Row],[DEVELOPMENT]],Data[],34,FALSE)</f>
        <v>0</v>
      </c>
      <c r="J225" t="s">
        <v>184</v>
      </c>
      <c r="K225">
        <f>VLOOKUP(B225,Data[],8,FALSE)</f>
        <v>0</v>
      </c>
      <c r="L225" t="str">
        <f>VLOOKUP(all[[#This Row],[DEVELOPMENT]],Data[],61,FALSE)</f>
        <v>No</v>
      </c>
      <c r="M225">
        <f>VLOOKUP(B225,Data[],9,FALSE)</f>
        <v>0</v>
      </c>
      <c r="N225">
        <v>2</v>
      </c>
      <c r="O225" t="s">
        <v>185</v>
      </c>
      <c r="P225" t="str">
        <f ca="1">IFERROR(VLOOKUP(B225,Data[],4,FALSE),"")</f>
        <v>2026+</v>
      </c>
      <c r="Q225" t="str">
        <f ca="1">IF(all[[#This Row],[RAD/PACT]]="","",IF(OR(all[[#This Row],[RAD/PACT]]="2021-2025",all[[#This Row],[RAD/PACT]]="2019-2020"),"Yes",""))</f>
        <v/>
      </c>
      <c r="R225">
        <f>VLOOKUP(all[[#This Row],[DEVELOPMENT]],Data[],7,FALSE)</f>
        <v>627</v>
      </c>
      <c r="S225">
        <f>VLOOKUP(all[[#This Row],[DEVELOPMENT]],Data[],25,FALSE)</f>
        <v>0</v>
      </c>
      <c r="T225">
        <f>VLOOKUP(all[[#This Row],[DEVELOPMENT]],Data[],5,FALSE)</f>
        <v>15</v>
      </c>
      <c r="U225">
        <f>VLOOKUP(all[[#This Row],[DEVELOPMENT]],Data[],10,FALSE)</f>
        <v>15</v>
      </c>
      <c r="V225">
        <f>VLOOKUP(all[[#This Row],[DEVELOPMENT]],Data[],10,FALSE)</f>
        <v>15</v>
      </c>
      <c r="W225">
        <f>VLOOKUP(all[[#This Row],[DEVELOPMENT]],Data[],33,FALSE)</f>
        <v>0</v>
      </c>
      <c r="X225">
        <f>VLOOKUP(all[[#This Row],[DEVELOPMENT]],Data[],33,FALSE)</f>
        <v>0</v>
      </c>
      <c r="Y225">
        <f>VLOOKUP(all[[#This Row],[DEVELOPMENT]],Data[],28,FALSE)</f>
        <v>0</v>
      </c>
      <c r="Z225">
        <f>IF(all[[#This Row],['# Bulk Crushers]]=0,1,0)</f>
        <v>1</v>
      </c>
      <c r="AA225" s="5">
        <f ca="1">IFERROR(INDEX(FWD[],MATCH($B225,FWD[DEVELOPMENT],0),MATCH("ESTIMATE",FWD[#Headers],0)),0)</f>
        <v>1077647.4390162241</v>
      </c>
      <c r="AB225" s="5">
        <f ca="1">IFERROR(INDEX(EHDAll[],MATCH($B225,EHDAll[DEVELOPMENT],0),MATCH("ESTIMATE",EHDAll[#Headers],0)),0)</f>
        <v>131053.2166875</v>
      </c>
      <c r="AC225" s="5">
        <f ca="1">IFERROR(INDEX(IntAll[],MATCH($B225,IntAll[DEVELOPMENT],0),MATCH("ESTIMATE",IntAll[#Headers],0)),0)</f>
        <v>1012554.3750000001</v>
      </c>
      <c r="AD225" s="5">
        <f ca="1">IFERROR(INDEX(YardsAll[],MATCH($B225,YardsAll[DEVELOPMENT],0),MATCH("TOTAL ESTIMATE",YardsAll[#Headers],0)),0)</f>
        <v>2187130.3623400005</v>
      </c>
      <c r="AE225" s="99">
        <f t="shared" ca="1" si="3"/>
        <v>4408385.3930437248</v>
      </c>
      <c r="AF225" s="5"/>
    </row>
    <row r="226" spans="1:32">
      <c r="A226" s="101">
        <f>VLOOKUP(B226,Data[],24,FALSE)</f>
        <v>40</v>
      </c>
      <c r="B226" t="s">
        <v>328</v>
      </c>
      <c r="C226" t="str">
        <f>VLOOKUP(all[[#This Row],[DEVELOPMENT]],Data[],MATCH(all[[#Headers],[PROGRAM]],Data[#Headers],0),FALSE)</f>
        <v>FEDERAL</v>
      </c>
      <c r="D226" t="str">
        <f>VLOOKUP(B226,Data[],2,FALSE)</f>
        <v>BRONX</v>
      </c>
      <c r="E226">
        <f>VLOOKUP(all[[#This Row],[DEVELOPMENT]],Data[],65,FALSE)</f>
        <v>83</v>
      </c>
      <c r="F226" t="e">
        <f>VLOOKUP(all[[#This Row],[DEVELOPMENT]],Data[],3,FALSE)</f>
        <v>#N/A</v>
      </c>
      <c r="G226" s="107" t="s">
        <v>185</v>
      </c>
      <c r="H226" t="s">
        <v>184</v>
      </c>
      <c r="I226">
        <f>VLOOKUP(all[[#This Row],[DEVELOPMENT]],Data[],34,FALSE)</f>
        <v>0</v>
      </c>
      <c r="J226" t="s">
        <v>184</v>
      </c>
      <c r="K226">
        <f>VLOOKUP(B226,Data[],8,FALSE)</f>
        <v>0</v>
      </c>
      <c r="L226" t="str">
        <f>VLOOKUP(all[[#This Row],[DEVELOPMENT]],Data[],61,FALSE)</f>
        <v>No</v>
      </c>
      <c r="M226">
        <f>VLOOKUP(B226,Data[],9,FALSE)</f>
        <v>0</v>
      </c>
      <c r="N226" t="s">
        <v>185</v>
      </c>
      <c r="O226" t="s">
        <v>185</v>
      </c>
      <c r="P226" t="str">
        <f ca="1">IFERROR(VLOOKUP(B226,Data[],4,FALSE),"")</f>
        <v/>
      </c>
      <c r="Q226" t="str">
        <f ca="1">IF(all[[#This Row],[RAD/PACT]]="","",IF(OR(all[[#This Row],[RAD/PACT]]="2021-2025",all[[#This Row],[RAD/PACT]]="2019-2020"),"Yes",""))</f>
        <v/>
      </c>
      <c r="R226">
        <f>VLOOKUP(all[[#This Row],[DEVELOPMENT]],Data[],7,FALSE)</f>
        <v>732</v>
      </c>
      <c r="S226">
        <f>VLOOKUP(all[[#This Row],[DEVELOPMENT]],Data[],25,FALSE)</f>
        <v>0</v>
      </c>
      <c r="T226">
        <f>VLOOKUP(all[[#This Row],[DEVELOPMENT]],Data[],5,FALSE)</f>
        <v>6</v>
      </c>
      <c r="U226">
        <f>VLOOKUP(all[[#This Row],[DEVELOPMENT]],Data[],10,FALSE)</f>
        <v>6</v>
      </c>
      <c r="V226">
        <f>VLOOKUP(all[[#This Row],[DEVELOPMENT]],Data[],10,FALSE)</f>
        <v>6</v>
      </c>
      <c r="W226">
        <f>VLOOKUP(all[[#This Row],[DEVELOPMENT]],Data[],33,FALSE)</f>
        <v>2</v>
      </c>
      <c r="X226">
        <f>VLOOKUP(all[[#This Row],[DEVELOPMENT]],Data[],33,FALSE)</f>
        <v>2</v>
      </c>
      <c r="Y226">
        <f>VLOOKUP(all[[#This Row],[DEVELOPMENT]],Data[],28,FALSE)</f>
        <v>0</v>
      </c>
      <c r="Z226">
        <f>IF(all[[#This Row],['# Bulk Crushers]]=0,1,0)</f>
        <v>1</v>
      </c>
      <c r="AA226" s="5">
        <f ca="1">IFERROR(INDEX(FWD[],MATCH($B226,FWD[DEVELOPMENT],0),MATCH("ESTIMATE",FWD[#Headers],0)),0)</f>
        <v>1258114.7134926254</v>
      </c>
      <c r="AB226" s="5">
        <f ca="1">IFERROR(INDEX(EHDAll[],MATCH($B226,EHDAll[DEVELOPMENT],0),MATCH("ESTIMATE",EHDAll[#Headers],0)),0)</f>
        <v>52421.28667500001</v>
      </c>
      <c r="AC226" s="5">
        <f ca="1">IFERROR(INDEX(IntAll[],MATCH($B226,IntAll[DEVELOPMENT],0),MATCH("ESTIMATE",IntAll[#Headers],0)),0)</f>
        <v>484512</v>
      </c>
      <c r="AD226" s="5">
        <f ca="1">IFERROR(INDEX(YardsAll[],MATCH($B226,YardsAll[DEVELOPMENT],0),MATCH("TOTAL ESTIMATE",YardsAll[#Headers],0)),0)</f>
        <v>2656864.0251975004</v>
      </c>
      <c r="AE226" s="99">
        <f t="shared" ca="1" si="3"/>
        <v>4451912.0253651254</v>
      </c>
      <c r="AF226" s="5"/>
    </row>
    <row r="227" spans="1:32">
      <c r="A227" s="101">
        <f>VLOOKUP(B227,Data[],24,FALSE)</f>
        <v>142</v>
      </c>
      <c r="B227" t="s">
        <v>329</v>
      </c>
      <c r="C227" t="str">
        <f>VLOOKUP(all[[#This Row],[DEVELOPMENT]],Data[],MATCH(all[[#Headers],[PROGRAM]],Data[#Headers],0),FALSE)</f>
        <v>FEDERAL</v>
      </c>
      <c r="D227" t="str">
        <f>VLOOKUP(B227,Data[],2,FALSE)</f>
        <v>BROOKLYN</v>
      </c>
      <c r="E227">
        <f>VLOOKUP(all[[#This Row],[DEVELOPMENT]],Data[],65,FALSE)</f>
        <v>46</v>
      </c>
      <c r="F227" t="e">
        <f>VLOOKUP(all[[#This Row],[DEVELOPMENT]],Data[],3,FALSE)</f>
        <v>#N/A</v>
      </c>
      <c r="G227" s="107" t="s">
        <v>185</v>
      </c>
      <c r="H227" t="s">
        <v>184</v>
      </c>
      <c r="I227">
        <f>VLOOKUP(all[[#This Row],[DEVELOPMENT]],Data[],34,FALSE)</f>
        <v>0</v>
      </c>
      <c r="J227" t="s">
        <v>184</v>
      </c>
      <c r="K227">
        <f>VLOOKUP(B227,Data[],8,FALSE)</f>
        <v>0</v>
      </c>
      <c r="L227" t="str">
        <f>VLOOKUP(all[[#This Row],[DEVELOPMENT]],Data[],61,FALSE)</f>
        <v>No</v>
      </c>
      <c r="M227">
        <f>VLOOKUP(B227,Data[],9,FALSE)</f>
        <v>0</v>
      </c>
      <c r="N227">
        <v>2</v>
      </c>
      <c r="O227" t="s">
        <v>185</v>
      </c>
      <c r="P227" t="str">
        <f ca="1">IFERROR(VLOOKUP(B227,Data[],4,FALSE),"")</f>
        <v/>
      </c>
      <c r="Q227" t="str">
        <f ca="1">IF(all[[#This Row],[RAD/PACT]]="","",IF(OR(all[[#This Row],[RAD/PACT]]="2021-2025",all[[#This Row],[RAD/PACT]]="2019-2020"),"Yes",""))</f>
        <v/>
      </c>
      <c r="R227">
        <f>VLOOKUP(all[[#This Row],[DEVELOPMENT]],Data[],7,FALSE)</f>
        <v>380</v>
      </c>
      <c r="S227">
        <f>VLOOKUP(all[[#This Row],[DEVELOPMENT]],Data[],25,FALSE)</f>
        <v>0</v>
      </c>
      <c r="T227">
        <f>VLOOKUP(all[[#This Row],[DEVELOPMENT]],Data[],5,FALSE)</f>
        <v>3</v>
      </c>
      <c r="U227">
        <f>VLOOKUP(all[[#This Row],[DEVELOPMENT]],Data[],10,FALSE)</f>
        <v>3</v>
      </c>
      <c r="V227">
        <f>VLOOKUP(all[[#This Row],[DEVELOPMENT]],Data[],10,FALSE)</f>
        <v>3</v>
      </c>
      <c r="W227">
        <f>VLOOKUP(all[[#This Row],[DEVELOPMENT]],Data[],33,FALSE)</f>
        <v>0</v>
      </c>
      <c r="X227">
        <f>VLOOKUP(all[[#This Row],[DEVELOPMENT]],Data[],33,FALSE)</f>
        <v>0</v>
      </c>
      <c r="Y227">
        <f>VLOOKUP(all[[#This Row],[DEVELOPMENT]],Data[],28,FALSE)</f>
        <v>0</v>
      </c>
      <c r="Z227">
        <f>IF(all[[#This Row],['# Bulk Crushers]]=0,1,0)</f>
        <v>1</v>
      </c>
      <c r="AA227" s="5">
        <f ca="1">IFERROR(INDEX(FWD[],MATCH($B227,FWD[DEVELOPMENT],0),MATCH("ESTIMATE",FWD[#Headers],0)),0)</f>
        <v>653119.66000983282</v>
      </c>
      <c r="AB227" s="5">
        <f>IFERROR(INDEX(EHDAll[],MATCH($B227,EHDAll[DEVELOPMENT],0),MATCH("ESTIMATE",EHDAll[#Headers],0)),0)</f>
        <v>0</v>
      </c>
      <c r="AC227" s="5">
        <f ca="1">IFERROR(INDEX(IntAll[],MATCH($B227,IntAll[DEVELOPMENT],0),MATCH("ESTIMATE",IntAll[#Headers],0)),0)</f>
        <v>202510.875</v>
      </c>
      <c r="AD227" s="5">
        <f ca="1">IFERROR(INDEX(YardsAll[],MATCH($B227,YardsAll[DEVELOPMENT],0),MATCH("TOTAL ESTIMATE",YardsAll[#Headers],0)),0)</f>
        <v>2187130.3623400005</v>
      </c>
      <c r="AE227" s="99">
        <f t="shared" ca="1" si="3"/>
        <v>3042760.8973498335</v>
      </c>
      <c r="AF227" s="5"/>
    </row>
    <row r="228" spans="1:32">
      <c r="A228" s="101">
        <f>VLOOKUP(B228,Data[],24,FALSE)</f>
        <v>347</v>
      </c>
      <c r="B228" t="s">
        <v>330</v>
      </c>
      <c r="C228" t="str">
        <f>VLOOKUP(all[[#This Row],[DEVELOPMENT]],Data[],MATCH(all[[#Headers],[PROGRAM]],Data[#Headers],0),FALSE)</f>
        <v>FEDERAL</v>
      </c>
      <c r="D228" t="str">
        <f>VLOOKUP(B228,Data[],2,FALSE)</f>
        <v>BRONX</v>
      </c>
      <c r="E228">
        <f>VLOOKUP(all[[#This Row],[DEVELOPMENT]],Data[],65,FALSE)</f>
        <v>86</v>
      </c>
      <c r="F228" t="e">
        <f>VLOOKUP(all[[#This Row],[DEVELOPMENT]],Data[],3,FALSE)</f>
        <v>#N/A</v>
      </c>
      <c r="G228" s="107" t="s">
        <v>185</v>
      </c>
      <c r="H228" t="s">
        <v>184</v>
      </c>
      <c r="I228">
        <f>VLOOKUP(all[[#This Row],[DEVELOPMENT]],Data[],34,FALSE)</f>
        <v>0</v>
      </c>
      <c r="J228" t="s">
        <v>184</v>
      </c>
      <c r="K228">
        <f>VLOOKUP(B228,Data[],8,FALSE)</f>
        <v>0</v>
      </c>
      <c r="L228" t="str">
        <f>VLOOKUP(all[[#This Row],[DEVELOPMENT]],Data[],61,FALSE)</f>
        <v>No</v>
      </c>
      <c r="M228">
        <f>VLOOKUP(B228,Data[],9,FALSE)</f>
        <v>0</v>
      </c>
      <c r="N228">
        <v>4</v>
      </c>
      <c r="O228">
        <v>4</v>
      </c>
      <c r="P228" t="str">
        <f ca="1">IFERROR(VLOOKUP(B228,Data[],4,FALSE),"")</f>
        <v/>
      </c>
      <c r="Q228" t="str">
        <f ca="1">IF(all[[#This Row],[RAD/PACT]]="","",IF(OR(all[[#This Row],[RAD/PACT]]="2021-2025",all[[#This Row],[RAD/PACT]]="2019-2020"),"Yes",""))</f>
        <v/>
      </c>
      <c r="R228">
        <f>VLOOKUP(all[[#This Row],[DEVELOPMENT]],Data[],7,FALSE)</f>
        <v>34</v>
      </c>
      <c r="S228">
        <f>VLOOKUP(all[[#This Row],[DEVELOPMENT]],Data[],25,FALSE)</f>
        <v>0</v>
      </c>
      <c r="T228">
        <f>VLOOKUP(all[[#This Row],[DEVELOPMENT]],Data[],5,FALSE)</f>
        <v>1</v>
      </c>
      <c r="U228">
        <f>VLOOKUP(all[[#This Row],[DEVELOPMENT]],Data[],10,FALSE)</f>
        <v>0</v>
      </c>
      <c r="V228">
        <f>VLOOKUP(all[[#This Row],[DEVELOPMENT]],Data[],10,FALSE)</f>
        <v>0</v>
      </c>
      <c r="W228">
        <f>VLOOKUP(all[[#This Row],[DEVELOPMENT]],Data[],33,FALSE)</f>
        <v>0</v>
      </c>
      <c r="X228">
        <f>VLOOKUP(all[[#This Row],[DEVELOPMENT]],Data[],33,FALSE)</f>
        <v>0</v>
      </c>
      <c r="Y228">
        <f>VLOOKUP(all[[#This Row],[DEVELOPMENT]],Data[],28,FALSE)</f>
        <v>0</v>
      </c>
      <c r="Z228">
        <f>IF(all[[#This Row],['# Bulk Crushers]]=0,1,0)</f>
        <v>1</v>
      </c>
      <c r="AA228" s="5">
        <f ca="1">IFERROR(INDEX(FWD[],MATCH($B228,FWD[DEVELOPMENT],0),MATCH("ESTIMATE",FWD[#Headers],0)),0)</f>
        <v>58437.022211406096</v>
      </c>
      <c r="AB228" s="5">
        <f ca="1">IFERROR(INDEX(EHDAll[],MATCH($B228,EHDAll[DEVELOPMENT],0),MATCH("ESTIMATE",EHDAll[#Headers],0)),0)</f>
        <v>8736.8811125000011</v>
      </c>
      <c r="AC228" s="5">
        <f ca="1">IFERROR(INDEX(IntAll[],MATCH($B228,IntAll[DEVELOPMENT],0),MATCH("ESTIMATE",IntAll[#Headers],0)),0)</f>
        <v>0</v>
      </c>
      <c r="AD228" s="5">
        <f ca="1">IFERROR(INDEX(YardsAll[],MATCH($B228,YardsAll[DEVELOPMENT],0),MATCH("TOTAL ESTIMATE",YardsAll[#Headers],0)),0)</f>
        <v>2313658.5651200004</v>
      </c>
      <c r="AE228" s="99">
        <f t="shared" ca="1" si="3"/>
        <v>2380832.4684439064</v>
      </c>
      <c r="AF228" s="5"/>
    </row>
    <row r="229" spans="1:32">
      <c r="A229" s="101">
        <f>VLOOKUP(B229,Data[],24,FALSE)</f>
        <v>547</v>
      </c>
      <c r="B229" t="s">
        <v>331</v>
      </c>
      <c r="C229" t="str">
        <f>VLOOKUP(all[[#This Row],[DEVELOPMENT]],Data[],MATCH(all[[#Headers],[PROGRAM]],Data[#Headers],0),FALSE)</f>
        <v>FEDERAL</v>
      </c>
      <c r="D229" t="str">
        <f>VLOOKUP(B229,Data[],2,FALSE)</f>
        <v>BRONX</v>
      </c>
      <c r="E229">
        <f>VLOOKUP(all[[#This Row],[DEVELOPMENT]],Data[],65,FALSE)</f>
        <v>86</v>
      </c>
      <c r="F229" t="e">
        <f>VLOOKUP(all[[#This Row],[DEVELOPMENT]],Data[],3,FALSE)</f>
        <v>#N/A</v>
      </c>
      <c r="G229" s="107" t="s">
        <v>185</v>
      </c>
      <c r="H229" t="s">
        <v>184</v>
      </c>
      <c r="I229">
        <f>VLOOKUP(all[[#This Row],[DEVELOPMENT]],Data[],34,FALSE)</f>
        <v>0</v>
      </c>
      <c r="J229" t="s">
        <v>184</v>
      </c>
      <c r="K229">
        <f>VLOOKUP(B229,Data[],8,FALSE)</f>
        <v>0</v>
      </c>
      <c r="L229" t="str">
        <f>VLOOKUP(all[[#This Row],[DEVELOPMENT]],Data[],61,FALSE)</f>
        <v>No</v>
      </c>
      <c r="M229">
        <f>VLOOKUP(B229,Data[],9,FALSE)</f>
        <v>0</v>
      </c>
      <c r="N229" t="s">
        <v>185</v>
      </c>
      <c r="O229" t="s">
        <v>185</v>
      </c>
      <c r="P229" t="str">
        <f ca="1">IFERROR(VLOOKUP(B229,Data[],4,FALSE),"")</f>
        <v/>
      </c>
      <c r="Q229" t="str">
        <f ca="1">IF(all[[#This Row],[RAD/PACT]]="","",IF(OR(all[[#This Row],[RAD/PACT]]="2021-2025",all[[#This Row],[RAD/PACT]]="2019-2020"),"Yes",""))</f>
        <v/>
      </c>
      <c r="R229">
        <f>VLOOKUP(all[[#This Row],[DEVELOPMENT]],Data[],7,FALSE)</f>
        <v>150</v>
      </c>
      <c r="S229">
        <f>VLOOKUP(all[[#This Row],[DEVELOPMENT]],Data[],25,FALSE)</f>
        <v>0</v>
      </c>
      <c r="T229">
        <f>VLOOKUP(all[[#This Row],[DEVELOPMENT]],Data[],5,FALSE)</f>
        <v>4</v>
      </c>
      <c r="U229">
        <f>VLOOKUP(all[[#This Row],[DEVELOPMENT]],Data[],10,FALSE)</f>
        <v>0</v>
      </c>
      <c r="V229">
        <f>VLOOKUP(all[[#This Row],[DEVELOPMENT]],Data[],10,FALSE)</f>
        <v>0</v>
      </c>
      <c r="W229">
        <f>VLOOKUP(all[[#This Row],[DEVELOPMENT]],Data[],33,FALSE)</f>
        <v>0</v>
      </c>
      <c r="X229">
        <f>VLOOKUP(all[[#This Row],[DEVELOPMENT]],Data[],33,FALSE)</f>
        <v>0</v>
      </c>
      <c r="Y229">
        <f>VLOOKUP(all[[#This Row],[DEVELOPMENT]],Data[],28,FALSE)</f>
        <v>0</v>
      </c>
      <c r="Z229">
        <f>IF(all[[#This Row],['# Bulk Crushers]]=0,1,0)</f>
        <v>1</v>
      </c>
      <c r="AA229" s="5">
        <f ca="1">IFERROR(INDEX(FWD[],MATCH($B229,FWD[DEVELOPMENT],0),MATCH("ESTIMATE",FWD[#Headers],0)),0)</f>
        <v>257810.39210914454</v>
      </c>
      <c r="AB229" s="5">
        <f ca="1">IFERROR(INDEX(EHDAll[],MATCH($B229,EHDAll[DEVELOPMENT],0),MATCH("ESTIMATE",EHDAll[#Headers],0)),0)</f>
        <v>34947.524450000004</v>
      </c>
      <c r="AC229" s="5">
        <f ca="1">IFERROR(INDEX(IntAll[],MATCH($B229,IntAll[DEVELOPMENT],0),MATCH("ESTIMATE",IntAll[#Headers],0)),0)</f>
        <v>0</v>
      </c>
      <c r="AD229" s="5">
        <f ca="1">IFERROR(INDEX(YardsAll[],MATCH($B229,YardsAll[DEVELOPMENT],0),MATCH("TOTAL ESTIMATE",YardsAll[#Headers],0)),0)</f>
        <v>2376922.6665100004</v>
      </c>
      <c r="AE229" s="99">
        <f t="shared" ca="1" si="3"/>
        <v>2669680.5830691447</v>
      </c>
      <c r="AF229" s="5"/>
    </row>
    <row r="230" spans="1:32">
      <c r="A230" s="101">
        <f>VLOOKUP(B230,Data[],24,FALSE)</f>
        <v>78</v>
      </c>
      <c r="B230" t="s">
        <v>332</v>
      </c>
      <c r="C230" t="str">
        <f>VLOOKUP(all[[#This Row],[DEVELOPMENT]],Data[],MATCH(all[[#Headers],[PROGRAM]],Data[#Headers],0),FALSE)</f>
        <v>FEDERAL</v>
      </c>
      <c r="D230" t="str">
        <f>VLOOKUP(B230,Data[],2,FALSE)</f>
        <v>BRONX</v>
      </c>
      <c r="E230">
        <f>VLOOKUP(all[[#This Row],[DEVELOPMENT]],Data[],65,FALSE)</f>
        <v>77</v>
      </c>
      <c r="F230" t="e">
        <f>VLOOKUP(all[[#This Row],[DEVELOPMENT]],Data[],3,FALSE)</f>
        <v>#N/A</v>
      </c>
      <c r="G230" s="107" t="s">
        <v>185</v>
      </c>
      <c r="H230" t="s">
        <v>184</v>
      </c>
      <c r="I230">
        <f>VLOOKUP(all[[#This Row],[DEVELOPMENT]],Data[],34,FALSE)</f>
        <v>0</v>
      </c>
      <c r="J230" t="s">
        <v>184</v>
      </c>
      <c r="K230" t="str">
        <f>VLOOKUP(B230,Data[],8,FALSE)</f>
        <v>Zone 1</v>
      </c>
      <c r="L230" t="str">
        <f>VLOOKUP(all[[#This Row],[DEVELOPMENT]],Data[],61,FALSE)</f>
        <v>No</v>
      </c>
      <c r="M230">
        <f>VLOOKUP(B230,Data[],9,FALSE)</f>
        <v>4</v>
      </c>
      <c r="N230" t="s">
        <v>185</v>
      </c>
      <c r="O230" t="s">
        <v>185</v>
      </c>
      <c r="P230" t="str">
        <f ca="1">IFERROR(VLOOKUP(B230,Data[],4,FALSE),"")</f>
        <v/>
      </c>
      <c r="Q230" t="str">
        <f ca="1">IF(all[[#This Row],[RAD/PACT]]="","",IF(OR(all[[#This Row],[RAD/PACT]]="2021-2025",all[[#This Row],[RAD/PACT]]="2019-2020"),"Yes",""))</f>
        <v/>
      </c>
      <c r="R230">
        <f>VLOOKUP(all[[#This Row],[DEVELOPMENT]],Data[],7,FALSE)</f>
        <v>700</v>
      </c>
      <c r="S230">
        <f>VLOOKUP(all[[#This Row],[DEVELOPMENT]],Data[],25,FALSE)</f>
        <v>0</v>
      </c>
      <c r="T230">
        <f>VLOOKUP(all[[#This Row],[DEVELOPMENT]],Data[],5,FALSE)</f>
        <v>6</v>
      </c>
      <c r="U230">
        <f>VLOOKUP(all[[#This Row],[DEVELOPMENT]],Data[],10,FALSE)</f>
        <v>6</v>
      </c>
      <c r="V230">
        <f>VLOOKUP(all[[#This Row],[DEVELOPMENT]],Data[],10,FALSE)</f>
        <v>6</v>
      </c>
      <c r="W230">
        <f>VLOOKUP(all[[#This Row],[DEVELOPMENT]],Data[],33,FALSE)</f>
        <v>2</v>
      </c>
      <c r="X230">
        <f>VLOOKUP(all[[#This Row],[DEVELOPMENT]],Data[],33,FALSE)</f>
        <v>2</v>
      </c>
      <c r="Y230">
        <f>VLOOKUP(all[[#This Row],[DEVELOPMENT]],Data[],28,FALSE)</f>
        <v>0</v>
      </c>
      <c r="Z230">
        <f>IF(all[[#This Row],['# Bulk Crushers]]=0,1,0)</f>
        <v>1</v>
      </c>
      <c r="AA230" s="5">
        <f ca="1">IFERROR(INDEX(FWD[],MATCH($B230,FWD[DEVELOPMENT],0),MATCH("ESTIMATE",FWD[#Headers],0)),0)</f>
        <v>1203115.1631760078</v>
      </c>
      <c r="AB230" s="5">
        <f ca="1">IFERROR(INDEX(EHDAll[],MATCH($B230,EHDAll[DEVELOPMENT],0),MATCH("ESTIMATE",EHDAll[#Headers],0)),0)</f>
        <v>46175.346135</v>
      </c>
      <c r="AC230" s="5">
        <f ca="1">IFERROR(INDEX(IntAll[],MATCH($B230,IntAll[DEVELOPMENT],0),MATCH("ESTIMATE",IntAll[#Headers],0)),0)</f>
        <v>285309</v>
      </c>
      <c r="AD230" s="5">
        <f ca="1">IFERROR(INDEX(YardsAll[],MATCH($B230,YardsAll[DEVELOPMENT],0),MATCH("TOTAL ESTIMATE",YardsAll[#Headers],0)),0)</f>
        <v>2656864.0251975004</v>
      </c>
      <c r="AE230" s="99">
        <f t="shared" ca="1" si="3"/>
        <v>4191463.5345085082</v>
      </c>
      <c r="AF230" s="5"/>
    </row>
    <row r="231" spans="1:32">
      <c r="A231" s="101">
        <f>VLOOKUP(B231,Data[],24,FALSE)</f>
        <v>159</v>
      </c>
      <c r="B231" t="s">
        <v>333</v>
      </c>
      <c r="C231" t="str">
        <f>VLOOKUP(all[[#This Row],[DEVELOPMENT]],Data[],MATCH(all[[#Headers],[PROGRAM]],Data[#Headers],0),FALSE)</f>
        <v>FEDERAL</v>
      </c>
      <c r="D231" t="str">
        <f>VLOOKUP(B231,Data[],2,FALSE)</f>
        <v>MANHATTAN</v>
      </c>
      <c r="E231">
        <f>VLOOKUP(all[[#This Row],[DEVELOPMENT]],Data[],65,FALSE)</f>
        <v>68</v>
      </c>
      <c r="F231" t="e">
        <f>VLOOKUP(all[[#This Row],[DEVELOPMENT]],Data[],3,FALSE)</f>
        <v>#N/A</v>
      </c>
      <c r="G231" s="107" t="s">
        <v>185</v>
      </c>
      <c r="H231" t="s">
        <v>184</v>
      </c>
      <c r="I231">
        <f>VLOOKUP(all[[#This Row],[DEVELOPMENT]],Data[],34,FALSE)</f>
        <v>0</v>
      </c>
      <c r="J231" t="s">
        <v>184</v>
      </c>
      <c r="K231">
        <f>VLOOKUP(B231,Data[],8,FALSE)</f>
        <v>0</v>
      </c>
      <c r="L231" t="str">
        <f>VLOOKUP(all[[#This Row],[DEVELOPMENT]],Data[],61,FALSE)</f>
        <v>No</v>
      </c>
      <c r="M231">
        <f>VLOOKUP(B231,Data[],9,FALSE)</f>
        <v>0</v>
      </c>
      <c r="N231">
        <v>3</v>
      </c>
      <c r="O231">
        <v>4</v>
      </c>
      <c r="P231" t="str">
        <f ca="1">IFERROR(VLOOKUP(B231,Data[],4,FALSE),"")</f>
        <v/>
      </c>
      <c r="Q231" t="str">
        <f ca="1">IF(all[[#This Row],[RAD/PACT]]="","",IF(OR(all[[#This Row],[RAD/PACT]]="2021-2025",all[[#This Row],[RAD/PACT]]="2019-2020"),"Yes",""))</f>
        <v/>
      </c>
      <c r="R231">
        <f>VLOOKUP(all[[#This Row],[DEVELOPMENT]],Data[],7,FALSE)</f>
        <v>536</v>
      </c>
      <c r="S231">
        <f>VLOOKUP(all[[#This Row],[DEVELOPMENT]],Data[],25,FALSE)</f>
        <v>0</v>
      </c>
      <c r="T231">
        <f>VLOOKUP(all[[#This Row],[DEVELOPMENT]],Data[],5,FALSE)</f>
        <v>2</v>
      </c>
      <c r="U231">
        <f>VLOOKUP(all[[#This Row],[DEVELOPMENT]],Data[],10,FALSE)</f>
        <v>2</v>
      </c>
      <c r="V231">
        <f>VLOOKUP(all[[#This Row],[DEVELOPMENT]],Data[],10,FALSE)</f>
        <v>2</v>
      </c>
      <c r="W231">
        <f>VLOOKUP(all[[#This Row],[DEVELOPMENT]],Data[],33,FALSE)</f>
        <v>0</v>
      </c>
      <c r="X231">
        <f>VLOOKUP(all[[#This Row],[DEVELOPMENT]],Data[],33,FALSE)</f>
        <v>0</v>
      </c>
      <c r="Y231">
        <f>VLOOKUP(all[[#This Row],[DEVELOPMENT]],Data[],28,FALSE)</f>
        <v>0</v>
      </c>
      <c r="Z231">
        <f>IF(all[[#This Row],['# Bulk Crushers]]=0,1,0)</f>
        <v>1</v>
      </c>
      <c r="AA231" s="5">
        <f ca="1">IFERROR(INDEX(FWD[],MATCH($B231,FWD[DEVELOPMENT],0),MATCH("ESTIMATE",FWD[#Headers],0)),0)</f>
        <v>921242.4678033432</v>
      </c>
      <c r="AB231" s="5">
        <f ca="1">IFERROR(INDEX(EHDAll[],MATCH($B231,EHDAll[DEVELOPMENT],0),MATCH("ESTIMATE",EHDAll[#Headers],0)),0)</f>
        <v>17473.762225000002</v>
      </c>
      <c r="AC231" s="5">
        <f ca="1">IFERROR(INDEX(IntAll[],MATCH($B231,IntAll[DEVELOPMENT],0),MATCH("ESTIMATE",IntAll[#Headers],0)),0)</f>
        <v>152671.75</v>
      </c>
      <c r="AD231" s="5">
        <f ca="1">IFERROR(INDEX(YardsAll[],MATCH($B231,YardsAll[DEVELOPMENT],0),MATCH("TOTAL ESTIMATE",YardsAll[#Headers],0)),0)</f>
        <v>2250394.4637300009</v>
      </c>
      <c r="AE231" s="99">
        <f t="shared" ca="1" si="3"/>
        <v>3341782.4437583443</v>
      </c>
      <c r="AF231" s="5"/>
    </row>
    <row r="232" spans="1:32">
      <c r="A232" s="101">
        <f>VLOOKUP(B232,Data[],24,FALSE)</f>
        <v>168</v>
      </c>
      <c r="B232" t="s">
        <v>334</v>
      </c>
      <c r="C232" t="str">
        <f>VLOOKUP(all[[#This Row],[DEVELOPMENT]],Data[],MATCH(all[[#Headers],[PROGRAM]],Data[#Headers],0),FALSE)</f>
        <v>FEDERAL</v>
      </c>
      <c r="D232" t="str">
        <f>VLOOKUP(B232,Data[],2,FALSE)</f>
        <v>BROOKLYN</v>
      </c>
      <c r="E232">
        <f>VLOOKUP(all[[#This Row],[DEVELOPMENT]],Data[],65,FALSE)</f>
        <v>55</v>
      </c>
      <c r="F232" t="e">
        <f>VLOOKUP(all[[#This Row],[DEVELOPMENT]],Data[],3,FALSE)</f>
        <v>#N/A</v>
      </c>
      <c r="G232" s="107" t="s">
        <v>185</v>
      </c>
      <c r="H232" t="s">
        <v>184</v>
      </c>
      <c r="I232">
        <f>VLOOKUP(all[[#This Row],[DEVELOPMENT]],Data[],34,FALSE)</f>
        <v>0</v>
      </c>
      <c r="J232" t="s">
        <v>184</v>
      </c>
      <c r="K232">
        <f>VLOOKUP(B232,Data[],8,FALSE)</f>
        <v>0</v>
      </c>
      <c r="L232" t="str">
        <f>VLOOKUP(all[[#This Row],[DEVELOPMENT]],Data[],61,FALSE)</f>
        <v>No</v>
      </c>
      <c r="M232">
        <f>VLOOKUP(B232,Data[],9,FALSE)</f>
        <v>0</v>
      </c>
      <c r="N232">
        <v>2</v>
      </c>
      <c r="O232" t="s">
        <v>185</v>
      </c>
      <c r="P232" t="str">
        <f ca="1">IFERROR(VLOOKUP(B232,Data[],4,FALSE),"")</f>
        <v/>
      </c>
      <c r="Q232" t="str">
        <f ca="1">IF(all[[#This Row],[RAD/PACT]]="","",IF(OR(all[[#This Row],[RAD/PACT]]="2021-2025",all[[#This Row],[RAD/PACT]]="2019-2020"),"Yes",""))</f>
        <v/>
      </c>
      <c r="R232">
        <f>VLOOKUP(all[[#This Row],[DEVELOPMENT]],Data[],7,FALSE)</f>
        <v>509</v>
      </c>
      <c r="S232">
        <f>VLOOKUP(all[[#This Row],[DEVELOPMENT]],Data[],25,FALSE)</f>
        <v>0</v>
      </c>
      <c r="T232">
        <f>VLOOKUP(all[[#This Row],[DEVELOPMENT]],Data[],5,FALSE)</f>
        <v>3</v>
      </c>
      <c r="U232">
        <f>VLOOKUP(all[[#This Row],[DEVELOPMENT]],Data[],10,FALSE)</f>
        <v>3</v>
      </c>
      <c r="V232">
        <f>VLOOKUP(all[[#This Row],[DEVELOPMENT]],Data[],10,FALSE)</f>
        <v>3</v>
      </c>
      <c r="W232">
        <f>VLOOKUP(all[[#This Row],[DEVELOPMENT]],Data[],33,FALSE)</f>
        <v>1</v>
      </c>
      <c r="X232">
        <f>VLOOKUP(all[[#This Row],[DEVELOPMENT]],Data[],33,FALSE)</f>
        <v>1</v>
      </c>
      <c r="Y232">
        <f>VLOOKUP(all[[#This Row],[DEVELOPMENT]],Data[],28,FALSE)</f>
        <v>0</v>
      </c>
      <c r="Z232">
        <f>IF(all[[#This Row],['# Bulk Crushers]]=0,1,0)</f>
        <v>1</v>
      </c>
      <c r="AA232" s="5">
        <f ca="1">IFERROR(INDEX(FWD[],MATCH($B232,FWD[DEVELOPMENT],0),MATCH("ESTIMATE",FWD[#Headers],0)),0)</f>
        <v>874836.59722369723</v>
      </c>
      <c r="AB232" s="5">
        <f ca="1">IFERROR(INDEX(EHDAll[],MATCH($B232,EHDAll[DEVELOPMENT],0),MATCH("ESTIMATE",EHDAll[#Headers],0)),0)</f>
        <v>26210.643337500005</v>
      </c>
      <c r="AC232" s="5">
        <f ca="1">IFERROR(INDEX(IntAll[],MATCH($B232,IntAll[DEVELOPMENT],0),MATCH("ESTIMATE",IntAll[#Headers],0)),0)</f>
        <v>202510.875</v>
      </c>
      <c r="AD232" s="5">
        <f ca="1">IFERROR(INDEX(YardsAll[],MATCH($B232,YardsAll[DEVELOPMENT],0),MATCH("TOTAL ESTIMATE",YardsAll[#Headers],0)),0)</f>
        <v>2187130.3623400005</v>
      </c>
      <c r="AE232" s="99">
        <f t="shared" ca="1" si="3"/>
        <v>3290688.477901198</v>
      </c>
      <c r="AF232" s="5"/>
    </row>
    <row r="233" spans="1:32">
      <c r="A233" s="101">
        <f>VLOOKUP(B233,Data[],24,FALSE)</f>
        <v>140</v>
      </c>
      <c r="B233" t="s">
        <v>335</v>
      </c>
      <c r="C233" t="str">
        <f>VLOOKUP(all[[#This Row],[DEVELOPMENT]],Data[],MATCH(all[[#Headers],[PROGRAM]],Data[#Headers],0),FALSE)</f>
        <v>MIXED FINANCE/LLC2</v>
      </c>
      <c r="D233" t="str">
        <f>VLOOKUP(B233,Data[],2,FALSE)</f>
        <v>BROOKLYN</v>
      </c>
      <c r="E233">
        <f>VLOOKUP(all[[#This Row],[DEVELOPMENT]],Data[],65,FALSE)</f>
        <v>50</v>
      </c>
      <c r="F233" t="e">
        <f>VLOOKUP(all[[#This Row],[DEVELOPMENT]],Data[],3,FALSE)</f>
        <v>#N/A</v>
      </c>
      <c r="G233" s="107" t="s">
        <v>185</v>
      </c>
      <c r="H233" t="s">
        <v>184</v>
      </c>
      <c r="I233">
        <f>VLOOKUP(all[[#This Row],[DEVELOPMENT]],Data[],34,FALSE)</f>
        <v>0</v>
      </c>
      <c r="J233" t="s">
        <v>184</v>
      </c>
      <c r="K233">
        <f>VLOOKUP(B233,Data[],8,FALSE)</f>
        <v>0</v>
      </c>
      <c r="L233" t="str">
        <f>VLOOKUP(all[[#This Row],[DEVELOPMENT]],Data[],61,FALSE)</f>
        <v>No</v>
      </c>
      <c r="M233">
        <f>VLOOKUP(B233,Data[],9,FALSE)</f>
        <v>0</v>
      </c>
      <c r="N233">
        <v>4</v>
      </c>
      <c r="O233" t="s">
        <v>185</v>
      </c>
      <c r="P233">
        <f ca="1">IFERROR(VLOOKUP(B233,Data[],4,FALSE),"")</f>
        <v>2019</v>
      </c>
      <c r="Q233" t="str">
        <f ca="1">IF(all[[#This Row],[RAD/PACT]]="","",IF(OR(all[[#This Row],[RAD/PACT]]="2021-2025",all[[#This Row],[RAD/PACT]]="2019-2020"),"Yes",""))</f>
        <v/>
      </c>
      <c r="R233">
        <f>VLOOKUP(all[[#This Row],[DEVELOPMENT]],Data[],7,FALSE)</f>
        <v>741</v>
      </c>
      <c r="S233" t="str">
        <f>VLOOKUP(all[[#This Row],[DEVELOPMENT]],Data[],25,FALSE)</f>
        <v>Newtown Creek</v>
      </c>
      <c r="T233">
        <f>VLOOKUP(all[[#This Row],[DEVELOPMENT]],Data[],5,FALSE)</f>
        <v>6</v>
      </c>
      <c r="U233">
        <f>VLOOKUP(all[[#This Row],[DEVELOPMENT]],Data[],10,FALSE)</f>
        <v>6</v>
      </c>
      <c r="V233">
        <f>VLOOKUP(all[[#This Row],[DEVELOPMENT]],Data[],10,FALSE)</f>
        <v>6</v>
      </c>
      <c r="W233">
        <f>VLOOKUP(all[[#This Row],[DEVELOPMENT]],Data[],33,FALSE)</f>
        <v>0</v>
      </c>
      <c r="X233">
        <f>VLOOKUP(all[[#This Row],[DEVELOPMENT]],Data[],33,FALSE)</f>
        <v>0</v>
      </c>
      <c r="Y233">
        <f>VLOOKUP(all[[#This Row],[DEVELOPMENT]],Data[],28,FALSE)</f>
        <v>0</v>
      </c>
      <c r="Z233">
        <f>IF(all[[#This Row],['# Bulk Crushers]]=0,1,0)</f>
        <v>1</v>
      </c>
      <c r="AA233" s="5">
        <f ca="1">IFERROR(INDEX(FWD[],MATCH($B233,FWD[DEVELOPMENT],0),MATCH("ESTIMATE",FWD[#Headers],0)),0)</f>
        <v>1273583.3370191741</v>
      </c>
      <c r="AB233" s="5">
        <f ca="1">IFERROR(INDEX(EHDAll[],MATCH($B233,EHDAll[DEVELOPMENT],0),MATCH("ESTIMATE",EHDAll[#Headers],0)),0)</f>
        <v>52421.28667500001</v>
      </c>
      <c r="AC233" s="5">
        <f ca="1">IFERROR(INDEX(IntAll[],MATCH($B233,IntAll[DEVELOPMENT],0),MATCH("ESTIMATE",IntAll[#Headers],0)),0)</f>
        <v>0</v>
      </c>
      <c r="AD233" s="5">
        <f ca="1">IFERROR(INDEX(YardsAll[],MATCH($B233,YardsAll[DEVELOPMENT],0),MATCH("TOTAL ESTIMATE",YardsAll[#Headers],0)),0)</f>
        <v>0</v>
      </c>
      <c r="AE233" s="99">
        <f t="shared" ca="1" si="3"/>
        <v>1326004.6236941742</v>
      </c>
      <c r="AF233" s="5"/>
    </row>
    <row r="234" spans="1:32">
      <c r="A234" s="101">
        <f>VLOOKUP(B234,Data[],24,FALSE)</f>
        <v>316</v>
      </c>
      <c r="B234" t="s">
        <v>336</v>
      </c>
      <c r="C234" t="str">
        <f>VLOOKUP(all[[#This Row],[DEVELOPMENT]],Data[],MATCH(all[[#Headers],[PROGRAM]],Data[#Headers],0),FALSE)</f>
        <v>FEDERAL</v>
      </c>
      <c r="D234" t="str">
        <f>VLOOKUP(B234,Data[],2,FALSE)</f>
        <v>QUEENS</v>
      </c>
      <c r="E234">
        <f>VLOOKUP(all[[#This Row],[DEVELOPMENT]],Data[],65,FALSE)</f>
        <v>29</v>
      </c>
      <c r="F234" t="e">
        <f>VLOOKUP(all[[#This Row],[DEVELOPMENT]],Data[],3,FALSE)</f>
        <v>#N/A</v>
      </c>
      <c r="G234" s="107" t="s">
        <v>185</v>
      </c>
      <c r="H234" t="s">
        <v>184</v>
      </c>
      <c r="I234">
        <f>VLOOKUP(all[[#This Row],[DEVELOPMENT]],Data[],34,FALSE)</f>
        <v>0</v>
      </c>
      <c r="J234" t="s">
        <v>184</v>
      </c>
      <c r="K234">
        <f>VLOOKUP(B234,Data[],8,FALSE)</f>
        <v>0</v>
      </c>
      <c r="L234" t="str">
        <f>VLOOKUP(all[[#This Row],[DEVELOPMENT]],Data[],61,FALSE)</f>
        <v>No</v>
      </c>
      <c r="M234">
        <f>VLOOKUP(B234,Data[],9,FALSE)</f>
        <v>0</v>
      </c>
      <c r="N234">
        <v>2</v>
      </c>
      <c r="O234" t="s">
        <v>185</v>
      </c>
      <c r="P234" t="str">
        <f ca="1">IFERROR(VLOOKUP(B234,Data[],4,FALSE),"")</f>
        <v/>
      </c>
      <c r="Q234" t="str">
        <f ca="1">IF(all[[#This Row],[RAD/PACT]]="","",IF(OR(all[[#This Row],[RAD/PACT]]="2021-2025",all[[#This Row],[RAD/PACT]]="2019-2020"),"Yes",""))</f>
        <v/>
      </c>
      <c r="R234">
        <f>VLOOKUP(all[[#This Row],[DEVELOPMENT]],Data[],7,FALSE)</f>
        <v>146</v>
      </c>
      <c r="S234">
        <f>VLOOKUP(all[[#This Row],[DEVELOPMENT]],Data[],25,FALSE)</f>
        <v>0</v>
      </c>
      <c r="T234">
        <f>VLOOKUP(all[[#This Row],[DEVELOPMENT]],Data[],5,FALSE)</f>
        <v>1</v>
      </c>
      <c r="U234">
        <f>VLOOKUP(all[[#This Row],[DEVELOPMENT]],Data[],10,FALSE)</f>
        <v>1</v>
      </c>
      <c r="V234">
        <f>VLOOKUP(all[[#This Row],[DEVELOPMENT]],Data[],10,FALSE)</f>
        <v>1</v>
      </c>
      <c r="W234">
        <f>VLOOKUP(all[[#This Row],[DEVELOPMENT]],Data[],33,FALSE)</f>
        <v>0</v>
      </c>
      <c r="X234">
        <f>VLOOKUP(all[[#This Row],[DEVELOPMENT]],Data[],33,FALSE)</f>
        <v>0</v>
      </c>
      <c r="Y234">
        <f>VLOOKUP(all[[#This Row],[DEVELOPMENT]],Data[],28,FALSE)</f>
        <v>0</v>
      </c>
      <c r="Z234">
        <f>IF(all[[#This Row],['# Bulk Crushers]]=0,1,0)</f>
        <v>1</v>
      </c>
      <c r="AA234" s="5">
        <f ca="1">IFERROR(INDEX(FWD[],MATCH($B234,FWD[DEVELOPMENT],0),MATCH("ESTIMATE",FWD[#Headers],0)),0)</f>
        <v>250935.44831956737</v>
      </c>
      <c r="AB234" s="5">
        <f>IFERROR(INDEX(EHDAll[],MATCH($B234,EHDAll[DEVELOPMENT],0),MATCH("ESTIMATE",EHDAll[#Headers],0)),0)</f>
        <v>0</v>
      </c>
      <c r="AC234" s="5">
        <f ca="1">IFERROR(INDEX(IntAll[],MATCH($B234,IntAll[DEVELOPMENT],0),MATCH("ESTIMATE",IntAll[#Headers],0)),0)</f>
        <v>65295.562499999993</v>
      </c>
      <c r="AD234" s="5">
        <f ca="1">IFERROR(INDEX(YardsAll[],MATCH($B234,YardsAll[DEVELOPMENT],0),MATCH("TOTAL ESTIMATE",YardsAll[#Headers],0)),0)</f>
        <v>2187130.3623400005</v>
      </c>
      <c r="AE234" s="99">
        <f t="shared" ca="1" si="3"/>
        <v>2503361.3731595678</v>
      </c>
      <c r="AF234" s="5"/>
    </row>
    <row r="235" spans="1:32">
      <c r="A235" s="101">
        <f>VLOOKUP(B235,Data[],24,FALSE)</f>
        <v>139</v>
      </c>
      <c r="B235" t="s">
        <v>337</v>
      </c>
      <c r="C235" t="str">
        <f>VLOOKUP(all[[#This Row],[DEVELOPMENT]],Data[],MATCH(all[[#Headers],[PROGRAM]],Data[#Headers],0),FALSE)</f>
        <v>FEDERAL</v>
      </c>
      <c r="D235" t="str">
        <f>VLOOKUP(B235,Data[],2,FALSE)</f>
        <v>MANHATTAN</v>
      </c>
      <c r="E235">
        <f>VLOOKUP(all[[#This Row],[DEVELOPMENT]],Data[],65,FALSE)</f>
        <v>68</v>
      </c>
      <c r="F235" t="e">
        <f>VLOOKUP(all[[#This Row],[DEVELOPMENT]],Data[],3,FALSE)</f>
        <v>#N/A</v>
      </c>
      <c r="G235" s="107" t="s">
        <v>185</v>
      </c>
      <c r="H235" t="s">
        <v>184</v>
      </c>
      <c r="I235">
        <f>VLOOKUP(all[[#This Row],[DEVELOPMENT]],Data[],34,FALSE)</f>
        <v>0</v>
      </c>
      <c r="J235" t="s">
        <v>184</v>
      </c>
      <c r="K235">
        <f>VLOOKUP(B235,Data[],8,FALSE)</f>
        <v>0</v>
      </c>
      <c r="L235" t="str">
        <f>VLOOKUP(all[[#This Row],[DEVELOPMENT]],Data[],61,FALSE)</f>
        <v>No</v>
      </c>
      <c r="M235">
        <f>VLOOKUP(B235,Data[],9,FALSE)</f>
        <v>0</v>
      </c>
      <c r="N235">
        <v>3</v>
      </c>
      <c r="O235">
        <v>4</v>
      </c>
      <c r="P235" t="str">
        <f ca="1">IFERROR(VLOOKUP(B235,Data[],4,FALSE),"")</f>
        <v/>
      </c>
      <c r="Q235" t="str">
        <f ca="1">IF(all[[#This Row],[RAD/PACT]]="","",IF(OR(all[[#This Row],[RAD/PACT]]="2021-2025",all[[#This Row],[RAD/PACT]]="2019-2020"),"Yes",""))</f>
        <v/>
      </c>
      <c r="R235">
        <f>VLOOKUP(all[[#This Row],[DEVELOPMENT]],Data[],7,FALSE)</f>
        <v>634</v>
      </c>
      <c r="S235">
        <f>VLOOKUP(all[[#This Row],[DEVELOPMENT]],Data[],25,FALSE)</f>
        <v>0</v>
      </c>
      <c r="T235">
        <f>VLOOKUP(all[[#This Row],[DEVELOPMENT]],Data[],5,FALSE)</f>
        <v>3</v>
      </c>
      <c r="U235">
        <f>VLOOKUP(all[[#This Row],[DEVELOPMENT]],Data[],10,FALSE)</f>
        <v>3</v>
      </c>
      <c r="V235">
        <f>VLOOKUP(all[[#This Row],[DEVELOPMENT]],Data[],10,FALSE)</f>
        <v>3</v>
      </c>
      <c r="W235">
        <f>VLOOKUP(all[[#This Row],[DEVELOPMENT]],Data[],33,FALSE)</f>
        <v>1</v>
      </c>
      <c r="X235">
        <f>VLOOKUP(all[[#This Row],[DEVELOPMENT]],Data[],33,FALSE)</f>
        <v>1</v>
      </c>
      <c r="Y235">
        <f>VLOOKUP(all[[#This Row],[DEVELOPMENT]],Data[],28,FALSE)</f>
        <v>0</v>
      </c>
      <c r="Z235">
        <f>IF(all[[#This Row],['# Bulk Crushers]]=0,1,0)</f>
        <v>1</v>
      </c>
      <c r="AA235" s="5">
        <f ca="1">IFERROR(INDEX(FWD[],MATCH($B235,FWD[DEVELOPMENT],0),MATCH("ESTIMATE",FWD[#Headers],0)),0)</f>
        <v>1089678.5906479843</v>
      </c>
      <c r="AB235" s="5">
        <f ca="1">IFERROR(INDEX(EHDAll[],MATCH($B235,EHDAll[DEVELOPMENT],0),MATCH("ESTIMATE",EHDAll[#Headers],0)),0)</f>
        <v>26210.643337500005</v>
      </c>
      <c r="AC235" s="5">
        <f ca="1">IFERROR(INDEX(IntAll[],MATCH($B235,IntAll[DEVELOPMENT],0),MATCH("ESTIMATE",IntAll[#Headers],0)),0)</f>
        <v>229007.625</v>
      </c>
      <c r="AD235" s="5">
        <f ca="1">IFERROR(INDEX(YardsAll[],MATCH($B235,YardsAll[DEVELOPMENT],0),MATCH("TOTAL ESTIMATE",YardsAll[#Headers],0)),0)</f>
        <v>1696018.4953665005</v>
      </c>
      <c r="AE235" s="99">
        <f t="shared" ca="1" si="3"/>
        <v>3040915.3543519848</v>
      </c>
      <c r="AF235" s="5"/>
    </row>
    <row r="236" spans="1:32">
      <c r="A236" s="101">
        <f>VLOOKUP(B236,Data[],24,FALSE)</f>
        <v>186</v>
      </c>
      <c r="B236" t="s">
        <v>338</v>
      </c>
      <c r="C236" t="str">
        <f>VLOOKUP(all[[#This Row],[DEVELOPMENT]],Data[],MATCH(all[[#Headers],[PROGRAM]],Data[#Headers],0),FALSE)</f>
        <v>FEDERAL</v>
      </c>
      <c r="D236" t="str">
        <f>VLOOKUP(B236,Data[],2,FALSE)</f>
        <v>QUEENS</v>
      </c>
      <c r="E236">
        <f>VLOOKUP(all[[#This Row],[DEVELOPMENT]],Data[],65,FALSE)</f>
        <v>40</v>
      </c>
      <c r="F236" t="e">
        <f>VLOOKUP(all[[#This Row],[DEVELOPMENT]],Data[],3,FALSE)</f>
        <v>#N/A</v>
      </c>
      <c r="G236" s="107" t="s">
        <v>185</v>
      </c>
      <c r="H236" t="s">
        <v>184</v>
      </c>
      <c r="I236">
        <f>VLOOKUP(all[[#This Row],[DEVELOPMENT]],Data[],34,FALSE)</f>
        <v>0</v>
      </c>
      <c r="J236" t="s">
        <v>184</v>
      </c>
      <c r="K236">
        <f>VLOOKUP(B236,Data[],8,FALSE)</f>
        <v>0</v>
      </c>
      <c r="L236" t="str">
        <f>VLOOKUP(all[[#This Row],[DEVELOPMENT]],Data[],61,FALSE)</f>
        <v>No</v>
      </c>
      <c r="M236">
        <f>VLOOKUP(B236,Data[],9,FALSE)</f>
        <v>0</v>
      </c>
      <c r="N236">
        <v>4</v>
      </c>
      <c r="O236">
        <v>4</v>
      </c>
      <c r="P236" t="str">
        <f ca="1">IFERROR(VLOOKUP(B236,Data[],4,FALSE),"")</f>
        <v/>
      </c>
      <c r="Q236" t="str">
        <f ca="1">IF(all[[#This Row],[RAD/PACT]]="","",IF(OR(all[[#This Row],[RAD/PACT]]="2021-2025",all[[#This Row],[RAD/PACT]]="2019-2020"),"Yes",""))</f>
        <v/>
      </c>
      <c r="R236">
        <f>VLOOKUP(all[[#This Row],[DEVELOPMENT]],Data[],7,FALSE)</f>
        <v>423</v>
      </c>
      <c r="S236">
        <f>VLOOKUP(all[[#This Row],[DEVELOPMENT]],Data[],25,FALSE)</f>
        <v>0</v>
      </c>
      <c r="T236">
        <f>VLOOKUP(all[[#This Row],[DEVELOPMENT]],Data[],5,FALSE)</f>
        <v>4</v>
      </c>
      <c r="U236">
        <f>VLOOKUP(all[[#This Row],[DEVELOPMENT]],Data[],10,FALSE)</f>
        <v>4</v>
      </c>
      <c r="V236">
        <f>VLOOKUP(all[[#This Row],[DEVELOPMENT]],Data[],10,FALSE)</f>
        <v>4</v>
      </c>
      <c r="W236">
        <f>VLOOKUP(all[[#This Row],[DEVELOPMENT]],Data[],33,FALSE)</f>
        <v>1</v>
      </c>
      <c r="X236">
        <f>VLOOKUP(all[[#This Row],[DEVELOPMENT]],Data[],33,FALSE)</f>
        <v>1</v>
      </c>
      <c r="Y236">
        <f>VLOOKUP(all[[#This Row],[DEVELOPMENT]],Data[],28,FALSE)</f>
        <v>0</v>
      </c>
      <c r="Z236">
        <f>IF(all[[#This Row],['# Bulk Crushers]]=0,1,0)</f>
        <v>1</v>
      </c>
      <c r="AA236" s="5">
        <f ca="1">IFERROR(INDEX(FWD[],MATCH($B236,FWD[DEVELOPMENT],0),MATCH("ESTIMATE",FWD[#Headers],0)),0)</f>
        <v>727025.30574778758</v>
      </c>
      <c r="AB236" s="5">
        <f ca="1">IFERROR(INDEX(EHDAll[],MATCH($B236,EHDAll[DEVELOPMENT],0),MATCH("ESTIMATE",EHDAll[#Headers],0)),0)</f>
        <v>34947.524450000004</v>
      </c>
      <c r="AC236" s="5">
        <f ca="1">IFERROR(INDEX(IntAll[],MATCH($B236,IntAll[DEVELOPMENT],0),MATCH("ESTIMATE",IntAll[#Headers],0)),0)</f>
        <v>323008</v>
      </c>
      <c r="AD236" s="5">
        <f ca="1">IFERROR(INDEX(YardsAll[],MATCH($B236,YardsAll[DEVELOPMENT],0),MATCH("TOTAL ESTIMATE",YardsAll[#Headers],0)),0)</f>
        <v>2313658.5651200004</v>
      </c>
      <c r="AE236" s="99">
        <f t="shared" ca="1" si="3"/>
        <v>3398639.3953177882</v>
      </c>
      <c r="AF236" s="5"/>
    </row>
    <row r="237" spans="1:32">
      <c r="A237" s="101">
        <f>VLOOKUP(B237,Data[],24,FALSE)</f>
        <v>201</v>
      </c>
      <c r="B237" t="s">
        <v>339</v>
      </c>
      <c r="C237" t="str">
        <f>VLOOKUP(all[[#This Row],[DEVELOPMENT]],Data[],MATCH(all[[#Headers],[PROGRAM]],Data[#Headers],0),FALSE)</f>
        <v>FEDERAL</v>
      </c>
      <c r="D237" t="str">
        <f>VLOOKUP(B237,Data[],2,FALSE)</f>
        <v>QUEENS</v>
      </c>
      <c r="E237">
        <f>VLOOKUP(all[[#This Row],[DEVELOPMENT]],Data[],65,FALSE)</f>
        <v>40</v>
      </c>
      <c r="F237" t="e">
        <f>VLOOKUP(all[[#This Row],[DEVELOPMENT]],Data[],3,FALSE)</f>
        <v>#N/A</v>
      </c>
      <c r="G237" s="107" t="s">
        <v>185</v>
      </c>
      <c r="H237" t="s">
        <v>184</v>
      </c>
      <c r="I237">
        <f>VLOOKUP(all[[#This Row],[DEVELOPMENT]],Data[],34,FALSE)</f>
        <v>0</v>
      </c>
      <c r="J237" t="s">
        <v>184</v>
      </c>
      <c r="K237">
        <f>VLOOKUP(B237,Data[],8,FALSE)</f>
        <v>0</v>
      </c>
      <c r="L237" t="str">
        <f>VLOOKUP(all[[#This Row],[DEVELOPMENT]],Data[],61,FALSE)</f>
        <v>No</v>
      </c>
      <c r="M237">
        <f>VLOOKUP(B237,Data[],9,FALSE)</f>
        <v>0</v>
      </c>
      <c r="N237" t="s">
        <v>185</v>
      </c>
      <c r="O237" t="s">
        <v>185</v>
      </c>
      <c r="P237" t="str">
        <f ca="1">IFERROR(VLOOKUP(B237,Data[],4,FALSE),"")</f>
        <v/>
      </c>
      <c r="Q237" t="str">
        <f ca="1">IF(all[[#This Row],[RAD/PACT]]="","",IF(OR(all[[#This Row],[RAD/PACT]]="2021-2025",all[[#This Row],[RAD/PACT]]="2019-2020"),"Yes",""))</f>
        <v/>
      </c>
      <c r="R237">
        <f>VLOOKUP(all[[#This Row],[DEVELOPMENT]],Data[],7,FALSE)</f>
        <v>83</v>
      </c>
      <c r="S237">
        <f>VLOOKUP(all[[#This Row],[DEVELOPMENT]],Data[],25,FALSE)</f>
        <v>0</v>
      </c>
      <c r="T237">
        <f>VLOOKUP(all[[#This Row],[DEVELOPMENT]],Data[],5,FALSE)</f>
        <v>1</v>
      </c>
      <c r="U237">
        <f>VLOOKUP(all[[#This Row],[DEVELOPMENT]],Data[],10,FALSE)</f>
        <v>1</v>
      </c>
      <c r="V237">
        <f>VLOOKUP(all[[#This Row],[DEVELOPMENT]],Data[],10,FALSE)</f>
        <v>1</v>
      </c>
      <c r="W237">
        <f>VLOOKUP(all[[#This Row],[DEVELOPMENT]],Data[],33,FALSE)</f>
        <v>0</v>
      </c>
      <c r="X237">
        <f>VLOOKUP(all[[#This Row],[DEVELOPMENT]],Data[],33,FALSE)</f>
        <v>0</v>
      </c>
      <c r="Y237">
        <f>VLOOKUP(all[[#This Row],[DEVELOPMENT]],Data[],28,FALSE)</f>
        <v>0</v>
      </c>
      <c r="Z237">
        <f>IF(all[[#This Row],['# Bulk Crushers]]=0,1,0)</f>
        <v>1</v>
      </c>
      <c r="AA237" s="5">
        <f ca="1">IFERROR(INDEX(FWD[],MATCH($B237,FWD[DEVELOPMENT],0),MATCH("ESTIMATE",FWD[#Headers],0)),0)</f>
        <v>142655.08363372664</v>
      </c>
      <c r="AB237" s="5">
        <f ca="1">IFERROR(INDEX(EHDAll[],MATCH($B237,EHDAll[DEVELOPMENT],0),MATCH("ESTIMATE",EHDAll[#Headers],0)),0)</f>
        <v>8736.8811125000011</v>
      </c>
      <c r="AC237" s="5">
        <f ca="1">IFERROR(INDEX(IntAll[],MATCH($B237,IntAll[DEVELOPMENT],0),MATCH("ESTIMATE",IntAll[#Headers],0)),0)</f>
        <v>80752</v>
      </c>
      <c r="AD237" s="5">
        <f ca="1">IFERROR(INDEX(YardsAll[],MATCH($B237,YardsAll[DEVELOPMENT],0),MATCH("TOTAL ESTIMATE",YardsAll[#Headers],0)),0)</f>
        <v>2376922.6665100004</v>
      </c>
      <c r="AE237" s="99">
        <f t="shared" ca="1" si="3"/>
        <v>2609066.6312562269</v>
      </c>
      <c r="AF237" s="5"/>
    </row>
    <row r="238" spans="1:32">
      <c r="A238" s="101">
        <f>VLOOKUP(B238,Data[],24,FALSE)</f>
        <v>348</v>
      </c>
      <c r="B238" t="s">
        <v>340</v>
      </c>
      <c r="C238" t="str">
        <f>VLOOKUP(all[[#This Row],[DEVELOPMENT]],Data[],MATCH(all[[#Headers],[PROGRAM]],Data[#Headers],0),FALSE)</f>
        <v>FEDERAL</v>
      </c>
      <c r="D238" t="str">
        <f>VLOOKUP(B238,Data[],2,FALSE)</f>
        <v>BROOKLYN</v>
      </c>
      <c r="E238" t="str">
        <f>VLOOKUP(all[[#This Row],[DEVELOPMENT]],Data[],65,FALSE)</f>
        <v>55, 58</v>
      </c>
      <c r="F238" t="e">
        <f>VLOOKUP(all[[#This Row],[DEVELOPMENT]],Data[],3,FALSE)</f>
        <v>#N/A</v>
      </c>
      <c r="G238" s="107" t="s">
        <v>185</v>
      </c>
      <c r="H238" t="s">
        <v>184</v>
      </c>
      <c r="I238">
        <f>VLOOKUP(all[[#This Row],[DEVELOPMENT]],Data[],34,FALSE)</f>
        <v>0</v>
      </c>
      <c r="J238" t="s">
        <v>184</v>
      </c>
      <c r="K238">
        <f>VLOOKUP(B238,Data[],8,FALSE)</f>
        <v>0</v>
      </c>
      <c r="L238" t="str">
        <f>VLOOKUP(all[[#This Row],[DEVELOPMENT]],Data[],61,FALSE)</f>
        <v>No</v>
      </c>
      <c r="M238">
        <f>VLOOKUP(B238,Data[],9,FALSE)</f>
        <v>0</v>
      </c>
      <c r="N238">
        <v>3</v>
      </c>
      <c r="O238" t="s">
        <v>185</v>
      </c>
      <c r="P238" t="str">
        <f ca="1">IFERROR(VLOOKUP(B238,Data[],4,FALSE),"")</f>
        <v>2020-2021</v>
      </c>
      <c r="Q238" t="str">
        <f ca="1">IF(all[[#This Row],[RAD/PACT]]="","",IF(OR(all[[#This Row],[RAD/PACT]]="2021-2025",all[[#This Row],[RAD/PACT]]="2019-2020"),"Yes",""))</f>
        <v/>
      </c>
      <c r="R238">
        <f>VLOOKUP(all[[#This Row],[DEVELOPMENT]],Data[],7,FALSE)</f>
        <v>74</v>
      </c>
      <c r="S238">
        <f>VLOOKUP(all[[#This Row],[DEVELOPMENT]],Data[],25,FALSE)</f>
        <v>0</v>
      </c>
      <c r="T238">
        <f>VLOOKUP(all[[#This Row],[DEVELOPMENT]],Data[],5,FALSE)</f>
        <v>3</v>
      </c>
      <c r="U238">
        <f>VLOOKUP(all[[#This Row],[DEVELOPMENT]],Data[],10,FALSE)</f>
        <v>3</v>
      </c>
      <c r="V238">
        <f>VLOOKUP(all[[#This Row],[DEVELOPMENT]],Data[],10,FALSE)</f>
        <v>3</v>
      </c>
      <c r="W238">
        <f>VLOOKUP(all[[#This Row],[DEVELOPMENT]],Data[],33,FALSE)</f>
        <v>0</v>
      </c>
      <c r="X238">
        <f>VLOOKUP(all[[#This Row],[DEVELOPMENT]],Data[],33,FALSE)</f>
        <v>0</v>
      </c>
      <c r="Y238">
        <f>VLOOKUP(all[[#This Row],[DEVELOPMENT]],Data[],28,FALSE)</f>
        <v>0</v>
      </c>
      <c r="Z238">
        <f>IF(all[[#This Row],['# Bulk Crushers]]=0,1,0)</f>
        <v>1</v>
      </c>
      <c r="AA238" s="5">
        <f ca="1">IFERROR(INDEX(FWD[],MATCH($B238,FWD[DEVELOPMENT],0),MATCH("ESTIMATE",FWD[#Headers],0)),0)</f>
        <v>127186.46010717798</v>
      </c>
      <c r="AB238" s="5">
        <f ca="1">IFERROR(INDEX(EHDAll[],MATCH($B238,EHDAll[DEVELOPMENT],0),MATCH("ESTIMATE",EHDAll[#Headers],0)),0)</f>
        <v>26210.643337500005</v>
      </c>
      <c r="AC238" s="5">
        <f ca="1">IFERROR(INDEX(IntAll[],MATCH($B238,IntAll[DEVELOPMENT],0),MATCH("ESTIMATE",IntAll[#Headers],0)),0)</f>
        <v>0</v>
      </c>
      <c r="AD238" s="5">
        <f ca="1">IFERROR(INDEX(YardsAll[],MATCH($B238,YardsAll[DEVELOPMENT],0),MATCH("TOTAL ESTIMATE",YardsAll[#Headers],0)),0)</f>
        <v>0</v>
      </c>
      <c r="AE238" s="99">
        <f t="shared" ca="1" si="3"/>
        <v>153397.10344467798</v>
      </c>
      <c r="AF238" s="5"/>
    </row>
    <row r="239" spans="1:32">
      <c r="A239" s="101">
        <f>VLOOKUP(B239,Data[],24,FALSE)</f>
        <v>95</v>
      </c>
      <c r="B239" t="s">
        <v>341</v>
      </c>
      <c r="C239" t="str">
        <f>VLOOKUP(all[[#This Row],[DEVELOPMENT]],Data[],MATCH(all[[#Headers],[PROGRAM]],Data[#Headers],0),FALSE)</f>
        <v>MIXED FINANCE/LLC2</v>
      </c>
      <c r="D239" t="str">
        <f>VLOOKUP(B239,Data[],2,FALSE)</f>
        <v>BROOKLYN</v>
      </c>
      <c r="E239">
        <f>VLOOKUP(all[[#This Row],[DEVELOPMENT]],Data[],65,FALSE)</f>
        <v>60</v>
      </c>
      <c r="F239" t="e">
        <f>VLOOKUP(all[[#This Row],[DEVELOPMENT]],Data[],3,FALSE)</f>
        <v>#N/A</v>
      </c>
      <c r="G239" s="107" t="s">
        <v>185</v>
      </c>
      <c r="H239" t="s">
        <v>184</v>
      </c>
      <c r="I239">
        <f>VLOOKUP(all[[#This Row],[DEVELOPMENT]],Data[],34,FALSE)</f>
        <v>0</v>
      </c>
      <c r="J239" t="s">
        <v>184</v>
      </c>
      <c r="K239">
        <f>VLOOKUP(B239,Data[],8,FALSE)</f>
        <v>0</v>
      </c>
      <c r="L239" t="str">
        <f>VLOOKUP(all[[#This Row],[DEVELOPMENT]],Data[],61,FALSE)</f>
        <v>No</v>
      </c>
      <c r="M239">
        <f>VLOOKUP(B239,Data[],9,FALSE)</f>
        <v>0</v>
      </c>
      <c r="N239">
        <v>2</v>
      </c>
      <c r="O239" t="s">
        <v>185</v>
      </c>
      <c r="P239" t="str">
        <f ca="1">IFERROR(VLOOKUP(B239,Data[],4,FALSE),"")</f>
        <v>2020-2021</v>
      </c>
      <c r="Q239" t="str">
        <f ca="1">IF(all[[#This Row],[RAD/PACT]]="","",IF(OR(all[[#This Row],[RAD/PACT]]="2021-2025",all[[#This Row],[RAD/PACT]]="2019-2020"),"Yes",""))</f>
        <v/>
      </c>
      <c r="R239">
        <f>VLOOKUP(all[[#This Row],[DEVELOPMENT]],Data[],7,FALSE)</f>
        <v>1586</v>
      </c>
      <c r="S239">
        <f>VLOOKUP(all[[#This Row],[DEVELOPMENT]],Data[],25,FALSE)</f>
        <v>0</v>
      </c>
      <c r="T239">
        <f>VLOOKUP(all[[#This Row],[DEVELOPMENT]],Data[],5,FALSE)</f>
        <v>19</v>
      </c>
      <c r="U239">
        <f>VLOOKUP(all[[#This Row],[DEVELOPMENT]],Data[],10,FALSE)</f>
        <v>19</v>
      </c>
      <c r="V239">
        <f>VLOOKUP(all[[#This Row],[DEVELOPMENT]],Data[],10,FALSE)</f>
        <v>19</v>
      </c>
      <c r="W239">
        <f>VLOOKUP(all[[#This Row],[DEVELOPMENT]],Data[],33,FALSE)</f>
        <v>3</v>
      </c>
      <c r="X239">
        <f>VLOOKUP(all[[#This Row],[DEVELOPMENT]],Data[],33,FALSE)</f>
        <v>3</v>
      </c>
      <c r="Y239">
        <f>VLOOKUP(all[[#This Row],[DEVELOPMENT]],Data[],28,FALSE)</f>
        <v>1</v>
      </c>
      <c r="Z239">
        <f>IF(all[[#This Row],['# Bulk Crushers]]=0,1,0)</f>
        <v>0</v>
      </c>
      <c r="AA239" s="5">
        <f ca="1">IFERROR(INDEX(FWD[],MATCH($B239,FWD[DEVELOPMENT],0),MATCH("ESTIMATE",FWD[#Headers],0)),0)</f>
        <v>2725915.212567355</v>
      </c>
      <c r="AB239" s="5">
        <f ca="1">IFERROR(INDEX(EHDAll[],MATCH($B239,EHDAll[DEVELOPMENT],0),MATCH("ESTIMATE",EHDAll[#Headers],0)),0)</f>
        <v>166000.74113750001</v>
      </c>
      <c r="AC239" s="5">
        <f ca="1">IFERROR(INDEX(IntAll[],MATCH($B239,IntAll[DEVELOPMENT],0),MATCH("ESTIMATE",IntAll[#Headers],0)),0)</f>
        <v>0</v>
      </c>
      <c r="AD239" s="5">
        <f ca="1">IFERROR(INDEX(YardsAll[],MATCH($B239,YardsAll[DEVELOPMENT],0),MATCH("TOTAL ESTIMATE",YardsAll[#Headers],0)),0)</f>
        <v>0</v>
      </c>
      <c r="AE239" s="99">
        <f t="shared" ca="1" si="3"/>
        <v>2891915.9537048549</v>
      </c>
      <c r="AF239" s="5"/>
    </row>
    <row r="240" spans="1:32">
      <c r="A240" s="101">
        <f>VLOOKUP(B240,Data[],24,FALSE)</f>
        <v>337</v>
      </c>
      <c r="B240" t="s">
        <v>63</v>
      </c>
      <c r="C240" t="str">
        <f>VLOOKUP(all[[#This Row],[DEVELOPMENT]],Data[],MATCH(all[[#Headers],[PROGRAM]],Data[#Headers],0),FALSE)</f>
        <v>FEDERAL</v>
      </c>
      <c r="D240" t="str">
        <f>VLOOKUP(B240,Data[],2,FALSE)</f>
        <v>MANHATTAN</v>
      </c>
      <c r="E240">
        <f>VLOOKUP(all[[#This Row],[DEVELOPMENT]],Data[],65,FALSE)</f>
        <v>74</v>
      </c>
      <c r="F240" t="e">
        <f>VLOOKUP(all[[#This Row],[DEVELOPMENT]],Data[],3,FALSE)</f>
        <v>#N/A</v>
      </c>
      <c r="G240" s="107" t="s">
        <v>185</v>
      </c>
      <c r="H240" t="s">
        <v>184</v>
      </c>
      <c r="I240">
        <f>VLOOKUP(all[[#This Row],[DEVELOPMENT]],Data[],34,FALSE)</f>
        <v>0</v>
      </c>
      <c r="J240" t="s">
        <v>184</v>
      </c>
      <c r="K240" t="str">
        <f>VLOOKUP(B240,Data[],8,FALSE)</f>
        <v>Zone 1</v>
      </c>
      <c r="L240" t="str">
        <f>VLOOKUP(all[[#This Row],[DEVELOPMENT]],Data[],61,FALSE)</f>
        <v>No</v>
      </c>
      <c r="M240">
        <f>VLOOKUP(B240,Data[],9,FALSE)</f>
        <v>4</v>
      </c>
      <c r="N240">
        <v>3</v>
      </c>
      <c r="O240" t="s">
        <v>185</v>
      </c>
      <c r="P240" t="str">
        <f ca="1">IFERROR(VLOOKUP(B240,Data[],4,FALSE),"")</f>
        <v>2026+</v>
      </c>
      <c r="Q240" t="str">
        <f ca="1">IF(all[[#This Row],[RAD/PACT]]="","",IF(OR(all[[#This Row],[RAD/PACT]]="2021-2025",all[[#This Row],[RAD/PACT]]="2019-2020"),"Yes",""))</f>
        <v/>
      </c>
      <c r="R240">
        <f>VLOOKUP(all[[#This Row],[DEVELOPMENT]],Data[],7,FALSE)</f>
        <v>188</v>
      </c>
      <c r="S240" t="str">
        <f>VLOOKUP(all[[#This Row],[DEVELOPMENT]],Data[],25,FALSE)</f>
        <v>Newtown Creek</v>
      </c>
      <c r="T240">
        <f>VLOOKUP(all[[#This Row],[DEVELOPMENT]],Data[],5,FALSE)</f>
        <v>4</v>
      </c>
      <c r="U240">
        <f>VLOOKUP(all[[#This Row],[DEVELOPMENT]],Data[],10,FALSE)</f>
        <v>1</v>
      </c>
      <c r="V240">
        <f>VLOOKUP(all[[#This Row],[DEVELOPMENT]],Data[],10,FALSE)</f>
        <v>1</v>
      </c>
      <c r="W240">
        <f>VLOOKUP(all[[#This Row],[DEVELOPMENT]],Data[],33,FALSE)</f>
        <v>0</v>
      </c>
      <c r="X240">
        <f>VLOOKUP(all[[#This Row],[DEVELOPMENT]],Data[],33,FALSE)</f>
        <v>0</v>
      </c>
      <c r="Y240">
        <f>VLOOKUP(all[[#This Row],[DEVELOPMENT]],Data[],28,FALSE)</f>
        <v>0</v>
      </c>
      <c r="Z240">
        <f>IF(all[[#This Row],['# Bulk Crushers]]=0,1,0)</f>
        <v>1</v>
      </c>
      <c r="AA240" s="5">
        <f ca="1">IFERROR(INDEX(FWD[],MATCH($B240,FWD[DEVELOPMENT],0),MATCH("ESTIMATE",FWD[#Headers],0)),0)</f>
        <v>323122.35811012785</v>
      </c>
      <c r="AB240" s="5">
        <f ca="1">IFERROR(INDEX(EHDAll[],MATCH($B240,EHDAll[DEVELOPMENT],0),MATCH("ESTIMATE",EHDAll[#Headers],0)),0)</f>
        <v>7435.6435000000001</v>
      </c>
      <c r="AC240" s="5">
        <f ca="1">IFERROR(INDEX(IntAll[],MATCH($B240,IntAll[DEVELOPMENT],0),MATCH("ESTIMATE",IntAll[#Headers],0)),0)</f>
        <v>0</v>
      </c>
      <c r="AD240" s="5">
        <f ca="1">IFERROR(INDEX(YardsAll[],MATCH($B240,YardsAll[DEVELOPMENT],0),MATCH("TOTAL ESTIMATE",YardsAll[#Headers],0)),0)</f>
        <v>2250394.4637300009</v>
      </c>
      <c r="AE240" s="99">
        <f t="shared" ca="1" si="3"/>
        <v>2580952.4653401286</v>
      </c>
      <c r="AF240" s="5"/>
    </row>
    <row r="241" spans="1:32">
      <c r="A241" s="101">
        <f>VLOOKUP(B241,Data[],24,FALSE)</f>
        <v>292</v>
      </c>
      <c r="B241" t="s">
        <v>64</v>
      </c>
      <c r="C241" t="str">
        <f>VLOOKUP(all[[#This Row],[DEVELOPMENT]],Data[],MATCH(all[[#Headers],[PROGRAM]],Data[#Headers],0),FALSE)</f>
        <v>FEDERAL</v>
      </c>
      <c r="D241" t="str">
        <f>VLOOKUP(B241,Data[],2,FALSE)</f>
        <v>MANHATTAN</v>
      </c>
      <c r="E241">
        <f>VLOOKUP(all[[#This Row],[DEVELOPMENT]],Data[],65,FALSE)</f>
        <v>74</v>
      </c>
      <c r="F241" t="e">
        <f>VLOOKUP(all[[#This Row],[DEVELOPMENT]],Data[],3,FALSE)</f>
        <v>#N/A</v>
      </c>
      <c r="G241" s="107" t="s">
        <v>185</v>
      </c>
      <c r="H241" t="s">
        <v>184</v>
      </c>
      <c r="I241">
        <f>VLOOKUP(all[[#This Row],[DEVELOPMENT]],Data[],34,FALSE)</f>
        <v>0</v>
      </c>
      <c r="J241" t="s">
        <v>184</v>
      </c>
      <c r="K241" t="str">
        <f>VLOOKUP(B241,Data[],8,FALSE)</f>
        <v>Zone 1</v>
      </c>
      <c r="L241" t="str">
        <f>VLOOKUP(all[[#This Row],[DEVELOPMENT]],Data[],61,FALSE)</f>
        <v>No</v>
      </c>
      <c r="M241">
        <f>VLOOKUP(B241,Data[],9,FALSE)</f>
        <v>3</v>
      </c>
      <c r="N241">
        <v>4</v>
      </c>
      <c r="O241" t="s">
        <v>185</v>
      </c>
      <c r="P241" t="str">
        <f ca="1">IFERROR(VLOOKUP(B241,Data[],4,FALSE),"")</f>
        <v>2026+</v>
      </c>
      <c r="Q241" t="str">
        <f ca="1">IF(all[[#This Row],[RAD/PACT]]="","",IF(OR(all[[#This Row],[RAD/PACT]]="2021-2025",all[[#This Row],[RAD/PACT]]="2019-2020"),"Yes",""))</f>
        <v/>
      </c>
      <c r="R241">
        <f>VLOOKUP(all[[#This Row],[DEVELOPMENT]],Data[],7,FALSE)</f>
        <v>55</v>
      </c>
      <c r="S241" t="str">
        <f>VLOOKUP(all[[#This Row],[DEVELOPMENT]],Data[],25,FALSE)</f>
        <v>Newtown Creek</v>
      </c>
      <c r="T241">
        <f>VLOOKUP(all[[#This Row],[DEVELOPMENT]],Data[],5,FALSE)</f>
        <v>2</v>
      </c>
      <c r="U241">
        <f>VLOOKUP(all[[#This Row],[DEVELOPMENT]],Data[],10,FALSE)</f>
        <v>3</v>
      </c>
      <c r="V241">
        <f>VLOOKUP(all[[#This Row],[DEVELOPMENT]],Data[],10,FALSE)</f>
        <v>3</v>
      </c>
      <c r="W241">
        <f>VLOOKUP(all[[#This Row],[DEVELOPMENT]],Data[],33,FALSE)</f>
        <v>0</v>
      </c>
      <c r="X241">
        <f>VLOOKUP(all[[#This Row],[DEVELOPMENT]],Data[],33,FALSE)</f>
        <v>0</v>
      </c>
      <c r="Y241">
        <f>VLOOKUP(all[[#This Row],[DEVELOPMENT]],Data[],28,FALSE)</f>
        <v>0</v>
      </c>
      <c r="Z241">
        <f>IF(all[[#This Row],['# Bulk Crushers]]=0,1,0)</f>
        <v>1</v>
      </c>
      <c r="AA241" s="5">
        <f ca="1">IFERROR(INDEX(FWD[],MATCH($B241,FWD[DEVELOPMENT],0),MATCH("ESTIMATE",FWD[#Headers],0)),0)</f>
        <v>94530.477106686332</v>
      </c>
      <c r="AB241" s="5">
        <f ca="1">IFERROR(INDEX(EHDAll[],MATCH($B241,EHDAll[DEVELOPMENT],0),MATCH("ESTIMATE",EHDAll[#Headers],0)),0)</f>
        <v>22306.930500000002</v>
      </c>
      <c r="AC241" s="5">
        <f ca="1">IFERROR(INDEX(IntAll[],MATCH($B241,IntAll[DEVELOPMENT],0),MATCH("ESTIMATE",IntAll[#Headers],0)),0)</f>
        <v>189262.5</v>
      </c>
      <c r="AD241" s="5">
        <f ca="1">IFERROR(INDEX(YardsAll[],MATCH($B241,YardsAll[DEVELOPMENT],0),MATCH("TOTAL ESTIMATE",YardsAll[#Headers],0)),0)</f>
        <v>2313658.5651200004</v>
      </c>
      <c r="AE241" s="99">
        <f t="shared" ca="1" si="3"/>
        <v>2619758.4727266869</v>
      </c>
      <c r="AF241" s="5"/>
    </row>
    <row r="242" spans="1:32">
      <c r="A242" s="101">
        <f>VLOOKUP(B242,Data[],24,FALSE)</f>
        <v>296</v>
      </c>
      <c r="B242" t="s">
        <v>87</v>
      </c>
      <c r="C242" t="str">
        <f>VLOOKUP(all[[#This Row],[DEVELOPMENT]],Data[],MATCH(all[[#Headers],[PROGRAM]],Data[#Headers],0),FALSE)</f>
        <v>FEDERAL</v>
      </c>
      <c r="D242" t="str">
        <f>VLOOKUP(B242,Data[],2,FALSE)</f>
        <v>MANHATTAN</v>
      </c>
      <c r="E242">
        <f>VLOOKUP(all[[#This Row],[DEVELOPMENT]],Data[],65,FALSE)</f>
        <v>70</v>
      </c>
      <c r="F242" t="e">
        <f>VLOOKUP(all[[#This Row],[DEVELOPMENT]],Data[],3,FALSE)</f>
        <v>#N/A</v>
      </c>
      <c r="G242" s="107" t="s">
        <v>185</v>
      </c>
      <c r="H242" t="s">
        <v>184</v>
      </c>
      <c r="I242">
        <f>VLOOKUP(all[[#This Row],[DEVELOPMENT]],Data[],34,FALSE)</f>
        <v>0</v>
      </c>
      <c r="J242" t="s">
        <v>184</v>
      </c>
      <c r="K242" t="str">
        <f>VLOOKUP(B242,Data[],8,FALSE)</f>
        <v>Zone 3</v>
      </c>
      <c r="L242" t="str">
        <f>VLOOKUP(all[[#This Row],[DEVELOPMENT]],Data[],61,FALSE)</f>
        <v>No</v>
      </c>
      <c r="M242">
        <f>VLOOKUP(B242,Data[],9,FALSE)</f>
        <v>4</v>
      </c>
      <c r="N242">
        <v>4</v>
      </c>
      <c r="O242" t="s">
        <v>185</v>
      </c>
      <c r="P242" t="str">
        <f ca="1">IFERROR(VLOOKUP(B242,Data[],4,FALSE),"")</f>
        <v>2020-2021</v>
      </c>
      <c r="Q242" t="str">
        <f ca="1">IF(all[[#This Row],[RAD/PACT]]="","",IF(OR(all[[#This Row],[RAD/PACT]]="2021-2025",all[[#This Row],[RAD/PACT]]="2019-2020"),"Yes",""))</f>
        <v/>
      </c>
      <c r="R242">
        <f>VLOOKUP(all[[#This Row],[DEVELOPMENT]],Data[],7,FALSE)</f>
        <v>46</v>
      </c>
      <c r="S242">
        <f>VLOOKUP(all[[#This Row],[DEVELOPMENT]],Data[],25,FALSE)</f>
        <v>0</v>
      </c>
      <c r="T242">
        <f>VLOOKUP(all[[#This Row],[DEVELOPMENT]],Data[],5,FALSE)</f>
        <v>3</v>
      </c>
      <c r="U242">
        <f>VLOOKUP(all[[#This Row],[DEVELOPMENT]],Data[],10,FALSE)</f>
        <v>1</v>
      </c>
      <c r="V242">
        <f>VLOOKUP(all[[#This Row],[DEVELOPMENT]],Data[],10,FALSE)</f>
        <v>1</v>
      </c>
      <c r="W242">
        <f>VLOOKUP(all[[#This Row],[DEVELOPMENT]],Data[],33,FALSE)</f>
        <v>0</v>
      </c>
      <c r="X242">
        <f>VLOOKUP(all[[#This Row],[DEVELOPMENT]],Data[],33,FALSE)</f>
        <v>0</v>
      </c>
      <c r="Y242">
        <f>VLOOKUP(all[[#This Row],[DEVELOPMENT]],Data[],28,FALSE)</f>
        <v>0</v>
      </c>
      <c r="Z242">
        <f>IF(all[[#This Row],['# Bulk Crushers]]=0,1,0)</f>
        <v>1</v>
      </c>
      <c r="AA242" s="5">
        <f ca="1">IFERROR(INDEX(FWD[],MATCH($B242,FWD[DEVELOPMENT],0),MATCH("ESTIMATE",FWD[#Headers],0)),0)</f>
        <v>79061.853580137657</v>
      </c>
      <c r="AB242" s="5">
        <f ca="1">IFERROR(INDEX(EHDAll[],MATCH($B242,EHDAll[DEVELOPMENT],0),MATCH("ESTIMATE",EHDAll[#Headers],0)),0)</f>
        <v>7695.8910225</v>
      </c>
      <c r="AC242" s="5">
        <f ca="1">IFERROR(INDEX(IntAll[],MATCH($B242,IntAll[DEVELOPMENT],0),MATCH("ESTIMATE",IntAll[#Headers],0)),0)</f>
        <v>0</v>
      </c>
      <c r="AD242" s="5">
        <f ca="1">IFERROR(INDEX(YardsAll[],MATCH($B242,YardsAll[DEVELOPMENT],0),MATCH("TOTAL ESTIMATE",YardsAll[#Headers],0)),0)</f>
        <v>0</v>
      </c>
      <c r="AE242" s="99">
        <f t="shared" ca="1" si="3"/>
        <v>86757.744602637656</v>
      </c>
      <c r="AF242" s="5"/>
    </row>
    <row r="243" spans="1:32">
      <c r="A243" s="101">
        <f>VLOOKUP(B243,Data[],24,FALSE)</f>
        <v>297</v>
      </c>
      <c r="B243" t="s">
        <v>88</v>
      </c>
      <c r="C243" t="str">
        <f>VLOOKUP(all[[#This Row],[DEVELOPMENT]],Data[],MATCH(all[[#Headers],[PROGRAM]],Data[#Headers],0),FALSE)</f>
        <v>FEDERAL</v>
      </c>
      <c r="D243" t="str">
        <f>VLOOKUP(B243,Data[],2,FALSE)</f>
        <v>MANHATTAN</v>
      </c>
      <c r="E243">
        <f>VLOOKUP(all[[#This Row],[DEVELOPMENT]],Data[],65,FALSE)</f>
        <v>70</v>
      </c>
      <c r="F243" t="e">
        <f>VLOOKUP(all[[#This Row],[DEVELOPMENT]],Data[],3,FALSE)</f>
        <v>#N/A</v>
      </c>
      <c r="G243" s="107" t="s">
        <v>185</v>
      </c>
      <c r="H243" t="s">
        <v>184</v>
      </c>
      <c r="I243">
        <f>VLOOKUP(all[[#This Row],[DEVELOPMENT]],Data[],34,FALSE)</f>
        <v>0</v>
      </c>
      <c r="J243" t="s">
        <v>184</v>
      </c>
      <c r="K243" t="str">
        <f>VLOOKUP(B243,Data[],8,FALSE)</f>
        <v>Zone 3</v>
      </c>
      <c r="L243" t="str">
        <f>VLOOKUP(all[[#This Row],[DEVELOPMENT]],Data[],61,FALSE)</f>
        <v>No</v>
      </c>
      <c r="M243">
        <f>VLOOKUP(B243,Data[],9,FALSE)</f>
        <v>4</v>
      </c>
      <c r="N243">
        <v>2</v>
      </c>
      <c r="O243" t="s">
        <v>185</v>
      </c>
      <c r="P243" t="str">
        <f ca="1">IFERROR(VLOOKUP(B243,Data[],4,FALSE),"")</f>
        <v>2020-2021</v>
      </c>
      <c r="Q243" t="str">
        <f ca="1">IF(all[[#This Row],[RAD/PACT]]="","",IF(OR(all[[#This Row],[RAD/PACT]]="2021-2025",all[[#This Row],[RAD/PACT]]="2019-2020"),"Yes",""))</f>
        <v/>
      </c>
      <c r="R243">
        <f>VLOOKUP(all[[#This Row],[DEVELOPMENT]],Data[],7,FALSE)</f>
        <v>51</v>
      </c>
      <c r="S243">
        <f>VLOOKUP(all[[#This Row],[DEVELOPMENT]],Data[],25,FALSE)</f>
        <v>0</v>
      </c>
      <c r="T243">
        <f>VLOOKUP(all[[#This Row],[DEVELOPMENT]],Data[],5,FALSE)</f>
        <v>2</v>
      </c>
      <c r="U243">
        <f>VLOOKUP(all[[#This Row],[DEVELOPMENT]],Data[],10,FALSE)</f>
        <v>1</v>
      </c>
      <c r="V243">
        <f>VLOOKUP(all[[#This Row],[DEVELOPMENT]],Data[],10,FALSE)</f>
        <v>1</v>
      </c>
      <c r="W243">
        <f>VLOOKUP(all[[#This Row],[DEVELOPMENT]],Data[],33,FALSE)</f>
        <v>0</v>
      </c>
      <c r="X243">
        <f>VLOOKUP(all[[#This Row],[DEVELOPMENT]],Data[],33,FALSE)</f>
        <v>0</v>
      </c>
      <c r="Y243">
        <f>VLOOKUP(all[[#This Row],[DEVELOPMENT]],Data[],28,FALSE)</f>
        <v>0</v>
      </c>
      <c r="Z243">
        <f>IF(all[[#This Row],['# Bulk Crushers]]=0,1,0)</f>
        <v>1</v>
      </c>
      <c r="AA243" s="5">
        <f ca="1">IFERROR(INDEX(FWD[],MATCH($B243,FWD[DEVELOPMENT],0),MATCH("ESTIMATE",FWD[#Headers],0)),0)</f>
        <v>87655.533317109148</v>
      </c>
      <c r="AB243" s="5">
        <f ca="1">IFERROR(INDEX(EHDAll[],MATCH($B243,EHDAll[DEVELOPMENT],0),MATCH("ESTIMATE",EHDAll[#Headers],0)),0)</f>
        <v>7695.8910225</v>
      </c>
      <c r="AC243" s="5">
        <f ca="1">IFERROR(INDEX(IntAll[],MATCH($B243,IntAll[DEVELOPMENT],0),MATCH("ESTIMATE",IntAll[#Headers],0)),0)</f>
        <v>0</v>
      </c>
      <c r="AD243" s="5">
        <f ca="1">IFERROR(INDEX(YardsAll[],MATCH($B243,YardsAll[DEVELOPMENT],0),MATCH("TOTAL ESTIMATE",YardsAll[#Headers],0)),0)</f>
        <v>0</v>
      </c>
      <c r="AE243" s="99">
        <f t="shared" ca="1" si="3"/>
        <v>95351.424339609148</v>
      </c>
      <c r="AF243" s="5"/>
    </row>
    <row r="244" spans="1:32">
      <c r="A244" s="101">
        <f>VLOOKUP(B244,Data[],24,FALSE)</f>
        <v>49</v>
      </c>
      <c r="B244" t="s">
        <v>342</v>
      </c>
      <c r="C244" t="str">
        <f>VLOOKUP(all[[#This Row],[DEVELOPMENT]],Data[],MATCH(all[[#Headers],[PROGRAM]],Data[#Headers],0),FALSE)</f>
        <v>MIXED FINANCE/LLC1</v>
      </c>
      <c r="D244" t="str">
        <f>VLOOKUP(B244,Data[],2,FALSE)</f>
        <v>BRONX</v>
      </c>
      <c r="E244" t="str">
        <f>VLOOKUP(all[[#This Row],[DEVELOPMENT]],Data[],65,FALSE)</f>
        <v>72, 81</v>
      </c>
      <c r="F244" t="e">
        <f>VLOOKUP(all[[#This Row],[DEVELOPMENT]],Data[],3,FALSE)</f>
        <v>#N/A</v>
      </c>
      <c r="G244" s="107" t="s">
        <v>185</v>
      </c>
      <c r="H244" t="s">
        <v>184</v>
      </c>
      <c r="I244">
        <f>VLOOKUP(all[[#This Row],[DEVELOPMENT]],Data[],34,FALSE)</f>
        <v>0</v>
      </c>
      <c r="J244" t="s">
        <v>184</v>
      </c>
      <c r="K244">
        <f>VLOOKUP(B244,Data[],8,FALSE)</f>
        <v>0</v>
      </c>
      <c r="L244" t="str">
        <f>VLOOKUP(all[[#This Row],[DEVELOPMENT]],Data[],61,FALSE)</f>
        <v>No</v>
      </c>
      <c r="M244">
        <f>VLOOKUP(B244,Data[],9,FALSE)</f>
        <v>0</v>
      </c>
      <c r="N244">
        <v>2</v>
      </c>
      <c r="O244" t="s">
        <v>185</v>
      </c>
      <c r="P244" t="str">
        <f ca="1">IFERROR(VLOOKUP(B244,Data[],4,FALSE),"")</f>
        <v/>
      </c>
      <c r="Q244" t="str">
        <f ca="1">IF(all[[#This Row],[RAD/PACT]]="","",IF(OR(all[[#This Row],[RAD/PACT]]="2021-2025",all[[#This Row],[RAD/PACT]]="2019-2020"),"Yes",""))</f>
        <v/>
      </c>
      <c r="R244">
        <f>VLOOKUP(all[[#This Row],[DEVELOPMENT]],Data[],7,FALSE)</f>
        <v>1680</v>
      </c>
      <c r="S244">
        <f>VLOOKUP(all[[#This Row],[DEVELOPMENT]],Data[],25,FALSE)</f>
        <v>0</v>
      </c>
      <c r="T244">
        <f>VLOOKUP(all[[#This Row],[DEVELOPMENT]],Data[],5,FALSE)</f>
        <v>11</v>
      </c>
      <c r="U244">
        <f>VLOOKUP(all[[#This Row],[DEVELOPMENT]],Data[],10,FALSE)</f>
        <v>11</v>
      </c>
      <c r="V244">
        <f>VLOOKUP(all[[#This Row],[DEVELOPMENT]],Data[],10,FALSE)</f>
        <v>11</v>
      </c>
      <c r="W244">
        <f>VLOOKUP(all[[#This Row],[DEVELOPMENT]],Data[],33,FALSE)</f>
        <v>3</v>
      </c>
      <c r="X244">
        <f>VLOOKUP(all[[#This Row],[DEVELOPMENT]],Data[],33,FALSE)</f>
        <v>3</v>
      </c>
      <c r="Y244">
        <f>VLOOKUP(all[[#This Row],[DEVELOPMENT]],Data[],28,FALSE)</f>
        <v>0</v>
      </c>
      <c r="Z244">
        <f>IF(all[[#This Row],['# Bulk Crushers]]=0,1,0)</f>
        <v>1</v>
      </c>
      <c r="AA244" s="5">
        <f ca="1">IFERROR(INDEX(FWD[],MATCH($B244,FWD[DEVELOPMENT],0),MATCH("ESTIMATE",FWD[#Headers],0)),0)</f>
        <v>2887476.391622419</v>
      </c>
      <c r="AB244" s="5">
        <f ca="1">IFERROR(INDEX(EHDAll[],MATCH($B244,EHDAll[DEVELOPMENT],0),MATCH("ESTIMATE",EHDAll[#Headers],0)),0)</f>
        <v>96105.692237500014</v>
      </c>
      <c r="AC244" s="5">
        <f ca="1">IFERROR(INDEX(IntAll[],MATCH($B244,IntAll[DEVELOPMENT],0),MATCH("ESTIMATE",IntAll[#Headers],0)),0)</f>
        <v>742539.875</v>
      </c>
      <c r="AD244" s="5">
        <f ca="1">IFERROR(INDEX(YardsAll[],MATCH($B244,YardsAll[DEVELOPMENT],0),MATCH("TOTAL ESTIMATE",YardsAll[#Headers],0)),0)</f>
        <v>2925141.7538805008</v>
      </c>
      <c r="AE244" s="99">
        <f t="shared" ca="1" si="3"/>
        <v>6651263.7127404194</v>
      </c>
      <c r="AF244" s="5"/>
    </row>
    <row r="245" spans="1:32">
      <c r="A245" s="101">
        <f>VLOOKUP(B245,Data[],24,FALSE)</f>
        <v>363</v>
      </c>
      <c r="B245" t="s">
        <v>343</v>
      </c>
      <c r="C245" t="str">
        <f>VLOOKUP(all[[#This Row],[DEVELOPMENT]],Data[],MATCH(all[[#Headers],[PROGRAM]],Data[#Headers],0),FALSE)</f>
        <v>FEDERAL</v>
      </c>
      <c r="D245" t="str">
        <f>VLOOKUP(B245,Data[],2,FALSE)</f>
        <v>BROOKLYN</v>
      </c>
      <c r="E245">
        <f>VLOOKUP(all[[#This Row],[DEVELOPMENT]],Data[],65,FALSE)</f>
        <v>56</v>
      </c>
      <c r="F245" t="e">
        <f>VLOOKUP(all[[#This Row],[DEVELOPMENT]],Data[],3,FALSE)</f>
        <v>#N/A</v>
      </c>
      <c r="G245" s="107" t="s">
        <v>185</v>
      </c>
      <c r="H245" t="s">
        <v>184</v>
      </c>
      <c r="I245">
        <f>VLOOKUP(all[[#This Row],[DEVELOPMENT]],Data[],34,FALSE)</f>
        <v>0</v>
      </c>
      <c r="J245" t="s">
        <v>184</v>
      </c>
      <c r="K245" t="str">
        <f>VLOOKUP(B245,Data[],8,FALSE)</f>
        <v>Zone 1</v>
      </c>
      <c r="L245" t="str">
        <f>VLOOKUP(all[[#This Row],[DEVELOPMENT]],Data[],61,FALSE)</f>
        <v>No</v>
      </c>
      <c r="M245">
        <f>VLOOKUP(B245,Data[],9,FALSE)</f>
        <v>4</v>
      </c>
      <c r="N245">
        <v>2</v>
      </c>
      <c r="O245" t="s">
        <v>185</v>
      </c>
      <c r="P245">
        <f ca="1">IFERROR(VLOOKUP(B245,Data[],4,FALSE),"")</f>
        <v>2019</v>
      </c>
      <c r="Q245" t="str">
        <f ca="1">IF(all[[#This Row],[RAD/PACT]]="","",IF(OR(all[[#This Row],[RAD/PACT]]="2021-2025",all[[#This Row],[RAD/PACT]]="2019-2020"),"Yes",""))</f>
        <v/>
      </c>
      <c r="R245">
        <f>VLOOKUP(all[[#This Row],[DEVELOPMENT]],Data[],7,FALSE)</f>
        <v>48</v>
      </c>
      <c r="S245">
        <f>VLOOKUP(all[[#This Row],[DEVELOPMENT]],Data[],25,FALSE)</f>
        <v>0</v>
      </c>
      <c r="T245">
        <f>VLOOKUP(all[[#This Row],[DEVELOPMENT]],Data[],5,FALSE)</f>
        <v>2</v>
      </c>
      <c r="U245">
        <f>VLOOKUP(all[[#This Row],[DEVELOPMENT]],Data[],10,FALSE)</f>
        <v>0</v>
      </c>
      <c r="V245">
        <f>VLOOKUP(all[[#This Row],[DEVELOPMENT]],Data[],10,FALSE)</f>
        <v>0</v>
      </c>
      <c r="W245">
        <f>VLOOKUP(all[[#This Row],[DEVELOPMENT]],Data[],33,FALSE)</f>
        <v>0</v>
      </c>
      <c r="X245">
        <f>VLOOKUP(all[[#This Row],[DEVELOPMENT]],Data[],33,FALSE)</f>
        <v>0</v>
      </c>
      <c r="Y245">
        <f>VLOOKUP(all[[#This Row],[DEVELOPMENT]],Data[],28,FALSE)</f>
        <v>0</v>
      </c>
      <c r="Z245">
        <f>IF(all[[#This Row],['# Bulk Crushers]]=0,1,0)</f>
        <v>1</v>
      </c>
      <c r="AA245" s="5">
        <f ca="1">IFERROR(INDEX(FWD[],MATCH($B245,FWD[DEVELOPMENT],0),MATCH("ESTIMATE",FWD[#Headers],0)),0)</f>
        <v>82499.325474926256</v>
      </c>
      <c r="AB245" s="5">
        <f ca="1">IFERROR(INDEX(EHDAll[],MATCH($B245,EHDAll[DEVELOPMENT],0),MATCH("ESTIMATE",EHDAll[#Headers],0)),0)</f>
        <v>0</v>
      </c>
      <c r="AC245" s="5">
        <f ca="1">IFERROR(INDEX(IntAll[],MATCH($B245,IntAll[DEVELOPMENT],0),MATCH("ESTIMATE",IntAll[#Headers],0)),0)</f>
        <v>0</v>
      </c>
      <c r="AD245" s="5">
        <f ca="1">IFERROR(INDEX(YardsAll[],MATCH($B245,YardsAll[DEVELOPMENT],0),MATCH("TOTAL ESTIMATE",YardsAll[#Headers],0)),0)</f>
        <v>0</v>
      </c>
      <c r="AE245" s="99">
        <f t="shared" ca="1" si="3"/>
        <v>82499.325474926256</v>
      </c>
      <c r="AF245" s="5"/>
    </row>
    <row r="246" spans="1:32">
      <c r="A246" s="101">
        <f>VLOOKUP(B246,Data[],24,FALSE)</f>
        <v>77</v>
      </c>
      <c r="B246" t="s">
        <v>344</v>
      </c>
      <c r="C246" t="str">
        <f>VLOOKUP(all[[#This Row],[DEVELOPMENT]],Data[],MATCH(all[[#Headers],[PROGRAM]],Data[#Headers],0),FALSE)</f>
        <v>FEDERAL</v>
      </c>
      <c r="D246" t="str">
        <f>VLOOKUP(B246,Data[],2,FALSE)</f>
        <v>STATEN ISLAND</v>
      </c>
      <c r="E246">
        <f>VLOOKUP(all[[#This Row],[DEVELOPMENT]],Data[],65,FALSE)</f>
        <v>63</v>
      </c>
      <c r="F246" t="e">
        <f>VLOOKUP(all[[#This Row],[DEVELOPMENT]],Data[],3,FALSE)</f>
        <v>#N/A</v>
      </c>
      <c r="G246" s="107" t="s">
        <v>185</v>
      </c>
      <c r="H246" t="s">
        <v>184</v>
      </c>
      <c r="I246">
        <f>VLOOKUP(all[[#This Row],[DEVELOPMENT]],Data[],34,FALSE)</f>
        <v>0</v>
      </c>
      <c r="J246" t="s">
        <v>184</v>
      </c>
      <c r="K246">
        <f>VLOOKUP(B246,Data[],8,FALSE)</f>
        <v>0</v>
      </c>
      <c r="L246" t="str">
        <f>VLOOKUP(all[[#This Row],[DEVELOPMENT]],Data[],61,FALSE)</f>
        <v>No</v>
      </c>
      <c r="M246">
        <f>VLOOKUP(B246,Data[],9,FALSE)</f>
        <v>0</v>
      </c>
      <c r="N246">
        <v>4</v>
      </c>
      <c r="O246">
        <v>4</v>
      </c>
      <c r="P246" t="str">
        <f ca="1">IFERROR(VLOOKUP(B246,Data[],4,FALSE),"")</f>
        <v>2026+</v>
      </c>
      <c r="Q246" t="str">
        <f ca="1">IF(all[[#This Row],[RAD/PACT]]="","",IF(OR(all[[#This Row],[RAD/PACT]]="2021-2025",all[[#This Row],[RAD/PACT]]="2019-2020"),"Yes",""))</f>
        <v/>
      </c>
      <c r="R246">
        <f>VLOOKUP(all[[#This Row],[DEVELOPMENT]],Data[],7,FALSE)</f>
        <v>606</v>
      </c>
      <c r="S246">
        <f>VLOOKUP(all[[#This Row],[DEVELOPMENT]],Data[],25,FALSE)</f>
        <v>0</v>
      </c>
      <c r="T246">
        <f>VLOOKUP(all[[#This Row],[DEVELOPMENT]],Data[],5,FALSE)</f>
        <v>22</v>
      </c>
      <c r="U246">
        <f>VLOOKUP(all[[#This Row],[DEVELOPMENT]],Data[],10,FALSE)</f>
        <v>32</v>
      </c>
      <c r="V246">
        <f>VLOOKUP(all[[#This Row],[DEVELOPMENT]],Data[],10,FALSE)</f>
        <v>32</v>
      </c>
      <c r="W246">
        <f>VLOOKUP(all[[#This Row],[DEVELOPMENT]],Data[],33,FALSE)</f>
        <v>2</v>
      </c>
      <c r="X246">
        <f>VLOOKUP(all[[#This Row],[DEVELOPMENT]],Data[],33,FALSE)</f>
        <v>2</v>
      </c>
      <c r="Y246">
        <f>VLOOKUP(all[[#This Row],[DEVELOPMENT]],Data[],28,FALSE)</f>
        <v>0</v>
      </c>
      <c r="Z246">
        <f>IF(all[[#This Row],['# Bulk Crushers]]=0,1,0)</f>
        <v>1</v>
      </c>
      <c r="AA246" s="5">
        <f ca="1">IFERROR(INDEX(FWD[],MATCH($B246,FWD[DEVELOPMENT],0),MATCH("ESTIMATE",FWD[#Headers],0)),0)</f>
        <v>1041553.9841209439</v>
      </c>
      <c r="AB246" s="5">
        <f ca="1">IFERROR(INDEX(EHDAll[],MATCH($B246,EHDAll[DEVELOPMENT],0),MATCH("ESTIMATE",EHDAll[#Headers],0)),0)</f>
        <v>279580.19560000004</v>
      </c>
      <c r="AC246" s="5">
        <f ca="1">IFERROR(INDEX(IntAll[],MATCH($B246,IntAll[DEVELOPMENT],0),MATCH("ESTIMATE",IntAll[#Headers],0)),0)</f>
        <v>2513406</v>
      </c>
      <c r="AD246" s="5">
        <f ca="1">IFERROR(INDEX(YardsAll[],MATCH($B246,YardsAll[DEVELOPMENT],0),MATCH("TOTAL ESTIMATE",YardsAll[#Headers],0)),0)</f>
        <v>1743697.7301760004</v>
      </c>
      <c r="AE246" s="99">
        <f t="shared" ca="1" si="3"/>
        <v>5578237.9098969437</v>
      </c>
      <c r="AF246" s="5"/>
    </row>
    <row r="247" spans="1:32">
      <c r="A247" s="101">
        <f>VLOOKUP(B247,Data[],24,FALSE)</f>
        <v>181</v>
      </c>
      <c r="B247" t="s">
        <v>90</v>
      </c>
      <c r="C247" t="str">
        <f>VLOOKUP(all[[#This Row],[DEVELOPMENT]],Data[],MATCH(all[[#Headers],[PROGRAM]],Data[#Headers],0),FALSE)</f>
        <v>FEDERAL</v>
      </c>
      <c r="D247" t="str">
        <f>VLOOKUP(B247,Data[],2,FALSE)</f>
        <v>MANHATTAN</v>
      </c>
      <c r="E247">
        <f>VLOOKUP(all[[#This Row],[DEVELOPMENT]],Data[],65,FALSE)</f>
        <v>68</v>
      </c>
      <c r="F247" t="e">
        <f>VLOOKUP(all[[#This Row],[DEVELOPMENT]],Data[],3,FALSE)</f>
        <v>#N/A</v>
      </c>
      <c r="G247" s="107" t="s">
        <v>185</v>
      </c>
      <c r="H247" t="s">
        <v>184</v>
      </c>
      <c r="I247">
        <f>VLOOKUP(all[[#This Row],[DEVELOPMENT]],Data[],34,FALSE)</f>
        <v>0</v>
      </c>
      <c r="J247" t="s">
        <v>184</v>
      </c>
      <c r="K247" t="str">
        <f>VLOOKUP(B247,Data[],8,FALSE)</f>
        <v>Zone 2</v>
      </c>
      <c r="L247" t="str">
        <f>VLOOKUP(all[[#This Row],[DEVELOPMENT]],Data[],61,FALSE)</f>
        <v>No</v>
      </c>
      <c r="M247">
        <f>VLOOKUP(B247,Data[],9,FALSE)</f>
        <v>4</v>
      </c>
      <c r="N247">
        <v>2</v>
      </c>
      <c r="O247" t="s">
        <v>185</v>
      </c>
      <c r="P247" t="str">
        <f ca="1">IFERROR(VLOOKUP(B247,Data[],4,FALSE),"")</f>
        <v>2026+</v>
      </c>
      <c r="Q247" t="str">
        <f ca="1">IF(all[[#This Row],[RAD/PACT]]="","",IF(OR(all[[#This Row],[RAD/PACT]]="2021-2025",all[[#This Row],[RAD/PACT]]="2019-2020"),"Yes",""))</f>
        <v/>
      </c>
      <c r="R247">
        <f>VLOOKUP(all[[#This Row],[DEVELOPMENT]],Data[],7,FALSE)</f>
        <v>271</v>
      </c>
      <c r="S247">
        <f>VLOOKUP(all[[#This Row],[DEVELOPMENT]],Data[],25,FALSE)</f>
        <v>0</v>
      </c>
      <c r="T247">
        <f>VLOOKUP(all[[#This Row],[DEVELOPMENT]],Data[],5,FALSE)</f>
        <v>3</v>
      </c>
      <c r="U247">
        <f>VLOOKUP(all[[#This Row],[DEVELOPMENT]],Data[],10,FALSE)</f>
        <v>3</v>
      </c>
      <c r="V247">
        <f>VLOOKUP(all[[#This Row],[DEVELOPMENT]],Data[],10,FALSE)</f>
        <v>3</v>
      </c>
      <c r="W247">
        <f>VLOOKUP(all[[#This Row],[DEVELOPMENT]],Data[],33,FALSE)</f>
        <v>0</v>
      </c>
      <c r="X247">
        <f>VLOOKUP(all[[#This Row],[DEVELOPMENT]],Data[],33,FALSE)</f>
        <v>0</v>
      </c>
      <c r="Y247">
        <f>VLOOKUP(all[[#This Row],[DEVELOPMENT]],Data[],28,FALSE)</f>
        <v>0</v>
      </c>
      <c r="Z247">
        <f>IF(all[[#This Row],['# Bulk Crushers]]=0,1,0)</f>
        <v>1</v>
      </c>
      <c r="AA247" s="5">
        <f ca="1">IFERROR(INDEX(FWD[],MATCH($B247,FWD[DEVELOPMENT],0),MATCH("ESTIMATE",FWD[#Headers],0)),0)</f>
        <v>465777.44174385449</v>
      </c>
      <c r="AB247" s="5">
        <f ca="1">IFERROR(INDEX(EHDAll[],MATCH($B247,EHDAll[DEVELOPMENT],0),MATCH("ESTIMATE",EHDAll[#Headers],0)),0)</f>
        <v>23868.415635000005</v>
      </c>
      <c r="AC247" s="5">
        <f ca="1">IFERROR(INDEX(IntAll[],MATCH($B247,IntAll[DEVELOPMENT],0),MATCH("ESTIMATE",IntAll[#Headers],0)),0)</f>
        <v>195886.68749999997</v>
      </c>
      <c r="AD247" s="5">
        <f ca="1">IFERROR(INDEX(YardsAll[],MATCH($B247,YardsAll[DEVELOPMENT],0),MATCH("TOTAL ESTIMATE",YardsAll[#Headers],0)),0)</f>
        <v>2187130.3623400005</v>
      </c>
      <c r="AE247" s="99">
        <f t="shared" ca="1" si="3"/>
        <v>2872662.9072188549</v>
      </c>
      <c r="AF247" s="5"/>
    </row>
    <row r="248" spans="1:32">
      <c r="A248" s="101">
        <f>VLOOKUP(B248,Data[],24,FALSE)</f>
        <v>191</v>
      </c>
      <c r="B248" t="s">
        <v>345</v>
      </c>
      <c r="C248" t="str">
        <f>VLOOKUP(all[[#This Row],[DEVELOPMENT]],Data[],MATCH(all[[#Headers],[PROGRAM]],Data[#Headers],0),FALSE)</f>
        <v>FEDERAL</v>
      </c>
      <c r="D248" t="str">
        <f>VLOOKUP(B248,Data[],2,FALSE)</f>
        <v>BRONX</v>
      </c>
      <c r="E248">
        <f>VLOOKUP(all[[#This Row],[DEVELOPMENT]],Data[],65,FALSE)</f>
        <v>82</v>
      </c>
      <c r="F248" t="e">
        <f>VLOOKUP(all[[#This Row],[DEVELOPMENT]],Data[],3,FALSE)</f>
        <v>#N/A</v>
      </c>
      <c r="G248" s="107" t="s">
        <v>185</v>
      </c>
      <c r="H248" t="s">
        <v>184</v>
      </c>
      <c r="I248">
        <f>VLOOKUP(all[[#This Row],[DEVELOPMENT]],Data[],34,FALSE)</f>
        <v>0</v>
      </c>
      <c r="J248" t="s">
        <v>184</v>
      </c>
      <c r="K248">
        <f>VLOOKUP(B248,Data[],8,FALSE)</f>
        <v>0</v>
      </c>
      <c r="L248" t="str">
        <f>VLOOKUP(all[[#This Row],[DEVELOPMENT]],Data[],61,FALSE)</f>
        <v>No</v>
      </c>
      <c r="M248">
        <f>VLOOKUP(B248,Data[],9,FALSE)</f>
        <v>0</v>
      </c>
      <c r="N248">
        <v>3</v>
      </c>
      <c r="O248">
        <v>4</v>
      </c>
      <c r="P248" t="str">
        <f ca="1">IFERROR(VLOOKUP(B248,Data[],4,FALSE),"")</f>
        <v>2026+</v>
      </c>
      <c r="Q248" t="str">
        <f ca="1">IF(all[[#This Row],[RAD/PACT]]="","",IF(OR(all[[#This Row],[RAD/PACT]]="2021-2025",all[[#This Row],[RAD/PACT]]="2019-2020"),"Yes",""))</f>
        <v/>
      </c>
      <c r="R248">
        <f>VLOOKUP(all[[#This Row],[DEVELOPMENT]],Data[],7,FALSE)</f>
        <v>177</v>
      </c>
      <c r="S248">
        <f>VLOOKUP(all[[#This Row],[DEVELOPMENT]],Data[],25,FALSE)</f>
        <v>0</v>
      </c>
      <c r="T248">
        <f>VLOOKUP(all[[#This Row],[DEVELOPMENT]],Data[],5,FALSE)</f>
        <v>1</v>
      </c>
      <c r="U248">
        <f>VLOOKUP(all[[#This Row],[DEVELOPMENT]],Data[],10,FALSE)</f>
        <v>1</v>
      </c>
      <c r="V248">
        <f>VLOOKUP(all[[#This Row],[DEVELOPMENT]],Data[],10,FALSE)</f>
        <v>1</v>
      </c>
      <c r="W248">
        <f>VLOOKUP(all[[#This Row],[DEVELOPMENT]],Data[],33,FALSE)</f>
        <v>0</v>
      </c>
      <c r="X248">
        <f>VLOOKUP(all[[#This Row],[DEVELOPMENT]],Data[],33,FALSE)</f>
        <v>0</v>
      </c>
      <c r="Y248">
        <f>VLOOKUP(all[[#This Row],[DEVELOPMENT]],Data[],28,FALSE)</f>
        <v>0</v>
      </c>
      <c r="Z248">
        <f>IF(all[[#This Row],['# Bulk Crushers]]=0,1,0)</f>
        <v>1</v>
      </c>
      <c r="AA248" s="5">
        <f ca="1">IFERROR(INDEX(FWD[],MATCH($B248,FWD[DEVELOPMENT],0),MATCH("ESTIMATE",FWD[#Headers],0)),0)</f>
        <v>304216.26268879056</v>
      </c>
      <c r="AB248" s="5">
        <f>IFERROR(INDEX(EHDAll[],MATCH($B248,EHDAll[DEVELOPMENT],0),MATCH("ESTIMATE",EHDAll[#Headers],0)),0)</f>
        <v>0</v>
      </c>
      <c r="AC248" s="5">
        <f ca="1">IFERROR(INDEX(IntAll[],MATCH($B248,IntAll[DEVELOPMENT],0),MATCH("ESTIMATE",IntAll[#Headers],0)),0)</f>
        <v>63087.5</v>
      </c>
      <c r="AD248" s="5">
        <f ca="1">IFERROR(INDEX(YardsAll[],MATCH($B248,YardsAll[DEVELOPMENT],0),MATCH("TOTAL ESTIMATE",YardsAll[#Headers],0)),0)</f>
        <v>2250394.4637300009</v>
      </c>
      <c r="AE248" s="99">
        <f t="shared" ca="1" si="3"/>
        <v>2617698.2264187913</v>
      </c>
      <c r="AF248" s="5"/>
    </row>
    <row r="249" spans="1:32">
      <c r="A249" s="101">
        <f>VLOOKUP(B249,Data[],24,FALSE)</f>
        <v>102</v>
      </c>
      <c r="B249" t="s">
        <v>40</v>
      </c>
      <c r="C249" t="str">
        <f>VLOOKUP(all[[#This Row],[DEVELOPMENT]],Data[],MATCH(all[[#Headers],[PROGRAM]],Data[#Headers],0),FALSE)</f>
        <v>FEDERAL</v>
      </c>
      <c r="D249" t="str">
        <f>VLOOKUP(B249,Data[],2,FALSE)</f>
        <v>BRONX</v>
      </c>
      <c r="E249">
        <f>VLOOKUP(all[[#This Row],[DEVELOPMENT]],Data[],65,FALSE)</f>
        <v>79</v>
      </c>
      <c r="F249" t="e">
        <f>VLOOKUP(all[[#This Row],[DEVELOPMENT]],Data[],3,FALSE)</f>
        <v>#N/A</v>
      </c>
      <c r="G249" s="107" t="s">
        <v>185</v>
      </c>
      <c r="H249" t="s">
        <v>184</v>
      </c>
      <c r="I249">
        <f>VLOOKUP(all[[#This Row],[DEVELOPMENT]],Data[],34,FALSE)</f>
        <v>0</v>
      </c>
      <c r="J249" t="s">
        <v>184</v>
      </c>
      <c r="K249" t="str">
        <f>VLOOKUP(B249,Data[],8,FALSE)</f>
        <v>Zone 1</v>
      </c>
      <c r="L249" t="str">
        <f>VLOOKUP(all[[#This Row],[DEVELOPMENT]],Data[],61,FALSE)</f>
        <v>No</v>
      </c>
      <c r="M249">
        <f>VLOOKUP(B249,Data[],9,FALSE)</f>
        <v>3</v>
      </c>
      <c r="N249">
        <v>3</v>
      </c>
      <c r="O249">
        <v>4</v>
      </c>
      <c r="P249" t="str">
        <f ca="1">IFERROR(VLOOKUP(B249,Data[],4,FALSE),"")</f>
        <v/>
      </c>
      <c r="Q249" t="str">
        <f ca="1">IF(all[[#This Row],[RAD/PACT]]="","",IF(OR(all[[#This Row],[RAD/PACT]]="2021-2025",all[[#This Row],[RAD/PACT]]="2019-2020"),"Yes",""))</f>
        <v/>
      </c>
      <c r="R249">
        <f>VLOOKUP(all[[#This Row],[DEVELOPMENT]],Data[],7,FALSE)</f>
        <v>1083</v>
      </c>
      <c r="S249">
        <f>VLOOKUP(all[[#This Row],[DEVELOPMENT]],Data[],25,FALSE)</f>
        <v>0</v>
      </c>
      <c r="T249">
        <f>VLOOKUP(all[[#This Row],[DEVELOPMENT]],Data[],5,FALSE)</f>
        <v>10</v>
      </c>
      <c r="U249">
        <f>VLOOKUP(all[[#This Row],[DEVELOPMENT]],Data[],10,FALSE)</f>
        <v>9</v>
      </c>
      <c r="V249">
        <f>VLOOKUP(all[[#This Row],[DEVELOPMENT]],Data[],10,FALSE)</f>
        <v>9</v>
      </c>
      <c r="W249">
        <f>VLOOKUP(all[[#This Row],[DEVELOPMENT]],Data[],33,FALSE)</f>
        <v>3</v>
      </c>
      <c r="X249">
        <f>VLOOKUP(all[[#This Row],[DEVELOPMENT]],Data[],33,FALSE)</f>
        <v>3</v>
      </c>
      <c r="Y249">
        <f>VLOOKUP(all[[#This Row],[DEVELOPMENT]],Data[],28,FALSE)</f>
        <v>0</v>
      </c>
      <c r="Z249">
        <f>IF(all[[#This Row],['# Bulk Crushers]]=0,1,0)</f>
        <v>1</v>
      </c>
      <c r="AA249" s="5">
        <f ca="1">IFERROR(INDEX(FWD[],MATCH($B249,FWD[DEVELOPMENT],0),MATCH("ESTIMATE",FWD[#Headers],0)),0)</f>
        <v>1861391.0310280237</v>
      </c>
      <c r="AB249" s="5">
        <f>IFERROR(INDEX(EHDAll[],MATCH($B249,EHDAll[DEVELOPMENT],0),MATCH("ESTIMATE",EHDAll[#Headers],0)),0)</f>
        <v>0</v>
      </c>
      <c r="AC249" s="5">
        <f ca="1">IFERROR(INDEX(IntAll[],MATCH($B249,IntAll[DEVELOPMENT],0),MATCH("ESTIMATE",IntAll[#Headers],0)),0)</f>
        <v>1005592</v>
      </c>
      <c r="AD249" s="5">
        <f ca="1">IFERROR(INDEX(YardsAll[],MATCH($B249,YardsAll[DEVELOPMENT],0),MATCH("TOTAL ESTIMATE",YardsAll[#Headers],0)),0)</f>
        <v>1696018.4953665005</v>
      </c>
      <c r="AE249" s="99">
        <f t="shared" ca="1" si="3"/>
        <v>4563001.5263945246</v>
      </c>
      <c r="AF249" s="5"/>
    </row>
    <row r="250" spans="1:32">
      <c r="A250" s="101">
        <f>VLOOKUP(B250,Data[],24,FALSE)</f>
        <v>121</v>
      </c>
      <c r="B250" t="s">
        <v>346</v>
      </c>
      <c r="C250" t="str">
        <f>VLOOKUP(all[[#This Row],[DEVELOPMENT]],Data[],MATCH(all[[#Headers],[PROGRAM]],Data[#Headers],0),FALSE)</f>
        <v>FEDERAL</v>
      </c>
      <c r="D250" t="str">
        <f>VLOOKUP(B250,Data[],2,FALSE)</f>
        <v>BRONX</v>
      </c>
      <c r="E250">
        <f>VLOOKUP(all[[#This Row],[DEVELOPMENT]],Data[],65,FALSE)</f>
        <v>84</v>
      </c>
      <c r="F250" t="e">
        <f>VLOOKUP(all[[#This Row],[DEVELOPMENT]],Data[],3,FALSE)</f>
        <v>#N/A</v>
      </c>
      <c r="G250" s="107" t="s">
        <v>185</v>
      </c>
      <c r="H250" t="s">
        <v>184</v>
      </c>
      <c r="I250">
        <f>VLOOKUP(all[[#This Row],[DEVELOPMENT]],Data[],34,FALSE)</f>
        <v>0</v>
      </c>
      <c r="J250" t="s">
        <v>184</v>
      </c>
      <c r="K250">
        <f>VLOOKUP(B250,Data[],8,FALSE)</f>
        <v>0</v>
      </c>
      <c r="L250" t="str">
        <f>VLOOKUP(all[[#This Row],[DEVELOPMENT]],Data[],61,FALSE)</f>
        <v>No</v>
      </c>
      <c r="M250">
        <f>VLOOKUP(B250,Data[],9,FALSE)</f>
        <v>0</v>
      </c>
      <c r="N250" t="s">
        <v>185</v>
      </c>
      <c r="O250" t="s">
        <v>185</v>
      </c>
      <c r="P250" t="str">
        <f ca="1">IFERROR(VLOOKUP(B250,Data[],4,FALSE),"")</f>
        <v>2026+</v>
      </c>
      <c r="Q250" t="str">
        <f ca="1">IF(all[[#This Row],[RAD/PACT]]="","",IF(OR(all[[#This Row],[RAD/PACT]]="2021-2025",all[[#This Row],[RAD/PACT]]="2019-2020"),"Yes",""))</f>
        <v/>
      </c>
      <c r="R250">
        <f>VLOOKUP(all[[#This Row],[DEVELOPMENT]],Data[],7,FALSE)</f>
        <v>992</v>
      </c>
      <c r="S250">
        <f>VLOOKUP(all[[#This Row],[DEVELOPMENT]],Data[],25,FALSE)</f>
        <v>0</v>
      </c>
      <c r="T250">
        <f>VLOOKUP(all[[#This Row],[DEVELOPMENT]],Data[],5,FALSE)</f>
        <v>8</v>
      </c>
      <c r="U250">
        <f>VLOOKUP(all[[#This Row],[DEVELOPMENT]],Data[],10,FALSE)</f>
        <v>8</v>
      </c>
      <c r="V250">
        <f>VLOOKUP(all[[#This Row],[DEVELOPMENT]],Data[],10,FALSE)</f>
        <v>8</v>
      </c>
      <c r="W250">
        <f>VLOOKUP(all[[#This Row],[DEVELOPMENT]],Data[],33,FALSE)</f>
        <v>2</v>
      </c>
      <c r="X250">
        <f>VLOOKUP(all[[#This Row],[DEVELOPMENT]],Data[],33,FALSE)</f>
        <v>2</v>
      </c>
      <c r="Y250">
        <f>VLOOKUP(all[[#This Row],[DEVELOPMENT]],Data[],28,FALSE)</f>
        <v>0</v>
      </c>
      <c r="Z250">
        <f>IF(all[[#This Row],['# Bulk Crushers]]=0,1,0)</f>
        <v>1</v>
      </c>
      <c r="AA250" s="5">
        <f ca="1">IFERROR(INDEX(FWD[],MATCH($B250,FWD[DEVELOPMENT],0),MATCH("ESTIMATE",FWD[#Headers],0)),0)</f>
        <v>1704986.0598151425</v>
      </c>
      <c r="AB250" s="5">
        <f ca="1">IFERROR(INDEX(EHDAll[],MATCH($B250,EHDAll[DEVELOPMENT],0),MATCH("ESTIMATE",EHDAll[#Headers],0)),0)</f>
        <v>69895.048900000009</v>
      </c>
      <c r="AC250" s="5">
        <f ca="1">IFERROR(INDEX(IntAll[],MATCH($B250,IntAll[DEVELOPMENT],0),MATCH("ESTIMATE",IntAll[#Headers],0)),0)</f>
        <v>646016</v>
      </c>
      <c r="AD250" s="5">
        <f ca="1">IFERROR(INDEX(YardsAll[],MATCH($B250,YardsAll[DEVELOPMENT],0),MATCH("TOTAL ESTIMATE",YardsAll[#Headers],0)),0)</f>
        <v>2656864.0251975004</v>
      </c>
      <c r="AE250" s="99">
        <f t="shared" ca="1" si="3"/>
        <v>5077761.1339126434</v>
      </c>
      <c r="AF250" s="5"/>
    </row>
    <row r="251" spans="1:32">
      <c r="A251" s="101">
        <f>VLOOKUP(B251,Data[],24,FALSE)</f>
        <v>314</v>
      </c>
      <c r="B251" t="s">
        <v>347</v>
      </c>
      <c r="C251" t="str">
        <f>VLOOKUP(all[[#This Row],[DEVELOPMENT]],Data[],MATCH(all[[#Headers],[PROGRAM]],Data[#Headers],0),FALSE)</f>
        <v>FEDERAL</v>
      </c>
      <c r="D251" t="str">
        <f>VLOOKUP(B251,Data[],2,FALSE)</f>
        <v>STATEN ISLAND</v>
      </c>
      <c r="E251">
        <f>VLOOKUP(all[[#This Row],[DEVELOPMENT]],Data[],65,FALSE)</f>
        <v>64</v>
      </c>
      <c r="F251" t="e">
        <f>VLOOKUP(all[[#This Row],[DEVELOPMENT]],Data[],3,FALSE)</f>
        <v>#N/A</v>
      </c>
      <c r="G251" s="107" t="s">
        <v>185</v>
      </c>
      <c r="H251" t="s">
        <v>184</v>
      </c>
      <c r="I251">
        <f>VLOOKUP(all[[#This Row],[DEVELOPMENT]],Data[],34,FALSE)</f>
        <v>0</v>
      </c>
      <c r="J251" t="s">
        <v>184</v>
      </c>
      <c r="K251">
        <f>VLOOKUP(B251,Data[],8,FALSE)</f>
        <v>0</v>
      </c>
      <c r="L251" t="str">
        <f>VLOOKUP(all[[#This Row],[DEVELOPMENT]],Data[],61,FALSE)</f>
        <v>No</v>
      </c>
      <c r="M251">
        <f>VLOOKUP(B251,Data[],9,FALSE)</f>
        <v>0</v>
      </c>
      <c r="N251">
        <v>3</v>
      </c>
      <c r="O251" t="s">
        <v>185</v>
      </c>
      <c r="P251" t="str">
        <f ca="1">IFERROR(VLOOKUP(B251,Data[],4,FALSE),"")</f>
        <v/>
      </c>
      <c r="Q251" t="str">
        <f ca="1">IF(all[[#This Row],[RAD/PACT]]="","",IF(OR(all[[#This Row],[RAD/PACT]]="2021-2025",all[[#This Row],[RAD/PACT]]="2019-2020"),"Yes",""))</f>
        <v/>
      </c>
      <c r="R251">
        <f>VLOOKUP(all[[#This Row],[DEVELOPMENT]],Data[],7,FALSE)</f>
        <v>276</v>
      </c>
      <c r="S251">
        <f>VLOOKUP(all[[#This Row],[DEVELOPMENT]],Data[],25,FALSE)</f>
        <v>0</v>
      </c>
      <c r="T251">
        <f>VLOOKUP(all[[#This Row],[DEVELOPMENT]],Data[],5,FALSE)</f>
        <v>1</v>
      </c>
      <c r="U251">
        <f>VLOOKUP(all[[#This Row],[DEVELOPMENT]],Data[],10,FALSE)</f>
        <v>1</v>
      </c>
      <c r="V251">
        <f>VLOOKUP(all[[#This Row],[DEVELOPMENT]],Data[],10,FALSE)</f>
        <v>1</v>
      </c>
      <c r="W251">
        <f>VLOOKUP(all[[#This Row],[DEVELOPMENT]],Data[],33,FALSE)</f>
        <v>0</v>
      </c>
      <c r="X251">
        <f>VLOOKUP(all[[#This Row],[DEVELOPMENT]],Data[],33,FALSE)</f>
        <v>0</v>
      </c>
      <c r="Y251">
        <f>VLOOKUP(all[[#This Row],[DEVELOPMENT]],Data[],28,FALSE)</f>
        <v>0</v>
      </c>
      <c r="Z251">
        <f>IF(all[[#This Row],['# Bulk Crushers]]=0,1,0)</f>
        <v>1</v>
      </c>
      <c r="AA251" s="5">
        <f ca="1">IFERROR(INDEX(FWD[],MATCH($B251,FWD[DEVELOPMENT],0),MATCH("ESTIMATE",FWD[#Headers],0)),0)</f>
        <v>474371.121480826</v>
      </c>
      <c r="AB251" s="5">
        <f>IFERROR(INDEX(EHDAll[],MATCH($B251,EHDAll[DEVELOPMENT],0),MATCH("ESTIMATE",EHDAll[#Headers],0)),0)</f>
        <v>0</v>
      </c>
      <c r="AC251" s="5">
        <f ca="1">IFERROR(INDEX(IntAll[],MATCH($B251,IntAll[DEVELOPMENT],0),MATCH("ESTIMATE",IntAll[#Headers],0)),0)</f>
        <v>74127.8125</v>
      </c>
      <c r="AD251" s="5">
        <f ca="1">IFERROR(INDEX(YardsAll[],MATCH($B251,YardsAll[DEVELOPMENT],0),MATCH("TOTAL ESTIMATE",YardsAll[#Headers],0)),0)</f>
        <v>2313658.5651200004</v>
      </c>
      <c r="AE251" s="99">
        <f t="shared" ca="1" si="3"/>
        <v>2862157.4991008267</v>
      </c>
      <c r="AF251" s="5"/>
    </row>
    <row r="252" spans="1:32">
      <c r="A252" s="101">
        <f>VLOOKUP(B252,Data[],24,FALSE)</f>
        <v>51</v>
      </c>
      <c r="B252" t="s">
        <v>348</v>
      </c>
      <c r="C252" t="str">
        <f>VLOOKUP(all[[#This Row],[DEVELOPMENT]],Data[],MATCH(all[[#Headers],[PROGRAM]],Data[#Headers],0),FALSE)</f>
        <v>FEDERAL</v>
      </c>
      <c r="D252" t="str">
        <f>VLOOKUP(B252,Data[],2,FALSE)</f>
        <v>QUEENS</v>
      </c>
      <c r="E252">
        <f>VLOOKUP(all[[#This Row],[DEVELOPMENT]],Data[],65,FALSE)</f>
        <v>31</v>
      </c>
      <c r="F252" t="e">
        <f>VLOOKUP(all[[#This Row],[DEVELOPMENT]],Data[],3,FALSE)</f>
        <v>#N/A</v>
      </c>
      <c r="G252" s="107" t="s">
        <v>185</v>
      </c>
      <c r="H252" t="s">
        <v>184</v>
      </c>
      <c r="I252">
        <f>VLOOKUP(all[[#This Row],[DEVELOPMENT]],Data[],34,FALSE)</f>
        <v>0</v>
      </c>
      <c r="J252" t="s">
        <v>184</v>
      </c>
      <c r="K252">
        <f>VLOOKUP(B252,Data[],8,FALSE)</f>
        <v>0</v>
      </c>
      <c r="L252" t="str">
        <f>VLOOKUP(all[[#This Row],[DEVELOPMENT]],Data[],61,FALSE)</f>
        <v>No</v>
      </c>
      <c r="M252">
        <f>VLOOKUP(B252,Data[],9,FALSE)</f>
        <v>0</v>
      </c>
      <c r="N252">
        <v>3</v>
      </c>
      <c r="O252">
        <v>4</v>
      </c>
      <c r="P252" t="str">
        <f ca="1">IFERROR(VLOOKUP(B252,Data[],4,FALSE),"")</f>
        <v>2026+</v>
      </c>
      <c r="Q252" t="str">
        <f ca="1">IF(all[[#This Row],[RAD/PACT]]="","",IF(OR(all[[#This Row],[RAD/PACT]]="2021-2025",all[[#This Row],[RAD/PACT]]="2019-2020"),"Yes",""))</f>
        <v/>
      </c>
      <c r="R252">
        <f>VLOOKUP(all[[#This Row],[DEVELOPMENT]],Data[],7,FALSE)</f>
        <v>417</v>
      </c>
      <c r="S252">
        <f>VLOOKUP(all[[#This Row],[DEVELOPMENT]],Data[],25,FALSE)</f>
        <v>0</v>
      </c>
      <c r="T252">
        <f>VLOOKUP(all[[#This Row],[DEVELOPMENT]],Data[],5,FALSE)</f>
        <v>7</v>
      </c>
      <c r="U252">
        <f>VLOOKUP(all[[#This Row],[DEVELOPMENT]],Data[],10,FALSE)</f>
        <v>14</v>
      </c>
      <c r="V252">
        <f>VLOOKUP(all[[#This Row],[DEVELOPMENT]],Data[],10,FALSE)</f>
        <v>14</v>
      </c>
      <c r="W252">
        <f>VLOOKUP(all[[#This Row],[DEVELOPMENT]],Data[],33,FALSE)</f>
        <v>0</v>
      </c>
      <c r="X252">
        <f>VLOOKUP(all[[#This Row],[DEVELOPMENT]],Data[],33,FALSE)</f>
        <v>0</v>
      </c>
      <c r="Y252">
        <f>VLOOKUP(all[[#This Row],[DEVELOPMENT]],Data[],28,FALSE)</f>
        <v>0</v>
      </c>
      <c r="Z252">
        <f>IF(all[[#This Row],['# Bulk Crushers]]=0,1,0)</f>
        <v>1</v>
      </c>
      <c r="AA252" s="5">
        <f ca="1">IFERROR(INDEX(FWD[],MATCH($B252,FWD[DEVELOPMENT],0),MATCH("ESTIMATE",FWD[#Headers],0)),0)</f>
        <v>716712.8900634218</v>
      </c>
      <c r="AB252" s="5">
        <f ca="1">IFERROR(INDEX(EHDAll[],MATCH($B252,EHDAll[DEVELOPMENT],0),MATCH("ESTIMATE",EHDAll[#Headers],0)),0)</f>
        <v>118672.87026000003</v>
      </c>
      <c r="AC252" s="5">
        <f ca="1">IFERROR(INDEX(IntAll[],MATCH($B252,IntAll[DEVELOPMENT],0),MATCH("ESTIMATE",IntAll[#Headers],0)),0)</f>
        <v>1068702.25</v>
      </c>
      <c r="AD252" s="5">
        <f ca="1">IFERROR(INDEX(YardsAll[],MATCH($B252,YardsAll[DEVELOPMENT],0),MATCH("TOTAL ESTIMATE",YardsAll[#Headers],0)),0)</f>
        <v>2250394.4637300009</v>
      </c>
      <c r="AE252" s="99">
        <f t="shared" ca="1" si="3"/>
        <v>4154482.4740534229</v>
      </c>
      <c r="AF252" s="5"/>
    </row>
    <row r="253" spans="1:32">
      <c r="A253" s="101">
        <f>VLOOKUP(B253,Data[],24,FALSE)</f>
        <v>162</v>
      </c>
      <c r="B253" t="s">
        <v>349</v>
      </c>
      <c r="C253" t="str">
        <f>VLOOKUP(all[[#This Row],[DEVELOPMENT]],Data[],MATCH(all[[#Headers],[PROGRAM]],Data[#Headers],0),FALSE)</f>
        <v>FEDERAL</v>
      </c>
      <c r="D253" t="str">
        <f>VLOOKUP(B253,Data[],2,FALSE)</f>
        <v>BROOKLYN</v>
      </c>
      <c r="E253">
        <f>VLOOKUP(all[[#This Row],[DEVELOPMENT]],Data[],65,FALSE)</f>
        <v>55</v>
      </c>
      <c r="F253" t="e">
        <f>VLOOKUP(all[[#This Row],[DEVELOPMENT]],Data[],3,FALSE)</f>
        <v>#N/A</v>
      </c>
      <c r="G253" s="107" t="s">
        <v>185</v>
      </c>
      <c r="H253" t="s">
        <v>184</v>
      </c>
      <c r="I253">
        <f>VLOOKUP(all[[#This Row],[DEVELOPMENT]],Data[],34,FALSE)</f>
        <v>0</v>
      </c>
      <c r="J253" t="s">
        <v>184</v>
      </c>
      <c r="K253">
        <f>VLOOKUP(B253,Data[],8,FALSE)</f>
        <v>0</v>
      </c>
      <c r="L253" t="str">
        <f>VLOOKUP(all[[#This Row],[DEVELOPMENT]],Data[],61,FALSE)</f>
        <v>No</v>
      </c>
      <c r="M253">
        <f>VLOOKUP(B253,Data[],9,FALSE)</f>
        <v>0</v>
      </c>
      <c r="N253">
        <v>4</v>
      </c>
      <c r="O253" t="s">
        <v>185</v>
      </c>
      <c r="P253" t="str">
        <f ca="1">IFERROR(VLOOKUP(B253,Data[],4,FALSE),"")</f>
        <v/>
      </c>
      <c r="Q253" t="str">
        <f ca="1">IF(all[[#This Row],[RAD/PACT]]="","",IF(OR(all[[#This Row],[RAD/PACT]]="2021-2025",all[[#This Row],[RAD/PACT]]="2019-2020"),"Yes",""))</f>
        <v/>
      </c>
      <c r="R253">
        <f>VLOOKUP(all[[#This Row],[DEVELOPMENT]],Data[],7,FALSE)</f>
        <v>238</v>
      </c>
      <c r="S253" t="str">
        <f>VLOOKUP(all[[#This Row],[DEVELOPMENT]],Data[],25,FALSE)</f>
        <v>Newtown Creek</v>
      </c>
      <c r="T253">
        <f>VLOOKUP(all[[#This Row],[DEVELOPMENT]],Data[],5,FALSE)</f>
        <v>3</v>
      </c>
      <c r="U253">
        <f>VLOOKUP(all[[#This Row],[DEVELOPMENT]],Data[],10,FALSE)</f>
        <v>3</v>
      </c>
      <c r="V253">
        <f>VLOOKUP(all[[#This Row],[DEVELOPMENT]],Data[],10,FALSE)</f>
        <v>3</v>
      </c>
      <c r="W253">
        <f>VLOOKUP(all[[#This Row],[DEVELOPMENT]],Data[],33,FALSE)</f>
        <v>0</v>
      </c>
      <c r="X253">
        <f>VLOOKUP(all[[#This Row],[DEVELOPMENT]],Data[],33,FALSE)</f>
        <v>0</v>
      </c>
      <c r="Y253">
        <f>VLOOKUP(all[[#This Row],[DEVELOPMENT]],Data[],28,FALSE)</f>
        <v>0</v>
      </c>
      <c r="Z253">
        <f>IF(all[[#This Row],['# Bulk Crushers]]=0,1,0)</f>
        <v>1</v>
      </c>
      <c r="AA253" s="5">
        <f ca="1">IFERROR(INDEX(FWD[],MATCH($B253,FWD[DEVELOPMENT],0),MATCH("ESTIMATE",FWD[#Headers],0)),0)</f>
        <v>409059.15547984268</v>
      </c>
      <c r="AB253" s="5">
        <f ca="1">IFERROR(INDEX(EHDAll[],MATCH($B253,EHDAll[DEVELOPMENT],0),MATCH("ESTIMATE",EHDAll[#Headers],0)),0)</f>
        <v>26210.643337500005</v>
      </c>
      <c r="AC253" s="5">
        <f ca="1">IFERROR(INDEX(IntAll[],MATCH($B253,IntAll[DEVELOPMENT],0),MATCH("ESTIMATE",IntAll[#Headers],0)),0)</f>
        <v>235631.81250000003</v>
      </c>
      <c r="AD253" s="5">
        <f ca="1">IFERROR(INDEX(YardsAll[],MATCH($B253,YardsAll[DEVELOPMENT],0),MATCH("TOTAL ESTIMATE",YardsAll[#Headers],0)),0)</f>
        <v>2313658.5651200004</v>
      </c>
      <c r="AE253" s="99">
        <f t="shared" ca="1" si="3"/>
        <v>2984560.176437343</v>
      </c>
      <c r="AF253" s="5"/>
    </row>
    <row r="254" spans="1:32">
      <c r="A254" s="101">
        <f>VLOOKUP(B254,Data[],24,FALSE)</f>
        <v>313</v>
      </c>
      <c r="B254" t="s">
        <v>350</v>
      </c>
      <c r="C254" t="str">
        <f>VLOOKUP(all[[#This Row],[DEVELOPMENT]],Data[],MATCH(all[[#Headers],[PROGRAM]],Data[#Headers],0),FALSE)</f>
        <v>FEDERAL</v>
      </c>
      <c r="D254" t="str">
        <f>VLOOKUP(B254,Data[],2,FALSE)</f>
        <v>BROOKLYN</v>
      </c>
      <c r="E254">
        <f>VLOOKUP(all[[#This Row],[DEVELOPMENT]],Data[],65,FALSE)</f>
        <v>55</v>
      </c>
      <c r="F254" t="e">
        <f>VLOOKUP(all[[#This Row],[DEVELOPMENT]],Data[],3,FALSE)</f>
        <v>#N/A</v>
      </c>
      <c r="G254" s="107" t="s">
        <v>185</v>
      </c>
      <c r="H254" t="s">
        <v>184</v>
      </c>
      <c r="I254">
        <f>VLOOKUP(all[[#This Row],[DEVELOPMENT]],Data[],34,FALSE)</f>
        <v>0</v>
      </c>
      <c r="J254" t="s">
        <v>184</v>
      </c>
      <c r="K254">
        <f>VLOOKUP(B254,Data[],8,FALSE)</f>
        <v>0</v>
      </c>
      <c r="L254" t="str">
        <f>VLOOKUP(all[[#This Row],[DEVELOPMENT]],Data[],61,FALSE)</f>
        <v>No</v>
      </c>
      <c r="M254">
        <f>VLOOKUP(B254,Data[],9,FALSE)</f>
        <v>0</v>
      </c>
      <c r="N254">
        <v>2</v>
      </c>
      <c r="O254" t="s">
        <v>185</v>
      </c>
      <c r="P254" t="str">
        <f ca="1">IFERROR(VLOOKUP(B254,Data[],4,FALSE),"")</f>
        <v>2022-2025</v>
      </c>
      <c r="Q254" t="str">
        <f ca="1">IF(all[[#This Row],[RAD/PACT]]="","",IF(OR(all[[#This Row],[RAD/PACT]]="2021-2025",all[[#This Row],[RAD/PACT]]="2019-2020"),"Yes",""))</f>
        <v/>
      </c>
      <c r="R254">
        <f>VLOOKUP(all[[#This Row],[DEVELOPMENT]],Data[],7,FALSE)</f>
        <v>125</v>
      </c>
      <c r="S254" t="str">
        <f>VLOOKUP(all[[#This Row],[DEVELOPMENT]],Data[],25,FALSE)</f>
        <v>Newtown Creek</v>
      </c>
      <c r="T254">
        <f>VLOOKUP(all[[#This Row],[DEVELOPMENT]],Data[],5,FALSE)</f>
        <v>5</v>
      </c>
      <c r="U254">
        <f>VLOOKUP(all[[#This Row],[DEVELOPMENT]],Data[],10,FALSE)</f>
        <v>6</v>
      </c>
      <c r="V254">
        <f>VLOOKUP(all[[#This Row],[DEVELOPMENT]],Data[],10,FALSE)</f>
        <v>6</v>
      </c>
      <c r="W254">
        <f>VLOOKUP(all[[#This Row],[DEVELOPMENT]],Data[],33,FALSE)</f>
        <v>0</v>
      </c>
      <c r="X254">
        <f>VLOOKUP(all[[#This Row],[DEVELOPMENT]],Data[],33,FALSE)</f>
        <v>0</v>
      </c>
      <c r="Y254">
        <f>VLOOKUP(all[[#This Row],[DEVELOPMENT]],Data[],28,FALSE)</f>
        <v>0</v>
      </c>
      <c r="Z254">
        <f>IF(all[[#This Row],['# Bulk Crushers]]=0,1,0)</f>
        <v>1</v>
      </c>
      <c r="AA254" s="5">
        <f ca="1">IFERROR(INDEX(FWD[],MATCH($B254,FWD[DEVELOPMENT],0),MATCH("ESTIMATE",FWD[#Headers],0)),0)</f>
        <v>214841.99342428712</v>
      </c>
      <c r="AB254" s="5">
        <f ca="1">IFERROR(INDEX(EHDAll[],MATCH($B254,EHDAll[DEVELOPMENT],0),MATCH("ESTIMATE",EHDAll[#Headers],0)),0)</f>
        <v>52421.28667500001</v>
      </c>
      <c r="AC254" s="5">
        <f ca="1">IFERROR(INDEX(IntAll[],MATCH($B254,IntAll[DEVELOPMENT],0),MATCH("ESTIMATE",IntAll[#Headers],0)),0)</f>
        <v>0</v>
      </c>
      <c r="AD254" s="5">
        <f ca="1">IFERROR(INDEX(YardsAll[],MATCH($B254,YardsAll[DEVELOPMENT],0),MATCH("TOTAL ESTIMATE",YardsAll[#Headers],0)),0)</f>
        <v>0</v>
      </c>
      <c r="AE254" s="99">
        <f t="shared" ca="1" si="3"/>
        <v>267263.28009928716</v>
      </c>
      <c r="AF254" s="5"/>
    </row>
    <row r="255" spans="1:32">
      <c r="A255" s="101">
        <f>VLOOKUP(B255,Data[],24,FALSE)</f>
        <v>172</v>
      </c>
      <c r="B255" t="s">
        <v>351</v>
      </c>
      <c r="C255" t="str">
        <f>VLOOKUP(all[[#This Row],[DEVELOPMENT]],Data[],MATCH(all[[#Headers],[PROGRAM]],Data[#Headers],0),FALSE)</f>
        <v>FEDERAL</v>
      </c>
      <c r="D255" t="str">
        <f>VLOOKUP(B255,Data[],2,FALSE)</f>
        <v>BROOKLYN</v>
      </c>
      <c r="E255">
        <f>VLOOKUP(all[[#This Row],[DEVELOPMENT]],Data[],65,FALSE)</f>
        <v>46</v>
      </c>
      <c r="F255" t="e">
        <f>VLOOKUP(all[[#This Row],[DEVELOPMENT]],Data[],3,FALSE)</f>
        <v>#N/A</v>
      </c>
      <c r="G255" s="107" t="s">
        <v>185</v>
      </c>
      <c r="H255" t="s">
        <v>184</v>
      </c>
      <c r="I255">
        <f>VLOOKUP(all[[#This Row],[DEVELOPMENT]],Data[],34,FALSE)</f>
        <v>0</v>
      </c>
      <c r="J255" t="s">
        <v>184</v>
      </c>
      <c r="K255">
        <f>VLOOKUP(B255,Data[],8,FALSE)</f>
        <v>0</v>
      </c>
      <c r="L255" t="str">
        <f>VLOOKUP(all[[#This Row],[DEVELOPMENT]],Data[],61,FALSE)</f>
        <v>No</v>
      </c>
      <c r="M255">
        <f>VLOOKUP(B255,Data[],9,FALSE)</f>
        <v>0</v>
      </c>
      <c r="N255">
        <v>4</v>
      </c>
      <c r="O255">
        <v>4</v>
      </c>
      <c r="P255" t="str">
        <f ca="1">IFERROR(VLOOKUP(B255,Data[],4,FALSE),"")</f>
        <v>2026+</v>
      </c>
      <c r="Q255" t="str">
        <f ca="1">IF(all[[#This Row],[RAD/PACT]]="","",IF(OR(all[[#This Row],[RAD/PACT]]="2021-2025",all[[#This Row],[RAD/PACT]]="2019-2020"),"Yes",""))</f>
        <v/>
      </c>
      <c r="R255">
        <f>VLOOKUP(all[[#This Row],[DEVELOPMENT]],Data[],7,FALSE)</f>
        <v>570</v>
      </c>
      <c r="S255">
        <f>VLOOKUP(all[[#This Row],[DEVELOPMENT]],Data[],25,FALSE)</f>
        <v>0</v>
      </c>
      <c r="T255">
        <f>VLOOKUP(all[[#This Row],[DEVELOPMENT]],Data[],5,FALSE)</f>
        <v>6</v>
      </c>
      <c r="U255">
        <f>VLOOKUP(all[[#This Row],[DEVELOPMENT]],Data[],10,FALSE)</f>
        <v>6</v>
      </c>
      <c r="V255">
        <f>VLOOKUP(all[[#This Row],[DEVELOPMENT]],Data[],10,FALSE)</f>
        <v>6</v>
      </c>
      <c r="W255">
        <f>VLOOKUP(all[[#This Row],[DEVELOPMENT]],Data[],33,FALSE)</f>
        <v>0</v>
      </c>
      <c r="X255">
        <f>VLOOKUP(all[[#This Row],[DEVELOPMENT]],Data[],33,FALSE)</f>
        <v>0</v>
      </c>
      <c r="Y255">
        <f>VLOOKUP(all[[#This Row],[DEVELOPMENT]],Data[],28,FALSE)</f>
        <v>0</v>
      </c>
      <c r="Z255">
        <f>IF(all[[#This Row],['# Bulk Crushers]]=0,1,0)</f>
        <v>1</v>
      </c>
      <c r="AA255" s="5">
        <f ca="1">IFERROR(INDEX(FWD[],MATCH($B255,FWD[DEVELOPMENT],0),MATCH("ESTIMATE",FWD[#Headers],0)),0)</f>
        <v>979679.49001474935</v>
      </c>
      <c r="AB255" s="5">
        <f ca="1">IFERROR(INDEX(EHDAll[],MATCH($B255,EHDAll[DEVELOPMENT],0),MATCH("ESTIMATE",EHDAll[#Headers],0)),0)</f>
        <v>52421.28667500001</v>
      </c>
      <c r="AC255" s="5">
        <f ca="1">IFERROR(INDEX(IntAll[],MATCH($B255,IntAll[DEVELOPMENT],0),MATCH("ESTIMATE",IntAll[#Headers],0)),0)</f>
        <v>484512</v>
      </c>
      <c r="AD255" s="5">
        <f ca="1">IFERROR(INDEX(YardsAll[],MATCH($B255,YardsAll[DEVELOPMENT],0),MATCH("TOTAL ESTIMATE",YardsAll[#Headers],0)),0)</f>
        <v>2313658.5651200004</v>
      </c>
      <c r="AE255" s="99">
        <f t="shared" ca="1" si="3"/>
        <v>3830271.3418097496</v>
      </c>
      <c r="AF255" s="5"/>
    </row>
    <row r="256" spans="1:32">
      <c r="A256" s="101">
        <f>VLOOKUP(B256,Data[],24,FALSE)</f>
        <v>204</v>
      </c>
      <c r="B256" t="s">
        <v>93</v>
      </c>
      <c r="C256" t="str">
        <f>VLOOKUP(all[[#This Row],[DEVELOPMENT]],Data[],MATCH(all[[#Headers],[PROGRAM]],Data[#Headers],0),FALSE)</f>
        <v>FEDERAL</v>
      </c>
      <c r="D256" t="str">
        <f>VLOOKUP(B256,Data[],2,FALSE)</f>
        <v>MANHATTAN</v>
      </c>
      <c r="E256">
        <f>VLOOKUP(all[[#This Row],[DEVELOPMENT]],Data[],65,FALSE)</f>
        <v>68</v>
      </c>
      <c r="F256" t="e">
        <f>VLOOKUP(all[[#This Row],[DEVELOPMENT]],Data[],3,FALSE)</f>
        <v>#N/A</v>
      </c>
      <c r="G256" s="107" t="s">
        <v>185</v>
      </c>
      <c r="H256" t="s">
        <v>184</v>
      </c>
      <c r="I256">
        <f>VLOOKUP(all[[#This Row],[DEVELOPMENT]],Data[],34,FALSE)</f>
        <v>0</v>
      </c>
      <c r="J256" t="s">
        <v>184</v>
      </c>
      <c r="K256" t="str">
        <f>VLOOKUP(B256,Data[],8,FALSE)</f>
        <v>Zone 3</v>
      </c>
      <c r="L256" t="str">
        <f>VLOOKUP(all[[#This Row],[DEVELOPMENT]],Data[],61,FALSE)</f>
        <v>No</v>
      </c>
      <c r="M256">
        <f>VLOOKUP(B256,Data[],9,FALSE)</f>
        <v>3</v>
      </c>
      <c r="N256" t="s">
        <v>185</v>
      </c>
      <c r="O256" t="s">
        <v>185</v>
      </c>
      <c r="P256" t="str">
        <f ca="1">IFERROR(VLOOKUP(B256,Data[],4,FALSE),"")</f>
        <v>2020-2021</v>
      </c>
      <c r="Q256" t="str">
        <f ca="1">IF(all[[#This Row],[RAD/PACT]]="","",IF(OR(all[[#This Row],[RAD/PACT]]="2021-2025",all[[#This Row],[RAD/PACT]]="2019-2020"),"Yes",""))</f>
        <v/>
      </c>
      <c r="R256">
        <f>VLOOKUP(all[[#This Row],[DEVELOPMENT]],Data[],7,FALSE)</f>
        <v>90</v>
      </c>
      <c r="S256">
        <f>VLOOKUP(all[[#This Row],[DEVELOPMENT]],Data[],25,FALSE)</f>
        <v>0</v>
      </c>
      <c r="T256">
        <f>VLOOKUP(all[[#This Row],[DEVELOPMENT]],Data[],5,FALSE)</f>
        <v>2</v>
      </c>
      <c r="U256">
        <f>VLOOKUP(all[[#This Row],[DEVELOPMENT]],Data[],10,FALSE)</f>
        <v>2</v>
      </c>
      <c r="V256">
        <f>VLOOKUP(all[[#This Row],[DEVELOPMENT]],Data[],10,FALSE)</f>
        <v>2</v>
      </c>
      <c r="W256">
        <f>VLOOKUP(all[[#This Row],[DEVELOPMENT]],Data[],33,FALSE)</f>
        <v>0</v>
      </c>
      <c r="X256">
        <f>VLOOKUP(all[[#This Row],[DEVELOPMENT]],Data[],33,FALSE)</f>
        <v>0</v>
      </c>
      <c r="Y256">
        <f>VLOOKUP(all[[#This Row],[DEVELOPMENT]],Data[],28,FALSE)</f>
        <v>0</v>
      </c>
      <c r="Z256">
        <f>IF(all[[#This Row],['# Bulk Crushers]]=0,1,0)</f>
        <v>1</v>
      </c>
      <c r="AA256" s="5">
        <f ca="1">IFERROR(INDEX(FWD[],MATCH($B256,FWD[DEVELOPMENT],0),MATCH("ESTIMATE",FWD[#Headers],0)),0)</f>
        <v>154686.23526548673</v>
      </c>
      <c r="AB256" s="5">
        <f ca="1">IFERROR(INDEX(EHDAll[],MATCH($B256,EHDAll[DEVELOPMENT],0),MATCH("ESTIMATE",EHDAll[#Headers],0)),0)</f>
        <v>15391.782045</v>
      </c>
      <c r="AC256" s="5">
        <f ca="1">IFERROR(INDEX(IntAll[],MATCH($B256,IntAll[DEVELOPMENT],0),MATCH("ESTIMATE",IntAll[#Headers],0)),0)</f>
        <v>0</v>
      </c>
      <c r="AD256" s="5">
        <f ca="1">IFERROR(INDEX(YardsAll[],MATCH($B256,YardsAll[DEVELOPMENT],0),MATCH("TOTAL ESTIMATE",YardsAll[#Headers],0)),0)</f>
        <v>0</v>
      </c>
      <c r="AE256" s="99">
        <f t="shared" ca="1" si="3"/>
        <v>170078.01731048673</v>
      </c>
      <c r="AF256" s="5"/>
    </row>
    <row r="257" spans="1:32">
      <c r="A257" s="101">
        <f>VLOOKUP(B257,Data[],24,FALSE)</f>
        <v>351</v>
      </c>
      <c r="B257" t="s">
        <v>352</v>
      </c>
      <c r="C257" t="str">
        <f>VLOOKUP(all[[#This Row],[DEVELOPMENT]],Data[],MATCH(all[[#Headers],[PROGRAM]],Data[#Headers],0),FALSE)</f>
        <v>FEDERAL</v>
      </c>
      <c r="D257" t="str">
        <f>VLOOKUP(B257,Data[],2,FALSE)</f>
        <v>BROOKLYN</v>
      </c>
      <c r="E257">
        <f>VLOOKUP(all[[#This Row],[DEVELOPMENT]],Data[],65,FALSE)</f>
        <v>55</v>
      </c>
      <c r="F257" t="e">
        <f>VLOOKUP(all[[#This Row],[DEVELOPMENT]],Data[],3,FALSE)</f>
        <v>#N/A</v>
      </c>
      <c r="G257" s="107" t="s">
        <v>185</v>
      </c>
      <c r="H257" t="s">
        <v>184</v>
      </c>
      <c r="I257">
        <f>VLOOKUP(all[[#This Row],[DEVELOPMENT]],Data[],34,FALSE)</f>
        <v>0</v>
      </c>
      <c r="J257" t="s">
        <v>184</v>
      </c>
      <c r="K257">
        <f>VLOOKUP(B257,Data[],8,FALSE)</f>
        <v>0</v>
      </c>
      <c r="L257" t="str">
        <f>VLOOKUP(all[[#This Row],[DEVELOPMENT]],Data[],61,FALSE)</f>
        <v>No</v>
      </c>
      <c r="M257">
        <f>VLOOKUP(B257,Data[],9,FALSE)</f>
        <v>0</v>
      </c>
      <c r="N257">
        <v>3</v>
      </c>
      <c r="O257" t="s">
        <v>185</v>
      </c>
      <c r="P257" t="str">
        <f ca="1">IFERROR(VLOOKUP(B257,Data[],4,FALSE),"")</f>
        <v>2022-2025</v>
      </c>
      <c r="Q257" t="str">
        <f ca="1">IF(all[[#This Row],[RAD/PACT]]="","",IF(OR(all[[#This Row],[RAD/PACT]]="2021-2025",all[[#This Row],[RAD/PACT]]="2019-2020"),"Yes",""))</f>
        <v/>
      </c>
      <c r="R257">
        <f>VLOOKUP(all[[#This Row],[DEVELOPMENT]],Data[],7,FALSE)</f>
        <v>134</v>
      </c>
      <c r="S257" t="str">
        <f>VLOOKUP(all[[#This Row],[DEVELOPMENT]],Data[],25,FALSE)</f>
        <v>Newtown Creek</v>
      </c>
      <c r="T257">
        <f>VLOOKUP(all[[#This Row],[DEVELOPMENT]],Data[],5,FALSE)</f>
        <v>9</v>
      </c>
      <c r="U257">
        <f>VLOOKUP(all[[#This Row],[DEVELOPMENT]],Data[],10,FALSE)</f>
        <v>7</v>
      </c>
      <c r="V257">
        <f>VLOOKUP(all[[#This Row],[DEVELOPMENT]],Data[],10,FALSE)</f>
        <v>7</v>
      </c>
      <c r="W257">
        <f>VLOOKUP(all[[#This Row],[DEVELOPMENT]],Data[],33,FALSE)</f>
        <v>0</v>
      </c>
      <c r="X257">
        <f>VLOOKUP(all[[#This Row],[DEVELOPMENT]],Data[],33,FALSE)</f>
        <v>0</v>
      </c>
      <c r="Y257">
        <f>VLOOKUP(all[[#This Row],[DEVELOPMENT]],Data[],28,FALSE)</f>
        <v>0</v>
      </c>
      <c r="Z257">
        <f>IF(all[[#This Row],['# Bulk Crushers]]=0,1,0)</f>
        <v>1</v>
      </c>
      <c r="AA257" s="5">
        <f ca="1">IFERROR(INDEX(FWD[],MATCH($B257,FWD[DEVELOPMENT],0),MATCH("ESTIMATE",FWD[#Headers],0)),0)</f>
        <v>230310.6169508358</v>
      </c>
      <c r="AB257" s="5">
        <f ca="1">IFERROR(INDEX(EHDAll[],MATCH($B257,EHDAll[DEVELOPMENT],0),MATCH("ESTIMATE",EHDAll[#Headers],0)),0)</f>
        <v>61158.167787500002</v>
      </c>
      <c r="AC257" s="5">
        <f ca="1">IFERROR(INDEX(IntAll[],MATCH($B257,IntAll[DEVELOPMENT],0),MATCH("ESTIMATE",IntAll[#Headers],0)),0)</f>
        <v>0</v>
      </c>
      <c r="AD257" s="5">
        <f ca="1">IFERROR(INDEX(YardsAll[],MATCH($B257,YardsAll[DEVELOPMENT],0),MATCH("TOTAL ESTIMATE",YardsAll[#Headers],0)),0)</f>
        <v>0</v>
      </c>
      <c r="AE257" s="99">
        <f t="shared" ca="1" si="3"/>
        <v>291468.78473833582</v>
      </c>
      <c r="AF257" s="5"/>
    </row>
    <row r="258" spans="1:32">
      <c r="A258" s="101">
        <f>VLOOKUP(B258,Data[],24,FALSE)</f>
        <v>47</v>
      </c>
      <c r="B258" t="s">
        <v>353</v>
      </c>
      <c r="C258" t="str">
        <f>VLOOKUP(all[[#This Row],[DEVELOPMENT]],Data[],MATCH(all[[#Headers],[PROGRAM]],Data[#Headers],0),FALSE)</f>
        <v>FEDERAL</v>
      </c>
      <c r="D258" t="str">
        <f>VLOOKUP(B258,Data[],2,FALSE)</f>
        <v>BRONX</v>
      </c>
      <c r="E258">
        <f>VLOOKUP(all[[#This Row],[DEVELOPMENT]],Data[],65,FALSE)</f>
        <v>80</v>
      </c>
      <c r="F258" t="e">
        <f>VLOOKUP(all[[#This Row],[DEVELOPMENT]],Data[],3,FALSE)</f>
        <v>#N/A</v>
      </c>
      <c r="G258" s="107" t="s">
        <v>185</v>
      </c>
      <c r="H258" t="s">
        <v>184</v>
      </c>
      <c r="I258">
        <f>VLOOKUP(all[[#This Row],[DEVELOPMENT]],Data[],34,FALSE)</f>
        <v>0</v>
      </c>
      <c r="J258" t="s">
        <v>184</v>
      </c>
      <c r="K258">
        <f>VLOOKUP(B258,Data[],8,FALSE)</f>
        <v>0</v>
      </c>
      <c r="L258" t="str">
        <f>VLOOKUP(all[[#This Row],[DEVELOPMENT]],Data[],61,FALSE)</f>
        <v>No</v>
      </c>
      <c r="M258">
        <f>VLOOKUP(B258,Data[],9,FALSE)</f>
        <v>0</v>
      </c>
      <c r="N258">
        <v>3</v>
      </c>
      <c r="O258" t="s">
        <v>185</v>
      </c>
      <c r="P258" t="str">
        <f ca="1">IFERROR(VLOOKUP(B258,Data[],4,FALSE),"")</f>
        <v>2026+</v>
      </c>
      <c r="Q258" t="str">
        <f ca="1">IF(all[[#This Row],[RAD/PACT]]="","",IF(OR(all[[#This Row],[RAD/PACT]]="2021-2025",all[[#This Row],[RAD/PACT]]="2019-2020"),"Yes",""))</f>
        <v/>
      </c>
      <c r="R258">
        <f>VLOOKUP(all[[#This Row],[DEVELOPMENT]],Data[],7,FALSE)</f>
        <v>879</v>
      </c>
      <c r="S258">
        <f>VLOOKUP(all[[#This Row],[DEVELOPMENT]],Data[],25,FALSE)</f>
        <v>0</v>
      </c>
      <c r="T258">
        <f>VLOOKUP(all[[#This Row],[DEVELOPMENT]],Data[],5,FALSE)</f>
        <v>14</v>
      </c>
      <c r="U258">
        <f>VLOOKUP(all[[#This Row],[DEVELOPMENT]],Data[],10,FALSE)</f>
        <v>20</v>
      </c>
      <c r="V258">
        <f>VLOOKUP(all[[#This Row],[DEVELOPMENT]],Data[],10,FALSE)</f>
        <v>20</v>
      </c>
      <c r="W258">
        <f>VLOOKUP(all[[#This Row],[DEVELOPMENT]],Data[],33,FALSE)</f>
        <v>2</v>
      </c>
      <c r="X258">
        <f>VLOOKUP(all[[#This Row],[DEVELOPMENT]],Data[],33,FALSE)</f>
        <v>2</v>
      </c>
      <c r="Y258">
        <f>VLOOKUP(all[[#This Row],[DEVELOPMENT]],Data[],28,FALSE)</f>
        <v>0</v>
      </c>
      <c r="Z258">
        <f>IF(all[[#This Row],['# Bulk Crushers]]=0,1,0)</f>
        <v>1</v>
      </c>
      <c r="AA258" s="5">
        <f ca="1">IFERROR(INDEX(FWD[],MATCH($B258,FWD[DEVELOPMENT],0),MATCH("ESTIMATE",FWD[#Headers],0)),0)</f>
        <v>1510768.897759587</v>
      </c>
      <c r="AB258" s="5">
        <f ca="1">IFERROR(INDEX(EHDAll[],MATCH($B258,EHDAll[DEVELOPMENT],0),MATCH("ESTIMATE",EHDAll[#Headers],0)),0)</f>
        <v>174737.62225000001</v>
      </c>
      <c r="AC258" s="5">
        <f ca="1">IFERROR(INDEX(IntAll[],MATCH($B258,IntAll[DEVELOPMENT],0),MATCH("ESTIMATE",IntAll[#Headers],0)),0)</f>
        <v>1438395.0000000002</v>
      </c>
      <c r="AD258" s="5">
        <f ca="1">IFERROR(INDEX(YardsAll[],MATCH($B258,YardsAll[DEVELOPMENT],0),MATCH("TOTAL ESTIMATE",YardsAll[#Headers],0)),0)</f>
        <v>2586149.0131200007</v>
      </c>
      <c r="AE258" s="99">
        <f t="shared" ca="1" si="3"/>
        <v>5710050.5331295878</v>
      </c>
      <c r="AF258" s="5"/>
    </row>
    <row r="259" spans="1:32">
      <c r="A259" s="101">
        <f>VLOOKUP(B259,Data[],24,FALSE)</f>
        <v>194</v>
      </c>
      <c r="B259" t="s">
        <v>354</v>
      </c>
      <c r="C259" t="str">
        <f>VLOOKUP(all[[#This Row],[DEVELOPMENT]],Data[],MATCH(all[[#Headers],[PROGRAM]],Data[#Headers],0),FALSE)</f>
        <v>FEDERAL</v>
      </c>
      <c r="D259" t="str">
        <f>VLOOKUP(B259,Data[],2,FALSE)</f>
        <v>BROOKLYN</v>
      </c>
      <c r="E259">
        <f>VLOOKUP(all[[#This Row],[DEVELOPMENT]],Data[],65,FALSE)</f>
        <v>60</v>
      </c>
      <c r="F259" t="e">
        <f>VLOOKUP(all[[#This Row],[DEVELOPMENT]],Data[],3,FALSE)</f>
        <v>#N/A</v>
      </c>
      <c r="G259" s="107" t="s">
        <v>185</v>
      </c>
      <c r="H259" t="s">
        <v>184</v>
      </c>
      <c r="I259">
        <f>VLOOKUP(all[[#This Row],[DEVELOPMENT]],Data[],34,FALSE)</f>
        <v>0</v>
      </c>
      <c r="J259" t="s">
        <v>184</v>
      </c>
      <c r="K259">
        <f>VLOOKUP(B259,Data[],8,FALSE)</f>
        <v>0</v>
      </c>
      <c r="L259" t="str">
        <f>VLOOKUP(all[[#This Row],[DEVELOPMENT]],Data[],61,FALSE)</f>
        <v>No</v>
      </c>
      <c r="M259">
        <f>VLOOKUP(B259,Data[],9,FALSE)</f>
        <v>0</v>
      </c>
      <c r="N259">
        <v>2</v>
      </c>
      <c r="O259" t="s">
        <v>185</v>
      </c>
      <c r="P259" t="str">
        <f ca="1">IFERROR(VLOOKUP(B259,Data[],4,FALSE),"")</f>
        <v/>
      </c>
      <c r="Q259" t="str">
        <f ca="1">IF(all[[#This Row],[RAD/PACT]]="","",IF(OR(all[[#This Row],[RAD/PACT]]="2021-2025",all[[#This Row],[RAD/PACT]]="2019-2020"),"Yes",""))</f>
        <v/>
      </c>
      <c r="R259">
        <f>VLOOKUP(all[[#This Row],[DEVELOPMENT]],Data[],7,FALSE)</f>
        <v>336</v>
      </c>
      <c r="S259">
        <f>VLOOKUP(all[[#This Row],[DEVELOPMENT]],Data[],25,FALSE)</f>
        <v>0</v>
      </c>
      <c r="T259">
        <f>VLOOKUP(all[[#This Row],[DEVELOPMENT]],Data[],5,FALSE)</f>
        <v>3</v>
      </c>
      <c r="U259">
        <f>VLOOKUP(all[[#This Row],[DEVELOPMENT]],Data[],10,FALSE)</f>
        <v>3</v>
      </c>
      <c r="V259">
        <f>VLOOKUP(all[[#This Row],[DEVELOPMENT]],Data[],10,FALSE)</f>
        <v>3</v>
      </c>
      <c r="W259">
        <f>VLOOKUP(all[[#This Row],[DEVELOPMENT]],Data[],33,FALSE)</f>
        <v>1</v>
      </c>
      <c r="X259">
        <f>VLOOKUP(all[[#This Row],[DEVELOPMENT]],Data[],33,FALSE)</f>
        <v>1</v>
      </c>
      <c r="Y259">
        <f>VLOOKUP(all[[#This Row],[DEVELOPMENT]],Data[],28,FALSE)</f>
        <v>0</v>
      </c>
      <c r="Z259">
        <f>IF(all[[#This Row],['# Bulk Crushers]]=0,1,0)</f>
        <v>1</v>
      </c>
      <c r="AA259" s="5">
        <f ca="1">IFERROR(INDEX(FWD[],MATCH($B259,FWD[DEVELOPMENT],0),MATCH("ESTIMATE",FWD[#Headers],0)),0)</f>
        <v>577495.27832448378</v>
      </c>
      <c r="AB259" s="5">
        <f ca="1">IFERROR(INDEX(EHDAll[],MATCH($B259,EHDAll[DEVELOPMENT],0),MATCH("ESTIMATE",EHDAll[#Headers],0)),0)</f>
        <v>26210.643337500005</v>
      </c>
      <c r="AC259" s="5">
        <f ca="1">IFERROR(INDEX(IntAll[],MATCH($B259,IntAll[DEVELOPMENT],0),MATCH("ESTIMATE",IntAll[#Headers],0)),0)</f>
        <v>195886.68749999997</v>
      </c>
      <c r="AD259" s="5">
        <f ca="1">IFERROR(INDEX(YardsAll[],MATCH($B259,YardsAll[DEVELOPMENT],0),MATCH("TOTAL ESTIMATE",YardsAll[#Headers],0)),0)</f>
        <v>2250394.4637300009</v>
      </c>
      <c r="AE259" s="99">
        <f t="shared" ca="1" si="3"/>
        <v>3049987.0728919846</v>
      </c>
      <c r="AF259" s="5"/>
    </row>
    <row r="260" spans="1:32">
      <c r="A260" s="101">
        <f>VLOOKUP(B260,Data[],24,FALSE)</f>
        <v>149</v>
      </c>
      <c r="B260" t="s">
        <v>133</v>
      </c>
      <c r="C260" t="str">
        <f>VLOOKUP(all[[#This Row],[DEVELOPMENT]],Data[],MATCH(all[[#Headers],[PROGRAM]],Data[#Headers],0),FALSE)</f>
        <v>FEDERAL</v>
      </c>
      <c r="D260" t="str">
        <f>VLOOKUP(B260,Data[],2,FALSE)</f>
        <v>MANHATTAN</v>
      </c>
      <c r="E260">
        <f>VLOOKUP(all[[#This Row],[DEVELOPMENT]],Data[],65,FALSE)</f>
        <v>71</v>
      </c>
      <c r="F260" t="e">
        <f>VLOOKUP(all[[#This Row],[DEVELOPMENT]],Data[],3,FALSE)</f>
        <v>#N/A</v>
      </c>
      <c r="G260" s="107" t="s">
        <v>185</v>
      </c>
      <c r="H260" t="s">
        <v>184</v>
      </c>
      <c r="I260">
        <f>VLOOKUP(all[[#This Row],[DEVELOPMENT]],Data[],34,FALSE)</f>
        <v>0</v>
      </c>
      <c r="J260" t="s">
        <v>184</v>
      </c>
      <c r="K260" t="str">
        <f>VLOOKUP(B260,Data[],8,FALSE)</f>
        <v>Zone 2</v>
      </c>
      <c r="L260" t="str">
        <f>VLOOKUP(all[[#This Row],[DEVELOPMENT]],Data[],61,FALSE)</f>
        <v>Yes</v>
      </c>
      <c r="M260">
        <f>VLOOKUP(B260,Data[],9,FALSE)</f>
        <v>4</v>
      </c>
      <c r="N260">
        <v>2</v>
      </c>
      <c r="O260" t="s">
        <v>185</v>
      </c>
      <c r="P260" t="str">
        <f ca="1">IFERROR(VLOOKUP(B260,Data[],4,FALSE),"")</f>
        <v/>
      </c>
      <c r="Q260" t="str">
        <f ca="1">IF(all[[#This Row],[RAD/PACT]]="","",IF(OR(all[[#This Row],[RAD/PACT]]="2021-2025",all[[#This Row],[RAD/PACT]]="2019-2020"),"Yes",""))</f>
        <v/>
      </c>
      <c r="R260">
        <f>VLOOKUP(all[[#This Row],[DEVELOPMENT]],Data[],7,FALSE)</f>
        <v>1614</v>
      </c>
      <c r="S260">
        <f>VLOOKUP(all[[#This Row],[DEVELOPMENT]],Data[],25,FALSE)</f>
        <v>0</v>
      </c>
      <c r="T260">
        <f>VLOOKUP(all[[#This Row],[DEVELOPMENT]],Data[],5,FALSE)</f>
        <v>4</v>
      </c>
      <c r="U260">
        <f>VLOOKUP(all[[#This Row],[DEVELOPMENT]],Data[],10,FALSE)</f>
        <v>8</v>
      </c>
      <c r="V260">
        <f>VLOOKUP(all[[#This Row],[DEVELOPMENT]],Data[],10,FALSE)</f>
        <v>8</v>
      </c>
      <c r="W260">
        <f>VLOOKUP(all[[#This Row],[DEVELOPMENT]],Data[],33,FALSE)</f>
        <v>3</v>
      </c>
      <c r="X260">
        <f>VLOOKUP(all[[#This Row],[DEVELOPMENT]],Data[],33,FALSE)</f>
        <v>3</v>
      </c>
      <c r="Y260">
        <f>VLOOKUP(all[[#This Row],[DEVELOPMENT]],Data[],28,FALSE)</f>
        <v>0</v>
      </c>
      <c r="Z260">
        <f>IF(all[[#This Row],['# Bulk Crushers]]=0,1,0)</f>
        <v>1</v>
      </c>
      <c r="AA260" s="5">
        <f ca="1">IFERROR(INDEX(FWD[],MATCH($B260,FWD[DEVELOPMENT],0),MATCH("ESTIMATE",FWD[#Headers],0)),0)</f>
        <v>2774039.8190943953</v>
      </c>
      <c r="AB260" s="5">
        <f ca="1">IFERROR(INDEX(EHDAll[],MATCH($B260,EHDAll[DEVELOPMENT],0),MATCH("ESTIMATE",EHDAll[#Headers],0)),0)</f>
        <v>61567.12818</v>
      </c>
      <c r="AC260" s="5">
        <f ca="1">IFERROR(INDEX(IntAll[],MATCH($B260,IntAll[DEVELOPMENT],0),MATCH("ESTIMATE",IntAll[#Headers],0)),0)</f>
        <v>0</v>
      </c>
      <c r="AD260" s="5">
        <f ca="1">IFERROR(INDEX(YardsAll[],MATCH($B260,YardsAll[DEVELOPMENT],0),MATCH("TOTAL ESTIMATE",YardsAll[#Headers],0)),0)</f>
        <v>16394399.999999998</v>
      </c>
      <c r="AE260" s="99">
        <f t="shared" ref="AE260:AE314" ca="1" si="4">SUM(AA260:AD260)</f>
        <v>19230006.947274394</v>
      </c>
      <c r="AF260" s="5"/>
    </row>
    <row r="261" spans="1:32">
      <c r="A261" s="101">
        <f>VLOOKUP(B261,Data[],24,FALSE)</f>
        <v>352</v>
      </c>
      <c r="B261" t="s">
        <v>355</v>
      </c>
      <c r="C261" t="str">
        <f>VLOOKUP(all[[#This Row],[DEVELOPMENT]],Data[],MATCH(all[[#Headers],[PROGRAM]],Data[#Headers],0),FALSE)</f>
        <v>FEDERAL</v>
      </c>
      <c r="D261" t="str">
        <f>VLOOKUP(B261,Data[],2,FALSE)</f>
        <v>BROOKLYN</v>
      </c>
      <c r="E261">
        <f>VLOOKUP(all[[#This Row],[DEVELOPMENT]],Data[],65,FALSE)</f>
        <v>55</v>
      </c>
      <c r="F261" t="e">
        <f>VLOOKUP(all[[#This Row],[DEVELOPMENT]],Data[],3,FALSE)</f>
        <v>#N/A</v>
      </c>
      <c r="G261" s="107" t="s">
        <v>185</v>
      </c>
      <c r="H261" t="s">
        <v>184</v>
      </c>
      <c r="I261">
        <f>VLOOKUP(all[[#This Row],[DEVELOPMENT]],Data[],34,FALSE)</f>
        <v>0</v>
      </c>
      <c r="J261" t="s">
        <v>184</v>
      </c>
      <c r="K261">
        <f>VLOOKUP(B261,Data[],8,FALSE)</f>
        <v>0</v>
      </c>
      <c r="L261" t="str">
        <f>VLOOKUP(all[[#This Row],[DEVELOPMENT]],Data[],61,FALSE)</f>
        <v>No</v>
      </c>
      <c r="M261">
        <f>VLOOKUP(B261,Data[],9,FALSE)</f>
        <v>0</v>
      </c>
      <c r="N261">
        <v>2</v>
      </c>
      <c r="O261" t="s">
        <v>185</v>
      </c>
      <c r="P261" t="str">
        <f ca="1">IFERROR(VLOOKUP(B261,Data[],4,FALSE),"")</f>
        <v>2020-2021</v>
      </c>
      <c r="Q261" t="str">
        <f ca="1">IF(all[[#This Row],[RAD/PACT]]="","",IF(OR(all[[#This Row],[RAD/PACT]]="2021-2025",all[[#This Row],[RAD/PACT]]="2019-2020"),"Yes",""))</f>
        <v/>
      </c>
      <c r="R261">
        <f>VLOOKUP(all[[#This Row],[DEVELOPMENT]],Data[],7,FALSE)</f>
        <v>118</v>
      </c>
      <c r="S261">
        <f>VLOOKUP(all[[#This Row],[DEVELOPMENT]],Data[],25,FALSE)</f>
        <v>0</v>
      </c>
      <c r="T261">
        <f>VLOOKUP(all[[#This Row],[DEVELOPMENT]],Data[],5,FALSE)</f>
        <v>5</v>
      </c>
      <c r="U261">
        <f>VLOOKUP(all[[#This Row],[DEVELOPMENT]],Data[],10,FALSE)</f>
        <v>5</v>
      </c>
      <c r="V261">
        <f>VLOOKUP(all[[#This Row],[DEVELOPMENT]],Data[],10,FALSE)</f>
        <v>5</v>
      </c>
      <c r="W261">
        <f>VLOOKUP(all[[#This Row],[DEVELOPMENT]],Data[],33,FALSE)</f>
        <v>0</v>
      </c>
      <c r="X261">
        <f>VLOOKUP(all[[#This Row],[DEVELOPMENT]],Data[],33,FALSE)</f>
        <v>0</v>
      </c>
      <c r="Y261">
        <f>VLOOKUP(all[[#This Row],[DEVELOPMENT]],Data[],28,FALSE)</f>
        <v>0</v>
      </c>
      <c r="Z261">
        <f>IF(all[[#This Row],['# Bulk Crushers]]=0,1,0)</f>
        <v>1</v>
      </c>
      <c r="AA261" s="5">
        <f ca="1">IFERROR(INDEX(FWD[],MATCH($B261,FWD[DEVELOPMENT],0),MATCH("ESTIMATE",FWD[#Headers],0)),0)</f>
        <v>202810.84179252703</v>
      </c>
      <c r="AB261" s="5">
        <f ca="1">IFERROR(INDEX(EHDAll[],MATCH($B261,EHDAll[DEVELOPMENT],0),MATCH("ESTIMATE",EHDAll[#Headers],0)),0)</f>
        <v>43684.405562500004</v>
      </c>
      <c r="AC261" s="5">
        <f ca="1">IFERROR(INDEX(IntAll[],MATCH($B261,IntAll[DEVELOPMENT],0),MATCH("ESTIMATE",IntAll[#Headers],0)),0)</f>
        <v>0</v>
      </c>
      <c r="AD261" s="5">
        <f ca="1">IFERROR(INDEX(YardsAll[],MATCH($B261,YardsAll[DEVELOPMENT],0),MATCH("TOTAL ESTIMATE",YardsAll[#Headers],0)),0)</f>
        <v>0</v>
      </c>
      <c r="AE261" s="99">
        <f t="shared" ca="1" si="4"/>
        <v>246495.24735502704</v>
      </c>
      <c r="AF261" s="5"/>
    </row>
    <row r="262" spans="1:32">
      <c r="A262" s="101">
        <f>VLOOKUP(B262,Data[],24,FALSE)</f>
        <v>167</v>
      </c>
      <c r="B262" t="s">
        <v>356</v>
      </c>
      <c r="C262" t="str">
        <f>VLOOKUP(all[[#This Row],[DEVELOPMENT]],Data[],MATCH(all[[#Headers],[PROGRAM]],Data[#Headers],0),FALSE)</f>
        <v>FEDERAL</v>
      </c>
      <c r="D262" t="str">
        <f>VLOOKUP(B262,Data[],2,FALSE)</f>
        <v>BROOKLYN</v>
      </c>
      <c r="E262">
        <f>VLOOKUP(all[[#This Row],[DEVELOPMENT]],Data[],65,FALSE)</f>
        <v>43</v>
      </c>
      <c r="F262" t="e">
        <f>VLOOKUP(all[[#This Row],[DEVELOPMENT]],Data[],3,FALSE)</f>
        <v>#N/A</v>
      </c>
      <c r="G262" s="107" t="s">
        <v>185</v>
      </c>
      <c r="H262" t="s">
        <v>184</v>
      </c>
      <c r="I262">
        <f>VLOOKUP(all[[#This Row],[DEVELOPMENT]],Data[],34,FALSE)</f>
        <v>0</v>
      </c>
      <c r="J262" t="s">
        <v>184</v>
      </c>
      <c r="K262">
        <f>VLOOKUP(B262,Data[],8,FALSE)</f>
        <v>0</v>
      </c>
      <c r="L262" t="str">
        <f>VLOOKUP(all[[#This Row],[DEVELOPMENT]],Data[],61,FALSE)</f>
        <v>No</v>
      </c>
      <c r="M262">
        <f>VLOOKUP(B262,Data[],9,FALSE)</f>
        <v>0</v>
      </c>
      <c r="N262">
        <v>3</v>
      </c>
      <c r="O262">
        <v>4</v>
      </c>
      <c r="P262" t="str">
        <f ca="1">IFERROR(VLOOKUP(B262,Data[],4,FALSE),"")</f>
        <v>2020-2021</v>
      </c>
      <c r="Q262" t="str">
        <f ca="1">IF(all[[#This Row],[RAD/PACT]]="","",IF(OR(all[[#This Row],[RAD/PACT]]="2021-2025",all[[#This Row],[RAD/PACT]]="2019-2020"),"Yes",""))</f>
        <v/>
      </c>
      <c r="R262">
        <f>VLOOKUP(all[[#This Row],[DEVELOPMENT]],Data[],7,FALSE)</f>
        <v>227</v>
      </c>
      <c r="S262">
        <f>VLOOKUP(all[[#This Row],[DEVELOPMENT]],Data[],25,FALSE)</f>
        <v>0</v>
      </c>
      <c r="T262">
        <f>VLOOKUP(all[[#This Row],[DEVELOPMENT]],Data[],5,FALSE)</f>
        <v>1</v>
      </c>
      <c r="U262">
        <f>VLOOKUP(all[[#This Row],[DEVELOPMENT]],Data[],10,FALSE)</f>
        <v>1</v>
      </c>
      <c r="V262">
        <f>VLOOKUP(all[[#This Row],[DEVELOPMENT]],Data[],10,FALSE)</f>
        <v>1</v>
      </c>
      <c r="W262">
        <f>VLOOKUP(all[[#This Row],[DEVELOPMENT]],Data[],33,FALSE)</f>
        <v>0</v>
      </c>
      <c r="X262">
        <f>VLOOKUP(all[[#This Row],[DEVELOPMENT]],Data[],33,FALSE)</f>
        <v>0</v>
      </c>
      <c r="Y262">
        <f>VLOOKUP(all[[#This Row],[DEVELOPMENT]],Data[],28,FALSE)</f>
        <v>0</v>
      </c>
      <c r="Z262">
        <f>IF(all[[#This Row],['# Bulk Crushers]]=0,1,0)</f>
        <v>1</v>
      </c>
      <c r="AA262" s="5">
        <f ca="1">IFERROR(INDEX(FWD[],MATCH($B262,FWD[DEVELOPMENT],0),MATCH("ESTIMATE",FWD[#Headers],0)),0)</f>
        <v>390153.06005850539</v>
      </c>
      <c r="AB262" s="5">
        <f>IFERROR(INDEX(EHDAll[],MATCH($B262,EHDAll[DEVELOPMENT],0),MATCH("ESTIMATE",EHDAll[#Headers],0)),0)</f>
        <v>0</v>
      </c>
      <c r="AC262" s="5">
        <f ca="1">IFERROR(INDEX(IntAll[],MATCH($B262,IntAll[DEVELOPMENT],0),MATCH("ESTIMATE",IntAll[#Headers],0)),0)</f>
        <v>0</v>
      </c>
      <c r="AD262" s="5">
        <f ca="1">IFERROR(INDEX(YardsAll[],MATCH($B262,YardsAll[DEVELOPMENT],0),MATCH("TOTAL ESTIMATE",YardsAll[#Headers],0)),0)</f>
        <v>0</v>
      </c>
      <c r="AE262" s="99">
        <f t="shared" ca="1" si="4"/>
        <v>390153.06005850539</v>
      </c>
      <c r="AF262" s="5"/>
    </row>
    <row r="263" spans="1:32">
      <c r="A263" s="101">
        <f>VLOOKUP(B263,Data[],24,FALSE)</f>
        <v>117</v>
      </c>
      <c r="B263" t="s">
        <v>357</v>
      </c>
      <c r="C263" t="str">
        <f>VLOOKUP(all[[#This Row],[DEVELOPMENT]],Data[],MATCH(all[[#Headers],[PROGRAM]],Data[#Headers],0),FALSE)</f>
        <v>FEDERAL</v>
      </c>
      <c r="D263" t="str">
        <f>VLOOKUP(B263,Data[],2,FALSE)</f>
        <v>STATEN ISLAND</v>
      </c>
      <c r="E263">
        <f>VLOOKUP(all[[#This Row],[DEVELOPMENT]],Data[],65,FALSE)</f>
        <v>61</v>
      </c>
      <c r="F263" t="e">
        <f>VLOOKUP(all[[#This Row],[DEVELOPMENT]],Data[],3,FALSE)</f>
        <v>#N/A</v>
      </c>
      <c r="G263" s="107" t="s">
        <v>185</v>
      </c>
      <c r="H263" t="s">
        <v>184</v>
      </c>
      <c r="I263">
        <f>VLOOKUP(all[[#This Row],[DEVELOPMENT]],Data[],34,FALSE)</f>
        <v>0</v>
      </c>
      <c r="J263" t="s">
        <v>184</v>
      </c>
      <c r="K263">
        <f>VLOOKUP(B263,Data[],8,FALSE)</f>
        <v>0</v>
      </c>
      <c r="L263" t="str">
        <f>VLOOKUP(all[[#This Row],[DEVELOPMENT]],Data[],61,FALSE)</f>
        <v>No</v>
      </c>
      <c r="M263">
        <f>VLOOKUP(B263,Data[],9,FALSE)</f>
        <v>0</v>
      </c>
      <c r="N263" t="s">
        <v>185</v>
      </c>
      <c r="O263" t="s">
        <v>185</v>
      </c>
      <c r="P263" t="str">
        <f ca="1">IFERROR(VLOOKUP(B263,Data[],4,FALSE),"")</f>
        <v/>
      </c>
      <c r="Q263" t="str">
        <f ca="1">IF(all[[#This Row],[RAD/PACT]]="","",IF(OR(all[[#This Row],[RAD/PACT]]="2021-2025",all[[#This Row],[RAD/PACT]]="2019-2020"),"Yes",""))</f>
        <v/>
      </c>
      <c r="R263">
        <f>VLOOKUP(all[[#This Row],[DEVELOPMENT]],Data[],7,FALSE)</f>
        <v>488</v>
      </c>
      <c r="S263">
        <f>VLOOKUP(all[[#This Row],[DEVELOPMENT]],Data[],25,FALSE)</f>
        <v>0</v>
      </c>
      <c r="T263">
        <f>VLOOKUP(all[[#This Row],[DEVELOPMENT]],Data[],5,FALSE)</f>
        <v>6</v>
      </c>
      <c r="U263">
        <f>VLOOKUP(all[[#This Row],[DEVELOPMENT]],Data[],10,FALSE)</f>
        <v>6</v>
      </c>
      <c r="V263">
        <f>VLOOKUP(all[[#This Row],[DEVELOPMENT]],Data[],10,FALSE)</f>
        <v>6</v>
      </c>
      <c r="W263">
        <f>VLOOKUP(all[[#This Row],[DEVELOPMENT]],Data[],33,FALSE)</f>
        <v>2</v>
      </c>
      <c r="X263">
        <f>VLOOKUP(all[[#This Row],[DEVELOPMENT]],Data[],33,FALSE)</f>
        <v>2</v>
      </c>
      <c r="Y263">
        <f>VLOOKUP(all[[#This Row],[DEVELOPMENT]],Data[],28,FALSE)</f>
        <v>0</v>
      </c>
      <c r="Z263">
        <f>IF(all[[#This Row],['# Bulk Crushers]]=0,1,0)</f>
        <v>1</v>
      </c>
      <c r="AA263" s="5">
        <f ca="1">IFERROR(INDEX(FWD[],MATCH($B263,FWD[DEVELOPMENT],0),MATCH("ESTIMATE",FWD[#Headers],0)),0)</f>
        <v>838743.14232841693</v>
      </c>
      <c r="AB263" s="5">
        <f ca="1">IFERROR(INDEX(EHDAll[],MATCH($B263,EHDAll[DEVELOPMENT],0),MATCH("ESTIMATE",EHDAll[#Headers],0)),0)</f>
        <v>52421.28667500001</v>
      </c>
      <c r="AC263" s="5">
        <f ca="1">IFERROR(INDEX(IntAll[],MATCH($B263,IntAll[DEVELOPMENT],0),MATCH("ESTIMATE",IntAll[#Headers],0)),0)</f>
        <v>484512</v>
      </c>
      <c r="AD263" s="5">
        <f ca="1">IFERROR(INDEX(YardsAll[],MATCH($B263,YardsAll[DEVELOPMENT],0),MATCH("TOTAL ESTIMATE",YardsAll[#Headers],0)),0)</f>
        <v>1791376.9649855003</v>
      </c>
      <c r="AE263" s="99">
        <f t="shared" ca="1" si="4"/>
        <v>3167053.3939889176</v>
      </c>
      <c r="AF263" s="5"/>
    </row>
    <row r="264" spans="1:32">
      <c r="A264" s="101">
        <f>VLOOKUP(B264,Data[],24,FALSE)</f>
        <v>241</v>
      </c>
      <c r="B264" t="s">
        <v>107</v>
      </c>
      <c r="C264" t="str">
        <f>VLOOKUP(all[[#This Row],[DEVELOPMENT]],Data[],MATCH(all[[#Headers],[PROGRAM]],Data[#Headers],0),FALSE)</f>
        <v>FEDERAL</v>
      </c>
      <c r="D264" t="str">
        <f>VLOOKUP(B264,Data[],2,FALSE)</f>
        <v>MANHATTAN</v>
      </c>
      <c r="E264">
        <f>VLOOKUP(all[[#This Row],[DEVELOPMENT]],Data[],65,FALSE)</f>
        <v>68</v>
      </c>
      <c r="F264" t="e">
        <f>VLOOKUP(all[[#This Row],[DEVELOPMENT]],Data[],3,FALSE)</f>
        <v>#N/A</v>
      </c>
      <c r="G264" s="107" t="s">
        <v>185</v>
      </c>
      <c r="H264" t="s">
        <v>184</v>
      </c>
      <c r="I264">
        <f>VLOOKUP(all[[#This Row],[DEVELOPMENT]],Data[],34,FALSE)</f>
        <v>0</v>
      </c>
      <c r="J264" t="s">
        <v>184</v>
      </c>
      <c r="K264" t="str">
        <f>VLOOKUP(B264,Data[],8,FALSE)</f>
        <v>Zone 2</v>
      </c>
      <c r="L264" t="str">
        <f>VLOOKUP(all[[#This Row],[DEVELOPMENT]],Data[],61,FALSE)</f>
        <v>No</v>
      </c>
      <c r="M264">
        <f>VLOOKUP(B264,Data[],9,FALSE)</f>
        <v>3</v>
      </c>
      <c r="N264">
        <v>3</v>
      </c>
      <c r="O264" t="s">
        <v>185</v>
      </c>
      <c r="P264" t="str">
        <f ca="1">IFERROR(VLOOKUP(B264,Data[],4,FALSE),"")</f>
        <v/>
      </c>
      <c r="Q264" t="str">
        <f ca="1">IF(all[[#This Row],[RAD/PACT]]="","",IF(OR(all[[#This Row],[RAD/PACT]]="2021-2025",all[[#This Row],[RAD/PACT]]="2019-2020"),"Yes",""))</f>
        <v/>
      </c>
      <c r="R264">
        <f>VLOOKUP(all[[#This Row],[DEVELOPMENT]],Data[],7,FALSE)</f>
        <v>188</v>
      </c>
      <c r="S264">
        <f>VLOOKUP(all[[#This Row],[DEVELOPMENT]],Data[],25,FALSE)</f>
        <v>0</v>
      </c>
      <c r="T264">
        <f>VLOOKUP(all[[#This Row],[DEVELOPMENT]],Data[],5,FALSE)</f>
        <v>1</v>
      </c>
      <c r="U264">
        <f>VLOOKUP(all[[#This Row],[DEVELOPMENT]],Data[],10,FALSE)</f>
        <v>2</v>
      </c>
      <c r="V264">
        <f>VLOOKUP(all[[#This Row],[DEVELOPMENT]],Data[],10,FALSE)</f>
        <v>2</v>
      </c>
      <c r="W264">
        <f>VLOOKUP(all[[#This Row],[DEVELOPMENT]],Data[],33,FALSE)</f>
        <v>0</v>
      </c>
      <c r="X264">
        <f>VLOOKUP(all[[#This Row],[DEVELOPMENT]],Data[],33,FALSE)</f>
        <v>0</v>
      </c>
      <c r="Y264">
        <f>VLOOKUP(all[[#This Row],[DEVELOPMENT]],Data[],28,FALSE)</f>
        <v>0</v>
      </c>
      <c r="Z264">
        <f>IF(all[[#This Row],['# Bulk Crushers]]=0,1,0)</f>
        <v>1</v>
      </c>
      <c r="AA264" s="5">
        <f ca="1">IFERROR(INDEX(FWD[],MATCH($B264,FWD[DEVELOPMENT],0),MATCH("ESTIMATE",FWD[#Headers],0)),0)</f>
        <v>323122.35811012785</v>
      </c>
      <c r="AB264" s="5">
        <f ca="1">IFERROR(INDEX(EHDAll[],MATCH($B264,EHDAll[DEVELOPMENT],0),MATCH("ESTIMATE",EHDAll[#Headers],0)),0)</f>
        <v>15391.782045</v>
      </c>
      <c r="AC264" s="5">
        <f ca="1">IFERROR(INDEX(IntAll[],MATCH($B264,IntAll[DEVELOPMENT],0),MATCH("ESTIMATE",IntAll[#Headers],0)),0)</f>
        <v>126175</v>
      </c>
      <c r="AD264" s="5">
        <f ca="1">IFERROR(INDEX(YardsAll[],MATCH($B264,YardsAll[DEVELOPMENT],0),MATCH("TOTAL ESTIMATE",YardsAll[#Headers],0)),0)</f>
        <v>2250394.4637300009</v>
      </c>
      <c r="AE264" s="99">
        <f t="shared" ca="1" si="4"/>
        <v>2715083.6038851286</v>
      </c>
      <c r="AF264" s="5"/>
    </row>
    <row r="265" spans="1:32">
      <c r="A265" s="101">
        <f>VLOOKUP(B265,Data[],24,FALSE)</f>
        <v>135</v>
      </c>
      <c r="B265" t="s">
        <v>42</v>
      </c>
      <c r="C265" t="str">
        <f>VLOOKUP(all[[#This Row],[DEVELOPMENT]],Data[],MATCH(all[[#Headers],[PROGRAM]],Data[#Headers],0),FALSE)</f>
        <v>FEDERAL</v>
      </c>
      <c r="D265" t="str">
        <f>VLOOKUP(B265,Data[],2,FALSE)</f>
        <v>BROOKLYN</v>
      </c>
      <c r="E265" t="str">
        <f>VLOOKUP(all[[#This Row],[DEVELOPMENT]],Data[],65,FALSE)</f>
        <v>54, 56</v>
      </c>
      <c r="F265" t="e">
        <f>VLOOKUP(all[[#This Row],[DEVELOPMENT]],Data[],3,FALSE)</f>
        <v>#N/A</v>
      </c>
      <c r="G265" s="107" t="s">
        <v>185</v>
      </c>
      <c r="H265" t="s">
        <v>184</v>
      </c>
      <c r="I265">
        <f>VLOOKUP(all[[#This Row],[DEVELOPMENT]],Data[],34,FALSE)</f>
        <v>0</v>
      </c>
      <c r="J265" t="s">
        <v>184</v>
      </c>
      <c r="K265" t="str">
        <f>VLOOKUP(B265,Data[],8,FALSE)</f>
        <v>Zone 1</v>
      </c>
      <c r="L265" t="str">
        <f>VLOOKUP(all[[#This Row],[DEVELOPMENT]],Data[],61,FALSE)</f>
        <v>No</v>
      </c>
      <c r="M265">
        <f>VLOOKUP(B265,Data[],9,FALSE)</f>
        <v>4</v>
      </c>
      <c r="N265">
        <v>2</v>
      </c>
      <c r="O265">
        <v>4</v>
      </c>
      <c r="P265" t="str">
        <f ca="1">IFERROR(VLOOKUP(B265,Data[],4,FALSE),"")</f>
        <v/>
      </c>
      <c r="Q265" t="str">
        <f ca="1">IF(all[[#This Row],[RAD/PACT]]="","",IF(OR(all[[#This Row],[RAD/PACT]]="2021-2025",all[[#This Row],[RAD/PACT]]="2019-2020"),"Yes",""))</f>
        <v/>
      </c>
      <c r="R265">
        <f>VLOOKUP(all[[#This Row],[DEVELOPMENT]],Data[],7,FALSE)</f>
        <v>761</v>
      </c>
      <c r="S265" t="str">
        <f>VLOOKUP(all[[#This Row],[DEVELOPMENT]],Data[],25,FALSE)</f>
        <v>Newtown Creek</v>
      </c>
      <c r="T265">
        <f>VLOOKUP(all[[#This Row],[DEVELOPMENT]],Data[],5,FALSE)</f>
        <v>6</v>
      </c>
      <c r="U265">
        <f>VLOOKUP(all[[#This Row],[DEVELOPMENT]],Data[],10,FALSE)</f>
        <v>6</v>
      </c>
      <c r="V265">
        <f>VLOOKUP(all[[#This Row],[DEVELOPMENT]],Data[],10,FALSE)</f>
        <v>6</v>
      </c>
      <c r="W265">
        <f>VLOOKUP(all[[#This Row],[DEVELOPMENT]],Data[],33,FALSE)</f>
        <v>0</v>
      </c>
      <c r="X265">
        <f>VLOOKUP(all[[#This Row],[DEVELOPMENT]],Data[],33,FALSE)</f>
        <v>0</v>
      </c>
      <c r="Y265">
        <f>VLOOKUP(all[[#This Row],[DEVELOPMENT]],Data[],28,FALSE)</f>
        <v>0</v>
      </c>
      <c r="Z265">
        <f>IF(all[[#This Row],['# Bulk Crushers]]=0,1,0)</f>
        <v>1</v>
      </c>
      <c r="AA265" s="5">
        <f ca="1">IFERROR(INDEX(FWD[],MATCH($B265,FWD[DEVELOPMENT],0),MATCH("ESTIMATE",FWD[#Headers],0)),0)</f>
        <v>1307958.0559670599</v>
      </c>
      <c r="AB265" s="5">
        <f>IFERROR(INDEX(EHDAll[],MATCH($B265,EHDAll[DEVELOPMENT],0),MATCH("ESTIMATE",EHDAll[#Headers],0)),0)</f>
        <v>0</v>
      </c>
      <c r="AC265" s="5">
        <f ca="1">IFERROR(INDEX(IntAll[],MATCH($B265,IntAll[DEVELOPMENT],0),MATCH("ESTIMATE",IntAll[#Headers],0)),0)</f>
        <v>280640</v>
      </c>
      <c r="AD265" s="5">
        <f ca="1">IFERROR(INDEX(YardsAll[],MATCH($B265,YardsAll[DEVELOPMENT],0),MATCH("TOTAL ESTIMATE",YardsAll[#Headers],0)),0)</f>
        <v>2187130.3623400005</v>
      </c>
      <c r="AE265" s="99">
        <f t="shared" ca="1" si="4"/>
        <v>3775728.4183070604</v>
      </c>
      <c r="AF265" s="5"/>
    </row>
    <row r="266" spans="1:32">
      <c r="A266" s="101">
        <f>VLOOKUP(B266,Data[],24,FALSE)</f>
        <v>177</v>
      </c>
      <c r="B266" t="s">
        <v>148</v>
      </c>
      <c r="C266" t="str">
        <f>VLOOKUP(all[[#This Row],[DEVELOPMENT]],Data[],MATCH(all[[#Headers],[PROGRAM]],Data[#Headers],0),FALSE)</f>
        <v>FEDERAL</v>
      </c>
      <c r="D266" t="str">
        <f>VLOOKUP(B266,Data[],2,FALSE)</f>
        <v>BROOKLYN</v>
      </c>
      <c r="E266">
        <f>VLOOKUP(all[[#This Row],[DEVELOPMENT]],Data[],65,FALSE)</f>
        <v>54</v>
      </c>
      <c r="F266" t="e">
        <f>VLOOKUP(all[[#This Row],[DEVELOPMENT]],Data[],3,FALSE)</f>
        <v>#N/A</v>
      </c>
      <c r="G266" s="107" t="s">
        <v>185</v>
      </c>
      <c r="H266" t="s">
        <v>184</v>
      </c>
      <c r="I266">
        <f>VLOOKUP(all[[#This Row],[DEVELOPMENT]],Data[],34,FALSE)</f>
        <v>0</v>
      </c>
      <c r="J266" t="s">
        <v>184</v>
      </c>
      <c r="K266" t="str">
        <f>VLOOKUP(B266,Data[],8,FALSE)</f>
        <v>Zone 1</v>
      </c>
      <c r="L266" t="str">
        <f>VLOOKUP(all[[#This Row],[DEVELOPMENT]],Data[],61,FALSE)</f>
        <v>No</v>
      </c>
      <c r="M266">
        <f>VLOOKUP(B266,Data[],9,FALSE)</f>
        <v>4</v>
      </c>
      <c r="N266">
        <v>3</v>
      </c>
      <c r="O266" t="s">
        <v>185</v>
      </c>
      <c r="P266" t="str">
        <f ca="1">IFERROR(VLOOKUP(B266,Data[],4,FALSE),"")</f>
        <v/>
      </c>
      <c r="Q266" t="str">
        <f ca="1">IF(all[[#This Row],[RAD/PACT]]="","",IF(OR(all[[#This Row],[RAD/PACT]]="2021-2025",all[[#This Row],[RAD/PACT]]="2019-2020"),"Yes",""))</f>
        <v/>
      </c>
      <c r="R266">
        <f>VLOOKUP(all[[#This Row],[DEVELOPMENT]],Data[],7,FALSE)</f>
        <v>342</v>
      </c>
      <c r="S266" t="str">
        <f>VLOOKUP(all[[#This Row],[DEVELOPMENT]],Data[],25,FALSE)</f>
        <v>Newtown Creek</v>
      </c>
      <c r="T266">
        <f>VLOOKUP(all[[#This Row],[DEVELOPMENT]],Data[],5,FALSE)</f>
        <v>3</v>
      </c>
      <c r="U266">
        <f>VLOOKUP(all[[#This Row],[DEVELOPMENT]],Data[],10,FALSE)</f>
        <v>3</v>
      </c>
      <c r="V266">
        <f>VLOOKUP(all[[#This Row],[DEVELOPMENT]],Data[],10,FALSE)</f>
        <v>3</v>
      </c>
      <c r="W266">
        <f>VLOOKUP(all[[#This Row],[DEVELOPMENT]],Data[],33,FALSE)</f>
        <v>2</v>
      </c>
      <c r="X266">
        <f>VLOOKUP(all[[#This Row],[DEVELOPMENT]],Data[],33,FALSE)</f>
        <v>2</v>
      </c>
      <c r="Y266">
        <f>VLOOKUP(all[[#This Row],[DEVELOPMENT]],Data[],28,FALSE)</f>
        <v>0</v>
      </c>
      <c r="Z266">
        <f>IF(all[[#This Row],['# Bulk Crushers]]=0,1,0)</f>
        <v>1</v>
      </c>
      <c r="AA266" s="5">
        <f ca="1">IFERROR(INDEX(FWD[],MATCH($B266,FWD[DEVELOPMENT],0),MATCH("ESTIMATE",FWD[#Headers],0)),0)</f>
        <v>587807.69400884956</v>
      </c>
      <c r="AB266" s="5">
        <f ca="1">IFERROR(INDEX(EHDAll[],MATCH($B266,EHDAll[DEVELOPMENT],0),MATCH("ESTIMATE",EHDAll[#Headers],0)),0)</f>
        <v>22306.930500000002</v>
      </c>
      <c r="AC266" s="5">
        <f ca="1">IFERROR(INDEX(IntAll[],MATCH($B266,IntAll[DEVELOPMENT],0),MATCH("ESTIMATE",IntAll[#Headers],0)),0)</f>
        <v>141242</v>
      </c>
      <c r="AD266" s="5">
        <f ca="1">IFERROR(INDEX(YardsAll[],MATCH($B266,YardsAll[DEVELOPMENT],0),MATCH("TOTAL ESTIMATE",YardsAll[#Headers],0)),0)</f>
        <v>2515434.0010425011</v>
      </c>
      <c r="AE266" s="99">
        <f t="shared" ca="1" si="4"/>
        <v>3266790.6255513504</v>
      </c>
      <c r="AF266" s="5"/>
    </row>
    <row r="267" spans="1:32">
      <c r="A267" s="101">
        <f>VLOOKUP(B267,Data[],24,FALSE)</f>
        <v>99</v>
      </c>
      <c r="B267" t="s">
        <v>43</v>
      </c>
      <c r="C267" t="str">
        <f>VLOOKUP(all[[#This Row],[DEVELOPMENT]],Data[],MATCH(all[[#Headers],[PROGRAM]],Data[#Headers],0),FALSE)</f>
        <v>MIXED FINANCE/LLC1</v>
      </c>
      <c r="D267" t="str">
        <f>VLOOKUP(B267,Data[],2,FALSE)</f>
        <v>MANHATTAN</v>
      </c>
      <c r="E267">
        <f>VLOOKUP(all[[#This Row],[DEVELOPMENT]],Data[],65,FALSE)</f>
        <v>65</v>
      </c>
      <c r="F267" t="e">
        <f>VLOOKUP(all[[#This Row],[DEVELOPMENT]],Data[],3,FALSE)</f>
        <v>#N/A</v>
      </c>
      <c r="G267" s="107" t="s">
        <v>185</v>
      </c>
      <c r="H267" t="s">
        <v>184</v>
      </c>
      <c r="I267">
        <f>VLOOKUP(all[[#This Row],[DEVELOPMENT]],Data[],34,FALSE)</f>
        <v>0</v>
      </c>
      <c r="J267" t="s">
        <v>184</v>
      </c>
      <c r="K267" t="str">
        <f>VLOOKUP(B267,Data[],8,FALSE)</f>
        <v>Zone 1</v>
      </c>
      <c r="L267" t="str">
        <f>VLOOKUP(all[[#This Row],[DEVELOPMENT]],Data[],61,FALSE)</f>
        <v>No</v>
      </c>
      <c r="M267">
        <f>VLOOKUP(B267,Data[],9,FALSE)</f>
        <v>4</v>
      </c>
      <c r="N267">
        <v>2</v>
      </c>
      <c r="O267" t="s">
        <v>185</v>
      </c>
      <c r="P267" t="str">
        <f ca="1">IFERROR(VLOOKUP(B267,Data[],4,FALSE),"")</f>
        <v/>
      </c>
      <c r="Q267" t="str">
        <f ca="1">IF(all[[#This Row],[RAD/PACT]]="","",IF(OR(all[[#This Row],[RAD/PACT]]="2021-2025",all[[#This Row],[RAD/PACT]]="2019-2020"),"Yes",""))</f>
        <v/>
      </c>
      <c r="R267">
        <f>VLOOKUP(all[[#This Row],[DEVELOPMENT]],Data[],7,FALSE)</f>
        <v>721</v>
      </c>
      <c r="S267" t="str">
        <f>VLOOKUP(all[[#This Row],[DEVELOPMENT]],Data[],25,FALSE)</f>
        <v>Newtown Creek</v>
      </c>
      <c r="T267">
        <f>VLOOKUP(all[[#This Row],[DEVELOPMENT]],Data[],5,FALSE)</f>
        <v>5</v>
      </c>
      <c r="U267">
        <f>VLOOKUP(all[[#This Row],[DEVELOPMENT]],Data[],10,FALSE)</f>
        <v>5</v>
      </c>
      <c r="V267">
        <f>VLOOKUP(all[[#This Row],[DEVELOPMENT]],Data[],10,FALSE)</f>
        <v>5</v>
      </c>
      <c r="W267">
        <f>VLOOKUP(all[[#This Row],[DEVELOPMENT]],Data[],33,FALSE)</f>
        <v>1</v>
      </c>
      <c r="X267">
        <f>VLOOKUP(all[[#This Row],[DEVELOPMENT]],Data[],33,FALSE)</f>
        <v>1</v>
      </c>
      <c r="Y267">
        <f>VLOOKUP(all[[#This Row],[DEVELOPMENT]],Data[],28,FALSE)</f>
        <v>0</v>
      </c>
      <c r="Z267">
        <f>IF(all[[#This Row],['# Bulk Crushers]]=0,1,0)</f>
        <v>1</v>
      </c>
      <c r="AA267" s="5">
        <f ca="1">IFERROR(INDEX(FWD[],MATCH($B267,FWD[DEVELOPMENT],0),MATCH("ESTIMATE",FWD[#Headers],0)),0)</f>
        <v>1239208.6180712881</v>
      </c>
      <c r="AB267" s="5">
        <f>IFERROR(INDEX(EHDAll[],MATCH($B267,EHDAll[DEVELOPMENT],0),MATCH("ESTIMATE",EHDAll[#Headers],0)),0)</f>
        <v>0</v>
      </c>
      <c r="AC267" s="5">
        <f ca="1">IFERROR(INDEX(IntAll[],MATCH($B267,IntAll[DEVELOPMENT],0),MATCH("ESTIMATE",IntAll[#Headers],0)),0)</f>
        <v>0</v>
      </c>
      <c r="AD267" s="5">
        <f ca="1">IFERROR(INDEX(YardsAll[],MATCH($B267,YardsAll[DEVELOPMENT],0),MATCH("TOTAL ESTIMATE",YardsAll[#Headers],0)),0)</f>
        <v>2250394.4637300009</v>
      </c>
      <c r="AE267" s="99">
        <f t="shared" ca="1" si="4"/>
        <v>3489603.0818012888</v>
      </c>
      <c r="AF267" s="5"/>
    </row>
    <row r="268" spans="1:32">
      <c r="A268" s="101">
        <f>VLOOKUP(B268,Data[],24,FALSE)</f>
        <v>38</v>
      </c>
      <c r="B268" t="s">
        <v>136</v>
      </c>
      <c r="C268" t="str">
        <f>VLOOKUP(all[[#This Row],[DEVELOPMENT]],Data[],MATCH(all[[#Headers],[PROGRAM]],Data[#Headers],0),FALSE)</f>
        <v>FEDERAL</v>
      </c>
      <c r="D268" t="str">
        <f>VLOOKUP(B268,Data[],2,FALSE)</f>
        <v>MANHATTAN</v>
      </c>
      <c r="E268">
        <f>VLOOKUP(all[[#This Row],[DEVELOPMENT]],Data[],65,FALSE)</f>
        <v>70</v>
      </c>
      <c r="F268" t="e">
        <f>VLOOKUP(all[[#This Row],[DEVELOPMENT]],Data[],3,FALSE)</f>
        <v>#N/A</v>
      </c>
      <c r="G268" s="107" t="s">
        <v>185</v>
      </c>
      <c r="H268" t="s">
        <v>184</v>
      </c>
      <c r="I268">
        <f>VLOOKUP(all[[#This Row],[DEVELOPMENT]],Data[],34,FALSE)</f>
        <v>0</v>
      </c>
      <c r="J268" t="s">
        <v>184</v>
      </c>
      <c r="K268" t="str">
        <f>VLOOKUP(B268,Data[],8,FALSE)</f>
        <v>Zone 2</v>
      </c>
      <c r="L268" t="str">
        <f>VLOOKUP(all[[#This Row],[DEVELOPMENT]],Data[],61,FALSE)</f>
        <v>Yes</v>
      </c>
      <c r="M268">
        <f>VLOOKUP(B268,Data[],9,FALSE)</f>
        <v>4</v>
      </c>
      <c r="N268">
        <v>2</v>
      </c>
      <c r="O268" t="s">
        <v>185</v>
      </c>
      <c r="P268" t="str">
        <f ca="1">IFERROR(VLOOKUP(B268,Data[],4,FALSE),"")</f>
        <v>2026+</v>
      </c>
      <c r="Q268" t="str">
        <f ca="1">IF(all[[#This Row],[RAD/PACT]]="","",IF(OR(all[[#This Row],[RAD/PACT]]="2021-2025",all[[#This Row],[RAD/PACT]]="2019-2020"),"Yes",""))</f>
        <v/>
      </c>
      <c r="R268">
        <f>VLOOKUP(all[[#This Row],[DEVELOPMENT]],Data[],7,FALSE)</f>
        <v>1525</v>
      </c>
      <c r="S268">
        <f>VLOOKUP(all[[#This Row],[DEVELOPMENT]],Data[],25,FALSE)</f>
        <v>0</v>
      </c>
      <c r="T268">
        <f>VLOOKUP(all[[#This Row],[DEVELOPMENT]],Data[],5,FALSE)</f>
        <v>13</v>
      </c>
      <c r="U268">
        <f>VLOOKUP(all[[#This Row],[DEVELOPMENT]],Data[],10,FALSE)</f>
        <v>14</v>
      </c>
      <c r="V268">
        <f>VLOOKUP(all[[#This Row],[DEVELOPMENT]],Data[],10,FALSE)</f>
        <v>14</v>
      </c>
      <c r="W268">
        <f>VLOOKUP(all[[#This Row],[DEVELOPMENT]],Data[],33,FALSE)</f>
        <v>3</v>
      </c>
      <c r="X268">
        <f>VLOOKUP(all[[#This Row],[DEVELOPMENT]],Data[],33,FALSE)</f>
        <v>3</v>
      </c>
      <c r="Y268">
        <f>VLOOKUP(all[[#This Row],[DEVELOPMENT]],Data[],28,FALSE)</f>
        <v>0</v>
      </c>
      <c r="Z268">
        <f>IF(all[[#This Row],['# Bulk Crushers]]=0,1,0)</f>
        <v>1</v>
      </c>
      <c r="AA268" s="5">
        <f ca="1">IFERROR(INDEX(FWD[],MATCH($B268,FWD[DEVELOPMENT],0),MATCH("ESTIMATE",FWD[#Headers],0)),0)</f>
        <v>2621072.3197763031</v>
      </c>
      <c r="AB268" s="5">
        <f ca="1">IFERROR(INDEX(EHDAll[],MATCH($B268,EHDAll[DEVELOPMENT],0),MATCH("ESTIMATE",EHDAll[#Headers],0)),0)</f>
        <v>111385.93963000001</v>
      </c>
      <c r="AC268" s="5">
        <f ca="1">IFERROR(INDEX(IntAll[],MATCH($B268,IntAll[DEVELOPMENT],0),MATCH("ESTIMATE",IntAll[#Headers],0)),0)</f>
        <v>914137.87499999988</v>
      </c>
      <c r="AD268" s="5">
        <f ca="1">IFERROR(INDEX(YardsAll[],MATCH($B268,YardsAll[DEVELOPMENT],0),MATCH("TOTAL ESTIMATE",YardsAll[#Headers],0)),0)</f>
        <v>1648339.2605570003</v>
      </c>
      <c r="AE268" s="99">
        <f t="shared" ca="1" si="4"/>
        <v>5294935.3949633036</v>
      </c>
      <c r="AF268" s="5"/>
    </row>
    <row r="269" spans="1:32">
      <c r="A269" s="101">
        <f>VLOOKUP(B269,Data[],24,FALSE)</f>
        <v>389</v>
      </c>
      <c r="B269" t="s">
        <v>358</v>
      </c>
      <c r="C269" t="str">
        <f>VLOOKUP(all[[#This Row],[DEVELOPMENT]],Data[],MATCH(all[[#Headers],[PROGRAM]],Data[#Headers],0),FALSE)</f>
        <v>MHOP</v>
      </c>
      <c r="D269" t="str">
        <f>VLOOKUP(B269,Data[],2,FALSE)</f>
        <v>MANHATTAN</v>
      </c>
      <c r="E269">
        <f>VLOOKUP(all[[#This Row],[DEVELOPMENT]],Data[],65,FALSE)</f>
        <v>70</v>
      </c>
      <c r="F269" t="e">
        <f>VLOOKUP(all[[#This Row],[DEVELOPMENT]],Data[],3,FALSE)</f>
        <v>#N/A</v>
      </c>
      <c r="G269" s="107" t="s">
        <v>185</v>
      </c>
      <c r="H269" t="s">
        <v>184</v>
      </c>
      <c r="I269">
        <f>VLOOKUP(all[[#This Row],[DEVELOPMENT]],Data[],34,FALSE)</f>
        <v>0</v>
      </c>
      <c r="J269" t="s">
        <v>184</v>
      </c>
      <c r="K269">
        <f>VLOOKUP(B269,Data[],8,FALSE)</f>
        <v>0</v>
      </c>
      <c r="L269" t="str">
        <f>VLOOKUP(all[[#This Row],[DEVELOPMENT]],Data[],61,FALSE)</f>
        <v>No</v>
      </c>
      <c r="M269">
        <f>VLOOKUP(B269,Data[],9,FALSE)</f>
        <v>0</v>
      </c>
      <c r="N269">
        <v>4</v>
      </c>
      <c r="O269" t="s">
        <v>185</v>
      </c>
      <c r="P269" t="str">
        <f ca="1">IFERROR(VLOOKUP(B269,Data[],4,FALSE),"")</f>
        <v>2020-2021</v>
      </c>
      <c r="Q269" t="str">
        <f ca="1">IF(all[[#This Row],[RAD/PACT]]="","",IF(OR(all[[#This Row],[RAD/PACT]]="2021-2025",all[[#This Row],[RAD/PACT]]="2019-2020"),"Yes",""))</f>
        <v/>
      </c>
      <c r="R269">
        <f>VLOOKUP(all[[#This Row],[DEVELOPMENT]],Data[],7,FALSE)</f>
        <v>24</v>
      </c>
      <c r="S269">
        <f>VLOOKUP(all[[#This Row],[DEVELOPMENT]],Data[],25,FALSE)</f>
        <v>0</v>
      </c>
      <c r="T269">
        <f>VLOOKUP(all[[#This Row],[DEVELOPMENT]],Data[],5,FALSE)</f>
        <v>5</v>
      </c>
      <c r="U269">
        <f>VLOOKUP(all[[#This Row],[DEVELOPMENT]],Data[],10,FALSE)</f>
        <v>0</v>
      </c>
      <c r="V269">
        <f>VLOOKUP(all[[#This Row],[DEVELOPMENT]],Data[],10,FALSE)</f>
        <v>0</v>
      </c>
      <c r="W269">
        <f>VLOOKUP(all[[#This Row],[DEVELOPMENT]],Data[],33,FALSE)</f>
        <v>0</v>
      </c>
      <c r="X269">
        <f>VLOOKUP(all[[#This Row],[DEVELOPMENT]],Data[],33,FALSE)</f>
        <v>0</v>
      </c>
      <c r="Y269">
        <f>VLOOKUP(all[[#This Row],[DEVELOPMENT]],Data[],28,FALSE)</f>
        <v>0</v>
      </c>
      <c r="Z269">
        <f>IF(all[[#This Row],['# Bulk Crushers]]=0,1,0)</f>
        <v>1</v>
      </c>
      <c r="AA269" s="5">
        <f ca="1">IFERROR(INDEX(FWD[],MATCH($B269,FWD[DEVELOPMENT],0),MATCH("ESTIMATE",FWD[#Headers],0)),0)</f>
        <v>41249.662737463128</v>
      </c>
      <c r="AB269" s="5">
        <f ca="1">IFERROR(INDEX(EHDAll[],MATCH($B269,EHDAll[DEVELOPMENT],0),MATCH("ESTIMATE",EHDAll[#Headers],0)),0)</f>
        <v>8736.8811125000011</v>
      </c>
      <c r="AC269" s="5">
        <f ca="1">IFERROR(INDEX(IntAll[],MATCH($B269,IntAll[DEVELOPMENT],0),MATCH("ESTIMATE",IntAll[#Headers],0)),0)</f>
        <v>0</v>
      </c>
      <c r="AD269" s="5">
        <f ca="1">IFERROR(INDEX(YardsAll[],MATCH($B269,YardsAll[DEVELOPMENT],0),MATCH("TOTAL ESTIMATE",YardsAll[#Headers],0)),0)</f>
        <v>0</v>
      </c>
      <c r="AE269" s="99">
        <f t="shared" ca="1" si="4"/>
        <v>49986.543849963127</v>
      </c>
      <c r="AF269" s="5"/>
    </row>
    <row r="270" spans="1:32">
      <c r="A270" s="101">
        <f>VLOOKUP(B270,Data[],24,FALSE)</f>
        <v>398</v>
      </c>
      <c r="B270" t="s">
        <v>359</v>
      </c>
      <c r="C270" t="str">
        <f>VLOOKUP(all[[#This Row],[DEVELOPMENT]],Data[],MATCH(all[[#Headers],[PROGRAM]],Data[#Headers],0),FALSE)</f>
        <v>MHOP</v>
      </c>
      <c r="D270" t="str">
        <f>VLOOKUP(B270,Data[],2,FALSE)</f>
        <v>MANHATTAN</v>
      </c>
      <c r="E270">
        <f>VLOOKUP(all[[#This Row],[DEVELOPMENT]],Data[],65,FALSE)</f>
        <v>70</v>
      </c>
      <c r="F270" t="e">
        <f>VLOOKUP(all[[#This Row],[DEVELOPMENT]],Data[],3,FALSE)</f>
        <v>#N/A</v>
      </c>
      <c r="G270" s="107" t="s">
        <v>185</v>
      </c>
      <c r="H270" t="s">
        <v>184</v>
      </c>
      <c r="I270">
        <f>VLOOKUP(all[[#This Row],[DEVELOPMENT]],Data[],34,FALSE)</f>
        <v>0</v>
      </c>
      <c r="J270" t="s">
        <v>184</v>
      </c>
      <c r="K270">
        <f>VLOOKUP(B270,Data[],8,FALSE)</f>
        <v>0</v>
      </c>
      <c r="L270" t="str">
        <f>VLOOKUP(all[[#This Row],[DEVELOPMENT]],Data[],61,FALSE)</f>
        <v>No</v>
      </c>
      <c r="M270">
        <f>VLOOKUP(B270,Data[],9,FALSE)</f>
        <v>0</v>
      </c>
      <c r="N270">
        <v>2</v>
      </c>
      <c r="O270">
        <v>4</v>
      </c>
      <c r="P270" t="str">
        <f ca="1">IFERROR(VLOOKUP(B270,Data[],4,FALSE),"")</f>
        <v>2020-2021</v>
      </c>
      <c r="Q270" t="str">
        <f ca="1">IF(all[[#This Row],[RAD/PACT]]="","",IF(OR(all[[#This Row],[RAD/PACT]]="2021-2025",all[[#This Row],[RAD/PACT]]="2019-2020"),"Yes",""))</f>
        <v/>
      </c>
      <c r="R270">
        <f>VLOOKUP(all[[#This Row],[DEVELOPMENT]],Data[],7,FALSE)</f>
        <v>4</v>
      </c>
      <c r="S270">
        <f>VLOOKUP(all[[#This Row],[DEVELOPMENT]],Data[],25,FALSE)</f>
        <v>0</v>
      </c>
      <c r="T270">
        <f>VLOOKUP(all[[#This Row],[DEVELOPMENT]],Data[],5,FALSE)</f>
        <v>1</v>
      </c>
      <c r="U270">
        <f>VLOOKUP(all[[#This Row],[DEVELOPMENT]],Data[],10,FALSE)</f>
        <v>0</v>
      </c>
      <c r="V270">
        <f>VLOOKUP(all[[#This Row],[DEVELOPMENT]],Data[],10,FALSE)</f>
        <v>0</v>
      </c>
      <c r="W270">
        <f>VLOOKUP(all[[#This Row],[DEVELOPMENT]],Data[],33,FALSE)</f>
        <v>0</v>
      </c>
      <c r="X270">
        <f>VLOOKUP(all[[#This Row],[DEVELOPMENT]],Data[],33,FALSE)</f>
        <v>0</v>
      </c>
      <c r="Y270">
        <f>VLOOKUP(all[[#This Row],[DEVELOPMENT]],Data[],28,FALSE)</f>
        <v>0</v>
      </c>
      <c r="Z270">
        <f>IF(all[[#This Row],['# Bulk Crushers]]=0,1,0)</f>
        <v>1</v>
      </c>
      <c r="AA270" s="5">
        <f ca="1">IFERROR(INDEX(FWD[],MATCH($B270,FWD[DEVELOPMENT],0),MATCH("ESTIMATE",FWD[#Headers],0)),0)</f>
        <v>6874.943789577188</v>
      </c>
      <c r="AB270" s="5">
        <f ca="1">IFERROR(INDEX(EHDAll[],MATCH($B270,EHDAll[DEVELOPMENT],0),MATCH("ESTIMATE",EHDAll[#Headers],0)),0)</f>
        <v>0</v>
      </c>
      <c r="AC270" s="5">
        <f ca="1">IFERROR(INDEX(IntAll[],MATCH($B270,IntAll[DEVELOPMENT],0),MATCH("ESTIMATE",IntAll[#Headers],0)),0)</f>
        <v>0</v>
      </c>
      <c r="AD270" s="5">
        <f ca="1">IFERROR(INDEX(YardsAll[],MATCH($B270,YardsAll[DEVELOPMENT],0),MATCH("TOTAL ESTIMATE",YardsAll[#Headers],0)),0)</f>
        <v>0</v>
      </c>
      <c r="AE270" s="99">
        <f t="shared" ca="1" si="4"/>
        <v>6874.943789577188</v>
      </c>
      <c r="AF270" s="5"/>
    </row>
    <row r="271" spans="1:32">
      <c r="A271" s="101">
        <f>VLOOKUP(B271,Data[],24,FALSE)</f>
        <v>399</v>
      </c>
      <c r="B271" t="s">
        <v>360</v>
      </c>
      <c r="C271" t="str">
        <f>VLOOKUP(all[[#This Row],[DEVELOPMENT]],Data[],MATCH(all[[#Headers],[PROGRAM]],Data[#Headers],0),FALSE)</f>
        <v>MHOP</v>
      </c>
      <c r="D271" t="str">
        <f>VLOOKUP(B271,Data[],2,FALSE)</f>
        <v>MANHATTAN</v>
      </c>
      <c r="E271">
        <f>VLOOKUP(all[[#This Row],[DEVELOPMENT]],Data[],65,FALSE)</f>
        <v>71</v>
      </c>
      <c r="F271" t="e">
        <f>VLOOKUP(all[[#This Row],[DEVELOPMENT]],Data[],3,FALSE)</f>
        <v>#N/A</v>
      </c>
      <c r="G271" s="107" t="s">
        <v>185</v>
      </c>
      <c r="H271" t="s">
        <v>184</v>
      </c>
      <c r="I271">
        <f>VLOOKUP(all[[#This Row],[DEVELOPMENT]],Data[],34,FALSE)</f>
        <v>0</v>
      </c>
      <c r="J271" t="s">
        <v>184</v>
      </c>
      <c r="K271">
        <f>VLOOKUP(B271,Data[],8,FALSE)</f>
        <v>0</v>
      </c>
      <c r="L271" t="str">
        <f>VLOOKUP(all[[#This Row],[DEVELOPMENT]],Data[],61,FALSE)</f>
        <v>No</v>
      </c>
      <c r="M271">
        <f>VLOOKUP(B271,Data[],9,FALSE)</f>
        <v>0</v>
      </c>
      <c r="N271">
        <v>2</v>
      </c>
      <c r="O271" t="s">
        <v>185</v>
      </c>
      <c r="P271" t="str">
        <f ca="1">IFERROR(VLOOKUP(B271,Data[],4,FALSE),"")</f>
        <v>2020-2021</v>
      </c>
      <c r="Q271" t="str">
        <f ca="1">IF(all[[#This Row],[RAD/PACT]]="","",IF(OR(all[[#This Row],[RAD/PACT]]="2021-2025",all[[#This Row],[RAD/PACT]]="2019-2020"),"Yes",""))</f>
        <v/>
      </c>
      <c r="R271">
        <f>VLOOKUP(all[[#This Row],[DEVELOPMENT]],Data[],7,FALSE)</f>
        <v>1</v>
      </c>
      <c r="S271">
        <f>VLOOKUP(all[[#This Row],[DEVELOPMENT]],Data[],25,FALSE)</f>
        <v>0</v>
      </c>
      <c r="T271">
        <f>VLOOKUP(all[[#This Row],[DEVELOPMENT]],Data[],5,FALSE)</f>
        <v>1</v>
      </c>
      <c r="U271">
        <f>VLOOKUP(all[[#This Row],[DEVELOPMENT]],Data[],10,FALSE)</f>
        <v>0</v>
      </c>
      <c r="V271">
        <f>VLOOKUP(all[[#This Row],[DEVELOPMENT]],Data[],10,FALSE)</f>
        <v>0</v>
      </c>
      <c r="W271">
        <f>VLOOKUP(all[[#This Row],[DEVELOPMENT]],Data[],33,FALSE)</f>
        <v>0</v>
      </c>
      <c r="X271">
        <f>VLOOKUP(all[[#This Row],[DEVELOPMENT]],Data[],33,FALSE)</f>
        <v>0</v>
      </c>
      <c r="Y271">
        <f>VLOOKUP(all[[#This Row],[DEVELOPMENT]],Data[],28,FALSE)</f>
        <v>0</v>
      </c>
      <c r="Z271">
        <f>IF(all[[#This Row],['# Bulk Crushers]]=0,1,0)</f>
        <v>1</v>
      </c>
      <c r="AA271" s="5">
        <f ca="1">IFERROR(INDEX(FWD[],MATCH($B271,FWD[DEVELOPMENT],0),MATCH("ESTIMATE",FWD[#Headers],0)),0)</f>
        <v>1718.735947394297</v>
      </c>
      <c r="AB271" s="5">
        <f ca="1">IFERROR(INDEX(EHDAll[],MATCH($B271,EHDAll[DEVELOPMENT],0),MATCH("ESTIMATE",EHDAll[#Headers],0)),0)</f>
        <v>8736.8811125000011</v>
      </c>
      <c r="AC271" s="5">
        <f ca="1">IFERROR(INDEX(IntAll[],MATCH($B271,IntAll[DEVELOPMENT],0),MATCH("ESTIMATE",IntAll[#Headers],0)),0)</f>
        <v>0</v>
      </c>
      <c r="AD271" s="5">
        <f ca="1">IFERROR(INDEX(YardsAll[],MATCH($B271,YardsAll[DEVELOPMENT],0),MATCH("TOTAL ESTIMATE",YardsAll[#Headers],0)),0)</f>
        <v>0</v>
      </c>
      <c r="AE271" s="99">
        <f t="shared" ca="1" si="4"/>
        <v>10455.617059894299</v>
      </c>
      <c r="AF271" s="5"/>
    </row>
    <row r="272" spans="1:32">
      <c r="A272" s="101">
        <f>VLOOKUP(B272,Data[],24,FALSE)</f>
        <v>45</v>
      </c>
      <c r="B272" t="s">
        <v>361</v>
      </c>
      <c r="C272" t="str">
        <f>VLOOKUP(all[[#This Row],[DEVELOPMENT]],Data[],MATCH(all[[#Headers],[PROGRAM]],Data[#Headers],0),FALSE)</f>
        <v>FEDERAL</v>
      </c>
      <c r="D272" t="str">
        <f>VLOOKUP(B272,Data[],2,FALSE)</f>
        <v>BRONX</v>
      </c>
      <c r="E272">
        <f>VLOOKUP(all[[#This Row],[DEVELOPMENT]],Data[],65,FALSE)</f>
        <v>77</v>
      </c>
      <c r="F272" t="e">
        <f>VLOOKUP(all[[#This Row],[DEVELOPMENT]],Data[],3,FALSE)</f>
        <v>#N/A</v>
      </c>
      <c r="G272" s="107" t="s">
        <v>185</v>
      </c>
      <c r="H272" t="s">
        <v>184</v>
      </c>
      <c r="I272">
        <f>VLOOKUP(all[[#This Row],[DEVELOPMENT]],Data[],34,FALSE)</f>
        <v>0</v>
      </c>
      <c r="J272" t="s">
        <v>184</v>
      </c>
      <c r="K272">
        <f>VLOOKUP(B272,Data[],8,FALSE)</f>
        <v>0</v>
      </c>
      <c r="L272" t="str">
        <f>VLOOKUP(all[[#This Row],[DEVELOPMENT]],Data[],61,FALSE)</f>
        <v>No</v>
      </c>
      <c r="M272">
        <f>VLOOKUP(B272,Data[],9,FALSE)</f>
        <v>0</v>
      </c>
      <c r="N272">
        <v>4</v>
      </c>
      <c r="O272">
        <v>4</v>
      </c>
      <c r="P272" t="str">
        <f ca="1">IFERROR(VLOOKUP(B272,Data[],4,FALSE),"")</f>
        <v/>
      </c>
      <c r="Q272" t="str">
        <f ca="1">IF(all[[#This Row],[RAD/PACT]]="","",IF(OR(all[[#This Row],[RAD/PACT]]="2021-2025",all[[#This Row],[RAD/PACT]]="2019-2020"),"Yes",""))</f>
        <v/>
      </c>
      <c r="R272">
        <f>VLOOKUP(all[[#This Row],[DEVELOPMENT]],Data[],7,FALSE)</f>
        <v>783</v>
      </c>
      <c r="S272">
        <f>VLOOKUP(all[[#This Row],[DEVELOPMENT]],Data[],25,FALSE)</f>
        <v>0</v>
      </c>
      <c r="T272">
        <f>VLOOKUP(all[[#This Row],[DEVELOPMENT]],Data[],5,FALSE)</f>
        <v>7</v>
      </c>
      <c r="U272">
        <f>VLOOKUP(all[[#This Row],[DEVELOPMENT]],Data[],10,FALSE)</f>
        <v>7</v>
      </c>
      <c r="V272">
        <f>VLOOKUP(all[[#This Row],[DEVELOPMENT]],Data[],10,FALSE)</f>
        <v>7</v>
      </c>
      <c r="W272">
        <f>VLOOKUP(all[[#This Row],[DEVELOPMENT]],Data[],33,FALSE)</f>
        <v>2</v>
      </c>
      <c r="X272">
        <f>VLOOKUP(all[[#This Row],[DEVELOPMENT]],Data[],33,FALSE)</f>
        <v>2</v>
      </c>
      <c r="Y272">
        <f>VLOOKUP(all[[#This Row],[DEVELOPMENT]],Data[],28,FALSE)</f>
        <v>0</v>
      </c>
      <c r="Z272">
        <f>IF(all[[#This Row],['# Bulk Crushers]]=0,1,0)</f>
        <v>1</v>
      </c>
      <c r="AA272" s="5">
        <f ca="1">IFERROR(INDEX(FWD[],MATCH($B272,FWD[DEVELOPMENT],0),MATCH("ESTIMATE",FWD[#Headers],0)),0)</f>
        <v>1345770.2468097345</v>
      </c>
      <c r="AB272" s="5">
        <f ca="1">IFERROR(INDEX(EHDAll[],MATCH($B272,EHDAll[DEVELOPMENT],0),MATCH("ESTIMATE",EHDAll[#Headers],0)),0)</f>
        <v>61158.167787500002</v>
      </c>
      <c r="AC272" s="5">
        <f ca="1">IFERROR(INDEX(IntAll[],MATCH($B272,IntAll[DEVELOPMENT],0),MATCH("ESTIMATE",IntAll[#Headers],0)),0)</f>
        <v>549807.5625</v>
      </c>
      <c r="AD272" s="5">
        <f ca="1">IFERROR(INDEX(YardsAll[],MATCH($B272,YardsAll[DEVELOPMENT],0),MATCH("TOTAL ESTIMATE",YardsAll[#Headers],0)),0)</f>
        <v>2586149.0131200007</v>
      </c>
      <c r="AE272" s="99">
        <f t="shared" ca="1" si="4"/>
        <v>4542884.9902172349</v>
      </c>
      <c r="AF272" s="5"/>
    </row>
    <row r="273" spans="1:32">
      <c r="A273" s="101">
        <f>VLOOKUP(B273,Data[],24,FALSE)</f>
        <v>192</v>
      </c>
      <c r="B273" t="s">
        <v>65</v>
      </c>
      <c r="C273" t="str">
        <f>VLOOKUP(all[[#This Row],[DEVELOPMENT]],Data[],MATCH(all[[#Headers],[PROGRAM]],Data[#Headers],0),FALSE)</f>
        <v>FEDERAL</v>
      </c>
      <c r="D273" t="str">
        <f>VLOOKUP(B273,Data[],2,FALSE)</f>
        <v>MANHATTAN</v>
      </c>
      <c r="E273">
        <f>VLOOKUP(all[[#This Row],[DEVELOPMENT]],Data[],65,FALSE)</f>
        <v>65</v>
      </c>
      <c r="F273" t="e">
        <f>VLOOKUP(all[[#This Row],[DEVELOPMENT]],Data[],3,FALSE)</f>
        <v>#N/A</v>
      </c>
      <c r="G273" s="107" t="s">
        <v>185</v>
      </c>
      <c r="H273" t="s">
        <v>184</v>
      </c>
      <c r="I273">
        <f>VLOOKUP(all[[#This Row],[DEVELOPMENT]],Data[],34,FALSE)</f>
        <v>0</v>
      </c>
      <c r="J273" t="s">
        <v>184</v>
      </c>
      <c r="K273" t="str">
        <f>VLOOKUP(B273,Data[],8,FALSE)</f>
        <v>Zone 1</v>
      </c>
      <c r="L273" t="str">
        <f>VLOOKUP(all[[#This Row],[DEVELOPMENT]],Data[],61,FALSE)</f>
        <v>No</v>
      </c>
      <c r="M273">
        <f>VLOOKUP(B273,Data[],9,FALSE)</f>
        <v>4</v>
      </c>
      <c r="N273" t="s">
        <v>185</v>
      </c>
      <c r="O273" t="s">
        <v>185</v>
      </c>
      <c r="P273" t="str">
        <f ca="1">IFERROR(VLOOKUP(B273,Data[],4,FALSE),"")</f>
        <v/>
      </c>
      <c r="Q273" t="str">
        <f ca="1">IF(all[[#This Row],[RAD/PACT]]="","",IF(OR(all[[#This Row],[RAD/PACT]]="2021-2025",all[[#This Row],[RAD/PACT]]="2019-2020"),"Yes",""))</f>
        <v/>
      </c>
      <c r="R273">
        <f>VLOOKUP(all[[#This Row],[DEVELOPMENT]],Data[],7,FALSE)</f>
        <v>360</v>
      </c>
      <c r="S273" t="str">
        <f>VLOOKUP(all[[#This Row],[DEVELOPMENT]],Data[],25,FALSE)</f>
        <v>Newtown Creek</v>
      </c>
      <c r="T273">
        <f>VLOOKUP(all[[#This Row],[DEVELOPMENT]],Data[],5,FALSE)</f>
        <v>2</v>
      </c>
      <c r="U273">
        <f>VLOOKUP(all[[#This Row],[DEVELOPMENT]],Data[],10,FALSE)</f>
        <v>2</v>
      </c>
      <c r="V273">
        <f>VLOOKUP(all[[#This Row],[DEVELOPMENT]],Data[],10,FALSE)</f>
        <v>2</v>
      </c>
      <c r="W273">
        <f>VLOOKUP(all[[#This Row],[DEVELOPMENT]],Data[],33,FALSE)</f>
        <v>0</v>
      </c>
      <c r="X273">
        <f>VLOOKUP(all[[#This Row],[DEVELOPMENT]],Data[],33,FALSE)</f>
        <v>0</v>
      </c>
      <c r="Y273">
        <f>VLOOKUP(all[[#This Row],[DEVELOPMENT]],Data[],28,FALSE)</f>
        <v>0</v>
      </c>
      <c r="Z273">
        <f>IF(all[[#This Row],['# Bulk Crushers]]=0,1,0)</f>
        <v>1</v>
      </c>
      <c r="AA273" s="5">
        <f ca="1">IFERROR(INDEX(FWD[],MATCH($B273,FWD[DEVELOPMENT],0),MATCH("ESTIMATE",FWD[#Headers],0)),0)</f>
        <v>618744.94106194691</v>
      </c>
      <c r="AB273" s="5">
        <f ca="1">IFERROR(INDEX(EHDAll[],MATCH($B273,EHDAll[DEVELOPMENT],0),MATCH("ESTIMATE",EHDAll[#Headers],0)),0)</f>
        <v>14871.287</v>
      </c>
      <c r="AC273" s="5">
        <f ca="1">IFERROR(INDEX(IntAll[],MATCH($B273,IntAll[DEVELOPMENT],0),MATCH("ESTIMATE",IntAll[#Headers],0)),0)</f>
        <v>0</v>
      </c>
      <c r="AD273" s="5">
        <f ca="1">IFERROR(INDEX(YardsAll[],MATCH($B273,YardsAll[DEVELOPMENT],0),MATCH("TOTAL ESTIMATE",YardsAll[#Headers],0)),0)</f>
        <v>2376922.6665100004</v>
      </c>
      <c r="AE273" s="99">
        <f t="shared" ca="1" si="4"/>
        <v>3010538.8945719474</v>
      </c>
      <c r="AF273" s="5"/>
    </row>
    <row r="274" spans="1:32">
      <c r="A274" s="101">
        <f>VLOOKUP(B274,Data[],24,FALSE)</f>
        <v>279</v>
      </c>
      <c r="B274" t="s">
        <v>362</v>
      </c>
      <c r="C274" t="str">
        <f>VLOOKUP(all[[#This Row],[DEVELOPMENT]],Data[],MATCH(all[[#Headers],[PROGRAM]],Data[#Headers],0),FALSE)</f>
        <v>FEDERAL</v>
      </c>
      <c r="D274" t="str">
        <f>VLOOKUP(B274,Data[],2,FALSE)</f>
        <v>QUEENS</v>
      </c>
      <c r="E274">
        <f>VLOOKUP(all[[#This Row],[DEVELOPMENT]],Data[],65,FALSE)</f>
        <v>32</v>
      </c>
      <c r="F274" t="e">
        <f>VLOOKUP(all[[#This Row],[DEVELOPMENT]],Data[],3,FALSE)</f>
        <v>#N/A</v>
      </c>
      <c r="G274" s="107" t="s">
        <v>185</v>
      </c>
      <c r="H274" t="s">
        <v>184</v>
      </c>
      <c r="I274">
        <f>VLOOKUP(all[[#This Row],[DEVELOPMENT]],Data[],34,FALSE)</f>
        <v>0</v>
      </c>
      <c r="J274" t="s">
        <v>184</v>
      </c>
      <c r="K274">
        <f>VLOOKUP(B274,Data[],8,FALSE)</f>
        <v>0</v>
      </c>
      <c r="L274" t="str">
        <f>VLOOKUP(all[[#This Row],[DEVELOPMENT]],Data[],61,FALSE)</f>
        <v>No</v>
      </c>
      <c r="M274">
        <f>VLOOKUP(B274,Data[],9,FALSE)</f>
        <v>0</v>
      </c>
      <c r="N274">
        <v>2</v>
      </c>
      <c r="O274" t="s">
        <v>185</v>
      </c>
      <c r="P274" t="str">
        <f ca="1">IFERROR(VLOOKUP(B274,Data[],4,FALSE),"")</f>
        <v/>
      </c>
      <c r="Q274" t="str">
        <f ca="1">IF(all[[#This Row],[RAD/PACT]]="","",IF(OR(all[[#This Row],[RAD/PACT]]="2021-2025",all[[#This Row],[RAD/PACT]]="2019-2020"),"Yes",""))</f>
        <v/>
      </c>
      <c r="R274">
        <f>VLOOKUP(all[[#This Row],[DEVELOPMENT]],Data[],7,FALSE)</f>
        <v>153</v>
      </c>
      <c r="S274">
        <f>VLOOKUP(all[[#This Row],[DEVELOPMENT]],Data[],25,FALSE)</f>
        <v>0</v>
      </c>
      <c r="T274">
        <f>VLOOKUP(all[[#This Row],[DEVELOPMENT]],Data[],5,FALSE)</f>
        <v>1</v>
      </c>
      <c r="U274">
        <f>VLOOKUP(all[[#This Row],[DEVELOPMENT]],Data[],10,FALSE)</f>
        <v>1</v>
      </c>
      <c r="V274">
        <f>VLOOKUP(all[[#This Row],[DEVELOPMENT]],Data[],10,FALSE)</f>
        <v>1</v>
      </c>
      <c r="W274">
        <f>VLOOKUP(all[[#This Row],[DEVELOPMENT]],Data[],33,FALSE)</f>
        <v>0</v>
      </c>
      <c r="X274">
        <f>VLOOKUP(all[[#This Row],[DEVELOPMENT]],Data[],33,FALSE)</f>
        <v>0</v>
      </c>
      <c r="Y274">
        <f>VLOOKUP(all[[#This Row],[DEVELOPMENT]],Data[],28,FALSE)</f>
        <v>0</v>
      </c>
      <c r="Z274">
        <f>IF(all[[#This Row],['# Bulk Crushers]]=0,1,0)</f>
        <v>1</v>
      </c>
      <c r="AA274" s="5">
        <f ca="1">IFERROR(INDEX(FWD[],MATCH($B274,FWD[DEVELOPMENT],0),MATCH("ESTIMATE",FWD[#Headers],0)),0)</f>
        <v>262966.59995132743</v>
      </c>
      <c r="AB274" s="5">
        <f>IFERROR(INDEX(EHDAll[],MATCH($B274,EHDAll[DEVELOPMENT],0),MATCH("ESTIMATE",EHDAll[#Headers],0)),0)</f>
        <v>0</v>
      </c>
      <c r="AC274" s="5">
        <f ca="1">IFERROR(INDEX(IntAll[],MATCH($B274,IntAll[DEVELOPMENT],0),MATCH("ESTIMATE",IntAll[#Headers],0)),0)</f>
        <v>67503.625</v>
      </c>
      <c r="AD274" s="5">
        <f ca="1">IFERROR(INDEX(YardsAll[],MATCH($B274,YardsAll[DEVELOPMENT],0),MATCH("TOTAL ESTIMATE",YardsAll[#Headers],0)),0)</f>
        <v>2250394.4637300009</v>
      </c>
      <c r="AE274" s="99">
        <f t="shared" ca="1" si="4"/>
        <v>2580864.6886813282</v>
      </c>
      <c r="AF274" s="5"/>
    </row>
    <row r="275" spans="1:32">
      <c r="A275" s="101">
        <f>VLOOKUP(B275,Data[],24,FALSE)</f>
        <v>71</v>
      </c>
      <c r="B275" t="s">
        <v>363</v>
      </c>
      <c r="C275" t="str">
        <f>VLOOKUP(all[[#This Row],[DEVELOPMENT]],Data[],MATCH(all[[#Headers],[PROGRAM]],Data[#Headers],0),FALSE)</f>
        <v>FEDERAL</v>
      </c>
      <c r="D275" t="str">
        <f>VLOOKUP(B275,Data[],2,FALSE)</f>
        <v>BRONX</v>
      </c>
      <c r="E275">
        <f>VLOOKUP(all[[#This Row],[DEVELOPMENT]],Data[],65,FALSE)</f>
        <v>85</v>
      </c>
      <c r="F275" t="e">
        <f>VLOOKUP(all[[#This Row],[DEVELOPMENT]],Data[],3,FALSE)</f>
        <v>#N/A</v>
      </c>
      <c r="G275" s="107" t="s">
        <v>185</v>
      </c>
      <c r="H275" t="s">
        <v>184</v>
      </c>
      <c r="I275">
        <f>VLOOKUP(all[[#This Row],[DEVELOPMENT]],Data[],34,FALSE)</f>
        <v>0</v>
      </c>
      <c r="J275" t="s">
        <v>184</v>
      </c>
      <c r="K275">
        <f>VLOOKUP(B275,Data[],8,FALSE)</f>
        <v>0</v>
      </c>
      <c r="L275" t="str">
        <f>VLOOKUP(all[[#This Row],[DEVELOPMENT]],Data[],61,FALSE)</f>
        <v>No</v>
      </c>
      <c r="M275">
        <f>VLOOKUP(B275,Data[],9,FALSE)</f>
        <v>0</v>
      </c>
      <c r="N275">
        <v>2</v>
      </c>
      <c r="O275" t="s">
        <v>185</v>
      </c>
      <c r="P275" t="str">
        <f ca="1">IFERROR(VLOOKUP(B275,Data[],4,FALSE),"")</f>
        <v>2022-2025</v>
      </c>
      <c r="Q275" t="str">
        <f ca="1">IF(all[[#This Row],[RAD/PACT]]="","",IF(OR(all[[#This Row],[RAD/PACT]]="2021-2025",all[[#This Row],[RAD/PACT]]="2019-2020"),"Yes",""))</f>
        <v/>
      </c>
      <c r="R275">
        <f>VLOOKUP(all[[#This Row],[DEVELOPMENT]],Data[],7,FALSE)</f>
        <v>1258</v>
      </c>
      <c r="S275">
        <f>VLOOKUP(all[[#This Row],[DEVELOPMENT]],Data[],25,FALSE)</f>
        <v>0</v>
      </c>
      <c r="T275">
        <f>VLOOKUP(all[[#This Row],[DEVELOPMENT]],Data[],5,FALSE)</f>
        <v>13</v>
      </c>
      <c r="U275">
        <f>VLOOKUP(all[[#This Row],[DEVELOPMENT]],Data[],10,FALSE)</f>
        <v>26</v>
      </c>
      <c r="V275">
        <f>VLOOKUP(all[[#This Row],[DEVELOPMENT]],Data[],10,FALSE)</f>
        <v>26</v>
      </c>
      <c r="W275">
        <f>VLOOKUP(all[[#This Row],[DEVELOPMENT]],Data[],33,FALSE)</f>
        <v>4</v>
      </c>
      <c r="X275">
        <f>VLOOKUP(all[[#This Row],[DEVELOPMENT]],Data[],33,FALSE)</f>
        <v>4</v>
      </c>
      <c r="Y275">
        <f>VLOOKUP(all[[#This Row],[DEVELOPMENT]],Data[],28,FALSE)</f>
        <v>0</v>
      </c>
      <c r="Z275">
        <f>IF(all[[#This Row],['# Bulk Crushers]]=0,1,0)</f>
        <v>1</v>
      </c>
      <c r="AA275" s="5">
        <f ca="1">IFERROR(INDEX(FWD[],MATCH($B275,FWD[DEVELOPMENT],0),MATCH("ESTIMATE",FWD[#Headers],0)),0)</f>
        <v>2162169.8218220258</v>
      </c>
      <c r="AB275" s="5">
        <f ca="1">IFERROR(INDEX(EHDAll[],MATCH($B275,EHDAll[DEVELOPMENT],0),MATCH("ESTIMATE",EHDAll[#Headers],0)),0)</f>
        <v>227158.908925</v>
      </c>
      <c r="AC275" s="5">
        <f ca="1">IFERROR(INDEX(IntAll[],MATCH($B275,IntAll[DEVELOPMENT],0),MATCH("ESTIMATE",IntAll[#Headers],0)),0)</f>
        <v>0</v>
      </c>
      <c r="AD275" s="5">
        <f ca="1">IFERROR(INDEX(YardsAll[],MATCH($B275,YardsAll[DEVELOPMENT],0),MATCH("TOTAL ESTIMATE",YardsAll[#Headers],0)),0)</f>
        <v>0</v>
      </c>
      <c r="AE275" s="99">
        <f t="shared" ca="1" si="4"/>
        <v>2389328.7307470259</v>
      </c>
      <c r="AF275" s="5"/>
    </row>
    <row r="276" spans="1:32">
      <c r="A276" s="101">
        <f>VLOOKUP(B276,Data[],24,FALSE)</f>
        <v>305</v>
      </c>
      <c r="B276" t="s">
        <v>96</v>
      </c>
      <c r="C276" t="str">
        <f>VLOOKUP(all[[#This Row],[DEVELOPMENT]],Data[],MATCH(all[[#Headers],[PROGRAM]],Data[#Headers],0),FALSE)</f>
        <v>FEDERAL</v>
      </c>
      <c r="D276" t="str">
        <f>VLOOKUP(B276,Data[],2,FALSE)</f>
        <v>BRONX</v>
      </c>
      <c r="E276">
        <f>VLOOKUP(all[[#This Row],[DEVELOPMENT]],Data[],65,FALSE)</f>
        <v>79</v>
      </c>
      <c r="F276" t="e">
        <f>VLOOKUP(all[[#This Row],[DEVELOPMENT]],Data[],3,FALSE)</f>
        <v>#N/A</v>
      </c>
      <c r="G276" s="107" t="s">
        <v>185</v>
      </c>
      <c r="H276" t="s">
        <v>184</v>
      </c>
      <c r="I276">
        <f>VLOOKUP(all[[#This Row],[DEVELOPMENT]],Data[],34,FALSE)</f>
        <v>0</v>
      </c>
      <c r="J276" t="s">
        <v>184</v>
      </c>
      <c r="K276" t="str">
        <f>VLOOKUP(B276,Data[],8,FALSE)</f>
        <v>Zone 3</v>
      </c>
      <c r="L276" t="str">
        <f>VLOOKUP(all[[#This Row],[DEVELOPMENT]],Data[],61,FALSE)</f>
        <v>No</v>
      </c>
      <c r="M276">
        <f>VLOOKUP(B276,Data[],9,FALSE)</f>
        <v>3</v>
      </c>
      <c r="N276">
        <v>2</v>
      </c>
      <c r="O276" t="s">
        <v>185</v>
      </c>
      <c r="P276" t="str">
        <f ca="1">IFERROR(VLOOKUP(B276,Data[],4,FALSE),"")</f>
        <v>2026+</v>
      </c>
      <c r="Q276" t="str">
        <f ca="1">IF(all[[#This Row],[RAD/PACT]]="","",IF(OR(all[[#This Row],[RAD/PACT]]="2021-2025",all[[#This Row],[RAD/PACT]]="2019-2020"),"Yes",""))</f>
        <v/>
      </c>
      <c r="R276">
        <f>VLOOKUP(all[[#This Row],[DEVELOPMENT]],Data[],7,FALSE)</f>
        <v>112</v>
      </c>
      <c r="S276">
        <f>VLOOKUP(all[[#This Row],[DEVELOPMENT]],Data[],25,FALSE)</f>
        <v>0</v>
      </c>
      <c r="T276">
        <f>VLOOKUP(all[[#This Row],[DEVELOPMENT]],Data[],5,FALSE)</f>
        <v>4</v>
      </c>
      <c r="U276">
        <f>VLOOKUP(all[[#This Row],[DEVELOPMENT]],Data[],10,FALSE)</f>
        <v>0</v>
      </c>
      <c r="V276">
        <f>VLOOKUP(all[[#This Row],[DEVELOPMENT]],Data[],10,FALSE)</f>
        <v>0</v>
      </c>
      <c r="W276">
        <f>VLOOKUP(all[[#This Row],[DEVELOPMENT]],Data[],33,FALSE)</f>
        <v>0</v>
      </c>
      <c r="X276">
        <f>VLOOKUP(all[[#This Row],[DEVELOPMENT]],Data[],33,FALSE)</f>
        <v>0</v>
      </c>
      <c r="Y276">
        <f>VLOOKUP(all[[#This Row],[DEVELOPMENT]],Data[],28,FALSE)</f>
        <v>0</v>
      </c>
      <c r="Z276">
        <f>IF(all[[#This Row],['# Bulk Crushers]]=0,1,0)</f>
        <v>1</v>
      </c>
      <c r="AA276" s="5">
        <f ca="1">IFERROR(INDEX(FWD[],MATCH($B276,FWD[DEVELOPMENT],0),MATCH("ESTIMATE",FWD[#Headers],0)),0)</f>
        <v>192498.42610816128</v>
      </c>
      <c r="AB276" s="5">
        <f ca="1">IFERROR(INDEX(EHDAll[],MATCH($B276,EHDAll[DEVELOPMENT],0),MATCH("ESTIMATE",EHDAll[#Headers],0)),0)</f>
        <v>0</v>
      </c>
      <c r="AC276" s="5">
        <f ca="1">IFERROR(INDEX(IntAll[],MATCH($B276,IntAll[DEVELOPMENT],0),MATCH("ESTIMATE",IntAll[#Headers],0)),0)</f>
        <v>0</v>
      </c>
      <c r="AD276" s="5">
        <f ca="1">IFERROR(INDEX(YardsAll[],MATCH($B276,YardsAll[DEVELOPMENT],0),MATCH("TOTAL ESTIMATE",YardsAll[#Headers],0)),0)</f>
        <v>2187130.3623400005</v>
      </c>
      <c r="AE276" s="99">
        <f t="shared" ca="1" si="4"/>
        <v>2379628.7884481619</v>
      </c>
      <c r="AF276" s="5"/>
    </row>
    <row r="277" spans="1:32">
      <c r="A277" s="101">
        <f>VLOOKUP(B277,Data[],24,FALSE)</f>
        <v>559</v>
      </c>
      <c r="B277" t="s">
        <v>364</v>
      </c>
      <c r="C277" t="str">
        <f>VLOOKUP(all[[#This Row],[DEVELOPMENT]],Data[],MATCH(all[[#Headers],[PROGRAM]],Data[#Headers],0),FALSE)</f>
        <v>FEDERAL</v>
      </c>
      <c r="D277" t="str">
        <f>VLOOKUP(B277,Data[],2,FALSE)</f>
        <v>MANHATTAN</v>
      </c>
      <c r="E277">
        <f>VLOOKUP(all[[#This Row],[DEVELOPMENT]],Data[],65,FALSE)</f>
        <v>65</v>
      </c>
      <c r="F277" t="e">
        <f>VLOOKUP(all[[#This Row],[DEVELOPMENT]],Data[],3,FALSE)</f>
        <v>#N/A</v>
      </c>
      <c r="G277" s="107" t="s">
        <v>185</v>
      </c>
      <c r="H277" t="s">
        <v>184</v>
      </c>
      <c r="I277">
        <f>VLOOKUP(all[[#This Row],[DEVELOPMENT]],Data[],34,FALSE)</f>
        <v>0</v>
      </c>
      <c r="J277" t="s">
        <v>184</v>
      </c>
      <c r="K277">
        <f>VLOOKUP(B277,Data[],8,FALSE)</f>
        <v>0</v>
      </c>
      <c r="L277" t="str">
        <f>VLOOKUP(all[[#This Row],[DEVELOPMENT]],Data[],61,FALSE)</f>
        <v>No</v>
      </c>
      <c r="M277">
        <f>VLOOKUP(B277,Data[],9,FALSE)</f>
        <v>0</v>
      </c>
      <c r="N277">
        <v>3</v>
      </c>
      <c r="O277">
        <v>4</v>
      </c>
      <c r="P277" t="str">
        <f ca="1">IFERROR(VLOOKUP(B277,Data[],4,FALSE),"")</f>
        <v/>
      </c>
      <c r="Q277" t="str">
        <f ca="1">IF(all[[#This Row],[RAD/PACT]]="","",IF(OR(all[[#This Row],[RAD/PACT]]="2021-2025",all[[#This Row],[RAD/PACT]]="2019-2020"),"Yes",""))</f>
        <v/>
      </c>
      <c r="R277">
        <f>VLOOKUP(all[[#This Row],[DEVELOPMENT]],Data[],7,FALSE)</f>
        <v>13</v>
      </c>
      <c r="S277" t="str">
        <f>VLOOKUP(all[[#This Row],[DEVELOPMENT]],Data[],25,FALSE)</f>
        <v>Newtown Creek</v>
      </c>
      <c r="T277">
        <f>VLOOKUP(all[[#This Row],[DEVELOPMENT]],Data[],5,FALSE)</f>
        <v>1</v>
      </c>
      <c r="U277">
        <f>VLOOKUP(all[[#This Row],[DEVELOPMENT]],Data[],10,FALSE)</f>
        <v>0</v>
      </c>
      <c r="V277">
        <f>VLOOKUP(all[[#This Row],[DEVELOPMENT]],Data[],10,FALSE)</f>
        <v>0</v>
      </c>
      <c r="W277">
        <f>VLOOKUP(all[[#This Row],[DEVELOPMENT]],Data[],33,FALSE)</f>
        <v>0</v>
      </c>
      <c r="X277">
        <f>VLOOKUP(all[[#This Row],[DEVELOPMENT]],Data[],33,FALSE)</f>
        <v>0</v>
      </c>
      <c r="Y277">
        <f>VLOOKUP(all[[#This Row],[DEVELOPMENT]],Data[],28,FALSE)</f>
        <v>0</v>
      </c>
      <c r="Z277">
        <f>IF(all[[#This Row],['# Bulk Crushers]]=0,1,0)</f>
        <v>1</v>
      </c>
      <c r="AA277" s="5">
        <f ca="1">IFERROR(INDEX(FWD[],MATCH($B277,FWD[DEVELOPMENT],0),MATCH("ESTIMATE",FWD[#Headers],0)),0)</f>
        <v>22343.56731612586</v>
      </c>
      <c r="AB277" s="5">
        <f ca="1">IFERROR(INDEX(EHDAll[],MATCH($B277,EHDAll[DEVELOPMENT],0),MATCH("ESTIMATE",EHDAll[#Headers],0)),0)</f>
        <v>8736.8811125000011</v>
      </c>
      <c r="AC277" s="5">
        <f ca="1">IFERROR(INDEX(IntAll[],MATCH($B277,IntAll[DEVELOPMENT],0),MATCH("ESTIMATE",IntAll[#Headers],0)),0)</f>
        <v>0</v>
      </c>
      <c r="AD277" s="5">
        <f ca="1">IFERROR(INDEX(YardsAll[],MATCH($B277,YardsAll[DEVELOPMENT],0),MATCH("TOTAL ESTIMATE",YardsAll[#Headers],0)),0)</f>
        <v>2313658.5651200004</v>
      </c>
      <c r="AE277" s="99">
        <f t="shared" ca="1" si="4"/>
        <v>2344739.0135486261</v>
      </c>
      <c r="AF277" s="5"/>
    </row>
    <row r="278" spans="1:32">
      <c r="A278" s="101">
        <f>VLOOKUP(B278,Data[],24,FALSE)</f>
        <v>114</v>
      </c>
      <c r="B278" t="s">
        <v>365</v>
      </c>
      <c r="C278" t="str">
        <f>VLOOKUP(all[[#This Row],[DEVELOPMENT]],Data[],MATCH(all[[#Headers],[PROGRAM]],Data[#Headers],0),FALSE)</f>
        <v>MIXED FINANCE/LLC1</v>
      </c>
      <c r="D278" t="str">
        <f>VLOOKUP(B278,Data[],2,FALSE)</f>
        <v>STATEN ISLAND</v>
      </c>
      <c r="E278">
        <f>VLOOKUP(all[[#This Row],[DEVELOPMENT]],Data[],65,FALSE)</f>
        <v>61</v>
      </c>
      <c r="F278" t="e">
        <f>VLOOKUP(all[[#This Row],[DEVELOPMENT]],Data[],3,FALSE)</f>
        <v>#N/A</v>
      </c>
      <c r="G278" s="107" t="s">
        <v>185</v>
      </c>
      <c r="H278" t="s">
        <v>184</v>
      </c>
      <c r="I278">
        <f>VLOOKUP(all[[#This Row],[DEVELOPMENT]],Data[],34,FALSE)</f>
        <v>0</v>
      </c>
      <c r="J278" t="s">
        <v>184</v>
      </c>
      <c r="K278">
        <f>VLOOKUP(B278,Data[],8,FALSE)</f>
        <v>0</v>
      </c>
      <c r="L278" t="str">
        <f>VLOOKUP(all[[#This Row],[DEVELOPMENT]],Data[],61,FALSE)</f>
        <v>Yes</v>
      </c>
      <c r="M278">
        <f>VLOOKUP(B278,Data[],9,FALSE)</f>
        <v>0</v>
      </c>
      <c r="N278">
        <v>3</v>
      </c>
      <c r="O278">
        <v>4</v>
      </c>
      <c r="P278" t="str">
        <f ca="1">IFERROR(VLOOKUP(B278,Data[],4,FALSE),"")</f>
        <v/>
      </c>
      <c r="Q278" t="str">
        <f ca="1">IF(all[[#This Row],[RAD/PACT]]="","",IF(OR(all[[#This Row],[RAD/PACT]]="2021-2025",all[[#This Row],[RAD/PACT]]="2019-2020"),"Yes",""))</f>
        <v/>
      </c>
      <c r="R278">
        <f>VLOOKUP(all[[#This Row],[DEVELOPMENT]],Data[],7,FALSE)</f>
        <v>693</v>
      </c>
      <c r="S278">
        <f>VLOOKUP(all[[#This Row],[DEVELOPMENT]],Data[],25,FALSE)</f>
        <v>0</v>
      </c>
      <c r="T278">
        <f>VLOOKUP(all[[#This Row],[DEVELOPMENT]],Data[],5,FALSE)</f>
        <v>6</v>
      </c>
      <c r="U278">
        <f>VLOOKUP(all[[#This Row],[DEVELOPMENT]],Data[],10,FALSE)</f>
        <v>12</v>
      </c>
      <c r="V278">
        <f>VLOOKUP(all[[#This Row],[DEVELOPMENT]],Data[],10,FALSE)</f>
        <v>12</v>
      </c>
      <c r="W278">
        <f>VLOOKUP(all[[#This Row],[DEVELOPMENT]],Data[],33,FALSE)</f>
        <v>2</v>
      </c>
      <c r="X278">
        <f>VLOOKUP(all[[#This Row],[DEVELOPMENT]],Data[],33,FALSE)</f>
        <v>2</v>
      </c>
      <c r="Y278">
        <f>VLOOKUP(all[[#This Row],[DEVELOPMENT]],Data[],28,FALSE)</f>
        <v>0</v>
      </c>
      <c r="Z278">
        <f>IF(all[[#This Row],['# Bulk Crushers]]=0,1,0)</f>
        <v>1</v>
      </c>
      <c r="AA278" s="5">
        <f ca="1">IFERROR(INDEX(FWD[],MATCH($B278,FWD[DEVELOPMENT],0),MATCH("ESTIMATE",FWD[#Headers],0)),0)</f>
        <v>1191084.0115442479</v>
      </c>
      <c r="AB278" s="5">
        <f ca="1">IFERROR(INDEX(EHDAll[],MATCH($B278,EHDAll[DEVELOPMENT],0),MATCH("ESTIMATE",EHDAll[#Headers],0)),0)</f>
        <v>104842.57335000002</v>
      </c>
      <c r="AC278" s="5">
        <f ca="1">IFERROR(INDEX(IntAll[],MATCH($B278,IntAll[DEVELOPMENT],0),MATCH("ESTIMATE",IntAll[#Headers],0)),0)</f>
        <v>863037.00000000012</v>
      </c>
      <c r="AD278" s="5">
        <f ca="1">IFERROR(INDEX(YardsAll[],MATCH($B278,YardsAll[DEVELOPMENT],0),MATCH("TOTAL ESTIMATE",YardsAll[#Headers],0)),0)</f>
        <v>2515434.0010425011</v>
      </c>
      <c r="AE278" s="99">
        <f t="shared" ca="1" si="4"/>
        <v>4674397.5859367494</v>
      </c>
      <c r="AF278" s="5"/>
    </row>
    <row r="279" spans="1:32">
      <c r="A279" s="101">
        <f>VLOOKUP(B279,Data[],24,FALSE)</f>
        <v>353</v>
      </c>
      <c r="B279" t="s">
        <v>97</v>
      </c>
      <c r="C279" t="str">
        <f>VLOOKUP(all[[#This Row],[DEVELOPMENT]],Data[],MATCH(all[[#Headers],[PROGRAM]],Data[#Headers],0),FALSE)</f>
        <v>FEDERAL</v>
      </c>
      <c r="D279" t="str">
        <f>VLOOKUP(B279,Data[],2,FALSE)</f>
        <v>BRONX</v>
      </c>
      <c r="E279">
        <f>VLOOKUP(all[[#This Row],[DEVELOPMENT]],Data[],65,FALSE)</f>
        <v>85</v>
      </c>
      <c r="F279" t="e">
        <f>VLOOKUP(all[[#This Row],[DEVELOPMENT]],Data[],3,FALSE)</f>
        <v>#N/A</v>
      </c>
      <c r="G279" s="107" t="s">
        <v>185</v>
      </c>
      <c r="H279" t="s">
        <v>184</v>
      </c>
      <c r="I279">
        <f>VLOOKUP(all[[#This Row],[DEVELOPMENT]],Data[],34,FALSE)</f>
        <v>0</v>
      </c>
      <c r="J279" t="s">
        <v>184</v>
      </c>
      <c r="K279" t="str">
        <f>VLOOKUP(B279,Data[],8,FALSE)</f>
        <v>Zone 3</v>
      </c>
      <c r="L279" t="str">
        <f>VLOOKUP(all[[#This Row],[DEVELOPMENT]],Data[],61,FALSE)</f>
        <v>No</v>
      </c>
      <c r="M279">
        <f>VLOOKUP(B279,Data[],9,FALSE)</f>
        <v>2</v>
      </c>
      <c r="N279">
        <v>3</v>
      </c>
      <c r="O279" t="s">
        <v>185</v>
      </c>
      <c r="P279" t="str">
        <f ca="1">IFERROR(VLOOKUP(B279,Data[],4,FALSE),"")</f>
        <v>2026+</v>
      </c>
      <c r="Q279" t="str">
        <f ca="1">IF(all[[#This Row],[RAD/PACT]]="","",IF(OR(all[[#This Row],[RAD/PACT]]="2021-2025",all[[#This Row],[RAD/PACT]]="2019-2020"),"Yes",""))</f>
        <v/>
      </c>
      <c r="R279">
        <f>VLOOKUP(all[[#This Row],[DEVELOPMENT]],Data[],7,FALSE)</f>
        <v>119</v>
      </c>
      <c r="S279">
        <f>VLOOKUP(all[[#This Row],[DEVELOPMENT]],Data[],25,FALSE)</f>
        <v>0</v>
      </c>
      <c r="T279">
        <f>VLOOKUP(all[[#This Row],[DEVELOPMENT]],Data[],5,FALSE)</f>
        <v>2</v>
      </c>
      <c r="U279">
        <f>VLOOKUP(all[[#This Row],[DEVELOPMENT]],Data[],10,FALSE)</f>
        <v>0</v>
      </c>
      <c r="V279">
        <f>VLOOKUP(all[[#This Row],[DEVELOPMENT]],Data[],10,FALSE)</f>
        <v>0</v>
      </c>
      <c r="W279">
        <f>VLOOKUP(all[[#This Row],[DEVELOPMENT]],Data[],33,FALSE)</f>
        <v>0</v>
      </c>
      <c r="X279">
        <f>VLOOKUP(all[[#This Row],[DEVELOPMENT]],Data[],33,FALSE)</f>
        <v>0</v>
      </c>
      <c r="Y279">
        <f>VLOOKUP(all[[#This Row],[DEVELOPMENT]],Data[],28,FALSE)</f>
        <v>0</v>
      </c>
      <c r="Z279">
        <f>IF(all[[#This Row],['# Bulk Crushers]]=0,1,0)</f>
        <v>1</v>
      </c>
      <c r="AA279" s="5">
        <f ca="1">IFERROR(INDEX(FWD[],MATCH($B279,FWD[DEVELOPMENT],0),MATCH("ESTIMATE",FWD[#Headers],0)),0)</f>
        <v>204529.57773992134</v>
      </c>
      <c r="AB279" s="5">
        <f ca="1">IFERROR(INDEX(EHDAll[],MATCH($B279,EHDAll[DEVELOPMENT],0),MATCH("ESTIMATE",EHDAll[#Headers],0)),0)</f>
        <v>0</v>
      </c>
      <c r="AC279" s="5">
        <f ca="1">IFERROR(INDEX(IntAll[],MATCH($B279,IntAll[DEVELOPMENT],0),MATCH("ESTIMATE",IntAll[#Headers],0)),0)</f>
        <v>0</v>
      </c>
      <c r="AD279" s="5">
        <f ca="1">IFERROR(INDEX(YardsAll[],MATCH($B279,YardsAll[DEVELOPMENT],0),MATCH("TOTAL ESTIMATE",YardsAll[#Headers],0)),0)</f>
        <v>2250394.4637300009</v>
      </c>
      <c r="AE279" s="99">
        <f t="shared" ca="1" si="4"/>
        <v>2454924.0414699223</v>
      </c>
      <c r="AF279" s="5"/>
    </row>
    <row r="280" spans="1:32">
      <c r="A280" s="101">
        <f>VLOOKUP(B280,Data[],24,FALSE)</f>
        <v>366</v>
      </c>
      <c r="B280" t="s">
        <v>366</v>
      </c>
      <c r="C280" t="str">
        <f>VLOOKUP(all[[#This Row],[DEVELOPMENT]],Data[],MATCH(all[[#Headers],[PROGRAM]],Data[#Headers],0),FALSE)</f>
        <v>FEDERAL</v>
      </c>
      <c r="D280" t="str">
        <f>VLOOKUP(B280,Data[],2,FALSE)</f>
        <v>BROOKLYN</v>
      </c>
      <c r="E280">
        <f>VLOOKUP(all[[#This Row],[DEVELOPMENT]],Data[],65,FALSE)</f>
        <v>55</v>
      </c>
      <c r="F280" t="e">
        <f>VLOOKUP(all[[#This Row],[DEVELOPMENT]],Data[],3,FALSE)</f>
        <v>#N/A</v>
      </c>
      <c r="G280" s="107" t="s">
        <v>185</v>
      </c>
      <c r="H280" t="s">
        <v>184</v>
      </c>
      <c r="I280">
        <f>VLOOKUP(all[[#This Row],[DEVELOPMENT]],Data[],34,FALSE)</f>
        <v>0</v>
      </c>
      <c r="J280" t="s">
        <v>184</v>
      </c>
      <c r="K280">
        <f>VLOOKUP(B280,Data[],8,FALSE)</f>
        <v>0</v>
      </c>
      <c r="L280" t="str">
        <f>VLOOKUP(all[[#This Row],[DEVELOPMENT]],Data[],61,FALSE)</f>
        <v>No</v>
      </c>
      <c r="M280">
        <f>VLOOKUP(B280,Data[],9,FALSE)</f>
        <v>0</v>
      </c>
      <c r="N280">
        <v>4</v>
      </c>
      <c r="O280" t="s">
        <v>185</v>
      </c>
      <c r="P280" t="str">
        <f ca="1">IFERROR(VLOOKUP(B280,Data[],4,FALSE),"")</f>
        <v>2022-2025</v>
      </c>
      <c r="Q280" t="str">
        <f ca="1">IF(all[[#This Row],[RAD/PACT]]="","",IF(OR(all[[#This Row],[RAD/PACT]]="2021-2025",all[[#This Row],[RAD/PACT]]="2019-2020"),"Yes",""))</f>
        <v/>
      </c>
      <c r="R280">
        <f>VLOOKUP(all[[#This Row],[DEVELOPMENT]],Data[],7,FALSE)</f>
        <v>83</v>
      </c>
      <c r="S280" t="str">
        <f>VLOOKUP(all[[#This Row],[DEVELOPMENT]],Data[],25,FALSE)</f>
        <v>Newtown Creek</v>
      </c>
      <c r="T280">
        <f>VLOOKUP(all[[#This Row],[DEVELOPMENT]],Data[],5,FALSE)</f>
        <v>5</v>
      </c>
      <c r="U280">
        <f>VLOOKUP(all[[#This Row],[DEVELOPMENT]],Data[],10,FALSE)</f>
        <v>5</v>
      </c>
      <c r="V280">
        <f>VLOOKUP(all[[#This Row],[DEVELOPMENT]],Data[],10,FALSE)</f>
        <v>5</v>
      </c>
      <c r="W280">
        <f>VLOOKUP(all[[#This Row],[DEVELOPMENT]],Data[],33,FALSE)</f>
        <v>0</v>
      </c>
      <c r="X280">
        <f>VLOOKUP(all[[#This Row],[DEVELOPMENT]],Data[],33,FALSE)</f>
        <v>0</v>
      </c>
      <c r="Y280">
        <f>VLOOKUP(all[[#This Row],[DEVELOPMENT]],Data[],28,FALSE)</f>
        <v>0</v>
      </c>
      <c r="Z280">
        <f>IF(all[[#This Row],['# Bulk Crushers]]=0,1,0)</f>
        <v>1</v>
      </c>
      <c r="AA280" s="5">
        <f ca="1">IFERROR(INDEX(FWD[],MATCH($B280,FWD[DEVELOPMENT],0),MATCH("ESTIMATE",FWD[#Headers],0)),0)</f>
        <v>142655.08363372664</v>
      </c>
      <c r="AB280" s="5">
        <f ca="1">IFERROR(INDEX(EHDAll[],MATCH($B280,EHDAll[DEVELOPMENT],0),MATCH("ESTIMATE",EHDAll[#Headers],0)),0)</f>
        <v>43684.405562500004</v>
      </c>
      <c r="AC280" s="5">
        <f ca="1">IFERROR(INDEX(IntAll[],MATCH($B280,IntAll[DEVELOPMENT],0),MATCH("ESTIMATE",IntAll[#Headers],0)),0)</f>
        <v>0</v>
      </c>
      <c r="AD280" s="5">
        <f ca="1">IFERROR(INDEX(YardsAll[],MATCH($B280,YardsAll[DEVELOPMENT],0),MATCH("TOTAL ESTIMATE",YardsAll[#Headers],0)),0)</f>
        <v>0</v>
      </c>
      <c r="AE280" s="99">
        <f t="shared" ca="1" si="4"/>
        <v>186339.48919622664</v>
      </c>
      <c r="AF280" s="5"/>
    </row>
    <row r="281" spans="1:32">
      <c r="A281" s="101">
        <f>VLOOKUP(B281,Data[],24,FALSE)</f>
        <v>170</v>
      </c>
      <c r="B281" t="s">
        <v>367</v>
      </c>
      <c r="C281" t="str">
        <f>VLOOKUP(all[[#This Row],[DEVELOPMENT]],Data[],MATCH(all[[#Headers],[PROGRAM]],Data[#Headers],0),FALSE)</f>
        <v>FEDERAL</v>
      </c>
      <c r="D281" t="str">
        <f>VLOOKUP(B281,Data[],2,FALSE)</f>
        <v>BROOKLYN</v>
      </c>
      <c r="E281">
        <f>VLOOKUP(all[[#This Row],[DEVELOPMENT]],Data[],65,FALSE)</f>
        <v>46</v>
      </c>
      <c r="F281" t="e">
        <f>VLOOKUP(all[[#This Row],[DEVELOPMENT]],Data[],3,FALSE)</f>
        <v>#N/A</v>
      </c>
      <c r="G281" s="107" t="s">
        <v>185</v>
      </c>
      <c r="H281" t="s">
        <v>184</v>
      </c>
      <c r="I281">
        <f>VLOOKUP(all[[#This Row],[DEVELOPMENT]],Data[],34,FALSE)</f>
        <v>0</v>
      </c>
      <c r="J281" t="s">
        <v>184</v>
      </c>
      <c r="K281">
        <f>VLOOKUP(B281,Data[],8,FALSE)</f>
        <v>0</v>
      </c>
      <c r="L281" t="str">
        <f>VLOOKUP(all[[#This Row],[DEVELOPMENT]],Data[],61,FALSE)</f>
        <v>No</v>
      </c>
      <c r="M281">
        <f>VLOOKUP(B281,Data[],9,FALSE)</f>
        <v>0</v>
      </c>
      <c r="N281">
        <v>3</v>
      </c>
      <c r="O281">
        <v>4</v>
      </c>
      <c r="P281" t="str">
        <f ca="1">IFERROR(VLOOKUP(B281,Data[],4,FALSE),"")</f>
        <v/>
      </c>
      <c r="Q281" t="str">
        <f ca="1">IF(all[[#This Row],[RAD/PACT]]="","",IF(OR(all[[#This Row],[RAD/PACT]]="2021-2025",all[[#This Row],[RAD/PACT]]="2019-2020"),"Yes",""))</f>
        <v/>
      </c>
      <c r="R281">
        <f>VLOOKUP(all[[#This Row],[DEVELOPMENT]],Data[],7,FALSE)</f>
        <v>594</v>
      </c>
      <c r="S281">
        <f>VLOOKUP(all[[#This Row],[DEVELOPMENT]],Data[],25,FALSE)</f>
        <v>0</v>
      </c>
      <c r="T281">
        <f>VLOOKUP(all[[#This Row],[DEVELOPMENT]],Data[],5,FALSE)</f>
        <v>5</v>
      </c>
      <c r="U281">
        <f>VLOOKUP(all[[#This Row],[DEVELOPMENT]],Data[],10,FALSE)</f>
        <v>5</v>
      </c>
      <c r="V281">
        <f>VLOOKUP(all[[#This Row],[DEVELOPMENT]],Data[],10,FALSE)</f>
        <v>5</v>
      </c>
      <c r="W281">
        <f>VLOOKUP(all[[#This Row],[DEVELOPMENT]],Data[],33,FALSE)</f>
        <v>2</v>
      </c>
      <c r="X281">
        <f>VLOOKUP(all[[#This Row],[DEVELOPMENT]],Data[],33,FALSE)</f>
        <v>2</v>
      </c>
      <c r="Y281">
        <f>VLOOKUP(all[[#This Row],[DEVELOPMENT]],Data[],28,FALSE)</f>
        <v>0</v>
      </c>
      <c r="Z281">
        <f>IF(all[[#This Row],['# Bulk Crushers]]=0,1,0)</f>
        <v>1</v>
      </c>
      <c r="AA281" s="5">
        <f ca="1">IFERROR(INDEX(FWD[],MATCH($B281,FWD[DEVELOPMENT],0),MATCH("ESTIMATE",FWD[#Headers],0)),0)</f>
        <v>1020929.1527522124</v>
      </c>
      <c r="AB281" s="5">
        <f ca="1">IFERROR(INDEX(EHDAll[],MATCH($B281,EHDAll[DEVELOPMENT],0),MATCH("ESTIMATE",EHDAll[#Headers],0)),0)</f>
        <v>43684.405562500004</v>
      </c>
      <c r="AC281" s="5">
        <f ca="1">IFERROR(INDEX(IntAll[],MATCH($B281,IntAll[DEVELOPMENT],0),MATCH("ESTIMATE",IntAll[#Headers],0)),0)</f>
        <v>381679.375</v>
      </c>
      <c r="AD281" s="5">
        <f ca="1">IFERROR(INDEX(YardsAll[],MATCH($B281,YardsAll[DEVELOPMENT],0),MATCH("TOTAL ESTIMATE",YardsAll[#Headers],0)),0)</f>
        <v>2586149.0131200007</v>
      </c>
      <c r="AE281" s="99">
        <f t="shared" ca="1" si="4"/>
        <v>4032441.946434713</v>
      </c>
      <c r="AF281" s="5"/>
    </row>
    <row r="282" spans="1:32">
      <c r="A282" s="101">
        <f>VLOOKUP(B282,Data[],24,FALSE)</f>
        <v>369</v>
      </c>
      <c r="B282" t="s">
        <v>368</v>
      </c>
      <c r="C282" t="str">
        <f>VLOOKUP(all[[#This Row],[DEVELOPMENT]],Data[],MATCH(all[[#Headers],[PROGRAM]],Data[#Headers],0),FALSE)</f>
        <v>FEDERAL</v>
      </c>
      <c r="D282" t="str">
        <f>VLOOKUP(B282,Data[],2,FALSE)</f>
        <v>BROOKLYN</v>
      </c>
      <c r="E282">
        <f>VLOOKUP(all[[#This Row],[DEVELOPMENT]],Data[],65,FALSE)</f>
        <v>55</v>
      </c>
      <c r="F282" t="e">
        <f>VLOOKUP(all[[#This Row],[DEVELOPMENT]],Data[],3,FALSE)</f>
        <v>#N/A</v>
      </c>
      <c r="G282" s="107" t="s">
        <v>185</v>
      </c>
      <c r="H282" t="s">
        <v>184</v>
      </c>
      <c r="I282">
        <f>VLOOKUP(all[[#This Row],[DEVELOPMENT]],Data[],34,FALSE)</f>
        <v>0</v>
      </c>
      <c r="J282" t="s">
        <v>184</v>
      </c>
      <c r="K282">
        <f>VLOOKUP(B282,Data[],8,FALSE)</f>
        <v>0</v>
      </c>
      <c r="L282" t="str">
        <f>VLOOKUP(all[[#This Row],[DEVELOPMENT]],Data[],61,FALSE)</f>
        <v>No</v>
      </c>
      <c r="M282">
        <f>VLOOKUP(B282,Data[],9,FALSE)</f>
        <v>0</v>
      </c>
      <c r="N282">
        <v>2</v>
      </c>
      <c r="O282">
        <v>4</v>
      </c>
      <c r="P282" t="str">
        <f ca="1">IFERROR(VLOOKUP(B282,Data[],4,FALSE),"")</f>
        <v>2020-2021</v>
      </c>
      <c r="Q282" t="str">
        <f ca="1">IF(all[[#This Row],[RAD/PACT]]="","",IF(OR(all[[#This Row],[RAD/PACT]]="2021-2025",all[[#This Row],[RAD/PACT]]="2019-2020"),"Yes",""))</f>
        <v/>
      </c>
      <c r="R282">
        <f>VLOOKUP(all[[#This Row],[DEVELOPMENT]],Data[],7,FALSE)</f>
        <v>100</v>
      </c>
      <c r="S282">
        <f>VLOOKUP(all[[#This Row],[DEVELOPMENT]],Data[],25,FALSE)</f>
        <v>0</v>
      </c>
      <c r="T282">
        <f>VLOOKUP(all[[#This Row],[DEVELOPMENT]],Data[],5,FALSE)</f>
        <v>3</v>
      </c>
      <c r="U282">
        <f>VLOOKUP(all[[#This Row],[DEVELOPMENT]],Data[],10,FALSE)</f>
        <v>6</v>
      </c>
      <c r="V282">
        <f>VLOOKUP(all[[#This Row],[DEVELOPMENT]],Data[],10,FALSE)</f>
        <v>6</v>
      </c>
      <c r="W282">
        <f>VLOOKUP(all[[#This Row],[DEVELOPMENT]],Data[],33,FALSE)</f>
        <v>0</v>
      </c>
      <c r="X282">
        <f>VLOOKUP(all[[#This Row],[DEVELOPMENT]],Data[],33,FALSE)</f>
        <v>0</v>
      </c>
      <c r="Y282">
        <f>VLOOKUP(all[[#This Row],[DEVELOPMENT]],Data[],28,FALSE)</f>
        <v>0</v>
      </c>
      <c r="Z282">
        <f>IF(all[[#This Row],['# Bulk Crushers]]=0,1,0)</f>
        <v>1</v>
      </c>
      <c r="AA282" s="5">
        <f ca="1">IFERROR(INDEX(FWD[],MATCH($B282,FWD[DEVELOPMENT],0),MATCH("ESTIMATE",FWD[#Headers],0)),0)</f>
        <v>171873.59473942971</v>
      </c>
      <c r="AB282" s="5">
        <f ca="1">IFERROR(INDEX(EHDAll[],MATCH($B282,EHDAll[DEVELOPMENT],0),MATCH("ESTIMATE",EHDAll[#Headers],0)),0)</f>
        <v>52421.28667500001</v>
      </c>
      <c r="AC282" s="5">
        <f ca="1">IFERROR(INDEX(IntAll[],MATCH($B282,IntAll[DEVELOPMENT],0),MATCH("ESTIMATE",IntAll[#Headers],0)),0)</f>
        <v>0</v>
      </c>
      <c r="AD282" s="5">
        <f ca="1">IFERROR(INDEX(YardsAll[],MATCH($B282,YardsAll[DEVELOPMENT],0),MATCH("TOTAL ESTIMATE",YardsAll[#Headers],0)),0)</f>
        <v>0</v>
      </c>
      <c r="AE282" s="99">
        <f t="shared" ca="1" si="4"/>
        <v>224294.88141442972</v>
      </c>
      <c r="AF282" s="5"/>
    </row>
    <row r="283" spans="1:32">
      <c r="A283" s="101">
        <f>VLOOKUP(B283,Data[],24,FALSE)</f>
        <v>354</v>
      </c>
      <c r="B283" t="s">
        <v>369</v>
      </c>
      <c r="C283" t="str">
        <f>VLOOKUP(all[[#This Row],[DEVELOPMENT]],Data[],MATCH(all[[#Headers],[PROGRAM]],Data[#Headers],0),FALSE)</f>
        <v>FEDERAL</v>
      </c>
      <c r="D283" t="str">
        <f>VLOOKUP(B283,Data[],2,FALSE)</f>
        <v>BROOKLYN</v>
      </c>
      <c r="E283">
        <f>VLOOKUP(all[[#This Row],[DEVELOPMENT]],Data[],65,FALSE)</f>
        <v>55</v>
      </c>
      <c r="F283" t="e">
        <f>VLOOKUP(all[[#This Row],[DEVELOPMENT]],Data[],3,FALSE)</f>
        <v>#N/A</v>
      </c>
      <c r="G283" s="107" t="s">
        <v>185</v>
      </c>
      <c r="H283" t="s">
        <v>184</v>
      </c>
      <c r="I283">
        <f>VLOOKUP(all[[#This Row],[DEVELOPMENT]],Data[],34,FALSE)</f>
        <v>0</v>
      </c>
      <c r="J283" t="s">
        <v>184</v>
      </c>
      <c r="K283">
        <f>VLOOKUP(B283,Data[],8,FALSE)</f>
        <v>0</v>
      </c>
      <c r="L283" t="str">
        <f>VLOOKUP(all[[#This Row],[DEVELOPMENT]],Data[],61,FALSE)</f>
        <v>No</v>
      </c>
      <c r="M283">
        <f>VLOOKUP(B283,Data[],9,FALSE)</f>
        <v>0</v>
      </c>
      <c r="N283">
        <v>4</v>
      </c>
      <c r="O283" t="s">
        <v>185</v>
      </c>
      <c r="P283" t="str">
        <f ca="1">IFERROR(VLOOKUP(B283,Data[],4,FALSE),"")</f>
        <v>2020-2021</v>
      </c>
      <c r="Q283" t="str">
        <f ca="1">IF(all[[#This Row],[RAD/PACT]]="","",IF(OR(all[[#This Row],[RAD/PACT]]="2021-2025",all[[#This Row],[RAD/PACT]]="2019-2020"),"Yes",""))</f>
        <v/>
      </c>
      <c r="R283">
        <f>VLOOKUP(all[[#This Row],[DEVELOPMENT]],Data[],7,FALSE)</f>
        <v>155</v>
      </c>
      <c r="S283">
        <f>VLOOKUP(all[[#This Row],[DEVELOPMENT]],Data[],25,FALSE)</f>
        <v>0</v>
      </c>
      <c r="T283">
        <f>VLOOKUP(all[[#This Row],[DEVELOPMENT]],Data[],5,FALSE)</f>
        <v>8</v>
      </c>
      <c r="U283">
        <f>VLOOKUP(all[[#This Row],[DEVELOPMENT]],Data[],10,FALSE)</f>
        <v>8</v>
      </c>
      <c r="V283">
        <f>VLOOKUP(all[[#This Row],[DEVELOPMENT]],Data[],10,FALSE)</f>
        <v>8</v>
      </c>
      <c r="W283">
        <f>VLOOKUP(all[[#This Row],[DEVELOPMENT]],Data[],33,FALSE)</f>
        <v>0</v>
      </c>
      <c r="X283">
        <f>VLOOKUP(all[[#This Row],[DEVELOPMENT]],Data[],33,FALSE)</f>
        <v>0</v>
      </c>
      <c r="Y283">
        <f>VLOOKUP(all[[#This Row],[DEVELOPMENT]],Data[],28,FALSE)</f>
        <v>0</v>
      </c>
      <c r="Z283">
        <f>IF(all[[#This Row],['# Bulk Crushers]]=0,1,0)</f>
        <v>1</v>
      </c>
      <c r="AA283" s="5">
        <f ca="1">IFERROR(INDEX(FWD[],MATCH($B283,FWD[DEVELOPMENT],0),MATCH("ESTIMATE",FWD[#Headers],0)),0)</f>
        <v>266404.07184611604</v>
      </c>
      <c r="AB283" s="5">
        <f ca="1">IFERROR(INDEX(EHDAll[],MATCH($B283,EHDAll[DEVELOPMENT],0),MATCH("ESTIMATE",EHDAll[#Headers],0)),0)</f>
        <v>69895.048900000009</v>
      </c>
      <c r="AC283" s="5">
        <f ca="1">IFERROR(INDEX(IntAll[],MATCH($B283,IntAll[DEVELOPMENT],0),MATCH("ESTIMATE",IntAll[#Headers],0)),0)</f>
        <v>0</v>
      </c>
      <c r="AD283" s="5">
        <f ca="1">IFERROR(INDEX(YardsAll[],MATCH($B283,YardsAll[DEVELOPMENT],0),MATCH("TOTAL ESTIMATE",YardsAll[#Headers],0)),0)</f>
        <v>0</v>
      </c>
      <c r="AE283" s="99">
        <f t="shared" ca="1" si="4"/>
        <v>336299.12074611604</v>
      </c>
      <c r="AF283" s="5"/>
    </row>
    <row r="284" spans="1:32">
      <c r="A284" s="101">
        <f>VLOOKUP(B284,Data[],24,FALSE)</f>
        <v>234</v>
      </c>
      <c r="B284" t="s">
        <v>370</v>
      </c>
      <c r="C284" t="str">
        <f>VLOOKUP(all[[#This Row],[DEVELOPMENT]],Data[],MATCH(all[[#Headers],[PROGRAM]],Data[#Headers],0),FALSE)</f>
        <v>FEDERAL</v>
      </c>
      <c r="D284" t="str">
        <f>VLOOKUP(B284,Data[],2,FALSE)</f>
        <v>BROOKLYN</v>
      </c>
      <c r="E284">
        <f>VLOOKUP(all[[#This Row],[DEVELOPMENT]],Data[],65,FALSE)</f>
        <v>50</v>
      </c>
      <c r="F284" t="e">
        <f>VLOOKUP(all[[#This Row],[DEVELOPMENT]],Data[],3,FALSE)</f>
        <v>#N/A</v>
      </c>
      <c r="G284" s="107" t="s">
        <v>185</v>
      </c>
      <c r="H284" t="s">
        <v>184</v>
      </c>
      <c r="I284">
        <f>VLOOKUP(all[[#This Row],[DEVELOPMENT]],Data[],34,FALSE)</f>
        <v>0</v>
      </c>
      <c r="J284" t="s">
        <v>184</v>
      </c>
      <c r="K284">
        <f>VLOOKUP(B284,Data[],8,FALSE)</f>
        <v>0</v>
      </c>
      <c r="L284" t="str">
        <f>VLOOKUP(all[[#This Row],[DEVELOPMENT]],Data[],61,FALSE)</f>
        <v>No</v>
      </c>
      <c r="M284">
        <f>VLOOKUP(B284,Data[],9,FALSE)</f>
        <v>0</v>
      </c>
      <c r="N284">
        <v>3</v>
      </c>
      <c r="O284">
        <v>4</v>
      </c>
      <c r="P284" t="str">
        <f ca="1">IFERROR(VLOOKUP(B284,Data[],4,FALSE),"")</f>
        <v/>
      </c>
      <c r="Q284" t="str">
        <f ca="1">IF(all[[#This Row],[RAD/PACT]]="","",IF(OR(all[[#This Row],[RAD/PACT]]="2021-2025",all[[#This Row],[RAD/PACT]]="2019-2020"),"Yes",""))</f>
        <v/>
      </c>
      <c r="R284">
        <f>VLOOKUP(all[[#This Row],[DEVELOPMENT]],Data[],7,FALSE)</f>
        <v>525</v>
      </c>
      <c r="S284" t="str">
        <f>VLOOKUP(all[[#This Row],[DEVELOPMENT]],Data[],25,FALSE)</f>
        <v>Newtown Creek</v>
      </c>
      <c r="T284">
        <f>VLOOKUP(all[[#This Row],[DEVELOPMENT]],Data[],5,FALSE)</f>
        <v>5</v>
      </c>
      <c r="U284">
        <f>VLOOKUP(all[[#This Row],[DEVELOPMENT]],Data[],10,FALSE)</f>
        <v>5</v>
      </c>
      <c r="V284">
        <f>VLOOKUP(all[[#This Row],[DEVELOPMENT]],Data[],10,FALSE)</f>
        <v>5</v>
      </c>
      <c r="W284">
        <f>VLOOKUP(all[[#This Row],[DEVELOPMENT]],Data[],33,FALSE)</f>
        <v>2</v>
      </c>
      <c r="X284">
        <f>VLOOKUP(all[[#This Row],[DEVELOPMENT]],Data[],33,FALSE)</f>
        <v>2</v>
      </c>
      <c r="Y284">
        <f>VLOOKUP(all[[#This Row],[DEVELOPMENT]],Data[],28,FALSE)</f>
        <v>0</v>
      </c>
      <c r="Z284">
        <f>IF(all[[#This Row],['# Bulk Crushers]]=0,1,0)</f>
        <v>1</v>
      </c>
      <c r="AA284" s="5">
        <f ca="1">IFERROR(INDEX(FWD[],MATCH($B284,FWD[DEVELOPMENT],0),MATCH("ESTIMATE",FWD[#Headers],0)),0)</f>
        <v>902336.37238200591</v>
      </c>
      <c r="AB284" s="5">
        <f ca="1">IFERROR(INDEX(EHDAll[],MATCH($B284,EHDAll[DEVELOPMENT],0),MATCH("ESTIMATE",EHDAll[#Headers],0)),0)</f>
        <v>43684.405562500004</v>
      </c>
      <c r="AC284" s="5">
        <f ca="1">IFERROR(INDEX(IntAll[],MATCH($B284,IntAll[DEVELOPMENT],0),MATCH("ESTIMATE",IntAll[#Headers],0)),0)</f>
        <v>370639.0625</v>
      </c>
      <c r="AD284" s="5">
        <f ca="1">IFERROR(INDEX(YardsAll[],MATCH($B284,YardsAll[DEVELOPMENT],0),MATCH("TOTAL ESTIMATE",YardsAll[#Headers],0)),0)</f>
        <v>2586149.0131200007</v>
      </c>
      <c r="AE284" s="99">
        <f t="shared" ca="1" si="4"/>
        <v>3902808.8535645064</v>
      </c>
      <c r="AF284" s="5"/>
    </row>
    <row r="285" spans="1:32">
      <c r="A285" s="101">
        <f>VLOOKUP(B285,Data[],24,FALSE)</f>
        <v>223</v>
      </c>
      <c r="B285" t="s">
        <v>149</v>
      </c>
      <c r="C285" t="str">
        <f>VLOOKUP(all[[#This Row],[DEVELOPMENT]],Data[],MATCH(all[[#Headers],[PROGRAM]],Data[#Headers],0),FALSE)</f>
        <v>FEDERAL</v>
      </c>
      <c r="D285" t="str">
        <f>VLOOKUP(B285,Data[],2,FALSE)</f>
        <v>BRONX</v>
      </c>
      <c r="E285">
        <f>VLOOKUP(all[[#This Row],[DEVELOPMENT]],Data[],65,FALSE)</f>
        <v>77</v>
      </c>
      <c r="F285" t="e">
        <f>VLOOKUP(all[[#This Row],[DEVELOPMENT]],Data[],3,FALSE)</f>
        <v>#N/A</v>
      </c>
      <c r="G285" s="107" t="s">
        <v>185</v>
      </c>
      <c r="H285" t="s">
        <v>184</v>
      </c>
      <c r="I285">
        <f>VLOOKUP(all[[#This Row],[DEVELOPMENT]],Data[],34,FALSE)</f>
        <v>0</v>
      </c>
      <c r="J285" t="s">
        <v>184</v>
      </c>
      <c r="K285" t="str">
        <f>VLOOKUP(B285,Data[],8,FALSE)</f>
        <v>Zone 1</v>
      </c>
      <c r="L285" t="str">
        <f>VLOOKUP(all[[#This Row],[DEVELOPMENT]],Data[],61,FALSE)</f>
        <v>No</v>
      </c>
      <c r="M285">
        <f>VLOOKUP(B285,Data[],9,FALSE)</f>
        <v>4</v>
      </c>
      <c r="N285">
        <v>3</v>
      </c>
      <c r="O285" t="s">
        <v>185</v>
      </c>
      <c r="P285" t="str">
        <f ca="1">IFERROR(VLOOKUP(B285,Data[],4,FALSE),"")</f>
        <v>2022-2025</v>
      </c>
      <c r="Q285" t="str">
        <f ca="1">IF(all[[#This Row],[RAD/PACT]]="","",IF(OR(all[[#This Row],[RAD/PACT]]="2021-2025",all[[#This Row],[RAD/PACT]]="2019-2020"),"Yes",""))</f>
        <v/>
      </c>
      <c r="R285">
        <f>VLOOKUP(all[[#This Row],[DEVELOPMENT]],Data[],7,FALSE)</f>
        <v>90</v>
      </c>
      <c r="S285">
        <f>VLOOKUP(all[[#This Row],[DEVELOPMENT]],Data[],25,FALSE)</f>
        <v>0</v>
      </c>
      <c r="T285">
        <f>VLOOKUP(all[[#This Row],[DEVELOPMENT]],Data[],5,FALSE)</f>
        <v>1</v>
      </c>
      <c r="U285">
        <f>VLOOKUP(all[[#This Row],[DEVELOPMENT]],Data[],10,FALSE)</f>
        <v>2</v>
      </c>
      <c r="V285">
        <f>VLOOKUP(all[[#This Row],[DEVELOPMENT]],Data[],10,FALSE)</f>
        <v>2</v>
      </c>
      <c r="W285">
        <f>VLOOKUP(all[[#This Row],[DEVELOPMENT]],Data[],33,FALSE)</f>
        <v>1</v>
      </c>
      <c r="X285">
        <f>VLOOKUP(all[[#This Row],[DEVELOPMENT]],Data[],33,FALSE)</f>
        <v>1</v>
      </c>
      <c r="Y285">
        <f>VLOOKUP(all[[#This Row],[DEVELOPMENT]],Data[],28,FALSE)</f>
        <v>0</v>
      </c>
      <c r="Z285">
        <f>IF(all[[#This Row],['# Bulk Crushers]]=0,1,0)</f>
        <v>1</v>
      </c>
      <c r="AA285" s="5">
        <f ca="1">IFERROR(INDEX(FWD[],MATCH($B285,FWD[DEVELOPMENT],0),MATCH("ESTIMATE",FWD[#Headers],0)),0)</f>
        <v>154686.23526548673</v>
      </c>
      <c r="AB285" s="5">
        <f ca="1">IFERROR(INDEX(EHDAll[],MATCH($B285,EHDAll[DEVELOPMENT],0),MATCH("ESTIMATE",EHDAll[#Headers],0)),0)</f>
        <v>14871.287</v>
      </c>
      <c r="AC285" s="5">
        <f ca="1">IFERROR(INDEX(IntAll[],MATCH($B285,IntAll[DEVELOPMENT],0),MATCH("ESTIMATE",IntAll[#Headers],0)),0)</f>
        <v>0</v>
      </c>
      <c r="AD285" s="5">
        <f ca="1">IFERROR(INDEX(YardsAll[],MATCH($B285,YardsAll[DEVELOPMENT],0),MATCH("TOTAL ESTIMATE",YardsAll[#Headers],0)),0)</f>
        <v>0</v>
      </c>
      <c r="AE285" s="99">
        <f t="shared" ca="1" si="4"/>
        <v>169557.52226548674</v>
      </c>
      <c r="AF285" s="5"/>
    </row>
    <row r="286" spans="1:32">
      <c r="A286" s="101">
        <f>VLOOKUP(B286,Data[],24,FALSE)</f>
        <v>268</v>
      </c>
      <c r="B286" t="s">
        <v>371</v>
      </c>
      <c r="C286" t="str">
        <f>VLOOKUP(all[[#This Row],[DEVELOPMENT]],Data[],MATCH(all[[#Headers],[PROGRAM]],Data[#Headers],0),FALSE)</f>
        <v>FEDERAL</v>
      </c>
      <c r="D286" t="str">
        <f>VLOOKUP(B286,Data[],2,FALSE)</f>
        <v>MANHATTAN</v>
      </c>
      <c r="E286">
        <f>VLOOKUP(all[[#This Row],[DEVELOPMENT]],Data[],65,FALSE)</f>
        <v>69</v>
      </c>
      <c r="F286" t="e">
        <f>VLOOKUP(all[[#This Row],[DEVELOPMENT]],Data[],3,FALSE)</f>
        <v>#N/A</v>
      </c>
      <c r="G286" s="107" t="s">
        <v>185</v>
      </c>
      <c r="H286" t="s">
        <v>184</v>
      </c>
      <c r="I286">
        <f>VLOOKUP(all[[#This Row],[DEVELOPMENT]],Data[],34,FALSE)</f>
        <v>0</v>
      </c>
      <c r="J286" t="s">
        <v>184</v>
      </c>
      <c r="K286" t="str">
        <f>VLOOKUP(B286,Data[],8,FALSE)</f>
        <v>Zone 4</v>
      </c>
      <c r="L286" t="str">
        <f>VLOOKUP(all[[#This Row],[DEVELOPMENT]],Data[],61,FALSE)</f>
        <v>No</v>
      </c>
      <c r="M286">
        <f>VLOOKUP(B286,Data[],9,FALSE)</f>
        <v>0</v>
      </c>
      <c r="N286" t="s">
        <v>185</v>
      </c>
      <c r="O286" s="105" t="s">
        <v>185</v>
      </c>
      <c r="P286" t="str">
        <f ca="1">IFERROR(VLOOKUP(B286,Data[],4,FALSE),"")</f>
        <v/>
      </c>
      <c r="Q286" t="str">
        <f ca="1">IF(all[[#This Row],[RAD/PACT]]="","",IF(OR(all[[#This Row],[RAD/PACT]]="2021-2025",all[[#This Row],[RAD/PACT]]="2019-2020"),"Yes",""))</f>
        <v/>
      </c>
      <c r="R286">
        <f>VLOOKUP(all[[#This Row],[DEVELOPMENT]],Data[],7,FALSE)</f>
        <v>87</v>
      </c>
      <c r="S286">
        <f>VLOOKUP(all[[#This Row],[DEVELOPMENT]],Data[],25,FALSE)</f>
        <v>0</v>
      </c>
      <c r="T286">
        <f>VLOOKUP(all[[#This Row],[DEVELOPMENT]],Data[],5,FALSE)</f>
        <v>1</v>
      </c>
      <c r="U286">
        <f>VLOOKUP(all[[#This Row],[DEVELOPMENT]],Data[],10,FALSE)</f>
        <v>0</v>
      </c>
      <c r="V286">
        <f>VLOOKUP(all[[#This Row],[DEVELOPMENT]],Data[],10,FALSE)</f>
        <v>0</v>
      </c>
      <c r="W286">
        <f>VLOOKUP(all[[#This Row],[DEVELOPMENT]],Data[],33,FALSE)</f>
        <v>0</v>
      </c>
      <c r="X286">
        <f>VLOOKUP(all[[#This Row],[DEVELOPMENT]],Data[],33,FALSE)</f>
        <v>0</v>
      </c>
      <c r="Y286">
        <f>VLOOKUP(all[[#This Row],[DEVELOPMENT]],Data[],28,FALSE)</f>
        <v>0</v>
      </c>
      <c r="Z286">
        <f>IF(all[[#This Row],['# Bulk Crushers]]=0,1,0)</f>
        <v>1</v>
      </c>
      <c r="AA286" s="5">
        <f ca="1">IFERROR(INDEX(FWD[],MATCH($B286,FWD[DEVELOPMENT],0),MATCH("ESTIMATE",FWD[#Headers],0)),0)</f>
        <v>149530.02742330384</v>
      </c>
      <c r="AB286" s="5">
        <f ca="1">IFERROR(INDEX(EHDAll[],MATCH($B286,EHDAll[DEVELOPMENT],0),MATCH("ESTIMATE",EHDAll[#Headers],0)),0)</f>
        <v>8997.1286349999991</v>
      </c>
      <c r="AC286" s="5">
        <f ca="1">IFERROR(INDEX(IntAll[],MATCH($B286,IntAll[DEVELOPMENT],0),MATCH("ESTIMATE",IntAll[#Headers],0)),0)</f>
        <v>0</v>
      </c>
      <c r="AD286" s="5">
        <f ca="1">IFERROR(INDEX(YardsAll[],MATCH($B286,YardsAll[DEVELOPMENT],0),MATCH("TOTAL ESTIMATE",YardsAll[#Headers],0)),0)</f>
        <v>0</v>
      </c>
      <c r="AE286" s="99">
        <f t="shared" ca="1" si="4"/>
        <v>158527.15605830384</v>
      </c>
      <c r="AF286" s="5"/>
    </row>
    <row r="287" spans="1:32">
      <c r="A287" s="101">
        <f>VLOOKUP(B287,Data[],24,FALSE)</f>
        <v>131</v>
      </c>
      <c r="B287" t="s">
        <v>46</v>
      </c>
      <c r="C287" t="str">
        <f>VLOOKUP(all[[#This Row],[DEVELOPMENT]],Data[],MATCH(all[[#Headers],[PROGRAM]],Data[#Headers],0),FALSE)</f>
        <v>FEDERAL</v>
      </c>
      <c r="D287" t="str">
        <f>VLOOKUP(B287,Data[],2,FALSE)</f>
        <v>BROOKLYN</v>
      </c>
      <c r="E287">
        <f>VLOOKUP(all[[#This Row],[DEVELOPMENT]],Data[],65,FALSE)</f>
        <v>56</v>
      </c>
      <c r="F287" t="e">
        <f>VLOOKUP(all[[#This Row],[DEVELOPMENT]],Data[],3,FALSE)</f>
        <v>#N/A</v>
      </c>
      <c r="G287" s="107" t="s">
        <v>185</v>
      </c>
      <c r="H287" t="s">
        <v>184</v>
      </c>
      <c r="I287">
        <f>VLOOKUP(all[[#This Row],[DEVELOPMENT]],Data[],34,FALSE)</f>
        <v>0</v>
      </c>
      <c r="J287" t="s">
        <v>184</v>
      </c>
      <c r="K287" t="str">
        <f>VLOOKUP(B287,Data[],8,FALSE)</f>
        <v>Zone 1</v>
      </c>
      <c r="L287" t="str">
        <f>VLOOKUP(all[[#This Row],[DEVELOPMENT]],Data[],61,FALSE)</f>
        <v>Yes</v>
      </c>
      <c r="M287">
        <f>VLOOKUP(B287,Data[],9,FALSE)</f>
        <v>4</v>
      </c>
      <c r="N287">
        <v>3</v>
      </c>
      <c r="O287" t="s">
        <v>185</v>
      </c>
      <c r="P287" t="str">
        <f ca="1">IFERROR(VLOOKUP(B287,Data[],4,FALSE),"")</f>
        <v>2026+</v>
      </c>
      <c r="Q287" t="str">
        <f ca="1">IF(all[[#This Row],[RAD/PACT]]="","",IF(OR(all[[#This Row],[RAD/PACT]]="2021-2025",all[[#This Row],[RAD/PACT]]="2019-2020"),"Yes",""))</f>
        <v/>
      </c>
      <c r="R287">
        <f>VLOOKUP(all[[#This Row],[DEVELOPMENT]],Data[],7,FALSE)</f>
        <v>1045</v>
      </c>
      <c r="S287" t="str">
        <f>VLOOKUP(all[[#This Row],[DEVELOPMENT]],Data[],25,FALSE)</f>
        <v>Newtown Creek</v>
      </c>
      <c r="T287">
        <f>VLOOKUP(all[[#This Row],[DEVELOPMENT]],Data[],5,FALSE)</f>
        <v>8</v>
      </c>
      <c r="U287">
        <f>VLOOKUP(all[[#This Row],[DEVELOPMENT]],Data[],10,FALSE)</f>
        <v>12</v>
      </c>
      <c r="V287">
        <f>VLOOKUP(all[[#This Row],[DEVELOPMENT]],Data[],10,FALSE)</f>
        <v>12</v>
      </c>
      <c r="W287">
        <f>VLOOKUP(all[[#This Row],[DEVELOPMENT]],Data[],33,FALSE)</f>
        <v>2</v>
      </c>
      <c r="X287">
        <f>VLOOKUP(all[[#This Row],[DEVELOPMENT]],Data[],33,FALSE)</f>
        <v>2</v>
      </c>
      <c r="Y287">
        <f>VLOOKUP(all[[#This Row],[DEVELOPMENT]],Data[],28,FALSE)</f>
        <v>0</v>
      </c>
      <c r="Z287">
        <f>IF(all[[#This Row],['# Bulk Crushers]]=0,1,0)</f>
        <v>1</v>
      </c>
      <c r="AA287" s="5">
        <f ca="1">IFERROR(INDEX(FWD[],MATCH($B287,FWD[DEVELOPMENT],0),MATCH("ESTIMATE",FWD[#Headers],0)),0)</f>
        <v>1796079.0650270404</v>
      </c>
      <c r="AB287" s="5">
        <f>IFERROR(INDEX(EHDAll[],MATCH($B287,EHDAll[DEVELOPMENT],0),MATCH("ESTIMATE",EHDAll[#Headers],0)),0)</f>
        <v>0</v>
      </c>
      <c r="AC287" s="5">
        <f ca="1">IFERROR(INDEX(IntAll[],MATCH($B287,IntAll[DEVELOPMENT],0),MATCH("ESTIMATE",IntAll[#Headers],0)),0)</f>
        <v>538903</v>
      </c>
      <c r="AD287" s="5">
        <f ca="1">IFERROR(INDEX(YardsAll[],MATCH($B287,YardsAll[DEVELOPMENT],0),MATCH("TOTAL ESTIMATE",YardsAll[#Headers],0)),0)</f>
        <v>1696018.4953665005</v>
      </c>
      <c r="AE287" s="99">
        <f t="shared" ca="1" si="4"/>
        <v>4031000.5603935411</v>
      </c>
      <c r="AF287" s="5"/>
    </row>
    <row r="288" spans="1:32">
      <c r="A288" s="101">
        <f>VLOOKUP(B288,Data[],24,FALSE)</f>
        <v>342</v>
      </c>
      <c r="B288" t="s">
        <v>98</v>
      </c>
      <c r="C288" t="str">
        <f>VLOOKUP(all[[#This Row],[DEVELOPMENT]],Data[],MATCH(all[[#Headers],[PROGRAM]],Data[#Headers],0),FALSE)</f>
        <v>FEDERAL</v>
      </c>
      <c r="D288" t="str">
        <f>VLOOKUP(B288,Data[],2,FALSE)</f>
        <v>BRONX</v>
      </c>
      <c r="E288">
        <f>VLOOKUP(all[[#This Row],[DEVELOPMENT]],Data[],65,FALSE)</f>
        <v>79</v>
      </c>
      <c r="F288" t="e">
        <f>VLOOKUP(all[[#This Row],[DEVELOPMENT]],Data[],3,FALSE)</f>
        <v>#N/A</v>
      </c>
      <c r="G288" s="107" t="s">
        <v>185</v>
      </c>
      <c r="H288" t="s">
        <v>184</v>
      </c>
      <c r="I288">
        <f>VLOOKUP(all[[#This Row],[DEVELOPMENT]],Data[],34,FALSE)</f>
        <v>0</v>
      </c>
      <c r="J288" t="s">
        <v>184</v>
      </c>
      <c r="K288" t="str">
        <f>VLOOKUP(B288,Data[],8,FALSE)</f>
        <v>Zone 3</v>
      </c>
      <c r="L288" t="str">
        <f>VLOOKUP(all[[#This Row],[DEVELOPMENT]],Data[],61,FALSE)</f>
        <v>No</v>
      </c>
      <c r="M288">
        <f>VLOOKUP(B288,Data[],9,FALSE)</f>
        <v>4</v>
      </c>
      <c r="N288">
        <v>2</v>
      </c>
      <c r="O288">
        <v>4</v>
      </c>
      <c r="P288" t="str">
        <f ca="1">IFERROR(VLOOKUP(B288,Data[],4,FALSE),"")</f>
        <v>2026+</v>
      </c>
      <c r="Q288" t="str">
        <f ca="1">IF(all[[#This Row],[RAD/PACT]]="","",IF(OR(all[[#This Row],[RAD/PACT]]="2021-2025",all[[#This Row],[RAD/PACT]]="2019-2020"),"Yes",""))</f>
        <v/>
      </c>
      <c r="R288">
        <f>VLOOKUP(all[[#This Row],[DEVELOPMENT]],Data[],7,FALSE)</f>
        <v>199</v>
      </c>
      <c r="S288">
        <f>VLOOKUP(all[[#This Row],[DEVELOPMENT]],Data[],25,FALSE)</f>
        <v>0</v>
      </c>
      <c r="T288">
        <f>VLOOKUP(all[[#This Row],[DEVELOPMENT]],Data[],5,FALSE)</f>
        <v>1</v>
      </c>
      <c r="U288">
        <f>VLOOKUP(all[[#This Row],[DEVELOPMENT]],Data[],10,FALSE)</f>
        <v>1</v>
      </c>
      <c r="V288">
        <f>VLOOKUP(all[[#This Row],[DEVELOPMENT]],Data[],10,FALSE)</f>
        <v>1</v>
      </c>
      <c r="W288">
        <f>VLOOKUP(all[[#This Row],[DEVELOPMENT]],Data[],33,FALSE)</f>
        <v>0</v>
      </c>
      <c r="X288">
        <f>VLOOKUP(all[[#This Row],[DEVELOPMENT]],Data[],33,FALSE)</f>
        <v>0</v>
      </c>
      <c r="Y288">
        <f>VLOOKUP(all[[#This Row],[DEVELOPMENT]],Data[],28,FALSE)</f>
        <v>0</v>
      </c>
      <c r="Z288">
        <f>IF(all[[#This Row],['# Bulk Crushers]]=0,1,0)</f>
        <v>1</v>
      </c>
      <c r="AA288" s="5">
        <f ca="1">IFERROR(INDEX(FWD[],MATCH($B288,FWD[DEVELOPMENT],0),MATCH("ESTIMATE",FWD[#Headers],0)),0)</f>
        <v>342028.45353146509</v>
      </c>
      <c r="AB288" s="5">
        <f>IFERROR(INDEX(EHDAll[],MATCH($B288,EHDAll[DEVELOPMENT],0),MATCH("ESTIMATE",EHDAll[#Headers],0)),0)</f>
        <v>0</v>
      </c>
      <c r="AC288" s="5">
        <f ca="1">IFERROR(INDEX(IntAll[],MATCH($B288,IntAll[DEVELOPMENT],0),MATCH("ESTIMATE",IntAll[#Headers],0)),0)</f>
        <v>63087.5</v>
      </c>
      <c r="AD288" s="5">
        <f ca="1">IFERROR(INDEX(YardsAll[],MATCH($B288,YardsAll[DEVELOPMENT],0),MATCH("TOTAL ESTIMATE",YardsAll[#Headers],0)),0)</f>
        <v>2187130.3623400005</v>
      </c>
      <c r="AE288" s="99">
        <f t="shared" ca="1" si="4"/>
        <v>2592246.3158714655</v>
      </c>
      <c r="AF288" s="5"/>
    </row>
    <row r="289" spans="1:32">
      <c r="A289" s="101">
        <f>VLOOKUP(B289,Data[],24,FALSE)</f>
        <v>356</v>
      </c>
      <c r="B289" t="s">
        <v>99</v>
      </c>
      <c r="C289" t="str">
        <f>VLOOKUP(all[[#This Row],[DEVELOPMENT]],Data[],MATCH(all[[#Headers],[PROGRAM]],Data[#Headers],0),FALSE)</f>
        <v>FEDERAL</v>
      </c>
      <c r="D289" t="str">
        <f>VLOOKUP(B289,Data[],2,FALSE)</f>
        <v>BRONX</v>
      </c>
      <c r="E289">
        <f>VLOOKUP(all[[#This Row],[DEVELOPMENT]],Data[],65,FALSE)</f>
        <v>79</v>
      </c>
      <c r="F289" t="e">
        <f>VLOOKUP(all[[#This Row],[DEVELOPMENT]],Data[],3,FALSE)</f>
        <v>#N/A</v>
      </c>
      <c r="G289" s="107" t="s">
        <v>185</v>
      </c>
      <c r="H289" t="s">
        <v>184</v>
      </c>
      <c r="I289">
        <f>VLOOKUP(all[[#This Row],[DEVELOPMENT]],Data[],34,FALSE)</f>
        <v>0</v>
      </c>
      <c r="J289" t="s">
        <v>184</v>
      </c>
      <c r="K289" t="str">
        <f>VLOOKUP(B289,Data[],8,FALSE)</f>
        <v>Zone 3</v>
      </c>
      <c r="L289" t="str">
        <f>VLOOKUP(all[[#This Row],[DEVELOPMENT]],Data[],61,FALSE)</f>
        <v>No</v>
      </c>
      <c r="M289">
        <f>VLOOKUP(B289,Data[],9,FALSE)</f>
        <v>4</v>
      </c>
      <c r="N289">
        <v>3</v>
      </c>
      <c r="O289" t="s">
        <v>185</v>
      </c>
      <c r="P289" t="str">
        <f ca="1">IFERROR(VLOOKUP(B289,Data[],4,FALSE),"")</f>
        <v>2026+</v>
      </c>
      <c r="Q289" t="str">
        <f ca="1">IF(all[[#This Row],[RAD/PACT]]="","",IF(OR(all[[#This Row],[RAD/PACT]]="2021-2025",all[[#This Row],[RAD/PACT]]="2019-2020"),"Yes",""))</f>
        <v/>
      </c>
      <c r="R289">
        <f>VLOOKUP(all[[#This Row],[DEVELOPMENT]],Data[],7,FALSE)</f>
        <v>120</v>
      </c>
      <c r="S289">
        <f>VLOOKUP(all[[#This Row],[DEVELOPMENT]],Data[],25,FALSE)</f>
        <v>0</v>
      </c>
      <c r="T289">
        <f>VLOOKUP(all[[#This Row],[DEVELOPMENT]],Data[],5,FALSE)</f>
        <v>6</v>
      </c>
      <c r="U289">
        <f>VLOOKUP(all[[#This Row],[DEVELOPMENT]],Data[],10,FALSE)</f>
        <v>0</v>
      </c>
      <c r="V289">
        <f>VLOOKUP(all[[#This Row],[DEVELOPMENT]],Data[],10,FALSE)</f>
        <v>0</v>
      </c>
      <c r="W289">
        <f>VLOOKUP(all[[#This Row],[DEVELOPMENT]],Data[],33,FALSE)</f>
        <v>1</v>
      </c>
      <c r="X289">
        <f>VLOOKUP(all[[#This Row],[DEVELOPMENT]],Data[],33,FALSE)</f>
        <v>1</v>
      </c>
      <c r="Y289">
        <f>VLOOKUP(all[[#This Row],[DEVELOPMENT]],Data[],28,FALSE)</f>
        <v>0</v>
      </c>
      <c r="Z289">
        <f>IF(all[[#This Row],['# Bulk Crushers]]=0,1,0)</f>
        <v>1</v>
      </c>
      <c r="AA289" s="5">
        <f ca="1">IFERROR(INDEX(FWD[],MATCH($B289,FWD[DEVELOPMENT],0),MATCH("ESTIMATE",FWD[#Headers],0)),0)</f>
        <v>206248.31368731565</v>
      </c>
      <c r="AB289" s="5">
        <f ca="1">IFERROR(INDEX(EHDAll[],MATCH($B289,EHDAll[DEVELOPMENT],0),MATCH("ESTIMATE",EHDAll[#Headers],0)),0)</f>
        <v>0</v>
      </c>
      <c r="AC289" s="5">
        <f ca="1">IFERROR(INDEX(IntAll[],MATCH($B289,IntAll[DEVELOPMENT],0),MATCH("ESTIMATE",IntAll[#Headers],0)),0)</f>
        <v>0</v>
      </c>
      <c r="AD289" s="5">
        <f ca="1">IFERROR(INDEX(YardsAll[],MATCH($B289,YardsAll[DEVELOPMENT],0),MATCH("TOTAL ESTIMATE",YardsAll[#Headers],0)),0)</f>
        <v>2250394.4637300009</v>
      </c>
      <c r="AE289" s="99">
        <f t="shared" ca="1" si="4"/>
        <v>2456642.7774173166</v>
      </c>
      <c r="AF289" s="5"/>
    </row>
    <row r="290" spans="1:32">
      <c r="A290" s="101">
        <f>VLOOKUP(B290,Data[],24,FALSE)</f>
        <v>341</v>
      </c>
      <c r="B290" t="s">
        <v>372</v>
      </c>
      <c r="C290" t="str">
        <f>VLOOKUP(all[[#This Row],[DEVELOPMENT]],Data[],MATCH(all[[#Headers],[PROGRAM]],Data[#Headers],0),FALSE)</f>
        <v>FEDERAL</v>
      </c>
      <c r="D290" t="str">
        <f>VLOOKUP(B290,Data[],2,FALSE)</f>
        <v>BRONX</v>
      </c>
      <c r="E290">
        <f>VLOOKUP(all[[#This Row],[DEVELOPMENT]],Data[],65,FALSE)</f>
        <v>86</v>
      </c>
      <c r="F290" t="e">
        <f>VLOOKUP(all[[#This Row],[DEVELOPMENT]],Data[],3,FALSE)</f>
        <v>#N/A</v>
      </c>
      <c r="G290" s="107" t="s">
        <v>185</v>
      </c>
      <c r="H290" t="s">
        <v>184</v>
      </c>
      <c r="I290">
        <f>VLOOKUP(all[[#This Row],[DEVELOPMENT]],Data[],34,FALSE)</f>
        <v>0</v>
      </c>
      <c r="J290" t="s">
        <v>184</v>
      </c>
      <c r="K290">
        <f>VLOOKUP(B290,Data[],8,FALSE)</f>
        <v>0</v>
      </c>
      <c r="L290" t="str">
        <f>VLOOKUP(all[[#This Row],[DEVELOPMENT]],Data[],61,FALSE)</f>
        <v>No</v>
      </c>
      <c r="M290">
        <f>VLOOKUP(B290,Data[],9,FALSE)</f>
        <v>0</v>
      </c>
      <c r="N290">
        <v>3</v>
      </c>
      <c r="O290" t="s">
        <v>185</v>
      </c>
      <c r="P290" t="str">
        <f ca="1">IFERROR(VLOOKUP(B290,Data[],4,FALSE),"")</f>
        <v/>
      </c>
      <c r="Q290" t="str">
        <f ca="1">IF(all[[#This Row],[RAD/PACT]]="","",IF(OR(all[[#This Row],[RAD/PACT]]="2021-2025",all[[#This Row],[RAD/PACT]]="2019-2020"),"Yes",""))</f>
        <v/>
      </c>
      <c r="R290">
        <f>VLOOKUP(all[[#This Row],[DEVELOPMENT]],Data[],7,FALSE)</f>
        <v>230</v>
      </c>
      <c r="S290">
        <f>VLOOKUP(all[[#This Row],[DEVELOPMENT]],Data[],25,FALSE)</f>
        <v>0</v>
      </c>
      <c r="T290">
        <f>VLOOKUP(all[[#This Row],[DEVELOPMENT]],Data[],5,FALSE)</f>
        <v>4</v>
      </c>
      <c r="U290">
        <f>VLOOKUP(all[[#This Row],[DEVELOPMENT]],Data[],10,FALSE)</f>
        <v>0</v>
      </c>
      <c r="V290">
        <f>VLOOKUP(all[[#This Row],[DEVELOPMENT]],Data[],10,FALSE)</f>
        <v>0</v>
      </c>
      <c r="W290">
        <f>VLOOKUP(all[[#This Row],[DEVELOPMENT]],Data[],33,FALSE)</f>
        <v>0</v>
      </c>
      <c r="X290">
        <f>VLOOKUP(all[[#This Row],[DEVELOPMENT]],Data[],33,FALSE)</f>
        <v>0</v>
      </c>
      <c r="Y290">
        <f>VLOOKUP(all[[#This Row],[DEVELOPMENT]],Data[],28,FALSE)</f>
        <v>0</v>
      </c>
      <c r="Z290">
        <f>IF(all[[#This Row],['# Bulk Crushers]]=0,1,0)</f>
        <v>1</v>
      </c>
      <c r="AA290" s="5">
        <f ca="1">IFERROR(INDEX(FWD[],MATCH($B290,FWD[DEVELOPMENT],0),MATCH("ESTIMATE",FWD[#Headers],0)),0)</f>
        <v>395309.26790068828</v>
      </c>
      <c r="AB290" s="5">
        <f ca="1">IFERROR(INDEX(EHDAll[],MATCH($B290,EHDAll[DEVELOPMENT],0),MATCH("ESTIMATE",EHDAll[#Headers],0)),0)</f>
        <v>43684.405562500004</v>
      </c>
      <c r="AC290" s="5">
        <f ca="1">IFERROR(INDEX(IntAll[],MATCH($B290,IntAll[DEVELOPMENT],0),MATCH("ESTIMATE",IntAll[#Headers],0)),0)</f>
        <v>0</v>
      </c>
      <c r="AD290" s="5">
        <f ca="1">IFERROR(INDEX(YardsAll[],MATCH($B290,YardsAll[DEVELOPMENT],0),MATCH("TOTAL ESTIMATE",YardsAll[#Headers],0)),0)</f>
        <v>2313658.5651200004</v>
      </c>
      <c r="AE290" s="99">
        <f t="shared" ca="1" si="4"/>
        <v>2752652.2385831885</v>
      </c>
      <c r="AF290" s="5"/>
    </row>
    <row r="291" spans="1:32">
      <c r="A291" s="101">
        <f>VLOOKUP(B291,Data[],24,FALSE)</f>
        <v>343</v>
      </c>
      <c r="B291" t="s">
        <v>126</v>
      </c>
      <c r="C291" t="str">
        <f>VLOOKUP(all[[#This Row],[DEVELOPMENT]],Data[],MATCH(all[[#Headers],[PROGRAM]],Data[#Headers],0),FALSE)</f>
        <v>FEDERAL</v>
      </c>
      <c r="D291" t="str">
        <f>VLOOKUP(B291,Data[],2,FALSE)</f>
        <v>MANHATTAN</v>
      </c>
      <c r="E291">
        <f>VLOOKUP(all[[#This Row],[DEVELOPMENT]],Data[],65,FALSE)</f>
        <v>68</v>
      </c>
      <c r="F291" t="e">
        <f>VLOOKUP(all[[#This Row],[DEVELOPMENT]],Data[],3,FALSE)</f>
        <v>#N/A</v>
      </c>
      <c r="G291" s="107" t="s">
        <v>185</v>
      </c>
      <c r="H291" t="s">
        <v>184</v>
      </c>
      <c r="I291">
        <f>VLOOKUP(all[[#This Row],[DEVELOPMENT]],Data[],34,FALSE)</f>
        <v>0</v>
      </c>
      <c r="J291" t="s">
        <v>184</v>
      </c>
      <c r="K291" t="str">
        <f>VLOOKUP(B291,Data[],8,FALSE)</f>
        <v>Zone 2</v>
      </c>
      <c r="L291" t="str">
        <f>VLOOKUP(all[[#This Row],[DEVELOPMENT]],Data[],61,FALSE)</f>
        <v>No</v>
      </c>
      <c r="M291">
        <f>VLOOKUP(B291,Data[],9,FALSE)</f>
        <v>4</v>
      </c>
      <c r="N291">
        <v>3</v>
      </c>
      <c r="O291">
        <v>4</v>
      </c>
      <c r="P291" t="str">
        <f ca="1">IFERROR(VLOOKUP(B291,Data[],4,FALSE),"")</f>
        <v/>
      </c>
      <c r="Q291" t="str">
        <f ca="1">IF(all[[#This Row],[RAD/PACT]]="","",IF(OR(all[[#This Row],[RAD/PACT]]="2021-2025",all[[#This Row],[RAD/PACT]]="2019-2020"),"Yes",""))</f>
        <v/>
      </c>
      <c r="R291">
        <f>VLOOKUP(all[[#This Row],[DEVELOPMENT]],Data[],7,FALSE)</f>
        <v>179</v>
      </c>
      <c r="S291">
        <f>VLOOKUP(all[[#This Row],[DEVELOPMENT]],Data[],25,FALSE)</f>
        <v>0</v>
      </c>
      <c r="T291">
        <f>VLOOKUP(all[[#This Row],[DEVELOPMENT]],Data[],5,FALSE)</f>
        <v>1</v>
      </c>
      <c r="U291">
        <f>VLOOKUP(all[[#This Row],[DEVELOPMENT]],Data[],10,FALSE)</f>
        <v>1</v>
      </c>
      <c r="V291">
        <f>VLOOKUP(all[[#This Row],[DEVELOPMENT]],Data[],10,FALSE)</f>
        <v>1</v>
      </c>
      <c r="W291">
        <f>VLOOKUP(all[[#This Row],[DEVELOPMENT]],Data[],33,FALSE)</f>
        <v>0</v>
      </c>
      <c r="X291">
        <f>VLOOKUP(all[[#This Row],[DEVELOPMENT]],Data[],33,FALSE)</f>
        <v>0</v>
      </c>
      <c r="Y291">
        <f>VLOOKUP(all[[#This Row],[DEVELOPMENT]],Data[],28,FALSE)</f>
        <v>0</v>
      </c>
      <c r="Z291">
        <f>IF(all[[#This Row],['# Bulk Crushers]]=0,1,0)</f>
        <v>1</v>
      </c>
      <c r="AA291" s="5">
        <f ca="1">IFERROR(INDEX(FWD[],MATCH($B291,FWD[DEVELOPMENT],0),MATCH("ESTIMATE",FWD[#Headers],0)),0)</f>
        <v>307653.73458357918</v>
      </c>
      <c r="AB291" s="5">
        <f>IFERROR(INDEX(EHDAll[],MATCH($B291,EHDAll[DEVELOPMENT],0),MATCH("ESTIMATE",EHDAll[#Headers],0)),0)</f>
        <v>0</v>
      </c>
      <c r="AC291" s="5">
        <f ca="1">IFERROR(INDEX(IntAll[],MATCH($B291,IntAll[DEVELOPMENT],0),MATCH("ESTIMATE",IntAll[#Headers],0)),0)</f>
        <v>71919.750000000015</v>
      </c>
      <c r="AD291" s="5">
        <f ca="1">IFERROR(INDEX(YardsAll[],MATCH($B291,YardsAll[DEVELOPMENT],0),MATCH("TOTAL ESTIMATE",YardsAll[#Headers],0)),0)</f>
        <v>2250394.4637300009</v>
      </c>
      <c r="AE291" s="99">
        <f t="shared" ca="1" si="4"/>
        <v>2629967.9483135799</v>
      </c>
      <c r="AF291" s="5"/>
    </row>
    <row r="292" spans="1:32">
      <c r="A292" s="101">
        <f>VLOOKUP(B292,Data[],24,FALSE)</f>
        <v>61</v>
      </c>
      <c r="B292" t="s">
        <v>373</v>
      </c>
      <c r="C292" t="str">
        <f>VLOOKUP(all[[#This Row],[DEVELOPMENT]],Data[],MATCH(all[[#Headers],[PROGRAM]],Data[#Headers],0),FALSE)</f>
        <v>FEDERAL</v>
      </c>
      <c r="D292" t="str">
        <f>VLOOKUP(B292,Data[],2,FALSE)</f>
        <v>BROOKLYN</v>
      </c>
      <c r="E292">
        <f>VLOOKUP(all[[#This Row],[DEVELOPMENT]],Data[],65,FALSE)</f>
        <v>55</v>
      </c>
      <c r="F292" t="e">
        <f>VLOOKUP(all[[#This Row],[DEVELOPMENT]],Data[],3,FALSE)</f>
        <v>#N/A</v>
      </c>
      <c r="G292" s="107" t="s">
        <v>185</v>
      </c>
      <c r="H292" t="s">
        <v>184</v>
      </c>
      <c r="I292">
        <f>VLOOKUP(all[[#This Row],[DEVELOPMENT]],Data[],34,FALSE)</f>
        <v>0</v>
      </c>
      <c r="J292" t="s">
        <v>184</v>
      </c>
      <c r="K292">
        <f>VLOOKUP(B292,Data[],8,FALSE)</f>
        <v>0</v>
      </c>
      <c r="L292" t="str">
        <f>VLOOKUP(all[[#This Row],[DEVELOPMENT]],Data[],61,FALSE)</f>
        <v>Yes</v>
      </c>
      <c r="M292">
        <f>VLOOKUP(B292,Data[],9,FALSE)</f>
        <v>0</v>
      </c>
      <c r="N292">
        <v>4</v>
      </c>
      <c r="O292">
        <v>4</v>
      </c>
      <c r="P292" t="str">
        <f ca="1">IFERROR(VLOOKUP(B292,Data[],4,FALSE),"")</f>
        <v>2022-2025</v>
      </c>
      <c r="Q292" t="str">
        <f ca="1">IF(all[[#This Row],[RAD/PACT]]="","",IF(OR(all[[#This Row],[RAD/PACT]]="2021-2025",all[[#This Row],[RAD/PACT]]="2019-2020"),"Yes",""))</f>
        <v/>
      </c>
      <c r="R292">
        <f>VLOOKUP(all[[#This Row],[DEVELOPMENT]],Data[],7,FALSE)</f>
        <v>1603</v>
      </c>
      <c r="S292">
        <f>VLOOKUP(all[[#This Row],[DEVELOPMENT]],Data[],25,FALSE)</f>
        <v>0</v>
      </c>
      <c r="T292">
        <f>VLOOKUP(all[[#This Row],[DEVELOPMENT]],Data[],5,FALSE)</f>
        <v>22</v>
      </c>
      <c r="U292">
        <f>VLOOKUP(all[[#This Row],[DEVELOPMENT]],Data[],10,FALSE)</f>
        <v>31</v>
      </c>
      <c r="V292">
        <f>VLOOKUP(all[[#This Row],[DEVELOPMENT]],Data[],10,FALSE)</f>
        <v>31</v>
      </c>
      <c r="W292">
        <f>VLOOKUP(all[[#This Row],[DEVELOPMENT]],Data[],33,FALSE)</f>
        <v>3</v>
      </c>
      <c r="X292">
        <f>VLOOKUP(all[[#This Row],[DEVELOPMENT]],Data[],33,FALSE)</f>
        <v>3</v>
      </c>
      <c r="Y292">
        <f>VLOOKUP(all[[#This Row],[DEVELOPMENT]],Data[],28,FALSE)</f>
        <v>0</v>
      </c>
      <c r="Z292">
        <f>IF(all[[#This Row],['# Bulk Crushers]]=0,1,0)</f>
        <v>1</v>
      </c>
      <c r="AA292" s="5">
        <f ca="1">IFERROR(INDEX(FWD[],MATCH($B292,FWD[DEVELOPMENT],0),MATCH("ESTIMATE",FWD[#Headers],0)),0)</f>
        <v>2755133.7236730582</v>
      </c>
      <c r="AB292" s="5">
        <f ca="1">IFERROR(INDEX(EHDAll[],MATCH($B292,EHDAll[DEVELOPMENT],0),MATCH("ESTIMATE",EHDAll[#Headers],0)),0)</f>
        <v>270843.3144875</v>
      </c>
      <c r="AC292" s="5">
        <f ca="1">IFERROR(INDEX(IntAll[],MATCH($B292,IntAll[DEVELOPMENT],0),MATCH("ESTIMATE",IntAll[#Headers],0)),0)</f>
        <v>0</v>
      </c>
      <c r="AD292" s="5">
        <f ca="1">IFERROR(INDEX(YardsAll[],MATCH($B292,YardsAll[DEVELOPMENT],0),MATCH("TOTAL ESTIMATE",YardsAll[#Headers],0)),0)</f>
        <v>0</v>
      </c>
      <c r="AE292" s="99">
        <f t="shared" ca="1" si="4"/>
        <v>3025977.0381605583</v>
      </c>
      <c r="AF292" s="5"/>
    </row>
    <row r="293" spans="1:32">
      <c r="A293" s="101">
        <f>VLOOKUP(B293,Data[],24,FALSE)</f>
        <v>146</v>
      </c>
      <c r="B293" t="s">
        <v>374</v>
      </c>
      <c r="C293" t="str">
        <f>VLOOKUP(all[[#This Row],[DEVELOPMENT]],Data[],MATCH(all[[#Headers],[PROGRAM]],Data[#Headers],0),FALSE)</f>
        <v>FEDERAL</v>
      </c>
      <c r="D293" t="str">
        <f>VLOOKUP(B293,Data[],2,FALSE)</f>
        <v>BROOKLYN</v>
      </c>
      <c r="E293">
        <f>VLOOKUP(all[[#This Row],[DEVELOPMENT]],Data[],65,FALSE)</f>
        <v>55</v>
      </c>
      <c r="F293" t="e">
        <f>VLOOKUP(all[[#This Row],[DEVELOPMENT]],Data[],3,FALSE)</f>
        <v>#N/A</v>
      </c>
      <c r="G293" s="107" t="s">
        <v>185</v>
      </c>
      <c r="H293" t="s">
        <v>184</v>
      </c>
      <c r="I293">
        <f>VLOOKUP(all[[#This Row],[DEVELOPMENT]],Data[],34,FALSE)</f>
        <v>0</v>
      </c>
      <c r="J293" t="s">
        <v>184</v>
      </c>
      <c r="K293">
        <f>VLOOKUP(B293,Data[],8,FALSE)</f>
        <v>0</v>
      </c>
      <c r="L293" t="str">
        <f>VLOOKUP(all[[#This Row],[DEVELOPMENT]],Data[],61,FALSE)</f>
        <v>Yes</v>
      </c>
      <c r="M293">
        <f>VLOOKUP(B293,Data[],9,FALSE)</f>
        <v>0</v>
      </c>
      <c r="N293">
        <v>4</v>
      </c>
      <c r="O293" t="s">
        <v>185</v>
      </c>
      <c r="P293" t="str">
        <f ca="1">IFERROR(VLOOKUP(B293,Data[],4,FALSE),"")</f>
        <v/>
      </c>
      <c r="Q293" t="str">
        <f ca="1">IF(all[[#This Row],[RAD/PACT]]="","",IF(OR(all[[#This Row],[RAD/PACT]]="2021-2025",all[[#This Row],[RAD/PACT]]="2019-2020"),"Yes",""))</f>
        <v/>
      </c>
      <c r="R293">
        <f>VLOOKUP(all[[#This Row],[DEVELOPMENT]],Data[],7,FALSE)</f>
        <v>111</v>
      </c>
      <c r="S293">
        <f>VLOOKUP(all[[#This Row],[DEVELOPMENT]],Data[],25,FALSE)</f>
        <v>0</v>
      </c>
      <c r="T293">
        <f>VLOOKUP(all[[#This Row],[DEVELOPMENT]],Data[],5,FALSE)</f>
        <v>1</v>
      </c>
      <c r="U293">
        <f>VLOOKUP(all[[#This Row],[DEVELOPMENT]],Data[],10,FALSE)</f>
        <v>1</v>
      </c>
      <c r="V293">
        <f>VLOOKUP(all[[#This Row],[DEVELOPMENT]],Data[],10,FALSE)</f>
        <v>1</v>
      </c>
      <c r="W293">
        <f>VLOOKUP(all[[#This Row],[DEVELOPMENT]],Data[],33,FALSE)</f>
        <v>0</v>
      </c>
      <c r="X293">
        <f>VLOOKUP(all[[#This Row],[DEVELOPMENT]],Data[],33,FALSE)</f>
        <v>0</v>
      </c>
      <c r="Y293">
        <f>VLOOKUP(all[[#This Row],[DEVELOPMENT]],Data[],28,FALSE)</f>
        <v>0</v>
      </c>
      <c r="Z293">
        <f>IF(all[[#This Row],['# Bulk Crushers]]=0,1,0)</f>
        <v>1</v>
      </c>
      <c r="AA293" s="5">
        <f ca="1">IFERROR(INDEX(FWD[],MATCH($B293,FWD[DEVELOPMENT],0),MATCH("ESTIMATE",FWD[#Headers],0)),0)</f>
        <v>190779.69016076697</v>
      </c>
      <c r="AB293" s="5">
        <f ca="1">IFERROR(INDEX(EHDAll[],MATCH($B293,EHDAll[DEVELOPMENT],0),MATCH("ESTIMATE",EHDAll[#Headers],0)),0)</f>
        <v>8997.1286349999991</v>
      </c>
      <c r="AC293" s="5">
        <f ca="1">IFERROR(INDEX(IntAll[],MATCH($B293,IntAll[DEVELOPMENT],0),MATCH("ESTIMATE",IntAll[#Headers],0)),0)</f>
        <v>78543.9375</v>
      </c>
      <c r="AD293" s="5">
        <f ca="1">IFERROR(INDEX(YardsAll[],MATCH($B293,YardsAll[DEVELOPMENT],0),MATCH("TOTAL ESTIMATE",YardsAll[#Headers],0)),0)</f>
        <v>2376922.6665100004</v>
      </c>
      <c r="AE293" s="99">
        <f t="shared" ca="1" si="4"/>
        <v>2655243.4228057675</v>
      </c>
      <c r="AF293" s="5"/>
    </row>
    <row r="294" spans="1:32">
      <c r="A294" s="101">
        <f>VLOOKUP(B294,Data[],24,FALSE)</f>
        <v>315</v>
      </c>
      <c r="B294" t="s">
        <v>375</v>
      </c>
      <c r="C294" t="str">
        <f>VLOOKUP(all[[#This Row],[DEVELOPMENT]],Data[],MATCH(all[[#Headers],[PROGRAM]],Data[#Headers],0),FALSE)</f>
        <v>FEDERAL</v>
      </c>
      <c r="D294" t="str">
        <f>VLOOKUP(B294,Data[],2,FALSE)</f>
        <v>BROOKLYN</v>
      </c>
      <c r="E294">
        <f>VLOOKUP(all[[#This Row],[DEVELOPMENT]],Data[],65,FALSE)</f>
        <v>60</v>
      </c>
      <c r="F294" t="e">
        <f>VLOOKUP(all[[#This Row],[DEVELOPMENT]],Data[],3,FALSE)</f>
        <v>#N/A</v>
      </c>
      <c r="G294" s="107" t="s">
        <v>185</v>
      </c>
      <c r="H294" t="s">
        <v>184</v>
      </c>
      <c r="I294">
        <f>VLOOKUP(all[[#This Row],[DEVELOPMENT]],Data[],34,FALSE)</f>
        <v>0</v>
      </c>
      <c r="J294" t="s">
        <v>184</v>
      </c>
      <c r="K294">
        <f>VLOOKUP(B294,Data[],8,FALSE)</f>
        <v>0</v>
      </c>
      <c r="L294" t="str">
        <f>VLOOKUP(all[[#This Row],[DEVELOPMENT]],Data[],61,FALSE)</f>
        <v>No</v>
      </c>
      <c r="M294">
        <f>VLOOKUP(B294,Data[],9,FALSE)</f>
        <v>0</v>
      </c>
      <c r="N294">
        <v>3</v>
      </c>
      <c r="O294" t="s">
        <v>185</v>
      </c>
      <c r="P294" t="str">
        <f ca="1">IFERROR(VLOOKUP(B294,Data[],4,FALSE),"")</f>
        <v/>
      </c>
      <c r="Q294" t="str">
        <f ca="1">IF(all[[#This Row],[RAD/PACT]]="","",IF(OR(all[[#This Row],[RAD/PACT]]="2021-2025",all[[#This Row],[RAD/PACT]]="2019-2020"),"Yes",""))</f>
        <v/>
      </c>
      <c r="R294">
        <f>VLOOKUP(all[[#This Row],[DEVELOPMENT]],Data[],7,FALSE)</f>
        <v>288</v>
      </c>
      <c r="S294">
        <f>VLOOKUP(all[[#This Row],[DEVELOPMENT]],Data[],25,FALSE)</f>
        <v>0</v>
      </c>
      <c r="T294">
        <f>VLOOKUP(all[[#This Row],[DEVELOPMENT]],Data[],5,FALSE)</f>
        <v>2</v>
      </c>
      <c r="U294">
        <f>VLOOKUP(all[[#This Row],[DEVELOPMENT]],Data[],10,FALSE)</f>
        <v>2</v>
      </c>
      <c r="V294">
        <f>VLOOKUP(all[[#This Row],[DEVELOPMENT]],Data[],10,FALSE)</f>
        <v>2</v>
      </c>
      <c r="W294">
        <f>VLOOKUP(all[[#This Row],[DEVELOPMENT]],Data[],33,FALSE)</f>
        <v>0</v>
      </c>
      <c r="X294">
        <f>VLOOKUP(all[[#This Row],[DEVELOPMENT]],Data[],33,FALSE)</f>
        <v>0</v>
      </c>
      <c r="Y294">
        <f>VLOOKUP(all[[#This Row],[DEVELOPMENT]],Data[],28,FALSE)</f>
        <v>0</v>
      </c>
      <c r="Z294">
        <f>IF(all[[#This Row],['# Bulk Crushers]]=0,1,0)</f>
        <v>1</v>
      </c>
      <c r="AA294" s="5">
        <f ca="1">IFERROR(INDEX(FWD[],MATCH($B294,FWD[DEVELOPMENT],0),MATCH("ESTIMATE",FWD[#Headers],0)),0)</f>
        <v>494995.95284955751</v>
      </c>
      <c r="AB294" s="5">
        <f>IFERROR(INDEX(EHDAll[],MATCH($B294,EHDAll[DEVELOPMENT],0),MATCH("ESTIMATE",EHDAll[#Headers],0)),0)</f>
        <v>0</v>
      </c>
      <c r="AC294" s="5">
        <f ca="1">IFERROR(INDEX(IntAll[],MATCH($B294,IntAll[DEVELOPMENT],0),MATCH("ESTIMATE",IntAll[#Headers],0)),0)</f>
        <v>148255.625</v>
      </c>
      <c r="AD294" s="5">
        <f ca="1">IFERROR(INDEX(YardsAll[],MATCH($B294,YardsAll[DEVELOPMENT],0),MATCH("TOTAL ESTIMATE",YardsAll[#Headers],0)),0)</f>
        <v>2313658.5651200004</v>
      </c>
      <c r="AE294" s="99">
        <f t="shared" ca="1" si="4"/>
        <v>2956910.142969558</v>
      </c>
      <c r="AF294" s="5"/>
    </row>
    <row r="295" spans="1:32">
      <c r="A295" s="101">
        <f>VLOOKUP(B295,Data[],24,FALSE)</f>
        <v>74</v>
      </c>
      <c r="B295" t="s">
        <v>127</v>
      </c>
      <c r="C295" t="str">
        <f>VLOOKUP(all[[#This Row],[DEVELOPMENT]],Data[],MATCH(all[[#Headers],[PROGRAM]],Data[#Headers],0),FALSE)</f>
        <v>FEDERAL</v>
      </c>
      <c r="D295" t="str">
        <f>VLOOKUP(B295,Data[],2,FALSE)</f>
        <v>MANHATTAN</v>
      </c>
      <c r="E295">
        <f>VLOOKUP(all[[#This Row],[DEVELOPMENT]],Data[],65,FALSE)</f>
        <v>68</v>
      </c>
      <c r="F295" t="e">
        <f>VLOOKUP(all[[#This Row],[DEVELOPMENT]],Data[],3,FALSE)</f>
        <v>#N/A</v>
      </c>
      <c r="G295" s="107" t="s">
        <v>185</v>
      </c>
      <c r="H295" t="s">
        <v>184</v>
      </c>
      <c r="I295">
        <f>VLOOKUP(all[[#This Row],[DEVELOPMENT]],Data[],34,FALSE)</f>
        <v>0</v>
      </c>
      <c r="J295" t="s">
        <v>184</v>
      </c>
      <c r="K295" t="str">
        <f>VLOOKUP(B295,Data[],8,FALSE)</f>
        <v>Zone 2</v>
      </c>
      <c r="L295" t="str">
        <f>VLOOKUP(all[[#This Row],[DEVELOPMENT]],Data[],61,FALSE)</f>
        <v>Yes</v>
      </c>
      <c r="M295">
        <f>VLOOKUP(B295,Data[],9,FALSE)</f>
        <v>4</v>
      </c>
      <c r="N295">
        <v>3</v>
      </c>
      <c r="O295" t="s">
        <v>185</v>
      </c>
      <c r="P295" t="str">
        <f ca="1">IFERROR(VLOOKUP(B295,Data[],4,FALSE),"")</f>
        <v>2026+</v>
      </c>
      <c r="Q295" t="str">
        <f ca="1">IF(all[[#This Row],[RAD/PACT]]="","",IF(OR(all[[#This Row],[RAD/PACT]]="2021-2025",all[[#This Row],[RAD/PACT]]="2019-2020"),"Yes",""))</f>
        <v/>
      </c>
      <c r="R295">
        <f>VLOOKUP(all[[#This Row],[DEVELOPMENT]],Data[],7,FALSE)</f>
        <v>2151</v>
      </c>
      <c r="S295">
        <f>VLOOKUP(all[[#This Row],[DEVELOPMENT]],Data[],25,FALSE)</f>
        <v>0</v>
      </c>
      <c r="T295">
        <f>VLOOKUP(all[[#This Row],[DEVELOPMENT]],Data[],5,FALSE)</f>
        <v>22</v>
      </c>
      <c r="U295">
        <f>VLOOKUP(all[[#This Row],[DEVELOPMENT]],Data[],10,FALSE)</f>
        <v>22</v>
      </c>
      <c r="V295">
        <f>VLOOKUP(all[[#This Row],[DEVELOPMENT]],Data[],10,FALSE)</f>
        <v>22</v>
      </c>
      <c r="W295">
        <f>VLOOKUP(all[[#This Row],[DEVELOPMENT]],Data[],33,FALSE)</f>
        <v>5</v>
      </c>
      <c r="X295">
        <f>VLOOKUP(all[[#This Row],[DEVELOPMENT]],Data[],33,FALSE)</f>
        <v>5</v>
      </c>
      <c r="Y295">
        <f>VLOOKUP(all[[#This Row],[DEVELOPMENT]],Data[],28,FALSE)</f>
        <v>0</v>
      </c>
      <c r="Z295">
        <f>IF(all[[#This Row],['# Bulk Crushers]]=0,1,0)</f>
        <v>1</v>
      </c>
      <c r="AA295" s="5">
        <f ca="1">IFERROR(INDEX(FWD[],MATCH($B295,FWD[DEVELOPMENT],0),MATCH("ESTIMATE",FWD[#Headers],0)),0)</f>
        <v>3697001.0228451327</v>
      </c>
      <c r="AB295" s="5">
        <f ca="1">IFERROR(INDEX(EHDAll[],MATCH($B295,EHDAll[DEVELOPMENT],0),MATCH("ESTIMATE",EHDAll[#Headers],0)),0)</f>
        <v>175035.04799000002</v>
      </c>
      <c r="AC295" s="5">
        <f ca="1">IFERROR(INDEX(IntAll[],MATCH($B295,IntAll[DEVELOPMENT],0),MATCH("ESTIMATE",IntAll[#Headers],0)),0)</f>
        <v>1582234.5000000002</v>
      </c>
      <c r="AD295" s="5">
        <f ca="1">IFERROR(INDEX(YardsAll[],MATCH($B295,YardsAll[DEVELOPMENT],0),MATCH("TOTAL ESTIMATE",YardsAll[#Headers],0)),0)</f>
        <v>3744557.2595565002</v>
      </c>
      <c r="AE295" s="99">
        <f t="shared" ca="1" si="4"/>
        <v>9198827.8303916343</v>
      </c>
      <c r="AF295" s="5"/>
    </row>
    <row r="296" spans="1:32">
      <c r="A296" s="101">
        <f>VLOOKUP(B296,Data[],24,FALSE)</f>
        <v>23</v>
      </c>
      <c r="B296" t="s">
        <v>66</v>
      </c>
      <c r="C296" t="str">
        <f>VLOOKUP(all[[#This Row],[DEVELOPMENT]],Data[],MATCH(all[[#Headers],[PROGRAM]],Data[#Headers],0),FALSE)</f>
        <v>FEDERAL</v>
      </c>
      <c r="D296" t="str">
        <f>VLOOKUP(B296,Data[],2,FALSE)</f>
        <v>MANHATTAN</v>
      </c>
      <c r="E296">
        <f>VLOOKUP(all[[#This Row],[DEVELOPMENT]],Data[],65,FALSE)</f>
        <v>74</v>
      </c>
      <c r="F296" t="e">
        <f>VLOOKUP(all[[#This Row],[DEVELOPMENT]],Data[],3,FALSE)</f>
        <v>#N/A</v>
      </c>
      <c r="G296" s="107" t="s">
        <v>185</v>
      </c>
      <c r="H296" t="s">
        <v>184</v>
      </c>
      <c r="I296">
        <f>VLOOKUP(all[[#This Row],[DEVELOPMENT]],Data[],34,FALSE)</f>
        <v>0</v>
      </c>
      <c r="J296" t="s">
        <v>184</v>
      </c>
      <c r="K296" t="str">
        <f>VLOOKUP(B296,Data[],8,FALSE)</f>
        <v>Zone 1</v>
      </c>
      <c r="L296" t="str">
        <f>VLOOKUP(all[[#This Row],[DEVELOPMENT]],Data[],61,FALSE)</f>
        <v>No</v>
      </c>
      <c r="M296">
        <f>VLOOKUP(B296,Data[],9,FALSE)</f>
        <v>4</v>
      </c>
      <c r="N296">
        <v>2</v>
      </c>
      <c r="O296" t="s">
        <v>185</v>
      </c>
      <c r="P296" t="str">
        <f ca="1">IFERROR(VLOOKUP(B296,Data[],4,FALSE),"")</f>
        <v/>
      </c>
      <c r="Q296" t="str">
        <f ca="1">IF(all[[#This Row],[RAD/PACT]]="","",IF(OR(all[[#This Row],[RAD/PACT]]="2021-2025",all[[#This Row],[RAD/PACT]]="2019-2020"),"Yes",""))</f>
        <v/>
      </c>
      <c r="R296">
        <f>VLOOKUP(all[[#This Row],[DEVELOPMENT]],Data[],7,FALSE)</f>
        <v>1861</v>
      </c>
      <c r="S296" t="str">
        <f>VLOOKUP(all[[#This Row],[DEVELOPMENT]],Data[],25,FALSE)</f>
        <v>Newtown Creek</v>
      </c>
      <c r="T296">
        <f>VLOOKUP(all[[#This Row],[DEVELOPMENT]],Data[],5,FALSE)</f>
        <v>16</v>
      </c>
      <c r="U296">
        <f>VLOOKUP(all[[#This Row],[DEVELOPMENT]],Data[],10,FALSE)</f>
        <v>16</v>
      </c>
      <c r="V296">
        <f>VLOOKUP(all[[#This Row],[DEVELOPMENT]],Data[],10,FALSE)</f>
        <v>16</v>
      </c>
      <c r="W296">
        <f>VLOOKUP(all[[#This Row],[DEVELOPMENT]],Data[],33,FALSE)</f>
        <v>3</v>
      </c>
      <c r="X296">
        <f>VLOOKUP(all[[#This Row],[DEVELOPMENT]],Data[],33,FALSE)</f>
        <v>3</v>
      </c>
      <c r="Y296">
        <f>VLOOKUP(all[[#This Row],[DEVELOPMENT]],Data[],28,FALSE)</f>
        <v>0</v>
      </c>
      <c r="Z296">
        <f>IF(all[[#This Row],['# Bulk Crushers]]=0,1,0)</f>
        <v>1</v>
      </c>
      <c r="AA296" s="5">
        <f ca="1">IFERROR(INDEX(FWD[],MATCH($B296,FWD[DEVELOPMENT],0),MATCH("ESTIMATE",FWD[#Headers],0)),0)</f>
        <v>3198567.5981007866</v>
      </c>
      <c r="AB296" s="5">
        <f ca="1">IFERROR(INDEX(EHDAll[],MATCH($B296,EHDAll[DEVELOPMENT],0),MATCH("ESTIMATE",EHDAll[#Headers],0)),0)</f>
        <v>118970.296</v>
      </c>
      <c r="AC296" s="5">
        <f ca="1">IFERROR(INDEX(IntAll[],MATCH($B296,IntAll[DEVELOPMENT],0),MATCH("ESTIMATE",IntAll[#Headers],0)),0)</f>
        <v>775248</v>
      </c>
      <c r="AD296" s="5">
        <f ca="1">IFERROR(INDEX(YardsAll[],MATCH($B296,YardsAll[DEVELOPMENT],0),MATCH("TOTAL ESTIMATE",YardsAll[#Headers],0)),0)</f>
        <v>0</v>
      </c>
      <c r="AE296" s="99">
        <f t="shared" ca="1" si="4"/>
        <v>4092785.8941007867</v>
      </c>
      <c r="AF296" s="5"/>
    </row>
    <row r="297" spans="1:32">
      <c r="A297" s="101">
        <f>VLOOKUP(B297,Data[],24,FALSE)</f>
        <v>293</v>
      </c>
      <c r="B297" t="s">
        <v>376</v>
      </c>
      <c r="C297" t="str">
        <f>VLOOKUP(all[[#This Row],[DEVELOPMENT]],Data[],MATCH(all[[#Headers],[PROGRAM]],Data[#Headers],0),FALSE)</f>
        <v>FEDERAL</v>
      </c>
      <c r="D297" t="str">
        <f>VLOOKUP(B297,Data[],2,FALSE)</f>
        <v>MANHATTAN</v>
      </c>
      <c r="E297">
        <f>VLOOKUP(all[[#This Row],[DEVELOPMENT]],Data[],65,FALSE)</f>
        <v>72</v>
      </c>
      <c r="F297" t="e">
        <f>VLOOKUP(all[[#This Row],[DEVELOPMENT]],Data[],3,FALSE)</f>
        <v>#N/A</v>
      </c>
      <c r="G297" s="107" t="s">
        <v>185</v>
      </c>
      <c r="H297" t="s">
        <v>184</v>
      </c>
      <c r="I297">
        <f>VLOOKUP(all[[#This Row],[DEVELOPMENT]],Data[],34,FALSE)</f>
        <v>0</v>
      </c>
      <c r="J297" t="s">
        <v>184</v>
      </c>
      <c r="K297">
        <f>VLOOKUP(B297,Data[],8,FALSE)</f>
        <v>0</v>
      </c>
      <c r="L297" t="str">
        <f>VLOOKUP(all[[#This Row],[DEVELOPMENT]],Data[],61,FALSE)</f>
        <v>No</v>
      </c>
      <c r="M297">
        <f>VLOOKUP(B297,Data[],9,FALSE)</f>
        <v>0</v>
      </c>
      <c r="N297">
        <v>4</v>
      </c>
      <c r="O297" t="s">
        <v>185</v>
      </c>
      <c r="P297" t="str">
        <f ca="1">IFERROR(VLOOKUP(B297,Data[],4,FALSE),"")</f>
        <v>2020-2021</v>
      </c>
      <c r="Q297" t="str">
        <f ca="1">IF(all[[#This Row],[RAD/PACT]]="","",IF(OR(all[[#This Row],[RAD/PACT]]="2021-2025",all[[#This Row],[RAD/PACT]]="2019-2020"),"Yes",""))</f>
        <v/>
      </c>
      <c r="R297">
        <f>VLOOKUP(all[[#This Row],[DEVELOPMENT]],Data[],7,FALSE)</f>
        <v>215</v>
      </c>
      <c r="S297">
        <f>VLOOKUP(all[[#This Row],[DEVELOPMENT]],Data[],25,FALSE)</f>
        <v>0</v>
      </c>
      <c r="T297">
        <f>VLOOKUP(all[[#This Row],[DEVELOPMENT]],Data[],5,FALSE)</f>
        <v>5</v>
      </c>
      <c r="U297">
        <f>VLOOKUP(all[[#This Row],[DEVELOPMENT]],Data[],10,FALSE)</f>
        <v>7</v>
      </c>
      <c r="V297">
        <f>VLOOKUP(all[[#This Row],[DEVELOPMENT]],Data[],10,FALSE)</f>
        <v>7</v>
      </c>
      <c r="W297">
        <f>VLOOKUP(all[[#This Row],[DEVELOPMENT]],Data[],33,FALSE)</f>
        <v>0</v>
      </c>
      <c r="X297">
        <f>VLOOKUP(all[[#This Row],[DEVELOPMENT]],Data[],33,FALSE)</f>
        <v>0</v>
      </c>
      <c r="Y297">
        <f>VLOOKUP(all[[#This Row],[DEVELOPMENT]],Data[],28,FALSE)</f>
        <v>0</v>
      </c>
      <c r="Z297">
        <f>IF(all[[#This Row],['# Bulk Crushers]]=0,1,0)</f>
        <v>1</v>
      </c>
      <c r="AA297" s="5">
        <f ca="1">IFERROR(INDEX(FWD[],MATCH($B297,FWD[DEVELOPMENT],0),MATCH("ESTIMATE",FWD[#Headers],0)),0)</f>
        <v>369528.22868977388</v>
      </c>
      <c r="AB297" s="5">
        <f ca="1">IFERROR(INDEX(EHDAll[],MATCH($B297,EHDAll[DEVELOPMENT],0),MATCH("ESTIMATE",EHDAll[#Headers],0)),0)</f>
        <v>59336.435130000013</v>
      </c>
      <c r="AC297" s="5">
        <f ca="1">IFERROR(INDEX(IntAll[],MATCH($B297,IntAll[DEVELOPMENT],0),MATCH("ESTIMATE",IntAll[#Headers],0)),0)</f>
        <v>0</v>
      </c>
      <c r="AD297" s="5">
        <f ca="1">IFERROR(INDEX(YardsAll[],MATCH($B297,YardsAll[DEVELOPMENT],0),MATCH("TOTAL ESTIMATE",YardsAll[#Headers],0)),0)</f>
        <v>0</v>
      </c>
      <c r="AE297" s="99">
        <f t="shared" ca="1" si="4"/>
        <v>428864.66381977388</v>
      </c>
      <c r="AF297" s="5"/>
    </row>
    <row r="298" spans="1:32">
      <c r="A298" s="101">
        <f>VLOOKUP(B298,Data[],24,FALSE)</f>
        <v>523</v>
      </c>
      <c r="B298" t="s">
        <v>377</v>
      </c>
      <c r="C298" t="str">
        <f>VLOOKUP(all[[#This Row],[DEVELOPMENT]],Data[],MATCH(all[[#Headers],[PROGRAM]],Data[#Headers],0),FALSE)</f>
        <v>FEDERAL</v>
      </c>
      <c r="D298" t="str">
        <f>VLOOKUP(B298,Data[],2,FALSE)</f>
        <v>MANHATTAN</v>
      </c>
      <c r="E298" t="str">
        <f>VLOOKUP(all[[#This Row],[DEVELOPMENT]],Data[],65,FALSE)</f>
        <v>71, 72</v>
      </c>
      <c r="F298" t="e">
        <f>VLOOKUP(all[[#This Row],[DEVELOPMENT]],Data[],3,FALSE)</f>
        <v>#N/A</v>
      </c>
      <c r="G298" s="107" t="s">
        <v>185</v>
      </c>
      <c r="H298" t="s">
        <v>184</v>
      </c>
      <c r="I298">
        <f>VLOOKUP(all[[#This Row],[DEVELOPMENT]],Data[],34,FALSE)</f>
        <v>0</v>
      </c>
      <c r="J298" t="s">
        <v>184</v>
      </c>
      <c r="K298">
        <f>VLOOKUP(B298,Data[],8,FALSE)</f>
        <v>0</v>
      </c>
      <c r="L298" t="str">
        <f>VLOOKUP(all[[#This Row],[DEVELOPMENT]],Data[],61,FALSE)</f>
        <v>No</v>
      </c>
      <c r="M298">
        <f>VLOOKUP(B298,Data[],9,FALSE)</f>
        <v>0</v>
      </c>
      <c r="N298">
        <v>4</v>
      </c>
      <c r="O298">
        <v>4</v>
      </c>
      <c r="P298" t="str">
        <f ca="1">IFERROR(VLOOKUP(B298,Data[],4,FALSE),"")</f>
        <v/>
      </c>
      <c r="Q298" t="str">
        <f ca="1">IF(all[[#This Row],[RAD/PACT]]="","",IF(OR(all[[#This Row],[RAD/PACT]]="2021-2025",all[[#This Row],[RAD/PACT]]="2019-2020"),"Yes",""))</f>
        <v/>
      </c>
      <c r="R298">
        <f>VLOOKUP(all[[#This Row],[DEVELOPMENT]],Data[],7,FALSE)</f>
        <v>88</v>
      </c>
      <c r="S298">
        <f>VLOOKUP(all[[#This Row],[DEVELOPMENT]],Data[],25,FALSE)</f>
        <v>0</v>
      </c>
      <c r="T298">
        <f>VLOOKUP(all[[#This Row],[DEVELOPMENT]],Data[],5,FALSE)</f>
        <v>7</v>
      </c>
      <c r="U298">
        <f>VLOOKUP(all[[#This Row],[DEVELOPMENT]],Data[],10,FALSE)</f>
        <v>0</v>
      </c>
      <c r="V298">
        <f>VLOOKUP(all[[#This Row],[DEVELOPMENT]],Data[],10,FALSE)</f>
        <v>0</v>
      </c>
      <c r="W298">
        <f>VLOOKUP(all[[#This Row],[DEVELOPMENT]],Data[],33,FALSE)</f>
        <v>0</v>
      </c>
      <c r="X298">
        <f>VLOOKUP(all[[#This Row],[DEVELOPMENT]],Data[],33,FALSE)</f>
        <v>0</v>
      </c>
      <c r="Y298">
        <f>VLOOKUP(all[[#This Row],[DEVELOPMENT]],Data[],28,FALSE)</f>
        <v>0</v>
      </c>
      <c r="Z298">
        <f>IF(all[[#This Row],['# Bulk Crushers]]=0,1,0)</f>
        <v>1</v>
      </c>
      <c r="AA298" s="5">
        <f ca="1">IFERROR(INDEX(FWD[],MATCH($B298,FWD[DEVELOPMENT],0),MATCH("ESTIMATE",FWD[#Headers],0)),0)</f>
        <v>151248.76337069814</v>
      </c>
      <c r="AB298" s="5">
        <f ca="1">IFERROR(INDEX(EHDAll[],MATCH($B298,EHDAll[DEVELOPMENT],0),MATCH("ESTIMATE",EHDAll[#Headers],0)),0)</f>
        <v>26991.385905000003</v>
      </c>
      <c r="AC298" s="5">
        <f ca="1">IFERROR(INDEX(IntAll[],MATCH($B298,IntAll[DEVELOPMENT],0),MATCH("ESTIMATE",IntAll[#Headers],0)),0)</f>
        <v>0</v>
      </c>
      <c r="AD298" s="5">
        <f ca="1">IFERROR(INDEX(YardsAll[],MATCH($B298,YardsAll[DEVELOPMENT],0),MATCH("TOTAL ESTIMATE",YardsAll[#Headers],0)),0)</f>
        <v>2313658.5651200004</v>
      </c>
      <c r="AE298" s="99">
        <f t="shared" ca="1" si="4"/>
        <v>2491898.7143956986</v>
      </c>
      <c r="AF298" s="5"/>
    </row>
    <row r="299" spans="1:32">
      <c r="A299" s="101">
        <f>VLOOKUP(B299,Data[],24,FALSE)</f>
        <v>329</v>
      </c>
      <c r="B299" t="s">
        <v>378</v>
      </c>
      <c r="C299" t="str">
        <f>VLOOKUP(all[[#This Row],[DEVELOPMENT]],Data[],MATCH(all[[#Headers],[PROGRAM]],Data[#Headers],0),FALSE)</f>
        <v>FEDERAL</v>
      </c>
      <c r="D299" t="str">
        <f>VLOOKUP(B299,Data[],2,FALSE)</f>
        <v>MANHATTAN</v>
      </c>
      <c r="E299">
        <f>VLOOKUP(all[[#This Row],[DEVELOPMENT]],Data[],65,FALSE)</f>
        <v>71</v>
      </c>
      <c r="F299" t="e">
        <f>VLOOKUP(all[[#This Row],[DEVELOPMENT]],Data[],3,FALSE)</f>
        <v>#N/A</v>
      </c>
      <c r="G299" s="107" t="s">
        <v>185</v>
      </c>
      <c r="H299" t="s">
        <v>184</v>
      </c>
      <c r="I299">
        <f>VLOOKUP(all[[#This Row],[DEVELOPMENT]],Data[],34,FALSE)</f>
        <v>0</v>
      </c>
      <c r="J299" t="s">
        <v>184</v>
      </c>
      <c r="K299">
        <f>VLOOKUP(B299,Data[],8,FALSE)</f>
        <v>0</v>
      </c>
      <c r="L299" t="str">
        <f>VLOOKUP(all[[#This Row],[DEVELOPMENT]],Data[],61,FALSE)</f>
        <v>No</v>
      </c>
      <c r="M299">
        <f>VLOOKUP(B299,Data[],9,FALSE)</f>
        <v>0</v>
      </c>
      <c r="N299" t="s">
        <v>185</v>
      </c>
      <c r="O299" t="s">
        <v>185</v>
      </c>
      <c r="P299" t="str">
        <f ca="1">IFERROR(VLOOKUP(B299,Data[],4,FALSE),"")</f>
        <v/>
      </c>
      <c r="Q299" t="str">
        <f ca="1">IF(all[[#This Row],[RAD/PACT]]="","",IF(OR(all[[#This Row],[RAD/PACT]]="2021-2025",all[[#This Row],[RAD/PACT]]="2019-2020"),"Yes",""))</f>
        <v/>
      </c>
      <c r="R299">
        <f>VLOOKUP(all[[#This Row],[DEVELOPMENT]],Data[],7,FALSE)</f>
        <v>14</v>
      </c>
      <c r="S299">
        <f>VLOOKUP(all[[#This Row],[DEVELOPMENT]],Data[],25,FALSE)</f>
        <v>0</v>
      </c>
      <c r="T299">
        <f>VLOOKUP(all[[#This Row],[DEVELOPMENT]],Data[],5,FALSE)</f>
        <v>1</v>
      </c>
      <c r="U299">
        <f>VLOOKUP(all[[#This Row],[DEVELOPMENT]],Data[],10,FALSE)</f>
        <v>0</v>
      </c>
      <c r="V299">
        <f>VLOOKUP(all[[#This Row],[DEVELOPMENT]],Data[],10,FALSE)</f>
        <v>0</v>
      </c>
      <c r="W299">
        <f>VLOOKUP(all[[#This Row],[DEVELOPMENT]],Data[],33,FALSE)</f>
        <v>0</v>
      </c>
      <c r="X299">
        <f>VLOOKUP(all[[#This Row],[DEVELOPMENT]],Data[],33,FALSE)</f>
        <v>0</v>
      </c>
      <c r="Y299">
        <f>VLOOKUP(all[[#This Row],[DEVELOPMENT]],Data[],28,FALSE)</f>
        <v>0</v>
      </c>
      <c r="Z299">
        <f>IF(all[[#This Row],['# Bulk Crushers]]=0,1,0)</f>
        <v>1</v>
      </c>
      <c r="AA299" s="5">
        <f ca="1">IFERROR(INDEX(FWD[],MATCH($B299,FWD[DEVELOPMENT],0),MATCH("ESTIMATE",FWD[#Headers],0)),0)</f>
        <v>24062.30326352016</v>
      </c>
      <c r="AB299" s="5">
        <f ca="1">IFERROR(INDEX(EHDAll[],MATCH($B299,EHDAll[DEVELOPMENT],0),MATCH("ESTIMATE",EHDAll[#Headers],0)),0)</f>
        <v>8997.1286349999991</v>
      </c>
      <c r="AC299" s="5">
        <f ca="1">IFERROR(INDEX(IntAll[],MATCH($B299,IntAll[DEVELOPMENT],0),MATCH("ESTIMATE",IntAll[#Headers],0)),0)</f>
        <v>0</v>
      </c>
      <c r="AD299" s="5">
        <f ca="1">IFERROR(INDEX(YardsAll[],MATCH($B299,YardsAll[DEVELOPMENT],0),MATCH("TOTAL ESTIMATE",YardsAll[#Headers],0)),0)</f>
        <v>2376922.6665100004</v>
      </c>
      <c r="AE299" s="99">
        <f t="shared" ca="1" si="4"/>
        <v>2409982.0984085207</v>
      </c>
      <c r="AF299" s="5"/>
    </row>
    <row r="300" spans="1:32">
      <c r="A300" s="101">
        <f>VLOOKUP(B300,Data[],24,FALSE)</f>
        <v>331</v>
      </c>
      <c r="B300" t="s">
        <v>379</v>
      </c>
      <c r="C300" t="str">
        <f>VLOOKUP(all[[#This Row],[DEVELOPMENT]],Data[],MATCH(all[[#Headers],[PROGRAM]],Data[#Headers],0),FALSE)</f>
        <v>FEDERAL</v>
      </c>
      <c r="D300" t="str">
        <f>VLOOKUP(B300,Data[],2,FALSE)</f>
        <v>MANHATTAN</v>
      </c>
      <c r="E300">
        <f>VLOOKUP(all[[#This Row],[DEVELOPMENT]],Data[],65,FALSE)</f>
        <v>72</v>
      </c>
      <c r="F300" t="e">
        <f>VLOOKUP(all[[#This Row],[DEVELOPMENT]],Data[],3,FALSE)</f>
        <v>#N/A</v>
      </c>
      <c r="G300" s="107" t="s">
        <v>185</v>
      </c>
      <c r="H300" t="s">
        <v>184</v>
      </c>
      <c r="I300">
        <f>VLOOKUP(all[[#This Row],[DEVELOPMENT]],Data[],34,FALSE)</f>
        <v>0</v>
      </c>
      <c r="J300" t="s">
        <v>184</v>
      </c>
      <c r="K300">
        <f>VLOOKUP(B300,Data[],8,FALSE)</f>
        <v>0</v>
      </c>
      <c r="L300" t="str">
        <f>VLOOKUP(all[[#This Row],[DEVELOPMENT]],Data[],61,FALSE)</f>
        <v>No</v>
      </c>
      <c r="M300">
        <f>VLOOKUP(B300,Data[],9,FALSE)</f>
        <v>0</v>
      </c>
      <c r="N300" t="s">
        <v>185</v>
      </c>
      <c r="O300" t="s">
        <v>185</v>
      </c>
      <c r="P300" t="str">
        <f ca="1">IFERROR(VLOOKUP(B300,Data[],4,FALSE),"")</f>
        <v>2020-2021</v>
      </c>
      <c r="Q300" t="str">
        <f ca="1">IF(all[[#This Row],[RAD/PACT]]="","",IF(OR(all[[#This Row],[RAD/PACT]]="2021-2025",all[[#This Row],[RAD/PACT]]="2019-2020"),"Yes",""))</f>
        <v/>
      </c>
      <c r="R300">
        <f>VLOOKUP(all[[#This Row],[DEVELOPMENT]],Data[],7,FALSE)</f>
        <v>32</v>
      </c>
      <c r="S300">
        <f>VLOOKUP(all[[#This Row],[DEVELOPMENT]],Data[],25,FALSE)</f>
        <v>0</v>
      </c>
      <c r="T300">
        <f>VLOOKUP(all[[#This Row],[DEVELOPMENT]],Data[],5,FALSE)</f>
        <v>2</v>
      </c>
      <c r="U300">
        <f>VLOOKUP(all[[#This Row],[DEVELOPMENT]],Data[],10,FALSE)</f>
        <v>0</v>
      </c>
      <c r="V300">
        <f>VLOOKUP(all[[#This Row],[DEVELOPMENT]],Data[],10,FALSE)</f>
        <v>0</v>
      </c>
      <c r="W300">
        <f>VLOOKUP(all[[#This Row],[DEVELOPMENT]],Data[],33,FALSE)</f>
        <v>0</v>
      </c>
      <c r="X300">
        <f>VLOOKUP(all[[#This Row],[DEVELOPMENT]],Data[],33,FALSE)</f>
        <v>0</v>
      </c>
      <c r="Y300">
        <f>VLOOKUP(all[[#This Row],[DEVELOPMENT]],Data[],28,FALSE)</f>
        <v>0</v>
      </c>
      <c r="Z300">
        <f>IF(all[[#This Row],['# Bulk Crushers]]=0,1,0)</f>
        <v>1</v>
      </c>
      <c r="AA300" s="5">
        <f ca="1">IFERROR(INDEX(FWD[],MATCH($B300,FWD[DEVELOPMENT],0),MATCH("ESTIMATE",FWD[#Headers],0)),0)</f>
        <v>54999.550316617504</v>
      </c>
      <c r="AB300" s="5">
        <f ca="1">IFERROR(INDEX(EHDAll[],MATCH($B300,EHDAll[DEVELOPMENT],0),MATCH("ESTIMATE",EHDAll[#Headers],0)),0)</f>
        <v>16953.267180000003</v>
      </c>
      <c r="AC300" s="5">
        <f ca="1">IFERROR(INDEX(IntAll[],MATCH($B300,IntAll[DEVELOPMENT],0),MATCH("ESTIMATE",IntAll[#Headers],0)),0)</f>
        <v>0</v>
      </c>
      <c r="AD300" s="5">
        <f ca="1">IFERROR(INDEX(YardsAll[],MATCH($B300,YardsAll[DEVELOPMENT],0),MATCH("TOTAL ESTIMATE",YardsAll[#Headers],0)),0)</f>
        <v>0</v>
      </c>
      <c r="AE300" s="99">
        <f t="shared" ca="1" si="4"/>
        <v>71952.817496617499</v>
      </c>
      <c r="AF300" s="5"/>
    </row>
    <row r="301" spans="1:32">
      <c r="A301" s="101">
        <f>VLOOKUP(B301,Data[],24,FALSE)</f>
        <v>116</v>
      </c>
      <c r="B301" t="s">
        <v>380</v>
      </c>
      <c r="C301" t="str">
        <f>VLOOKUP(all[[#This Row],[DEVELOPMENT]],Data[],MATCH(all[[#Headers],[PROGRAM]],Data[#Headers],0),FALSE)</f>
        <v>FEDERAL</v>
      </c>
      <c r="D301" t="str">
        <f>VLOOKUP(B301,Data[],2,FALSE)</f>
        <v>STATEN ISLAND</v>
      </c>
      <c r="E301">
        <f>VLOOKUP(all[[#This Row],[DEVELOPMENT]],Data[],65,FALSE)</f>
        <v>61</v>
      </c>
      <c r="F301" t="e">
        <f>VLOOKUP(all[[#This Row],[DEVELOPMENT]],Data[],3,FALSE)</f>
        <v>#N/A</v>
      </c>
      <c r="G301" s="107" t="s">
        <v>185</v>
      </c>
      <c r="H301" t="s">
        <v>184</v>
      </c>
      <c r="I301">
        <f>VLOOKUP(all[[#This Row],[DEVELOPMENT]],Data[],34,FALSE)</f>
        <v>0</v>
      </c>
      <c r="J301" t="s">
        <v>184</v>
      </c>
      <c r="K301">
        <f>VLOOKUP(B301,Data[],8,FALSE)</f>
        <v>0</v>
      </c>
      <c r="L301" t="str">
        <f>VLOOKUP(all[[#This Row],[DEVELOPMENT]],Data[],61,FALSE)</f>
        <v>No</v>
      </c>
      <c r="M301">
        <f>VLOOKUP(B301,Data[],9,FALSE)</f>
        <v>0</v>
      </c>
      <c r="N301">
        <v>2</v>
      </c>
      <c r="O301" t="s">
        <v>185</v>
      </c>
      <c r="P301" t="str">
        <f ca="1">IFERROR(VLOOKUP(B301,Data[],4,FALSE),"")</f>
        <v/>
      </c>
      <c r="Q301" t="str">
        <f ca="1">IF(all[[#This Row],[RAD/PACT]]="","",IF(OR(all[[#This Row],[RAD/PACT]]="2021-2025",all[[#This Row],[RAD/PACT]]="2019-2020"),"Yes",""))</f>
        <v/>
      </c>
      <c r="R301">
        <f>VLOOKUP(all[[#This Row],[DEVELOPMENT]],Data[],7,FALSE)</f>
        <v>487</v>
      </c>
      <c r="S301">
        <f>VLOOKUP(all[[#This Row],[DEVELOPMENT]],Data[],25,FALSE)</f>
        <v>0</v>
      </c>
      <c r="T301">
        <f>VLOOKUP(all[[#This Row],[DEVELOPMENT]],Data[],5,FALSE)</f>
        <v>8</v>
      </c>
      <c r="U301">
        <f>VLOOKUP(all[[#This Row],[DEVELOPMENT]],Data[],10,FALSE)</f>
        <v>8</v>
      </c>
      <c r="V301">
        <f>VLOOKUP(all[[#This Row],[DEVELOPMENT]],Data[],10,FALSE)</f>
        <v>8</v>
      </c>
      <c r="W301">
        <f>VLOOKUP(all[[#This Row],[DEVELOPMENT]],Data[],33,FALSE)</f>
        <v>2</v>
      </c>
      <c r="X301">
        <f>VLOOKUP(all[[#This Row],[DEVELOPMENT]],Data[],33,FALSE)</f>
        <v>2</v>
      </c>
      <c r="Y301">
        <f>VLOOKUP(all[[#This Row],[DEVELOPMENT]],Data[],28,FALSE)</f>
        <v>0</v>
      </c>
      <c r="Z301">
        <f>IF(all[[#This Row],['# Bulk Crushers]]=0,1,0)</f>
        <v>1</v>
      </c>
      <c r="AA301" s="5">
        <f ca="1">IFERROR(INDEX(FWD[],MATCH($B301,FWD[DEVELOPMENT],0),MATCH("ESTIMATE",FWD[#Headers],0)),0)</f>
        <v>837024.40638102265</v>
      </c>
      <c r="AB301" s="5">
        <f ca="1">IFERROR(INDEX(EHDAll[],MATCH($B301,EHDAll[DEVELOPMENT],0),MATCH("ESTIMATE",EHDAll[#Headers],0)),0)</f>
        <v>69895.048900000009</v>
      </c>
      <c r="AC301" s="5">
        <f ca="1">IFERROR(INDEX(IntAll[],MATCH($B301,IntAll[DEVELOPMENT],0),MATCH("ESTIMATE",IntAll[#Headers],0)),0)</f>
        <v>522364.49999999994</v>
      </c>
      <c r="AD301" s="5">
        <f ca="1">IFERROR(INDEX(YardsAll[],MATCH($B301,YardsAll[DEVELOPMENT],0),MATCH("TOTAL ESTIMATE",YardsAll[#Headers],0)),0)</f>
        <v>2515434.0010425011</v>
      </c>
      <c r="AE301" s="99">
        <f t="shared" ca="1" si="4"/>
        <v>3944717.956323524</v>
      </c>
      <c r="AF301" s="5"/>
    </row>
    <row r="302" spans="1:32">
      <c r="A302" s="101">
        <f>VLOOKUP(B302,Data[],24,FALSE)</f>
        <v>175</v>
      </c>
      <c r="B302" t="s">
        <v>381</v>
      </c>
      <c r="C302" t="str">
        <f>VLOOKUP(all[[#This Row],[DEVELOPMENT]],Data[],MATCH(all[[#Headers],[PROGRAM]],Data[#Headers],0),FALSE)</f>
        <v>FEDERAL</v>
      </c>
      <c r="D302" t="str">
        <f>VLOOKUP(B302,Data[],2,FALSE)</f>
        <v>STATEN ISLAND</v>
      </c>
      <c r="E302">
        <f>VLOOKUP(all[[#This Row],[DEVELOPMENT]],Data[],65,FALSE)</f>
        <v>61</v>
      </c>
      <c r="F302" t="e">
        <f>VLOOKUP(all[[#This Row],[DEVELOPMENT]],Data[],3,FALSE)</f>
        <v>#N/A</v>
      </c>
      <c r="G302" s="107" t="s">
        <v>185</v>
      </c>
      <c r="H302" t="s">
        <v>184</v>
      </c>
      <c r="I302">
        <f>VLOOKUP(all[[#This Row],[DEVELOPMENT]],Data[],34,FALSE)</f>
        <v>0</v>
      </c>
      <c r="J302" t="s">
        <v>184</v>
      </c>
      <c r="K302">
        <f>VLOOKUP(B302,Data[],8,FALSE)</f>
        <v>0</v>
      </c>
      <c r="L302" t="str">
        <f>VLOOKUP(all[[#This Row],[DEVELOPMENT]],Data[],61,FALSE)</f>
        <v>No</v>
      </c>
      <c r="M302">
        <f>VLOOKUP(B302,Data[],9,FALSE)</f>
        <v>0</v>
      </c>
      <c r="N302">
        <v>2</v>
      </c>
      <c r="O302" t="s">
        <v>185</v>
      </c>
      <c r="P302" t="str">
        <f ca="1">IFERROR(VLOOKUP(B302,Data[],4,FALSE),"")</f>
        <v/>
      </c>
      <c r="Q302" t="str">
        <f ca="1">IF(all[[#This Row],[RAD/PACT]]="","",IF(OR(all[[#This Row],[RAD/PACT]]="2021-2025",all[[#This Row],[RAD/PACT]]="2019-2020"),"Yes",""))</f>
        <v/>
      </c>
      <c r="R302">
        <f>VLOOKUP(all[[#This Row],[DEVELOPMENT]],Data[],7,FALSE)</f>
        <v>120</v>
      </c>
      <c r="S302">
        <f>VLOOKUP(all[[#This Row],[DEVELOPMENT]],Data[],25,FALSE)</f>
        <v>0</v>
      </c>
      <c r="T302">
        <f>VLOOKUP(all[[#This Row],[DEVELOPMENT]],Data[],5,FALSE)</f>
        <v>8</v>
      </c>
      <c r="U302">
        <f>VLOOKUP(all[[#This Row],[DEVELOPMENT]],Data[],10,FALSE)</f>
        <v>0</v>
      </c>
      <c r="V302">
        <f>VLOOKUP(all[[#This Row],[DEVELOPMENT]],Data[],10,FALSE)</f>
        <v>0</v>
      </c>
      <c r="W302">
        <f>VLOOKUP(all[[#This Row],[DEVELOPMENT]],Data[],33,FALSE)</f>
        <v>0</v>
      </c>
      <c r="X302">
        <f>VLOOKUP(all[[#This Row],[DEVELOPMENT]],Data[],33,FALSE)</f>
        <v>0</v>
      </c>
      <c r="Y302">
        <f>VLOOKUP(all[[#This Row],[DEVELOPMENT]],Data[],28,FALSE)</f>
        <v>0</v>
      </c>
      <c r="Z302">
        <f>IF(all[[#This Row],['# Bulk Crushers]]=0,1,0)</f>
        <v>1</v>
      </c>
      <c r="AA302" s="5">
        <f ca="1">IFERROR(INDEX(FWD[],MATCH($B302,FWD[DEVELOPMENT],0),MATCH("ESTIMATE",FWD[#Headers],0)),0)</f>
        <v>206248.31368731565</v>
      </c>
      <c r="AB302" s="5">
        <f ca="1">IFERROR(INDEX(EHDAll[],MATCH($B302,EHDAll[DEVELOPMENT],0),MATCH("ESTIMATE",EHDAll[#Headers],0)),0)</f>
        <v>0</v>
      </c>
      <c r="AC302" s="5">
        <f ca="1">IFERROR(INDEX(IntAll[],MATCH($B302,IntAll[DEVELOPMENT],0),MATCH("ESTIMATE",IntAll[#Headers],0)),0)</f>
        <v>0</v>
      </c>
      <c r="AD302" s="5">
        <f ca="1">IFERROR(INDEX(YardsAll[],MATCH($B302,YardsAll[DEVELOPMENT],0),MATCH("TOTAL ESTIMATE",YardsAll[#Headers],0)),0)</f>
        <v>2250394.4637300009</v>
      </c>
      <c r="AE302" s="99">
        <f t="shared" ca="1" si="4"/>
        <v>2456642.7774173166</v>
      </c>
      <c r="AF302" s="5"/>
    </row>
    <row r="303" spans="1:32">
      <c r="A303" s="101">
        <f>VLOOKUP(B303,Data[],24,FALSE)</f>
        <v>246</v>
      </c>
      <c r="B303" t="s">
        <v>382</v>
      </c>
      <c r="C303" t="str">
        <f>VLOOKUP(all[[#This Row],[DEVELOPMENT]],Data[],MATCH(all[[#Headers],[PROGRAM]],Data[#Headers],0),FALSE)</f>
        <v>FEDERAL</v>
      </c>
      <c r="D303" t="str">
        <f>VLOOKUP(B303,Data[],2,FALSE)</f>
        <v>BRONX</v>
      </c>
      <c r="E303">
        <f>VLOOKUP(all[[#This Row],[DEVELOPMENT]],Data[],65,FALSE)</f>
        <v>77</v>
      </c>
      <c r="F303" t="e">
        <f>VLOOKUP(all[[#This Row],[DEVELOPMENT]],Data[],3,FALSE)</f>
        <v>#N/A</v>
      </c>
      <c r="G303" s="107" t="s">
        <v>185</v>
      </c>
      <c r="H303" t="s">
        <v>184</v>
      </c>
      <c r="I303">
        <f>VLOOKUP(all[[#This Row],[DEVELOPMENT]],Data[],34,FALSE)</f>
        <v>0</v>
      </c>
      <c r="J303" t="s">
        <v>184</v>
      </c>
      <c r="K303" t="str">
        <f>VLOOKUP(B303,Data[],8,FALSE)</f>
        <v>Zone 4</v>
      </c>
      <c r="L303" t="str">
        <f>VLOOKUP(all[[#This Row],[DEVELOPMENT]],Data[],61,FALSE)</f>
        <v>No</v>
      </c>
      <c r="M303">
        <f>VLOOKUP(B303,Data[],9,FALSE)</f>
        <v>0</v>
      </c>
      <c r="N303">
        <v>3</v>
      </c>
      <c r="O303">
        <v>4</v>
      </c>
      <c r="P303" t="str">
        <f ca="1">IFERROR(VLOOKUP(B303,Data[],4,FALSE),"")</f>
        <v/>
      </c>
      <c r="Q303" t="str">
        <f ca="1">IF(all[[#This Row],[RAD/PACT]]="","",IF(OR(all[[#This Row],[RAD/PACT]]="2021-2025",all[[#This Row],[RAD/PACT]]="2019-2020"),"Yes",""))</f>
        <v/>
      </c>
      <c r="R303">
        <f>VLOOKUP(all[[#This Row],[DEVELOPMENT]],Data[],7,FALSE)</f>
        <v>148</v>
      </c>
      <c r="S303">
        <f>VLOOKUP(all[[#This Row],[DEVELOPMENT]],Data[],25,FALSE)</f>
        <v>0</v>
      </c>
      <c r="T303">
        <f>VLOOKUP(all[[#This Row],[DEVELOPMENT]],Data[],5,FALSE)</f>
        <v>1</v>
      </c>
      <c r="U303">
        <f>VLOOKUP(all[[#This Row],[DEVELOPMENT]],Data[],10,FALSE)</f>
        <v>1</v>
      </c>
      <c r="V303">
        <f>VLOOKUP(all[[#This Row],[DEVELOPMENT]],Data[],10,FALSE)</f>
        <v>1</v>
      </c>
      <c r="W303">
        <f>VLOOKUP(all[[#This Row],[DEVELOPMENT]],Data[],33,FALSE)</f>
        <v>0</v>
      </c>
      <c r="X303">
        <f>VLOOKUP(all[[#This Row],[DEVELOPMENT]],Data[],33,FALSE)</f>
        <v>0</v>
      </c>
      <c r="Y303">
        <f>VLOOKUP(all[[#This Row],[DEVELOPMENT]],Data[],28,FALSE)</f>
        <v>0</v>
      </c>
      <c r="Z303">
        <f>IF(all[[#This Row],['# Bulk Crushers]]=0,1,0)</f>
        <v>1</v>
      </c>
      <c r="AA303" s="5">
        <f ca="1">IFERROR(INDEX(FWD[],MATCH($B303,FWD[DEVELOPMENT],0),MATCH("ESTIMATE",FWD[#Headers],0)),0)</f>
        <v>254372.92021435595</v>
      </c>
      <c r="AB303" s="5">
        <f ca="1">IFERROR(INDEX(EHDAll[],MATCH($B303,EHDAll[DEVELOPMENT],0),MATCH("ESTIMATE",EHDAll[#Headers],0)),0)</f>
        <v>8736.8811125000011</v>
      </c>
      <c r="AC303" s="5">
        <f ca="1">IFERROR(INDEX(IntAll[],MATCH($B303,IntAll[DEVELOPMENT],0),MATCH("ESTIMATE",IntAll[#Headers],0)),0)</f>
        <v>63087.5</v>
      </c>
      <c r="AD303" s="5">
        <f ca="1">IFERROR(INDEX(YardsAll[],MATCH($B303,YardsAll[DEVELOPMENT],0),MATCH("TOTAL ESTIMATE",YardsAll[#Headers],0)),0)</f>
        <v>0</v>
      </c>
      <c r="AE303" s="99">
        <f t="shared" ca="1" si="4"/>
        <v>326197.30132685596</v>
      </c>
      <c r="AF303" s="5"/>
    </row>
    <row r="304" spans="1:32">
      <c r="A304" s="101">
        <f>VLOOKUP(B304,Data[],24,FALSE)</f>
        <v>514</v>
      </c>
      <c r="B304" t="s">
        <v>383</v>
      </c>
      <c r="C304" t="str">
        <f>VLOOKUP(all[[#This Row],[DEVELOPMENT]],Data[],MATCH(all[[#Headers],[PROGRAM]],Data[#Headers],0),FALSE)</f>
        <v>FEDERAL</v>
      </c>
      <c r="D304" t="str">
        <f>VLOOKUP(B304,Data[],2,FALSE)</f>
        <v>BROOKLYN</v>
      </c>
      <c r="E304">
        <f>VLOOKUP(all[[#This Row],[DEVELOPMENT]],Data[],65,FALSE)</f>
        <v>57</v>
      </c>
      <c r="F304" t="e">
        <f>VLOOKUP(all[[#This Row],[DEVELOPMENT]],Data[],3,FALSE)</f>
        <v>#N/A</v>
      </c>
      <c r="G304" s="107" t="s">
        <v>185</v>
      </c>
      <c r="H304" t="s">
        <v>184</v>
      </c>
      <c r="I304">
        <f>VLOOKUP(all[[#This Row],[DEVELOPMENT]],Data[],34,FALSE)</f>
        <v>0</v>
      </c>
      <c r="J304" t="s">
        <v>184</v>
      </c>
      <c r="K304">
        <f>VLOOKUP(B304,Data[],8,FALSE)</f>
        <v>0</v>
      </c>
      <c r="L304" t="str">
        <f>VLOOKUP(all[[#This Row],[DEVELOPMENT]],Data[],61,FALSE)</f>
        <v>No</v>
      </c>
      <c r="M304">
        <f>VLOOKUP(B304,Data[],9,FALSE)</f>
        <v>0</v>
      </c>
      <c r="N304" t="s">
        <v>185</v>
      </c>
      <c r="O304" t="s">
        <v>185</v>
      </c>
      <c r="P304" t="str">
        <f ca="1">IFERROR(VLOOKUP(B304,Data[],4,FALSE),"")</f>
        <v/>
      </c>
      <c r="Q304" t="str">
        <f ca="1">IF(all[[#This Row],[RAD/PACT]]="","",IF(OR(all[[#This Row],[RAD/PACT]]="2021-2025",all[[#This Row],[RAD/PACT]]="2019-2020"),"Yes",""))</f>
        <v/>
      </c>
      <c r="R304">
        <f>VLOOKUP(all[[#This Row],[DEVELOPMENT]],Data[],7,FALSE)</f>
        <v>1651</v>
      </c>
      <c r="S304" t="str">
        <f>VLOOKUP(all[[#This Row],[DEVELOPMENT]],Data[],25,FALSE)</f>
        <v>Newtown Creek</v>
      </c>
      <c r="T304">
        <f>VLOOKUP(all[[#This Row],[DEVELOPMENT]],Data[],5,FALSE)</f>
        <v>15</v>
      </c>
      <c r="U304">
        <f>VLOOKUP(all[[#This Row],[DEVELOPMENT]],Data[],10,FALSE)</f>
        <v>32</v>
      </c>
      <c r="V304">
        <f>VLOOKUP(all[[#This Row],[DEVELOPMENT]],Data[],10,FALSE)</f>
        <v>32</v>
      </c>
      <c r="W304">
        <f>VLOOKUP(all[[#This Row],[DEVELOPMENT]],Data[],33,FALSE)</f>
        <v>3</v>
      </c>
      <c r="X304">
        <f>VLOOKUP(all[[#This Row],[DEVELOPMENT]],Data[],33,FALSE)</f>
        <v>3</v>
      </c>
      <c r="Y304">
        <f>VLOOKUP(all[[#This Row],[DEVELOPMENT]],Data[],28,FALSE)</f>
        <v>0</v>
      </c>
      <c r="Z304">
        <f>IF(all[[#This Row],['# Bulk Crushers]]=0,1,0)</f>
        <v>1</v>
      </c>
      <c r="AA304" s="5">
        <f ca="1">IFERROR(INDEX(FWD[],MATCH($B304,FWD[DEVELOPMENT],0),MATCH("ESTIMATE",FWD[#Headers],0)),0)</f>
        <v>2837633.0491479845</v>
      </c>
      <c r="AB304" s="5">
        <f ca="1">IFERROR(INDEX(EHDAll[],MATCH($B304,EHDAll[DEVELOPMENT],0),MATCH("ESTIMATE",EHDAll[#Headers],0)),0)</f>
        <v>279580.19560000004</v>
      </c>
      <c r="AC304" s="5">
        <f ca="1">IFERROR(INDEX(IntAll[],MATCH($B304,IntAll[DEVELOPMENT],0),MATCH("ESTIMATE",IntAll[#Headers],0)),0)</f>
        <v>2584064</v>
      </c>
      <c r="AD304" s="5">
        <f ca="1">IFERROR(INDEX(YardsAll[],MATCH($B304,YardsAll[DEVELOPMENT],0),MATCH("TOTAL ESTIMATE",YardsAll[#Headers],0)),0)</f>
        <v>3089607.5553035</v>
      </c>
      <c r="AE304" s="99">
        <f t="shared" ca="1" si="4"/>
        <v>8790884.8000514843</v>
      </c>
      <c r="AF304" s="5"/>
    </row>
    <row r="305" spans="1:32">
      <c r="A305" s="101">
        <f>VLOOKUP(B305,Data[],24,FALSE)</f>
        <v>128</v>
      </c>
      <c r="B305" t="s">
        <v>384</v>
      </c>
      <c r="C305" t="str">
        <f>VLOOKUP(all[[#This Row],[DEVELOPMENT]],Data[],MATCH(all[[#Headers],[PROGRAM]],Data[#Headers],0),FALSE)</f>
        <v>MIXED FINANCE/LLC2</v>
      </c>
      <c r="D305" t="str">
        <f>VLOOKUP(B305,Data[],2,FALSE)</f>
        <v>BROOKLYN</v>
      </c>
      <c r="E305">
        <f>VLOOKUP(all[[#This Row],[DEVELOPMENT]],Data[],65,FALSE)</f>
        <v>50</v>
      </c>
      <c r="F305" t="e">
        <f>VLOOKUP(all[[#This Row],[DEVELOPMENT]],Data[],3,FALSE)</f>
        <v>#N/A</v>
      </c>
      <c r="G305" s="107" t="s">
        <v>185</v>
      </c>
      <c r="H305" t="s">
        <v>184</v>
      </c>
      <c r="I305">
        <f>VLOOKUP(all[[#This Row],[DEVELOPMENT]],Data[],34,FALSE)</f>
        <v>0</v>
      </c>
      <c r="J305" t="s">
        <v>184</v>
      </c>
      <c r="K305">
        <f>VLOOKUP(B305,Data[],8,FALSE)</f>
        <v>0</v>
      </c>
      <c r="L305" t="str">
        <f>VLOOKUP(all[[#This Row],[DEVELOPMENT]],Data[],61,FALSE)</f>
        <v>No</v>
      </c>
      <c r="M305">
        <f>VLOOKUP(B305,Data[],9,FALSE)</f>
        <v>0</v>
      </c>
      <c r="N305">
        <v>3</v>
      </c>
      <c r="O305">
        <v>4</v>
      </c>
      <c r="P305">
        <f ca="1">IFERROR(VLOOKUP(B305,Data[],4,FALSE),"")</f>
        <v>2019</v>
      </c>
      <c r="Q305" t="str">
        <f ca="1">IF(all[[#This Row],[RAD/PACT]]="","",IF(OR(all[[#This Row],[RAD/PACT]]="2021-2025",all[[#This Row],[RAD/PACT]]="2019-2020"),"Yes",""))</f>
        <v/>
      </c>
      <c r="R305">
        <f>VLOOKUP(all[[#This Row],[DEVELOPMENT]],Data[],7,FALSE)</f>
        <v>577</v>
      </c>
      <c r="S305" t="str">
        <f>VLOOKUP(all[[#This Row],[DEVELOPMENT]],Data[],25,FALSE)</f>
        <v>Newtown Creek</v>
      </c>
      <c r="T305">
        <f>VLOOKUP(all[[#This Row],[DEVELOPMENT]],Data[],5,FALSE)</f>
        <v>5</v>
      </c>
      <c r="U305">
        <f>VLOOKUP(all[[#This Row],[DEVELOPMENT]],Data[],10,FALSE)</f>
        <v>5</v>
      </c>
      <c r="V305">
        <f>VLOOKUP(all[[#This Row],[DEVELOPMENT]],Data[],10,FALSE)</f>
        <v>5</v>
      </c>
      <c r="W305">
        <f>VLOOKUP(all[[#This Row],[DEVELOPMENT]],Data[],33,FALSE)</f>
        <v>1</v>
      </c>
      <c r="X305">
        <f>VLOOKUP(all[[#This Row],[DEVELOPMENT]],Data[],33,FALSE)</f>
        <v>1</v>
      </c>
      <c r="Y305">
        <f>VLOOKUP(all[[#This Row],[DEVELOPMENT]],Data[],28,FALSE)</f>
        <v>1</v>
      </c>
      <c r="Z305">
        <f>IF(all[[#This Row],['# Bulk Crushers]]=0,1,0)</f>
        <v>0</v>
      </c>
      <c r="AA305" s="5">
        <f ca="1">IFERROR(INDEX(FWD[],MATCH($B305,FWD[DEVELOPMENT],0),MATCH("ESTIMATE",FWD[#Headers],0)),0)</f>
        <v>991710.64164650941</v>
      </c>
      <c r="AB305" s="5">
        <f ca="1">IFERROR(INDEX(EHDAll[],MATCH($B305,EHDAll[DEVELOPMENT],0),MATCH("ESTIMATE",EHDAll[#Headers],0)),0)</f>
        <v>43684.405562500004</v>
      </c>
      <c r="AC305" s="5">
        <f ca="1">IFERROR(INDEX(IntAll[],MATCH($B305,IntAll[DEVELOPMENT],0),MATCH("ESTIMATE",IntAll[#Headers],0)),0)</f>
        <v>0</v>
      </c>
      <c r="AD305" s="5">
        <f ca="1">IFERROR(INDEX(YardsAll[],MATCH($B305,YardsAll[DEVELOPMENT],0),MATCH("TOTAL ESTIMATE",YardsAll[#Headers],0)),0)</f>
        <v>0</v>
      </c>
      <c r="AE305" s="99">
        <f t="shared" ca="1" si="4"/>
        <v>1035395.0472090094</v>
      </c>
      <c r="AF305" s="5"/>
    </row>
    <row r="306" spans="1:32">
      <c r="A306" s="101">
        <f>VLOOKUP(B306,Data[],24,FALSE)</f>
        <v>2</v>
      </c>
      <c r="B306" t="s">
        <v>385</v>
      </c>
      <c r="C306" t="str">
        <f>VLOOKUP(all[[#This Row],[DEVELOPMENT]],Data[],MATCH(all[[#Headers],[PROGRAM]],Data[#Headers],0),FALSE)</f>
        <v>FEDERAL</v>
      </c>
      <c r="D306" t="str">
        <f>VLOOKUP(B306,Data[],2,FALSE)</f>
        <v>BROOKLYN</v>
      </c>
      <c r="E306">
        <f>VLOOKUP(all[[#This Row],[DEVELOPMENT]],Data[],65,FALSE)</f>
        <v>53</v>
      </c>
      <c r="F306" t="e">
        <f>VLOOKUP(all[[#This Row],[DEVELOPMENT]],Data[],3,FALSE)</f>
        <v>#N/A</v>
      </c>
      <c r="G306" s="107" t="s">
        <v>185</v>
      </c>
      <c r="H306" t="s">
        <v>184</v>
      </c>
      <c r="I306">
        <f>VLOOKUP(all[[#This Row],[DEVELOPMENT]],Data[],34,FALSE)</f>
        <v>0</v>
      </c>
      <c r="J306" t="s">
        <v>184</v>
      </c>
      <c r="K306">
        <f>VLOOKUP(B306,Data[],8,FALSE)</f>
        <v>0</v>
      </c>
      <c r="L306" t="str">
        <f>VLOOKUP(all[[#This Row],[DEVELOPMENT]],Data[],61,FALSE)</f>
        <v>No</v>
      </c>
      <c r="M306">
        <f>VLOOKUP(B306,Data[],9,FALSE)</f>
        <v>0</v>
      </c>
      <c r="N306">
        <v>2</v>
      </c>
      <c r="O306" t="s">
        <v>185</v>
      </c>
      <c r="P306" t="str">
        <f ca="1">IFERROR(VLOOKUP(B306,Data[],4,FALSE),"")</f>
        <v>2020-2021</v>
      </c>
      <c r="Q306" t="str">
        <f ca="1">IF(all[[#This Row],[RAD/PACT]]="","",IF(OR(all[[#This Row],[RAD/PACT]]="2021-2025",all[[#This Row],[RAD/PACT]]="2019-2020"),"Yes",""))</f>
        <v/>
      </c>
      <c r="R306">
        <f>VLOOKUP(all[[#This Row],[DEVELOPMENT]],Data[],7,FALSE)</f>
        <v>1627</v>
      </c>
      <c r="S306" t="str">
        <f>VLOOKUP(all[[#This Row],[DEVELOPMENT]],Data[],25,FALSE)</f>
        <v>Newtown Creek</v>
      </c>
      <c r="T306">
        <f>VLOOKUP(all[[#This Row],[DEVELOPMENT]],Data[],5,FALSE)</f>
        <v>20</v>
      </c>
      <c r="U306">
        <f>VLOOKUP(all[[#This Row],[DEVELOPMENT]],Data[],10,FALSE)</f>
        <v>136</v>
      </c>
      <c r="V306">
        <f>VLOOKUP(all[[#This Row],[DEVELOPMENT]],Data[],10,FALSE)</f>
        <v>136</v>
      </c>
      <c r="W306">
        <f>VLOOKUP(all[[#This Row],[DEVELOPMENT]],Data[],33,FALSE)</f>
        <v>0</v>
      </c>
      <c r="X306">
        <f>VLOOKUP(all[[#This Row],[DEVELOPMENT]],Data[],33,FALSE)</f>
        <v>0</v>
      </c>
      <c r="Y306">
        <f>VLOOKUP(all[[#This Row],[DEVELOPMENT]],Data[],28,FALSE)</f>
        <v>0</v>
      </c>
      <c r="Z306">
        <f>IF(all[[#This Row],['# Bulk Crushers]]=0,1,0)</f>
        <v>1</v>
      </c>
      <c r="AA306" s="5">
        <f ca="1">IFERROR(INDEX(FWD[],MATCH($B306,FWD[DEVELOPMENT],0),MATCH("ESTIMATE",FWD[#Headers],0)),0)</f>
        <v>2796383.3864105213</v>
      </c>
      <c r="AB306" s="5">
        <f ca="1">IFERROR(INDEX(EHDAll[],MATCH($B306,EHDAll[DEVELOPMENT],0),MATCH("ESTIMATE",EHDAll[#Headers],0)),0)</f>
        <v>1223609.4943600001</v>
      </c>
      <c r="AC306" s="5">
        <f ca="1">IFERROR(INDEX(IntAll[],MATCH($B306,IntAll[DEVELOPMENT],0),MATCH("ESTIMATE",IntAll[#Headers],0)),0)</f>
        <v>0</v>
      </c>
      <c r="AD306" s="5">
        <f ca="1">IFERROR(INDEX(YardsAll[],MATCH($B306,YardsAll[DEVELOPMENT],0),MATCH("TOTAL ESTIMATE",YardsAll[#Headers],0)),0)</f>
        <v>0</v>
      </c>
      <c r="AE306" s="99">
        <f t="shared" ca="1" si="4"/>
        <v>4019992.8807705212</v>
      </c>
      <c r="AF306" s="5"/>
    </row>
    <row r="307" spans="1:32">
      <c r="A307" s="101">
        <f>VLOOKUP(B307,Data[],24,FALSE)</f>
        <v>127</v>
      </c>
      <c r="B307" t="s">
        <v>386</v>
      </c>
      <c r="C307" t="str">
        <f>VLOOKUP(all[[#This Row],[DEVELOPMENT]],Data[],MATCH(all[[#Headers],[PROGRAM]],Data[#Headers],0),FALSE)</f>
        <v>MIXED FINANCE/LLC2</v>
      </c>
      <c r="D307" t="str">
        <f>VLOOKUP(B307,Data[],2,FALSE)</f>
        <v>MANHATTAN</v>
      </c>
      <c r="E307">
        <f>VLOOKUP(all[[#This Row],[DEVELOPMENT]],Data[],65,FALSE)</f>
        <v>69</v>
      </c>
      <c r="F307" t="e">
        <f>VLOOKUP(all[[#This Row],[DEVELOPMENT]],Data[],3,FALSE)</f>
        <v>#N/A</v>
      </c>
      <c r="G307" s="107" t="s">
        <v>185</v>
      </c>
      <c r="H307" t="s">
        <v>184</v>
      </c>
      <c r="I307">
        <f>VLOOKUP(all[[#This Row],[DEVELOPMENT]],Data[],34,FALSE)</f>
        <v>0</v>
      </c>
      <c r="J307" t="s">
        <v>184</v>
      </c>
      <c r="K307" t="str">
        <f>VLOOKUP(B307,Data[],8,FALSE)</f>
        <v>Zone 4</v>
      </c>
      <c r="L307" t="str">
        <f>VLOOKUP(all[[#This Row],[DEVELOPMENT]],Data[],61,FALSE)</f>
        <v>No</v>
      </c>
      <c r="M307">
        <f>VLOOKUP(B307,Data[],9,FALSE)</f>
        <v>0</v>
      </c>
      <c r="N307">
        <v>3</v>
      </c>
      <c r="O307" t="s">
        <v>185</v>
      </c>
      <c r="P307" t="str">
        <f ca="1">IFERROR(VLOOKUP(B307,Data[],4,FALSE),"")</f>
        <v>2020-2021</v>
      </c>
      <c r="Q307" t="str">
        <f ca="1">IF(all[[#This Row],[RAD/PACT]]="","",IF(OR(all[[#This Row],[RAD/PACT]]="2021-2025",all[[#This Row],[RAD/PACT]]="2019-2020"),"Yes",""))</f>
        <v/>
      </c>
      <c r="R307">
        <f>VLOOKUP(all[[#This Row],[DEVELOPMENT]],Data[],7,FALSE)</f>
        <v>397</v>
      </c>
      <c r="S307">
        <f>VLOOKUP(all[[#This Row],[DEVELOPMENT]],Data[],25,FALSE)</f>
        <v>0</v>
      </c>
      <c r="T307">
        <f>VLOOKUP(all[[#This Row],[DEVELOPMENT]],Data[],5,FALSE)</f>
        <v>2</v>
      </c>
      <c r="U307">
        <f>VLOOKUP(all[[#This Row],[DEVELOPMENT]],Data[],10,FALSE)</f>
        <v>4</v>
      </c>
      <c r="V307">
        <f>VLOOKUP(all[[#This Row],[DEVELOPMENT]],Data[],10,FALSE)</f>
        <v>4</v>
      </c>
      <c r="W307">
        <f>VLOOKUP(all[[#This Row],[DEVELOPMENT]],Data[],33,FALSE)</f>
        <v>0</v>
      </c>
      <c r="X307">
        <f>VLOOKUP(all[[#This Row],[DEVELOPMENT]],Data[],33,FALSE)</f>
        <v>0</v>
      </c>
      <c r="Y307">
        <f>VLOOKUP(all[[#This Row],[DEVELOPMENT]],Data[],28,FALSE)</f>
        <v>0</v>
      </c>
      <c r="Z307">
        <f>IF(all[[#This Row],['# Bulk Crushers]]=0,1,0)</f>
        <v>1</v>
      </c>
      <c r="AA307" s="5">
        <f ca="1">IFERROR(INDEX(FWD[],MATCH($B307,FWD[DEVELOPMENT],0),MATCH("ESTIMATE",FWD[#Headers],0)),0)</f>
        <v>682338.17111553589</v>
      </c>
      <c r="AB307" s="5">
        <f ca="1">IFERROR(INDEX(EHDAll[],MATCH($B307,EHDAll[DEVELOPMENT],0),MATCH("ESTIMATE",EHDAll[#Headers],0)),0)</f>
        <v>35988.514539999996</v>
      </c>
      <c r="AC307" s="5">
        <f ca="1">IFERROR(INDEX(IntAll[],MATCH($B307,IntAll[DEVELOPMENT],0),MATCH("ESTIMATE",IntAll[#Headers],0)),0)</f>
        <v>0</v>
      </c>
      <c r="AD307" s="5">
        <f ca="1">IFERROR(INDEX(YardsAll[],MATCH($B307,YardsAll[DEVELOPMENT],0),MATCH("TOTAL ESTIMATE",YardsAll[#Headers],0)),0)</f>
        <v>0</v>
      </c>
      <c r="AE307" s="99">
        <f t="shared" ca="1" si="4"/>
        <v>718326.6856555359</v>
      </c>
      <c r="AF307" s="5"/>
    </row>
    <row r="308" spans="1:32">
      <c r="A308" s="101">
        <f>VLOOKUP(B308,Data[],24,FALSE)</f>
        <v>182</v>
      </c>
      <c r="B308" t="s">
        <v>387</v>
      </c>
      <c r="C308" t="str">
        <f>VLOOKUP(all[[#This Row],[DEVELOPMENT]],Data[],MATCH(all[[#Headers],[PROGRAM]],Data[#Headers],0),FALSE)</f>
        <v>FEDERAL</v>
      </c>
      <c r="D308" t="str">
        <f>VLOOKUP(B308,Data[],2,FALSE)</f>
        <v>BROOKLYN</v>
      </c>
      <c r="E308">
        <f>VLOOKUP(all[[#This Row],[DEVELOPMENT]],Data[],65,FALSE)</f>
        <v>55</v>
      </c>
      <c r="F308" t="e">
        <f>VLOOKUP(all[[#This Row],[DEVELOPMENT]],Data[],3,FALSE)</f>
        <v>#N/A</v>
      </c>
      <c r="G308" s="107" t="s">
        <v>185</v>
      </c>
      <c r="H308" t="s">
        <v>184</v>
      </c>
      <c r="I308">
        <f>VLOOKUP(all[[#This Row],[DEVELOPMENT]],Data[],34,FALSE)</f>
        <v>0</v>
      </c>
      <c r="J308" t="s">
        <v>184</v>
      </c>
      <c r="K308">
        <f>VLOOKUP(B308,Data[],8,FALSE)</f>
        <v>0</v>
      </c>
      <c r="L308" t="str">
        <f>VLOOKUP(all[[#This Row],[DEVELOPMENT]],Data[],61,FALSE)</f>
        <v>No</v>
      </c>
      <c r="M308">
        <f>VLOOKUP(B308,Data[],9,FALSE)</f>
        <v>0</v>
      </c>
      <c r="N308">
        <v>3</v>
      </c>
      <c r="O308">
        <v>4</v>
      </c>
      <c r="P308" t="str">
        <f ca="1">IFERROR(VLOOKUP(B308,Data[],4,FALSE),"")</f>
        <v/>
      </c>
      <c r="Q308" t="str">
        <f ca="1">IF(all[[#This Row],[RAD/PACT]]="","",IF(OR(all[[#This Row],[RAD/PACT]]="2021-2025",all[[#This Row],[RAD/PACT]]="2019-2020"),"Yes",""))</f>
        <v/>
      </c>
      <c r="R308">
        <f>VLOOKUP(all[[#This Row],[DEVELOPMENT]],Data[],7,FALSE)</f>
        <v>407</v>
      </c>
      <c r="S308">
        <f>VLOOKUP(all[[#This Row],[DEVELOPMENT]],Data[],25,FALSE)</f>
        <v>0</v>
      </c>
      <c r="T308">
        <f>VLOOKUP(all[[#This Row],[DEVELOPMENT]],Data[],5,FALSE)</f>
        <v>2</v>
      </c>
      <c r="U308">
        <f>VLOOKUP(all[[#This Row],[DEVELOPMENT]],Data[],10,FALSE)</f>
        <v>3</v>
      </c>
      <c r="V308">
        <f>VLOOKUP(all[[#This Row],[DEVELOPMENT]],Data[],10,FALSE)</f>
        <v>3</v>
      </c>
      <c r="W308">
        <f>VLOOKUP(all[[#This Row],[DEVELOPMENT]],Data[],33,FALSE)</f>
        <v>1</v>
      </c>
      <c r="X308">
        <f>VLOOKUP(all[[#This Row],[DEVELOPMENT]],Data[],33,FALSE)</f>
        <v>1</v>
      </c>
      <c r="Y308">
        <f>VLOOKUP(all[[#This Row],[DEVELOPMENT]],Data[],28,FALSE)</f>
        <v>0</v>
      </c>
      <c r="Z308">
        <f>IF(all[[#This Row],['# Bulk Crushers]]=0,1,0)</f>
        <v>1</v>
      </c>
      <c r="AA308" s="5">
        <f ca="1">IFERROR(INDEX(FWD[],MATCH($B308,FWD[DEVELOPMENT],0),MATCH("ESTIMATE",FWD[#Headers],0)),0)</f>
        <v>699525.53058947891</v>
      </c>
      <c r="AB308" s="5">
        <f>IFERROR(INDEX(EHDAll[],MATCH($B308,EHDAll[DEVELOPMENT],0),MATCH("ESTIMATE",EHDAll[#Headers],0)),0)</f>
        <v>0</v>
      </c>
      <c r="AC308" s="5">
        <f ca="1">IFERROR(INDEX(IntAll[],MATCH($B308,IntAll[DEVELOPMENT],0),MATCH("ESTIMATE",IntAll[#Headers],0)),0)</f>
        <v>229007.625</v>
      </c>
      <c r="AD308" s="5">
        <f ca="1">IFERROR(INDEX(YardsAll[],MATCH($B308,YardsAll[DEVELOPMENT],0),MATCH("TOTAL ESTIMATE",YardsAll[#Headers],0)),0)</f>
        <v>1743697.7301760004</v>
      </c>
      <c r="AE308" s="99">
        <f t="shared" ca="1" si="4"/>
        <v>2672230.8857654794</v>
      </c>
      <c r="AF308" s="5"/>
    </row>
    <row r="309" spans="1:32">
      <c r="A309" s="101">
        <f>VLOOKUP(B309,Data[],24,FALSE)</f>
        <v>178</v>
      </c>
      <c r="B309" t="s">
        <v>388</v>
      </c>
      <c r="C309" t="str">
        <f>VLOOKUP(all[[#This Row],[DEVELOPMENT]],Data[],MATCH(all[[#Headers],[PROGRAM]],Data[#Headers],0),FALSE)</f>
        <v>FEDERAL</v>
      </c>
      <c r="D309" t="str">
        <f>VLOOKUP(B309,Data[],2,FALSE)</f>
        <v>MANHATTAN</v>
      </c>
      <c r="E309">
        <f>VLOOKUP(all[[#This Row],[DEVELOPMENT]],Data[],65,FALSE)</f>
        <v>69</v>
      </c>
      <c r="F309" t="e">
        <f>VLOOKUP(all[[#This Row],[DEVELOPMENT]],Data[],3,FALSE)</f>
        <v>#N/A</v>
      </c>
      <c r="G309" s="107" t="s">
        <v>185</v>
      </c>
      <c r="H309" t="s">
        <v>184</v>
      </c>
      <c r="I309">
        <f>VLOOKUP(all[[#This Row],[DEVELOPMENT]],Data[],34,FALSE)</f>
        <v>0</v>
      </c>
      <c r="J309" t="s">
        <v>184</v>
      </c>
      <c r="K309" t="str">
        <f>VLOOKUP(B309,Data[],8,FALSE)</f>
        <v>Zone 4</v>
      </c>
      <c r="L309" t="str">
        <f>VLOOKUP(all[[#This Row],[DEVELOPMENT]],Data[],61,FALSE)</f>
        <v>No</v>
      </c>
      <c r="M309">
        <f>VLOOKUP(B309,Data[],9,FALSE)</f>
        <v>0</v>
      </c>
      <c r="N309" t="s">
        <v>185</v>
      </c>
      <c r="O309" t="s">
        <v>185</v>
      </c>
      <c r="P309" t="str">
        <f ca="1">IFERROR(VLOOKUP(B309,Data[],4,FALSE),"")</f>
        <v/>
      </c>
      <c r="Q309" t="str">
        <f ca="1">IF(all[[#This Row],[RAD/PACT]]="","",IF(OR(all[[#This Row],[RAD/PACT]]="2021-2025",all[[#This Row],[RAD/PACT]]="2019-2020"),"Yes",""))</f>
        <v/>
      </c>
      <c r="R309">
        <f>VLOOKUP(all[[#This Row],[DEVELOPMENT]],Data[],7,FALSE)</f>
        <v>236</v>
      </c>
      <c r="S309">
        <f>VLOOKUP(all[[#This Row],[DEVELOPMENT]],Data[],25,FALSE)</f>
        <v>0</v>
      </c>
      <c r="T309">
        <f>VLOOKUP(all[[#This Row],[DEVELOPMENT]],Data[],5,FALSE)</f>
        <v>36</v>
      </c>
      <c r="U309">
        <f>VLOOKUP(all[[#This Row],[DEVELOPMENT]],Data[],10,FALSE)</f>
        <v>0</v>
      </c>
      <c r="V309">
        <f>VLOOKUP(all[[#This Row],[DEVELOPMENT]],Data[],10,FALSE)</f>
        <v>0</v>
      </c>
      <c r="W309">
        <f>VLOOKUP(all[[#This Row],[DEVELOPMENT]],Data[],33,FALSE)</f>
        <v>0</v>
      </c>
      <c r="X309">
        <f>VLOOKUP(all[[#This Row],[DEVELOPMENT]],Data[],33,FALSE)</f>
        <v>0</v>
      </c>
      <c r="Y309">
        <f>VLOOKUP(all[[#This Row],[DEVELOPMENT]],Data[],28,FALSE)</f>
        <v>0</v>
      </c>
      <c r="Z309">
        <f>IF(all[[#This Row],['# Bulk Crushers]]=0,1,0)</f>
        <v>1</v>
      </c>
      <c r="AA309" s="5">
        <f ca="1">IFERROR(INDEX(FWD[],MATCH($B309,FWD[DEVELOPMENT],0),MATCH("ESTIMATE",FWD[#Headers],0)),0)</f>
        <v>405621.68358505407</v>
      </c>
      <c r="AB309" s="5">
        <f ca="1">IFERROR(INDEX(EHDAll[],MATCH($B309,EHDAll[DEVELOPMENT],0),MATCH("ESTIMATE",EHDAll[#Headers],0)),0)</f>
        <v>0</v>
      </c>
      <c r="AC309" s="5">
        <f ca="1">IFERROR(INDEX(IntAll[],MATCH($B309,IntAll[DEVELOPMENT],0),MATCH("ESTIMATE",IntAll[#Headers],0)),0)</f>
        <v>0</v>
      </c>
      <c r="AD309" s="5">
        <f ca="1">IFERROR(INDEX(YardsAll[],MATCH($B309,YardsAll[DEVELOPMENT],0),MATCH("TOTAL ESTIMATE",YardsAll[#Headers],0)),0)</f>
        <v>0</v>
      </c>
      <c r="AE309" s="99">
        <f t="shared" ca="1" si="4"/>
        <v>405621.68358505407</v>
      </c>
      <c r="AF309" s="5"/>
    </row>
    <row r="310" spans="1:32">
      <c r="A310" s="101">
        <f>VLOOKUP(B310,Data[],24,FALSE)</f>
        <v>151</v>
      </c>
      <c r="B310" t="s">
        <v>389</v>
      </c>
      <c r="C310" t="str">
        <f>VLOOKUP(all[[#This Row],[DEVELOPMENT]],Data[],MATCH(all[[#Headers],[PROGRAM]],Data[#Headers],0),FALSE)</f>
        <v>FEDERAL</v>
      </c>
      <c r="D310" t="str">
        <f>VLOOKUP(B310,Data[],2,FALSE)</f>
        <v>MANHATTAN</v>
      </c>
      <c r="E310">
        <f>VLOOKUP(all[[#This Row],[DEVELOPMENT]],Data[],65,FALSE)</f>
        <v>69</v>
      </c>
      <c r="F310" t="e">
        <f>VLOOKUP(all[[#This Row],[DEVELOPMENT]],Data[],3,FALSE)</f>
        <v>#N/A</v>
      </c>
      <c r="G310" s="107" t="s">
        <v>185</v>
      </c>
      <c r="H310" t="s">
        <v>184</v>
      </c>
      <c r="I310">
        <f>VLOOKUP(all[[#This Row],[DEVELOPMENT]],Data[],34,FALSE)</f>
        <v>0</v>
      </c>
      <c r="J310" t="s">
        <v>184</v>
      </c>
      <c r="K310" t="str">
        <f>VLOOKUP(B310,Data[],8,FALSE)</f>
        <v>Zone 4</v>
      </c>
      <c r="L310" t="str">
        <f>VLOOKUP(all[[#This Row],[DEVELOPMENT]],Data[],61,FALSE)</f>
        <v>No</v>
      </c>
      <c r="M310">
        <f>VLOOKUP(B310,Data[],9,FALSE)</f>
        <v>0</v>
      </c>
      <c r="N310">
        <v>2</v>
      </c>
      <c r="O310" t="s">
        <v>185</v>
      </c>
      <c r="P310" t="str">
        <f ca="1">IFERROR(VLOOKUP(B310,Data[],4,FALSE),"")</f>
        <v/>
      </c>
      <c r="Q310" t="str">
        <f ca="1">IF(all[[#This Row],[RAD/PACT]]="","",IF(OR(all[[#This Row],[RAD/PACT]]="2021-2025",all[[#This Row],[RAD/PACT]]="2019-2020"),"Yes",""))</f>
        <v/>
      </c>
      <c r="R310">
        <f>VLOOKUP(all[[#This Row],[DEVELOPMENT]],Data[],7,FALSE)</f>
        <v>69</v>
      </c>
      <c r="S310">
        <f>VLOOKUP(all[[#This Row],[DEVELOPMENT]],Data[],25,FALSE)</f>
        <v>0</v>
      </c>
      <c r="T310">
        <f>VLOOKUP(all[[#This Row],[DEVELOPMENT]],Data[],5,FALSE)</f>
        <v>1</v>
      </c>
      <c r="U310">
        <f>VLOOKUP(all[[#This Row],[DEVELOPMENT]],Data[],10,FALSE)</f>
        <v>1</v>
      </c>
      <c r="V310">
        <f>VLOOKUP(all[[#This Row],[DEVELOPMENT]],Data[],10,FALSE)</f>
        <v>1</v>
      </c>
      <c r="W310">
        <f>VLOOKUP(all[[#This Row],[DEVELOPMENT]],Data[],33,FALSE)</f>
        <v>0</v>
      </c>
      <c r="X310">
        <f>VLOOKUP(all[[#This Row],[DEVELOPMENT]],Data[],33,FALSE)</f>
        <v>0</v>
      </c>
      <c r="Y310">
        <f>VLOOKUP(all[[#This Row],[DEVELOPMENT]],Data[],28,FALSE)</f>
        <v>0</v>
      </c>
      <c r="Z310">
        <f>IF(all[[#This Row],['# Bulk Crushers]]=0,1,0)</f>
        <v>1</v>
      </c>
      <c r="AA310" s="5">
        <f ca="1">IFERROR(INDEX(FWD[],MATCH($B310,FWD[DEVELOPMENT],0),MATCH("ESTIMATE",FWD[#Headers],0)),0)</f>
        <v>118592.7803702065</v>
      </c>
      <c r="AB310" s="5">
        <f ca="1">IFERROR(INDEX(EHDAll[],MATCH($B310,EHDAll[DEVELOPMENT],0),MATCH("ESTIMATE",EHDAll[#Headers],0)),0)</f>
        <v>8997.1286349999991</v>
      </c>
      <c r="AC310" s="5">
        <f ca="1">IFERROR(INDEX(IntAll[],MATCH($B310,IntAll[DEVELOPMENT],0),MATCH("ESTIMATE",IntAll[#Headers],0)),0)</f>
        <v>65295.562499999993</v>
      </c>
      <c r="AD310" s="5">
        <f ca="1">IFERROR(INDEX(YardsAll[],MATCH($B310,YardsAll[DEVELOPMENT],0),MATCH("TOTAL ESTIMATE",YardsAll[#Headers],0)),0)</f>
        <v>0</v>
      </c>
      <c r="AE310" s="99">
        <f t="shared" ca="1" si="4"/>
        <v>192885.47150520649</v>
      </c>
      <c r="AF310" s="5"/>
    </row>
    <row r="311" spans="1:32">
      <c r="A311" s="101">
        <f>VLOOKUP(B311,Data[],24,FALSE)</f>
        <v>173</v>
      </c>
      <c r="B311" t="s">
        <v>390</v>
      </c>
      <c r="C311" t="str">
        <f>VLOOKUP(all[[#This Row],[DEVELOPMENT]],Data[],MATCH(all[[#Headers],[PROGRAM]],Data[#Headers],0),FALSE)</f>
        <v>FEDERAL</v>
      </c>
      <c r="D311" t="str">
        <f>VLOOKUP(B311,Data[],2,FALSE)</f>
        <v>MANHATTAN</v>
      </c>
      <c r="E311">
        <f>VLOOKUP(all[[#This Row],[DEVELOPMENT]],Data[],65,FALSE)</f>
        <v>69</v>
      </c>
      <c r="F311" t="e">
        <f>VLOOKUP(all[[#This Row],[DEVELOPMENT]],Data[],3,FALSE)</f>
        <v>#N/A</v>
      </c>
      <c r="G311" s="107" t="s">
        <v>185</v>
      </c>
      <c r="H311" t="s">
        <v>184</v>
      </c>
      <c r="I311">
        <f>VLOOKUP(all[[#This Row],[DEVELOPMENT]],Data[],34,FALSE)</f>
        <v>0</v>
      </c>
      <c r="J311" t="s">
        <v>184</v>
      </c>
      <c r="K311" t="str">
        <f>VLOOKUP(B311,Data[],8,FALSE)</f>
        <v>Zone 4</v>
      </c>
      <c r="L311" t="str">
        <f>VLOOKUP(all[[#This Row],[DEVELOPMENT]],Data[],61,FALSE)</f>
        <v>No</v>
      </c>
      <c r="M311">
        <f>VLOOKUP(B311,Data[],9,FALSE)</f>
        <v>0</v>
      </c>
      <c r="N311">
        <v>2</v>
      </c>
      <c r="O311" t="s">
        <v>185</v>
      </c>
      <c r="P311" t="str">
        <f ca="1">IFERROR(VLOOKUP(B311,Data[],4,FALSE),"")</f>
        <v/>
      </c>
      <c r="Q311" t="str">
        <f ca="1">IF(all[[#This Row],[RAD/PACT]]="","",IF(OR(all[[#This Row],[RAD/PACT]]="2021-2025",all[[#This Row],[RAD/PACT]]="2019-2020"),"Yes",""))</f>
        <v/>
      </c>
      <c r="R311">
        <f>VLOOKUP(all[[#This Row],[DEVELOPMENT]],Data[],7,FALSE)</f>
        <v>168</v>
      </c>
      <c r="S311">
        <f>VLOOKUP(all[[#This Row],[DEVELOPMENT]],Data[],25,FALSE)</f>
        <v>0</v>
      </c>
      <c r="T311">
        <f>VLOOKUP(all[[#This Row],[DEVELOPMENT]],Data[],5,FALSE)</f>
        <v>1</v>
      </c>
      <c r="U311">
        <f>VLOOKUP(all[[#This Row],[DEVELOPMENT]],Data[],10,FALSE)</f>
        <v>1</v>
      </c>
      <c r="V311">
        <f>VLOOKUP(all[[#This Row],[DEVELOPMENT]],Data[],10,FALSE)</f>
        <v>1</v>
      </c>
      <c r="W311">
        <f>VLOOKUP(all[[#This Row],[DEVELOPMENT]],Data[],33,FALSE)</f>
        <v>0</v>
      </c>
      <c r="X311">
        <f>VLOOKUP(all[[#This Row],[DEVELOPMENT]],Data[],33,FALSE)</f>
        <v>0</v>
      </c>
      <c r="Y311">
        <f>VLOOKUP(all[[#This Row],[DEVELOPMENT]],Data[],28,FALSE)</f>
        <v>0</v>
      </c>
      <c r="Z311">
        <f>IF(all[[#This Row],['# Bulk Crushers]]=0,1,0)</f>
        <v>1</v>
      </c>
      <c r="AA311" s="5">
        <f ca="1">IFERROR(INDEX(FWD[],MATCH($B311,FWD[DEVELOPMENT],0),MATCH("ESTIMATE",FWD[#Headers],0)),0)</f>
        <v>288747.63916224189</v>
      </c>
      <c r="AB311" s="5">
        <f ca="1">IFERROR(INDEX(EHDAll[],MATCH($B311,EHDAll[DEVELOPMENT],0),MATCH("ESTIMATE",EHDAll[#Headers],0)),0)</f>
        <v>17994.257269999998</v>
      </c>
      <c r="AC311" s="5">
        <f ca="1">IFERROR(INDEX(IntAll[],MATCH($B311,IntAll[DEVELOPMENT],0),MATCH("ESTIMATE",IntAll[#Headers],0)),0)</f>
        <v>65295.562499999993</v>
      </c>
      <c r="AD311" s="5">
        <f ca="1">IFERROR(INDEX(YardsAll[],MATCH($B311,YardsAll[DEVELOPMENT],0),MATCH("TOTAL ESTIMATE",YardsAll[#Headers],0)),0)</f>
        <v>2250394.4637300009</v>
      </c>
      <c r="AE311" s="99">
        <f t="shared" ca="1" si="4"/>
        <v>2622431.9226622428</v>
      </c>
      <c r="AF311" s="5"/>
    </row>
    <row r="312" spans="1:32">
      <c r="A312" s="101">
        <f>VLOOKUP(B312,Data[],24,FALSE)</f>
        <v>174</v>
      </c>
      <c r="B312" t="s">
        <v>391</v>
      </c>
      <c r="C312" t="str">
        <f>VLOOKUP(all[[#This Row],[DEVELOPMENT]],Data[],MATCH(all[[#Headers],[PROGRAM]],Data[#Headers],0),FALSE)</f>
        <v>FEDERAL</v>
      </c>
      <c r="D312" t="str">
        <f>VLOOKUP(B312,Data[],2,FALSE)</f>
        <v>MANHATTAN</v>
      </c>
      <c r="E312">
        <f>VLOOKUP(all[[#This Row],[DEVELOPMENT]],Data[],65,FALSE)</f>
        <v>69</v>
      </c>
      <c r="F312" t="e">
        <f>VLOOKUP(all[[#This Row],[DEVELOPMENT]],Data[],3,FALSE)</f>
        <v>#N/A</v>
      </c>
      <c r="G312" s="107" t="s">
        <v>185</v>
      </c>
      <c r="H312" t="s">
        <v>184</v>
      </c>
      <c r="I312">
        <f>VLOOKUP(all[[#This Row],[DEVELOPMENT]],Data[],34,FALSE)</f>
        <v>0</v>
      </c>
      <c r="J312" t="s">
        <v>184</v>
      </c>
      <c r="K312">
        <f>VLOOKUP(B312,Data[],8,FALSE)</f>
        <v>0</v>
      </c>
      <c r="L312" t="str">
        <f>VLOOKUP(all[[#This Row],[DEVELOPMENT]],Data[],61,FALSE)</f>
        <v>No</v>
      </c>
      <c r="M312">
        <f>VLOOKUP(B312,Data[],9,FALSE)</f>
        <v>0</v>
      </c>
      <c r="N312">
        <v>2</v>
      </c>
      <c r="O312" t="s">
        <v>185</v>
      </c>
      <c r="P312" t="str">
        <f ca="1">IFERROR(VLOOKUP(B312,Data[],4,FALSE),"")</f>
        <v/>
      </c>
      <c r="Q312" t="str">
        <f ca="1">IF(all[[#This Row],[RAD/PACT]]="","",IF(OR(all[[#This Row],[RAD/PACT]]="2021-2025",all[[#This Row],[RAD/PACT]]="2019-2020"),"Yes",""))</f>
        <v/>
      </c>
      <c r="R312">
        <f>VLOOKUP(all[[#This Row],[DEVELOPMENT]],Data[],7,FALSE)</f>
        <v>158</v>
      </c>
      <c r="S312">
        <f>VLOOKUP(all[[#This Row],[DEVELOPMENT]],Data[],25,FALSE)</f>
        <v>0</v>
      </c>
      <c r="T312">
        <f>VLOOKUP(all[[#This Row],[DEVELOPMENT]],Data[],5,FALSE)</f>
        <v>1</v>
      </c>
      <c r="U312">
        <f>VLOOKUP(all[[#This Row],[DEVELOPMENT]],Data[],10,FALSE)</f>
        <v>1</v>
      </c>
      <c r="V312">
        <f>VLOOKUP(all[[#This Row],[DEVELOPMENT]],Data[],10,FALSE)</f>
        <v>1</v>
      </c>
      <c r="W312">
        <f>VLOOKUP(all[[#This Row],[DEVELOPMENT]],Data[],33,FALSE)</f>
        <v>0</v>
      </c>
      <c r="X312">
        <f>VLOOKUP(all[[#This Row],[DEVELOPMENT]],Data[],33,FALSE)</f>
        <v>0</v>
      </c>
      <c r="Y312">
        <f>VLOOKUP(all[[#This Row],[DEVELOPMENT]],Data[],28,FALSE)</f>
        <v>0</v>
      </c>
      <c r="Z312">
        <f>IF(all[[#This Row],['# Bulk Crushers]]=0,1,0)</f>
        <v>1</v>
      </c>
      <c r="AA312" s="5">
        <f ca="1">IFERROR(INDEX(FWD[],MATCH($B312,FWD[DEVELOPMENT],0),MATCH("ESTIMATE",FWD[#Headers],0)),0)</f>
        <v>271560.27968829894</v>
      </c>
      <c r="AB312" s="5">
        <f ca="1">IFERROR(INDEX(EHDAll[],MATCH($B312,EHDAll[DEVELOPMENT],0),MATCH("ESTIMATE",EHDAll[#Headers],0)),0)</f>
        <v>17994.257269999998</v>
      </c>
      <c r="AC312" s="5">
        <f ca="1">IFERROR(INDEX(IntAll[],MATCH($B312,IntAll[DEVELOPMENT],0),MATCH("ESTIMATE",IntAll[#Headers],0)),0)</f>
        <v>65295.562499999993</v>
      </c>
      <c r="AD312" s="5">
        <f ca="1">IFERROR(INDEX(YardsAll[],MATCH($B312,YardsAll[DEVELOPMENT],0),MATCH("TOTAL ESTIMATE",YardsAll[#Headers],0)),0)</f>
        <v>2250394.4637300009</v>
      </c>
      <c r="AE312" s="99">
        <f t="shared" ca="1" si="4"/>
        <v>2605244.5631883</v>
      </c>
      <c r="AF312" s="5"/>
    </row>
    <row r="313" spans="1:32">
      <c r="A313" s="101">
        <f>VLOOKUP(B313,Data[],24,FALSE)</f>
        <v>16</v>
      </c>
      <c r="B313" t="s">
        <v>392</v>
      </c>
      <c r="C313" t="str">
        <f>VLOOKUP(all[[#This Row],[DEVELOPMENT]],Data[],MATCH(all[[#Headers],[PROGRAM]],Data[#Headers],0),FALSE)</f>
        <v>FEDERAL</v>
      </c>
      <c r="D313" t="str">
        <f>VLOOKUP(B313,Data[],2,FALSE)</f>
        <v>BROOKLYN</v>
      </c>
      <c r="E313">
        <f>VLOOKUP(all[[#This Row],[DEVELOPMENT]],Data[],65,FALSE)</f>
        <v>55</v>
      </c>
      <c r="F313" t="e">
        <f>VLOOKUP(all[[#This Row],[DEVELOPMENT]],Data[],3,FALSE)</f>
        <v>#N/A</v>
      </c>
      <c r="G313" s="107" t="s">
        <v>185</v>
      </c>
      <c r="H313" t="s">
        <v>184</v>
      </c>
      <c r="I313">
        <f>VLOOKUP(all[[#This Row],[DEVELOPMENT]],Data[],34,FALSE)</f>
        <v>2</v>
      </c>
      <c r="J313" t="s">
        <v>184</v>
      </c>
      <c r="K313">
        <f>VLOOKUP(B313,Data[],8,FALSE)</f>
        <v>0</v>
      </c>
      <c r="L313" t="str">
        <f>VLOOKUP(all[[#This Row],[DEVELOPMENT]],Data[],61,FALSE)</f>
        <v>Yes</v>
      </c>
      <c r="M313">
        <f>VLOOKUP(B313,Data[],9,FALSE)</f>
        <v>0</v>
      </c>
      <c r="N313" t="s">
        <v>185</v>
      </c>
      <c r="O313" t="s">
        <v>185</v>
      </c>
      <c r="P313" t="str">
        <f ca="1">IFERROR(VLOOKUP(B313,Data[],4,FALSE),"")</f>
        <v>2026+</v>
      </c>
      <c r="Q313" t="str">
        <f ca="1">IF(all[[#This Row],[RAD/PACT]]="","",IF(OR(all[[#This Row],[RAD/PACT]]="2021-2025",all[[#This Row],[RAD/PACT]]="2019-2020"),"Yes",""))</f>
        <v/>
      </c>
      <c r="R313">
        <f>VLOOKUP(all[[#This Row],[DEVELOPMENT]],Data[],7,FALSE)</f>
        <v>1336</v>
      </c>
      <c r="S313">
        <f>VLOOKUP(all[[#This Row],[DEVELOPMENT]],Data[],25,FALSE)</f>
        <v>0</v>
      </c>
      <c r="T313">
        <f>VLOOKUP(all[[#This Row],[DEVELOPMENT]],Data[],5,FALSE)</f>
        <v>27</v>
      </c>
      <c r="U313">
        <f>VLOOKUP(all[[#This Row],[DEVELOPMENT]],Data[],10,FALSE)</f>
        <v>46</v>
      </c>
      <c r="V313">
        <f>VLOOKUP(all[[#This Row],[DEVELOPMENT]],Data[],10,FALSE)</f>
        <v>46</v>
      </c>
      <c r="W313">
        <f>VLOOKUP(all[[#This Row],[DEVELOPMENT]],Data[],33,FALSE)</f>
        <v>3</v>
      </c>
      <c r="X313">
        <f>VLOOKUP(all[[#This Row],[DEVELOPMENT]],Data[],33,FALSE)</f>
        <v>3</v>
      </c>
      <c r="Y313">
        <f>VLOOKUP(all[[#This Row],[DEVELOPMENT]],Data[],28,FALSE)</f>
        <v>0</v>
      </c>
      <c r="Z313">
        <f>IF(all[[#This Row],['# Bulk Crushers]]=0,1,0)</f>
        <v>1</v>
      </c>
      <c r="AA313" s="5">
        <f ca="1">IFERROR(INDEX(FWD[],MATCH($B313,FWD[DEVELOPMENT],0),MATCH("ESTIMATE",FWD[#Headers],0)),0)</f>
        <v>2296231.2257187809</v>
      </c>
      <c r="AB313" s="5">
        <f ca="1">IFERROR(INDEX(EHDAll[],MATCH($B313,EHDAll[DEVELOPMENT],0),MATCH("ESTIMATE",EHDAll[#Headers],0)),0)</f>
        <v>389925.1451400001</v>
      </c>
      <c r="AC313" s="5">
        <f ca="1">IFERROR(INDEX(IntAll[],MATCH($B313,IntAll[DEVELOPMENT],0),MATCH("ESTIMATE",IntAll[#Headers],0)),0)</f>
        <v>3714592</v>
      </c>
      <c r="AD313" s="5">
        <f ca="1">IFERROR(INDEX(YardsAll[],MATCH($B313,YardsAll[DEVELOPMENT],0),MATCH("TOTAL ESTIMATE",YardsAll[#Headers],0)),0)</f>
        <v>3089607.5553035</v>
      </c>
      <c r="AE313" s="99">
        <f t="shared" ca="1" si="4"/>
        <v>9490355.9261622801</v>
      </c>
      <c r="AF313" s="5"/>
    </row>
    <row r="314" spans="1:32">
      <c r="A314" s="101">
        <f>VLOOKUP(B314,Data[],24,FALSE)</f>
        <v>377</v>
      </c>
      <c r="B314" t="s">
        <v>95</v>
      </c>
      <c r="C314" t="str">
        <f>VLOOKUP(all[[#This Row],[DEVELOPMENT]],Data[],MATCH(all[[#Headers],[PROGRAM]],Data[#Headers],0),FALSE)</f>
        <v>MIXED FINANCE/LLC1</v>
      </c>
      <c r="D314" t="str">
        <f>VLOOKUP(B314,Data[],2,FALSE)</f>
        <v>MANHATTAN</v>
      </c>
      <c r="E314" t="str">
        <f>VLOOKUP(all[[#This Row],[DEVELOPMENT]],Data[],65,FALSE)</f>
        <v>70, 71</v>
      </c>
      <c r="F314" t="e">
        <f>VLOOKUP(all[[#This Row],[DEVELOPMENT]],Data[],3,FALSE)</f>
        <v>#N/A</v>
      </c>
      <c r="G314" s="107" t="s">
        <v>185</v>
      </c>
      <c r="H314" t="s">
        <v>184</v>
      </c>
      <c r="I314" t="str">
        <f>VLOOKUP(all[[#This Row],[DEVELOPMENT]],Data[],34,FALSE)</f>
        <v>NA</v>
      </c>
      <c r="J314" t="s">
        <v>184</v>
      </c>
      <c r="K314" t="str">
        <f>VLOOKUP(B314,Data[],8,FALSE)</f>
        <v>Zone 2</v>
      </c>
      <c r="L314" t="str">
        <f>VLOOKUP(all[[#This Row],[DEVELOPMENT]],Data[],61,FALSE)</f>
        <v>No</v>
      </c>
      <c r="M314">
        <f>VLOOKUP(B314,Data[],9,FALSE)</f>
        <v>3</v>
      </c>
      <c r="N314">
        <v>2</v>
      </c>
      <c r="O314" t="s">
        <v>185</v>
      </c>
      <c r="P314" t="str">
        <f ca="1">IFERROR(VLOOKUP(B314,Data[],4,FALSE),"")</f>
        <v>2020-2021</v>
      </c>
      <c r="Q314" t="str">
        <f ca="1">IF(all[[#This Row],[RAD/PACT]]="","",IF(OR(all[[#This Row],[RAD/PACT]]="2021-2025",all[[#This Row],[RAD/PACT]]="2019-2020"),"Yes",""))</f>
        <v/>
      </c>
      <c r="R314">
        <f>VLOOKUP(all[[#This Row],[DEVELOPMENT]],Data[],7,FALSE)</f>
        <v>664</v>
      </c>
      <c r="S314">
        <f>VLOOKUP(all[[#This Row],[DEVELOPMENT]],Data[],25,FALSE)</f>
        <v>0</v>
      </c>
      <c r="T314">
        <f>VLOOKUP(all[[#This Row],[DEVELOPMENT]],Data[],5,FALSE)</f>
        <v>40</v>
      </c>
      <c r="U314">
        <f>VLOOKUP(all[[#This Row],[DEVELOPMENT]],Data[],10,FALSE)</f>
        <v>40</v>
      </c>
      <c r="V314">
        <f>VLOOKUP(all[[#This Row],[DEVELOPMENT]],Data[],10,FALSE)</f>
        <v>40</v>
      </c>
      <c r="W314">
        <f>VLOOKUP(all[[#This Row],[DEVELOPMENT]],Data[],33,FALSE)</f>
        <v>0</v>
      </c>
      <c r="X314">
        <f>VLOOKUP(all[[#This Row],[DEVELOPMENT]],Data[],33,FALSE)</f>
        <v>0</v>
      </c>
      <c r="Y314">
        <f>VLOOKUP(all[[#This Row],[DEVELOPMENT]],Data[],28,FALSE)</f>
        <v>0</v>
      </c>
      <c r="Z314">
        <f>IF(all[[#This Row],['# Bulk Crushers]]=0,1,0)</f>
        <v>1</v>
      </c>
      <c r="AA314" s="5">
        <f ca="1">IFERROR(INDEX(FWD[],MATCH($B314,FWD[DEVELOPMENT],0),MATCH("ESTIMATE",FWD[#Headers],0)),0)</f>
        <v>1141240.6690698131</v>
      </c>
      <c r="AB314" s="5">
        <f ca="1">IFERROR(INDEX(EHDAll[],MATCH($B314,EHDAll[DEVELOPMENT],0),MATCH("ESTIMATE",EHDAll[#Headers],0)),0)</f>
        <v>307835.64089999994</v>
      </c>
      <c r="AC314" s="5">
        <f ca="1">IFERROR(INDEX(IntAll[],MATCH($B314,IntAll[DEVELOPMENT],0),MATCH("ESTIMATE",IntAll[#Headers],0)),0)</f>
        <v>0</v>
      </c>
      <c r="AD314" s="5">
        <f ca="1">IFERROR(INDEX(YardsAll[],MATCH($B314,YardsAll[DEVELOPMENT],0),MATCH("TOTAL ESTIMATE",YardsAll[#Headers],0)),0)</f>
        <v>0</v>
      </c>
      <c r="AE314" s="99">
        <f t="shared" ca="1" si="4"/>
        <v>1449076.3099698131</v>
      </c>
      <c r="AF314" s="5"/>
    </row>
  </sheetData>
  <mergeCells count="1">
    <mergeCell ref="A2:B2"/>
  </mergeCells>
  <conditionalFormatting sqref="B3:AE3">
    <cfRule type="containsErrors" dxfId="586" priority="1">
      <formula>ISERROR(B3)</formula>
    </cfRule>
  </conditionalFormatting>
  <pageMargins left="0.7" right="0.7" top="0.75" bottom="0.75" header="0.3" footer="0.3"/>
  <pageSetup paperSize="3" scale="35" fitToHeight="0" orientation="landscape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B20"/>
  <sheetViews>
    <sheetView topLeftCell="G1" workbookViewId="0">
      <selection activeCell="P3" sqref="P3"/>
    </sheetView>
  </sheetViews>
  <sheetFormatPr defaultColWidth="8.7109375" defaultRowHeight="14.45"/>
  <cols>
    <col min="1" max="1" width="3.7109375" style="160" bestFit="1" customWidth="1"/>
    <col min="2" max="2" width="12.42578125" bestFit="1" customWidth="1"/>
    <col min="3" max="3" width="5.7109375" bestFit="1" customWidth="1"/>
    <col min="4" max="4" width="16.28515625" bestFit="1" customWidth="1"/>
    <col min="5" max="5" width="7" style="20" bestFit="1" customWidth="1"/>
    <col min="7" max="7" width="3.7109375" bestFit="1" customWidth="1"/>
    <col min="8" max="8" width="12.42578125" bestFit="1" customWidth="1"/>
    <col min="9" max="9" width="5.7109375" bestFit="1" customWidth="1"/>
    <col min="10" max="10" width="15.28515625" bestFit="1" customWidth="1"/>
    <col min="11" max="11" width="7" style="20" bestFit="1" customWidth="1"/>
    <col min="13" max="13" width="3.7109375" bestFit="1" customWidth="1"/>
    <col min="14" max="14" width="12.42578125" bestFit="1" customWidth="1"/>
    <col min="15" max="15" width="5.7109375" bestFit="1" customWidth="1"/>
    <col min="16" max="16" width="16.28515625" bestFit="1" customWidth="1"/>
    <col min="17" max="17" width="7" style="20" bestFit="1" customWidth="1"/>
    <col min="19" max="19" width="3.7109375" bestFit="1" customWidth="1"/>
    <col min="20" max="20" width="12.42578125" bestFit="1" customWidth="1"/>
    <col min="21" max="21" width="5.7109375" bestFit="1" customWidth="1"/>
    <col min="22" max="22" width="16.28515625" bestFit="1" customWidth="1"/>
    <col min="23" max="23" width="9.140625" style="20"/>
    <col min="25" max="25" width="3.7109375" bestFit="1" customWidth="1"/>
    <col min="26" max="26" width="12.42578125" bestFit="1" customWidth="1"/>
    <col min="27" max="27" width="5.7109375" bestFit="1" customWidth="1"/>
    <col min="28" max="28" width="16.28515625" bestFit="1" customWidth="1"/>
  </cols>
  <sheetData>
    <row r="1" spans="1:28" s="34" customFormat="1">
      <c r="A1" s="243" t="s">
        <v>393</v>
      </c>
      <c r="B1" s="244"/>
      <c r="C1" s="244"/>
      <c r="D1" s="244"/>
      <c r="E1" s="245"/>
      <c r="G1" s="243" t="s">
        <v>394</v>
      </c>
      <c r="H1" s="244"/>
      <c r="I1" s="244"/>
      <c r="J1" s="244"/>
      <c r="K1" s="245"/>
      <c r="M1" s="243" t="s">
        <v>106</v>
      </c>
      <c r="N1" s="244"/>
      <c r="O1" s="244"/>
      <c r="P1" s="244"/>
      <c r="Q1" s="245"/>
      <c r="S1" s="243" t="s">
        <v>395</v>
      </c>
      <c r="T1" s="244"/>
      <c r="U1" s="244"/>
      <c r="V1" s="244"/>
      <c r="W1" s="245"/>
      <c r="Y1" s="243" t="s">
        <v>396</v>
      </c>
      <c r="Z1" s="244"/>
      <c r="AA1" s="244"/>
      <c r="AB1" s="245"/>
    </row>
    <row r="2" spans="1:28" s="54" customFormat="1">
      <c r="A2" s="178"/>
      <c r="B2" s="179"/>
      <c r="C2" s="179" t="s">
        <v>397</v>
      </c>
      <c r="D2" s="179" t="s">
        <v>398</v>
      </c>
      <c r="E2" s="180" t="s">
        <v>399</v>
      </c>
      <c r="G2" s="178"/>
      <c r="H2" s="179"/>
      <c r="I2" s="179" t="s">
        <v>397</v>
      </c>
      <c r="J2" s="179" t="s">
        <v>398</v>
      </c>
      <c r="K2" s="180" t="s">
        <v>399</v>
      </c>
      <c r="M2" s="178"/>
      <c r="N2" s="179"/>
      <c r="O2" s="179" t="s">
        <v>397</v>
      </c>
      <c r="P2" s="179" t="s">
        <v>398</v>
      </c>
      <c r="Q2" s="180" t="s">
        <v>399</v>
      </c>
      <c r="S2" s="178"/>
      <c r="T2" s="179"/>
      <c r="U2" s="179" t="s">
        <v>397</v>
      </c>
      <c r="V2" s="179" t="s">
        <v>398</v>
      </c>
      <c r="W2" s="180" t="s">
        <v>399</v>
      </c>
      <c r="Y2" s="165"/>
      <c r="Z2" s="166"/>
      <c r="AA2" s="166" t="s">
        <v>397</v>
      </c>
      <c r="AB2" s="167" t="s">
        <v>398</v>
      </c>
    </row>
    <row r="3" spans="1:28" ht="15" customHeight="1">
      <c r="A3" s="248" t="s">
        <v>400</v>
      </c>
      <c r="B3" s="211" t="s">
        <v>20</v>
      </c>
      <c r="C3" s="211">
        <v>0</v>
      </c>
      <c r="D3" s="212">
        <v>0</v>
      </c>
      <c r="E3" s="213">
        <v>0</v>
      </c>
      <c r="G3" s="248" t="s">
        <v>400</v>
      </c>
      <c r="H3" s="211" t="s">
        <v>20</v>
      </c>
      <c r="I3" s="211">
        <v>0</v>
      </c>
      <c r="J3" s="212">
        <v>0</v>
      </c>
      <c r="K3" s="213">
        <v>0</v>
      </c>
      <c r="M3" s="246" t="s">
        <v>400</v>
      </c>
      <c r="N3" s="168" t="s">
        <v>20</v>
      </c>
      <c r="O3" s="168">
        <f ca="1">COUNTIFS(IntAll[PROGRAM],"&lt;&gt;*LLC*",IntAll[STATUS],N3)</f>
        <v>19</v>
      </c>
      <c r="P3" s="186" t="e">
        <f ca="1">SUMIFS(IntAll[ESTIMATE],IntAll[PROGRAM],"&lt;&gt;*LLC*",IntAll[STATUS],N3)</f>
        <v>#N/A</v>
      </c>
      <c r="Q3" s="189">
        <f ca="1">SUMIFS(IntAll['# Units],IntAll[PROGRAM],"&lt;&gt;*LLC*",IntAll[STATUS],N3)</f>
        <v>126</v>
      </c>
      <c r="S3" s="246" t="s">
        <v>400</v>
      </c>
      <c r="T3" s="168" t="s">
        <v>20</v>
      </c>
      <c r="U3" s="168">
        <f ca="1">COUNTIFS(YardsAll[PROGRAM],"&lt;&gt;*LLC*",YardsAll[STATUS],T3)</f>
        <v>1</v>
      </c>
      <c r="V3" s="186">
        <f ca="1">SUMIFS(YardsAll[TOTAL ESTIMATE],YardsAll[PROGRAM],"&lt;&gt;*LLC*",YardsAll[STATUS],T3)</f>
        <v>1552980.7909380002</v>
      </c>
      <c r="W3" s="189">
        <f ca="1">SUMIFS(YardsAll['# augers],YardsAll[PROGRAM],"&lt;&gt;*LLC*",YardsAll[STATUS],T3)</f>
        <v>1</v>
      </c>
      <c r="Y3" s="246" t="s">
        <v>400</v>
      </c>
      <c r="Z3" s="168" t="s">
        <v>20</v>
      </c>
      <c r="AA3" s="168">
        <f t="shared" ref="AA3:AB7" ca="1" si="0">SUM(C3,I3,O3,U3)</f>
        <v>20</v>
      </c>
      <c r="AB3" s="169" t="e">
        <f t="shared" ca="1" si="0"/>
        <v>#N/A</v>
      </c>
    </row>
    <row r="4" spans="1:28">
      <c r="A4" s="248"/>
      <c r="B4" s="214" t="s">
        <v>401</v>
      </c>
      <c r="C4" s="214">
        <v>0</v>
      </c>
      <c r="D4" s="215">
        <v>0</v>
      </c>
      <c r="E4" s="216">
        <v>0</v>
      </c>
      <c r="G4" s="248"/>
      <c r="H4" s="214" t="s">
        <v>401</v>
      </c>
      <c r="I4" s="214">
        <v>0</v>
      </c>
      <c r="J4" s="215">
        <v>0</v>
      </c>
      <c r="K4" s="216">
        <v>0</v>
      </c>
      <c r="M4" s="246"/>
      <c r="N4" s="35" t="s">
        <v>401</v>
      </c>
      <c r="O4" s="35">
        <f ca="1">COUNTIFS(IntAll[PROGRAM],"&lt;&gt;*LLC*",IntAll[STATUS],N4)</f>
        <v>10</v>
      </c>
      <c r="P4" s="187">
        <f ca="1">SUMIFS(IntAll[ESTIMATE],IntAll[PROGRAM],"&lt;&gt;*LLC*",IntAll[STATUS],N4)</f>
        <v>1856804</v>
      </c>
      <c r="Q4" s="190">
        <f ca="1">SUMIFS(IntAll['# Units],IntAll[PROGRAM],"&lt;&gt;*LLC*",IntAll[STATUS],N4)</f>
        <v>100</v>
      </c>
      <c r="S4" s="246"/>
      <c r="T4" s="35" t="s">
        <v>401</v>
      </c>
      <c r="U4" s="35">
        <f ca="1">COUNTIFS(YardsAll[PROGRAM],"&lt;&gt;*LLC*",YardsAll[STATUS],T4)</f>
        <v>4</v>
      </c>
      <c r="V4" s="187">
        <f ca="1">SUMIFS(YardsAll[TOTAL ESTIMATE],YardsAll[PROGRAM],"&lt;&gt;*LLC*",YardsAll[STATUS],T4)</f>
        <v>1552980.7909380002</v>
      </c>
      <c r="W4" s="190">
        <f ca="1">SUMIFS(YardsAll['# augers],YardsAll[PROGRAM],"&lt;&gt;*LLC*",YardsAll[STATUS],T4)</f>
        <v>11</v>
      </c>
      <c r="Y4" s="246"/>
      <c r="Z4" s="35" t="s">
        <v>401</v>
      </c>
      <c r="AA4" s="35">
        <f t="shared" ca="1" si="0"/>
        <v>14</v>
      </c>
      <c r="AB4" s="170">
        <f t="shared" ca="1" si="0"/>
        <v>3409784.7909380002</v>
      </c>
    </row>
    <row r="5" spans="1:28">
      <c r="A5" s="248"/>
      <c r="B5" s="214" t="s">
        <v>402</v>
      </c>
      <c r="C5" s="214">
        <v>0</v>
      </c>
      <c r="D5" s="215">
        <v>0</v>
      </c>
      <c r="E5" s="216">
        <v>0</v>
      </c>
      <c r="G5" s="248"/>
      <c r="H5" s="214" t="s">
        <v>402</v>
      </c>
      <c r="I5" s="214">
        <v>0</v>
      </c>
      <c r="J5" s="215">
        <v>0</v>
      </c>
      <c r="K5" s="216">
        <v>0</v>
      </c>
      <c r="M5" s="246"/>
      <c r="N5" s="35" t="s">
        <v>402</v>
      </c>
      <c r="O5" s="35">
        <f ca="1">COUNTIFS(IntAll[ESTIMATE],"&gt;0",IntAll[PROGRAM],"&lt;&gt;*LLC*",IntAll[STATUS],N5)</f>
        <v>24</v>
      </c>
      <c r="P5" s="187">
        <f ca="1">SUMIFS(IntAll[ESTIMATE],IntAll[ESTIMATE],"&gt;0",IntAll[PROGRAM],"&lt;&gt;*LLC*",IntAll[STATUS],N5)</f>
        <v>7002712.5</v>
      </c>
      <c r="Q5" s="190">
        <f ca="1">SUMIFS(IntAll['# Units],IntAll[ESTIMATE],"&gt;0",IntAll[PROGRAM],"&lt;&gt;*LLC*",IntAll[STATUS],N5)</f>
        <v>113</v>
      </c>
      <c r="S5" s="246"/>
      <c r="T5" s="35" t="s">
        <v>402</v>
      </c>
      <c r="U5" s="35">
        <f ca="1">COUNTIFS(YardsAll[PROGRAM],"&lt;&gt;*LLC*",YardsAll[STATUS],T5)</f>
        <v>0</v>
      </c>
      <c r="V5" s="187">
        <f ca="1">SUMIFS(YardsAll[TOTAL ESTIMATE],YardsAll[PROGRAM],"&lt;&gt;*LLC*",YardsAll[STATUS],T5)</f>
        <v>0</v>
      </c>
      <c r="W5" s="190">
        <f ca="1">SUMIFS(YardsAll['# augers],YardsAll[PROGRAM],"&lt;&gt;*LLC*",YardsAll[STATUS],T5)</f>
        <v>0</v>
      </c>
      <c r="Y5" s="246"/>
      <c r="Z5" s="35" t="s">
        <v>402</v>
      </c>
      <c r="AA5" s="35">
        <f t="shared" ca="1" si="0"/>
        <v>24</v>
      </c>
      <c r="AB5" s="170">
        <f t="shared" ca="1" si="0"/>
        <v>7002712.5</v>
      </c>
    </row>
    <row r="6" spans="1:28">
      <c r="A6" s="248"/>
      <c r="B6" s="214" t="s">
        <v>403</v>
      </c>
      <c r="C6" s="214">
        <v>0</v>
      </c>
      <c r="D6" s="215">
        <v>0</v>
      </c>
      <c r="E6" s="216">
        <v>0</v>
      </c>
      <c r="G6" s="248"/>
      <c r="H6" s="214" t="s">
        <v>403</v>
      </c>
      <c r="I6" s="214">
        <v>0</v>
      </c>
      <c r="J6" s="215">
        <v>0</v>
      </c>
      <c r="K6" s="216">
        <v>0</v>
      </c>
      <c r="M6" s="246"/>
      <c r="N6" s="35" t="s">
        <v>403</v>
      </c>
      <c r="O6" s="35">
        <f ca="1">COUNTIFS(IntAll[ESTIMATE],"&gt;0",IntAll[PROGRAM],"&lt;&gt;*LLC*",IntAll[STATUS],"")</f>
        <v>123</v>
      </c>
      <c r="P6" s="187">
        <f ca="1">SUMIFS(IntAll[ESTIMATE],IntAll[ESTIMATE],"&gt;0",IntAll[PROGRAM],"&lt;&gt;*LLC*",IntAll[STATUS],"")</f>
        <v>110192728.1875</v>
      </c>
      <c r="Q6" s="190">
        <f ca="1">SUMIFS(IntAll['# Units],IntAll[ESTIMATE],"&gt;0",IntAll[PROGRAM],"&lt;&gt;*LLC*",IntAll[STATUS],"")</f>
        <v>1513</v>
      </c>
      <c r="S6" s="246"/>
      <c r="T6" s="35" t="s">
        <v>403</v>
      </c>
      <c r="U6" s="35">
        <f ca="1">COUNTIFS(YardsAll[TOTAL ESTIMATE],"&gt;0",YardsAll[PROGRAM],"&lt;&gt;*LLC*",YardsAll[STATUS],"")</f>
        <v>189</v>
      </c>
      <c r="V6" s="187">
        <f ca="1">SUMIFS(YardsAll[TOTAL ESTIMATE],YardsAll[TOTAL ESTIMATE],"&gt;0",YardsAll[PROGRAM],"&lt;&gt;*LLC*",YardsAll[STATUS],"")</f>
        <v>429947001.34875906</v>
      </c>
      <c r="W6" s="190">
        <f ca="1">SUMIFS(YardsAll['# augers],YardsAll[TOTAL ESTIMATE],"&gt;0",YardsAll[PROGRAM],"&lt;&gt;*LLC*",YardsAll[STATUS],"")</f>
        <v>441</v>
      </c>
      <c r="Y6" s="246"/>
      <c r="Z6" s="35" t="s">
        <v>403</v>
      </c>
      <c r="AA6" s="35">
        <f t="shared" ca="1" si="0"/>
        <v>312</v>
      </c>
      <c r="AB6" s="170">
        <f ca="1">SUM(D6,J6,P6,V6)</f>
        <v>540139729.53625906</v>
      </c>
    </row>
    <row r="7" spans="1:28">
      <c r="A7" s="248"/>
      <c r="B7" s="214" t="s">
        <v>404</v>
      </c>
      <c r="C7" s="214">
        <v>0</v>
      </c>
      <c r="D7" s="215">
        <v>0</v>
      </c>
      <c r="E7" s="216">
        <v>0</v>
      </c>
      <c r="G7" s="248"/>
      <c r="H7" s="214" t="s">
        <v>404</v>
      </c>
      <c r="I7" s="214">
        <v>0</v>
      </c>
      <c r="J7" s="215">
        <v>0</v>
      </c>
      <c r="K7" s="216">
        <v>0</v>
      </c>
      <c r="M7" s="246"/>
      <c r="N7" s="35" t="s">
        <v>404</v>
      </c>
      <c r="O7" s="35">
        <f ca="1">COUNTIFS(IntAll[ESTIMATE],"&gt;0",IntAll[PROGRAM],"&lt;&gt;*LLC*",IntAll[STATUS],N7)</f>
        <v>1</v>
      </c>
      <c r="P7" s="187">
        <f ca="1">SUMIFS(IntAll[ESTIMATE],IntAll[ESTIMATE],"&gt;0",IntAll[PROGRAM],"&lt;&gt;*LLC*",IntAll[STATUS],N7)</f>
        <v>630875</v>
      </c>
      <c r="Q7" s="190">
        <f ca="1">SUMIFS(IntAll['# Units],IntAll[ESTIMATE],"&gt;0",IntAll[PROGRAM],"&lt;&gt;*LLC*",IntAll[STATUS],N7)</f>
        <v>10</v>
      </c>
      <c r="S7" s="246"/>
      <c r="T7" s="35" t="s">
        <v>404</v>
      </c>
      <c r="U7" s="35"/>
      <c r="V7" s="187">
        <f ca="1">SUMIFS(YardsAll[TOTAL ESTIMATE],YardsAll[PROGRAM],"&lt;&gt;*LLC*",YardsAll[STATUS],T7)</f>
        <v>0</v>
      </c>
      <c r="W7" s="190">
        <f ca="1">SUMIFS(YardsAll['# augers],YardsAll[PROGRAM],"&lt;&gt;*LLC*",YardsAll[STATUS],T7)</f>
        <v>0</v>
      </c>
      <c r="Y7" s="246"/>
      <c r="Z7" s="35" t="s">
        <v>404</v>
      </c>
      <c r="AA7" s="35">
        <f t="shared" ca="1" si="0"/>
        <v>1</v>
      </c>
      <c r="AB7" s="170">
        <f ca="1">SUM(D7,J7,P7,V7)</f>
        <v>630875</v>
      </c>
    </row>
    <row r="8" spans="1:28">
      <c r="A8" s="248"/>
      <c r="B8" s="217" t="s">
        <v>405</v>
      </c>
      <c r="C8" s="217">
        <f>SUM(C3:C7)</f>
        <v>0</v>
      </c>
      <c r="D8" s="218">
        <f>SUM(D3:D7)</f>
        <v>0</v>
      </c>
      <c r="E8" s="219">
        <f>SUM(E3:E7)</f>
        <v>0</v>
      </c>
      <c r="G8" s="248"/>
      <c r="H8" s="217" t="s">
        <v>405</v>
      </c>
      <c r="I8" s="217">
        <f>SUM(I3:I7)</f>
        <v>0</v>
      </c>
      <c r="J8" s="218">
        <f>SUM(J3:J7)</f>
        <v>0</v>
      </c>
      <c r="K8" s="219">
        <f>SUM(K3:K7)</f>
        <v>0</v>
      </c>
      <c r="M8" s="246"/>
      <c r="N8" s="171" t="s">
        <v>405</v>
      </c>
      <c r="O8" s="171">
        <f ca="1">SUM(O3:O7)</f>
        <v>177</v>
      </c>
      <c r="P8" s="188" t="e">
        <f ca="1">SUM(P3:P7)</f>
        <v>#N/A</v>
      </c>
      <c r="Q8" s="191">
        <f ca="1">SUM(Q3:Q7)</f>
        <v>1862</v>
      </c>
      <c r="S8" s="246"/>
      <c r="T8" s="171" t="s">
        <v>405</v>
      </c>
      <c r="U8" s="171">
        <f ca="1">SUM(U3:U7)</f>
        <v>194</v>
      </c>
      <c r="V8" s="188">
        <f ca="1">SUM(V3:V7)</f>
        <v>433052962.93063504</v>
      </c>
      <c r="W8" s="191">
        <f ca="1">SUM(W3:W7)</f>
        <v>453</v>
      </c>
      <c r="Y8" s="246"/>
      <c r="Z8" s="171" t="s">
        <v>405</v>
      </c>
      <c r="AA8" s="171">
        <f ca="1">SUM(AA3:AA7)</f>
        <v>371</v>
      </c>
      <c r="AB8" s="172" t="e">
        <f ca="1">SUM(AB3:AB7)</f>
        <v>#N/A</v>
      </c>
    </row>
    <row r="9" spans="1:28" ht="15" customHeight="1">
      <c r="A9" s="247" t="s">
        <v>406</v>
      </c>
      <c r="B9" s="159" t="s">
        <v>20</v>
      </c>
      <c r="C9" s="159">
        <f>COUNTIFS(FWD[STATUS],B9)</f>
        <v>3</v>
      </c>
      <c r="D9" s="176">
        <f>SUMIFS(FWD[ESTIMATE],FWD[STATUS],B9)+SUMIFS(FWD[COST],FWD[STATUS],B9)</f>
        <v>1703503.75</v>
      </c>
      <c r="E9" s="182">
        <f>SUMIFS(FWD[Dwelling Units],FWD[STATUS],B9)</f>
        <v>676</v>
      </c>
      <c r="F9" s="229"/>
      <c r="G9" s="247" t="s">
        <v>406</v>
      </c>
      <c r="H9" s="159" t="s">
        <v>20</v>
      </c>
      <c r="I9" s="159">
        <f>COUNTIFS(EHDAll[STATUS],H9)</f>
        <v>40</v>
      </c>
      <c r="J9" s="176">
        <f>SUMIFS(EHDAll[ESTIMATE],EHDAll[STATUS],H9)+SUMIFS(EHDAll[COST],EHDAll[STATUS],H9)</f>
        <v>671806.71243499999</v>
      </c>
      <c r="K9" s="184">
        <f>SUMIF(EHDAll[STATUS],H9,EHDAll['# Units])</f>
        <v>147</v>
      </c>
      <c r="M9" s="247" t="s">
        <v>406</v>
      </c>
      <c r="N9" s="159" t="s">
        <v>20</v>
      </c>
      <c r="O9" s="159">
        <f ca="1">COUNTIFS(IntAll[PROGRAM],"*LLC*",IntAll[STATUS],N9)</f>
        <v>2</v>
      </c>
      <c r="P9" s="176">
        <f ca="1">SUMIFS(IntAll[ESTIMATE],IntAll[PROGRAM],"*LLC*",IntAll[STATUS],N9)</f>
        <v>220329</v>
      </c>
      <c r="Q9" s="182">
        <f ca="1">SUMIFS(IntAll['# Units],IntAll[PROGRAM],"*LLC*",IntAll[STATUS],N9)</f>
        <v>13</v>
      </c>
      <c r="S9" s="247" t="s">
        <v>406</v>
      </c>
      <c r="T9" s="159" t="s">
        <v>20</v>
      </c>
      <c r="U9" s="159">
        <f ca="1">COUNTIFS(YardsAll[PROGRAM],"*LLC*",YardsAll[STATUS],T9)</f>
        <v>0</v>
      </c>
      <c r="V9" s="176">
        <f ca="1">SUMIFS(YardsAll[TOTAL ESTIMATE],YardsAll[PROGRAM],"*LLC*",YardsAll[STATUS],T9)</f>
        <v>0</v>
      </c>
      <c r="W9" s="182">
        <f ca="1">SUMIFS(YardsAll['# augers],YardsAll[PROGRAM],"*LLC*",YardsAll[STATUS],T9)</f>
        <v>0</v>
      </c>
      <c r="Y9" s="247" t="s">
        <v>406</v>
      </c>
      <c r="Z9" s="159" t="s">
        <v>20</v>
      </c>
      <c r="AA9" s="159">
        <f t="shared" ref="AA9:AB13" ca="1" si="1">SUM(C9,I9,O9,U9)</f>
        <v>45</v>
      </c>
      <c r="AB9" s="161">
        <f t="shared" ca="1" si="1"/>
        <v>2595639.4624350001</v>
      </c>
    </row>
    <row r="10" spans="1:28">
      <c r="A10" s="247"/>
      <c r="B10" s="37" t="s">
        <v>401</v>
      </c>
      <c r="C10" s="37">
        <f>COUNTIFS(FWD[STATUS],B10)</f>
        <v>0</v>
      </c>
      <c r="D10" s="175">
        <f>SUMIFS(FWD[ESTIMATE],FWD[STATUS],B10)+SUMIFS(FWD[COST],FWD[STATUS],B10)</f>
        <v>0</v>
      </c>
      <c r="E10" s="183">
        <f>SUMIFS(FWD[Dwelling Units],FWD[STATUS],B10)</f>
        <v>0</v>
      </c>
      <c r="G10" s="247"/>
      <c r="H10" s="37" t="s">
        <v>401</v>
      </c>
      <c r="I10" s="37">
        <f>COUNTIFS(EHDAll[STATUS],H10)</f>
        <v>0</v>
      </c>
      <c r="J10" s="175">
        <f>SUMIFS(EHDAll[ESTIMATE],EHDAll[STATUS],H10)+SUMIFS(EHDAll[COST],EHDAll[STATUS],H10)</f>
        <v>0</v>
      </c>
      <c r="K10" s="185">
        <f>SUMIF(EHDAll[STATUS],H10,EHDAll['# Units])</f>
        <v>0</v>
      </c>
      <c r="M10" s="247"/>
      <c r="N10" s="37" t="s">
        <v>401</v>
      </c>
      <c r="O10" s="37">
        <f ca="1">COUNTIFS(IntAll[PROGRAM],"*LLC*",IntAll[STATUS],N10)</f>
        <v>0</v>
      </c>
      <c r="P10" s="175">
        <f ca="1">SUMIFS(IntAll[ESTIMATE],IntAll[PROGRAM],"*LLC*",IntAll[STATUS],N10)</f>
        <v>0</v>
      </c>
      <c r="Q10" s="183">
        <f ca="1">SUMIFS(IntAll['# Units],IntAll[PROGRAM],"*LLC*",IntAll[STATUS],N10)</f>
        <v>0</v>
      </c>
      <c r="S10" s="247"/>
      <c r="T10" s="37" t="s">
        <v>401</v>
      </c>
      <c r="U10" s="37">
        <f ca="1">COUNTIFS(YardsAll[PROGRAM],"*LLC*",YardsAll[STATUS],T10)</f>
        <v>1</v>
      </c>
      <c r="V10" s="175">
        <f ca="1">SUMIFS(YardsAll[TOTAL ESTIMATE],YardsAll[PROGRAM],"*LLC*",YardsAll[STATUS],T10)</f>
        <v>40080</v>
      </c>
      <c r="W10" s="183">
        <f ca="1">SUMIFS(YardsAll['# augers],YardsAll[PROGRAM],"*LLC*",YardsAll[STATUS],T10)</f>
        <v>3</v>
      </c>
      <c r="Y10" s="247"/>
      <c r="Z10" s="37" t="s">
        <v>401</v>
      </c>
      <c r="AA10" s="37">
        <f t="shared" ca="1" si="1"/>
        <v>1</v>
      </c>
      <c r="AB10" s="162">
        <f t="shared" ca="1" si="1"/>
        <v>40080</v>
      </c>
    </row>
    <row r="11" spans="1:28">
      <c r="A11" s="247"/>
      <c r="B11" s="37" t="s">
        <v>402</v>
      </c>
      <c r="C11" s="37">
        <f>COUNTIFS(FWD[STATUS],B11)</f>
        <v>1</v>
      </c>
      <c r="D11" s="175">
        <f ca="1">SUMIFS(FWD[ESTIMATE],FWD[STATUS],B11)+SUMIFS(FWD[COST],FWD[STATUS],B11)</f>
        <v>1515925.1056017699</v>
      </c>
      <c r="E11" s="183">
        <f>SUMIFS(FWD[Dwelling Units],FWD[STATUS],B11)</f>
        <v>882</v>
      </c>
      <c r="G11" s="247"/>
      <c r="H11" s="37" t="s">
        <v>402</v>
      </c>
      <c r="I11" s="37">
        <f>COUNTIFS(EHDAll[STATUS],H11)</f>
        <v>18</v>
      </c>
      <c r="J11" s="175">
        <f ca="1">SUMIFS(EHDAll[ESTIMATE],EHDAll[STATUS],H11)+SUMIFS(EHDAll[COST],EHDAll[STATUS],H11)</f>
        <v>736128.70650000009</v>
      </c>
      <c r="K11" s="185">
        <f>SUMIF(EHDAll[STATUS],H11,EHDAll['# Units])</f>
        <v>99</v>
      </c>
      <c r="M11" s="247"/>
      <c r="N11" s="37" t="s">
        <v>402</v>
      </c>
      <c r="O11" s="37">
        <f ca="1">COUNTIFS(IntAll[ESTIMATE],"&gt;0",IntAll[PROGRAM],"*LLC*",IntAll[STATUS],N11)</f>
        <v>0</v>
      </c>
      <c r="P11" s="175">
        <f ca="1">SUMIFS(IntAll[ESTIMATE],IntAll[ESTIMATE],"&gt;0",IntAll[PROGRAM],"*LLC*",IntAll[STATUS],N11)</f>
        <v>0</v>
      </c>
      <c r="Q11" s="183">
        <f ca="1">SUMIFS(IntAll['# Units],IntAll[ESTIMATE],"&gt;0",IntAll[PROGRAM],"*LLC*",IntAll[STATUS],N11)</f>
        <v>0</v>
      </c>
      <c r="S11" s="247"/>
      <c r="T11" s="37" t="s">
        <v>402</v>
      </c>
      <c r="U11" s="37">
        <f ca="1">COUNTIFS(YardsAll[PROGRAM],"*LLC*",YardsAll[STATUS],T11)</f>
        <v>0</v>
      </c>
      <c r="V11" s="175">
        <f ca="1">SUMIFS(YardsAll[TOTAL ESTIMATE],YardsAll[PROGRAM],"*LLC*",YardsAll[STATUS],T11)</f>
        <v>0</v>
      </c>
      <c r="W11" s="183">
        <f ca="1">SUMIFS(YardsAll['# augers],YardsAll[PROGRAM],"*LLC*",YardsAll[STATUS],T11)</f>
        <v>0</v>
      </c>
      <c r="Y11" s="247"/>
      <c r="Z11" s="37" t="s">
        <v>402</v>
      </c>
      <c r="AA11" s="37">
        <f t="shared" ca="1" si="1"/>
        <v>19</v>
      </c>
      <c r="AB11" s="162">
        <f t="shared" ca="1" si="1"/>
        <v>2252053.8121017702</v>
      </c>
    </row>
    <row r="12" spans="1:28">
      <c r="A12" s="247"/>
      <c r="B12" s="37" t="s">
        <v>403</v>
      </c>
      <c r="C12" s="37">
        <f>COUNTIFS(FWD[STATUS],"")</f>
        <v>307</v>
      </c>
      <c r="D12" s="175">
        <f ca="1">SUMIFS(FWD[ESTIMATE],FWD[STATUS],"")+SUMIFS(FWD[COST],FWD[STATUS],"")</f>
        <v>292685263.21772248</v>
      </c>
      <c r="E12" s="183">
        <f>SUMIFS(FWD[Dwelling Units],FWD[STATUS],"")</f>
        <v>170291</v>
      </c>
      <c r="G12" s="247"/>
      <c r="H12" s="37" t="s">
        <v>403</v>
      </c>
      <c r="I12" s="37">
        <f>COUNTIFS(EHDAll[STATUS],"")</f>
        <v>239</v>
      </c>
      <c r="J12" s="175">
        <f ca="1">SUMIFS(EHDAll[ESTIMATE],EHDAll[STATUS],"")+SUMIFS(EHDAll[COST],EHDAll[STATUS],"")</f>
        <v>21987867.037415016</v>
      </c>
      <c r="K12" s="185">
        <f>SUMIF(EHDAll[STATUS],"",EHDAll['# Units])</f>
        <v>2678</v>
      </c>
      <c r="M12" s="247"/>
      <c r="N12" s="37" t="s">
        <v>403</v>
      </c>
      <c r="O12" s="37">
        <f ca="1">COUNTIFS(IntAll[ESTIMATE],"&gt;0",IntAll[PROGRAM],"*LLC*",IntAll[STATUS],"")</f>
        <v>10</v>
      </c>
      <c r="P12" s="175">
        <f ca="1">SUMIFS(IntAll[ESTIMATE],IntAll[ESTIMATE],"&gt;0",IntAll[PROGRAM],"*LLC*",IntAll[STATUS],"")</f>
        <v>7690366.25</v>
      </c>
      <c r="Q12" s="183">
        <f ca="1">SUMIFS(IntAll['# Units],IntAll[ESTIMATE],"&gt;0",IntAll[PROGRAM],"*LLC*",IntAll[STATUS],"")</f>
        <v>110</v>
      </c>
      <c r="S12" s="247"/>
      <c r="T12" s="37" t="s">
        <v>403</v>
      </c>
      <c r="U12" s="37">
        <f ca="1">COUNTIFS(YardsAll[TOTAL ESTIMATE],"&gt;0",YardsAll[PROGRAM],"*LLC*",YardsAll[STATUS],"")</f>
        <v>11</v>
      </c>
      <c r="V12" s="175">
        <f ca="1">SUMIFS(YardsAll[TOTAL ESTIMATE],YardsAll[TOTAL ESTIMATE],"&gt;0",YardsAll[PROGRAM],"*LLC*",YardsAll[STATUS],"")</f>
        <v>26538283.925349005</v>
      </c>
      <c r="W12" s="183">
        <f ca="1">SUMIFS(YardsAll['# augers],YardsAll[TOTAL ESTIMATE],"&gt;0",YardsAll[PROGRAM],"*LLC*",YardsAll[STATUS],"")</f>
        <v>33</v>
      </c>
      <c r="Y12" s="247"/>
      <c r="Z12" s="37" t="s">
        <v>403</v>
      </c>
      <c r="AA12" s="37">
        <f t="shared" ca="1" si="1"/>
        <v>567</v>
      </c>
      <c r="AB12" s="162">
        <f t="shared" ca="1" si="1"/>
        <v>348901780.4304865</v>
      </c>
    </row>
    <row r="13" spans="1:28">
      <c r="A13" s="247"/>
      <c r="B13" s="35" t="s">
        <v>404</v>
      </c>
      <c r="C13" s="37">
        <f>COUNTIFS(FWD[STATUS],B13)</f>
        <v>0</v>
      </c>
      <c r="D13" s="175">
        <f>SUMIFS(FWD[ESTIMATE],FWD[STATUS],B13)+SUMIFS(FWD[COST],FWD[STATUS],B13)</f>
        <v>0</v>
      </c>
      <c r="E13" s="183">
        <f>SUMIFS(FWD[Dwelling Units],FWD[STATUS],B13)</f>
        <v>0</v>
      </c>
      <c r="G13" s="247"/>
      <c r="H13" s="35" t="s">
        <v>404</v>
      </c>
      <c r="I13" s="37">
        <f>COUNTIFS(EHDAll[STATUS],H13)</f>
        <v>14</v>
      </c>
      <c r="J13" s="175">
        <f ca="1">SUMIFS(EHDAll[ESTIMATE],EHDAll[STATUS],H13)+SUMIFS(EHDAll[COST],EHDAll[STATUS],H13)</f>
        <v>788399.40650000004</v>
      </c>
      <c r="K13" s="185">
        <f>SUMIF(EHDAll[STATUS],H13,EHDAll['# Units])</f>
        <v>131</v>
      </c>
      <c r="M13" s="247"/>
      <c r="N13" s="35" t="s">
        <v>404</v>
      </c>
      <c r="O13" s="37">
        <f ca="1">COUNTIFS(IntAll[ESTIMATE],"&gt;0",IntAll[PROGRAM],"*LLC*",IntAll[STATUS],N13)</f>
        <v>0</v>
      </c>
      <c r="P13" s="175">
        <f ca="1">SUMIFS(IntAll[ESTIMATE],IntAll[ESTIMATE],"&gt;0",IntAll[PROGRAM],"*LLC*",IntAll[STATUS],N13)</f>
        <v>0</v>
      </c>
      <c r="Q13" s="183">
        <f ca="1">SUMIFS(IntAll['# Units],IntAll[ESTIMATE],"&gt;0",IntAll[PROGRAM],"*LLC*",IntAll[STATUS],N13)</f>
        <v>0</v>
      </c>
      <c r="S13" s="247"/>
      <c r="T13" s="35" t="s">
        <v>404</v>
      </c>
      <c r="U13" s="37"/>
      <c r="V13" s="175">
        <f ca="1">SUMIFS(YardsAll[TOTAL ESTIMATE],YardsAll[PROGRAM],"*LLC*",YardsAll[STATUS],T13)</f>
        <v>0</v>
      </c>
      <c r="W13" s="183">
        <f ca="1">SUMIFS(YardsAll['# augers],YardsAll[PROGRAM],"*LLC*",YardsAll[STATUS],T13)</f>
        <v>0</v>
      </c>
      <c r="Y13" s="247"/>
      <c r="Z13" s="35" t="s">
        <v>404</v>
      </c>
      <c r="AA13" s="37">
        <f t="shared" ca="1" si="1"/>
        <v>14</v>
      </c>
      <c r="AB13" s="162">
        <f t="shared" ca="1" si="1"/>
        <v>788399.40650000004</v>
      </c>
    </row>
    <row r="14" spans="1:28">
      <c r="A14" s="247"/>
      <c r="B14" s="163" t="s">
        <v>405</v>
      </c>
      <c r="C14" s="163">
        <f>SUM(C9:C12)</f>
        <v>311</v>
      </c>
      <c r="D14" s="177">
        <f ca="1">SUM(D9:D12)</f>
        <v>295904692.07332426</v>
      </c>
      <c r="E14" s="181">
        <f>SUM(E9:E13)</f>
        <v>171849</v>
      </c>
      <c r="G14" s="247"/>
      <c r="H14" s="163" t="s">
        <v>405</v>
      </c>
      <c r="I14" s="163">
        <f>SUM(I9:I13)</f>
        <v>311</v>
      </c>
      <c r="J14" s="177">
        <f ca="1">SUM(J9:J13)</f>
        <v>24184201.862850018</v>
      </c>
      <c r="K14" s="181">
        <f>SUM(K9:K13)</f>
        <v>3055</v>
      </c>
      <c r="M14" s="247"/>
      <c r="N14" s="163" t="s">
        <v>405</v>
      </c>
      <c r="O14" s="163">
        <f ca="1">SUM(O9:O13)</f>
        <v>12</v>
      </c>
      <c r="P14" s="177">
        <f ca="1">SUM(P9:P13)</f>
        <v>7910695.25</v>
      </c>
      <c r="Q14" s="181">
        <f ca="1">SUM(Q9:Q13)</f>
        <v>123</v>
      </c>
      <c r="S14" s="247"/>
      <c r="T14" s="163" t="s">
        <v>405</v>
      </c>
      <c r="U14" s="163">
        <f ca="1">SUM(U9:U13)</f>
        <v>12</v>
      </c>
      <c r="V14" s="177">
        <f ca="1">SUM(V9:V13)</f>
        <v>26578363.925349005</v>
      </c>
      <c r="W14" s="181">
        <f ca="1">SUM(W9:W13)</f>
        <v>36</v>
      </c>
      <c r="Y14" s="247"/>
      <c r="Z14" s="163" t="s">
        <v>405</v>
      </c>
      <c r="AA14" s="163">
        <f ca="1">SUM(AA9:AA13)</f>
        <v>646</v>
      </c>
      <c r="AB14" s="164">
        <f ca="1">SUM(AB9:AB13)</f>
        <v>354577953.11152327</v>
      </c>
    </row>
    <row r="15" spans="1:28" ht="15" customHeight="1">
      <c r="A15" s="242" t="s">
        <v>405</v>
      </c>
      <c r="B15" s="159" t="s">
        <v>20</v>
      </c>
      <c r="C15" s="159">
        <f t="shared" ref="C15:E15" si="2">C9+C3</f>
        <v>3</v>
      </c>
      <c r="D15" s="176">
        <f t="shared" si="2"/>
        <v>1703503.75</v>
      </c>
      <c r="E15" s="182">
        <f t="shared" si="2"/>
        <v>676</v>
      </c>
      <c r="G15" s="242" t="s">
        <v>405</v>
      </c>
      <c r="H15" s="159" t="s">
        <v>20</v>
      </c>
      <c r="I15" s="159">
        <f t="shared" ref="I15:J15" si="3">I9+I3</f>
        <v>40</v>
      </c>
      <c r="J15" s="176">
        <f t="shared" si="3"/>
        <v>671806.71243499999</v>
      </c>
      <c r="K15" s="182">
        <f t="shared" ref="K15" si="4">K9+K3</f>
        <v>147</v>
      </c>
      <c r="M15" s="242" t="s">
        <v>405</v>
      </c>
      <c r="N15" s="159" t="s">
        <v>20</v>
      </c>
      <c r="O15" s="159">
        <f t="shared" ref="O15:P15" ca="1" si="5">O9+O3</f>
        <v>21</v>
      </c>
      <c r="P15" s="176" t="e">
        <f t="shared" ca="1" si="5"/>
        <v>#N/A</v>
      </c>
      <c r="Q15" s="182">
        <f ca="1">Q9+Q3</f>
        <v>139</v>
      </c>
      <c r="S15" s="242" t="s">
        <v>405</v>
      </c>
      <c r="T15" s="159" t="s">
        <v>20</v>
      </c>
      <c r="U15" s="159">
        <f t="shared" ref="U15:W15" ca="1" si="6">U9+U3</f>
        <v>1</v>
      </c>
      <c r="V15" s="176">
        <f t="shared" ca="1" si="6"/>
        <v>1552980.7909380002</v>
      </c>
      <c r="W15" s="182">
        <f t="shared" ca="1" si="6"/>
        <v>1</v>
      </c>
      <c r="Y15" s="242" t="s">
        <v>405</v>
      </c>
      <c r="Z15" s="159" t="s">
        <v>20</v>
      </c>
      <c r="AA15" s="159">
        <f t="shared" ref="AA15:AB15" ca="1" si="7">AA9+AA3</f>
        <v>65</v>
      </c>
      <c r="AB15" s="161" t="e">
        <f t="shared" ca="1" si="7"/>
        <v>#N/A</v>
      </c>
    </row>
    <row r="16" spans="1:28">
      <c r="A16" s="242"/>
      <c r="B16" s="37" t="s">
        <v>401</v>
      </c>
      <c r="C16" s="37">
        <f t="shared" ref="C16:E16" si="8">C10+C4</f>
        <v>0</v>
      </c>
      <c r="D16" s="175">
        <f t="shared" si="8"/>
        <v>0</v>
      </c>
      <c r="E16" s="183">
        <f t="shared" si="8"/>
        <v>0</v>
      </c>
      <c r="G16" s="242"/>
      <c r="H16" s="37" t="s">
        <v>401</v>
      </c>
      <c r="I16" s="37">
        <f t="shared" ref="I16:K16" si="9">I10+I4</f>
        <v>0</v>
      </c>
      <c r="J16" s="175">
        <f t="shared" si="9"/>
        <v>0</v>
      </c>
      <c r="K16" s="183">
        <f t="shared" si="9"/>
        <v>0</v>
      </c>
      <c r="M16" s="242"/>
      <c r="N16" s="37" t="s">
        <v>401</v>
      </c>
      <c r="O16" s="37">
        <f t="shared" ref="O16:P16" ca="1" si="10">O10+O4</f>
        <v>10</v>
      </c>
      <c r="P16" s="175">
        <f t="shared" ca="1" si="10"/>
        <v>1856804</v>
      </c>
      <c r="Q16" s="183">
        <f ca="1">Q10+Q4</f>
        <v>100</v>
      </c>
      <c r="S16" s="242"/>
      <c r="T16" s="37" t="s">
        <v>401</v>
      </c>
      <c r="U16" s="37">
        <f t="shared" ref="U16:W16" ca="1" si="11">U10+U4</f>
        <v>5</v>
      </c>
      <c r="V16" s="175">
        <f t="shared" ca="1" si="11"/>
        <v>1593060.7909380002</v>
      </c>
      <c r="W16" s="183">
        <f t="shared" ca="1" si="11"/>
        <v>14</v>
      </c>
      <c r="Y16" s="242"/>
      <c r="Z16" s="37" t="s">
        <v>401</v>
      </c>
      <c r="AA16" s="37">
        <f t="shared" ref="AA16:AB16" ca="1" si="12">AA10+AA4</f>
        <v>15</v>
      </c>
      <c r="AB16" s="162">
        <f t="shared" ca="1" si="12"/>
        <v>3449864.7909380002</v>
      </c>
    </row>
    <row r="17" spans="1:28">
      <c r="A17" s="242"/>
      <c r="B17" s="37" t="s">
        <v>402</v>
      </c>
      <c r="C17" s="37">
        <f t="shared" ref="C17:E17" si="13">C11+C5</f>
        <v>1</v>
      </c>
      <c r="D17" s="175">
        <f t="shared" ca="1" si="13"/>
        <v>1515925.1056017699</v>
      </c>
      <c r="E17" s="183">
        <f t="shared" si="13"/>
        <v>882</v>
      </c>
      <c r="G17" s="242"/>
      <c r="H17" s="37" t="s">
        <v>402</v>
      </c>
      <c r="I17" s="37">
        <f t="shared" ref="I17:K17" si="14">I11+I5</f>
        <v>18</v>
      </c>
      <c r="J17" s="175">
        <f t="shared" ca="1" si="14"/>
        <v>736128.70650000009</v>
      </c>
      <c r="K17" s="183">
        <f t="shared" si="14"/>
        <v>99</v>
      </c>
      <c r="M17" s="242"/>
      <c r="N17" s="37" t="s">
        <v>402</v>
      </c>
      <c r="O17" s="37">
        <f t="shared" ref="O17:P17" ca="1" si="15">O11+O5</f>
        <v>24</v>
      </c>
      <c r="P17" s="175">
        <f t="shared" ca="1" si="15"/>
        <v>7002712.5</v>
      </c>
      <c r="Q17" s="183">
        <f t="shared" ref="Q17" ca="1" si="16">Q11+Q5</f>
        <v>113</v>
      </c>
      <c r="S17" s="242"/>
      <c r="T17" s="37" t="s">
        <v>402</v>
      </c>
      <c r="U17" s="37">
        <f t="shared" ref="U17:W17" ca="1" si="17">U11+U5</f>
        <v>0</v>
      </c>
      <c r="V17" s="175">
        <f t="shared" ca="1" si="17"/>
        <v>0</v>
      </c>
      <c r="W17" s="183">
        <f t="shared" ca="1" si="17"/>
        <v>0</v>
      </c>
      <c r="Y17" s="242"/>
      <c r="Z17" s="37" t="s">
        <v>402</v>
      </c>
      <c r="AA17" s="37">
        <f t="shared" ref="AA17:AB17" ca="1" si="18">AA11+AA5</f>
        <v>43</v>
      </c>
      <c r="AB17" s="162">
        <f t="shared" ca="1" si="18"/>
        <v>9254766.3121017702</v>
      </c>
    </row>
    <row r="18" spans="1:28">
      <c r="A18" s="242"/>
      <c r="B18" s="37" t="s">
        <v>403</v>
      </c>
      <c r="C18" s="37">
        <f>C12+C6</f>
        <v>307</v>
      </c>
      <c r="D18" s="175">
        <f ca="1">D12+D6</f>
        <v>292685263.21772248</v>
      </c>
      <c r="E18" s="183">
        <f t="shared" ref="E18" si="19">E12+E6</f>
        <v>170291</v>
      </c>
      <c r="G18" s="242"/>
      <c r="H18" s="37" t="s">
        <v>403</v>
      </c>
      <c r="I18" s="37">
        <f t="shared" ref="I18:J20" si="20">I12+I6</f>
        <v>239</v>
      </c>
      <c r="J18" s="175">
        <f t="shared" ca="1" si="20"/>
        <v>21987867.037415016</v>
      </c>
      <c r="K18" s="183">
        <f t="shared" ref="K18" si="21">K12+K6</f>
        <v>2678</v>
      </c>
      <c r="M18" s="242"/>
      <c r="N18" s="37" t="s">
        <v>403</v>
      </c>
      <c r="O18" s="37">
        <f t="shared" ref="O18:P19" ca="1" si="22">O12+O6</f>
        <v>133</v>
      </c>
      <c r="P18" s="175">
        <f t="shared" ca="1" si="22"/>
        <v>117883094.4375</v>
      </c>
      <c r="Q18" s="183">
        <f t="shared" ref="Q18" ca="1" si="23">Q12+Q6</f>
        <v>1623</v>
      </c>
      <c r="S18" s="242"/>
      <c r="T18" s="37" t="s">
        <v>403</v>
      </c>
      <c r="U18" s="37">
        <f ca="1">U12+U6</f>
        <v>200</v>
      </c>
      <c r="V18" s="175">
        <f ca="1">V12+V6</f>
        <v>456485285.27410805</v>
      </c>
      <c r="W18" s="183">
        <f t="shared" ref="W18" ca="1" si="24">W12+W6</f>
        <v>474</v>
      </c>
      <c r="Y18" s="242"/>
      <c r="Z18" s="37" t="s">
        <v>403</v>
      </c>
      <c r="AA18" s="37">
        <f t="shared" ref="AA18:AB19" ca="1" si="25">AA12+AA6</f>
        <v>879</v>
      </c>
      <c r="AB18" s="162">
        <f t="shared" ca="1" si="25"/>
        <v>889041509.96674562</v>
      </c>
    </row>
    <row r="19" spans="1:28">
      <c r="A19" s="242"/>
      <c r="B19" s="35" t="s">
        <v>404</v>
      </c>
      <c r="C19" s="37">
        <f>C13+C7</f>
        <v>0</v>
      </c>
      <c r="D19" s="175">
        <f>D13+D7</f>
        <v>0</v>
      </c>
      <c r="E19" s="183">
        <f t="shared" ref="E19" si="26">E13+E7</f>
        <v>0</v>
      </c>
      <c r="G19" s="242"/>
      <c r="H19" s="35" t="s">
        <v>404</v>
      </c>
      <c r="I19" s="37">
        <f t="shared" si="20"/>
        <v>14</v>
      </c>
      <c r="J19" s="175">
        <f t="shared" ca="1" si="20"/>
        <v>788399.40650000004</v>
      </c>
      <c r="K19" s="183">
        <f t="shared" ref="K19" si="27">K13+K7</f>
        <v>131</v>
      </c>
      <c r="M19" s="242"/>
      <c r="N19" s="35" t="s">
        <v>404</v>
      </c>
      <c r="O19" s="37">
        <f t="shared" ca="1" si="22"/>
        <v>1</v>
      </c>
      <c r="P19" s="175">
        <f t="shared" ca="1" si="22"/>
        <v>630875</v>
      </c>
      <c r="Q19" s="183">
        <f t="shared" ref="Q19" ca="1" si="28">Q13+Q7</f>
        <v>10</v>
      </c>
      <c r="S19" s="242"/>
      <c r="T19" s="35" t="s">
        <v>404</v>
      </c>
      <c r="U19" s="37">
        <f>U13+U7</f>
        <v>0</v>
      </c>
      <c r="V19" s="175">
        <f ca="1">V13+V7</f>
        <v>0</v>
      </c>
      <c r="W19" s="183">
        <f t="shared" ref="W19" ca="1" si="29">W13+W7</f>
        <v>0</v>
      </c>
      <c r="Y19" s="242"/>
      <c r="Z19" s="35" t="s">
        <v>404</v>
      </c>
      <c r="AA19" s="37">
        <f t="shared" ca="1" si="25"/>
        <v>15</v>
      </c>
      <c r="AB19" s="162">
        <f t="shared" ca="1" si="25"/>
        <v>1419274.4065</v>
      </c>
    </row>
    <row r="20" spans="1:28">
      <c r="A20" s="242"/>
      <c r="B20" s="163" t="s">
        <v>405</v>
      </c>
      <c r="C20" s="163">
        <f>C14+C8</f>
        <v>311</v>
      </c>
      <c r="D20" s="177">
        <f t="shared" ref="D20" ca="1" si="30">D14+D8</f>
        <v>295904692.07332426</v>
      </c>
      <c r="E20" s="181">
        <f>SUM(E15:E19)</f>
        <v>171849</v>
      </c>
      <c r="G20" s="242"/>
      <c r="H20" s="163" t="s">
        <v>405</v>
      </c>
      <c r="I20" s="163">
        <f t="shared" si="20"/>
        <v>311</v>
      </c>
      <c r="J20" s="177">
        <f t="shared" ca="1" si="20"/>
        <v>24184201.862850018</v>
      </c>
      <c r="K20" s="181">
        <f>SUM(K15:K19)</f>
        <v>3055</v>
      </c>
      <c r="M20" s="242"/>
      <c r="N20" s="163" t="s">
        <v>405</v>
      </c>
      <c r="O20" s="163">
        <f ca="1">O14+O8</f>
        <v>189</v>
      </c>
      <c r="P20" s="177" t="e">
        <f ca="1">P14+P8</f>
        <v>#N/A</v>
      </c>
      <c r="Q20" s="181">
        <f ca="1">SUM(Q15:Q19)</f>
        <v>1985</v>
      </c>
      <c r="S20" s="242"/>
      <c r="T20" s="163" t="s">
        <v>405</v>
      </c>
      <c r="U20" s="163">
        <f ca="1">U14+U8</f>
        <v>206</v>
      </c>
      <c r="V20" s="177">
        <f t="shared" ref="V20" ca="1" si="31">V14+V8</f>
        <v>459631326.85598403</v>
      </c>
      <c r="W20" s="181">
        <f ca="1">SUM(W15:W19)</f>
        <v>489</v>
      </c>
      <c r="Y20" s="242"/>
      <c r="Z20" s="163" t="s">
        <v>405</v>
      </c>
      <c r="AA20" s="163">
        <f ca="1">AA14+AA8</f>
        <v>1017</v>
      </c>
      <c r="AB20" s="164" t="e">
        <f t="shared" ref="AB20" ca="1" si="32">AB14+AB8</f>
        <v>#N/A</v>
      </c>
    </row>
  </sheetData>
  <mergeCells count="20">
    <mergeCell ref="M15:M20"/>
    <mergeCell ref="A3:A8"/>
    <mergeCell ref="A9:A14"/>
    <mergeCell ref="A15:A20"/>
    <mergeCell ref="G3:G8"/>
    <mergeCell ref="G9:G14"/>
    <mergeCell ref="G15:G20"/>
    <mergeCell ref="A1:E1"/>
    <mergeCell ref="G1:K1"/>
    <mergeCell ref="M1:Q1"/>
    <mergeCell ref="S3:S8"/>
    <mergeCell ref="S9:S14"/>
    <mergeCell ref="M3:M8"/>
    <mergeCell ref="M9:M14"/>
    <mergeCell ref="S15:S20"/>
    <mergeCell ref="Y1:AB1"/>
    <mergeCell ref="Y3:Y8"/>
    <mergeCell ref="Y9:Y14"/>
    <mergeCell ref="Y15:Y20"/>
    <mergeCell ref="S1:W1"/>
  </mergeCells>
  <pageMargins left="0.7" right="0.7" top="0.75" bottom="0.75" header="0.3" footer="0.3"/>
  <pageSetup orientation="portrait" horizontalDpi="1200" verticalDpi="1200" r:id="rId1"/>
  <ignoredErrors>
    <ignoredError sqref="E12 C12:D12 I12:K12 O12:Q12 O6:Q6 V6:W6 V12:W12 AA8:AB8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4DFB-65F5-41A3-AB17-76F77CB2C451}">
  <dimension ref="B2:J9"/>
  <sheetViews>
    <sheetView workbookViewId="0">
      <selection activeCell="H14" sqref="H14"/>
    </sheetView>
  </sheetViews>
  <sheetFormatPr defaultColWidth="30.42578125" defaultRowHeight="14.45"/>
  <cols>
    <col min="1" max="1" width="5.42578125" customWidth="1"/>
    <col min="2" max="2" width="28.7109375" bestFit="1" customWidth="1"/>
    <col min="3" max="3" width="9.28515625" bestFit="1" customWidth="1"/>
    <col min="4" max="4" width="12" bestFit="1" customWidth="1"/>
    <col min="5" max="5" width="12.42578125" bestFit="1" customWidth="1"/>
    <col min="6" max="7" width="11" bestFit="1" customWidth="1"/>
    <col min="8" max="8" width="12" bestFit="1" customWidth="1"/>
    <col min="9" max="9" width="12.42578125" bestFit="1" customWidth="1"/>
    <col min="10" max="10" width="21.85546875" bestFit="1" customWidth="1"/>
  </cols>
  <sheetData>
    <row r="2" spans="2:10" ht="28.9">
      <c r="B2" s="231" t="s">
        <v>407</v>
      </c>
      <c r="C2" s="232" t="s">
        <v>408</v>
      </c>
      <c r="D2" s="232" t="s">
        <v>409</v>
      </c>
      <c r="E2" s="231" t="s">
        <v>410</v>
      </c>
      <c r="F2" s="232" t="s">
        <v>411</v>
      </c>
      <c r="G2" s="231" t="s">
        <v>410</v>
      </c>
      <c r="H2" s="232" t="s">
        <v>412</v>
      </c>
      <c r="I2" s="231" t="s">
        <v>410</v>
      </c>
      <c r="J2" s="231" t="s">
        <v>24</v>
      </c>
    </row>
    <row r="3" spans="2:10" ht="28.9">
      <c r="B3" s="238" t="s">
        <v>413</v>
      </c>
      <c r="C3" s="234">
        <f>0/882</f>
        <v>0</v>
      </c>
      <c r="D3" s="6">
        <f>'Summary Progress Sheet'!E9</f>
        <v>676</v>
      </c>
      <c r="E3" s="1" t="s">
        <v>414</v>
      </c>
      <c r="F3" s="1"/>
      <c r="G3" s="1" t="s">
        <v>414</v>
      </c>
      <c r="H3" s="6">
        <f>'Summary Progress Sheet'!E11</f>
        <v>882</v>
      </c>
      <c r="I3" s="1" t="s">
        <v>414</v>
      </c>
      <c r="J3" s="230"/>
    </row>
    <row r="4" spans="2:10" ht="28.9">
      <c r="B4" s="238" t="s">
        <v>415</v>
      </c>
      <c r="C4" s="234">
        <f>0/18</f>
        <v>0</v>
      </c>
      <c r="D4" s="6">
        <f>'Summary Progress Sheet'!I9</f>
        <v>40</v>
      </c>
      <c r="E4" s="1" t="s">
        <v>416</v>
      </c>
      <c r="F4" s="1"/>
      <c r="G4" s="1" t="s">
        <v>416</v>
      </c>
      <c r="H4" s="6">
        <f>'Summary Progress Sheet'!I11</f>
        <v>18</v>
      </c>
      <c r="I4" s="1" t="s">
        <v>416</v>
      </c>
      <c r="J4" s="230"/>
    </row>
    <row r="5" spans="2:10" ht="28.9">
      <c r="B5" s="238" t="s">
        <v>417</v>
      </c>
      <c r="C5" s="234">
        <f>D5/10</f>
        <v>0.4</v>
      </c>
      <c r="D5" s="6">
        <f>SUM(CPD_Bulk[Units Complete])</f>
        <v>4</v>
      </c>
      <c r="E5" s="1" t="s">
        <v>418</v>
      </c>
      <c r="F5" s="1">
        <v>1</v>
      </c>
      <c r="G5" s="1" t="s">
        <v>418</v>
      </c>
      <c r="H5" s="6">
        <f>10-D5-F5</f>
        <v>5</v>
      </c>
      <c r="I5" s="1" t="s">
        <v>418</v>
      </c>
      <c r="J5" s="230"/>
    </row>
    <row r="6" spans="2:10">
      <c r="B6" s="238" t="s">
        <v>419</v>
      </c>
      <c r="C6" s="234">
        <f>D6/50</f>
        <v>0.28000000000000003</v>
      </c>
      <c r="D6" s="6">
        <f>SUM(CPD_RatSlabs[Units Complete])</f>
        <v>14</v>
      </c>
      <c r="E6" s="1" t="s">
        <v>420</v>
      </c>
      <c r="F6" s="1">
        <f>50-D6</f>
        <v>36</v>
      </c>
      <c r="G6" s="1" t="s">
        <v>420</v>
      </c>
      <c r="H6" s="6">
        <f>50-D6-F6</f>
        <v>0</v>
      </c>
      <c r="I6" s="1" t="s">
        <v>420</v>
      </c>
      <c r="J6" s="230"/>
    </row>
    <row r="7" spans="2:10">
      <c r="B7" s="238" t="s">
        <v>421</v>
      </c>
      <c r="C7" s="234">
        <f>D7/53000000</f>
        <v>0.36847541487236407</v>
      </c>
      <c r="D7" s="233">
        <f>SUMIFS(FWD[ESTIMATE],FWD[Funding Source],"NRR City Expense",FWD[STATUS],"COMPLETED")+SUMIFS(EHDAll[ESTIMATE],EHDAll[FUNDING SOURCE],"NRR City Expense",EHDAll[STATUS],"COMPLETED")+SUM(CPD_Int[% City Funds Based on '# Installed])+SUM(CPD_Ext[% City Funds Based on '# Installed])+SUM(CPD_Bulk[% City Funds Based on '# Installed])+SUM(CPD_RatSlabs[% City Funds Based on '# Installed])</f>
        <v>19529196.988235295</v>
      </c>
      <c r="E7" s="1" t="s">
        <v>422</v>
      </c>
      <c r="F7" s="233">
        <f>SUMIFS(FWD[ESTIMATE],FWD[Funding Source],"NRR City Expense",FWD[STATUS],"IN PROGRESS")+SUMIFS(EHDAll[ESTIMATE],EHDAll[FUNDING SOURCE],"NRR City Expense",EHDAll[STATUS],"IN PROGRESS")+(SUM(CPD_Int[City Funds Allocated])-SUM(CPD_Int[% City Funds Based on '# Installed]))+(SUM(CPD_Ext[City Funds Allocated])-SUM(CPD_Ext[% City Funds Based on '# Installed]))+(SUM(CPD_Bulk[City Funds Allocated])-SUM(CPD_Bulk[% City Funds Based on '# Installed]))+(SUM(CPD_RatSlabs[City Funds Allocated])-SUM(CPD_RatSlabs[% City Funds Based on '# Installed]))</f>
        <v>9789293.0117647052</v>
      </c>
      <c r="G7" s="1" t="s">
        <v>422</v>
      </c>
      <c r="H7" s="235">
        <f>53000000-D7-F7</f>
        <v>23681510</v>
      </c>
      <c r="I7" s="1" t="s">
        <v>422</v>
      </c>
      <c r="J7" s="230" t="s">
        <v>423</v>
      </c>
    </row>
    <row r="8" spans="2:10" ht="28.9">
      <c r="B8" s="238" t="s">
        <v>424</v>
      </c>
      <c r="C8" s="234"/>
      <c r="D8" s="6"/>
      <c r="E8" s="230" t="s">
        <v>425</v>
      </c>
      <c r="F8" s="230"/>
      <c r="G8" s="230" t="s">
        <v>425</v>
      </c>
      <c r="H8" s="6"/>
      <c r="I8" s="230" t="s">
        <v>425</v>
      </c>
      <c r="J8" s="230"/>
    </row>
    <row r="9" spans="2:10" ht="28.9">
      <c r="B9" s="238" t="s">
        <v>426</v>
      </c>
      <c r="C9" s="234">
        <f>D9/100</f>
        <v>0</v>
      </c>
      <c r="D9" s="6">
        <v>0</v>
      </c>
      <c r="E9" s="1" t="s">
        <v>427</v>
      </c>
      <c r="F9" s="1">
        <v>7</v>
      </c>
      <c r="G9" s="1" t="s">
        <v>427</v>
      </c>
      <c r="H9" s="6">
        <f>100-D9-F9</f>
        <v>93</v>
      </c>
      <c r="I9" s="1" t="s">
        <v>427</v>
      </c>
      <c r="J9" s="230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26"/>
  <sheetViews>
    <sheetView zoomScaleNormal="100" workbookViewId="0">
      <selection activeCell="K7" sqref="K7"/>
    </sheetView>
  </sheetViews>
  <sheetFormatPr defaultColWidth="8.7109375" defaultRowHeight="14.45"/>
  <cols>
    <col min="1" max="1" width="3.7109375" style="160" bestFit="1" customWidth="1"/>
    <col min="2" max="2" width="17.28515625" bestFit="1" customWidth="1"/>
    <col min="3" max="3" width="20" customWidth="1"/>
    <col min="4" max="4" width="18" customWidth="1"/>
    <col min="5" max="5" width="18.42578125" customWidth="1"/>
    <col min="6" max="6" width="16.7109375" customWidth="1"/>
    <col min="7" max="7" width="18.42578125" customWidth="1"/>
    <col min="8" max="8" width="19.42578125" customWidth="1"/>
    <col min="9" max="13" width="15.28515625" bestFit="1" customWidth="1"/>
  </cols>
  <sheetData>
    <row r="1" spans="1:13">
      <c r="B1" s="130" t="s">
        <v>428</v>
      </c>
      <c r="C1" s="226">
        <v>2020</v>
      </c>
      <c r="D1" s="226">
        <v>2021</v>
      </c>
      <c r="E1" s="226">
        <v>2022</v>
      </c>
      <c r="F1" s="226">
        <v>2023</v>
      </c>
      <c r="G1" s="226">
        <v>2024</v>
      </c>
      <c r="H1" s="226">
        <v>2025</v>
      </c>
      <c r="I1" s="226">
        <v>2026</v>
      </c>
      <c r="J1" s="226">
        <v>2027</v>
      </c>
      <c r="K1" s="226">
        <v>2028</v>
      </c>
      <c r="L1" s="226">
        <v>2029</v>
      </c>
      <c r="M1" s="226">
        <v>2030</v>
      </c>
    </row>
    <row r="2" spans="1:13">
      <c r="A2" s="249" t="s">
        <v>400</v>
      </c>
      <c r="B2" s="34" t="s">
        <v>429</v>
      </c>
      <c r="C2" s="3"/>
      <c r="D2" s="3"/>
      <c r="E2" s="3"/>
      <c r="F2" s="3"/>
      <c r="G2" s="3"/>
      <c r="H2" s="3"/>
      <c r="I2" s="3"/>
      <c r="J2" s="3"/>
      <c r="K2" s="3"/>
      <c r="L2" s="4"/>
      <c r="M2" s="3"/>
    </row>
    <row r="3" spans="1:13">
      <c r="A3" s="249"/>
      <c r="B3" s="34" t="s">
        <v>430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>
      <c r="A4" s="249"/>
      <c r="B4" s="34" t="s">
        <v>431</v>
      </c>
      <c r="C4" s="3">
        <f ca="1">SUMIFS(IntAll[ESTIMATE],IntAll[CALENDAR YEAR],C$1,IntAll[PROGRAM],"&lt;&gt;*LLC*")</f>
        <v>9558420.5</v>
      </c>
      <c r="D4" s="3">
        <f ca="1">SUMIFS(IntAll[ESTIMATE],IntAll[CALENDAR YEAR],D$1,IntAll[PROGRAM],"&lt;&gt;*LLC*")</f>
        <v>0</v>
      </c>
      <c r="E4" s="3">
        <f ca="1">SUMIFS(IntAll[ESTIMATE],IntAll[CALENDAR YEAR],E$1,IntAll[PROGRAM],"&lt;&gt;*LLC*")</f>
        <v>0</v>
      </c>
      <c r="F4" s="3">
        <f ca="1">SUMIFS(IntAll[ESTIMATE],IntAll[CALENDAR YEAR],F$1,IntAll[PROGRAM],"&lt;&gt;*LLC*")</f>
        <v>0</v>
      </c>
      <c r="G4" s="3">
        <f ca="1">SUMIFS(IntAll[ESTIMATE],IntAll[CALENDAR YEAR],G$1,IntAll[PROGRAM],"&lt;&gt;*LLC*")</f>
        <v>0</v>
      </c>
      <c r="H4" s="3">
        <f ca="1">SUMIFS(IntAll[ESTIMATE],IntAll[CALENDAR YEAR],H$1,IntAll[PROGRAM],"&lt;&gt;*LLC*")</f>
        <v>0</v>
      </c>
      <c r="I4" s="3">
        <f ca="1">SUMIFS(IntAll[ESTIMATE],IntAll[CALENDAR YEAR],I$1,IntAll[PROGRAM],"&lt;&gt;*LLC*")</f>
        <v>0</v>
      </c>
      <c r="J4" s="3">
        <f ca="1">SUMIFS(IntAll[ESTIMATE],IntAll[CALENDAR YEAR],J$1,IntAll[PROGRAM],"&lt;&gt;*LLC*")</f>
        <v>0</v>
      </c>
      <c r="K4" s="3">
        <f ca="1">SUMIFS(IntAll[ESTIMATE],IntAll[CALENDAR YEAR],K$1,IntAll[PROGRAM],"&lt;&gt;*LLC*")</f>
        <v>0</v>
      </c>
      <c r="L4" s="3">
        <f ca="1">SUMIFS(IntAll[ESTIMATE],IntAll[CALENDAR YEAR],L$1,IntAll[PROGRAM],"&lt;&gt;*LLC*")</f>
        <v>0</v>
      </c>
      <c r="M4" s="3">
        <f ca="1">SUMIFS(IntAll[ESTIMATE],IntAll[CALENDAR YEAR],M$1,IntAll[PROGRAM],"&lt;&gt;*LLC*")</f>
        <v>0</v>
      </c>
    </row>
    <row r="5" spans="1:13">
      <c r="A5" s="249"/>
      <c r="B5" s="34" t="s">
        <v>395</v>
      </c>
      <c r="C5" s="3">
        <f ca="1">SUMIFS(YardsAll[DSGN ESTIMATE],YardsAll[DSGN CALENDAR YEAR],C$1,YardsAll[PROGRAM],"&lt;&gt;*LLC*")+SUMIFS(YardsAll[CONS ESTIMATE],YardsAll[CONS CALENDAR YEAR],C$1,YardsAll[PROGRAM],"&lt;&gt;*LLC*")</f>
        <v>0</v>
      </c>
      <c r="D5" s="3">
        <f ca="1">SUMIFS(YardsAll[DSGN ESTIMATE],YardsAll[DSGN CALENDAR YEAR],D$1,YardsAll[PROGRAM],"&lt;&gt;*LLC*")+SUMIFS(YardsAll[CONS ESTIMATE],YardsAll[CONS CALENDAR YEAR],D$1,YardsAll[PROGRAM],"&lt;&gt;*LLC*")</f>
        <v>0</v>
      </c>
      <c r="E5" s="3">
        <f ca="1">SUMIFS(YardsAll[DSGN ESTIMATE],YardsAll[DSGN CALENDAR YEAR],E$1,YardsAll[PROGRAM],"&lt;&gt;*LLC*")+SUMIFS(YardsAll[CONS ESTIMATE],YardsAll[CONS CALENDAR YEAR],E$1,YardsAll[PROGRAM],"&lt;&gt;*LLC*")</f>
        <v>0</v>
      </c>
      <c r="F5" s="3">
        <f ca="1">SUMIFS(YardsAll[DSGN ESTIMATE],YardsAll[DSGN CALENDAR YEAR],F$1,YardsAll[PROGRAM],"&lt;&gt;*LLC*")+SUMIFS(YardsAll[CONS ESTIMATE],YardsAll[CONS CALENDAR YEAR],F$1,YardsAll[PROGRAM],"&lt;&gt;*LLC*")</f>
        <v>310596.15818760009</v>
      </c>
      <c r="G5" s="3">
        <f ca="1">SUMIFS(YardsAll[DSGN ESTIMATE],YardsAll[DSGN CALENDAR YEAR],G$1,YardsAll[PROGRAM],"&lt;&gt;*LLC*")+SUMIFS(YardsAll[CONS ESTIMATE],YardsAll[CONS CALENDAR YEAR],G$1,YardsAll[PROGRAM],"&lt;&gt;*LLC*")</f>
        <v>2795365.4236884005</v>
      </c>
      <c r="H5" s="3">
        <f ca="1">SUMIFS(YardsAll[DSGN ESTIMATE],YardsAll[DSGN CALENDAR YEAR],H$1,YardsAll[PROGRAM],"&lt;&gt;*LLC*")+SUMIFS(YardsAll[CONS ESTIMATE],YardsAll[CONS CALENDAR YEAR],H$1,YardsAll[PROGRAM],"&lt;&gt;*LLC*")</f>
        <v>0</v>
      </c>
      <c r="I5" s="3">
        <f ca="1">SUMIFS(YardsAll[DSGN ESTIMATE],YardsAll[DSGN CALENDAR YEAR],I$1,YardsAll[PROGRAM],"&lt;&gt;*LLC*")+SUMIFS(YardsAll[CONS ESTIMATE],YardsAll[CONS CALENDAR YEAR],I$1,YardsAll[PROGRAM],"&lt;&gt;*LLC*")</f>
        <v>0</v>
      </c>
      <c r="J5" s="3">
        <f ca="1">SUMIFS(YardsAll[DSGN ESTIMATE],YardsAll[DSGN CALENDAR YEAR],J$1,YardsAll[PROGRAM],"&lt;&gt;*LLC*")+SUMIFS(YardsAll[CONS ESTIMATE],YardsAll[CONS CALENDAR YEAR],J$1,YardsAll[PROGRAM],"&lt;&gt;*LLC*")</f>
        <v>0</v>
      </c>
      <c r="K5" s="3">
        <f ca="1">SUMIFS(YardsAll[DSGN ESTIMATE],YardsAll[DSGN CALENDAR YEAR],K$1,YardsAll[PROGRAM],"&lt;&gt;*LLC*")+SUMIFS(YardsAll[CONS ESTIMATE],YardsAll[CONS CALENDAR YEAR],K$1,YardsAll[PROGRAM],"&lt;&gt;*LLC*")</f>
        <v>0</v>
      </c>
      <c r="L5" s="3">
        <f ca="1">SUMIFS(YardsAll[DSGN ESTIMATE],YardsAll[DSGN CALENDAR YEAR],L$1,YardsAll[PROGRAM],"&lt;&gt;*LLC*")+SUMIFS(YardsAll[CONS ESTIMATE],YardsAll[CONS CALENDAR YEAR],L$1,YardsAll[PROGRAM],"&lt;&gt;*LLC*")</f>
        <v>0</v>
      </c>
      <c r="M5" s="3">
        <f ca="1">SUMIFS(YardsAll[DSGN ESTIMATE],YardsAll[DSGN CALENDAR YEAR],M$1,YardsAll[PROGRAM],"&lt;&gt;*LLC*")+SUMIFS(YardsAll[CONS ESTIMATE],YardsAll[CONS CALENDAR YEAR],M$1,YardsAll[PROGRAM],"&lt;&gt;*LLC*")</f>
        <v>0</v>
      </c>
    </row>
    <row r="6" spans="1:13">
      <c r="A6" s="249"/>
      <c r="B6" s="34" t="s">
        <v>398</v>
      </c>
      <c r="C6" s="23">
        <f ca="1">SUM(C2:C5)</f>
        <v>9558420.5</v>
      </c>
      <c r="D6" s="23">
        <f t="shared" ref="D6:M6" ca="1" si="0">SUM(D2:D5)</f>
        <v>0</v>
      </c>
      <c r="E6" s="23">
        <f t="shared" ca="1" si="0"/>
        <v>0</v>
      </c>
      <c r="F6" s="23">
        <f t="shared" ca="1" si="0"/>
        <v>310596.15818760009</v>
      </c>
      <c r="G6" s="23">
        <f t="shared" ca="1" si="0"/>
        <v>2795365.4236884005</v>
      </c>
      <c r="H6" s="23">
        <f t="shared" ca="1" si="0"/>
        <v>0</v>
      </c>
      <c r="I6" s="23">
        <f t="shared" ca="1" si="0"/>
        <v>0</v>
      </c>
      <c r="J6" s="23">
        <f t="shared" ca="1" si="0"/>
        <v>0</v>
      </c>
      <c r="K6" s="23">
        <f t="shared" ca="1" si="0"/>
        <v>0</v>
      </c>
      <c r="L6" s="23">
        <f t="shared" ca="1" si="0"/>
        <v>0</v>
      </c>
      <c r="M6" s="23">
        <f t="shared" ca="1" si="0"/>
        <v>0</v>
      </c>
    </row>
    <row r="8" spans="1:13">
      <c r="A8" s="249" t="s">
        <v>406</v>
      </c>
      <c r="B8" s="34" t="s">
        <v>429</v>
      </c>
      <c r="C8" s="3">
        <f ca="1">SUMIFS(FWD[ESTIMATE],FWD[est. Year],C$1)</f>
        <v>3877468.2973215338</v>
      </c>
      <c r="D8" s="3">
        <f ca="1">SUMIF(FWD[est. Year],'Yearly Breakdown'!D$1,FWD[ESTIMATE])</f>
        <v>3961686.3587438548</v>
      </c>
      <c r="E8" s="3">
        <f ca="1">SUMIF(FWD[est. Year],'Yearly Breakdown'!E$1,FWD[ESTIMATE])</f>
        <v>6321510.8145162249</v>
      </c>
      <c r="F8" s="3">
        <f ca="1">SUMIF(FWD[est. Year],'Yearly Breakdown'!F$1,FWD[ESTIMATE])</f>
        <v>4424026.3285929207</v>
      </c>
      <c r="G8" s="3">
        <f ca="1">SUMIF(FWD[est. Year],'Yearly Breakdown'!G$1,FWD[ESTIMATE])</f>
        <v>5745734.2721391339</v>
      </c>
      <c r="H8" s="3">
        <f ca="1">SUMIF(FWD[est. Year],'Yearly Breakdown'!H$1,FWD[ESTIMATE])</f>
        <v>3614501.6973702069</v>
      </c>
      <c r="I8" s="3">
        <f ca="1">SUMIF(FWD[est. Year],'Yearly Breakdown'!I$1,FWD[ESTIMATE])</f>
        <v>5510267.4473461155</v>
      </c>
      <c r="J8" s="3">
        <f ca="1">SUMIF(FWD[est. Year],'Yearly Breakdown'!J$1,FWD[ESTIMATE])</f>
        <v>4408557.7050663717</v>
      </c>
      <c r="K8" s="3">
        <f ca="1">SUMIF(FWD[est. Year],'Yearly Breakdown'!K$1,FWD[ESTIMATE])</f>
        <v>7051973.5921588</v>
      </c>
      <c r="L8" s="4">
        <f ca="1">SUMIF(FWD[est. Year],'Yearly Breakdown'!L$1,FWD[ESTIMATE])</f>
        <v>4635430.8501224192</v>
      </c>
      <c r="M8" s="3">
        <f ca="1">SUMIF(FWD[est. Year],'Yearly Breakdown'!M$1,FWD[ESTIMATE])</f>
        <v>5532611.0146622416</v>
      </c>
    </row>
    <row r="9" spans="1:13">
      <c r="A9" s="249"/>
      <c r="B9" s="34" t="s">
        <v>430</v>
      </c>
      <c r="C9" s="3">
        <f ca="1">SUMIF(EHDAll[CALENDAR YEAR],C$1,EHDAll[ESTIMATE])</f>
        <v>877405.93300000019</v>
      </c>
      <c r="D9" s="3">
        <f ca="1">SUMIF(EHDAll[CALENDAR YEAR],D$1,EHDAll[ESTIMATE])</f>
        <v>0</v>
      </c>
      <c r="E9" s="3">
        <f ca="1">SUMIF(EHDAll[CALENDAR YEAR],E$1,EHDAll[ESTIMATE])</f>
        <v>0</v>
      </c>
      <c r="F9" s="3">
        <f ca="1">SUMIF(EHDAll[CALENDAR YEAR],F$1,EHDAll[ESTIMATE])</f>
        <v>0</v>
      </c>
      <c r="G9" s="3">
        <f ca="1">SUMIF(EHDAll[CALENDAR YEAR],G$1,EHDAll[ESTIMATE])</f>
        <v>0</v>
      </c>
      <c r="H9" s="3">
        <f ca="1">SUMIF(EHDAll[CALENDAR YEAR],H$1,EHDAll[ESTIMATE])</f>
        <v>0</v>
      </c>
      <c r="I9" s="3">
        <f ca="1">SUMIF(EHDAll[CALENDAR YEAR],I$1,EHDAll[ESTIMATE])</f>
        <v>0</v>
      </c>
      <c r="J9" s="3">
        <f ca="1">SUMIF(EHDAll[CALENDAR YEAR],J$1,EHDAll[ESTIMATE])</f>
        <v>0</v>
      </c>
      <c r="K9" s="3">
        <f ca="1">SUMIF(EHDAll[CALENDAR YEAR],K$1,EHDAll[ESTIMATE])</f>
        <v>0</v>
      </c>
      <c r="L9" s="3">
        <f ca="1">SUMIF(EHDAll[CALENDAR YEAR],L$1,EHDAll[ESTIMATE])</f>
        <v>0</v>
      </c>
      <c r="M9" s="3">
        <f ca="1">SUMIF(EHDAll[CALENDAR YEAR],M$1,EHDAll[ESTIMATE])</f>
        <v>0</v>
      </c>
    </row>
    <row r="10" spans="1:13">
      <c r="A10" s="249"/>
      <c r="B10" s="34" t="s">
        <v>431</v>
      </c>
      <c r="C10" s="3">
        <f ca="1">SUMIFS(IntAll[ESTIMATE],IntAll[CALENDAR YEAR],C$1,IntAll[PROGRAM],"*LLC*")</f>
        <v>0</v>
      </c>
      <c r="D10" s="3">
        <f ca="1">SUMIFS(IntAll[ESTIMATE],IntAll[CALENDAR YEAR],D$1,IntAll[PROGRAM],"*LLC*")</f>
        <v>0</v>
      </c>
      <c r="E10" s="3">
        <f ca="1">SUMIFS(IntAll[ESTIMATE],IntAll[CALENDAR YEAR],E$1,IntAll[PROGRAM],"*LLC*")</f>
        <v>0</v>
      </c>
      <c r="F10" s="3">
        <f ca="1">SUMIFS(IntAll[ESTIMATE],IntAll[CALENDAR YEAR],F$1,IntAll[PROGRAM],"*LLC*")</f>
        <v>0</v>
      </c>
      <c r="G10" s="3">
        <f ca="1">SUMIFS(IntAll[ESTIMATE],IntAll[CALENDAR YEAR],G$1,IntAll[PROGRAM],"*LLC*")</f>
        <v>0</v>
      </c>
      <c r="H10" s="3">
        <f ca="1">SUMIFS(IntAll[ESTIMATE],IntAll[CALENDAR YEAR],H$1,IntAll[PROGRAM],"*LLC*")</f>
        <v>0</v>
      </c>
      <c r="I10" s="3">
        <f ca="1">SUMIFS(IntAll[ESTIMATE],IntAll[CALENDAR YEAR],I$1,IntAll[PROGRAM],"*LLC*")</f>
        <v>0</v>
      </c>
      <c r="J10" s="3">
        <f ca="1">SUMIFS(IntAll[ESTIMATE],IntAll[CALENDAR YEAR],J$1,IntAll[PROGRAM],"*LLC*")</f>
        <v>0</v>
      </c>
      <c r="K10" s="3">
        <f ca="1">SUMIFS(IntAll[ESTIMATE],IntAll[CALENDAR YEAR],K$1,IntAll[PROGRAM],"*LLC*")</f>
        <v>0</v>
      </c>
      <c r="L10" s="3">
        <f ca="1">SUMIFS(IntAll[ESTIMATE],IntAll[CALENDAR YEAR],L$1,IntAll[PROGRAM],"*LLC*")</f>
        <v>0</v>
      </c>
      <c r="M10" s="3">
        <f ca="1">SUMIFS(IntAll[ESTIMATE],IntAll[CALENDAR YEAR],M$1,IntAll[PROGRAM],"*LLC*")</f>
        <v>0</v>
      </c>
    </row>
    <row r="11" spans="1:13">
      <c r="A11" s="249"/>
      <c r="B11" s="34" t="s">
        <v>395</v>
      </c>
      <c r="C11" s="3">
        <f ca="1">SUMIFS(YardsAll[DSGN ESTIMATE],YardsAll[DSGN CALENDAR YEAR],C$1,YardsAll[PROGRAM],"*LLC*")+SUMIFS(YardsAll[CONS ESTIMATE],YardsAll[CONS CALENDAR YEAR],C$1,YardsAll[PROGRAM],"*LLC*")</f>
        <v>36072</v>
      </c>
      <c r="D11" s="3">
        <f ca="1">SUMIFS(YardsAll[DSGN ESTIMATE],YardsAll[DSGN CALENDAR YEAR],D$1,YardsAll[PROGRAM],"*LLC*")+SUMIFS(YardsAll[CONS ESTIMATE],YardsAll[CONS CALENDAR YEAR],D$1,YardsAll[PROGRAM],"*LLC*")</f>
        <v>0</v>
      </c>
      <c r="E11" s="3">
        <f ca="1">SUMIFS(YardsAll[DSGN ESTIMATE],YardsAll[DSGN CALENDAR YEAR],E$1,YardsAll[PROGRAM],"*LLC*")+SUMIFS(YardsAll[CONS ESTIMATE],YardsAll[CONS CALENDAR YEAR],E$1,YardsAll[PROGRAM],"*LLC*")</f>
        <v>0</v>
      </c>
      <c r="F11" s="3">
        <f ca="1">SUMIFS(YardsAll[DSGN ESTIMATE],YardsAll[DSGN CALENDAR YEAR],F$1,YardsAll[PROGRAM],"*LLC*")+SUMIFS(YardsAll[CONS ESTIMATE],YardsAll[CONS CALENDAR YEAR],F$1,YardsAll[PROGRAM],"*LLC*")</f>
        <v>0</v>
      </c>
      <c r="G11" s="3">
        <f ca="1">SUMIFS(YardsAll[DSGN ESTIMATE],YardsAll[DSGN CALENDAR YEAR],G$1,YardsAll[PROGRAM],"*LLC*")+SUMIFS(YardsAll[CONS ESTIMATE],YardsAll[CONS CALENDAR YEAR],G$1,YardsAll[PROGRAM],"*LLC*")</f>
        <v>0</v>
      </c>
      <c r="H11" s="3">
        <f ca="1">SUMIFS(YardsAll[DSGN ESTIMATE],YardsAll[DSGN CALENDAR YEAR],H$1,YardsAll[PROGRAM],"*LLC*")+SUMIFS(YardsAll[CONS ESTIMATE],YardsAll[CONS CALENDAR YEAR],H$1,YardsAll[PROGRAM],"*LLC*")</f>
        <v>0</v>
      </c>
      <c r="I11" s="3">
        <f ca="1">SUMIFS(YardsAll[DSGN ESTIMATE],YardsAll[DSGN CALENDAR YEAR],I$1,YardsAll[PROGRAM],"*LLC*")+SUMIFS(YardsAll[CONS ESTIMATE],YardsAll[CONS CALENDAR YEAR],I$1,YardsAll[PROGRAM],"*LLC*")</f>
        <v>0</v>
      </c>
      <c r="J11" s="3">
        <f ca="1">SUMIFS(YardsAll[DSGN ESTIMATE],YardsAll[DSGN CALENDAR YEAR],J$1,YardsAll[PROGRAM],"*LLC*")+SUMIFS(YardsAll[CONS ESTIMATE],YardsAll[CONS CALENDAR YEAR],J$1,YardsAll[PROGRAM],"*LLC*")</f>
        <v>0</v>
      </c>
      <c r="K11" s="3">
        <f ca="1">SUMIFS(YardsAll[DSGN ESTIMATE],YardsAll[DSGN CALENDAR YEAR],K$1,YardsAll[PROGRAM],"*LLC*")+SUMIFS(YardsAll[CONS ESTIMATE],YardsAll[CONS CALENDAR YEAR],K$1,YardsAll[PROGRAM],"*LLC*")</f>
        <v>0</v>
      </c>
      <c r="L11" s="3">
        <f ca="1">SUMIFS(YardsAll[DSGN ESTIMATE],YardsAll[DSGN CALENDAR YEAR],L$1,YardsAll[PROGRAM],"*LLC*")+SUMIFS(YardsAll[CONS ESTIMATE],YardsAll[CONS CALENDAR YEAR],L$1,YardsAll[PROGRAM],"*LLC*")</f>
        <v>0</v>
      </c>
      <c r="M11" s="3">
        <f ca="1">SUMIFS(YardsAll[DSGN ESTIMATE],YardsAll[DSGN CALENDAR YEAR],M$1,YardsAll[PROGRAM],"*LLC*")+SUMIFS(YardsAll[CONS ESTIMATE],YardsAll[CONS CALENDAR YEAR],M$1,YardsAll[PROGRAM],"*LLC*")</f>
        <v>0</v>
      </c>
    </row>
    <row r="12" spans="1:13">
      <c r="A12" s="249"/>
      <c r="B12" s="34" t="s">
        <v>398</v>
      </c>
      <c r="C12" s="23">
        <f ca="1">SUM(C8:C11)</f>
        <v>4790946.230321534</v>
      </c>
      <c r="D12" s="23">
        <f t="shared" ref="D12:M12" ca="1" si="1">SUM(D8:D11)</f>
        <v>3961686.3587438548</v>
      </c>
      <c r="E12" s="23">
        <f t="shared" ca="1" si="1"/>
        <v>6321510.8145162249</v>
      </c>
      <c r="F12" s="23">
        <f t="shared" ca="1" si="1"/>
        <v>4424026.3285929207</v>
      </c>
      <c r="G12" s="23">
        <f t="shared" ca="1" si="1"/>
        <v>5745734.2721391339</v>
      </c>
      <c r="H12" s="23">
        <f t="shared" ca="1" si="1"/>
        <v>3614501.6973702069</v>
      </c>
      <c r="I12" s="23">
        <f t="shared" ca="1" si="1"/>
        <v>5510267.4473461155</v>
      </c>
      <c r="J12" s="23">
        <f t="shared" ca="1" si="1"/>
        <v>4408557.7050663717</v>
      </c>
      <c r="K12" s="23">
        <f t="shared" ca="1" si="1"/>
        <v>7051973.5921588</v>
      </c>
      <c r="L12" s="23">
        <f t="shared" ca="1" si="1"/>
        <v>4635430.8501224192</v>
      </c>
      <c r="M12" s="23">
        <f t="shared" ca="1" si="1"/>
        <v>5532611.0146622416</v>
      </c>
    </row>
    <row r="14" spans="1:13">
      <c r="A14" s="249" t="s">
        <v>432</v>
      </c>
      <c r="B14" s="34" t="s">
        <v>429</v>
      </c>
      <c r="C14" s="3">
        <f ca="1">SUM(C8,C2)</f>
        <v>3877468.2973215338</v>
      </c>
      <c r="D14" s="3">
        <f t="shared" ref="D14:M14" ca="1" si="2">SUM(D8,D2)</f>
        <v>3961686.3587438548</v>
      </c>
      <c r="E14" s="3">
        <f t="shared" ca="1" si="2"/>
        <v>6321510.8145162249</v>
      </c>
      <c r="F14" s="3">
        <f t="shared" ca="1" si="2"/>
        <v>4424026.3285929207</v>
      </c>
      <c r="G14" s="3">
        <f t="shared" ca="1" si="2"/>
        <v>5745734.2721391339</v>
      </c>
      <c r="H14" s="3">
        <f t="shared" ca="1" si="2"/>
        <v>3614501.6973702069</v>
      </c>
      <c r="I14" s="3">
        <f t="shared" ca="1" si="2"/>
        <v>5510267.4473461155</v>
      </c>
      <c r="J14" s="3">
        <f t="shared" ca="1" si="2"/>
        <v>4408557.7050663717</v>
      </c>
      <c r="K14" s="3">
        <f t="shared" ca="1" si="2"/>
        <v>7051973.5921588</v>
      </c>
      <c r="L14" s="3">
        <f t="shared" ca="1" si="2"/>
        <v>4635430.8501224192</v>
      </c>
      <c r="M14" s="3">
        <f t="shared" ca="1" si="2"/>
        <v>5532611.0146622416</v>
      </c>
    </row>
    <row r="15" spans="1:13">
      <c r="A15" s="249"/>
      <c r="B15" s="34" t="s">
        <v>430</v>
      </c>
      <c r="C15" s="3">
        <f t="shared" ref="C15:M15" ca="1" si="3">SUM(C9,C3)</f>
        <v>877405.93300000019</v>
      </c>
      <c r="D15" s="3">
        <f t="shared" ca="1" si="3"/>
        <v>0</v>
      </c>
      <c r="E15" s="3">
        <f t="shared" ca="1" si="3"/>
        <v>0</v>
      </c>
      <c r="F15" s="3">
        <f t="shared" ca="1" si="3"/>
        <v>0</v>
      </c>
      <c r="G15" s="3">
        <f t="shared" ca="1" si="3"/>
        <v>0</v>
      </c>
      <c r="H15" s="3">
        <f t="shared" ca="1" si="3"/>
        <v>0</v>
      </c>
      <c r="I15" s="3">
        <f t="shared" ca="1" si="3"/>
        <v>0</v>
      </c>
      <c r="J15" s="3">
        <f t="shared" ca="1" si="3"/>
        <v>0</v>
      </c>
      <c r="K15" s="3">
        <f t="shared" ca="1" si="3"/>
        <v>0</v>
      </c>
      <c r="L15" s="3">
        <f t="shared" ca="1" si="3"/>
        <v>0</v>
      </c>
      <c r="M15" s="3">
        <f t="shared" ca="1" si="3"/>
        <v>0</v>
      </c>
    </row>
    <row r="16" spans="1:13">
      <c r="A16" s="249"/>
      <c r="B16" s="34" t="s">
        <v>431</v>
      </c>
      <c r="C16" s="3">
        <f ca="1">SUM(C10,C4)</f>
        <v>9558420.5</v>
      </c>
      <c r="D16" s="3">
        <f t="shared" ref="D16:M17" ca="1" si="4">SUM(D10,D4)</f>
        <v>0</v>
      </c>
      <c r="E16" s="3">
        <f t="shared" ca="1" si="4"/>
        <v>0</v>
      </c>
      <c r="F16" s="3">
        <f t="shared" ca="1" si="4"/>
        <v>0</v>
      </c>
      <c r="G16" s="3">
        <f t="shared" ca="1" si="4"/>
        <v>0</v>
      </c>
      <c r="H16" s="3">
        <f t="shared" ca="1" si="4"/>
        <v>0</v>
      </c>
      <c r="I16" s="3">
        <f t="shared" ca="1" si="4"/>
        <v>0</v>
      </c>
      <c r="J16" s="3">
        <f t="shared" ca="1" si="4"/>
        <v>0</v>
      </c>
      <c r="K16" s="3">
        <f t="shared" ca="1" si="4"/>
        <v>0</v>
      </c>
      <c r="L16" s="3">
        <f t="shared" ca="1" si="4"/>
        <v>0</v>
      </c>
      <c r="M16" s="3">
        <f t="shared" ca="1" si="4"/>
        <v>0</v>
      </c>
    </row>
    <row r="17" spans="1:13">
      <c r="A17" s="249"/>
      <c r="B17" s="34" t="s">
        <v>395</v>
      </c>
      <c r="C17" s="3">
        <f ca="1">SUM(C11,C5)</f>
        <v>36072</v>
      </c>
      <c r="D17" s="3">
        <f t="shared" ca="1" si="4"/>
        <v>0</v>
      </c>
      <c r="E17" s="3">
        <f t="shared" ca="1" si="4"/>
        <v>0</v>
      </c>
      <c r="F17" s="3">
        <f t="shared" ca="1" si="4"/>
        <v>310596.15818760009</v>
      </c>
      <c r="G17" s="3">
        <f t="shared" ca="1" si="4"/>
        <v>2795365.4236884005</v>
      </c>
      <c r="H17" s="3">
        <f t="shared" ca="1" si="4"/>
        <v>0</v>
      </c>
      <c r="I17" s="3">
        <f t="shared" ca="1" si="4"/>
        <v>0</v>
      </c>
      <c r="J17" s="3">
        <f t="shared" ca="1" si="4"/>
        <v>0</v>
      </c>
      <c r="K17" s="3">
        <f t="shared" ca="1" si="4"/>
        <v>0</v>
      </c>
      <c r="L17" s="3">
        <f t="shared" ca="1" si="4"/>
        <v>0</v>
      </c>
      <c r="M17" s="3">
        <f t="shared" ca="1" si="4"/>
        <v>0</v>
      </c>
    </row>
    <row r="18" spans="1:13">
      <c r="A18" s="249"/>
      <c r="B18" s="34" t="s">
        <v>398</v>
      </c>
      <c r="C18" s="23">
        <f ca="1">SUM(C14:C17)</f>
        <v>14349366.730321534</v>
      </c>
      <c r="D18" s="23">
        <f t="shared" ref="D18:M18" ca="1" si="5">SUM(D14:D17)</f>
        <v>3961686.3587438548</v>
      </c>
      <c r="E18" s="23">
        <f t="shared" ca="1" si="5"/>
        <v>6321510.8145162249</v>
      </c>
      <c r="F18" s="23">
        <f t="shared" ca="1" si="5"/>
        <v>4734622.4867805205</v>
      </c>
      <c r="G18" s="23">
        <f t="shared" ca="1" si="5"/>
        <v>8541099.6958275344</v>
      </c>
      <c r="H18" s="23">
        <f t="shared" ca="1" si="5"/>
        <v>3614501.6973702069</v>
      </c>
      <c r="I18" s="23">
        <f t="shared" ca="1" si="5"/>
        <v>5510267.4473461155</v>
      </c>
      <c r="J18" s="23">
        <f t="shared" ca="1" si="5"/>
        <v>4408557.7050663717</v>
      </c>
      <c r="K18" s="23">
        <f t="shared" ca="1" si="5"/>
        <v>7051973.5921588</v>
      </c>
      <c r="L18" s="23">
        <f t="shared" ca="1" si="5"/>
        <v>4635430.8501224192</v>
      </c>
      <c r="M18" s="23">
        <f t="shared" ca="1" si="5"/>
        <v>5532611.0146622416</v>
      </c>
    </row>
    <row r="20" spans="1:13">
      <c r="B20" s="129" t="s">
        <v>433</v>
      </c>
      <c r="C20" s="54">
        <v>2020</v>
      </c>
      <c r="D20" s="54">
        <v>2021</v>
      </c>
      <c r="E20" s="54">
        <v>2022</v>
      </c>
      <c r="F20" s="54">
        <v>2023</v>
      </c>
      <c r="G20" s="54">
        <v>2024</v>
      </c>
      <c r="H20" s="54">
        <v>2025</v>
      </c>
      <c r="I20" s="54">
        <v>2026</v>
      </c>
      <c r="J20" s="54">
        <v>2027</v>
      </c>
      <c r="K20" s="54">
        <v>2028</v>
      </c>
      <c r="L20" s="54">
        <v>2029</v>
      </c>
      <c r="M20" s="54">
        <v>2030</v>
      </c>
    </row>
    <row r="21" spans="1:13">
      <c r="B21" s="127" t="s">
        <v>28</v>
      </c>
      <c r="C21" s="3">
        <v>3489196</v>
      </c>
      <c r="D21" s="3"/>
      <c r="E21" s="3"/>
      <c r="F21" s="3"/>
      <c r="G21" s="3"/>
      <c r="H21" s="3"/>
      <c r="I21" s="3"/>
      <c r="J21" s="3"/>
      <c r="K21" s="3"/>
      <c r="L21" s="3"/>
      <c r="M21" s="3"/>
    </row>
    <row r="22" spans="1:13">
      <c r="B22" s="127" t="s">
        <v>434</v>
      </c>
      <c r="C22" s="3">
        <v>0</v>
      </c>
      <c r="D22" s="3"/>
      <c r="E22" s="3"/>
      <c r="F22" s="3"/>
      <c r="G22" s="3"/>
      <c r="H22" s="3"/>
      <c r="I22" s="3"/>
      <c r="J22" s="3"/>
      <c r="K22" s="3"/>
      <c r="L22" s="3"/>
      <c r="M22" s="3"/>
    </row>
    <row r="23" spans="1:13">
      <c r="B23" s="127" t="s">
        <v>435</v>
      </c>
      <c r="C23" s="3">
        <v>0</v>
      </c>
      <c r="D23" s="3"/>
      <c r="E23" s="3"/>
      <c r="F23" s="3"/>
      <c r="G23" s="3"/>
      <c r="H23" s="3"/>
      <c r="I23" s="3"/>
      <c r="J23" s="3"/>
      <c r="K23" s="3"/>
      <c r="L23" s="3"/>
      <c r="M23" s="3"/>
    </row>
    <row r="24" spans="1:13">
      <c r="B24" s="127" t="s">
        <v>436</v>
      </c>
      <c r="C24" s="3">
        <v>7000000</v>
      </c>
      <c r="D24" s="3"/>
      <c r="E24" s="3"/>
      <c r="F24" s="3"/>
      <c r="G24" s="3"/>
      <c r="H24" s="3"/>
      <c r="I24" s="3"/>
      <c r="J24" s="3"/>
      <c r="K24" s="3"/>
      <c r="L24" s="3"/>
      <c r="M24" s="3"/>
    </row>
    <row r="25" spans="1:13">
      <c r="B25" s="127" t="s">
        <v>398</v>
      </c>
      <c r="C25" s="5">
        <f>SUM(C21:C24)</f>
        <v>10489196</v>
      </c>
      <c r="D25" s="5">
        <f t="shared" ref="D25:M25" si="6">SUM(D21:D24)</f>
        <v>0</v>
      </c>
      <c r="E25" s="5">
        <f t="shared" si="6"/>
        <v>0</v>
      </c>
      <c r="F25" s="5">
        <f t="shared" si="6"/>
        <v>0</v>
      </c>
      <c r="G25" s="5">
        <f t="shared" si="6"/>
        <v>0</v>
      </c>
      <c r="H25" s="5">
        <f t="shared" si="6"/>
        <v>0</v>
      </c>
      <c r="I25" s="5">
        <f t="shared" si="6"/>
        <v>0</v>
      </c>
      <c r="J25" s="5">
        <f t="shared" si="6"/>
        <v>0</v>
      </c>
      <c r="K25" s="5">
        <f t="shared" si="6"/>
        <v>0</v>
      </c>
      <c r="L25" s="5">
        <f t="shared" si="6"/>
        <v>0</v>
      </c>
      <c r="M25" s="5">
        <f t="shared" si="6"/>
        <v>0</v>
      </c>
    </row>
    <row r="26" spans="1:13">
      <c r="B26" s="127" t="s">
        <v>437</v>
      </c>
      <c r="C26" s="23">
        <f ca="1">C18-C25</f>
        <v>3860170.730321534</v>
      </c>
      <c r="D26" s="23">
        <f t="shared" ref="D26:M26" ca="1" si="7">D18-D25</f>
        <v>3961686.3587438548</v>
      </c>
      <c r="E26" s="23">
        <f t="shared" ca="1" si="7"/>
        <v>6321510.8145162249</v>
      </c>
      <c r="F26" s="23">
        <f t="shared" ca="1" si="7"/>
        <v>4734622.4867805205</v>
      </c>
      <c r="G26" s="23">
        <f t="shared" ca="1" si="7"/>
        <v>8541099.6958275344</v>
      </c>
      <c r="H26" s="23">
        <f t="shared" ca="1" si="7"/>
        <v>3614501.6973702069</v>
      </c>
      <c r="I26" s="23">
        <f t="shared" ca="1" si="7"/>
        <v>5510267.4473461155</v>
      </c>
      <c r="J26" s="23">
        <f t="shared" ca="1" si="7"/>
        <v>4408557.7050663717</v>
      </c>
      <c r="K26" s="23">
        <f t="shared" ca="1" si="7"/>
        <v>7051973.5921588</v>
      </c>
      <c r="L26" s="23">
        <f t="shared" ca="1" si="7"/>
        <v>4635430.8501224192</v>
      </c>
      <c r="M26" s="23">
        <f t="shared" ca="1" si="7"/>
        <v>5532611.0146622416</v>
      </c>
    </row>
  </sheetData>
  <mergeCells count="3">
    <mergeCell ref="A2:A6"/>
    <mergeCell ref="A8:A12"/>
    <mergeCell ref="A14:A18"/>
  </mergeCells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T314"/>
  <sheetViews>
    <sheetView zoomScale="85" zoomScaleNormal="85" workbookViewId="0">
      <pane xSplit="1" ySplit="3" topLeftCell="L4" activePane="bottomRight" state="frozen"/>
      <selection pane="bottomRight" activeCell="P7" sqref="P7"/>
      <selection pane="bottomLeft" activeCell="A4" sqref="A4"/>
      <selection pane="topRight" activeCell="B1" sqref="B1"/>
    </sheetView>
  </sheetViews>
  <sheetFormatPr defaultColWidth="8.7109375" defaultRowHeight="14.45"/>
  <cols>
    <col min="1" max="1" width="46" bestFit="1" customWidth="1"/>
    <col min="2" max="2" width="14.7109375" bestFit="1" customWidth="1"/>
    <col min="3" max="3" width="15.42578125" bestFit="1" customWidth="1"/>
    <col min="4" max="4" width="21.140625" bestFit="1" customWidth="1"/>
    <col min="5" max="5" width="16.42578125" bestFit="1" customWidth="1"/>
    <col min="6" max="6" width="16.42578125" customWidth="1"/>
    <col min="7" max="7" width="7" bestFit="1" customWidth="1"/>
    <col min="8" max="8" width="15" bestFit="1" customWidth="1"/>
    <col min="9" max="9" width="12.42578125" bestFit="1" customWidth="1"/>
    <col min="10" max="10" width="22.28515625" bestFit="1" customWidth="1"/>
    <col min="11" max="11" width="17.7109375" bestFit="1" customWidth="1"/>
    <col min="12" max="12" width="14.140625" bestFit="1" customWidth="1"/>
    <col min="13" max="13" width="18.42578125" bestFit="1" customWidth="1"/>
    <col min="14" max="14" width="14.28515625" bestFit="1" customWidth="1"/>
    <col min="15" max="15" width="16.28515625" style="5" bestFit="1" customWidth="1"/>
    <col min="16" max="16" width="17" bestFit="1" customWidth="1"/>
    <col min="17" max="17" width="25.7109375" bestFit="1" customWidth="1"/>
    <col min="18" max="18" width="19.140625" bestFit="1" customWidth="1"/>
    <col min="19" max="19" width="16.140625" style="106" bestFit="1" customWidth="1"/>
    <col min="20" max="20" width="10.42578125" style="106" bestFit="1" customWidth="1"/>
    <col min="21" max="21" width="14.28515625" bestFit="1" customWidth="1"/>
  </cols>
  <sheetData>
    <row r="1" spans="1:20">
      <c r="N1" s="22">
        <f>SUM(FWD[COST])</f>
        <v>1703503.75</v>
      </c>
      <c r="O1" s="22">
        <f ca="1">SUM(FWD[ESTIMATE])</f>
        <v>294201188.32332426</v>
      </c>
      <c r="P1" s="22">
        <f ca="1">SUM(N1:O1)</f>
        <v>295904692.07332426</v>
      </c>
      <c r="T1" s="106">
        <v>2020</v>
      </c>
    </row>
    <row r="2" spans="1:20">
      <c r="O2" s="195">
        <v>3.5000000000000003E-2</v>
      </c>
    </row>
    <row r="3" spans="1:20">
      <c r="A3" s="96" t="s">
        <v>7</v>
      </c>
      <c r="B3" s="96" t="s">
        <v>5</v>
      </c>
      <c r="C3" s="96" t="s">
        <v>169</v>
      </c>
      <c r="D3" s="96" t="s">
        <v>11</v>
      </c>
      <c r="E3" s="96" t="s">
        <v>438</v>
      </c>
      <c r="F3" s="96" t="s">
        <v>439</v>
      </c>
      <c r="G3" s="96" t="s">
        <v>8</v>
      </c>
      <c r="H3" s="96" t="s">
        <v>9</v>
      </c>
      <c r="I3" s="96" t="s">
        <v>10</v>
      </c>
      <c r="J3" s="96" t="s">
        <v>167</v>
      </c>
      <c r="K3" s="96" t="s">
        <v>17</v>
      </c>
      <c r="L3" s="96" t="s">
        <v>18</v>
      </c>
      <c r="M3" s="96" t="s">
        <v>19</v>
      </c>
      <c r="N3" s="96" t="s">
        <v>21</v>
      </c>
      <c r="O3" s="97" t="s">
        <v>440</v>
      </c>
      <c r="P3" s="46" t="s">
        <v>441</v>
      </c>
      <c r="Q3" s="46" t="s">
        <v>442</v>
      </c>
      <c r="R3" s="97" t="s">
        <v>443</v>
      </c>
      <c r="S3" s="134" t="s">
        <v>444</v>
      </c>
      <c r="T3" s="134" t="s">
        <v>445</v>
      </c>
    </row>
    <row r="4" spans="1:20">
      <c r="A4" s="93" t="s">
        <v>48</v>
      </c>
      <c r="B4" s="94" t="str">
        <f>VLOOKUP(A4,Data[],2,FALSE)</f>
        <v>MANHATTAN</v>
      </c>
      <c r="C4" s="94" t="str">
        <f>VLOOKUP(FWD[[#This Row],[DEVELOPMENT]],Data[],25,FALSE)</f>
        <v>Newtown Creek</v>
      </c>
      <c r="D4" s="95" t="s">
        <v>49</v>
      </c>
      <c r="E4" s="95">
        <f>VLOOKUP(FWD[[#This Row],[DEVELOPMENT]],Data[],7,FALSE)</f>
        <v>197</v>
      </c>
      <c r="F4" s="95" t="e">
        <f>VLOOKUP(FWD[[#This Row],[DEVELOPMENT]],all[[DEVELOPMENT]:[MRST Ext. Comp. Priority]],5,FALSE)</f>
        <v>#N/A</v>
      </c>
      <c r="G4" s="95" t="str">
        <f>VLOOKUP(FWD[[#This Row],[DEVELOPMENT]],Data[],8,FALSE)</f>
        <v>Zone 1</v>
      </c>
      <c r="H4" s="95">
        <f>VLOOKUP(FWD[[#This Row],[DEVELOPMENT]],Data[],9,FALSE)</f>
        <v>4</v>
      </c>
      <c r="I4" s="94" t="str">
        <f ca="1">IFERROR(VLOOKUP(FWD[[#This Row],[DEVELOPMENT]],Data[],4,FALSE),"")</f>
        <v/>
      </c>
      <c r="J4" s="94" t="str">
        <f ca="1">IF(FWD[[#This Row],[RAD/PACT]]="","",IF(OR(FWD[[#This Row],[RAD/PACT]]="2021-2025",FWD[[#This Row],[RAD/PACT]]="2019-2020"),"Yes",""))</f>
        <v/>
      </c>
      <c r="K4" s="94">
        <v>2019</v>
      </c>
      <c r="L4" s="94">
        <v>2020</v>
      </c>
      <c r="M4" s="94" t="s">
        <v>20</v>
      </c>
      <c r="N4" s="227">
        <f>400894.17+179611.06+18481.22+8280.07</f>
        <v>607266.5199999999</v>
      </c>
      <c r="O4" s="227"/>
      <c r="P4" s="94" t="s">
        <v>33</v>
      </c>
      <c r="Q4" s="94" t="s">
        <v>446</v>
      </c>
      <c r="R4" s="72">
        <f t="shared" ref="R4:R67" si="0">IF(T4=T3,(O4+N4)+R3,(O4+N4))</f>
        <v>607266.5199999999</v>
      </c>
      <c r="S4" s="98">
        <f ca="1">SUM(INDEX(FWD[Dwelling Units],1):FWD[[#This Row],[Dwelling Units]])</f>
        <v>197</v>
      </c>
      <c r="T4" s="98">
        <f>IF(ISBLANK(FWD[[#This Row],[CALENDAR YEAR]]),ROUNDDOWN(FWD[[#This Row],[Running count]]/3000,0)+$T$1,FWD[[#This Row],[CALENDAR YEAR]])</f>
        <v>2019</v>
      </c>
    </row>
    <row r="5" spans="1:20">
      <c r="A5" s="65" t="s">
        <v>50</v>
      </c>
      <c r="B5" s="1" t="str">
        <f>VLOOKUP(A5,Data[],2,FALSE)</f>
        <v>MANHATTAN</v>
      </c>
      <c r="C5" s="1" t="str">
        <f>VLOOKUP(FWD[[#This Row],[DEVELOPMENT]],Data[],25,FALSE)</f>
        <v>Newtown Creek</v>
      </c>
      <c r="D5" s="9" t="s">
        <v>49</v>
      </c>
      <c r="E5" s="9">
        <f>VLOOKUP(FWD[[#This Row],[DEVELOPMENT]],Data[],7,FALSE)</f>
        <v>229</v>
      </c>
      <c r="F5" s="9" t="e">
        <f>VLOOKUP(FWD[[#This Row],[DEVELOPMENT]],all[[DEVELOPMENT]:[MRST Ext. Comp. Priority]],5,FALSE)</f>
        <v>#N/A</v>
      </c>
      <c r="G5" s="9" t="str">
        <f>VLOOKUP(FWD[[#This Row],[DEVELOPMENT]],Data[],8,FALSE)</f>
        <v>Zone 1</v>
      </c>
      <c r="H5" s="9">
        <f>VLOOKUP(FWD[[#This Row],[DEVELOPMENT]],Data[],9,FALSE)</f>
        <v>4</v>
      </c>
      <c r="I5" s="1" t="str">
        <f ca="1">IFERROR(VLOOKUP(FWD[[#This Row],[DEVELOPMENT]],Data[],4,FALSE),"")</f>
        <v/>
      </c>
      <c r="J5" s="1" t="str">
        <f ca="1">IF(FWD[[#This Row],[RAD/PACT]]="","",IF(OR(FWD[[#This Row],[RAD/PACT]]="2021-2025",FWD[[#This Row],[RAD/PACT]]="2019-2020"),"Yes",""))</f>
        <v/>
      </c>
      <c r="K5" s="1">
        <v>2019</v>
      </c>
      <c r="L5" s="1">
        <v>2020</v>
      </c>
      <c r="M5" s="1" t="s">
        <v>20</v>
      </c>
      <c r="N5" s="4">
        <f>370426.21+140727.41+17076.65+6487.54</f>
        <v>534717.81000000006</v>
      </c>
      <c r="O5" s="4"/>
      <c r="P5" s="94" t="s">
        <v>33</v>
      </c>
      <c r="Q5" s="94" t="s">
        <v>446</v>
      </c>
      <c r="R5" s="64">
        <f t="shared" si="0"/>
        <v>1141984.33</v>
      </c>
      <c r="S5" s="71">
        <f ca="1">SUM(INDEX(FWD[Dwelling Units],1):FWD[[#This Row],[Dwelling Units]])</f>
        <v>426</v>
      </c>
      <c r="T5" s="71">
        <f>IF(ISBLANK(FWD[[#This Row],[CALENDAR YEAR]]),ROUNDDOWN(FWD[[#This Row],[Running count]]/3000,0)+$T$1,FWD[[#This Row],[CALENDAR YEAR]])</f>
        <v>2019</v>
      </c>
    </row>
    <row r="6" spans="1:20">
      <c r="A6" s="70" t="s">
        <v>51</v>
      </c>
      <c r="B6" s="36" t="str">
        <f>VLOOKUP(A6,Data[],2,FALSE)</f>
        <v>MANHATTAN</v>
      </c>
      <c r="C6" s="36" t="str">
        <f>VLOOKUP(FWD[[#This Row],[DEVELOPMENT]],Data[],25,FALSE)</f>
        <v>Newtown Creek</v>
      </c>
      <c r="D6" s="24" t="s">
        <v>49</v>
      </c>
      <c r="E6" s="24">
        <f>VLOOKUP(FWD[[#This Row],[DEVELOPMENT]],Data[],7,FALSE)</f>
        <v>250</v>
      </c>
      <c r="F6" s="24" t="e">
        <f>VLOOKUP(FWD[[#This Row],[DEVELOPMENT]],all[[DEVELOPMENT]:[MRST Ext. Comp. Priority]],5,FALSE)</f>
        <v>#N/A</v>
      </c>
      <c r="G6" s="24" t="str">
        <f>VLOOKUP(FWD[[#This Row],[DEVELOPMENT]],Data[],8,FALSE)</f>
        <v>Zone 1</v>
      </c>
      <c r="H6" s="24">
        <f>VLOOKUP(FWD[[#This Row],[DEVELOPMENT]],Data[],9,FALSE)</f>
        <v>4</v>
      </c>
      <c r="I6" s="36" t="str">
        <f ca="1">IFERROR(VLOOKUP(FWD[[#This Row],[DEVELOPMENT]],Data[],4,FALSE),"")</f>
        <v/>
      </c>
      <c r="J6" s="36" t="str">
        <f ca="1">IF(FWD[[#This Row],[RAD/PACT]]="","",IF(OR(FWD[[#This Row],[RAD/PACT]]="2021-2025",FWD[[#This Row],[RAD/PACT]]="2019-2020"),"Yes",""))</f>
        <v/>
      </c>
      <c r="K6" s="36">
        <v>2019</v>
      </c>
      <c r="L6" s="36">
        <v>2020</v>
      </c>
      <c r="M6" s="36" t="s">
        <v>20</v>
      </c>
      <c r="N6" s="228">
        <f>317508.15+219265.98+14637.13+10108.16</f>
        <v>561519.42000000004</v>
      </c>
      <c r="O6" s="228"/>
      <c r="P6" s="94" t="s">
        <v>33</v>
      </c>
      <c r="Q6" s="94" t="s">
        <v>446</v>
      </c>
      <c r="R6" s="68">
        <f t="shared" si="0"/>
        <v>1703503.75</v>
      </c>
      <c r="S6" s="71">
        <f ca="1">SUM(INDEX(FWD[Dwelling Units],1):FWD[[#This Row],[Dwelling Units]])</f>
        <v>676</v>
      </c>
      <c r="T6" s="71">
        <f>IF(ISBLANK(FWD[[#This Row],[CALENDAR YEAR]]),ROUNDDOWN(FWD[[#This Row],[Running count]]/3000,0)+$T$1,FWD[[#This Row],[CALENDAR YEAR]])</f>
        <v>2019</v>
      </c>
    </row>
    <row r="7" spans="1:20">
      <c r="A7" s="9" t="s">
        <v>37</v>
      </c>
      <c r="B7" s="1" t="str">
        <f>VLOOKUP(A7,Data[],2,FALSE)</f>
        <v>BROOKLYN</v>
      </c>
      <c r="C7" s="1" t="str">
        <f>VLOOKUP(FWD[[#This Row],[DEVELOPMENT]],Data[],25,FALSE)</f>
        <v>Newtown Creek</v>
      </c>
      <c r="D7" s="9" t="s">
        <v>49</v>
      </c>
      <c r="E7" s="9">
        <f>VLOOKUP(FWD[[#This Row],[DEVELOPMENT]],Data[],7,FALSE)</f>
        <v>882</v>
      </c>
      <c r="F7" s="9" t="e">
        <f>VLOOKUP(FWD[[#This Row],[DEVELOPMENT]],all[[DEVELOPMENT]:[MRST Ext. Comp. Priority]],5,FALSE)</f>
        <v>#N/A</v>
      </c>
      <c r="G7" s="9" t="str">
        <f>VLOOKUP(FWD[[#This Row],[DEVELOPMENT]],Data[],8,FALSE)</f>
        <v>Zone 1</v>
      </c>
      <c r="H7" s="9">
        <f>VLOOKUP(FWD[[#This Row],[DEVELOPMENT]],Data[],9,FALSE)</f>
        <v>2</v>
      </c>
      <c r="I7" s="1" t="str">
        <f ca="1">IFERROR(VLOOKUP(FWD[[#This Row],[DEVELOPMENT]],Data[],4,FALSE),"")</f>
        <v/>
      </c>
      <c r="J7" s="1" t="str">
        <f ca="1">IF(FWD[[#This Row],[RAD/PACT]]="","",IF(OR(FWD[[#This Row],[RAD/PACT]]="2021-2025",FWD[[#This Row],[RAD/PACT]]="2019-2020"),"Yes",""))</f>
        <v/>
      </c>
      <c r="K7" s="1">
        <v>2020</v>
      </c>
      <c r="L7" s="1">
        <v>2020</v>
      </c>
      <c r="M7" s="1" t="s">
        <v>402</v>
      </c>
      <c r="N7" s="1"/>
      <c r="O7" s="3">
        <f ca="1">IF(FWD[[#This Row],[RAD/PACT]]="2019-2020",0,INDEX(UnitCosts[],MATCH(FWD[[#This Row],[WORK TYPE]],UnitCosts[Work Type],0),2)*FWD[[#This Row],[Dwelling Units]])</f>
        <v>1515925.1056017699</v>
      </c>
      <c r="P7" s="1" t="s">
        <v>447</v>
      </c>
      <c r="Q7" s="1" t="s">
        <v>448</v>
      </c>
      <c r="R7" s="3">
        <f t="shared" ca="1" si="0"/>
        <v>1515925.1056017699</v>
      </c>
      <c r="S7" s="71">
        <f ca="1">SUM(INDEX(FWD[Dwelling Units],1):FWD[[#This Row],[Dwelling Units]])</f>
        <v>1558</v>
      </c>
      <c r="T7" s="71">
        <f>IF(ISBLANK(FWD[[#This Row],[CALENDAR YEAR]]),ROUNDDOWN(FWD[[#This Row],[Running count]]/3000,0)+$T$1,FWD[[#This Row],[CALENDAR YEAR]])</f>
        <v>2020</v>
      </c>
    </row>
    <row r="8" spans="1:20">
      <c r="A8" s="65" t="s">
        <v>291</v>
      </c>
      <c r="B8" s="1" t="str">
        <f>VLOOKUP(A8,Data[],2,FALSE)</f>
        <v>BRONX</v>
      </c>
      <c r="C8" s="1">
        <f>VLOOKUP(FWD[[#This Row],[DEVELOPMENT]],Data[],25,FALSE)</f>
        <v>0</v>
      </c>
      <c r="D8" s="9" t="s">
        <v>49</v>
      </c>
      <c r="E8" s="50">
        <f>VLOOKUP(FWD[[#This Row],[DEVELOPMENT]],Data[],7,FALSE)</f>
        <v>218</v>
      </c>
      <c r="F8" s="50" t="e">
        <f>VLOOKUP(FWD[[#This Row],[DEVELOPMENT]],all[[DEVELOPMENT]:[MRST Ext. Comp. Priority]],5,FALSE)</f>
        <v>#N/A</v>
      </c>
      <c r="G8" s="50">
        <f>VLOOKUP(FWD[[#This Row],[DEVELOPMENT]],Data[],8,FALSE)</f>
        <v>0</v>
      </c>
      <c r="H8" s="9">
        <f>VLOOKUP(FWD[[#This Row],[DEVELOPMENT]],Data[],9,FALSE)</f>
        <v>0</v>
      </c>
      <c r="I8" s="1" t="str">
        <f ca="1">IFERROR(VLOOKUP(FWD[[#This Row],[DEVELOPMENT]],Data[],4,FALSE),"")</f>
        <v/>
      </c>
      <c r="J8" s="51" t="str">
        <f ca="1">IF(FWD[[#This Row],[RAD/PACT]]="","",IF(OR(FWD[[#This Row],[RAD/PACT]]="2021-2025",FWD[[#This Row],[RAD/PACT]]="2019-2020"),"Yes",""))</f>
        <v/>
      </c>
      <c r="K8" s="1"/>
      <c r="L8" s="1"/>
      <c r="M8" s="1"/>
      <c r="N8" s="1"/>
      <c r="O8" s="3">
        <f ca="1">IF(FWD[[#This Row],[RAD/PACT]]="2019-2020",0,INDEX(UnitCosts[],MATCH(FWD[[#This Row],[WORK TYPE]],UnitCosts[Work Type],0),2)*FWD[[#This Row],[Dwelling Units]])</f>
        <v>374684.43653195677</v>
      </c>
      <c r="P8" s="3"/>
      <c r="Q8" s="3"/>
      <c r="R8" s="69">
        <f t="shared" ca="1" si="0"/>
        <v>1890609.5421337266</v>
      </c>
      <c r="S8" s="71">
        <f ca="1">SUM(INDEX(FWD[Dwelling Units],1):FWD[[#This Row],[Dwelling Units]])</f>
        <v>1776</v>
      </c>
      <c r="T8" s="71">
        <f ca="1">IF(ISBLANK(FWD[[#This Row],[CALENDAR YEAR]]),ROUNDDOWN(FWD[[#This Row],[Running count]]/3000,0)+$T$1,FWD[[#This Row],[CALENDAR YEAR]])</f>
        <v>2020</v>
      </c>
    </row>
    <row r="9" spans="1:20">
      <c r="A9" s="65" t="s">
        <v>292</v>
      </c>
      <c r="B9" s="1" t="str">
        <f>VLOOKUP(A9,Data[],2,FALSE)</f>
        <v>BROOKLYN</v>
      </c>
      <c r="C9" s="1">
        <f>VLOOKUP(FWD[[#This Row],[DEVELOPMENT]],Data[],25,FALSE)</f>
        <v>0</v>
      </c>
      <c r="D9" s="9" t="s">
        <v>49</v>
      </c>
      <c r="E9" s="50">
        <f>VLOOKUP(FWD[[#This Row],[DEVELOPMENT]],Data[],7,FALSE)</f>
        <v>30</v>
      </c>
      <c r="F9" s="50" t="e">
        <f>VLOOKUP(FWD[[#This Row],[DEVELOPMENT]],all[[DEVELOPMENT]:[MRST Ext. Comp. Priority]],5,FALSE)</f>
        <v>#N/A</v>
      </c>
      <c r="G9" s="50">
        <f>VLOOKUP(FWD[[#This Row],[DEVELOPMENT]],Data[],8,FALSE)</f>
        <v>0</v>
      </c>
      <c r="H9" s="9">
        <f>VLOOKUP(FWD[[#This Row],[DEVELOPMENT]],Data[],9,FALSE)</f>
        <v>0</v>
      </c>
      <c r="I9" s="1" t="str">
        <f ca="1">IFERROR(VLOOKUP(FWD[[#This Row],[DEVELOPMENT]],Data[],4,FALSE),"")</f>
        <v>2020-2021</v>
      </c>
      <c r="J9" s="51" t="str">
        <f ca="1">IF(FWD[[#This Row],[RAD/PACT]]="","",IF(OR(FWD[[#This Row],[RAD/PACT]]="2021-2025",FWD[[#This Row],[RAD/PACT]]="2019-2020"),"Yes",""))</f>
        <v/>
      </c>
      <c r="K9" s="1"/>
      <c r="L9" s="1"/>
      <c r="M9" s="1"/>
      <c r="N9" s="1"/>
      <c r="O9" s="3">
        <f ca="1">IF(FWD[[#This Row],[RAD/PACT]]="2019-2020",0,INDEX(UnitCosts[],MATCH(FWD[[#This Row],[WORK TYPE]],UnitCosts[Work Type],0),2)*FWD[[#This Row],[Dwelling Units]])</f>
        <v>51562.078421828912</v>
      </c>
      <c r="P9" s="3"/>
      <c r="Q9" s="3"/>
      <c r="R9" s="69">
        <f t="shared" ca="1" si="0"/>
        <v>1942171.6205555554</v>
      </c>
      <c r="S9" s="71">
        <f ca="1">SUM(INDEX(FWD[Dwelling Units],1):FWD[[#This Row],[Dwelling Units]])</f>
        <v>1806</v>
      </c>
      <c r="T9" s="71">
        <f ca="1">IF(ISBLANK(FWD[[#This Row],[CALENDAR YEAR]]),ROUNDDOWN(FWD[[#This Row],[Running count]]/3000,0)+$T$1,FWD[[#This Row],[CALENDAR YEAR]])</f>
        <v>2020</v>
      </c>
    </row>
    <row r="10" spans="1:20">
      <c r="A10" s="65" t="s">
        <v>293</v>
      </c>
      <c r="B10" s="1" t="str">
        <f>VLOOKUP(A10,Data[],2,FALSE)</f>
        <v>BRONX</v>
      </c>
      <c r="C10" s="1">
        <f>VLOOKUP(FWD[[#This Row],[DEVELOPMENT]],Data[],25,FALSE)</f>
        <v>0</v>
      </c>
      <c r="D10" s="9" t="s">
        <v>49</v>
      </c>
      <c r="E10" s="50">
        <f>VLOOKUP(FWD[[#This Row],[DEVELOPMENT]],Data[],7,FALSE)</f>
        <v>65</v>
      </c>
      <c r="F10" s="50" t="e">
        <f>VLOOKUP(FWD[[#This Row],[DEVELOPMENT]],all[[DEVELOPMENT]:[MRST Ext. Comp. Priority]],5,FALSE)</f>
        <v>#N/A</v>
      </c>
      <c r="G10" s="50">
        <f>VLOOKUP(FWD[[#This Row],[DEVELOPMENT]],Data[],8,FALSE)</f>
        <v>0</v>
      </c>
      <c r="H10" s="9">
        <f>VLOOKUP(FWD[[#This Row],[DEVELOPMENT]],Data[],9,FALSE)</f>
        <v>0</v>
      </c>
      <c r="I10" s="1" t="str">
        <f ca="1">IFERROR(VLOOKUP(FWD[[#This Row],[DEVELOPMENT]],Data[],4,FALSE),"")</f>
        <v>2022-2025</v>
      </c>
      <c r="J10" s="51" t="str">
        <f ca="1">IF(FWD[[#This Row],[RAD/PACT]]="","",IF(OR(FWD[[#This Row],[RAD/PACT]]="2021-2025",FWD[[#This Row],[RAD/PACT]]="2019-2020"),"Yes",""))</f>
        <v/>
      </c>
      <c r="K10" s="1"/>
      <c r="L10" s="1"/>
      <c r="M10" s="1"/>
      <c r="N10" s="1"/>
      <c r="O10" s="3">
        <f ca="1">IF(FWD[[#This Row],[RAD/PACT]]="2019-2020",0,INDEX(UnitCosts[],MATCH(FWD[[#This Row],[WORK TYPE]],UnitCosts[Work Type],0),2)*FWD[[#This Row],[Dwelling Units]])</f>
        <v>111717.8365806293</v>
      </c>
      <c r="P10" s="3"/>
      <c r="Q10" s="3"/>
      <c r="R10" s="69">
        <f t="shared" ca="1" si="0"/>
        <v>2053889.4571361847</v>
      </c>
      <c r="S10" s="71">
        <f ca="1">SUM(INDEX(FWD[Dwelling Units],1):FWD[[#This Row],[Dwelling Units]])</f>
        <v>1871</v>
      </c>
      <c r="T10" s="71">
        <f ca="1">IF(ISBLANK(FWD[[#This Row],[CALENDAR YEAR]]),ROUNDDOWN(FWD[[#This Row],[Running count]]/3000,0)+$T$1,FWD[[#This Row],[CALENDAR YEAR]])</f>
        <v>2020</v>
      </c>
    </row>
    <row r="11" spans="1:20">
      <c r="A11" s="65" t="s">
        <v>67</v>
      </c>
      <c r="B11" s="1" t="str">
        <f>VLOOKUP(A11,Data[],2,FALSE)</f>
        <v>MANHATTAN</v>
      </c>
      <c r="C11" s="1">
        <f>VLOOKUP(FWD[[#This Row],[DEVELOPMENT]],Data[],25,FALSE)</f>
        <v>0</v>
      </c>
      <c r="D11" s="9" t="s">
        <v>49</v>
      </c>
      <c r="E11" s="50">
        <f>VLOOKUP(FWD[[#This Row],[DEVELOPMENT]],Data[],7,FALSE)</f>
        <v>98</v>
      </c>
      <c r="F11" s="50" t="e">
        <f>VLOOKUP(FWD[[#This Row],[DEVELOPMENT]],all[[DEVELOPMENT]:[MRST Ext. Comp. Priority]],5,FALSE)</f>
        <v>#N/A</v>
      </c>
      <c r="G11" s="50" t="str">
        <f>VLOOKUP(FWD[[#This Row],[DEVELOPMENT]],Data[],8,FALSE)</f>
        <v>Zone 2</v>
      </c>
      <c r="H11" s="9">
        <f>VLOOKUP(FWD[[#This Row],[DEVELOPMENT]],Data[],9,FALSE)</f>
        <v>4</v>
      </c>
      <c r="I11" s="1" t="str">
        <f ca="1">IFERROR(VLOOKUP(FWD[[#This Row],[DEVELOPMENT]],Data[],4,FALSE),"")</f>
        <v>2026+</v>
      </c>
      <c r="J11" s="51" t="str">
        <f ca="1">IF(FWD[[#This Row],[RAD/PACT]]="","",IF(OR(FWD[[#This Row],[RAD/PACT]]="2021-2025",FWD[[#This Row],[RAD/PACT]]="2019-2020"),"Yes",""))</f>
        <v/>
      </c>
      <c r="K11" s="1"/>
      <c r="L11" s="1"/>
      <c r="M11" s="1"/>
      <c r="N11" s="1"/>
      <c r="O11" s="3">
        <f ca="1">IF(FWD[[#This Row],[RAD/PACT]]="2019-2020",0,INDEX(UnitCosts[],MATCH(FWD[[#This Row],[WORK TYPE]],UnitCosts[Work Type],0),2)*FWD[[#This Row],[Dwelling Units]])</f>
        <v>168436.1228446411</v>
      </c>
      <c r="P11" s="3"/>
      <c r="Q11" s="3"/>
      <c r="R11" s="69">
        <f t="shared" ca="1" si="0"/>
        <v>2222325.579980826</v>
      </c>
      <c r="S11" s="71">
        <f ca="1">SUM(INDEX(FWD[Dwelling Units],1):FWD[[#This Row],[Dwelling Units]])</f>
        <v>1969</v>
      </c>
      <c r="T11" s="71">
        <f ca="1">IF(ISBLANK(FWD[[#This Row],[CALENDAR YEAR]]),ROUNDDOWN(FWD[[#This Row],[Running count]]/3000,0)+$T$1,FWD[[#This Row],[CALENDAR YEAR]])</f>
        <v>2020</v>
      </c>
    </row>
    <row r="12" spans="1:20">
      <c r="A12" s="65" t="s">
        <v>227</v>
      </c>
      <c r="B12" s="1" t="str">
        <f>VLOOKUP(A12,Data[],2,FALSE)</f>
        <v>BRONX</v>
      </c>
      <c r="C12" s="1">
        <f>VLOOKUP(FWD[[#This Row],[DEVELOPMENT]],Data[],25,FALSE)</f>
        <v>0</v>
      </c>
      <c r="D12" s="9" t="s">
        <v>49</v>
      </c>
      <c r="E12" s="50">
        <f>VLOOKUP(FWD[[#This Row],[DEVELOPMENT]],Data[],7,FALSE)</f>
        <v>96</v>
      </c>
      <c r="F12" s="50" t="e">
        <f>VLOOKUP(FWD[[#This Row],[DEVELOPMENT]],all[[DEVELOPMENT]:[MRST Ext. Comp. Priority]],5,FALSE)</f>
        <v>#N/A</v>
      </c>
      <c r="G12" s="50" t="str">
        <f>VLOOKUP(FWD[[#This Row],[DEVELOPMENT]],Data[],8,FALSE)</f>
        <v>Zone 3</v>
      </c>
      <c r="H12" s="9">
        <f>VLOOKUP(FWD[[#This Row],[DEVELOPMENT]],Data[],9,FALSE)</f>
        <v>0</v>
      </c>
      <c r="I12" s="1" t="str">
        <f ca="1">IFERROR(VLOOKUP(FWD[[#This Row],[DEVELOPMENT]],Data[],4,FALSE),"")</f>
        <v>2026+</v>
      </c>
      <c r="J12" s="51" t="str">
        <f ca="1">IF(FWD[[#This Row],[RAD/PACT]]="","",IF(OR(FWD[[#This Row],[RAD/PACT]]="2021-2025",FWD[[#This Row],[RAD/PACT]]="2019-2020"),"Yes",""))</f>
        <v/>
      </c>
      <c r="K12" s="1"/>
      <c r="L12" s="1"/>
      <c r="M12" s="1"/>
      <c r="N12" s="1"/>
      <c r="O12" s="3">
        <f ca="1">IF(FWD[[#This Row],[RAD/PACT]]="2019-2020",0,INDEX(UnitCosts[],MATCH(FWD[[#This Row],[WORK TYPE]],UnitCosts[Work Type],0),2)*FWD[[#This Row],[Dwelling Units]])</f>
        <v>164998.65094985251</v>
      </c>
      <c r="P12" s="3"/>
      <c r="Q12" s="3"/>
      <c r="R12" s="69">
        <f t="shared" ca="1" si="0"/>
        <v>2387324.2309306785</v>
      </c>
      <c r="S12" s="71">
        <f ca="1">SUM(INDEX(FWD[Dwelling Units],1):FWD[[#This Row],[Dwelling Units]])</f>
        <v>2065</v>
      </c>
      <c r="T12" s="71">
        <f ca="1">IF(ISBLANK(FWD[[#This Row],[CALENDAR YEAR]]),ROUNDDOWN(FWD[[#This Row],[Running count]]/3000,0)+$T$1,FWD[[#This Row],[CALENDAR YEAR]])</f>
        <v>2020</v>
      </c>
    </row>
    <row r="13" spans="1:20">
      <c r="A13" s="65" t="s">
        <v>229</v>
      </c>
      <c r="B13" s="1" t="str">
        <f>VLOOKUP(A13,Data[],2,FALSE)</f>
        <v>MANHATTAN</v>
      </c>
      <c r="C13" s="1">
        <f>VLOOKUP(FWD[[#This Row],[DEVELOPMENT]],Data[],25,FALSE)</f>
        <v>0</v>
      </c>
      <c r="D13" s="9" t="s">
        <v>49</v>
      </c>
      <c r="E13" s="50">
        <f>VLOOKUP(FWD[[#This Row],[DEVELOPMENT]],Data[],7,FALSE)</f>
        <v>35</v>
      </c>
      <c r="F13" s="50" t="e">
        <f>VLOOKUP(FWD[[#This Row],[DEVELOPMENT]],all[[DEVELOPMENT]:[MRST Ext. Comp. Priority]],5,FALSE)</f>
        <v>#N/A</v>
      </c>
      <c r="G13" s="50">
        <f>VLOOKUP(FWD[[#This Row],[DEVELOPMENT]],Data[],8,FALSE)</f>
        <v>0</v>
      </c>
      <c r="H13" s="9">
        <f>VLOOKUP(FWD[[#This Row],[DEVELOPMENT]],Data[],9,FALSE)</f>
        <v>0</v>
      </c>
      <c r="I13" s="1" t="str">
        <f ca="1">IFERROR(VLOOKUP(FWD[[#This Row],[DEVELOPMENT]],Data[],4,FALSE),"")</f>
        <v/>
      </c>
      <c r="J13" s="51" t="str">
        <f ca="1">IF(FWD[[#This Row],[RAD/PACT]]="","",IF(OR(FWD[[#This Row],[RAD/PACT]]="2021-2025",FWD[[#This Row],[RAD/PACT]]="2019-2020"),"Yes",""))</f>
        <v/>
      </c>
      <c r="K13" s="1"/>
      <c r="L13" s="1"/>
      <c r="M13" s="1"/>
      <c r="N13" s="1"/>
      <c r="O13" s="3">
        <f ca="1">IF(FWD[[#This Row],[RAD/PACT]]="2019-2020",0,INDEX(UnitCosts[],MATCH(FWD[[#This Row],[WORK TYPE]],UnitCosts[Work Type],0),2)*FWD[[#This Row],[Dwelling Units]])</f>
        <v>60155.758158800396</v>
      </c>
      <c r="P13" s="3"/>
      <c r="Q13" s="3"/>
      <c r="R13" s="69">
        <f t="shared" ca="1" si="0"/>
        <v>2447479.9890894787</v>
      </c>
      <c r="S13" s="71">
        <f ca="1">SUM(INDEX(FWD[Dwelling Units],1):FWD[[#This Row],[Dwelling Units]])</f>
        <v>2100</v>
      </c>
      <c r="T13" s="71">
        <f ca="1">IF(ISBLANK(FWD[[#This Row],[CALENDAR YEAR]]),ROUNDDOWN(FWD[[#This Row],[Running count]]/3000,0)+$T$1,FWD[[#This Row],[CALENDAR YEAR]])</f>
        <v>2020</v>
      </c>
    </row>
    <row r="14" spans="1:20">
      <c r="A14" s="65" t="s">
        <v>118</v>
      </c>
      <c r="B14" s="1" t="str">
        <f>VLOOKUP(A14,Data[],2,FALSE)</f>
        <v>BROOKLYN</v>
      </c>
      <c r="C14" s="1" t="str">
        <f>VLOOKUP(FWD[[#This Row],[DEVELOPMENT]],Data[],25,FALSE)</f>
        <v>Newtown Creek</v>
      </c>
      <c r="D14" s="9" t="s">
        <v>49</v>
      </c>
      <c r="E14" s="50">
        <f>VLOOKUP(FWD[[#This Row],[DEVELOPMENT]],Data[],7,FALSE)</f>
        <v>234</v>
      </c>
      <c r="F14" s="50" t="e">
        <f>VLOOKUP(FWD[[#This Row],[DEVELOPMENT]],all[[DEVELOPMENT]:[MRST Ext. Comp. Priority]],5,FALSE)</f>
        <v>#N/A</v>
      </c>
      <c r="G14" s="50" t="str">
        <f>VLOOKUP(FWD[[#This Row],[DEVELOPMENT]],Data[],8,FALSE)</f>
        <v>Zone 1</v>
      </c>
      <c r="H14" s="9">
        <f>VLOOKUP(FWD[[#This Row],[DEVELOPMENT]],Data[],9,FALSE)</f>
        <v>4</v>
      </c>
      <c r="I14" s="1" t="str">
        <f ca="1">IFERROR(VLOOKUP(FWD[[#This Row],[DEVELOPMENT]],Data[],4,FALSE),"")</f>
        <v/>
      </c>
      <c r="J14" s="51" t="str">
        <f ca="1">IF(FWD[[#This Row],[RAD/PACT]]="","",IF(OR(FWD[[#This Row],[RAD/PACT]]="2021-2025",FWD[[#This Row],[RAD/PACT]]="2019-2020"),"Yes",""))</f>
        <v/>
      </c>
      <c r="K14" s="1"/>
      <c r="L14" s="1"/>
      <c r="M14" s="1"/>
      <c r="N14" s="1"/>
      <c r="O14" s="3">
        <f ca="1">IF(FWD[[#This Row],[RAD/PACT]]="2019-2020",0,INDEX(UnitCosts[],MATCH(FWD[[#This Row],[WORK TYPE]],UnitCosts[Work Type],0),2)*FWD[[#This Row],[Dwelling Units]])</f>
        <v>402184.21169026551</v>
      </c>
      <c r="P14" s="3"/>
      <c r="Q14" s="3"/>
      <c r="R14" s="69">
        <f t="shared" ca="1" si="0"/>
        <v>2849664.2007797444</v>
      </c>
      <c r="S14" s="71">
        <f ca="1">SUM(INDEX(FWD[Dwelling Units],1):FWD[[#This Row],[Dwelling Units]])</f>
        <v>2334</v>
      </c>
      <c r="T14" s="71">
        <f ca="1">IF(ISBLANK(FWD[[#This Row],[CALENDAR YEAR]]),ROUNDDOWN(FWD[[#This Row],[Running count]]/3000,0)+$T$1,FWD[[#This Row],[CALENDAR YEAR]])</f>
        <v>2020</v>
      </c>
    </row>
    <row r="15" spans="1:20">
      <c r="A15" s="65" t="s">
        <v>69</v>
      </c>
      <c r="B15" s="1" t="str">
        <f>VLOOKUP(A15,Data[],2,FALSE)</f>
        <v>MANHATTAN</v>
      </c>
      <c r="C15" s="1">
        <f>VLOOKUP(FWD[[#This Row],[DEVELOPMENT]],Data[],25,FALSE)</f>
        <v>0</v>
      </c>
      <c r="D15" s="9" t="s">
        <v>49</v>
      </c>
      <c r="E15" s="50">
        <f>VLOOKUP(FWD[[#This Row],[DEVELOPMENT]],Data[],7,FALSE)</f>
        <v>66</v>
      </c>
      <c r="F15" s="50" t="e">
        <f>VLOOKUP(FWD[[#This Row],[DEVELOPMENT]],all[[DEVELOPMENT]:[MRST Ext. Comp. Priority]],5,FALSE)</f>
        <v>#N/A</v>
      </c>
      <c r="G15" s="50" t="str">
        <f>VLOOKUP(FWD[[#This Row],[DEVELOPMENT]],Data[],8,FALSE)</f>
        <v>Zone 3</v>
      </c>
      <c r="H15" s="9">
        <f>VLOOKUP(FWD[[#This Row],[DEVELOPMENT]],Data[],9,FALSE)</f>
        <v>4</v>
      </c>
      <c r="I15" s="1" t="str">
        <f ca="1">IFERROR(VLOOKUP(FWD[[#This Row],[DEVELOPMENT]],Data[],4,FALSE),"")</f>
        <v>2020-2021</v>
      </c>
      <c r="J15" s="51" t="str">
        <f ca="1">IF(FWD[[#This Row],[RAD/PACT]]="","",IF(OR(FWD[[#This Row],[RAD/PACT]]="2021-2025",FWD[[#This Row],[RAD/PACT]]="2019-2020"),"Yes",""))</f>
        <v/>
      </c>
      <c r="K15" s="1"/>
      <c r="L15" s="1"/>
      <c r="M15" s="1"/>
      <c r="N15" s="1"/>
      <c r="O15" s="3">
        <f ca="1">IF(FWD[[#This Row],[RAD/PACT]]="2019-2020",0,INDEX(UnitCosts[],MATCH(FWD[[#This Row],[WORK TYPE]],UnitCosts[Work Type],0),2)*FWD[[#This Row],[Dwelling Units]])</f>
        <v>113436.57252802361</v>
      </c>
      <c r="P15" s="3"/>
      <c r="Q15" s="3"/>
      <c r="R15" s="69">
        <f t="shared" ca="1" si="0"/>
        <v>2963100.7733077682</v>
      </c>
      <c r="S15" s="71">
        <f ca="1">SUM(INDEX(FWD[Dwelling Units],1):FWD[[#This Row],[Dwelling Units]])</f>
        <v>2400</v>
      </c>
      <c r="T15" s="71">
        <f ca="1">IF(ISBLANK(FWD[[#This Row],[CALENDAR YEAR]]),ROUNDDOWN(FWD[[#This Row],[Running count]]/3000,0)+$T$1,FWD[[#This Row],[CALENDAR YEAR]])</f>
        <v>2020</v>
      </c>
    </row>
    <row r="16" spans="1:20">
      <c r="A16" s="65" t="s">
        <v>282</v>
      </c>
      <c r="B16" s="1" t="str">
        <f>VLOOKUP(A16,Data[],2,FALSE)</f>
        <v>MANHATTAN</v>
      </c>
      <c r="C16" s="1" t="str">
        <f>VLOOKUP(FWD[[#This Row],[DEVELOPMENT]],Data[],25,FALSE)</f>
        <v>Newtown Creek</v>
      </c>
      <c r="D16" s="9" t="s">
        <v>49</v>
      </c>
      <c r="E16" s="50">
        <f>VLOOKUP(FWD[[#This Row],[DEVELOPMENT]],Data[],7,FALSE)</f>
        <v>225</v>
      </c>
      <c r="F16" s="50" t="e">
        <f>VLOOKUP(FWD[[#This Row],[DEVELOPMENT]],all[[DEVELOPMENT]:[MRST Ext. Comp. Priority]],5,FALSE)</f>
        <v>#N/A</v>
      </c>
      <c r="G16" s="50">
        <f>VLOOKUP(FWD[[#This Row],[DEVELOPMENT]],Data[],8,FALSE)</f>
        <v>0</v>
      </c>
      <c r="H16" s="9">
        <f>VLOOKUP(FWD[[#This Row],[DEVELOPMENT]],Data[],9,FALSE)</f>
        <v>0</v>
      </c>
      <c r="I16" s="1" t="str">
        <f ca="1">IFERROR(VLOOKUP(FWD[[#This Row],[DEVELOPMENT]],Data[],4,FALSE),"")</f>
        <v>2020-2021</v>
      </c>
      <c r="J16" s="51" t="str">
        <f ca="1">IF(FWD[[#This Row],[RAD/PACT]]="","",IF(OR(FWD[[#This Row],[RAD/PACT]]="2021-2025",FWD[[#This Row],[RAD/PACT]]="2019-2020"),"Yes",""))</f>
        <v/>
      </c>
      <c r="K16" s="1"/>
      <c r="L16" s="1"/>
      <c r="M16" s="1"/>
      <c r="N16" s="1"/>
      <c r="O16" s="3">
        <f ca="1">IF(FWD[[#This Row],[RAD/PACT]]="2019-2020",0,INDEX(UnitCosts[],MATCH(FWD[[#This Row],[WORK TYPE]],UnitCosts[Work Type],0),2)*FWD[[#This Row],[Dwelling Units]])</f>
        <v>386715.58816371683</v>
      </c>
      <c r="P16" s="3"/>
      <c r="Q16" s="3"/>
      <c r="R16" s="69">
        <f t="shared" ca="1" si="0"/>
        <v>3349816.3614714849</v>
      </c>
      <c r="S16" s="71">
        <f ca="1">SUM(INDEX(FWD[Dwelling Units],1):FWD[[#This Row],[Dwelling Units]])</f>
        <v>2625</v>
      </c>
      <c r="T16" s="71">
        <f ca="1">IF(ISBLANK(FWD[[#This Row],[CALENDAR YEAR]]),ROUNDDOWN(FWD[[#This Row],[Running count]]/3000,0)+$T$1,FWD[[#This Row],[CALENDAR YEAR]])</f>
        <v>2020</v>
      </c>
    </row>
    <row r="17" spans="1:20">
      <c r="A17" s="65" t="s">
        <v>57</v>
      </c>
      <c r="B17" s="1" t="str">
        <f>VLOOKUP(A17,Data[],2,FALSE)</f>
        <v>MANHATTAN</v>
      </c>
      <c r="C17" s="1" t="str">
        <f>VLOOKUP(FWD[[#This Row],[DEVELOPMENT]],Data[],25,FALSE)</f>
        <v>Newtown Creek</v>
      </c>
      <c r="D17" s="9" t="s">
        <v>49</v>
      </c>
      <c r="E17" s="50">
        <f>VLOOKUP(FWD[[#This Row],[DEVELOPMENT]],Data[],7,FALSE)</f>
        <v>107</v>
      </c>
      <c r="F17" s="50" t="e">
        <f>VLOOKUP(FWD[[#This Row],[DEVELOPMENT]],all[[DEVELOPMENT]:[MRST Ext. Comp. Priority]],5,FALSE)</f>
        <v>#N/A</v>
      </c>
      <c r="G17" s="50" t="str">
        <f>VLOOKUP(FWD[[#This Row],[DEVELOPMENT]],Data[],8,FALSE)</f>
        <v>Zone 1</v>
      </c>
      <c r="H17" s="9">
        <f>VLOOKUP(FWD[[#This Row],[DEVELOPMENT]],Data[],9,FALSE)</f>
        <v>3</v>
      </c>
      <c r="I17" s="1" t="str">
        <f ca="1">IFERROR(VLOOKUP(FWD[[#This Row],[DEVELOPMENT]],Data[],4,FALSE),"")</f>
        <v/>
      </c>
      <c r="J17" s="51" t="str">
        <f ca="1">IF(FWD[[#This Row],[RAD/PACT]]="","",IF(OR(FWD[[#This Row],[RAD/PACT]]="2021-2025",FWD[[#This Row],[RAD/PACT]]="2019-2020"),"Yes",""))</f>
        <v/>
      </c>
      <c r="K17" s="1"/>
      <c r="L17" s="1"/>
      <c r="M17" s="1"/>
      <c r="N17" s="1"/>
      <c r="O17" s="3">
        <f ca="1">IF(FWD[[#This Row],[RAD/PACT]]="2019-2020",0,INDEX(UnitCosts[],MATCH(FWD[[#This Row],[WORK TYPE]],UnitCosts[Work Type],0),2)*FWD[[#This Row],[Dwelling Units]])</f>
        <v>183904.74637118977</v>
      </c>
      <c r="P17" s="3"/>
      <c r="Q17" s="3"/>
      <c r="R17" s="69">
        <f t="shared" ca="1" si="0"/>
        <v>3533721.1078426745</v>
      </c>
      <c r="S17" s="71">
        <f ca="1">SUM(INDEX(FWD[Dwelling Units],1):FWD[[#This Row],[Dwelling Units]])</f>
        <v>2732</v>
      </c>
      <c r="T17" s="71">
        <f ca="1">IF(ISBLANK(FWD[[#This Row],[CALENDAR YEAR]]),ROUNDDOWN(FWD[[#This Row],[Running count]]/3000,0)+$T$1,FWD[[#This Row],[CALENDAR YEAR]])</f>
        <v>2020</v>
      </c>
    </row>
    <row r="18" spans="1:20">
      <c r="A18" s="65" t="s">
        <v>294</v>
      </c>
      <c r="B18" s="1" t="str">
        <f>VLOOKUP(A18,Data[],2,FALSE)</f>
        <v>BROOKLYN</v>
      </c>
      <c r="C18" s="1">
        <f>VLOOKUP(FWD[[#This Row],[DEVELOPMENT]],Data[],25,FALSE)</f>
        <v>0</v>
      </c>
      <c r="D18" s="9" t="s">
        <v>49</v>
      </c>
      <c r="E18" s="50">
        <f>VLOOKUP(FWD[[#This Row],[DEVELOPMENT]],Data[],7,FALSE)</f>
        <v>200</v>
      </c>
      <c r="F18" s="50" t="e">
        <f>VLOOKUP(FWD[[#This Row],[DEVELOPMENT]],all[[DEVELOPMENT]:[MRST Ext. Comp. Priority]],5,FALSE)</f>
        <v>#N/A</v>
      </c>
      <c r="G18" s="50">
        <f>VLOOKUP(FWD[[#This Row],[DEVELOPMENT]],Data[],8,FALSE)</f>
        <v>0</v>
      </c>
      <c r="H18" s="9">
        <f>VLOOKUP(FWD[[#This Row],[DEVELOPMENT]],Data[],9,FALSE)</f>
        <v>0</v>
      </c>
      <c r="I18" s="1">
        <f ca="1">IFERROR(VLOOKUP(FWD[[#This Row],[DEVELOPMENT]],Data[],4,FALSE),"")</f>
        <v>2019</v>
      </c>
      <c r="J18" s="51" t="str">
        <f ca="1">IF(FWD[[#This Row],[RAD/PACT]]="","",IF(OR(FWD[[#This Row],[RAD/PACT]]="2021-2025",FWD[[#This Row],[RAD/PACT]]="2019-2020"),"Yes",""))</f>
        <v/>
      </c>
      <c r="K18" s="1"/>
      <c r="L18" s="1"/>
      <c r="M18" s="1"/>
      <c r="N18" s="1"/>
      <c r="O18" s="3">
        <f ca="1">IF(FWD[[#This Row],[RAD/PACT]]="2019-2020",0,INDEX(UnitCosts[],MATCH(FWD[[#This Row],[WORK TYPE]],UnitCosts[Work Type],0),2)*FWD[[#This Row],[Dwelling Units]])</f>
        <v>343747.18947885942</v>
      </c>
      <c r="P18" s="3"/>
      <c r="Q18" s="3"/>
      <c r="R18" s="69">
        <f t="shared" ca="1" si="0"/>
        <v>3877468.2973215338</v>
      </c>
      <c r="S18" s="71">
        <f ca="1">SUM(INDEX(FWD[Dwelling Units],1):FWD[[#This Row],[Dwelling Units]])</f>
        <v>2932</v>
      </c>
      <c r="T18" s="71">
        <f ca="1">IF(ISBLANK(FWD[[#This Row],[CALENDAR YEAR]]),ROUNDDOWN(FWD[[#This Row],[Running count]]/3000,0)+$T$1,FWD[[#This Row],[CALENDAR YEAR]])</f>
        <v>2020</v>
      </c>
    </row>
    <row r="19" spans="1:20">
      <c r="A19" s="65" t="s">
        <v>295</v>
      </c>
      <c r="B19" s="1" t="str">
        <f>VLOOKUP(A19,Data[],2,FALSE)</f>
        <v>MANHATTAN</v>
      </c>
      <c r="C19" s="1">
        <f>VLOOKUP(FWD[[#This Row],[DEVELOPMENT]],Data[],25,FALSE)</f>
        <v>0</v>
      </c>
      <c r="D19" s="9" t="s">
        <v>49</v>
      </c>
      <c r="E19" s="50">
        <f>VLOOKUP(FWD[[#This Row],[DEVELOPMENT]],Data[],7,FALSE)</f>
        <v>158</v>
      </c>
      <c r="F19" s="50" t="e">
        <f>VLOOKUP(FWD[[#This Row],[DEVELOPMENT]],all[[DEVELOPMENT]:[MRST Ext. Comp. Priority]],5,FALSE)</f>
        <v>#N/A</v>
      </c>
      <c r="G19" s="50">
        <f>VLOOKUP(FWD[[#This Row],[DEVELOPMENT]],Data[],8,FALSE)</f>
        <v>0</v>
      </c>
      <c r="H19" s="9">
        <f>VLOOKUP(FWD[[#This Row],[DEVELOPMENT]],Data[],9,FALSE)</f>
        <v>0</v>
      </c>
      <c r="I19" s="1" t="str">
        <f ca="1">IFERROR(VLOOKUP(FWD[[#This Row],[DEVELOPMENT]],Data[],4,FALSE),"")</f>
        <v/>
      </c>
      <c r="J19" s="51" t="str">
        <f ca="1">IF(FWD[[#This Row],[RAD/PACT]]="","",IF(OR(FWD[[#This Row],[RAD/PACT]]="2021-2025",FWD[[#This Row],[RAD/PACT]]="2019-2020"),"Yes",""))</f>
        <v/>
      </c>
      <c r="K19" s="1"/>
      <c r="L19" s="1"/>
      <c r="M19" s="1"/>
      <c r="N19" s="1"/>
      <c r="O19" s="3">
        <f ca="1">IF(FWD[[#This Row],[RAD/PACT]]="2019-2020",0,INDEX(UnitCosts[],MATCH(FWD[[#This Row],[WORK TYPE]],UnitCosts[Work Type],0),2)*FWD[[#This Row],[Dwelling Units]])</f>
        <v>271560.27968829894</v>
      </c>
      <c r="P19" s="3"/>
      <c r="Q19" s="3"/>
      <c r="R19" s="69">
        <f t="shared" ca="1" si="0"/>
        <v>271560.27968829894</v>
      </c>
      <c r="S19" s="71">
        <f ca="1">SUM(INDEX(FWD[Dwelling Units],1):FWD[[#This Row],[Dwelling Units]])</f>
        <v>3090</v>
      </c>
      <c r="T19" s="71">
        <f ca="1">IF(ISBLANK(FWD[[#This Row],[CALENDAR YEAR]]),ROUNDDOWN(FWD[[#This Row],[Running count]]/3000,0)+$T$1,FWD[[#This Row],[CALENDAR YEAR]])</f>
        <v>2021</v>
      </c>
    </row>
    <row r="20" spans="1:20">
      <c r="A20" s="65" t="s">
        <v>278</v>
      </c>
      <c r="B20" s="1" t="str">
        <f>VLOOKUP(A20,Data[],2,FALSE)</f>
        <v>BRONX</v>
      </c>
      <c r="C20" s="1">
        <f>VLOOKUP(FWD[[#This Row],[DEVELOPMENT]],Data[],25,FALSE)</f>
        <v>0</v>
      </c>
      <c r="D20" s="9" t="s">
        <v>49</v>
      </c>
      <c r="E20" s="50">
        <f>VLOOKUP(FWD[[#This Row],[DEVELOPMENT]],Data[],7,FALSE)</f>
        <v>924</v>
      </c>
      <c r="F20" s="50" t="e">
        <f>VLOOKUP(FWD[[#This Row],[DEVELOPMENT]],all[[DEVELOPMENT]:[MRST Ext. Comp. Priority]],5,FALSE)</f>
        <v>#N/A</v>
      </c>
      <c r="G20" s="50">
        <f>VLOOKUP(FWD[[#This Row],[DEVELOPMENT]],Data[],8,FALSE)</f>
        <v>0</v>
      </c>
      <c r="H20" s="9">
        <f>VLOOKUP(FWD[[#This Row],[DEVELOPMENT]],Data[],9,FALSE)</f>
        <v>0</v>
      </c>
      <c r="I20" s="1" t="str">
        <f ca="1">IFERROR(VLOOKUP(FWD[[#This Row],[DEVELOPMENT]],Data[],4,FALSE),"")</f>
        <v/>
      </c>
      <c r="J20" s="51" t="str">
        <f ca="1">IF(FWD[[#This Row],[RAD/PACT]]="","",IF(OR(FWD[[#This Row],[RAD/PACT]]="2021-2025",FWD[[#This Row],[RAD/PACT]]="2019-2020"),"Yes",""))</f>
        <v/>
      </c>
      <c r="K20" s="1"/>
      <c r="L20" s="1"/>
      <c r="M20" s="1"/>
      <c r="N20" s="1"/>
      <c r="O20" s="3">
        <f ca="1">IF(FWD[[#This Row],[RAD/PACT]]="2019-2020",0,INDEX(UnitCosts[],MATCH(FWD[[#This Row],[WORK TYPE]],UnitCosts[Work Type],0),2)*FWD[[#This Row],[Dwelling Units]])</f>
        <v>1588112.0153923305</v>
      </c>
      <c r="P20" s="3"/>
      <c r="Q20" s="3"/>
      <c r="R20" s="69">
        <f t="shared" ca="1" si="0"/>
        <v>1859672.2950806294</v>
      </c>
      <c r="S20" s="71">
        <f ca="1">SUM(INDEX(FWD[Dwelling Units],1):FWD[[#This Row],[Dwelling Units]])</f>
        <v>4014</v>
      </c>
      <c r="T20" s="71">
        <f ca="1">IF(ISBLANK(FWD[[#This Row],[CALENDAR YEAR]]),ROUNDDOWN(FWD[[#This Row],[Running count]]/3000,0)+$T$1,FWD[[#This Row],[CALENDAR YEAR]])</f>
        <v>2021</v>
      </c>
    </row>
    <row r="21" spans="1:20">
      <c r="A21" s="65" t="s">
        <v>296</v>
      </c>
      <c r="B21" s="1" t="str">
        <f>VLOOKUP(A21,Data[],2,FALSE)</f>
        <v>BROOKLYN</v>
      </c>
      <c r="C21" s="1" t="str">
        <f>VLOOKUP(FWD[[#This Row],[DEVELOPMENT]],Data[],25,FALSE)</f>
        <v>Newtown Creek</v>
      </c>
      <c r="D21" s="9" t="s">
        <v>49</v>
      </c>
      <c r="E21" s="50">
        <f>VLOOKUP(FWD[[#This Row],[DEVELOPMENT]],Data[],7,FALSE)</f>
        <v>823</v>
      </c>
      <c r="F21" s="50" t="e">
        <f>VLOOKUP(FWD[[#This Row],[DEVELOPMENT]],all[[DEVELOPMENT]:[MRST Ext. Comp. Priority]],5,FALSE)</f>
        <v>#N/A</v>
      </c>
      <c r="G21" s="50">
        <f>VLOOKUP(FWD[[#This Row],[DEVELOPMENT]],Data[],8,FALSE)</f>
        <v>0</v>
      </c>
      <c r="H21" s="9">
        <f>VLOOKUP(FWD[[#This Row],[DEVELOPMENT]],Data[],9,FALSE)</f>
        <v>0</v>
      </c>
      <c r="I21" s="1" t="str">
        <f ca="1">IFERROR(VLOOKUP(FWD[[#This Row],[DEVELOPMENT]],Data[],4,FALSE),"")</f>
        <v>2022-2025</v>
      </c>
      <c r="J21" s="51" t="str">
        <f ca="1">IF(FWD[[#This Row],[RAD/PACT]]="","",IF(OR(FWD[[#This Row],[RAD/PACT]]="2021-2025",FWD[[#This Row],[RAD/PACT]]="2019-2020"),"Yes",""))</f>
        <v/>
      </c>
      <c r="K21" s="1"/>
      <c r="L21" s="1"/>
      <c r="M21" s="1"/>
      <c r="N21" s="1"/>
      <c r="O21" s="3">
        <f ca="1">IF(FWD[[#This Row],[RAD/PACT]]="2019-2020",0,INDEX(UnitCosts[],MATCH(FWD[[#This Row],[WORK TYPE]],UnitCosts[Work Type],0),2)*FWD[[#This Row],[Dwelling Units]])</f>
        <v>1414519.6847055065</v>
      </c>
      <c r="P21" s="3"/>
      <c r="Q21" s="3"/>
      <c r="R21" s="69">
        <f t="shared" ca="1" si="0"/>
        <v>3274191.9797861362</v>
      </c>
      <c r="S21" s="71">
        <f ca="1">SUM(INDEX(FWD[Dwelling Units],1):FWD[[#This Row],[Dwelling Units]])</f>
        <v>4837</v>
      </c>
      <c r="T21" s="71">
        <f ca="1">IF(ISBLANK(FWD[[#This Row],[CALENDAR YEAR]]),ROUNDDOWN(FWD[[#This Row],[Running count]]/3000,0)+$T$1,FWD[[#This Row],[CALENDAR YEAR]])</f>
        <v>2021</v>
      </c>
    </row>
    <row r="22" spans="1:20">
      <c r="A22" s="65" t="s">
        <v>297</v>
      </c>
      <c r="B22" s="1" t="str">
        <f>VLOOKUP(A22,Data[],2,FALSE)</f>
        <v>BROOKLYN</v>
      </c>
      <c r="C22" s="1" t="str">
        <f>VLOOKUP(FWD[[#This Row],[DEVELOPMENT]],Data[],25,FALSE)</f>
        <v>Newtown Creek</v>
      </c>
      <c r="D22" s="9" t="s">
        <v>49</v>
      </c>
      <c r="E22" s="50">
        <f>VLOOKUP(FWD[[#This Row],[DEVELOPMENT]],Data[],7,FALSE)</f>
        <v>400</v>
      </c>
      <c r="F22" s="50" t="e">
        <f>VLOOKUP(FWD[[#This Row],[DEVELOPMENT]],all[[DEVELOPMENT]:[MRST Ext. Comp. Priority]],5,FALSE)</f>
        <v>#N/A</v>
      </c>
      <c r="G22" s="50">
        <f>VLOOKUP(FWD[[#This Row],[DEVELOPMENT]],Data[],8,FALSE)</f>
        <v>0</v>
      </c>
      <c r="H22" s="9">
        <f>VLOOKUP(FWD[[#This Row],[DEVELOPMENT]],Data[],9,FALSE)</f>
        <v>0</v>
      </c>
      <c r="I22" s="1" t="str">
        <f ca="1">IFERROR(VLOOKUP(FWD[[#This Row],[DEVELOPMENT]],Data[],4,FALSE),"")</f>
        <v>2022-2025</v>
      </c>
      <c r="J22" s="51" t="str">
        <f ca="1">IF(FWD[[#This Row],[RAD/PACT]]="","",IF(OR(FWD[[#This Row],[RAD/PACT]]="2021-2025",FWD[[#This Row],[RAD/PACT]]="2019-2020"),"Yes",""))</f>
        <v/>
      </c>
      <c r="K22" s="1"/>
      <c r="L22" s="1"/>
      <c r="M22" s="1"/>
      <c r="N22" s="1"/>
      <c r="O22" s="3">
        <f ca="1">IF(FWD[[#This Row],[RAD/PACT]]="2019-2020",0,INDEX(UnitCosts[],MATCH(FWD[[#This Row],[WORK TYPE]],UnitCosts[Work Type],0),2)*FWD[[#This Row],[Dwelling Units]])</f>
        <v>687494.37895771884</v>
      </c>
      <c r="P22" s="3"/>
      <c r="Q22" s="3"/>
      <c r="R22" s="69">
        <f t="shared" ca="1" si="0"/>
        <v>3961686.3587438548</v>
      </c>
      <c r="S22" s="71">
        <f ca="1">SUM(INDEX(FWD[Dwelling Units],1):FWD[[#This Row],[Dwelling Units]])</f>
        <v>5237</v>
      </c>
      <c r="T22" s="71">
        <f ca="1">IF(ISBLANK(FWD[[#This Row],[CALENDAR YEAR]]),ROUNDDOWN(FWD[[#This Row],[Running count]]/3000,0)+$T$1,FWD[[#This Row],[CALENDAR YEAR]])</f>
        <v>2021</v>
      </c>
    </row>
    <row r="23" spans="1:20">
      <c r="A23" s="65" t="s">
        <v>261</v>
      </c>
      <c r="B23" s="1" t="str">
        <f>VLOOKUP(A23,Data[],2,FALSE)</f>
        <v>MANHATTAN</v>
      </c>
      <c r="C23" s="1">
        <f>VLOOKUP(FWD[[#This Row],[DEVELOPMENT]],Data[],25,FALSE)</f>
        <v>0</v>
      </c>
      <c r="D23" s="9" t="s">
        <v>49</v>
      </c>
      <c r="E23" s="50">
        <f>VLOOKUP(FWD[[#This Row],[DEVELOPMENT]],Data[],7,FALSE)</f>
        <v>1084</v>
      </c>
      <c r="F23" s="50" t="e">
        <f>VLOOKUP(FWD[[#This Row],[DEVELOPMENT]],all[[DEVELOPMENT]:[MRST Ext. Comp. Priority]],5,FALSE)</f>
        <v>#N/A</v>
      </c>
      <c r="G23" s="50" t="str">
        <f>VLOOKUP(FWD[[#This Row],[DEVELOPMENT]],Data[],8,FALSE)</f>
        <v>Zone 4</v>
      </c>
      <c r="H23" s="9">
        <f>VLOOKUP(FWD[[#This Row],[DEVELOPMENT]],Data[],9,FALSE)</f>
        <v>0</v>
      </c>
      <c r="I23" s="1" t="str">
        <f ca="1">IFERROR(VLOOKUP(FWD[[#This Row],[DEVELOPMENT]],Data[],4,FALSE),"")</f>
        <v/>
      </c>
      <c r="J23" s="51" t="str">
        <f ca="1">IF(FWD[[#This Row],[RAD/PACT]]="","",IF(OR(FWD[[#This Row],[RAD/PACT]]="2021-2025",FWD[[#This Row],[RAD/PACT]]="2019-2020"),"Yes",""))</f>
        <v/>
      </c>
      <c r="K23" s="1"/>
      <c r="L23" s="1"/>
      <c r="M23" s="1"/>
      <c r="N23" s="1"/>
      <c r="O23" s="3">
        <f ca="1">IF(FWD[[#This Row],[RAD/PACT]]="2019-2020",0,INDEX(UnitCosts[],MATCH(FWD[[#This Row],[WORK TYPE]],UnitCosts[Work Type],0),2)*FWD[[#This Row],[Dwelling Units]])</f>
        <v>1863109.766975418</v>
      </c>
      <c r="P23" s="3"/>
      <c r="Q23" s="3"/>
      <c r="R23" s="69">
        <f t="shared" ca="1" si="0"/>
        <v>1863109.766975418</v>
      </c>
      <c r="S23" s="71">
        <f ca="1">SUM(INDEX(FWD[Dwelling Units],1):FWD[[#This Row],[Dwelling Units]])</f>
        <v>6321</v>
      </c>
      <c r="T23" s="71">
        <f ca="1">IF(ISBLANK(FWD[[#This Row],[CALENDAR YEAR]]),ROUNDDOWN(FWD[[#This Row],[Running count]]/3000,0)+$T$1,FWD[[#This Row],[CALENDAR YEAR]])</f>
        <v>2022</v>
      </c>
    </row>
    <row r="24" spans="1:20">
      <c r="A24" s="65" t="s">
        <v>262</v>
      </c>
      <c r="B24" s="1" t="str">
        <f>VLOOKUP(A24,Data[],2,FALSE)</f>
        <v>MANHATTAN</v>
      </c>
      <c r="C24" s="1">
        <f>VLOOKUP(FWD[[#This Row],[DEVELOPMENT]],Data[],25,FALSE)</f>
        <v>0</v>
      </c>
      <c r="D24" s="9" t="s">
        <v>49</v>
      </c>
      <c r="E24" s="50">
        <f>VLOOKUP(FWD[[#This Row],[DEVELOPMENT]],Data[],7,FALSE)</f>
        <v>175</v>
      </c>
      <c r="F24" s="50" t="e">
        <f>VLOOKUP(FWD[[#This Row],[DEVELOPMENT]],all[[DEVELOPMENT]:[MRST Ext. Comp. Priority]],5,FALSE)</f>
        <v>#N/A</v>
      </c>
      <c r="G24" s="50">
        <f>VLOOKUP(FWD[[#This Row],[DEVELOPMENT]],Data[],8,FALSE)</f>
        <v>0</v>
      </c>
      <c r="H24" s="9">
        <f>VLOOKUP(FWD[[#This Row],[DEVELOPMENT]],Data[],9,FALSE)</f>
        <v>0</v>
      </c>
      <c r="I24" s="1" t="str">
        <f ca="1">IFERROR(VLOOKUP(FWD[[#This Row],[DEVELOPMENT]],Data[],4,FALSE),"")</f>
        <v/>
      </c>
      <c r="J24" s="51" t="str">
        <f ca="1">IF(FWD[[#This Row],[RAD/PACT]]="","",IF(OR(FWD[[#This Row],[RAD/PACT]]="2021-2025",FWD[[#This Row],[RAD/PACT]]="2019-2020"),"Yes",""))</f>
        <v/>
      </c>
      <c r="K24" s="1"/>
      <c r="L24" s="1"/>
      <c r="M24" s="1"/>
      <c r="N24" s="1"/>
      <c r="O24" s="3">
        <f ca="1">IF(FWD[[#This Row],[RAD/PACT]]="2019-2020",0,INDEX(UnitCosts[],MATCH(FWD[[#This Row],[WORK TYPE]],UnitCosts[Work Type],0),2)*FWD[[#This Row],[Dwelling Units]])</f>
        <v>300778.79079400195</v>
      </c>
      <c r="P24" s="3"/>
      <c r="Q24" s="3"/>
      <c r="R24" s="69">
        <f t="shared" ca="1" si="0"/>
        <v>2163888.5577694201</v>
      </c>
      <c r="S24" s="71">
        <f ca="1">SUM(INDEX(FWD[Dwelling Units],1):FWD[[#This Row],[Dwelling Units]])</f>
        <v>6496</v>
      </c>
      <c r="T24" s="71">
        <f ca="1">IF(ISBLANK(FWD[[#This Row],[CALENDAR YEAR]]),ROUNDDOWN(FWD[[#This Row],[Running count]]/3000,0)+$T$1,FWD[[#This Row],[CALENDAR YEAR]])</f>
        <v>2022</v>
      </c>
    </row>
    <row r="25" spans="1:20">
      <c r="A25" s="65" t="s">
        <v>298</v>
      </c>
      <c r="B25" s="1" t="str">
        <f>VLOOKUP(A25,Data[],2,FALSE)</f>
        <v>BROOKLYN</v>
      </c>
      <c r="C25" s="1" t="str">
        <f>VLOOKUP(FWD[[#This Row],[DEVELOPMENT]],Data[],25,FALSE)</f>
        <v>Newtown Creek</v>
      </c>
      <c r="D25" s="9" t="s">
        <v>49</v>
      </c>
      <c r="E25" s="50">
        <f>VLOOKUP(FWD[[#This Row],[DEVELOPMENT]],Data[],7,FALSE)</f>
        <v>369</v>
      </c>
      <c r="F25" s="50" t="e">
        <f>VLOOKUP(FWD[[#This Row],[DEVELOPMENT]],all[[DEVELOPMENT]:[MRST Ext. Comp. Priority]],5,FALSE)</f>
        <v>#N/A</v>
      </c>
      <c r="G25" s="50" t="str">
        <f>VLOOKUP(FWD[[#This Row],[DEVELOPMENT]],Data[],8,FALSE)</f>
        <v>Zone 1</v>
      </c>
      <c r="H25" s="9">
        <f>VLOOKUP(FWD[[#This Row],[DEVELOPMENT]],Data[],9,FALSE)</f>
        <v>4</v>
      </c>
      <c r="I25" s="1">
        <f ca="1">IFERROR(VLOOKUP(FWD[[#This Row],[DEVELOPMENT]],Data[],4,FALSE),"")</f>
        <v>2019</v>
      </c>
      <c r="J25" s="51" t="str">
        <f ca="1">IF(FWD[[#This Row],[RAD/PACT]]="","",IF(OR(FWD[[#This Row],[RAD/PACT]]="2021-2025",FWD[[#This Row],[RAD/PACT]]="2019-2020"),"Yes",""))</f>
        <v/>
      </c>
      <c r="K25" s="1"/>
      <c r="L25" s="1"/>
      <c r="M25" s="1"/>
      <c r="N25" s="1"/>
      <c r="O25" s="3">
        <f ca="1">IF(FWD[[#This Row],[RAD/PACT]]="2019-2020",0,INDEX(UnitCosts[],MATCH(FWD[[#This Row],[WORK TYPE]],UnitCosts[Work Type],0),2)*FWD[[#This Row],[Dwelling Units]])</f>
        <v>634213.56458849565</v>
      </c>
      <c r="P25" s="3"/>
      <c r="Q25" s="3"/>
      <c r="R25" s="69">
        <f t="shared" ca="1" si="0"/>
        <v>2798102.1223579156</v>
      </c>
      <c r="S25" s="71">
        <f ca="1">SUM(INDEX(FWD[Dwelling Units],1):FWD[[#This Row],[Dwelling Units]])</f>
        <v>6865</v>
      </c>
      <c r="T25" s="71">
        <f ca="1">IF(ISBLANK(FWD[[#This Row],[CALENDAR YEAR]]),ROUNDDOWN(FWD[[#This Row],[Running count]]/3000,0)+$T$1,FWD[[#This Row],[CALENDAR YEAR]])</f>
        <v>2022</v>
      </c>
    </row>
    <row r="26" spans="1:20">
      <c r="A26" s="65" t="s">
        <v>230</v>
      </c>
      <c r="B26" s="1" t="str">
        <f>VLOOKUP(A26,Data[],2,FALSE)</f>
        <v>BROOKLYN</v>
      </c>
      <c r="C26" s="1" t="str">
        <f>VLOOKUP(FWD[[#This Row],[DEVELOPMENT]],Data[],25,FALSE)</f>
        <v>Newtown Creek</v>
      </c>
      <c r="D26" s="9" t="s">
        <v>49</v>
      </c>
      <c r="E26" s="50">
        <f>VLOOKUP(FWD[[#This Row],[DEVELOPMENT]],Data[],7,FALSE)</f>
        <v>248</v>
      </c>
      <c r="F26" s="50" t="e">
        <f>VLOOKUP(FWD[[#This Row],[DEVELOPMENT]],all[[DEVELOPMENT]:[MRST Ext. Comp. Priority]],5,FALSE)</f>
        <v>#N/A</v>
      </c>
      <c r="G26" s="50" t="str">
        <f>VLOOKUP(FWD[[#This Row],[DEVELOPMENT]],Data[],8,FALSE)</f>
        <v>Zone 1</v>
      </c>
      <c r="H26" s="9">
        <f>VLOOKUP(FWD[[#This Row],[DEVELOPMENT]],Data[],9,FALSE)</f>
        <v>4</v>
      </c>
      <c r="I26" s="1">
        <f ca="1">IFERROR(VLOOKUP(FWD[[#This Row],[DEVELOPMENT]],Data[],4,FALSE),"")</f>
        <v>2019</v>
      </c>
      <c r="J26" s="51" t="str">
        <f ca="1">IF(FWD[[#This Row],[RAD/PACT]]="","",IF(OR(FWD[[#This Row],[RAD/PACT]]="2021-2025",FWD[[#This Row],[RAD/PACT]]="2019-2020"),"Yes",""))</f>
        <v/>
      </c>
      <c r="K26" s="1"/>
      <c r="L26" s="1"/>
      <c r="M26" s="1"/>
      <c r="N26" s="1"/>
      <c r="O26" s="3">
        <f ca="1">IF(FWD[[#This Row],[RAD/PACT]]="2019-2020",0,INDEX(UnitCosts[],MATCH(FWD[[#This Row],[WORK TYPE]],UnitCosts[Work Type],0),2)*FWD[[#This Row],[Dwelling Units]])</f>
        <v>426246.51495378563</v>
      </c>
      <c r="P26" s="3"/>
      <c r="Q26" s="3"/>
      <c r="R26" s="69">
        <f t="shared" ca="1" si="0"/>
        <v>3224348.6373117012</v>
      </c>
      <c r="S26" s="71">
        <f ca="1">SUM(INDEX(FWD[Dwelling Units],1):FWD[[#This Row],[Dwelling Units]])</f>
        <v>7113</v>
      </c>
      <c r="T26" s="71">
        <f ca="1">IF(ISBLANK(FWD[[#This Row],[CALENDAR YEAR]]),ROUNDDOWN(FWD[[#This Row],[Running count]]/3000,0)+$T$1,FWD[[#This Row],[CALENDAR YEAR]])</f>
        <v>2022</v>
      </c>
    </row>
    <row r="27" spans="1:20">
      <c r="A27" s="65" t="s">
        <v>272</v>
      </c>
      <c r="B27" s="1" t="str">
        <f>VLOOKUP(A27,Data[],2,FALSE)</f>
        <v>QUEENS</v>
      </c>
      <c r="C27" s="1">
        <f>VLOOKUP(FWD[[#This Row],[DEVELOPMENT]],Data[],25,FALSE)</f>
        <v>0</v>
      </c>
      <c r="D27" s="9" t="s">
        <v>49</v>
      </c>
      <c r="E27" s="50">
        <f>VLOOKUP(FWD[[#This Row],[DEVELOPMENT]],Data[],7,FALSE)</f>
        <v>1104</v>
      </c>
      <c r="F27" s="50" t="e">
        <f>VLOOKUP(FWD[[#This Row],[DEVELOPMENT]],all[[DEVELOPMENT]:[MRST Ext. Comp. Priority]],5,FALSE)</f>
        <v>#N/A</v>
      </c>
      <c r="G27" s="50">
        <f>VLOOKUP(FWD[[#This Row],[DEVELOPMENT]],Data[],8,FALSE)</f>
        <v>0</v>
      </c>
      <c r="H27" s="9">
        <f>VLOOKUP(FWD[[#This Row],[DEVELOPMENT]],Data[],9,FALSE)</f>
        <v>0</v>
      </c>
      <c r="I27" s="1" t="str">
        <f ca="1">IFERROR(VLOOKUP(FWD[[#This Row],[DEVELOPMENT]],Data[],4,FALSE),"")</f>
        <v>2022-2025</v>
      </c>
      <c r="J27" s="51" t="str">
        <f ca="1">IF(FWD[[#This Row],[RAD/PACT]]="","",IF(OR(FWD[[#This Row],[RAD/PACT]]="2021-2025",FWD[[#This Row],[RAD/PACT]]="2019-2020"),"Yes",""))</f>
        <v/>
      </c>
      <c r="K27" s="1"/>
      <c r="L27" s="1"/>
      <c r="M27" s="1"/>
      <c r="N27" s="1"/>
      <c r="O27" s="3">
        <f ca="1">IF(FWD[[#This Row],[RAD/PACT]]="2019-2020",0,INDEX(UnitCosts[],MATCH(FWD[[#This Row],[WORK TYPE]],UnitCosts[Work Type],0),2)*FWD[[#This Row],[Dwelling Units]])</f>
        <v>1897484.485923304</v>
      </c>
      <c r="P27" s="3"/>
      <c r="Q27" s="3"/>
      <c r="R27" s="69">
        <f t="shared" ca="1" si="0"/>
        <v>5121833.123235005</v>
      </c>
      <c r="S27" s="71">
        <f ca="1">SUM(INDEX(FWD[Dwelling Units],1):FWD[[#This Row],[Dwelling Units]])</f>
        <v>8217</v>
      </c>
      <c r="T27" s="71">
        <f ca="1">IF(ISBLANK(FWD[[#This Row],[CALENDAR YEAR]]),ROUNDDOWN(FWD[[#This Row],[Running count]]/3000,0)+$T$1,FWD[[#This Row],[CALENDAR YEAR]])</f>
        <v>2022</v>
      </c>
    </row>
    <row r="28" spans="1:20">
      <c r="A28" s="65" t="s">
        <v>299</v>
      </c>
      <c r="B28" s="1" t="str">
        <f>VLOOKUP(A28,Data[],2,FALSE)</f>
        <v>BROOKLYN</v>
      </c>
      <c r="C28" s="1">
        <f>VLOOKUP(FWD[[#This Row],[DEVELOPMENT]],Data[],25,FALSE)</f>
        <v>0</v>
      </c>
      <c r="D28" s="9" t="s">
        <v>49</v>
      </c>
      <c r="E28" s="50">
        <f>VLOOKUP(FWD[[#This Row],[DEVELOPMENT]],Data[],7,FALSE)</f>
        <v>299</v>
      </c>
      <c r="F28" s="50" t="e">
        <f>VLOOKUP(FWD[[#This Row],[DEVELOPMENT]],all[[DEVELOPMENT]:[MRST Ext. Comp. Priority]],5,FALSE)</f>
        <v>#N/A</v>
      </c>
      <c r="G28" s="50">
        <f>VLOOKUP(FWD[[#This Row],[DEVELOPMENT]],Data[],8,FALSE)</f>
        <v>0</v>
      </c>
      <c r="H28" s="9">
        <f>VLOOKUP(FWD[[#This Row],[DEVELOPMENT]],Data[],9,FALSE)</f>
        <v>0</v>
      </c>
      <c r="I28" s="1" t="str">
        <f ca="1">IFERROR(VLOOKUP(FWD[[#This Row],[DEVELOPMENT]],Data[],4,FALSE),"")</f>
        <v/>
      </c>
      <c r="J28" s="51" t="str">
        <f ca="1">IF(FWD[[#This Row],[RAD/PACT]]="","",IF(OR(FWD[[#This Row],[RAD/PACT]]="2021-2025",FWD[[#This Row],[RAD/PACT]]="2019-2020"),"Yes",""))</f>
        <v/>
      </c>
      <c r="K28" s="1"/>
      <c r="L28" s="1"/>
      <c r="M28" s="1"/>
      <c r="N28" s="1"/>
      <c r="O28" s="3">
        <f ca="1">IF(FWD[[#This Row],[RAD/PACT]]="2019-2020",0,INDEX(UnitCosts[],MATCH(FWD[[#This Row],[WORK TYPE]],UnitCosts[Work Type],0),2)*FWD[[#This Row],[Dwelling Units]])</f>
        <v>513902.0482708948</v>
      </c>
      <c r="P28" s="3"/>
      <c r="Q28" s="3"/>
      <c r="R28" s="69">
        <f t="shared" ca="1" si="0"/>
        <v>5635735.1715059001</v>
      </c>
      <c r="S28" s="71">
        <f ca="1">SUM(INDEX(FWD[Dwelling Units],1):FWD[[#This Row],[Dwelling Units]])</f>
        <v>8516</v>
      </c>
      <c r="T28" s="71">
        <f ca="1">IF(ISBLANK(FWD[[#This Row],[CALENDAR YEAR]]),ROUNDDOWN(FWD[[#This Row],[Running count]]/3000,0)+$T$1,FWD[[#This Row],[CALENDAR YEAR]])</f>
        <v>2022</v>
      </c>
    </row>
    <row r="29" spans="1:20">
      <c r="A29" s="65" t="s">
        <v>70</v>
      </c>
      <c r="B29" s="1" t="str">
        <f>VLOOKUP(A29,Data[],2,FALSE)</f>
        <v>MANHATTAN</v>
      </c>
      <c r="C29" s="1">
        <f>VLOOKUP(FWD[[#This Row],[DEVELOPMENT]],Data[],25,FALSE)</f>
        <v>0</v>
      </c>
      <c r="D29" s="9" t="s">
        <v>49</v>
      </c>
      <c r="E29" s="50">
        <f>VLOOKUP(FWD[[#This Row],[DEVELOPMENT]],Data[],7,FALSE)</f>
        <v>167</v>
      </c>
      <c r="F29" s="50" t="e">
        <f>VLOOKUP(FWD[[#This Row],[DEVELOPMENT]],all[[DEVELOPMENT]:[MRST Ext. Comp. Priority]],5,FALSE)</f>
        <v>#N/A</v>
      </c>
      <c r="G29" s="50" t="str">
        <f>VLOOKUP(FWD[[#This Row],[DEVELOPMENT]],Data[],8,FALSE)</f>
        <v>Zone 3</v>
      </c>
      <c r="H29" s="9">
        <f>VLOOKUP(FWD[[#This Row],[DEVELOPMENT]],Data[],9,FALSE)</f>
        <v>1</v>
      </c>
      <c r="I29" s="1" t="str">
        <f ca="1">IFERROR(VLOOKUP(FWD[[#This Row],[DEVELOPMENT]],Data[],4,FALSE),"")</f>
        <v>2020-2021</v>
      </c>
      <c r="J29" s="51" t="str">
        <f ca="1">IF(FWD[[#This Row],[RAD/PACT]]="","",IF(OR(FWD[[#This Row],[RAD/PACT]]="2021-2025",FWD[[#This Row],[RAD/PACT]]="2019-2020"),"Yes",""))</f>
        <v/>
      </c>
      <c r="K29" s="1"/>
      <c r="L29" s="1"/>
      <c r="M29" s="1"/>
      <c r="N29" s="1"/>
      <c r="O29" s="3">
        <f ca="1">IF(FWD[[#This Row],[RAD/PACT]]="2019-2020",0,INDEX(UnitCosts[],MATCH(FWD[[#This Row],[WORK TYPE]],UnitCosts[Work Type],0),2)*FWD[[#This Row],[Dwelling Units]])</f>
        <v>287028.90321484761</v>
      </c>
      <c r="P29" s="3"/>
      <c r="Q29" s="3"/>
      <c r="R29" s="69">
        <f t="shared" ca="1" si="0"/>
        <v>5922764.0747207478</v>
      </c>
      <c r="S29" s="71">
        <f ca="1">SUM(INDEX(FWD[Dwelling Units],1):FWD[[#This Row],[Dwelling Units]])</f>
        <v>8683</v>
      </c>
      <c r="T29" s="71">
        <f ca="1">IF(ISBLANK(FWD[[#This Row],[CALENDAR YEAR]]),ROUNDDOWN(FWD[[#This Row],[Running count]]/3000,0)+$T$1,FWD[[#This Row],[CALENDAR YEAR]])</f>
        <v>2022</v>
      </c>
    </row>
    <row r="30" spans="1:20">
      <c r="A30" s="65" t="s">
        <v>273</v>
      </c>
      <c r="B30" s="1" t="str">
        <f>VLOOKUP(A30,Data[],2,FALSE)</f>
        <v>BRONX</v>
      </c>
      <c r="C30" s="1">
        <f>VLOOKUP(FWD[[#This Row],[DEVELOPMENT]],Data[],25,FALSE)</f>
        <v>0</v>
      </c>
      <c r="D30" s="9" t="s">
        <v>49</v>
      </c>
      <c r="E30" s="50">
        <f>VLOOKUP(FWD[[#This Row],[DEVELOPMENT]],Data[],7,FALSE)</f>
        <v>232</v>
      </c>
      <c r="F30" s="50" t="e">
        <f>VLOOKUP(FWD[[#This Row],[DEVELOPMENT]],all[[DEVELOPMENT]:[MRST Ext. Comp. Priority]],5,FALSE)</f>
        <v>#N/A</v>
      </c>
      <c r="G30" s="50">
        <f>VLOOKUP(FWD[[#This Row],[DEVELOPMENT]],Data[],8,FALSE)</f>
        <v>0</v>
      </c>
      <c r="H30" s="9">
        <f>VLOOKUP(FWD[[#This Row],[DEVELOPMENT]],Data[],9,FALSE)</f>
        <v>0</v>
      </c>
      <c r="I30" s="1" t="str">
        <f ca="1">IFERROR(VLOOKUP(FWD[[#This Row],[DEVELOPMENT]],Data[],4,FALSE),"")</f>
        <v/>
      </c>
      <c r="J30" s="51" t="str">
        <f ca="1">IF(FWD[[#This Row],[RAD/PACT]]="","",IF(OR(FWD[[#This Row],[RAD/PACT]]="2021-2025",FWD[[#This Row],[RAD/PACT]]="2019-2020"),"Yes",""))</f>
        <v/>
      </c>
      <c r="K30" s="1"/>
      <c r="L30" s="1"/>
      <c r="M30" s="1"/>
      <c r="N30" s="1"/>
      <c r="O30" s="3">
        <f ca="1">IF(FWD[[#This Row],[RAD/PACT]]="2019-2020",0,INDEX(UnitCosts[],MATCH(FWD[[#This Row],[WORK TYPE]],UnitCosts[Work Type],0),2)*FWD[[#This Row],[Dwelling Units]])</f>
        <v>398746.7397954769</v>
      </c>
      <c r="P30" s="3"/>
      <c r="Q30" s="3"/>
      <c r="R30" s="69">
        <f t="shared" ca="1" si="0"/>
        <v>6321510.8145162249</v>
      </c>
      <c r="S30" s="71">
        <f ca="1">SUM(INDEX(FWD[Dwelling Units],1):FWD[[#This Row],[Dwelling Units]])</f>
        <v>8915</v>
      </c>
      <c r="T30" s="71">
        <f ca="1">IF(ISBLANK(FWD[[#This Row],[CALENDAR YEAR]]),ROUNDDOWN(FWD[[#This Row],[Running count]]/3000,0)+$T$1,FWD[[#This Row],[CALENDAR YEAR]])</f>
        <v>2022</v>
      </c>
    </row>
    <row r="31" spans="1:20">
      <c r="A31" s="65" t="s">
        <v>300</v>
      </c>
      <c r="B31" s="1" t="str">
        <f>VLOOKUP(A31,Data[],2,FALSE)</f>
        <v>QUEENS</v>
      </c>
      <c r="C31" s="1">
        <f>VLOOKUP(FWD[[#This Row],[DEVELOPMENT]],Data[],25,FALSE)</f>
        <v>0</v>
      </c>
      <c r="D31" s="9" t="s">
        <v>49</v>
      </c>
      <c r="E31" s="50">
        <f>VLOOKUP(FWD[[#This Row],[DEVELOPMENT]],Data[],7,FALSE)</f>
        <v>381</v>
      </c>
      <c r="F31" s="50" t="e">
        <f>VLOOKUP(FWD[[#This Row],[DEVELOPMENT]],all[[DEVELOPMENT]:[MRST Ext. Comp. Priority]],5,FALSE)</f>
        <v>#N/A</v>
      </c>
      <c r="G31" s="50">
        <f>VLOOKUP(FWD[[#This Row],[DEVELOPMENT]],Data[],8,FALSE)</f>
        <v>0</v>
      </c>
      <c r="H31" s="9">
        <f>VLOOKUP(FWD[[#This Row],[DEVELOPMENT]],Data[],9,FALSE)</f>
        <v>0</v>
      </c>
      <c r="I31" s="1" t="str">
        <f ca="1">IFERROR(VLOOKUP(FWD[[#This Row],[DEVELOPMENT]],Data[],4,FALSE),"")</f>
        <v/>
      </c>
      <c r="J31" s="51" t="str">
        <f ca="1">IF(FWD[[#This Row],[RAD/PACT]]="","",IF(OR(FWD[[#This Row],[RAD/PACT]]="2021-2025",FWD[[#This Row],[RAD/PACT]]="2019-2020"),"Yes",""))</f>
        <v/>
      </c>
      <c r="K31" s="1"/>
      <c r="L31" s="1"/>
      <c r="M31" s="1"/>
      <c r="N31" s="1"/>
      <c r="O31" s="3">
        <f ca="1">IF(FWD[[#This Row],[RAD/PACT]]="2019-2020",0,INDEX(UnitCosts[],MATCH(FWD[[#This Row],[WORK TYPE]],UnitCosts[Work Type],0),2)*FWD[[#This Row],[Dwelling Units]])</f>
        <v>654838.39595722721</v>
      </c>
      <c r="P31" s="3"/>
      <c r="Q31" s="3"/>
      <c r="R31" s="69">
        <f t="shared" ca="1" si="0"/>
        <v>654838.39595722721</v>
      </c>
      <c r="S31" s="71">
        <f ca="1">SUM(INDEX(FWD[Dwelling Units],1):FWD[[#This Row],[Dwelling Units]])</f>
        <v>9296</v>
      </c>
      <c r="T31" s="71">
        <f ca="1">IF(ISBLANK(FWD[[#This Row],[CALENDAR YEAR]]),ROUNDDOWN(FWD[[#This Row],[Running count]]/3000,0)+$T$1,FWD[[#This Row],[CALENDAR YEAR]])</f>
        <v>2023</v>
      </c>
    </row>
    <row r="32" spans="1:20">
      <c r="A32" s="65" t="s">
        <v>58</v>
      </c>
      <c r="B32" s="1" t="str">
        <f>VLOOKUP(A32,Data[],2,FALSE)</f>
        <v>MANHATTAN</v>
      </c>
      <c r="C32" s="1" t="str">
        <f>VLOOKUP(FWD[[#This Row],[DEVELOPMENT]],Data[],25,FALSE)</f>
        <v>Newtown Creek</v>
      </c>
      <c r="D32" s="9" t="s">
        <v>49</v>
      </c>
      <c r="E32" s="50">
        <f>VLOOKUP(FWD[[#This Row],[DEVELOPMENT]],Data[],7,FALSE)</f>
        <v>2193</v>
      </c>
      <c r="F32" s="50" t="e">
        <f>VLOOKUP(FWD[[#This Row],[DEVELOPMENT]],all[[DEVELOPMENT]:[MRST Ext. Comp. Priority]],5,FALSE)</f>
        <v>#N/A</v>
      </c>
      <c r="G32" s="50" t="str">
        <f>VLOOKUP(FWD[[#This Row],[DEVELOPMENT]],Data[],8,FALSE)</f>
        <v>Zone 1</v>
      </c>
      <c r="H32" s="9">
        <f>VLOOKUP(FWD[[#This Row],[DEVELOPMENT]],Data[],9,FALSE)</f>
        <v>4</v>
      </c>
      <c r="I32" s="1" t="str">
        <f ca="1">IFERROR(VLOOKUP(FWD[[#This Row],[DEVELOPMENT]],Data[],4,FALSE),"")</f>
        <v/>
      </c>
      <c r="J32" s="51" t="str">
        <f ca="1">IF(FWD[[#This Row],[RAD/PACT]]="","",IF(OR(FWD[[#This Row],[RAD/PACT]]="2021-2025",FWD[[#This Row],[RAD/PACT]]="2019-2020"),"Yes",""))</f>
        <v/>
      </c>
      <c r="K32" s="1"/>
      <c r="L32" s="1"/>
      <c r="M32" s="1"/>
      <c r="N32" s="1"/>
      <c r="O32" s="3">
        <f ca="1">IF(FWD[[#This Row],[RAD/PACT]]="2019-2020",0,INDEX(UnitCosts[],MATCH(FWD[[#This Row],[WORK TYPE]],UnitCosts[Work Type],0),2)*FWD[[#This Row],[Dwelling Units]])</f>
        <v>3769187.9326356933</v>
      </c>
      <c r="P32" s="3"/>
      <c r="Q32" s="3"/>
      <c r="R32" s="69">
        <f t="shared" ca="1" si="0"/>
        <v>4424026.3285929207</v>
      </c>
      <c r="S32" s="71">
        <f ca="1">SUM(INDEX(FWD[Dwelling Units],1):FWD[[#This Row],[Dwelling Units]])</f>
        <v>11489</v>
      </c>
      <c r="T32" s="71">
        <f ca="1">IF(ISBLANK(FWD[[#This Row],[CALENDAR YEAR]]),ROUNDDOWN(FWD[[#This Row],[Running count]]/3000,0)+$T$1,FWD[[#This Row],[CALENDAR YEAR]])</f>
        <v>2023</v>
      </c>
    </row>
    <row r="33" spans="1:20">
      <c r="A33" s="65" t="s">
        <v>231</v>
      </c>
      <c r="B33" s="1" t="str">
        <f>VLOOKUP(A33,Data[],2,FALSE)</f>
        <v>BROOKLYN</v>
      </c>
      <c r="C33" s="1">
        <f>VLOOKUP(FWD[[#This Row],[DEVELOPMENT]],Data[],25,FALSE)</f>
        <v>0</v>
      </c>
      <c r="D33" s="9" t="s">
        <v>49</v>
      </c>
      <c r="E33" s="50">
        <f>VLOOKUP(FWD[[#This Row],[DEVELOPMENT]],Data[],7,FALSE)</f>
        <v>1609</v>
      </c>
      <c r="F33" s="50" t="e">
        <f>VLOOKUP(FWD[[#This Row],[DEVELOPMENT]],all[[DEVELOPMENT]:[MRST Ext. Comp. Priority]],5,FALSE)</f>
        <v>#N/A</v>
      </c>
      <c r="G33" s="50">
        <f>VLOOKUP(FWD[[#This Row],[DEVELOPMENT]],Data[],8,FALSE)</f>
        <v>0</v>
      </c>
      <c r="H33" s="9">
        <f>VLOOKUP(FWD[[#This Row],[DEVELOPMENT]],Data[],9,FALSE)</f>
        <v>0</v>
      </c>
      <c r="I33" s="1" t="str">
        <f ca="1">IFERROR(VLOOKUP(FWD[[#This Row],[DEVELOPMENT]],Data[],4,FALSE),"")</f>
        <v>2026+</v>
      </c>
      <c r="J33" s="51" t="str">
        <f ca="1">IF(FWD[[#This Row],[RAD/PACT]]="","",IF(OR(FWD[[#This Row],[RAD/PACT]]="2021-2025",FWD[[#This Row],[RAD/PACT]]="2019-2020"),"Yes",""))</f>
        <v/>
      </c>
      <c r="K33" s="1"/>
      <c r="L33" s="1"/>
      <c r="M33" s="1"/>
      <c r="N33" s="1"/>
      <c r="O33" s="3">
        <f ca="1">IF(FWD[[#This Row],[RAD/PACT]]="2019-2020",0,INDEX(UnitCosts[],MATCH(FWD[[#This Row],[WORK TYPE]],UnitCosts[Work Type],0),2)*FWD[[#This Row],[Dwelling Units]])</f>
        <v>2765446.1393574239</v>
      </c>
      <c r="P33" s="3"/>
      <c r="Q33" s="3"/>
      <c r="R33" s="69">
        <f t="shared" ca="1" si="0"/>
        <v>2765446.1393574239</v>
      </c>
      <c r="S33" s="71">
        <f ca="1">SUM(INDEX(FWD[Dwelling Units],1):FWD[[#This Row],[Dwelling Units]])</f>
        <v>13098</v>
      </c>
      <c r="T33" s="71">
        <f ca="1">IF(ISBLANK(FWD[[#This Row],[CALENDAR YEAR]]),ROUNDDOWN(FWD[[#This Row],[Running count]]/3000,0)+$T$1,FWD[[#This Row],[CALENDAR YEAR]])</f>
        <v>2024</v>
      </c>
    </row>
    <row r="34" spans="1:20">
      <c r="A34" s="65" t="s">
        <v>301</v>
      </c>
      <c r="B34" s="1" t="str">
        <f>VLOOKUP(A34,Data[],2,FALSE)</f>
        <v>QUEENS</v>
      </c>
      <c r="C34" s="1">
        <f>VLOOKUP(FWD[[#This Row],[DEVELOPMENT]],Data[],25,FALSE)</f>
        <v>0</v>
      </c>
      <c r="D34" s="9" t="s">
        <v>49</v>
      </c>
      <c r="E34" s="50">
        <f>VLOOKUP(FWD[[#This Row],[DEVELOPMENT]],Data[],7,FALSE)</f>
        <v>712</v>
      </c>
      <c r="F34" s="50" t="e">
        <f>VLOOKUP(FWD[[#This Row],[DEVELOPMENT]],all[[DEVELOPMENT]:[MRST Ext. Comp. Priority]],5,FALSE)</f>
        <v>#N/A</v>
      </c>
      <c r="G34" s="50">
        <f>VLOOKUP(FWD[[#This Row],[DEVELOPMENT]],Data[],8,FALSE)</f>
        <v>0</v>
      </c>
      <c r="H34" s="9">
        <f>VLOOKUP(FWD[[#This Row],[DEVELOPMENT]],Data[],9,FALSE)</f>
        <v>0</v>
      </c>
      <c r="I34" s="1" t="str">
        <f ca="1">IFERROR(VLOOKUP(FWD[[#This Row],[DEVELOPMENT]],Data[],4,FALSE),"")</f>
        <v>2026+</v>
      </c>
      <c r="J34" s="51" t="str">
        <f ca="1">IF(FWD[[#This Row],[RAD/PACT]]="","",IF(OR(FWD[[#This Row],[RAD/PACT]]="2021-2025",FWD[[#This Row],[RAD/PACT]]="2019-2020"),"Yes",""))</f>
        <v/>
      </c>
      <c r="K34" s="1"/>
      <c r="L34" s="1"/>
      <c r="M34" s="1"/>
      <c r="N34" s="1"/>
      <c r="O34" s="3">
        <f ca="1">IF(FWD[[#This Row],[RAD/PACT]]="2019-2020",0,INDEX(UnitCosts[],MATCH(FWD[[#This Row],[WORK TYPE]],UnitCosts[Work Type],0),2)*FWD[[#This Row],[Dwelling Units]])</f>
        <v>1223739.9945447394</v>
      </c>
      <c r="P34" s="3"/>
      <c r="Q34" s="3"/>
      <c r="R34" s="69">
        <f t="shared" ca="1" si="0"/>
        <v>3989186.1339021632</v>
      </c>
      <c r="S34" s="71">
        <f ca="1">SUM(INDEX(FWD[Dwelling Units],1):FWD[[#This Row],[Dwelling Units]])</f>
        <v>13810</v>
      </c>
      <c r="T34" s="71">
        <f ca="1">IF(ISBLANK(FWD[[#This Row],[CALENDAR YEAR]]),ROUNDDOWN(FWD[[#This Row],[Running count]]/3000,0)+$T$1,FWD[[#This Row],[CALENDAR YEAR]])</f>
        <v>2024</v>
      </c>
    </row>
    <row r="35" spans="1:20">
      <c r="A35" s="65" t="s">
        <v>142</v>
      </c>
      <c r="B35" s="1" t="str">
        <f>VLOOKUP(A35,Data[],2,FALSE)</f>
        <v>BROOKLYN</v>
      </c>
      <c r="C35" s="1" t="str">
        <f>VLOOKUP(FWD[[#This Row],[DEVELOPMENT]],Data[],25,FALSE)</f>
        <v>Newtown Creek</v>
      </c>
      <c r="D35" s="9" t="s">
        <v>49</v>
      </c>
      <c r="E35" s="50">
        <f>VLOOKUP(FWD[[#This Row],[DEVELOPMENT]],Data[],7,FALSE)</f>
        <v>84</v>
      </c>
      <c r="F35" s="50" t="e">
        <f>VLOOKUP(FWD[[#This Row],[DEVELOPMENT]],all[[DEVELOPMENT]:[MRST Ext. Comp. Priority]],5,FALSE)</f>
        <v>#N/A</v>
      </c>
      <c r="G35" s="50" t="str">
        <f>VLOOKUP(FWD[[#This Row],[DEVELOPMENT]],Data[],8,FALSE)</f>
        <v>Zone 1</v>
      </c>
      <c r="H35" s="9">
        <f>VLOOKUP(FWD[[#This Row],[DEVELOPMENT]],Data[],9,FALSE)</f>
        <v>4</v>
      </c>
      <c r="I35" s="1" t="str">
        <f ca="1">IFERROR(VLOOKUP(FWD[[#This Row],[DEVELOPMENT]],Data[],4,FALSE),"")</f>
        <v/>
      </c>
      <c r="J35" s="51" t="str">
        <f ca="1">IF(FWD[[#This Row],[RAD/PACT]]="","",IF(OR(FWD[[#This Row],[RAD/PACT]]="2021-2025",FWD[[#This Row],[RAD/PACT]]="2019-2020"),"Yes",""))</f>
        <v/>
      </c>
      <c r="K35" s="1"/>
      <c r="L35" s="1"/>
      <c r="M35" s="1"/>
      <c r="N35" s="1"/>
      <c r="O35" s="3">
        <f ca="1">IF(FWD[[#This Row],[RAD/PACT]]="2019-2020",0,INDEX(UnitCosts[],MATCH(FWD[[#This Row],[WORK TYPE]],UnitCosts[Work Type],0),2)*FWD[[#This Row],[Dwelling Units]])</f>
        <v>144373.81958112094</v>
      </c>
      <c r="P35" s="3"/>
      <c r="Q35" s="3"/>
      <c r="R35" s="69">
        <f t="shared" ca="1" si="0"/>
        <v>4133559.953483284</v>
      </c>
      <c r="S35" s="71">
        <f ca="1">SUM(INDEX(FWD[Dwelling Units],1):FWD[[#This Row],[Dwelling Units]])</f>
        <v>13894</v>
      </c>
      <c r="T35" s="71">
        <f ca="1">IF(ISBLANK(FWD[[#This Row],[CALENDAR YEAR]]),ROUNDDOWN(FWD[[#This Row],[Running count]]/3000,0)+$T$1,FWD[[#This Row],[CALENDAR YEAR]])</f>
        <v>2024</v>
      </c>
    </row>
    <row r="36" spans="1:20">
      <c r="A36" s="65" t="s">
        <v>302</v>
      </c>
      <c r="B36" s="1" t="str">
        <f>VLOOKUP(A36,Data[],2,FALSE)</f>
        <v>BROOKLYN</v>
      </c>
      <c r="C36" s="1">
        <f>VLOOKUP(FWD[[#This Row],[DEVELOPMENT]],Data[],25,FALSE)</f>
        <v>0</v>
      </c>
      <c r="D36" s="9" t="s">
        <v>49</v>
      </c>
      <c r="E36" s="50">
        <f>VLOOKUP(FWD[[#This Row],[DEVELOPMENT]],Data[],7,FALSE)</f>
        <v>72</v>
      </c>
      <c r="F36" s="50" t="e">
        <f>VLOOKUP(FWD[[#This Row],[DEVELOPMENT]],all[[DEVELOPMENT]:[MRST Ext. Comp. Priority]],5,FALSE)</f>
        <v>#N/A</v>
      </c>
      <c r="G36" s="50">
        <f>VLOOKUP(FWD[[#This Row],[DEVELOPMENT]],Data[],8,FALSE)</f>
        <v>0</v>
      </c>
      <c r="H36" s="9">
        <f>VLOOKUP(FWD[[#This Row],[DEVELOPMENT]],Data[],9,FALSE)</f>
        <v>0</v>
      </c>
      <c r="I36" s="1" t="str">
        <f ca="1">IFERROR(VLOOKUP(FWD[[#This Row],[DEVELOPMENT]],Data[],4,FALSE),"")</f>
        <v/>
      </c>
      <c r="J36" s="51" t="str">
        <f ca="1">IF(FWD[[#This Row],[RAD/PACT]]="","",IF(OR(FWD[[#This Row],[RAD/PACT]]="2021-2025",FWD[[#This Row],[RAD/PACT]]="2019-2020"),"Yes",""))</f>
        <v/>
      </c>
      <c r="K36" s="1"/>
      <c r="L36" s="1"/>
      <c r="M36" s="1"/>
      <c r="N36" s="1"/>
      <c r="O36" s="3">
        <f ca="1">IF(FWD[[#This Row],[RAD/PACT]]="2019-2020",0,INDEX(UnitCosts[],MATCH(FWD[[#This Row],[WORK TYPE]],UnitCosts[Work Type],0),2)*FWD[[#This Row],[Dwelling Units]])</f>
        <v>123748.98821238938</v>
      </c>
      <c r="P36" s="3"/>
      <c r="Q36" s="3"/>
      <c r="R36" s="69">
        <f t="shared" ca="1" si="0"/>
        <v>4257308.9416956734</v>
      </c>
      <c r="S36" s="71">
        <f ca="1">SUM(INDEX(FWD[Dwelling Units],1):FWD[[#This Row],[Dwelling Units]])</f>
        <v>13966</v>
      </c>
      <c r="T36" s="71">
        <f ca="1">IF(ISBLANK(FWD[[#This Row],[CALENDAR YEAR]]),ROUNDDOWN(FWD[[#This Row],[Running count]]/3000,0)+$T$1,FWD[[#This Row],[CALENDAR YEAR]])</f>
        <v>2024</v>
      </c>
    </row>
    <row r="37" spans="1:20">
      <c r="A37" s="65" t="s">
        <v>232</v>
      </c>
      <c r="B37" s="1" t="str">
        <f>VLOOKUP(A37,Data[],2,FALSE)</f>
        <v>STATEN ISLAND</v>
      </c>
      <c r="C37" s="1">
        <f>VLOOKUP(FWD[[#This Row],[DEVELOPMENT]],Data[],25,FALSE)</f>
        <v>0</v>
      </c>
      <c r="D37" s="9" t="s">
        <v>49</v>
      </c>
      <c r="E37" s="50">
        <f>VLOOKUP(FWD[[#This Row],[DEVELOPMENT]],Data[],7,FALSE)</f>
        <v>506</v>
      </c>
      <c r="F37" s="50" t="e">
        <f>VLOOKUP(FWD[[#This Row],[DEVELOPMENT]],all[[DEVELOPMENT]:[MRST Ext. Comp. Priority]],5,FALSE)</f>
        <v>#N/A</v>
      </c>
      <c r="G37" s="50">
        <f>VLOOKUP(FWD[[#This Row],[DEVELOPMENT]],Data[],8,FALSE)</f>
        <v>0</v>
      </c>
      <c r="H37" s="9">
        <f>VLOOKUP(FWD[[#This Row],[DEVELOPMENT]],Data[],9,FALSE)</f>
        <v>0</v>
      </c>
      <c r="I37" s="1" t="str">
        <f ca="1">IFERROR(VLOOKUP(FWD[[#This Row],[DEVELOPMENT]],Data[],4,FALSE),"")</f>
        <v/>
      </c>
      <c r="J37" s="51" t="str">
        <f ca="1">IF(FWD[[#This Row],[RAD/PACT]]="","",IF(OR(FWD[[#This Row],[RAD/PACT]]="2021-2025",FWD[[#This Row],[RAD/PACT]]="2019-2020"),"Yes",""))</f>
        <v/>
      </c>
      <c r="K37" s="1"/>
      <c r="L37" s="1"/>
      <c r="M37" s="1"/>
      <c r="N37" s="1"/>
      <c r="O37" s="3">
        <f ca="1">IF(FWD[[#This Row],[RAD/PACT]]="2019-2020",0,INDEX(UnitCosts[],MATCH(FWD[[#This Row],[WORK TYPE]],UnitCosts[Work Type],0),2)*FWD[[#This Row],[Dwelling Units]])</f>
        <v>869680.38938151428</v>
      </c>
      <c r="P37" s="3"/>
      <c r="Q37" s="3"/>
      <c r="R37" s="69">
        <f t="shared" ca="1" si="0"/>
        <v>5126989.3310771873</v>
      </c>
      <c r="S37" s="71">
        <f ca="1">SUM(INDEX(FWD[Dwelling Units],1):FWD[[#This Row],[Dwelling Units]])</f>
        <v>14472</v>
      </c>
      <c r="T37" s="71">
        <f ca="1">IF(ISBLANK(FWD[[#This Row],[CALENDAR YEAR]]),ROUNDDOWN(FWD[[#This Row],[Running count]]/3000,0)+$T$1,FWD[[#This Row],[CALENDAR YEAR]])</f>
        <v>2024</v>
      </c>
    </row>
    <row r="38" spans="1:20">
      <c r="A38" s="65" t="s">
        <v>303</v>
      </c>
      <c r="B38" s="1" t="str">
        <f>VLOOKUP(A38,Data[],2,FALSE)</f>
        <v>BROOKLYN</v>
      </c>
      <c r="C38" s="1" t="str">
        <f>VLOOKUP(FWD[[#This Row],[DEVELOPMENT]],Data[],25,FALSE)</f>
        <v>Newtown Creek</v>
      </c>
      <c r="D38" s="9" t="s">
        <v>49</v>
      </c>
      <c r="E38" s="50">
        <f>VLOOKUP(FWD[[#This Row],[DEVELOPMENT]],Data[],7,FALSE)</f>
        <v>150</v>
      </c>
      <c r="F38" s="50" t="e">
        <f>VLOOKUP(FWD[[#This Row],[DEVELOPMENT]],all[[DEVELOPMENT]:[MRST Ext. Comp. Priority]],5,FALSE)</f>
        <v>#N/A</v>
      </c>
      <c r="G38" s="50">
        <f>VLOOKUP(FWD[[#This Row],[DEVELOPMENT]],Data[],8,FALSE)</f>
        <v>0</v>
      </c>
      <c r="H38" s="9">
        <f>VLOOKUP(FWD[[#This Row],[DEVELOPMENT]],Data[],9,FALSE)</f>
        <v>0</v>
      </c>
      <c r="I38" s="1">
        <f ca="1">IFERROR(VLOOKUP(FWD[[#This Row],[DEVELOPMENT]],Data[],4,FALSE),"")</f>
        <v>2019</v>
      </c>
      <c r="J38" s="51" t="str">
        <f ca="1">IF(FWD[[#This Row],[RAD/PACT]]="","",IF(OR(FWD[[#This Row],[RAD/PACT]]="2021-2025",FWD[[#This Row],[RAD/PACT]]="2019-2020"),"Yes",""))</f>
        <v/>
      </c>
      <c r="K38" s="1"/>
      <c r="L38" s="1"/>
      <c r="M38" s="1"/>
      <c r="N38" s="1"/>
      <c r="O38" s="3">
        <f ca="1">IF(FWD[[#This Row],[RAD/PACT]]="2019-2020",0,INDEX(UnitCosts[],MATCH(FWD[[#This Row],[WORK TYPE]],UnitCosts[Work Type],0),2)*FWD[[#This Row],[Dwelling Units]])</f>
        <v>257810.39210914454</v>
      </c>
      <c r="P38" s="3"/>
      <c r="Q38" s="3"/>
      <c r="R38" s="69">
        <f t="shared" ca="1" si="0"/>
        <v>5384799.7231863318</v>
      </c>
      <c r="S38" s="71">
        <f ca="1">SUM(INDEX(FWD[Dwelling Units],1):FWD[[#This Row],[Dwelling Units]])</f>
        <v>14622</v>
      </c>
      <c r="T38" s="71">
        <f ca="1">IF(ISBLANK(FWD[[#This Row],[CALENDAR YEAR]]),ROUNDDOWN(FWD[[#This Row],[Running count]]/3000,0)+$T$1,FWD[[#This Row],[CALENDAR YEAR]])</f>
        <v>2024</v>
      </c>
    </row>
    <row r="39" spans="1:20">
      <c r="A39" s="65" t="s">
        <v>71</v>
      </c>
      <c r="B39" s="1" t="str">
        <f>VLOOKUP(A39,Data[],2,FALSE)</f>
        <v>MANHATTAN</v>
      </c>
      <c r="C39" s="1">
        <f>VLOOKUP(FWD[[#This Row],[DEVELOPMENT]],Data[],25,FALSE)</f>
        <v>0</v>
      </c>
      <c r="D39" s="9" t="s">
        <v>49</v>
      </c>
      <c r="E39" s="50">
        <f>VLOOKUP(FWD[[#This Row],[DEVELOPMENT]],Data[],7,FALSE)</f>
        <v>210</v>
      </c>
      <c r="F39" s="50" t="e">
        <f>VLOOKUP(FWD[[#This Row],[DEVELOPMENT]],all[[DEVELOPMENT]:[MRST Ext. Comp. Priority]],5,FALSE)</f>
        <v>#N/A</v>
      </c>
      <c r="G39" s="50" t="str">
        <f>VLOOKUP(FWD[[#This Row],[DEVELOPMENT]],Data[],8,FALSE)</f>
        <v>Zone 3</v>
      </c>
      <c r="H39" s="9">
        <f>VLOOKUP(FWD[[#This Row],[DEVELOPMENT]],Data[],9,FALSE)</f>
        <v>3</v>
      </c>
      <c r="I39" s="1" t="str">
        <f ca="1">IFERROR(VLOOKUP(FWD[[#This Row],[DEVELOPMENT]],Data[],4,FALSE),"")</f>
        <v>2020-2021</v>
      </c>
      <c r="J39" s="51" t="str">
        <f ca="1">IF(FWD[[#This Row],[RAD/PACT]]="","",IF(OR(FWD[[#This Row],[RAD/PACT]]="2021-2025",FWD[[#This Row],[RAD/PACT]]="2019-2020"),"Yes",""))</f>
        <v/>
      </c>
      <c r="K39" s="1"/>
      <c r="L39" s="1"/>
      <c r="M39" s="1"/>
      <c r="N39" s="1"/>
      <c r="O39" s="3">
        <f ca="1">IF(FWD[[#This Row],[RAD/PACT]]="2019-2020",0,INDEX(UnitCosts[],MATCH(FWD[[#This Row],[WORK TYPE]],UnitCosts[Work Type],0),2)*FWD[[#This Row],[Dwelling Units]])</f>
        <v>360934.54895280238</v>
      </c>
      <c r="P39" s="3"/>
      <c r="Q39" s="3"/>
      <c r="R39" s="69">
        <f t="shared" ca="1" si="0"/>
        <v>5745734.2721391339</v>
      </c>
      <c r="S39" s="71">
        <f ca="1">SUM(INDEX(FWD[Dwelling Units],1):FWD[[#This Row],[Dwelling Units]])</f>
        <v>14832</v>
      </c>
      <c r="T39" s="71">
        <f ca="1">IF(ISBLANK(FWD[[#This Row],[CALENDAR YEAR]]),ROUNDDOWN(FWD[[#This Row],[Running count]]/3000,0)+$T$1,FWD[[#This Row],[CALENDAR YEAR]])</f>
        <v>2024</v>
      </c>
    </row>
    <row r="40" spans="1:20">
      <c r="A40" s="65" t="s">
        <v>233</v>
      </c>
      <c r="B40" s="1" t="str">
        <f>VLOOKUP(A40,Data[],2,FALSE)</f>
        <v>QUEENS</v>
      </c>
      <c r="C40" s="1">
        <f>VLOOKUP(FWD[[#This Row],[DEVELOPMENT]],Data[],25,FALSE)</f>
        <v>0</v>
      </c>
      <c r="D40" s="9" t="s">
        <v>49</v>
      </c>
      <c r="E40" s="50">
        <f>VLOOKUP(FWD[[#This Row],[DEVELOPMENT]],Data[],7,FALSE)</f>
        <v>399</v>
      </c>
      <c r="F40" s="50" t="e">
        <f>VLOOKUP(FWD[[#This Row],[DEVELOPMENT]],all[[DEVELOPMENT]:[MRST Ext. Comp. Priority]],5,FALSE)</f>
        <v>#N/A</v>
      </c>
      <c r="G40" s="50">
        <f>VLOOKUP(FWD[[#This Row],[DEVELOPMENT]],Data[],8,FALSE)</f>
        <v>0</v>
      </c>
      <c r="H40" s="9">
        <f>VLOOKUP(FWD[[#This Row],[DEVELOPMENT]],Data[],9,FALSE)</f>
        <v>0</v>
      </c>
      <c r="I40" s="1" t="str">
        <f ca="1">IFERROR(VLOOKUP(FWD[[#This Row],[DEVELOPMENT]],Data[],4,FALSE),"")</f>
        <v/>
      </c>
      <c r="J40" s="51" t="str">
        <f ca="1">IF(FWD[[#This Row],[RAD/PACT]]="","",IF(OR(FWD[[#This Row],[RAD/PACT]]="2021-2025",FWD[[#This Row],[RAD/PACT]]="2019-2020"),"Yes",""))</f>
        <v/>
      </c>
      <c r="K40" s="1"/>
      <c r="L40" s="1"/>
      <c r="M40" s="1"/>
      <c r="N40" s="1"/>
      <c r="O40" s="3">
        <f ca="1">IF(FWD[[#This Row],[RAD/PACT]]="2019-2020",0,INDEX(UnitCosts[],MATCH(FWD[[#This Row],[WORK TYPE]],UnitCosts[Work Type],0),2)*FWD[[#This Row],[Dwelling Units]])</f>
        <v>685775.64301032445</v>
      </c>
      <c r="P40" s="3"/>
      <c r="Q40" s="3"/>
      <c r="R40" s="69">
        <f t="shared" ca="1" si="0"/>
        <v>685775.64301032445</v>
      </c>
      <c r="S40" s="71">
        <f ca="1">SUM(INDEX(FWD[Dwelling Units],1):FWD[[#This Row],[Dwelling Units]])</f>
        <v>15231</v>
      </c>
      <c r="T40" s="71">
        <f ca="1">IF(ISBLANK(FWD[[#This Row],[CALENDAR YEAR]]),ROUNDDOWN(FWD[[#This Row],[Running count]]/3000,0)+$T$1,FWD[[#This Row],[CALENDAR YEAR]])</f>
        <v>2025</v>
      </c>
    </row>
    <row r="41" spans="1:20">
      <c r="A41" s="65" t="s">
        <v>119</v>
      </c>
      <c r="B41" s="1" t="str">
        <f>VLOOKUP(A41,Data[],2,FALSE)</f>
        <v>BROOKLYN</v>
      </c>
      <c r="C41" s="1" t="str">
        <f>VLOOKUP(FWD[[#This Row],[DEVELOPMENT]],Data[],25,FALSE)</f>
        <v>Newtown Creek</v>
      </c>
      <c r="D41" s="9" t="s">
        <v>49</v>
      </c>
      <c r="E41" s="50">
        <f>VLOOKUP(FWD[[#This Row],[DEVELOPMENT]],Data[],7,FALSE)</f>
        <v>509</v>
      </c>
      <c r="F41" s="50" t="e">
        <f>VLOOKUP(FWD[[#This Row],[DEVELOPMENT]],all[[DEVELOPMENT]:[MRST Ext. Comp. Priority]],5,FALSE)</f>
        <v>#N/A</v>
      </c>
      <c r="G41" s="50" t="str">
        <f>VLOOKUP(FWD[[#This Row],[DEVELOPMENT]],Data[],8,FALSE)</f>
        <v>Zone 3</v>
      </c>
      <c r="H41" s="9">
        <f>VLOOKUP(FWD[[#This Row],[DEVELOPMENT]],Data[],9,FALSE)</f>
        <v>1</v>
      </c>
      <c r="I41" s="1" t="str">
        <f ca="1">IFERROR(VLOOKUP(FWD[[#This Row],[DEVELOPMENT]],Data[],4,FALSE),"")</f>
        <v>2026+</v>
      </c>
      <c r="J41" s="51" t="str">
        <f ca="1">IF(FWD[[#This Row],[RAD/PACT]]="","",IF(OR(FWD[[#This Row],[RAD/PACT]]="2021-2025",FWD[[#This Row],[RAD/PACT]]="2019-2020"),"Yes",""))</f>
        <v/>
      </c>
      <c r="K41" s="1"/>
      <c r="L41" s="1"/>
      <c r="M41" s="1"/>
      <c r="N41" s="1"/>
      <c r="O41" s="3">
        <f ca="1">IF(FWD[[#This Row],[RAD/PACT]]="2019-2020",0,INDEX(UnitCosts[],MATCH(FWD[[#This Row],[WORK TYPE]],UnitCosts[Work Type],0),2)*FWD[[#This Row],[Dwelling Units]])</f>
        <v>874836.59722369723</v>
      </c>
      <c r="P41" s="3"/>
      <c r="Q41" s="3"/>
      <c r="R41" s="69">
        <f t="shared" ca="1" si="0"/>
        <v>1560612.2402340216</v>
      </c>
      <c r="S41" s="71">
        <f ca="1">SUM(INDEX(FWD[Dwelling Units],1):FWD[[#This Row],[Dwelling Units]])</f>
        <v>15740</v>
      </c>
      <c r="T41" s="71">
        <f ca="1">IF(ISBLANK(FWD[[#This Row],[CALENDAR YEAR]]),ROUNDDOWN(FWD[[#This Row],[Running count]]/3000,0)+$T$1,FWD[[#This Row],[CALENDAR YEAR]])</f>
        <v>2025</v>
      </c>
    </row>
    <row r="42" spans="1:20">
      <c r="A42" s="65" t="s">
        <v>72</v>
      </c>
      <c r="B42" s="1" t="str">
        <f>VLOOKUP(A42,Data[],2,FALSE)</f>
        <v>BROOKLYN</v>
      </c>
      <c r="C42" s="1" t="str">
        <f>VLOOKUP(FWD[[#This Row],[DEVELOPMENT]],Data[],25,FALSE)</f>
        <v>Newtown Creek</v>
      </c>
      <c r="D42" s="9" t="s">
        <v>49</v>
      </c>
      <c r="E42" s="50">
        <f>VLOOKUP(FWD[[#This Row],[DEVELOPMENT]],Data[],7,FALSE)</f>
        <v>425</v>
      </c>
      <c r="F42" s="50" t="e">
        <f>VLOOKUP(FWD[[#This Row],[DEVELOPMENT]],all[[DEVELOPMENT]:[MRST Ext. Comp. Priority]],5,FALSE)</f>
        <v>#N/A</v>
      </c>
      <c r="G42" s="50" t="str">
        <f>VLOOKUP(FWD[[#This Row],[DEVELOPMENT]],Data[],8,FALSE)</f>
        <v>Zone 3</v>
      </c>
      <c r="H42" s="9">
        <f>VLOOKUP(FWD[[#This Row],[DEVELOPMENT]],Data[],9,FALSE)</f>
        <v>2</v>
      </c>
      <c r="I42" s="1" t="str">
        <f ca="1">IFERROR(VLOOKUP(FWD[[#This Row],[DEVELOPMENT]],Data[],4,FALSE),"")</f>
        <v>2026+</v>
      </c>
      <c r="J42" s="51" t="str">
        <f ca="1">IF(FWD[[#This Row],[RAD/PACT]]="","",IF(OR(FWD[[#This Row],[RAD/PACT]]="2021-2025",FWD[[#This Row],[RAD/PACT]]="2019-2020"),"Yes",""))</f>
        <v/>
      </c>
      <c r="K42" s="1"/>
      <c r="L42" s="1"/>
      <c r="M42" s="1"/>
      <c r="N42" s="1"/>
      <c r="O42" s="3">
        <f ca="1">IF(FWD[[#This Row],[RAD/PACT]]="2019-2020",0,INDEX(UnitCosts[],MATCH(FWD[[#This Row],[WORK TYPE]],UnitCosts[Work Type],0),2)*FWD[[#This Row],[Dwelling Units]])</f>
        <v>730462.77764257626</v>
      </c>
      <c r="P42" s="3"/>
      <c r="Q42" s="3"/>
      <c r="R42" s="69">
        <f t="shared" ca="1" si="0"/>
        <v>2291075.0178765981</v>
      </c>
      <c r="S42" s="71">
        <f ca="1">SUM(INDEX(FWD[Dwelling Units],1):FWD[[#This Row],[Dwelling Units]])</f>
        <v>16165</v>
      </c>
      <c r="T42" s="71">
        <f ca="1">IF(ISBLANK(FWD[[#This Row],[CALENDAR YEAR]]),ROUNDDOWN(FWD[[#This Row],[Running count]]/3000,0)+$T$1,FWD[[#This Row],[CALENDAR YEAR]])</f>
        <v>2025</v>
      </c>
    </row>
    <row r="43" spans="1:20">
      <c r="A43" s="65" t="s">
        <v>234</v>
      </c>
      <c r="B43" s="1" t="str">
        <f>VLOOKUP(A43,Data[],2,FALSE)</f>
        <v>BRONX</v>
      </c>
      <c r="C43" s="1">
        <f>VLOOKUP(FWD[[#This Row],[DEVELOPMENT]],Data[],25,FALSE)</f>
        <v>0</v>
      </c>
      <c r="D43" s="9" t="s">
        <v>49</v>
      </c>
      <c r="E43" s="50">
        <f>VLOOKUP(FWD[[#This Row],[DEVELOPMENT]],Data[],7,FALSE)</f>
        <v>232</v>
      </c>
      <c r="F43" s="50" t="e">
        <f>VLOOKUP(FWD[[#This Row],[DEVELOPMENT]],all[[DEVELOPMENT]:[MRST Ext. Comp. Priority]],5,FALSE)</f>
        <v>#N/A</v>
      </c>
      <c r="G43" s="50">
        <f>VLOOKUP(FWD[[#This Row],[DEVELOPMENT]],Data[],8,FALSE)</f>
        <v>0</v>
      </c>
      <c r="H43" s="9">
        <f>VLOOKUP(FWD[[#This Row],[DEVELOPMENT]],Data[],9,FALSE)</f>
        <v>0</v>
      </c>
      <c r="I43" s="1" t="str">
        <f ca="1">IFERROR(VLOOKUP(FWD[[#This Row],[DEVELOPMENT]],Data[],4,FALSE),"")</f>
        <v>2022-2025</v>
      </c>
      <c r="J43" s="51" t="str">
        <f ca="1">IF(FWD[[#This Row],[RAD/PACT]]="","",IF(OR(FWD[[#This Row],[RAD/PACT]]="2021-2025",FWD[[#This Row],[RAD/PACT]]="2019-2020"),"Yes",""))</f>
        <v/>
      </c>
      <c r="K43" s="1"/>
      <c r="L43" s="1"/>
      <c r="M43" s="1"/>
      <c r="N43" s="1"/>
      <c r="O43" s="3">
        <f ca="1">IF(FWD[[#This Row],[RAD/PACT]]="2019-2020",0,INDEX(UnitCosts[],MATCH(FWD[[#This Row],[WORK TYPE]],UnitCosts[Work Type],0),2)*FWD[[#This Row],[Dwelling Units]])</f>
        <v>398746.7397954769</v>
      </c>
      <c r="P43" s="3"/>
      <c r="Q43" s="3"/>
      <c r="R43" s="69">
        <f t="shared" ca="1" si="0"/>
        <v>2689821.7576720752</v>
      </c>
      <c r="S43" s="71">
        <f ca="1">SUM(INDEX(FWD[Dwelling Units],1):FWD[[#This Row],[Dwelling Units]])</f>
        <v>16397</v>
      </c>
      <c r="T43" s="71">
        <f ca="1">IF(ISBLANK(FWD[[#This Row],[CALENDAR YEAR]]),ROUNDDOWN(FWD[[#This Row],[Running count]]/3000,0)+$T$1,FWD[[#This Row],[CALENDAR YEAR]])</f>
        <v>2025</v>
      </c>
    </row>
    <row r="44" spans="1:20">
      <c r="A44" s="65" t="s">
        <v>304</v>
      </c>
      <c r="B44" s="1" t="str">
        <f>VLOOKUP(A44,Data[],2,FALSE)</f>
        <v>BRONX</v>
      </c>
      <c r="C44" s="1">
        <f>VLOOKUP(FWD[[#This Row],[DEVELOPMENT]],Data[],25,FALSE)</f>
        <v>0</v>
      </c>
      <c r="D44" s="9" t="s">
        <v>49</v>
      </c>
      <c r="E44" s="50">
        <f>VLOOKUP(FWD[[#This Row],[DEVELOPMENT]],Data[],7,FALSE)</f>
        <v>538</v>
      </c>
      <c r="F44" s="50" t="e">
        <f>VLOOKUP(FWD[[#This Row],[DEVELOPMENT]],all[[DEVELOPMENT]:[MRST Ext. Comp. Priority]],5,FALSE)</f>
        <v>#N/A</v>
      </c>
      <c r="G44" s="50">
        <f>VLOOKUP(FWD[[#This Row],[DEVELOPMENT]],Data[],8,FALSE)</f>
        <v>0</v>
      </c>
      <c r="H44" s="9">
        <f>VLOOKUP(FWD[[#This Row],[DEVELOPMENT]],Data[],9,FALSE)</f>
        <v>0</v>
      </c>
      <c r="I44" s="1" t="str">
        <f ca="1">IFERROR(VLOOKUP(FWD[[#This Row],[DEVELOPMENT]],Data[],4,FALSE),"")</f>
        <v/>
      </c>
      <c r="J44" s="51" t="str">
        <f ca="1">IF(FWD[[#This Row],[RAD/PACT]]="","",IF(OR(FWD[[#This Row],[RAD/PACT]]="2021-2025",FWD[[#This Row],[RAD/PACT]]="2019-2020"),"Yes",""))</f>
        <v/>
      </c>
      <c r="K44" s="1"/>
      <c r="L44" s="1"/>
      <c r="M44" s="1"/>
      <c r="N44" s="1"/>
      <c r="O44" s="3">
        <f ca="1">IF(FWD[[#This Row],[RAD/PACT]]="2019-2020",0,INDEX(UnitCosts[],MATCH(FWD[[#This Row],[WORK TYPE]],UnitCosts[Work Type],0),2)*FWD[[#This Row],[Dwelling Units]])</f>
        <v>924679.93969813175</v>
      </c>
      <c r="P44" s="3"/>
      <c r="Q44" s="3"/>
      <c r="R44" s="69">
        <f t="shared" ca="1" si="0"/>
        <v>3614501.6973702069</v>
      </c>
      <c r="S44" s="71">
        <f ca="1">SUM(INDEX(FWD[Dwelling Units],1):FWD[[#This Row],[Dwelling Units]])</f>
        <v>16935</v>
      </c>
      <c r="T44" s="71">
        <f ca="1">IF(ISBLANK(FWD[[#This Row],[CALENDAR YEAR]]),ROUNDDOWN(FWD[[#This Row],[Running count]]/3000,0)+$T$1,FWD[[#This Row],[CALENDAR YEAR]])</f>
        <v>2025</v>
      </c>
    </row>
    <row r="45" spans="1:20">
      <c r="A45" s="65" t="s">
        <v>226</v>
      </c>
      <c r="B45" s="1" t="str">
        <f>VLOOKUP(A45,Data[],2,FALSE)</f>
        <v>BROOKLYN</v>
      </c>
      <c r="C45" s="1">
        <f>VLOOKUP(FWD[[#This Row],[DEVELOPMENT]],Data[],25,FALSE)</f>
        <v>0</v>
      </c>
      <c r="D45" s="9" t="s">
        <v>49</v>
      </c>
      <c r="E45" s="50">
        <f>VLOOKUP(FWD[[#This Row],[DEVELOPMENT]],Data[],7,FALSE)</f>
        <v>1424</v>
      </c>
      <c r="F45" s="50" t="e">
        <f>VLOOKUP(FWD[[#This Row],[DEVELOPMENT]],all[[DEVELOPMENT]:[MRST Ext. Comp. Priority]],5,FALSE)</f>
        <v>#N/A</v>
      </c>
      <c r="G45" s="50">
        <f>VLOOKUP(FWD[[#This Row],[DEVELOPMENT]],Data[],8,FALSE)</f>
        <v>0</v>
      </c>
      <c r="H45" s="9">
        <f>VLOOKUP(FWD[[#This Row],[DEVELOPMENT]],Data[],9,FALSE)</f>
        <v>0</v>
      </c>
      <c r="I45" s="1" t="str">
        <f ca="1">IFERROR(VLOOKUP(FWD[[#This Row],[DEVELOPMENT]],Data[],4,FALSE),"")</f>
        <v>2020-2021</v>
      </c>
      <c r="J45" s="51" t="str">
        <f ca="1">IF(FWD[[#This Row],[RAD/PACT]]="","",IF(OR(FWD[[#This Row],[RAD/PACT]]="2021-2025",FWD[[#This Row],[RAD/PACT]]="2019-2020"),"Yes",""))</f>
        <v/>
      </c>
      <c r="K45" s="1"/>
      <c r="L45" s="1"/>
      <c r="M45" s="1"/>
      <c r="N45" s="1"/>
      <c r="O45" s="3">
        <f ca="1">IF(FWD[[#This Row],[RAD/PACT]]="2019-2020",0,INDEX(UnitCosts[],MATCH(FWD[[#This Row],[WORK TYPE]],UnitCosts[Work Type],0),2)*FWD[[#This Row],[Dwelling Units]])</f>
        <v>2447479.9890894787</v>
      </c>
      <c r="P45" s="3"/>
      <c r="Q45" s="3"/>
      <c r="R45" s="69">
        <f t="shared" ca="1" si="0"/>
        <v>2447479.9890894787</v>
      </c>
      <c r="S45" s="71">
        <f ca="1">SUM(INDEX(FWD[Dwelling Units],1):FWD[[#This Row],[Dwelling Units]])</f>
        <v>18359</v>
      </c>
      <c r="T45" s="71">
        <f ca="1">IF(ISBLANK(FWD[[#This Row],[CALENDAR YEAR]]),ROUNDDOWN(FWD[[#This Row],[Running count]]/3000,0)+$T$1,FWD[[#This Row],[CALENDAR YEAR]])</f>
        <v>2026</v>
      </c>
    </row>
    <row r="46" spans="1:20">
      <c r="A46" s="65" t="s">
        <v>187</v>
      </c>
      <c r="B46" s="1" t="str">
        <f>VLOOKUP(A46,Data[],2,FALSE)</f>
        <v>BRONX</v>
      </c>
      <c r="C46" s="1">
        <f>VLOOKUP(FWD[[#This Row],[DEVELOPMENT]],Data[],25,FALSE)</f>
        <v>0</v>
      </c>
      <c r="D46" s="9" t="s">
        <v>49</v>
      </c>
      <c r="E46" s="50">
        <f>VLOOKUP(FWD[[#This Row],[DEVELOPMENT]],Data[],7,FALSE)</f>
        <v>82</v>
      </c>
      <c r="F46" s="50" t="e">
        <f>VLOOKUP(FWD[[#This Row],[DEVELOPMENT]],all[[DEVELOPMENT]:[MRST Ext. Comp. Priority]],5,FALSE)</f>
        <v>#N/A</v>
      </c>
      <c r="G46" s="50" t="str">
        <f>VLOOKUP(FWD[[#This Row],[DEVELOPMENT]],Data[],8,FALSE)</f>
        <v>Zone 3</v>
      </c>
      <c r="H46" s="9">
        <f>VLOOKUP(FWD[[#This Row],[DEVELOPMENT]],Data[],9,FALSE)</f>
        <v>0</v>
      </c>
      <c r="I46" s="1" t="str">
        <f ca="1">IFERROR(VLOOKUP(FWD[[#This Row],[DEVELOPMENT]],Data[],4,FALSE),"")</f>
        <v/>
      </c>
      <c r="J46" s="51" t="str">
        <f ca="1">IF(FWD[[#This Row],[RAD/PACT]]="","",IF(OR(FWD[[#This Row],[RAD/PACT]]="2021-2025",FWD[[#This Row],[RAD/PACT]]="2019-2020"),"Yes",""))</f>
        <v/>
      </c>
      <c r="K46" s="1"/>
      <c r="L46" s="1"/>
      <c r="M46" s="1"/>
      <c r="N46" s="1"/>
      <c r="O46" s="3">
        <f ca="1">IF(FWD[[#This Row],[RAD/PACT]]="2019-2020",0,INDEX(UnitCosts[],MATCH(FWD[[#This Row],[WORK TYPE]],UnitCosts[Work Type],0),2)*FWD[[#This Row],[Dwelling Units]])</f>
        <v>140936.34768633236</v>
      </c>
      <c r="P46" s="3"/>
      <c r="Q46" s="3"/>
      <c r="R46" s="69">
        <f t="shared" ca="1" si="0"/>
        <v>2588416.3367758109</v>
      </c>
      <c r="S46" s="71">
        <f ca="1">SUM(INDEX(FWD[Dwelling Units],1):FWD[[#This Row],[Dwelling Units]])</f>
        <v>18441</v>
      </c>
      <c r="T46" s="71">
        <f ca="1">IF(ISBLANK(FWD[[#This Row],[CALENDAR YEAR]]),ROUNDDOWN(FWD[[#This Row],[Running count]]/3000,0)+$T$1,FWD[[#This Row],[CALENDAR YEAR]])</f>
        <v>2026</v>
      </c>
    </row>
    <row r="47" spans="1:20">
      <c r="A47" s="65" t="s">
        <v>59</v>
      </c>
      <c r="B47" s="1" t="str">
        <f>VLOOKUP(A47,Data[],2,FALSE)</f>
        <v>MANHATTAN</v>
      </c>
      <c r="C47" s="1" t="str">
        <f>VLOOKUP(FWD[[#This Row],[DEVELOPMENT]],Data[],25,FALSE)</f>
        <v>Newtown Creek</v>
      </c>
      <c r="D47" s="9" t="s">
        <v>49</v>
      </c>
      <c r="E47" s="50">
        <f>VLOOKUP(FWD[[#This Row],[DEVELOPMENT]],Data[],7,FALSE)</f>
        <v>108</v>
      </c>
      <c r="F47" s="50" t="e">
        <f>VLOOKUP(FWD[[#This Row],[DEVELOPMENT]],all[[DEVELOPMENT]:[MRST Ext. Comp. Priority]],5,FALSE)</f>
        <v>#N/A</v>
      </c>
      <c r="G47" s="50" t="str">
        <f>VLOOKUP(FWD[[#This Row],[DEVELOPMENT]],Data[],8,FALSE)</f>
        <v>Zone 1</v>
      </c>
      <c r="H47" s="9">
        <f>VLOOKUP(FWD[[#This Row],[DEVELOPMENT]],Data[],9,FALSE)</f>
        <v>4</v>
      </c>
      <c r="I47" s="1" t="str">
        <f ca="1">IFERROR(VLOOKUP(FWD[[#This Row],[DEVELOPMENT]],Data[],4,FALSE),"")</f>
        <v>2026+</v>
      </c>
      <c r="J47" s="51" t="str">
        <f ca="1">IF(FWD[[#This Row],[RAD/PACT]]="","",IF(OR(FWD[[#This Row],[RAD/PACT]]="2021-2025",FWD[[#This Row],[RAD/PACT]]="2019-2020"),"Yes",""))</f>
        <v/>
      </c>
      <c r="K47" s="1"/>
      <c r="L47" s="1"/>
      <c r="M47" s="1"/>
      <c r="N47" s="1"/>
      <c r="O47" s="3">
        <f ca="1">IF(FWD[[#This Row],[RAD/PACT]]="2019-2020",0,INDEX(UnitCosts[],MATCH(FWD[[#This Row],[WORK TYPE]],UnitCosts[Work Type],0),2)*FWD[[#This Row],[Dwelling Units]])</f>
        <v>185623.48231858408</v>
      </c>
      <c r="P47" s="3"/>
      <c r="Q47" s="3"/>
      <c r="R47" s="69">
        <f t="shared" ca="1" si="0"/>
        <v>2774039.8190943948</v>
      </c>
      <c r="S47" s="71">
        <f ca="1">SUM(INDEX(FWD[Dwelling Units],1):FWD[[#This Row],[Dwelling Units]])</f>
        <v>18549</v>
      </c>
      <c r="T47" s="71">
        <f ca="1">IF(ISBLANK(FWD[[#This Row],[CALENDAR YEAR]]),ROUNDDOWN(FWD[[#This Row],[Running count]]/3000,0)+$T$1,FWD[[#This Row],[CALENDAR YEAR]])</f>
        <v>2026</v>
      </c>
    </row>
    <row r="48" spans="1:20">
      <c r="A48" s="65" t="s">
        <v>188</v>
      </c>
      <c r="B48" s="1" t="str">
        <f>VLOOKUP(A48,Data[],2,FALSE)</f>
        <v>BROOKLYN</v>
      </c>
      <c r="C48" s="1">
        <f>VLOOKUP(FWD[[#This Row],[DEVELOPMENT]],Data[],25,FALSE)</f>
        <v>0</v>
      </c>
      <c r="D48" s="9" t="s">
        <v>49</v>
      </c>
      <c r="E48" s="50">
        <f>VLOOKUP(FWD[[#This Row],[DEVELOPMENT]],Data[],7,FALSE)</f>
        <v>1592</v>
      </c>
      <c r="F48" s="50" t="e">
        <f>VLOOKUP(FWD[[#This Row],[DEVELOPMENT]],all[[DEVELOPMENT]:[MRST Ext. Comp. Priority]],5,FALSE)</f>
        <v>#N/A</v>
      </c>
      <c r="G48" s="50">
        <f>VLOOKUP(FWD[[#This Row],[DEVELOPMENT]],Data[],8,FALSE)</f>
        <v>0</v>
      </c>
      <c r="H48" s="9">
        <f>VLOOKUP(FWD[[#This Row],[DEVELOPMENT]],Data[],9,FALSE)</f>
        <v>0</v>
      </c>
      <c r="I48" s="1" t="str">
        <f ca="1">IFERROR(VLOOKUP(FWD[[#This Row],[DEVELOPMENT]],Data[],4,FALSE),"")</f>
        <v>2020-2021</v>
      </c>
      <c r="J48" s="51" t="str">
        <f ca="1">IF(FWD[[#This Row],[RAD/PACT]]="","",IF(OR(FWD[[#This Row],[RAD/PACT]]="2021-2025",FWD[[#This Row],[RAD/PACT]]="2019-2020"),"Yes",""))</f>
        <v/>
      </c>
      <c r="K48" s="1"/>
      <c r="L48" s="1"/>
      <c r="M48" s="1"/>
      <c r="N48" s="1"/>
      <c r="O48" s="3">
        <f ca="1">IF(FWD[[#This Row],[RAD/PACT]]="2019-2020",0,INDEX(UnitCosts[],MATCH(FWD[[#This Row],[WORK TYPE]],UnitCosts[Work Type],0),2)*FWD[[#This Row],[Dwelling Units]])</f>
        <v>2736227.6282517207</v>
      </c>
      <c r="P48" s="3"/>
      <c r="Q48" s="3"/>
      <c r="R48" s="69">
        <f t="shared" ca="1" si="0"/>
        <v>5510267.4473461155</v>
      </c>
      <c r="S48" s="71">
        <f ca="1">SUM(INDEX(FWD[Dwelling Units],1):FWD[[#This Row],[Dwelling Units]])</f>
        <v>20141</v>
      </c>
      <c r="T48" s="71">
        <f ca="1">IF(ISBLANK(FWD[[#This Row],[CALENDAR YEAR]]),ROUNDDOWN(FWD[[#This Row],[Running count]]/3000,0)+$T$1,FWD[[#This Row],[CALENDAR YEAR]])</f>
        <v>2026</v>
      </c>
    </row>
    <row r="49" spans="1:20">
      <c r="A49" s="65" t="s">
        <v>199</v>
      </c>
      <c r="B49" s="1" t="str">
        <f>VLOOKUP(A49,Data[],2,FALSE)</f>
        <v>BROOKLYN</v>
      </c>
      <c r="C49" s="1" t="str">
        <f>VLOOKUP(FWD[[#This Row],[DEVELOPMENT]],Data[],25,FALSE)</f>
        <v>Newtown Creek</v>
      </c>
      <c r="D49" s="9" t="s">
        <v>49</v>
      </c>
      <c r="E49" s="50">
        <f>VLOOKUP(FWD[[#This Row],[DEVELOPMENT]],Data[],7,FALSE)</f>
        <v>894</v>
      </c>
      <c r="F49" s="50" t="e">
        <f>VLOOKUP(FWD[[#This Row],[DEVELOPMENT]],all[[DEVELOPMENT]:[MRST Ext. Comp. Priority]],5,FALSE)</f>
        <v>#N/A</v>
      </c>
      <c r="G49" s="50">
        <f>VLOOKUP(FWD[[#This Row],[DEVELOPMENT]],Data[],8,FALSE)</f>
        <v>0</v>
      </c>
      <c r="H49" s="9">
        <f>VLOOKUP(FWD[[#This Row],[DEVELOPMENT]],Data[],9,FALSE)</f>
        <v>0</v>
      </c>
      <c r="I49" s="1" t="str">
        <f ca="1">IFERROR(VLOOKUP(FWD[[#This Row],[DEVELOPMENT]],Data[],4,FALSE),"")</f>
        <v>2026+</v>
      </c>
      <c r="J49" s="51" t="str">
        <f ca="1">IF(FWD[[#This Row],[RAD/PACT]]="","",IF(OR(FWD[[#This Row],[RAD/PACT]]="2021-2025",FWD[[#This Row],[RAD/PACT]]="2019-2020"),"Yes",""))</f>
        <v/>
      </c>
      <c r="K49" s="1"/>
      <c r="L49" s="1"/>
      <c r="M49" s="1"/>
      <c r="N49" s="1"/>
      <c r="O49" s="3">
        <f ca="1">IF(FWD[[#This Row],[RAD/PACT]]="2019-2020",0,INDEX(UnitCosts[],MATCH(FWD[[#This Row],[WORK TYPE]],UnitCosts[Work Type],0),2)*FWD[[#This Row],[Dwelling Units]])</f>
        <v>1536549.9369705014</v>
      </c>
      <c r="P49" s="3"/>
      <c r="Q49" s="3"/>
      <c r="R49" s="69">
        <f t="shared" ca="1" si="0"/>
        <v>1536549.9369705014</v>
      </c>
      <c r="S49" s="71">
        <f ca="1">SUM(INDEX(FWD[Dwelling Units],1):FWD[[#This Row],[Dwelling Units]])</f>
        <v>21035</v>
      </c>
      <c r="T49" s="71">
        <f ca="1">IF(ISBLANK(FWD[[#This Row],[CALENDAR YEAR]]),ROUNDDOWN(FWD[[#This Row],[Running count]]/3000,0)+$T$1,FWD[[#This Row],[CALENDAR YEAR]])</f>
        <v>2027</v>
      </c>
    </row>
    <row r="50" spans="1:20">
      <c r="A50" s="65" t="s">
        <v>73</v>
      </c>
      <c r="B50" s="1" t="str">
        <f>VLOOKUP(A50,Data[],2,FALSE)</f>
        <v>BRONX</v>
      </c>
      <c r="C50" s="1">
        <f>VLOOKUP(FWD[[#This Row],[DEVELOPMENT]],Data[],25,FALSE)</f>
        <v>0</v>
      </c>
      <c r="D50" s="9" t="s">
        <v>49</v>
      </c>
      <c r="E50" s="50">
        <f>VLOOKUP(FWD[[#This Row],[DEVELOPMENT]],Data[],7,FALSE)</f>
        <v>1245</v>
      </c>
      <c r="F50" s="50" t="e">
        <f>VLOOKUP(FWD[[#This Row],[DEVELOPMENT]],all[[DEVELOPMENT]:[MRST Ext. Comp. Priority]],5,FALSE)</f>
        <v>#N/A</v>
      </c>
      <c r="G50" s="50" t="str">
        <f>VLOOKUP(FWD[[#This Row],[DEVELOPMENT]],Data[],8,FALSE)</f>
        <v>Zone 3</v>
      </c>
      <c r="H50" s="9">
        <f>VLOOKUP(FWD[[#This Row],[DEVELOPMENT]],Data[],9,FALSE)</f>
        <v>4</v>
      </c>
      <c r="I50" s="1" t="str">
        <f ca="1">IFERROR(VLOOKUP(FWD[[#This Row],[DEVELOPMENT]],Data[],4,FALSE),"")</f>
        <v/>
      </c>
      <c r="J50" s="51" t="str">
        <f ca="1">IF(FWD[[#This Row],[RAD/PACT]]="","",IF(OR(FWD[[#This Row],[RAD/PACT]]="2021-2025",FWD[[#This Row],[RAD/PACT]]="2019-2020"),"Yes",""))</f>
        <v/>
      </c>
      <c r="K50" s="1"/>
      <c r="L50" s="1"/>
      <c r="M50" s="1"/>
      <c r="N50" s="1"/>
      <c r="O50" s="3">
        <f ca="1">IF(FWD[[#This Row],[RAD/PACT]]="2019-2020",0,INDEX(UnitCosts[],MATCH(FWD[[#This Row],[WORK TYPE]],UnitCosts[Work Type],0),2)*FWD[[#This Row],[Dwelling Units]])</f>
        <v>2139826.2545058997</v>
      </c>
      <c r="P50" s="3"/>
      <c r="Q50" s="3"/>
      <c r="R50" s="69">
        <f t="shared" ca="1" si="0"/>
        <v>3676376.1914764009</v>
      </c>
      <c r="S50" s="71">
        <f ca="1">SUM(INDEX(FWD[Dwelling Units],1):FWD[[#This Row],[Dwelling Units]])</f>
        <v>22280</v>
      </c>
      <c r="T50" s="71">
        <f ca="1">IF(ISBLANK(FWD[[#This Row],[CALENDAR YEAR]]),ROUNDDOWN(FWD[[#This Row],[Running count]]/3000,0)+$T$1,FWD[[#This Row],[CALENDAR YEAR]])</f>
        <v>2027</v>
      </c>
    </row>
    <row r="51" spans="1:20">
      <c r="A51" s="65" t="s">
        <v>189</v>
      </c>
      <c r="B51" s="1" t="str">
        <f>VLOOKUP(A51,Data[],2,FALSE)</f>
        <v>BRONX</v>
      </c>
      <c r="C51" s="1">
        <f>VLOOKUP(FWD[[#This Row],[DEVELOPMENT]],Data[],25,FALSE)</f>
        <v>0</v>
      </c>
      <c r="D51" s="9" t="s">
        <v>49</v>
      </c>
      <c r="E51" s="50">
        <f>VLOOKUP(FWD[[#This Row],[DEVELOPMENT]],Data[],7,FALSE)</f>
        <v>226</v>
      </c>
      <c r="F51" s="50" t="e">
        <f>VLOOKUP(FWD[[#This Row],[DEVELOPMENT]],all[[DEVELOPMENT]:[MRST Ext. Comp. Priority]],5,FALSE)</f>
        <v>#N/A</v>
      </c>
      <c r="G51" s="50" t="str">
        <f>VLOOKUP(FWD[[#This Row],[DEVELOPMENT]],Data[],8,FALSE)</f>
        <v>Zone 3</v>
      </c>
      <c r="H51" s="9">
        <f>VLOOKUP(FWD[[#This Row],[DEVELOPMENT]],Data[],9,FALSE)</f>
        <v>0</v>
      </c>
      <c r="I51" s="1" t="str">
        <f ca="1">IFERROR(VLOOKUP(FWD[[#This Row],[DEVELOPMENT]],Data[],4,FALSE),"")</f>
        <v/>
      </c>
      <c r="J51" s="51" t="str">
        <f ca="1">IF(FWD[[#This Row],[RAD/PACT]]="","",IF(OR(FWD[[#This Row],[RAD/PACT]]="2021-2025",FWD[[#This Row],[RAD/PACT]]="2019-2020"),"Yes",""))</f>
        <v/>
      </c>
      <c r="K51" s="1"/>
      <c r="L51" s="1"/>
      <c r="M51" s="1"/>
      <c r="N51" s="1"/>
      <c r="O51" s="3">
        <f ca="1">IF(FWD[[#This Row],[RAD/PACT]]="2019-2020",0,INDEX(UnitCosts[],MATCH(FWD[[#This Row],[WORK TYPE]],UnitCosts[Work Type],0),2)*FWD[[#This Row],[Dwelling Units]])</f>
        <v>388434.32411111111</v>
      </c>
      <c r="P51" s="3"/>
      <c r="Q51" s="3"/>
      <c r="R51" s="69">
        <f t="shared" ca="1" si="0"/>
        <v>4064810.5155875119</v>
      </c>
      <c r="S51" s="71">
        <f ca="1">SUM(INDEX(FWD[Dwelling Units],1):FWD[[#This Row],[Dwelling Units]])</f>
        <v>22506</v>
      </c>
      <c r="T51" s="71">
        <f ca="1">IF(ISBLANK(FWD[[#This Row],[CALENDAR YEAR]]),ROUNDDOWN(FWD[[#This Row],[Running count]]/3000,0)+$T$1,FWD[[#This Row],[CALENDAR YEAR]])</f>
        <v>2027</v>
      </c>
    </row>
    <row r="52" spans="1:20">
      <c r="A52" s="65" t="s">
        <v>305</v>
      </c>
      <c r="B52" s="1" t="str">
        <f>VLOOKUP(A52,Data[],2,FALSE)</f>
        <v>BROOKLYN</v>
      </c>
      <c r="C52" s="1">
        <f>VLOOKUP(FWD[[#This Row],[DEVELOPMENT]],Data[],25,FALSE)</f>
        <v>0</v>
      </c>
      <c r="D52" s="9" t="s">
        <v>49</v>
      </c>
      <c r="E52" s="50">
        <f>VLOOKUP(FWD[[#This Row],[DEVELOPMENT]],Data[],7,FALSE)</f>
        <v>200</v>
      </c>
      <c r="F52" s="50" t="e">
        <f>VLOOKUP(FWD[[#This Row],[DEVELOPMENT]],all[[DEVELOPMENT]:[MRST Ext. Comp. Priority]],5,FALSE)</f>
        <v>#N/A</v>
      </c>
      <c r="G52" s="50">
        <f>VLOOKUP(FWD[[#This Row],[DEVELOPMENT]],Data[],8,FALSE)</f>
        <v>0</v>
      </c>
      <c r="H52" s="9">
        <f>VLOOKUP(FWD[[#This Row],[DEVELOPMENT]],Data[],9,FALSE)</f>
        <v>0</v>
      </c>
      <c r="I52" s="1" t="str">
        <f ca="1">IFERROR(VLOOKUP(FWD[[#This Row],[DEVELOPMENT]],Data[],4,FALSE),"")</f>
        <v/>
      </c>
      <c r="J52" s="51" t="str">
        <f ca="1">IF(FWD[[#This Row],[RAD/PACT]]="","",IF(OR(FWD[[#This Row],[RAD/PACT]]="2021-2025",FWD[[#This Row],[RAD/PACT]]="2019-2020"),"Yes",""))</f>
        <v/>
      </c>
      <c r="K52" s="1"/>
      <c r="L52" s="1"/>
      <c r="M52" s="1"/>
      <c r="N52" s="1"/>
      <c r="O52" s="3">
        <f ca="1">IF(FWD[[#This Row],[RAD/PACT]]="2019-2020",0,INDEX(UnitCosts[],MATCH(FWD[[#This Row],[WORK TYPE]],UnitCosts[Work Type],0),2)*FWD[[#This Row],[Dwelling Units]])</f>
        <v>343747.18947885942</v>
      </c>
      <c r="P52" s="3"/>
      <c r="Q52" s="3"/>
      <c r="R52" s="69">
        <f t="shared" ca="1" si="0"/>
        <v>4408557.7050663717</v>
      </c>
      <c r="S52" s="71">
        <f ca="1">SUM(INDEX(FWD[Dwelling Units],1):FWD[[#This Row],[Dwelling Units]])</f>
        <v>22706</v>
      </c>
      <c r="T52" s="71">
        <f ca="1">IF(ISBLANK(FWD[[#This Row],[CALENDAR YEAR]]),ROUNDDOWN(FWD[[#This Row],[Running count]]/3000,0)+$T$1,FWD[[#This Row],[CALENDAR YEAR]])</f>
        <v>2027</v>
      </c>
    </row>
    <row r="53" spans="1:20">
      <c r="A53" s="65" t="s">
        <v>392</v>
      </c>
      <c r="B53" s="1" t="str">
        <f>VLOOKUP(A53,Data[],2,FALSE)</f>
        <v>BROOKLYN</v>
      </c>
      <c r="C53" s="1">
        <f>VLOOKUP(FWD[[#This Row],[DEVELOPMENT]],Data[],25,FALSE)</f>
        <v>0</v>
      </c>
      <c r="D53" s="9" t="s">
        <v>49</v>
      </c>
      <c r="E53" s="50">
        <f>VLOOKUP(FWD[[#This Row],[DEVELOPMENT]],Data[],7,FALSE)</f>
        <v>1336</v>
      </c>
      <c r="F53" s="50" t="e">
        <f>VLOOKUP(FWD[[#This Row],[DEVELOPMENT]],all[[DEVELOPMENT]:[MRST Ext. Comp. Priority]],5,FALSE)</f>
        <v>#N/A</v>
      </c>
      <c r="G53" s="50">
        <f>VLOOKUP(FWD[[#This Row],[DEVELOPMENT]],Data[],8,FALSE)</f>
        <v>0</v>
      </c>
      <c r="H53" s="9">
        <f>VLOOKUP(FWD[[#This Row],[DEVELOPMENT]],Data[],9,FALSE)</f>
        <v>0</v>
      </c>
      <c r="I53" s="1" t="str">
        <f ca="1">IFERROR(VLOOKUP(FWD[[#This Row],[DEVELOPMENT]],Data[],4,FALSE),"")</f>
        <v>2026+</v>
      </c>
      <c r="J53" s="51" t="str">
        <f ca="1">IF(FWD[[#This Row],[RAD/PACT]]="","",IF(OR(FWD[[#This Row],[RAD/PACT]]="2021-2025",FWD[[#This Row],[RAD/PACT]]="2019-2020"),"Yes",""))</f>
        <v/>
      </c>
      <c r="K53" s="1"/>
      <c r="L53" s="1"/>
      <c r="M53" s="1"/>
      <c r="N53" s="1"/>
      <c r="O53" s="3">
        <f ca="1">IF(FWD[[#This Row],[RAD/PACT]]="2019-2020",0,INDEX(UnitCosts[],MATCH(FWD[[#This Row],[WORK TYPE]],UnitCosts[Work Type],0),2)*FWD[[#This Row],[Dwelling Units]])</f>
        <v>2296231.2257187809</v>
      </c>
      <c r="P53" s="3"/>
      <c r="Q53" s="3"/>
      <c r="R53" s="69">
        <f t="shared" ca="1" si="0"/>
        <v>2296231.2257187809</v>
      </c>
      <c r="S53" s="71">
        <f ca="1">SUM(INDEX(FWD[Dwelling Units],1):FWD[[#This Row],[Dwelling Units]])</f>
        <v>24042</v>
      </c>
      <c r="T53" s="71">
        <f ca="1">IF(ISBLANK(FWD[[#This Row],[CALENDAR YEAR]]),ROUNDDOWN(FWD[[#This Row],[Running count]]/3000,0)+$T$1,FWD[[#This Row],[CALENDAR YEAR]])</f>
        <v>2028</v>
      </c>
    </row>
    <row r="54" spans="1:20">
      <c r="A54" s="65" t="s">
        <v>283</v>
      </c>
      <c r="B54" s="1" t="str">
        <f>VLOOKUP(A54,Data[],2,FALSE)</f>
        <v>BRONX</v>
      </c>
      <c r="C54" s="1">
        <f>VLOOKUP(FWD[[#This Row],[DEVELOPMENT]],Data[],25,FALSE)</f>
        <v>0</v>
      </c>
      <c r="D54" s="9" t="s">
        <v>49</v>
      </c>
      <c r="E54" s="50">
        <f>VLOOKUP(FWD[[#This Row],[DEVELOPMENT]],Data[],7,FALSE)</f>
        <v>72</v>
      </c>
      <c r="F54" s="50" t="e">
        <f>VLOOKUP(FWD[[#This Row],[DEVELOPMENT]],all[[DEVELOPMENT]:[MRST Ext. Comp. Priority]],5,FALSE)</f>
        <v>#N/A</v>
      </c>
      <c r="G54" s="50">
        <f>VLOOKUP(FWD[[#This Row],[DEVELOPMENT]],Data[],8,FALSE)</f>
        <v>0</v>
      </c>
      <c r="H54" s="9">
        <f>VLOOKUP(FWD[[#This Row],[DEVELOPMENT]],Data[],9,FALSE)</f>
        <v>0</v>
      </c>
      <c r="I54" s="1" t="str">
        <f ca="1">IFERROR(VLOOKUP(FWD[[#This Row],[DEVELOPMENT]],Data[],4,FALSE),"")</f>
        <v/>
      </c>
      <c r="J54" s="51" t="str">
        <f ca="1">IF(FWD[[#This Row],[RAD/PACT]]="","",IF(OR(FWD[[#This Row],[RAD/PACT]]="2021-2025",FWD[[#This Row],[RAD/PACT]]="2019-2020"),"Yes",""))</f>
        <v/>
      </c>
      <c r="K54" s="1"/>
      <c r="L54" s="1"/>
      <c r="M54" s="1"/>
      <c r="N54" s="1"/>
      <c r="O54" s="3">
        <f ca="1">IF(FWD[[#This Row],[RAD/PACT]]="2019-2020",0,INDEX(UnitCosts[],MATCH(FWD[[#This Row],[WORK TYPE]],UnitCosts[Work Type],0),2)*FWD[[#This Row],[Dwelling Units]])</f>
        <v>123748.98821238938</v>
      </c>
      <c r="P54" s="3"/>
      <c r="Q54" s="3"/>
      <c r="R54" s="69">
        <f t="shared" ca="1" si="0"/>
        <v>2419980.2139311703</v>
      </c>
      <c r="S54" s="71">
        <f ca="1">SUM(INDEX(FWD[Dwelling Units],1):FWD[[#This Row],[Dwelling Units]])</f>
        <v>24114</v>
      </c>
      <c r="T54" s="71">
        <f ca="1">IF(ISBLANK(FWD[[#This Row],[CALENDAR YEAR]]),ROUNDDOWN(FWD[[#This Row],[Running count]]/3000,0)+$T$1,FWD[[#This Row],[CALENDAR YEAR]])</f>
        <v>2028</v>
      </c>
    </row>
    <row r="55" spans="1:20">
      <c r="A55" s="65" t="s">
        <v>26</v>
      </c>
      <c r="B55" s="1" t="str">
        <f>VLOOKUP(A55,Data[],2,FALSE)</f>
        <v>BROOKLYN</v>
      </c>
      <c r="C55" s="1" t="str">
        <f>VLOOKUP(FWD[[#This Row],[DEVELOPMENT]],Data[],25,FALSE)</f>
        <v>Newtown Creek</v>
      </c>
      <c r="D55" s="9" t="s">
        <v>49</v>
      </c>
      <c r="E55" s="50">
        <f>VLOOKUP(FWD[[#This Row],[DEVELOPMENT]],Data[],7,FALSE)</f>
        <v>1219</v>
      </c>
      <c r="F55" s="50" t="e">
        <f>VLOOKUP(FWD[[#This Row],[DEVELOPMENT]],all[[DEVELOPMENT]:[MRST Ext. Comp. Priority]],5,FALSE)</f>
        <v>#N/A</v>
      </c>
      <c r="G55" s="50" t="str">
        <f>VLOOKUP(FWD[[#This Row],[DEVELOPMENT]],Data[],8,FALSE)</f>
        <v>Zone 1</v>
      </c>
      <c r="H55" s="9">
        <f>VLOOKUP(FWD[[#This Row],[DEVELOPMENT]],Data[],9,FALSE)</f>
        <v>3</v>
      </c>
      <c r="I55" s="1" t="str">
        <f ca="1">IFERROR(VLOOKUP(FWD[[#This Row],[DEVELOPMENT]],Data[],4,FALSE),"")</f>
        <v/>
      </c>
      <c r="J55" s="51" t="str">
        <f ca="1">IF(FWD[[#This Row],[RAD/PACT]]="","",IF(OR(FWD[[#This Row],[RAD/PACT]]="2021-2025",FWD[[#This Row],[RAD/PACT]]="2019-2020"),"Yes",""))</f>
        <v/>
      </c>
      <c r="K55" s="1"/>
      <c r="L55" s="1"/>
      <c r="M55" s="1"/>
      <c r="N55" s="1"/>
      <c r="O55" s="3">
        <f ca="1">IF(FWD[[#This Row],[RAD/PACT]]="2019-2020",0,INDEX(UnitCosts[],MATCH(FWD[[#This Row],[WORK TYPE]],UnitCosts[Work Type],0),2)*FWD[[#This Row],[Dwelling Units]])</f>
        <v>2095139.119873648</v>
      </c>
      <c r="P55" s="3"/>
      <c r="Q55" s="3"/>
      <c r="R55" s="69">
        <f t="shared" ca="1" si="0"/>
        <v>4515119.3338048179</v>
      </c>
      <c r="S55" s="71">
        <f ca="1">SUM(INDEX(FWD[Dwelling Units],1):FWD[[#This Row],[Dwelling Units]])</f>
        <v>25333</v>
      </c>
      <c r="T55" s="71">
        <f ca="1">IF(ISBLANK(FWD[[#This Row],[CALENDAR YEAR]]),ROUNDDOWN(FWD[[#This Row],[Running count]]/3000,0)+$T$1,FWD[[#This Row],[CALENDAR YEAR]])</f>
        <v>2028</v>
      </c>
    </row>
    <row r="56" spans="1:20">
      <c r="A56" s="65" t="s">
        <v>31</v>
      </c>
      <c r="B56" s="1" t="str">
        <f>VLOOKUP(A56,Data[],2,FALSE)</f>
        <v>BRONX</v>
      </c>
      <c r="C56" s="1">
        <f>VLOOKUP(FWD[[#This Row],[DEVELOPMENT]],Data[],25,FALSE)</f>
        <v>0</v>
      </c>
      <c r="D56" s="9" t="s">
        <v>49</v>
      </c>
      <c r="E56" s="50">
        <f>VLOOKUP(FWD[[#This Row],[DEVELOPMENT]],Data[],7,FALSE)</f>
        <v>1476</v>
      </c>
      <c r="F56" s="50" t="e">
        <f>VLOOKUP(FWD[[#This Row],[DEVELOPMENT]],all[[DEVELOPMENT]:[MRST Ext. Comp. Priority]],5,FALSE)</f>
        <v>#N/A</v>
      </c>
      <c r="G56" s="50" t="str">
        <f>VLOOKUP(FWD[[#This Row],[DEVELOPMENT]],Data[],8,FALSE)</f>
        <v>Zone 1</v>
      </c>
      <c r="H56" s="9">
        <f>VLOOKUP(FWD[[#This Row],[DEVELOPMENT]],Data[],9,FALSE)</f>
        <v>3</v>
      </c>
      <c r="I56" s="1" t="str">
        <f ca="1">IFERROR(VLOOKUP(FWD[[#This Row],[DEVELOPMENT]],Data[],4,FALSE),"")</f>
        <v/>
      </c>
      <c r="J56" s="51" t="str">
        <f ca="1">IF(FWD[[#This Row],[RAD/PACT]]="","",IF(OR(FWD[[#This Row],[RAD/PACT]]="2021-2025",FWD[[#This Row],[RAD/PACT]]="2019-2020"),"Yes",""))</f>
        <v/>
      </c>
      <c r="K56" s="1"/>
      <c r="L56" s="1"/>
      <c r="M56" s="1"/>
      <c r="N56" s="1"/>
      <c r="O56" s="3">
        <f ca="1">IF(FWD[[#This Row],[RAD/PACT]]="2019-2020",0,INDEX(UnitCosts[],MATCH(FWD[[#This Row],[WORK TYPE]],UnitCosts[Work Type],0),2)*FWD[[#This Row],[Dwelling Units]])</f>
        <v>2536854.2583539826</v>
      </c>
      <c r="P56" s="3"/>
      <c r="Q56" s="3"/>
      <c r="R56" s="69">
        <f t="shared" ca="1" si="0"/>
        <v>7051973.5921588</v>
      </c>
      <c r="S56" s="71">
        <f ca="1">SUM(INDEX(FWD[Dwelling Units],1):FWD[[#This Row],[Dwelling Units]])</f>
        <v>26809</v>
      </c>
      <c r="T56" s="71">
        <f ca="1">IF(ISBLANK(FWD[[#This Row],[CALENDAR YEAR]]),ROUNDDOWN(FWD[[#This Row],[Running count]]/3000,0)+$T$1,FWD[[#This Row],[CALENDAR YEAR]])</f>
        <v>2028</v>
      </c>
    </row>
    <row r="57" spans="1:20">
      <c r="A57" s="65" t="s">
        <v>60</v>
      </c>
      <c r="B57" s="1" t="str">
        <f>VLOOKUP(A57,Data[],2,FALSE)</f>
        <v>MANHATTAN</v>
      </c>
      <c r="C57" s="1" t="str">
        <f>VLOOKUP(FWD[[#This Row],[DEVELOPMENT]],Data[],25,FALSE)</f>
        <v>Newtown Creek</v>
      </c>
      <c r="D57" s="9" t="s">
        <v>49</v>
      </c>
      <c r="E57" s="50">
        <f>VLOOKUP(FWD[[#This Row],[DEVELOPMENT]],Data[],7,FALSE)</f>
        <v>224</v>
      </c>
      <c r="F57" s="50" t="e">
        <f>VLOOKUP(FWD[[#This Row],[DEVELOPMENT]],all[[DEVELOPMENT]:[MRST Ext. Comp. Priority]],5,FALSE)</f>
        <v>#N/A</v>
      </c>
      <c r="G57" s="50" t="str">
        <f>VLOOKUP(FWD[[#This Row],[DEVELOPMENT]],Data[],8,FALSE)</f>
        <v>Zone 1</v>
      </c>
      <c r="H57" s="9">
        <f>VLOOKUP(FWD[[#This Row],[DEVELOPMENT]],Data[],9,FALSE)</f>
        <v>3</v>
      </c>
      <c r="I57" s="1" t="str">
        <f ca="1">IFERROR(VLOOKUP(FWD[[#This Row],[DEVELOPMENT]],Data[],4,FALSE),"")</f>
        <v>2026+</v>
      </c>
      <c r="J57" s="51" t="str">
        <f ca="1">IF(FWD[[#This Row],[RAD/PACT]]="","",IF(OR(FWD[[#This Row],[RAD/PACT]]="2021-2025",FWD[[#This Row],[RAD/PACT]]="2019-2020"),"Yes",""))</f>
        <v/>
      </c>
      <c r="K57" s="1"/>
      <c r="L57" s="1"/>
      <c r="M57" s="1"/>
      <c r="N57" s="1"/>
      <c r="O57" s="3">
        <f ca="1">IF(FWD[[#This Row],[RAD/PACT]]="2019-2020",0,INDEX(UnitCosts[],MATCH(FWD[[#This Row],[WORK TYPE]],UnitCosts[Work Type],0),2)*FWD[[#This Row],[Dwelling Units]])</f>
        <v>384996.85221632256</v>
      </c>
      <c r="P57" s="3"/>
      <c r="Q57" s="3"/>
      <c r="R57" s="69">
        <f t="shared" ca="1" si="0"/>
        <v>384996.85221632256</v>
      </c>
      <c r="S57" s="71">
        <f ca="1">SUM(INDEX(FWD[Dwelling Units],1):FWD[[#This Row],[Dwelling Units]])</f>
        <v>27033</v>
      </c>
      <c r="T57" s="71">
        <f ca="1">IF(ISBLANK(FWD[[#This Row],[CALENDAR YEAR]]),ROUNDDOWN(FWD[[#This Row],[Running count]]/3000,0)+$T$1,FWD[[#This Row],[CALENDAR YEAR]])</f>
        <v>2029</v>
      </c>
    </row>
    <row r="58" spans="1:20">
      <c r="A58" s="65" t="s">
        <v>306</v>
      </c>
      <c r="B58" s="1" t="str">
        <f>VLOOKUP(A58,Data[],2,FALSE)</f>
        <v>BROOKLYN</v>
      </c>
      <c r="C58" s="1">
        <f>VLOOKUP(FWD[[#This Row],[DEVELOPMENT]],Data[],25,FALSE)</f>
        <v>0</v>
      </c>
      <c r="D58" s="9" t="s">
        <v>49</v>
      </c>
      <c r="E58" s="50">
        <f>VLOOKUP(FWD[[#This Row],[DEVELOPMENT]],Data[],7,FALSE)</f>
        <v>682</v>
      </c>
      <c r="F58" s="50" t="e">
        <f>VLOOKUP(FWD[[#This Row],[DEVELOPMENT]],all[[DEVELOPMENT]:[MRST Ext. Comp. Priority]],5,FALSE)</f>
        <v>#N/A</v>
      </c>
      <c r="G58" s="50">
        <f>VLOOKUP(FWD[[#This Row],[DEVELOPMENT]],Data[],8,FALSE)</f>
        <v>0</v>
      </c>
      <c r="H58" s="9">
        <f>VLOOKUP(FWD[[#This Row],[DEVELOPMENT]],Data[],9,FALSE)</f>
        <v>0</v>
      </c>
      <c r="I58" s="1" t="str">
        <f ca="1">IFERROR(VLOOKUP(FWD[[#This Row],[DEVELOPMENT]],Data[],4,FALSE),"")</f>
        <v/>
      </c>
      <c r="J58" s="51" t="str">
        <f ca="1">IF(FWD[[#This Row],[RAD/PACT]]="","",IF(OR(FWD[[#This Row],[RAD/PACT]]="2021-2025",FWD[[#This Row],[RAD/PACT]]="2019-2020"),"Yes",""))</f>
        <v/>
      </c>
      <c r="K58" s="1"/>
      <c r="L58" s="1"/>
      <c r="M58" s="1"/>
      <c r="N58" s="1"/>
      <c r="O58" s="3">
        <f ca="1">IF(FWD[[#This Row],[RAD/PACT]]="2019-2020",0,INDEX(UnitCosts[],MATCH(FWD[[#This Row],[WORK TYPE]],UnitCosts[Work Type],0),2)*FWD[[#This Row],[Dwelling Units]])</f>
        <v>1172177.9161229106</v>
      </c>
      <c r="P58" s="3"/>
      <c r="Q58" s="3"/>
      <c r="R58" s="69">
        <f t="shared" ca="1" si="0"/>
        <v>1557174.768339233</v>
      </c>
      <c r="S58" s="71">
        <f ca="1">SUM(INDEX(FWD[Dwelling Units],1):FWD[[#This Row],[Dwelling Units]])</f>
        <v>27715</v>
      </c>
      <c r="T58" s="71">
        <f ca="1">IF(ISBLANK(FWD[[#This Row],[CALENDAR YEAR]]),ROUNDDOWN(FWD[[#This Row],[Running count]]/3000,0)+$T$1,FWD[[#This Row],[CALENDAR YEAR]])</f>
        <v>2029</v>
      </c>
    </row>
    <row r="59" spans="1:20">
      <c r="A59" s="65" t="s">
        <v>307</v>
      </c>
      <c r="B59" s="1" t="str">
        <f>VLOOKUP(A59,Data[],2,FALSE)</f>
        <v>QUEENS</v>
      </c>
      <c r="C59" s="1">
        <f>VLOOKUP(FWD[[#This Row],[DEVELOPMENT]],Data[],25,FALSE)</f>
        <v>0</v>
      </c>
      <c r="D59" s="9" t="s">
        <v>49</v>
      </c>
      <c r="E59" s="50">
        <f>VLOOKUP(FWD[[#This Row],[DEVELOPMENT]],Data[],7,FALSE)</f>
        <v>169</v>
      </c>
      <c r="F59" s="50" t="e">
        <f>VLOOKUP(FWD[[#This Row],[DEVELOPMENT]],all[[DEVELOPMENT]:[MRST Ext. Comp. Priority]],5,FALSE)</f>
        <v>#N/A</v>
      </c>
      <c r="G59" s="50">
        <f>VLOOKUP(FWD[[#This Row],[DEVELOPMENT]],Data[],8,FALSE)</f>
        <v>0</v>
      </c>
      <c r="H59" s="9">
        <f>VLOOKUP(FWD[[#This Row],[DEVELOPMENT]],Data[],9,FALSE)</f>
        <v>0</v>
      </c>
      <c r="I59" s="1" t="str">
        <f ca="1">IFERROR(VLOOKUP(FWD[[#This Row],[DEVELOPMENT]],Data[],4,FALSE),"")</f>
        <v>2026+</v>
      </c>
      <c r="J59" s="51" t="str">
        <f ca="1">IF(FWD[[#This Row],[RAD/PACT]]="","",IF(OR(FWD[[#This Row],[RAD/PACT]]="2021-2025",FWD[[#This Row],[RAD/PACT]]="2019-2020"),"Yes",""))</f>
        <v/>
      </c>
      <c r="K59" s="1"/>
      <c r="L59" s="1"/>
      <c r="M59" s="1"/>
      <c r="N59" s="1"/>
      <c r="O59" s="3">
        <f ca="1">IF(FWD[[#This Row],[RAD/PACT]]="2019-2020",0,INDEX(UnitCosts[],MATCH(FWD[[#This Row],[WORK TYPE]],UnitCosts[Work Type],0),2)*FWD[[#This Row],[Dwelling Units]])</f>
        <v>290466.37510963617</v>
      </c>
      <c r="P59" s="3"/>
      <c r="Q59" s="3"/>
      <c r="R59" s="69">
        <f t="shared" ca="1" si="0"/>
        <v>1847641.1434488692</v>
      </c>
      <c r="S59" s="71">
        <f ca="1">SUM(INDEX(FWD[Dwelling Units],1):FWD[[#This Row],[Dwelling Units]])</f>
        <v>27884</v>
      </c>
      <c r="T59" s="71">
        <f ca="1">IF(ISBLANK(FWD[[#This Row],[CALENDAR YEAR]]),ROUNDDOWN(FWD[[#This Row],[Running count]]/3000,0)+$T$1,FWD[[#This Row],[CALENDAR YEAR]])</f>
        <v>2029</v>
      </c>
    </row>
    <row r="60" spans="1:20">
      <c r="A60" s="65" t="s">
        <v>120</v>
      </c>
      <c r="B60" s="1" t="str">
        <f>VLOOKUP(A60,Data[],2,FALSE)</f>
        <v>MANHATTAN</v>
      </c>
      <c r="C60" s="1">
        <f>VLOOKUP(FWD[[#This Row],[DEVELOPMENT]],Data[],25,FALSE)</f>
        <v>0</v>
      </c>
      <c r="D60" s="9" t="s">
        <v>49</v>
      </c>
      <c r="E60" s="50">
        <f>VLOOKUP(FWD[[#This Row],[DEVELOPMENT]],Data[],7,FALSE)</f>
        <v>1244</v>
      </c>
      <c r="F60" s="50" t="e">
        <f>VLOOKUP(FWD[[#This Row],[DEVELOPMENT]],all[[DEVELOPMENT]:[MRST Ext. Comp. Priority]],5,FALSE)</f>
        <v>#N/A</v>
      </c>
      <c r="G60" s="50" t="str">
        <f>VLOOKUP(FWD[[#This Row],[DEVELOPMENT]],Data[],8,FALSE)</f>
        <v>Zone 2</v>
      </c>
      <c r="H60" s="9">
        <f>VLOOKUP(FWD[[#This Row],[DEVELOPMENT]],Data[],9,FALSE)</f>
        <v>3</v>
      </c>
      <c r="I60" s="1" t="str">
        <f ca="1">IFERROR(VLOOKUP(FWD[[#This Row],[DEVELOPMENT]],Data[],4,FALSE),"")</f>
        <v>2026+</v>
      </c>
      <c r="J60" s="51" t="str">
        <f ca="1">IF(FWD[[#This Row],[RAD/PACT]]="","",IF(OR(FWD[[#This Row],[RAD/PACT]]="2021-2025",FWD[[#This Row],[RAD/PACT]]="2019-2020"),"Yes",""))</f>
        <v/>
      </c>
      <c r="K60" s="1"/>
      <c r="L60" s="1"/>
      <c r="M60" s="1"/>
      <c r="N60" s="1"/>
      <c r="O60" s="3">
        <f ca="1">IF(FWD[[#This Row],[RAD/PACT]]="2019-2020",0,INDEX(UnitCosts[],MATCH(FWD[[#This Row],[WORK TYPE]],UnitCosts[Work Type],0),2)*FWD[[#This Row],[Dwelling Units]])</f>
        <v>2138107.5185585055</v>
      </c>
      <c r="P60" s="3"/>
      <c r="Q60" s="3"/>
      <c r="R60" s="69">
        <f t="shared" ca="1" si="0"/>
        <v>3985748.6620073747</v>
      </c>
      <c r="S60" s="71">
        <f ca="1">SUM(INDEX(FWD[Dwelling Units],1):FWD[[#This Row],[Dwelling Units]])</f>
        <v>29128</v>
      </c>
      <c r="T60" s="71">
        <f ca="1">IF(ISBLANK(FWD[[#This Row],[CALENDAR YEAR]]),ROUNDDOWN(FWD[[#This Row],[Running count]]/3000,0)+$T$1,FWD[[#This Row],[CALENDAR YEAR]])</f>
        <v>2029</v>
      </c>
    </row>
    <row r="61" spans="1:20">
      <c r="A61" s="65" t="s">
        <v>308</v>
      </c>
      <c r="B61" s="1" t="str">
        <f>VLOOKUP(A61,Data[],2,FALSE)</f>
        <v>STATEN ISLAND</v>
      </c>
      <c r="C61" s="1">
        <f>VLOOKUP(FWD[[#This Row],[DEVELOPMENT]],Data[],25,FALSE)</f>
        <v>0</v>
      </c>
      <c r="D61" s="9" t="s">
        <v>49</v>
      </c>
      <c r="E61" s="50">
        <f>VLOOKUP(FWD[[#This Row],[DEVELOPMENT]],Data[],7,FALSE)</f>
        <v>378</v>
      </c>
      <c r="F61" s="50" t="e">
        <f>VLOOKUP(FWD[[#This Row],[DEVELOPMENT]],all[[DEVELOPMENT]:[MRST Ext. Comp. Priority]],5,FALSE)</f>
        <v>#N/A</v>
      </c>
      <c r="G61" s="50">
        <f>VLOOKUP(FWD[[#This Row],[DEVELOPMENT]],Data[],8,FALSE)</f>
        <v>0</v>
      </c>
      <c r="H61" s="9">
        <f>VLOOKUP(FWD[[#This Row],[DEVELOPMENT]],Data[],9,FALSE)</f>
        <v>0</v>
      </c>
      <c r="I61" s="1" t="str">
        <f ca="1">IFERROR(VLOOKUP(FWD[[#This Row],[DEVELOPMENT]],Data[],4,FALSE),"")</f>
        <v/>
      </c>
      <c r="J61" s="51" t="str">
        <f ca="1">IF(FWD[[#This Row],[RAD/PACT]]="","",IF(OR(FWD[[#This Row],[RAD/PACT]]="2021-2025",FWD[[#This Row],[RAD/PACT]]="2019-2020"),"Yes",""))</f>
        <v/>
      </c>
      <c r="K61" s="1"/>
      <c r="L61" s="1"/>
      <c r="M61" s="1"/>
      <c r="N61" s="1"/>
      <c r="O61" s="3">
        <f ca="1">IF(FWD[[#This Row],[RAD/PACT]]="2019-2020",0,INDEX(UnitCosts[],MATCH(FWD[[#This Row],[WORK TYPE]],UnitCosts[Work Type],0),2)*FWD[[#This Row],[Dwelling Units]])</f>
        <v>649682.18811504426</v>
      </c>
      <c r="P61" s="3"/>
      <c r="Q61" s="3"/>
      <c r="R61" s="69">
        <f t="shared" ca="1" si="0"/>
        <v>4635430.8501224192</v>
      </c>
      <c r="S61" s="71">
        <f ca="1">SUM(INDEX(FWD[Dwelling Units],1):FWD[[#This Row],[Dwelling Units]])</f>
        <v>29506</v>
      </c>
      <c r="T61" s="71">
        <f ca="1">IF(ISBLANK(FWD[[#This Row],[CALENDAR YEAR]]),ROUNDDOWN(FWD[[#This Row],[Running count]]/3000,0)+$T$1,FWD[[#This Row],[CALENDAR YEAR]])</f>
        <v>2029</v>
      </c>
    </row>
    <row r="62" spans="1:20">
      <c r="A62" s="65" t="s">
        <v>200</v>
      </c>
      <c r="B62" s="1" t="str">
        <f>VLOOKUP(A62,Data[],2,FALSE)</f>
        <v>BRONX</v>
      </c>
      <c r="C62" s="1">
        <f>VLOOKUP(FWD[[#This Row],[DEVELOPMENT]],Data[],25,FALSE)</f>
        <v>0</v>
      </c>
      <c r="D62" s="9" t="s">
        <v>49</v>
      </c>
      <c r="E62" s="50">
        <f>VLOOKUP(FWD[[#This Row],[DEVELOPMENT]],Data[],7,FALSE)</f>
        <v>2022</v>
      </c>
      <c r="F62" s="50" t="e">
        <f>VLOOKUP(FWD[[#This Row],[DEVELOPMENT]],all[[DEVELOPMENT]:[MRST Ext. Comp. Priority]],5,FALSE)</f>
        <v>#N/A</v>
      </c>
      <c r="G62" s="50">
        <f>VLOOKUP(FWD[[#This Row],[DEVELOPMENT]],Data[],8,FALSE)</f>
        <v>0</v>
      </c>
      <c r="H62" s="9">
        <f>VLOOKUP(FWD[[#This Row],[DEVELOPMENT]],Data[],9,FALSE)</f>
        <v>0</v>
      </c>
      <c r="I62" s="1" t="str">
        <f ca="1">IFERROR(VLOOKUP(FWD[[#This Row],[DEVELOPMENT]],Data[],4,FALSE),"")</f>
        <v/>
      </c>
      <c r="J62" s="51" t="str">
        <f ca="1">IF(FWD[[#This Row],[RAD/PACT]]="","",IF(OR(FWD[[#This Row],[RAD/PACT]]="2021-2025",FWD[[#This Row],[RAD/PACT]]="2019-2020"),"Yes",""))</f>
        <v/>
      </c>
      <c r="K62" s="1"/>
      <c r="L62" s="1"/>
      <c r="M62" s="1"/>
      <c r="N62" s="1"/>
      <c r="O62" s="3">
        <f ca="1">IF(FWD[[#This Row],[RAD/PACT]]="2019-2020",0,INDEX(UnitCosts[],MATCH(FWD[[#This Row],[WORK TYPE]],UnitCosts[Work Type],0),2)*FWD[[#This Row],[Dwelling Units]])</f>
        <v>3475284.0856312686</v>
      </c>
      <c r="P62" s="3"/>
      <c r="Q62" s="3"/>
      <c r="R62" s="69">
        <f t="shared" ca="1" si="0"/>
        <v>3475284.0856312686</v>
      </c>
      <c r="S62" s="71">
        <f ca="1">SUM(INDEX(FWD[Dwelling Units],1):FWD[[#This Row],[Dwelling Units]])</f>
        <v>31528</v>
      </c>
      <c r="T62" s="71">
        <f ca="1">IF(ISBLANK(FWD[[#This Row],[CALENDAR YEAR]]),ROUNDDOWN(FWD[[#This Row],[Running count]]/3000,0)+$T$1,FWD[[#This Row],[CALENDAR YEAR]])</f>
        <v>2030</v>
      </c>
    </row>
    <row r="63" spans="1:20">
      <c r="A63" s="65" t="s">
        <v>309</v>
      </c>
      <c r="B63" s="1" t="str">
        <f>VLOOKUP(A63,Data[],2,FALSE)</f>
        <v>MANHATTAN</v>
      </c>
      <c r="C63" s="1">
        <f>VLOOKUP(FWD[[#This Row],[DEVELOPMENT]],Data[],25,FALSE)</f>
        <v>0</v>
      </c>
      <c r="D63" s="9" t="s">
        <v>49</v>
      </c>
      <c r="E63" s="50">
        <f>VLOOKUP(FWD[[#This Row],[DEVELOPMENT]],Data[],7,FALSE)</f>
        <v>425</v>
      </c>
      <c r="F63" s="50" t="e">
        <f>VLOOKUP(FWD[[#This Row],[DEVELOPMENT]],all[[DEVELOPMENT]:[MRST Ext. Comp. Priority]],5,FALSE)</f>
        <v>#N/A</v>
      </c>
      <c r="G63" s="50">
        <f>VLOOKUP(FWD[[#This Row],[DEVELOPMENT]],Data[],8,FALSE)</f>
        <v>0</v>
      </c>
      <c r="H63" s="9">
        <f>VLOOKUP(FWD[[#This Row],[DEVELOPMENT]],Data[],9,FALSE)</f>
        <v>0</v>
      </c>
      <c r="I63" s="1" t="str">
        <f ca="1">IFERROR(VLOOKUP(FWD[[#This Row],[DEVELOPMENT]],Data[],4,FALSE),"")</f>
        <v/>
      </c>
      <c r="J63" s="51" t="str">
        <f ca="1">IF(FWD[[#This Row],[RAD/PACT]]="","",IF(OR(FWD[[#This Row],[RAD/PACT]]="2021-2025",FWD[[#This Row],[RAD/PACT]]="2019-2020"),"Yes",""))</f>
        <v/>
      </c>
      <c r="K63" s="1"/>
      <c r="L63" s="1"/>
      <c r="M63" s="1"/>
      <c r="N63" s="1"/>
      <c r="O63" s="3">
        <f ca="1">IF(FWD[[#This Row],[RAD/PACT]]="2019-2020",0,INDEX(UnitCosts[],MATCH(FWD[[#This Row],[WORK TYPE]],UnitCosts[Work Type],0),2)*FWD[[#This Row],[Dwelling Units]])</f>
        <v>730462.77764257626</v>
      </c>
      <c r="P63" s="3"/>
      <c r="Q63" s="3"/>
      <c r="R63" s="69">
        <f t="shared" ca="1" si="0"/>
        <v>4205746.8632738451</v>
      </c>
      <c r="S63" s="71">
        <f ca="1">SUM(INDEX(FWD[Dwelling Units],1):FWD[[#This Row],[Dwelling Units]])</f>
        <v>31953</v>
      </c>
      <c r="T63" s="71">
        <f ca="1">IF(ISBLANK(FWD[[#This Row],[CALENDAR YEAR]]),ROUNDDOWN(FWD[[#This Row],[Running count]]/3000,0)+$T$1,FWD[[#This Row],[CALENDAR YEAR]])</f>
        <v>2030</v>
      </c>
    </row>
    <row r="64" spans="1:20">
      <c r="A64" s="65" t="s">
        <v>274</v>
      </c>
      <c r="B64" s="1" t="str">
        <f>VLOOKUP(A64,Data[],2,FALSE)</f>
        <v>MANHATTAN</v>
      </c>
      <c r="C64" s="1">
        <f>VLOOKUP(FWD[[#This Row],[DEVELOPMENT]],Data[],25,FALSE)</f>
        <v>0</v>
      </c>
      <c r="D64" s="9" t="s">
        <v>49</v>
      </c>
      <c r="E64" s="50">
        <f>VLOOKUP(FWD[[#This Row],[DEVELOPMENT]],Data[],7,FALSE)</f>
        <v>96</v>
      </c>
      <c r="F64" s="50" t="e">
        <f>VLOOKUP(FWD[[#This Row],[DEVELOPMENT]],all[[DEVELOPMENT]:[MRST Ext. Comp. Priority]],5,FALSE)</f>
        <v>#N/A</v>
      </c>
      <c r="G64" s="50" t="str">
        <f>VLOOKUP(FWD[[#This Row],[DEVELOPMENT]],Data[],8,FALSE)</f>
        <v>Zone 3</v>
      </c>
      <c r="H64" s="9">
        <f>VLOOKUP(FWD[[#This Row],[DEVELOPMENT]],Data[],9,FALSE)</f>
        <v>0</v>
      </c>
      <c r="I64" s="1" t="str">
        <f ca="1">IFERROR(VLOOKUP(FWD[[#This Row],[DEVELOPMENT]],Data[],4,FALSE),"")</f>
        <v/>
      </c>
      <c r="J64" s="51" t="str">
        <f ca="1">IF(FWD[[#This Row],[RAD/PACT]]="","",IF(OR(FWD[[#This Row],[RAD/PACT]]="2021-2025",FWD[[#This Row],[RAD/PACT]]="2019-2020"),"Yes",""))</f>
        <v/>
      </c>
      <c r="K64" s="1"/>
      <c r="L64" s="1"/>
      <c r="M64" s="1"/>
      <c r="N64" s="1"/>
      <c r="O64" s="3">
        <f ca="1">IF(FWD[[#This Row],[RAD/PACT]]="2019-2020",0,INDEX(UnitCosts[],MATCH(FWD[[#This Row],[WORK TYPE]],UnitCosts[Work Type],0),2)*FWD[[#This Row],[Dwelling Units]])</f>
        <v>164998.65094985251</v>
      </c>
      <c r="P64" s="3"/>
      <c r="Q64" s="3"/>
      <c r="R64" s="69">
        <f t="shared" ca="1" si="0"/>
        <v>4370745.5142236976</v>
      </c>
      <c r="S64" s="71">
        <f ca="1">SUM(INDEX(FWD[Dwelling Units],1):FWD[[#This Row],[Dwelling Units]])</f>
        <v>32049</v>
      </c>
      <c r="T64" s="71">
        <f ca="1">IF(ISBLANK(FWD[[#This Row],[CALENDAR YEAR]]),ROUNDDOWN(FWD[[#This Row],[Running count]]/3000,0)+$T$1,FWD[[#This Row],[CALENDAR YEAR]])</f>
        <v>2030</v>
      </c>
    </row>
    <row r="65" spans="1:20">
      <c r="A65" s="65" t="s">
        <v>124</v>
      </c>
      <c r="B65" s="1" t="str">
        <f>VLOOKUP(A65,Data[],2,FALSE)</f>
        <v>BRONX</v>
      </c>
      <c r="C65" s="1">
        <f>VLOOKUP(FWD[[#This Row],[DEVELOPMENT]],Data[],25,FALSE)</f>
        <v>0</v>
      </c>
      <c r="D65" s="9" t="s">
        <v>49</v>
      </c>
      <c r="E65" s="50">
        <f>VLOOKUP(FWD[[#This Row],[DEVELOPMENT]],Data[],7,FALSE)</f>
        <v>187</v>
      </c>
      <c r="F65" s="50" t="e">
        <f>VLOOKUP(FWD[[#This Row],[DEVELOPMENT]],all[[DEVELOPMENT]:[MRST Ext. Comp. Priority]],5,FALSE)</f>
        <v>#N/A</v>
      </c>
      <c r="G65" s="50" t="str">
        <f>VLOOKUP(FWD[[#This Row],[DEVELOPMENT]],Data[],8,FALSE)</f>
        <v>Zone 3</v>
      </c>
      <c r="H65" s="9">
        <f>VLOOKUP(FWD[[#This Row],[DEVELOPMENT]],Data[],9,FALSE)</f>
        <v>4</v>
      </c>
      <c r="I65" s="1" t="str">
        <f ca="1">IFERROR(VLOOKUP(FWD[[#This Row],[DEVELOPMENT]],Data[],4,FALSE),"")</f>
        <v>2026+</v>
      </c>
      <c r="J65" s="51" t="str">
        <f ca="1">IF(FWD[[#This Row],[RAD/PACT]]="","",IF(OR(FWD[[#This Row],[RAD/PACT]]="2021-2025",FWD[[#This Row],[RAD/PACT]]="2019-2020"),"Yes",""))</f>
        <v/>
      </c>
      <c r="K65" s="1"/>
      <c r="L65" s="1"/>
      <c r="M65" s="1"/>
      <c r="N65" s="1"/>
      <c r="O65" s="3">
        <f ca="1">IF(FWD[[#This Row],[RAD/PACT]]="2019-2020",0,INDEX(UnitCosts[],MATCH(FWD[[#This Row],[WORK TYPE]],UnitCosts[Work Type],0),2)*FWD[[#This Row],[Dwelling Units]])</f>
        <v>321403.62216273352</v>
      </c>
      <c r="P65" s="3"/>
      <c r="Q65" s="3"/>
      <c r="R65" s="69">
        <f t="shared" ca="1" si="0"/>
        <v>4692149.1363864308</v>
      </c>
      <c r="S65" s="71">
        <f ca="1">SUM(INDEX(FWD[Dwelling Units],1):FWD[[#This Row],[Dwelling Units]])</f>
        <v>32236</v>
      </c>
      <c r="T65" s="71">
        <f ca="1">IF(ISBLANK(FWD[[#This Row],[CALENDAR YEAR]]),ROUNDDOWN(FWD[[#This Row],[Running count]]/3000,0)+$T$1,FWD[[#This Row],[CALENDAR YEAR]])</f>
        <v>2030</v>
      </c>
    </row>
    <row r="66" spans="1:20">
      <c r="A66" s="65" t="s">
        <v>143</v>
      </c>
      <c r="B66" s="1" t="str">
        <f>VLOOKUP(A66,Data[],2,FALSE)</f>
        <v>BRONX</v>
      </c>
      <c r="C66" s="1">
        <f>VLOOKUP(FWD[[#This Row],[DEVELOPMENT]],Data[],25,FALSE)</f>
        <v>0</v>
      </c>
      <c r="D66" s="9" t="s">
        <v>49</v>
      </c>
      <c r="E66" s="50">
        <f>VLOOKUP(FWD[[#This Row],[DEVELOPMENT]],Data[],7,FALSE)</f>
        <v>106</v>
      </c>
      <c r="F66" s="50" t="e">
        <f>VLOOKUP(FWD[[#This Row],[DEVELOPMENT]],all[[DEVELOPMENT]:[MRST Ext. Comp. Priority]],5,FALSE)</f>
        <v>#N/A</v>
      </c>
      <c r="G66" s="50" t="str">
        <f>VLOOKUP(FWD[[#This Row],[DEVELOPMENT]],Data[],8,FALSE)</f>
        <v>Zone 1</v>
      </c>
      <c r="H66" s="9">
        <f>VLOOKUP(FWD[[#This Row],[DEVELOPMENT]],Data[],9,FALSE)</f>
        <v>4</v>
      </c>
      <c r="I66" s="1" t="str">
        <f ca="1">IFERROR(VLOOKUP(FWD[[#This Row],[DEVELOPMENT]],Data[],4,FALSE),"")</f>
        <v>2022-2025</v>
      </c>
      <c r="J66" s="51" t="str">
        <f ca="1">IF(FWD[[#This Row],[RAD/PACT]]="","",IF(OR(FWD[[#This Row],[RAD/PACT]]="2021-2025",FWD[[#This Row],[RAD/PACT]]="2019-2020"),"Yes",""))</f>
        <v/>
      </c>
      <c r="K66" s="1"/>
      <c r="L66" s="1"/>
      <c r="M66" s="1"/>
      <c r="N66" s="1"/>
      <c r="O66" s="3">
        <f ca="1">IF(FWD[[#This Row],[RAD/PACT]]="2019-2020",0,INDEX(UnitCosts[],MATCH(FWD[[#This Row],[WORK TYPE]],UnitCosts[Work Type],0),2)*FWD[[#This Row],[Dwelling Units]])</f>
        <v>182186.01042379549</v>
      </c>
      <c r="P66" s="3"/>
      <c r="Q66" s="3"/>
      <c r="R66" s="69">
        <f t="shared" ca="1" si="0"/>
        <v>4874335.1468102261</v>
      </c>
      <c r="S66" s="71">
        <f ca="1">SUM(INDEX(FWD[Dwelling Units],1):FWD[[#This Row],[Dwelling Units]])</f>
        <v>32342</v>
      </c>
      <c r="T66" s="71">
        <f ca="1">IF(ISBLANK(FWD[[#This Row],[CALENDAR YEAR]]),ROUNDDOWN(FWD[[#This Row],[Running count]]/3000,0)+$T$1,FWD[[#This Row],[CALENDAR YEAR]])</f>
        <v>2030</v>
      </c>
    </row>
    <row r="67" spans="1:20">
      <c r="A67" s="65" t="s">
        <v>32</v>
      </c>
      <c r="B67" s="1" t="str">
        <f>VLOOKUP(A67,Data[],2,FALSE)</f>
        <v>BRONX</v>
      </c>
      <c r="C67" s="1">
        <f>VLOOKUP(FWD[[#This Row],[DEVELOPMENT]],Data[],25,FALSE)</f>
        <v>0</v>
      </c>
      <c r="D67" s="9" t="s">
        <v>49</v>
      </c>
      <c r="E67" s="50">
        <f>VLOOKUP(FWD[[#This Row],[DEVELOPMENT]],Data[],7,FALSE)</f>
        <v>107</v>
      </c>
      <c r="F67" s="50" t="e">
        <f>VLOOKUP(FWD[[#This Row],[DEVELOPMENT]],all[[DEVELOPMENT]:[MRST Ext. Comp. Priority]],5,FALSE)</f>
        <v>#N/A</v>
      </c>
      <c r="G67" s="50" t="str">
        <f>VLOOKUP(FWD[[#This Row],[DEVELOPMENT]],Data[],8,FALSE)</f>
        <v>Zone 1</v>
      </c>
      <c r="H67" s="9">
        <f>VLOOKUP(FWD[[#This Row],[DEVELOPMENT]],Data[],9,FALSE)</f>
        <v>4</v>
      </c>
      <c r="I67" s="1" t="str">
        <f ca="1">IFERROR(VLOOKUP(FWD[[#This Row],[DEVELOPMENT]],Data[],4,FALSE),"")</f>
        <v>2022-2025</v>
      </c>
      <c r="J67" s="51" t="str">
        <f ca="1">IF(FWD[[#This Row],[RAD/PACT]]="","",IF(OR(FWD[[#This Row],[RAD/PACT]]="2021-2025",FWD[[#This Row],[RAD/PACT]]="2019-2020"),"Yes",""))</f>
        <v/>
      </c>
      <c r="K67" s="1"/>
      <c r="L67" s="1"/>
      <c r="M67" s="1"/>
      <c r="N67" s="1"/>
      <c r="O67" s="3">
        <f ca="1">IF(FWD[[#This Row],[RAD/PACT]]="2019-2020",0,INDEX(UnitCosts[],MATCH(FWD[[#This Row],[WORK TYPE]],UnitCosts[Work Type],0),2)*FWD[[#This Row],[Dwelling Units]])</f>
        <v>183904.74637118977</v>
      </c>
      <c r="P67" s="3"/>
      <c r="Q67" s="3"/>
      <c r="R67" s="69">
        <f t="shared" ca="1" si="0"/>
        <v>5058239.8931814162</v>
      </c>
      <c r="S67" s="71">
        <f ca="1">SUM(INDEX(FWD[Dwelling Units],1):FWD[[#This Row],[Dwelling Units]])</f>
        <v>32449</v>
      </c>
      <c r="T67" s="71">
        <f ca="1">IF(ISBLANK(FWD[[#This Row],[CALENDAR YEAR]]),ROUNDDOWN(FWD[[#This Row],[Running count]]/3000,0)+$T$1,FWD[[#This Row],[CALENDAR YEAR]])</f>
        <v>2030</v>
      </c>
    </row>
    <row r="68" spans="1:20">
      <c r="A68" s="65" t="s">
        <v>34</v>
      </c>
      <c r="B68" s="1" t="str">
        <f>VLOOKUP(A68,Data[],2,FALSE)</f>
        <v>BRONX</v>
      </c>
      <c r="C68" s="1">
        <f>VLOOKUP(FWD[[#This Row],[DEVELOPMENT]],Data[],25,FALSE)</f>
        <v>0</v>
      </c>
      <c r="D68" s="9" t="s">
        <v>49</v>
      </c>
      <c r="E68" s="50">
        <f>VLOOKUP(FWD[[#This Row],[DEVELOPMENT]],Data[],7,FALSE)</f>
        <v>147</v>
      </c>
      <c r="F68" s="50" t="e">
        <f>VLOOKUP(FWD[[#This Row],[DEVELOPMENT]],all[[DEVELOPMENT]:[MRST Ext. Comp. Priority]],5,FALSE)</f>
        <v>#N/A</v>
      </c>
      <c r="G68" s="50" t="str">
        <f>VLOOKUP(FWD[[#This Row],[DEVELOPMENT]],Data[],8,FALSE)</f>
        <v>Zone 1</v>
      </c>
      <c r="H68" s="9">
        <f>VLOOKUP(FWD[[#This Row],[DEVELOPMENT]],Data[],9,FALSE)</f>
        <v>4</v>
      </c>
      <c r="I68" s="1" t="str">
        <f ca="1">IFERROR(VLOOKUP(FWD[[#This Row],[DEVELOPMENT]],Data[],4,FALSE),"")</f>
        <v>2022-2025</v>
      </c>
      <c r="J68" s="51" t="str">
        <f ca="1">IF(FWD[[#This Row],[RAD/PACT]]="","",IF(OR(FWD[[#This Row],[RAD/PACT]]="2021-2025",FWD[[#This Row],[RAD/PACT]]="2019-2020"),"Yes",""))</f>
        <v/>
      </c>
      <c r="K68" s="1"/>
      <c r="L68" s="1"/>
      <c r="M68" s="1"/>
      <c r="N68" s="1"/>
      <c r="O68" s="3">
        <f ca="1">IF(FWD[[#This Row],[RAD/PACT]]="2019-2020",0,INDEX(UnitCosts[],MATCH(FWD[[#This Row],[WORK TYPE]],UnitCosts[Work Type],0),2)*FWD[[#This Row],[Dwelling Units]])</f>
        <v>252654.18426696165</v>
      </c>
      <c r="P68" s="3"/>
      <c r="Q68" s="3"/>
      <c r="R68" s="69">
        <f t="shared" ref="R68:R131" ca="1" si="1">IF(T68=T67,(O68+N68)+R67,(O68+N68))</f>
        <v>5310894.0774483774</v>
      </c>
      <c r="S68" s="71">
        <f ca="1">SUM(INDEX(FWD[Dwelling Units],1):FWD[[#This Row],[Dwelling Units]])</f>
        <v>32596</v>
      </c>
      <c r="T68" s="71">
        <f ca="1">IF(ISBLANK(FWD[[#This Row],[CALENDAR YEAR]]),ROUNDDOWN(FWD[[#This Row],[Running count]]/3000,0)+$T$1,FWD[[#This Row],[CALENDAR YEAR]])</f>
        <v>2030</v>
      </c>
    </row>
    <row r="69" spans="1:20">
      <c r="A69" s="65" t="s">
        <v>144</v>
      </c>
      <c r="B69" s="1" t="str">
        <f>VLOOKUP(A69,Data[],2,FALSE)</f>
        <v>BRONX</v>
      </c>
      <c r="C69" s="1">
        <f>VLOOKUP(FWD[[#This Row],[DEVELOPMENT]],Data[],25,FALSE)</f>
        <v>0</v>
      </c>
      <c r="D69" s="9" t="s">
        <v>49</v>
      </c>
      <c r="E69" s="50">
        <f>VLOOKUP(FWD[[#This Row],[DEVELOPMENT]],Data[],7,FALSE)</f>
        <v>129</v>
      </c>
      <c r="F69" s="50" t="e">
        <f>VLOOKUP(FWD[[#This Row],[DEVELOPMENT]],all[[DEVELOPMENT]:[MRST Ext. Comp. Priority]],5,FALSE)</f>
        <v>#N/A</v>
      </c>
      <c r="G69" s="50" t="str">
        <f>VLOOKUP(FWD[[#This Row],[DEVELOPMENT]],Data[],8,FALSE)</f>
        <v>Zone 1</v>
      </c>
      <c r="H69" s="9">
        <f>VLOOKUP(FWD[[#This Row],[DEVELOPMENT]],Data[],9,FALSE)</f>
        <v>4</v>
      </c>
      <c r="I69" s="1" t="str">
        <f ca="1">IFERROR(VLOOKUP(FWD[[#This Row],[DEVELOPMENT]],Data[],4,FALSE),"")</f>
        <v>2022-2025</v>
      </c>
      <c r="J69" s="51" t="str">
        <f ca="1">IF(FWD[[#This Row],[RAD/PACT]]="","",IF(OR(FWD[[#This Row],[RAD/PACT]]="2021-2025",FWD[[#This Row],[RAD/PACT]]="2019-2020"),"Yes",""))</f>
        <v/>
      </c>
      <c r="K69" s="1"/>
      <c r="L69" s="1"/>
      <c r="M69" s="1"/>
      <c r="N69" s="1"/>
      <c r="O69" s="3">
        <f ca="1">IF(FWD[[#This Row],[RAD/PACT]]="2019-2020",0,INDEX(UnitCosts[],MATCH(FWD[[#This Row],[WORK TYPE]],UnitCosts[Work Type],0),2)*FWD[[#This Row],[Dwelling Units]])</f>
        <v>221716.93721386432</v>
      </c>
      <c r="P69" s="3"/>
      <c r="Q69" s="3"/>
      <c r="R69" s="69">
        <f t="shared" ca="1" si="1"/>
        <v>5532611.0146622416</v>
      </c>
      <c r="S69" s="71">
        <f ca="1">SUM(INDEX(FWD[Dwelling Units],1):FWD[[#This Row],[Dwelling Units]])</f>
        <v>32725</v>
      </c>
      <c r="T69" s="71">
        <f ca="1">IF(ISBLANK(FWD[[#This Row],[CALENDAR YEAR]]),ROUNDDOWN(FWD[[#This Row],[Running count]]/3000,0)+$T$1,FWD[[#This Row],[CALENDAR YEAR]])</f>
        <v>2030</v>
      </c>
    </row>
    <row r="70" spans="1:20">
      <c r="A70" s="65" t="s">
        <v>310</v>
      </c>
      <c r="B70" s="1" t="str">
        <f>VLOOKUP(A70,Data[],2,FALSE)</f>
        <v>BRONX</v>
      </c>
      <c r="C70" s="1">
        <f>VLOOKUP(FWD[[#This Row],[DEVELOPMENT]],Data[],25,FALSE)</f>
        <v>0</v>
      </c>
      <c r="D70" s="9" t="s">
        <v>49</v>
      </c>
      <c r="E70" s="50">
        <f>VLOOKUP(FWD[[#This Row],[DEVELOPMENT]],Data[],7,FALSE)</f>
        <v>401</v>
      </c>
      <c r="F70" s="50" t="e">
        <f>VLOOKUP(FWD[[#This Row],[DEVELOPMENT]],all[[DEVELOPMENT]:[MRST Ext. Comp. Priority]],5,FALSE)</f>
        <v>#N/A</v>
      </c>
      <c r="G70" s="50">
        <f>VLOOKUP(FWD[[#This Row],[DEVELOPMENT]],Data[],8,FALSE)</f>
        <v>0</v>
      </c>
      <c r="H70" s="9">
        <f>VLOOKUP(FWD[[#This Row],[DEVELOPMENT]],Data[],9,FALSE)</f>
        <v>0</v>
      </c>
      <c r="I70" s="1" t="str">
        <f ca="1">IFERROR(VLOOKUP(FWD[[#This Row],[DEVELOPMENT]],Data[],4,FALSE),"")</f>
        <v>2022-2025</v>
      </c>
      <c r="J70" s="51" t="str">
        <f ca="1">IF(FWD[[#This Row],[RAD/PACT]]="","",IF(OR(FWD[[#This Row],[RAD/PACT]]="2021-2025",FWD[[#This Row],[RAD/PACT]]="2019-2020"),"Yes",""))</f>
        <v/>
      </c>
      <c r="K70" s="1"/>
      <c r="L70" s="1"/>
      <c r="M70" s="1"/>
      <c r="N70" s="1"/>
      <c r="O70" s="3">
        <f ca="1">IF(FWD[[#This Row],[RAD/PACT]]="2019-2020",0,INDEX(UnitCosts[],MATCH(FWD[[#This Row],[WORK TYPE]],UnitCosts[Work Type],0),2)*FWD[[#This Row],[Dwelling Units]])</f>
        <v>689213.11490511312</v>
      </c>
      <c r="P70" s="3"/>
      <c r="Q70" s="3"/>
      <c r="R70" s="69">
        <f t="shared" ca="1" si="1"/>
        <v>689213.11490511312</v>
      </c>
      <c r="S70" s="71">
        <f ca="1">SUM(INDEX(FWD[Dwelling Units],1):FWD[[#This Row],[Dwelling Units]])</f>
        <v>33126</v>
      </c>
      <c r="T70" s="71">
        <f ca="1">IF(ISBLANK(FWD[[#This Row],[CALENDAR YEAR]]),ROUNDDOWN(FWD[[#This Row],[Running count]]/3000,0)+$T$1,FWD[[#This Row],[CALENDAR YEAR]])</f>
        <v>2031</v>
      </c>
    </row>
    <row r="71" spans="1:20">
      <c r="A71" s="65" t="s">
        <v>129</v>
      </c>
      <c r="B71" s="1" t="str">
        <f>VLOOKUP(A71,Data[],2,FALSE)</f>
        <v>MANHATTAN</v>
      </c>
      <c r="C71" s="1">
        <f>VLOOKUP(FWD[[#This Row],[DEVELOPMENT]],Data[],25,FALSE)</f>
        <v>0</v>
      </c>
      <c r="D71" s="9" t="s">
        <v>49</v>
      </c>
      <c r="E71" s="50">
        <f>VLOOKUP(FWD[[#This Row],[DEVELOPMENT]],Data[],7,FALSE)</f>
        <v>748</v>
      </c>
      <c r="F71" s="50" t="e">
        <f>VLOOKUP(FWD[[#This Row],[DEVELOPMENT]],all[[DEVELOPMENT]:[MRST Ext. Comp. Priority]],5,FALSE)</f>
        <v>#N/A</v>
      </c>
      <c r="G71" s="50" t="str">
        <f>VLOOKUP(FWD[[#This Row],[DEVELOPMENT]],Data[],8,FALSE)</f>
        <v>Zone 2</v>
      </c>
      <c r="H71" s="9">
        <f>VLOOKUP(FWD[[#This Row],[DEVELOPMENT]],Data[],9,FALSE)</f>
        <v>1</v>
      </c>
      <c r="I71" s="1" t="str">
        <f ca="1">IFERROR(VLOOKUP(FWD[[#This Row],[DEVELOPMENT]],Data[],4,FALSE),"")</f>
        <v/>
      </c>
      <c r="J71" s="51" t="str">
        <f ca="1">IF(FWD[[#This Row],[RAD/PACT]]="","",IF(OR(FWD[[#This Row],[RAD/PACT]]="2021-2025",FWD[[#This Row],[RAD/PACT]]="2019-2020"),"Yes",""))</f>
        <v/>
      </c>
      <c r="K71" s="1"/>
      <c r="L71" s="1"/>
      <c r="M71" s="1"/>
      <c r="N71" s="1"/>
      <c r="O71" s="3">
        <f ca="1">IF(FWD[[#This Row],[RAD/PACT]]="2019-2020",0,INDEX(UnitCosts[],MATCH(FWD[[#This Row],[WORK TYPE]],UnitCosts[Work Type],0),2)*FWD[[#This Row],[Dwelling Units]])</f>
        <v>1285614.4886509341</v>
      </c>
      <c r="P71" s="3"/>
      <c r="Q71" s="3"/>
      <c r="R71" s="69">
        <f t="shared" ca="1" si="1"/>
        <v>1974827.6035560472</v>
      </c>
      <c r="S71" s="71">
        <f ca="1">SUM(INDEX(FWD[Dwelling Units],1):FWD[[#This Row],[Dwelling Units]])</f>
        <v>33874</v>
      </c>
      <c r="T71" s="71">
        <f ca="1">IF(ISBLANK(FWD[[#This Row],[CALENDAR YEAR]]),ROUNDDOWN(FWD[[#This Row],[Running count]]/3000,0)+$T$1,FWD[[#This Row],[CALENDAR YEAR]])</f>
        <v>2031</v>
      </c>
    </row>
    <row r="72" spans="1:20">
      <c r="A72" s="65" t="s">
        <v>145</v>
      </c>
      <c r="B72" s="1" t="str">
        <f>VLOOKUP(A72,Data[],2,FALSE)</f>
        <v>BRONX</v>
      </c>
      <c r="C72" s="1">
        <f>VLOOKUP(FWD[[#This Row],[DEVELOPMENT]],Data[],25,FALSE)</f>
        <v>0</v>
      </c>
      <c r="D72" s="9" t="s">
        <v>49</v>
      </c>
      <c r="E72" s="50">
        <f>VLOOKUP(FWD[[#This Row],[DEVELOPMENT]],Data[],7,FALSE)</f>
        <v>95</v>
      </c>
      <c r="F72" s="50" t="e">
        <f>VLOOKUP(FWD[[#This Row],[DEVELOPMENT]],all[[DEVELOPMENT]:[MRST Ext. Comp. Priority]],5,FALSE)</f>
        <v>#N/A</v>
      </c>
      <c r="G72" s="50" t="str">
        <f>VLOOKUP(FWD[[#This Row],[DEVELOPMENT]],Data[],8,FALSE)</f>
        <v>Zone 1</v>
      </c>
      <c r="H72" s="9">
        <f>VLOOKUP(FWD[[#This Row],[DEVELOPMENT]],Data[],9,FALSE)</f>
        <v>4</v>
      </c>
      <c r="I72" s="1" t="str">
        <f ca="1">IFERROR(VLOOKUP(FWD[[#This Row],[DEVELOPMENT]],Data[],4,FALSE),"")</f>
        <v>2022-2025</v>
      </c>
      <c r="J72" s="51" t="str">
        <f ca="1">IF(FWD[[#This Row],[RAD/PACT]]="","",IF(OR(FWD[[#This Row],[RAD/PACT]]="2021-2025",FWD[[#This Row],[RAD/PACT]]="2019-2020"),"Yes",""))</f>
        <v/>
      </c>
      <c r="K72" s="1"/>
      <c r="L72" s="1"/>
      <c r="M72" s="1"/>
      <c r="N72" s="1"/>
      <c r="O72" s="3">
        <f ca="1">IF(FWD[[#This Row],[RAD/PACT]]="2019-2020",0,INDEX(UnitCosts[],MATCH(FWD[[#This Row],[WORK TYPE]],UnitCosts[Work Type],0),2)*FWD[[#This Row],[Dwelling Units]])</f>
        <v>163279.9150024582</v>
      </c>
      <c r="P72" s="3"/>
      <c r="Q72" s="3"/>
      <c r="R72" s="69">
        <f t="shared" ca="1" si="1"/>
        <v>2138107.5185585055</v>
      </c>
      <c r="S72" s="71">
        <f ca="1">SUM(INDEX(FWD[Dwelling Units],1):FWD[[#This Row],[Dwelling Units]])</f>
        <v>33969</v>
      </c>
      <c r="T72" s="71">
        <f ca="1">IF(ISBLANK(FWD[[#This Row],[CALENDAR YEAR]]),ROUNDDOWN(FWD[[#This Row],[Running count]]/3000,0)+$T$1,FWD[[#This Row],[CALENDAR YEAR]])</f>
        <v>2031</v>
      </c>
    </row>
    <row r="73" spans="1:20">
      <c r="A73" s="65" t="s">
        <v>235</v>
      </c>
      <c r="B73" s="1" t="str">
        <f>VLOOKUP(A73,Data[],2,FALSE)</f>
        <v>BROOKLYN</v>
      </c>
      <c r="C73" s="1">
        <f>VLOOKUP(FWD[[#This Row],[DEVELOPMENT]],Data[],25,FALSE)</f>
        <v>0</v>
      </c>
      <c r="D73" s="9" t="s">
        <v>49</v>
      </c>
      <c r="E73" s="50">
        <f>VLOOKUP(FWD[[#This Row],[DEVELOPMENT]],Data[],7,FALSE)</f>
        <v>530</v>
      </c>
      <c r="F73" s="50" t="e">
        <f>VLOOKUP(FWD[[#This Row],[DEVELOPMENT]],all[[DEVELOPMENT]:[MRST Ext. Comp. Priority]],5,FALSE)</f>
        <v>#N/A</v>
      </c>
      <c r="G73" s="50">
        <f>VLOOKUP(FWD[[#This Row],[DEVELOPMENT]],Data[],8,FALSE)</f>
        <v>0</v>
      </c>
      <c r="H73" s="9">
        <f>VLOOKUP(FWD[[#This Row],[DEVELOPMENT]],Data[],9,FALSE)</f>
        <v>0</v>
      </c>
      <c r="I73" s="1" t="str">
        <f ca="1">IFERROR(VLOOKUP(FWD[[#This Row],[DEVELOPMENT]],Data[],4,FALSE),"")</f>
        <v/>
      </c>
      <c r="J73" s="51" t="str">
        <f ca="1">IF(FWD[[#This Row],[RAD/PACT]]="","",IF(OR(FWD[[#This Row],[RAD/PACT]]="2021-2025",FWD[[#This Row],[RAD/PACT]]="2019-2020"),"Yes",""))</f>
        <v/>
      </c>
      <c r="K73" s="1"/>
      <c r="L73" s="1"/>
      <c r="M73" s="1"/>
      <c r="N73" s="1"/>
      <c r="O73" s="3">
        <f ca="1">IF(FWD[[#This Row],[RAD/PACT]]="2019-2020",0,INDEX(UnitCosts[],MATCH(FWD[[#This Row],[WORK TYPE]],UnitCosts[Work Type],0),2)*FWD[[#This Row],[Dwelling Units]])</f>
        <v>910930.05211897742</v>
      </c>
      <c r="P73" s="3"/>
      <c r="Q73" s="3"/>
      <c r="R73" s="69">
        <f t="shared" ca="1" si="1"/>
        <v>3049037.570677483</v>
      </c>
      <c r="S73" s="71">
        <f ca="1">SUM(INDEX(FWD[Dwelling Units],1):FWD[[#This Row],[Dwelling Units]])</f>
        <v>34499</v>
      </c>
      <c r="T73" s="71">
        <f ca="1">IF(ISBLANK(FWD[[#This Row],[CALENDAR YEAR]]),ROUNDDOWN(FWD[[#This Row],[Running count]]/3000,0)+$T$1,FWD[[#This Row],[CALENDAR YEAR]])</f>
        <v>2031</v>
      </c>
    </row>
    <row r="74" spans="1:20">
      <c r="A74" s="65" t="s">
        <v>311</v>
      </c>
      <c r="B74" s="1" t="str">
        <f>VLOOKUP(A74,Data[],2,FALSE)</f>
        <v>BROOKLYN</v>
      </c>
      <c r="C74" s="1">
        <f>VLOOKUP(FWD[[#This Row],[DEVELOPMENT]],Data[],25,FALSE)</f>
        <v>0</v>
      </c>
      <c r="D74" s="9" t="s">
        <v>49</v>
      </c>
      <c r="E74" s="50">
        <f>VLOOKUP(FWD[[#This Row],[DEVELOPMENT]],Data[],7,FALSE)</f>
        <v>192</v>
      </c>
      <c r="F74" s="50" t="e">
        <f>VLOOKUP(FWD[[#This Row],[DEVELOPMENT]],all[[DEVELOPMENT]:[MRST Ext. Comp. Priority]],5,FALSE)</f>
        <v>#N/A</v>
      </c>
      <c r="G74" s="50">
        <f>VLOOKUP(FWD[[#This Row],[DEVELOPMENT]],Data[],8,FALSE)</f>
        <v>0</v>
      </c>
      <c r="H74" s="9">
        <f>VLOOKUP(FWD[[#This Row],[DEVELOPMENT]],Data[],9,FALSE)</f>
        <v>0</v>
      </c>
      <c r="I74" s="1" t="str">
        <f ca="1">IFERROR(VLOOKUP(FWD[[#This Row],[DEVELOPMENT]],Data[],4,FALSE),"")</f>
        <v/>
      </c>
      <c r="J74" s="51" t="str">
        <f ca="1">IF(FWD[[#This Row],[RAD/PACT]]="","",IF(OR(FWD[[#This Row],[RAD/PACT]]="2021-2025",FWD[[#This Row],[RAD/PACT]]="2019-2020"),"Yes",""))</f>
        <v/>
      </c>
      <c r="K74" s="1"/>
      <c r="L74" s="1"/>
      <c r="M74" s="1"/>
      <c r="N74" s="1"/>
      <c r="O74" s="3">
        <f ca="1">IF(FWD[[#This Row],[RAD/PACT]]="2019-2020",0,INDEX(UnitCosts[],MATCH(FWD[[#This Row],[WORK TYPE]],UnitCosts[Work Type],0),2)*FWD[[#This Row],[Dwelling Units]])</f>
        <v>329997.30189970502</v>
      </c>
      <c r="P74" s="3"/>
      <c r="Q74" s="3"/>
      <c r="R74" s="69">
        <f t="shared" ca="1" si="1"/>
        <v>3379034.8725771881</v>
      </c>
      <c r="S74" s="71">
        <f ca="1">SUM(INDEX(FWD[Dwelling Units],1):FWD[[#This Row],[Dwelling Units]])</f>
        <v>34691</v>
      </c>
      <c r="T74" s="71">
        <f ca="1">IF(ISBLANK(FWD[[#This Row],[CALENDAR YEAR]]),ROUNDDOWN(FWD[[#This Row],[Running count]]/3000,0)+$T$1,FWD[[#This Row],[CALENDAR YEAR]])</f>
        <v>2031</v>
      </c>
    </row>
    <row r="75" spans="1:20">
      <c r="A75" s="65" t="s">
        <v>236</v>
      </c>
      <c r="B75" s="1" t="str">
        <f>VLOOKUP(A75,Data[],2,FALSE)</f>
        <v>BROOKLYN</v>
      </c>
      <c r="C75" s="1">
        <f>VLOOKUP(FWD[[#This Row],[DEVELOPMENT]],Data[],25,FALSE)</f>
        <v>0</v>
      </c>
      <c r="D75" s="9" t="s">
        <v>49</v>
      </c>
      <c r="E75" s="50">
        <f>VLOOKUP(FWD[[#This Row],[DEVELOPMENT]],Data[],7,FALSE)</f>
        <v>124</v>
      </c>
      <c r="F75" s="50" t="e">
        <f>VLOOKUP(FWD[[#This Row],[DEVELOPMENT]],all[[DEVELOPMENT]:[MRST Ext. Comp. Priority]],5,FALSE)</f>
        <v>#N/A</v>
      </c>
      <c r="G75" s="50">
        <f>VLOOKUP(FWD[[#This Row],[DEVELOPMENT]],Data[],8,FALSE)</f>
        <v>0</v>
      </c>
      <c r="H75" s="9">
        <f>VLOOKUP(FWD[[#This Row],[DEVELOPMENT]],Data[],9,FALSE)</f>
        <v>0</v>
      </c>
      <c r="I75" s="1" t="str">
        <f ca="1">IFERROR(VLOOKUP(FWD[[#This Row],[DEVELOPMENT]],Data[],4,FALSE),"")</f>
        <v>2026+</v>
      </c>
      <c r="J75" s="51" t="str">
        <f ca="1">IF(FWD[[#This Row],[RAD/PACT]]="","",IF(OR(FWD[[#This Row],[RAD/PACT]]="2021-2025",FWD[[#This Row],[RAD/PACT]]="2019-2020"),"Yes",""))</f>
        <v/>
      </c>
      <c r="K75" s="1"/>
      <c r="L75" s="1"/>
      <c r="M75" s="1"/>
      <c r="N75" s="1"/>
      <c r="O75" s="3">
        <f ca="1">IF(FWD[[#This Row],[RAD/PACT]]="2019-2020",0,INDEX(UnitCosts[],MATCH(FWD[[#This Row],[WORK TYPE]],UnitCosts[Work Type],0),2)*FWD[[#This Row],[Dwelling Units]])</f>
        <v>213123.25747689282</v>
      </c>
      <c r="P75" s="3"/>
      <c r="Q75" s="3"/>
      <c r="R75" s="69">
        <f t="shared" ca="1" si="1"/>
        <v>3592158.1300540809</v>
      </c>
      <c r="S75" s="71">
        <f ca="1">SUM(INDEX(FWD[Dwelling Units],1):FWD[[#This Row],[Dwelling Units]])</f>
        <v>34815</v>
      </c>
      <c r="T75" s="71">
        <f ca="1">IF(ISBLANK(FWD[[#This Row],[CALENDAR YEAR]]),ROUNDDOWN(FWD[[#This Row],[Running count]]/3000,0)+$T$1,FWD[[#This Row],[CALENDAR YEAR]])</f>
        <v>2031</v>
      </c>
    </row>
    <row r="76" spans="1:20">
      <c r="A76" s="65" t="s">
        <v>312</v>
      </c>
      <c r="B76" s="1" t="str">
        <f>VLOOKUP(A76,Data[],2,FALSE)</f>
        <v>BROOKLYN</v>
      </c>
      <c r="C76" s="1">
        <f>VLOOKUP(FWD[[#This Row],[DEVELOPMENT]],Data[],25,FALSE)</f>
        <v>0</v>
      </c>
      <c r="D76" s="9" t="s">
        <v>49</v>
      </c>
      <c r="E76" s="50">
        <f>VLOOKUP(FWD[[#This Row],[DEVELOPMENT]],Data[],7,FALSE)</f>
        <v>376</v>
      </c>
      <c r="F76" s="50" t="e">
        <f>VLOOKUP(FWD[[#This Row],[DEVELOPMENT]],all[[DEVELOPMENT]:[MRST Ext. Comp. Priority]],5,FALSE)</f>
        <v>#N/A</v>
      </c>
      <c r="G76" s="50">
        <f>VLOOKUP(FWD[[#This Row],[DEVELOPMENT]],Data[],8,FALSE)</f>
        <v>0</v>
      </c>
      <c r="H76" s="9">
        <f>VLOOKUP(FWD[[#This Row],[DEVELOPMENT]],Data[],9,FALSE)</f>
        <v>0</v>
      </c>
      <c r="I76" s="1" t="str">
        <f ca="1">IFERROR(VLOOKUP(FWD[[#This Row],[DEVELOPMENT]],Data[],4,FALSE),"")</f>
        <v/>
      </c>
      <c r="J76" s="51" t="str">
        <f ca="1">IF(FWD[[#This Row],[RAD/PACT]]="","",IF(OR(FWD[[#This Row],[RAD/PACT]]="2021-2025",FWD[[#This Row],[RAD/PACT]]="2019-2020"),"Yes",""))</f>
        <v/>
      </c>
      <c r="K76" s="1"/>
      <c r="L76" s="1"/>
      <c r="M76" s="1"/>
      <c r="N76" s="1"/>
      <c r="O76" s="3">
        <f ca="1">IF(FWD[[#This Row],[RAD/PACT]]="2019-2020",0,INDEX(UnitCosts[],MATCH(FWD[[#This Row],[WORK TYPE]],UnitCosts[Work Type],0),2)*FWD[[#This Row],[Dwelling Units]])</f>
        <v>646244.71622025571</v>
      </c>
      <c r="P76" s="3"/>
      <c r="Q76" s="3"/>
      <c r="R76" s="69">
        <f t="shared" ca="1" si="1"/>
        <v>4238402.8462743368</v>
      </c>
      <c r="S76" s="71">
        <f ca="1">SUM(INDEX(FWD[Dwelling Units],1):FWD[[#This Row],[Dwelling Units]])</f>
        <v>35191</v>
      </c>
      <c r="T76" s="71">
        <f ca="1">IF(ISBLANK(FWD[[#This Row],[CALENDAR YEAR]]),ROUNDDOWN(FWD[[#This Row],[Running count]]/3000,0)+$T$1,FWD[[#This Row],[CALENDAR YEAR]])</f>
        <v>2031</v>
      </c>
    </row>
    <row r="77" spans="1:20">
      <c r="A77" s="65" t="s">
        <v>313</v>
      </c>
      <c r="B77" s="1" t="str">
        <f>VLOOKUP(A77,Data[],2,FALSE)</f>
        <v>QUEENS</v>
      </c>
      <c r="C77" s="1">
        <f>VLOOKUP(FWD[[#This Row],[DEVELOPMENT]],Data[],25,FALSE)</f>
        <v>0</v>
      </c>
      <c r="D77" s="9" t="s">
        <v>49</v>
      </c>
      <c r="E77" s="50">
        <f>VLOOKUP(FWD[[#This Row],[DEVELOPMENT]],Data[],7,FALSE)</f>
        <v>214</v>
      </c>
      <c r="F77" s="50" t="e">
        <f>VLOOKUP(FWD[[#This Row],[DEVELOPMENT]],all[[DEVELOPMENT]:[MRST Ext. Comp. Priority]],5,FALSE)</f>
        <v>#N/A</v>
      </c>
      <c r="G77" s="50">
        <f>VLOOKUP(FWD[[#This Row],[DEVELOPMENT]],Data[],8,FALSE)</f>
        <v>0</v>
      </c>
      <c r="H77" s="9">
        <f>VLOOKUP(FWD[[#This Row],[DEVELOPMENT]],Data[],9,FALSE)</f>
        <v>0</v>
      </c>
      <c r="I77" s="1" t="str">
        <f ca="1">IFERROR(VLOOKUP(FWD[[#This Row],[DEVELOPMENT]],Data[],4,FALSE),"")</f>
        <v/>
      </c>
      <c r="J77" s="51" t="str">
        <f ca="1">IF(FWD[[#This Row],[RAD/PACT]]="","",IF(OR(FWD[[#This Row],[RAD/PACT]]="2021-2025",FWD[[#This Row],[RAD/PACT]]="2019-2020"),"Yes",""))</f>
        <v/>
      </c>
      <c r="K77" s="1"/>
      <c r="L77" s="1"/>
      <c r="M77" s="1"/>
      <c r="N77" s="1"/>
      <c r="O77" s="3">
        <f ca="1">IF(FWD[[#This Row],[RAD/PACT]]="2019-2020",0,INDEX(UnitCosts[],MATCH(FWD[[#This Row],[WORK TYPE]],UnitCosts[Work Type],0),2)*FWD[[#This Row],[Dwelling Units]])</f>
        <v>367809.49274237955</v>
      </c>
      <c r="P77" s="3"/>
      <c r="Q77" s="3"/>
      <c r="R77" s="69">
        <f t="shared" ca="1" si="1"/>
        <v>4606212.339016716</v>
      </c>
      <c r="S77" s="71">
        <f ca="1">SUM(INDEX(FWD[Dwelling Units],1):FWD[[#This Row],[Dwelling Units]])</f>
        <v>35405</v>
      </c>
      <c r="T77" s="71">
        <f ca="1">IF(ISBLANK(FWD[[#This Row],[CALENDAR YEAR]]),ROUNDDOWN(FWD[[#This Row],[Running count]]/3000,0)+$T$1,FWD[[#This Row],[CALENDAR YEAR]])</f>
        <v>2031</v>
      </c>
    </row>
    <row r="78" spans="1:20">
      <c r="A78" s="65" t="s">
        <v>190</v>
      </c>
      <c r="B78" s="1" t="str">
        <f>VLOOKUP(A78,Data[],2,FALSE)</f>
        <v>BROOKLYN</v>
      </c>
      <c r="C78" s="1" t="str">
        <f>VLOOKUP(FWD[[#This Row],[DEVELOPMENT]],Data[],25,FALSE)</f>
        <v>Newtown Creek</v>
      </c>
      <c r="D78" s="9" t="s">
        <v>49</v>
      </c>
      <c r="E78" s="50">
        <f>VLOOKUP(FWD[[#This Row],[DEVELOPMENT]],Data[],7,FALSE)</f>
        <v>700</v>
      </c>
      <c r="F78" s="50" t="e">
        <f>VLOOKUP(FWD[[#This Row],[DEVELOPMENT]],all[[DEVELOPMENT]:[MRST Ext. Comp. Priority]],5,FALSE)</f>
        <v>#N/A</v>
      </c>
      <c r="G78" s="50">
        <f>VLOOKUP(FWD[[#This Row],[DEVELOPMENT]],Data[],8,FALSE)</f>
        <v>0</v>
      </c>
      <c r="H78" s="9">
        <f>VLOOKUP(FWD[[#This Row],[DEVELOPMENT]],Data[],9,FALSE)</f>
        <v>0</v>
      </c>
      <c r="I78" s="1" t="str">
        <f ca="1">IFERROR(VLOOKUP(FWD[[#This Row],[DEVELOPMENT]],Data[],4,FALSE),"")</f>
        <v>2026+</v>
      </c>
      <c r="J78" s="51" t="str">
        <f ca="1">IF(FWD[[#This Row],[RAD/PACT]]="","",IF(OR(FWD[[#This Row],[RAD/PACT]]="2021-2025",FWD[[#This Row],[RAD/PACT]]="2019-2020"),"Yes",""))</f>
        <v/>
      </c>
      <c r="K78" s="1"/>
      <c r="L78" s="1"/>
      <c r="M78" s="1"/>
      <c r="N78" s="1"/>
      <c r="O78" s="3">
        <f ca="1">IF(FWD[[#This Row],[RAD/PACT]]="2019-2020",0,INDEX(UnitCosts[],MATCH(FWD[[#This Row],[WORK TYPE]],UnitCosts[Work Type],0),2)*FWD[[#This Row],[Dwelling Units]])</f>
        <v>1203115.1631760078</v>
      </c>
      <c r="P78" s="3"/>
      <c r="Q78" s="3"/>
      <c r="R78" s="69">
        <f t="shared" ca="1" si="1"/>
        <v>1203115.1631760078</v>
      </c>
      <c r="S78" s="71">
        <f ca="1">SUM(INDEX(FWD[Dwelling Units],1):FWD[[#This Row],[Dwelling Units]])</f>
        <v>36105</v>
      </c>
      <c r="T78" s="71">
        <f ca="1">IF(ISBLANK(FWD[[#This Row],[CALENDAR YEAR]]),ROUNDDOWN(FWD[[#This Row],[Running count]]/3000,0)+$T$1,FWD[[#This Row],[CALENDAR YEAR]])</f>
        <v>2032</v>
      </c>
    </row>
    <row r="79" spans="1:20">
      <c r="A79" s="65" t="s">
        <v>74</v>
      </c>
      <c r="B79" s="1" t="str">
        <f>VLOOKUP(A79,Data[],2,FALSE)</f>
        <v>MANHATTAN</v>
      </c>
      <c r="C79" s="1">
        <f>VLOOKUP(FWD[[#This Row],[DEVELOPMENT]],Data[],25,FALSE)</f>
        <v>0</v>
      </c>
      <c r="D79" s="9" t="s">
        <v>49</v>
      </c>
      <c r="E79" s="50">
        <f>VLOOKUP(FWD[[#This Row],[DEVELOPMENT]],Data[],7,FALSE)</f>
        <v>171</v>
      </c>
      <c r="F79" s="50" t="e">
        <f>VLOOKUP(FWD[[#This Row],[DEVELOPMENT]],all[[DEVELOPMENT]:[MRST Ext. Comp. Priority]],5,FALSE)</f>
        <v>#N/A</v>
      </c>
      <c r="G79" s="50" t="str">
        <f>VLOOKUP(FWD[[#This Row],[DEVELOPMENT]],Data[],8,FALSE)</f>
        <v>Zone 2</v>
      </c>
      <c r="H79" s="9">
        <f>VLOOKUP(FWD[[#This Row],[DEVELOPMENT]],Data[],9,FALSE)</f>
        <v>4</v>
      </c>
      <c r="I79" s="1" t="str">
        <f ca="1">IFERROR(VLOOKUP(FWD[[#This Row],[DEVELOPMENT]],Data[],4,FALSE),"")</f>
        <v>2026+</v>
      </c>
      <c r="J79" s="51" t="str">
        <f ca="1">IF(FWD[[#This Row],[RAD/PACT]]="","",IF(OR(FWD[[#This Row],[RAD/PACT]]="2021-2025",FWD[[#This Row],[RAD/PACT]]="2019-2020"),"Yes",""))</f>
        <v/>
      </c>
      <c r="K79" s="1"/>
      <c r="L79" s="1"/>
      <c r="M79" s="1"/>
      <c r="N79" s="1"/>
      <c r="O79" s="3">
        <f ca="1">IF(FWD[[#This Row],[RAD/PACT]]="2019-2020",0,INDEX(UnitCosts[],MATCH(FWD[[#This Row],[WORK TYPE]],UnitCosts[Work Type],0),2)*FWD[[#This Row],[Dwelling Units]])</f>
        <v>293903.84700442478</v>
      </c>
      <c r="P79" s="3"/>
      <c r="Q79" s="3"/>
      <c r="R79" s="69">
        <f t="shared" ca="1" si="1"/>
        <v>1497019.0101804326</v>
      </c>
      <c r="S79" s="71">
        <f ca="1">SUM(INDEX(FWD[Dwelling Units],1):FWD[[#This Row],[Dwelling Units]])</f>
        <v>36276</v>
      </c>
      <c r="T79" s="71">
        <f ca="1">IF(ISBLANK(FWD[[#This Row],[CALENDAR YEAR]]),ROUNDDOWN(FWD[[#This Row],[Running count]]/3000,0)+$T$1,FWD[[#This Row],[CALENDAR YEAR]])</f>
        <v>2032</v>
      </c>
    </row>
    <row r="80" spans="1:20">
      <c r="A80" s="65" t="s">
        <v>314</v>
      </c>
      <c r="B80" s="1" t="str">
        <f>VLOOKUP(A80,Data[],2,FALSE)</f>
        <v>BROOKLYN</v>
      </c>
      <c r="C80" s="1" t="str">
        <f>VLOOKUP(FWD[[#This Row],[DEVELOPMENT]],Data[],25,FALSE)</f>
        <v>Newtown Creek</v>
      </c>
      <c r="D80" s="9" t="s">
        <v>49</v>
      </c>
      <c r="E80" s="50">
        <f>VLOOKUP(FWD[[#This Row],[DEVELOPMENT]],Data[],7,FALSE)</f>
        <v>121</v>
      </c>
      <c r="F80" s="50" t="e">
        <f>VLOOKUP(FWD[[#This Row],[DEVELOPMENT]],all[[DEVELOPMENT]:[MRST Ext. Comp. Priority]],5,FALSE)</f>
        <v>#N/A</v>
      </c>
      <c r="G80" s="50" t="str">
        <f>VLOOKUP(FWD[[#This Row],[DEVELOPMENT]],Data[],8,FALSE)</f>
        <v>Zone 4</v>
      </c>
      <c r="H80" s="9">
        <f>VLOOKUP(FWD[[#This Row],[DEVELOPMENT]],Data[],9,FALSE)</f>
        <v>0</v>
      </c>
      <c r="I80" s="1" t="str">
        <f ca="1">IFERROR(VLOOKUP(FWD[[#This Row],[DEVELOPMENT]],Data[],4,FALSE),"")</f>
        <v>2022-2025</v>
      </c>
      <c r="J80" s="51" t="str">
        <f ca="1">IF(FWD[[#This Row],[RAD/PACT]]="","",IF(OR(FWD[[#This Row],[RAD/PACT]]="2021-2025",FWD[[#This Row],[RAD/PACT]]="2019-2020"),"Yes",""))</f>
        <v/>
      </c>
      <c r="K80" s="1"/>
      <c r="L80" s="1"/>
      <c r="M80" s="1"/>
      <c r="N80" s="1"/>
      <c r="O80" s="3">
        <f ca="1">IF(FWD[[#This Row],[RAD/PACT]]="2019-2020",0,INDEX(UnitCosts[],MATCH(FWD[[#This Row],[WORK TYPE]],UnitCosts[Work Type],0),2)*FWD[[#This Row],[Dwelling Units]])</f>
        <v>207967.04963470993</v>
      </c>
      <c r="P80" s="3"/>
      <c r="Q80" s="3"/>
      <c r="R80" s="69">
        <f t="shared" ca="1" si="1"/>
        <v>1704986.0598151425</v>
      </c>
      <c r="S80" s="71">
        <f ca="1">SUM(INDEX(FWD[Dwelling Units],1):FWD[[#This Row],[Dwelling Units]])</f>
        <v>36397</v>
      </c>
      <c r="T80" s="71">
        <f ca="1">IF(ISBLANK(FWD[[#This Row],[CALENDAR YEAR]]),ROUNDDOWN(FWD[[#This Row],[Running count]]/3000,0)+$T$1,FWD[[#This Row],[CALENDAR YEAR]])</f>
        <v>2032</v>
      </c>
    </row>
    <row r="81" spans="1:20">
      <c r="A81" s="65" t="s">
        <v>315</v>
      </c>
      <c r="B81" s="1" t="str">
        <f>VLOOKUP(A81,Data[],2,FALSE)</f>
        <v>BROOKLYN</v>
      </c>
      <c r="C81" s="1">
        <f>VLOOKUP(FWD[[#This Row],[DEVELOPMENT]],Data[],25,FALSE)</f>
        <v>0</v>
      </c>
      <c r="D81" s="9" t="s">
        <v>49</v>
      </c>
      <c r="E81" s="50">
        <f>VLOOKUP(FWD[[#This Row],[DEVELOPMENT]],Data[],7,FALSE)</f>
        <v>1439</v>
      </c>
      <c r="F81" s="50" t="e">
        <f>VLOOKUP(FWD[[#This Row],[DEVELOPMENT]],all[[DEVELOPMENT]:[MRST Ext. Comp. Priority]],5,FALSE)</f>
        <v>#N/A</v>
      </c>
      <c r="G81" s="50">
        <f>VLOOKUP(FWD[[#This Row],[DEVELOPMENT]],Data[],8,FALSE)</f>
        <v>0</v>
      </c>
      <c r="H81" s="9">
        <f>VLOOKUP(FWD[[#This Row],[DEVELOPMENT]],Data[],9,FALSE)</f>
        <v>0</v>
      </c>
      <c r="I81" s="1" t="str">
        <f ca="1">IFERROR(VLOOKUP(FWD[[#This Row],[DEVELOPMENT]],Data[],4,FALSE),"")</f>
        <v>2022-2025</v>
      </c>
      <c r="J81" s="51" t="str">
        <f ca="1">IF(FWD[[#This Row],[RAD/PACT]]="","",IF(OR(FWD[[#This Row],[RAD/PACT]]="2021-2025",FWD[[#This Row],[RAD/PACT]]="2019-2020"),"Yes",""))</f>
        <v/>
      </c>
      <c r="K81" s="1"/>
      <c r="L81" s="1"/>
      <c r="M81" s="1"/>
      <c r="N81" s="1"/>
      <c r="O81" s="3">
        <f ca="1">IF(FWD[[#This Row],[RAD/PACT]]="2019-2020",0,INDEX(UnitCosts[],MATCH(FWD[[#This Row],[WORK TYPE]],UnitCosts[Work Type],0),2)*FWD[[#This Row],[Dwelling Units]])</f>
        <v>2473261.0283003934</v>
      </c>
      <c r="P81" s="3"/>
      <c r="Q81" s="3"/>
      <c r="R81" s="69">
        <f t="shared" ca="1" si="1"/>
        <v>4178247.0881155357</v>
      </c>
      <c r="S81" s="71">
        <f ca="1">SUM(INDEX(FWD[Dwelling Units],1):FWD[[#This Row],[Dwelling Units]])</f>
        <v>37836</v>
      </c>
      <c r="T81" s="71">
        <f ca="1">IF(ISBLANK(FWD[[#This Row],[CALENDAR YEAR]]),ROUNDDOWN(FWD[[#This Row],[Running count]]/3000,0)+$T$1,FWD[[#This Row],[CALENDAR YEAR]])</f>
        <v>2032</v>
      </c>
    </row>
    <row r="82" spans="1:20">
      <c r="A82" s="65" t="s">
        <v>105</v>
      </c>
      <c r="B82" s="1" t="str">
        <f>VLOOKUP(A82,Data[],2,FALSE)</f>
        <v>BRONX</v>
      </c>
      <c r="C82" s="1">
        <f>VLOOKUP(FWD[[#This Row],[DEVELOPMENT]],Data[],25,FALSE)</f>
        <v>0</v>
      </c>
      <c r="D82" s="9" t="s">
        <v>49</v>
      </c>
      <c r="E82" s="50">
        <f>VLOOKUP(FWD[[#This Row],[DEVELOPMENT]],Data[],7,FALSE)</f>
        <v>175</v>
      </c>
      <c r="F82" s="50" t="e">
        <f>VLOOKUP(FWD[[#This Row],[DEVELOPMENT]],all[[DEVELOPMENT]:[MRST Ext. Comp. Priority]],5,FALSE)</f>
        <v>#N/A</v>
      </c>
      <c r="G82" s="50" t="str">
        <f>VLOOKUP(FWD[[#This Row],[DEVELOPMENT]],Data[],8,FALSE)</f>
        <v>Zone 3</v>
      </c>
      <c r="H82" s="9">
        <f>VLOOKUP(FWD[[#This Row],[DEVELOPMENT]],Data[],9,FALSE)</f>
        <v>4</v>
      </c>
      <c r="I82" s="1" t="str">
        <f ca="1">IFERROR(VLOOKUP(FWD[[#This Row],[DEVELOPMENT]],Data[],4,FALSE),"")</f>
        <v>2026+</v>
      </c>
      <c r="J82" s="51" t="str">
        <f ca="1">IF(FWD[[#This Row],[RAD/PACT]]="","",IF(OR(FWD[[#This Row],[RAD/PACT]]="2021-2025",FWD[[#This Row],[RAD/PACT]]="2019-2020"),"Yes",""))</f>
        <v/>
      </c>
      <c r="K82" s="1"/>
      <c r="L82" s="1"/>
      <c r="M82" s="1"/>
      <c r="N82" s="1"/>
      <c r="O82" s="3">
        <f ca="1">IF(FWD[[#This Row],[RAD/PACT]]="2019-2020",0,INDEX(UnitCosts[],MATCH(FWD[[#This Row],[WORK TYPE]],UnitCosts[Work Type],0),2)*FWD[[#This Row],[Dwelling Units]])</f>
        <v>300778.79079400195</v>
      </c>
      <c r="P82" s="3"/>
      <c r="Q82" s="3"/>
      <c r="R82" s="69">
        <f t="shared" ca="1" si="1"/>
        <v>4479025.8789095376</v>
      </c>
      <c r="S82" s="71">
        <f ca="1">SUM(INDEX(FWD[Dwelling Units],1):FWD[[#This Row],[Dwelling Units]])</f>
        <v>38011</v>
      </c>
      <c r="T82" s="71">
        <f ca="1">IF(ISBLANK(FWD[[#This Row],[CALENDAR YEAR]]),ROUNDDOWN(FWD[[#This Row],[Running count]]/3000,0)+$T$1,FWD[[#This Row],[CALENDAR YEAR]])</f>
        <v>2032</v>
      </c>
    </row>
    <row r="83" spans="1:20">
      <c r="A83" s="65" t="s">
        <v>263</v>
      </c>
      <c r="B83" s="1" t="str">
        <f>VLOOKUP(A83,Data[],2,FALSE)</f>
        <v>MANHATTAN</v>
      </c>
      <c r="C83" s="1">
        <f>VLOOKUP(FWD[[#This Row],[DEVELOPMENT]],Data[],25,FALSE)</f>
        <v>0</v>
      </c>
      <c r="D83" s="9" t="s">
        <v>49</v>
      </c>
      <c r="E83" s="50">
        <f>VLOOKUP(FWD[[#This Row],[DEVELOPMENT]],Data[],7,FALSE)</f>
        <v>219</v>
      </c>
      <c r="F83" s="50" t="e">
        <f>VLOOKUP(FWD[[#This Row],[DEVELOPMENT]],all[[DEVELOPMENT]:[MRST Ext. Comp. Priority]],5,FALSE)</f>
        <v>#N/A</v>
      </c>
      <c r="G83" s="50" t="str">
        <f>VLOOKUP(FWD[[#This Row],[DEVELOPMENT]],Data[],8,FALSE)</f>
        <v>Zone 3</v>
      </c>
      <c r="H83" s="9">
        <f>VLOOKUP(FWD[[#This Row],[DEVELOPMENT]],Data[],9,FALSE)</f>
        <v>0</v>
      </c>
      <c r="I83" s="1" t="str">
        <f ca="1">IFERROR(VLOOKUP(FWD[[#This Row],[DEVELOPMENT]],Data[],4,FALSE),"")</f>
        <v/>
      </c>
      <c r="J83" s="51" t="str">
        <f ca="1">IF(FWD[[#This Row],[RAD/PACT]]="","",IF(OR(FWD[[#This Row],[RAD/PACT]]="2021-2025",FWD[[#This Row],[RAD/PACT]]="2019-2020"),"Yes",""))</f>
        <v/>
      </c>
      <c r="K83" s="1"/>
      <c r="L83" s="1"/>
      <c r="M83" s="1"/>
      <c r="N83" s="1"/>
      <c r="O83" s="3">
        <f ca="1">IF(FWD[[#This Row],[RAD/PACT]]="2019-2020",0,INDEX(UnitCosts[],MATCH(FWD[[#This Row],[WORK TYPE]],UnitCosts[Work Type],0),2)*FWD[[#This Row],[Dwelling Units]])</f>
        <v>376403.17247935105</v>
      </c>
      <c r="P83" s="3"/>
      <c r="Q83" s="3"/>
      <c r="R83" s="69">
        <f t="shared" ca="1" si="1"/>
        <v>4855429.0513888886</v>
      </c>
      <c r="S83" s="71">
        <f ca="1">SUM(INDEX(FWD[Dwelling Units],1):FWD[[#This Row],[Dwelling Units]])</f>
        <v>38230</v>
      </c>
      <c r="T83" s="71">
        <f ca="1">IF(ISBLANK(FWD[[#This Row],[CALENDAR YEAR]]),ROUNDDOWN(FWD[[#This Row],[Running count]]/3000,0)+$T$1,FWD[[#This Row],[CALENDAR YEAR]])</f>
        <v>2032</v>
      </c>
    </row>
    <row r="84" spans="1:20">
      <c r="A84" s="65" t="s">
        <v>75</v>
      </c>
      <c r="B84" s="1" t="str">
        <f>VLOOKUP(A84,Data[],2,FALSE)</f>
        <v>MANHATTAN</v>
      </c>
      <c r="C84" s="1">
        <f>VLOOKUP(FWD[[#This Row],[DEVELOPMENT]],Data[],25,FALSE)</f>
        <v>0</v>
      </c>
      <c r="D84" s="9" t="s">
        <v>49</v>
      </c>
      <c r="E84" s="50">
        <f>VLOOKUP(FWD[[#This Row],[DEVELOPMENT]],Data[],7,FALSE)</f>
        <v>135</v>
      </c>
      <c r="F84" s="50" t="e">
        <f>VLOOKUP(FWD[[#This Row],[DEVELOPMENT]],all[[DEVELOPMENT]:[MRST Ext. Comp. Priority]],5,FALSE)</f>
        <v>#N/A</v>
      </c>
      <c r="G84" s="50" t="str">
        <f>VLOOKUP(FWD[[#This Row],[DEVELOPMENT]],Data[],8,FALSE)</f>
        <v>Zone 3</v>
      </c>
      <c r="H84" s="9">
        <f>VLOOKUP(FWD[[#This Row],[DEVELOPMENT]],Data[],9,FALSE)</f>
        <v>4</v>
      </c>
      <c r="I84" s="1" t="str">
        <f ca="1">IFERROR(VLOOKUP(FWD[[#This Row],[DEVELOPMENT]],Data[],4,FALSE),"")</f>
        <v/>
      </c>
      <c r="J84" s="51" t="str">
        <f ca="1">IF(FWD[[#This Row],[RAD/PACT]]="","",IF(OR(FWD[[#This Row],[RAD/PACT]]="2021-2025",FWD[[#This Row],[RAD/PACT]]="2019-2020"),"Yes",""))</f>
        <v/>
      </c>
      <c r="K84" s="1"/>
      <c r="L84" s="1"/>
      <c r="M84" s="1"/>
      <c r="N84" s="1"/>
      <c r="O84" s="3">
        <f ca="1">IF(FWD[[#This Row],[RAD/PACT]]="2019-2020",0,INDEX(UnitCosts[],MATCH(FWD[[#This Row],[WORK TYPE]],UnitCosts[Work Type],0),2)*FWD[[#This Row],[Dwelling Units]])</f>
        <v>232029.35289823011</v>
      </c>
      <c r="P84" s="3"/>
      <c r="Q84" s="3"/>
      <c r="R84" s="69">
        <f t="shared" ca="1" si="1"/>
        <v>5087458.4042871185</v>
      </c>
      <c r="S84" s="71">
        <f ca="1">SUM(INDEX(FWD[Dwelling Units],1):FWD[[#This Row],[Dwelling Units]])</f>
        <v>38365</v>
      </c>
      <c r="T84" s="71">
        <f ca="1">IF(ISBLANK(FWD[[#This Row],[CALENDAR YEAR]]),ROUNDDOWN(FWD[[#This Row],[Running count]]/3000,0)+$T$1,FWD[[#This Row],[CALENDAR YEAR]])</f>
        <v>2032</v>
      </c>
    </row>
    <row r="85" spans="1:20">
      <c r="A85" s="65" t="s">
        <v>130</v>
      </c>
      <c r="B85" s="1" t="str">
        <f>VLOOKUP(A85,Data[],2,FALSE)</f>
        <v>MANHATTAN</v>
      </c>
      <c r="C85" s="1">
        <f>VLOOKUP(FWD[[#This Row],[DEVELOPMENT]],Data[],25,FALSE)</f>
        <v>0</v>
      </c>
      <c r="D85" s="9" t="s">
        <v>49</v>
      </c>
      <c r="E85" s="50">
        <f>VLOOKUP(FWD[[#This Row],[DEVELOPMENT]],Data[],7,FALSE)</f>
        <v>1302</v>
      </c>
      <c r="F85" s="50" t="e">
        <f>VLOOKUP(FWD[[#This Row],[DEVELOPMENT]],all[[DEVELOPMENT]:[MRST Ext. Comp. Priority]],5,FALSE)</f>
        <v>#N/A</v>
      </c>
      <c r="G85" s="50" t="str">
        <f>VLOOKUP(FWD[[#This Row],[DEVELOPMENT]],Data[],8,FALSE)</f>
        <v>Zone 3</v>
      </c>
      <c r="H85" s="9">
        <f>VLOOKUP(FWD[[#This Row],[DEVELOPMENT]],Data[],9,FALSE)</f>
        <v>2</v>
      </c>
      <c r="I85" s="1" t="str">
        <f ca="1">IFERROR(VLOOKUP(FWD[[#This Row],[DEVELOPMENT]],Data[],4,FALSE),"")</f>
        <v/>
      </c>
      <c r="J85" s="51" t="str">
        <f ca="1">IF(FWD[[#This Row],[RAD/PACT]]="","",IF(OR(FWD[[#This Row],[RAD/PACT]]="2021-2025",FWD[[#This Row],[RAD/PACT]]="2019-2020"),"Yes",""))</f>
        <v/>
      </c>
      <c r="K85" s="1"/>
      <c r="L85" s="1"/>
      <c r="M85" s="1"/>
      <c r="N85" s="1"/>
      <c r="O85" s="3">
        <f ca="1">IF(FWD[[#This Row],[RAD/PACT]]="2019-2020",0,INDEX(UnitCosts[],MATCH(FWD[[#This Row],[WORK TYPE]],UnitCosts[Work Type],0),2)*FWD[[#This Row],[Dwelling Units]])</f>
        <v>2237794.2035073745</v>
      </c>
      <c r="P85" s="3"/>
      <c r="Q85" s="3"/>
      <c r="R85" s="69">
        <f t="shared" ca="1" si="1"/>
        <v>2237794.2035073745</v>
      </c>
      <c r="S85" s="71">
        <f ca="1">SUM(INDEX(FWD[Dwelling Units],1):FWD[[#This Row],[Dwelling Units]])</f>
        <v>39667</v>
      </c>
      <c r="T85" s="71">
        <f ca="1">IF(ISBLANK(FWD[[#This Row],[CALENDAR YEAR]]),ROUNDDOWN(FWD[[#This Row],[Running count]]/3000,0)+$T$1,FWD[[#This Row],[CALENDAR YEAR]])</f>
        <v>2033</v>
      </c>
    </row>
    <row r="86" spans="1:20">
      <c r="A86" s="65" t="s">
        <v>76</v>
      </c>
      <c r="B86" s="1" t="str">
        <f>VLOOKUP(A86,Data[],2,FALSE)</f>
        <v>MANHATTAN</v>
      </c>
      <c r="C86" s="1">
        <f>VLOOKUP(FWD[[#This Row],[DEVELOPMENT]],Data[],25,FALSE)</f>
        <v>0</v>
      </c>
      <c r="D86" s="9" t="s">
        <v>49</v>
      </c>
      <c r="E86" s="50">
        <f>VLOOKUP(FWD[[#This Row],[DEVELOPMENT]],Data[],7,FALSE)</f>
        <v>752</v>
      </c>
      <c r="F86" s="50" t="e">
        <f>VLOOKUP(FWD[[#This Row],[DEVELOPMENT]],all[[DEVELOPMENT]:[MRST Ext. Comp. Priority]],5,FALSE)</f>
        <v>#N/A</v>
      </c>
      <c r="G86" s="50" t="str">
        <f>VLOOKUP(FWD[[#This Row],[DEVELOPMENT]],Data[],8,FALSE)</f>
        <v>Zone 3</v>
      </c>
      <c r="H86" s="9">
        <f>VLOOKUP(FWD[[#This Row],[DEVELOPMENT]],Data[],9,FALSE)</f>
        <v>2</v>
      </c>
      <c r="I86" s="1" t="str">
        <f ca="1">IFERROR(VLOOKUP(FWD[[#This Row],[DEVELOPMENT]],Data[],4,FALSE),"")</f>
        <v/>
      </c>
      <c r="J86" s="51" t="str">
        <f ca="1">IF(FWD[[#This Row],[RAD/PACT]]="","",IF(OR(FWD[[#This Row],[RAD/PACT]]="2021-2025",FWD[[#This Row],[RAD/PACT]]="2019-2020"),"Yes",""))</f>
        <v/>
      </c>
      <c r="K86" s="1"/>
      <c r="L86" s="1"/>
      <c r="M86" s="1"/>
      <c r="N86" s="1"/>
      <c r="O86" s="3">
        <f ca="1">IF(FWD[[#This Row],[RAD/PACT]]="2019-2020",0,INDEX(UnitCosts[],MATCH(FWD[[#This Row],[WORK TYPE]],UnitCosts[Work Type],0),2)*FWD[[#This Row],[Dwelling Units]])</f>
        <v>1292489.4324405114</v>
      </c>
      <c r="P86" s="3"/>
      <c r="Q86" s="3"/>
      <c r="R86" s="69">
        <f t="shared" ca="1" si="1"/>
        <v>3530283.6359478859</v>
      </c>
      <c r="S86" s="71">
        <f ca="1">SUM(INDEX(FWD[Dwelling Units],1):FWD[[#This Row],[Dwelling Units]])</f>
        <v>40419</v>
      </c>
      <c r="T86" s="71">
        <f ca="1">IF(ISBLANK(FWD[[#This Row],[CALENDAR YEAR]]),ROUNDDOWN(FWD[[#This Row],[Running count]]/3000,0)+$T$1,FWD[[#This Row],[CALENDAR YEAR]])</f>
        <v>2033</v>
      </c>
    </row>
    <row r="87" spans="1:20">
      <c r="A87" s="65" t="s">
        <v>77</v>
      </c>
      <c r="B87" s="1" t="str">
        <f>VLOOKUP(A87,Data[],2,FALSE)</f>
        <v>MANHATTAN</v>
      </c>
      <c r="C87" s="1">
        <f>VLOOKUP(FWD[[#This Row],[DEVELOPMENT]],Data[],25,FALSE)</f>
        <v>0</v>
      </c>
      <c r="D87" s="9" t="s">
        <v>49</v>
      </c>
      <c r="E87" s="50">
        <f>VLOOKUP(FWD[[#This Row],[DEVELOPMENT]],Data[],7,FALSE)</f>
        <v>1211</v>
      </c>
      <c r="F87" s="50" t="e">
        <f>VLOOKUP(FWD[[#This Row],[DEVELOPMENT]],all[[DEVELOPMENT]:[MRST Ext. Comp. Priority]],5,FALSE)</f>
        <v>#N/A</v>
      </c>
      <c r="G87" s="50" t="str">
        <f>VLOOKUP(FWD[[#This Row],[DEVELOPMENT]],Data[],8,FALSE)</f>
        <v>Zone 2</v>
      </c>
      <c r="H87" s="9">
        <f>VLOOKUP(FWD[[#This Row],[DEVELOPMENT]],Data[],9,FALSE)</f>
        <v>4</v>
      </c>
      <c r="I87" s="1" t="str">
        <f ca="1">IFERROR(VLOOKUP(FWD[[#This Row],[DEVELOPMENT]],Data[],4,FALSE),"")</f>
        <v/>
      </c>
      <c r="J87" s="51" t="str">
        <f ca="1">IF(FWD[[#This Row],[RAD/PACT]]="","",IF(OR(FWD[[#This Row],[RAD/PACT]]="2021-2025",FWD[[#This Row],[RAD/PACT]]="2019-2020"),"Yes",""))</f>
        <v/>
      </c>
      <c r="K87" s="1"/>
      <c r="L87" s="1"/>
      <c r="M87" s="1"/>
      <c r="N87" s="1"/>
      <c r="O87" s="3">
        <f ca="1">IF(FWD[[#This Row],[RAD/PACT]]="2019-2020",0,INDEX(UnitCosts[],MATCH(FWD[[#This Row],[WORK TYPE]],UnitCosts[Work Type],0),2)*FWD[[#This Row],[Dwelling Units]])</f>
        <v>2081389.2322944936</v>
      </c>
      <c r="P87" s="3"/>
      <c r="Q87" s="3"/>
      <c r="R87" s="69">
        <f t="shared" ca="1" si="1"/>
        <v>5611672.8682423793</v>
      </c>
      <c r="S87" s="71">
        <f ca="1">SUM(INDEX(FWD[Dwelling Units],1):FWD[[#This Row],[Dwelling Units]])</f>
        <v>41630</v>
      </c>
      <c r="T87" s="71">
        <f ca="1">IF(ISBLANK(FWD[[#This Row],[CALENDAR YEAR]]),ROUNDDOWN(FWD[[#This Row],[Running count]]/3000,0)+$T$1,FWD[[#This Row],[CALENDAR YEAR]])</f>
        <v>2033</v>
      </c>
    </row>
    <row r="88" spans="1:20">
      <c r="A88" s="65" t="s">
        <v>279</v>
      </c>
      <c r="B88" s="1" t="str">
        <f>VLOOKUP(A88,Data[],2,FALSE)</f>
        <v>MANHATTAN</v>
      </c>
      <c r="C88" s="1">
        <f>VLOOKUP(FWD[[#This Row],[DEVELOPMENT]],Data[],25,FALSE)</f>
        <v>0</v>
      </c>
      <c r="D88" s="9" t="s">
        <v>49</v>
      </c>
      <c r="E88" s="50">
        <f>VLOOKUP(FWD[[#This Row],[DEVELOPMENT]],Data[],7,FALSE)</f>
        <v>1167</v>
      </c>
      <c r="F88" s="50" t="e">
        <f>VLOOKUP(FWD[[#This Row],[DEVELOPMENT]],all[[DEVELOPMENT]:[MRST Ext. Comp. Priority]],5,FALSE)</f>
        <v>#N/A</v>
      </c>
      <c r="G88" s="50">
        <f>VLOOKUP(FWD[[#This Row],[DEVELOPMENT]],Data[],8,FALSE)</f>
        <v>0</v>
      </c>
      <c r="H88" s="9">
        <f>VLOOKUP(FWD[[#This Row],[DEVELOPMENT]],Data[],9,FALSE)</f>
        <v>0</v>
      </c>
      <c r="I88" s="1" t="str">
        <f ca="1">IFERROR(VLOOKUP(FWD[[#This Row],[DEVELOPMENT]],Data[],4,FALSE),"")</f>
        <v/>
      </c>
      <c r="J88" s="51" t="str">
        <f ca="1">IF(FWD[[#This Row],[RAD/PACT]]="","",IF(OR(FWD[[#This Row],[RAD/PACT]]="2021-2025",FWD[[#This Row],[RAD/PACT]]="2019-2020"),"Yes",""))</f>
        <v/>
      </c>
      <c r="K88" s="1"/>
      <c r="L88" s="1"/>
      <c r="M88" s="1"/>
      <c r="N88" s="1"/>
      <c r="O88" s="3">
        <f ca="1">IF(FWD[[#This Row],[RAD/PACT]]="2019-2020",0,INDEX(UnitCosts[],MATCH(FWD[[#This Row],[WORK TYPE]],UnitCosts[Work Type],0),2)*FWD[[#This Row],[Dwelling Units]])</f>
        <v>2005764.8506091447</v>
      </c>
      <c r="P88" s="3"/>
      <c r="Q88" s="3"/>
      <c r="R88" s="69">
        <f t="shared" ca="1" si="1"/>
        <v>2005764.8506091447</v>
      </c>
      <c r="S88" s="71">
        <f ca="1">SUM(INDEX(FWD[Dwelling Units],1):FWD[[#This Row],[Dwelling Units]])</f>
        <v>42797</v>
      </c>
      <c r="T88" s="71">
        <f ca="1">IF(ISBLANK(FWD[[#This Row],[CALENDAR YEAR]]),ROUNDDOWN(FWD[[#This Row],[Running count]]/3000,0)+$T$1,FWD[[#This Row],[CALENDAR YEAR]])</f>
        <v>2034</v>
      </c>
    </row>
    <row r="89" spans="1:20">
      <c r="A89" s="65" t="s">
        <v>264</v>
      </c>
      <c r="B89" s="1" t="str">
        <f>VLOOKUP(A89,Data[],2,FALSE)</f>
        <v>BRONX</v>
      </c>
      <c r="C89" s="1">
        <f>VLOOKUP(FWD[[#This Row],[DEVELOPMENT]],Data[],25,FALSE)</f>
        <v>0</v>
      </c>
      <c r="D89" s="9" t="s">
        <v>49</v>
      </c>
      <c r="E89" s="50">
        <f>VLOOKUP(FWD[[#This Row],[DEVELOPMENT]],Data[],7,FALSE)</f>
        <v>65</v>
      </c>
      <c r="F89" s="50" t="e">
        <f>VLOOKUP(FWD[[#This Row],[DEVELOPMENT]],all[[DEVELOPMENT]:[MRST Ext. Comp. Priority]],5,FALSE)</f>
        <v>#N/A</v>
      </c>
      <c r="G89" s="50">
        <f>VLOOKUP(FWD[[#This Row],[DEVELOPMENT]],Data[],8,FALSE)</f>
        <v>0</v>
      </c>
      <c r="H89" s="9">
        <f>VLOOKUP(FWD[[#This Row],[DEVELOPMENT]],Data[],9,FALSE)</f>
        <v>0</v>
      </c>
      <c r="I89" s="1" t="str">
        <f ca="1">IFERROR(VLOOKUP(FWD[[#This Row],[DEVELOPMENT]],Data[],4,FALSE),"")</f>
        <v>2026+</v>
      </c>
      <c r="J89" s="51" t="str">
        <f ca="1">IF(FWD[[#This Row],[RAD/PACT]]="","",IF(OR(FWD[[#This Row],[RAD/PACT]]="2021-2025",FWD[[#This Row],[RAD/PACT]]="2019-2020"),"Yes",""))</f>
        <v/>
      </c>
      <c r="K89" s="1"/>
      <c r="L89" s="1"/>
      <c r="M89" s="1"/>
      <c r="N89" s="1"/>
      <c r="O89" s="3">
        <f ca="1">IF(FWD[[#This Row],[RAD/PACT]]="2019-2020",0,INDEX(UnitCosts[],MATCH(FWD[[#This Row],[WORK TYPE]],UnitCosts[Work Type],0),2)*FWD[[#This Row],[Dwelling Units]])</f>
        <v>111717.8365806293</v>
      </c>
      <c r="P89" s="3"/>
      <c r="Q89" s="3"/>
      <c r="R89" s="69">
        <f t="shared" ca="1" si="1"/>
        <v>2117482.6871897741</v>
      </c>
      <c r="S89" s="71">
        <f ca="1">SUM(INDEX(FWD[Dwelling Units],1):FWD[[#This Row],[Dwelling Units]])</f>
        <v>42862</v>
      </c>
      <c r="T89" s="71">
        <f ca="1">IF(ISBLANK(FWD[[#This Row],[CALENDAR YEAR]]),ROUNDDOWN(FWD[[#This Row],[Running count]]/3000,0)+$T$1,FWD[[#This Row],[CALENDAR YEAR]])</f>
        <v>2034</v>
      </c>
    </row>
    <row r="90" spans="1:20">
      <c r="A90" s="65" t="s">
        <v>275</v>
      </c>
      <c r="B90" s="1" t="str">
        <f>VLOOKUP(A90,Data[],2,FALSE)</f>
        <v>BRONX</v>
      </c>
      <c r="C90" s="1">
        <f>VLOOKUP(FWD[[#This Row],[DEVELOPMENT]],Data[],25,FALSE)</f>
        <v>0</v>
      </c>
      <c r="D90" s="9" t="s">
        <v>49</v>
      </c>
      <c r="E90" s="50">
        <f>VLOOKUP(FWD[[#This Row],[DEVELOPMENT]],Data[],7,FALSE)</f>
        <v>221</v>
      </c>
      <c r="F90" s="50" t="e">
        <f>VLOOKUP(FWD[[#This Row],[DEVELOPMENT]],all[[DEVELOPMENT]:[MRST Ext. Comp. Priority]],5,FALSE)</f>
        <v>#N/A</v>
      </c>
      <c r="G90" s="50">
        <f>VLOOKUP(FWD[[#This Row],[DEVELOPMENT]],Data[],8,FALSE)</f>
        <v>0</v>
      </c>
      <c r="H90" s="9">
        <f>VLOOKUP(FWD[[#This Row],[DEVELOPMENT]],Data[],9,FALSE)</f>
        <v>0</v>
      </c>
      <c r="I90" s="1" t="str">
        <f ca="1">IFERROR(VLOOKUP(FWD[[#This Row],[DEVELOPMENT]],Data[],4,FALSE),"")</f>
        <v>2022-2025</v>
      </c>
      <c r="J90" s="51" t="str">
        <f ca="1">IF(FWD[[#This Row],[RAD/PACT]]="","",IF(OR(FWD[[#This Row],[RAD/PACT]]="2021-2025",FWD[[#This Row],[RAD/PACT]]="2019-2020"),"Yes",""))</f>
        <v/>
      </c>
      <c r="K90" s="1"/>
      <c r="L90" s="1"/>
      <c r="M90" s="1"/>
      <c r="N90" s="1"/>
      <c r="O90" s="3">
        <f ca="1">IF(FWD[[#This Row],[RAD/PACT]]="2019-2020",0,INDEX(UnitCosts[],MATCH(FWD[[#This Row],[WORK TYPE]],UnitCosts[Work Type],0),2)*FWD[[#This Row],[Dwelling Units]])</f>
        <v>379840.64437413967</v>
      </c>
      <c r="P90" s="3"/>
      <c r="Q90" s="3"/>
      <c r="R90" s="69">
        <f t="shared" ca="1" si="1"/>
        <v>2497323.3315639137</v>
      </c>
      <c r="S90" s="71">
        <f ca="1">SUM(INDEX(FWD[Dwelling Units],1):FWD[[#This Row],[Dwelling Units]])</f>
        <v>43083</v>
      </c>
      <c r="T90" s="71">
        <f ca="1">IF(ISBLANK(FWD[[#This Row],[CALENDAR YEAR]]),ROUNDDOWN(FWD[[#This Row],[Running count]]/3000,0)+$T$1,FWD[[#This Row],[CALENDAR YEAR]])</f>
        <v>2034</v>
      </c>
    </row>
    <row r="91" spans="1:20">
      <c r="A91" s="65" t="s">
        <v>280</v>
      </c>
      <c r="B91" s="1" t="str">
        <f>VLOOKUP(A91,Data[],2,FALSE)</f>
        <v>BRONX</v>
      </c>
      <c r="C91" s="1">
        <f>VLOOKUP(FWD[[#This Row],[DEVELOPMENT]],Data[],25,FALSE)</f>
        <v>0</v>
      </c>
      <c r="D91" s="9" t="s">
        <v>49</v>
      </c>
      <c r="E91" s="50">
        <f>VLOOKUP(FWD[[#This Row],[DEVELOPMENT]],Data[],7,FALSE)</f>
        <v>111</v>
      </c>
      <c r="F91" s="50" t="e">
        <f>VLOOKUP(FWD[[#This Row],[DEVELOPMENT]],all[[DEVELOPMENT]:[MRST Ext. Comp. Priority]],5,FALSE)</f>
        <v>#N/A</v>
      </c>
      <c r="G91" s="50" t="str">
        <f>VLOOKUP(FWD[[#This Row],[DEVELOPMENT]],Data[],8,FALSE)</f>
        <v>Zone 4</v>
      </c>
      <c r="H91" s="9">
        <f>VLOOKUP(FWD[[#This Row],[DEVELOPMENT]],Data[],9,FALSE)</f>
        <v>0</v>
      </c>
      <c r="I91" s="1" t="str">
        <f ca="1">IFERROR(VLOOKUP(FWD[[#This Row],[DEVELOPMENT]],Data[],4,FALSE),"")</f>
        <v/>
      </c>
      <c r="J91" s="51" t="str">
        <f ca="1">IF(FWD[[#This Row],[RAD/PACT]]="","",IF(OR(FWD[[#This Row],[RAD/PACT]]="2021-2025",FWD[[#This Row],[RAD/PACT]]="2019-2020"),"Yes",""))</f>
        <v/>
      </c>
      <c r="K91" s="1"/>
      <c r="L91" s="1"/>
      <c r="M91" s="1"/>
      <c r="N91" s="1"/>
      <c r="O91" s="3">
        <f ca="1">IF(FWD[[#This Row],[RAD/PACT]]="2019-2020",0,INDEX(UnitCosts[],MATCH(FWD[[#This Row],[WORK TYPE]],UnitCosts[Work Type],0),2)*FWD[[#This Row],[Dwelling Units]])</f>
        <v>190779.69016076697</v>
      </c>
      <c r="P91" s="3"/>
      <c r="Q91" s="3"/>
      <c r="R91" s="69">
        <f t="shared" ca="1" si="1"/>
        <v>2688103.0217246809</v>
      </c>
      <c r="S91" s="71">
        <f ca="1">SUM(INDEX(FWD[Dwelling Units],1):FWD[[#This Row],[Dwelling Units]])</f>
        <v>43194</v>
      </c>
      <c r="T91" s="71">
        <f ca="1">IF(ISBLANK(FWD[[#This Row],[CALENDAR YEAR]]),ROUNDDOWN(FWD[[#This Row],[Running count]]/3000,0)+$T$1,FWD[[#This Row],[CALENDAR YEAR]])</f>
        <v>2034</v>
      </c>
    </row>
    <row r="92" spans="1:20">
      <c r="A92" s="65" t="s">
        <v>284</v>
      </c>
      <c r="B92" s="1" t="str">
        <f>VLOOKUP(A92,Data[],2,FALSE)</f>
        <v>BRONX</v>
      </c>
      <c r="C92" s="1">
        <f>VLOOKUP(FWD[[#This Row],[DEVELOPMENT]],Data[],25,FALSE)</f>
        <v>0</v>
      </c>
      <c r="D92" s="9" t="s">
        <v>49</v>
      </c>
      <c r="E92" s="50">
        <f>VLOOKUP(FWD[[#This Row],[DEVELOPMENT]],Data[],7,FALSE)</f>
        <v>168</v>
      </c>
      <c r="F92" s="50" t="e">
        <f>VLOOKUP(FWD[[#This Row],[DEVELOPMENT]],all[[DEVELOPMENT]:[MRST Ext. Comp. Priority]],5,FALSE)</f>
        <v>#N/A</v>
      </c>
      <c r="G92" s="50" t="str">
        <f>VLOOKUP(FWD[[#This Row],[DEVELOPMENT]],Data[],8,FALSE)</f>
        <v>Zone 4</v>
      </c>
      <c r="H92" s="9">
        <f>VLOOKUP(FWD[[#This Row],[DEVELOPMENT]],Data[],9,FALSE)</f>
        <v>0</v>
      </c>
      <c r="I92" s="1" t="str">
        <f ca="1">IFERROR(VLOOKUP(FWD[[#This Row],[DEVELOPMENT]],Data[],4,FALSE),"")</f>
        <v/>
      </c>
      <c r="J92" s="51" t="str">
        <f ca="1">IF(FWD[[#This Row],[RAD/PACT]]="","",IF(OR(FWD[[#This Row],[RAD/PACT]]="2021-2025",FWD[[#This Row],[RAD/PACT]]="2019-2020"),"Yes",""))</f>
        <v/>
      </c>
      <c r="K92" s="1"/>
      <c r="L92" s="1"/>
      <c r="M92" s="1"/>
      <c r="N92" s="1"/>
      <c r="O92" s="3">
        <f ca="1">IF(FWD[[#This Row],[RAD/PACT]]="2019-2020",0,INDEX(UnitCosts[],MATCH(FWD[[#This Row],[WORK TYPE]],UnitCosts[Work Type],0),2)*FWD[[#This Row],[Dwelling Units]])</f>
        <v>288747.63916224189</v>
      </c>
      <c r="P92" s="3"/>
      <c r="Q92" s="3"/>
      <c r="R92" s="69">
        <f t="shared" ca="1" si="1"/>
        <v>2976850.6608869229</v>
      </c>
      <c r="S92" s="71">
        <f ca="1">SUM(INDEX(FWD[Dwelling Units],1):FWD[[#This Row],[Dwelling Units]])</f>
        <v>43362</v>
      </c>
      <c r="T92" s="71">
        <f ca="1">IF(ISBLANK(FWD[[#This Row],[CALENDAR YEAR]]),ROUNDDOWN(FWD[[#This Row],[Running count]]/3000,0)+$T$1,FWD[[#This Row],[CALENDAR YEAR]])</f>
        <v>2034</v>
      </c>
    </row>
    <row r="93" spans="1:20">
      <c r="A93" s="65" t="s">
        <v>121</v>
      </c>
      <c r="B93" s="1" t="str">
        <f>VLOOKUP(A93,Data[],2,FALSE)</f>
        <v>BRONX</v>
      </c>
      <c r="C93" s="1">
        <f>VLOOKUP(FWD[[#This Row],[DEVELOPMENT]],Data[],25,FALSE)</f>
        <v>0</v>
      </c>
      <c r="D93" s="9" t="s">
        <v>49</v>
      </c>
      <c r="E93" s="50">
        <f>VLOOKUP(FWD[[#This Row],[DEVELOPMENT]],Data[],7,FALSE)</f>
        <v>239</v>
      </c>
      <c r="F93" s="50" t="e">
        <f>VLOOKUP(FWD[[#This Row],[DEVELOPMENT]],all[[DEVELOPMENT]:[MRST Ext. Comp. Priority]],5,FALSE)</f>
        <v>#N/A</v>
      </c>
      <c r="G93" s="50" t="str">
        <f>VLOOKUP(FWD[[#This Row],[DEVELOPMENT]],Data[],8,FALSE)</f>
        <v>Zone 1</v>
      </c>
      <c r="H93" s="9">
        <f>VLOOKUP(FWD[[#This Row],[DEVELOPMENT]],Data[],9,FALSE)</f>
        <v>3</v>
      </c>
      <c r="I93" s="1" t="str">
        <f ca="1">IFERROR(VLOOKUP(FWD[[#This Row],[DEVELOPMENT]],Data[],4,FALSE),"")</f>
        <v/>
      </c>
      <c r="J93" s="51" t="str">
        <f ca="1">IF(FWD[[#This Row],[RAD/PACT]]="","",IF(OR(FWD[[#This Row],[RAD/PACT]]="2021-2025",FWD[[#This Row],[RAD/PACT]]="2019-2020"),"Yes",""))</f>
        <v/>
      </c>
      <c r="K93" s="1"/>
      <c r="L93" s="1"/>
      <c r="M93" s="1"/>
      <c r="N93" s="1"/>
      <c r="O93" s="3">
        <f ca="1">IF(FWD[[#This Row],[RAD/PACT]]="2019-2020",0,INDEX(UnitCosts[],MATCH(FWD[[#This Row],[WORK TYPE]],UnitCosts[Work Type],0),2)*FWD[[#This Row],[Dwelling Units]])</f>
        <v>410777.89142723696</v>
      </c>
      <c r="P93" s="3"/>
      <c r="Q93" s="3"/>
      <c r="R93" s="69">
        <f t="shared" ca="1" si="1"/>
        <v>3387628.5523141599</v>
      </c>
      <c r="S93" s="71">
        <f ca="1">SUM(INDEX(FWD[Dwelling Units],1):FWD[[#This Row],[Dwelling Units]])</f>
        <v>43601</v>
      </c>
      <c r="T93" s="71">
        <f ca="1">IF(ISBLANK(FWD[[#This Row],[CALENDAR YEAR]]),ROUNDDOWN(FWD[[#This Row],[Running count]]/3000,0)+$T$1,FWD[[#This Row],[CALENDAR YEAR]])</f>
        <v>2034</v>
      </c>
    </row>
    <row r="94" spans="1:20">
      <c r="A94" s="65" t="s">
        <v>316</v>
      </c>
      <c r="B94" s="1" t="str">
        <f>VLOOKUP(A94,Data[],2,FALSE)</f>
        <v>BROOKLYN</v>
      </c>
      <c r="C94" s="1">
        <f>VLOOKUP(FWD[[#This Row],[DEVELOPMENT]],Data[],25,FALSE)</f>
        <v>0</v>
      </c>
      <c r="D94" s="9" t="s">
        <v>49</v>
      </c>
      <c r="E94" s="50">
        <f>VLOOKUP(FWD[[#This Row],[DEVELOPMENT]],Data[],7,FALSE)</f>
        <v>66</v>
      </c>
      <c r="F94" s="50" t="e">
        <f>VLOOKUP(FWD[[#This Row],[DEVELOPMENT]],all[[DEVELOPMENT]:[MRST Ext. Comp. Priority]],5,FALSE)</f>
        <v>#N/A</v>
      </c>
      <c r="G94" s="50">
        <f>VLOOKUP(FWD[[#This Row],[DEVELOPMENT]],Data[],8,FALSE)</f>
        <v>0</v>
      </c>
      <c r="H94" s="9">
        <f>VLOOKUP(FWD[[#This Row],[DEVELOPMENT]],Data[],9,FALSE)</f>
        <v>0</v>
      </c>
      <c r="I94" s="1" t="str">
        <f ca="1">IFERROR(VLOOKUP(FWD[[#This Row],[DEVELOPMENT]],Data[],4,FALSE),"")</f>
        <v>2022-2025</v>
      </c>
      <c r="J94" s="51" t="str">
        <f ca="1">IF(FWD[[#This Row],[RAD/PACT]]="","",IF(OR(FWD[[#This Row],[RAD/PACT]]="2021-2025",FWD[[#This Row],[RAD/PACT]]="2019-2020"),"Yes",""))</f>
        <v/>
      </c>
      <c r="K94" s="1"/>
      <c r="L94" s="1"/>
      <c r="M94" s="1"/>
      <c r="N94" s="1"/>
      <c r="O94" s="3">
        <f ca="1">IF(FWD[[#This Row],[RAD/PACT]]="2019-2020",0,INDEX(UnitCosts[],MATCH(FWD[[#This Row],[WORK TYPE]],UnitCosts[Work Type],0),2)*FWD[[#This Row],[Dwelling Units]])</f>
        <v>113436.57252802361</v>
      </c>
      <c r="P94" s="3"/>
      <c r="Q94" s="3"/>
      <c r="R94" s="69">
        <f t="shared" ca="1" si="1"/>
        <v>3501065.1248421837</v>
      </c>
      <c r="S94" s="71">
        <f ca="1">SUM(INDEX(FWD[Dwelling Units],1):FWD[[#This Row],[Dwelling Units]])</f>
        <v>43667</v>
      </c>
      <c r="T94" s="71">
        <f ca="1">IF(ISBLANK(FWD[[#This Row],[CALENDAR YEAR]]),ROUNDDOWN(FWD[[#This Row],[Running count]]/3000,0)+$T$1,FWD[[#This Row],[CALENDAR YEAR]])</f>
        <v>2034</v>
      </c>
    </row>
    <row r="95" spans="1:20">
      <c r="A95" s="65" t="s">
        <v>78</v>
      </c>
      <c r="B95" s="1" t="str">
        <f>VLOOKUP(A95,Data[],2,FALSE)</f>
        <v>MANHATTAN</v>
      </c>
      <c r="C95" s="1">
        <f>VLOOKUP(FWD[[#This Row],[DEVELOPMENT]],Data[],25,FALSE)</f>
        <v>0</v>
      </c>
      <c r="D95" s="9" t="s">
        <v>49</v>
      </c>
      <c r="E95" s="50">
        <f>VLOOKUP(FWD[[#This Row],[DEVELOPMENT]],Data[],7,FALSE)</f>
        <v>1156</v>
      </c>
      <c r="F95" s="50" t="e">
        <f>VLOOKUP(FWD[[#This Row],[DEVELOPMENT]],all[[DEVELOPMENT]:[MRST Ext. Comp. Priority]],5,FALSE)</f>
        <v>#N/A</v>
      </c>
      <c r="G95" s="50" t="str">
        <f>VLOOKUP(FWD[[#This Row],[DEVELOPMENT]],Data[],8,FALSE)</f>
        <v>Zone 2</v>
      </c>
      <c r="H95" s="9">
        <f>VLOOKUP(FWD[[#This Row],[DEVELOPMENT]],Data[],9,FALSE)</f>
        <v>4</v>
      </c>
      <c r="I95" s="1" t="str">
        <f ca="1">IFERROR(VLOOKUP(FWD[[#This Row],[DEVELOPMENT]],Data[],4,FALSE),"")</f>
        <v>2022-2025</v>
      </c>
      <c r="J95" s="51" t="str">
        <f ca="1">IF(FWD[[#This Row],[RAD/PACT]]="","",IF(OR(FWD[[#This Row],[RAD/PACT]]="2021-2025",FWD[[#This Row],[RAD/PACT]]="2019-2020"),"Yes",""))</f>
        <v/>
      </c>
      <c r="K95" s="1"/>
      <c r="L95" s="1"/>
      <c r="M95" s="1"/>
      <c r="N95" s="1"/>
      <c r="O95" s="3">
        <f ca="1">IF(FWD[[#This Row],[RAD/PACT]]="2019-2020",0,INDEX(UnitCosts[],MATCH(FWD[[#This Row],[WORK TYPE]],UnitCosts[Work Type],0),2)*FWD[[#This Row],[Dwelling Units]])</f>
        <v>1986858.7551878074</v>
      </c>
      <c r="P95" s="3"/>
      <c r="Q95" s="3"/>
      <c r="R95" s="69">
        <f t="shared" ca="1" si="1"/>
        <v>5487923.8800299913</v>
      </c>
      <c r="S95" s="71">
        <f ca="1">SUM(INDEX(FWD[Dwelling Units],1):FWD[[#This Row],[Dwelling Units]])</f>
        <v>44823</v>
      </c>
      <c r="T95" s="71">
        <f ca="1">IF(ISBLANK(FWD[[#This Row],[CALENDAR YEAR]]),ROUNDDOWN(FWD[[#This Row],[Running count]]/3000,0)+$T$1,FWD[[#This Row],[CALENDAR YEAR]])</f>
        <v>2034</v>
      </c>
    </row>
    <row r="96" spans="1:20">
      <c r="A96" s="65" t="s">
        <v>317</v>
      </c>
      <c r="B96" s="1" t="str">
        <f>VLOOKUP(A96,Data[],2,FALSE)</f>
        <v>BRONX</v>
      </c>
      <c r="C96" s="1">
        <f>VLOOKUP(FWD[[#This Row],[DEVELOPMENT]],Data[],25,FALSE)</f>
        <v>0</v>
      </c>
      <c r="D96" s="9" t="s">
        <v>49</v>
      </c>
      <c r="E96" s="50">
        <f>VLOOKUP(FWD[[#This Row],[DEVELOPMENT]],Data[],7,FALSE)</f>
        <v>877</v>
      </c>
      <c r="F96" s="50" t="e">
        <f>VLOOKUP(FWD[[#This Row],[DEVELOPMENT]],all[[DEVELOPMENT]:[MRST Ext. Comp. Priority]],5,FALSE)</f>
        <v>#N/A</v>
      </c>
      <c r="G96" s="50">
        <f>VLOOKUP(FWD[[#This Row],[DEVELOPMENT]],Data[],8,FALSE)</f>
        <v>0</v>
      </c>
      <c r="H96" s="9">
        <f>VLOOKUP(FWD[[#This Row],[DEVELOPMENT]],Data[],9,FALSE)</f>
        <v>0</v>
      </c>
      <c r="I96" s="1" t="str">
        <f ca="1">IFERROR(VLOOKUP(FWD[[#This Row],[DEVELOPMENT]],Data[],4,FALSE),"")</f>
        <v>2026+</v>
      </c>
      <c r="J96" s="51" t="str">
        <f ca="1">IF(FWD[[#This Row],[RAD/PACT]]="","",IF(OR(FWD[[#This Row],[RAD/PACT]]="2021-2025",FWD[[#This Row],[RAD/PACT]]="2019-2020"),"Yes",""))</f>
        <v/>
      </c>
      <c r="K96" s="1"/>
      <c r="L96" s="1"/>
      <c r="M96" s="1"/>
      <c r="N96" s="1"/>
      <c r="O96" s="3">
        <f ca="1">IF(FWD[[#This Row],[RAD/PACT]]="2019-2020",0,INDEX(UnitCosts[],MATCH(FWD[[#This Row],[WORK TYPE]],UnitCosts[Work Type],0),2)*FWD[[#This Row],[Dwelling Units]])</f>
        <v>1507331.4258647985</v>
      </c>
      <c r="P96" s="3"/>
      <c r="Q96" s="3"/>
      <c r="R96" s="69">
        <f t="shared" ca="1" si="1"/>
        <v>1507331.4258647985</v>
      </c>
      <c r="S96" s="71">
        <f ca="1">SUM(INDEX(FWD[Dwelling Units],1):FWD[[#This Row],[Dwelling Units]])</f>
        <v>45700</v>
      </c>
      <c r="T96" s="71">
        <f ca="1">IF(ISBLANK(FWD[[#This Row],[CALENDAR YEAR]]),ROUNDDOWN(FWD[[#This Row],[Running count]]/3000,0)+$T$1,FWD[[#This Row],[CALENDAR YEAR]])</f>
        <v>2035</v>
      </c>
    </row>
    <row r="97" spans="1:20">
      <c r="A97" s="65" t="s">
        <v>201</v>
      </c>
      <c r="B97" s="1" t="str">
        <f>VLOOKUP(A97,Data[],2,FALSE)</f>
        <v>BRONX</v>
      </c>
      <c r="C97" s="1">
        <f>VLOOKUP(FWD[[#This Row],[DEVELOPMENT]],Data[],25,FALSE)</f>
        <v>0</v>
      </c>
      <c r="D97" s="9" t="s">
        <v>49</v>
      </c>
      <c r="E97" s="50">
        <f>VLOOKUP(FWD[[#This Row],[DEVELOPMENT]],Data[],7,FALSE)</f>
        <v>2035</v>
      </c>
      <c r="F97" s="50" t="e">
        <f>VLOOKUP(FWD[[#This Row],[DEVELOPMENT]],all[[DEVELOPMENT]:[MRST Ext. Comp. Priority]],5,FALSE)</f>
        <v>#N/A</v>
      </c>
      <c r="G97" s="50">
        <f>VLOOKUP(FWD[[#This Row],[DEVELOPMENT]],Data[],8,FALSE)</f>
        <v>0</v>
      </c>
      <c r="H97" s="9">
        <f>VLOOKUP(FWD[[#This Row],[DEVELOPMENT]],Data[],9,FALSE)</f>
        <v>0</v>
      </c>
      <c r="I97" s="1" t="str">
        <f ca="1">IFERROR(VLOOKUP(FWD[[#This Row],[DEVELOPMENT]],Data[],4,FALSE),"")</f>
        <v>2022-2025</v>
      </c>
      <c r="J97" s="51" t="str">
        <f ca="1">IF(FWD[[#This Row],[RAD/PACT]]="","",IF(OR(FWD[[#This Row],[RAD/PACT]]="2021-2025",FWD[[#This Row],[RAD/PACT]]="2019-2020"),"Yes",""))</f>
        <v/>
      </c>
      <c r="K97" s="1"/>
      <c r="L97" s="1"/>
      <c r="M97" s="1"/>
      <c r="N97" s="1"/>
      <c r="O97" s="3">
        <f ca="1">IF(FWD[[#This Row],[RAD/PACT]]="2019-2020",0,INDEX(UnitCosts[],MATCH(FWD[[#This Row],[WORK TYPE]],UnitCosts[Work Type],0),2)*FWD[[#This Row],[Dwelling Units]])</f>
        <v>3497627.6529473942</v>
      </c>
      <c r="P97" s="3"/>
      <c r="Q97" s="3"/>
      <c r="R97" s="69">
        <f t="shared" ca="1" si="1"/>
        <v>5004959.0788121931</v>
      </c>
      <c r="S97" s="71">
        <f ca="1">SUM(INDEX(FWD[Dwelling Units],1):FWD[[#This Row],[Dwelling Units]])</f>
        <v>47735</v>
      </c>
      <c r="T97" s="71">
        <f ca="1">IF(ISBLANK(FWD[[#This Row],[CALENDAR YEAR]]),ROUNDDOWN(FWD[[#This Row],[Running count]]/3000,0)+$T$1,FWD[[#This Row],[CALENDAR YEAR]])</f>
        <v>2035</v>
      </c>
    </row>
    <row r="98" spans="1:20">
      <c r="A98" s="65" t="s">
        <v>221</v>
      </c>
      <c r="B98" s="1" t="str">
        <f>VLOOKUP(A98,Data[],2,FALSE)</f>
        <v>MANHATTAN</v>
      </c>
      <c r="C98" s="1">
        <f>VLOOKUP(FWD[[#This Row],[DEVELOPMENT]],Data[],25,FALSE)</f>
        <v>0</v>
      </c>
      <c r="D98" s="9" t="s">
        <v>49</v>
      </c>
      <c r="E98" s="50">
        <f>VLOOKUP(FWD[[#This Row],[DEVELOPMENT]],Data[],7,FALSE)</f>
        <v>606</v>
      </c>
      <c r="F98" s="50" t="e">
        <f>VLOOKUP(FWD[[#This Row],[DEVELOPMENT]],all[[DEVELOPMENT]:[MRST Ext. Comp. Priority]],5,FALSE)</f>
        <v>#N/A</v>
      </c>
      <c r="G98" s="50" t="str">
        <f>VLOOKUP(FWD[[#This Row],[DEVELOPMENT]],Data[],8,FALSE)</f>
        <v>Zone 3</v>
      </c>
      <c r="H98" s="9">
        <f>VLOOKUP(FWD[[#This Row],[DEVELOPMENT]],Data[],9,FALSE)</f>
        <v>0</v>
      </c>
      <c r="I98" s="1" t="str">
        <f ca="1">IFERROR(VLOOKUP(FWD[[#This Row],[DEVELOPMENT]],Data[],4,FALSE),"")</f>
        <v/>
      </c>
      <c r="J98" s="51" t="str">
        <f ca="1">IF(FWD[[#This Row],[RAD/PACT]]="","",IF(OR(FWD[[#This Row],[RAD/PACT]]="2021-2025",FWD[[#This Row],[RAD/PACT]]="2019-2020"),"Yes",""))</f>
        <v/>
      </c>
      <c r="K98" s="1"/>
      <c r="L98" s="1"/>
      <c r="M98" s="1"/>
      <c r="N98" s="1"/>
      <c r="O98" s="3">
        <f ca="1">IF(FWD[[#This Row],[RAD/PACT]]="2019-2020",0,INDEX(UnitCosts[],MATCH(FWD[[#This Row],[WORK TYPE]],UnitCosts[Work Type],0),2)*FWD[[#This Row],[Dwelling Units]])</f>
        <v>1041553.9841209439</v>
      </c>
      <c r="P98" s="3"/>
      <c r="Q98" s="3"/>
      <c r="R98" s="69">
        <f t="shared" ca="1" si="1"/>
        <v>1041553.9841209439</v>
      </c>
      <c r="S98" s="71">
        <f ca="1">SUM(INDEX(FWD[Dwelling Units],1):FWD[[#This Row],[Dwelling Units]])</f>
        <v>48341</v>
      </c>
      <c r="T98" s="71">
        <f ca="1">IF(ISBLANK(FWD[[#This Row],[CALENDAR YEAR]]),ROUNDDOWN(FWD[[#This Row],[Running count]]/3000,0)+$T$1,FWD[[#This Row],[CALENDAR YEAR]])</f>
        <v>2036</v>
      </c>
    </row>
    <row r="99" spans="1:20">
      <c r="A99" s="65" t="s">
        <v>202</v>
      </c>
      <c r="B99" s="1" t="str">
        <f>VLOOKUP(A99,Data[],2,FALSE)</f>
        <v>BROOKLYN</v>
      </c>
      <c r="C99" s="1" t="str">
        <f>VLOOKUP(FWD[[#This Row],[DEVELOPMENT]],Data[],25,FALSE)</f>
        <v>Newtown Creek</v>
      </c>
      <c r="D99" s="9" t="s">
        <v>49</v>
      </c>
      <c r="E99" s="50">
        <f>VLOOKUP(FWD[[#This Row],[DEVELOPMENT]],Data[],7,FALSE)</f>
        <v>1389</v>
      </c>
      <c r="F99" s="50" t="e">
        <f>VLOOKUP(FWD[[#This Row],[DEVELOPMENT]],all[[DEVELOPMENT]:[MRST Ext. Comp. Priority]],5,FALSE)</f>
        <v>#N/A</v>
      </c>
      <c r="G99" s="50">
        <f>VLOOKUP(FWD[[#This Row],[DEVELOPMENT]],Data[],8,FALSE)</f>
        <v>0</v>
      </c>
      <c r="H99" s="9">
        <f>VLOOKUP(FWD[[#This Row],[DEVELOPMENT]],Data[],9,FALSE)</f>
        <v>0</v>
      </c>
      <c r="I99" s="1" t="str">
        <f ca="1">IFERROR(VLOOKUP(FWD[[#This Row],[DEVELOPMENT]],Data[],4,FALSE),"")</f>
        <v>2026+</v>
      </c>
      <c r="J99" s="51" t="str">
        <f ca="1">IF(FWD[[#This Row],[RAD/PACT]]="","",IF(OR(FWD[[#This Row],[RAD/PACT]]="2021-2025",FWD[[#This Row],[RAD/PACT]]="2019-2020"),"Yes",""))</f>
        <v/>
      </c>
      <c r="K99" s="1"/>
      <c r="L99" s="1"/>
      <c r="M99" s="1"/>
      <c r="N99" s="1"/>
      <c r="O99" s="3">
        <f ca="1">IF(FWD[[#This Row],[RAD/PACT]]="2019-2020",0,INDEX(UnitCosts[],MATCH(FWD[[#This Row],[WORK TYPE]],UnitCosts[Work Type],0),2)*FWD[[#This Row],[Dwelling Units]])</f>
        <v>2387324.2309306785</v>
      </c>
      <c r="P99" s="3"/>
      <c r="Q99" s="3"/>
      <c r="R99" s="69">
        <f t="shared" ca="1" si="1"/>
        <v>3428878.2150516226</v>
      </c>
      <c r="S99" s="71">
        <f ca="1">SUM(INDEX(FWD[Dwelling Units],1):FWD[[#This Row],[Dwelling Units]])</f>
        <v>49730</v>
      </c>
      <c r="T99" s="71">
        <f ca="1">IF(ISBLANK(FWD[[#This Row],[CALENDAR YEAR]]),ROUNDDOWN(FWD[[#This Row],[Running count]]/3000,0)+$T$1,FWD[[#This Row],[CALENDAR YEAR]])</f>
        <v>2036</v>
      </c>
    </row>
    <row r="100" spans="1:20">
      <c r="A100" s="65" t="s">
        <v>318</v>
      </c>
      <c r="B100" s="1" t="str">
        <f>VLOOKUP(A100,Data[],2,FALSE)</f>
        <v>BROOKLYN</v>
      </c>
      <c r="C100" s="1">
        <f>VLOOKUP(FWD[[#This Row],[DEVELOPMENT]],Data[],25,FALSE)</f>
        <v>0</v>
      </c>
      <c r="D100" s="9" t="s">
        <v>49</v>
      </c>
      <c r="E100" s="50">
        <f>VLOOKUP(FWD[[#This Row],[DEVELOPMENT]],Data[],7,FALSE)</f>
        <v>36</v>
      </c>
      <c r="F100" s="50" t="e">
        <f>VLOOKUP(FWD[[#This Row],[DEVELOPMENT]],all[[DEVELOPMENT]:[MRST Ext. Comp. Priority]],5,FALSE)</f>
        <v>#N/A</v>
      </c>
      <c r="G100" s="50">
        <f>VLOOKUP(FWD[[#This Row],[DEVELOPMENT]],Data[],8,FALSE)</f>
        <v>0</v>
      </c>
      <c r="H100" s="9">
        <f>VLOOKUP(FWD[[#This Row],[DEVELOPMENT]],Data[],9,FALSE)</f>
        <v>0</v>
      </c>
      <c r="I100" s="1" t="str">
        <f ca="1">IFERROR(VLOOKUP(FWD[[#This Row],[DEVELOPMENT]],Data[],4,FALSE),"")</f>
        <v>2020-2021</v>
      </c>
      <c r="J100" s="51" t="str">
        <f ca="1">IF(FWD[[#This Row],[RAD/PACT]]="","",IF(OR(FWD[[#This Row],[RAD/PACT]]="2021-2025",FWD[[#This Row],[RAD/PACT]]="2019-2020"),"Yes",""))</f>
        <v/>
      </c>
      <c r="K100" s="1"/>
      <c r="L100" s="1"/>
      <c r="M100" s="1"/>
      <c r="N100" s="1"/>
      <c r="O100" s="3">
        <f ca="1">IF(FWD[[#This Row],[RAD/PACT]]="2019-2020",0,INDEX(UnitCosts[],MATCH(FWD[[#This Row],[WORK TYPE]],UnitCosts[Work Type],0),2)*FWD[[#This Row],[Dwelling Units]])</f>
        <v>61874.494106194688</v>
      </c>
      <c r="P100" s="3"/>
      <c r="Q100" s="3"/>
      <c r="R100" s="69">
        <f t="shared" ca="1" si="1"/>
        <v>3490752.7091578171</v>
      </c>
      <c r="S100" s="71">
        <f ca="1">SUM(INDEX(FWD[Dwelling Units],1):FWD[[#This Row],[Dwelling Units]])</f>
        <v>49766</v>
      </c>
      <c r="T100" s="71">
        <f ca="1">IF(ISBLANK(FWD[[#This Row],[CALENDAR YEAR]]),ROUNDDOWN(FWD[[#This Row],[Running count]]/3000,0)+$T$1,FWD[[#This Row],[CALENDAR YEAR]])</f>
        <v>2036</v>
      </c>
    </row>
    <row r="101" spans="1:20">
      <c r="A101" s="65" t="s">
        <v>319</v>
      </c>
      <c r="B101" s="1">
        <f>VLOOKUP(A101,Data[],2,FALSE)</f>
        <v>0</v>
      </c>
      <c r="C101" s="1">
        <f>VLOOKUP(FWD[[#This Row],[DEVELOPMENT]],Data[],25,FALSE)</f>
        <v>0</v>
      </c>
      <c r="D101" s="9" t="s">
        <v>49</v>
      </c>
      <c r="E101" s="50">
        <f>VLOOKUP(FWD[[#This Row],[DEVELOPMENT]],Data[],7,FALSE)</f>
        <v>21</v>
      </c>
      <c r="F101" s="50" t="e">
        <f>VLOOKUP(FWD[[#This Row],[DEVELOPMENT]],all[[DEVELOPMENT]:[MRST Ext. Comp. Priority]],5,FALSE)</f>
        <v>#N/A</v>
      </c>
      <c r="G101" s="50">
        <f>VLOOKUP(FWD[[#This Row],[DEVELOPMENT]],Data[],8,FALSE)</f>
        <v>0</v>
      </c>
      <c r="H101" s="9">
        <f>VLOOKUP(FWD[[#This Row],[DEVELOPMENT]],Data[],9,FALSE)</f>
        <v>0</v>
      </c>
      <c r="I101" s="1" t="str">
        <f ca="1">IFERROR(VLOOKUP(FWD[[#This Row],[DEVELOPMENT]],Data[],4,FALSE),"")</f>
        <v/>
      </c>
      <c r="J101" s="51" t="str">
        <f ca="1">IF(FWD[[#This Row],[RAD/PACT]]="","",IF(OR(FWD[[#This Row],[RAD/PACT]]="2021-2025",FWD[[#This Row],[RAD/PACT]]="2019-2020"),"Yes",""))</f>
        <v/>
      </c>
      <c r="K101" s="1"/>
      <c r="L101" s="1"/>
      <c r="M101" s="1"/>
      <c r="N101" s="1"/>
      <c r="O101" s="3">
        <f ca="1">IF(FWD[[#This Row],[RAD/PACT]]="2019-2020",0,INDEX(UnitCosts[],MATCH(FWD[[#This Row],[WORK TYPE]],UnitCosts[Work Type],0),2)*FWD[[#This Row],[Dwelling Units]])</f>
        <v>36093.454895280236</v>
      </c>
      <c r="P101" s="3"/>
      <c r="Q101" s="3"/>
      <c r="R101" s="69">
        <f t="shared" ca="1" si="1"/>
        <v>3526846.1640530974</v>
      </c>
      <c r="S101" s="71">
        <f ca="1">SUM(INDEX(FWD[Dwelling Units],1):FWD[[#This Row],[Dwelling Units]])</f>
        <v>49787</v>
      </c>
      <c r="T101" s="71">
        <f ca="1">IF(ISBLANK(FWD[[#This Row],[CALENDAR YEAR]]),ROUNDDOWN(FWD[[#This Row],[Running count]]/3000,0)+$T$1,FWD[[#This Row],[CALENDAR YEAR]])</f>
        <v>2036</v>
      </c>
    </row>
    <row r="102" spans="1:20">
      <c r="A102" s="65" t="s">
        <v>237</v>
      </c>
      <c r="B102" s="1">
        <f>VLOOKUP(A102,Data[],2,FALSE)</f>
        <v>0</v>
      </c>
      <c r="C102" s="1">
        <f>VLOOKUP(FWD[[#This Row],[DEVELOPMENT]],Data[],25,FALSE)</f>
        <v>0</v>
      </c>
      <c r="D102" s="9" t="s">
        <v>49</v>
      </c>
      <c r="E102" s="50">
        <f>VLOOKUP(FWD[[#This Row],[DEVELOPMENT]],Data[],7,FALSE)</f>
        <v>10</v>
      </c>
      <c r="F102" s="50" t="e">
        <f>VLOOKUP(FWD[[#This Row],[DEVELOPMENT]],all[[DEVELOPMENT]:[MRST Ext. Comp. Priority]],5,FALSE)</f>
        <v>#N/A</v>
      </c>
      <c r="G102" s="50">
        <f>VLOOKUP(FWD[[#This Row],[DEVELOPMENT]],Data[],8,FALSE)</f>
        <v>0</v>
      </c>
      <c r="H102" s="9">
        <f>VLOOKUP(FWD[[#This Row],[DEVELOPMENT]],Data[],9,FALSE)</f>
        <v>0</v>
      </c>
      <c r="I102" s="1" t="str">
        <f ca="1">IFERROR(VLOOKUP(FWD[[#This Row],[DEVELOPMENT]],Data[],4,FALSE),"")</f>
        <v/>
      </c>
      <c r="J102" s="51" t="str">
        <f ca="1">IF(FWD[[#This Row],[RAD/PACT]]="","",IF(OR(FWD[[#This Row],[RAD/PACT]]="2021-2025",FWD[[#This Row],[RAD/PACT]]="2019-2020"),"Yes",""))</f>
        <v/>
      </c>
      <c r="K102" s="1"/>
      <c r="L102" s="1"/>
      <c r="M102" s="1"/>
      <c r="N102" s="1"/>
      <c r="O102" s="3">
        <f ca="1">IF(FWD[[#This Row],[RAD/PACT]]="2019-2020",0,INDEX(UnitCosts[],MATCH(FWD[[#This Row],[WORK TYPE]],UnitCosts[Work Type],0),2)*FWD[[#This Row],[Dwelling Units]])</f>
        <v>17187.359473942968</v>
      </c>
      <c r="P102" s="3"/>
      <c r="Q102" s="3"/>
      <c r="R102" s="69">
        <f t="shared" ca="1" si="1"/>
        <v>3544033.5235270401</v>
      </c>
      <c r="S102" s="71">
        <f ca="1">SUM(INDEX(FWD[Dwelling Units],1):FWD[[#This Row],[Dwelling Units]])</f>
        <v>49797</v>
      </c>
      <c r="T102" s="71">
        <f ca="1">IF(ISBLANK(FWD[[#This Row],[CALENDAR YEAR]]),ROUNDDOWN(FWD[[#This Row],[Running count]]/3000,0)+$T$1,FWD[[#This Row],[CALENDAR YEAR]])</f>
        <v>2036</v>
      </c>
    </row>
    <row r="103" spans="1:20">
      <c r="A103" s="65" t="s">
        <v>238</v>
      </c>
      <c r="B103" s="1">
        <f>VLOOKUP(A103,Data[],2,FALSE)</f>
        <v>0</v>
      </c>
      <c r="C103" s="1">
        <f>VLOOKUP(FWD[[#This Row],[DEVELOPMENT]],Data[],25,FALSE)</f>
        <v>0</v>
      </c>
      <c r="D103" s="9" t="s">
        <v>49</v>
      </c>
      <c r="E103" s="50">
        <f>VLOOKUP(FWD[[#This Row],[DEVELOPMENT]],Data[],7,FALSE)</f>
        <v>11</v>
      </c>
      <c r="F103" s="50" t="e">
        <f>VLOOKUP(FWD[[#This Row],[DEVELOPMENT]],all[[DEVELOPMENT]:[MRST Ext. Comp. Priority]],5,FALSE)</f>
        <v>#N/A</v>
      </c>
      <c r="G103" s="50">
        <f>VLOOKUP(FWD[[#This Row],[DEVELOPMENT]],Data[],8,FALSE)</f>
        <v>0</v>
      </c>
      <c r="H103" s="9">
        <f>VLOOKUP(FWD[[#This Row],[DEVELOPMENT]],Data[],9,FALSE)</f>
        <v>0</v>
      </c>
      <c r="I103" s="1" t="str">
        <f ca="1">IFERROR(VLOOKUP(FWD[[#This Row],[DEVELOPMENT]],Data[],4,FALSE),"")</f>
        <v/>
      </c>
      <c r="J103" s="51" t="str">
        <f ca="1">IF(FWD[[#This Row],[RAD/PACT]]="","",IF(OR(FWD[[#This Row],[RAD/PACT]]="2021-2025",FWD[[#This Row],[RAD/PACT]]="2019-2020"),"Yes",""))</f>
        <v/>
      </c>
      <c r="K103" s="1"/>
      <c r="L103" s="1"/>
      <c r="M103" s="1"/>
      <c r="N103" s="1"/>
      <c r="O103" s="3">
        <f ca="1">IF(FWD[[#This Row],[RAD/PACT]]="2019-2020",0,INDEX(UnitCosts[],MATCH(FWD[[#This Row],[WORK TYPE]],UnitCosts[Work Type],0),2)*FWD[[#This Row],[Dwelling Units]])</f>
        <v>18906.095421337268</v>
      </c>
      <c r="P103" s="3"/>
      <c r="Q103" s="3"/>
      <c r="R103" s="69">
        <f t="shared" ca="1" si="1"/>
        <v>3562939.6189483772</v>
      </c>
      <c r="S103" s="71">
        <f ca="1">SUM(INDEX(FWD[Dwelling Units],1):FWD[[#This Row],[Dwelling Units]])</f>
        <v>49808</v>
      </c>
      <c r="T103" s="71">
        <f ca="1">IF(ISBLANK(FWD[[#This Row],[CALENDAR YEAR]]),ROUNDDOWN(FWD[[#This Row],[Running count]]/3000,0)+$T$1,FWD[[#This Row],[CALENDAR YEAR]])</f>
        <v>2036</v>
      </c>
    </row>
    <row r="104" spans="1:20">
      <c r="A104" s="65" t="s">
        <v>239</v>
      </c>
      <c r="B104" s="1">
        <f>VLOOKUP(A104,Data[],2,FALSE)</f>
        <v>0</v>
      </c>
      <c r="C104" s="1">
        <f>VLOOKUP(FWD[[#This Row],[DEVELOPMENT]],Data[],25,FALSE)</f>
        <v>0</v>
      </c>
      <c r="D104" s="9" t="s">
        <v>49</v>
      </c>
      <c r="E104" s="50">
        <f>VLOOKUP(FWD[[#This Row],[DEVELOPMENT]],Data[],7,FALSE)</f>
        <v>10</v>
      </c>
      <c r="F104" s="50" t="e">
        <f>VLOOKUP(FWD[[#This Row],[DEVELOPMENT]],all[[DEVELOPMENT]:[MRST Ext. Comp. Priority]],5,FALSE)</f>
        <v>#N/A</v>
      </c>
      <c r="G104" s="50">
        <f>VLOOKUP(FWD[[#This Row],[DEVELOPMENT]],Data[],8,FALSE)</f>
        <v>0</v>
      </c>
      <c r="H104" s="9">
        <f>VLOOKUP(FWD[[#This Row],[DEVELOPMENT]],Data[],9,FALSE)</f>
        <v>0</v>
      </c>
      <c r="I104" s="1" t="str">
        <f ca="1">IFERROR(VLOOKUP(FWD[[#This Row],[DEVELOPMENT]],Data[],4,FALSE),"")</f>
        <v/>
      </c>
      <c r="J104" s="51" t="str">
        <f ca="1">IF(FWD[[#This Row],[RAD/PACT]]="","",IF(OR(FWD[[#This Row],[RAD/PACT]]="2021-2025",FWD[[#This Row],[RAD/PACT]]="2019-2020"),"Yes",""))</f>
        <v/>
      </c>
      <c r="K104" s="1"/>
      <c r="L104" s="1"/>
      <c r="M104" s="1"/>
      <c r="N104" s="1"/>
      <c r="O104" s="3">
        <f ca="1">IF(FWD[[#This Row],[RAD/PACT]]="2019-2020",0,INDEX(UnitCosts[],MATCH(FWD[[#This Row],[WORK TYPE]],UnitCosts[Work Type],0),2)*FWD[[#This Row],[Dwelling Units]])</f>
        <v>17187.359473942968</v>
      </c>
      <c r="P104" s="3"/>
      <c r="Q104" s="3"/>
      <c r="R104" s="69">
        <f t="shared" ca="1" si="1"/>
        <v>3580126.97842232</v>
      </c>
      <c r="S104" s="71">
        <f ca="1">SUM(INDEX(FWD[Dwelling Units],1):FWD[[#This Row],[Dwelling Units]])</f>
        <v>49818</v>
      </c>
      <c r="T104" s="71">
        <f ca="1">IF(ISBLANK(FWD[[#This Row],[CALENDAR YEAR]]),ROUNDDOWN(FWD[[#This Row],[Running count]]/3000,0)+$T$1,FWD[[#This Row],[CALENDAR YEAR]])</f>
        <v>2036</v>
      </c>
    </row>
    <row r="105" spans="1:20">
      <c r="A105" s="65" t="s">
        <v>240</v>
      </c>
      <c r="B105" s="1">
        <f>VLOOKUP(A105,Data[],2,FALSE)</f>
        <v>0</v>
      </c>
      <c r="C105" s="1" t="str">
        <f>VLOOKUP(FWD[[#This Row],[DEVELOPMENT]],Data[],25,FALSE)</f>
        <v>Newtown Creek</v>
      </c>
      <c r="D105" s="9" t="s">
        <v>49</v>
      </c>
      <c r="E105" s="50">
        <f>VLOOKUP(FWD[[#This Row],[DEVELOPMENT]],Data[],7,FALSE)</f>
        <v>16</v>
      </c>
      <c r="F105" s="50" t="e">
        <f>VLOOKUP(FWD[[#This Row],[DEVELOPMENT]],all[[DEVELOPMENT]:[MRST Ext. Comp. Priority]],5,FALSE)</f>
        <v>#N/A</v>
      </c>
      <c r="G105" s="50" t="str">
        <f>VLOOKUP(FWD[[#This Row],[DEVELOPMENT]],Data[],8,FALSE)</f>
        <v>Zone 4</v>
      </c>
      <c r="H105" s="9">
        <f>VLOOKUP(FWD[[#This Row],[DEVELOPMENT]],Data[],9,FALSE)</f>
        <v>0</v>
      </c>
      <c r="I105" s="1" t="str">
        <f ca="1">IFERROR(VLOOKUP(FWD[[#This Row],[DEVELOPMENT]],Data[],4,FALSE),"")</f>
        <v/>
      </c>
      <c r="J105" s="51" t="str">
        <f ca="1">IF(FWD[[#This Row],[RAD/PACT]]="","",IF(OR(FWD[[#This Row],[RAD/PACT]]="2021-2025",FWD[[#This Row],[RAD/PACT]]="2019-2020"),"Yes",""))</f>
        <v/>
      </c>
      <c r="K105" s="1"/>
      <c r="L105" s="1"/>
      <c r="M105" s="1"/>
      <c r="N105" s="1"/>
      <c r="O105" s="3">
        <f ca="1">IF(FWD[[#This Row],[RAD/PACT]]="2019-2020",0,INDEX(UnitCosts[],MATCH(FWD[[#This Row],[WORK TYPE]],UnitCosts[Work Type],0),2)*FWD[[#This Row],[Dwelling Units]])</f>
        <v>27499.775158308752</v>
      </c>
      <c r="P105" s="3"/>
      <c r="Q105" s="3"/>
      <c r="R105" s="69">
        <f t="shared" ca="1" si="1"/>
        <v>3607626.7535806289</v>
      </c>
      <c r="S105" s="71">
        <f ca="1">SUM(INDEX(FWD[Dwelling Units],1):FWD[[#This Row],[Dwelling Units]])</f>
        <v>49834</v>
      </c>
      <c r="T105" s="71">
        <f ca="1">IF(ISBLANK(FWD[[#This Row],[CALENDAR YEAR]]),ROUNDDOWN(FWD[[#This Row],[Running count]]/3000,0)+$T$1,FWD[[#This Row],[CALENDAR YEAR]])</f>
        <v>2036</v>
      </c>
    </row>
    <row r="106" spans="1:20">
      <c r="A106" s="65" t="s">
        <v>320</v>
      </c>
      <c r="B106" s="1">
        <f>VLOOKUP(A106,Data[],2,FALSE)</f>
        <v>0</v>
      </c>
      <c r="C106" s="1">
        <f>VLOOKUP(FWD[[#This Row],[DEVELOPMENT]],Data[],25,FALSE)</f>
        <v>0</v>
      </c>
      <c r="D106" s="9" t="s">
        <v>49</v>
      </c>
      <c r="E106" s="50">
        <f>VLOOKUP(FWD[[#This Row],[DEVELOPMENT]],Data[],7,FALSE)</f>
        <v>29</v>
      </c>
      <c r="F106" s="50" t="e">
        <f>VLOOKUP(FWD[[#This Row],[DEVELOPMENT]],all[[DEVELOPMENT]:[MRST Ext. Comp. Priority]],5,FALSE)</f>
        <v>#N/A</v>
      </c>
      <c r="G106" s="50">
        <f>VLOOKUP(FWD[[#This Row],[DEVELOPMENT]],Data[],8,FALSE)</f>
        <v>0</v>
      </c>
      <c r="H106" s="9">
        <f>VLOOKUP(FWD[[#This Row],[DEVELOPMENT]],Data[],9,FALSE)</f>
        <v>0</v>
      </c>
      <c r="I106" s="1" t="str">
        <f ca="1">IFERROR(VLOOKUP(FWD[[#This Row],[DEVELOPMENT]],Data[],4,FALSE),"")</f>
        <v/>
      </c>
      <c r="J106" s="51" t="str">
        <f ca="1">IF(FWD[[#This Row],[RAD/PACT]]="","",IF(OR(FWD[[#This Row],[RAD/PACT]]="2021-2025",FWD[[#This Row],[RAD/PACT]]="2019-2020"),"Yes",""))</f>
        <v/>
      </c>
      <c r="K106" s="1"/>
      <c r="L106" s="1"/>
      <c r="M106" s="1"/>
      <c r="N106" s="1"/>
      <c r="O106" s="3">
        <f ca="1">IF(FWD[[#This Row],[RAD/PACT]]="2019-2020",0,INDEX(UnitCosts[],MATCH(FWD[[#This Row],[WORK TYPE]],UnitCosts[Work Type],0),2)*FWD[[#This Row],[Dwelling Units]])</f>
        <v>49843.342474434612</v>
      </c>
      <c r="P106" s="3"/>
      <c r="Q106" s="3"/>
      <c r="R106" s="69">
        <f t="shared" ca="1" si="1"/>
        <v>3657470.0960550634</v>
      </c>
      <c r="S106" s="71">
        <f ca="1">SUM(INDEX(FWD[Dwelling Units],1):FWD[[#This Row],[Dwelling Units]])</f>
        <v>49863</v>
      </c>
      <c r="T106" s="71">
        <f ca="1">IF(ISBLANK(FWD[[#This Row],[CALENDAR YEAR]]),ROUNDDOWN(FWD[[#This Row],[Running count]]/3000,0)+$T$1,FWD[[#This Row],[CALENDAR YEAR]])</f>
        <v>2036</v>
      </c>
    </row>
    <row r="107" spans="1:20">
      <c r="A107" s="65" t="s">
        <v>321</v>
      </c>
      <c r="B107" s="1">
        <f>VLOOKUP(A107,Data[],2,FALSE)</f>
        <v>0</v>
      </c>
      <c r="C107" s="1">
        <f>VLOOKUP(FWD[[#This Row],[DEVELOPMENT]],Data[],25,FALSE)</f>
        <v>0</v>
      </c>
      <c r="D107" s="9" t="s">
        <v>49</v>
      </c>
      <c r="E107" s="50">
        <f>VLOOKUP(FWD[[#This Row],[DEVELOPMENT]],Data[],7,FALSE)</f>
        <v>6</v>
      </c>
      <c r="F107" s="50" t="e">
        <f>VLOOKUP(FWD[[#This Row],[DEVELOPMENT]],all[[DEVELOPMENT]:[MRST Ext. Comp. Priority]],5,FALSE)</f>
        <v>#N/A</v>
      </c>
      <c r="G107" s="50">
        <f>VLOOKUP(FWD[[#This Row],[DEVELOPMENT]],Data[],8,FALSE)</f>
        <v>0</v>
      </c>
      <c r="H107" s="9">
        <f>VLOOKUP(FWD[[#This Row],[DEVELOPMENT]],Data[],9,FALSE)</f>
        <v>0</v>
      </c>
      <c r="I107" s="1" t="str">
        <f ca="1">IFERROR(VLOOKUP(FWD[[#This Row],[DEVELOPMENT]],Data[],4,FALSE),"")</f>
        <v/>
      </c>
      <c r="J107" s="51" t="str">
        <f ca="1">IF(FWD[[#This Row],[RAD/PACT]]="","",IF(OR(FWD[[#This Row],[RAD/PACT]]="2021-2025",FWD[[#This Row],[RAD/PACT]]="2019-2020"),"Yes",""))</f>
        <v/>
      </c>
      <c r="K107" s="1"/>
      <c r="L107" s="1"/>
      <c r="M107" s="1"/>
      <c r="N107" s="1"/>
      <c r="O107" s="3">
        <f ca="1">IF(FWD[[#This Row],[RAD/PACT]]="2019-2020",0,INDEX(UnitCosts[],MATCH(FWD[[#This Row],[WORK TYPE]],UnitCosts[Work Type],0),2)*FWD[[#This Row],[Dwelling Units]])</f>
        <v>10312.415684365782</v>
      </c>
      <c r="P107" s="3"/>
      <c r="Q107" s="3"/>
      <c r="R107" s="69">
        <f t="shared" ca="1" si="1"/>
        <v>3667782.5117394291</v>
      </c>
      <c r="S107" s="71">
        <f ca="1">SUM(INDEX(FWD[Dwelling Units],1):FWD[[#This Row],[Dwelling Units]])</f>
        <v>49869</v>
      </c>
      <c r="T107" s="71">
        <f ca="1">IF(ISBLANK(FWD[[#This Row],[CALENDAR YEAR]]),ROUNDDOWN(FWD[[#This Row],[Running count]]/3000,0)+$T$1,FWD[[#This Row],[CALENDAR YEAR]])</f>
        <v>2036</v>
      </c>
    </row>
    <row r="108" spans="1:20">
      <c r="A108" s="65" t="s">
        <v>322</v>
      </c>
      <c r="B108" s="1">
        <f>VLOOKUP(A108,Data[],2,FALSE)</f>
        <v>0</v>
      </c>
      <c r="C108" s="1">
        <f>VLOOKUP(FWD[[#This Row],[DEVELOPMENT]],Data[],25,FALSE)</f>
        <v>0</v>
      </c>
      <c r="D108" s="9" t="s">
        <v>49</v>
      </c>
      <c r="E108" s="50">
        <f>VLOOKUP(FWD[[#This Row],[DEVELOPMENT]],Data[],7,FALSE)</f>
        <v>5</v>
      </c>
      <c r="F108" s="50" t="e">
        <f>VLOOKUP(FWD[[#This Row],[DEVELOPMENT]],all[[DEVELOPMENT]:[MRST Ext. Comp. Priority]],5,FALSE)</f>
        <v>#N/A</v>
      </c>
      <c r="G108" s="50">
        <f>VLOOKUP(FWD[[#This Row],[DEVELOPMENT]],Data[],8,FALSE)</f>
        <v>0</v>
      </c>
      <c r="H108" s="9">
        <f>VLOOKUP(FWD[[#This Row],[DEVELOPMENT]],Data[],9,FALSE)</f>
        <v>0</v>
      </c>
      <c r="I108" s="1" t="str">
        <f ca="1">IFERROR(VLOOKUP(FWD[[#This Row],[DEVELOPMENT]],Data[],4,FALSE),"")</f>
        <v/>
      </c>
      <c r="J108" s="51" t="str">
        <f ca="1">IF(FWD[[#This Row],[RAD/PACT]]="","",IF(OR(FWD[[#This Row],[RAD/PACT]]="2021-2025",FWD[[#This Row],[RAD/PACT]]="2019-2020"),"Yes",""))</f>
        <v/>
      </c>
      <c r="K108" s="1"/>
      <c r="L108" s="1"/>
      <c r="M108" s="1"/>
      <c r="N108" s="1"/>
      <c r="O108" s="3">
        <f ca="1">IF(FWD[[#This Row],[RAD/PACT]]="2019-2020",0,INDEX(UnitCosts[],MATCH(FWD[[#This Row],[WORK TYPE]],UnitCosts[Work Type],0),2)*FWD[[#This Row],[Dwelling Units]])</f>
        <v>8593.6797369714841</v>
      </c>
      <c r="P108" s="3"/>
      <c r="Q108" s="3"/>
      <c r="R108" s="69">
        <f t="shared" ca="1" si="1"/>
        <v>3676376.1914764005</v>
      </c>
      <c r="S108" s="71">
        <f ca="1">SUM(INDEX(FWD[Dwelling Units],1):FWD[[#This Row],[Dwelling Units]])</f>
        <v>49874</v>
      </c>
      <c r="T108" s="71">
        <f ca="1">IF(ISBLANK(FWD[[#This Row],[CALENDAR YEAR]]),ROUNDDOWN(FWD[[#This Row],[Running count]]/3000,0)+$T$1,FWD[[#This Row],[CALENDAR YEAR]])</f>
        <v>2036</v>
      </c>
    </row>
    <row r="109" spans="1:20">
      <c r="A109" s="65" t="s">
        <v>241</v>
      </c>
      <c r="B109" s="1">
        <f>VLOOKUP(A109,Data[],2,FALSE)</f>
        <v>0</v>
      </c>
      <c r="C109" s="1">
        <f>VLOOKUP(FWD[[#This Row],[DEVELOPMENT]],Data[],25,FALSE)</f>
        <v>0</v>
      </c>
      <c r="D109" s="9" t="s">
        <v>49</v>
      </c>
      <c r="E109" s="50">
        <f>VLOOKUP(FWD[[#This Row],[DEVELOPMENT]],Data[],7,FALSE)</f>
        <v>5</v>
      </c>
      <c r="F109" s="50" t="e">
        <f>VLOOKUP(FWD[[#This Row],[DEVELOPMENT]],all[[DEVELOPMENT]:[MRST Ext. Comp. Priority]],5,FALSE)</f>
        <v>#N/A</v>
      </c>
      <c r="G109" s="50">
        <f>VLOOKUP(FWD[[#This Row],[DEVELOPMENT]],Data[],8,FALSE)</f>
        <v>0</v>
      </c>
      <c r="H109" s="9">
        <f>VLOOKUP(FWD[[#This Row],[DEVELOPMENT]],Data[],9,FALSE)</f>
        <v>0</v>
      </c>
      <c r="I109" s="1" t="str">
        <f ca="1">IFERROR(VLOOKUP(FWD[[#This Row],[DEVELOPMENT]],Data[],4,FALSE),"")</f>
        <v/>
      </c>
      <c r="J109" s="51" t="str">
        <f ca="1">IF(FWD[[#This Row],[RAD/PACT]]="","",IF(OR(FWD[[#This Row],[RAD/PACT]]="2021-2025",FWD[[#This Row],[RAD/PACT]]="2019-2020"),"Yes",""))</f>
        <v/>
      </c>
      <c r="K109" s="1"/>
      <c r="L109" s="1"/>
      <c r="M109" s="1"/>
      <c r="N109" s="1"/>
      <c r="O109" s="3">
        <f ca="1">IF(FWD[[#This Row],[RAD/PACT]]="2019-2020",0,INDEX(UnitCosts[],MATCH(FWD[[#This Row],[WORK TYPE]],UnitCosts[Work Type],0),2)*FWD[[#This Row],[Dwelling Units]])</f>
        <v>8593.6797369714841</v>
      </c>
      <c r="P109" s="3"/>
      <c r="Q109" s="3"/>
      <c r="R109" s="69">
        <f t="shared" ca="1" si="1"/>
        <v>3684969.8712133719</v>
      </c>
      <c r="S109" s="71">
        <f ca="1">SUM(INDEX(FWD[Dwelling Units],1):FWD[[#This Row],[Dwelling Units]])</f>
        <v>49879</v>
      </c>
      <c r="T109" s="71">
        <f ca="1">IF(ISBLANK(FWD[[#This Row],[CALENDAR YEAR]]),ROUNDDOWN(FWD[[#This Row],[Running count]]/3000,0)+$T$1,FWD[[#This Row],[CALENDAR YEAR]])</f>
        <v>2036</v>
      </c>
    </row>
    <row r="110" spans="1:20">
      <c r="A110" s="65" t="s">
        <v>323</v>
      </c>
      <c r="B110" s="1">
        <f>VLOOKUP(A110,Data[],2,FALSE)</f>
        <v>0</v>
      </c>
      <c r="C110" s="1">
        <f>VLOOKUP(FWD[[#This Row],[DEVELOPMENT]],Data[],25,FALSE)</f>
        <v>0</v>
      </c>
      <c r="D110" s="9" t="s">
        <v>49</v>
      </c>
      <c r="E110" s="50">
        <f>VLOOKUP(FWD[[#This Row],[DEVELOPMENT]],Data[],7,FALSE)</f>
        <v>16</v>
      </c>
      <c r="F110" s="50" t="e">
        <f>VLOOKUP(FWD[[#This Row],[DEVELOPMENT]],all[[DEVELOPMENT]:[MRST Ext. Comp. Priority]],5,FALSE)</f>
        <v>#N/A</v>
      </c>
      <c r="G110" s="50">
        <f>VLOOKUP(FWD[[#This Row],[DEVELOPMENT]],Data[],8,FALSE)</f>
        <v>0</v>
      </c>
      <c r="H110" s="9">
        <f>VLOOKUP(FWD[[#This Row],[DEVELOPMENT]],Data[],9,FALSE)</f>
        <v>0</v>
      </c>
      <c r="I110" s="1" t="str">
        <f ca="1">IFERROR(VLOOKUP(FWD[[#This Row],[DEVELOPMENT]],Data[],4,FALSE),"")</f>
        <v/>
      </c>
      <c r="J110" s="51" t="str">
        <f ca="1">IF(FWD[[#This Row],[RAD/PACT]]="","",IF(OR(FWD[[#This Row],[RAD/PACT]]="2021-2025",FWD[[#This Row],[RAD/PACT]]="2019-2020"),"Yes",""))</f>
        <v/>
      </c>
      <c r="K110" s="1"/>
      <c r="L110" s="1"/>
      <c r="M110" s="1"/>
      <c r="N110" s="1"/>
      <c r="O110" s="3">
        <f ca="1">IF(FWD[[#This Row],[RAD/PACT]]="2019-2020",0,INDEX(UnitCosts[],MATCH(FWD[[#This Row],[WORK TYPE]],UnitCosts[Work Type],0),2)*FWD[[#This Row],[Dwelling Units]])</f>
        <v>27499.775158308752</v>
      </c>
      <c r="P110" s="3"/>
      <c r="Q110" s="3"/>
      <c r="R110" s="69">
        <f t="shared" ca="1" si="1"/>
        <v>3712469.6463716808</v>
      </c>
      <c r="S110" s="71">
        <f ca="1">SUM(INDEX(FWD[Dwelling Units],1):FWD[[#This Row],[Dwelling Units]])</f>
        <v>49895</v>
      </c>
      <c r="T110" s="71">
        <f ca="1">IF(ISBLANK(FWD[[#This Row],[CALENDAR YEAR]]),ROUNDDOWN(FWD[[#This Row],[Running count]]/3000,0)+$T$1,FWD[[#This Row],[CALENDAR YEAR]])</f>
        <v>2036</v>
      </c>
    </row>
    <row r="111" spans="1:20">
      <c r="A111" s="65" t="s">
        <v>203</v>
      </c>
      <c r="B111" s="1" t="str">
        <f>VLOOKUP(A111,Data[],2,FALSE)</f>
        <v>BROOKLYN</v>
      </c>
      <c r="C111" s="1">
        <f>VLOOKUP(FWD[[#This Row],[DEVELOPMENT]],Data[],25,FALSE)</f>
        <v>0</v>
      </c>
      <c r="D111" s="9" t="s">
        <v>49</v>
      </c>
      <c r="E111" s="50">
        <f>VLOOKUP(FWD[[#This Row],[DEVELOPMENT]],Data[],7,FALSE)</f>
        <v>158</v>
      </c>
      <c r="F111" s="50" t="e">
        <f>VLOOKUP(FWD[[#This Row],[DEVELOPMENT]],all[[DEVELOPMENT]:[MRST Ext. Comp. Priority]],5,FALSE)</f>
        <v>#N/A</v>
      </c>
      <c r="G111" s="50">
        <f>VLOOKUP(FWD[[#This Row],[DEVELOPMENT]],Data[],8,FALSE)</f>
        <v>0</v>
      </c>
      <c r="H111" s="9">
        <f>VLOOKUP(FWD[[#This Row],[DEVELOPMENT]],Data[],9,FALSE)</f>
        <v>0</v>
      </c>
      <c r="I111" s="1" t="str">
        <f ca="1">IFERROR(VLOOKUP(FWD[[#This Row],[DEVELOPMENT]],Data[],4,FALSE),"")</f>
        <v>2026+</v>
      </c>
      <c r="J111" s="51" t="str">
        <f ca="1">IF(FWD[[#This Row],[RAD/PACT]]="","",IF(OR(FWD[[#This Row],[RAD/PACT]]="2021-2025",FWD[[#This Row],[RAD/PACT]]="2019-2020"),"Yes",""))</f>
        <v/>
      </c>
      <c r="K111" s="1"/>
      <c r="L111" s="1"/>
      <c r="M111" s="1"/>
      <c r="N111" s="1"/>
      <c r="O111" s="3">
        <f ca="1">IF(FWD[[#This Row],[RAD/PACT]]="2019-2020",0,INDEX(UnitCosts[],MATCH(FWD[[#This Row],[WORK TYPE]],UnitCosts[Work Type],0),2)*FWD[[#This Row],[Dwelling Units]])</f>
        <v>271560.27968829894</v>
      </c>
      <c r="P111" s="3"/>
      <c r="Q111" s="3"/>
      <c r="R111" s="69">
        <f t="shared" ca="1" si="1"/>
        <v>3984029.9260599799</v>
      </c>
      <c r="S111" s="71">
        <f ca="1">SUM(INDEX(FWD[Dwelling Units],1):FWD[[#This Row],[Dwelling Units]])</f>
        <v>50053</v>
      </c>
      <c r="T111" s="71">
        <f ca="1">IF(ISBLANK(FWD[[#This Row],[CALENDAR YEAR]]),ROUNDDOWN(FWD[[#This Row],[Running count]]/3000,0)+$T$1,FWD[[#This Row],[CALENDAR YEAR]])</f>
        <v>2036</v>
      </c>
    </row>
    <row r="112" spans="1:20">
      <c r="A112" s="65" t="s">
        <v>242</v>
      </c>
      <c r="B112" s="1" t="str">
        <f>VLOOKUP(A112,Data[],2,FALSE)</f>
        <v>MANHATTAN</v>
      </c>
      <c r="C112" s="1" t="str">
        <f>VLOOKUP(FWD[[#This Row],[DEVELOPMENT]],Data[],25,FALSE)</f>
        <v>Newtown Creek</v>
      </c>
      <c r="D112" s="9" t="s">
        <v>49</v>
      </c>
      <c r="E112" s="50">
        <f>VLOOKUP(FWD[[#This Row],[DEVELOPMENT]],Data[],7,FALSE)</f>
        <v>126</v>
      </c>
      <c r="F112" s="50" t="e">
        <f>VLOOKUP(FWD[[#This Row],[DEVELOPMENT]],all[[DEVELOPMENT]:[MRST Ext. Comp. Priority]],5,FALSE)</f>
        <v>#N/A</v>
      </c>
      <c r="G112" s="50" t="str">
        <f>VLOOKUP(FWD[[#This Row],[DEVELOPMENT]],Data[],8,FALSE)</f>
        <v>Zone 1</v>
      </c>
      <c r="H112" s="9">
        <f>VLOOKUP(FWD[[#This Row],[DEVELOPMENT]],Data[],9,FALSE)</f>
        <v>4</v>
      </c>
      <c r="I112" s="1" t="str">
        <f ca="1">IFERROR(VLOOKUP(FWD[[#This Row],[DEVELOPMENT]],Data[],4,FALSE),"")</f>
        <v>2026+</v>
      </c>
      <c r="J112" s="51" t="str">
        <f ca="1">IF(FWD[[#This Row],[RAD/PACT]]="","",IF(OR(FWD[[#This Row],[RAD/PACT]]="2021-2025",FWD[[#This Row],[RAD/PACT]]="2019-2020"),"Yes",""))</f>
        <v/>
      </c>
      <c r="K112" s="1"/>
      <c r="L112" s="1"/>
      <c r="M112" s="1"/>
      <c r="N112" s="1"/>
      <c r="O112" s="3">
        <f ca="1">IF(FWD[[#This Row],[RAD/PACT]]="2019-2020",0,INDEX(UnitCosts[],MATCH(FWD[[#This Row],[WORK TYPE]],UnitCosts[Work Type],0),2)*FWD[[#This Row],[Dwelling Units]])</f>
        <v>216560.72937168143</v>
      </c>
      <c r="P112" s="3"/>
      <c r="Q112" s="3"/>
      <c r="R112" s="69">
        <f t="shared" ca="1" si="1"/>
        <v>4200590.6554316618</v>
      </c>
      <c r="S112" s="71">
        <f ca="1">SUM(INDEX(FWD[Dwelling Units],1):FWD[[#This Row],[Dwelling Units]])</f>
        <v>50179</v>
      </c>
      <c r="T112" s="71">
        <f ca="1">IF(ISBLANK(FWD[[#This Row],[CALENDAR YEAR]]),ROUNDDOWN(FWD[[#This Row],[Running count]]/3000,0)+$T$1,FWD[[#This Row],[CALENDAR YEAR]])</f>
        <v>2036</v>
      </c>
    </row>
    <row r="113" spans="1:20">
      <c r="A113" s="65" t="s">
        <v>204</v>
      </c>
      <c r="B113" s="1" t="str">
        <f>VLOOKUP(A113,Data[],2,FALSE)</f>
        <v>BRONX</v>
      </c>
      <c r="C113" s="1">
        <f>VLOOKUP(FWD[[#This Row],[DEVELOPMENT]],Data[],25,FALSE)</f>
        <v>0</v>
      </c>
      <c r="D113" s="9" t="s">
        <v>49</v>
      </c>
      <c r="E113" s="50">
        <f>VLOOKUP(FWD[[#This Row],[DEVELOPMENT]],Data[],7,FALSE)</f>
        <v>1348</v>
      </c>
      <c r="F113" s="50" t="e">
        <f>VLOOKUP(FWD[[#This Row],[DEVELOPMENT]],all[[DEVELOPMENT]:[MRST Ext. Comp. Priority]],5,FALSE)</f>
        <v>#N/A</v>
      </c>
      <c r="G113" s="50" t="str">
        <f>VLOOKUP(FWD[[#This Row],[DEVELOPMENT]],Data[],8,FALSE)</f>
        <v>Zone 4</v>
      </c>
      <c r="H113" s="9">
        <f>VLOOKUP(FWD[[#This Row],[DEVELOPMENT]],Data[],9,FALSE)</f>
        <v>0</v>
      </c>
      <c r="I113" s="1" t="str">
        <f ca="1">IFERROR(VLOOKUP(FWD[[#This Row],[DEVELOPMENT]],Data[],4,FALSE),"")</f>
        <v>2026+</v>
      </c>
      <c r="J113" s="51" t="str">
        <f ca="1">IF(FWD[[#This Row],[RAD/PACT]]="","",IF(OR(FWD[[#This Row],[RAD/PACT]]="2021-2025",FWD[[#This Row],[RAD/PACT]]="2019-2020"),"Yes",""))</f>
        <v/>
      </c>
      <c r="K113" s="1"/>
      <c r="L113" s="1"/>
      <c r="M113" s="1"/>
      <c r="N113" s="1"/>
      <c r="O113" s="3">
        <f ca="1">IF(FWD[[#This Row],[RAD/PACT]]="2019-2020",0,INDEX(UnitCosts[],MATCH(FWD[[#This Row],[WORK TYPE]],UnitCosts[Work Type],0),2)*FWD[[#This Row],[Dwelling Units]])</f>
        <v>2316856.0570875122</v>
      </c>
      <c r="P113" s="3"/>
      <c r="Q113" s="3"/>
      <c r="R113" s="69">
        <f t="shared" ca="1" si="1"/>
        <v>2316856.0570875122</v>
      </c>
      <c r="S113" s="71">
        <f ca="1">SUM(INDEX(FWD[Dwelling Units],1):FWD[[#This Row],[Dwelling Units]])</f>
        <v>51527</v>
      </c>
      <c r="T113" s="71">
        <f ca="1">IF(ISBLANK(FWD[[#This Row],[CALENDAR YEAR]]),ROUNDDOWN(FWD[[#This Row],[Running count]]/3000,0)+$T$1,FWD[[#This Row],[CALENDAR YEAR]])</f>
        <v>2037</v>
      </c>
    </row>
    <row r="114" spans="1:20">
      <c r="A114" s="65" t="s">
        <v>276</v>
      </c>
      <c r="B114" s="1" t="str">
        <f>VLOOKUP(A114,Data[],2,FALSE)</f>
        <v>BRONX</v>
      </c>
      <c r="C114" s="1">
        <f>VLOOKUP(FWD[[#This Row],[DEVELOPMENT]],Data[],25,FALSE)</f>
        <v>0</v>
      </c>
      <c r="D114" s="9" t="s">
        <v>49</v>
      </c>
      <c r="E114" s="50">
        <f>VLOOKUP(FWD[[#This Row],[DEVELOPMENT]],Data[],7,FALSE)</f>
        <v>342</v>
      </c>
      <c r="F114" s="50" t="e">
        <f>VLOOKUP(FWD[[#This Row],[DEVELOPMENT]],all[[DEVELOPMENT]:[MRST Ext. Comp. Priority]],5,FALSE)</f>
        <v>#N/A</v>
      </c>
      <c r="G114" s="50">
        <f>VLOOKUP(FWD[[#This Row],[DEVELOPMENT]],Data[],8,FALSE)</f>
        <v>0</v>
      </c>
      <c r="H114" s="9">
        <f>VLOOKUP(FWD[[#This Row],[DEVELOPMENT]],Data[],9,FALSE)</f>
        <v>0</v>
      </c>
      <c r="I114" s="1" t="str">
        <f ca="1">IFERROR(VLOOKUP(FWD[[#This Row],[DEVELOPMENT]],Data[],4,FALSE),"")</f>
        <v/>
      </c>
      <c r="J114" s="51" t="str">
        <f ca="1">IF(FWD[[#This Row],[RAD/PACT]]="","",IF(OR(FWD[[#This Row],[RAD/PACT]]="2021-2025",FWD[[#This Row],[RAD/PACT]]="2019-2020"),"Yes",""))</f>
        <v/>
      </c>
      <c r="K114" s="1"/>
      <c r="L114" s="1"/>
      <c r="M114" s="1"/>
      <c r="N114" s="1"/>
      <c r="O114" s="3">
        <f ca="1">IF(FWD[[#This Row],[RAD/PACT]]="2019-2020",0,INDEX(UnitCosts[],MATCH(FWD[[#This Row],[WORK TYPE]],UnitCosts[Work Type],0),2)*FWD[[#This Row],[Dwelling Units]])</f>
        <v>587807.69400884956</v>
      </c>
      <c r="P114" s="3"/>
      <c r="Q114" s="3"/>
      <c r="R114" s="69">
        <f t="shared" ca="1" si="1"/>
        <v>2904663.7510963618</v>
      </c>
      <c r="S114" s="71">
        <f ca="1">SUM(INDEX(FWD[Dwelling Units],1):FWD[[#This Row],[Dwelling Units]])</f>
        <v>51869</v>
      </c>
      <c r="T114" s="71">
        <f ca="1">IF(ISBLANK(FWD[[#This Row],[CALENDAR YEAR]]),ROUNDDOWN(FWD[[#This Row],[Running count]]/3000,0)+$T$1,FWD[[#This Row],[CALENDAR YEAR]])</f>
        <v>2037</v>
      </c>
    </row>
    <row r="115" spans="1:20">
      <c r="A115" s="65" t="s">
        <v>79</v>
      </c>
      <c r="B115" s="1" t="str">
        <f>VLOOKUP(A115,Data[],2,FALSE)</f>
        <v>MANHATTAN</v>
      </c>
      <c r="C115" s="1">
        <f>VLOOKUP(FWD[[#This Row],[DEVELOPMENT]],Data[],25,FALSE)</f>
        <v>0</v>
      </c>
      <c r="D115" s="9" t="s">
        <v>49</v>
      </c>
      <c r="E115" s="50">
        <f>VLOOKUP(FWD[[#This Row],[DEVELOPMENT]],Data[],7,FALSE)</f>
        <v>226</v>
      </c>
      <c r="F115" s="50" t="e">
        <f>VLOOKUP(FWD[[#This Row],[DEVELOPMENT]],all[[DEVELOPMENT]:[MRST Ext. Comp. Priority]],5,FALSE)</f>
        <v>#N/A</v>
      </c>
      <c r="G115" s="50" t="str">
        <f>VLOOKUP(FWD[[#This Row],[DEVELOPMENT]],Data[],8,FALSE)</f>
        <v>Zone 3</v>
      </c>
      <c r="H115" s="9">
        <f>VLOOKUP(FWD[[#This Row],[DEVELOPMENT]],Data[],9,FALSE)</f>
        <v>4</v>
      </c>
      <c r="I115" s="1" t="str">
        <f ca="1">IFERROR(VLOOKUP(FWD[[#This Row],[DEVELOPMENT]],Data[],4,FALSE),"")</f>
        <v>2020-2021</v>
      </c>
      <c r="J115" s="51" t="str">
        <f ca="1">IF(FWD[[#This Row],[RAD/PACT]]="","",IF(OR(FWD[[#This Row],[RAD/PACT]]="2021-2025",FWD[[#This Row],[RAD/PACT]]="2019-2020"),"Yes",""))</f>
        <v/>
      </c>
      <c r="K115" s="1"/>
      <c r="L115" s="1"/>
      <c r="M115" s="1"/>
      <c r="N115" s="1"/>
      <c r="O115" s="3">
        <f ca="1">IF(FWD[[#This Row],[RAD/PACT]]="2019-2020",0,INDEX(UnitCosts[],MATCH(FWD[[#This Row],[WORK TYPE]],UnitCosts[Work Type],0),2)*FWD[[#This Row],[Dwelling Units]])</f>
        <v>388434.32411111111</v>
      </c>
      <c r="P115" s="3"/>
      <c r="Q115" s="3"/>
      <c r="R115" s="69">
        <f t="shared" ca="1" si="1"/>
        <v>3293098.0752074728</v>
      </c>
      <c r="S115" s="71">
        <f ca="1">SUM(INDEX(FWD[Dwelling Units],1):FWD[[#This Row],[Dwelling Units]])</f>
        <v>52095</v>
      </c>
      <c r="T115" s="71">
        <f ca="1">IF(ISBLANK(FWD[[#This Row],[CALENDAR YEAR]]),ROUNDDOWN(FWD[[#This Row],[Running count]]/3000,0)+$T$1,FWD[[#This Row],[CALENDAR YEAR]])</f>
        <v>2037</v>
      </c>
    </row>
    <row r="116" spans="1:20">
      <c r="A116" s="65" t="s">
        <v>111</v>
      </c>
      <c r="B116" s="1" t="str">
        <f>VLOOKUP(A116,Data[],2,FALSE)</f>
        <v>MANHATTAN</v>
      </c>
      <c r="C116" s="1">
        <f>VLOOKUP(FWD[[#This Row],[DEVELOPMENT]],Data[],25,FALSE)</f>
        <v>0</v>
      </c>
      <c r="D116" s="9" t="s">
        <v>49</v>
      </c>
      <c r="E116" s="50">
        <f>VLOOKUP(FWD[[#This Row],[DEVELOPMENT]],Data[],7,FALSE)</f>
        <v>944</v>
      </c>
      <c r="F116" s="50" t="e">
        <f>VLOOKUP(FWD[[#This Row],[DEVELOPMENT]],all[[DEVELOPMENT]:[MRST Ext. Comp. Priority]],5,FALSE)</f>
        <v>#N/A</v>
      </c>
      <c r="G116" s="50" t="str">
        <f>VLOOKUP(FWD[[#This Row],[DEVELOPMENT]],Data[],8,FALSE)</f>
        <v>Zone 3</v>
      </c>
      <c r="H116" s="9">
        <f>VLOOKUP(FWD[[#This Row],[DEVELOPMENT]],Data[],9,FALSE)</f>
        <v>4</v>
      </c>
      <c r="I116" s="1" t="str">
        <f ca="1">IFERROR(VLOOKUP(FWD[[#This Row],[DEVELOPMENT]],Data[],4,FALSE),"")</f>
        <v/>
      </c>
      <c r="J116" s="51" t="str">
        <f ca="1">IF(FWD[[#This Row],[RAD/PACT]]="","",IF(OR(FWD[[#This Row],[RAD/PACT]]="2021-2025",FWD[[#This Row],[RAD/PACT]]="2019-2020"),"Yes",""))</f>
        <v/>
      </c>
      <c r="K116" s="1"/>
      <c r="L116" s="1"/>
      <c r="M116" s="1"/>
      <c r="N116" s="1"/>
      <c r="O116" s="3">
        <f ca="1">IF(FWD[[#This Row],[RAD/PACT]]="2019-2020",0,INDEX(UnitCosts[],MATCH(FWD[[#This Row],[WORK TYPE]],UnitCosts[Work Type],0),2)*FWD[[#This Row],[Dwelling Units]])</f>
        <v>1622486.7343402163</v>
      </c>
      <c r="P116" s="3"/>
      <c r="Q116" s="3"/>
      <c r="R116" s="69">
        <f t="shared" ca="1" si="1"/>
        <v>4915584.8095476888</v>
      </c>
      <c r="S116" s="71">
        <f ca="1">SUM(INDEX(FWD[Dwelling Units],1):FWD[[#This Row],[Dwelling Units]])</f>
        <v>53039</v>
      </c>
      <c r="T116" s="71">
        <f ca="1">IF(ISBLANK(FWD[[#This Row],[CALENDAR YEAR]]),ROUNDDOWN(FWD[[#This Row],[Running count]]/3000,0)+$T$1,FWD[[#This Row],[CALENDAR YEAR]])</f>
        <v>2037</v>
      </c>
    </row>
    <row r="117" spans="1:20">
      <c r="A117" s="65" t="s">
        <v>324</v>
      </c>
      <c r="B117" s="1" t="str">
        <f>VLOOKUP(A117,Data[],2,FALSE)</f>
        <v>BROOKLYN</v>
      </c>
      <c r="C117" s="1">
        <f>VLOOKUP(FWD[[#This Row],[DEVELOPMENT]],Data[],25,FALSE)</f>
        <v>0</v>
      </c>
      <c r="D117" s="9" t="s">
        <v>49</v>
      </c>
      <c r="E117" s="50">
        <f>VLOOKUP(FWD[[#This Row],[DEVELOPMENT]],Data[],7,FALSE)</f>
        <v>320</v>
      </c>
      <c r="F117" s="50" t="e">
        <f>VLOOKUP(FWD[[#This Row],[DEVELOPMENT]],all[[DEVELOPMENT]:[MRST Ext. Comp. Priority]],5,FALSE)</f>
        <v>#N/A</v>
      </c>
      <c r="G117" s="50">
        <f>VLOOKUP(FWD[[#This Row],[DEVELOPMENT]],Data[],8,FALSE)</f>
        <v>0</v>
      </c>
      <c r="H117" s="9">
        <f>VLOOKUP(FWD[[#This Row],[DEVELOPMENT]],Data[],9,FALSE)</f>
        <v>0</v>
      </c>
      <c r="I117" s="1" t="str">
        <f ca="1">IFERROR(VLOOKUP(FWD[[#This Row],[DEVELOPMENT]],Data[],4,FALSE),"")</f>
        <v/>
      </c>
      <c r="J117" s="51" t="str">
        <f ca="1">IF(FWD[[#This Row],[RAD/PACT]]="","",IF(OR(FWD[[#This Row],[RAD/PACT]]="2021-2025",FWD[[#This Row],[RAD/PACT]]="2019-2020"),"Yes",""))</f>
        <v/>
      </c>
      <c r="K117" s="1"/>
      <c r="L117" s="1"/>
      <c r="M117" s="1"/>
      <c r="N117" s="1"/>
      <c r="O117" s="3">
        <f ca="1">IF(FWD[[#This Row],[RAD/PACT]]="2019-2020",0,INDEX(UnitCosts[],MATCH(FWD[[#This Row],[WORK TYPE]],UnitCosts[Work Type],0),2)*FWD[[#This Row],[Dwelling Units]])</f>
        <v>549995.50316617498</v>
      </c>
      <c r="P117" s="3"/>
      <c r="Q117" s="3"/>
      <c r="R117" s="69">
        <f t="shared" ca="1" si="1"/>
        <v>5465580.3127138633</v>
      </c>
      <c r="S117" s="71">
        <f ca="1">SUM(INDEX(FWD[Dwelling Units],1):FWD[[#This Row],[Dwelling Units]])</f>
        <v>53359</v>
      </c>
      <c r="T117" s="71">
        <f ca="1">IF(ISBLANK(FWD[[#This Row],[CALENDAR YEAR]]),ROUNDDOWN(FWD[[#This Row],[Running count]]/3000,0)+$T$1,FWD[[#This Row],[CALENDAR YEAR]])</f>
        <v>2037</v>
      </c>
    </row>
    <row r="118" spans="1:20">
      <c r="A118" s="65" t="s">
        <v>243</v>
      </c>
      <c r="B118" s="1" t="str">
        <f>VLOOKUP(A118,Data[],2,FALSE)</f>
        <v>BRONX</v>
      </c>
      <c r="C118" s="1">
        <f>VLOOKUP(FWD[[#This Row],[DEVELOPMENT]],Data[],25,FALSE)</f>
        <v>0</v>
      </c>
      <c r="D118" s="9" t="s">
        <v>49</v>
      </c>
      <c r="E118" s="50">
        <f>VLOOKUP(FWD[[#This Row],[DEVELOPMENT]],Data[],7,FALSE)</f>
        <v>131</v>
      </c>
      <c r="F118" s="50" t="e">
        <f>VLOOKUP(FWD[[#This Row],[DEVELOPMENT]],all[[DEVELOPMENT]:[MRST Ext. Comp. Priority]],5,FALSE)</f>
        <v>#N/A</v>
      </c>
      <c r="G118" s="50">
        <f>VLOOKUP(FWD[[#This Row],[DEVELOPMENT]],Data[],8,FALSE)</f>
        <v>0</v>
      </c>
      <c r="H118" s="9">
        <f>VLOOKUP(FWD[[#This Row],[DEVELOPMENT]],Data[],9,FALSE)</f>
        <v>0</v>
      </c>
      <c r="I118" s="1" t="str">
        <f ca="1">IFERROR(VLOOKUP(FWD[[#This Row],[DEVELOPMENT]],Data[],4,FALSE),"")</f>
        <v>2026+</v>
      </c>
      <c r="J118" s="51" t="str">
        <f ca="1">IF(FWD[[#This Row],[RAD/PACT]]="","",IF(OR(FWD[[#This Row],[RAD/PACT]]="2021-2025",FWD[[#This Row],[RAD/PACT]]="2019-2020"),"Yes",""))</f>
        <v/>
      </c>
      <c r="K118" s="1"/>
      <c r="L118" s="1"/>
      <c r="M118" s="1"/>
      <c r="N118" s="1"/>
      <c r="O118" s="3">
        <f ca="1">IF(FWD[[#This Row],[RAD/PACT]]="2019-2020",0,INDEX(UnitCosts[],MATCH(FWD[[#This Row],[WORK TYPE]],UnitCosts[Work Type],0),2)*FWD[[#This Row],[Dwelling Units]])</f>
        <v>225154.40910865291</v>
      </c>
      <c r="P118" s="3"/>
      <c r="Q118" s="3"/>
      <c r="R118" s="69">
        <f t="shared" ca="1" si="1"/>
        <v>5690734.7218225161</v>
      </c>
      <c r="S118" s="71">
        <f ca="1">SUM(INDEX(FWD[Dwelling Units],1):FWD[[#This Row],[Dwelling Units]])</f>
        <v>53490</v>
      </c>
      <c r="T118" s="71">
        <f ca="1">IF(ISBLANK(FWD[[#This Row],[CALENDAR YEAR]]),ROUNDDOWN(FWD[[#This Row],[Running count]]/3000,0)+$T$1,FWD[[#This Row],[CALENDAR YEAR]])</f>
        <v>2037</v>
      </c>
    </row>
    <row r="119" spans="1:20">
      <c r="A119" s="65" t="s">
        <v>205</v>
      </c>
      <c r="B119" s="1" t="str">
        <f>VLOOKUP(A119,Data[],2,FALSE)</f>
        <v>BROOKLYN</v>
      </c>
      <c r="C119" s="1">
        <f>VLOOKUP(FWD[[#This Row],[DEVELOPMENT]],Data[],25,FALSE)</f>
        <v>0</v>
      </c>
      <c r="D119" s="9" t="s">
        <v>49</v>
      </c>
      <c r="E119" s="50">
        <f>VLOOKUP(FWD[[#This Row],[DEVELOPMENT]],Data[],7,FALSE)</f>
        <v>439</v>
      </c>
      <c r="F119" s="50" t="e">
        <f>VLOOKUP(FWD[[#This Row],[DEVELOPMENT]],all[[DEVELOPMENT]:[MRST Ext. Comp. Priority]],5,FALSE)</f>
        <v>#N/A</v>
      </c>
      <c r="G119" s="50">
        <f>VLOOKUP(FWD[[#This Row],[DEVELOPMENT]],Data[],8,FALSE)</f>
        <v>0</v>
      </c>
      <c r="H119" s="9">
        <f>VLOOKUP(FWD[[#This Row],[DEVELOPMENT]],Data[],9,FALSE)</f>
        <v>0</v>
      </c>
      <c r="I119" s="1" t="str">
        <f ca="1">IFERROR(VLOOKUP(FWD[[#This Row],[DEVELOPMENT]],Data[],4,FALSE),"")</f>
        <v/>
      </c>
      <c r="J119" s="51" t="str">
        <f ca="1">IF(FWD[[#This Row],[RAD/PACT]]="","",IF(OR(FWD[[#This Row],[RAD/PACT]]="2021-2025",FWD[[#This Row],[RAD/PACT]]="2019-2020"),"Yes",""))</f>
        <v/>
      </c>
      <c r="K119" s="1"/>
      <c r="L119" s="1"/>
      <c r="M119" s="1"/>
      <c r="N119" s="1"/>
      <c r="O119" s="3">
        <f ca="1">IF(FWD[[#This Row],[RAD/PACT]]="2019-2020",0,INDEX(UnitCosts[],MATCH(FWD[[#This Row],[WORK TYPE]],UnitCosts[Work Type],0),2)*FWD[[#This Row],[Dwelling Units]])</f>
        <v>754525.08090609638</v>
      </c>
      <c r="P119" s="3"/>
      <c r="Q119" s="3"/>
      <c r="R119" s="69">
        <f t="shared" ca="1" si="1"/>
        <v>6445259.802728612</v>
      </c>
      <c r="S119" s="71">
        <f ca="1">SUM(INDEX(FWD[Dwelling Units],1):FWD[[#This Row],[Dwelling Units]])</f>
        <v>53929</v>
      </c>
      <c r="T119" s="71">
        <f ca="1">IF(ISBLANK(FWD[[#This Row],[CALENDAR YEAR]]),ROUNDDOWN(FWD[[#This Row],[Running count]]/3000,0)+$T$1,FWD[[#This Row],[CALENDAR YEAR]])</f>
        <v>2037</v>
      </c>
    </row>
    <row r="120" spans="1:20">
      <c r="A120" s="65" t="s">
        <v>325</v>
      </c>
      <c r="B120" s="1" t="str">
        <f>VLOOKUP(A120,Data[],2,FALSE)</f>
        <v>BROOKLYN</v>
      </c>
      <c r="C120" s="1">
        <f>VLOOKUP(FWD[[#This Row],[DEVELOPMENT]],Data[],25,FALSE)</f>
        <v>0</v>
      </c>
      <c r="D120" s="9" t="s">
        <v>49</v>
      </c>
      <c r="E120" s="50">
        <f>VLOOKUP(FWD[[#This Row],[DEVELOPMENT]],Data[],7,FALSE)</f>
        <v>1186</v>
      </c>
      <c r="F120" s="50" t="e">
        <f>VLOOKUP(FWD[[#This Row],[DEVELOPMENT]],all[[DEVELOPMENT]:[MRST Ext. Comp. Priority]],5,FALSE)</f>
        <v>#N/A</v>
      </c>
      <c r="G120" s="50">
        <f>VLOOKUP(FWD[[#This Row],[DEVELOPMENT]],Data[],8,FALSE)</f>
        <v>0</v>
      </c>
      <c r="H120" s="9">
        <f>VLOOKUP(FWD[[#This Row],[DEVELOPMENT]],Data[],9,FALSE)</f>
        <v>0</v>
      </c>
      <c r="I120" s="1" t="str">
        <f ca="1">IFERROR(VLOOKUP(FWD[[#This Row],[DEVELOPMENT]],Data[],4,FALSE),"")</f>
        <v>2026+</v>
      </c>
      <c r="J120" s="51" t="str">
        <f ca="1">IF(FWD[[#This Row],[RAD/PACT]]="","",IF(OR(FWD[[#This Row],[RAD/PACT]]="2021-2025",FWD[[#This Row],[RAD/PACT]]="2019-2020"),"Yes",""))</f>
        <v/>
      </c>
      <c r="K120" s="1"/>
      <c r="L120" s="1"/>
      <c r="M120" s="1"/>
      <c r="N120" s="1"/>
      <c r="O120" s="3">
        <f ca="1">IF(FWD[[#This Row],[RAD/PACT]]="2019-2020",0,INDEX(UnitCosts[],MATCH(FWD[[#This Row],[WORK TYPE]],UnitCosts[Work Type],0),2)*FWD[[#This Row],[Dwelling Units]])</f>
        <v>2038420.8336096362</v>
      </c>
      <c r="P120" s="3"/>
      <c r="Q120" s="3"/>
      <c r="R120" s="69">
        <f t="shared" ca="1" si="1"/>
        <v>2038420.8336096362</v>
      </c>
      <c r="S120" s="71">
        <f ca="1">SUM(INDEX(FWD[Dwelling Units],1):FWD[[#This Row],[Dwelling Units]])</f>
        <v>55115</v>
      </c>
      <c r="T120" s="71">
        <f ca="1">IF(ISBLANK(FWD[[#This Row],[CALENDAR YEAR]]),ROUNDDOWN(FWD[[#This Row],[Running count]]/3000,0)+$T$1,FWD[[#This Row],[CALENDAR YEAR]])</f>
        <v>2038</v>
      </c>
    </row>
    <row r="121" spans="1:20">
      <c r="A121" s="65" t="s">
        <v>61</v>
      </c>
      <c r="B121" s="1" t="str">
        <f>VLOOKUP(A121,Data[],2,FALSE)</f>
        <v>MANHATTAN</v>
      </c>
      <c r="C121" s="1" t="str">
        <f>VLOOKUP(FWD[[#This Row],[DEVELOPMENT]],Data[],25,FALSE)</f>
        <v>Newtown Creek</v>
      </c>
      <c r="D121" s="9" t="s">
        <v>49</v>
      </c>
      <c r="E121" s="50">
        <f>VLOOKUP(FWD[[#This Row],[DEVELOPMENT]],Data[],7,FALSE)</f>
        <v>472</v>
      </c>
      <c r="F121" s="50" t="e">
        <f>VLOOKUP(FWD[[#This Row],[DEVELOPMENT]],all[[DEVELOPMENT]:[MRST Ext. Comp. Priority]],5,FALSE)</f>
        <v>#N/A</v>
      </c>
      <c r="G121" s="50" t="str">
        <f>VLOOKUP(FWD[[#This Row],[DEVELOPMENT]],Data[],8,FALSE)</f>
        <v>Zone 1</v>
      </c>
      <c r="H121" s="9">
        <f>VLOOKUP(FWD[[#This Row],[DEVELOPMENT]],Data[],9,FALSE)</f>
        <v>4</v>
      </c>
      <c r="I121" s="1" t="str">
        <f ca="1">IFERROR(VLOOKUP(FWD[[#This Row],[DEVELOPMENT]],Data[],4,FALSE),"")</f>
        <v/>
      </c>
      <c r="J121" s="51" t="str">
        <f ca="1">IF(FWD[[#This Row],[RAD/PACT]]="","",IF(OR(FWD[[#This Row],[RAD/PACT]]="2021-2025",FWD[[#This Row],[RAD/PACT]]="2019-2020"),"Yes",""))</f>
        <v/>
      </c>
      <c r="K121" s="1"/>
      <c r="L121" s="1"/>
      <c r="M121" s="1"/>
      <c r="N121" s="1"/>
      <c r="O121" s="3">
        <f ca="1">IF(FWD[[#This Row],[RAD/PACT]]="2019-2020",0,INDEX(UnitCosts[],MATCH(FWD[[#This Row],[WORK TYPE]],UnitCosts[Work Type],0),2)*FWD[[#This Row],[Dwelling Units]])</f>
        <v>811243.36717010813</v>
      </c>
      <c r="P121" s="3"/>
      <c r="Q121" s="3"/>
      <c r="R121" s="69">
        <f t="shared" ca="1" si="1"/>
        <v>2849664.2007797444</v>
      </c>
      <c r="S121" s="71">
        <f ca="1">SUM(INDEX(FWD[Dwelling Units],1):FWD[[#This Row],[Dwelling Units]])</f>
        <v>55587</v>
      </c>
      <c r="T121" s="71">
        <f ca="1">IF(ISBLANK(FWD[[#This Row],[CALENDAR YEAR]]),ROUNDDOWN(FWD[[#This Row],[Running count]]/3000,0)+$T$1,FWD[[#This Row],[CALENDAR YEAR]])</f>
        <v>2038</v>
      </c>
    </row>
    <row r="122" spans="1:20">
      <c r="A122" s="65" t="s">
        <v>326</v>
      </c>
      <c r="B122" s="1" t="str">
        <f>VLOOKUP(A122,Data[],2,FALSE)</f>
        <v>BROOKLYN</v>
      </c>
      <c r="C122" s="1">
        <f>VLOOKUP(FWD[[#This Row],[DEVELOPMENT]],Data[],25,FALSE)</f>
        <v>0</v>
      </c>
      <c r="D122" s="9" t="s">
        <v>49</v>
      </c>
      <c r="E122" s="50">
        <f>VLOOKUP(FWD[[#This Row],[DEVELOPMENT]],Data[],7,FALSE)</f>
        <v>1137</v>
      </c>
      <c r="F122" s="50" t="e">
        <f>VLOOKUP(FWD[[#This Row],[DEVELOPMENT]],all[[DEVELOPMENT]:[MRST Ext. Comp. Priority]],5,FALSE)</f>
        <v>#N/A</v>
      </c>
      <c r="G122" s="50">
        <f>VLOOKUP(FWD[[#This Row],[DEVELOPMENT]],Data[],8,FALSE)</f>
        <v>0</v>
      </c>
      <c r="H122" s="9">
        <f>VLOOKUP(FWD[[#This Row],[DEVELOPMENT]],Data[],9,FALSE)</f>
        <v>0</v>
      </c>
      <c r="I122" s="1" t="str">
        <f ca="1">IFERROR(VLOOKUP(FWD[[#This Row],[DEVELOPMENT]],Data[],4,FALSE),"")</f>
        <v>2026+</v>
      </c>
      <c r="J122" s="51" t="str">
        <f ca="1">IF(FWD[[#This Row],[RAD/PACT]]="","",IF(OR(FWD[[#This Row],[RAD/PACT]]="2021-2025",FWD[[#This Row],[RAD/PACT]]="2019-2020"),"Yes",""))</f>
        <v/>
      </c>
      <c r="K122" s="1"/>
      <c r="L122" s="1"/>
      <c r="M122" s="1"/>
      <c r="N122" s="1"/>
      <c r="O122" s="3">
        <f ca="1">IF(FWD[[#This Row],[RAD/PACT]]="2019-2020",0,INDEX(UnitCosts[],MATCH(FWD[[#This Row],[WORK TYPE]],UnitCosts[Work Type],0),2)*FWD[[#This Row],[Dwelling Units]])</f>
        <v>1954202.7721873156</v>
      </c>
      <c r="P122" s="3"/>
      <c r="Q122" s="3"/>
      <c r="R122" s="69">
        <f t="shared" ca="1" si="1"/>
        <v>4803866.9729670603</v>
      </c>
      <c r="S122" s="71">
        <f ca="1">SUM(INDEX(FWD[Dwelling Units],1):FWD[[#This Row],[Dwelling Units]])</f>
        <v>56724</v>
      </c>
      <c r="T122" s="71">
        <f ca="1">IF(ISBLANK(FWD[[#This Row],[CALENDAR YEAR]]),ROUNDDOWN(FWD[[#This Row],[Running count]]/3000,0)+$T$1,FWD[[#This Row],[CALENDAR YEAR]])</f>
        <v>2038</v>
      </c>
    </row>
    <row r="123" spans="1:20">
      <c r="A123" s="65" t="s">
        <v>80</v>
      </c>
      <c r="B123" s="1" t="str">
        <f>VLOOKUP(A123,Data[],2,FALSE)</f>
        <v>MANHATTAN</v>
      </c>
      <c r="C123" s="1">
        <f>VLOOKUP(FWD[[#This Row],[DEVELOPMENT]],Data[],25,FALSE)</f>
        <v>0</v>
      </c>
      <c r="D123" s="9" t="s">
        <v>49</v>
      </c>
      <c r="E123" s="50">
        <f>VLOOKUP(FWD[[#This Row],[DEVELOPMENT]],Data[],7,FALSE)</f>
        <v>35</v>
      </c>
      <c r="F123" s="50" t="e">
        <f>VLOOKUP(FWD[[#This Row],[DEVELOPMENT]],all[[DEVELOPMENT]:[MRST Ext. Comp. Priority]],5,FALSE)</f>
        <v>#N/A</v>
      </c>
      <c r="G123" s="50" t="str">
        <f>VLOOKUP(FWD[[#This Row],[DEVELOPMENT]],Data[],8,FALSE)</f>
        <v>Zone 3</v>
      </c>
      <c r="H123" s="9">
        <f>VLOOKUP(FWD[[#This Row],[DEVELOPMENT]],Data[],9,FALSE)</f>
        <v>4</v>
      </c>
      <c r="I123" s="1" t="str">
        <f ca="1">IFERROR(VLOOKUP(FWD[[#This Row],[DEVELOPMENT]],Data[],4,FALSE),"")</f>
        <v>2020-2021</v>
      </c>
      <c r="J123" s="51" t="str">
        <f ca="1">IF(FWD[[#This Row],[RAD/PACT]]="","",IF(OR(FWD[[#This Row],[RAD/PACT]]="2021-2025",FWD[[#This Row],[RAD/PACT]]="2019-2020"),"Yes",""))</f>
        <v/>
      </c>
      <c r="K123" s="1"/>
      <c r="L123" s="1"/>
      <c r="M123" s="1"/>
      <c r="N123" s="1"/>
      <c r="O123" s="3">
        <f ca="1">IF(FWD[[#This Row],[RAD/PACT]]="2019-2020",0,INDEX(UnitCosts[],MATCH(FWD[[#This Row],[WORK TYPE]],UnitCosts[Work Type],0),2)*FWD[[#This Row],[Dwelling Units]])</f>
        <v>60155.758158800396</v>
      </c>
      <c r="P123" s="3"/>
      <c r="Q123" s="3"/>
      <c r="R123" s="69">
        <f t="shared" ca="1" si="1"/>
        <v>4864022.7311258605</v>
      </c>
      <c r="S123" s="71">
        <f ca="1">SUM(INDEX(FWD[Dwelling Units],1):FWD[[#This Row],[Dwelling Units]])</f>
        <v>56759</v>
      </c>
      <c r="T123" s="71">
        <f ca="1">IF(ISBLANK(FWD[[#This Row],[CALENDAR YEAR]]),ROUNDDOWN(FWD[[#This Row],[Running count]]/3000,0)+$T$1,FWD[[#This Row],[CALENDAR YEAR]])</f>
        <v>2038</v>
      </c>
    </row>
    <row r="124" spans="1:20">
      <c r="A124" s="65" t="s">
        <v>81</v>
      </c>
      <c r="B124" s="1" t="str">
        <f>VLOOKUP(A124,Data[],2,FALSE)</f>
        <v>MANHATTAN</v>
      </c>
      <c r="C124" s="1">
        <f>VLOOKUP(FWD[[#This Row],[DEVELOPMENT]],Data[],25,FALSE)</f>
        <v>0</v>
      </c>
      <c r="D124" s="9" t="s">
        <v>49</v>
      </c>
      <c r="E124" s="50">
        <f>VLOOKUP(FWD[[#This Row],[DEVELOPMENT]],Data[],7,FALSE)</f>
        <v>1939</v>
      </c>
      <c r="F124" s="50" t="e">
        <f>VLOOKUP(FWD[[#This Row],[DEVELOPMENT]],all[[DEVELOPMENT]:[MRST Ext. Comp. Priority]],5,FALSE)</f>
        <v>#N/A</v>
      </c>
      <c r="G124" s="50" t="str">
        <f>VLOOKUP(FWD[[#This Row],[DEVELOPMENT]],Data[],8,FALSE)</f>
        <v>Zone 2</v>
      </c>
      <c r="H124" s="9">
        <f>VLOOKUP(FWD[[#This Row],[DEVELOPMENT]],Data[],9,FALSE)</f>
        <v>1</v>
      </c>
      <c r="I124" s="1" t="str">
        <f ca="1">IFERROR(VLOOKUP(FWD[[#This Row],[DEVELOPMENT]],Data[],4,FALSE),"")</f>
        <v>2026+</v>
      </c>
      <c r="J124" s="51" t="str">
        <f ca="1">IF(FWD[[#This Row],[RAD/PACT]]="","",IF(OR(FWD[[#This Row],[RAD/PACT]]="2021-2025",FWD[[#This Row],[RAD/PACT]]="2019-2020"),"Yes",""))</f>
        <v/>
      </c>
      <c r="K124" s="1"/>
      <c r="L124" s="1"/>
      <c r="M124" s="1"/>
      <c r="N124" s="1"/>
      <c r="O124" s="3">
        <f ca="1">IF(FWD[[#This Row],[RAD/PACT]]="2019-2020",0,INDEX(UnitCosts[],MATCH(FWD[[#This Row],[WORK TYPE]],UnitCosts[Work Type],0),2)*FWD[[#This Row],[Dwelling Units]])</f>
        <v>3332629.0019975421</v>
      </c>
      <c r="P124" s="3"/>
      <c r="Q124" s="3"/>
      <c r="R124" s="69">
        <f t="shared" ca="1" si="1"/>
        <v>3332629.0019975421</v>
      </c>
      <c r="S124" s="71">
        <f ca="1">SUM(INDEX(FWD[Dwelling Units],1):FWD[[#This Row],[Dwelling Units]])</f>
        <v>58698</v>
      </c>
      <c r="T124" s="71">
        <f ca="1">IF(ISBLANK(FWD[[#This Row],[CALENDAR YEAR]]),ROUNDDOWN(FWD[[#This Row],[Running count]]/3000,0)+$T$1,FWD[[#This Row],[CALENDAR YEAR]])</f>
        <v>2039</v>
      </c>
    </row>
    <row r="125" spans="1:20">
      <c r="A125" s="65" t="s">
        <v>327</v>
      </c>
      <c r="B125" s="1" t="str">
        <f>VLOOKUP(A125,Data[],2,FALSE)</f>
        <v>BROOKLYN</v>
      </c>
      <c r="C125" s="1">
        <f>VLOOKUP(FWD[[#This Row],[DEVELOPMENT]],Data[],25,FALSE)</f>
        <v>0</v>
      </c>
      <c r="D125" s="9" t="s">
        <v>49</v>
      </c>
      <c r="E125" s="50">
        <f>VLOOKUP(FWD[[#This Row],[DEVELOPMENT]],Data[],7,FALSE)</f>
        <v>627</v>
      </c>
      <c r="F125" s="50" t="e">
        <f>VLOOKUP(FWD[[#This Row],[DEVELOPMENT]],all[[DEVELOPMENT]:[MRST Ext. Comp. Priority]],5,FALSE)</f>
        <v>#N/A</v>
      </c>
      <c r="G125" s="50">
        <f>VLOOKUP(FWD[[#This Row],[DEVELOPMENT]],Data[],8,FALSE)</f>
        <v>0</v>
      </c>
      <c r="H125" s="9">
        <f>VLOOKUP(FWD[[#This Row],[DEVELOPMENT]],Data[],9,FALSE)</f>
        <v>0</v>
      </c>
      <c r="I125" s="1" t="str">
        <f ca="1">IFERROR(VLOOKUP(FWD[[#This Row],[DEVELOPMENT]],Data[],4,FALSE),"")</f>
        <v>2026+</v>
      </c>
      <c r="J125" s="51" t="str">
        <f ca="1">IF(FWD[[#This Row],[RAD/PACT]]="","",IF(OR(FWD[[#This Row],[RAD/PACT]]="2021-2025",FWD[[#This Row],[RAD/PACT]]="2019-2020"),"Yes",""))</f>
        <v/>
      </c>
      <c r="K125" s="1"/>
      <c r="L125" s="1"/>
      <c r="M125" s="1"/>
      <c r="N125" s="1"/>
      <c r="O125" s="3">
        <f ca="1">IF(FWD[[#This Row],[RAD/PACT]]="2019-2020",0,INDEX(UnitCosts[],MATCH(FWD[[#This Row],[WORK TYPE]],UnitCosts[Work Type],0),2)*FWD[[#This Row],[Dwelling Units]])</f>
        <v>1077647.4390162241</v>
      </c>
      <c r="P125" s="3"/>
      <c r="Q125" s="3"/>
      <c r="R125" s="69">
        <f t="shared" ca="1" si="1"/>
        <v>4410276.4410137665</v>
      </c>
      <c r="S125" s="71">
        <f ca="1">SUM(INDEX(FWD[Dwelling Units],1):FWD[[#This Row],[Dwelling Units]])</f>
        <v>59325</v>
      </c>
      <c r="T125" s="71">
        <f ca="1">IF(ISBLANK(FWD[[#This Row],[CALENDAR YEAR]]),ROUNDDOWN(FWD[[#This Row],[Running count]]/3000,0)+$T$1,FWD[[#This Row],[CALENDAR YEAR]])</f>
        <v>2039</v>
      </c>
    </row>
    <row r="126" spans="1:20">
      <c r="A126" s="65" t="s">
        <v>328</v>
      </c>
      <c r="B126" s="1" t="str">
        <f>VLOOKUP(A126,Data[],2,FALSE)</f>
        <v>BRONX</v>
      </c>
      <c r="C126" s="1">
        <f>VLOOKUP(FWD[[#This Row],[DEVELOPMENT]],Data[],25,FALSE)</f>
        <v>0</v>
      </c>
      <c r="D126" s="9" t="s">
        <v>49</v>
      </c>
      <c r="E126" s="50">
        <f>VLOOKUP(FWD[[#This Row],[DEVELOPMENT]],Data[],7,FALSE)</f>
        <v>732</v>
      </c>
      <c r="F126" s="50" t="e">
        <f>VLOOKUP(FWD[[#This Row],[DEVELOPMENT]],all[[DEVELOPMENT]:[MRST Ext. Comp. Priority]],5,FALSE)</f>
        <v>#N/A</v>
      </c>
      <c r="G126" s="50">
        <f>VLOOKUP(FWD[[#This Row],[DEVELOPMENT]],Data[],8,FALSE)</f>
        <v>0</v>
      </c>
      <c r="H126" s="9">
        <f>VLOOKUP(FWD[[#This Row],[DEVELOPMENT]],Data[],9,FALSE)</f>
        <v>0</v>
      </c>
      <c r="I126" s="1" t="str">
        <f ca="1">IFERROR(VLOOKUP(FWD[[#This Row],[DEVELOPMENT]],Data[],4,FALSE),"")</f>
        <v/>
      </c>
      <c r="J126" s="51" t="str">
        <f ca="1">IF(FWD[[#This Row],[RAD/PACT]]="","",IF(OR(FWD[[#This Row],[RAD/PACT]]="2021-2025",FWD[[#This Row],[RAD/PACT]]="2019-2020"),"Yes",""))</f>
        <v/>
      </c>
      <c r="K126" s="1"/>
      <c r="L126" s="1"/>
      <c r="M126" s="1"/>
      <c r="N126" s="1"/>
      <c r="O126" s="3">
        <f ca="1">IF(FWD[[#This Row],[RAD/PACT]]="2019-2020",0,INDEX(UnitCosts[],MATCH(FWD[[#This Row],[WORK TYPE]],UnitCosts[Work Type],0),2)*FWD[[#This Row],[Dwelling Units]])</f>
        <v>1258114.7134926254</v>
      </c>
      <c r="P126" s="3"/>
      <c r="Q126" s="3"/>
      <c r="R126" s="69">
        <f t="shared" ca="1" si="1"/>
        <v>1258114.7134926254</v>
      </c>
      <c r="S126" s="71">
        <f ca="1">SUM(INDEX(FWD[Dwelling Units],1):FWD[[#This Row],[Dwelling Units]])</f>
        <v>60057</v>
      </c>
      <c r="T126" s="71">
        <f ca="1">IF(ISBLANK(FWD[[#This Row],[CALENDAR YEAR]]),ROUNDDOWN(FWD[[#This Row],[Running count]]/3000,0)+$T$1,FWD[[#This Row],[CALENDAR YEAR]])</f>
        <v>2040</v>
      </c>
    </row>
    <row r="127" spans="1:20">
      <c r="A127" s="65" t="s">
        <v>329</v>
      </c>
      <c r="B127" s="1" t="str">
        <f>VLOOKUP(A127,Data[],2,FALSE)</f>
        <v>BROOKLYN</v>
      </c>
      <c r="C127" s="1">
        <f>VLOOKUP(FWD[[#This Row],[DEVELOPMENT]],Data[],25,FALSE)</f>
        <v>0</v>
      </c>
      <c r="D127" s="9" t="s">
        <v>49</v>
      </c>
      <c r="E127" s="50">
        <f>VLOOKUP(FWD[[#This Row],[DEVELOPMENT]],Data[],7,FALSE)</f>
        <v>380</v>
      </c>
      <c r="F127" s="50" t="e">
        <f>VLOOKUP(FWD[[#This Row],[DEVELOPMENT]],all[[DEVELOPMENT]:[MRST Ext. Comp. Priority]],5,FALSE)</f>
        <v>#N/A</v>
      </c>
      <c r="G127" s="50">
        <f>VLOOKUP(FWD[[#This Row],[DEVELOPMENT]],Data[],8,FALSE)</f>
        <v>0</v>
      </c>
      <c r="H127" s="9">
        <f>VLOOKUP(FWD[[#This Row],[DEVELOPMENT]],Data[],9,FALSE)</f>
        <v>0</v>
      </c>
      <c r="I127" s="1" t="str">
        <f ca="1">IFERROR(VLOOKUP(FWD[[#This Row],[DEVELOPMENT]],Data[],4,FALSE),"")</f>
        <v/>
      </c>
      <c r="J127" s="51" t="str">
        <f ca="1">IF(FWD[[#This Row],[RAD/PACT]]="","",IF(OR(FWD[[#This Row],[RAD/PACT]]="2021-2025",FWD[[#This Row],[RAD/PACT]]="2019-2020"),"Yes",""))</f>
        <v/>
      </c>
      <c r="K127" s="1"/>
      <c r="L127" s="1"/>
      <c r="M127" s="1"/>
      <c r="N127" s="1"/>
      <c r="O127" s="3">
        <f ca="1">IF(FWD[[#This Row],[RAD/PACT]]="2019-2020",0,INDEX(UnitCosts[],MATCH(FWD[[#This Row],[WORK TYPE]],UnitCosts[Work Type],0),2)*FWD[[#This Row],[Dwelling Units]])</f>
        <v>653119.66000983282</v>
      </c>
      <c r="P127" s="3"/>
      <c r="Q127" s="3"/>
      <c r="R127" s="69">
        <f t="shared" ca="1" si="1"/>
        <v>1911234.3735024582</v>
      </c>
      <c r="S127" s="71">
        <f ca="1">SUM(INDEX(FWD[Dwelling Units],1):FWD[[#This Row],[Dwelling Units]])</f>
        <v>60437</v>
      </c>
      <c r="T127" s="71">
        <f ca="1">IF(ISBLANK(FWD[[#This Row],[CALENDAR YEAR]]),ROUNDDOWN(FWD[[#This Row],[Running count]]/3000,0)+$T$1,FWD[[#This Row],[CALENDAR YEAR]])</f>
        <v>2040</v>
      </c>
    </row>
    <row r="128" spans="1:20">
      <c r="A128" s="65" t="s">
        <v>244</v>
      </c>
      <c r="B128" s="1" t="str">
        <f>VLOOKUP(A128,Data[],2,FALSE)</f>
        <v>QUEENS</v>
      </c>
      <c r="C128" s="1">
        <f>VLOOKUP(FWD[[#This Row],[DEVELOPMENT]],Data[],25,FALSE)</f>
        <v>0</v>
      </c>
      <c r="D128" s="9" t="s">
        <v>49</v>
      </c>
      <c r="E128" s="50">
        <f>VLOOKUP(FWD[[#This Row],[DEVELOPMENT]],Data[],7,FALSE)</f>
        <v>710</v>
      </c>
      <c r="F128" s="50" t="e">
        <f>VLOOKUP(FWD[[#This Row],[DEVELOPMENT]],all[[DEVELOPMENT]:[MRST Ext. Comp. Priority]],5,FALSE)</f>
        <v>#N/A</v>
      </c>
      <c r="G128" s="50">
        <f>VLOOKUP(FWD[[#This Row],[DEVELOPMENT]],Data[],8,FALSE)</f>
        <v>0</v>
      </c>
      <c r="H128" s="9">
        <f>VLOOKUP(FWD[[#This Row],[DEVELOPMENT]],Data[],9,FALSE)</f>
        <v>0</v>
      </c>
      <c r="I128" s="1" t="str">
        <f ca="1">IFERROR(VLOOKUP(FWD[[#This Row],[DEVELOPMENT]],Data[],4,FALSE),"")</f>
        <v>2026+</v>
      </c>
      <c r="J128" s="51" t="str">
        <f ca="1">IF(FWD[[#This Row],[RAD/PACT]]="","",IF(OR(FWD[[#This Row],[RAD/PACT]]="2021-2025",FWD[[#This Row],[RAD/PACT]]="2019-2020"),"Yes",""))</f>
        <v/>
      </c>
      <c r="K128" s="1"/>
      <c r="L128" s="1"/>
      <c r="M128" s="1"/>
      <c r="N128" s="1"/>
      <c r="O128" s="3">
        <f ca="1">IF(FWD[[#This Row],[RAD/PACT]]="2019-2020",0,INDEX(UnitCosts[],MATCH(FWD[[#This Row],[WORK TYPE]],UnitCosts[Work Type],0),2)*FWD[[#This Row],[Dwelling Units]])</f>
        <v>1220302.5226499508</v>
      </c>
      <c r="P128" s="3"/>
      <c r="Q128" s="3"/>
      <c r="R128" s="69">
        <f t="shared" ca="1" si="1"/>
        <v>3131536.8961524088</v>
      </c>
      <c r="S128" s="71">
        <f ca="1">SUM(INDEX(FWD[Dwelling Units],1):FWD[[#This Row],[Dwelling Units]])</f>
        <v>61147</v>
      </c>
      <c r="T128" s="71">
        <f ca="1">IF(ISBLANK(FWD[[#This Row],[CALENDAR YEAR]]),ROUNDDOWN(FWD[[#This Row],[Running count]]/3000,0)+$T$1,FWD[[#This Row],[CALENDAR YEAR]])</f>
        <v>2040</v>
      </c>
    </row>
    <row r="129" spans="1:20">
      <c r="A129" s="65" t="s">
        <v>265</v>
      </c>
      <c r="B129" s="1" t="str">
        <f>VLOOKUP(A129,Data[],2,FALSE)</f>
        <v>MANHATTAN</v>
      </c>
      <c r="C129" s="1">
        <f>VLOOKUP(FWD[[#This Row],[DEVELOPMENT]],Data[],25,FALSE)</f>
        <v>0</v>
      </c>
      <c r="D129" s="9" t="s">
        <v>49</v>
      </c>
      <c r="E129" s="50">
        <f>VLOOKUP(FWD[[#This Row],[DEVELOPMENT]],Data[],7,FALSE)</f>
        <v>377</v>
      </c>
      <c r="F129" s="50" t="e">
        <f>VLOOKUP(FWD[[#This Row],[DEVELOPMENT]],all[[DEVELOPMENT]:[MRST Ext. Comp. Priority]],5,FALSE)</f>
        <v>#N/A</v>
      </c>
      <c r="G129" s="50">
        <f>VLOOKUP(FWD[[#This Row],[DEVELOPMENT]],Data[],8,FALSE)</f>
        <v>0</v>
      </c>
      <c r="H129" s="9">
        <f>VLOOKUP(FWD[[#This Row],[DEVELOPMENT]],Data[],9,FALSE)</f>
        <v>0</v>
      </c>
      <c r="I129" s="1" t="str">
        <f ca="1">IFERROR(VLOOKUP(FWD[[#This Row],[DEVELOPMENT]],Data[],4,FALSE),"")</f>
        <v/>
      </c>
      <c r="J129" s="51" t="str">
        <f ca="1">IF(FWD[[#This Row],[RAD/PACT]]="","",IF(OR(FWD[[#This Row],[RAD/PACT]]="2021-2025",FWD[[#This Row],[RAD/PACT]]="2019-2020"),"Yes",""))</f>
        <v/>
      </c>
      <c r="K129" s="1"/>
      <c r="L129" s="1"/>
      <c r="M129" s="1"/>
      <c r="N129" s="1"/>
      <c r="O129" s="3">
        <f ca="1">IF(FWD[[#This Row],[RAD/PACT]]="2019-2020",0,INDEX(UnitCosts[],MATCH(FWD[[#This Row],[WORK TYPE]],UnitCosts[Work Type],0),2)*FWD[[#This Row],[Dwelling Units]])</f>
        <v>647963.45216764999</v>
      </c>
      <c r="P129" s="3"/>
      <c r="Q129" s="3"/>
      <c r="R129" s="69">
        <f t="shared" ca="1" si="1"/>
        <v>3779500.3483200585</v>
      </c>
      <c r="S129" s="71">
        <f ca="1">SUM(INDEX(FWD[Dwelling Units],1):FWD[[#This Row],[Dwelling Units]])</f>
        <v>61524</v>
      </c>
      <c r="T129" s="71">
        <f ca="1">IF(ISBLANK(FWD[[#This Row],[CALENDAR YEAR]]),ROUNDDOWN(FWD[[#This Row],[Running count]]/3000,0)+$T$1,FWD[[#This Row],[CALENDAR YEAR]])</f>
        <v>2040</v>
      </c>
    </row>
    <row r="130" spans="1:20">
      <c r="A130" s="65" t="s">
        <v>117</v>
      </c>
      <c r="B130" s="1" t="str">
        <f>VLOOKUP(A130,Data[],2,FALSE)</f>
        <v>MANHATTAN</v>
      </c>
      <c r="C130" s="1">
        <f>VLOOKUP(FWD[[#This Row],[DEVELOPMENT]],Data[],25,FALSE)</f>
        <v>0</v>
      </c>
      <c r="D130" s="9" t="s">
        <v>49</v>
      </c>
      <c r="E130" s="50">
        <f>VLOOKUP(FWD[[#This Row],[DEVELOPMENT]],Data[],7,FALSE)</f>
        <v>574</v>
      </c>
      <c r="F130" s="50">
        <f>VLOOKUP(FWD[[#This Row],[DEVELOPMENT]],all[[DEVELOPMENT]:[MRST Ext. Comp. Priority]],5,FALSE)</f>
        <v>0</v>
      </c>
      <c r="G130" s="50" t="str">
        <f>VLOOKUP(FWD[[#This Row],[DEVELOPMENT]],Data[],8,FALSE)</f>
        <v>Zone 3</v>
      </c>
      <c r="H130" s="9">
        <f>VLOOKUP(FWD[[#This Row],[DEVELOPMENT]],Data[],9,FALSE)</f>
        <v>4</v>
      </c>
      <c r="I130" s="1" t="str">
        <f ca="1">IFERROR(VLOOKUP(FWD[[#This Row],[DEVELOPMENT]],Data[],4,FALSE),"")</f>
        <v>2020-2021</v>
      </c>
      <c r="J130" s="51" t="str">
        <f ca="1">IF(FWD[[#This Row],[RAD/PACT]]="","",IF(OR(FWD[[#This Row],[RAD/PACT]]="2021-2025",FWD[[#This Row],[RAD/PACT]]="2019-2020"),"Yes",""))</f>
        <v/>
      </c>
      <c r="K130" s="1"/>
      <c r="L130" s="1"/>
      <c r="M130" s="1"/>
      <c r="N130" s="1"/>
      <c r="O130" s="3">
        <f ca="1">IF(FWD[[#This Row],[RAD/PACT]]="2019-2020",0,INDEX(UnitCosts[],MATCH(FWD[[#This Row],[WORK TYPE]],UnitCosts[Work Type],0),2)*FWD[[#This Row],[Dwelling Units]])</f>
        <v>986554.43380432646</v>
      </c>
      <c r="P130" s="3"/>
      <c r="Q130" s="3"/>
      <c r="R130" s="69">
        <f t="shared" ca="1" si="1"/>
        <v>4766054.7821243852</v>
      </c>
      <c r="S130" s="71">
        <f ca="1">SUM(INDEX(FWD[Dwelling Units],1):FWD[[#This Row],[Dwelling Units]])</f>
        <v>62098</v>
      </c>
      <c r="T130" s="71">
        <f ca="1">IF(ISBLANK(FWD[[#This Row],[CALENDAR YEAR]]),ROUNDDOWN(FWD[[#This Row],[Running count]]/3000,0)+$T$1,FWD[[#This Row],[CALENDAR YEAR]])</f>
        <v>2040</v>
      </c>
    </row>
    <row r="131" spans="1:20">
      <c r="A131" s="65" t="s">
        <v>82</v>
      </c>
      <c r="B131" s="1" t="str">
        <f>VLOOKUP(A131,Data[],2,FALSE)</f>
        <v>MANHATTAN</v>
      </c>
      <c r="C131" s="1">
        <f>VLOOKUP(FWD[[#This Row],[DEVELOPMENT]],Data[],25,FALSE)</f>
        <v>0</v>
      </c>
      <c r="D131" s="9" t="s">
        <v>49</v>
      </c>
      <c r="E131" s="50">
        <f>VLOOKUP(FWD[[#This Row],[DEVELOPMENT]],Data[],7,FALSE)</f>
        <v>116</v>
      </c>
      <c r="F131" s="50" t="e">
        <f>VLOOKUP(FWD[[#This Row],[DEVELOPMENT]],all[[DEVELOPMENT]:[MRST Ext. Comp. Priority]],5,FALSE)</f>
        <v>#N/A</v>
      </c>
      <c r="G131" s="50" t="str">
        <f>VLOOKUP(FWD[[#This Row],[DEVELOPMENT]],Data[],8,FALSE)</f>
        <v>Zone 3</v>
      </c>
      <c r="H131" s="9">
        <f>VLOOKUP(FWD[[#This Row],[DEVELOPMENT]],Data[],9,FALSE)</f>
        <v>3</v>
      </c>
      <c r="I131" s="1" t="str">
        <f ca="1">IFERROR(VLOOKUP(FWD[[#This Row],[DEVELOPMENT]],Data[],4,FALSE),"")</f>
        <v>2020-2021</v>
      </c>
      <c r="J131" s="51" t="str">
        <f ca="1">IF(FWD[[#This Row],[RAD/PACT]]="","",IF(OR(FWD[[#This Row],[RAD/PACT]]="2021-2025",FWD[[#This Row],[RAD/PACT]]="2019-2020"),"Yes",""))</f>
        <v/>
      </c>
      <c r="K131" s="1"/>
      <c r="L131" s="1"/>
      <c r="M131" s="1"/>
      <c r="N131" s="1"/>
      <c r="O131" s="3">
        <f ca="1">IF(FWD[[#This Row],[RAD/PACT]]="2019-2020",0,INDEX(UnitCosts[],MATCH(FWD[[#This Row],[WORK TYPE]],UnitCosts[Work Type],0),2)*FWD[[#This Row],[Dwelling Units]])</f>
        <v>199373.36989773845</v>
      </c>
      <c r="P131" s="3"/>
      <c r="Q131" s="3"/>
      <c r="R131" s="69">
        <f t="shared" ca="1" si="1"/>
        <v>4965428.1520221233</v>
      </c>
      <c r="S131" s="71">
        <f ca="1">SUM(INDEX(FWD[Dwelling Units],1):FWD[[#This Row],[Dwelling Units]])</f>
        <v>62214</v>
      </c>
      <c r="T131" s="71">
        <f ca="1">IF(ISBLANK(FWD[[#This Row],[CALENDAR YEAR]]),ROUNDDOWN(FWD[[#This Row],[Running count]]/3000,0)+$T$1,FWD[[#This Row],[CALENDAR YEAR]])</f>
        <v>2040</v>
      </c>
    </row>
    <row r="132" spans="1:20">
      <c r="A132" s="65" t="s">
        <v>330</v>
      </c>
      <c r="B132" s="1" t="str">
        <f>VLOOKUP(A132,Data[],2,FALSE)</f>
        <v>BRONX</v>
      </c>
      <c r="C132" s="1">
        <f>VLOOKUP(FWD[[#This Row],[DEVELOPMENT]],Data[],25,FALSE)</f>
        <v>0</v>
      </c>
      <c r="D132" s="9" t="s">
        <v>49</v>
      </c>
      <c r="E132" s="50">
        <f>VLOOKUP(FWD[[#This Row],[DEVELOPMENT]],Data[],7,FALSE)</f>
        <v>34</v>
      </c>
      <c r="F132" s="50" t="e">
        <f>VLOOKUP(FWD[[#This Row],[DEVELOPMENT]],all[[DEVELOPMENT]:[MRST Ext. Comp. Priority]],5,FALSE)</f>
        <v>#N/A</v>
      </c>
      <c r="G132" s="50">
        <f>VLOOKUP(FWD[[#This Row],[DEVELOPMENT]],Data[],8,FALSE)</f>
        <v>0</v>
      </c>
      <c r="H132" s="9">
        <f>VLOOKUP(FWD[[#This Row],[DEVELOPMENT]],Data[],9,FALSE)</f>
        <v>0</v>
      </c>
      <c r="I132" s="1" t="str">
        <f ca="1">IFERROR(VLOOKUP(FWD[[#This Row],[DEVELOPMENT]],Data[],4,FALSE),"")</f>
        <v/>
      </c>
      <c r="J132" s="51" t="str">
        <f ca="1">IF(FWD[[#This Row],[RAD/PACT]]="","",IF(OR(FWD[[#This Row],[RAD/PACT]]="2021-2025",FWD[[#This Row],[RAD/PACT]]="2019-2020"),"Yes",""))</f>
        <v/>
      </c>
      <c r="K132" s="1"/>
      <c r="L132" s="1"/>
      <c r="M132" s="1"/>
      <c r="N132" s="1"/>
      <c r="O132" s="3">
        <f ca="1">IF(FWD[[#This Row],[RAD/PACT]]="2019-2020",0,INDEX(UnitCosts[],MATCH(FWD[[#This Row],[WORK TYPE]],UnitCosts[Work Type],0),2)*FWD[[#This Row],[Dwelling Units]])</f>
        <v>58437.022211406096</v>
      </c>
      <c r="P132" s="3"/>
      <c r="Q132" s="3"/>
      <c r="R132" s="69">
        <f t="shared" ref="R132:R195" ca="1" si="2">IF(T132=T131,(O132+N132)+R131,(O132+N132))</f>
        <v>5023865.1742335297</v>
      </c>
      <c r="S132" s="71">
        <f ca="1">SUM(INDEX(FWD[Dwelling Units],1):FWD[[#This Row],[Dwelling Units]])</f>
        <v>62248</v>
      </c>
      <c r="T132" s="71">
        <f ca="1">IF(ISBLANK(FWD[[#This Row],[CALENDAR YEAR]]),ROUNDDOWN(FWD[[#This Row],[Running count]]/3000,0)+$T$1,FWD[[#This Row],[CALENDAR YEAR]])</f>
        <v>2040</v>
      </c>
    </row>
    <row r="133" spans="1:20">
      <c r="A133" s="65" t="s">
        <v>331</v>
      </c>
      <c r="B133" s="1" t="str">
        <f>VLOOKUP(A133,Data[],2,FALSE)</f>
        <v>BRONX</v>
      </c>
      <c r="C133" s="1">
        <f>VLOOKUP(FWD[[#This Row],[DEVELOPMENT]],Data[],25,FALSE)</f>
        <v>0</v>
      </c>
      <c r="D133" s="9" t="s">
        <v>49</v>
      </c>
      <c r="E133" s="50">
        <f>VLOOKUP(FWD[[#This Row],[DEVELOPMENT]],Data[],7,FALSE)</f>
        <v>150</v>
      </c>
      <c r="F133" s="50" t="e">
        <f>VLOOKUP(FWD[[#This Row],[DEVELOPMENT]],all[[DEVELOPMENT]:[MRST Ext. Comp. Priority]],5,FALSE)</f>
        <v>#N/A</v>
      </c>
      <c r="G133" s="50">
        <f>VLOOKUP(FWD[[#This Row],[DEVELOPMENT]],Data[],8,FALSE)</f>
        <v>0</v>
      </c>
      <c r="H133" s="9">
        <f>VLOOKUP(FWD[[#This Row],[DEVELOPMENT]],Data[],9,FALSE)</f>
        <v>0</v>
      </c>
      <c r="I133" s="1" t="str">
        <f ca="1">IFERROR(VLOOKUP(FWD[[#This Row],[DEVELOPMENT]],Data[],4,FALSE),"")</f>
        <v/>
      </c>
      <c r="J133" s="51" t="str">
        <f ca="1">IF(FWD[[#This Row],[RAD/PACT]]="","",IF(OR(FWD[[#This Row],[RAD/PACT]]="2021-2025",FWD[[#This Row],[RAD/PACT]]="2019-2020"),"Yes",""))</f>
        <v/>
      </c>
      <c r="K133" s="1"/>
      <c r="L133" s="1"/>
      <c r="M133" s="1"/>
      <c r="N133" s="1"/>
      <c r="O133" s="3">
        <f ca="1">IF(FWD[[#This Row],[RAD/PACT]]="2019-2020",0,INDEX(UnitCosts[],MATCH(FWD[[#This Row],[WORK TYPE]],UnitCosts[Work Type],0),2)*FWD[[#This Row],[Dwelling Units]])</f>
        <v>257810.39210914454</v>
      </c>
      <c r="P133" s="3"/>
      <c r="Q133" s="3"/>
      <c r="R133" s="69">
        <f t="shared" ca="1" si="2"/>
        <v>5281675.5663426742</v>
      </c>
      <c r="S133" s="71">
        <f ca="1">SUM(INDEX(FWD[Dwelling Units],1):FWD[[#This Row],[Dwelling Units]])</f>
        <v>62398</v>
      </c>
      <c r="T133" s="71">
        <f ca="1">IF(ISBLANK(FWD[[#This Row],[CALENDAR YEAR]]),ROUNDDOWN(FWD[[#This Row],[Running count]]/3000,0)+$T$1,FWD[[#This Row],[CALENDAR YEAR]])</f>
        <v>2040</v>
      </c>
    </row>
    <row r="134" spans="1:20">
      <c r="A134" s="65" t="s">
        <v>266</v>
      </c>
      <c r="B134" s="1" t="str">
        <f>VLOOKUP(A134,Data[],2,FALSE)</f>
        <v>MANHATTAN</v>
      </c>
      <c r="C134" s="1" t="str">
        <f>VLOOKUP(FWD[[#This Row],[DEVELOPMENT]],Data[],25,FALSE)</f>
        <v>Newtown Creek</v>
      </c>
      <c r="D134" s="9" t="s">
        <v>49</v>
      </c>
      <c r="E134" s="50">
        <f>VLOOKUP(FWD[[#This Row],[DEVELOPMENT]],Data[],7,FALSE)</f>
        <v>149</v>
      </c>
      <c r="F134" s="50" t="e">
        <f>VLOOKUP(FWD[[#This Row],[DEVELOPMENT]],all[[DEVELOPMENT]:[MRST Ext. Comp. Priority]],5,FALSE)</f>
        <v>#N/A</v>
      </c>
      <c r="G134" s="50" t="str">
        <f>VLOOKUP(FWD[[#This Row],[DEVELOPMENT]],Data[],8,FALSE)</f>
        <v>Zone 1</v>
      </c>
      <c r="H134" s="9">
        <f>VLOOKUP(FWD[[#This Row],[DEVELOPMENT]],Data[],9,FALSE)</f>
        <v>3</v>
      </c>
      <c r="I134" s="1" t="str">
        <f ca="1">IFERROR(VLOOKUP(FWD[[#This Row],[DEVELOPMENT]],Data[],4,FALSE),"")</f>
        <v/>
      </c>
      <c r="J134" s="51" t="str">
        <f ca="1">IF(FWD[[#This Row],[RAD/PACT]]="","",IF(OR(FWD[[#This Row],[RAD/PACT]]="2021-2025",FWD[[#This Row],[RAD/PACT]]="2019-2020"),"Yes",""))</f>
        <v/>
      </c>
      <c r="K134" s="1"/>
      <c r="L134" s="1"/>
      <c r="M134" s="1"/>
      <c r="N134" s="1"/>
      <c r="O134" s="3">
        <f ca="1">IF(FWD[[#This Row],[RAD/PACT]]="2019-2020",0,INDEX(UnitCosts[],MATCH(FWD[[#This Row],[WORK TYPE]],UnitCosts[Work Type],0),2)*FWD[[#This Row],[Dwelling Units]])</f>
        <v>256091.65616175026</v>
      </c>
      <c r="P134" s="3"/>
      <c r="Q134" s="3"/>
      <c r="R134" s="69">
        <f t="shared" ca="1" si="2"/>
        <v>5537767.2225044249</v>
      </c>
      <c r="S134" s="71">
        <f ca="1">SUM(INDEX(FWD[Dwelling Units],1):FWD[[#This Row],[Dwelling Units]])</f>
        <v>62547</v>
      </c>
      <c r="T134" s="71">
        <f ca="1">IF(ISBLANK(FWD[[#This Row],[CALENDAR YEAR]]),ROUNDDOWN(FWD[[#This Row],[Running count]]/3000,0)+$T$1,FWD[[#This Row],[CALENDAR YEAR]])</f>
        <v>2040</v>
      </c>
    </row>
    <row r="135" spans="1:20">
      <c r="A135" s="65" t="s">
        <v>332</v>
      </c>
      <c r="B135" s="1" t="str">
        <f>VLOOKUP(A135,Data[],2,FALSE)</f>
        <v>BRONX</v>
      </c>
      <c r="C135" s="1">
        <f>VLOOKUP(FWD[[#This Row],[DEVELOPMENT]],Data[],25,FALSE)</f>
        <v>0</v>
      </c>
      <c r="D135" s="9" t="s">
        <v>49</v>
      </c>
      <c r="E135" s="50">
        <f>VLOOKUP(FWD[[#This Row],[DEVELOPMENT]],Data[],7,FALSE)</f>
        <v>700</v>
      </c>
      <c r="F135" s="50" t="e">
        <f>VLOOKUP(FWD[[#This Row],[DEVELOPMENT]],all[[DEVELOPMENT]:[MRST Ext. Comp. Priority]],5,FALSE)</f>
        <v>#N/A</v>
      </c>
      <c r="G135" s="50" t="str">
        <f>VLOOKUP(FWD[[#This Row],[DEVELOPMENT]],Data[],8,FALSE)</f>
        <v>Zone 1</v>
      </c>
      <c r="H135" s="9">
        <f>VLOOKUP(FWD[[#This Row],[DEVELOPMENT]],Data[],9,FALSE)</f>
        <v>4</v>
      </c>
      <c r="I135" s="1" t="str">
        <f ca="1">IFERROR(VLOOKUP(FWD[[#This Row],[DEVELOPMENT]],Data[],4,FALSE),"")</f>
        <v/>
      </c>
      <c r="J135" s="51" t="str">
        <f ca="1">IF(FWD[[#This Row],[RAD/PACT]]="","",IF(OR(FWD[[#This Row],[RAD/PACT]]="2021-2025",FWD[[#This Row],[RAD/PACT]]="2019-2020"),"Yes",""))</f>
        <v/>
      </c>
      <c r="K135" s="1"/>
      <c r="L135" s="1"/>
      <c r="M135" s="1"/>
      <c r="N135" s="1"/>
      <c r="O135" s="3">
        <f ca="1">IF(FWD[[#This Row],[RAD/PACT]]="2019-2020",0,INDEX(UnitCosts[],MATCH(FWD[[#This Row],[WORK TYPE]],UnitCosts[Work Type],0),2)*FWD[[#This Row],[Dwelling Units]])</f>
        <v>1203115.1631760078</v>
      </c>
      <c r="P135" s="3"/>
      <c r="Q135" s="3"/>
      <c r="R135" s="69">
        <f t="shared" ca="1" si="2"/>
        <v>1203115.1631760078</v>
      </c>
      <c r="S135" s="71">
        <f ca="1">SUM(INDEX(FWD[Dwelling Units],1):FWD[[#This Row],[Dwelling Units]])</f>
        <v>63247</v>
      </c>
      <c r="T135" s="71">
        <f ca="1">IF(ISBLANK(FWD[[#This Row],[CALENDAR YEAR]]),ROUNDDOWN(FWD[[#This Row],[Running count]]/3000,0)+$T$1,FWD[[#This Row],[CALENDAR YEAR]])</f>
        <v>2041</v>
      </c>
    </row>
    <row r="136" spans="1:20">
      <c r="A136" s="65" t="s">
        <v>285</v>
      </c>
      <c r="B136" s="1" t="str">
        <f>VLOOKUP(A136,Data[],2,FALSE)</f>
        <v>BRONX</v>
      </c>
      <c r="C136" s="1">
        <f>VLOOKUP(FWD[[#This Row],[DEVELOPMENT]],Data[],25,FALSE)</f>
        <v>0</v>
      </c>
      <c r="D136" s="9" t="s">
        <v>49</v>
      </c>
      <c r="E136" s="50">
        <f>VLOOKUP(FWD[[#This Row],[DEVELOPMENT]],Data[],7,FALSE)</f>
        <v>65</v>
      </c>
      <c r="F136" s="50" t="e">
        <f>VLOOKUP(FWD[[#This Row],[DEVELOPMENT]],all[[DEVELOPMENT]:[MRST Ext. Comp. Priority]],5,FALSE)</f>
        <v>#N/A</v>
      </c>
      <c r="G136" s="50">
        <f>VLOOKUP(FWD[[#This Row],[DEVELOPMENT]],Data[],8,FALSE)</f>
        <v>0</v>
      </c>
      <c r="H136" s="9">
        <f>VLOOKUP(FWD[[#This Row],[DEVELOPMENT]],Data[],9,FALSE)</f>
        <v>0</v>
      </c>
      <c r="I136" s="1" t="str">
        <f ca="1">IFERROR(VLOOKUP(FWD[[#This Row],[DEVELOPMENT]],Data[],4,FALSE),"")</f>
        <v/>
      </c>
      <c r="J136" s="51" t="str">
        <f ca="1">IF(FWD[[#This Row],[RAD/PACT]]="","",IF(OR(FWD[[#This Row],[RAD/PACT]]="2021-2025",FWD[[#This Row],[RAD/PACT]]="2019-2020"),"Yes",""))</f>
        <v/>
      </c>
      <c r="K136" s="1"/>
      <c r="L136" s="1"/>
      <c r="M136" s="1"/>
      <c r="N136" s="1"/>
      <c r="O136" s="3">
        <f ca="1">IF(FWD[[#This Row],[RAD/PACT]]="2019-2020",0,INDEX(UnitCosts[],MATCH(FWD[[#This Row],[WORK TYPE]],UnitCosts[Work Type],0),2)*FWD[[#This Row],[Dwelling Units]])</f>
        <v>111717.8365806293</v>
      </c>
      <c r="P136" s="3"/>
      <c r="Q136" s="3"/>
      <c r="R136" s="69">
        <f t="shared" ca="1" si="2"/>
        <v>1314832.999756637</v>
      </c>
      <c r="S136" s="71">
        <f ca="1">SUM(INDEX(FWD[Dwelling Units],1):FWD[[#This Row],[Dwelling Units]])</f>
        <v>63312</v>
      </c>
      <c r="T136" s="71">
        <f ca="1">IF(ISBLANK(FWD[[#This Row],[CALENDAR YEAR]]),ROUNDDOWN(FWD[[#This Row],[Running count]]/3000,0)+$T$1,FWD[[#This Row],[CALENDAR YEAR]])</f>
        <v>2041</v>
      </c>
    </row>
    <row r="137" spans="1:20">
      <c r="A137" s="65" t="s">
        <v>333</v>
      </c>
      <c r="B137" s="1" t="str">
        <f>VLOOKUP(A137,Data[],2,FALSE)</f>
        <v>MANHATTAN</v>
      </c>
      <c r="C137" s="1">
        <f>VLOOKUP(FWD[[#This Row],[DEVELOPMENT]],Data[],25,FALSE)</f>
        <v>0</v>
      </c>
      <c r="D137" s="9" t="s">
        <v>49</v>
      </c>
      <c r="E137" s="50">
        <f>VLOOKUP(FWD[[#This Row],[DEVELOPMENT]],Data[],7,FALSE)</f>
        <v>536</v>
      </c>
      <c r="F137" s="50" t="e">
        <f>VLOOKUP(FWD[[#This Row],[DEVELOPMENT]],all[[DEVELOPMENT]:[MRST Ext. Comp. Priority]],5,FALSE)</f>
        <v>#N/A</v>
      </c>
      <c r="G137" s="50">
        <f>VLOOKUP(FWD[[#This Row],[DEVELOPMENT]],Data[],8,FALSE)</f>
        <v>0</v>
      </c>
      <c r="H137" s="9">
        <f>VLOOKUP(FWD[[#This Row],[DEVELOPMENT]],Data[],9,FALSE)</f>
        <v>0</v>
      </c>
      <c r="I137" s="1" t="str">
        <f ca="1">IFERROR(VLOOKUP(FWD[[#This Row],[DEVELOPMENT]],Data[],4,FALSE),"")</f>
        <v/>
      </c>
      <c r="J137" s="51" t="str">
        <f ca="1">IF(FWD[[#This Row],[RAD/PACT]]="","",IF(OR(FWD[[#This Row],[RAD/PACT]]="2021-2025",FWD[[#This Row],[RAD/PACT]]="2019-2020"),"Yes",""))</f>
        <v/>
      </c>
      <c r="K137" s="1"/>
      <c r="L137" s="1"/>
      <c r="M137" s="1"/>
      <c r="N137" s="1"/>
      <c r="O137" s="3">
        <f ca="1">IF(FWD[[#This Row],[RAD/PACT]]="2019-2020",0,INDEX(UnitCosts[],MATCH(FWD[[#This Row],[WORK TYPE]],UnitCosts[Work Type],0),2)*FWD[[#This Row],[Dwelling Units]])</f>
        <v>921242.4678033432</v>
      </c>
      <c r="P137" s="3"/>
      <c r="Q137" s="3"/>
      <c r="R137" s="69">
        <f t="shared" ca="1" si="2"/>
        <v>2236075.4675599802</v>
      </c>
      <c r="S137" s="71">
        <f ca="1">SUM(INDEX(FWD[Dwelling Units],1):FWD[[#This Row],[Dwelling Units]])</f>
        <v>63848</v>
      </c>
      <c r="T137" s="71">
        <f ca="1">IF(ISBLANK(FWD[[#This Row],[CALENDAR YEAR]]),ROUNDDOWN(FWD[[#This Row],[Running count]]/3000,0)+$T$1,FWD[[#This Row],[CALENDAR YEAR]])</f>
        <v>2041</v>
      </c>
    </row>
    <row r="138" spans="1:20">
      <c r="A138" s="65" t="s">
        <v>206</v>
      </c>
      <c r="B138" s="1" t="str">
        <f>VLOOKUP(A138,Data[],2,FALSE)</f>
        <v>BROOKLYN</v>
      </c>
      <c r="C138" s="1">
        <f>VLOOKUP(FWD[[#This Row],[DEVELOPMENT]],Data[],25,FALSE)</f>
        <v>0</v>
      </c>
      <c r="D138" s="9" t="s">
        <v>49</v>
      </c>
      <c r="E138" s="50">
        <f>VLOOKUP(FWD[[#This Row],[DEVELOPMENT]],Data[],7,FALSE)</f>
        <v>813</v>
      </c>
      <c r="F138" s="50" t="e">
        <f>VLOOKUP(FWD[[#This Row],[DEVELOPMENT]],all[[DEVELOPMENT]:[MRST Ext. Comp. Priority]],5,FALSE)</f>
        <v>#N/A</v>
      </c>
      <c r="G138" s="50">
        <f>VLOOKUP(FWD[[#This Row],[DEVELOPMENT]],Data[],8,FALSE)</f>
        <v>0</v>
      </c>
      <c r="H138" s="9">
        <f>VLOOKUP(FWD[[#This Row],[DEVELOPMENT]],Data[],9,FALSE)</f>
        <v>0</v>
      </c>
      <c r="I138" s="1" t="str">
        <f ca="1">IFERROR(VLOOKUP(FWD[[#This Row],[DEVELOPMENT]],Data[],4,FALSE),"")</f>
        <v>2026+</v>
      </c>
      <c r="J138" s="51" t="str">
        <f ca="1">IF(FWD[[#This Row],[RAD/PACT]]="","",IF(OR(FWD[[#This Row],[RAD/PACT]]="2021-2025",FWD[[#This Row],[RAD/PACT]]="2019-2020"),"Yes",""))</f>
        <v/>
      </c>
      <c r="K138" s="1"/>
      <c r="L138" s="1"/>
      <c r="M138" s="1"/>
      <c r="N138" s="1"/>
      <c r="O138" s="3">
        <f ca="1">IF(FWD[[#This Row],[RAD/PACT]]="2019-2020",0,INDEX(UnitCosts[],MATCH(FWD[[#This Row],[WORK TYPE]],UnitCosts[Work Type],0),2)*FWD[[#This Row],[Dwelling Units]])</f>
        <v>1397332.3252315635</v>
      </c>
      <c r="P138" s="3"/>
      <c r="Q138" s="3"/>
      <c r="R138" s="69">
        <f t="shared" ca="1" si="2"/>
        <v>3633407.7927915435</v>
      </c>
      <c r="S138" s="71">
        <f ca="1">SUM(INDEX(FWD[Dwelling Units],1):FWD[[#This Row],[Dwelling Units]])</f>
        <v>64661</v>
      </c>
      <c r="T138" s="71">
        <f ca="1">IF(ISBLANK(FWD[[#This Row],[CALENDAR YEAR]]),ROUNDDOWN(FWD[[#This Row],[Running count]]/3000,0)+$T$1,FWD[[#This Row],[CALENDAR YEAR]])</f>
        <v>2041</v>
      </c>
    </row>
    <row r="139" spans="1:20">
      <c r="A139" s="65" t="s">
        <v>245</v>
      </c>
      <c r="B139" s="1" t="str">
        <f>VLOOKUP(A139,Data[],2,FALSE)</f>
        <v>BROOKLYN</v>
      </c>
      <c r="C139" s="1">
        <f>VLOOKUP(FWD[[#This Row],[DEVELOPMENT]],Data[],25,FALSE)</f>
        <v>0</v>
      </c>
      <c r="D139" s="9" t="s">
        <v>49</v>
      </c>
      <c r="E139" s="50">
        <f>VLOOKUP(FWD[[#This Row],[DEVELOPMENT]],Data[],7,FALSE)</f>
        <v>148</v>
      </c>
      <c r="F139" s="50" t="e">
        <f>VLOOKUP(FWD[[#This Row],[DEVELOPMENT]],all[[DEVELOPMENT]:[MRST Ext. Comp. Priority]],5,FALSE)</f>
        <v>#N/A</v>
      </c>
      <c r="G139" s="50">
        <f>VLOOKUP(FWD[[#This Row],[DEVELOPMENT]],Data[],8,FALSE)</f>
        <v>0</v>
      </c>
      <c r="H139" s="9">
        <f>VLOOKUP(FWD[[#This Row],[DEVELOPMENT]],Data[],9,FALSE)</f>
        <v>0</v>
      </c>
      <c r="I139" s="1" t="str">
        <f ca="1">IFERROR(VLOOKUP(FWD[[#This Row],[DEVELOPMENT]],Data[],4,FALSE),"")</f>
        <v>2022-2025</v>
      </c>
      <c r="J139" s="51" t="str">
        <f ca="1">IF(FWD[[#This Row],[RAD/PACT]]="","",IF(OR(FWD[[#This Row],[RAD/PACT]]="2021-2025",FWD[[#This Row],[RAD/PACT]]="2019-2020"),"Yes",""))</f>
        <v/>
      </c>
      <c r="K139" s="1"/>
      <c r="L139" s="1"/>
      <c r="M139" s="1"/>
      <c r="N139" s="1"/>
      <c r="O139" s="3">
        <f ca="1">IF(FWD[[#This Row],[RAD/PACT]]="2019-2020",0,INDEX(UnitCosts[],MATCH(FWD[[#This Row],[WORK TYPE]],UnitCosts[Work Type],0),2)*FWD[[#This Row],[Dwelling Units]])</f>
        <v>254372.92021435595</v>
      </c>
      <c r="P139" s="3"/>
      <c r="Q139" s="3"/>
      <c r="R139" s="69">
        <f t="shared" ca="1" si="2"/>
        <v>3887780.7130058995</v>
      </c>
      <c r="S139" s="71">
        <f ca="1">SUM(INDEX(FWD[Dwelling Units],1):FWD[[#This Row],[Dwelling Units]])</f>
        <v>64809</v>
      </c>
      <c r="T139" s="71">
        <f ca="1">IF(ISBLANK(FWD[[#This Row],[CALENDAR YEAR]]),ROUNDDOWN(FWD[[#This Row],[Running count]]/3000,0)+$T$1,FWD[[#This Row],[CALENDAR YEAR]])</f>
        <v>2041</v>
      </c>
    </row>
    <row r="140" spans="1:20">
      <c r="A140" s="65" t="s">
        <v>246</v>
      </c>
      <c r="B140" s="1" t="str">
        <f>VLOOKUP(A140,Data[],2,FALSE)</f>
        <v>BROOKLYN</v>
      </c>
      <c r="C140" s="1">
        <f>VLOOKUP(FWD[[#This Row],[DEVELOPMENT]],Data[],25,FALSE)</f>
        <v>0</v>
      </c>
      <c r="D140" s="9" t="s">
        <v>49</v>
      </c>
      <c r="E140" s="50">
        <f>VLOOKUP(FWD[[#This Row],[DEVELOPMENT]],Data[],7,FALSE)</f>
        <v>155</v>
      </c>
      <c r="F140" s="50" t="e">
        <f>VLOOKUP(FWD[[#This Row],[DEVELOPMENT]],all[[DEVELOPMENT]:[MRST Ext. Comp. Priority]],5,FALSE)</f>
        <v>#N/A</v>
      </c>
      <c r="G140" s="50" t="str">
        <f>VLOOKUP(FWD[[#This Row],[DEVELOPMENT]],Data[],8,FALSE)</f>
        <v>Zone 4</v>
      </c>
      <c r="H140" s="9">
        <f>VLOOKUP(FWD[[#This Row],[DEVELOPMENT]],Data[],9,FALSE)</f>
        <v>0</v>
      </c>
      <c r="I140" s="1" t="str">
        <f ca="1">IFERROR(VLOOKUP(FWD[[#This Row],[DEVELOPMENT]],Data[],4,FALSE),"")</f>
        <v>2022-2025</v>
      </c>
      <c r="J140" s="51" t="str">
        <f ca="1">IF(FWD[[#This Row],[RAD/PACT]]="","",IF(OR(FWD[[#This Row],[RAD/PACT]]="2021-2025",FWD[[#This Row],[RAD/PACT]]="2019-2020"),"Yes",""))</f>
        <v/>
      </c>
      <c r="K140" s="1"/>
      <c r="L140" s="1"/>
      <c r="M140" s="1"/>
      <c r="N140" s="1"/>
      <c r="O140" s="3">
        <f ca="1">IF(FWD[[#This Row],[RAD/PACT]]="2019-2020",0,INDEX(UnitCosts[],MATCH(FWD[[#This Row],[WORK TYPE]],UnitCosts[Work Type],0),2)*FWD[[#This Row],[Dwelling Units]])</f>
        <v>266404.07184611604</v>
      </c>
      <c r="P140" s="3"/>
      <c r="Q140" s="3"/>
      <c r="R140" s="69">
        <f t="shared" ca="1" si="2"/>
        <v>4154184.7848520153</v>
      </c>
      <c r="S140" s="71">
        <f ca="1">SUM(INDEX(FWD[Dwelling Units],1):FWD[[#This Row],[Dwelling Units]])</f>
        <v>64964</v>
      </c>
      <c r="T140" s="71">
        <f ca="1">IF(ISBLANK(FWD[[#This Row],[CALENDAR YEAR]]),ROUNDDOWN(FWD[[#This Row],[Running count]]/3000,0)+$T$1,FWD[[#This Row],[CALENDAR YEAR]])</f>
        <v>2041</v>
      </c>
    </row>
    <row r="141" spans="1:20">
      <c r="A141" s="65" t="s">
        <v>334</v>
      </c>
      <c r="B141" s="1" t="str">
        <f>VLOOKUP(A141,Data[],2,FALSE)</f>
        <v>BROOKLYN</v>
      </c>
      <c r="C141" s="1">
        <f>VLOOKUP(FWD[[#This Row],[DEVELOPMENT]],Data[],25,FALSE)</f>
        <v>0</v>
      </c>
      <c r="D141" s="9" t="s">
        <v>49</v>
      </c>
      <c r="E141" s="50">
        <f>VLOOKUP(FWD[[#This Row],[DEVELOPMENT]],Data[],7,FALSE)</f>
        <v>509</v>
      </c>
      <c r="F141" s="50" t="e">
        <f>VLOOKUP(FWD[[#This Row],[DEVELOPMENT]],all[[DEVELOPMENT]:[MRST Ext. Comp. Priority]],5,FALSE)</f>
        <v>#N/A</v>
      </c>
      <c r="G141" s="50">
        <f>VLOOKUP(FWD[[#This Row],[DEVELOPMENT]],Data[],8,FALSE)</f>
        <v>0</v>
      </c>
      <c r="H141" s="9">
        <f>VLOOKUP(FWD[[#This Row],[DEVELOPMENT]],Data[],9,FALSE)</f>
        <v>0</v>
      </c>
      <c r="I141" s="1" t="str">
        <f ca="1">IFERROR(VLOOKUP(FWD[[#This Row],[DEVELOPMENT]],Data[],4,FALSE),"")</f>
        <v/>
      </c>
      <c r="J141" s="51" t="str">
        <f ca="1">IF(FWD[[#This Row],[RAD/PACT]]="","",IF(OR(FWD[[#This Row],[RAD/PACT]]="2021-2025",FWD[[#This Row],[RAD/PACT]]="2019-2020"),"Yes",""))</f>
        <v/>
      </c>
      <c r="K141" s="1"/>
      <c r="L141" s="1"/>
      <c r="M141" s="1"/>
      <c r="N141" s="1"/>
      <c r="O141" s="3">
        <f ca="1">IF(FWD[[#This Row],[RAD/PACT]]="2019-2020",0,INDEX(UnitCosts[],MATCH(FWD[[#This Row],[WORK TYPE]],UnitCosts[Work Type],0),2)*FWD[[#This Row],[Dwelling Units]])</f>
        <v>874836.59722369723</v>
      </c>
      <c r="P141" s="3"/>
      <c r="Q141" s="3"/>
      <c r="R141" s="69">
        <f t="shared" ca="1" si="2"/>
        <v>5029021.3820757121</v>
      </c>
      <c r="S141" s="71">
        <f ca="1">SUM(INDEX(FWD[Dwelling Units],1):FWD[[#This Row],[Dwelling Units]])</f>
        <v>65473</v>
      </c>
      <c r="T141" s="71">
        <f ca="1">IF(ISBLANK(FWD[[#This Row],[CALENDAR YEAR]]),ROUNDDOWN(FWD[[#This Row],[Running count]]/3000,0)+$T$1,FWD[[#This Row],[CALENDAR YEAR]])</f>
        <v>2041</v>
      </c>
    </row>
    <row r="142" spans="1:20">
      <c r="A142" s="65" t="s">
        <v>286</v>
      </c>
      <c r="B142" s="1" t="str">
        <f>VLOOKUP(A142,Data[],2,FALSE)</f>
        <v>BRONX</v>
      </c>
      <c r="C142" s="1">
        <f>VLOOKUP(FWD[[#This Row],[DEVELOPMENT]],Data[],25,FALSE)</f>
        <v>0</v>
      </c>
      <c r="D142" s="9" t="s">
        <v>49</v>
      </c>
      <c r="E142" s="50">
        <f>VLOOKUP(FWD[[#This Row],[DEVELOPMENT]],Data[],7,FALSE)</f>
        <v>131</v>
      </c>
      <c r="F142" s="50" t="e">
        <f>VLOOKUP(FWD[[#This Row],[DEVELOPMENT]],all[[DEVELOPMENT]:[MRST Ext. Comp. Priority]],5,FALSE)</f>
        <v>#N/A</v>
      </c>
      <c r="G142" s="50" t="str">
        <f>VLOOKUP(FWD[[#This Row],[DEVELOPMENT]],Data[],8,FALSE)</f>
        <v>Zone 3</v>
      </c>
      <c r="H142" s="9">
        <f>VLOOKUP(FWD[[#This Row],[DEVELOPMENT]],Data[],9,FALSE)</f>
        <v>0</v>
      </c>
      <c r="I142" s="1" t="str">
        <f ca="1">IFERROR(VLOOKUP(FWD[[#This Row],[DEVELOPMENT]],Data[],4,FALSE),"")</f>
        <v/>
      </c>
      <c r="J142" s="51" t="str">
        <f ca="1">IF(FWD[[#This Row],[RAD/PACT]]="","",IF(OR(FWD[[#This Row],[RAD/PACT]]="2021-2025",FWD[[#This Row],[RAD/PACT]]="2019-2020"),"Yes",""))</f>
        <v/>
      </c>
      <c r="K142" s="1"/>
      <c r="L142" s="1"/>
      <c r="M142" s="1"/>
      <c r="N142" s="1"/>
      <c r="O142" s="3">
        <f ca="1">IF(FWD[[#This Row],[RAD/PACT]]="2019-2020",0,INDEX(UnitCosts[],MATCH(FWD[[#This Row],[WORK TYPE]],UnitCosts[Work Type],0),2)*FWD[[#This Row],[Dwelling Units]])</f>
        <v>225154.40910865291</v>
      </c>
      <c r="P142" s="3"/>
      <c r="Q142" s="3"/>
      <c r="R142" s="69">
        <f t="shared" ca="1" si="2"/>
        <v>5254175.7911843648</v>
      </c>
      <c r="S142" s="71">
        <f ca="1">SUM(INDEX(FWD[Dwelling Units],1):FWD[[#This Row],[Dwelling Units]])</f>
        <v>65604</v>
      </c>
      <c r="T142" s="71">
        <f ca="1">IF(ISBLANK(FWD[[#This Row],[CALENDAR YEAR]]),ROUNDDOWN(FWD[[#This Row],[Running count]]/3000,0)+$T$1,FWD[[#This Row],[CALENDAR YEAR]])</f>
        <v>2041</v>
      </c>
    </row>
    <row r="143" spans="1:20">
      <c r="A143" s="65" t="s">
        <v>139</v>
      </c>
      <c r="B143" s="1" t="str">
        <f>VLOOKUP(A143,Data[],2,FALSE)</f>
        <v>BROOKLYN</v>
      </c>
      <c r="C143" s="1" t="str">
        <f>VLOOKUP(FWD[[#This Row],[DEVELOPMENT]],Data[],25,FALSE)</f>
        <v>Newtown Creek</v>
      </c>
      <c r="D143" s="9" t="s">
        <v>49</v>
      </c>
      <c r="E143" s="50">
        <f>VLOOKUP(FWD[[#This Row],[DEVELOPMENT]],Data[],7,FALSE)</f>
        <v>209</v>
      </c>
      <c r="F143" s="50" t="e">
        <f>VLOOKUP(FWD[[#This Row],[DEVELOPMENT]],all[[DEVELOPMENT]:[MRST Ext. Comp. Priority]],5,FALSE)</f>
        <v>#N/A</v>
      </c>
      <c r="G143" s="50" t="str">
        <f>VLOOKUP(FWD[[#This Row],[DEVELOPMENT]],Data[],8,FALSE)</f>
        <v>Zone 1</v>
      </c>
      <c r="H143" s="9">
        <f>VLOOKUP(FWD[[#This Row],[DEVELOPMENT]],Data[],9,FALSE)</f>
        <v>4</v>
      </c>
      <c r="I143" s="1" t="str">
        <f ca="1">IFERROR(VLOOKUP(FWD[[#This Row],[DEVELOPMENT]],Data[],4,FALSE),"")</f>
        <v/>
      </c>
      <c r="J143" s="51" t="str">
        <f ca="1">IF(FWD[[#This Row],[RAD/PACT]]="","",IF(OR(FWD[[#This Row],[RAD/PACT]]="2021-2025",FWD[[#This Row],[RAD/PACT]]="2019-2020"),"Yes",""))</f>
        <v/>
      </c>
      <c r="K143" s="1"/>
      <c r="L143" s="1"/>
      <c r="M143" s="1"/>
      <c r="N143" s="1"/>
      <c r="O143" s="3">
        <f ca="1">IF(FWD[[#This Row],[RAD/PACT]]="2019-2020",0,INDEX(UnitCosts[],MATCH(FWD[[#This Row],[WORK TYPE]],UnitCosts[Work Type],0),2)*FWD[[#This Row],[Dwelling Units]])</f>
        <v>359215.8130054081</v>
      </c>
      <c r="P143" s="3"/>
      <c r="Q143" s="3"/>
      <c r="R143" s="69">
        <f t="shared" ca="1" si="2"/>
        <v>5613391.6041897731</v>
      </c>
      <c r="S143" s="71">
        <f ca="1">SUM(INDEX(FWD[Dwelling Units],1):FWD[[#This Row],[Dwelling Units]])</f>
        <v>65813</v>
      </c>
      <c r="T143" s="71">
        <f ca="1">IF(ISBLANK(FWD[[#This Row],[CALENDAR YEAR]]),ROUNDDOWN(FWD[[#This Row],[Running count]]/3000,0)+$T$1,FWD[[#This Row],[CALENDAR YEAR]])</f>
        <v>2041</v>
      </c>
    </row>
    <row r="144" spans="1:20">
      <c r="A144" s="65" t="s">
        <v>335</v>
      </c>
      <c r="B144" s="1" t="str">
        <f>VLOOKUP(A144,Data[],2,FALSE)</f>
        <v>BROOKLYN</v>
      </c>
      <c r="C144" s="1" t="str">
        <f>VLOOKUP(FWD[[#This Row],[DEVELOPMENT]],Data[],25,FALSE)</f>
        <v>Newtown Creek</v>
      </c>
      <c r="D144" s="9" t="s">
        <v>49</v>
      </c>
      <c r="E144" s="50">
        <f>VLOOKUP(FWD[[#This Row],[DEVELOPMENT]],Data[],7,FALSE)</f>
        <v>741</v>
      </c>
      <c r="F144" s="50" t="e">
        <f>VLOOKUP(FWD[[#This Row],[DEVELOPMENT]],all[[DEVELOPMENT]:[MRST Ext. Comp. Priority]],5,FALSE)</f>
        <v>#N/A</v>
      </c>
      <c r="G144" s="50">
        <f>VLOOKUP(FWD[[#This Row],[DEVELOPMENT]],Data[],8,FALSE)</f>
        <v>0</v>
      </c>
      <c r="H144" s="9">
        <f>VLOOKUP(FWD[[#This Row],[DEVELOPMENT]],Data[],9,FALSE)</f>
        <v>0</v>
      </c>
      <c r="I144" s="1">
        <f ca="1">IFERROR(VLOOKUP(FWD[[#This Row],[DEVELOPMENT]],Data[],4,FALSE),"")</f>
        <v>2019</v>
      </c>
      <c r="J144" s="51" t="str">
        <f ca="1">IF(FWD[[#This Row],[RAD/PACT]]="","",IF(OR(FWD[[#This Row],[RAD/PACT]]="2021-2025",FWD[[#This Row],[RAD/PACT]]="2019-2020"),"Yes",""))</f>
        <v/>
      </c>
      <c r="K144" s="1"/>
      <c r="L144" s="1"/>
      <c r="M144" s="1"/>
      <c r="N144" s="1"/>
      <c r="O144" s="3">
        <f ca="1">IF(FWD[[#This Row],[RAD/PACT]]="2019-2020",0,INDEX(UnitCosts[],MATCH(FWD[[#This Row],[WORK TYPE]],UnitCosts[Work Type],0),2)*FWD[[#This Row],[Dwelling Units]])</f>
        <v>1273583.3370191741</v>
      </c>
      <c r="P144" s="3"/>
      <c r="Q144" s="3"/>
      <c r="R144" s="69">
        <f t="shared" ca="1" si="2"/>
        <v>1273583.3370191741</v>
      </c>
      <c r="S144" s="71">
        <f ca="1">SUM(INDEX(FWD[Dwelling Units],1):FWD[[#This Row],[Dwelling Units]])</f>
        <v>66554</v>
      </c>
      <c r="T144" s="71">
        <f ca="1">IF(ISBLANK(FWD[[#This Row],[CALENDAR YEAR]]),ROUNDDOWN(FWD[[#This Row],[Running count]]/3000,0)+$T$1,FWD[[#This Row],[CALENDAR YEAR]])</f>
        <v>2042</v>
      </c>
    </row>
    <row r="145" spans="1:20">
      <c r="A145" s="65" t="s">
        <v>207</v>
      </c>
      <c r="B145" s="1" t="str">
        <f>VLOOKUP(A145,Data[],2,FALSE)</f>
        <v>BROOKLYN</v>
      </c>
      <c r="C145" s="1" t="str">
        <f>VLOOKUP(FWD[[#This Row],[DEVELOPMENT]],Data[],25,FALSE)</f>
        <v>Newtown Creek</v>
      </c>
      <c r="D145" s="9" t="s">
        <v>49</v>
      </c>
      <c r="E145" s="50">
        <f>VLOOKUP(FWD[[#This Row],[DEVELOPMENT]],Data[],7,FALSE)</f>
        <v>1830</v>
      </c>
      <c r="F145" s="50" t="e">
        <f>VLOOKUP(FWD[[#This Row],[DEVELOPMENT]],all[[DEVELOPMENT]:[MRST Ext. Comp. Priority]],5,FALSE)</f>
        <v>#N/A</v>
      </c>
      <c r="G145" s="50">
        <f>VLOOKUP(FWD[[#This Row],[DEVELOPMENT]],Data[],8,FALSE)</f>
        <v>0</v>
      </c>
      <c r="H145" s="9">
        <f>VLOOKUP(FWD[[#This Row],[DEVELOPMENT]],Data[],9,FALSE)</f>
        <v>0</v>
      </c>
      <c r="I145" s="1" t="str">
        <f ca="1">IFERROR(VLOOKUP(FWD[[#This Row],[DEVELOPMENT]],Data[],4,FALSE),"")</f>
        <v/>
      </c>
      <c r="J145" s="51" t="str">
        <f ca="1">IF(FWD[[#This Row],[RAD/PACT]]="","",IF(OR(FWD[[#This Row],[RAD/PACT]]="2021-2025",FWD[[#This Row],[RAD/PACT]]="2019-2020"),"Yes",""))</f>
        <v/>
      </c>
      <c r="K145" s="1"/>
      <c r="L145" s="1"/>
      <c r="M145" s="1"/>
      <c r="N145" s="1"/>
      <c r="O145" s="3">
        <f ca="1">IF(FWD[[#This Row],[RAD/PACT]]="2019-2020",0,INDEX(UnitCosts[],MATCH(FWD[[#This Row],[WORK TYPE]],UnitCosts[Work Type],0),2)*FWD[[#This Row],[Dwelling Units]])</f>
        <v>3145286.7837315635</v>
      </c>
      <c r="P145" s="3"/>
      <c r="Q145" s="3"/>
      <c r="R145" s="69">
        <f t="shared" ca="1" si="2"/>
        <v>4418870.1207507374</v>
      </c>
      <c r="S145" s="71">
        <f ca="1">SUM(INDEX(FWD[Dwelling Units],1):FWD[[#This Row],[Dwelling Units]])</f>
        <v>68384</v>
      </c>
      <c r="T145" s="71">
        <f ca="1">IF(ISBLANK(FWD[[#This Row],[CALENDAR YEAR]]),ROUNDDOWN(FWD[[#This Row],[Running count]]/3000,0)+$T$1,FWD[[#This Row],[CALENDAR YEAR]])</f>
        <v>2042</v>
      </c>
    </row>
    <row r="146" spans="1:20">
      <c r="A146" s="65" t="s">
        <v>336</v>
      </c>
      <c r="B146" s="1" t="str">
        <f>VLOOKUP(A146,Data[],2,FALSE)</f>
        <v>QUEENS</v>
      </c>
      <c r="C146" s="1">
        <f>VLOOKUP(FWD[[#This Row],[DEVELOPMENT]],Data[],25,FALSE)</f>
        <v>0</v>
      </c>
      <c r="D146" s="9" t="s">
        <v>49</v>
      </c>
      <c r="E146" s="50">
        <f>VLOOKUP(FWD[[#This Row],[DEVELOPMENT]],Data[],7,FALSE)</f>
        <v>146</v>
      </c>
      <c r="F146" s="50" t="e">
        <f>VLOOKUP(FWD[[#This Row],[DEVELOPMENT]],all[[DEVELOPMENT]:[MRST Ext. Comp. Priority]],5,FALSE)</f>
        <v>#N/A</v>
      </c>
      <c r="G146" s="50">
        <f>VLOOKUP(FWD[[#This Row],[DEVELOPMENT]],Data[],8,FALSE)</f>
        <v>0</v>
      </c>
      <c r="H146" s="9">
        <f>VLOOKUP(FWD[[#This Row],[DEVELOPMENT]],Data[],9,FALSE)</f>
        <v>0</v>
      </c>
      <c r="I146" s="1" t="str">
        <f ca="1">IFERROR(VLOOKUP(FWD[[#This Row],[DEVELOPMENT]],Data[],4,FALSE),"")</f>
        <v/>
      </c>
      <c r="J146" s="51" t="str">
        <f ca="1">IF(FWD[[#This Row],[RAD/PACT]]="","",IF(OR(FWD[[#This Row],[RAD/PACT]]="2021-2025",FWD[[#This Row],[RAD/PACT]]="2019-2020"),"Yes",""))</f>
        <v/>
      </c>
      <c r="K146" s="1"/>
      <c r="L146" s="1"/>
      <c r="M146" s="1"/>
      <c r="N146" s="1"/>
      <c r="O146" s="3">
        <f ca="1">IF(FWD[[#This Row],[RAD/PACT]]="2019-2020",0,INDEX(UnitCosts[],MATCH(FWD[[#This Row],[WORK TYPE]],UnitCosts[Work Type],0),2)*FWD[[#This Row],[Dwelling Units]])</f>
        <v>250935.44831956737</v>
      </c>
      <c r="P146" s="3"/>
      <c r="Q146" s="3"/>
      <c r="R146" s="69">
        <f t="shared" ca="1" si="2"/>
        <v>4669805.5690703047</v>
      </c>
      <c r="S146" s="71">
        <f ca="1">SUM(INDEX(FWD[Dwelling Units],1):FWD[[#This Row],[Dwelling Units]])</f>
        <v>68530</v>
      </c>
      <c r="T146" s="71">
        <f ca="1">IF(ISBLANK(FWD[[#This Row],[CALENDAR YEAR]]),ROUNDDOWN(FWD[[#This Row],[Running count]]/3000,0)+$T$1,FWD[[#This Row],[CALENDAR YEAR]])</f>
        <v>2042</v>
      </c>
    </row>
    <row r="147" spans="1:20">
      <c r="A147" s="65" t="s">
        <v>337</v>
      </c>
      <c r="B147" s="1" t="str">
        <f>VLOOKUP(A147,Data[],2,FALSE)</f>
        <v>MANHATTAN</v>
      </c>
      <c r="C147" s="1">
        <f>VLOOKUP(FWD[[#This Row],[DEVELOPMENT]],Data[],25,FALSE)</f>
        <v>0</v>
      </c>
      <c r="D147" s="9" t="s">
        <v>49</v>
      </c>
      <c r="E147" s="50">
        <f>VLOOKUP(FWD[[#This Row],[DEVELOPMENT]],Data[],7,FALSE)</f>
        <v>634</v>
      </c>
      <c r="F147" s="50" t="e">
        <f>VLOOKUP(FWD[[#This Row],[DEVELOPMENT]],all[[DEVELOPMENT]:[MRST Ext. Comp. Priority]],5,FALSE)</f>
        <v>#N/A</v>
      </c>
      <c r="G147" s="50">
        <f>VLOOKUP(FWD[[#This Row],[DEVELOPMENT]],Data[],8,FALSE)</f>
        <v>0</v>
      </c>
      <c r="H147" s="9">
        <f>VLOOKUP(FWD[[#This Row],[DEVELOPMENT]],Data[],9,FALSE)</f>
        <v>0</v>
      </c>
      <c r="I147" s="1" t="str">
        <f ca="1">IFERROR(VLOOKUP(FWD[[#This Row],[DEVELOPMENT]],Data[],4,FALSE),"")</f>
        <v/>
      </c>
      <c r="J147" s="51" t="str">
        <f ca="1">IF(FWD[[#This Row],[RAD/PACT]]="","",IF(OR(FWD[[#This Row],[RAD/PACT]]="2021-2025",FWD[[#This Row],[RAD/PACT]]="2019-2020"),"Yes",""))</f>
        <v/>
      </c>
      <c r="K147" s="1"/>
      <c r="L147" s="1"/>
      <c r="M147" s="1"/>
      <c r="N147" s="1"/>
      <c r="O147" s="3">
        <f ca="1">IF(FWD[[#This Row],[RAD/PACT]]="2019-2020",0,INDEX(UnitCosts[],MATCH(FWD[[#This Row],[WORK TYPE]],UnitCosts[Work Type],0),2)*FWD[[#This Row],[Dwelling Units]])</f>
        <v>1089678.5906479843</v>
      </c>
      <c r="P147" s="3"/>
      <c r="Q147" s="3"/>
      <c r="R147" s="69">
        <f t="shared" ca="1" si="2"/>
        <v>1089678.5906479843</v>
      </c>
      <c r="S147" s="71">
        <f ca="1">SUM(INDEX(FWD[Dwelling Units],1):FWD[[#This Row],[Dwelling Units]])</f>
        <v>69164</v>
      </c>
      <c r="T147" s="71">
        <f ca="1">IF(ISBLANK(FWD[[#This Row],[CALENDAR YEAR]]),ROUNDDOWN(FWD[[#This Row],[Running count]]/3000,0)+$T$1,FWD[[#This Row],[CALENDAR YEAR]])</f>
        <v>2043</v>
      </c>
    </row>
    <row r="148" spans="1:20">
      <c r="A148" s="65" t="s">
        <v>35</v>
      </c>
      <c r="B148" s="1" t="str">
        <f>VLOOKUP(A148,Data[],2,FALSE)</f>
        <v>BRONX</v>
      </c>
      <c r="C148" s="1">
        <f>VLOOKUP(FWD[[#This Row],[DEVELOPMENT]],Data[],25,FALSE)</f>
        <v>0</v>
      </c>
      <c r="D148" s="9" t="s">
        <v>49</v>
      </c>
      <c r="E148" s="50">
        <f>VLOOKUP(FWD[[#This Row],[DEVELOPMENT]],Data[],7,FALSE)</f>
        <v>868</v>
      </c>
      <c r="F148" s="50" t="e">
        <f>VLOOKUP(FWD[[#This Row],[DEVELOPMENT]],all[[DEVELOPMENT]:[MRST Ext. Comp. Priority]],5,FALSE)</f>
        <v>#N/A</v>
      </c>
      <c r="G148" s="50" t="str">
        <f>VLOOKUP(FWD[[#This Row],[DEVELOPMENT]],Data[],8,FALSE)</f>
        <v>Zone 1</v>
      </c>
      <c r="H148" s="9">
        <f>VLOOKUP(FWD[[#This Row],[DEVELOPMENT]],Data[],9,FALSE)</f>
        <v>4</v>
      </c>
      <c r="I148" s="1" t="str">
        <f ca="1">IFERROR(VLOOKUP(FWD[[#This Row],[DEVELOPMENT]],Data[],4,FALSE),"")</f>
        <v/>
      </c>
      <c r="J148" s="51" t="str">
        <f ca="1">IF(FWD[[#This Row],[RAD/PACT]]="","",IF(OR(FWD[[#This Row],[RAD/PACT]]="2021-2025",FWD[[#This Row],[RAD/PACT]]="2019-2020"),"Yes",""))</f>
        <v/>
      </c>
      <c r="K148" s="1"/>
      <c r="L148" s="1"/>
      <c r="M148" s="1"/>
      <c r="N148" s="1"/>
      <c r="O148" s="3">
        <f ca="1">IF(FWD[[#This Row],[RAD/PACT]]="2019-2020",0,INDEX(UnitCosts[],MATCH(FWD[[#This Row],[WORK TYPE]],UnitCosts[Work Type],0),2)*FWD[[#This Row],[Dwelling Units]])</f>
        <v>1491862.8023382497</v>
      </c>
      <c r="P148" s="3"/>
      <c r="Q148" s="3"/>
      <c r="R148" s="69">
        <f t="shared" ca="1" si="2"/>
        <v>2581541.3929862343</v>
      </c>
      <c r="S148" s="71">
        <f ca="1">SUM(INDEX(FWD[Dwelling Units],1):FWD[[#This Row],[Dwelling Units]])</f>
        <v>70032</v>
      </c>
      <c r="T148" s="71">
        <f ca="1">IF(ISBLANK(FWD[[#This Row],[CALENDAR YEAR]]),ROUNDDOWN(FWD[[#This Row],[Running count]]/3000,0)+$T$1,FWD[[#This Row],[CALENDAR YEAR]])</f>
        <v>2043</v>
      </c>
    </row>
    <row r="149" spans="1:20">
      <c r="A149" s="65" t="s">
        <v>112</v>
      </c>
      <c r="B149" s="1" t="str">
        <f>VLOOKUP(A149,Data[],2,FALSE)</f>
        <v>MANHATTAN</v>
      </c>
      <c r="C149" s="1">
        <f>VLOOKUP(FWD[[#This Row],[DEVELOPMENT]],Data[],25,FALSE)</f>
        <v>0</v>
      </c>
      <c r="D149" s="9" t="s">
        <v>49</v>
      </c>
      <c r="E149" s="50">
        <f>VLOOKUP(FWD[[#This Row],[DEVELOPMENT]],Data[],7,FALSE)</f>
        <v>1486</v>
      </c>
      <c r="F149" s="50" t="e">
        <f>VLOOKUP(FWD[[#This Row],[DEVELOPMENT]],all[[DEVELOPMENT]:[MRST Ext. Comp. Priority]],5,FALSE)</f>
        <v>#N/A</v>
      </c>
      <c r="G149" s="50" t="str">
        <f>VLOOKUP(FWD[[#This Row],[DEVELOPMENT]],Data[],8,FALSE)</f>
        <v>Zone 2</v>
      </c>
      <c r="H149" s="9">
        <f>VLOOKUP(FWD[[#This Row],[DEVELOPMENT]],Data[],9,FALSE)</f>
        <v>3</v>
      </c>
      <c r="I149" s="1" t="str">
        <f ca="1">IFERROR(VLOOKUP(FWD[[#This Row],[DEVELOPMENT]],Data[],4,FALSE),"")</f>
        <v>2026+</v>
      </c>
      <c r="J149" s="51" t="str">
        <f ca="1">IF(FWD[[#This Row],[RAD/PACT]]="","",IF(OR(FWD[[#This Row],[RAD/PACT]]="2021-2025",FWD[[#This Row],[RAD/PACT]]="2019-2020"),"Yes",""))</f>
        <v/>
      </c>
      <c r="K149" s="1"/>
      <c r="L149" s="1"/>
      <c r="M149" s="1"/>
      <c r="N149" s="1"/>
      <c r="O149" s="3">
        <f ca="1">IF(FWD[[#This Row],[RAD/PACT]]="2019-2020",0,INDEX(UnitCosts[],MATCH(FWD[[#This Row],[WORK TYPE]],UnitCosts[Work Type],0),2)*FWD[[#This Row],[Dwelling Units]])</f>
        <v>2554041.6178279254</v>
      </c>
      <c r="P149" s="3"/>
      <c r="Q149" s="3"/>
      <c r="R149" s="69">
        <f t="shared" ca="1" si="2"/>
        <v>5135583.0108141601</v>
      </c>
      <c r="S149" s="71">
        <f ca="1">SUM(INDEX(FWD[Dwelling Units],1):FWD[[#This Row],[Dwelling Units]])</f>
        <v>71518</v>
      </c>
      <c r="T149" s="71">
        <f ca="1">IF(ISBLANK(FWD[[#This Row],[CALENDAR YEAR]]),ROUNDDOWN(FWD[[#This Row],[Running count]]/3000,0)+$T$1,FWD[[#This Row],[CALENDAR YEAR]])</f>
        <v>2043</v>
      </c>
    </row>
    <row r="150" spans="1:20">
      <c r="A150" s="65" t="s">
        <v>83</v>
      </c>
      <c r="B150" s="1" t="str">
        <f>VLOOKUP(A150,Data[],2,FALSE)</f>
        <v>MANHATTAN</v>
      </c>
      <c r="C150" s="1">
        <f>VLOOKUP(FWD[[#This Row],[DEVELOPMENT]],Data[],25,FALSE)</f>
        <v>0</v>
      </c>
      <c r="D150" s="9" t="s">
        <v>49</v>
      </c>
      <c r="E150" s="50">
        <f>VLOOKUP(FWD[[#This Row],[DEVELOPMENT]],Data[],7,FALSE)</f>
        <v>1296</v>
      </c>
      <c r="F150" s="50" t="e">
        <f>VLOOKUP(FWD[[#This Row],[DEVELOPMENT]],all[[DEVELOPMENT]:[MRST Ext. Comp. Priority]],5,FALSE)</f>
        <v>#N/A</v>
      </c>
      <c r="G150" s="50" t="str">
        <f>VLOOKUP(FWD[[#This Row],[DEVELOPMENT]],Data[],8,FALSE)</f>
        <v>Zone 2</v>
      </c>
      <c r="H150" s="9">
        <f>VLOOKUP(FWD[[#This Row],[DEVELOPMENT]],Data[],9,FALSE)</f>
        <v>2</v>
      </c>
      <c r="I150" s="1" t="str">
        <f ca="1">IFERROR(VLOOKUP(FWD[[#This Row],[DEVELOPMENT]],Data[],4,FALSE),"")</f>
        <v>2026+</v>
      </c>
      <c r="J150" s="51" t="str">
        <f ca="1">IF(FWD[[#This Row],[RAD/PACT]]="","",IF(OR(FWD[[#This Row],[RAD/PACT]]="2021-2025",FWD[[#This Row],[RAD/PACT]]="2019-2020"),"Yes",""))</f>
        <v/>
      </c>
      <c r="K150" s="1"/>
      <c r="L150" s="1"/>
      <c r="M150" s="1"/>
      <c r="N150" s="1"/>
      <c r="O150" s="3">
        <f ca="1">IF(FWD[[#This Row],[RAD/PACT]]="2019-2020",0,INDEX(UnitCosts[],MATCH(FWD[[#This Row],[WORK TYPE]],UnitCosts[Work Type],0),2)*FWD[[#This Row],[Dwelling Units]])</f>
        <v>2227481.7878230088</v>
      </c>
      <c r="P150" s="3"/>
      <c r="Q150" s="3"/>
      <c r="R150" s="69">
        <f t="shared" ca="1" si="2"/>
        <v>2227481.7878230088</v>
      </c>
      <c r="S150" s="71">
        <f ca="1">SUM(INDEX(FWD[Dwelling Units],1):FWD[[#This Row],[Dwelling Units]])</f>
        <v>72814</v>
      </c>
      <c r="T150" s="71">
        <f ca="1">IF(ISBLANK(FWD[[#This Row],[CALENDAR YEAR]]),ROUNDDOWN(FWD[[#This Row],[Running count]]/3000,0)+$T$1,FWD[[#This Row],[CALENDAR YEAR]])</f>
        <v>2044</v>
      </c>
    </row>
    <row r="151" spans="1:20">
      <c r="A151" s="65" t="s">
        <v>131</v>
      </c>
      <c r="B151" s="1" t="str">
        <f>VLOOKUP(A151,Data[],2,FALSE)</f>
        <v>MANHATTAN</v>
      </c>
      <c r="C151" s="1">
        <f>VLOOKUP(FWD[[#This Row],[DEVELOPMENT]],Data[],25,FALSE)</f>
        <v>0</v>
      </c>
      <c r="D151" s="9" t="s">
        <v>49</v>
      </c>
      <c r="E151" s="50">
        <f>VLOOKUP(FWD[[#This Row],[DEVELOPMENT]],Data[],7,FALSE)</f>
        <v>1377</v>
      </c>
      <c r="F151" s="50" t="e">
        <f>VLOOKUP(FWD[[#This Row],[DEVELOPMENT]],all[[DEVELOPMENT]:[MRST Ext. Comp. Priority]],5,FALSE)</f>
        <v>#N/A</v>
      </c>
      <c r="G151" s="50" t="str">
        <f>VLOOKUP(FWD[[#This Row],[DEVELOPMENT]],Data[],8,FALSE)</f>
        <v>Zone 2</v>
      </c>
      <c r="H151" s="9">
        <f>VLOOKUP(FWD[[#This Row],[DEVELOPMENT]],Data[],9,FALSE)</f>
        <v>2</v>
      </c>
      <c r="I151" s="1" t="str">
        <f ca="1">IFERROR(VLOOKUP(FWD[[#This Row],[DEVELOPMENT]],Data[],4,FALSE),"")</f>
        <v/>
      </c>
      <c r="J151" s="51" t="str">
        <f ca="1">IF(FWD[[#This Row],[RAD/PACT]]="","",IF(OR(FWD[[#This Row],[RAD/PACT]]="2021-2025",FWD[[#This Row],[RAD/PACT]]="2019-2020"),"Yes",""))</f>
        <v/>
      </c>
      <c r="K151" s="1"/>
      <c r="L151" s="1"/>
      <c r="M151" s="1"/>
      <c r="N151" s="1"/>
      <c r="O151" s="3">
        <f ca="1">IF(FWD[[#This Row],[RAD/PACT]]="2019-2020",0,INDEX(UnitCosts[],MATCH(FWD[[#This Row],[WORK TYPE]],UnitCosts[Work Type],0),2)*FWD[[#This Row],[Dwelling Units]])</f>
        <v>2366699.3995619467</v>
      </c>
      <c r="P151" s="3"/>
      <c r="Q151" s="3"/>
      <c r="R151" s="69">
        <f t="shared" ca="1" si="2"/>
        <v>4594181.1873849556</v>
      </c>
      <c r="S151" s="71">
        <f ca="1">SUM(INDEX(FWD[Dwelling Units],1):FWD[[#This Row],[Dwelling Units]])</f>
        <v>74191</v>
      </c>
      <c r="T151" s="71">
        <f ca="1">IF(ISBLANK(FWD[[#This Row],[CALENDAR YEAR]]),ROUNDDOWN(FWD[[#This Row],[Running count]]/3000,0)+$T$1,FWD[[#This Row],[CALENDAR YEAR]])</f>
        <v>2044</v>
      </c>
    </row>
    <row r="152" spans="1:20">
      <c r="A152" s="65" t="s">
        <v>84</v>
      </c>
      <c r="B152" s="1" t="str">
        <f>VLOOKUP(A152,Data[],2,FALSE)</f>
        <v>BROOKLYN</v>
      </c>
      <c r="C152" s="1" t="str">
        <f>VLOOKUP(FWD[[#This Row],[DEVELOPMENT]],Data[],25,FALSE)</f>
        <v>Newtown Creek</v>
      </c>
      <c r="D152" s="9" t="s">
        <v>49</v>
      </c>
      <c r="E152" s="50">
        <f>VLOOKUP(FWD[[#This Row],[DEVELOPMENT]],Data[],7,FALSE)</f>
        <v>1154</v>
      </c>
      <c r="F152" s="50" t="e">
        <f>VLOOKUP(FWD[[#This Row],[DEVELOPMENT]],all[[DEVELOPMENT]:[MRST Ext. Comp. Priority]],5,FALSE)</f>
        <v>#N/A</v>
      </c>
      <c r="G152" s="50" t="str">
        <f>VLOOKUP(FWD[[#This Row],[DEVELOPMENT]],Data[],8,FALSE)</f>
        <v>Zone 3</v>
      </c>
      <c r="H152" s="9">
        <f>VLOOKUP(FWD[[#This Row],[DEVELOPMENT]],Data[],9,FALSE)</f>
        <v>4</v>
      </c>
      <c r="I152" s="1" t="str">
        <f ca="1">IFERROR(VLOOKUP(FWD[[#This Row],[DEVELOPMENT]],Data[],4,FALSE),"")</f>
        <v/>
      </c>
      <c r="J152" s="51" t="str">
        <f ca="1">IF(FWD[[#This Row],[RAD/PACT]]="","",IF(OR(FWD[[#This Row],[RAD/PACT]]="2021-2025",FWD[[#This Row],[RAD/PACT]]="2019-2020"),"Yes",""))</f>
        <v/>
      </c>
      <c r="K152" s="1"/>
      <c r="L152" s="1"/>
      <c r="M152" s="1"/>
      <c r="N152" s="1"/>
      <c r="O152" s="3">
        <f ca="1">IF(FWD[[#This Row],[RAD/PACT]]="2019-2020",0,INDEX(UnitCosts[],MATCH(FWD[[#This Row],[WORK TYPE]],UnitCosts[Work Type],0),2)*FWD[[#This Row],[Dwelling Units]])</f>
        <v>1983421.2832930188</v>
      </c>
      <c r="P152" s="3"/>
      <c r="Q152" s="3"/>
      <c r="R152" s="69">
        <f t="shared" ca="1" si="2"/>
        <v>1983421.2832930188</v>
      </c>
      <c r="S152" s="71">
        <f ca="1">SUM(INDEX(FWD[Dwelling Units],1):FWD[[#This Row],[Dwelling Units]])</f>
        <v>75345</v>
      </c>
      <c r="T152" s="71">
        <f ca="1">IF(ISBLANK(FWD[[#This Row],[CALENDAR YEAR]]),ROUNDDOWN(FWD[[#This Row],[Running count]]/3000,0)+$T$1,FWD[[#This Row],[CALENDAR YEAR]])</f>
        <v>2045</v>
      </c>
    </row>
    <row r="153" spans="1:20">
      <c r="A153" s="65" t="s">
        <v>191</v>
      </c>
      <c r="B153" s="1" t="str">
        <f>VLOOKUP(A153,Data[],2,FALSE)</f>
        <v>BROOKLYN</v>
      </c>
      <c r="C153" s="1" t="str">
        <f>VLOOKUP(FWD[[#This Row],[DEVELOPMENT]],Data[],25,FALSE)</f>
        <v>Newtown Creek</v>
      </c>
      <c r="D153" s="9" t="s">
        <v>49</v>
      </c>
      <c r="E153" s="50">
        <f>VLOOKUP(FWD[[#This Row],[DEVELOPMENT]],Data[],7,FALSE)</f>
        <v>182</v>
      </c>
      <c r="F153" s="50" t="e">
        <f>VLOOKUP(FWD[[#This Row],[DEVELOPMENT]],all[[DEVELOPMENT]:[MRST Ext. Comp. Priority]],5,FALSE)</f>
        <v>#N/A</v>
      </c>
      <c r="G153" s="50" t="str">
        <f>VLOOKUP(FWD[[#This Row],[DEVELOPMENT]],Data[],8,FALSE)</f>
        <v>Zone 4</v>
      </c>
      <c r="H153" s="9">
        <f>VLOOKUP(FWD[[#This Row],[DEVELOPMENT]],Data[],9,FALSE)</f>
        <v>0</v>
      </c>
      <c r="I153" s="1" t="str">
        <f ca="1">IFERROR(VLOOKUP(FWD[[#This Row],[DEVELOPMENT]],Data[],4,FALSE),"")</f>
        <v/>
      </c>
      <c r="J153" s="51" t="str">
        <f ca="1">IF(FWD[[#This Row],[RAD/PACT]]="","",IF(OR(FWD[[#This Row],[RAD/PACT]]="2021-2025",FWD[[#This Row],[RAD/PACT]]="2019-2020"),"Yes",""))</f>
        <v/>
      </c>
      <c r="K153" s="1"/>
      <c r="L153" s="1"/>
      <c r="M153" s="1"/>
      <c r="N153" s="1"/>
      <c r="O153" s="3">
        <f ca="1">IF(FWD[[#This Row],[RAD/PACT]]="2019-2020",0,INDEX(UnitCosts[],MATCH(FWD[[#This Row],[WORK TYPE]],UnitCosts[Work Type],0),2)*FWD[[#This Row],[Dwelling Units]])</f>
        <v>312809.94242576207</v>
      </c>
      <c r="P153" s="3"/>
      <c r="Q153" s="3"/>
      <c r="R153" s="69">
        <f t="shared" ca="1" si="2"/>
        <v>2296231.2257187809</v>
      </c>
      <c r="S153" s="71">
        <f ca="1">SUM(INDEX(FWD[Dwelling Units],1):FWD[[#This Row],[Dwelling Units]])</f>
        <v>75527</v>
      </c>
      <c r="T153" s="71">
        <f ca="1">IF(ISBLANK(FWD[[#This Row],[CALENDAR YEAR]]),ROUNDDOWN(FWD[[#This Row],[Running count]]/3000,0)+$T$1,FWD[[#This Row],[CALENDAR YEAR]])</f>
        <v>2045</v>
      </c>
    </row>
    <row r="154" spans="1:20">
      <c r="A154" s="65" t="s">
        <v>36</v>
      </c>
      <c r="B154" s="1" t="str">
        <f>VLOOKUP(A154,Data[],2,FALSE)</f>
        <v>MANHATTAN</v>
      </c>
      <c r="C154" s="1" t="str">
        <f>VLOOKUP(FWD[[#This Row],[DEVELOPMENT]],Data[],25,FALSE)</f>
        <v>Newtown Creek</v>
      </c>
      <c r="D154" s="9" t="s">
        <v>49</v>
      </c>
      <c r="E154" s="50">
        <f>VLOOKUP(FWD[[#This Row],[DEVELOPMENT]],Data[],7,FALSE)</f>
        <v>1091</v>
      </c>
      <c r="F154" s="50" t="e">
        <f>VLOOKUP(FWD[[#This Row],[DEVELOPMENT]],all[[DEVELOPMENT]:[MRST Ext. Comp. Priority]],5,FALSE)</f>
        <v>#N/A</v>
      </c>
      <c r="G154" s="50" t="str">
        <f>VLOOKUP(FWD[[#This Row],[DEVELOPMENT]],Data[],8,FALSE)</f>
        <v>Zone 1</v>
      </c>
      <c r="H154" s="9">
        <f>VLOOKUP(FWD[[#This Row],[DEVELOPMENT]],Data[],9,FALSE)</f>
        <v>3</v>
      </c>
      <c r="I154" s="1" t="str">
        <f ca="1">IFERROR(VLOOKUP(FWD[[#This Row],[DEVELOPMENT]],Data[],4,FALSE),"")</f>
        <v/>
      </c>
      <c r="J154" s="51" t="str">
        <f ca="1">IF(FWD[[#This Row],[RAD/PACT]]="","",IF(OR(FWD[[#This Row],[RAD/PACT]]="2021-2025",FWD[[#This Row],[RAD/PACT]]="2019-2020"),"Yes",""))</f>
        <v/>
      </c>
      <c r="K154" s="1"/>
      <c r="L154" s="1"/>
      <c r="M154" s="1"/>
      <c r="N154" s="1"/>
      <c r="O154" s="3">
        <f ca="1">IF(FWD[[#This Row],[RAD/PACT]]="2019-2020",0,INDEX(UnitCosts[],MATCH(FWD[[#This Row],[WORK TYPE]],UnitCosts[Work Type],0),2)*FWD[[#This Row],[Dwelling Units]])</f>
        <v>1875140.9186071779</v>
      </c>
      <c r="P154" s="3"/>
      <c r="Q154" s="3"/>
      <c r="R154" s="69">
        <f t="shared" ca="1" si="2"/>
        <v>4171372.1443259586</v>
      </c>
      <c r="S154" s="71">
        <f ca="1">SUM(INDEX(FWD[Dwelling Units],1):FWD[[#This Row],[Dwelling Units]])</f>
        <v>76618</v>
      </c>
      <c r="T154" s="71">
        <f ca="1">IF(ISBLANK(FWD[[#This Row],[CALENDAR YEAR]]),ROUNDDOWN(FWD[[#This Row],[Running count]]/3000,0)+$T$1,FWD[[#This Row],[CALENDAR YEAR]])</f>
        <v>2045</v>
      </c>
    </row>
    <row r="155" spans="1:20">
      <c r="A155" s="65" t="s">
        <v>103</v>
      </c>
      <c r="B155" s="1" t="str">
        <f>VLOOKUP(A155,Data[],2,FALSE)</f>
        <v>MANHATTAN</v>
      </c>
      <c r="C155" s="1" t="str">
        <f>VLOOKUP(FWD[[#This Row],[DEVELOPMENT]],Data[],25,FALSE)</f>
        <v>Newtown Creek</v>
      </c>
      <c r="D155" s="9" t="s">
        <v>49</v>
      </c>
      <c r="E155" s="50">
        <f>VLOOKUP(FWD[[#This Row],[DEVELOPMENT]],Data[],7,FALSE)</f>
        <v>149</v>
      </c>
      <c r="F155" s="50" t="e">
        <f>VLOOKUP(FWD[[#This Row],[DEVELOPMENT]],all[[DEVELOPMENT]:[MRST Ext. Comp. Priority]],5,FALSE)</f>
        <v>#N/A</v>
      </c>
      <c r="G155" s="50" t="str">
        <f>VLOOKUP(FWD[[#This Row],[DEVELOPMENT]],Data[],8,FALSE)</f>
        <v>Zone 1</v>
      </c>
      <c r="H155" s="9">
        <f>VLOOKUP(FWD[[#This Row],[DEVELOPMENT]],Data[],9,FALSE)</f>
        <v>4</v>
      </c>
      <c r="I155" s="1" t="str">
        <f ca="1">IFERROR(VLOOKUP(FWD[[#This Row],[DEVELOPMENT]],Data[],4,FALSE),"")</f>
        <v/>
      </c>
      <c r="J155" s="51" t="str">
        <f ca="1">IF(FWD[[#This Row],[RAD/PACT]]="","",IF(OR(FWD[[#This Row],[RAD/PACT]]="2021-2025",FWD[[#This Row],[RAD/PACT]]="2019-2020"),"Yes",""))</f>
        <v/>
      </c>
      <c r="K155" s="1"/>
      <c r="L155" s="1"/>
      <c r="M155" s="1"/>
      <c r="N155" s="1"/>
      <c r="O155" s="3">
        <f ca="1">IF(FWD[[#This Row],[RAD/PACT]]="2019-2020",0,INDEX(UnitCosts[],MATCH(FWD[[#This Row],[WORK TYPE]],UnitCosts[Work Type],0),2)*FWD[[#This Row],[Dwelling Units]])</f>
        <v>256091.65616175026</v>
      </c>
      <c r="P155" s="3"/>
      <c r="Q155" s="3"/>
      <c r="R155" s="69">
        <f t="shared" ca="1" si="2"/>
        <v>4427463.8004877092</v>
      </c>
      <c r="S155" s="71">
        <f ca="1">SUM(INDEX(FWD[Dwelling Units],1):FWD[[#This Row],[Dwelling Units]])</f>
        <v>76767</v>
      </c>
      <c r="T155" s="71">
        <f ca="1">IF(ISBLANK(FWD[[#This Row],[CALENDAR YEAR]]),ROUNDDOWN(FWD[[#This Row],[Running count]]/3000,0)+$T$1,FWD[[#This Row],[CALENDAR YEAR]])</f>
        <v>2045</v>
      </c>
    </row>
    <row r="156" spans="1:20">
      <c r="A156" s="65" t="s">
        <v>338</v>
      </c>
      <c r="B156" s="1" t="str">
        <f>VLOOKUP(A156,Data[],2,FALSE)</f>
        <v>QUEENS</v>
      </c>
      <c r="C156" s="1">
        <f>VLOOKUP(FWD[[#This Row],[DEVELOPMENT]],Data[],25,FALSE)</f>
        <v>0</v>
      </c>
      <c r="D156" s="9" t="s">
        <v>49</v>
      </c>
      <c r="E156" s="50">
        <f>VLOOKUP(FWD[[#This Row],[DEVELOPMENT]],Data[],7,FALSE)</f>
        <v>423</v>
      </c>
      <c r="F156" s="50" t="e">
        <f>VLOOKUP(FWD[[#This Row],[DEVELOPMENT]],all[[DEVELOPMENT]:[MRST Ext. Comp. Priority]],5,FALSE)</f>
        <v>#N/A</v>
      </c>
      <c r="G156" s="50">
        <f>VLOOKUP(FWD[[#This Row],[DEVELOPMENT]],Data[],8,FALSE)</f>
        <v>0</v>
      </c>
      <c r="H156" s="9">
        <f>VLOOKUP(FWD[[#This Row],[DEVELOPMENT]],Data[],9,FALSE)</f>
        <v>0</v>
      </c>
      <c r="I156" s="1" t="str">
        <f ca="1">IFERROR(VLOOKUP(FWD[[#This Row],[DEVELOPMENT]],Data[],4,FALSE),"")</f>
        <v/>
      </c>
      <c r="J156" s="51" t="str">
        <f ca="1">IF(FWD[[#This Row],[RAD/PACT]]="","",IF(OR(FWD[[#This Row],[RAD/PACT]]="2021-2025",FWD[[#This Row],[RAD/PACT]]="2019-2020"),"Yes",""))</f>
        <v/>
      </c>
      <c r="K156" s="1"/>
      <c r="L156" s="1"/>
      <c r="M156" s="1"/>
      <c r="N156" s="1"/>
      <c r="O156" s="3">
        <f ca="1">IF(FWD[[#This Row],[RAD/PACT]]="2019-2020",0,INDEX(UnitCosts[],MATCH(FWD[[#This Row],[WORK TYPE]],UnitCosts[Work Type],0),2)*FWD[[#This Row],[Dwelling Units]])</f>
        <v>727025.30574778758</v>
      </c>
      <c r="P156" s="3"/>
      <c r="Q156" s="3"/>
      <c r="R156" s="69">
        <f t="shared" ca="1" si="2"/>
        <v>5154489.1062354967</v>
      </c>
      <c r="S156" s="71">
        <f ca="1">SUM(INDEX(FWD[Dwelling Units],1):FWD[[#This Row],[Dwelling Units]])</f>
        <v>77190</v>
      </c>
      <c r="T156" s="71">
        <f ca="1">IF(ISBLANK(FWD[[#This Row],[CALENDAR YEAR]]),ROUNDDOWN(FWD[[#This Row],[Running count]]/3000,0)+$T$1,FWD[[#This Row],[CALENDAR YEAR]])</f>
        <v>2045</v>
      </c>
    </row>
    <row r="157" spans="1:20">
      <c r="A157" s="65" t="s">
        <v>339</v>
      </c>
      <c r="B157" s="1" t="str">
        <f>VLOOKUP(A157,Data[],2,FALSE)</f>
        <v>QUEENS</v>
      </c>
      <c r="C157" s="1">
        <f>VLOOKUP(FWD[[#This Row],[DEVELOPMENT]],Data[],25,FALSE)</f>
        <v>0</v>
      </c>
      <c r="D157" s="9" t="s">
        <v>49</v>
      </c>
      <c r="E157" s="50">
        <f>VLOOKUP(FWD[[#This Row],[DEVELOPMENT]],Data[],7,FALSE)</f>
        <v>83</v>
      </c>
      <c r="F157" s="50" t="e">
        <f>VLOOKUP(FWD[[#This Row],[DEVELOPMENT]],all[[DEVELOPMENT]:[MRST Ext. Comp. Priority]],5,FALSE)</f>
        <v>#N/A</v>
      </c>
      <c r="G157" s="50">
        <f>VLOOKUP(FWD[[#This Row],[DEVELOPMENT]],Data[],8,FALSE)</f>
        <v>0</v>
      </c>
      <c r="H157" s="9">
        <f>VLOOKUP(FWD[[#This Row],[DEVELOPMENT]],Data[],9,FALSE)</f>
        <v>0</v>
      </c>
      <c r="I157" s="1" t="str">
        <f ca="1">IFERROR(VLOOKUP(FWD[[#This Row],[DEVELOPMENT]],Data[],4,FALSE),"")</f>
        <v/>
      </c>
      <c r="J157" s="51" t="str">
        <f ca="1">IF(FWD[[#This Row],[RAD/PACT]]="","",IF(OR(FWD[[#This Row],[RAD/PACT]]="2021-2025",FWD[[#This Row],[RAD/PACT]]="2019-2020"),"Yes",""))</f>
        <v/>
      </c>
      <c r="K157" s="1"/>
      <c r="L157" s="1"/>
      <c r="M157" s="1"/>
      <c r="N157" s="1"/>
      <c r="O157" s="3">
        <f ca="1">IF(FWD[[#This Row],[RAD/PACT]]="2019-2020",0,INDEX(UnitCosts[],MATCH(FWD[[#This Row],[WORK TYPE]],UnitCosts[Work Type],0),2)*FWD[[#This Row],[Dwelling Units]])</f>
        <v>142655.08363372664</v>
      </c>
      <c r="P157" s="3"/>
      <c r="Q157" s="3"/>
      <c r="R157" s="69">
        <f t="shared" ca="1" si="2"/>
        <v>5297144.1898692232</v>
      </c>
      <c r="S157" s="71">
        <f ca="1">SUM(INDEX(FWD[Dwelling Units],1):FWD[[#This Row],[Dwelling Units]])</f>
        <v>77273</v>
      </c>
      <c r="T157" s="71">
        <f ca="1">IF(ISBLANK(FWD[[#This Row],[CALENDAR YEAR]]),ROUNDDOWN(FWD[[#This Row],[Running count]]/3000,0)+$T$1,FWD[[#This Row],[CALENDAR YEAR]])</f>
        <v>2045</v>
      </c>
    </row>
    <row r="158" spans="1:20">
      <c r="A158" s="65" t="s">
        <v>146</v>
      </c>
      <c r="B158" s="1" t="str">
        <f>VLOOKUP(A158,Data[],2,FALSE)</f>
        <v>MANHATTAN</v>
      </c>
      <c r="C158" s="1">
        <f>VLOOKUP(FWD[[#This Row],[DEVELOPMENT]],Data[],25,FALSE)</f>
        <v>0</v>
      </c>
      <c r="D158" s="9" t="s">
        <v>49</v>
      </c>
      <c r="E158" s="50">
        <f>VLOOKUP(FWD[[#This Row],[DEVELOPMENT]],Data[],7,FALSE)</f>
        <v>617</v>
      </c>
      <c r="F158" s="50" t="e">
        <f>VLOOKUP(FWD[[#This Row],[DEVELOPMENT]],all[[DEVELOPMENT]:[MRST Ext. Comp. Priority]],5,FALSE)</f>
        <v>#N/A</v>
      </c>
      <c r="G158" s="50">
        <f>VLOOKUP(FWD[[#This Row],[DEVELOPMENT]],Data[],8,FALSE)</f>
        <v>0</v>
      </c>
      <c r="H158" s="9">
        <f>VLOOKUP(FWD[[#This Row],[DEVELOPMENT]],Data[],9,FALSE)</f>
        <v>0</v>
      </c>
      <c r="I158" s="1" t="str">
        <f ca="1">IFERROR(VLOOKUP(FWD[[#This Row],[DEVELOPMENT]],Data[],4,FALSE),"")</f>
        <v/>
      </c>
      <c r="J158" s="51" t="str">
        <f ca="1">IF(FWD[[#This Row],[RAD/PACT]]="","",IF(OR(FWD[[#This Row],[RAD/PACT]]="2021-2025",FWD[[#This Row],[RAD/PACT]]="2019-2020"),"Yes",""))</f>
        <v/>
      </c>
      <c r="K158" s="1"/>
      <c r="L158" s="1"/>
      <c r="M158" s="1"/>
      <c r="N158" s="1"/>
      <c r="O158" s="3">
        <f ca="1">IF(FWD[[#This Row],[RAD/PACT]]="2019-2020",0,INDEX(UnitCosts[],MATCH(FWD[[#This Row],[WORK TYPE]],UnitCosts[Work Type],0),2)*FWD[[#This Row],[Dwelling Units]])</f>
        <v>1060460.0795422813</v>
      </c>
      <c r="P158" s="3"/>
      <c r="Q158" s="3"/>
      <c r="R158" s="69">
        <f t="shared" ca="1" si="2"/>
        <v>6357604.2694115043</v>
      </c>
      <c r="S158" s="71">
        <f ca="1">SUM(INDEX(FWD[Dwelling Units],1):FWD[[#This Row],[Dwelling Units]])</f>
        <v>77890</v>
      </c>
      <c r="T158" s="71">
        <f ca="1">IF(ISBLANK(FWD[[#This Row],[CALENDAR YEAR]]),ROUNDDOWN(FWD[[#This Row],[Running count]]/3000,0)+$T$1,FWD[[#This Row],[CALENDAR YEAR]])</f>
        <v>2045</v>
      </c>
    </row>
    <row r="159" spans="1:20">
      <c r="A159" s="65" t="s">
        <v>340</v>
      </c>
      <c r="B159" s="1" t="str">
        <f>VLOOKUP(A159,Data[],2,FALSE)</f>
        <v>BROOKLYN</v>
      </c>
      <c r="C159" s="1">
        <f>VLOOKUP(FWD[[#This Row],[DEVELOPMENT]],Data[],25,FALSE)</f>
        <v>0</v>
      </c>
      <c r="D159" s="9" t="s">
        <v>49</v>
      </c>
      <c r="E159" s="50">
        <f>VLOOKUP(FWD[[#This Row],[DEVELOPMENT]],Data[],7,FALSE)</f>
        <v>74</v>
      </c>
      <c r="F159" s="50" t="e">
        <f>VLOOKUP(FWD[[#This Row],[DEVELOPMENT]],all[[DEVELOPMENT]:[MRST Ext. Comp. Priority]],5,FALSE)</f>
        <v>#N/A</v>
      </c>
      <c r="G159" s="50">
        <f>VLOOKUP(FWD[[#This Row],[DEVELOPMENT]],Data[],8,FALSE)</f>
        <v>0</v>
      </c>
      <c r="H159" s="9">
        <f>VLOOKUP(FWD[[#This Row],[DEVELOPMENT]],Data[],9,FALSE)</f>
        <v>0</v>
      </c>
      <c r="I159" s="1" t="str">
        <f ca="1">IFERROR(VLOOKUP(FWD[[#This Row],[DEVELOPMENT]],Data[],4,FALSE),"")</f>
        <v>2020-2021</v>
      </c>
      <c r="J159" s="51" t="str">
        <f ca="1">IF(FWD[[#This Row],[RAD/PACT]]="","",IF(OR(FWD[[#This Row],[RAD/PACT]]="2021-2025",FWD[[#This Row],[RAD/PACT]]="2019-2020"),"Yes",""))</f>
        <v/>
      </c>
      <c r="K159" s="1"/>
      <c r="L159" s="1"/>
      <c r="M159" s="1"/>
      <c r="N159" s="1"/>
      <c r="O159" s="3">
        <f ca="1">IF(FWD[[#This Row],[RAD/PACT]]="2019-2020",0,INDEX(UnitCosts[],MATCH(FWD[[#This Row],[WORK TYPE]],UnitCosts[Work Type],0),2)*FWD[[#This Row],[Dwelling Units]])</f>
        <v>127186.46010717798</v>
      </c>
      <c r="P159" s="3"/>
      <c r="Q159" s="3"/>
      <c r="R159" s="69">
        <f t="shared" ca="1" si="2"/>
        <v>6484790.7295186827</v>
      </c>
      <c r="S159" s="71">
        <f ca="1">SUM(INDEX(FWD[Dwelling Units],1):FWD[[#This Row],[Dwelling Units]])</f>
        <v>77964</v>
      </c>
      <c r="T159" s="71">
        <f ca="1">IF(ISBLANK(FWD[[#This Row],[CALENDAR YEAR]]),ROUNDDOWN(FWD[[#This Row],[Running count]]/3000,0)+$T$1,FWD[[#This Row],[CALENDAR YEAR]])</f>
        <v>2045</v>
      </c>
    </row>
    <row r="160" spans="1:20">
      <c r="A160" s="65" t="s">
        <v>125</v>
      </c>
      <c r="B160" s="1" t="str">
        <f>VLOOKUP(A160,Data[],2,FALSE)</f>
        <v>MANHATTAN</v>
      </c>
      <c r="C160" s="1">
        <f>VLOOKUP(FWD[[#This Row],[DEVELOPMENT]],Data[],25,FALSE)</f>
        <v>0</v>
      </c>
      <c r="D160" s="9" t="s">
        <v>49</v>
      </c>
      <c r="E160" s="50">
        <f>VLOOKUP(FWD[[#This Row],[DEVELOPMENT]],Data[],7,FALSE)</f>
        <v>448</v>
      </c>
      <c r="F160" s="50" t="e">
        <f>VLOOKUP(FWD[[#This Row],[DEVELOPMENT]],all[[DEVELOPMENT]:[MRST Ext. Comp. Priority]],5,FALSE)</f>
        <v>#N/A</v>
      </c>
      <c r="G160" s="50" t="str">
        <f>VLOOKUP(FWD[[#This Row],[DEVELOPMENT]],Data[],8,FALSE)</f>
        <v>Zone 2</v>
      </c>
      <c r="H160" s="9">
        <f>VLOOKUP(FWD[[#This Row],[DEVELOPMENT]],Data[],9,FALSE)</f>
        <v>4</v>
      </c>
      <c r="I160" s="1" t="str">
        <f ca="1">IFERROR(VLOOKUP(FWD[[#This Row],[DEVELOPMENT]],Data[],4,FALSE),"")</f>
        <v>2022-2025</v>
      </c>
      <c r="J160" s="51" t="str">
        <f ca="1">IF(FWD[[#This Row],[RAD/PACT]]="","",IF(OR(FWD[[#This Row],[RAD/PACT]]="2021-2025",FWD[[#This Row],[RAD/PACT]]="2019-2020"),"Yes",""))</f>
        <v/>
      </c>
      <c r="K160" s="1"/>
      <c r="L160" s="1"/>
      <c r="M160" s="1"/>
      <c r="N160" s="1"/>
      <c r="O160" s="3">
        <f ca="1">IF(FWD[[#This Row],[RAD/PACT]]="2019-2020",0,INDEX(UnitCosts[],MATCH(FWD[[#This Row],[WORK TYPE]],UnitCosts[Work Type],0),2)*FWD[[#This Row],[Dwelling Units]])</f>
        <v>769993.70443264511</v>
      </c>
      <c r="P160" s="3"/>
      <c r="Q160" s="3"/>
      <c r="R160" s="69">
        <f t="shared" ca="1" si="2"/>
        <v>769993.70443264511</v>
      </c>
      <c r="S160" s="71">
        <f ca="1">SUM(INDEX(FWD[Dwelling Units],1):FWD[[#This Row],[Dwelling Units]])</f>
        <v>78412</v>
      </c>
      <c r="T160" s="71">
        <f ca="1">IF(ISBLANK(FWD[[#This Row],[CALENDAR YEAR]]),ROUNDDOWN(FWD[[#This Row],[Running count]]/3000,0)+$T$1,FWD[[#This Row],[CALENDAR YEAR]])</f>
        <v>2046</v>
      </c>
    </row>
    <row r="161" spans="1:20">
      <c r="A161" s="65" t="s">
        <v>113</v>
      </c>
      <c r="B161" s="1" t="str">
        <f>VLOOKUP(A161,Data[],2,FALSE)</f>
        <v>MANHATTAN</v>
      </c>
      <c r="C161" s="1">
        <f>VLOOKUP(FWD[[#This Row],[DEVELOPMENT]],Data[],25,FALSE)</f>
        <v>0</v>
      </c>
      <c r="D161" s="9" t="s">
        <v>49</v>
      </c>
      <c r="E161" s="50">
        <f>VLOOKUP(FWD[[#This Row],[DEVELOPMENT]],Data[],7,FALSE)</f>
        <v>1280</v>
      </c>
      <c r="F161" s="50" t="e">
        <f>VLOOKUP(FWD[[#This Row],[DEVELOPMENT]],all[[DEVELOPMENT]:[MRST Ext. Comp. Priority]],5,FALSE)</f>
        <v>#N/A</v>
      </c>
      <c r="G161" s="50" t="str">
        <f>VLOOKUP(FWD[[#This Row],[DEVELOPMENT]],Data[],8,FALSE)</f>
        <v>Zone 2</v>
      </c>
      <c r="H161" s="9">
        <f>VLOOKUP(FWD[[#This Row],[DEVELOPMENT]],Data[],9,FALSE)</f>
        <v>1</v>
      </c>
      <c r="I161" s="1" t="str">
        <f ca="1">IFERROR(VLOOKUP(FWD[[#This Row],[DEVELOPMENT]],Data[],4,FALSE),"")</f>
        <v>2026+</v>
      </c>
      <c r="J161" s="51" t="str">
        <f ca="1">IF(FWD[[#This Row],[RAD/PACT]]="","",IF(OR(FWD[[#This Row],[RAD/PACT]]="2021-2025",FWD[[#This Row],[RAD/PACT]]="2019-2020"),"Yes",""))</f>
        <v/>
      </c>
      <c r="K161" s="1"/>
      <c r="L161" s="1"/>
      <c r="M161" s="1"/>
      <c r="N161" s="1"/>
      <c r="O161" s="3">
        <f ca="1">IF(FWD[[#This Row],[RAD/PACT]]="2019-2020",0,INDEX(UnitCosts[],MATCH(FWD[[#This Row],[WORK TYPE]],UnitCosts[Work Type],0),2)*FWD[[#This Row],[Dwelling Units]])</f>
        <v>2199982.0126646999</v>
      </c>
      <c r="P161" s="3"/>
      <c r="Q161" s="3"/>
      <c r="R161" s="69">
        <f t="shared" ca="1" si="2"/>
        <v>2969975.7170973448</v>
      </c>
      <c r="S161" s="71">
        <f ca="1">SUM(INDEX(FWD[Dwelling Units],1):FWD[[#This Row],[Dwelling Units]])</f>
        <v>79692</v>
      </c>
      <c r="T161" s="71">
        <f ca="1">IF(ISBLANK(FWD[[#This Row],[CALENDAR YEAR]]),ROUNDDOWN(FWD[[#This Row],[Running count]]/3000,0)+$T$1,FWD[[#This Row],[CALENDAR YEAR]])</f>
        <v>2046</v>
      </c>
    </row>
    <row r="162" spans="1:20">
      <c r="A162" s="65" t="s">
        <v>341</v>
      </c>
      <c r="B162" s="1" t="str">
        <f>VLOOKUP(A162,Data[],2,FALSE)</f>
        <v>BROOKLYN</v>
      </c>
      <c r="C162" s="1">
        <f>VLOOKUP(FWD[[#This Row],[DEVELOPMENT]],Data[],25,FALSE)</f>
        <v>0</v>
      </c>
      <c r="D162" s="9" t="s">
        <v>49</v>
      </c>
      <c r="E162" s="50">
        <f>VLOOKUP(FWD[[#This Row],[DEVELOPMENT]],Data[],7,FALSE)</f>
        <v>1586</v>
      </c>
      <c r="F162" s="50" t="e">
        <f>VLOOKUP(FWD[[#This Row],[DEVELOPMENT]],all[[DEVELOPMENT]:[MRST Ext. Comp. Priority]],5,FALSE)</f>
        <v>#N/A</v>
      </c>
      <c r="G162" s="50">
        <f>VLOOKUP(FWD[[#This Row],[DEVELOPMENT]],Data[],8,FALSE)</f>
        <v>0</v>
      </c>
      <c r="H162" s="9">
        <f>VLOOKUP(FWD[[#This Row],[DEVELOPMENT]],Data[],9,FALSE)</f>
        <v>0</v>
      </c>
      <c r="I162" s="1" t="str">
        <f ca="1">IFERROR(VLOOKUP(FWD[[#This Row],[DEVELOPMENT]],Data[],4,FALSE),"")</f>
        <v>2020-2021</v>
      </c>
      <c r="J162" s="51" t="str">
        <f ca="1">IF(FWD[[#This Row],[RAD/PACT]]="","",IF(OR(FWD[[#This Row],[RAD/PACT]]="2021-2025",FWD[[#This Row],[RAD/PACT]]="2019-2020"),"Yes",""))</f>
        <v/>
      </c>
      <c r="K162" s="1"/>
      <c r="L162" s="1"/>
      <c r="M162" s="1"/>
      <c r="N162" s="1"/>
      <c r="O162" s="3">
        <f ca="1">IF(FWD[[#This Row],[RAD/PACT]]="2019-2020",0,INDEX(UnitCosts[],MATCH(FWD[[#This Row],[WORK TYPE]],UnitCosts[Work Type],0),2)*FWD[[#This Row],[Dwelling Units]])</f>
        <v>2725915.212567355</v>
      </c>
      <c r="P162" s="3"/>
      <c r="Q162" s="3"/>
      <c r="R162" s="69">
        <f t="shared" ca="1" si="2"/>
        <v>2725915.212567355</v>
      </c>
      <c r="S162" s="71">
        <f ca="1">SUM(INDEX(FWD[Dwelling Units],1):FWD[[#This Row],[Dwelling Units]])</f>
        <v>81278</v>
      </c>
      <c r="T162" s="71">
        <f ca="1">IF(ISBLANK(FWD[[#This Row],[CALENDAR YEAR]]),ROUNDDOWN(FWD[[#This Row],[Running count]]/3000,0)+$T$1,FWD[[#This Row],[CALENDAR YEAR]])</f>
        <v>2047</v>
      </c>
    </row>
    <row r="163" spans="1:20">
      <c r="A163" s="65" t="s">
        <v>208</v>
      </c>
      <c r="B163" s="1" t="str">
        <f>VLOOKUP(A163,Data[],2,FALSE)</f>
        <v>BROOKLYN</v>
      </c>
      <c r="C163" s="1">
        <f>VLOOKUP(FWD[[#This Row],[DEVELOPMENT]],Data[],25,FALSE)</f>
        <v>0</v>
      </c>
      <c r="D163" s="9" t="s">
        <v>49</v>
      </c>
      <c r="E163" s="50">
        <f>VLOOKUP(FWD[[#This Row],[DEVELOPMENT]],Data[],7,FALSE)</f>
        <v>229</v>
      </c>
      <c r="F163" s="50" t="e">
        <f>VLOOKUP(FWD[[#This Row],[DEVELOPMENT]],all[[DEVELOPMENT]:[MRST Ext. Comp. Priority]],5,FALSE)</f>
        <v>#N/A</v>
      </c>
      <c r="G163" s="50">
        <f>VLOOKUP(FWD[[#This Row],[DEVELOPMENT]],Data[],8,FALSE)</f>
        <v>0</v>
      </c>
      <c r="H163" s="9">
        <f>VLOOKUP(FWD[[#This Row],[DEVELOPMENT]],Data[],9,FALSE)</f>
        <v>0</v>
      </c>
      <c r="I163" s="1" t="str">
        <f ca="1">IFERROR(VLOOKUP(FWD[[#This Row],[DEVELOPMENT]],Data[],4,FALSE),"")</f>
        <v>2026+</v>
      </c>
      <c r="J163" s="51" t="str">
        <f ca="1">IF(FWD[[#This Row],[RAD/PACT]]="","",IF(OR(FWD[[#This Row],[RAD/PACT]]="2021-2025",FWD[[#This Row],[RAD/PACT]]="2019-2020"),"Yes",""))</f>
        <v/>
      </c>
      <c r="K163" s="1"/>
      <c r="L163" s="1"/>
      <c r="M163" s="1"/>
      <c r="N163" s="1"/>
      <c r="O163" s="3">
        <f ca="1">IF(FWD[[#This Row],[RAD/PACT]]="2019-2020",0,INDEX(UnitCosts[],MATCH(FWD[[#This Row],[WORK TYPE]],UnitCosts[Work Type],0),2)*FWD[[#This Row],[Dwelling Units]])</f>
        <v>393590.531953294</v>
      </c>
      <c r="P163" s="3"/>
      <c r="Q163" s="3"/>
      <c r="R163" s="69">
        <f t="shared" ca="1" si="2"/>
        <v>3119505.7445206488</v>
      </c>
      <c r="S163" s="71">
        <f ca="1">SUM(INDEX(FWD[Dwelling Units],1):FWD[[#This Row],[Dwelling Units]])</f>
        <v>81507</v>
      </c>
      <c r="T163" s="71">
        <f ca="1">IF(ISBLANK(FWD[[#This Row],[CALENDAR YEAR]]),ROUNDDOWN(FWD[[#This Row],[Running count]]/3000,0)+$T$1,FWD[[#This Row],[CALENDAR YEAR]])</f>
        <v>2047</v>
      </c>
    </row>
    <row r="164" spans="1:20">
      <c r="A164" s="65" t="s">
        <v>287</v>
      </c>
      <c r="B164" s="1" t="str">
        <f>VLOOKUP(A164,Data[],2,FALSE)</f>
        <v>BRONX</v>
      </c>
      <c r="C164" s="1">
        <f>VLOOKUP(FWD[[#This Row],[DEVELOPMENT]],Data[],25,FALSE)</f>
        <v>0</v>
      </c>
      <c r="D164" s="9" t="s">
        <v>49</v>
      </c>
      <c r="E164" s="50">
        <f>VLOOKUP(FWD[[#This Row],[DEVELOPMENT]],Data[],7,FALSE)</f>
        <v>75</v>
      </c>
      <c r="F164" s="50" t="e">
        <f>VLOOKUP(FWD[[#This Row],[DEVELOPMENT]],all[[DEVELOPMENT]:[MRST Ext. Comp. Priority]],5,FALSE)</f>
        <v>#N/A</v>
      </c>
      <c r="G164" s="50">
        <f>VLOOKUP(FWD[[#This Row],[DEVELOPMENT]],Data[],8,FALSE)</f>
        <v>0</v>
      </c>
      <c r="H164" s="9">
        <f>VLOOKUP(FWD[[#This Row],[DEVELOPMENT]],Data[],9,FALSE)</f>
        <v>0</v>
      </c>
      <c r="I164" s="1" t="str">
        <f ca="1">IFERROR(VLOOKUP(FWD[[#This Row],[DEVELOPMENT]],Data[],4,FALSE),"")</f>
        <v/>
      </c>
      <c r="J164" s="51" t="str">
        <f ca="1">IF(FWD[[#This Row],[RAD/PACT]]="","",IF(OR(FWD[[#This Row],[RAD/PACT]]="2021-2025",FWD[[#This Row],[RAD/PACT]]="2019-2020"),"Yes",""))</f>
        <v/>
      </c>
      <c r="K164" s="1"/>
      <c r="L164" s="1"/>
      <c r="M164" s="1"/>
      <c r="N164" s="1"/>
      <c r="O164" s="3">
        <f ca="1">IF(FWD[[#This Row],[RAD/PACT]]="2019-2020",0,INDEX(UnitCosts[],MATCH(FWD[[#This Row],[WORK TYPE]],UnitCosts[Work Type],0),2)*FWD[[#This Row],[Dwelling Units]])</f>
        <v>128905.19605457227</v>
      </c>
      <c r="P164" s="3"/>
      <c r="Q164" s="3"/>
      <c r="R164" s="69">
        <f t="shared" ca="1" si="2"/>
        <v>3248410.9405752211</v>
      </c>
      <c r="S164" s="71">
        <f ca="1">SUM(INDEX(FWD[Dwelling Units],1):FWD[[#This Row],[Dwelling Units]])</f>
        <v>81582</v>
      </c>
      <c r="T164" s="71">
        <f ca="1">IF(ISBLANK(FWD[[#This Row],[CALENDAR YEAR]]),ROUNDDOWN(FWD[[#This Row],[Running count]]/3000,0)+$T$1,FWD[[#This Row],[CALENDAR YEAR]])</f>
        <v>2047</v>
      </c>
    </row>
    <row r="165" spans="1:20">
      <c r="A165" s="65" t="s">
        <v>192</v>
      </c>
      <c r="B165" s="1" t="str">
        <f>VLOOKUP(A165,Data[],2,FALSE)</f>
        <v>BROOKLYN</v>
      </c>
      <c r="C165" s="1">
        <f>VLOOKUP(FWD[[#This Row],[DEVELOPMENT]],Data[],25,FALSE)</f>
        <v>0</v>
      </c>
      <c r="D165" s="9" t="s">
        <v>49</v>
      </c>
      <c r="E165" s="50">
        <f>VLOOKUP(FWD[[#This Row],[DEVELOPMENT]],Data[],7,FALSE)</f>
        <v>534</v>
      </c>
      <c r="F165" s="50" t="e">
        <f>VLOOKUP(FWD[[#This Row],[DEVELOPMENT]],all[[DEVELOPMENT]:[MRST Ext. Comp. Priority]],5,FALSE)</f>
        <v>#N/A</v>
      </c>
      <c r="G165" s="50">
        <f>VLOOKUP(FWD[[#This Row],[DEVELOPMENT]],Data[],8,FALSE)</f>
        <v>0</v>
      </c>
      <c r="H165" s="9">
        <f>VLOOKUP(FWD[[#This Row],[DEVELOPMENT]],Data[],9,FALSE)</f>
        <v>0</v>
      </c>
      <c r="I165" s="1" t="str">
        <f ca="1">IFERROR(VLOOKUP(FWD[[#This Row],[DEVELOPMENT]],Data[],4,FALSE),"")</f>
        <v/>
      </c>
      <c r="J165" s="51" t="str">
        <f ca="1">IF(FWD[[#This Row],[RAD/PACT]]="","",IF(OR(FWD[[#This Row],[RAD/PACT]]="2021-2025",FWD[[#This Row],[RAD/PACT]]="2019-2020"),"Yes",""))</f>
        <v/>
      </c>
      <c r="K165" s="1"/>
      <c r="L165" s="1"/>
      <c r="M165" s="1"/>
      <c r="N165" s="1"/>
      <c r="O165" s="3">
        <f ca="1">IF(FWD[[#This Row],[RAD/PACT]]="2019-2020",0,INDEX(UnitCosts[],MATCH(FWD[[#This Row],[WORK TYPE]],UnitCosts[Work Type],0),2)*FWD[[#This Row],[Dwelling Units]])</f>
        <v>917804.99590855464</v>
      </c>
      <c r="P165" s="3"/>
      <c r="Q165" s="3"/>
      <c r="R165" s="69">
        <f t="shared" ca="1" si="2"/>
        <v>4166215.9364837757</v>
      </c>
      <c r="S165" s="71">
        <f ca="1">SUM(INDEX(FWD[Dwelling Units],1):FWD[[#This Row],[Dwelling Units]])</f>
        <v>82116</v>
      </c>
      <c r="T165" s="71">
        <f ca="1">IF(ISBLANK(FWD[[#This Row],[CALENDAR YEAR]]),ROUNDDOWN(FWD[[#This Row],[Running count]]/3000,0)+$T$1,FWD[[#This Row],[CALENDAR YEAR]])</f>
        <v>2047</v>
      </c>
    </row>
    <row r="166" spans="1:20">
      <c r="A166" s="65" t="s">
        <v>62</v>
      </c>
      <c r="B166" s="1" t="str">
        <f>VLOOKUP(A166,Data[],2,FALSE)</f>
        <v>MANHATTAN</v>
      </c>
      <c r="C166" s="1" t="str">
        <f>VLOOKUP(FWD[[#This Row],[DEVELOPMENT]],Data[],25,FALSE)</f>
        <v>Newtown Creek</v>
      </c>
      <c r="D166" s="9" t="s">
        <v>49</v>
      </c>
      <c r="E166" s="50">
        <f>VLOOKUP(FWD[[#This Row],[DEVELOPMENT]],Data[],7,FALSE)</f>
        <v>189</v>
      </c>
      <c r="F166" s="50" t="e">
        <f>VLOOKUP(FWD[[#This Row],[DEVELOPMENT]],all[[DEVELOPMENT]:[MRST Ext. Comp. Priority]],5,FALSE)</f>
        <v>#N/A</v>
      </c>
      <c r="G166" s="50" t="str">
        <f>VLOOKUP(FWD[[#This Row],[DEVELOPMENT]],Data[],8,FALSE)</f>
        <v>Zone 1</v>
      </c>
      <c r="H166" s="9">
        <f>VLOOKUP(FWD[[#This Row],[DEVELOPMENT]],Data[],9,FALSE)</f>
        <v>3</v>
      </c>
      <c r="I166" s="1" t="str">
        <f ca="1">IFERROR(VLOOKUP(FWD[[#This Row],[DEVELOPMENT]],Data[],4,FALSE),"")</f>
        <v/>
      </c>
      <c r="J166" s="51" t="str">
        <f ca="1">IF(FWD[[#This Row],[RAD/PACT]]="","",IF(OR(FWD[[#This Row],[RAD/PACT]]="2021-2025",FWD[[#This Row],[RAD/PACT]]="2019-2020"),"Yes",""))</f>
        <v/>
      </c>
      <c r="K166" s="1"/>
      <c r="L166" s="1"/>
      <c r="M166" s="1"/>
      <c r="N166" s="1"/>
      <c r="O166" s="3">
        <f ca="1">IF(FWD[[#This Row],[RAD/PACT]]="2019-2020",0,INDEX(UnitCosts[],MATCH(FWD[[#This Row],[WORK TYPE]],UnitCosts[Work Type],0),2)*FWD[[#This Row],[Dwelling Units]])</f>
        <v>324841.09405752213</v>
      </c>
      <c r="P166" s="3"/>
      <c r="Q166" s="3"/>
      <c r="R166" s="69">
        <f t="shared" ca="1" si="2"/>
        <v>4491057.030541298</v>
      </c>
      <c r="S166" s="71">
        <f ca="1">SUM(INDEX(FWD[Dwelling Units],1):FWD[[#This Row],[Dwelling Units]])</f>
        <v>82305</v>
      </c>
      <c r="T166" s="71">
        <f ca="1">IF(ISBLANK(FWD[[#This Row],[CALENDAR YEAR]]),ROUNDDOWN(FWD[[#This Row],[Running count]]/3000,0)+$T$1,FWD[[#This Row],[CALENDAR YEAR]])</f>
        <v>2047</v>
      </c>
    </row>
    <row r="167" spans="1:20">
      <c r="A167" s="65" t="s">
        <v>63</v>
      </c>
      <c r="B167" s="1" t="str">
        <f>VLOOKUP(A167,Data[],2,FALSE)</f>
        <v>MANHATTAN</v>
      </c>
      <c r="C167" s="1" t="str">
        <f>VLOOKUP(FWD[[#This Row],[DEVELOPMENT]],Data[],25,FALSE)</f>
        <v>Newtown Creek</v>
      </c>
      <c r="D167" s="9" t="s">
        <v>49</v>
      </c>
      <c r="E167" s="50">
        <f>VLOOKUP(FWD[[#This Row],[DEVELOPMENT]],Data[],7,FALSE)</f>
        <v>188</v>
      </c>
      <c r="F167" s="50" t="e">
        <f>VLOOKUP(FWD[[#This Row],[DEVELOPMENT]],all[[DEVELOPMENT]:[MRST Ext. Comp. Priority]],5,FALSE)</f>
        <v>#N/A</v>
      </c>
      <c r="G167" s="50" t="str">
        <f>VLOOKUP(FWD[[#This Row],[DEVELOPMENT]],Data[],8,FALSE)</f>
        <v>Zone 1</v>
      </c>
      <c r="H167" s="9">
        <f>VLOOKUP(FWD[[#This Row],[DEVELOPMENT]],Data[],9,FALSE)</f>
        <v>4</v>
      </c>
      <c r="I167" s="1" t="str">
        <f ca="1">IFERROR(VLOOKUP(FWD[[#This Row],[DEVELOPMENT]],Data[],4,FALSE),"")</f>
        <v>2026+</v>
      </c>
      <c r="J167" s="51" t="str">
        <f ca="1">IF(FWD[[#This Row],[RAD/PACT]]="","",IF(OR(FWD[[#This Row],[RAD/PACT]]="2021-2025",FWD[[#This Row],[RAD/PACT]]="2019-2020"),"Yes",""))</f>
        <v/>
      </c>
      <c r="K167" s="1"/>
      <c r="L167" s="1"/>
      <c r="M167" s="1"/>
      <c r="N167" s="1"/>
      <c r="O167" s="3">
        <f ca="1">IF(FWD[[#This Row],[RAD/PACT]]="2019-2020",0,INDEX(UnitCosts[],MATCH(FWD[[#This Row],[WORK TYPE]],UnitCosts[Work Type],0),2)*FWD[[#This Row],[Dwelling Units]])</f>
        <v>323122.35811012785</v>
      </c>
      <c r="P167" s="3"/>
      <c r="Q167" s="3"/>
      <c r="R167" s="69">
        <f t="shared" ca="1" si="2"/>
        <v>4814179.388651426</v>
      </c>
      <c r="S167" s="71">
        <f ca="1">SUM(INDEX(FWD[Dwelling Units],1):FWD[[#This Row],[Dwelling Units]])</f>
        <v>82493</v>
      </c>
      <c r="T167" s="71">
        <f ca="1">IF(ISBLANK(FWD[[#This Row],[CALENDAR YEAR]]),ROUNDDOWN(FWD[[#This Row],[Running count]]/3000,0)+$T$1,FWD[[#This Row],[CALENDAR YEAR]])</f>
        <v>2047</v>
      </c>
    </row>
    <row r="168" spans="1:20">
      <c r="A168" s="65" t="s">
        <v>247</v>
      </c>
      <c r="B168" s="1" t="str">
        <f>VLOOKUP(A168,Data[],2,FALSE)</f>
        <v>MANHATTAN</v>
      </c>
      <c r="C168" s="1" t="str">
        <f>VLOOKUP(FWD[[#This Row],[DEVELOPMENT]],Data[],25,FALSE)</f>
        <v>Newtown Creek</v>
      </c>
      <c r="D168" s="9" t="s">
        <v>49</v>
      </c>
      <c r="E168" s="50">
        <f>VLOOKUP(FWD[[#This Row],[DEVELOPMENT]],Data[],7,FALSE)</f>
        <v>56</v>
      </c>
      <c r="F168" s="50" t="e">
        <f>VLOOKUP(FWD[[#This Row],[DEVELOPMENT]],all[[DEVELOPMENT]:[MRST Ext. Comp. Priority]],5,FALSE)</f>
        <v>#N/A</v>
      </c>
      <c r="G168" s="50" t="str">
        <f>VLOOKUP(FWD[[#This Row],[DEVELOPMENT]],Data[],8,FALSE)</f>
        <v>Zone 1</v>
      </c>
      <c r="H168" s="9">
        <f>VLOOKUP(FWD[[#This Row],[DEVELOPMENT]],Data[],9,FALSE)</f>
        <v>4</v>
      </c>
      <c r="I168" s="1" t="str">
        <f ca="1">IFERROR(VLOOKUP(FWD[[#This Row],[DEVELOPMENT]],Data[],4,FALSE),"")</f>
        <v/>
      </c>
      <c r="J168" s="51" t="str">
        <f ca="1">IF(FWD[[#This Row],[RAD/PACT]]="","",IF(OR(FWD[[#This Row],[RAD/PACT]]="2021-2025",FWD[[#This Row],[RAD/PACT]]="2019-2020"),"Yes",""))</f>
        <v/>
      </c>
      <c r="K168" s="1"/>
      <c r="L168" s="1"/>
      <c r="M168" s="1"/>
      <c r="N168" s="1"/>
      <c r="O168" s="3">
        <f ca="1">IF(FWD[[#This Row],[RAD/PACT]]="2019-2020",0,INDEX(UnitCosts[],MATCH(FWD[[#This Row],[WORK TYPE]],UnitCosts[Work Type],0),2)*FWD[[#This Row],[Dwelling Units]])</f>
        <v>96249.213054080639</v>
      </c>
      <c r="P168" s="3"/>
      <c r="Q168" s="3"/>
      <c r="R168" s="69">
        <f t="shared" ca="1" si="2"/>
        <v>4910428.6017055064</v>
      </c>
      <c r="S168" s="71">
        <f ca="1">SUM(INDEX(FWD[Dwelling Units],1):FWD[[#This Row],[Dwelling Units]])</f>
        <v>82549</v>
      </c>
      <c r="T168" s="71">
        <f ca="1">IF(ISBLANK(FWD[[#This Row],[CALENDAR YEAR]]),ROUNDDOWN(FWD[[#This Row],[Running count]]/3000,0)+$T$1,FWD[[#This Row],[CALENDAR YEAR]])</f>
        <v>2047</v>
      </c>
    </row>
    <row r="169" spans="1:20">
      <c r="A169" s="65" t="s">
        <v>64</v>
      </c>
      <c r="B169" s="1" t="str">
        <f>VLOOKUP(A169,Data[],2,FALSE)</f>
        <v>MANHATTAN</v>
      </c>
      <c r="C169" s="1" t="str">
        <f>VLOOKUP(FWD[[#This Row],[DEVELOPMENT]],Data[],25,FALSE)</f>
        <v>Newtown Creek</v>
      </c>
      <c r="D169" s="9" t="s">
        <v>49</v>
      </c>
      <c r="E169" s="50">
        <f>VLOOKUP(FWD[[#This Row],[DEVELOPMENT]],Data[],7,FALSE)</f>
        <v>55</v>
      </c>
      <c r="F169" s="50" t="e">
        <f>VLOOKUP(FWD[[#This Row],[DEVELOPMENT]],all[[DEVELOPMENT]:[MRST Ext. Comp. Priority]],5,FALSE)</f>
        <v>#N/A</v>
      </c>
      <c r="G169" s="50" t="str">
        <f>VLOOKUP(FWD[[#This Row],[DEVELOPMENT]],Data[],8,FALSE)</f>
        <v>Zone 1</v>
      </c>
      <c r="H169" s="9">
        <f>VLOOKUP(FWD[[#This Row],[DEVELOPMENT]],Data[],9,FALSE)</f>
        <v>3</v>
      </c>
      <c r="I169" s="1" t="str">
        <f ca="1">IFERROR(VLOOKUP(FWD[[#This Row],[DEVELOPMENT]],Data[],4,FALSE),"")</f>
        <v>2026+</v>
      </c>
      <c r="J169" s="51" t="str">
        <f ca="1">IF(FWD[[#This Row],[RAD/PACT]]="","",IF(OR(FWD[[#This Row],[RAD/PACT]]="2021-2025",FWD[[#This Row],[RAD/PACT]]="2019-2020"),"Yes",""))</f>
        <v/>
      </c>
      <c r="K169" s="1"/>
      <c r="L169" s="1"/>
      <c r="M169" s="1"/>
      <c r="N169" s="1"/>
      <c r="O169" s="3">
        <f ca="1">IF(FWD[[#This Row],[RAD/PACT]]="2019-2020",0,INDEX(UnitCosts[],MATCH(FWD[[#This Row],[WORK TYPE]],UnitCosts[Work Type],0),2)*FWD[[#This Row],[Dwelling Units]])</f>
        <v>94530.477106686332</v>
      </c>
      <c r="P169" s="3"/>
      <c r="Q169" s="3"/>
      <c r="R169" s="69">
        <f t="shared" ca="1" si="2"/>
        <v>5004959.0788121931</v>
      </c>
      <c r="S169" s="71">
        <f ca="1">SUM(INDEX(FWD[Dwelling Units],1):FWD[[#This Row],[Dwelling Units]])</f>
        <v>82604</v>
      </c>
      <c r="T169" s="71">
        <f ca="1">IF(ISBLANK(FWD[[#This Row],[CALENDAR YEAR]]),ROUNDDOWN(FWD[[#This Row],[Running count]]/3000,0)+$T$1,FWD[[#This Row],[CALENDAR YEAR]])</f>
        <v>2047</v>
      </c>
    </row>
    <row r="170" spans="1:20">
      <c r="A170" s="65" t="s">
        <v>122</v>
      </c>
      <c r="B170" s="1" t="str">
        <f>VLOOKUP(A170,Data[],2,FALSE)</f>
        <v>MANHATTAN</v>
      </c>
      <c r="C170" s="1">
        <f>VLOOKUP(FWD[[#This Row],[DEVELOPMENT]],Data[],25,FALSE)</f>
        <v>0</v>
      </c>
      <c r="D170" s="9" t="s">
        <v>49</v>
      </c>
      <c r="E170" s="50">
        <f>VLOOKUP(FWD[[#This Row],[DEVELOPMENT]],Data[],7,FALSE)</f>
        <v>1272</v>
      </c>
      <c r="F170" s="50" t="e">
        <f>VLOOKUP(FWD[[#This Row],[DEVELOPMENT]],all[[DEVELOPMENT]:[MRST Ext. Comp. Priority]],5,FALSE)</f>
        <v>#N/A</v>
      </c>
      <c r="G170" s="50" t="str">
        <f>VLOOKUP(FWD[[#This Row],[DEVELOPMENT]],Data[],8,FALSE)</f>
        <v>Zone 2</v>
      </c>
      <c r="H170" s="9">
        <f>VLOOKUP(FWD[[#This Row],[DEVELOPMENT]],Data[],9,FALSE)</f>
        <v>4</v>
      </c>
      <c r="I170" s="1" t="str">
        <f ca="1">IFERROR(VLOOKUP(FWD[[#This Row],[DEVELOPMENT]],Data[],4,FALSE),"")</f>
        <v>2026+</v>
      </c>
      <c r="J170" s="51" t="str">
        <f ca="1">IF(FWD[[#This Row],[RAD/PACT]]="","",IF(OR(FWD[[#This Row],[RAD/PACT]]="2021-2025",FWD[[#This Row],[RAD/PACT]]="2019-2020"),"Yes",""))</f>
        <v/>
      </c>
      <c r="K170" s="1"/>
      <c r="L170" s="1"/>
      <c r="M170" s="1"/>
      <c r="N170" s="1"/>
      <c r="O170" s="3">
        <f ca="1">IF(FWD[[#This Row],[RAD/PACT]]="2019-2020",0,INDEX(UnitCosts[],MATCH(FWD[[#This Row],[WORK TYPE]],UnitCosts[Work Type],0),2)*FWD[[#This Row],[Dwelling Units]])</f>
        <v>2186232.1250855457</v>
      </c>
      <c r="P170" s="3"/>
      <c r="Q170" s="3"/>
      <c r="R170" s="69">
        <f t="shared" ca="1" si="2"/>
        <v>7191191.2038977388</v>
      </c>
      <c r="S170" s="71">
        <f ca="1">SUM(INDEX(FWD[Dwelling Units],1):FWD[[#This Row],[Dwelling Units]])</f>
        <v>83876</v>
      </c>
      <c r="T170" s="71">
        <f ca="1">IF(ISBLANK(FWD[[#This Row],[CALENDAR YEAR]]),ROUNDDOWN(FWD[[#This Row],[Running count]]/3000,0)+$T$1,FWD[[#This Row],[CALENDAR YEAR]])</f>
        <v>2047</v>
      </c>
    </row>
    <row r="171" spans="1:20">
      <c r="A171" s="65" t="s">
        <v>87</v>
      </c>
      <c r="B171" s="1" t="str">
        <f>VLOOKUP(A171,Data[],2,FALSE)</f>
        <v>MANHATTAN</v>
      </c>
      <c r="C171" s="1">
        <f>VLOOKUP(FWD[[#This Row],[DEVELOPMENT]],Data[],25,FALSE)</f>
        <v>0</v>
      </c>
      <c r="D171" s="9" t="s">
        <v>49</v>
      </c>
      <c r="E171" s="50">
        <f>VLOOKUP(FWD[[#This Row],[DEVELOPMENT]],Data[],7,FALSE)</f>
        <v>46</v>
      </c>
      <c r="F171" s="50" t="e">
        <f>VLOOKUP(FWD[[#This Row],[DEVELOPMENT]],all[[DEVELOPMENT]:[MRST Ext. Comp. Priority]],5,FALSE)</f>
        <v>#N/A</v>
      </c>
      <c r="G171" s="50" t="str">
        <f>VLOOKUP(FWD[[#This Row],[DEVELOPMENT]],Data[],8,FALSE)</f>
        <v>Zone 3</v>
      </c>
      <c r="H171" s="9">
        <f>VLOOKUP(FWD[[#This Row],[DEVELOPMENT]],Data[],9,FALSE)</f>
        <v>4</v>
      </c>
      <c r="I171" s="1" t="str">
        <f ca="1">IFERROR(VLOOKUP(FWD[[#This Row],[DEVELOPMENT]],Data[],4,FALSE),"")</f>
        <v>2020-2021</v>
      </c>
      <c r="J171" s="51" t="str">
        <f ca="1">IF(FWD[[#This Row],[RAD/PACT]]="","",IF(OR(FWD[[#This Row],[RAD/PACT]]="2021-2025",FWD[[#This Row],[RAD/PACT]]="2019-2020"),"Yes",""))</f>
        <v/>
      </c>
      <c r="K171" s="1"/>
      <c r="L171" s="1"/>
      <c r="M171" s="1"/>
      <c r="N171" s="1"/>
      <c r="O171" s="3">
        <f ca="1">IF(FWD[[#This Row],[RAD/PACT]]="2019-2020",0,INDEX(UnitCosts[],MATCH(FWD[[#This Row],[WORK TYPE]],UnitCosts[Work Type],0),2)*FWD[[#This Row],[Dwelling Units]])</f>
        <v>79061.853580137657</v>
      </c>
      <c r="P171" s="3"/>
      <c r="Q171" s="3"/>
      <c r="R171" s="69">
        <f t="shared" ca="1" si="2"/>
        <v>7270253.0574778765</v>
      </c>
      <c r="S171" s="71">
        <f ca="1">SUM(INDEX(FWD[Dwelling Units],1):FWD[[#This Row],[Dwelling Units]])</f>
        <v>83922</v>
      </c>
      <c r="T171" s="71">
        <f ca="1">IF(ISBLANK(FWD[[#This Row],[CALENDAR YEAR]]),ROUNDDOWN(FWD[[#This Row],[Running count]]/3000,0)+$T$1,FWD[[#This Row],[CALENDAR YEAR]])</f>
        <v>2047</v>
      </c>
    </row>
    <row r="172" spans="1:20">
      <c r="A172" s="65" t="s">
        <v>88</v>
      </c>
      <c r="B172" s="1" t="str">
        <f>VLOOKUP(A172,Data[],2,FALSE)</f>
        <v>MANHATTAN</v>
      </c>
      <c r="C172" s="1">
        <f>VLOOKUP(FWD[[#This Row],[DEVELOPMENT]],Data[],25,FALSE)</f>
        <v>0</v>
      </c>
      <c r="D172" s="9" t="s">
        <v>49</v>
      </c>
      <c r="E172" s="50">
        <f>VLOOKUP(FWD[[#This Row],[DEVELOPMENT]],Data[],7,FALSE)</f>
        <v>51</v>
      </c>
      <c r="F172" s="50" t="e">
        <f>VLOOKUP(FWD[[#This Row],[DEVELOPMENT]],all[[DEVELOPMENT]:[MRST Ext. Comp. Priority]],5,FALSE)</f>
        <v>#N/A</v>
      </c>
      <c r="G172" s="50" t="str">
        <f>VLOOKUP(FWD[[#This Row],[DEVELOPMENT]],Data[],8,FALSE)</f>
        <v>Zone 3</v>
      </c>
      <c r="H172" s="9">
        <f>VLOOKUP(FWD[[#This Row],[DEVELOPMENT]],Data[],9,FALSE)</f>
        <v>4</v>
      </c>
      <c r="I172" s="1" t="str">
        <f ca="1">IFERROR(VLOOKUP(FWD[[#This Row],[DEVELOPMENT]],Data[],4,FALSE),"")</f>
        <v>2020-2021</v>
      </c>
      <c r="J172" s="51" t="str">
        <f ca="1">IF(FWD[[#This Row],[RAD/PACT]]="","",IF(OR(FWD[[#This Row],[RAD/PACT]]="2021-2025",FWD[[#This Row],[RAD/PACT]]="2019-2020"),"Yes",""))</f>
        <v/>
      </c>
      <c r="K172" s="1"/>
      <c r="L172" s="1"/>
      <c r="M172" s="1"/>
      <c r="N172" s="1"/>
      <c r="O172" s="3">
        <f ca="1">IF(FWD[[#This Row],[RAD/PACT]]="2019-2020",0,INDEX(UnitCosts[],MATCH(FWD[[#This Row],[WORK TYPE]],UnitCosts[Work Type],0),2)*FWD[[#This Row],[Dwelling Units]])</f>
        <v>87655.533317109148</v>
      </c>
      <c r="P172" s="3"/>
      <c r="Q172" s="3"/>
      <c r="R172" s="69">
        <f t="shared" ca="1" si="2"/>
        <v>7357908.5907949861</v>
      </c>
      <c r="S172" s="71">
        <f ca="1">SUM(INDEX(FWD[Dwelling Units],1):FWD[[#This Row],[Dwelling Units]])</f>
        <v>83973</v>
      </c>
      <c r="T172" s="71">
        <f ca="1">IF(ISBLANK(FWD[[#This Row],[CALENDAR YEAR]]),ROUNDDOWN(FWD[[#This Row],[Running count]]/3000,0)+$T$1,FWD[[#This Row],[CALENDAR YEAR]])</f>
        <v>2047</v>
      </c>
    </row>
    <row r="173" spans="1:20">
      <c r="A173" s="65" t="s">
        <v>342</v>
      </c>
      <c r="B173" s="1" t="str">
        <f>VLOOKUP(A173,Data[],2,FALSE)</f>
        <v>BRONX</v>
      </c>
      <c r="C173" s="1">
        <f>VLOOKUP(FWD[[#This Row],[DEVELOPMENT]],Data[],25,FALSE)</f>
        <v>0</v>
      </c>
      <c r="D173" s="9" t="s">
        <v>49</v>
      </c>
      <c r="E173" s="50">
        <f>VLOOKUP(FWD[[#This Row],[DEVELOPMENT]],Data[],7,FALSE)</f>
        <v>1680</v>
      </c>
      <c r="F173" s="50" t="e">
        <f>VLOOKUP(FWD[[#This Row],[DEVELOPMENT]],all[[DEVELOPMENT]:[MRST Ext. Comp. Priority]],5,FALSE)</f>
        <v>#N/A</v>
      </c>
      <c r="G173" s="50">
        <f>VLOOKUP(FWD[[#This Row],[DEVELOPMENT]],Data[],8,FALSE)</f>
        <v>0</v>
      </c>
      <c r="H173" s="9">
        <f>VLOOKUP(FWD[[#This Row],[DEVELOPMENT]],Data[],9,FALSE)</f>
        <v>0</v>
      </c>
      <c r="I173" s="1" t="str">
        <f ca="1">IFERROR(VLOOKUP(FWD[[#This Row],[DEVELOPMENT]],Data[],4,FALSE),"")</f>
        <v/>
      </c>
      <c r="J173" s="51" t="str">
        <f ca="1">IF(FWD[[#This Row],[RAD/PACT]]="","",IF(OR(FWD[[#This Row],[RAD/PACT]]="2021-2025",FWD[[#This Row],[RAD/PACT]]="2019-2020"),"Yes",""))</f>
        <v/>
      </c>
      <c r="K173" s="1"/>
      <c r="L173" s="1"/>
      <c r="M173" s="1"/>
      <c r="N173" s="1"/>
      <c r="O173" s="3">
        <f ca="1">IF(FWD[[#This Row],[RAD/PACT]]="2019-2020",0,INDEX(UnitCosts[],MATCH(FWD[[#This Row],[WORK TYPE]],UnitCosts[Work Type],0),2)*FWD[[#This Row],[Dwelling Units]])</f>
        <v>2887476.391622419</v>
      </c>
      <c r="P173" s="3"/>
      <c r="Q173" s="3"/>
      <c r="R173" s="69">
        <f t="shared" ca="1" si="2"/>
        <v>2887476.391622419</v>
      </c>
      <c r="S173" s="71">
        <f ca="1">SUM(INDEX(FWD[Dwelling Units],1):FWD[[#This Row],[Dwelling Units]])</f>
        <v>85653</v>
      </c>
      <c r="T173" s="71">
        <f ca="1">IF(ISBLANK(FWD[[#This Row],[CALENDAR YEAR]]),ROUNDDOWN(FWD[[#This Row],[Running count]]/3000,0)+$T$1,FWD[[#This Row],[CALENDAR YEAR]])</f>
        <v>2048</v>
      </c>
    </row>
    <row r="174" spans="1:20">
      <c r="A174" s="65" t="s">
        <v>38</v>
      </c>
      <c r="B174" s="1" t="str">
        <f>VLOOKUP(A174,Data[],2,FALSE)</f>
        <v>BROOKLYN</v>
      </c>
      <c r="C174" s="1" t="str">
        <f>VLOOKUP(FWD[[#This Row],[DEVELOPMENT]],Data[],25,FALSE)</f>
        <v>Newtown Creek</v>
      </c>
      <c r="D174" s="9" t="s">
        <v>49</v>
      </c>
      <c r="E174" s="50">
        <f>VLOOKUP(FWD[[#This Row],[DEVELOPMENT]],Data[],7,FALSE)</f>
        <v>1716</v>
      </c>
      <c r="F174" s="50" t="e">
        <f>VLOOKUP(FWD[[#This Row],[DEVELOPMENT]],all[[DEVELOPMENT]:[MRST Ext. Comp. Priority]],5,FALSE)</f>
        <v>#N/A</v>
      </c>
      <c r="G174" s="50" t="str">
        <f>VLOOKUP(FWD[[#This Row],[DEVELOPMENT]],Data[],8,FALSE)</f>
        <v>Zone 1</v>
      </c>
      <c r="H174" s="9">
        <f>VLOOKUP(FWD[[#This Row],[DEVELOPMENT]],Data[],9,FALSE)</f>
        <v>3</v>
      </c>
      <c r="I174" s="1" t="str">
        <f ca="1">IFERROR(VLOOKUP(FWD[[#This Row],[DEVELOPMENT]],Data[],4,FALSE),"")</f>
        <v>2026+</v>
      </c>
      <c r="J174" s="51" t="str">
        <f ca="1">IF(FWD[[#This Row],[RAD/PACT]]="","",IF(OR(FWD[[#This Row],[RAD/PACT]]="2021-2025",FWD[[#This Row],[RAD/PACT]]="2019-2020"),"Yes",""))</f>
        <v/>
      </c>
      <c r="K174" s="1"/>
      <c r="L174" s="1"/>
      <c r="M174" s="1"/>
      <c r="N174" s="1"/>
      <c r="O174" s="3">
        <f ca="1">IF(FWD[[#This Row],[RAD/PACT]]="2019-2020",0,INDEX(UnitCosts[],MATCH(FWD[[#This Row],[WORK TYPE]],UnitCosts[Work Type],0),2)*FWD[[#This Row],[Dwelling Units]])</f>
        <v>2949350.8857286135</v>
      </c>
      <c r="P174" s="3"/>
      <c r="Q174" s="3"/>
      <c r="R174" s="69">
        <f t="shared" ca="1" si="2"/>
        <v>2949350.8857286135</v>
      </c>
      <c r="S174" s="71">
        <f ca="1">SUM(INDEX(FWD[Dwelling Units],1):FWD[[#This Row],[Dwelling Units]])</f>
        <v>87369</v>
      </c>
      <c r="T174" s="71">
        <f ca="1">IF(ISBLANK(FWD[[#This Row],[CALENDAR YEAR]]),ROUNDDOWN(FWD[[#This Row],[Running count]]/3000,0)+$T$1,FWD[[#This Row],[CALENDAR YEAR]])</f>
        <v>2049</v>
      </c>
    </row>
    <row r="175" spans="1:20">
      <c r="A175" s="65" t="s">
        <v>343</v>
      </c>
      <c r="B175" s="1" t="str">
        <f>VLOOKUP(A175,Data[],2,FALSE)</f>
        <v>BROOKLYN</v>
      </c>
      <c r="C175" s="1">
        <f>VLOOKUP(FWD[[#This Row],[DEVELOPMENT]],Data[],25,FALSE)</f>
        <v>0</v>
      </c>
      <c r="D175" s="9" t="s">
        <v>49</v>
      </c>
      <c r="E175" s="50">
        <f>VLOOKUP(FWD[[#This Row],[DEVELOPMENT]],Data[],7,FALSE)</f>
        <v>48</v>
      </c>
      <c r="F175" s="50" t="e">
        <f>VLOOKUP(FWD[[#This Row],[DEVELOPMENT]],all[[DEVELOPMENT]:[MRST Ext. Comp. Priority]],5,FALSE)</f>
        <v>#N/A</v>
      </c>
      <c r="G175" s="50" t="str">
        <f>VLOOKUP(FWD[[#This Row],[DEVELOPMENT]],Data[],8,FALSE)</f>
        <v>Zone 1</v>
      </c>
      <c r="H175" s="9">
        <f>VLOOKUP(FWD[[#This Row],[DEVELOPMENT]],Data[],9,FALSE)</f>
        <v>4</v>
      </c>
      <c r="I175" s="1">
        <f ca="1">IFERROR(VLOOKUP(FWD[[#This Row],[DEVELOPMENT]],Data[],4,FALSE),"")</f>
        <v>2019</v>
      </c>
      <c r="J175" s="51" t="str">
        <f ca="1">IF(FWD[[#This Row],[RAD/PACT]]="","",IF(OR(FWD[[#This Row],[RAD/PACT]]="2021-2025",FWD[[#This Row],[RAD/PACT]]="2019-2020"),"Yes",""))</f>
        <v/>
      </c>
      <c r="K175" s="1"/>
      <c r="L175" s="1"/>
      <c r="M175" s="1"/>
      <c r="N175" s="1"/>
      <c r="O175" s="3">
        <f ca="1">IF(FWD[[#This Row],[RAD/PACT]]="2019-2020",0,INDEX(UnitCosts[],MATCH(FWD[[#This Row],[WORK TYPE]],UnitCosts[Work Type],0),2)*FWD[[#This Row],[Dwelling Units]])</f>
        <v>82499.325474926256</v>
      </c>
      <c r="P175" s="3"/>
      <c r="Q175" s="3"/>
      <c r="R175" s="69">
        <f t="shared" ca="1" si="2"/>
        <v>3031850.2112035397</v>
      </c>
      <c r="S175" s="71">
        <f ca="1">SUM(INDEX(FWD[Dwelling Units],1):FWD[[#This Row],[Dwelling Units]])</f>
        <v>87417</v>
      </c>
      <c r="T175" s="71">
        <f ca="1">IF(ISBLANK(FWD[[#This Row],[CALENDAR YEAR]]),ROUNDDOWN(FWD[[#This Row],[Running count]]/3000,0)+$T$1,FWD[[#This Row],[CALENDAR YEAR]])</f>
        <v>2049</v>
      </c>
    </row>
    <row r="176" spans="1:20">
      <c r="A176" s="65" t="s">
        <v>248</v>
      </c>
      <c r="B176" s="1" t="str">
        <f>VLOOKUP(A176,Data[],2,FALSE)</f>
        <v>BROOKLYN</v>
      </c>
      <c r="C176" s="1">
        <f>VLOOKUP(FWD[[#This Row],[DEVELOPMENT]],Data[],25,FALSE)</f>
        <v>0</v>
      </c>
      <c r="D176" s="9" t="s">
        <v>49</v>
      </c>
      <c r="E176" s="50">
        <f>VLOOKUP(FWD[[#This Row],[DEVELOPMENT]],Data[],7,FALSE)</f>
        <v>30</v>
      </c>
      <c r="F176" s="50" t="e">
        <f>VLOOKUP(FWD[[#This Row],[DEVELOPMENT]],all[[DEVELOPMENT]:[MRST Ext. Comp. Priority]],5,FALSE)</f>
        <v>#N/A</v>
      </c>
      <c r="G176" s="50">
        <f>VLOOKUP(FWD[[#This Row],[DEVELOPMENT]],Data[],8,FALSE)</f>
        <v>0</v>
      </c>
      <c r="H176" s="9">
        <f>VLOOKUP(FWD[[#This Row],[DEVELOPMENT]],Data[],9,FALSE)</f>
        <v>0</v>
      </c>
      <c r="I176" s="1">
        <f ca="1">IFERROR(VLOOKUP(FWD[[#This Row],[DEVELOPMENT]],Data[],4,FALSE),"")</f>
        <v>2019</v>
      </c>
      <c r="J176" s="51" t="str">
        <f ca="1">IF(FWD[[#This Row],[RAD/PACT]]="","",IF(OR(FWD[[#This Row],[RAD/PACT]]="2021-2025",FWD[[#This Row],[RAD/PACT]]="2019-2020"),"Yes",""))</f>
        <v/>
      </c>
      <c r="K176" s="1"/>
      <c r="L176" s="1"/>
      <c r="M176" s="1"/>
      <c r="N176" s="1"/>
      <c r="O176" s="3">
        <f ca="1">IF(FWD[[#This Row],[RAD/PACT]]="2019-2020",0,INDEX(UnitCosts[],MATCH(FWD[[#This Row],[WORK TYPE]],UnitCosts[Work Type],0),2)*FWD[[#This Row],[Dwelling Units]])</f>
        <v>51562.078421828912</v>
      </c>
      <c r="P176" s="3"/>
      <c r="Q176" s="3"/>
      <c r="R176" s="69">
        <f t="shared" ca="1" si="2"/>
        <v>3083412.2896253685</v>
      </c>
      <c r="S176" s="71">
        <f ca="1">SUM(INDEX(FWD[Dwelling Units],1):FWD[[#This Row],[Dwelling Units]])</f>
        <v>87447</v>
      </c>
      <c r="T176" s="71">
        <f ca="1">IF(ISBLANK(FWD[[#This Row],[CALENDAR YEAR]]),ROUNDDOWN(FWD[[#This Row],[Running count]]/3000,0)+$T$1,FWD[[#This Row],[CALENDAR YEAR]])</f>
        <v>2049</v>
      </c>
    </row>
    <row r="177" spans="1:20">
      <c r="A177" s="65" t="s">
        <v>344</v>
      </c>
      <c r="B177" s="1" t="str">
        <f>VLOOKUP(A177,Data[],2,FALSE)</f>
        <v>STATEN ISLAND</v>
      </c>
      <c r="C177" s="1">
        <f>VLOOKUP(FWD[[#This Row],[DEVELOPMENT]],Data[],25,FALSE)</f>
        <v>0</v>
      </c>
      <c r="D177" s="9" t="s">
        <v>49</v>
      </c>
      <c r="E177" s="50">
        <f>VLOOKUP(FWD[[#This Row],[DEVELOPMENT]],Data[],7,FALSE)</f>
        <v>606</v>
      </c>
      <c r="F177" s="50" t="e">
        <f>VLOOKUP(FWD[[#This Row],[DEVELOPMENT]],all[[DEVELOPMENT]:[MRST Ext. Comp. Priority]],5,FALSE)</f>
        <v>#N/A</v>
      </c>
      <c r="G177" s="50">
        <f>VLOOKUP(FWD[[#This Row],[DEVELOPMENT]],Data[],8,FALSE)</f>
        <v>0</v>
      </c>
      <c r="H177" s="9">
        <f>VLOOKUP(FWD[[#This Row],[DEVELOPMENT]],Data[],9,FALSE)</f>
        <v>0</v>
      </c>
      <c r="I177" s="1" t="str">
        <f ca="1">IFERROR(VLOOKUP(FWD[[#This Row],[DEVELOPMENT]],Data[],4,FALSE),"")</f>
        <v>2026+</v>
      </c>
      <c r="J177" s="51" t="str">
        <f ca="1">IF(FWD[[#This Row],[RAD/PACT]]="","",IF(OR(FWD[[#This Row],[RAD/PACT]]="2021-2025",FWD[[#This Row],[RAD/PACT]]="2019-2020"),"Yes",""))</f>
        <v/>
      </c>
      <c r="K177" s="1"/>
      <c r="L177" s="1"/>
      <c r="M177" s="1"/>
      <c r="N177" s="1"/>
      <c r="O177" s="3">
        <f ca="1">IF(FWD[[#This Row],[RAD/PACT]]="2019-2020",0,INDEX(UnitCosts[],MATCH(FWD[[#This Row],[WORK TYPE]],UnitCosts[Work Type],0),2)*FWD[[#This Row],[Dwelling Units]])</f>
        <v>1041553.9841209439</v>
      </c>
      <c r="P177" s="3"/>
      <c r="Q177" s="3"/>
      <c r="R177" s="69">
        <f t="shared" ca="1" si="2"/>
        <v>4124966.2737463126</v>
      </c>
      <c r="S177" s="71">
        <f ca="1">SUM(INDEX(FWD[Dwelling Units],1):FWD[[#This Row],[Dwelling Units]])</f>
        <v>88053</v>
      </c>
      <c r="T177" s="71">
        <f ca="1">IF(ISBLANK(FWD[[#This Row],[CALENDAR YEAR]]),ROUNDDOWN(FWD[[#This Row],[Running count]]/3000,0)+$T$1,FWD[[#This Row],[CALENDAR YEAR]])</f>
        <v>2049</v>
      </c>
    </row>
    <row r="178" spans="1:20">
      <c r="A178" s="65" t="s">
        <v>193</v>
      </c>
      <c r="B178" s="1" t="str">
        <f>VLOOKUP(A178,Data[],2,FALSE)</f>
        <v>BROOKLYN</v>
      </c>
      <c r="C178" s="1">
        <f>VLOOKUP(FWD[[#This Row],[DEVELOPMENT]],Data[],25,FALSE)</f>
        <v>0</v>
      </c>
      <c r="D178" s="9" t="s">
        <v>49</v>
      </c>
      <c r="E178" s="50">
        <f>VLOOKUP(FWD[[#This Row],[DEVELOPMENT]],Data[],7,FALSE)</f>
        <v>1764</v>
      </c>
      <c r="F178" s="50" t="e">
        <f>VLOOKUP(FWD[[#This Row],[DEVELOPMENT]],all[[DEVELOPMENT]:[MRST Ext. Comp. Priority]],5,FALSE)</f>
        <v>#N/A</v>
      </c>
      <c r="G178" s="50">
        <f>VLOOKUP(FWD[[#This Row],[DEVELOPMENT]],Data[],8,FALSE)</f>
        <v>0</v>
      </c>
      <c r="H178" s="9">
        <f>VLOOKUP(FWD[[#This Row],[DEVELOPMENT]],Data[],9,FALSE)</f>
        <v>0</v>
      </c>
      <c r="I178" s="1" t="str">
        <f ca="1">IFERROR(VLOOKUP(FWD[[#This Row],[DEVELOPMENT]],Data[],4,FALSE),"")</f>
        <v>2026+</v>
      </c>
      <c r="J178" s="51" t="str">
        <f ca="1">IF(FWD[[#This Row],[RAD/PACT]]="","",IF(OR(FWD[[#This Row],[RAD/PACT]]="2021-2025",FWD[[#This Row],[RAD/PACT]]="2019-2020"),"Yes",""))</f>
        <v/>
      </c>
      <c r="K178" s="1"/>
      <c r="L178" s="1"/>
      <c r="M178" s="1"/>
      <c r="N178" s="1"/>
      <c r="O178" s="3">
        <f ca="1">IF(FWD[[#This Row],[RAD/PACT]]="2019-2020",0,INDEX(UnitCosts[],MATCH(FWD[[#This Row],[WORK TYPE]],UnitCosts[Work Type],0),2)*FWD[[#This Row],[Dwelling Units]])</f>
        <v>3031850.2112035397</v>
      </c>
      <c r="P178" s="3"/>
      <c r="Q178" s="3"/>
      <c r="R178" s="69">
        <f t="shared" ca="1" si="2"/>
        <v>7156816.4849498523</v>
      </c>
      <c r="S178" s="71">
        <f ca="1">SUM(INDEX(FWD[Dwelling Units],1):FWD[[#This Row],[Dwelling Units]])</f>
        <v>89817</v>
      </c>
      <c r="T178" s="71">
        <f ca="1">IF(ISBLANK(FWD[[#This Row],[CALENDAR YEAR]]),ROUNDDOWN(FWD[[#This Row],[Running count]]/3000,0)+$T$1,FWD[[#This Row],[CALENDAR YEAR]])</f>
        <v>2049</v>
      </c>
    </row>
    <row r="179" spans="1:20">
      <c r="A179" s="65" t="s">
        <v>89</v>
      </c>
      <c r="B179" s="1" t="str">
        <f>VLOOKUP(A179,Data[],2,FALSE)</f>
        <v>MANHATTAN</v>
      </c>
      <c r="C179" s="1">
        <f>VLOOKUP(FWD[[#This Row],[DEVELOPMENT]],Data[],25,FALSE)</f>
        <v>0</v>
      </c>
      <c r="D179" s="9" t="s">
        <v>49</v>
      </c>
      <c r="E179" s="50">
        <f>VLOOKUP(FWD[[#This Row],[DEVELOPMENT]],Data[],7,FALSE)</f>
        <v>180</v>
      </c>
      <c r="F179" s="50" t="e">
        <f>VLOOKUP(FWD[[#This Row],[DEVELOPMENT]],all[[DEVELOPMENT]:[MRST Ext. Comp. Priority]],5,FALSE)</f>
        <v>#N/A</v>
      </c>
      <c r="G179" s="50" t="str">
        <f>VLOOKUP(FWD[[#This Row],[DEVELOPMENT]],Data[],8,FALSE)</f>
        <v>Zone 3</v>
      </c>
      <c r="H179" s="9">
        <f>VLOOKUP(FWD[[#This Row],[DEVELOPMENT]],Data[],9,FALSE)</f>
        <v>3</v>
      </c>
      <c r="I179" s="1" t="str">
        <f ca="1">IFERROR(VLOOKUP(FWD[[#This Row],[DEVELOPMENT]],Data[],4,FALSE),"")</f>
        <v>2020-2021</v>
      </c>
      <c r="J179" s="51" t="str">
        <f ca="1">IF(FWD[[#This Row],[RAD/PACT]]="","",IF(OR(FWD[[#This Row],[RAD/PACT]]="2021-2025",FWD[[#This Row],[RAD/PACT]]="2019-2020"),"Yes",""))</f>
        <v/>
      </c>
      <c r="K179" s="1"/>
      <c r="L179" s="1"/>
      <c r="M179" s="1"/>
      <c r="N179" s="1"/>
      <c r="O179" s="3">
        <f ca="1">IF(FWD[[#This Row],[RAD/PACT]]="2019-2020",0,INDEX(UnitCosts[],MATCH(FWD[[#This Row],[WORK TYPE]],UnitCosts[Work Type],0),2)*FWD[[#This Row],[Dwelling Units]])</f>
        <v>309372.47053097346</v>
      </c>
      <c r="P179" s="3"/>
      <c r="Q179" s="3"/>
      <c r="R179" s="69">
        <f t="shared" ca="1" si="2"/>
        <v>7466188.9554808261</v>
      </c>
      <c r="S179" s="71">
        <f ca="1">SUM(INDEX(FWD[Dwelling Units],1):FWD[[#This Row],[Dwelling Units]])</f>
        <v>89997</v>
      </c>
      <c r="T179" s="71">
        <f ca="1">IF(ISBLANK(FWD[[#This Row],[CALENDAR YEAR]]),ROUNDDOWN(FWD[[#This Row],[Running count]]/3000,0)+$T$1,FWD[[#This Row],[CALENDAR YEAR]])</f>
        <v>2049</v>
      </c>
    </row>
    <row r="180" spans="1:20">
      <c r="A180" s="65" t="s">
        <v>222</v>
      </c>
      <c r="B180" s="1" t="str">
        <f>VLOOKUP(A180,Data[],2,FALSE)</f>
        <v>BRONX</v>
      </c>
      <c r="C180" s="1">
        <f>VLOOKUP(FWD[[#This Row],[DEVELOPMENT]],Data[],25,FALSE)</f>
        <v>0</v>
      </c>
      <c r="D180" s="9" t="s">
        <v>49</v>
      </c>
      <c r="E180" s="50">
        <f>VLOOKUP(FWD[[#This Row],[DEVELOPMENT]],Data[],7,FALSE)</f>
        <v>615</v>
      </c>
      <c r="F180" s="50" t="e">
        <f>VLOOKUP(FWD[[#This Row],[DEVELOPMENT]],all[[DEVELOPMENT]:[MRST Ext. Comp. Priority]],5,FALSE)</f>
        <v>#N/A</v>
      </c>
      <c r="G180" s="50" t="str">
        <f>VLOOKUP(FWD[[#This Row],[DEVELOPMENT]],Data[],8,FALSE)</f>
        <v>Zone 4</v>
      </c>
      <c r="H180" s="9">
        <f>VLOOKUP(FWD[[#This Row],[DEVELOPMENT]],Data[],9,FALSE)</f>
        <v>0</v>
      </c>
      <c r="I180" s="1" t="str">
        <f ca="1">IFERROR(VLOOKUP(FWD[[#This Row],[DEVELOPMENT]],Data[],4,FALSE),"")</f>
        <v>2026+</v>
      </c>
      <c r="J180" s="51" t="str">
        <f ca="1">IF(FWD[[#This Row],[RAD/PACT]]="","",IF(OR(FWD[[#This Row],[RAD/PACT]]="2021-2025",FWD[[#This Row],[RAD/PACT]]="2019-2020"),"Yes",""))</f>
        <v/>
      </c>
      <c r="K180" s="1"/>
      <c r="L180" s="1"/>
      <c r="M180" s="1"/>
      <c r="N180" s="1"/>
      <c r="O180" s="3">
        <f ca="1">IF(FWD[[#This Row],[RAD/PACT]]="2019-2020",0,INDEX(UnitCosts[],MATCH(FWD[[#This Row],[WORK TYPE]],UnitCosts[Work Type],0),2)*FWD[[#This Row],[Dwelling Units]])</f>
        <v>1057022.6076474926</v>
      </c>
      <c r="P180" s="3"/>
      <c r="Q180" s="3"/>
      <c r="R180" s="69">
        <f t="shared" ca="1" si="2"/>
        <v>1057022.6076474926</v>
      </c>
      <c r="S180" s="71">
        <f ca="1">SUM(INDEX(FWD[Dwelling Units],1):FWD[[#This Row],[Dwelling Units]])</f>
        <v>90612</v>
      </c>
      <c r="T180" s="71">
        <f ca="1">IF(ISBLANK(FWD[[#This Row],[CALENDAR YEAR]]),ROUNDDOWN(FWD[[#This Row],[Running count]]/3000,0)+$T$1,FWD[[#This Row],[CALENDAR YEAR]])</f>
        <v>2050</v>
      </c>
    </row>
    <row r="181" spans="1:20">
      <c r="A181" s="65" t="s">
        <v>39</v>
      </c>
      <c r="B181" s="1" t="str">
        <f>VLOOKUP(A181,Data[],2,FALSE)</f>
        <v>BRONX</v>
      </c>
      <c r="C181" s="1">
        <f>VLOOKUP(FWD[[#This Row],[DEVELOPMENT]],Data[],25,FALSE)</f>
        <v>0</v>
      </c>
      <c r="D181" s="9" t="s">
        <v>49</v>
      </c>
      <c r="E181" s="50">
        <f>VLOOKUP(FWD[[#This Row],[DEVELOPMENT]],Data[],7,FALSE)</f>
        <v>1021</v>
      </c>
      <c r="F181" s="50" t="e">
        <f>VLOOKUP(FWD[[#This Row],[DEVELOPMENT]],all[[DEVELOPMENT]:[MRST Ext. Comp. Priority]],5,FALSE)</f>
        <v>#N/A</v>
      </c>
      <c r="G181" s="50" t="str">
        <f>VLOOKUP(FWD[[#This Row],[DEVELOPMENT]],Data[],8,FALSE)</f>
        <v>Zone 1</v>
      </c>
      <c r="H181" s="9">
        <f>VLOOKUP(FWD[[#This Row],[DEVELOPMENT]],Data[],9,FALSE)</f>
        <v>4</v>
      </c>
      <c r="I181" s="1" t="str">
        <f ca="1">IFERROR(VLOOKUP(FWD[[#This Row],[DEVELOPMENT]],Data[],4,FALSE),"")</f>
        <v>2022-2025</v>
      </c>
      <c r="J181" s="51" t="str">
        <f ca="1">IF(FWD[[#This Row],[RAD/PACT]]="","",IF(OR(FWD[[#This Row],[RAD/PACT]]="2021-2025",FWD[[#This Row],[RAD/PACT]]="2019-2020"),"Yes",""))</f>
        <v/>
      </c>
      <c r="K181" s="1"/>
      <c r="L181" s="1"/>
      <c r="M181" s="1"/>
      <c r="N181" s="1"/>
      <c r="O181" s="3">
        <f ca="1">IF(FWD[[#This Row],[RAD/PACT]]="2019-2020",0,INDEX(UnitCosts[],MATCH(FWD[[#This Row],[WORK TYPE]],UnitCosts[Work Type],0),2)*FWD[[#This Row],[Dwelling Units]])</f>
        <v>1754829.4022895773</v>
      </c>
      <c r="P181" s="3"/>
      <c r="Q181" s="3"/>
      <c r="R181" s="69">
        <f t="shared" ca="1" si="2"/>
        <v>2811852.0099370698</v>
      </c>
      <c r="S181" s="71">
        <f ca="1">SUM(INDEX(FWD[Dwelling Units],1):FWD[[#This Row],[Dwelling Units]])</f>
        <v>91633</v>
      </c>
      <c r="T181" s="71">
        <f ca="1">IF(ISBLANK(FWD[[#This Row],[CALENDAR YEAR]]),ROUNDDOWN(FWD[[#This Row],[Running count]]/3000,0)+$T$1,FWD[[#This Row],[CALENDAR YEAR]])</f>
        <v>2050</v>
      </c>
    </row>
    <row r="182" spans="1:20">
      <c r="A182" s="65" t="s">
        <v>90</v>
      </c>
      <c r="B182" s="1" t="str">
        <f>VLOOKUP(A182,Data[],2,FALSE)</f>
        <v>MANHATTAN</v>
      </c>
      <c r="C182" s="1">
        <f>VLOOKUP(FWD[[#This Row],[DEVELOPMENT]],Data[],25,FALSE)</f>
        <v>0</v>
      </c>
      <c r="D182" s="9" t="s">
        <v>49</v>
      </c>
      <c r="E182" s="50">
        <f>VLOOKUP(FWD[[#This Row],[DEVELOPMENT]],Data[],7,FALSE)</f>
        <v>271</v>
      </c>
      <c r="F182" s="50" t="e">
        <f>VLOOKUP(FWD[[#This Row],[DEVELOPMENT]],all[[DEVELOPMENT]:[MRST Ext. Comp. Priority]],5,FALSE)</f>
        <v>#N/A</v>
      </c>
      <c r="G182" s="50" t="str">
        <f>VLOOKUP(FWD[[#This Row],[DEVELOPMENT]],Data[],8,FALSE)</f>
        <v>Zone 2</v>
      </c>
      <c r="H182" s="9">
        <f>VLOOKUP(FWD[[#This Row],[DEVELOPMENT]],Data[],9,FALSE)</f>
        <v>4</v>
      </c>
      <c r="I182" s="1" t="str">
        <f ca="1">IFERROR(VLOOKUP(FWD[[#This Row],[DEVELOPMENT]],Data[],4,FALSE),"")</f>
        <v>2026+</v>
      </c>
      <c r="J182" s="51" t="str">
        <f ca="1">IF(FWD[[#This Row],[RAD/PACT]]="","",IF(OR(FWD[[#This Row],[RAD/PACT]]="2021-2025",FWD[[#This Row],[RAD/PACT]]="2019-2020"),"Yes",""))</f>
        <v/>
      </c>
      <c r="K182" s="1"/>
      <c r="L182" s="1"/>
      <c r="M182" s="1"/>
      <c r="N182" s="1"/>
      <c r="O182" s="3">
        <f ca="1">IF(FWD[[#This Row],[RAD/PACT]]="2019-2020",0,INDEX(UnitCosts[],MATCH(FWD[[#This Row],[WORK TYPE]],UnitCosts[Work Type],0),2)*FWD[[#This Row],[Dwelling Units]])</f>
        <v>465777.44174385449</v>
      </c>
      <c r="P182" s="3"/>
      <c r="Q182" s="3"/>
      <c r="R182" s="69">
        <f t="shared" ca="1" si="2"/>
        <v>3277629.4516809243</v>
      </c>
      <c r="S182" s="71">
        <f ca="1">SUM(INDEX(FWD[Dwelling Units],1):FWD[[#This Row],[Dwelling Units]])</f>
        <v>91904</v>
      </c>
      <c r="T182" s="71">
        <f ca="1">IF(ISBLANK(FWD[[#This Row],[CALENDAR YEAR]]),ROUNDDOWN(FWD[[#This Row],[Running count]]/3000,0)+$T$1,FWD[[#This Row],[CALENDAR YEAR]])</f>
        <v>2050</v>
      </c>
    </row>
    <row r="183" spans="1:20">
      <c r="A183" s="65" t="s">
        <v>345</v>
      </c>
      <c r="B183" s="1" t="str">
        <f>VLOOKUP(A183,Data[],2,FALSE)</f>
        <v>BRONX</v>
      </c>
      <c r="C183" s="1">
        <f>VLOOKUP(FWD[[#This Row],[DEVELOPMENT]],Data[],25,FALSE)</f>
        <v>0</v>
      </c>
      <c r="D183" s="9" t="s">
        <v>49</v>
      </c>
      <c r="E183" s="50">
        <f>VLOOKUP(FWD[[#This Row],[DEVELOPMENT]],Data[],7,FALSE)</f>
        <v>177</v>
      </c>
      <c r="F183" s="50" t="e">
        <f>VLOOKUP(FWD[[#This Row],[DEVELOPMENT]],all[[DEVELOPMENT]:[MRST Ext. Comp. Priority]],5,FALSE)</f>
        <v>#N/A</v>
      </c>
      <c r="G183" s="50">
        <f>VLOOKUP(FWD[[#This Row],[DEVELOPMENT]],Data[],8,FALSE)</f>
        <v>0</v>
      </c>
      <c r="H183" s="9">
        <f>VLOOKUP(FWD[[#This Row],[DEVELOPMENT]],Data[],9,FALSE)</f>
        <v>0</v>
      </c>
      <c r="I183" s="1" t="str">
        <f ca="1">IFERROR(VLOOKUP(FWD[[#This Row],[DEVELOPMENT]],Data[],4,FALSE),"")</f>
        <v>2026+</v>
      </c>
      <c r="J183" s="51" t="str">
        <f ca="1">IF(FWD[[#This Row],[RAD/PACT]]="","",IF(OR(FWD[[#This Row],[RAD/PACT]]="2021-2025",FWD[[#This Row],[RAD/PACT]]="2019-2020"),"Yes",""))</f>
        <v/>
      </c>
      <c r="K183" s="1"/>
      <c r="L183" s="1"/>
      <c r="M183" s="1"/>
      <c r="N183" s="1"/>
      <c r="O183" s="3">
        <f ca="1">IF(FWD[[#This Row],[RAD/PACT]]="2019-2020",0,INDEX(UnitCosts[],MATCH(FWD[[#This Row],[WORK TYPE]],UnitCosts[Work Type],0),2)*FWD[[#This Row],[Dwelling Units]])</f>
        <v>304216.26268879056</v>
      </c>
      <c r="P183" s="3"/>
      <c r="Q183" s="3"/>
      <c r="R183" s="69">
        <f t="shared" ca="1" si="2"/>
        <v>3581845.7143697147</v>
      </c>
      <c r="S183" s="71">
        <f ca="1">SUM(INDEX(FWD[Dwelling Units],1):FWD[[#This Row],[Dwelling Units]])</f>
        <v>92081</v>
      </c>
      <c r="T183" s="71">
        <f ca="1">IF(ISBLANK(FWD[[#This Row],[CALENDAR YEAR]]),ROUNDDOWN(FWD[[#This Row],[Running count]]/3000,0)+$T$1,FWD[[#This Row],[CALENDAR YEAR]])</f>
        <v>2050</v>
      </c>
    </row>
    <row r="184" spans="1:20">
      <c r="A184" s="65" t="s">
        <v>267</v>
      </c>
      <c r="B184" s="1" t="str">
        <f>VLOOKUP(A184,Data[],2,FALSE)</f>
        <v>BRONX</v>
      </c>
      <c r="C184" s="1">
        <f>VLOOKUP(FWD[[#This Row],[DEVELOPMENT]],Data[],25,FALSE)</f>
        <v>0</v>
      </c>
      <c r="D184" s="9" t="s">
        <v>49</v>
      </c>
      <c r="E184" s="50">
        <f>VLOOKUP(FWD[[#This Row],[DEVELOPMENT]],Data[],7,FALSE)</f>
        <v>1251</v>
      </c>
      <c r="F184" s="50" t="e">
        <f>VLOOKUP(FWD[[#This Row],[DEVELOPMENT]],all[[DEVELOPMENT]:[MRST Ext. Comp. Priority]],5,FALSE)</f>
        <v>#N/A</v>
      </c>
      <c r="G184" s="50">
        <f>VLOOKUP(FWD[[#This Row],[DEVELOPMENT]],Data[],8,FALSE)</f>
        <v>0</v>
      </c>
      <c r="H184" s="9">
        <f>VLOOKUP(FWD[[#This Row],[DEVELOPMENT]],Data[],9,FALSE)</f>
        <v>0</v>
      </c>
      <c r="I184" s="1" t="str">
        <f ca="1">IFERROR(VLOOKUP(FWD[[#This Row],[DEVELOPMENT]],Data[],4,FALSE),"")</f>
        <v/>
      </c>
      <c r="J184" s="51" t="str">
        <f ca="1">IF(FWD[[#This Row],[RAD/PACT]]="","",IF(OR(FWD[[#This Row],[RAD/PACT]]="2021-2025",FWD[[#This Row],[RAD/PACT]]="2019-2020"),"Yes",""))</f>
        <v/>
      </c>
      <c r="K184" s="1"/>
      <c r="L184" s="1"/>
      <c r="M184" s="1"/>
      <c r="N184" s="1"/>
      <c r="O184" s="3">
        <f ca="1">IF(FWD[[#This Row],[RAD/PACT]]="2019-2020",0,INDEX(UnitCosts[],MATCH(FWD[[#This Row],[WORK TYPE]],UnitCosts[Work Type],0),2)*FWD[[#This Row],[Dwelling Units]])</f>
        <v>2150138.6701902654</v>
      </c>
      <c r="P184" s="3"/>
      <c r="Q184" s="3"/>
      <c r="R184" s="69">
        <f t="shared" ca="1" si="2"/>
        <v>2150138.6701902654</v>
      </c>
      <c r="S184" s="71">
        <f ca="1">SUM(INDEX(FWD[Dwelling Units],1):FWD[[#This Row],[Dwelling Units]])</f>
        <v>93332</v>
      </c>
      <c r="T184" s="71">
        <f ca="1">IF(ISBLANK(FWD[[#This Row],[CALENDAR YEAR]]),ROUNDDOWN(FWD[[#This Row],[Running count]]/3000,0)+$T$1,FWD[[#This Row],[CALENDAR YEAR]])</f>
        <v>2051</v>
      </c>
    </row>
    <row r="185" spans="1:20">
      <c r="A185" s="65" t="s">
        <v>277</v>
      </c>
      <c r="B185" s="1" t="str">
        <f>VLOOKUP(A185,Data[],2,FALSE)</f>
        <v>BRONX</v>
      </c>
      <c r="C185" s="1">
        <f>VLOOKUP(FWD[[#This Row],[DEVELOPMENT]],Data[],25,FALSE)</f>
        <v>0</v>
      </c>
      <c r="D185" s="9" t="s">
        <v>49</v>
      </c>
      <c r="E185" s="50">
        <f>VLOOKUP(FWD[[#This Row],[DEVELOPMENT]],Data[],7,FALSE)</f>
        <v>125</v>
      </c>
      <c r="F185" s="50" t="e">
        <f>VLOOKUP(FWD[[#This Row],[DEVELOPMENT]],all[[DEVELOPMENT]:[MRST Ext. Comp. Priority]],5,FALSE)</f>
        <v>#N/A</v>
      </c>
      <c r="G185" s="50">
        <f>VLOOKUP(FWD[[#This Row],[DEVELOPMENT]],Data[],8,FALSE)</f>
        <v>0</v>
      </c>
      <c r="H185" s="9">
        <f>VLOOKUP(FWD[[#This Row],[DEVELOPMENT]],Data[],9,FALSE)</f>
        <v>0</v>
      </c>
      <c r="I185" s="1" t="str">
        <f ca="1">IFERROR(VLOOKUP(FWD[[#This Row],[DEVELOPMENT]],Data[],4,FALSE),"")</f>
        <v/>
      </c>
      <c r="J185" s="51" t="str">
        <f ca="1">IF(FWD[[#This Row],[RAD/PACT]]="","",IF(OR(FWD[[#This Row],[RAD/PACT]]="2021-2025",FWD[[#This Row],[RAD/PACT]]="2019-2020"),"Yes",""))</f>
        <v/>
      </c>
      <c r="K185" s="1"/>
      <c r="L185" s="1"/>
      <c r="M185" s="1"/>
      <c r="N185" s="1"/>
      <c r="O185" s="3">
        <f ca="1">IF(FWD[[#This Row],[RAD/PACT]]="2019-2020",0,INDEX(UnitCosts[],MATCH(FWD[[#This Row],[WORK TYPE]],UnitCosts[Work Type],0),2)*FWD[[#This Row],[Dwelling Units]])</f>
        <v>214841.99342428712</v>
      </c>
      <c r="P185" s="3"/>
      <c r="Q185" s="3"/>
      <c r="R185" s="69">
        <f t="shared" ca="1" si="2"/>
        <v>2364980.6636145525</v>
      </c>
      <c r="S185" s="71">
        <f ca="1">SUM(INDEX(FWD[Dwelling Units],1):FWD[[#This Row],[Dwelling Units]])</f>
        <v>93457</v>
      </c>
      <c r="T185" s="71">
        <f ca="1">IF(ISBLANK(FWD[[#This Row],[CALENDAR YEAR]]),ROUNDDOWN(FWD[[#This Row],[Running count]]/3000,0)+$T$1,FWD[[#This Row],[CALENDAR YEAR]])</f>
        <v>2051</v>
      </c>
    </row>
    <row r="186" spans="1:20">
      <c r="A186" s="65" t="s">
        <v>223</v>
      </c>
      <c r="B186" s="1" t="str">
        <f>VLOOKUP(A186,Data[],2,FALSE)</f>
        <v>BRONX</v>
      </c>
      <c r="C186" s="1">
        <f>VLOOKUP(FWD[[#This Row],[DEVELOPMENT]],Data[],25,FALSE)</f>
        <v>0</v>
      </c>
      <c r="D186" s="9" t="s">
        <v>49</v>
      </c>
      <c r="E186" s="50">
        <f>VLOOKUP(FWD[[#This Row],[DEVELOPMENT]],Data[],7,FALSE)</f>
        <v>1732</v>
      </c>
      <c r="F186" s="50" t="e">
        <f>VLOOKUP(FWD[[#This Row],[DEVELOPMENT]],all[[DEVELOPMENT]:[MRST Ext. Comp. Priority]],5,FALSE)</f>
        <v>#N/A</v>
      </c>
      <c r="G186" s="50">
        <f>VLOOKUP(FWD[[#This Row],[DEVELOPMENT]],Data[],8,FALSE)</f>
        <v>0</v>
      </c>
      <c r="H186" s="9">
        <f>VLOOKUP(FWD[[#This Row],[DEVELOPMENT]],Data[],9,FALSE)</f>
        <v>0</v>
      </c>
      <c r="I186" s="1" t="str">
        <f ca="1">IFERROR(VLOOKUP(FWD[[#This Row],[DEVELOPMENT]],Data[],4,FALSE),"")</f>
        <v>2026+</v>
      </c>
      <c r="J186" s="51" t="str">
        <f ca="1">IF(FWD[[#This Row],[RAD/PACT]]="","",IF(OR(FWD[[#This Row],[RAD/PACT]]="2021-2025",FWD[[#This Row],[RAD/PACT]]="2019-2020"),"Yes",""))</f>
        <v/>
      </c>
      <c r="K186" s="1"/>
      <c r="L186" s="1"/>
      <c r="M186" s="1"/>
      <c r="N186" s="1"/>
      <c r="O186" s="3">
        <f ca="1">IF(FWD[[#This Row],[RAD/PACT]]="2019-2020",0,INDEX(UnitCosts[],MATCH(FWD[[#This Row],[WORK TYPE]],UnitCosts[Work Type],0),2)*FWD[[#This Row],[Dwelling Units]])</f>
        <v>2976850.6608869224</v>
      </c>
      <c r="P186" s="3"/>
      <c r="Q186" s="3"/>
      <c r="R186" s="69">
        <f t="shared" ca="1" si="2"/>
        <v>5341831.3245014753</v>
      </c>
      <c r="S186" s="71">
        <f ca="1">SUM(INDEX(FWD[Dwelling Units],1):FWD[[#This Row],[Dwelling Units]])</f>
        <v>95189</v>
      </c>
      <c r="T186" s="71">
        <f ca="1">IF(ISBLANK(FWD[[#This Row],[CALENDAR YEAR]]),ROUNDDOWN(FWD[[#This Row],[Running count]]/3000,0)+$T$1,FWD[[#This Row],[CALENDAR YEAR]])</f>
        <v>2051</v>
      </c>
    </row>
    <row r="187" spans="1:20">
      <c r="A187" s="65" t="s">
        <v>114</v>
      </c>
      <c r="B187" s="1" t="str">
        <f>VLOOKUP(A187,Data[],2,FALSE)</f>
        <v>BRONX</v>
      </c>
      <c r="C187" s="1">
        <f>VLOOKUP(FWD[[#This Row],[DEVELOPMENT]],Data[],25,FALSE)</f>
        <v>0</v>
      </c>
      <c r="D187" s="9" t="s">
        <v>49</v>
      </c>
      <c r="E187" s="50">
        <f>VLOOKUP(FWD[[#This Row],[DEVELOPMENT]],Data[],7,FALSE)</f>
        <v>1100</v>
      </c>
      <c r="F187" s="50" t="e">
        <f>VLOOKUP(FWD[[#This Row],[DEVELOPMENT]],all[[DEVELOPMENT]:[MRST Ext. Comp. Priority]],5,FALSE)</f>
        <v>#N/A</v>
      </c>
      <c r="G187" s="50" t="str">
        <f>VLOOKUP(FWD[[#This Row],[DEVELOPMENT]],Data[],8,FALSE)</f>
        <v>Zone 3</v>
      </c>
      <c r="H187" s="9">
        <f>VLOOKUP(FWD[[#This Row],[DEVELOPMENT]],Data[],9,FALSE)</f>
        <v>4</v>
      </c>
      <c r="I187" s="1" t="str">
        <f ca="1">IFERROR(VLOOKUP(FWD[[#This Row],[DEVELOPMENT]],Data[],4,FALSE),"")</f>
        <v>2026+</v>
      </c>
      <c r="J187" s="51" t="str">
        <f ca="1">IF(FWD[[#This Row],[RAD/PACT]]="","",IF(OR(FWD[[#This Row],[RAD/PACT]]="2021-2025",FWD[[#This Row],[RAD/PACT]]="2019-2020"),"Yes",""))</f>
        <v/>
      </c>
      <c r="K187" s="1"/>
      <c r="L187" s="1"/>
      <c r="M187" s="1"/>
      <c r="N187" s="1"/>
      <c r="O187" s="3">
        <f ca="1">IF(FWD[[#This Row],[RAD/PACT]]="2019-2020",0,INDEX(UnitCosts[],MATCH(FWD[[#This Row],[WORK TYPE]],UnitCosts[Work Type],0),2)*FWD[[#This Row],[Dwelling Units]])</f>
        <v>1890609.5421337266</v>
      </c>
      <c r="P187" s="3"/>
      <c r="Q187" s="3"/>
      <c r="R187" s="69">
        <f t="shared" ca="1" si="2"/>
        <v>1890609.5421337266</v>
      </c>
      <c r="S187" s="71">
        <f ca="1">SUM(INDEX(FWD[Dwelling Units],1):FWD[[#This Row],[Dwelling Units]])</f>
        <v>96289</v>
      </c>
      <c r="T187" s="71">
        <f ca="1">IF(ISBLANK(FWD[[#This Row],[CALENDAR YEAR]]),ROUNDDOWN(FWD[[#This Row],[Running count]]/3000,0)+$T$1,FWD[[#This Row],[CALENDAR YEAR]])</f>
        <v>2052</v>
      </c>
    </row>
    <row r="188" spans="1:20">
      <c r="A188" s="65" t="s">
        <v>91</v>
      </c>
      <c r="B188" s="1" t="str">
        <f>VLOOKUP(A188,Data[],2,FALSE)</f>
        <v>BRONX</v>
      </c>
      <c r="C188" s="1">
        <f>VLOOKUP(FWD[[#This Row],[DEVELOPMENT]],Data[],25,FALSE)</f>
        <v>0</v>
      </c>
      <c r="D188" s="9" t="s">
        <v>49</v>
      </c>
      <c r="E188" s="50">
        <f>VLOOKUP(FWD[[#This Row],[DEVELOPMENT]],Data[],7,FALSE)</f>
        <v>463</v>
      </c>
      <c r="F188" s="50" t="e">
        <f>VLOOKUP(FWD[[#This Row],[DEVELOPMENT]],all[[DEVELOPMENT]:[MRST Ext. Comp. Priority]],5,FALSE)</f>
        <v>#N/A</v>
      </c>
      <c r="G188" s="50" t="str">
        <f>VLOOKUP(FWD[[#This Row],[DEVELOPMENT]],Data[],8,FALSE)</f>
        <v>Zone 3</v>
      </c>
      <c r="H188" s="9">
        <f>VLOOKUP(FWD[[#This Row],[DEVELOPMENT]],Data[],9,FALSE)</f>
        <v>3</v>
      </c>
      <c r="I188" s="1" t="str">
        <f ca="1">IFERROR(VLOOKUP(FWD[[#This Row],[DEVELOPMENT]],Data[],4,FALSE),"")</f>
        <v>2026+</v>
      </c>
      <c r="J188" s="51" t="str">
        <f ca="1">IF(FWD[[#This Row],[RAD/PACT]]="","",IF(OR(FWD[[#This Row],[RAD/PACT]]="2021-2025",FWD[[#This Row],[RAD/PACT]]="2019-2020"),"Yes",""))</f>
        <v/>
      </c>
      <c r="K188" s="1"/>
      <c r="L188" s="1"/>
      <c r="M188" s="1"/>
      <c r="N188" s="1"/>
      <c r="O188" s="3">
        <f ca="1">IF(FWD[[#This Row],[RAD/PACT]]="2019-2020",0,INDEX(UnitCosts[],MATCH(FWD[[#This Row],[WORK TYPE]],UnitCosts[Work Type],0),2)*FWD[[#This Row],[Dwelling Units]])</f>
        <v>795774.74364355952</v>
      </c>
      <c r="P188" s="3"/>
      <c r="Q188" s="3"/>
      <c r="R188" s="69">
        <f t="shared" ca="1" si="2"/>
        <v>2686384.2857772862</v>
      </c>
      <c r="S188" s="71">
        <f ca="1">SUM(INDEX(FWD[Dwelling Units],1):FWD[[#This Row],[Dwelling Units]])</f>
        <v>96752</v>
      </c>
      <c r="T188" s="71">
        <f ca="1">IF(ISBLANK(FWD[[#This Row],[CALENDAR YEAR]]),ROUNDDOWN(FWD[[#This Row],[Running count]]/3000,0)+$T$1,FWD[[#This Row],[CALENDAR YEAR]])</f>
        <v>2052</v>
      </c>
    </row>
    <row r="189" spans="1:20">
      <c r="A189" s="65" t="s">
        <v>40</v>
      </c>
      <c r="B189" s="1" t="str">
        <f>VLOOKUP(A189,Data[],2,FALSE)</f>
        <v>BRONX</v>
      </c>
      <c r="C189" s="1">
        <f>VLOOKUP(FWD[[#This Row],[DEVELOPMENT]],Data[],25,FALSE)</f>
        <v>0</v>
      </c>
      <c r="D189" s="9" t="s">
        <v>49</v>
      </c>
      <c r="E189" s="50">
        <f>VLOOKUP(FWD[[#This Row],[DEVELOPMENT]],Data[],7,FALSE)</f>
        <v>1083</v>
      </c>
      <c r="F189" s="50" t="e">
        <f>VLOOKUP(FWD[[#This Row],[DEVELOPMENT]],all[[DEVELOPMENT]:[MRST Ext. Comp. Priority]],5,FALSE)</f>
        <v>#N/A</v>
      </c>
      <c r="G189" s="50" t="str">
        <f>VLOOKUP(FWD[[#This Row],[DEVELOPMENT]],Data[],8,FALSE)</f>
        <v>Zone 1</v>
      </c>
      <c r="H189" s="9">
        <f>VLOOKUP(FWD[[#This Row],[DEVELOPMENT]],Data[],9,FALSE)</f>
        <v>3</v>
      </c>
      <c r="I189" s="1" t="str">
        <f ca="1">IFERROR(VLOOKUP(FWD[[#This Row],[DEVELOPMENT]],Data[],4,FALSE),"")</f>
        <v/>
      </c>
      <c r="J189" s="51" t="str">
        <f ca="1">IF(FWD[[#This Row],[RAD/PACT]]="","",IF(OR(FWD[[#This Row],[RAD/PACT]]="2021-2025",FWD[[#This Row],[RAD/PACT]]="2019-2020"),"Yes",""))</f>
        <v/>
      </c>
      <c r="K189" s="1"/>
      <c r="L189" s="1"/>
      <c r="M189" s="1"/>
      <c r="N189" s="1"/>
      <c r="O189" s="3">
        <f ca="1">IF(FWD[[#This Row],[RAD/PACT]]="2019-2020",0,INDEX(UnitCosts[],MATCH(FWD[[#This Row],[WORK TYPE]],UnitCosts[Work Type],0),2)*FWD[[#This Row],[Dwelling Units]])</f>
        <v>1861391.0310280237</v>
      </c>
      <c r="P189" s="3"/>
      <c r="Q189" s="3"/>
      <c r="R189" s="69">
        <f t="shared" ca="1" si="2"/>
        <v>4547775.3168053096</v>
      </c>
      <c r="S189" s="71">
        <f ca="1">SUM(INDEX(FWD[Dwelling Units],1):FWD[[#This Row],[Dwelling Units]])</f>
        <v>97835</v>
      </c>
      <c r="T189" s="71">
        <f ca="1">IF(ISBLANK(FWD[[#This Row],[CALENDAR YEAR]]),ROUNDDOWN(FWD[[#This Row],[Running count]]/3000,0)+$T$1,FWD[[#This Row],[CALENDAR YEAR]])</f>
        <v>2052</v>
      </c>
    </row>
    <row r="190" spans="1:20">
      <c r="A190" s="65" t="s">
        <v>140</v>
      </c>
      <c r="B190" s="1" t="str">
        <f>VLOOKUP(A190,Data[],2,FALSE)</f>
        <v>BRONX</v>
      </c>
      <c r="C190" s="1">
        <f>VLOOKUP(FWD[[#This Row],[DEVELOPMENT]],Data[],25,FALSE)</f>
        <v>0</v>
      </c>
      <c r="D190" s="9" t="s">
        <v>49</v>
      </c>
      <c r="E190" s="50">
        <f>VLOOKUP(FWD[[#This Row],[DEVELOPMENT]],Data[],7,FALSE)</f>
        <v>802</v>
      </c>
      <c r="F190" s="50" t="e">
        <f>VLOOKUP(FWD[[#This Row],[DEVELOPMENT]],all[[DEVELOPMENT]:[MRST Ext. Comp. Priority]],5,FALSE)</f>
        <v>#N/A</v>
      </c>
      <c r="G190" s="50" t="str">
        <f>VLOOKUP(FWD[[#This Row],[DEVELOPMENT]],Data[],8,FALSE)</f>
        <v>Zone 1</v>
      </c>
      <c r="H190" s="9">
        <f>VLOOKUP(FWD[[#This Row],[DEVELOPMENT]],Data[],9,FALSE)</f>
        <v>2</v>
      </c>
      <c r="I190" s="1" t="str">
        <f ca="1">IFERROR(VLOOKUP(FWD[[#This Row],[DEVELOPMENT]],Data[],4,FALSE),"")</f>
        <v/>
      </c>
      <c r="J190" s="51" t="str">
        <f ca="1">IF(FWD[[#This Row],[RAD/PACT]]="","",IF(OR(FWD[[#This Row],[RAD/PACT]]="2021-2025",FWD[[#This Row],[RAD/PACT]]="2019-2020"),"Yes",""))</f>
        <v/>
      </c>
      <c r="K190" s="1"/>
      <c r="L190" s="1"/>
      <c r="M190" s="1"/>
      <c r="N190" s="1"/>
      <c r="O190" s="3">
        <f ca="1">IF(FWD[[#This Row],[RAD/PACT]]="2019-2020",0,INDEX(UnitCosts[],MATCH(FWD[[#This Row],[WORK TYPE]],UnitCosts[Work Type],0),2)*FWD[[#This Row],[Dwelling Units]])</f>
        <v>1378426.2298102262</v>
      </c>
      <c r="P190" s="3"/>
      <c r="Q190" s="3"/>
      <c r="R190" s="69">
        <f t="shared" ca="1" si="2"/>
        <v>5926201.5466155354</v>
      </c>
      <c r="S190" s="71">
        <f ca="1">SUM(INDEX(FWD[Dwelling Units],1):FWD[[#This Row],[Dwelling Units]])</f>
        <v>98637</v>
      </c>
      <c r="T190" s="71">
        <f ca="1">IF(ISBLANK(FWD[[#This Row],[CALENDAR YEAR]]),ROUNDDOWN(FWD[[#This Row],[Running count]]/3000,0)+$T$1,FWD[[#This Row],[CALENDAR YEAR]])</f>
        <v>2052</v>
      </c>
    </row>
    <row r="191" spans="1:20">
      <c r="A191" s="65" t="s">
        <v>92</v>
      </c>
      <c r="B191" s="1" t="str">
        <f>VLOOKUP(A191,Data[],2,FALSE)</f>
        <v>MANHATTAN</v>
      </c>
      <c r="C191" s="1">
        <f>VLOOKUP(FWD[[#This Row],[DEVELOPMENT]],Data[],25,FALSE)</f>
        <v>0</v>
      </c>
      <c r="D191" s="9" t="s">
        <v>49</v>
      </c>
      <c r="E191" s="50">
        <f>VLOOKUP(FWD[[#This Row],[DEVELOPMENT]],Data[],7,FALSE)</f>
        <v>97</v>
      </c>
      <c r="F191" s="50" t="e">
        <f>VLOOKUP(FWD[[#This Row],[DEVELOPMENT]],all[[DEVELOPMENT]:[MRST Ext. Comp. Priority]],5,FALSE)</f>
        <v>#N/A</v>
      </c>
      <c r="G191" s="50" t="str">
        <f>VLOOKUP(FWD[[#This Row],[DEVELOPMENT]],Data[],8,FALSE)</f>
        <v>Zone 2</v>
      </c>
      <c r="H191" s="9">
        <f>VLOOKUP(FWD[[#This Row],[DEVELOPMENT]],Data[],9,FALSE)</f>
        <v>1</v>
      </c>
      <c r="I191" s="1" t="str">
        <f ca="1">IFERROR(VLOOKUP(FWD[[#This Row],[DEVELOPMENT]],Data[],4,FALSE),"")</f>
        <v/>
      </c>
      <c r="J191" s="51" t="str">
        <f ca="1">IF(FWD[[#This Row],[RAD/PACT]]="","",IF(OR(FWD[[#This Row],[RAD/PACT]]="2021-2025",FWD[[#This Row],[RAD/PACT]]="2019-2020"),"Yes",""))</f>
        <v/>
      </c>
      <c r="K191" s="1"/>
      <c r="L191" s="1"/>
      <c r="M191" s="1"/>
      <c r="N191" s="1"/>
      <c r="O191" s="3">
        <f ca="1">IF(FWD[[#This Row],[RAD/PACT]]="2019-2020",0,INDEX(UnitCosts[],MATCH(FWD[[#This Row],[WORK TYPE]],UnitCosts[Work Type],0),2)*FWD[[#This Row],[Dwelling Units]])</f>
        <v>166717.38689724682</v>
      </c>
      <c r="P191" s="3"/>
      <c r="Q191" s="3"/>
      <c r="R191" s="69">
        <f t="shared" ca="1" si="2"/>
        <v>6092918.9335127827</v>
      </c>
      <c r="S191" s="71">
        <f ca="1">SUM(INDEX(FWD[Dwelling Units],1):FWD[[#This Row],[Dwelling Units]])</f>
        <v>98734</v>
      </c>
      <c r="T191" s="71">
        <f ca="1">IF(ISBLANK(FWD[[#This Row],[CALENDAR YEAR]]),ROUNDDOWN(FWD[[#This Row],[Running count]]/3000,0)+$T$1,FWD[[#This Row],[CALENDAR YEAR]])</f>
        <v>2052</v>
      </c>
    </row>
    <row r="192" spans="1:20">
      <c r="A192" s="65" t="s">
        <v>147</v>
      </c>
      <c r="B192" s="1" t="str">
        <f>VLOOKUP(A192,Data[],2,FALSE)</f>
        <v>BRONX</v>
      </c>
      <c r="C192" s="1">
        <f>VLOOKUP(FWD[[#This Row],[DEVELOPMENT]],Data[],25,FALSE)</f>
        <v>0</v>
      </c>
      <c r="D192" s="9" t="s">
        <v>49</v>
      </c>
      <c r="E192" s="50">
        <f>VLOOKUP(FWD[[#This Row],[DEVELOPMENT]],Data[],7,FALSE)</f>
        <v>206</v>
      </c>
      <c r="F192" s="50" t="e">
        <f>VLOOKUP(FWD[[#This Row],[DEVELOPMENT]],all[[DEVELOPMENT]:[MRST Ext. Comp. Priority]],5,FALSE)</f>
        <v>#N/A</v>
      </c>
      <c r="G192" s="50" t="str">
        <f>VLOOKUP(FWD[[#This Row],[DEVELOPMENT]],Data[],8,FALSE)</f>
        <v>Zone 1</v>
      </c>
      <c r="H192" s="9">
        <f>VLOOKUP(FWD[[#This Row],[DEVELOPMENT]],Data[],9,FALSE)</f>
        <v>1</v>
      </c>
      <c r="I192" s="1" t="str">
        <f ca="1">IFERROR(VLOOKUP(FWD[[#This Row],[DEVELOPMENT]],Data[],4,FALSE),"")</f>
        <v/>
      </c>
      <c r="J192" s="51" t="str">
        <f ca="1">IF(FWD[[#This Row],[RAD/PACT]]="","",IF(OR(FWD[[#This Row],[RAD/PACT]]="2021-2025",FWD[[#This Row],[RAD/PACT]]="2019-2020"),"Yes",""))</f>
        <v/>
      </c>
      <c r="K192" s="1"/>
      <c r="L192" s="1"/>
      <c r="M192" s="1"/>
      <c r="N192" s="1"/>
      <c r="O192" s="3">
        <f ca="1">IF(FWD[[#This Row],[RAD/PACT]]="2019-2020",0,INDEX(UnitCosts[],MATCH(FWD[[#This Row],[WORK TYPE]],UnitCosts[Work Type],0),2)*FWD[[#This Row],[Dwelling Units]])</f>
        <v>354059.60516322521</v>
      </c>
      <c r="P192" s="3"/>
      <c r="Q192" s="3"/>
      <c r="R192" s="69">
        <f t="shared" ca="1" si="2"/>
        <v>6446978.5386760077</v>
      </c>
      <c r="S192" s="71">
        <f ca="1">SUM(INDEX(FWD[Dwelling Units],1):FWD[[#This Row],[Dwelling Units]])</f>
        <v>98940</v>
      </c>
      <c r="T192" s="71">
        <f ca="1">IF(ISBLANK(FWD[[#This Row],[CALENDAR YEAR]]),ROUNDDOWN(FWD[[#This Row],[Running count]]/3000,0)+$T$1,FWD[[#This Row],[CALENDAR YEAR]])</f>
        <v>2052</v>
      </c>
    </row>
    <row r="193" spans="1:20">
      <c r="A193" s="65" t="s">
        <v>41</v>
      </c>
      <c r="B193" s="1" t="str">
        <f>VLOOKUP(A193,Data[],2,FALSE)</f>
        <v>BRONX</v>
      </c>
      <c r="C193" s="1">
        <f>VLOOKUP(FWD[[#This Row],[DEVELOPMENT]],Data[],25,FALSE)</f>
        <v>0</v>
      </c>
      <c r="D193" s="9" t="s">
        <v>49</v>
      </c>
      <c r="E193" s="50">
        <f>VLOOKUP(FWD[[#This Row],[DEVELOPMENT]],Data[],7,FALSE)</f>
        <v>841</v>
      </c>
      <c r="F193" s="50" t="e">
        <f>VLOOKUP(FWD[[#This Row],[DEVELOPMENT]],all[[DEVELOPMENT]:[MRST Ext. Comp. Priority]],5,FALSE)</f>
        <v>#N/A</v>
      </c>
      <c r="G193" s="50" t="str">
        <f>VLOOKUP(FWD[[#This Row],[DEVELOPMENT]],Data[],8,FALSE)</f>
        <v>Zone 1</v>
      </c>
      <c r="H193" s="9">
        <f>VLOOKUP(FWD[[#This Row],[DEVELOPMENT]],Data[],9,FALSE)</f>
        <v>4</v>
      </c>
      <c r="I193" s="1" t="str">
        <f ca="1">IFERROR(VLOOKUP(FWD[[#This Row],[DEVELOPMENT]],Data[],4,FALSE),"")</f>
        <v/>
      </c>
      <c r="J193" s="51" t="str">
        <f ca="1">IF(FWD[[#This Row],[RAD/PACT]]="","",IF(OR(FWD[[#This Row],[RAD/PACT]]="2021-2025",FWD[[#This Row],[RAD/PACT]]="2019-2020"),"Yes",""))</f>
        <v/>
      </c>
      <c r="K193" s="1"/>
      <c r="L193" s="1"/>
      <c r="M193" s="1"/>
      <c r="N193" s="1"/>
      <c r="O193" s="3">
        <f ca="1">IF(FWD[[#This Row],[RAD/PACT]]="2019-2020",0,INDEX(UnitCosts[],MATCH(FWD[[#This Row],[WORK TYPE]],UnitCosts[Work Type],0),2)*FWD[[#This Row],[Dwelling Units]])</f>
        <v>1445456.9317586038</v>
      </c>
      <c r="P193" s="3"/>
      <c r="Q193" s="3"/>
      <c r="R193" s="69">
        <f t="shared" ca="1" si="2"/>
        <v>1445456.9317586038</v>
      </c>
      <c r="S193" s="71">
        <f ca="1">SUM(INDEX(FWD[Dwelling Units],1):FWD[[#This Row],[Dwelling Units]])</f>
        <v>99781</v>
      </c>
      <c r="T193" s="71">
        <f ca="1">IF(ISBLANK(FWD[[#This Row],[CALENDAR YEAR]]),ROUNDDOWN(FWD[[#This Row],[Running count]]/3000,0)+$T$1,FWD[[#This Row],[CALENDAR YEAR]])</f>
        <v>2053</v>
      </c>
    </row>
    <row r="194" spans="1:20">
      <c r="A194" s="65" t="s">
        <v>346</v>
      </c>
      <c r="B194" s="1" t="str">
        <f>VLOOKUP(A194,Data[],2,FALSE)</f>
        <v>BRONX</v>
      </c>
      <c r="C194" s="1">
        <f>VLOOKUP(FWD[[#This Row],[DEVELOPMENT]],Data[],25,FALSE)</f>
        <v>0</v>
      </c>
      <c r="D194" s="9" t="s">
        <v>49</v>
      </c>
      <c r="E194" s="50">
        <f>VLOOKUP(FWD[[#This Row],[DEVELOPMENT]],Data[],7,FALSE)</f>
        <v>992</v>
      </c>
      <c r="F194" s="50" t="e">
        <f>VLOOKUP(FWD[[#This Row],[DEVELOPMENT]],all[[DEVELOPMENT]:[MRST Ext. Comp. Priority]],5,FALSE)</f>
        <v>#N/A</v>
      </c>
      <c r="G194" s="50">
        <f>VLOOKUP(FWD[[#This Row],[DEVELOPMENT]],Data[],8,FALSE)</f>
        <v>0</v>
      </c>
      <c r="H194" s="9">
        <f>VLOOKUP(FWD[[#This Row],[DEVELOPMENT]],Data[],9,FALSE)</f>
        <v>0</v>
      </c>
      <c r="I194" s="1" t="str">
        <f ca="1">IFERROR(VLOOKUP(FWD[[#This Row],[DEVELOPMENT]],Data[],4,FALSE),"")</f>
        <v>2026+</v>
      </c>
      <c r="J194" s="51" t="str">
        <f ca="1">IF(FWD[[#This Row],[RAD/PACT]]="","",IF(OR(FWD[[#This Row],[RAD/PACT]]="2021-2025",FWD[[#This Row],[RAD/PACT]]="2019-2020"),"Yes",""))</f>
        <v/>
      </c>
      <c r="K194" s="1"/>
      <c r="L194" s="1"/>
      <c r="M194" s="1"/>
      <c r="N194" s="1"/>
      <c r="O194" s="3">
        <f ca="1">IF(FWD[[#This Row],[RAD/PACT]]="2019-2020",0,INDEX(UnitCosts[],MATCH(FWD[[#This Row],[WORK TYPE]],UnitCosts[Work Type],0),2)*FWD[[#This Row],[Dwelling Units]])</f>
        <v>1704986.0598151425</v>
      </c>
      <c r="P194" s="3"/>
      <c r="Q194" s="3"/>
      <c r="R194" s="69">
        <f t="shared" ca="1" si="2"/>
        <v>3150442.9915737463</v>
      </c>
      <c r="S194" s="71">
        <f ca="1">SUM(INDEX(FWD[Dwelling Units],1):FWD[[#This Row],[Dwelling Units]])</f>
        <v>100773</v>
      </c>
      <c r="T194" s="71">
        <f ca="1">IF(ISBLANK(FWD[[#This Row],[CALENDAR YEAR]]),ROUNDDOWN(FWD[[#This Row],[Running count]]/3000,0)+$T$1,FWD[[#This Row],[CALENDAR YEAR]])</f>
        <v>2053</v>
      </c>
    </row>
    <row r="195" spans="1:20">
      <c r="A195" s="65" t="s">
        <v>347</v>
      </c>
      <c r="B195" s="1" t="str">
        <f>VLOOKUP(A195,Data[],2,FALSE)</f>
        <v>STATEN ISLAND</v>
      </c>
      <c r="C195" s="1">
        <f>VLOOKUP(FWD[[#This Row],[DEVELOPMENT]],Data[],25,FALSE)</f>
        <v>0</v>
      </c>
      <c r="D195" s="9" t="s">
        <v>49</v>
      </c>
      <c r="E195" s="50">
        <f>VLOOKUP(FWD[[#This Row],[DEVELOPMENT]],Data[],7,FALSE)</f>
        <v>276</v>
      </c>
      <c r="F195" s="50" t="e">
        <f>VLOOKUP(FWD[[#This Row],[DEVELOPMENT]],all[[DEVELOPMENT]:[MRST Ext. Comp. Priority]],5,FALSE)</f>
        <v>#N/A</v>
      </c>
      <c r="G195" s="50">
        <f>VLOOKUP(FWD[[#This Row],[DEVELOPMENT]],Data[],8,FALSE)</f>
        <v>0</v>
      </c>
      <c r="H195" s="9">
        <f>VLOOKUP(FWD[[#This Row],[DEVELOPMENT]],Data[],9,FALSE)</f>
        <v>0</v>
      </c>
      <c r="I195" s="1" t="str">
        <f ca="1">IFERROR(VLOOKUP(FWD[[#This Row],[DEVELOPMENT]],Data[],4,FALSE),"")</f>
        <v/>
      </c>
      <c r="J195" s="51" t="str">
        <f ca="1">IF(FWD[[#This Row],[RAD/PACT]]="","",IF(OR(FWD[[#This Row],[RAD/PACT]]="2021-2025",FWD[[#This Row],[RAD/PACT]]="2019-2020"),"Yes",""))</f>
        <v/>
      </c>
      <c r="K195" s="1"/>
      <c r="L195" s="1"/>
      <c r="M195" s="1"/>
      <c r="N195" s="1"/>
      <c r="O195" s="3">
        <f ca="1">IF(FWD[[#This Row],[RAD/PACT]]="2019-2020",0,INDEX(UnitCosts[],MATCH(FWD[[#This Row],[WORK TYPE]],UnitCosts[Work Type],0),2)*FWD[[#This Row],[Dwelling Units]])</f>
        <v>474371.121480826</v>
      </c>
      <c r="P195" s="3"/>
      <c r="Q195" s="3"/>
      <c r="R195" s="69">
        <f t="shared" ca="1" si="2"/>
        <v>3624814.1130545721</v>
      </c>
      <c r="S195" s="71">
        <f ca="1">SUM(INDEX(FWD[Dwelling Units],1):FWD[[#This Row],[Dwelling Units]])</f>
        <v>101049</v>
      </c>
      <c r="T195" s="71">
        <f ca="1">IF(ISBLANK(FWD[[#This Row],[CALENDAR YEAR]]),ROUNDDOWN(FWD[[#This Row],[Running count]]/3000,0)+$T$1,FWD[[#This Row],[CALENDAR YEAR]])</f>
        <v>2053</v>
      </c>
    </row>
    <row r="196" spans="1:20">
      <c r="A196" s="65" t="s">
        <v>209</v>
      </c>
      <c r="B196" s="1" t="str">
        <f>VLOOKUP(A196,Data[],2,FALSE)</f>
        <v>BROOKLYN</v>
      </c>
      <c r="C196" s="1">
        <f>VLOOKUP(FWD[[#This Row],[DEVELOPMENT]],Data[],25,FALSE)</f>
        <v>0</v>
      </c>
      <c r="D196" s="9" t="s">
        <v>49</v>
      </c>
      <c r="E196" s="50">
        <f>VLOOKUP(FWD[[#This Row],[DEVELOPMENT]],Data[],7,FALSE)</f>
        <v>1146</v>
      </c>
      <c r="F196" s="50" t="e">
        <f>VLOOKUP(FWD[[#This Row],[DEVELOPMENT]],all[[DEVELOPMENT]:[MRST Ext. Comp. Priority]],5,FALSE)</f>
        <v>#N/A</v>
      </c>
      <c r="G196" s="50">
        <f>VLOOKUP(FWD[[#This Row],[DEVELOPMENT]],Data[],8,FALSE)</f>
        <v>0</v>
      </c>
      <c r="H196" s="9">
        <f>VLOOKUP(FWD[[#This Row],[DEVELOPMENT]],Data[],9,FALSE)</f>
        <v>0</v>
      </c>
      <c r="I196" s="1" t="str">
        <f ca="1">IFERROR(VLOOKUP(FWD[[#This Row],[DEVELOPMENT]],Data[],4,FALSE),"")</f>
        <v>2026+</v>
      </c>
      <c r="J196" s="51" t="str">
        <f ca="1">IF(FWD[[#This Row],[RAD/PACT]]="","",IF(OR(FWD[[#This Row],[RAD/PACT]]="2021-2025",FWD[[#This Row],[RAD/PACT]]="2019-2020"),"Yes",""))</f>
        <v/>
      </c>
      <c r="K196" s="1"/>
      <c r="L196" s="1"/>
      <c r="M196" s="1"/>
      <c r="N196" s="1"/>
      <c r="O196" s="3">
        <f ca="1">IF(FWD[[#This Row],[RAD/PACT]]="2019-2020",0,INDEX(UnitCosts[],MATCH(FWD[[#This Row],[WORK TYPE]],UnitCosts[Work Type],0),2)*FWD[[#This Row],[Dwelling Units]])</f>
        <v>1969671.3957138644</v>
      </c>
      <c r="P196" s="3"/>
      <c r="Q196" s="3"/>
      <c r="R196" s="69">
        <f t="shared" ref="R196:R259" ca="1" si="3">IF(T196=T195,(O196+N196)+R195,(O196+N196))</f>
        <v>1969671.3957138644</v>
      </c>
      <c r="S196" s="71">
        <f ca="1">SUM(INDEX(FWD[Dwelling Units],1):FWD[[#This Row],[Dwelling Units]])</f>
        <v>102195</v>
      </c>
      <c r="T196" s="71">
        <f ca="1">IF(ISBLANK(FWD[[#This Row],[CALENDAR YEAR]]),ROUNDDOWN(FWD[[#This Row],[Running count]]/3000,0)+$T$1,FWD[[#This Row],[CALENDAR YEAR]])</f>
        <v>2054</v>
      </c>
    </row>
    <row r="197" spans="1:20">
      <c r="A197" s="65" t="s">
        <v>351</v>
      </c>
      <c r="B197" s="1" t="str">
        <f>VLOOKUP(A197,Data[],2,FALSE)</f>
        <v>BROOKLYN</v>
      </c>
      <c r="C197" s="1">
        <f>VLOOKUP(FWD[[#This Row],[DEVELOPMENT]],Data[],25,FALSE)</f>
        <v>0</v>
      </c>
      <c r="D197" s="9" t="s">
        <v>49</v>
      </c>
      <c r="E197" s="50">
        <f>VLOOKUP(FWD[[#This Row],[DEVELOPMENT]],Data[],7,FALSE)</f>
        <v>570</v>
      </c>
      <c r="F197" s="50" t="e">
        <f>VLOOKUP(FWD[[#This Row],[DEVELOPMENT]],all[[DEVELOPMENT]:[MRST Ext. Comp. Priority]],5,FALSE)</f>
        <v>#N/A</v>
      </c>
      <c r="G197" s="50">
        <f>VLOOKUP(FWD[[#This Row],[DEVELOPMENT]],Data[],8,FALSE)</f>
        <v>0</v>
      </c>
      <c r="H197" s="9">
        <f>VLOOKUP(FWD[[#This Row],[DEVELOPMENT]],Data[],9,FALSE)</f>
        <v>0</v>
      </c>
      <c r="I197" s="1" t="str">
        <f ca="1">IFERROR(VLOOKUP(FWD[[#This Row],[DEVELOPMENT]],Data[],4,FALSE),"")</f>
        <v>2026+</v>
      </c>
      <c r="J197" s="51" t="str">
        <f ca="1">IF(FWD[[#This Row],[RAD/PACT]]="","",IF(OR(FWD[[#This Row],[RAD/PACT]]="2021-2025",FWD[[#This Row],[RAD/PACT]]="2019-2020"),"Yes",""))</f>
        <v/>
      </c>
      <c r="K197" s="1"/>
      <c r="L197" s="1"/>
      <c r="M197" s="1"/>
      <c r="N197" s="1"/>
      <c r="O197" s="3">
        <f ca="1">IF(FWD[[#This Row],[RAD/PACT]]="2019-2020",0,INDEX(UnitCosts[],MATCH(FWD[[#This Row],[WORK TYPE]],UnitCosts[Work Type],0),2)*FWD[[#This Row],[Dwelling Units]])</f>
        <v>979679.49001474935</v>
      </c>
      <c r="P197" s="3"/>
      <c r="Q197" s="3"/>
      <c r="R197" s="69">
        <f t="shared" ca="1" si="3"/>
        <v>2949350.8857286135</v>
      </c>
      <c r="S197" s="71">
        <f ca="1">SUM(INDEX(FWD[Dwelling Units],1):FWD[[#This Row],[Dwelling Units]])</f>
        <v>102765</v>
      </c>
      <c r="T197" s="71">
        <f ca="1">IF(ISBLANK(FWD[[#This Row],[CALENDAR YEAR]]),ROUNDDOWN(FWD[[#This Row],[Running count]]/3000,0)+$T$1,FWD[[#This Row],[CALENDAR YEAR]])</f>
        <v>2054</v>
      </c>
    </row>
    <row r="198" spans="1:20">
      <c r="A198" s="65" t="s">
        <v>348</v>
      </c>
      <c r="B198" s="1" t="str">
        <f>VLOOKUP(A198,Data[],2,FALSE)</f>
        <v>QUEENS</v>
      </c>
      <c r="C198" s="1">
        <f>VLOOKUP(FWD[[#This Row],[DEVELOPMENT]],Data[],25,FALSE)</f>
        <v>0</v>
      </c>
      <c r="D198" s="9" t="s">
        <v>49</v>
      </c>
      <c r="E198" s="50">
        <f>VLOOKUP(FWD[[#This Row],[DEVELOPMENT]],Data[],7,FALSE)</f>
        <v>417</v>
      </c>
      <c r="F198" s="50" t="e">
        <f>VLOOKUP(FWD[[#This Row],[DEVELOPMENT]],all[[DEVELOPMENT]:[MRST Ext. Comp. Priority]],5,FALSE)</f>
        <v>#N/A</v>
      </c>
      <c r="G198" s="50">
        <f>VLOOKUP(FWD[[#This Row],[DEVELOPMENT]],Data[],8,FALSE)</f>
        <v>0</v>
      </c>
      <c r="H198" s="9">
        <f>VLOOKUP(FWD[[#This Row],[DEVELOPMENT]],Data[],9,FALSE)</f>
        <v>0</v>
      </c>
      <c r="I198" s="1" t="str">
        <f ca="1">IFERROR(VLOOKUP(FWD[[#This Row],[DEVELOPMENT]],Data[],4,FALSE),"")</f>
        <v>2026+</v>
      </c>
      <c r="J198" s="51" t="str">
        <f ca="1">IF(FWD[[#This Row],[RAD/PACT]]="","",IF(OR(FWD[[#This Row],[RAD/PACT]]="2021-2025",FWD[[#This Row],[RAD/PACT]]="2019-2020"),"Yes",""))</f>
        <v/>
      </c>
      <c r="K198" s="1"/>
      <c r="L198" s="1"/>
      <c r="M198" s="1"/>
      <c r="N198" s="1"/>
      <c r="O198" s="3">
        <f ca="1">IF(FWD[[#This Row],[RAD/PACT]]="2019-2020",0,INDEX(UnitCosts[],MATCH(FWD[[#This Row],[WORK TYPE]],UnitCosts[Work Type],0),2)*FWD[[#This Row],[Dwelling Units]])</f>
        <v>716712.8900634218</v>
      </c>
      <c r="P198" s="3"/>
      <c r="Q198" s="3"/>
      <c r="R198" s="69">
        <f t="shared" ca="1" si="3"/>
        <v>3666063.7757920353</v>
      </c>
      <c r="S198" s="71">
        <f ca="1">SUM(INDEX(FWD[Dwelling Units],1):FWD[[#This Row],[Dwelling Units]])</f>
        <v>103182</v>
      </c>
      <c r="T198" s="71">
        <f ca="1">IF(ISBLANK(FWD[[#This Row],[CALENDAR YEAR]]),ROUNDDOWN(FWD[[#This Row],[Running count]]/3000,0)+$T$1,FWD[[#This Row],[CALENDAR YEAR]])</f>
        <v>2054</v>
      </c>
    </row>
    <row r="199" spans="1:20">
      <c r="A199" s="65" t="s">
        <v>349</v>
      </c>
      <c r="B199" s="1" t="str">
        <f>VLOOKUP(A199,Data[],2,FALSE)</f>
        <v>BROOKLYN</v>
      </c>
      <c r="C199" s="1" t="str">
        <f>VLOOKUP(FWD[[#This Row],[DEVELOPMENT]],Data[],25,FALSE)</f>
        <v>Newtown Creek</v>
      </c>
      <c r="D199" s="9" t="s">
        <v>49</v>
      </c>
      <c r="E199" s="50">
        <f>VLOOKUP(FWD[[#This Row],[DEVELOPMENT]],Data[],7,FALSE)</f>
        <v>238</v>
      </c>
      <c r="F199" s="50" t="e">
        <f>VLOOKUP(FWD[[#This Row],[DEVELOPMENT]],all[[DEVELOPMENT]:[MRST Ext. Comp. Priority]],5,FALSE)</f>
        <v>#N/A</v>
      </c>
      <c r="G199" s="50">
        <f>VLOOKUP(FWD[[#This Row],[DEVELOPMENT]],Data[],8,FALSE)</f>
        <v>0</v>
      </c>
      <c r="H199" s="9">
        <f>VLOOKUP(FWD[[#This Row],[DEVELOPMENT]],Data[],9,FALSE)</f>
        <v>0</v>
      </c>
      <c r="I199" s="1" t="str">
        <f ca="1">IFERROR(VLOOKUP(FWD[[#This Row],[DEVELOPMENT]],Data[],4,FALSE),"")</f>
        <v/>
      </c>
      <c r="J199" s="51" t="str">
        <f ca="1">IF(FWD[[#This Row],[RAD/PACT]]="","",IF(OR(FWD[[#This Row],[RAD/PACT]]="2021-2025",FWD[[#This Row],[RAD/PACT]]="2019-2020"),"Yes",""))</f>
        <v/>
      </c>
      <c r="K199" s="1"/>
      <c r="L199" s="1"/>
      <c r="M199" s="1"/>
      <c r="N199" s="1"/>
      <c r="O199" s="3">
        <f ca="1">IF(FWD[[#This Row],[RAD/PACT]]="2019-2020",0,INDEX(UnitCosts[],MATCH(FWD[[#This Row],[WORK TYPE]],UnitCosts[Work Type],0),2)*FWD[[#This Row],[Dwelling Units]])</f>
        <v>409059.15547984268</v>
      </c>
      <c r="P199" s="3"/>
      <c r="Q199" s="3"/>
      <c r="R199" s="69">
        <f t="shared" ca="1" si="3"/>
        <v>4075122.9312718781</v>
      </c>
      <c r="S199" s="71">
        <f ca="1">SUM(INDEX(FWD[Dwelling Units],1):FWD[[#This Row],[Dwelling Units]])</f>
        <v>103420</v>
      </c>
      <c r="T199" s="71">
        <f ca="1">IF(ISBLANK(FWD[[#This Row],[CALENDAR YEAR]]),ROUNDDOWN(FWD[[#This Row],[Running count]]/3000,0)+$T$1,FWD[[#This Row],[CALENDAR YEAR]])</f>
        <v>2054</v>
      </c>
    </row>
    <row r="200" spans="1:20">
      <c r="A200" s="65" t="s">
        <v>350</v>
      </c>
      <c r="B200" s="1" t="str">
        <f>VLOOKUP(A200,Data[],2,FALSE)</f>
        <v>BROOKLYN</v>
      </c>
      <c r="C200" s="1" t="str">
        <f>VLOOKUP(FWD[[#This Row],[DEVELOPMENT]],Data[],25,FALSE)</f>
        <v>Newtown Creek</v>
      </c>
      <c r="D200" s="9" t="s">
        <v>49</v>
      </c>
      <c r="E200" s="50">
        <f>VLOOKUP(FWD[[#This Row],[DEVELOPMENT]],Data[],7,FALSE)</f>
        <v>125</v>
      </c>
      <c r="F200" s="50" t="e">
        <f>VLOOKUP(FWD[[#This Row],[DEVELOPMENT]],all[[DEVELOPMENT]:[MRST Ext. Comp. Priority]],5,FALSE)</f>
        <v>#N/A</v>
      </c>
      <c r="G200" s="50">
        <f>VLOOKUP(FWD[[#This Row],[DEVELOPMENT]],Data[],8,FALSE)</f>
        <v>0</v>
      </c>
      <c r="H200" s="9">
        <f>VLOOKUP(FWD[[#This Row],[DEVELOPMENT]],Data[],9,FALSE)</f>
        <v>0</v>
      </c>
      <c r="I200" s="1" t="str">
        <f ca="1">IFERROR(VLOOKUP(FWD[[#This Row],[DEVELOPMENT]],Data[],4,FALSE),"")</f>
        <v>2022-2025</v>
      </c>
      <c r="J200" s="51" t="str">
        <f ca="1">IF(FWD[[#This Row],[RAD/PACT]]="","",IF(OR(FWD[[#This Row],[RAD/PACT]]="2021-2025",FWD[[#This Row],[RAD/PACT]]="2019-2020"),"Yes",""))</f>
        <v/>
      </c>
      <c r="K200" s="1"/>
      <c r="L200" s="1"/>
      <c r="M200" s="1"/>
      <c r="N200" s="1"/>
      <c r="O200" s="3">
        <f ca="1">IF(FWD[[#This Row],[RAD/PACT]]="2019-2020",0,INDEX(UnitCosts[],MATCH(FWD[[#This Row],[WORK TYPE]],UnitCosts[Work Type],0),2)*FWD[[#This Row],[Dwelling Units]])</f>
        <v>214841.99342428712</v>
      </c>
      <c r="P200" s="3"/>
      <c r="Q200" s="3"/>
      <c r="R200" s="69">
        <f t="shared" ca="1" si="3"/>
        <v>4289964.9246961651</v>
      </c>
      <c r="S200" s="71">
        <f ca="1">SUM(INDEX(FWD[Dwelling Units],1):FWD[[#This Row],[Dwelling Units]])</f>
        <v>103545</v>
      </c>
      <c r="T200" s="71">
        <f ca="1">IF(ISBLANK(FWD[[#This Row],[CALENDAR YEAR]]),ROUNDDOWN(FWD[[#This Row],[Running count]]/3000,0)+$T$1,FWD[[#This Row],[CALENDAR YEAR]])</f>
        <v>2054</v>
      </c>
    </row>
    <row r="201" spans="1:20">
      <c r="A201" s="65" t="s">
        <v>93</v>
      </c>
      <c r="B201" s="1" t="str">
        <f>VLOOKUP(A201,Data[],2,FALSE)</f>
        <v>MANHATTAN</v>
      </c>
      <c r="C201" s="1">
        <f>VLOOKUP(FWD[[#This Row],[DEVELOPMENT]],Data[],25,FALSE)</f>
        <v>0</v>
      </c>
      <c r="D201" s="9" t="s">
        <v>49</v>
      </c>
      <c r="E201" s="50">
        <f>VLOOKUP(FWD[[#This Row],[DEVELOPMENT]],Data[],7,FALSE)</f>
        <v>90</v>
      </c>
      <c r="F201" s="50" t="e">
        <f>VLOOKUP(FWD[[#This Row],[DEVELOPMENT]],all[[DEVELOPMENT]:[MRST Ext. Comp. Priority]],5,FALSE)</f>
        <v>#N/A</v>
      </c>
      <c r="G201" s="50" t="str">
        <f>VLOOKUP(FWD[[#This Row],[DEVELOPMENT]],Data[],8,FALSE)</f>
        <v>Zone 3</v>
      </c>
      <c r="H201" s="9">
        <f>VLOOKUP(FWD[[#This Row],[DEVELOPMENT]],Data[],9,FALSE)</f>
        <v>3</v>
      </c>
      <c r="I201" s="1" t="str">
        <f ca="1">IFERROR(VLOOKUP(FWD[[#This Row],[DEVELOPMENT]],Data[],4,FALSE),"")</f>
        <v>2020-2021</v>
      </c>
      <c r="J201" s="51" t="str">
        <f ca="1">IF(FWD[[#This Row],[RAD/PACT]]="","",IF(OR(FWD[[#This Row],[RAD/PACT]]="2021-2025",FWD[[#This Row],[RAD/PACT]]="2019-2020"),"Yes",""))</f>
        <v/>
      </c>
      <c r="K201" s="1"/>
      <c r="L201" s="1"/>
      <c r="M201" s="1"/>
      <c r="N201" s="1"/>
      <c r="O201" s="3">
        <f ca="1">IF(FWD[[#This Row],[RAD/PACT]]="2019-2020",0,INDEX(UnitCosts[],MATCH(FWD[[#This Row],[WORK TYPE]],UnitCosts[Work Type],0),2)*FWD[[#This Row],[Dwelling Units]])</f>
        <v>154686.23526548673</v>
      </c>
      <c r="P201" s="3"/>
      <c r="Q201" s="3"/>
      <c r="R201" s="69">
        <f t="shared" ca="1" si="3"/>
        <v>4444651.159961652</v>
      </c>
      <c r="S201" s="71">
        <f ca="1">SUM(INDEX(FWD[Dwelling Units],1):FWD[[#This Row],[Dwelling Units]])</f>
        <v>103635</v>
      </c>
      <c r="T201" s="71">
        <f ca="1">IF(ISBLANK(FWD[[#This Row],[CALENDAR YEAR]]),ROUNDDOWN(FWD[[#This Row],[Running count]]/3000,0)+$T$1,FWD[[#This Row],[CALENDAR YEAR]])</f>
        <v>2054</v>
      </c>
    </row>
    <row r="202" spans="1:20">
      <c r="A202" s="65" t="s">
        <v>352</v>
      </c>
      <c r="B202" s="1" t="str">
        <f>VLOOKUP(A202,Data[],2,FALSE)</f>
        <v>BROOKLYN</v>
      </c>
      <c r="C202" s="1" t="str">
        <f>VLOOKUP(FWD[[#This Row],[DEVELOPMENT]],Data[],25,FALSE)</f>
        <v>Newtown Creek</v>
      </c>
      <c r="D202" s="9" t="s">
        <v>49</v>
      </c>
      <c r="E202" s="50">
        <f>VLOOKUP(FWD[[#This Row],[DEVELOPMENT]],Data[],7,FALSE)</f>
        <v>134</v>
      </c>
      <c r="F202" s="50" t="e">
        <f>VLOOKUP(FWD[[#This Row],[DEVELOPMENT]],all[[DEVELOPMENT]:[MRST Ext. Comp. Priority]],5,FALSE)</f>
        <v>#N/A</v>
      </c>
      <c r="G202" s="50">
        <f>VLOOKUP(FWD[[#This Row],[DEVELOPMENT]],Data[],8,FALSE)</f>
        <v>0</v>
      </c>
      <c r="H202" s="9">
        <f>VLOOKUP(FWD[[#This Row],[DEVELOPMENT]],Data[],9,FALSE)</f>
        <v>0</v>
      </c>
      <c r="I202" s="1" t="str">
        <f ca="1">IFERROR(VLOOKUP(FWD[[#This Row],[DEVELOPMENT]],Data[],4,FALSE),"")</f>
        <v>2022-2025</v>
      </c>
      <c r="J202" s="51" t="str">
        <f ca="1">IF(FWD[[#This Row],[RAD/PACT]]="","",IF(OR(FWD[[#This Row],[RAD/PACT]]="2021-2025",FWD[[#This Row],[RAD/PACT]]="2019-2020"),"Yes",""))</f>
        <v/>
      </c>
      <c r="K202" s="1"/>
      <c r="L202" s="1"/>
      <c r="M202" s="1"/>
      <c r="N202" s="1"/>
      <c r="O202" s="3">
        <f ca="1">IF(FWD[[#This Row],[RAD/PACT]]="2019-2020",0,INDEX(UnitCosts[],MATCH(FWD[[#This Row],[WORK TYPE]],UnitCosts[Work Type],0),2)*FWD[[#This Row],[Dwelling Units]])</f>
        <v>230310.6169508358</v>
      </c>
      <c r="P202" s="3"/>
      <c r="Q202" s="3"/>
      <c r="R202" s="69">
        <f t="shared" ca="1" si="3"/>
        <v>4674961.776912488</v>
      </c>
      <c r="S202" s="71">
        <f ca="1">SUM(INDEX(FWD[Dwelling Units],1):FWD[[#This Row],[Dwelling Units]])</f>
        <v>103769</v>
      </c>
      <c r="T202" s="71">
        <f ca="1">IF(ISBLANK(FWD[[#This Row],[CALENDAR YEAR]]),ROUNDDOWN(FWD[[#This Row],[Running count]]/3000,0)+$T$1,FWD[[#This Row],[CALENDAR YEAR]])</f>
        <v>2054</v>
      </c>
    </row>
    <row r="203" spans="1:20">
      <c r="A203" s="65" t="s">
        <v>353</v>
      </c>
      <c r="B203" s="1" t="str">
        <f>VLOOKUP(A203,Data[],2,FALSE)</f>
        <v>BRONX</v>
      </c>
      <c r="C203" s="1">
        <f>VLOOKUP(FWD[[#This Row],[DEVELOPMENT]],Data[],25,FALSE)</f>
        <v>0</v>
      </c>
      <c r="D203" s="9" t="s">
        <v>49</v>
      </c>
      <c r="E203" s="50">
        <f>VLOOKUP(FWD[[#This Row],[DEVELOPMENT]],Data[],7,FALSE)</f>
        <v>879</v>
      </c>
      <c r="F203" s="50" t="e">
        <f>VLOOKUP(FWD[[#This Row],[DEVELOPMENT]],all[[DEVELOPMENT]:[MRST Ext. Comp. Priority]],5,FALSE)</f>
        <v>#N/A</v>
      </c>
      <c r="G203" s="50">
        <f>VLOOKUP(FWD[[#This Row],[DEVELOPMENT]],Data[],8,FALSE)</f>
        <v>0</v>
      </c>
      <c r="H203" s="9">
        <f>VLOOKUP(FWD[[#This Row],[DEVELOPMENT]],Data[],9,FALSE)</f>
        <v>0</v>
      </c>
      <c r="I203" s="1" t="str">
        <f ca="1">IFERROR(VLOOKUP(FWD[[#This Row],[DEVELOPMENT]],Data[],4,FALSE),"")</f>
        <v>2026+</v>
      </c>
      <c r="J203" s="51" t="str">
        <f ca="1">IF(FWD[[#This Row],[RAD/PACT]]="","",IF(OR(FWD[[#This Row],[RAD/PACT]]="2021-2025",FWD[[#This Row],[RAD/PACT]]="2019-2020"),"Yes",""))</f>
        <v/>
      </c>
      <c r="K203" s="1"/>
      <c r="L203" s="1"/>
      <c r="M203" s="1"/>
      <c r="N203" s="1"/>
      <c r="O203" s="3">
        <f ca="1">IF(FWD[[#This Row],[RAD/PACT]]="2019-2020",0,INDEX(UnitCosts[],MATCH(FWD[[#This Row],[WORK TYPE]],UnitCosts[Work Type],0),2)*FWD[[#This Row],[Dwelling Units]])</f>
        <v>1510768.897759587</v>
      </c>
      <c r="P203" s="3"/>
      <c r="Q203" s="3"/>
      <c r="R203" s="69">
        <f t="shared" ca="1" si="3"/>
        <v>6185730.6746720746</v>
      </c>
      <c r="S203" s="71">
        <f ca="1">SUM(INDEX(FWD[Dwelling Units],1):FWD[[#This Row],[Dwelling Units]])</f>
        <v>104648</v>
      </c>
      <c r="T203" s="71">
        <f ca="1">IF(ISBLANK(FWD[[#This Row],[CALENDAR YEAR]]),ROUNDDOWN(FWD[[#This Row],[Running count]]/3000,0)+$T$1,FWD[[#This Row],[CALENDAR YEAR]])</f>
        <v>2054</v>
      </c>
    </row>
    <row r="204" spans="1:20">
      <c r="A204" s="65" t="s">
        <v>132</v>
      </c>
      <c r="B204" s="1" t="str">
        <f>VLOOKUP(A204,Data[],2,FALSE)</f>
        <v>BRONX</v>
      </c>
      <c r="C204" s="1">
        <f>VLOOKUP(FWD[[#This Row],[DEVELOPMENT]],Data[],25,FALSE)</f>
        <v>0</v>
      </c>
      <c r="D204" s="9" t="s">
        <v>49</v>
      </c>
      <c r="E204" s="50">
        <f>VLOOKUP(FWD[[#This Row],[DEVELOPMENT]],Data[],7,FALSE)</f>
        <v>1789</v>
      </c>
      <c r="F204" s="50" t="e">
        <f>VLOOKUP(FWD[[#This Row],[DEVELOPMENT]],all[[DEVELOPMENT]:[MRST Ext. Comp. Priority]],5,FALSE)</f>
        <v>#N/A</v>
      </c>
      <c r="G204" s="50" t="str">
        <f>VLOOKUP(FWD[[#This Row],[DEVELOPMENT]],Data[],8,FALSE)</f>
        <v>Zone 3</v>
      </c>
      <c r="H204" s="9">
        <f>VLOOKUP(FWD[[#This Row],[DEVELOPMENT]],Data[],9,FALSE)</f>
        <v>3</v>
      </c>
      <c r="I204" s="1" t="str">
        <f ca="1">IFERROR(VLOOKUP(FWD[[#This Row],[DEVELOPMENT]],Data[],4,FALSE),"")</f>
        <v>2022-2025</v>
      </c>
      <c r="J204" s="51" t="str">
        <f ca="1">IF(FWD[[#This Row],[RAD/PACT]]="","",IF(OR(FWD[[#This Row],[RAD/PACT]]="2021-2025",FWD[[#This Row],[RAD/PACT]]="2019-2020"),"Yes",""))</f>
        <v/>
      </c>
      <c r="K204" s="1"/>
      <c r="L204" s="1"/>
      <c r="M204" s="1"/>
      <c r="N204" s="1"/>
      <c r="O204" s="3">
        <f ca="1">IF(FWD[[#This Row],[RAD/PACT]]="2019-2020",0,INDEX(UnitCosts[],MATCH(FWD[[#This Row],[WORK TYPE]],UnitCosts[Work Type],0),2)*FWD[[#This Row],[Dwelling Units]])</f>
        <v>3074818.6098883972</v>
      </c>
      <c r="P204" s="3"/>
      <c r="Q204" s="3"/>
      <c r="R204" s="69">
        <f t="shared" ca="1" si="3"/>
        <v>3074818.6098883972</v>
      </c>
      <c r="S204" s="71">
        <f ca="1">SUM(INDEX(FWD[Dwelling Units],1):FWD[[#This Row],[Dwelling Units]])</f>
        <v>106437</v>
      </c>
      <c r="T204" s="71">
        <f ca="1">IF(ISBLANK(FWD[[#This Row],[CALENDAR YEAR]]),ROUNDDOWN(FWD[[#This Row],[Running count]]/3000,0)+$T$1,FWD[[#This Row],[CALENDAR YEAR]])</f>
        <v>2055</v>
      </c>
    </row>
    <row r="205" spans="1:20">
      <c r="A205" s="65" t="s">
        <v>210</v>
      </c>
      <c r="B205" s="1" t="str">
        <f>VLOOKUP(A205,Data[],2,FALSE)</f>
        <v>BRONX</v>
      </c>
      <c r="C205" s="1">
        <f>VLOOKUP(FWD[[#This Row],[DEVELOPMENT]],Data[],25,FALSE)</f>
        <v>0</v>
      </c>
      <c r="D205" s="9" t="s">
        <v>49</v>
      </c>
      <c r="E205" s="50">
        <f>VLOOKUP(FWD[[#This Row],[DEVELOPMENT]],Data[],7,FALSE)</f>
        <v>1265</v>
      </c>
      <c r="F205" s="50" t="e">
        <f>VLOOKUP(FWD[[#This Row],[DEVELOPMENT]],all[[DEVELOPMENT]:[MRST Ext. Comp. Priority]],5,FALSE)</f>
        <v>#N/A</v>
      </c>
      <c r="G205" s="50">
        <f>VLOOKUP(FWD[[#This Row],[DEVELOPMENT]],Data[],8,FALSE)</f>
        <v>0</v>
      </c>
      <c r="H205" s="9">
        <f>VLOOKUP(FWD[[#This Row],[DEVELOPMENT]],Data[],9,FALSE)</f>
        <v>0</v>
      </c>
      <c r="I205" s="1" t="str">
        <f ca="1">IFERROR(VLOOKUP(FWD[[#This Row],[DEVELOPMENT]],Data[],4,FALSE),"")</f>
        <v>2022-2025</v>
      </c>
      <c r="J205" s="51" t="str">
        <f ca="1">IF(FWD[[#This Row],[RAD/PACT]]="","",IF(OR(FWD[[#This Row],[RAD/PACT]]="2021-2025",FWD[[#This Row],[RAD/PACT]]="2019-2020"),"Yes",""))</f>
        <v/>
      </c>
      <c r="K205" s="1"/>
      <c r="L205" s="1"/>
      <c r="M205" s="1"/>
      <c r="N205" s="1"/>
      <c r="O205" s="3">
        <f ca="1">IF(FWD[[#This Row],[RAD/PACT]]="2019-2020",0,INDEX(UnitCosts[],MATCH(FWD[[#This Row],[WORK TYPE]],UnitCosts[Work Type],0),2)*FWD[[#This Row],[Dwelling Units]])</f>
        <v>2174200.9734537858</v>
      </c>
      <c r="P205" s="3"/>
      <c r="Q205" s="3"/>
      <c r="R205" s="69">
        <f t="shared" ca="1" si="3"/>
        <v>5249019.5833421834</v>
      </c>
      <c r="S205" s="71">
        <f ca="1">SUM(INDEX(FWD[Dwelling Units],1):FWD[[#This Row],[Dwelling Units]])</f>
        <v>107702</v>
      </c>
      <c r="T205" s="71">
        <f ca="1">IF(ISBLANK(FWD[[#This Row],[CALENDAR YEAR]]),ROUNDDOWN(FWD[[#This Row],[Running count]]/3000,0)+$T$1,FWD[[#This Row],[CALENDAR YEAR]])</f>
        <v>2055</v>
      </c>
    </row>
    <row r="206" spans="1:20">
      <c r="A206" s="65" t="s">
        <v>354</v>
      </c>
      <c r="B206" s="1" t="str">
        <f>VLOOKUP(A206,Data[],2,FALSE)</f>
        <v>BROOKLYN</v>
      </c>
      <c r="C206" s="1">
        <f>VLOOKUP(FWD[[#This Row],[DEVELOPMENT]],Data[],25,FALSE)</f>
        <v>0</v>
      </c>
      <c r="D206" s="9" t="s">
        <v>49</v>
      </c>
      <c r="E206" s="50">
        <f>VLOOKUP(FWD[[#This Row],[DEVELOPMENT]],Data[],7,FALSE)</f>
        <v>336</v>
      </c>
      <c r="F206" s="50" t="e">
        <f>VLOOKUP(FWD[[#This Row],[DEVELOPMENT]],all[[DEVELOPMENT]:[MRST Ext. Comp. Priority]],5,FALSE)</f>
        <v>#N/A</v>
      </c>
      <c r="G206" s="50">
        <f>VLOOKUP(FWD[[#This Row],[DEVELOPMENT]],Data[],8,FALSE)</f>
        <v>0</v>
      </c>
      <c r="H206" s="9">
        <f>VLOOKUP(FWD[[#This Row],[DEVELOPMENT]],Data[],9,FALSE)</f>
        <v>0</v>
      </c>
      <c r="I206" s="1" t="str">
        <f ca="1">IFERROR(VLOOKUP(FWD[[#This Row],[DEVELOPMENT]],Data[],4,FALSE),"")</f>
        <v/>
      </c>
      <c r="J206" s="51" t="str">
        <f ca="1">IF(FWD[[#This Row],[RAD/PACT]]="","",IF(OR(FWD[[#This Row],[RAD/PACT]]="2021-2025",FWD[[#This Row],[RAD/PACT]]="2019-2020"),"Yes",""))</f>
        <v/>
      </c>
      <c r="K206" s="1"/>
      <c r="L206" s="1"/>
      <c r="M206" s="1"/>
      <c r="N206" s="1"/>
      <c r="O206" s="3">
        <f ca="1">IF(FWD[[#This Row],[RAD/PACT]]="2019-2020",0,INDEX(UnitCosts[],MATCH(FWD[[#This Row],[WORK TYPE]],UnitCosts[Work Type],0),2)*FWD[[#This Row],[Dwelling Units]])</f>
        <v>577495.27832448378</v>
      </c>
      <c r="P206" s="3"/>
      <c r="Q206" s="3"/>
      <c r="R206" s="69">
        <f t="shared" ca="1" si="3"/>
        <v>577495.27832448378</v>
      </c>
      <c r="S206" s="71">
        <f ca="1">SUM(INDEX(FWD[Dwelling Units],1):FWD[[#This Row],[Dwelling Units]])</f>
        <v>108038</v>
      </c>
      <c r="T206" s="71">
        <f ca="1">IF(ISBLANK(FWD[[#This Row],[CALENDAR YEAR]]),ROUNDDOWN(FWD[[#This Row],[Running count]]/3000,0)+$T$1,FWD[[#This Row],[CALENDAR YEAR]])</f>
        <v>2056</v>
      </c>
    </row>
    <row r="207" spans="1:20">
      <c r="A207" s="65" t="s">
        <v>249</v>
      </c>
      <c r="B207" s="1" t="str">
        <f>VLOOKUP(A207,Data[],2,FALSE)</f>
        <v>BROOKLYN</v>
      </c>
      <c r="C207" s="1">
        <f>VLOOKUP(FWD[[#This Row],[DEVELOPMENT]],Data[],25,FALSE)</f>
        <v>0</v>
      </c>
      <c r="D207" s="9" t="s">
        <v>49</v>
      </c>
      <c r="E207" s="50">
        <f>VLOOKUP(FWD[[#This Row],[DEVELOPMENT]],Data[],7,FALSE)</f>
        <v>1500</v>
      </c>
      <c r="F207" s="50" t="e">
        <f>VLOOKUP(FWD[[#This Row],[DEVELOPMENT]],all[[DEVELOPMENT]:[MRST Ext. Comp. Priority]],5,FALSE)</f>
        <v>#N/A</v>
      </c>
      <c r="G207" s="50">
        <f>VLOOKUP(FWD[[#This Row],[DEVELOPMENT]],Data[],8,FALSE)</f>
        <v>0</v>
      </c>
      <c r="H207" s="9">
        <f>VLOOKUP(FWD[[#This Row],[DEVELOPMENT]],Data[],9,FALSE)</f>
        <v>0</v>
      </c>
      <c r="I207" s="1" t="str">
        <f ca="1">IFERROR(VLOOKUP(FWD[[#This Row],[DEVELOPMENT]],Data[],4,FALSE),"")</f>
        <v/>
      </c>
      <c r="J207" s="51" t="str">
        <f ca="1">IF(FWD[[#This Row],[RAD/PACT]]="","",IF(OR(FWD[[#This Row],[RAD/PACT]]="2021-2025",FWD[[#This Row],[RAD/PACT]]="2019-2020"),"Yes",""))</f>
        <v/>
      </c>
      <c r="K207" s="1"/>
      <c r="L207" s="1"/>
      <c r="M207" s="1"/>
      <c r="N207" s="1"/>
      <c r="O207" s="3">
        <f ca="1">IF(FWD[[#This Row],[RAD/PACT]]="2019-2020",0,INDEX(UnitCosts[],MATCH(FWD[[#This Row],[WORK TYPE]],UnitCosts[Work Type],0),2)*FWD[[#This Row],[Dwelling Units]])</f>
        <v>2578103.9210914457</v>
      </c>
      <c r="P207" s="3"/>
      <c r="Q207" s="3"/>
      <c r="R207" s="69">
        <f t="shared" ca="1" si="3"/>
        <v>3155599.1994159296</v>
      </c>
      <c r="S207" s="71">
        <f ca="1">SUM(INDEX(FWD[Dwelling Units],1):FWD[[#This Row],[Dwelling Units]])</f>
        <v>109538</v>
      </c>
      <c r="T207" s="71">
        <f ca="1">IF(ISBLANK(FWD[[#This Row],[CALENDAR YEAR]]),ROUNDDOWN(FWD[[#This Row],[Running count]]/3000,0)+$T$1,FWD[[#This Row],[CALENDAR YEAR]])</f>
        <v>2056</v>
      </c>
    </row>
    <row r="208" spans="1:20">
      <c r="A208" s="65" t="s">
        <v>133</v>
      </c>
      <c r="B208" s="1" t="str">
        <f>VLOOKUP(A208,Data[],2,FALSE)</f>
        <v>MANHATTAN</v>
      </c>
      <c r="C208" s="1">
        <f>VLOOKUP(FWD[[#This Row],[DEVELOPMENT]],Data[],25,FALSE)</f>
        <v>0</v>
      </c>
      <c r="D208" s="9" t="s">
        <v>49</v>
      </c>
      <c r="E208" s="50">
        <f>VLOOKUP(FWD[[#This Row],[DEVELOPMENT]],Data[],7,FALSE)</f>
        <v>1614</v>
      </c>
      <c r="F208" s="50" t="e">
        <f>VLOOKUP(FWD[[#This Row],[DEVELOPMENT]],all[[DEVELOPMENT]:[MRST Ext. Comp. Priority]],5,FALSE)</f>
        <v>#N/A</v>
      </c>
      <c r="G208" s="50" t="str">
        <f>VLOOKUP(FWD[[#This Row],[DEVELOPMENT]],Data[],8,FALSE)</f>
        <v>Zone 2</v>
      </c>
      <c r="H208" s="9">
        <f>VLOOKUP(FWD[[#This Row],[DEVELOPMENT]],Data[],9,FALSE)</f>
        <v>4</v>
      </c>
      <c r="I208" s="1" t="str">
        <f ca="1">IFERROR(VLOOKUP(FWD[[#This Row],[DEVELOPMENT]],Data[],4,FALSE),"")</f>
        <v/>
      </c>
      <c r="J208" s="51" t="str">
        <f ca="1">IF(FWD[[#This Row],[RAD/PACT]]="","",IF(OR(FWD[[#This Row],[RAD/PACT]]="2021-2025",FWD[[#This Row],[RAD/PACT]]="2019-2020"),"Yes",""))</f>
        <v/>
      </c>
      <c r="K208" s="1"/>
      <c r="L208" s="1"/>
      <c r="M208" s="1"/>
      <c r="N208" s="1"/>
      <c r="O208" s="3">
        <f ca="1">IF(FWD[[#This Row],[RAD/PACT]]="2019-2020",0,INDEX(UnitCosts[],MATCH(FWD[[#This Row],[WORK TYPE]],UnitCosts[Work Type],0),2)*FWD[[#This Row],[Dwelling Units]])</f>
        <v>2774039.8190943953</v>
      </c>
      <c r="P208" s="3"/>
      <c r="Q208" s="3"/>
      <c r="R208" s="69">
        <f t="shared" ca="1" si="3"/>
        <v>2774039.8190943953</v>
      </c>
      <c r="S208" s="71">
        <f ca="1">SUM(INDEX(FWD[Dwelling Units],1):FWD[[#This Row],[Dwelling Units]])</f>
        <v>111152</v>
      </c>
      <c r="T208" s="71">
        <f ca="1">IF(ISBLANK(FWD[[#This Row],[CALENDAR YEAR]]),ROUNDDOWN(FWD[[#This Row],[Running count]]/3000,0)+$T$1,FWD[[#This Row],[CALENDAR YEAR]])</f>
        <v>2057</v>
      </c>
    </row>
    <row r="209" spans="1:20">
      <c r="A209" s="65" t="s">
        <v>211</v>
      </c>
      <c r="B209" s="1" t="str">
        <f>VLOOKUP(A209,Data[],2,FALSE)</f>
        <v>QUEENS</v>
      </c>
      <c r="C209" s="1">
        <f>VLOOKUP(FWD[[#This Row],[DEVELOPMENT]],Data[],25,FALSE)</f>
        <v>0</v>
      </c>
      <c r="D209" s="9" t="s">
        <v>49</v>
      </c>
      <c r="E209" s="50">
        <f>VLOOKUP(FWD[[#This Row],[DEVELOPMENT]],Data[],7,FALSE)</f>
        <v>2069</v>
      </c>
      <c r="F209" s="50" t="e">
        <f>VLOOKUP(FWD[[#This Row],[DEVELOPMENT]],all[[DEVELOPMENT]:[MRST Ext. Comp. Priority]],5,FALSE)</f>
        <v>#N/A</v>
      </c>
      <c r="G209" s="50">
        <f>VLOOKUP(FWD[[#This Row],[DEVELOPMENT]],Data[],8,FALSE)</f>
        <v>0</v>
      </c>
      <c r="H209" s="9">
        <f>VLOOKUP(FWD[[#This Row],[DEVELOPMENT]],Data[],9,FALSE)</f>
        <v>0</v>
      </c>
      <c r="I209" s="1" t="str">
        <f ca="1">IFERROR(VLOOKUP(FWD[[#This Row],[DEVELOPMENT]],Data[],4,FALSE),"")</f>
        <v>2026+</v>
      </c>
      <c r="J209" s="51" t="str">
        <f ca="1">IF(FWD[[#This Row],[RAD/PACT]]="","",IF(OR(FWD[[#This Row],[RAD/PACT]]="2021-2025",FWD[[#This Row],[RAD/PACT]]="2019-2020"),"Yes",""))</f>
        <v/>
      </c>
      <c r="K209" s="1"/>
      <c r="L209" s="1"/>
      <c r="M209" s="1"/>
      <c r="N209" s="1"/>
      <c r="O209" s="3">
        <f ca="1">IF(FWD[[#This Row],[RAD/PACT]]="2019-2020",0,INDEX(UnitCosts[],MATCH(FWD[[#This Row],[WORK TYPE]],UnitCosts[Work Type],0),2)*FWD[[#This Row],[Dwelling Units]])</f>
        <v>3556064.6751588006</v>
      </c>
      <c r="P209" s="3"/>
      <c r="Q209" s="3"/>
      <c r="R209" s="69">
        <f t="shared" ca="1" si="3"/>
        <v>6330104.4942531958</v>
      </c>
      <c r="S209" s="71">
        <f ca="1">SUM(INDEX(FWD[Dwelling Units],1):FWD[[#This Row],[Dwelling Units]])</f>
        <v>113221</v>
      </c>
      <c r="T209" s="71">
        <f ca="1">IF(ISBLANK(FWD[[#This Row],[CALENDAR YEAR]]),ROUNDDOWN(FWD[[#This Row],[Running count]]/3000,0)+$T$1,FWD[[#This Row],[CALENDAR YEAR]])</f>
        <v>2057</v>
      </c>
    </row>
    <row r="210" spans="1:20">
      <c r="A210" s="65" t="s">
        <v>94</v>
      </c>
      <c r="B210" s="1" t="str">
        <f>VLOOKUP(A210,Data[],2,FALSE)</f>
        <v>MANHATTAN</v>
      </c>
      <c r="C210" s="1">
        <f>VLOOKUP(FWD[[#This Row],[DEVELOPMENT]],Data[],25,FALSE)</f>
        <v>0</v>
      </c>
      <c r="D210" s="9" t="s">
        <v>49</v>
      </c>
      <c r="E210" s="50">
        <f>VLOOKUP(FWD[[#This Row],[DEVELOPMENT]],Data[],7,FALSE)</f>
        <v>125</v>
      </c>
      <c r="F210" s="50" t="e">
        <f>VLOOKUP(FWD[[#This Row],[DEVELOPMENT]],all[[DEVELOPMENT]:[MRST Ext. Comp. Priority]],5,FALSE)</f>
        <v>#N/A</v>
      </c>
      <c r="G210" s="50" t="str">
        <f>VLOOKUP(FWD[[#This Row],[DEVELOPMENT]],Data[],8,FALSE)</f>
        <v>Zone 3</v>
      </c>
      <c r="H210" s="9">
        <f>VLOOKUP(FWD[[#This Row],[DEVELOPMENT]],Data[],9,FALSE)</f>
        <v>4</v>
      </c>
      <c r="I210" s="1" t="str">
        <f ca="1">IFERROR(VLOOKUP(FWD[[#This Row],[DEVELOPMENT]],Data[],4,FALSE),"")</f>
        <v>2020-2021</v>
      </c>
      <c r="J210" s="51" t="str">
        <f ca="1">IF(FWD[[#This Row],[RAD/PACT]]="","",IF(OR(FWD[[#This Row],[RAD/PACT]]="2021-2025",FWD[[#This Row],[RAD/PACT]]="2019-2020"),"Yes",""))</f>
        <v/>
      </c>
      <c r="K210" s="1"/>
      <c r="L210" s="1"/>
      <c r="M210" s="1"/>
      <c r="N210" s="1"/>
      <c r="O210" s="3">
        <f ca="1">IF(FWD[[#This Row],[RAD/PACT]]="2019-2020",0,INDEX(UnitCosts[],MATCH(FWD[[#This Row],[WORK TYPE]],UnitCosts[Work Type],0),2)*FWD[[#This Row],[Dwelling Units]])</f>
        <v>214841.99342428712</v>
      </c>
      <c r="P210" s="3"/>
      <c r="Q210" s="3"/>
      <c r="R210" s="69">
        <f t="shared" ca="1" si="3"/>
        <v>6544946.4876774829</v>
      </c>
      <c r="S210" s="71">
        <f ca="1">SUM(INDEX(FWD[Dwelling Units],1):FWD[[#This Row],[Dwelling Units]])</f>
        <v>113346</v>
      </c>
      <c r="T210" s="71">
        <f ca="1">IF(ISBLANK(FWD[[#This Row],[CALENDAR YEAR]]),ROUNDDOWN(FWD[[#This Row],[Running count]]/3000,0)+$T$1,FWD[[#This Row],[CALENDAR YEAR]])</f>
        <v>2057</v>
      </c>
    </row>
    <row r="211" spans="1:20">
      <c r="A211" s="65" t="s">
        <v>134</v>
      </c>
      <c r="B211" s="1" t="str">
        <f>VLOOKUP(A211,Data[],2,FALSE)</f>
        <v>QUEENS</v>
      </c>
      <c r="C211" s="1">
        <f>VLOOKUP(FWD[[#This Row],[DEVELOPMENT]],Data[],25,FALSE)</f>
        <v>0</v>
      </c>
      <c r="D211" s="9" t="s">
        <v>49</v>
      </c>
      <c r="E211" s="50">
        <f>VLOOKUP(FWD[[#This Row],[DEVELOPMENT]],Data[],7,FALSE)</f>
        <v>1542</v>
      </c>
      <c r="F211" s="50" t="e">
        <f>VLOOKUP(FWD[[#This Row],[DEVELOPMENT]],all[[DEVELOPMENT]:[MRST Ext. Comp. Priority]],5,FALSE)</f>
        <v>#N/A</v>
      </c>
      <c r="G211" s="50" t="str">
        <f>VLOOKUP(FWD[[#This Row],[DEVELOPMENT]],Data[],8,FALSE)</f>
        <v>Zone 3</v>
      </c>
      <c r="H211" s="9">
        <f>VLOOKUP(FWD[[#This Row],[DEVELOPMENT]],Data[],9,FALSE)</f>
        <v>4</v>
      </c>
      <c r="I211" s="1" t="str">
        <f ca="1">IFERROR(VLOOKUP(FWD[[#This Row],[DEVELOPMENT]],Data[],4,FALSE),"")</f>
        <v>2026+</v>
      </c>
      <c r="J211" s="51" t="str">
        <f ca="1">IF(FWD[[#This Row],[RAD/PACT]]="","",IF(OR(FWD[[#This Row],[RAD/PACT]]="2021-2025",FWD[[#This Row],[RAD/PACT]]="2019-2020"),"Yes",""))</f>
        <v/>
      </c>
      <c r="K211" s="1"/>
      <c r="L211" s="1"/>
      <c r="M211" s="1"/>
      <c r="N211" s="1"/>
      <c r="O211" s="3">
        <f ca="1">IF(FWD[[#This Row],[RAD/PACT]]="2019-2020",0,INDEX(UnitCosts[],MATCH(FWD[[#This Row],[WORK TYPE]],UnitCosts[Work Type],0),2)*FWD[[#This Row],[Dwelling Units]])</f>
        <v>2650290.8308820059</v>
      </c>
      <c r="P211" s="3"/>
      <c r="Q211" s="3"/>
      <c r="R211" s="69">
        <f t="shared" ca="1" si="3"/>
        <v>2650290.8308820059</v>
      </c>
      <c r="S211" s="71">
        <f ca="1">SUM(INDEX(FWD[Dwelling Units],1):FWD[[#This Row],[Dwelling Units]])</f>
        <v>114888</v>
      </c>
      <c r="T211" s="71">
        <f ca="1">IF(ISBLANK(FWD[[#This Row],[CALENDAR YEAR]]),ROUNDDOWN(FWD[[#This Row],[Running count]]/3000,0)+$T$1,FWD[[#This Row],[CALENDAR YEAR]])</f>
        <v>2058</v>
      </c>
    </row>
    <row r="212" spans="1:20">
      <c r="A212" s="65" t="s">
        <v>135</v>
      </c>
      <c r="B212" s="1" t="str">
        <f>VLOOKUP(A212,Data[],2,FALSE)</f>
        <v>QUEENS</v>
      </c>
      <c r="C212" s="1">
        <f>VLOOKUP(FWD[[#This Row],[DEVELOPMENT]],Data[],25,FALSE)</f>
        <v>0</v>
      </c>
      <c r="D212" s="9" t="s">
        <v>49</v>
      </c>
      <c r="E212" s="50">
        <f>VLOOKUP(FWD[[#This Row],[DEVELOPMENT]],Data[],7,FALSE)</f>
        <v>1603</v>
      </c>
      <c r="F212" s="50" t="e">
        <f>VLOOKUP(FWD[[#This Row],[DEVELOPMENT]],all[[DEVELOPMENT]:[MRST Ext. Comp. Priority]],5,FALSE)</f>
        <v>#N/A</v>
      </c>
      <c r="G212" s="50" t="str">
        <f>VLOOKUP(FWD[[#This Row],[DEVELOPMENT]],Data[],8,FALSE)</f>
        <v>Zone 3</v>
      </c>
      <c r="H212" s="9">
        <f>VLOOKUP(FWD[[#This Row],[DEVELOPMENT]],Data[],9,FALSE)</f>
        <v>4</v>
      </c>
      <c r="I212" s="1" t="str">
        <f ca="1">IFERROR(VLOOKUP(FWD[[#This Row],[DEVELOPMENT]],Data[],4,FALSE),"")</f>
        <v>2026+</v>
      </c>
      <c r="J212" s="51" t="str">
        <f ca="1">IF(FWD[[#This Row],[RAD/PACT]]="","",IF(OR(FWD[[#This Row],[RAD/PACT]]="2021-2025",FWD[[#This Row],[RAD/PACT]]="2019-2020"),"Yes",""))</f>
        <v/>
      </c>
      <c r="K212" s="1"/>
      <c r="L212" s="1"/>
      <c r="M212" s="1"/>
      <c r="N212" s="1"/>
      <c r="O212" s="3">
        <f ca="1">IF(FWD[[#This Row],[RAD/PACT]]="2019-2020",0,INDEX(UnitCosts[],MATCH(FWD[[#This Row],[WORK TYPE]],UnitCosts[Work Type],0),2)*FWD[[#This Row],[Dwelling Units]])</f>
        <v>2755133.7236730582</v>
      </c>
      <c r="P212" s="3"/>
      <c r="Q212" s="3"/>
      <c r="R212" s="69">
        <f t="shared" ca="1" si="3"/>
        <v>5405424.5545550641</v>
      </c>
      <c r="S212" s="71">
        <f ca="1">SUM(INDEX(FWD[Dwelling Units],1):FWD[[#This Row],[Dwelling Units]])</f>
        <v>116491</v>
      </c>
      <c r="T212" s="71">
        <f ca="1">IF(ISBLANK(FWD[[#This Row],[CALENDAR YEAR]]),ROUNDDOWN(FWD[[#This Row],[Running count]]/3000,0)+$T$1,FWD[[#This Row],[CALENDAR YEAR]])</f>
        <v>2058</v>
      </c>
    </row>
    <row r="213" spans="1:20">
      <c r="A213" s="65" t="s">
        <v>355</v>
      </c>
      <c r="B213" s="1" t="str">
        <f>VLOOKUP(A213,Data[],2,FALSE)</f>
        <v>BROOKLYN</v>
      </c>
      <c r="C213" s="1">
        <f>VLOOKUP(FWD[[#This Row],[DEVELOPMENT]],Data[],25,FALSE)</f>
        <v>0</v>
      </c>
      <c r="D213" s="9" t="s">
        <v>49</v>
      </c>
      <c r="E213" s="50">
        <f>VLOOKUP(FWD[[#This Row],[DEVELOPMENT]],Data[],7,FALSE)</f>
        <v>118</v>
      </c>
      <c r="F213" s="50" t="e">
        <f>VLOOKUP(FWD[[#This Row],[DEVELOPMENT]],all[[DEVELOPMENT]:[MRST Ext. Comp. Priority]],5,FALSE)</f>
        <v>#N/A</v>
      </c>
      <c r="G213" s="50">
        <f>VLOOKUP(FWD[[#This Row],[DEVELOPMENT]],Data[],8,FALSE)</f>
        <v>0</v>
      </c>
      <c r="H213" s="9">
        <f>VLOOKUP(FWD[[#This Row],[DEVELOPMENT]],Data[],9,FALSE)</f>
        <v>0</v>
      </c>
      <c r="I213" s="1" t="str">
        <f ca="1">IFERROR(VLOOKUP(FWD[[#This Row],[DEVELOPMENT]],Data[],4,FALSE),"")</f>
        <v>2020-2021</v>
      </c>
      <c r="J213" s="51" t="str">
        <f ca="1">IF(FWD[[#This Row],[RAD/PACT]]="","",IF(OR(FWD[[#This Row],[RAD/PACT]]="2021-2025",FWD[[#This Row],[RAD/PACT]]="2019-2020"),"Yes",""))</f>
        <v/>
      </c>
      <c r="K213" s="1"/>
      <c r="L213" s="1"/>
      <c r="M213" s="1"/>
      <c r="N213" s="1"/>
      <c r="O213" s="3">
        <f ca="1">IF(FWD[[#This Row],[RAD/PACT]]="2019-2020",0,INDEX(UnitCosts[],MATCH(FWD[[#This Row],[WORK TYPE]],UnitCosts[Work Type],0),2)*FWD[[#This Row],[Dwelling Units]])</f>
        <v>202810.84179252703</v>
      </c>
      <c r="P213" s="3"/>
      <c r="Q213" s="3"/>
      <c r="R213" s="69">
        <f t="shared" ca="1" si="3"/>
        <v>5608235.3963475907</v>
      </c>
      <c r="S213" s="71">
        <f ca="1">SUM(INDEX(FWD[Dwelling Units],1):FWD[[#This Row],[Dwelling Units]])</f>
        <v>116609</v>
      </c>
      <c r="T213" s="71">
        <f ca="1">IF(ISBLANK(FWD[[#This Row],[CALENDAR YEAR]]),ROUNDDOWN(FWD[[#This Row],[Running count]]/3000,0)+$T$1,FWD[[#This Row],[CALENDAR YEAR]])</f>
        <v>2058</v>
      </c>
    </row>
    <row r="214" spans="1:20">
      <c r="A214" s="65" t="s">
        <v>268</v>
      </c>
      <c r="B214" s="1" t="str">
        <f>VLOOKUP(A214,Data[],2,FALSE)</f>
        <v>BRONX</v>
      </c>
      <c r="C214" s="1">
        <f>VLOOKUP(FWD[[#This Row],[DEVELOPMENT]],Data[],25,FALSE)</f>
        <v>0</v>
      </c>
      <c r="D214" s="9" t="s">
        <v>49</v>
      </c>
      <c r="E214" s="50">
        <f>VLOOKUP(FWD[[#This Row],[DEVELOPMENT]],Data[],7,FALSE)</f>
        <v>251</v>
      </c>
      <c r="F214" s="50" t="e">
        <f>VLOOKUP(FWD[[#This Row],[DEVELOPMENT]],all[[DEVELOPMENT]:[MRST Ext. Comp. Priority]],5,FALSE)</f>
        <v>#N/A</v>
      </c>
      <c r="G214" s="50">
        <f>VLOOKUP(FWD[[#This Row],[DEVELOPMENT]],Data[],8,FALSE)</f>
        <v>0</v>
      </c>
      <c r="H214" s="9">
        <f>VLOOKUP(FWD[[#This Row],[DEVELOPMENT]],Data[],9,FALSE)</f>
        <v>0</v>
      </c>
      <c r="I214" s="1" t="str">
        <f ca="1">IFERROR(VLOOKUP(FWD[[#This Row],[DEVELOPMENT]],Data[],4,FALSE),"")</f>
        <v>2020-2021</v>
      </c>
      <c r="J214" s="51" t="str">
        <f ca="1">IF(FWD[[#This Row],[RAD/PACT]]="","",IF(OR(FWD[[#This Row],[RAD/PACT]]="2021-2025",FWD[[#This Row],[RAD/PACT]]="2019-2020"),"Yes",""))</f>
        <v/>
      </c>
      <c r="K214" s="1"/>
      <c r="L214" s="1"/>
      <c r="M214" s="1"/>
      <c r="N214" s="1"/>
      <c r="O214" s="3">
        <f ca="1">IF(FWD[[#This Row],[RAD/PACT]]="2019-2020",0,INDEX(UnitCosts[],MATCH(FWD[[#This Row],[WORK TYPE]],UnitCosts[Work Type],0),2)*FWD[[#This Row],[Dwelling Units]])</f>
        <v>431402.72279596853</v>
      </c>
      <c r="P214" s="3"/>
      <c r="Q214" s="3"/>
      <c r="R214" s="69">
        <f t="shared" ca="1" si="3"/>
        <v>6039638.1191435596</v>
      </c>
      <c r="S214" s="71">
        <f ca="1">SUM(INDEX(FWD[Dwelling Units],1):FWD[[#This Row],[Dwelling Units]])</f>
        <v>116860</v>
      </c>
      <c r="T214" s="71">
        <f ca="1">IF(ISBLANK(FWD[[#This Row],[CALENDAR YEAR]]),ROUNDDOWN(FWD[[#This Row],[Running count]]/3000,0)+$T$1,FWD[[#This Row],[CALENDAR YEAR]])</f>
        <v>2058</v>
      </c>
    </row>
    <row r="215" spans="1:20">
      <c r="A215" s="65" t="s">
        <v>115</v>
      </c>
      <c r="B215" s="1" t="str">
        <f>VLOOKUP(A215,Data[],2,FALSE)</f>
        <v>MANHATTAN</v>
      </c>
      <c r="C215" s="1">
        <f>VLOOKUP(FWD[[#This Row],[DEVELOPMENT]],Data[],25,FALSE)</f>
        <v>0</v>
      </c>
      <c r="D215" s="9" t="s">
        <v>49</v>
      </c>
      <c r="E215" s="50">
        <f>VLOOKUP(FWD[[#This Row],[DEVELOPMENT]],Data[],7,FALSE)</f>
        <v>982</v>
      </c>
      <c r="F215" s="50" t="e">
        <f>VLOOKUP(FWD[[#This Row],[DEVELOPMENT]],all[[DEVELOPMENT]:[MRST Ext. Comp. Priority]],5,FALSE)</f>
        <v>#N/A</v>
      </c>
      <c r="G215" s="50" t="str">
        <f>VLOOKUP(FWD[[#This Row],[DEVELOPMENT]],Data[],8,FALSE)</f>
        <v>Zone 2</v>
      </c>
      <c r="H215" s="9">
        <f>VLOOKUP(FWD[[#This Row],[DEVELOPMENT]],Data[],9,FALSE)</f>
        <v>4</v>
      </c>
      <c r="I215" s="1" t="str">
        <f ca="1">IFERROR(VLOOKUP(FWD[[#This Row],[DEVELOPMENT]],Data[],4,FALSE),"")</f>
        <v/>
      </c>
      <c r="J215" s="51" t="str">
        <f ca="1">IF(FWD[[#This Row],[RAD/PACT]]="","",IF(OR(FWD[[#This Row],[RAD/PACT]]="2021-2025",FWD[[#This Row],[RAD/PACT]]="2019-2020"),"Yes",""))</f>
        <v/>
      </c>
      <c r="K215" s="1"/>
      <c r="L215" s="1"/>
      <c r="M215" s="1"/>
      <c r="N215" s="1"/>
      <c r="O215" s="3">
        <f ca="1">IF(FWD[[#This Row],[RAD/PACT]]="2019-2020",0,INDEX(UnitCosts[],MATCH(FWD[[#This Row],[WORK TYPE]],UnitCosts[Work Type],0),2)*FWD[[#This Row],[Dwelling Units]])</f>
        <v>1687798.7003411998</v>
      </c>
      <c r="P215" s="3"/>
      <c r="Q215" s="3"/>
      <c r="R215" s="69">
        <f t="shared" ca="1" si="3"/>
        <v>1687798.7003411998</v>
      </c>
      <c r="S215" s="71">
        <f ca="1">SUM(INDEX(FWD[Dwelling Units],1):FWD[[#This Row],[Dwelling Units]])</f>
        <v>117842</v>
      </c>
      <c r="T215" s="71">
        <f ca="1">IF(ISBLANK(FWD[[#This Row],[CALENDAR YEAR]]),ROUNDDOWN(FWD[[#This Row],[Running count]]/3000,0)+$T$1,FWD[[#This Row],[CALENDAR YEAR]])</f>
        <v>2059</v>
      </c>
    </row>
    <row r="216" spans="1:20">
      <c r="A216" s="65" t="s">
        <v>212</v>
      </c>
      <c r="B216" s="1" t="str">
        <f>VLOOKUP(A216,Data[],2,FALSE)</f>
        <v>QUEENS</v>
      </c>
      <c r="C216" s="1">
        <f>VLOOKUP(FWD[[#This Row],[DEVELOPMENT]],Data[],25,FALSE)</f>
        <v>0</v>
      </c>
      <c r="D216" s="9" t="s">
        <v>49</v>
      </c>
      <c r="E216" s="50">
        <f>VLOOKUP(FWD[[#This Row],[DEVELOPMENT]],Data[],7,FALSE)</f>
        <v>2164</v>
      </c>
      <c r="F216" s="50" t="e">
        <f>VLOOKUP(FWD[[#This Row],[DEVELOPMENT]],all[[DEVELOPMENT]:[MRST Ext. Comp. Priority]],5,FALSE)</f>
        <v>#N/A</v>
      </c>
      <c r="G216" s="50">
        <f>VLOOKUP(FWD[[#This Row],[DEVELOPMENT]],Data[],8,FALSE)</f>
        <v>0</v>
      </c>
      <c r="H216" s="9">
        <f>VLOOKUP(FWD[[#This Row],[DEVELOPMENT]],Data[],9,FALSE)</f>
        <v>0</v>
      </c>
      <c r="I216" s="1" t="str">
        <f ca="1">IFERROR(VLOOKUP(FWD[[#This Row],[DEVELOPMENT]],Data[],4,FALSE),"")</f>
        <v/>
      </c>
      <c r="J216" s="51" t="str">
        <f ca="1">IF(FWD[[#This Row],[RAD/PACT]]="","",IF(OR(FWD[[#This Row],[RAD/PACT]]="2021-2025",FWD[[#This Row],[RAD/PACT]]="2019-2020"),"Yes",""))</f>
        <v/>
      </c>
      <c r="K216" s="1"/>
      <c r="L216" s="1"/>
      <c r="M216" s="1"/>
      <c r="N216" s="1"/>
      <c r="O216" s="3">
        <f ca="1">IF(FWD[[#This Row],[RAD/PACT]]="2019-2020",0,INDEX(UnitCosts[],MATCH(FWD[[#This Row],[WORK TYPE]],UnitCosts[Work Type],0),2)*FWD[[#This Row],[Dwelling Units]])</f>
        <v>3719344.5901612588</v>
      </c>
      <c r="P216" s="3"/>
      <c r="Q216" s="3"/>
      <c r="R216" s="69">
        <f t="shared" ca="1" si="3"/>
        <v>3719344.5901612588</v>
      </c>
      <c r="S216" s="71">
        <f ca="1">SUM(INDEX(FWD[Dwelling Units],1):FWD[[#This Row],[Dwelling Units]])</f>
        <v>120006</v>
      </c>
      <c r="T216" s="71">
        <f ca="1">IF(ISBLANK(FWD[[#This Row],[CALENDAR YEAR]]),ROUNDDOWN(FWD[[#This Row],[Running count]]/3000,0)+$T$1,FWD[[#This Row],[CALENDAR YEAR]])</f>
        <v>2060</v>
      </c>
    </row>
    <row r="217" spans="1:20">
      <c r="A217" s="65" t="s">
        <v>213</v>
      </c>
      <c r="B217" s="1" t="str">
        <f>VLOOKUP(A217,Data[],2,FALSE)</f>
        <v>BROOKLYN</v>
      </c>
      <c r="C217" s="1">
        <f>VLOOKUP(FWD[[#This Row],[DEVELOPMENT]],Data[],25,FALSE)</f>
        <v>0</v>
      </c>
      <c r="D217" s="9" t="s">
        <v>49</v>
      </c>
      <c r="E217" s="50">
        <f>VLOOKUP(FWD[[#This Row],[DEVELOPMENT]],Data[],7,FALSE)</f>
        <v>1404</v>
      </c>
      <c r="F217" s="50" t="e">
        <f>VLOOKUP(FWD[[#This Row],[DEVELOPMENT]],all[[DEVELOPMENT]:[MRST Ext. Comp. Priority]],5,FALSE)</f>
        <v>#N/A</v>
      </c>
      <c r="G217" s="50">
        <f>VLOOKUP(FWD[[#This Row],[DEVELOPMENT]],Data[],8,FALSE)</f>
        <v>0</v>
      </c>
      <c r="H217" s="9">
        <f>VLOOKUP(FWD[[#This Row],[DEVELOPMENT]],Data[],9,FALSE)</f>
        <v>0</v>
      </c>
      <c r="I217" s="1" t="str">
        <f ca="1">IFERROR(VLOOKUP(FWD[[#This Row],[DEVELOPMENT]],Data[],4,FALSE),"")</f>
        <v>2022-2025</v>
      </c>
      <c r="J217" s="51" t="str">
        <f ca="1">IF(FWD[[#This Row],[RAD/PACT]]="","",IF(OR(FWD[[#This Row],[RAD/PACT]]="2021-2025",FWD[[#This Row],[RAD/PACT]]="2019-2020"),"Yes",""))</f>
        <v/>
      </c>
      <c r="K217" s="1"/>
      <c r="L217" s="1"/>
      <c r="M217" s="1"/>
      <c r="N217" s="1"/>
      <c r="O217" s="3">
        <f ca="1">IF(FWD[[#This Row],[RAD/PACT]]="2019-2020",0,INDEX(UnitCosts[],MATCH(FWD[[#This Row],[WORK TYPE]],UnitCosts[Work Type],0),2)*FWD[[#This Row],[Dwelling Units]])</f>
        <v>2413105.2701415932</v>
      </c>
      <c r="P217" s="3"/>
      <c r="Q217" s="3"/>
      <c r="R217" s="69">
        <f t="shared" ca="1" si="3"/>
        <v>6132449.8603028525</v>
      </c>
      <c r="S217" s="71">
        <f ca="1">SUM(INDEX(FWD[Dwelling Units],1):FWD[[#This Row],[Dwelling Units]])</f>
        <v>121410</v>
      </c>
      <c r="T217" s="71">
        <f ca="1">IF(ISBLANK(FWD[[#This Row],[CALENDAR YEAR]]),ROUNDDOWN(FWD[[#This Row],[Running count]]/3000,0)+$T$1,FWD[[#This Row],[CALENDAR YEAR]])</f>
        <v>2060</v>
      </c>
    </row>
    <row r="218" spans="1:20">
      <c r="A218" s="65" t="s">
        <v>214</v>
      </c>
      <c r="B218" s="1" t="str">
        <f>VLOOKUP(A218,Data[],2,FALSE)</f>
        <v>BROOKLYN</v>
      </c>
      <c r="C218" s="1">
        <f>VLOOKUP(FWD[[#This Row],[DEVELOPMENT]],Data[],25,FALSE)</f>
        <v>0</v>
      </c>
      <c r="D218" s="9" t="s">
        <v>49</v>
      </c>
      <c r="E218" s="50">
        <f>VLOOKUP(FWD[[#This Row],[DEVELOPMENT]],Data[],7,FALSE)</f>
        <v>1471</v>
      </c>
      <c r="F218" s="50" t="e">
        <f>VLOOKUP(FWD[[#This Row],[DEVELOPMENT]],all[[DEVELOPMENT]:[MRST Ext. Comp. Priority]],5,FALSE)</f>
        <v>#N/A</v>
      </c>
      <c r="G218" s="50">
        <f>VLOOKUP(FWD[[#This Row],[DEVELOPMENT]],Data[],8,FALSE)</f>
        <v>0</v>
      </c>
      <c r="H218" s="9">
        <f>VLOOKUP(FWD[[#This Row],[DEVELOPMENT]],Data[],9,FALSE)</f>
        <v>0</v>
      </c>
      <c r="I218" s="1" t="str">
        <f ca="1">IFERROR(VLOOKUP(FWD[[#This Row],[DEVELOPMENT]],Data[],4,FALSE),"")</f>
        <v>2022-2025</v>
      </c>
      <c r="J218" s="51" t="str">
        <f ca="1">IF(FWD[[#This Row],[RAD/PACT]]="","",IF(OR(FWD[[#This Row],[RAD/PACT]]="2021-2025",FWD[[#This Row],[RAD/PACT]]="2019-2020"),"Yes",""))</f>
        <v/>
      </c>
      <c r="K218" s="1"/>
      <c r="L218" s="1"/>
      <c r="M218" s="1"/>
      <c r="N218" s="1"/>
      <c r="O218" s="3">
        <f ca="1">IF(FWD[[#This Row],[RAD/PACT]]="2019-2020",0,INDEX(UnitCosts[],MATCH(FWD[[#This Row],[WORK TYPE]],UnitCosts[Work Type],0),2)*FWD[[#This Row],[Dwelling Units]])</f>
        <v>2528260.5786170107</v>
      </c>
      <c r="P218" s="3"/>
      <c r="Q218" s="3"/>
      <c r="R218" s="69">
        <f t="shared" ca="1" si="3"/>
        <v>8660710.4389198627</v>
      </c>
      <c r="S218" s="71">
        <f ca="1">SUM(INDEX(FWD[Dwelling Units],1):FWD[[#This Row],[Dwelling Units]])</f>
        <v>122881</v>
      </c>
      <c r="T218" s="71">
        <f ca="1">IF(ISBLANK(FWD[[#This Row],[CALENDAR YEAR]]),ROUNDDOWN(FWD[[#This Row],[Running count]]/3000,0)+$T$1,FWD[[#This Row],[CALENDAR YEAR]])</f>
        <v>2060</v>
      </c>
    </row>
    <row r="219" spans="1:20">
      <c r="A219" s="65" t="s">
        <v>194</v>
      </c>
      <c r="B219" s="1" t="str">
        <f>VLOOKUP(A219,Data[],2,FALSE)</f>
        <v>QUEENS</v>
      </c>
      <c r="C219" s="1">
        <f>VLOOKUP(FWD[[#This Row],[DEVELOPMENT]],Data[],25,FALSE)</f>
        <v>0</v>
      </c>
      <c r="D219" s="9" t="s">
        <v>49</v>
      </c>
      <c r="E219" s="50">
        <f>VLOOKUP(FWD[[#This Row],[DEVELOPMENT]],Data[],7,FALSE)</f>
        <v>599</v>
      </c>
      <c r="F219" s="50" t="e">
        <f>VLOOKUP(FWD[[#This Row],[DEVELOPMENT]],all[[DEVELOPMENT]:[MRST Ext. Comp. Priority]],5,FALSE)</f>
        <v>#N/A</v>
      </c>
      <c r="G219" s="50">
        <f>VLOOKUP(FWD[[#This Row],[DEVELOPMENT]],Data[],8,FALSE)</f>
        <v>0</v>
      </c>
      <c r="H219" s="9">
        <f>VLOOKUP(FWD[[#This Row],[DEVELOPMENT]],Data[],9,FALSE)</f>
        <v>0</v>
      </c>
      <c r="I219" s="1" t="str">
        <f ca="1">IFERROR(VLOOKUP(FWD[[#This Row],[DEVELOPMENT]],Data[],4,FALSE),"")</f>
        <v>2020-2021</v>
      </c>
      <c r="J219" s="51" t="str">
        <f ca="1">IF(FWD[[#This Row],[RAD/PACT]]="","",IF(OR(FWD[[#This Row],[RAD/PACT]]="2021-2025",FWD[[#This Row],[RAD/PACT]]="2019-2020"),"Yes",""))</f>
        <v/>
      </c>
      <c r="K219" s="1"/>
      <c r="L219" s="1"/>
      <c r="M219" s="1"/>
      <c r="N219" s="1"/>
      <c r="O219" s="3">
        <f ca="1">IF(FWD[[#This Row],[RAD/PACT]]="2019-2020",0,INDEX(UnitCosts[],MATCH(FWD[[#This Row],[WORK TYPE]],UnitCosts[Work Type],0),2)*FWD[[#This Row],[Dwelling Units]])</f>
        <v>1029522.8324891839</v>
      </c>
      <c r="P219" s="3"/>
      <c r="Q219" s="3"/>
      <c r="R219" s="69">
        <f t="shared" ca="1" si="3"/>
        <v>1029522.8324891839</v>
      </c>
      <c r="S219" s="71">
        <f ca="1">SUM(INDEX(FWD[Dwelling Units],1):FWD[[#This Row],[Dwelling Units]])</f>
        <v>123480</v>
      </c>
      <c r="T219" s="71">
        <f ca="1">IF(ISBLANK(FWD[[#This Row],[CALENDAR YEAR]]),ROUNDDOWN(FWD[[#This Row],[Running count]]/3000,0)+$T$1,FWD[[#This Row],[CALENDAR YEAR]])</f>
        <v>2061</v>
      </c>
    </row>
    <row r="220" spans="1:20">
      <c r="A220" s="65" t="s">
        <v>215</v>
      </c>
      <c r="B220" s="1" t="str">
        <f>VLOOKUP(A220,Data[],2,FALSE)</f>
        <v>QUEENS</v>
      </c>
      <c r="C220" s="1">
        <f>VLOOKUP(FWD[[#This Row],[DEVELOPMENT]],Data[],25,FALSE)</f>
        <v>0</v>
      </c>
      <c r="D220" s="9" t="s">
        <v>49</v>
      </c>
      <c r="E220" s="50">
        <f>VLOOKUP(FWD[[#This Row],[DEVELOPMENT]],Data[],7,FALSE)</f>
        <v>13</v>
      </c>
      <c r="F220" s="50" t="e">
        <f>VLOOKUP(FWD[[#This Row],[DEVELOPMENT]],all[[DEVELOPMENT]:[MRST Ext. Comp. Priority]],5,FALSE)</f>
        <v>#N/A</v>
      </c>
      <c r="G220" s="50">
        <f>VLOOKUP(FWD[[#This Row],[DEVELOPMENT]],Data[],8,FALSE)</f>
        <v>0</v>
      </c>
      <c r="H220" s="9">
        <f>VLOOKUP(FWD[[#This Row],[DEVELOPMENT]],Data[],9,FALSE)</f>
        <v>0</v>
      </c>
      <c r="I220" s="1" t="str">
        <f ca="1">IFERROR(VLOOKUP(FWD[[#This Row],[DEVELOPMENT]],Data[],4,FALSE),"")</f>
        <v/>
      </c>
      <c r="J220" s="51" t="str">
        <f ca="1">IF(FWD[[#This Row],[RAD/PACT]]="","",IF(OR(FWD[[#This Row],[RAD/PACT]]="2021-2025",FWD[[#This Row],[RAD/PACT]]="2019-2020"),"Yes",""))</f>
        <v/>
      </c>
      <c r="K220" s="1"/>
      <c r="L220" s="1"/>
      <c r="M220" s="1"/>
      <c r="N220" s="1"/>
      <c r="O220" s="3">
        <f ca="1">IF(FWD[[#This Row],[RAD/PACT]]="2019-2020",0,INDEX(UnitCosts[],MATCH(FWD[[#This Row],[WORK TYPE]],UnitCosts[Work Type],0),2)*FWD[[#This Row],[Dwelling Units]])</f>
        <v>22343.56731612586</v>
      </c>
      <c r="P220" s="3"/>
      <c r="Q220" s="3"/>
      <c r="R220" s="69">
        <f t="shared" ca="1" si="3"/>
        <v>1051866.3998053097</v>
      </c>
      <c r="S220" s="71">
        <f ca="1">SUM(INDEX(FWD[Dwelling Units],1):FWD[[#This Row],[Dwelling Units]])</f>
        <v>123493</v>
      </c>
      <c r="T220" s="71">
        <f ca="1">IF(ISBLANK(FWD[[#This Row],[CALENDAR YEAR]]),ROUNDDOWN(FWD[[#This Row],[Running count]]/3000,0)+$T$1,FWD[[#This Row],[CALENDAR YEAR]])</f>
        <v>2061</v>
      </c>
    </row>
    <row r="221" spans="1:20">
      <c r="A221" s="65" t="s">
        <v>250</v>
      </c>
      <c r="B221" s="1" t="str">
        <f>VLOOKUP(A221,Data[],2,FALSE)</f>
        <v>MANHATTAN</v>
      </c>
      <c r="C221" s="1">
        <f>VLOOKUP(FWD[[#This Row],[DEVELOPMENT]],Data[],25,FALSE)</f>
        <v>0</v>
      </c>
      <c r="D221" s="9" t="s">
        <v>49</v>
      </c>
      <c r="E221" s="50">
        <f>VLOOKUP(FWD[[#This Row],[DEVELOPMENT]],Data[],7,FALSE)</f>
        <v>112</v>
      </c>
      <c r="F221" s="50" t="e">
        <f>VLOOKUP(FWD[[#This Row],[DEVELOPMENT]],all[[DEVELOPMENT]:[MRST Ext. Comp. Priority]],5,FALSE)</f>
        <v>#N/A</v>
      </c>
      <c r="G221" s="50" t="str">
        <f>VLOOKUP(FWD[[#This Row],[DEVELOPMENT]],Data[],8,FALSE)</f>
        <v>Zone 3</v>
      </c>
      <c r="H221" s="9">
        <f>VLOOKUP(FWD[[#This Row],[DEVELOPMENT]],Data[],9,FALSE)</f>
        <v>0</v>
      </c>
      <c r="I221" s="1" t="str">
        <f ca="1">IFERROR(VLOOKUP(FWD[[#This Row],[DEVELOPMENT]],Data[],4,FALSE),"")</f>
        <v/>
      </c>
      <c r="J221" s="51" t="str">
        <f ca="1">IF(FWD[[#This Row],[RAD/PACT]]="","",IF(OR(FWD[[#This Row],[RAD/PACT]]="2021-2025",FWD[[#This Row],[RAD/PACT]]="2019-2020"),"Yes",""))</f>
        <v/>
      </c>
      <c r="K221" s="1"/>
      <c r="L221" s="1"/>
      <c r="M221" s="1"/>
      <c r="N221" s="1"/>
      <c r="O221" s="3">
        <f ca="1">IF(FWD[[#This Row],[RAD/PACT]]="2019-2020",0,INDEX(UnitCosts[],MATCH(FWD[[#This Row],[WORK TYPE]],UnitCosts[Work Type],0),2)*FWD[[#This Row],[Dwelling Units]])</f>
        <v>192498.42610816128</v>
      </c>
      <c r="P221" s="3"/>
      <c r="Q221" s="3"/>
      <c r="R221" s="69">
        <f t="shared" ca="1" si="3"/>
        <v>1244364.8259134709</v>
      </c>
      <c r="S221" s="71">
        <f ca="1">SUM(INDEX(FWD[Dwelling Units],1):FWD[[#This Row],[Dwelling Units]])</f>
        <v>123605</v>
      </c>
      <c r="T221" s="71">
        <f ca="1">IF(ISBLANK(FWD[[#This Row],[CALENDAR YEAR]]),ROUNDDOWN(FWD[[#This Row],[Running count]]/3000,0)+$T$1,FWD[[#This Row],[CALENDAR YEAR]])</f>
        <v>2061</v>
      </c>
    </row>
    <row r="222" spans="1:20">
      <c r="A222" s="65" t="s">
        <v>251</v>
      </c>
      <c r="B222" s="1" t="str">
        <f>VLOOKUP(A222,Data[],2,FALSE)</f>
        <v>MANHATTAN</v>
      </c>
      <c r="C222" s="1">
        <f>VLOOKUP(FWD[[#This Row],[DEVELOPMENT]],Data[],25,FALSE)</f>
        <v>0</v>
      </c>
      <c r="D222" s="9" t="s">
        <v>49</v>
      </c>
      <c r="E222" s="50">
        <f>VLOOKUP(FWD[[#This Row],[DEVELOPMENT]],Data[],7,FALSE)</f>
        <v>156</v>
      </c>
      <c r="F222" s="50" t="e">
        <f>VLOOKUP(FWD[[#This Row],[DEVELOPMENT]],all[[DEVELOPMENT]:[MRST Ext. Comp. Priority]],5,FALSE)</f>
        <v>#N/A</v>
      </c>
      <c r="G222" s="50">
        <f>VLOOKUP(FWD[[#This Row],[DEVELOPMENT]],Data[],8,FALSE)</f>
        <v>0</v>
      </c>
      <c r="H222" s="9">
        <f>VLOOKUP(FWD[[#This Row],[DEVELOPMENT]],Data[],9,FALSE)</f>
        <v>0</v>
      </c>
      <c r="I222" s="1" t="str">
        <f ca="1">IFERROR(VLOOKUP(FWD[[#This Row],[DEVELOPMENT]],Data[],4,FALSE),"")</f>
        <v/>
      </c>
      <c r="J222" s="51" t="str">
        <f ca="1">IF(FWD[[#This Row],[RAD/PACT]]="","",IF(OR(FWD[[#This Row],[RAD/PACT]]="2021-2025",FWD[[#This Row],[RAD/PACT]]="2019-2020"),"Yes",""))</f>
        <v/>
      </c>
      <c r="K222" s="1"/>
      <c r="L222" s="1"/>
      <c r="M222" s="1"/>
      <c r="N222" s="1"/>
      <c r="O222" s="3">
        <f ca="1">IF(FWD[[#This Row],[RAD/PACT]]="2019-2020",0,INDEX(UnitCosts[],MATCH(FWD[[#This Row],[WORK TYPE]],UnitCosts[Work Type],0),2)*FWD[[#This Row],[Dwelling Units]])</f>
        <v>268122.80779351032</v>
      </c>
      <c r="P222" s="3"/>
      <c r="Q222" s="3"/>
      <c r="R222" s="69">
        <f t="shared" ca="1" si="3"/>
        <v>1512487.6337069813</v>
      </c>
      <c r="S222" s="71">
        <f ca="1">SUM(INDEX(FWD[Dwelling Units],1):FWD[[#This Row],[Dwelling Units]])</f>
        <v>123761</v>
      </c>
      <c r="T222" s="71">
        <f ca="1">IF(ISBLANK(FWD[[#This Row],[CALENDAR YEAR]]),ROUNDDOWN(FWD[[#This Row],[Running count]]/3000,0)+$T$1,FWD[[#This Row],[CALENDAR YEAR]])</f>
        <v>2061</v>
      </c>
    </row>
    <row r="223" spans="1:20">
      <c r="A223" s="65" t="s">
        <v>252</v>
      </c>
      <c r="B223" s="1" t="str">
        <f>VLOOKUP(A223,Data[],2,FALSE)</f>
        <v>MANHATTAN</v>
      </c>
      <c r="C223" s="1">
        <f>VLOOKUP(FWD[[#This Row],[DEVELOPMENT]],Data[],25,FALSE)</f>
        <v>0</v>
      </c>
      <c r="D223" s="9" t="s">
        <v>49</v>
      </c>
      <c r="E223" s="50">
        <f>VLOOKUP(FWD[[#This Row],[DEVELOPMENT]],Data[],7,FALSE)</f>
        <v>40</v>
      </c>
      <c r="F223" s="50" t="e">
        <f>VLOOKUP(FWD[[#This Row],[DEVELOPMENT]],all[[DEVELOPMENT]:[MRST Ext. Comp. Priority]],5,FALSE)</f>
        <v>#N/A</v>
      </c>
      <c r="G223" s="50" t="str">
        <f>VLOOKUP(FWD[[#This Row],[DEVELOPMENT]],Data[],8,FALSE)</f>
        <v>Zone 4</v>
      </c>
      <c r="H223" s="9">
        <f>VLOOKUP(FWD[[#This Row],[DEVELOPMENT]],Data[],9,FALSE)</f>
        <v>0</v>
      </c>
      <c r="I223" s="1" t="str">
        <f ca="1">IFERROR(VLOOKUP(FWD[[#This Row],[DEVELOPMENT]],Data[],4,FALSE),"")</f>
        <v/>
      </c>
      <c r="J223" s="51" t="str">
        <f ca="1">IF(FWD[[#This Row],[RAD/PACT]]="","",IF(OR(FWD[[#This Row],[RAD/PACT]]="2021-2025",FWD[[#This Row],[RAD/PACT]]="2019-2020"),"Yes",""))</f>
        <v/>
      </c>
      <c r="K223" s="1"/>
      <c r="L223" s="1"/>
      <c r="M223" s="1"/>
      <c r="N223" s="1"/>
      <c r="O223" s="3">
        <f ca="1">IF(FWD[[#This Row],[RAD/PACT]]="2019-2020",0,INDEX(UnitCosts[],MATCH(FWD[[#This Row],[WORK TYPE]],UnitCosts[Work Type],0),2)*FWD[[#This Row],[Dwelling Units]])</f>
        <v>68749.437895771873</v>
      </c>
      <c r="P223" s="3"/>
      <c r="Q223" s="3"/>
      <c r="R223" s="69">
        <f t="shared" ca="1" si="3"/>
        <v>1581237.0716027531</v>
      </c>
      <c r="S223" s="71">
        <f ca="1">SUM(INDEX(FWD[Dwelling Units],1):FWD[[#This Row],[Dwelling Units]])</f>
        <v>123801</v>
      </c>
      <c r="T223" s="71">
        <f ca="1">IF(ISBLANK(FWD[[#This Row],[CALENDAR YEAR]]),ROUNDDOWN(FWD[[#This Row],[Running count]]/3000,0)+$T$1,FWD[[#This Row],[CALENDAR YEAR]])</f>
        <v>2061</v>
      </c>
    </row>
    <row r="224" spans="1:20">
      <c r="A224" s="65" t="s">
        <v>356</v>
      </c>
      <c r="B224" s="1" t="str">
        <f>VLOOKUP(A224,Data[],2,FALSE)</f>
        <v>BROOKLYN</v>
      </c>
      <c r="C224" s="1">
        <f>VLOOKUP(FWD[[#This Row],[DEVELOPMENT]],Data[],25,FALSE)</f>
        <v>0</v>
      </c>
      <c r="D224" s="9" t="s">
        <v>49</v>
      </c>
      <c r="E224" s="50">
        <f>VLOOKUP(FWD[[#This Row],[DEVELOPMENT]],Data[],7,FALSE)</f>
        <v>227</v>
      </c>
      <c r="F224" s="50" t="e">
        <f>VLOOKUP(FWD[[#This Row],[DEVELOPMENT]],all[[DEVELOPMENT]:[MRST Ext. Comp. Priority]],5,FALSE)</f>
        <v>#N/A</v>
      </c>
      <c r="G224" s="50">
        <f>VLOOKUP(FWD[[#This Row],[DEVELOPMENT]],Data[],8,FALSE)</f>
        <v>0</v>
      </c>
      <c r="H224" s="9">
        <f>VLOOKUP(FWD[[#This Row],[DEVELOPMENT]],Data[],9,FALSE)</f>
        <v>0</v>
      </c>
      <c r="I224" s="1" t="str">
        <f ca="1">IFERROR(VLOOKUP(FWD[[#This Row],[DEVELOPMENT]],Data[],4,FALSE),"")</f>
        <v>2020-2021</v>
      </c>
      <c r="J224" s="51" t="str">
        <f ca="1">IF(FWD[[#This Row],[RAD/PACT]]="","",IF(OR(FWD[[#This Row],[RAD/PACT]]="2021-2025",FWD[[#This Row],[RAD/PACT]]="2019-2020"),"Yes",""))</f>
        <v/>
      </c>
      <c r="K224" s="1"/>
      <c r="L224" s="1"/>
      <c r="M224" s="1"/>
      <c r="N224" s="1"/>
      <c r="O224" s="3">
        <f ca="1">IF(FWD[[#This Row],[RAD/PACT]]="2019-2020",0,INDEX(UnitCosts[],MATCH(FWD[[#This Row],[WORK TYPE]],UnitCosts[Work Type],0),2)*FWD[[#This Row],[Dwelling Units]])</f>
        <v>390153.06005850539</v>
      </c>
      <c r="P224" s="3"/>
      <c r="Q224" s="3"/>
      <c r="R224" s="69">
        <f t="shared" ca="1" si="3"/>
        <v>1971390.1316612586</v>
      </c>
      <c r="S224" s="71">
        <f ca="1">SUM(INDEX(FWD[Dwelling Units],1):FWD[[#This Row],[Dwelling Units]])</f>
        <v>124028</v>
      </c>
      <c r="T224" s="71">
        <f ca="1">IF(ISBLANK(FWD[[#This Row],[CALENDAR YEAR]]),ROUNDDOWN(FWD[[#This Row],[Running count]]/3000,0)+$T$1,FWD[[#This Row],[CALENDAR YEAR]])</f>
        <v>2061</v>
      </c>
    </row>
    <row r="225" spans="1:20">
      <c r="A225" s="65" t="s">
        <v>357</v>
      </c>
      <c r="B225" s="1" t="str">
        <f>VLOOKUP(A225,Data[],2,FALSE)</f>
        <v>STATEN ISLAND</v>
      </c>
      <c r="C225" s="1">
        <f>VLOOKUP(FWD[[#This Row],[DEVELOPMENT]],Data[],25,FALSE)</f>
        <v>0</v>
      </c>
      <c r="D225" s="9" t="s">
        <v>49</v>
      </c>
      <c r="E225" s="50">
        <f>VLOOKUP(FWD[[#This Row],[DEVELOPMENT]],Data[],7,FALSE)</f>
        <v>488</v>
      </c>
      <c r="F225" s="50" t="e">
        <f>VLOOKUP(FWD[[#This Row],[DEVELOPMENT]],all[[DEVELOPMENT]:[MRST Ext. Comp. Priority]],5,FALSE)</f>
        <v>#N/A</v>
      </c>
      <c r="G225" s="50">
        <f>VLOOKUP(FWD[[#This Row],[DEVELOPMENT]],Data[],8,FALSE)</f>
        <v>0</v>
      </c>
      <c r="H225" s="9">
        <f>VLOOKUP(FWD[[#This Row],[DEVELOPMENT]],Data[],9,FALSE)</f>
        <v>0</v>
      </c>
      <c r="I225" s="1" t="str">
        <f ca="1">IFERROR(VLOOKUP(FWD[[#This Row],[DEVELOPMENT]],Data[],4,FALSE),"")</f>
        <v/>
      </c>
      <c r="J225" s="51" t="str">
        <f ca="1">IF(FWD[[#This Row],[RAD/PACT]]="","",IF(OR(FWD[[#This Row],[RAD/PACT]]="2021-2025",FWD[[#This Row],[RAD/PACT]]="2019-2020"),"Yes",""))</f>
        <v/>
      </c>
      <c r="K225" s="1"/>
      <c r="L225" s="1"/>
      <c r="M225" s="1"/>
      <c r="N225" s="1"/>
      <c r="O225" s="3">
        <f ca="1">IF(FWD[[#This Row],[RAD/PACT]]="2019-2020",0,INDEX(UnitCosts[],MATCH(FWD[[#This Row],[WORK TYPE]],UnitCosts[Work Type],0),2)*FWD[[#This Row],[Dwelling Units]])</f>
        <v>838743.14232841693</v>
      </c>
      <c r="P225" s="3"/>
      <c r="Q225" s="3"/>
      <c r="R225" s="69">
        <f t="shared" ca="1" si="3"/>
        <v>2810133.2739896756</v>
      </c>
      <c r="S225" s="71">
        <f ca="1">SUM(INDEX(FWD[Dwelling Units],1):FWD[[#This Row],[Dwelling Units]])</f>
        <v>124516</v>
      </c>
      <c r="T225" s="71">
        <f ca="1">IF(ISBLANK(FWD[[#This Row],[CALENDAR YEAR]]),ROUNDDOWN(FWD[[#This Row],[Running count]]/3000,0)+$T$1,FWD[[#This Row],[CALENDAR YEAR]])</f>
        <v>2061</v>
      </c>
    </row>
    <row r="226" spans="1:20">
      <c r="A226" s="65" t="s">
        <v>55</v>
      </c>
      <c r="B226" s="1" t="str">
        <f>VLOOKUP(A226,Data[],2,FALSE)</f>
        <v>MANHATTAN</v>
      </c>
      <c r="C226" s="1" t="str">
        <f>VLOOKUP(FWD[[#This Row],[DEVELOPMENT]],Data[],25,FALSE)</f>
        <v>Newtown Creek</v>
      </c>
      <c r="D226" s="9" t="s">
        <v>49</v>
      </c>
      <c r="E226" s="50">
        <f>VLOOKUP(FWD[[#This Row],[DEVELOPMENT]],Data[],7,FALSE)</f>
        <v>1191</v>
      </c>
      <c r="F226" s="50" t="e">
        <f>VLOOKUP(FWD[[#This Row],[DEVELOPMENT]],all[[DEVELOPMENT]:[MRST Ext. Comp. Priority]],5,FALSE)</f>
        <v>#N/A</v>
      </c>
      <c r="G226" s="50" t="str">
        <f>VLOOKUP(FWD[[#This Row],[DEVELOPMENT]],Data[],8,FALSE)</f>
        <v>Zone 1</v>
      </c>
      <c r="H226" s="9">
        <f>VLOOKUP(FWD[[#This Row],[DEVELOPMENT]],Data[],9,FALSE)</f>
        <v>4</v>
      </c>
      <c r="I226" s="1" t="str">
        <f ca="1">IFERROR(VLOOKUP(FWD[[#This Row],[DEVELOPMENT]],Data[],4,FALSE),"")</f>
        <v/>
      </c>
      <c r="J226" s="51" t="str">
        <f ca="1">IF(FWD[[#This Row],[RAD/PACT]]="","",IF(OR(FWD[[#This Row],[RAD/PACT]]="2021-2025",FWD[[#This Row],[RAD/PACT]]="2019-2020"),"Yes",""))</f>
        <v/>
      </c>
      <c r="K226" s="1"/>
      <c r="L226" s="1"/>
      <c r="M226" s="1"/>
      <c r="N226" s="1"/>
      <c r="O226" s="3">
        <f ca="1">IF(FWD[[#This Row],[RAD/PACT]]="2019-2020",0,INDEX(UnitCosts[],MATCH(FWD[[#This Row],[WORK TYPE]],UnitCosts[Work Type],0),2)*FWD[[#This Row],[Dwelling Units]])</f>
        <v>2047014.5133466078</v>
      </c>
      <c r="P226" s="3"/>
      <c r="Q226" s="3"/>
      <c r="R226" s="69">
        <f t="shared" ca="1" si="3"/>
        <v>4857147.7873362834</v>
      </c>
      <c r="S226" s="71">
        <f ca="1">SUM(INDEX(FWD[Dwelling Units],1):FWD[[#This Row],[Dwelling Units]])</f>
        <v>125707</v>
      </c>
      <c r="T226" s="71">
        <f ca="1">IF(ISBLANK(FWD[[#This Row],[CALENDAR YEAR]]),ROUNDDOWN(FWD[[#This Row],[Running count]]/3000,0)+$T$1,FWD[[#This Row],[CALENDAR YEAR]])</f>
        <v>2061</v>
      </c>
    </row>
    <row r="227" spans="1:20">
      <c r="A227" s="65" t="s">
        <v>104</v>
      </c>
      <c r="B227" s="1" t="str">
        <f>VLOOKUP(A227,Data[],2,FALSE)</f>
        <v>MANHATTAN</v>
      </c>
      <c r="C227" s="1" t="str">
        <f>VLOOKUP(FWD[[#This Row],[DEVELOPMENT]],Data[],25,FALSE)</f>
        <v>Newtown Creek</v>
      </c>
      <c r="D227" s="9" t="s">
        <v>49</v>
      </c>
      <c r="E227" s="50">
        <f>VLOOKUP(FWD[[#This Row],[DEVELOPMENT]],Data[],7,FALSE)</f>
        <v>577</v>
      </c>
      <c r="F227" s="50" t="e">
        <f>VLOOKUP(FWD[[#This Row],[DEVELOPMENT]],all[[DEVELOPMENT]:[MRST Ext. Comp. Priority]],5,FALSE)</f>
        <v>#N/A</v>
      </c>
      <c r="G227" s="50" t="str">
        <f>VLOOKUP(FWD[[#This Row],[DEVELOPMENT]],Data[],8,FALSE)</f>
        <v>Zone 1</v>
      </c>
      <c r="H227" s="9">
        <f>VLOOKUP(FWD[[#This Row],[DEVELOPMENT]],Data[],9,FALSE)</f>
        <v>3</v>
      </c>
      <c r="I227" s="1" t="str">
        <f ca="1">IFERROR(VLOOKUP(FWD[[#This Row],[DEVELOPMENT]],Data[],4,FALSE),"")</f>
        <v/>
      </c>
      <c r="J227" s="51" t="str">
        <f ca="1">IF(FWD[[#This Row],[RAD/PACT]]="","",IF(OR(FWD[[#This Row],[RAD/PACT]]="2021-2025",FWD[[#This Row],[RAD/PACT]]="2019-2020"),"Yes",""))</f>
        <v/>
      </c>
      <c r="K227" s="1"/>
      <c r="L227" s="1"/>
      <c r="M227" s="1"/>
      <c r="N227" s="1"/>
      <c r="O227" s="3">
        <f ca="1">IF(FWD[[#This Row],[RAD/PACT]]="2019-2020",0,INDEX(UnitCosts[],MATCH(FWD[[#This Row],[WORK TYPE]],UnitCosts[Work Type],0),2)*FWD[[#This Row],[Dwelling Units]])</f>
        <v>991710.64164650941</v>
      </c>
      <c r="P227" s="3"/>
      <c r="Q227" s="3"/>
      <c r="R227" s="69">
        <f t="shared" ca="1" si="3"/>
        <v>991710.64164650941</v>
      </c>
      <c r="S227" s="71">
        <f ca="1">SUM(INDEX(FWD[Dwelling Units],1):FWD[[#This Row],[Dwelling Units]])</f>
        <v>126284</v>
      </c>
      <c r="T227" s="71">
        <f ca="1">IF(ISBLANK(FWD[[#This Row],[CALENDAR YEAR]]),ROUNDDOWN(FWD[[#This Row],[Running count]]/3000,0)+$T$1,FWD[[#This Row],[CALENDAR YEAR]])</f>
        <v>2062</v>
      </c>
    </row>
    <row r="228" spans="1:20">
      <c r="A228" s="65" t="s">
        <v>195</v>
      </c>
      <c r="B228" s="1" t="str">
        <f>VLOOKUP(A228,Data[],2,FALSE)</f>
        <v>MANHATTAN</v>
      </c>
      <c r="C228" s="1">
        <f>VLOOKUP(FWD[[#This Row],[DEVELOPMENT]],Data[],25,FALSE)</f>
        <v>0</v>
      </c>
      <c r="D228" s="9" t="s">
        <v>49</v>
      </c>
      <c r="E228" s="50">
        <f>VLOOKUP(FWD[[#This Row],[DEVELOPMENT]],Data[],7,FALSE)</f>
        <v>150</v>
      </c>
      <c r="F228" s="50" t="e">
        <f>VLOOKUP(FWD[[#This Row],[DEVELOPMENT]],all[[DEVELOPMENT]:[MRST Ext. Comp. Priority]],5,FALSE)</f>
        <v>#N/A</v>
      </c>
      <c r="G228" s="50">
        <f>VLOOKUP(FWD[[#This Row],[DEVELOPMENT]],Data[],8,FALSE)</f>
        <v>0</v>
      </c>
      <c r="H228" s="9">
        <f>VLOOKUP(FWD[[#This Row],[DEVELOPMENT]],Data[],9,FALSE)</f>
        <v>0</v>
      </c>
      <c r="I228" s="1" t="str">
        <f ca="1">IFERROR(VLOOKUP(FWD[[#This Row],[DEVELOPMENT]],Data[],4,FALSE),"")</f>
        <v/>
      </c>
      <c r="J228" s="51" t="str">
        <f ca="1">IF(FWD[[#This Row],[RAD/PACT]]="","",IF(OR(FWD[[#This Row],[RAD/PACT]]="2021-2025",FWD[[#This Row],[RAD/PACT]]="2019-2020"),"Yes",""))</f>
        <v/>
      </c>
      <c r="K228" s="1"/>
      <c r="L228" s="1"/>
      <c r="M228" s="1"/>
      <c r="N228" s="1"/>
      <c r="O228" s="3">
        <f ca="1">IF(FWD[[#This Row],[RAD/PACT]]="2019-2020",0,INDEX(UnitCosts[],MATCH(FWD[[#This Row],[WORK TYPE]],UnitCosts[Work Type],0),2)*FWD[[#This Row],[Dwelling Units]])</f>
        <v>257810.39210914454</v>
      </c>
      <c r="P228" s="3"/>
      <c r="Q228" s="3"/>
      <c r="R228" s="69">
        <f t="shared" ca="1" si="3"/>
        <v>1249521.033755654</v>
      </c>
      <c r="S228" s="71">
        <f ca="1">SUM(INDEX(FWD[Dwelling Units],1):FWD[[#This Row],[Dwelling Units]])</f>
        <v>126434</v>
      </c>
      <c r="T228" s="71">
        <f ca="1">IF(ISBLANK(FWD[[#This Row],[CALENDAR YEAR]]),ROUNDDOWN(FWD[[#This Row],[Running count]]/3000,0)+$T$1,FWD[[#This Row],[CALENDAR YEAR]])</f>
        <v>2062</v>
      </c>
    </row>
    <row r="229" spans="1:20">
      <c r="A229" s="65" t="s">
        <v>107</v>
      </c>
      <c r="B229" s="1" t="str">
        <f>VLOOKUP(A229,Data[],2,FALSE)</f>
        <v>MANHATTAN</v>
      </c>
      <c r="C229" s="1">
        <f>VLOOKUP(FWD[[#This Row],[DEVELOPMENT]],Data[],25,FALSE)</f>
        <v>0</v>
      </c>
      <c r="D229" s="9" t="s">
        <v>49</v>
      </c>
      <c r="E229" s="50">
        <f>VLOOKUP(FWD[[#This Row],[DEVELOPMENT]],Data[],7,FALSE)</f>
        <v>188</v>
      </c>
      <c r="F229" s="50" t="e">
        <f>VLOOKUP(FWD[[#This Row],[DEVELOPMENT]],all[[DEVELOPMENT]:[MRST Ext. Comp. Priority]],5,FALSE)</f>
        <v>#N/A</v>
      </c>
      <c r="G229" s="50" t="str">
        <f>VLOOKUP(FWD[[#This Row],[DEVELOPMENT]],Data[],8,FALSE)</f>
        <v>Zone 2</v>
      </c>
      <c r="H229" s="9">
        <f>VLOOKUP(FWD[[#This Row],[DEVELOPMENT]],Data[],9,FALSE)</f>
        <v>3</v>
      </c>
      <c r="I229" s="1" t="str">
        <f ca="1">IFERROR(VLOOKUP(FWD[[#This Row],[DEVELOPMENT]],Data[],4,FALSE),"")</f>
        <v/>
      </c>
      <c r="J229" s="51" t="str">
        <f ca="1">IF(FWD[[#This Row],[RAD/PACT]]="","",IF(OR(FWD[[#This Row],[RAD/PACT]]="2021-2025",FWD[[#This Row],[RAD/PACT]]="2019-2020"),"Yes",""))</f>
        <v/>
      </c>
      <c r="K229" s="1"/>
      <c r="L229" s="1"/>
      <c r="M229" s="1"/>
      <c r="N229" s="1"/>
      <c r="O229" s="3">
        <f ca="1">IF(FWD[[#This Row],[RAD/PACT]]="2019-2020",0,INDEX(UnitCosts[],MATCH(FWD[[#This Row],[WORK TYPE]],UnitCosts[Work Type],0),2)*FWD[[#This Row],[Dwelling Units]])</f>
        <v>323122.35811012785</v>
      </c>
      <c r="P229" s="3"/>
      <c r="Q229" s="3"/>
      <c r="R229" s="69">
        <f t="shared" ca="1" si="3"/>
        <v>1572643.391865782</v>
      </c>
      <c r="S229" s="71">
        <f ca="1">SUM(INDEX(FWD[Dwelling Units],1):FWD[[#This Row],[Dwelling Units]])</f>
        <v>126622</v>
      </c>
      <c r="T229" s="71">
        <f ca="1">IF(ISBLANK(FWD[[#This Row],[CALENDAR YEAR]]),ROUNDDOWN(FWD[[#This Row],[Running count]]/3000,0)+$T$1,FWD[[#This Row],[CALENDAR YEAR]])</f>
        <v>2062</v>
      </c>
    </row>
    <row r="230" spans="1:20">
      <c r="A230" s="65" t="s">
        <v>42</v>
      </c>
      <c r="B230" s="1" t="str">
        <f>VLOOKUP(A230,Data[],2,FALSE)</f>
        <v>BROOKLYN</v>
      </c>
      <c r="C230" s="1" t="str">
        <f>VLOOKUP(FWD[[#This Row],[DEVELOPMENT]],Data[],25,FALSE)</f>
        <v>Newtown Creek</v>
      </c>
      <c r="D230" s="9" t="s">
        <v>49</v>
      </c>
      <c r="E230" s="50">
        <f>VLOOKUP(FWD[[#This Row],[DEVELOPMENT]],Data[],7,FALSE)</f>
        <v>761</v>
      </c>
      <c r="F230" s="50" t="e">
        <f>VLOOKUP(FWD[[#This Row],[DEVELOPMENT]],all[[DEVELOPMENT]:[MRST Ext. Comp. Priority]],5,FALSE)</f>
        <v>#N/A</v>
      </c>
      <c r="G230" s="50" t="str">
        <f>VLOOKUP(FWD[[#This Row],[DEVELOPMENT]],Data[],8,FALSE)</f>
        <v>Zone 1</v>
      </c>
      <c r="H230" s="9">
        <f>VLOOKUP(FWD[[#This Row],[DEVELOPMENT]],Data[],9,FALSE)</f>
        <v>4</v>
      </c>
      <c r="I230" s="1" t="str">
        <f ca="1">IFERROR(VLOOKUP(FWD[[#This Row],[DEVELOPMENT]],Data[],4,FALSE),"")</f>
        <v/>
      </c>
      <c r="J230" s="51" t="str">
        <f ca="1">IF(FWD[[#This Row],[RAD/PACT]]="","",IF(OR(FWD[[#This Row],[RAD/PACT]]="2021-2025",FWD[[#This Row],[RAD/PACT]]="2019-2020"),"Yes",""))</f>
        <v/>
      </c>
      <c r="K230" s="1"/>
      <c r="L230" s="1"/>
      <c r="M230" s="1"/>
      <c r="N230" s="1"/>
      <c r="O230" s="3">
        <f ca="1">IF(FWD[[#This Row],[RAD/PACT]]="2019-2020",0,INDEX(UnitCosts[],MATCH(FWD[[#This Row],[WORK TYPE]],UnitCosts[Work Type],0),2)*FWD[[#This Row],[Dwelling Units]])</f>
        <v>1307958.0559670599</v>
      </c>
      <c r="P230" s="3"/>
      <c r="Q230" s="3"/>
      <c r="R230" s="69">
        <f t="shared" ca="1" si="3"/>
        <v>2880601.4478328419</v>
      </c>
      <c r="S230" s="71">
        <f ca="1">SUM(INDEX(FWD[Dwelling Units],1):FWD[[#This Row],[Dwelling Units]])</f>
        <v>127383</v>
      </c>
      <c r="T230" s="71">
        <f ca="1">IF(ISBLANK(FWD[[#This Row],[CALENDAR YEAR]]),ROUNDDOWN(FWD[[#This Row],[Running count]]/3000,0)+$T$1,FWD[[#This Row],[CALENDAR YEAR]])</f>
        <v>2062</v>
      </c>
    </row>
    <row r="231" spans="1:20">
      <c r="A231" s="65" t="s">
        <v>148</v>
      </c>
      <c r="B231" s="1" t="str">
        <f>VLOOKUP(A231,Data[],2,FALSE)</f>
        <v>BROOKLYN</v>
      </c>
      <c r="C231" s="1" t="str">
        <f>VLOOKUP(FWD[[#This Row],[DEVELOPMENT]],Data[],25,FALSE)</f>
        <v>Newtown Creek</v>
      </c>
      <c r="D231" s="9" t="s">
        <v>49</v>
      </c>
      <c r="E231" s="50">
        <f>VLOOKUP(FWD[[#This Row],[DEVELOPMENT]],Data[],7,FALSE)</f>
        <v>342</v>
      </c>
      <c r="F231" s="50" t="e">
        <f>VLOOKUP(FWD[[#This Row],[DEVELOPMENT]],all[[DEVELOPMENT]:[MRST Ext. Comp. Priority]],5,FALSE)</f>
        <v>#N/A</v>
      </c>
      <c r="G231" s="50" t="str">
        <f>VLOOKUP(FWD[[#This Row],[DEVELOPMENT]],Data[],8,FALSE)</f>
        <v>Zone 1</v>
      </c>
      <c r="H231" s="9">
        <f>VLOOKUP(FWD[[#This Row],[DEVELOPMENT]],Data[],9,FALSE)</f>
        <v>4</v>
      </c>
      <c r="I231" s="1" t="str">
        <f ca="1">IFERROR(VLOOKUP(FWD[[#This Row],[DEVELOPMENT]],Data[],4,FALSE),"")</f>
        <v/>
      </c>
      <c r="J231" s="51" t="str">
        <f ca="1">IF(FWD[[#This Row],[RAD/PACT]]="","",IF(OR(FWD[[#This Row],[RAD/PACT]]="2021-2025",FWD[[#This Row],[RAD/PACT]]="2019-2020"),"Yes",""))</f>
        <v/>
      </c>
      <c r="K231" s="1"/>
      <c r="L231" s="1"/>
      <c r="M231" s="1"/>
      <c r="N231" s="1"/>
      <c r="O231" s="3">
        <f ca="1">IF(FWD[[#This Row],[RAD/PACT]]="2019-2020",0,INDEX(UnitCosts[],MATCH(FWD[[#This Row],[WORK TYPE]],UnitCosts[Work Type],0),2)*FWD[[#This Row],[Dwelling Units]])</f>
        <v>587807.69400884956</v>
      </c>
      <c r="P231" s="3"/>
      <c r="Q231" s="3"/>
      <c r="R231" s="69">
        <f t="shared" ca="1" si="3"/>
        <v>3468409.1418416915</v>
      </c>
      <c r="S231" s="71">
        <f ca="1">SUM(INDEX(FWD[Dwelling Units],1):FWD[[#This Row],[Dwelling Units]])</f>
        <v>127725</v>
      </c>
      <c r="T231" s="71">
        <f ca="1">IF(ISBLANK(FWD[[#This Row],[CALENDAR YEAR]]),ROUNDDOWN(FWD[[#This Row],[Running count]]/3000,0)+$T$1,FWD[[#This Row],[CALENDAR YEAR]])</f>
        <v>2062</v>
      </c>
    </row>
    <row r="232" spans="1:20">
      <c r="A232" s="65" t="s">
        <v>43</v>
      </c>
      <c r="B232" s="1" t="str">
        <f>VLOOKUP(A232,Data[],2,FALSE)</f>
        <v>MANHATTAN</v>
      </c>
      <c r="C232" s="1" t="str">
        <f>VLOOKUP(FWD[[#This Row],[DEVELOPMENT]],Data[],25,FALSE)</f>
        <v>Newtown Creek</v>
      </c>
      <c r="D232" s="9" t="s">
        <v>49</v>
      </c>
      <c r="E232" s="50">
        <f>VLOOKUP(FWD[[#This Row],[DEVELOPMENT]],Data[],7,FALSE)</f>
        <v>721</v>
      </c>
      <c r="F232" s="50" t="e">
        <f>VLOOKUP(FWD[[#This Row],[DEVELOPMENT]],all[[DEVELOPMENT]:[MRST Ext. Comp. Priority]],5,FALSE)</f>
        <v>#N/A</v>
      </c>
      <c r="G232" s="50" t="str">
        <f>VLOOKUP(FWD[[#This Row],[DEVELOPMENT]],Data[],8,FALSE)</f>
        <v>Zone 1</v>
      </c>
      <c r="H232" s="9">
        <f>VLOOKUP(FWD[[#This Row],[DEVELOPMENT]],Data[],9,FALSE)</f>
        <v>4</v>
      </c>
      <c r="I232" s="1" t="str">
        <f ca="1">IFERROR(VLOOKUP(FWD[[#This Row],[DEVELOPMENT]],Data[],4,FALSE),"")</f>
        <v/>
      </c>
      <c r="J232" s="51" t="str">
        <f ca="1">IF(FWD[[#This Row],[RAD/PACT]]="","",IF(OR(FWD[[#This Row],[RAD/PACT]]="2021-2025",FWD[[#This Row],[RAD/PACT]]="2019-2020"),"Yes",""))</f>
        <v/>
      </c>
      <c r="K232" s="1"/>
      <c r="L232" s="1"/>
      <c r="M232" s="1"/>
      <c r="N232" s="1"/>
      <c r="O232" s="3">
        <f ca="1">IF(FWD[[#This Row],[RAD/PACT]]="2019-2020",0,INDEX(UnitCosts[],MATCH(FWD[[#This Row],[WORK TYPE]],UnitCosts[Work Type],0),2)*FWD[[#This Row],[Dwelling Units]])</f>
        <v>1239208.6180712881</v>
      </c>
      <c r="P232" s="3"/>
      <c r="Q232" s="3"/>
      <c r="R232" s="69">
        <f t="shared" ca="1" si="3"/>
        <v>4707617.7599129798</v>
      </c>
      <c r="S232" s="71">
        <f ca="1">SUM(INDEX(FWD[Dwelling Units],1):FWD[[#This Row],[Dwelling Units]])</f>
        <v>128446</v>
      </c>
      <c r="T232" s="71">
        <f ca="1">IF(ISBLANK(FWD[[#This Row],[CALENDAR YEAR]]),ROUNDDOWN(FWD[[#This Row],[Running count]]/3000,0)+$T$1,FWD[[#This Row],[CALENDAR YEAR]])</f>
        <v>2062</v>
      </c>
    </row>
    <row r="233" spans="1:20">
      <c r="A233" s="65" t="s">
        <v>216</v>
      </c>
      <c r="B233" s="1" t="str">
        <f>VLOOKUP(A233,Data[],2,FALSE)</f>
        <v>BROOKLYN</v>
      </c>
      <c r="C233" s="1">
        <f>VLOOKUP(FWD[[#This Row],[DEVELOPMENT]],Data[],25,FALSE)</f>
        <v>0</v>
      </c>
      <c r="D233" s="9" t="s">
        <v>49</v>
      </c>
      <c r="E233" s="50">
        <f>VLOOKUP(FWD[[#This Row],[DEVELOPMENT]],Data[],7,FALSE)</f>
        <v>60</v>
      </c>
      <c r="F233" s="50" t="e">
        <f>VLOOKUP(FWD[[#This Row],[DEVELOPMENT]],all[[DEVELOPMENT]:[MRST Ext. Comp. Priority]],5,FALSE)</f>
        <v>#N/A</v>
      </c>
      <c r="G233" s="50">
        <f>VLOOKUP(FWD[[#This Row],[DEVELOPMENT]],Data[],8,FALSE)</f>
        <v>0</v>
      </c>
      <c r="H233" s="9">
        <f>VLOOKUP(FWD[[#This Row],[DEVELOPMENT]],Data[],9,FALSE)</f>
        <v>0</v>
      </c>
      <c r="I233" s="1" t="str">
        <f ca="1">IFERROR(VLOOKUP(FWD[[#This Row],[DEVELOPMENT]],Data[],4,FALSE),"")</f>
        <v>2020-2021</v>
      </c>
      <c r="J233" s="51" t="str">
        <f ca="1">IF(FWD[[#This Row],[RAD/PACT]]="","",IF(OR(FWD[[#This Row],[RAD/PACT]]="2021-2025",FWD[[#This Row],[RAD/PACT]]="2019-2020"),"Yes",""))</f>
        <v/>
      </c>
      <c r="K233" s="1"/>
      <c r="L233" s="1"/>
      <c r="M233" s="1"/>
      <c r="N233" s="1"/>
      <c r="O233" s="3">
        <f ca="1">IF(FWD[[#This Row],[RAD/PACT]]="2019-2020",0,INDEX(UnitCosts[],MATCH(FWD[[#This Row],[WORK TYPE]],UnitCosts[Work Type],0),2)*FWD[[#This Row],[Dwelling Units]])</f>
        <v>103124.15684365782</v>
      </c>
      <c r="P233" s="3"/>
      <c r="Q233" s="3"/>
      <c r="R233" s="69">
        <f t="shared" ca="1" si="3"/>
        <v>4810741.9167566374</v>
      </c>
      <c r="S233" s="71">
        <f ca="1">SUM(INDEX(FWD[Dwelling Units],1):FWD[[#This Row],[Dwelling Units]])</f>
        <v>128506</v>
      </c>
      <c r="T233" s="71">
        <f ca="1">IF(ISBLANK(FWD[[#This Row],[CALENDAR YEAR]]),ROUNDDOWN(FWD[[#This Row],[Running count]]/3000,0)+$T$1,FWD[[#This Row],[CALENDAR YEAR]])</f>
        <v>2062</v>
      </c>
    </row>
    <row r="234" spans="1:20">
      <c r="A234" s="65" t="s">
        <v>253</v>
      </c>
      <c r="B234" s="1" t="str">
        <f>VLOOKUP(A234,Data[],2,FALSE)</f>
        <v>BRONX</v>
      </c>
      <c r="C234" s="1">
        <f>VLOOKUP(FWD[[#This Row],[DEVELOPMENT]],Data[],25,FALSE)</f>
        <v>0</v>
      </c>
      <c r="D234" s="9" t="s">
        <v>49</v>
      </c>
      <c r="E234" s="50">
        <f>VLOOKUP(FWD[[#This Row],[DEVELOPMENT]],Data[],7,FALSE)</f>
        <v>411</v>
      </c>
      <c r="F234" s="50" t="e">
        <f>VLOOKUP(FWD[[#This Row],[DEVELOPMENT]],all[[DEVELOPMENT]:[MRST Ext. Comp. Priority]],5,FALSE)</f>
        <v>#N/A</v>
      </c>
      <c r="G234" s="50">
        <f>VLOOKUP(FWD[[#This Row],[DEVELOPMENT]],Data[],8,FALSE)</f>
        <v>0</v>
      </c>
      <c r="H234" s="9">
        <f>VLOOKUP(FWD[[#This Row],[DEVELOPMENT]],Data[],9,FALSE)</f>
        <v>0</v>
      </c>
      <c r="I234" s="1" t="str">
        <f ca="1">IFERROR(VLOOKUP(FWD[[#This Row],[DEVELOPMENT]],Data[],4,FALSE),"")</f>
        <v>2022-2025</v>
      </c>
      <c r="J234" s="51" t="str">
        <f ca="1">IF(FWD[[#This Row],[RAD/PACT]]="","",IF(OR(FWD[[#This Row],[RAD/PACT]]="2021-2025",FWD[[#This Row],[RAD/PACT]]="2019-2020"),"Yes",""))</f>
        <v/>
      </c>
      <c r="K234" s="1"/>
      <c r="L234" s="1"/>
      <c r="M234" s="1"/>
      <c r="N234" s="1"/>
      <c r="O234" s="3">
        <f ca="1">IF(FWD[[#This Row],[RAD/PACT]]="2019-2020",0,INDEX(UnitCosts[],MATCH(FWD[[#This Row],[WORK TYPE]],UnitCosts[Work Type],0),2)*FWD[[#This Row],[Dwelling Units]])</f>
        <v>706400.47437905602</v>
      </c>
      <c r="P234" s="3"/>
      <c r="Q234" s="3"/>
      <c r="R234" s="69">
        <f t="shared" ca="1" si="3"/>
        <v>5517142.3911356935</v>
      </c>
      <c r="S234" s="71">
        <f ca="1">SUM(INDEX(FWD[Dwelling Units],1):FWD[[#This Row],[Dwelling Units]])</f>
        <v>128917</v>
      </c>
      <c r="T234" s="71">
        <f ca="1">IF(ISBLANK(FWD[[#This Row],[CALENDAR YEAR]]),ROUNDDOWN(FWD[[#This Row],[Running count]]/3000,0)+$T$1,FWD[[#This Row],[CALENDAR YEAR]])</f>
        <v>2062</v>
      </c>
    </row>
    <row r="235" spans="1:20">
      <c r="A235" s="65" t="s">
        <v>123</v>
      </c>
      <c r="B235" s="1" t="str">
        <f>VLOOKUP(A235,Data[],2,FALSE)</f>
        <v>BRONX</v>
      </c>
      <c r="C235" s="1">
        <f>VLOOKUP(FWD[[#This Row],[DEVELOPMENT]],Data[],25,FALSE)</f>
        <v>0</v>
      </c>
      <c r="D235" s="9" t="s">
        <v>49</v>
      </c>
      <c r="E235" s="50">
        <f>VLOOKUP(FWD[[#This Row],[DEVELOPMENT]],Data[],7,FALSE)</f>
        <v>1005</v>
      </c>
      <c r="F235" s="50" t="e">
        <f>VLOOKUP(FWD[[#This Row],[DEVELOPMENT]],all[[DEVELOPMENT]:[MRST Ext. Comp. Priority]],5,FALSE)</f>
        <v>#N/A</v>
      </c>
      <c r="G235" s="50" t="str">
        <f>VLOOKUP(FWD[[#This Row],[DEVELOPMENT]],Data[],8,FALSE)</f>
        <v>Zone 3</v>
      </c>
      <c r="H235" s="9">
        <f>VLOOKUP(FWD[[#This Row],[DEVELOPMENT]],Data[],9,FALSE)</f>
        <v>4</v>
      </c>
      <c r="I235" s="1" t="str">
        <f ca="1">IFERROR(VLOOKUP(FWD[[#This Row],[DEVELOPMENT]],Data[],4,FALSE),"")</f>
        <v>2026+</v>
      </c>
      <c r="J235" s="51" t="str">
        <f ca="1">IF(FWD[[#This Row],[RAD/PACT]]="","",IF(OR(FWD[[#This Row],[RAD/PACT]]="2021-2025",FWD[[#This Row],[RAD/PACT]]="2019-2020"),"Yes",""))</f>
        <v/>
      </c>
      <c r="K235" s="1"/>
      <c r="L235" s="1"/>
      <c r="M235" s="1"/>
      <c r="N235" s="1"/>
      <c r="O235" s="3">
        <f ca="1">IF(FWD[[#This Row],[RAD/PACT]]="2019-2020",0,INDEX(UnitCosts[],MATCH(FWD[[#This Row],[WORK TYPE]],UnitCosts[Work Type],0),2)*FWD[[#This Row],[Dwelling Units]])</f>
        <v>1727329.6271312684</v>
      </c>
      <c r="P235" s="3"/>
      <c r="Q235" s="3"/>
      <c r="R235" s="69">
        <f t="shared" ca="1" si="3"/>
        <v>1727329.6271312684</v>
      </c>
      <c r="S235" s="71">
        <f ca="1">SUM(INDEX(FWD[Dwelling Units],1):FWD[[#This Row],[Dwelling Units]])</f>
        <v>129922</v>
      </c>
      <c r="T235" s="71">
        <f ca="1">IF(ISBLANK(FWD[[#This Row],[CALENDAR YEAR]]),ROUNDDOWN(FWD[[#This Row],[Running count]]/3000,0)+$T$1,FWD[[#This Row],[CALENDAR YEAR]])</f>
        <v>2063</v>
      </c>
    </row>
    <row r="236" spans="1:20">
      <c r="A236" s="65" t="s">
        <v>136</v>
      </c>
      <c r="B236" s="1" t="str">
        <f>VLOOKUP(A236,Data[],2,FALSE)</f>
        <v>MANHATTAN</v>
      </c>
      <c r="C236" s="1">
        <f>VLOOKUP(FWD[[#This Row],[DEVELOPMENT]],Data[],25,FALSE)</f>
        <v>0</v>
      </c>
      <c r="D236" s="9" t="s">
        <v>49</v>
      </c>
      <c r="E236" s="50">
        <f>VLOOKUP(FWD[[#This Row],[DEVELOPMENT]],Data[],7,FALSE)</f>
        <v>1525</v>
      </c>
      <c r="F236" s="50" t="e">
        <f>VLOOKUP(FWD[[#This Row],[DEVELOPMENT]],all[[DEVELOPMENT]:[MRST Ext. Comp. Priority]],5,FALSE)</f>
        <v>#N/A</v>
      </c>
      <c r="G236" s="50" t="str">
        <f>VLOOKUP(FWD[[#This Row],[DEVELOPMENT]],Data[],8,FALSE)</f>
        <v>Zone 2</v>
      </c>
      <c r="H236" s="9">
        <f>VLOOKUP(FWD[[#This Row],[DEVELOPMENT]],Data[],9,FALSE)</f>
        <v>4</v>
      </c>
      <c r="I236" s="1" t="str">
        <f ca="1">IFERROR(VLOOKUP(FWD[[#This Row],[DEVELOPMENT]],Data[],4,FALSE),"")</f>
        <v>2026+</v>
      </c>
      <c r="J236" s="51" t="str">
        <f ca="1">IF(FWD[[#This Row],[RAD/PACT]]="","",IF(OR(FWD[[#This Row],[RAD/PACT]]="2021-2025",FWD[[#This Row],[RAD/PACT]]="2019-2020"),"Yes",""))</f>
        <v/>
      </c>
      <c r="K236" s="1"/>
      <c r="L236" s="1"/>
      <c r="M236" s="1"/>
      <c r="N236" s="1"/>
      <c r="O236" s="3">
        <f ca="1">IF(FWD[[#This Row],[RAD/PACT]]="2019-2020",0,INDEX(UnitCosts[],MATCH(FWD[[#This Row],[WORK TYPE]],UnitCosts[Work Type],0),2)*FWD[[#This Row],[Dwelling Units]])</f>
        <v>2621072.3197763031</v>
      </c>
      <c r="P236" s="3"/>
      <c r="Q236" s="3"/>
      <c r="R236" s="69">
        <f t="shared" ca="1" si="3"/>
        <v>4348401.9469075715</v>
      </c>
      <c r="S236" s="71">
        <f ca="1">SUM(INDEX(FWD[Dwelling Units],1):FWD[[#This Row],[Dwelling Units]])</f>
        <v>131447</v>
      </c>
      <c r="T236" s="71">
        <f ca="1">IF(ISBLANK(FWD[[#This Row],[CALENDAR YEAR]]),ROUNDDOWN(FWD[[#This Row],[Running count]]/3000,0)+$T$1,FWD[[#This Row],[CALENDAR YEAR]])</f>
        <v>2063</v>
      </c>
    </row>
    <row r="237" spans="1:20">
      <c r="A237" s="65" t="s">
        <v>95</v>
      </c>
      <c r="B237" s="1" t="str">
        <f>VLOOKUP(A237,Data[],2,FALSE)</f>
        <v>MANHATTAN</v>
      </c>
      <c r="C237" s="1">
        <f>VLOOKUP(FWD[[#This Row],[DEVELOPMENT]],Data[],25,FALSE)</f>
        <v>0</v>
      </c>
      <c r="D237" s="9" t="s">
        <v>49</v>
      </c>
      <c r="E237" s="50">
        <f>VLOOKUP(FWD[[#This Row],[DEVELOPMENT]],Data[],7,FALSE)</f>
        <v>664</v>
      </c>
      <c r="F237" s="50" t="e">
        <f>VLOOKUP(FWD[[#This Row],[DEVELOPMENT]],all[[DEVELOPMENT]:[MRST Ext. Comp. Priority]],5,FALSE)</f>
        <v>#N/A</v>
      </c>
      <c r="G237" s="50" t="str">
        <f>VLOOKUP(FWD[[#This Row],[DEVELOPMENT]],Data[],8,FALSE)</f>
        <v>Zone 2</v>
      </c>
      <c r="H237" s="9">
        <f>VLOOKUP(FWD[[#This Row],[DEVELOPMENT]],Data[],9,FALSE)</f>
        <v>3</v>
      </c>
      <c r="I237" s="1" t="str">
        <f ca="1">IFERROR(VLOOKUP(FWD[[#This Row],[DEVELOPMENT]],Data[],4,FALSE),"")</f>
        <v>2020-2021</v>
      </c>
      <c r="J237" s="51" t="str">
        <f ca="1">IF(FWD[[#This Row],[RAD/PACT]]="","",IF(OR(FWD[[#This Row],[RAD/PACT]]="2021-2025",FWD[[#This Row],[RAD/PACT]]="2019-2020"),"Yes",""))</f>
        <v/>
      </c>
      <c r="K237" s="1"/>
      <c r="L237" s="1"/>
      <c r="M237" s="1"/>
      <c r="N237" s="1"/>
      <c r="O237" s="3">
        <f ca="1">IF(FWD[[#This Row],[RAD/PACT]]="2019-2020",0,INDEX(UnitCosts[],MATCH(FWD[[#This Row],[WORK TYPE]],UnitCosts[Work Type],0),2)*FWD[[#This Row],[Dwelling Units]])</f>
        <v>1141240.6690698131</v>
      </c>
      <c r="P237" s="3"/>
      <c r="Q237" s="3"/>
      <c r="R237" s="69">
        <f t="shared" ca="1" si="3"/>
        <v>1141240.6690698131</v>
      </c>
      <c r="S237" s="71">
        <f ca="1">SUM(INDEX(FWD[Dwelling Units],1):FWD[[#This Row],[Dwelling Units]])</f>
        <v>132111</v>
      </c>
      <c r="T237" s="71">
        <f ca="1">IF(ISBLANK(FWD[[#This Row],[CALENDAR YEAR]]),ROUNDDOWN(FWD[[#This Row],[Running count]]/3000,0)+$T$1,FWD[[#This Row],[CALENDAR YEAR]])</f>
        <v>2064</v>
      </c>
    </row>
    <row r="238" spans="1:20">
      <c r="A238" s="65" t="s">
        <v>358</v>
      </c>
      <c r="B238" s="1" t="str">
        <f>VLOOKUP(A238,Data[],2,FALSE)</f>
        <v>MANHATTAN</v>
      </c>
      <c r="C238" s="1">
        <f>VLOOKUP(FWD[[#This Row],[DEVELOPMENT]],Data[],25,FALSE)</f>
        <v>0</v>
      </c>
      <c r="D238" s="9" t="s">
        <v>49</v>
      </c>
      <c r="E238" s="50">
        <f>VLOOKUP(FWD[[#This Row],[DEVELOPMENT]],Data[],7,FALSE)</f>
        <v>24</v>
      </c>
      <c r="F238" s="50" t="e">
        <f>VLOOKUP(FWD[[#This Row],[DEVELOPMENT]],all[[DEVELOPMENT]:[MRST Ext. Comp. Priority]],5,FALSE)</f>
        <v>#N/A</v>
      </c>
      <c r="G238" s="50">
        <f>VLOOKUP(FWD[[#This Row],[DEVELOPMENT]],Data[],8,FALSE)</f>
        <v>0</v>
      </c>
      <c r="H238" s="9">
        <f>VLOOKUP(FWD[[#This Row],[DEVELOPMENT]],Data[],9,FALSE)</f>
        <v>0</v>
      </c>
      <c r="I238" s="1" t="str">
        <f ca="1">IFERROR(VLOOKUP(FWD[[#This Row],[DEVELOPMENT]],Data[],4,FALSE),"")</f>
        <v>2020-2021</v>
      </c>
      <c r="J238" s="51" t="str">
        <f ca="1">IF(FWD[[#This Row],[RAD/PACT]]="","",IF(OR(FWD[[#This Row],[RAD/PACT]]="2021-2025",FWD[[#This Row],[RAD/PACT]]="2019-2020"),"Yes",""))</f>
        <v/>
      </c>
      <c r="K238" s="1"/>
      <c r="L238" s="1"/>
      <c r="M238" s="1"/>
      <c r="N238" s="1"/>
      <c r="O238" s="3">
        <f ca="1">IF(FWD[[#This Row],[RAD/PACT]]="2019-2020",0,INDEX(UnitCosts[],MATCH(FWD[[#This Row],[WORK TYPE]],UnitCosts[Work Type],0),2)*FWD[[#This Row],[Dwelling Units]])</f>
        <v>41249.662737463128</v>
      </c>
      <c r="P238" s="3"/>
      <c r="Q238" s="3"/>
      <c r="R238" s="69">
        <f t="shared" ca="1" si="3"/>
        <v>1182490.3318072762</v>
      </c>
      <c r="S238" s="71">
        <f ca="1">SUM(INDEX(FWD[Dwelling Units],1):FWD[[#This Row],[Dwelling Units]])</f>
        <v>132135</v>
      </c>
      <c r="T238" s="71">
        <f ca="1">IF(ISBLANK(FWD[[#This Row],[CALENDAR YEAR]]),ROUNDDOWN(FWD[[#This Row],[Running count]]/3000,0)+$T$1,FWD[[#This Row],[CALENDAR YEAR]])</f>
        <v>2064</v>
      </c>
    </row>
    <row r="239" spans="1:20">
      <c r="A239" s="65" t="s">
        <v>359</v>
      </c>
      <c r="B239" s="1" t="str">
        <f>VLOOKUP(A239,Data[],2,FALSE)</f>
        <v>MANHATTAN</v>
      </c>
      <c r="C239" s="1">
        <f>VLOOKUP(FWD[[#This Row],[DEVELOPMENT]],Data[],25,FALSE)</f>
        <v>0</v>
      </c>
      <c r="D239" s="9" t="s">
        <v>49</v>
      </c>
      <c r="E239" s="50">
        <f>VLOOKUP(FWD[[#This Row],[DEVELOPMENT]],Data[],7,FALSE)</f>
        <v>4</v>
      </c>
      <c r="F239" s="50" t="e">
        <f>VLOOKUP(FWD[[#This Row],[DEVELOPMENT]],all[[DEVELOPMENT]:[MRST Ext. Comp. Priority]],5,FALSE)</f>
        <v>#N/A</v>
      </c>
      <c r="G239" s="50">
        <f>VLOOKUP(FWD[[#This Row],[DEVELOPMENT]],Data[],8,FALSE)</f>
        <v>0</v>
      </c>
      <c r="H239" s="9">
        <f>VLOOKUP(FWD[[#This Row],[DEVELOPMENT]],Data[],9,FALSE)</f>
        <v>0</v>
      </c>
      <c r="I239" s="1" t="str">
        <f ca="1">IFERROR(VLOOKUP(FWD[[#This Row],[DEVELOPMENT]],Data[],4,FALSE),"")</f>
        <v>2020-2021</v>
      </c>
      <c r="J239" s="51" t="str">
        <f ca="1">IF(FWD[[#This Row],[RAD/PACT]]="","",IF(OR(FWD[[#This Row],[RAD/PACT]]="2021-2025",FWD[[#This Row],[RAD/PACT]]="2019-2020"),"Yes",""))</f>
        <v/>
      </c>
      <c r="K239" s="1"/>
      <c r="L239" s="1"/>
      <c r="M239" s="1"/>
      <c r="N239" s="1"/>
      <c r="O239" s="3">
        <f ca="1">IF(FWD[[#This Row],[RAD/PACT]]="2019-2020",0,INDEX(UnitCosts[],MATCH(FWD[[#This Row],[WORK TYPE]],UnitCosts[Work Type],0),2)*FWD[[#This Row],[Dwelling Units]])</f>
        <v>6874.943789577188</v>
      </c>
      <c r="P239" s="3"/>
      <c r="Q239" s="3"/>
      <c r="R239" s="69">
        <f t="shared" ca="1" si="3"/>
        <v>1189365.2755968533</v>
      </c>
      <c r="S239" s="71">
        <f ca="1">SUM(INDEX(FWD[Dwelling Units],1):FWD[[#This Row],[Dwelling Units]])</f>
        <v>132139</v>
      </c>
      <c r="T239" s="71">
        <f ca="1">IF(ISBLANK(FWD[[#This Row],[CALENDAR YEAR]]),ROUNDDOWN(FWD[[#This Row],[Running count]]/3000,0)+$T$1,FWD[[#This Row],[CALENDAR YEAR]])</f>
        <v>2064</v>
      </c>
    </row>
    <row r="240" spans="1:20">
      <c r="A240" s="65" t="s">
        <v>360</v>
      </c>
      <c r="B240" s="1" t="str">
        <f>VLOOKUP(A240,Data[],2,FALSE)</f>
        <v>MANHATTAN</v>
      </c>
      <c r="C240" s="1">
        <f>VLOOKUP(FWD[[#This Row],[DEVELOPMENT]],Data[],25,FALSE)</f>
        <v>0</v>
      </c>
      <c r="D240" s="9" t="s">
        <v>49</v>
      </c>
      <c r="E240" s="50">
        <f>VLOOKUP(FWD[[#This Row],[DEVELOPMENT]],Data[],7,FALSE)</f>
        <v>1</v>
      </c>
      <c r="F240" s="50" t="e">
        <f>VLOOKUP(FWD[[#This Row],[DEVELOPMENT]],all[[DEVELOPMENT]:[MRST Ext. Comp. Priority]],5,FALSE)</f>
        <v>#N/A</v>
      </c>
      <c r="G240" s="50">
        <f>VLOOKUP(FWD[[#This Row],[DEVELOPMENT]],Data[],8,FALSE)</f>
        <v>0</v>
      </c>
      <c r="H240" s="9">
        <f>VLOOKUP(FWD[[#This Row],[DEVELOPMENT]],Data[],9,FALSE)</f>
        <v>0</v>
      </c>
      <c r="I240" s="1" t="str">
        <f ca="1">IFERROR(VLOOKUP(FWD[[#This Row],[DEVELOPMENT]],Data[],4,FALSE),"")</f>
        <v>2020-2021</v>
      </c>
      <c r="J240" s="51" t="str">
        <f ca="1">IF(FWD[[#This Row],[RAD/PACT]]="","",IF(OR(FWD[[#This Row],[RAD/PACT]]="2021-2025",FWD[[#This Row],[RAD/PACT]]="2019-2020"),"Yes",""))</f>
        <v/>
      </c>
      <c r="K240" s="1"/>
      <c r="L240" s="1"/>
      <c r="M240" s="1"/>
      <c r="N240" s="1"/>
      <c r="O240" s="3">
        <f ca="1">IF(FWD[[#This Row],[RAD/PACT]]="2019-2020",0,INDEX(UnitCosts[],MATCH(FWD[[#This Row],[WORK TYPE]],UnitCosts[Work Type],0),2)*FWD[[#This Row],[Dwelling Units]])</f>
        <v>1718.735947394297</v>
      </c>
      <c r="P240" s="3"/>
      <c r="Q240" s="3"/>
      <c r="R240" s="69">
        <f t="shared" ca="1" si="3"/>
        <v>1191084.0115442476</v>
      </c>
      <c r="S240" s="71">
        <f ca="1">SUM(INDEX(FWD[Dwelling Units],1):FWD[[#This Row],[Dwelling Units]])</f>
        <v>132140</v>
      </c>
      <c r="T240" s="71">
        <f ca="1">IF(ISBLANK(FWD[[#This Row],[CALENDAR YEAR]]),ROUNDDOWN(FWD[[#This Row],[Running count]]/3000,0)+$T$1,FWD[[#This Row],[CALENDAR YEAR]])</f>
        <v>2064</v>
      </c>
    </row>
    <row r="241" spans="1:20">
      <c r="A241" s="65" t="s">
        <v>254</v>
      </c>
      <c r="B241" s="1" t="str">
        <f>VLOOKUP(A241,Data[],2,FALSE)</f>
        <v>BROOKLYN</v>
      </c>
      <c r="C241" s="1" t="str">
        <f>VLOOKUP(FWD[[#This Row],[DEVELOPMENT]],Data[],25,FALSE)</f>
        <v>Newtown Creek</v>
      </c>
      <c r="D241" s="9" t="s">
        <v>49</v>
      </c>
      <c r="E241" s="50">
        <f>VLOOKUP(FWD[[#This Row],[DEVELOPMENT]],Data[],7,FALSE)</f>
        <v>125</v>
      </c>
      <c r="F241" s="50" t="e">
        <f>VLOOKUP(FWD[[#This Row],[DEVELOPMENT]],all[[DEVELOPMENT]:[MRST Ext. Comp. Priority]],5,FALSE)</f>
        <v>#N/A</v>
      </c>
      <c r="G241" s="50">
        <f>VLOOKUP(FWD[[#This Row],[DEVELOPMENT]],Data[],8,FALSE)</f>
        <v>0</v>
      </c>
      <c r="H241" s="9">
        <f>VLOOKUP(FWD[[#This Row],[DEVELOPMENT]],Data[],9,FALSE)</f>
        <v>0</v>
      </c>
      <c r="I241" s="1" t="str">
        <f ca="1">IFERROR(VLOOKUP(FWD[[#This Row],[DEVELOPMENT]],Data[],4,FALSE),"")</f>
        <v/>
      </c>
      <c r="J241" s="51" t="str">
        <f ca="1">IF(FWD[[#This Row],[RAD/PACT]]="","",IF(OR(FWD[[#This Row],[RAD/PACT]]="2021-2025",FWD[[#This Row],[RAD/PACT]]="2019-2020"),"Yes",""))</f>
        <v/>
      </c>
      <c r="K241" s="1"/>
      <c r="L241" s="1"/>
      <c r="M241" s="1"/>
      <c r="N241" s="1"/>
      <c r="O241" s="3">
        <f ca="1">IF(FWD[[#This Row],[RAD/PACT]]="2019-2020",0,INDEX(UnitCosts[],MATCH(FWD[[#This Row],[WORK TYPE]],UnitCosts[Work Type],0),2)*FWD[[#This Row],[Dwelling Units]])</f>
        <v>214841.99342428712</v>
      </c>
      <c r="P241" s="3"/>
      <c r="Q241" s="3"/>
      <c r="R241" s="69">
        <f t="shared" ca="1" si="3"/>
        <v>1405926.0049685347</v>
      </c>
      <c r="S241" s="71">
        <f ca="1">SUM(INDEX(FWD[Dwelling Units],1):FWD[[#This Row],[Dwelling Units]])</f>
        <v>132265</v>
      </c>
      <c r="T241" s="71">
        <f ca="1">IF(ISBLANK(FWD[[#This Row],[CALENDAR YEAR]]),ROUNDDOWN(FWD[[#This Row],[Running count]]/3000,0)+$T$1,FWD[[#This Row],[CALENDAR YEAR]])</f>
        <v>2064</v>
      </c>
    </row>
    <row r="242" spans="1:20">
      <c r="A242" s="65" t="s">
        <v>361</v>
      </c>
      <c r="B242" s="1" t="str">
        <f>VLOOKUP(A242,Data[],2,FALSE)</f>
        <v>BRONX</v>
      </c>
      <c r="C242" s="1">
        <f>VLOOKUP(FWD[[#This Row],[DEVELOPMENT]],Data[],25,FALSE)</f>
        <v>0</v>
      </c>
      <c r="D242" s="9" t="s">
        <v>49</v>
      </c>
      <c r="E242" s="50">
        <f>VLOOKUP(FWD[[#This Row],[DEVELOPMENT]],Data[],7,FALSE)</f>
        <v>783</v>
      </c>
      <c r="F242" s="50" t="e">
        <f>VLOOKUP(FWD[[#This Row],[DEVELOPMENT]],all[[DEVELOPMENT]:[MRST Ext. Comp. Priority]],5,FALSE)</f>
        <v>#N/A</v>
      </c>
      <c r="G242" s="50">
        <f>VLOOKUP(FWD[[#This Row],[DEVELOPMENT]],Data[],8,FALSE)</f>
        <v>0</v>
      </c>
      <c r="H242" s="9">
        <f>VLOOKUP(FWD[[#This Row],[DEVELOPMENT]],Data[],9,FALSE)</f>
        <v>0</v>
      </c>
      <c r="I242" s="1" t="str">
        <f ca="1">IFERROR(VLOOKUP(FWD[[#This Row],[DEVELOPMENT]],Data[],4,FALSE),"")</f>
        <v/>
      </c>
      <c r="J242" s="51" t="str">
        <f ca="1">IF(FWD[[#This Row],[RAD/PACT]]="","",IF(OR(FWD[[#This Row],[RAD/PACT]]="2021-2025",FWD[[#This Row],[RAD/PACT]]="2019-2020"),"Yes",""))</f>
        <v/>
      </c>
      <c r="K242" s="1"/>
      <c r="L242" s="1"/>
      <c r="M242" s="1"/>
      <c r="N242" s="1"/>
      <c r="O242" s="3">
        <f ca="1">IF(FWD[[#This Row],[RAD/PACT]]="2019-2020",0,INDEX(UnitCosts[],MATCH(FWD[[#This Row],[WORK TYPE]],UnitCosts[Work Type],0),2)*FWD[[#This Row],[Dwelling Units]])</f>
        <v>1345770.2468097345</v>
      </c>
      <c r="P242" s="3"/>
      <c r="Q242" s="3"/>
      <c r="R242" s="69">
        <f t="shared" ca="1" si="3"/>
        <v>2751696.2517782692</v>
      </c>
      <c r="S242" s="71">
        <f ca="1">SUM(INDEX(FWD[Dwelling Units],1):FWD[[#This Row],[Dwelling Units]])</f>
        <v>133048</v>
      </c>
      <c r="T242" s="71">
        <f ca="1">IF(ISBLANK(FWD[[#This Row],[CALENDAR YEAR]]),ROUNDDOWN(FWD[[#This Row],[Running count]]/3000,0)+$T$1,FWD[[#This Row],[CALENDAR YEAR]])</f>
        <v>2064</v>
      </c>
    </row>
    <row r="243" spans="1:20">
      <c r="A243" s="65" t="s">
        <v>65</v>
      </c>
      <c r="B243" s="1" t="str">
        <f>VLOOKUP(A243,Data[],2,FALSE)</f>
        <v>MANHATTAN</v>
      </c>
      <c r="C243" s="1" t="str">
        <f>VLOOKUP(FWD[[#This Row],[DEVELOPMENT]],Data[],25,FALSE)</f>
        <v>Newtown Creek</v>
      </c>
      <c r="D243" s="9" t="s">
        <v>49</v>
      </c>
      <c r="E243" s="50">
        <f>VLOOKUP(FWD[[#This Row],[DEVELOPMENT]],Data[],7,FALSE)</f>
        <v>360</v>
      </c>
      <c r="F243" s="50" t="e">
        <f>VLOOKUP(FWD[[#This Row],[DEVELOPMENT]],all[[DEVELOPMENT]:[MRST Ext. Comp. Priority]],5,FALSE)</f>
        <v>#N/A</v>
      </c>
      <c r="G243" s="50" t="str">
        <f>VLOOKUP(FWD[[#This Row],[DEVELOPMENT]],Data[],8,FALSE)</f>
        <v>Zone 1</v>
      </c>
      <c r="H243" s="9">
        <f>VLOOKUP(FWD[[#This Row],[DEVELOPMENT]],Data[],9,FALSE)</f>
        <v>4</v>
      </c>
      <c r="I243" s="1" t="str">
        <f ca="1">IFERROR(VLOOKUP(FWD[[#This Row],[DEVELOPMENT]],Data[],4,FALSE),"")</f>
        <v/>
      </c>
      <c r="J243" s="51" t="str">
        <f ca="1">IF(FWD[[#This Row],[RAD/PACT]]="","",IF(OR(FWD[[#This Row],[RAD/PACT]]="2021-2025",FWD[[#This Row],[RAD/PACT]]="2019-2020"),"Yes",""))</f>
        <v/>
      </c>
      <c r="K243" s="1"/>
      <c r="L243" s="1"/>
      <c r="M243" s="1"/>
      <c r="N243" s="1"/>
      <c r="O243" s="3">
        <f ca="1">IF(FWD[[#This Row],[RAD/PACT]]="2019-2020",0,INDEX(UnitCosts[],MATCH(FWD[[#This Row],[WORK TYPE]],UnitCosts[Work Type],0),2)*FWD[[#This Row],[Dwelling Units]])</f>
        <v>618744.94106194691</v>
      </c>
      <c r="P243" s="3"/>
      <c r="Q243" s="3"/>
      <c r="R243" s="69">
        <f t="shared" ca="1" si="3"/>
        <v>3370441.1928402162</v>
      </c>
      <c r="S243" s="71">
        <f ca="1">SUM(INDEX(FWD[Dwelling Units],1):FWD[[#This Row],[Dwelling Units]])</f>
        <v>133408</v>
      </c>
      <c r="T243" s="71">
        <f ca="1">IF(ISBLANK(FWD[[#This Row],[CALENDAR YEAR]]),ROUNDDOWN(FWD[[#This Row],[Running count]]/3000,0)+$T$1,FWD[[#This Row],[CALENDAR YEAR]])</f>
        <v>2064</v>
      </c>
    </row>
    <row r="244" spans="1:20">
      <c r="A244" s="65" t="s">
        <v>196</v>
      </c>
      <c r="B244" s="1" t="str">
        <f>VLOOKUP(A244,Data[],2,FALSE)</f>
        <v>BROOKLYN</v>
      </c>
      <c r="C244" s="1">
        <f>VLOOKUP(FWD[[#This Row],[DEVELOPMENT]],Data[],25,FALSE)</f>
        <v>0</v>
      </c>
      <c r="D244" s="9" t="s">
        <v>49</v>
      </c>
      <c r="E244" s="50">
        <f>VLOOKUP(FWD[[#This Row],[DEVELOPMENT]],Data[],7,FALSE)</f>
        <v>1054</v>
      </c>
      <c r="F244" s="50" t="e">
        <f>VLOOKUP(FWD[[#This Row],[DEVELOPMENT]],all[[DEVELOPMENT]:[MRST Ext. Comp. Priority]],5,FALSE)</f>
        <v>#N/A</v>
      </c>
      <c r="G244" s="50">
        <f>VLOOKUP(FWD[[#This Row],[DEVELOPMENT]],Data[],8,FALSE)</f>
        <v>0</v>
      </c>
      <c r="H244" s="9">
        <f>VLOOKUP(FWD[[#This Row],[DEVELOPMENT]],Data[],9,FALSE)</f>
        <v>0</v>
      </c>
      <c r="I244" s="1" t="str">
        <f ca="1">IFERROR(VLOOKUP(FWD[[#This Row],[DEVELOPMENT]],Data[],4,FALSE),"")</f>
        <v>2026+</v>
      </c>
      <c r="J244" s="51" t="str">
        <f ca="1">IF(FWD[[#This Row],[RAD/PACT]]="","",IF(OR(FWD[[#This Row],[RAD/PACT]]="2021-2025",FWD[[#This Row],[RAD/PACT]]="2019-2020"),"Yes",""))</f>
        <v/>
      </c>
      <c r="K244" s="1"/>
      <c r="L244" s="1"/>
      <c r="M244" s="1"/>
      <c r="N244" s="1"/>
      <c r="O244" s="3">
        <f ca="1">IF(FWD[[#This Row],[RAD/PACT]]="2019-2020",0,INDEX(UnitCosts[],MATCH(FWD[[#This Row],[WORK TYPE]],UnitCosts[Work Type],0),2)*FWD[[#This Row],[Dwelling Units]])</f>
        <v>1811547.6885535889</v>
      </c>
      <c r="P244" s="3"/>
      <c r="Q244" s="3"/>
      <c r="R244" s="69">
        <f t="shared" ca="1" si="3"/>
        <v>5181988.8813938051</v>
      </c>
      <c r="S244" s="71">
        <f ca="1">SUM(INDEX(FWD[Dwelling Units],1):FWD[[#This Row],[Dwelling Units]])</f>
        <v>134462</v>
      </c>
      <c r="T244" s="71">
        <f ca="1">IF(ISBLANK(FWD[[#This Row],[CALENDAR YEAR]]),ROUNDDOWN(FWD[[#This Row],[Running count]]/3000,0)+$T$1,FWD[[#This Row],[CALENDAR YEAR]])</f>
        <v>2064</v>
      </c>
    </row>
    <row r="245" spans="1:20">
      <c r="A245" s="65" t="s">
        <v>362</v>
      </c>
      <c r="B245" s="1" t="str">
        <f>VLOOKUP(A245,Data[],2,FALSE)</f>
        <v>QUEENS</v>
      </c>
      <c r="C245" s="1">
        <f>VLOOKUP(FWD[[#This Row],[DEVELOPMENT]],Data[],25,FALSE)</f>
        <v>0</v>
      </c>
      <c r="D245" s="9" t="s">
        <v>49</v>
      </c>
      <c r="E245" s="50">
        <f>VLOOKUP(FWD[[#This Row],[DEVELOPMENT]],Data[],7,FALSE)</f>
        <v>153</v>
      </c>
      <c r="F245" s="50" t="e">
        <f>VLOOKUP(FWD[[#This Row],[DEVELOPMENT]],all[[DEVELOPMENT]:[MRST Ext. Comp. Priority]],5,FALSE)</f>
        <v>#N/A</v>
      </c>
      <c r="G245" s="50">
        <f>VLOOKUP(FWD[[#This Row],[DEVELOPMENT]],Data[],8,FALSE)</f>
        <v>0</v>
      </c>
      <c r="H245" s="9">
        <f>VLOOKUP(FWD[[#This Row],[DEVELOPMENT]],Data[],9,FALSE)</f>
        <v>0</v>
      </c>
      <c r="I245" s="1" t="str">
        <f ca="1">IFERROR(VLOOKUP(FWD[[#This Row],[DEVELOPMENT]],Data[],4,FALSE),"")</f>
        <v/>
      </c>
      <c r="J245" s="51" t="str">
        <f ca="1">IF(FWD[[#This Row],[RAD/PACT]]="","",IF(OR(FWD[[#This Row],[RAD/PACT]]="2021-2025",FWD[[#This Row],[RAD/PACT]]="2019-2020"),"Yes",""))</f>
        <v/>
      </c>
      <c r="K245" s="1"/>
      <c r="L245" s="1"/>
      <c r="M245" s="1"/>
      <c r="N245" s="1"/>
      <c r="O245" s="3">
        <f ca="1">IF(FWD[[#This Row],[RAD/PACT]]="2019-2020",0,INDEX(UnitCosts[],MATCH(FWD[[#This Row],[WORK TYPE]],UnitCosts[Work Type],0),2)*FWD[[#This Row],[Dwelling Units]])</f>
        <v>262966.59995132743</v>
      </c>
      <c r="P245" s="3"/>
      <c r="Q245" s="3"/>
      <c r="R245" s="69">
        <f t="shared" ca="1" si="3"/>
        <v>5444955.4813451329</v>
      </c>
      <c r="S245" s="71">
        <f ca="1">SUM(INDEX(FWD[Dwelling Units],1):FWD[[#This Row],[Dwelling Units]])</f>
        <v>134615</v>
      </c>
      <c r="T245" s="71">
        <f ca="1">IF(ISBLANK(FWD[[#This Row],[CALENDAR YEAR]]),ROUNDDOWN(FWD[[#This Row],[Running count]]/3000,0)+$T$1,FWD[[#This Row],[CALENDAR YEAR]])</f>
        <v>2064</v>
      </c>
    </row>
    <row r="246" spans="1:20">
      <c r="A246" s="65" t="s">
        <v>44</v>
      </c>
      <c r="B246" s="1" t="str">
        <f>VLOOKUP(A246,Data[],2,FALSE)</f>
        <v>MANHATTAN</v>
      </c>
      <c r="C246" s="1" t="str">
        <f>VLOOKUP(FWD[[#This Row],[DEVELOPMENT]],Data[],25,FALSE)</f>
        <v>Newtown Creek</v>
      </c>
      <c r="D246" s="9" t="s">
        <v>49</v>
      </c>
      <c r="E246" s="50">
        <f>VLOOKUP(FWD[[#This Row],[DEVELOPMENT]],Data[],7,FALSE)</f>
        <v>1934</v>
      </c>
      <c r="F246" s="50" t="e">
        <f>VLOOKUP(FWD[[#This Row],[DEVELOPMENT]],all[[DEVELOPMENT]:[MRST Ext. Comp. Priority]],5,FALSE)</f>
        <v>#N/A</v>
      </c>
      <c r="G246" s="50" t="str">
        <f>VLOOKUP(FWD[[#This Row],[DEVELOPMENT]],Data[],8,FALSE)</f>
        <v>Zone 1</v>
      </c>
      <c r="H246" s="9">
        <f>VLOOKUP(FWD[[#This Row],[DEVELOPMENT]],Data[],9,FALSE)</f>
        <v>4</v>
      </c>
      <c r="I246" s="1" t="str">
        <f ca="1">IFERROR(VLOOKUP(FWD[[#This Row],[DEVELOPMENT]],Data[],4,FALSE),"")</f>
        <v/>
      </c>
      <c r="J246" s="51" t="str">
        <f ca="1">IF(FWD[[#This Row],[RAD/PACT]]="","",IF(OR(FWD[[#This Row],[RAD/PACT]]="2021-2025",FWD[[#This Row],[RAD/PACT]]="2019-2020"),"Yes",""))</f>
        <v/>
      </c>
      <c r="K246" s="1"/>
      <c r="L246" s="1"/>
      <c r="M246" s="1"/>
      <c r="N246" s="1"/>
      <c r="O246" s="3">
        <f ca="1">IF(FWD[[#This Row],[RAD/PACT]]="2019-2020",0,INDEX(UnitCosts[],MATCH(FWD[[#This Row],[WORK TYPE]],UnitCosts[Work Type],0),2)*FWD[[#This Row],[Dwelling Units]])</f>
        <v>3324035.3222605702</v>
      </c>
      <c r="P246" s="3"/>
      <c r="Q246" s="3"/>
      <c r="R246" s="69">
        <f t="shared" ca="1" si="3"/>
        <v>3324035.3222605702</v>
      </c>
      <c r="S246" s="71">
        <f ca="1">SUM(INDEX(FWD[Dwelling Units],1):FWD[[#This Row],[Dwelling Units]])</f>
        <v>136549</v>
      </c>
      <c r="T246" s="71">
        <f ca="1">IF(ISBLANK(FWD[[#This Row],[CALENDAR YEAR]]),ROUNDDOWN(FWD[[#This Row],[Running count]]/3000,0)+$T$1,FWD[[#This Row],[CALENDAR YEAR]])</f>
        <v>2065</v>
      </c>
    </row>
    <row r="247" spans="1:20">
      <c r="A247" s="65" t="s">
        <v>197</v>
      </c>
      <c r="B247" s="1" t="str">
        <f>VLOOKUP(A247,Data[],2,FALSE)</f>
        <v>BRONX</v>
      </c>
      <c r="C247" s="1">
        <f>VLOOKUP(FWD[[#This Row],[DEVELOPMENT]],Data[],25,FALSE)</f>
        <v>0</v>
      </c>
      <c r="D247" s="9" t="s">
        <v>49</v>
      </c>
      <c r="E247" s="50">
        <f>VLOOKUP(FWD[[#This Row],[DEVELOPMENT]],Data[],7,FALSE)</f>
        <v>1495</v>
      </c>
      <c r="F247" s="50" t="e">
        <f>VLOOKUP(FWD[[#This Row],[DEVELOPMENT]],all[[DEVELOPMENT]:[MRST Ext. Comp. Priority]],5,FALSE)</f>
        <v>#N/A</v>
      </c>
      <c r="G247" s="50">
        <f>VLOOKUP(FWD[[#This Row],[DEVELOPMENT]],Data[],8,FALSE)</f>
        <v>0</v>
      </c>
      <c r="H247" s="9">
        <f>VLOOKUP(FWD[[#This Row],[DEVELOPMENT]],Data[],9,FALSE)</f>
        <v>0</v>
      </c>
      <c r="I247" s="1" t="str">
        <f ca="1">IFERROR(VLOOKUP(FWD[[#This Row],[DEVELOPMENT]],Data[],4,FALSE),"")</f>
        <v>2026+</v>
      </c>
      <c r="J247" s="51" t="str">
        <f ca="1">IF(FWD[[#This Row],[RAD/PACT]]="","",IF(OR(FWD[[#This Row],[RAD/PACT]]="2021-2025",FWD[[#This Row],[RAD/PACT]]="2019-2020"),"Yes",""))</f>
        <v/>
      </c>
      <c r="K247" s="1"/>
      <c r="L247" s="1"/>
      <c r="M247" s="1"/>
      <c r="N247" s="1"/>
      <c r="O247" s="3">
        <f ca="1">IF(FWD[[#This Row],[RAD/PACT]]="2019-2020",0,INDEX(UnitCosts[],MATCH(FWD[[#This Row],[WORK TYPE]],UnitCosts[Work Type],0),2)*FWD[[#This Row],[Dwelling Units]])</f>
        <v>2569510.2413544739</v>
      </c>
      <c r="P247" s="3"/>
      <c r="Q247" s="3"/>
      <c r="R247" s="69">
        <f t="shared" ca="1" si="3"/>
        <v>2569510.2413544739</v>
      </c>
      <c r="S247" s="71">
        <f ca="1">SUM(INDEX(FWD[Dwelling Units],1):FWD[[#This Row],[Dwelling Units]])</f>
        <v>138044</v>
      </c>
      <c r="T247" s="71">
        <f ca="1">IF(ISBLANK(FWD[[#This Row],[CALENDAR YEAR]]),ROUNDDOWN(FWD[[#This Row],[Running count]]/3000,0)+$T$1,FWD[[#This Row],[CALENDAR YEAR]])</f>
        <v>2066</v>
      </c>
    </row>
    <row r="248" spans="1:20">
      <c r="A248" s="65" t="s">
        <v>363</v>
      </c>
      <c r="B248" s="1" t="str">
        <f>VLOOKUP(A248,Data[],2,FALSE)</f>
        <v>BRONX</v>
      </c>
      <c r="C248" s="1">
        <f>VLOOKUP(FWD[[#This Row],[DEVELOPMENT]],Data[],25,FALSE)</f>
        <v>0</v>
      </c>
      <c r="D248" s="9" t="s">
        <v>49</v>
      </c>
      <c r="E248" s="50">
        <f>VLOOKUP(FWD[[#This Row],[DEVELOPMENT]],Data[],7,FALSE)</f>
        <v>1258</v>
      </c>
      <c r="F248" s="50" t="e">
        <f>VLOOKUP(FWD[[#This Row],[DEVELOPMENT]],all[[DEVELOPMENT]:[MRST Ext. Comp. Priority]],5,FALSE)</f>
        <v>#N/A</v>
      </c>
      <c r="G248" s="50">
        <f>VLOOKUP(FWD[[#This Row],[DEVELOPMENT]],Data[],8,FALSE)</f>
        <v>0</v>
      </c>
      <c r="H248" s="9">
        <f>VLOOKUP(FWD[[#This Row],[DEVELOPMENT]],Data[],9,FALSE)</f>
        <v>0</v>
      </c>
      <c r="I248" s="1" t="str">
        <f ca="1">IFERROR(VLOOKUP(FWD[[#This Row],[DEVELOPMENT]],Data[],4,FALSE),"")</f>
        <v>2022-2025</v>
      </c>
      <c r="J248" s="51" t="str">
        <f ca="1">IF(FWD[[#This Row],[RAD/PACT]]="","",IF(OR(FWD[[#This Row],[RAD/PACT]]="2021-2025",FWD[[#This Row],[RAD/PACT]]="2019-2020"),"Yes",""))</f>
        <v/>
      </c>
      <c r="K248" s="1"/>
      <c r="L248" s="1"/>
      <c r="M248" s="1"/>
      <c r="N248" s="1"/>
      <c r="O248" s="3">
        <f ca="1">IF(FWD[[#This Row],[RAD/PACT]]="2019-2020",0,INDEX(UnitCosts[],MATCH(FWD[[#This Row],[WORK TYPE]],UnitCosts[Work Type],0),2)*FWD[[#This Row],[Dwelling Units]])</f>
        <v>2162169.8218220258</v>
      </c>
      <c r="P248" s="3"/>
      <c r="Q248" s="3"/>
      <c r="R248" s="69">
        <f t="shared" ca="1" si="3"/>
        <v>4731680.0631764997</v>
      </c>
      <c r="S248" s="71">
        <f ca="1">SUM(INDEX(FWD[Dwelling Units],1):FWD[[#This Row],[Dwelling Units]])</f>
        <v>139302</v>
      </c>
      <c r="T248" s="71">
        <f ca="1">IF(ISBLANK(FWD[[#This Row],[CALENDAR YEAR]]),ROUNDDOWN(FWD[[#This Row],[Running count]]/3000,0)+$T$1,FWD[[#This Row],[CALENDAR YEAR]])</f>
        <v>2066</v>
      </c>
    </row>
    <row r="249" spans="1:20">
      <c r="A249" s="65" t="s">
        <v>255</v>
      </c>
      <c r="B249" s="1" t="str">
        <f>VLOOKUP(A249,Data[],2,FALSE)</f>
        <v>STATEN ISLAND</v>
      </c>
      <c r="C249" s="1">
        <f>VLOOKUP(FWD[[#This Row],[DEVELOPMENT]],Data[],25,FALSE)</f>
        <v>0</v>
      </c>
      <c r="D249" s="9" t="s">
        <v>49</v>
      </c>
      <c r="E249" s="50">
        <f>VLOOKUP(FWD[[#This Row],[DEVELOPMENT]],Data[],7,FALSE)</f>
        <v>421</v>
      </c>
      <c r="F249" s="50" t="e">
        <f>VLOOKUP(FWD[[#This Row],[DEVELOPMENT]],all[[DEVELOPMENT]:[MRST Ext. Comp. Priority]],5,FALSE)</f>
        <v>#N/A</v>
      </c>
      <c r="G249" s="50">
        <f>VLOOKUP(FWD[[#This Row],[DEVELOPMENT]],Data[],8,FALSE)</f>
        <v>0</v>
      </c>
      <c r="H249" s="9">
        <f>VLOOKUP(FWD[[#This Row],[DEVELOPMENT]],Data[],9,FALSE)</f>
        <v>0</v>
      </c>
      <c r="I249" s="1" t="str">
        <f ca="1">IFERROR(VLOOKUP(FWD[[#This Row],[DEVELOPMENT]],Data[],4,FALSE),"")</f>
        <v/>
      </c>
      <c r="J249" s="51" t="str">
        <f ca="1">IF(FWD[[#This Row],[RAD/PACT]]="","",IF(OR(FWD[[#This Row],[RAD/PACT]]="2021-2025",FWD[[#This Row],[RAD/PACT]]="2019-2020"),"Yes",""))</f>
        <v/>
      </c>
      <c r="K249" s="1"/>
      <c r="L249" s="1"/>
      <c r="M249" s="1"/>
      <c r="N249" s="1"/>
      <c r="O249" s="3">
        <f ca="1">IF(FWD[[#This Row],[RAD/PACT]]="2019-2020",0,INDEX(UnitCosts[],MATCH(FWD[[#This Row],[WORK TYPE]],UnitCosts[Work Type],0),2)*FWD[[#This Row],[Dwelling Units]])</f>
        <v>723587.83385299903</v>
      </c>
      <c r="P249" s="3"/>
      <c r="Q249" s="3"/>
      <c r="R249" s="69">
        <f t="shared" ca="1" si="3"/>
        <v>5455267.8970294986</v>
      </c>
      <c r="S249" s="71">
        <f ca="1">SUM(INDEX(FWD[Dwelling Units],1):FWD[[#This Row],[Dwelling Units]])</f>
        <v>139723</v>
      </c>
      <c r="T249" s="71">
        <f ca="1">IF(ISBLANK(FWD[[#This Row],[CALENDAR YEAR]]),ROUNDDOWN(FWD[[#This Row],[Running count]]/3000,0)+$T$1,FWD[[#This Row],[CALENDAR YEAR]])</f>
        <v>2066</v>
      </c>
    </row>
    <row r="250" spans="1:20">
      <c r="A250" s="65" t="s">
        <v>96</v>
      </c>
      <c r="B250" s="1" t="str">
        <f>VLOOKUP(A250,Data[],2,FALSE)</f>
        <v>BRONX</v>
      </c>
      <c r="C250" s="1">
        <f>VLOOKUP(FWD[[#This Row],[DEVELOPMENT]],Data[],25,FALSE)</f>
        <v>0</v>
      </c>
      <c r="D250" s="9" t="s">
        <v>49</v>
      </c>
      <c r="E250" s="50">
        <f>VLOOKUP(FWD[[#This Row],[DEVELOPMENT]],Data[],7,FALSE)</f>
        <v>112</v>
      </c>
      <c r="F250" s="50" t="e">
        <f>VLOOKUP(FWD[[#This Row],[DEVELOPMENT]],all[[DEVELOPMENT]:[MRST Ext. Comp. Priority]],5,FALSE)</f>
        <v>#N/A</v>
      </c>
      <c r="G250" s="50" t="str">
        <f>VLOOKUP(FWD[[#This Row],[DEVELOPMENT]],Data[],8,FALSE)</f>
        <v>Zone 3</v>
      </c>
      <c r="H250" s="9">
        <f>VLOOKUP(FWD[[#This Row],[DEVELOPMENT]],Data[],9,FALSE)</f>
        <v>3</v>
      </c>
      <c r="I250" s="1" t="str">
        <f ca="1">IFERROR(VLOOKUP(FWD[[#This Row],[DEVELOPMENT]],Data[],4,FALSE),"")</f>
        <v>2026+</v>
      </c>
      <c r="J250" s="51" t="str">
        <f ca="1">IF(FWD[[#This Row],[RAD/PACT]]="","",IF(OR(FWD[[#This Row],[RAD/PACT]]="2021-2025",FWD[[#This Row],[RAD/PACT]]="2019-2020"),"Yes",""))</f>
        <v/>
      </c>
      <c r="K250" s="1"/>
      <c r="L250" s="1"/>
      <c r="M250" s="1"/>
      <c r="N250" s="1"/>
      <c r="O250" s="3">
        <f ca="1">IF(FWD[[#This Row],[RAD/PACT]]="2019-2020",0,INDEX(UnitCosts[],MATCH(FWD[[#This Row],[WORK TYPE]],UnitCosts[Work Type],0),2)*FWD[[#This Row],[Dwelling Units]])</f>
        <v>192498.42610816128</v>
      </c>
      <c r="P250" s="3"/>
      <c r="Q250" s="3"/>
      <c r="R250" s="69">
        <f t="shared" ca="1" si="3"/>
        <v>5647766.3231376596</v>
      </c>
      <c r="S250" s="71">
        <f ca="1">SUM(INDEX(FWD[Dwelling Units],1):FWD[[#This Row],[Dwelling Units]])</f>
        <v>139835</v>
      </c>
      <c r="T250" s="71">
        <f ca="1">IF(ISBLANK(FWD[[#This Row],[CALENDAR YEAR]]),ROUNDDOWN(FWD[[#This Row],[Running count]]/3000,0)+$T$1,FWD[[#This Row],[CALENDAR YEAR]])</f>
        <v>2066</v>
      </c>
    </row>
    <row r="251" spans="1:20">
      <c r="A251" s="65" t="s">
        <v>224</v>
      </c>
      <c r="B251" s="1" t="str">
        <f>VLOOKUP(A251,Data[],2,FALSE)</f>
        <v>QUEENS</v>
      </c>
      <c r="C251" s="1">
        <f>VLOOKUP(FWD[[#This Row],[DEVELOPMENT]],Data[],25,FALSE)</f>
        <v>0</v>
      </c>
      <c r="D251" s="9" t="s">
        <v>49</v>
      </c>
      <c r="E251" s="50">
        <f>VLOOKUP(FWD[[#This Row],[DEVELOPMENT]],Data[],7,FALSE)</f>
        <v>448</v>
      </c>
      <c r="F251" s="50" t="e">
        <f>VLOOKUP(FWD[[#This Row],[DEVELOPMENT]],all[[DEVELOPMENT]:[MRST Ext. Comp. Priority]],5,FALSE)</f>
        <v>#N/A</v>
      </c>
      <c r="G251" s="50">
        <f>VLOOKUP(FWD[[#This Row],[DEVELOPMENT]],Data[],8,FALSE)</f>
        <v>0</v>
      </c>
      <c r="H251" s="9">
        <f>VLOOKUP(FWD[[#This Row],[DEVELOPMENT]],Data[],9,FALSE)</f>
        <v>0</v>
      </c>
      <c r="I251" s="1" t="str">
        <f ca="1">IFERROR(VLOOKUP(FWD[[#This Row],[DEVELOPMENT]],Data[],4,FALSE),"")</f>
        <v>2026+</v>
      </c>
      <c r="J251" s="51" t="str">
        <f ca="1">IF(FWD[[#This Row],[RAD/PACT]]="","",IF(OR(FWD[[#This Row],[RAD/PACT]]="2021-2025",FWD[[#This Row],[RAD/PACT]]="2019-2020"),"Yes",""))</f>
        <v/>
      </c>
      <c r="K251" s="1"/>
      <c r="L251" s="1"/>
      <c r="M251" s="1"/>
      <c r="N251" s="1"/>
      <c r="O251" s="3">
        <f ca="1">IF(FWD[[#This Row],[RAD/PACT]]="2019-2020",0,INDEX(UnitCosts[],MATCH(FWD[[#This Row],[WORK TYPE]],UnitCosts[Work Type],0),2)*FWD[[#This Row],[Dwelling Units]])</f>
        <v>769993.70443264511</v>
      </c>
      <c r="P251" s="3"/>
      <c r="Q251" s="3"/>
      <c r="R251" s="69">
        <f t="shared" ca="1" si="3"/>
        <v>6417760.0275703045</v>
      </c>
      <c r="S251" s="71">
        <f ca="1">SUM(INDEX(FWD[Dwelling Units],1):FWD[[#This Row],[Dwelling Units]])</f>
        <v>140283</v>
      </c>
      <c r="T251" s="71">
        <f ca="1">IF(ISBLANK(FWD[[#This Row],[CALENDAR YEAR]]),ROUNDDOWN(FWD[[#This Row],[Running count]]/3000,0)+$T$1,FWD[[#This Row],[CALENDAR YEAR]])</f>
        <v>2066</v>
      </c>
    </row>
    <row r="252" spans="1:20">
      <c r="A252" s="65" t="s">
        <v>269</v>
      </c>
      <c r="B252" s="1" t="str">
        <f>VLOOKUP(A252,Data[],2,FALSE)</f>
        <v>QUEENS</v>
      </c>
      <c r="C252" s="1">
        <f>VLOOKUP(FWD[[#This Row],[DEVELOPMENT]],Data[],25,FALSE)</f>
        <v>0</v>
      </c>
      <c r="D252" s="9" t="s">
        <v>49</v>
      </c>
      <c r="E252" s="50">
        <f>VLOOKUP(FWD[[#This Row],[DEVELOPMENT]],Data[],7,FALSE)</f>
        <v>598</v>
      </c>
      <c r="F252" s="50" t="e">
        <f>VLOOKUP(FWD[[#This Row],[DEVELOPMENT]],all[[DEVELOPMENT]:[MRST Ext. Comp. Priority]],5,FALSE)</f>
        <v>#N/A</v>
      </c>
      <c r="G252" s="50">
        <f>VLOOKUP(FWD[[#This Row],[DEVELOPMENT]],Data[],8,FALSE)</f>
        <v>0</v>
      </c>
      <c r="H252" s="9">
        <f>VLOOKUP(FWD[[#This Row],[DEVELOPMENT]],Data[],9,FALSE)</f>
        <v>0</v>
      </c>
      <c r="I252" s="1" t="str">
        <f ca="1">IFERROR(VLOOKUP(FWD[[#This Row],[DEVELOPMENT]],Data[],4,FALSE),"")</f>
        <v>2026+</v>
      </c>
      <c r="J252" s="51" t="str">
        <f ca="1">IF(FWD[[#This Row],[RAD/PACT]]="","",IF(OR(FWD[[#This Row],[RAD/PACT]]="2021-2025",FWD[[#This Row],[RAD/PACT]]="2019-2020"),"Yes",""))</f>
        <v/>
      </c>
      <c r="K252" s="1"/>
      <c r="L252" s="1"/>
      <c r="M252" s="1"/>
      <c r="N252" s="1"/>
      <c r="O252" s="3">
        <f ca="1">IF(FWD[[#This Row],[RAD/PACT]]="2019-2020",0,INDEX(UnitCosts[],MATCH(FWD[[#This Row],[WORK TYPE]],UnitCosts[Work Type],0),2)*FWD[[#This Row],[Dwelling Units]])</f>
        <v>1027804.0965417896</v>
      </c>
      <c r="P252" s="3"/>
      <c r="Q252" s="3"/>
      <c r="R252" s="69">
        <f t="shared" ca="1" si="3"/>
        <v>7445564.1241120938</v>
      </c>
      <c r="S252" s="71">
        <f ca="1">SUM(INDEX(FWD[Dwelling Units],1):FWD[[#This Row],[Dwelling Units]])</f>
        <v>140881</v>
      </c>
      <c r="T252" s="71">
        <f ca="1">IF(ISBLANK(FWD[[#This Row],[CALENDAR YEAR]]),ROUNDDOWN(FWD[[#This Row],[Running count]]/3000,0)+$T$1,FWD[[#This Row],[CALENDAR YEAR]])</f>
        <v>2066</v>
      </c>
    </row>
    <row r="253" spans="1:20">
      <c r="A253" s="65" t="s">
        <v>364</v>
      </c>
      <c r="B253" s="1" t="str">
        <f>VLOOKUP(A253,Data[],2,FALSE)</f>
        <v>MANHATTAN</v>
      </c>
      <c r="C253" s="1" t="str">
        <f>VLOOKUP(FWD[[#This Row],[DEVELOPMENT]],Data[],25,FALSE)</f>
        <v>Newtown Creek</v>
      </c>
      <c r="D253" s="9" t="s">
        <v>49</v>
      </c>
      <c r="E253" s="50">
        <f>VLOOKUP(FWD[[#This Row],[DEVELOPMENT]],Data[],7,FALSE)</f>
        <v>13</v>
      </c>
      <c r="F253" s="50" t="e">
        <f>VLOOKUP(FWD[[#This Row],[DEVELOPMENT]],all[[DEVELOPMENT]:[MRST Ext. Comp. Priority]],5,FALSE)</f>
        <v>#N/A</v>
      </c>
      <c r="G253" s="50">
        <f>VLOOKUP(FWD[[#This Row],[DEVELOPMENT]],Data[],8,FALSE)</f>
        <v>0</v>
      </c>
      <c r="H253" s="9">
        <f>VLOOKUP(FWD[[#This Row],[DEVELOPMENT]],Data[],9,FALSE)</f>
        <v>0</v>
      </c>
      <c r="I253" s="1" t="str">
        <f ca="1">IFERROR(VLOOKUP(FWD[[#This Row],[DEVELOPMENT]],Data[],4,FALSE),"")</f>
        <v/>
      </c>
      <c r="J253" s="51" t="str">
        <f ca="1">IF(FWD[[#This Row],[RAD/PACT]]="","",IF(OR(FWD[[#This Row],[RAD/PACT]]="2021-2025",FWD[[#This Row],[RAD/PACT]]="2019-2020"),"Yes",""))</f>
        <v/>
      </c>
      <c r="K253" s="1"/>
      <c r="L253" s="1"/>
      <c r="M253" s="1"/>
      <c r="N253" s="1"/>
      <c r="O253" s="3">
        <f ca="1">IF(FWD[[#This Row],[RAD/PACT]]="2019-2020",0,INDEX(UnitCosts[],MATCH(FWD[[#This Row],[WORK TYPE]],UnitCosts[Work Type],0),2)*FWD[[#This Row],[Dwelling Units]])</f>
        <v>22343.56731612586</v>
      </c>
      <c r="P253" s="3"/>
      <c r="Q253" s="3"/>
      <c r="R253" s="69">
        <f t="shared" ca="1" si="3"/>
        <v>7467907.6914282199</v>
      </c>
      <c r="S253" s="71">
        <f ca="1">SUM(INDEX(FWD[Dwelling Units],1):FWD[[#This Row],[Dwelling Units]])</f>
        <v>140894</v>
      </c>
      <c r="T253" s="71">
        <f ca="1">IF(ISBLANK(FWD[[#This Row],[CALENDAR YEAR]]),ROUNDDOWN(FWD[[#This Row],[Running count]]/3000,0)+$T$1,FWD[[#This Row],[CALENDAR YEAR]])</f>
        <v>2066</v>
      </c>
    </row>
    <row r="254" spans="1:20">
      <c r="A254" s="65" t="s">
        <v>365</v>
      </c>
      <c r="B254" s="1" t="str">
        <f>VLOOKUP(A254,Data[],2,FALSE)</f>
        <v>STATEN ISLAND</v>
      </c>
      <c r="C254" s="1">
        <f>VLOOKUP(FWD[[#This Row],[DEVELOPMENT]],Data[],25,FALSE)</f>
        <v>0</v>
      </c>
      <c r="D254" s="9" t="s">
        <v>49</v>
      </c>
      <c r="E254" s="50">
        <f>VLOOKUP(FWD[[#This Row],[DEVELOPMENT]],Data[],7,FALSE)</f>
        <v>693</v>
      </c>
      <c r="F254" s="50" t="e">
        <f>VLOOKUP(FWD[[#This Row],[DEVELOPMENT]],all[[DEVELOPMENT]:[MRST Ext. Comp. Priority]],5,FALSE)</f>
        <v>#N/A</v>
      </c>
      <c r="G254" s="50">
        <f>VLOOKUP(FWD[[#This Row],[DEVELOPMENT]],Data[],8,FALSE)</f>
        <v>0</v>
      </c>
      <c r="H254" s="9">
        <f>VLOOKUP(FWD[[#This Row],[DEVELOPMENT]],Data[],9,FALSE)</f>
        <v>0</v>
      </c>
      <c r="I254" s="1" t="str">
        <f ca="1">IFERROR(VLOOKUP(FWD[[#This Row],[DEVELOPMENT]],Data[],4,FALSE),"")</f>
        <v/>
      </c>
      <c r="J254" s="51" t="str">
        <f ca="1">IF(FWD[[#This Row],[RAD/PACT]]="","",IF(OR(FWD[[#This Row],[RAD/PACT]]="2021-2025",FWD[[#This Row],[RAD/PACT]]="2019-2020"),"Yes",""))</f>
        <v/>
      </c>
      <c r="K254" s="1"/>
      <c r="L254" s="1"/>
      <c r="M254" s="1"/>
      <c r="N254" s="1"/>
      <c r="O254" s="3">
        <f ca="1">IF(FWD[[#This Row],[RAD/PACT]]="2019-2020",0,INDEX(UnitCosts[],MATCH(FWD[[#This Row],[WORK TYPE]],UnitCosts[Work Type],0),2)*FWD[[#This Row],[Dwelling Units]])</f>
        <v>1191084.0115442479</v>
      </c>
      <c r="P254" s="3"/>
      <c r="Q254" s="3"/>
      <c r="R254" s="69">
        <f t="shared" ca="1" si="3"/>
        <v>1191084.0115442479</v>
      </c>
      <c r="S254" s="71">
        <f ca="1">SUM(INDEX(FWD[Dwelling Units],1):FWD[[#This Row],[Dwelling Units]])</f>
        <v>141587</v>
      </c>
      <c r="T254" s="71">
        <f ca="1">IF(ISBLANK(FWD[[#This Row],[CALENDAR YEAR]]),ROUNDDOWN(FWD[[#This Row],[Running count]]/3000,0)+$T$1,FWD[[#This Row],[CALENDAR YEAR]])</f>
        <v>2067</v>
      </c>
    </row>
    <row r="255" spans="1:20">
      <c r="A255" s="65" t="s">
        <v>97</v>
      </c>
      <c r="B255" s="1" t="str">
        <f>VLOOKUP(A255,Data[],2,FALSE)</f>
        <v>BRONX</v>
      </c>
      <c r="C255" s="1">
        <f>VLOOKUP(FWD[[#This Row],[DEVELOPMENT]],Data[],25,FALSE)</f>
        <v>0</v>
      </c>
      <c r="D255" s="9" t="s">
        <v>49</v>
      </c>
      <c r="E255" s="50">
        <f>VLOOKUP(FWD[[#This Row],[DEVELOPMENT]],Data[],7,FALSE)</f>
        <v>119</v>
      </c>
      <c r="F255" s="50" t="e">
        <f>VLOOKUP(FWD[[#This Row],[DEVELOPMENT]],all[[DEVELOPMENT]:[MRST Ext. Comp. Priority]],5,FALSE)</f>
        <v>#N/A</v>
      </c>
      <c r="G255" s="50" t="str">
        <f>VLOOKUP(FWD[[#This Row],[DEVELOPMENT]],Data[],8,FALSE)</f>
        <v>Zone 3</v>
      </c>
      <c r="H255" s="9">
        <f>VLOOKUP(FWD[[#This Row],[DEVELOPMENT]],Data[],9,FALSE)</f>
        <v>2</v>
      </c>
      <c r="I255" s="1" t="str">
        <f ca="1">IFERROR(VLOOKUP(FWD[[#This Row],[DEVELOPMENT]],Data[],4,FALSE),"")</f>
        <v>2026+</v>
      </c>
      <c r="J255" s="51" t="str">
        <f ca="1">IF(FWD[[#This Row],[RAD/PACT]]="","",IF(OR(FWD[[#This Row],[RAD/PACT]]="2021-2025",FWD[[#This Row],[RAD/PACT]]="2019-2020"),"Yes",""))</f>
        <v/>
      </c>
      <c r="K255" s="1"/>
      <c r="L255" s="1"/>
      <c r="M255" s="1"/>
      <c r="N255" s="1"/>
      <c r="O255" s="3">
        <f ca="1">IF(FWD[[#This Row],[RAD/PACT]]="2019-2020",0,INDEX(UnitCosts[],MATCH(FWD[[#This Row],[WORK TYPE]],UnitCosts[Work Type],0),2)*FWD[[#This Row],[Dwelling Units]])</f>
        <v>204529.57773992134</v>
      </c>
      <c r="P255" s="3"/>
      <c r="Q255" s="3"/>
      <c r="R255" s="69">
        <f t="shared" ca="1" si="3"/>
        <v>1395613.5892841693</v>
      </c>
      <c r="S255" s="71">
        <f ca="1">SUM(INDEX(FWD[Dwelling Units],1):FWD[[#This Row],[Dwelling Units]])</f>
        <v>141706</v>
      </c>
      <c r="T255" s="71">
        <f ca="1">IF(ISBLANK(FWD[[#This Row],[CALENDAR YEAR]]),ROUNDDOWN(FWD[[#This Row],[Running count]]/3000,0)+$T$1,FWD[[#This Row],[CALENDAR YEAR]])</f>
        <v>2067</v>
      </c>
    </row>
    <row r="256" spans="1:20">
      <c r="A256" s="65" t="s">
        <v>366</v>
      </c>
      <c r="B256" s="1" t="str">
        <f>VLOOKUP(A256,Data[],2,FALSE)</f>
        <v>BROOKLYN</v>
      </c>
      <c r="C256" s="1" t="str">
        <f>VLOOKUP(FWD[[#This Row],[DEVELOPMENT]],Data[],25,FALSE)</f>
        <v>Newtown Creek</v>
      </c>
      <c r="D256" s="9" t="s">
        <v>49</v>
      </c>
      <c r="E256" s="50">
        <f>VLOOKUP(FWD[[#This Row],[DEVELOPMENT]],Data[],7,FALSE)</f>
        <v>83</v>
      </c>
      <c r="F256" s="50" t="e">
        <f>VLOOKUP(FWD[[#This Row],[DEVELOPMENT]],all[[DEVELOPMENT]:[MRST Ext. Comp. Priority]],5,FALSE)</f>
        <v>#N/A</v>
      </c>
      <c r="G256" s="50">
        <f>VLOOKUP(FWD[[#This Row],[DEVELOPMENT]],Data[],8,FALSE)</f>
        <v>0</v>
      </c>
      <c r="H256" s="9">
        <f>VLOOKUP(FWD[[#This Row],[DEVELOPMENT]],Data[],9,FALSE)</f>
        <v>0</v>
      </c>
      <c r="I256" s="1" t="str">
        <f ca="1">IFERROR(VLOOKUP(FWD[[#This Row],[DEVELOPMENT]],Data[],4,FALSE),"")</f>
        <v>2022-2025</v>
      </c>
      <c r="J256" s="51" t="str">
        <f ca="1">IF(FWD[[#This Row],[RAD/PACT]]="","",IF(OR(FWD[[#This Row],[RAD/PACT]]="2021-2025",FWD[[#This Row],[RAD/PACT]]="2019-2020"),"Yes",""))</f>
        <v/>
      </c>
      <c r="K256" s="1"/>
      <c r="L256" s="1"/>
      <c r="M256" s="1"/>
      <c r="N256" s="1"/>
      <c r="O256" s="3">
        <f ca="1">IF(FWD[[#This Row],[RAD/PACT]]="2019-2020",0,INDEX(UnitCosts[],MATCH(FWD[[#This Row],[WORK TYPE]],UnitCosts[Work Type],0),2)*FWD[[#This Row],[Dwelling Units]])</f>
        <v>142655.08363372664</v>
      </c>
      <c r="P256" s="3"/>
      <c r="Q256" s="3"/>
      <c r="R256" s="69">
        <f t="shared" ca="1" si="3"/>
        <v>1538268.672917896</v>
      </c>
      <c r="S256" s="71">
        <f ca="1">SUM(INDEX(FWD[Dwelling Units],1):FWD[[#This Row],[Dwelling Units]])</f>
        <v>141789</v>
      </c>
      <c r="T256" s="71">
        <f ca="1">IF(ISBLANK(FWD[[#This Row],[CALENDAR YEAR]]),ROUNDDOWN(FWD[[#This Row],[Running count]]/3000,0)+$T$1,FWD[[#This Row],[CALENDAR YEAR]])</f>
        <v>2067</v>
      </c>
    </row>
    <row r="257" spans="1:20">
      <c r="A257" s="65" t="s">
        <v>256</v>
      </c>
      <c r="B257" s="1" t="str">
        <f>VLOOKUP(A257,Data[],2,FALSE)</f>
        <v>BROOKLYN</v>
      </c>
      <c r="C257" s="1" t="str">
        <f>VLOOKUP(FWD[[#This Row],[DEVELOPMENT]],Data[],25,FALSE)</f>
        <v>Newtown Creek</v>
      </c>
      <c r="D257" s="9" t="s">
        <v>49</v>
      </c>
      <c r="E257" s="50">
        <f>VLOOKUP(FWD[[#This Row],[DEVELOPMENT]],Data[],7,FALSE)</f>
        <v>125</v>
      </c>
      <c r="F257" s="50" t="e">
        <f>VLOOKUP(FWD[[#This Row],[DEVELOPMENT]],all[[DEVELOPMENT]:[MRST Ext. Comp. Priority]],5,FALSE)</f>
        <v>#N/A</v>
      </c>
      <c r="G257" s="50">
        <f>VLOOKUP(FWD[[#This Row],[DEVELOPMENT]],Data[],8,FALSE)</f>
        <v>0</v>
      </c>
      <c r="H257" s="9">
        <f>VLOOKUP(FWD[[#This Row],[DEVELOPMENT]],Data[],9,FALSE)</f>
        <v>0</v>
      </c>
      <c r="I257" s="1" t="str">
        <f ca="1">IFERROR(VLOOKUP(FWD[[#This Row],[DEVELOPMENT]],Data[],4,FALSE),"")</f>
        <v>2022-2025</v>
      </c>
      <c r="J257" s="51" t="str">
        <f ca="1">IF(FWD[[#This Row],[RAD/PACT]]="","",IF(OR(FWD[[#This Row],[RAD/PACT]]="2021-2025",FWD[[#This Row],[RAD/PACT]]="2019-2020"),"Yes",""))</f>
        <v/>
      </c>
      <c r="K257" s="1"/>
      <c r="L257" s="1"/>
      <c r="M257" s="1"/>
      <c r="N257" s="1"/>
      <c r="O257" s="3">
        <f ca="1">IF(FWD[[#This Row],[RAD/PACT]]="2019-2020",0,INDEX(UnitCosts[],MATCH(FWD[[#This Row],[WORK TYPE]],UnitCosts[Work Type],0),2)*FWD[[#This Row],[Dwelling Units]])</f>
        <v>214841.99342428712</v>
      </c>
      <c r="P257" s="3"/>
      <c r="Q257" s="3"/>
      <c r="R257" s="69">
        <f t="shared" ca="1" si="3"/>
        <v>1753110.666342183</v>
      </c>
      <c r="S257" s="71">
        <f ca="1">SUM(INDEX(FWD[Dwelling Units],1):FWD[[#This Row],[Dwelling Units]])</f>
        <v>141914</v>
      </c>
      <c r="T257" s="71">
        <f ca="1">IF(ISBLANK(FWD[[#This Row],[CALENDAR YEAR]]),ROUNDDOWN(FWD[[#This Row],[Running count]]/3000,0)+$T$1,FWD[[#This Row],[CALENDAR YEAR]])</f>
        <v>2067</v>
      </c>
    </row>
    <row r="258" spans="1:20">
      <c r="A258" s="65" t="s">
        <v>198</v>
      </c>
      <c r="B258" s="1" t="str">
        <f>VLOOKUP(A258,Data[],2,FALSE)</f>
        <v>MANHATTAN</v>
      </c>
      <c r="C258" s="1" t="str">
        <f>VLOOKUP(FWD[[#This Row],[DEVELOPMENT]],Data[],25,FALSE)</f>
        <v>Newtown Creek</v>
      </c>
      <c r="D258" s="9" t="s">
        <v>49</v>
      </c>
      <c r="E258" s="50">
        <f>VLOOKUP(FWD[[#This Row],[DEVELOPMENT]],Data[],7,FALSE)</f>
        <v>267</v>
      </c>
      <c r="F258" s="50" t="e">
        <f>VLOOKUP(FWD[[#This Row],[DEVELOPMENT]],all[[DEVELOPMENT]:[MRST Ext. Comp. Priority]],5,FALSE)</f>
        <v>#N/A</v>
      </c>
      <c r="G258" s="50">
        <f>VLOOKUP(FWD[[#This Row],[DEVELOPMENT]],Data[],8,FALSE)</f>
        <v>0</v>
      </c>
      <c r="H258" s="9">
        <f>VLOOKUP(FWD[[#This Row],[DEVELOPMENT]],Data[],9,FALSE)</f>
        <v>0</v>
      </c>
      <c r="I258" s="1" t="str">
        <f ca="1">IFERROR(VLOOKUP(FWD[[#This Row],[DEVELOPMENT]],Data[],4,FALSE),"")</f>
        <v/>
      </c>
      <c r="J258" s="51" t="str">
        <f ca="1">IF(FWD[[#This Row],[RAD/PACT]]="","",IF(OR(FWD[[#This Row],[RAD/PACT]]="2021-2025",FWD[[#This Row],[RAD/PACT]]="2019-2020"),"Yes",""))</f>
        <v/>
      </c>
      <c r="K258" s="1"/>
      <c r="L258" s="1"/>
      <c r="M258" s="1"/>
      <c r="N258" s="1"/>
      <c r="O258" s="3">
        <f ca="1">IF(FWD[[#This Row],[RAD/PACT]]="2019-2020",0,INDEX(UnitCosts[],MATCH(FWD[[#This Row],[WORK TYPE]],UnitCosts[Work Type],0),2)*FWD[[#This Row],[Dwelling Units]])</f>
        <v>458902.49795427732</v>
      </c>
      <c r="P258" s="3"/>
      <c r="Q258" s="3"/>
      <c r="R258" s="69">
        <f t="shared" ca="1" si="3"/>
        <v>2212013.1642964603</v>
      </c>
      <c r="S258" s="71">
        <f ca="1">SUM(INDEX(FWD[Dwelling Units],1):FWD[[#This Row],[Dwelling Units]])</f>
        <v>142181</v>
      </c>
      <c r="T258" s="71">
        <f ca="1">IF(ISBLANK(FWD[[#This Row],[CALENDAR YEAR]]),ROUNDDOWN(FWD[[#This Row],[Running count]]/3000,0)+$T$1,FWD[[#This Row],[CALENDAR YEAR]])</f>
        <v>2067</v>
      </c>
    </row>
    <row r="259" spans="1:20">
      <c r="A259" s="65" t="s">
        <v>257</v>
      </c>
      <c r="B259" s="1" t="str">
        <f>VLOOKUP(A259,Data[],2,FALSE)</f>
        <v>BROOKLYN</v>
      </c>
      <c r="C259" s="1" t="str">
        <f>VLOOKUP(FWD[[#This Row],[DEVELOPMENT]],Data[],25,FALSE)</f>
        <v>Newtown Creek</v>
      </c>
      <c r="D259" s="9" t="s">
        <v>49</v>
      </c>
      <c r="E259" s="50">
        <f>VLOOKUP(FWD[[#This Row],[DEVELOPMENT]],Data[],7,FALSE)</f>
        <v>329</v>
      </c>
      <c r="F259" s="50" t="e">
        <f>VLOOKUP(FWD[[#This Row],[DEVELOPMENT]],all[[DEVELOPMENT]:[MRST Ext. Comp. Priority]],5,FALSE)</f>
        <v>#N/A</v>
      </c>
      <c r="G259" s="50">
        <f>VLOOKUP(FWD[[#This Row],[DEVELOPMENT]],Data[],8,FALSE)</f>
        <v>0</v>
      </c>
      <c r="H259" s="9">
        <f>VLOOKUP(FWD[[#This Row],[DEVELOPMENT]],Data[],9,FALSE)</f>
        <v>0</v>
      </c>
      <c r="I259" s="1" t="str">
        <f ca="1">IFERROR(VLOOKUP(FWD[[#This Row],[DEVELOPMENT]],Data[],4,FALSE),"")</f>
        <v>2026+</v>
      </c>
      <c r="J259" s="51" t="str">
        <f ca="1">IF(FWD[[#This Row],[RAD/PACT]]="","",IF(OR(FWD[[#This Row],[RAD/PACT]]="2021-2025",FWD[[#This Row],[RAD/PACT]]="2019-2020"),"Yes",""))</f>
        <v/>
      </c>
      <c r="K259" s="1"/>
      <c r="L259" s="1"/>
      <c r="M259" s="1"/>
      <c r="N259" s="1"/>
      <c r="O259" s="3">
        <f ca="1">IF(FWD[[#This Row],[RAD/PACT]]="2019-2020",0,INDEX(UnitCosts[],MATCH(FWD[[#This Row],[WORK TYPE]],UnitCosts[Work Type],0),2)*FWD[[#This Row],[Dwelling Units]])</f>
        <v>565464.12669272372</v>
      </c>
      <c r="P259" s="3"/>
      <c r="Q259" s="3"/>
      <c r="R259" s="69">
        <f t="shared" ca="1" si="3"/>
        <v>2777477.2909891838</v>
      </c>
      <c r="S259" s="71">
        <f ca="1">SUM(INDEX(FWD[Dwelling Units],1):FWD[[#This Row],[Dwelling Units]])</f>
        <v>142510</v>
      </c>
      <c r="T259" s="71">
        <f ca="1">IF(ISBLANK(FWD[[#This Row],[CALENDAR YEAR]]),ROUNDDOWN(FWD[[#This Row],[Running count]]/3000,0)+$T$1,FWD[[#This Row],[CALENDAR YEAR]])</f>
        <v>2067</v>
      </c>
    </row>
    <row r="260" spans="1:20">
      <c r="A260" s="65" t="s">
        <v>258</v>
      </c>
      <c r="B260" s="1" t="str">
        <f>VLOOKUP(A260,Data[],2,FALSE)</f>
        <v>BROOKLYN</v>
      </c>
      <c r="C260" s="1" t="str">
        <f>VLOOKUP(FWD[[#This Row],[DEVELOPMENT]],Data[],25,FALSE)</f>
        <v>Newtown Creek</v>
      </c>
      <c r="D260" s="9" t="s">
        <v>49</v>
      </c>
      <c r="E260" s="50">
        <f>VLOOKUP(FWD[[#This Row],[DEVELOPMENT]],Data[],7,FALSE)</f>
        <v>150</v>
      </c>
      <c r="F260" s="50" t="e">
        <f>VLOOKUP(FWD[[#This Row],[DEVELOPMENT]],all[[DEVELOPMENT]:[MRST Ext. Comp. Priority]],5,FALSE)</f>
        <v>#N/A</v>
      </c>
      <c r="G260" s="50">
        <f>VLOOKUP(FWD[[#This Row],[DEVELOPMENT]],Data[],8,FALSE)</f>
        <v>0</v>
      </c>
      <c r="H260" s="9">
        <f>VLOOKUP(FWD[[#This Row],[DEVELOPMENT]],Data[],9,FALSE)</f>
        <v>0</v>
      </c>
      <c r="I260" s="1" t="str">
        <f ca="1">IFERROR(VLOOKUP(FWD[[#This Row],[DEVELOPMENT]],Data[],4,FALSE),"")</f>
        <v>2026+</v>
      </c>
      <c r="J260" s="51" t="str">
        <f ca="1">IF(FWD[[#This Row],[RAD/PACT]]="","",IF(OR(FWD[[#This Row],[RAD/PACT]]="2021-2025",FWD[[#This Row],[RAD/PACT]]="2019-2020"),"Yes",""))</f>
        <v/>
      </c>
      <c r="K260" s="1"/>
      <c r="L260" s="1"/>
      <c r="M260" s="1"/>
      <c r="N260" s="1"/>
      <c r="O260" s="3">
        <f ca="1">IF(FWD[[#This Row],[RAD/PACT]]="2019-2020",0,INDEX(UnitCosts[],MATCH(FWD[[#This Row],[WORK TYPE]],UnitCosts[Work Type],0),2)*FWD[[#This Row],[Dwelling Units]])</f>
        <v>257810.39210914454</v>
      </c>
      <c r="P260" s="3"/>
      <c r="Q260" s="3"/>
      <c r="R260" s="69">
        <f t="shared" ref="R260:R314" ca="1" si="4">IF(T260=T259,(O260+N260)+R259,(O260+N260))</f>
        <v>3035287.6830983283</v>
      </c>
      <c r="S260" s="71">
        <f ca="1">SUM(INDEX(FWD[Dwelling Units],1):FWD[[#This Row],[Dwelling Units]])</f>
        <v>142660</v>
      </c>
      <c r="T260" s="71">
        <f ca="1">IF(ISBLANK(FWD[[#This Row],[CALENDAR YEAR]]),ROUNDDOWN(FWD[[#This Row],[Running count]]/3000,0)+$T$1,FWD[[#This Row],[CALENDAR YEAR]])</f>
        <v>2067</v>
      </c>
    </row>
    <row r="261" spans="1:20">
      <c r="A261" s="65" t="s">
        <v>45</v>
      </c>
      <c r="B261" s="1" t="str">
        <f>VLOOKUP(A261,Data[],2,FALSE)</f>
        <v>BROOKLYN</v>
      </c>
      <c r="C261" s="1" t="str">
        <f>VLOOKUP(FWD[[#This Row],[DEVELOPMENT]],Data[],25,FALSE)</f>
        <v>Newtown Creek</v>
      </c>
      <c r="D261" s="9" t="s">
        <v>49</v>
      </c>
      <c r="E261" s="50">
        <f>VLOOKUP(FWD[[#This Row],[DEVELOPMENT]],Data[],7,FALSE)</f>
        <v>1098</v>
      </c>
      <c r="F261" s="50" t="e">
        <f>VLOOKUP(FWD[[#This Row],[DEVELOPMENT]],all[[DEVELOPMENT]:[MRST Ext. Comp. Priority]],5,FALSE)</f>
        <v>#N/A</v>
      </c>
      <c r="G261" s="50" t="str">
        <f>VLOOKUP(FWD[[#This Row],[DEVELOPMENT]],Data[],8,FALSE)</f>
        <v>Zone 1</v>
      </c>
      <c r="H261" s="9">
        <f>VLOOKUP(FWD[[#This Row],[DEVELOPMENT]],Data[],9,FALSE)</f>
        <v>4</v>
      </c>
      <c r="I261" s="1" t="str">
        <f ca="1">IFERROR(VLOOKUP(FWD[[#This Row],[DEVELOPMENT]],Data[],4,FALSE),"")</f>
        <v/>
      </c>
      <c r="J261" s="51" t="str">
        <f ca="1">IF(FWD[[#This Row],[RAD/PACT]]="","",IF(OR(FWD[[#This Row],[RAD/PACT]]="2021-2025",FWD[[#This Row],[RAD/PACT]]="2019-2020"),"Yes",""))</f>
        <v/>
      </c>
      <c r="K261" s="1"/>
      <c r="L261" s="1"/>
      <c r="M261" s="1"/>
      <c r="N261" s="1"/>
      <c r="O261" s="3">
        <f ca="1">IF(FWD[[#This Row],[RAD/PACT]]="2019-2020",0,INDEX(UnitCosts[],MATCH(FWD[[#This Row],[WORK TYPE]],UnitCosts[Work Type],0),2)*FWD[[#This Row],[Dwelling Units]])</f>
        <v>1887172.0702389381</v>
      </c>
      <c r="P261" s="3"/>
      <c r="Q261" s="3"/>
      <c r="R261" s="69">
        <f t="shared" ca="1" si="4"/>
        <v>4922459.7533372659</v>
      </c>
      <c r="S261" s="71">
        <f ca="1">SUM(INDEX(FWD[Dwelling Units],1):FWD[[#This Row],[Dwelling Units]])</f>
        <v>143758</v>
      </c>
      <c r="T261" s="71">
        <f ca="1">IF(ISBLANK(FWD[[#This Row],[CALENDAR YEAR]]),ROUNDDOWN(FWD[[#This Row],[Running count]]/3000,0)+$T$1,FWD[[#This Row],[CALENDAR YEAR]])</f>
        <v>2067</v>
      </c>
    </row>
    <row r="262" spans="1:20">
      <c r="A262" s="65" t="s">
        <v>367</v>
      </c>
      <c r="B262" s="1" t="str">
        <f>VLOOKUP(A262,Data[],2,FALSE)</f>
        <v>BROOKLYN</v>
      </c>
      <c r="C262" s="1">
        <f>VLOOKUP(FWD[[#This Row],[DEVELOPMENT]],Data[],25,FALSE)</f>
        <v>0</v>
      </c>
      <c r="D262" s="9" t="s">
        <v>49</v>
      </c>
      <c r="E262" s="50">
        <f>VLOOKUP(FWD[[#This Row],[DEVELOPMENT]],Data[],7,FALSE)</f>
        <v>594</v>
      </c>
      <c r="F262" s="50" t="e">
        <f>VLOOKUP(FWD[[#This Row],[DEVELOPMENT]],all[[DEVELOPMENT]:[MRST Ext. Comp. Priority]],5,FALSE)</f>
        <v>#N/A</v>
      </c>
      <c r="G262" s="50">
        <f>VLOOKUP(FWD[[#This Row],[DEVELOPMENT]],Data[],8,FALSE)</f>
        <v>0</v>
      </c>
      <c r="H262" s="9">
        <f>VLOOKUP(FWD[[#This Row],[DEVELOPMENT]],Data[],9,FALSE)</f>
        <v>0</v>
      </c>
      <c r="I262" s="1" t="str">
        <f ca="1">IFERROR(VLOOKUP(FWD[[#This Row],[DEVELOPMENT]],Data[],4,FALSE),"")</f>
        <v/>
      </c>
      <c r="J262" s="51" t="str">
        <f ca="1">IF(FWD[[#This Row],[RAD/PACT]]="","",IF(OR(FWD[[#This Row],[RAD/PACT]]="2021-2025",FWD[[#This Row],[RAD/PACT]]="2019-2020"),"Yes",""))</f>
        <v/>
      </c>
      <c r="K262" s="1"/>
      <c r="L262" s="1"/>
      <c r="M262" s="1"/>
      <c r="N262" s="1"/>
      <c r="O262" s="3">
        <f ca="1">IF(FWD[[#This Row],[RAD/PACT]]="2019-2020",0,INDEX(UnitCosts[],MATCH(FWD[[#This Row],[WORK TYPE]],UnitCosts[Work Type],0),2)*FWD[[#This Row],[Dwelling Units]])</f>
        <v>1020929.1527522124</v>
      </c>
      <c r="P262" s="3"/>
      <c r="Q262" s="3"/>
      <c r="R262" s="69">
        <f t="shared" ca="1" si="4"/>
        <v>1020929.1527522124</v>
      </c>
      <c r="S262" s="71">
        <f ca="1">SUM(INDEX(FWD[Dwelling Units],1):FWD[[#This Row],[Dwelling Units]])</f>
        <v>144352</v>
      </c>
      <c r="T262" s="71">
        <f ca="1">IF(ISBLANK(FWD[[#This Row],[CALENDAR YEAR]]),ROUNDDOWN(FWD[[#This Row],[Running count]]/3000,0)+$T$1,FWD[[#This Row],[CALENDAR YEAR]])</f>
        <v>2068</v>
      </c>
    </row>
    <row r="263" spans="1:20">
      <c r="A263" s="65" t="s">
        <v>368</v>
      </c>
      <c r="B263" s="1" t="str">
        <f>VLOOKUP(A263,Data[],2,FALSE)</f>
        <v>BROOKLYN</v>
      </c>
      <c r="C263" s="1">
        <f>VLOOKUP(FWD[[#This Row],[DEVELOPMENT]],Data[],25,FALSE)</f>
        <v>0</v>
      </c>
      <c r="D263" s="9" t="s">
        <v>49</v>
      </c>
      <c r="E263" s="50">
        <f>VLOOKUP(FWD[[#This Row],[DEVELOPMENT]],Data[],7,FALSE)</f>
        <v>100</v>
      </c>
      <c r="F263" s="50" t="e">
        <f>VLOOKUP(FWD[[#This Row],[DEVELOPMENT]],all[[DEVELOPMENT]:[MRST Ext. Comp. Priority]],5,FALSE)</f>
        <v>#N/A</v>
      </c>
      <c r="G263" s="50">
        <f>VLOOKUP(FWD[[#This Row],[DEVELOPMENT]],Data[],8,FALSE)</f>
        <v>0</v>
      </c>
      <c r="H263" s="9">
        <f>VLOOKUP(FWD[[#This Row],[DEVELOPMENT]],Data[],9,FALSE)</f>
        <v>0</v>
      </c>
      <c r="I263" s="1" t="str">
        <f ca="1">IFERROR(VLOOKUP(FWD[[#This Row],[DEVELOPMENT]],Data[],4,FALSE),"")</f>
        <v>2020-2021</v>
      </c>
      <c r="J263" s="51" t="str">
        <f ca="1">IF(FWD[[#This Row],[RAD/PACT]]="","",IF(OR(FWD[[#This Row],[RAD/PACT]]="2021-2025",FWD[[#This Row],[RAD/PACT]]="2019-2020"),"Yes",""))</f>
        <v/>
      </c>
      <c r="K263" s="1"/>
      <c r="L263" s="1"/>
      <c r="M263" s="1"/>
      <c r="N263" s="1"/>
      <c r="O263" s="3">
        <f ca="1">IF(FWD[[#This Row],[RAD/PACT]]="2019-2020",0,INDEX(UnitCosts[],MATCH(FWD[[#This Row],[WORK TYPE]],UnitCosts[Work Type],0),2)*FWD[[#This Row],[Dwelling Units]])</f>
        <v>171873.59473942971</v>
      </c>
      <c r="P263" s="3"/>
      <c r="Q263" s="3"/>
      <c r="R263" s="69">
        <f t="shared" ca="1" si="4"/>
        <v>1192802.7474916421</v>
      </c>
      <c r="S263" s="71">
        <f ca="1">SUM(INDEX(FWD[Dwelling Units],1):FWD[[#This Row],[Dwelling Units]])</f>
        <v>144452</v>
      </c>
      <c r="T263" s="71">
        <f ca="1">IF(ISBLANK(FWD[[#This Row],[CALENDAR YEAR]]),ROUNDDOWN(FWD[[#This Row],[Running count]]/3000,0)+$T$1,FWD[[#This Row],[CALENDAR YEAR]])</f>
        <v>2068</v>
      </c>
    </row>
    <row r="264" spans="1:20">
      <c r="A264" s="65" t="s">
        <v>128</v>
      </c>
      <c r="B264" s="1" t="str">
        <f>VLOOKUP(A264,Data[],2,FALSE)</f>
        <v>MANHATTAN</v>
      </c>
      <c r="C264" s="1">
        <f>VLOOKUP(FWD[[#This Row],[DEVELOPMENT]],Data[],25,FALSE)</f>
        <v>0</v>
      </c>
      <c r="D264" s="9" t="s">
        <v>49</v>
      </c>
      <c r="E264" s="50">
        <f>VLOOKUP(FWD[[#This Row],[DEVELOPMENT]],Data[],7,FALSE)</f>
        <v>1463</v>
      </c>
      <c r="F264" s="50" t="e">
        <f>VLOOKUP(FWD[[#This Row],[DEVELOPMENT]],all[[DEVELOPMENT]:[MRST Ext. Comp. Priority]],5,FALSE)</f>
        <v>#N/A</v>
      </c>
      <c r="G264" s="50" t="str">
        <f>VLOOKUP(FWD[[#This Row],[DEVELOPMENT]],Data[],8,FALSE)</f>
        <v>Zone 2</v>
      </c>
      <c r="H264" s="9">
        <f>VLOOKUP(FWD[[#This Row],[DEVELOPMENT]],Data[],9,FALSE)</f>
        <v>2</v>
      </c>
      <c r="I264" s="1" t="str">
        <f ca="1">IFERROR(VLOOKUP(FWD[[#This Row],[DEVELOPMENT]],Data[],4,FALSE),"")</f>
        <v>2026+</v>
      </c>
      <c r="J264" s="51" t="str">
        <f ca="1">IF(FWD[[#This Row],[RAD/PACT]]="","",IF(OR(FWD[[#This Row],[RAD/PACT]]="2021-2025",FWD[[#This Row],[RAD/PACT]]="2019-2020"),"Yes",""))</f>
        <v/>
      </c>
      <c r="K264" s="1"/>
      <c r="L264" s="1"/>
      <c r="M264" s="1"/>
      <c r="N264" s="1"/>
      <c r="O264" s="3">
        <f ca="1">IF(FWD[[#This Row],[RAD/PACT]]="2019-2020",0,INDEX(UnitCosts[],MATCH(FWD[[#This Row],[WORK TYPE]],UnitCosts[Work Type],0),2)*FWD[[#This Row],[Dwelling Units]])</f>
        <v>2514510.6910378565</v>
      </c>
      <c r="P264" s="3"/>
      <c r="Q264" s="3"/>
      <c r="R264" s="69">
        <f t="shared" ca="1" si="4"/>
        <v>3707313.4385294989</v>
      </c>
      <c r="S264" s="71">
        <f ca="1">SUM(INDEX(FWD[Dwelling Units],1):FWD[[#This Row],[Dwelling Units]])</f>
        <v>145915</v>
      </c>
      <c r="T264" s="71">
        <f ca="1">IF(ISBLANK(FWD[[#This Row],[CALENDAR YEAR]]),ROUNDDOWN(FWD[[#This Row],[Running count]]/3000,0)+$T$1,FWD[[#This Row],[CALENDAR YEAR]])</f>
        <v>2068</v>
      </c>
    </row>
    <row r="265" spans="1:20">
      <c r="A265" s="65" t="s">
        <v>369</v>
      </c>
      <c r="B265" s="1" t="str">
        <f>VLOOKUP(A265,Data[],2,FALSE)</f>
        <v>BROOKLYN</v>
      </c>
      <c r="C265" s="1">
        <f>VLOOKUP(FWD[[#This Row],[DEVELOPMENT]],Data[],25,FALSE)</f>
        <v>0</v>
      </c>
      <c r="D265" s="9" t="s">
        <v>49</v>
      </c>
      <c r="E265" s="50">
        <f>VLOOKUP(FWD[[#This Row],[DEVELOPMENT]],Data[],7,FALSE)</f>
        <v>155</v>
      </c>
      <c r="F265" s="50" t="e">
        <f>VLOOKUP(FWD[[#This Row],[DEVELOPMENT]],all[[DEVELOPMENT]:[MRST Ext. Comp. Priority]],5,FALSE)</f>
        <v>#N/A</v>
      </c>
      <c r="G265" s="50">
        <f>VLOOKUP(FWD[[#This Row],[DEVELOPMENT]],Data[],8,FALSE)</f>
        <v>0</v>
      </c>
      <c r="H265" s="9">
        <f>VLOOKUP(FWD[[#This Row],[DEVELOPMENT]],Data[],9,FALSE)</f>
        <v>0</v>
      </c>
      <c r="I265" s="1" t="str">
        <f ca="1">IFERROR(VLOOKUP(FWD[[#This Row],[DEVELOPMENT]],Data[],4,FALSE),"")</f>
        <v>2020-2021</v>
      </c>
      <c r="J265" s="51" t="str">
        <f ca="1">IF(FWD[[#This Row],[RAD/PACT]]="","",IF(OR(FWD[[#This Row],[RAD/PACT]]="2021-2025",FWD[[#This Row],[RAD/PACT]]="2019-2020"),"Yes",""))</f>
        <v/>
      </c>
      <c r="K265" s="1"/>
      <c r="L265" s="1"/>
      <c r="M265" s="1"/>
      <c r="N265" s="1"/>
      <c r="O265" s="3">
        <f ca="1">IF(FWD[[#This Row],[RAD/PACT]]="2019-2020",0,INDEX(UnitCosts[],MATCH(FWD[[#This Row],[WORK TYPE]],UnitCosts[Work Type],0),2)*FWD[[#This Row],[Dwelling Units]])</f>
        <v>266404.07184611604</v>
      </c>
      <c r="P265" s="3"/>
      <c r="Q265" s="3"/>
      <c r="R265" s="69">
        <f t="shared" ca="1" si="4"/>
        <v>3973717.5103756147</v>
      </c>
      <c r="S265" s="71">
        <f ca="1">SUM(INDEX(FWD[Dwelling Units],1):FWD[[#This Row],[Dwelling Units]])</f>
        <v>146070</v>
      </c>
      <c r="T265" s="71">
        <f ca="1">IF(ISBLANK(FWD[[#This Row],[CALENDAR YEAR]]),ROUNDDOWN(FWD[[#This Row],[Running count]]/3000,0)+$T$1,FWD[[#This Row],[CALENDAR YEAR]])</f>
        <v>2068</v>
      </c>
    </row>
    <row r="266" spans="1:20">
      <c r="A266" s="65" t="s">
        <v>370</v>
      </c>
      <c r="B266" s="1" t="str">
        <f>VLOOKUP(A266,Data[],2,FALSE)</f>
        <v>BROOKLYN</v>
      </c>
      <c r="C266" s="1" t="str">
        <f>VLOOKUP(FWD[[#This Row],[DEVELOPMENT]],Data[],25,FALSE)</f>
        <v>Newtown Creek</v>
      </c>
      <c r="D266" s="9" t="s">
        <v>49</v>
      </c>
      <c r="E266" s="50">
        <f>VLOOKUP(FWD[[#This Row],[DEVELOPMENT]],Data[],7,FALSE)</f>
        <v>525</v>
      </c>
      <c r="F266" s="50" t="e">
        <f>VLOOKUP(FWD[[#This Row],[DEVELOPMENT]],all[[DEVELOPMENT]:[MRST Ext. Comp. Priority]],5,FALSE)</f>
        <v>#N/A</v>
      </c>
      <c r="G266" s="50">
        <f>VLOOKUP(FWD[[#This Row],[DEVELOPMENT]],Data[],8,FALSE)</f>
        <v>0</v>
      </c>
      <c r="H266" s="9">
        <f>VLOOKUP(FWD[[#This Row],[DEVELOPMENT]],Data[],9,FALSE)</f>
        <v>0</v>
      </c>
      <c r="I266" s="1" t="str">
        <f ca="1">IFERROR(VLOOKUP(FWD[[#This Row],[DEVELOPMENT]],Data[],4,FALSE),"")</f>
        <v/>
      </c>
      <c r="J266" s="51" t="str">
        <f ca="1">IF(FWD[[#This Row],[RAD/PACT]]="","",IF(OR(FWD[[#This Row],[RAD/PACT]]="2021-2025",FWD[[#This Row],[RAD/PACT]]="2019-2020"),"Yes",""))</f>
        <v/>
      </c>
      <c r="K266" s="1"/>
      <c r="L266" s="1"/>
      <c r="M266" s="1"/>
      <c r="N266" s="1"/>
      <c r="O266" s="3">
        <f ca="1">IF(FWD[[#This Row],[RAD/PACT]]="2019-2020",0,INDEX(UnitCosts[],MATCH(FWD[[#This Row],[WORK TYPE]],UnitCosts[Work Type],0),2)*FWD[[#This Row],[Dwelling Units]])</f>
        <v>902336.37238200591</v>
      </c>
      <c r="P266" s="3"/>
      <c r="Q266" s="3"/>
      <c r="R266" s="69">
        <f t="shared" ca="1" si="4"/>
        <v>4876053.8827576209</v>
      </c>
      <c r="S266" s="71">
        <f ca="1">SUM(INDEX(FWD[Dwelling Units],1):FWD[[#This Row],[Dwelling Units]])</f>
        <v>146595</v>
      </c>
      <c r="T266" s="71">
        <f ca="1">IF(ISBLANK(FWD[[#This Row],[CALENDAR YEAR]]),ROUNDDOWN(FWD[[#This Row],[Running count]]/3000,0)+$T$1,FWD[[#This Row],[CALENDAR YEAR]])</f>
        <v>2068</v>
      </c>
    </row>
    <row r="267" spans="1:20">
      <c r="A267" s="65" t="s">
        <v>149</v>
      </c>
      <c r="B267" s="1" t="str">
        <f>VLOOKUP(A267,Data[],2,FALSE)</f>
        <v>BRONX</v>
      </c>
      <c r="C267" s="1">
        <f>VLOOKUP(FWD[[#This Row],[DEVELOPMENT]],Data[],25,FALSE)</f>
        <v>0</v>
      </c>
      <c r="D267" s="9" t="s">
        <v>49</v>
      </c>
      <c r="E267" s="50">
        <f>VLOOKUP(FWD[[#This Row],[DEVELOPMENT]],Data[],7,FALSE)</f>
        <v>90</v>
      </c>
      <c r="F267" s="50" t="e">
        <f>VLOOKUP(FWD[[#This Row],[DEVELOPMENT]],all[[DEVELOPMENT]:[MRST Ext. Comp. Priority]],5,FALSE)</f>
        <v>#N/A</v>
      </c>
      <c r="G267" s="50" t="str">
        <f>VLOOKUP(FWD[[#This Row],[DEVELOPMENT]],Data[],8,FALSE)</f>
        <v>Zone 1</v>
      </c>
      <c r="H267" s="9">
        <f>VLOOKUP(FWD[[#This Row],[DEVELOPMENT]],Data[],9,FALSE)</f>
        <v>4</v>
      </c>
      <c r="I267" s="1" t="str">
        <f ca="1">IFERROR(VLOOKUP(FWD[[#This Row],[DEVELOPMENT]],Data[],4,FALSE),"")</f>
        <v>2022-2025</v>
      </c>
      <c r="J267" s="51" t="str">
        <f ca="1">IF(FWD[[#This Row],[RAD/PACT]]="","",IF(OR(FWD[[#This Row],[RAD/PACT]]="2021-2025",FWD[[#This Row],[RAD/PACT]]="2019-2020"),"Yes",""))</f>
        <v/>
      </c>
      <c r="K267" s="1"/>
      <c r="L267" s="1"/>
      <c r="M267" s="1"/>
      <c r="N267" s="1"/>
      <c r="O267" s="3">
        <f ca="1">IF(FWD[[#This Row],[RAD/PACT]]="2019-2020",0,INDEX(UnitCosts[],MATCH(FWD[[#This Row],[WORK TYPE]],UnitCosts[Work Type],0),2)*FWD[[#This Row],[Dwelling Units]])</f>
        <v>154686.23526548673</v>
      </c>
      <c r="P267" s="3"/>
      <c r="Q267" s="3"/>
      <c r="R267" s="69">
        <f t="shared" ca="1" si="4"/>
        <v>5030740.1180231078</v>
      </c>
      <c r="S267" s="71">
        <f ca="1">SUM(INDEX(FWD[Dwelling Units],1):FWD[[#This Row],[Dwelling Units]])</f>
        <v>146685</v>
      </c>
      <c r="T267" s="71">
        <f ca="1">IF(ISBLANK(FWD[[#This Row],[CALENDAR YEAR]]),ROUNDDOWN(FWD[[#This Row],[Running count]]/3000,0)+$T$1,FWD[[#This Row],[CALENDAR YEAR]])</f>
        <v>2068</v>
      </c>
    </row>
    <row r="268" spans="1:20">
      <c r="A268" s="65" t="s">
        <v>371</v>
      </c>
      <c r="B268" s="1" t="str">
        <f>VLOOKUP(A268,Data[],2,FALSE)</f>
        <v>MANHATTAN</v>
      </c>
      <c r="C268" s="1">
        <f>VLOOKUP(FWD[[#This Row],[DEVELOPMENT]],Data[],25,FALSE)</f>
        <v>0</v>
      </c>
      <c r="D268" s="9" t="s">
        <v>49</v>
      </c>
      <c r="E268" s="50">
        <f>VLOOKUP(FWD[[#This Row],[DEVELOPMENT]],Data[],7,FALSE)</f>
        <v>87</v>
      </c>
      <c r="F268" s="50" t="e">
        <f>VLOOKUP(FWD[[#This Row],[DEVELOPMENT]],all[[DEVELOPMENT]:[MRST Ext. Comp. Priority]],5,FALSE)</f>
        <v>#N/A</v>
      </c>
      <c r="G268" s="50" t="str">
        <f>VLOOKUP(FWD[[#This Row],[DEVELOPMENT]],Data[],8,FALSE)</f>
        <v>Zone 4</v>
      </c>
      <c r="H268" s="9">
        <f>VLOOKUP(FWD[[#This Row],[DEVELOPMENT]],Data[],9,FALSE)</f>
        <v>0</v>
      </c>
      <c r="I268" s="1" t="str">
        <f ca="1">IFERROR(VLOOKUP(FWD[[#This Row],[DEVELOPMENT]],Data[],4,FALSE),"")</f>
        <v/>
      </c>
      <c r="J268" s="51" t="str">
        <f ca="1">IF(FWD[[#This Row],[RAD/PACT]]="","",IF(OR(FWD[[#This Row],[RAD/PACT]]="2021-2025",FWD[[#This Row],[RAD/PACT]]="2019-2020"),"Yes",""))</f>
        <v/>
      </c>
      <c r="K268" s="1"/>
      <c r="L268" s="1"/>
      <c r="M268" s="1"/>
      <c r="N268" s="1"/>
      <c r="O268" s="3">
        <f ca="1">IF(FWD[[#This Row],[RAD/PACT]]="2019-2020",0,INDEX(UnitCosts[],MATCH(FWD[[#This Row],[WORK TYPE]],UnitCosts[Work Type],0),2)*FWD[[#This Row],[Dwelling Units]])</f>
        <v>149530.02742330384</v>
      </c>
      <c r="P268" s="3"/>
      <c r="Q268" s="3"/>
      <c r="R268" s="69">
        <f t="shared" ca="1" si="4"/>
        <v>5180270.1454464113</v>
      </c>
      <c r="S268" s="71">
        <f ca="1">SUM(INDEX(FWD[Dwelling Units],1):FWD[[#This Row],[Dwelling Units]])</f>
        <v>146772</v>
      </c>
      <c r="T268" s="71">
        <f ca="1">IF(ISBLANK(FWD[[#This Row],[CALENDAR YEAR]]),ROUNDDOWN(FWD[[#This Row],[Running count]]/3000,0)+$T$1,FWD[[#This Row],[CALENDAR YEAR]])</f>
        <v>2068</v>
      </c>
    </row>
    <row r="269" spans="1:20">
      <c r="A269" s="65" t="s">
        <v>217</v>
      </c>
      <c r="B269" s="1" t="str">
        <f>VLOOKUP(A269,Data[],2,FALSE)</f>
        <v>BRONX</v>
      </c>
      <c r="C269" s="1">
        <f>VLOOKUP(FWD[[#This Row],[DEVELOPMENT]],Data[],25,FALSE)</f>
        <v>0</v>
      </c>
      <c r="D269" s="9" t="s">
        <v>49</v>
      </c>
      <c r="E269" s="50">
        <f>VLOOKUP(FWD[[#This Row],[DEVELOPMENT]],Data[],7,FALSE)</f>
        <v>1182</v>
      </c>
      <c r="F269" s="50" t="e">
        <f>VLOOKUP(FWD[[#This Row],[DEVELOPMENT]],all[[DEVELOPMENT]:[MRST Ext. Comp. Priority]],5,FALSE)</f>
        <v>#N/A</v>
      </c>
      <c r="G269" s="50">
        <f>VLOOKUP(FWD[[#This Row],[DEVELOPMENT]],Data[],8,FALSE)</f>
        <v>0</v>
      </c>
      <c r="H269" s="9">
        <f>VLOOKUP(FWD[[#This Row],[DEVELOPMENT]],Data[],9,FALSE)</f>
        <v>0</v>
      </c>
      <c r="I269" s="1" t="str">
        <f ca="1">IFERROR(VLOOKUP(FWD[[#This Row],[DEVELOPMENT]],Data[],4,FALSE),"")</f>
        <v>2020-2021</v>
      </c>
      <c r="J269" s="51" t="str">
        <f ca="1">IF(FWD[[#This Row],[RAD/PACT]]="","",IF(OR(FWD[[#This Row],[RAD/PACT]]="2021-2025",FWD[[#This Row],[RAD/PACT]]="2019-2020"),"Yes",""))</f>
        <v/>
      </c>
      <c r="K269" s="1"/>
      <c r="L269" s="1"/>
      <c r="M269" s="1"/>
      <c r="N269" s="1"/>
      <c r="O269" s="3">
        <f ca="1">IF(FWD[[#This Row],[RAD/PACT]]="2019-2020",0,INDEX(UnitCosts[],MATCH(FWD[[#This Row],[WORK TYPE]],UnitCosts[Work Type],0),2)*FWD[[#This Row],[Dwelling Units]])</f>
        <v>2031545.8898200591</v>
      </c>
      <c r="P269" s="3"/>
      <c r="Q269" s="3"/>
      <c r="R269" s="69">
        <f t="shared" ca="1" si="4"/>
        <v>2031545.8898200591</v>
      </c>
      <c r="S269" s="71">
        <f ca="1">SUM(INDEX(FWD[Dwelling Units],1):FWD[[#This Row],[Dwelling Units]])</f>
        <v>147954</v>
      </c>
      <c r="T269" s="71">
        <f ca="1">IF(ISBLANK(FWD[[#This Row],[CALENDAR YEAR]]),ROUNDDOWN(FWD[[#This Row],[Running count]]/3000,0)+$T$1,FWD[[#This Row],[CALENDAR YEAR]])</f>
        <v>2069</v>
      </c>
    </row>
    <row r="270" spans="1:20">
      <c r="A270" s="65" t="s">
        <v>225</v>
      </c>
      <c r="B270" s="1" t="str">
        <f>VLOOKUP(A270,Data[],2,FALSE)</f>
        <v>BRONX</v>
      </c>
      <c r="C270" s="1">
        <f>VLOOKUP(FWD[[#This Row],[DEVELOPMENT]],Data[],25,FALSE)</f>
        <v>0</v>
      </c>
      <c r="D270" s="9" t="s">
        <v>49</v>
      </c>
      <c r="E270" s="50">
        <f>VLOOKUP(FWD[[#This Row],[DEVELOPMENT]],Data[],7,FALSE)</f>
        <v>287</v>
      </c>
      <c r="F270" s="50" t="e">
        <f>VLOOKUP(FWD[[#This Row],[DEVELOPMENT]],all[[DEVELOPMENT]:[MRST Ext. Comp. Priority]],5,FALSE)</f>
        <v>#N/A</v>
      </c>
      <c r="G270" s="50">
        <f>VLOOKUP(FWD[[#This Row],[DEVELOPMENT]],Data[],8,FALSE)</f>
        <v>0</v>
      </c>
      <c r="H270" s="9">
        <f>VLOOKUP(FWD[[#This Row],[DEVELOPMENT]],Data[],9,FALSE)</f>
        <v>0</v>
      </c>
      <c r="I270" s="1" t="str">
        <f ca="1">IFERROR(VLOOKUP(FWD[[#This Row],[DEVELOPMENT]],Data[],4,FALSE),"")</f>
        <v>2020-2021</v>
      </c>
      <c r="J270" s="51" t="str">
        <f ca="1">IF(FWD[[#This Row],[RAD/PACT]]="","",IF(OR(FWD[[#This Row],[RAD/PACT]]="2021-2025",FWD[[#This Row],[RAD/PACT]]="2019-2020"),"Yes",""))</f>
        <v/>
      </c>
      <c r="K270" s="1"/>
      <c r="L270" s="1"/>
      <c r="M270" s="1"/>
      <c r="N270" s="1"/>
      <c r="O270" s="3">
        <f ca="1">IF(FWD[[#This Row],[RAD/PACT]]="2019-2020",0,INDEX(UnitCosts[],MATCH(FWD[[#This Row],[WORK TYPE]],UnitCosts[Work Type],0),2)*FWD[[#This Row],[Dwelling Units]])</f>
        <v>493277.21690216323</v>
      </c>
      <c r="P270" s="3"/>
      <c r="Q270" s="3"/>
      <c r="R270" s="69">
        <f t="shared" ca="1" si="4"/>
        <v>2524823.1067222222</v>
      </c>
      <c r="S270" s="71">
        <f ca="1">SUM(INDEX(FWD[Dwelling Units],1):FWD[[#This Row],[Dwelling Units]])</f>
        <v>148241</v>
      </c>
      <c r="T270" s="71">
        <f ca="1">IF(ISBLANK(FWD[[#This Row],[CALENDAR YEAR]]),ROUNDDOWN(FWD[[#This Row],[Running count]]/3000,0)+$T$1,FWD[[#This Row],[CALENDAR YEAR]])</f>
        <v>2069</v>
      </c>
    </row>
    <row r="271" spans="1:20">
      <c r="A271" s="65" t="s">
        <v>270</v>
      </c>
      <c r="B271" s="1" t="str">
        <f>VLOOKUP(A271,Data[],2,FALSE)</f>
        <v>BROOKLYN</v>
      </c>
      <c r="C271" s="1">
        <f>VLOOKUP(FWD[[#This Row],[DEVELOPMENT]],Data[],25,FALSE)</f>
        <v>0</v>
      </c>
      <c r="D271" s="9" t="s">
        <v>49</v>
      </c>
      <c r="E271" s="50">
        <f>VLOOKUP(FWD[[#This Row],[DEVELOPMENT]],Data[],7,FALSE)</f>
        <v>998</v>
      </c>
      <c r="F271" s="50" t="e">
        <f>VLOOKUP(FWD[[#This Row],[DEVELOPMENT]],all[[DEVELOPMENT]:[MRST Ext. Comp. Priority]],5,FALSE)</f>
        <v>#N/A</v>
      </c>
      <c r="G271" s="50">
        <f>VLOOKUP(FWD[[#This Row],[DEVELOPMENT]],Data[],8,FALSE)</f>
        <v>0</v>
      </c>
      <c r="H271" s="9">
        <f>VLOOKUP(FWD[[#This Row],[DEVELOPMENT]],Data[],9,FALSE)</f>
        <v>0</v>
      </c>
      <c r="I271" s="1" t="str">
        <f ca="1">IFERROR(VLOOKUP(FWD[[#This Row],[DEVELOPMENT]],Data[],4,FALSE),"")</f>
        <v/>
      </c>
      <c r="J271" s="51" t="str">
        <f ca="1">IF(FWD[[#This Row],[RAD/PACT]]="","",IF(OR(FWD[[#This Row],[RAD/PACT]]="2021-2025",FWD[[#This Row],[RAD/PACT]]="2019-2020"),"Yes",""))</f>
        <v/>
      </c>
      <c r="K271" s="1"/>
      <c r="L271" s="1"/>
      <c r="M271" s="1"/>
      <c r="N271" s="1"/>
      <c r="O271" s="3">
        <f ca="1">IF(FWD[[#This Row],[RAD/PACT]]="2019-2020",0,INDEX(UnitCosts[],MATCH(FWD[[#This Row],[WORK TYPE]],UnitCosts[Work Type],0),2)*FWD[[#This Row],[Dwelling Units]])</f>
        <v>1715298.4754995084</v>
      </c>
      <c r="P271" s="3"/>
      <c r="Q271" s="3"/>
      <c r="R271" s="69">
        <f t="shared" ca="1" si="4"/>
        <v>4240121.5822217306</v>
      </c>
      <c r="S271" s="71">
        <f ca="1">SUM(INDEX(FWD[Dwelling Units],1):FWD[[#This Row],[Dwelling Units]])</f>
        <v>149239</v>
      </c>
      <c r="T271" s="71">
        <f ca="1">IF(ISBLANK(FWD[[#This Row],[CALENDAR YEAR]]),ROUNDDOWN(FWD[[#This Row],[Running count]]/3000,0)+$T$1,FWD[[#This Row],[CALENDAR YEAR]])</f>
        <v>2069</v>
      </c>
    </row>
    <row r="272" spans="1:20">
      <c r="A272" s="65" t="s">
        <v>288</v>
      </c>
      <c r="B272" s="1" t="str">
        <f>VLOOKUP(A272,Data[],2,FALSE)</f>
        <v>STATEN ISLAND</v>
      </c>
      <c r="C272" s="1">
        <f>VLOOKUP(FWD[[#This Row],[DEVELOPMENT]],Data[],25,FALSE)</f>
        <v>0</v>
      </c>
      <c r="D272" s="9" t="s">
        <v>49</v>
      </c>
      <c r="E272" s="50">
        <f>VLOOKUP(FWD[[#This Row],[DEVELOPMENT]],Data[],7,FALSE)</f>
        <v>502</v>
      </c>
      <c r="F272" s="50" t="e">
        <f>VLOOKUP(FWD[[#This Row],[DEVELOPMENT]],all[[DEVELOPMENT]:[MRST Ext. Comp. Priority]],5,FALSE)</f>
        <v>#N/A</v>
      </c>
      <c r="G272" s="50">
        <f>VLOOKUP(FWD[[#This Row],[DEVELOPMENT]],Data[],8,FALSE)</f>
        <v>0</v>
      </c>
      <c r="H272" s="9">
        <f>VLOOKUP(FWD[[#This Row],[DEVELOPMENT]],Data[],9,FALSE)</f>
        <v>0</v>
      </c>
      <c r="I272" s="1" t="str">
        <f ca="1">IFERROR(VLOOKUP(FWD[[#This Row],[DEVELOPMENT]],Data[],4,FALSE),"")</f>
        <v/>
      </c>
      <c r="J272" s="51" t="str">
        <f ca="1">IF(FWD[[#This Row],[RAD/PACT]]="","",IF(OR(FWD[[#This Row],[RAD/PACT]]="2021-2025",FWD[[#This Row],[RAD/PACT]]="2019-2020"),"Yes",""))</f>
        <v/>
      </c>
      <c r="K272" s="1"/>
      <c r="L272" s="1"/>
      <c r="M272" s="1"/>
      <c r="N272" s="1"/>
      <c r="O272" s="3">
        <f ca="1">IF(FWD[[#This Row],[RAD/PACT]]="2019-2020",0,INDEX(UnitCosts[],MATCH(FWD[[#This Row],[WORK TYPE]],UnitCosts[Work Type],0),2)*FWD[[#This Row],[Dwelling Units]])</f>
        <v>862805.44559193705</v>
      </c>
      <c r="P272" s="3"/>
      <c r="Q272" s="3"/>
      <c r="R272" s="69">
        <f t="shared" ca="1" si="4"/>
        <v>5102927.0278136674</v>
      </c>
      <c r="S272" s="71">
        <f ca="1">SUM(INDEX(FWD[Dwelling Units],1):FWD[[#This Row],[Dwelling Units]])</f>
        <v>149741</v>
      </c>
      <c r="T272" s="71">
        <f ca="1">IF(ISBLANK(FWD[[#This Row],[CALENDAR YEAR]]),ROUNDDOWN(FWD[[#This Row],[Running count]]/3000,0)+$T$1,FWD[[#This Row],[CALENDAR YEAR]])</f>
        <v>2069</v>
      </c>
    </row>
    <row r="273" spans="1:20">
      <c r="A273" s="65" t="s">
        <v>46</v>
      </c>
      <c r="B273" s="1" t="str">
        <f>VLOOKUP(A273,Data[],2,FALSE)</f>
        <v>BROOKLYN</v>
      </c>
      <c r="C273" s="1" t="str">
        <f>VLOOKUP(FWD[[#This Row],[DEVELOPMENT]],Data[],25,FALSE)</f>
        <v>Newtown Creek</v>
      </c>
      <c r="D273" s="9" t="s">
        <v>49</v>
      </c>
      <c r="E273" s="50">
        <f>VLOOKUP(FWD[[#This Row],[DEVELOPMENT]],Data[],7,FALSE)</f>
        <v>1045</v>
      </c>
      <c r="F273" s="50" t="e">
        <f>VLOOKUP(FWD[[#This Row],[DEVELOPMENT]],all[[DEVELOPMENT]:[MRST Ext. Comp. Priority]],5,FALSE)</f>
        <v>#N/A</v>
      </c>
      <c r="G273" s="50" t="str">
        <f>VLOOKUP(FWD[[#This Row],[DEVELOPMENT]],Data[],8,FALSE)</f>
        <v>Zone 1</v>
      </c>
      <c r="H273" s="9">
        <f>VLOOKUP(FWD[[#This Row],[DEVELOPMENT]],Data[],9,FALSE)</f>
        <v>4</v>
      </c>
      <c r="I273" s="1" t="str">
        <f ca="1">IFERROR(VLOOKUP(FWD[[#This Row],[DEVELOPMENT]],Data[],4,FALSE),"")</f>
        <v>2026+</v>
      </c>
      <c r="J273" s="51" t="str">
        <f ca="1">IF(FWD[[#This Row],[RAD/PACT]]="","",IF(OR(FWD[[#This Row],[RAD/PACT]]="2021-2025",FWD[[#This Row],[RAD/PACT]]="2019-2020"),"Yes",""))</f>
        <v/>
      </c>
      <c r="K273" s="1"/>
      <c r="L273" s="1"/>
      <c r="M273" s="1"/>
      <c r="N273" s="1"/>
      <c r="O273" s="3">
        <f ca="1">IF(FWD[[#This Row],[RAD/PACT]]="2019-2020",0,INDEX(UnitCosts[],MATCH(FWD[[#This Row],[WORK TYPE]],UnitCosts[Work Type],0),2)*FWD[[#This Row],[Dwelling Units]])</f>
        <v>1796079.0650270404</v>
      </c>
      <c r="P273" s="3"/>
      <c r="Q273" s="3"/>
      <c r="R273" s="69">
        <f t="shared" ca="1" si="4"/>
        <v>1796079.0650270404</v>
      </c>
      <c r="S273" s="71">
        <f ca="1">SUM(INDEX(FWD[Dwelling Units],1):FWD[[#This Row],[Dwelling Units]])</f>
        <v>150786</v>
      </c>
      <c r="T273" s="71">
        <f ca="1">IF(ISBLANK(FWD[[#This Row],[CALENDAR YEAR]]),ROUNDDOWN(FWD[[#This Row],[Running count]]/3000,0)+$T$1,FWD[[#This Row],[CALENDAR YEAR]])</f>
        <v>2070</v>
      </c>
    </row>
    <row r="274" spans="1:20">
      <c r="A274" s="65" t="s">
        <v>138</v>
      </c>
      <c r="B274" s="1" t="str">
        <f>VLOOKUP(A274,Data[],2,FALSE)</f>
        <v>BRONX</v>
      </c>
      <c r="C274" s="1">
        <f>VLOOKUP(FWD[[#This Row],[DEVELOPMENT]],Data[],25,FALSE)</f>
        <v>0</v>
      </c>
      <c r="D274" s="9" t="s">
        <v>49</v>
      </c>
      <c r="E274" s="50">
        <f>VLOOKUP(FWD[[#This Row],[DEVELOPMENT]],Data[],7,FALSE)</f>
        <v>219</v>
      </c>
      <c r="F274" s="50" t="e">
        <f>VLOOKUP(FWD[[#This Row],[DEVELOPMENT]],all[[DEVELOPMENT]:[MRST Ext. Comp. Priority]],5,FALSE)</f>
        <v>#N/A</v>
      </c>
      <c r="G274" s="50" t="str">
        <f>VLOOKUP(FWD[[#This Row],[DEVELOPMENT]],Data[],8,FALSE)</f>
        <v>Zone 1</v>
      </c>
      <c r="H274" s="9">
        <f>VLOOKUP(FWD[[#This Row],[DEVELOPMENT]],Data[],9,FALSE)</f>
        <v>4</v>
      </c>
      <c r="I274" s="1" t="str">
        <f ca="1">IFERROR(VLOOKUP(FWD[[#This Row],[DEVELOPMENT]],Data[],4,FALSE),"")</f>
        <v/>
      </c>
      <c r="J274" s="51" t="str">
        <f ca="1">IF(FWD[[#This Row],[RAD/PACT]]="","",IF(OR(FWD[[#This Row],[RAD/PACT]]="2021-2025",FWD[[#This Row],[RAD/PACT]]="2019-2020"),"Yes",""))</f>
        <v/>
      </c>
      <c r="K274" s="1"/>
      <c r="L274" s="1"/>
      <c r="M274" s="1"/>
      <c r="N274" s="1"/>
      <c r="O274" s="3">
        <f ca="1">IF(FWD[[#This Row],[RAD/PACT]]="2019-2020",0,INDEX(UnitCosts[],MATCH(FWD[[#This Row],[WORK TYPE]],UnitCosts[Work Type],0),2)*FWD[[#This Row],[Dwelling Units]])</f>
        <v>376403.17247935105</v>
      </c>
      <c r="P274" s="3"/>
      <c r="Q274" s="3"/>
      <c r="R274" s="69">
        <f t="shared" ca="1" si="4"/>
        <v>2172482.2375063915</v>
      </c>
      <c r="S274" s="71">
        <f ca="1">SUM(INDEX(FWD[Dwelling Units],1):FWD[[#This Row],[Dwelling Units]])</f>
        <v>151005</v>
      </c>
      <c r="T274" s="71">
        <f ca="1">IF(ISBLANK(FWD[[#This Row],[CALENDAR YEAR]]),ROUNDDOWN(FWD[[#This Row],[Running count]]/3000,0)+$T$1,FWD[[#This Row],[CALENDAR YEAR]])</f>
        <v>2070</v>
      </c>
    </row>
    <row r="275" spans="1:20">
      <c r="A275" s="65" t="s">
        <v>98</v>
      </c>
      <c r="B275" s="1" t="str">
        <f>VLOOKUP(A275,Data[],2,FALSE)</f>
        <v>BRONX</v>
      </c>
      <c r="C275" s="1">
        <f>VLOOKUP(FWD[[#This Row],[DEVELOPMENT]],Data[],25,FALSE)</f>
        <v>0</v>
      </c>
      <c r="D275" s="9" t="s">
        <v>49</v>
      </c>
      <c r="E275" s="50">
        <f>VLOOKUP(FWD[[#This Row],[DEVELOPMENT]],Data[],7,FALSE)</f>
        <v>199</v>
      </c>
      <c r="F275" s="50" t="e">
        <f>VLOOKUP(FWD[[#This Row],[DEVELOPMENT]],all[[DEVELOPMENT]:[MRST Ext. Comp. Priority]],5,FALSE)</f>
        <v>#N/A</v>
      </c>
      <c r="G275" s="50" t="str">
        <f>VLOOKUP(FWD[[#This Row],[DEVELOPMENT]],Data[],8,FALSE)</f>
        <v>Zone 3</v>
      </c>
      <c r="H275" s="9">
        <f>VLOOKUP(FWD[[#This Row],[DEVELOPMENT]],Data[],9,FALSE)</f>
        <v>4</v>
      </c>
      <c r="I275" s="1" t="str">
        <f ca="1">IFERROR(VLOOKUP(FWD[[#This Row],[DEVELOPMENT]],Data[],4,FALSE),"")</f>
        <v>2026+</v>
      </c>
      <c r="J275" s="51" t="str">
        <f ca="1">IF(FWD[[#This Row],[RAD/PACT]]="","",IF(OR(FWD[[#This Row],[RAD/PACT]]="2021-2025",FWD[[#This Row],[RAD/PACT]]="2019-2020"),"Yes",""))</f>
        <v/>
      </c>
      <c r="K275" s="1"/>
      <c r="L275" s="1"/>
      <c r="M275" s="1"/>
      <c r="N275" s="1"/>
      <c r="O275" s="3">
        <f ca="1">IF(FWD[[#This Row],[RAD/PACT]]="2019-2020",0,INDEX(UnitCosts[],MATCH(FWD[[#This Row],[WORK TYPE]],UnitCosts[Work Type],0),2)*FWD[[#This Row],[Dwelling Units]])</f>
        <v>342028.45353146509</v>
      </c>
      <c r="P275" s="3"/>
      <c r="Q275" s="3"/>
      <c r="R275" s="69">
        <f t="shared" ca="1" si="4"/>
        <v>2514510.6910378565</v>
      </c>
      <c r="S275" s="71">
        <f ca="1">SUM(INDEX(FWD[Dwelling Units],1):FWD[[#This Row],[Dwelling Units]])</f>
        <v>151204</v>
      </c>
      <c r="T275" s="71">
        <f ca="1">IF(ISBLANK(FWD[[#This Row],[CALENDAR YEAR]]),ROUNDDOWN(FWD[[#This Row],[Running count]]/3000,0)+$T$1,FWD[[#This Row],[CALENDAR YEAR]])</f>
        <v>2070</v>
      </c>
    </row>
    <row r="276" spans="1:20">
      <c r="A276" s="65" t="s">
        <v>99</v>
      </c>
      <c r="B276" s="1" t="str">
        <f>VLOOKUP(A276,Data[],2,FALSE)</f>
        <v>BRONX</v>
      </c>
      <c r="C276" s="1">
        <f>VLOOKUP(FWD[[#This Row],[DEVELOPMENT]],Data[],25,FALSE)</f>
        <v>0</v>
      </c>
      <c r="D276" s="9" t="s">
        <v>49</v>
      </c>
      <c r="E276" s="50">
        <f>VLOOKUP(FWD[[#This Row],[DEVELOPMENT]],Data[],7,FALSE)</f>
        <v>120</v>
      </c>
      <c r="F276" s="50" t="e">
        <f>VLOOKUP(FWD[[#This Row],[DEVELOPMENT]],all[[DEVELOPMENT]:[MRST Ext. Comp. Priority]],5,FALSE)</f>
        <v>#N/A</v>
      </c>
      <c r="G276" s="50" t="str">
        <f>VLOOKUP(FWD[[#This Row],[DEVELOPMENT]],Data[],8,FALSE)</f>
        <v>Zone 3</v>
      </c>
      <c r="H276" s="9">
        <f>VLOOKUP(FWD[[#This Row],[DEVELOPMENT]],Data[],9,FALSE)</f>
        <v>4</v>
      </c>
      <c r="I276" s="1" t="str">
        <f ca="1">IFERROR(VLOOKUP(FWD[[#This Row],[DEVELOPMENT]],Data[],4,FALSE),"")</f>
        <v>2026+</v>
      </c>
      <c r="J276" s="51" t="str">
        <f ca="1">IF(FWD[[#This Row],[RAD/PACT]]="","",IF(OR(FWD[[#This Row],[RAD/PACT]]="2021-2025",FWD[[#This Row],[RAD/PACT]]="2019-2020"),"Yes",""))</f>
        <v/>
      </c>
      <c r="K276" s="1"/>
      <c r="L276" s="1"/>
      <c r="M276" s="1"/>
      <c r="N276" s="1"/>
      <c r="O276" s="3">
        <f ca="1">IF(FWD[[#This Row],[RAD/PACT]]="2019-2020",0,INDEX(UnitCosts[],MATCH(FWD[[#This Row],[WORK TYPE]],UnitCosts[Work Type],0),2)*FWD[[#This Row],[Dwelling Units]])</f>
        <v>206248.31368731565</v>
      </c>
      <c r="P276" s="3"/>
      <c r="Q276" s="3"/>
      <c r="R276" s="69">
        <f t="shared" ca="1" si="4"/>
        <v>2720759.0047251722</v>
      </c>
      <c r="S276" s="71">
        <f ca="1">SUM(INDEX(FWD[Dwelling Units],1):FWD[[#This Row],[Dwelling Units]])</f>
        <v>151324</v>
      </c>
      <c r="T276" s="71">
        <f ca="1">IF(ISBLANK(FWD[[#This Row],[CALENDAR YEAR]]),ROUNDDOWN(FWD[[#This Row],[Running count]]/3000,0)+$T$1,FWD[[#This Row],[CALENDAR YEAR]])</f>
        <v>2070</v>
      </c>
    </row>
    <row r="277" spans="1:20">
      <c r="A277" s="65" t="s">
        <v>218</v>
      </c>
      <c r="B277" s="1" t="str">
        <f>VLOOKUP(A277,Data[],2,FALSE)</f>
        <v>BROOKLYN</v>
      </c>
      <c r="C277" s="1">
        <f>VLOOKUP(FWD[[#This Row],[DEVELOPMENT]],Data[],25,FALSE)</f>
        <v>0</v>
      </c>
      <c r="D277" s="9" t="s">
        <v>49</v>
      </c>
      <c r="E277" s="50">
        <f>VLOOKUP(FWD[[#This Row],[DEVELOPMENT]],Data[],7,FALSE)</f>
        <v>167</v>
      </c>
      <c r="F277" s="50" t="e">
        <f>VLOOKUP(FWD[[#This Row],[DEVELOPMENT]],all[[DEVELOPMENT]:[MRST Ext. Comp. Priority]],5,FALSE)</f>
        <v>#N/A</v>
      </c>
      <c r="G277" s="50">
        <f>VLOOKUP(FWD[[#This Row],[DEVELOPMENT]],Data[],8,FALSE)</f>
        <v>0</v>
      </c>
      <c r="H277" s="9">
        <f>VLOOKUP(FWD[[#This Row],[DEVELOPMENT]],Data[],9,FALSE)</f>
        <v>0</v>
      </c>
      <c r="I277" s="1" t="str">
        <f ca="1">IFERROR(VLOOKUP(FWD[[#This Row],[DEVELOPMENT]],Data[],4,FALSE),"")</f>
        <v>2026+</v>
      </c>
      <c r="J277" s="51" t="str">
        <f ca="1">IF(FWD[[#This Row],[RAD/PACT]]="","",IF(OR(FWD[[#This Row],[RAD/PACT]]="2021-2025",FWD[[#This Row],[RAD/PACT]]="2019-2020"),"Yes",""))</f>
        <v/>
      </c>
      <c r="K277" s="1"/>
      <c r="L277" s="1"/>
      <c r="M277" s="1"/>
      <c r="N277" s="1"/>
      <c r="O277" s="3">
        <f ca="1">IF(FWD[[#This Row],[RAD/PACT]]="2019-2020",0,INDEX(UnitCosts[],MATCH(FWD[[#This Row],[WORK TYPE]],UnitCosts[Work Type],0),2)*FWD[[#This Row],[Dwelling Units]])</f>
        <v>287028.90321484761</v>
      </c>
      <c r="P277" s="3"/>
      <c r="Q277" s="3"/>
      <c r="R277" s="69">
        <f t="shared" ca="1" si="4"/>
        <v>3007787.9079400199</v>
      </c>
      <c r="S277" s="71">
        <f ca="1">SUM(INDEX(FWD[Dwelling Units],1):FWD[[#This Row],[Dwelling Units]])</f>
        <v>151491</v>
      </c>
      <c r="T277" s="71">
        <f ca="1">IF(ISBLANK(FWD[[#This Row],[CALENDAR YEAR]]),ROUNDDOWN(FWD[[#This Row],[Running count]]/3000,0)+$T$1,FWD[[#This Row],[CALENDAR YEAR]])</f>
        <v>2070</v>
      </c>
    </row>
    <row r="278" spans="1:20">
      <c r="A278" s="65" t="s">
        <v>219</v>
      </c>
      <c r="B278" s="1" t="str">
        <f>VLOOKUP(A278,Data[],2,FALSE)</f>
        <v>BROOKLYN</v>
      </c>
      <c r="C278" s="1">
        <f>VLOOKUP(FWD[[#This Row],[DEVELOPMENT]],Data[],25,FALSE)</f>
        <v>0</v>
      </c>
      <c r="D278" s="9" t="s">
        <v>49</v>
      </c>
      <c r="E278" s="50">
        <f>VLOOKUP(FWD[[#This Row],[DEVELOPMENT]],Data[],7,FALSE)</f>
        <v>460</v>
      </c>
      <c r="F278" s="50" t="e">
        <f>VLOOKUP(FWD[[#This Row],[DEVELOPMENT]],all[[DEVELOPMENT]:[MRST Ext. Comp. Priority]],5,FALSE)</f>
        <v>#N/A</v>
      </c>
      <c r="G278" s="50">
        <f>VLOOKUP(FWD[[#This Row],[DEVELOPMENT]],Data[],8,FALSE)</f>
        <v>0</v>
      </c>
      <c r="H278" s="9">
        <f>VLOOKUP(FWD[[#This Row],[DEVELOPMENT]],Data[],9,FALSE)</f>
        <v>0</v>
      </c>
      <c r="I278" s="1" t="str">
        <f ca="1">IFERROR(VLOOKUP(FWD[[#This Row],[DEVELOPMENT]],Data[],4,FALSE),"")</f>
        <v>2026+</v>
      </c>
      <c r="J278" s="51" t="str">
        <f ca="1">IF(FWD[[#This Row],[RAD/PACT]]="","",IF(OR(FWD[[#This Row],[RAD/PACT]]="2021-2025",FWD[[#This Row],[RAD/PACT]]="2019-2020"),"Yes",""))</f>
        <v/>
      </c>
      <c r="K278" s="1"/>
      <c r="L278" s="1"/>
      <c r="M278" s="1"/>
      <c r="N278" s="1"/>
      <c r="O278" s="3">
        <f ca="1">IF(FWD[[#This Row],[RAD/PACT]]="2019-2020",0,INDEX(UnitCosts[],MATCH(FWD[[#This Row],[WORK TYPE]],UnitCosts[Work Type],0),2)*FWD[[#This Row],[Dwelling Units]])</f>
        <v>790618.53580137657</v>
      </c>
      <c r="P278" s="3"/>
      <c r="Q278" s="3"/>
      <c r="R278" s="69">
        <f t="shared" ca="1" si="4"/>
        <v>3798406.4437413965</v>
      </c>
      <c r="S278" s="71">
        <f ca="1">SUM(INDEX(FWD[Dwelling Units],1):FWD[[#This Row],[Dwelling Units]])</f>
        <v>151951</v>
      </c>
      <c r="T278" s="71">
        <f ca="1">IF(ISBLANK(FWD[[#This Row],[CALENDAR YEAR]]),ROUNDDOWN(FWD[[#This Row],[Running count]]/3000,0)+$T$1,FWD[[#This Row],[CALENDAR YEAR]])</f>
        <v>2070</v>
      </c>
    </row>
    <row r="279" spans="1:20">
      <c r="A279" s="65" t="s">
        <v>372</v>
      </c>
      <c r="B279" s="1" t="str">
        <f>VLOOKUP(A279,Data[],2,FALSE)</f>
        <v>BRONX</v>
      </c>
      <c r="C279" s="1">
        <f>VLOOKUP(FWD[[#This Row],[DEVELOPMENT]],Data[],25,FALSE)</f>
        <v>0</v>
      </c>
      <c r="D279" s="9" t="s">
        <v>49</v>
      </c>
      <c r="E279" s="50">
        <f>VLOOKUP(FWD[[#This Row],[DEVELOPMENT]],Data[],7,FALSE)</f>
        <v>230</v>
      </c>
      <c r="F279" s="50" t="e">
        <f>VLOOKUP(FWD[[#This Row],[DEVELOPMENT]],all[[DEVELOPMENT]:[MRST Ext. Comp. Priority]],5,FALSE)</f>
        <v>#N/A</v>
      </c>
      <c r="G279" s="50">
        <f>VLOOKUP(FWD[[#This Row],[DEVELOPMENT]],Data[],8,FALSE)</f>
        <v>0</v>
      </c>
      <c r="H279" s="9">
        <f>VLOOKUP(FWD[[#This Row],[DEVELOPMENT]],Data[],9,FALSE)</f>
        <v>0</v>
      </c>
      <c r="I279" s="1" t="str">
        <f ca="1">IFERROR(VLOOKUP(FWD[[#This Row],[DEVELOPMENT]],Data[],4,FALSE),"")</f>
        <v/>
      </c>
      <c r="J279" s="51" t="str">
        <f ca="1">IF(FWD[[#This Row],[RAD/PACT]]="","",IF(OR(FWD[[#This Row],[RAD/PACT]]="2021-2025",FWD[[#This Row],[RAD/PACT]]="2019-2020"),"Yes",""))</f>
        <v/>
      </c>
      <c r="K279" s="1"/>
      <c r="L279" s="1"/>
      <c r="M279" s="1"/>
      <c r="N279" s="1"/>
      <c r="O279" s="3">
        <f ca="1">IF(FWD[[#This Row],[RAD/PACT]]="2019-2020",0,INDEX(UnitCosts[],MATCH(FWD[[#This Row],[WORK TYPE]],UnitCosts[Work Type],0),2)*FWD[[#This Row],[Dwelling Units]])</f>
        <v>395309.26790068828</v>
      </c>
      <c r="P279" s="3"/>
      <c r="Q279" s="3"/>
      <c r="R279" s="69">
        <f t="shared" ca="1" si="4"/>
        <v>4193715.7116420846</v>
      </c>
      <c r="S279" s="71">
        <f ca="1">SUM(INDEX(FWD[Dwelling Units],1):FWD[[#This Row],[Dwelling Units]])</f>
        <v>152181</v>
      </c>
      <c r="T279" s="71">
        <f ca="1">IF(ISBLANK(FWD[[#This Row],[CALENDAR YEAR]]),ROUNDDOWN(FWD[[#This Row],[Running count]]/3000,0)+$T$1,FWD[[#This Row],[CALENDAR YEAR]])</f>
        <v>2070</v>
      </c>
    </row>
    <row r="280" spans="1:20">
      <c r="A280" s="65" t="s">
        <v>126</v>
      </c>
      <c r="B280" s="1" t="str">
        <f>VLOOKUP(A280,Data[],2,FALSE)</f>
        <v>MANHATTAN</v>
      </c>
      <c r="C280" s="1">
        <f>VLOOKUP(FWD[[#This Row],[DEVELOPMENT]],Data[],25,FALSE)</f>
        <v>0</v>
      </c>
      <c r="D280" s="9" t="s">
        <v>49</v>
      </c>
      <c r="E280" s="50">
        <f>VLOOKUP(FWD[[#This Row],[DEVELOPMENT]],Data[],7,FALSE)</f>
        <v>179</v>
      </c>
      <c r="F280" s="50" t="e">
        <f>VLOOKUP(FWD[[#This Row],[DEVELOPMENT]],all[[DEVELOPMENT]:[MRST Ext. Comp. Priority]],5,FALSE)</f>
        <v>#N/A</v>
      </c>
      <c r="G280" s="50" t="str">
        <f>VLOOKUP(FWD[[#This Row],[DEVELOPMENT]],Data[],8,FALSE)</f>
        <v>Zone 2</v>
      </c>
      <c r="H280" s="9">
        <f>VLOOKUP(FWD[[#This Row],[DEVELOPMENT]],Data[],9,FALSE)</f>
        <v>4</v>
      </c>
      <c r="I280" s="1" t="str">
        <f ca="1">IFERROR(VLOOKUP(FWD[[#This Row],[DEVELOPMENT]],Data[],4,FALSE),"")</f>
        <v/>
      </c>
      <c r="J280" s="51" t="str">
        <f ca="1">IF(FWD[[#This Row],[RAD/PACT]]="","",IF(OR(FWD[[#This Row],[RAD/PACT]]="2021-2025",FWD[[#This Row],[RAD/PACT]]="2019-2020"),"Yes",""))</f>
        <v/>
      </c>
      <c r="K280" s="1"/>
      <c r="L280" s="1"/>
      <c r="M280" s="1"/>
      <c r="N280" s="1"/>
      <c r="O280" s="3">
        <f ca="1">IF(FWD[[#This Row],[RAD/PACT]]="2019-2020",0,INDEX(UnitCosts[],MATCH(FWD[[#This Row],[WORK TYPE]],UnitCosts[Work Type],0),2)*FWD[[#This Row],[Dwelling Units]])</f>
        <v>307653.73458357918</v>
      </c>
      <c r="P280" s="3"/>
      <c r="Q280" s="3"/>
      <c r="R280" s="69">
        <f t="shared" ca="1" si="4"/>
        <v>4501369.4462256636</v>
      </c>
      <c r="S280" s="71">
        <f ca="1">SUM(INDEX(FWD[Dwelling Units],1):FWD[[#This Row],[Dwelling Units]])</f>
        <v>152360</v>
      </c>
      <c r="T280" s="71">
        <f ca="1">IF(ISBLANK(FWD[[#This Row],[CALENDAR YEAR]]),ROUNDDOWN(FWD[[#This Row],[Running count]]/3000,0)+$T$1,FWD[[#This Row],[CALENDAR YEAR]])</f>
        <v>2070</v>
      </c>
    </row>
    <row r="281" spans="1:20">
      <c r="A281" s="65" t="s">
        <v>100</v>
      </c>
      <c r="B281" s="1" t="str">
        <f>VLOOKUP(A281,Data[],2,FALSE)</f>
        <v>MANHATTAN</v>
      </c>
      <c r="C281" s="1">
        <f>VLOOKUP(FWD[[#This Row],[DEVELOPMENT]],Data[],25,FALSE)</f>
        <v>0</v>
      </c>
      <c r="D281" s="9" t="s">
        <v>49</v>
      </c>
      <c r="E281" s="50">
        <f>VLOOKUP(FWD[[#This Row],[DEVELOPMENT]],Data[],7,FALSE)</f>
        <v>150</v>
      </c>
      <c r="F281" s="50" t="e">
        <f>VLOOKUP(FWD[[#This Row],[DEVELOPMENT]],all[[DEVELOPMENT]:[MRST Ext. Comp. Priority]],5,FALSE)</f>
        <v>#N/A</v>
      </c>
      <c r="G281" s="50" t="str">
        <f>VLOOKUP(FWD[[#This Row],[DEVELOPMENT]],Data[],8,FALSE)</f>
        <v>Zone 2</v>
      </c>
      <c r="H281" s="9">
        <f>VLOOKUP(FWD[[#This Row],[DEVELOPMENT]],Data[],9,FALSE)</f>
        <v>4</v>
      </c>
      <c r="I281" s="1" t="str">
        <f ca="1">IFERROR(VLOOKUP(FWD[[#This Row],[DEVELOPMENT]],Data[],4,FALSE),"")</f>
        <v/>
      </c>
      <c r="J281" s="51" t="str">
        <f ca="1">IF(FWD[[#This Row],[RAD/PACT]]="","",IF(OR(FWD[[#This Row],[RAD/PACT]]="2021-2025",FWD[[#This Row],[RAD/PACT]]="2019-2020"),"Yes",""))</f>
        <v/>
      </c>
      <c r="K281" s="1"/>
      <c r="L281" s="1"/>
      <c r="M281" s="1"/>
      <c r="N281" s="1"/>
      <c r="O281" s="3">
        <f ca="1">IF(FWD[[#This Row],[RAD/PACT]]="2019-2020",0,INDEX(UnitCosts[],MATCH(FWD[[#This Row],[WORK TYPE]],UnitCosts[Work Type],0),2)*FWD[[#This Row],[Dwelling Units]])</f>
        <v>257810.39210914454</v>
      </c>
      <c r="P281" s="3"/>
      <c r="Q281" s="3"/>
      <c r="R281" s="69">
        <f t="shared" ca="1" si="4"/>
        <v>4759179.8383348081</v>
      </c>
      <c r="S281" s="71">
        <f ca="1">SUM(INDEX(FWD[Dwelling Units],1):FWD[[#This Row],[Dwelling Units]])</f>
        <v>152510</v>
      </c>
      <c r="T281" s="71">
        <f ca="1">IF(ISBLANK(FWD[[#This Row],[CALENDAR YEAR]]),ROUNDDOWN(FWD[[#This Row],[Running count]]/3000,0)+$T$1,FWD[[#This Row],[CALENDAR YEAR]])</f>
        <v>2070</v>
      </c>
    </row>
    <row r="282" spans="1:20">
      <c r="A282" s="65" t="s">
        <v>373</v>
      </c>
      <c r="B282" s="1" t="str">
        <f>VLOOKUP(A282,Data[],2,FALSE)</f>
        <v>BROOKLYN</v>
      </c>
      <c r="C282" s="1">
        <f>VLOOKUP(FWD[[#This Row],[DEVELOPMENT]],Data[],25,FALSE)</f>
        <v>0</v>
      </c>
      <c r="D282" s="9" t="s">
        <v>49</v>
      </c>
      <c r="E282" s="50">
        <f>VLOOKUP(FWD[[#This Row],[DEVELOPMENT]],Data[],7,FALSE)</f>
        <v>1603</v>
      </c>
      <c r="F282" s="50" t="e">
        <f>VLOOKUP(FWD[[#This Row],[DEVELOPMENT]],all[[DEVELOPMENT]:[MRST Ext. Comp. Priority]],5,FALSE)</f>
        <v>#N/A</v>
      </c>
      <c r="G282" s="50">
        <f>VLOOKUP(FWD[[#This Row],[DEVELOPMENT]],Data[],8,FALSE)</f>
        <v>0</v>
      </c>
      <c r="H282" s="9">
        <f>VLOOKUP(FWD[[#This Row],[DEVELOPMENT]],Data[],9,FALSE)</f>
        <v>0</v>
      </c>
      <c r="I282" s="1" t="str">
        <f ca="1">IFERROR(VLOOKUP(FWD[[#This Row],[DEVELOPMENT]],Data[],4,FALSE),"")</f>
        <v>2022-2025</v>
      </c>
      <c r="J282" s="51" t="str">
        <f ca="1">IF(FWD[[#This Row],[RAD/PACT]]="","",IF(OR(FWD[[#This Row],[RAD/PACT]]="2021-2025",FWD[[#This Row],[RAD/PACT]]="2019-2020"),"Yes",""))</f>
        <v/>
      </c>
      <c r="K282" s="1"/>
      <c r="L282" s="1"/>
      <c r="M282" s="1"/>
      <c r="N282" s="1"/>
      <c r="O282" s="3">
        <f ca="1">IF(FWD[[#This Row],[RAD/PACT]]="2019-2020",0,INDEX(UnitCosts[],MATCH(FWD[[#This Row],[WORK TYPE]],UnitCosts[Work Type],0),2)*FWD[[#This Row],[Dwelling Units]])</f>
        <v>2755133.7236730582</v>
      </c>
      <c r="P282" s="3"/>
      <c r="Q282" s="3"/>
      <c r="R282" s="69">
        <f t="shared" ca="1" si="4"/>
        <v>2755133.7236730582</v>
      </c>
      <c r="S282" s="71">
        <f ca="1">SUM(INDEX(FWD[Dwelling Units],1):FWD[[#This Row],[Dwelling Units]])</f>
        <v>154113</v>
      </c>
      <c r="T282" s="71">
        <f ca="1">IF(ISBLANK(FWD[[#This Row],[CALENDAR YEAR]]),ROUNDDOWN(FWD[[#This Row],[Running count]]/3000,0)+$T$1,FWD[[#This Row],[CALENDAR YEAR]])</f>
        <v>2071</v>
      </c>
    </row>
    <row r="283" spans="1:20">
      <c r="A283" s="65" t="s">
        <v>374</v>
      </c>
      <c r="B283" s="1" t="str">
        <f>VLOOKUP(A283,Data[],2,FALSE)</f>
        <v>BROOKLYN</v>
      </c>
      <c r="C283" s="1">
        <f>VLOOKUP(FWD[[#This Row],[DEVELOPMENT]],Data[],25,FALSE)</f>
        <v>0</v>
      </c>
      <c r="D283" s="9" t="s">
        <v>49</v>
      </c>
      <c r="E283" s="50">
        <f>VLOOKUP(FWD[[#This Row],[DEVELOPMENT]],Data[],7,FALSE)</f>
        <v>111</v>
      </c>
      <c r="F283" s="50" t="e">
        <f>VLOOKUP(FWD[[#This Row],[DEVELOPMENT]],all[[DEVELOPMENT]:[MRST Ext. Comp. Priority]],5,FALSE)</f>
        <v>#N/A</v>
      </c>
      <c r="G283" s="50">
        <f>VLOOKUP(FWD[[#This Row],[DEVELOPMENT]],Data[],8,FALSE)</f>
        <v>0</v>
      </c>
      <c r="H283" s="9">
        <f>VLOOKUP(FWD[[#This Row],[DEVELOPMENT]],Data[],9,FALSE)</f>
        <v>0</v>
      </c>
      <c r="I283" s="1" t="str">
        <f ca="1">IFERROR(VLOOKUP(FWD[[#This Row],[DEVELOPMENT]],Data[],4,FALSE),"")</f>
        <v/>
      </c>
      <c r="J283" s="51" t="str">
        <f ca="1">IF(FWD[[#This Row],[RAD/PACT]]="","",IF(OR(FWD[[#This Row],[RAD/PACT]]="2021-2025",FWD[[#This Row],[RAD/PACT]]="2019-2020"),"Yes",""))</f>
        <v/>
      </c>
      <c r="K283" s="1"/>
      <c r="L283" s="1"/>
      <c r="M283" s="1"/>
      <c r="N283" s="1"/>
      <c r="O283" s="3">
        <f ca="1">IF(FWD[[#This Row],[RAD/PACT]]="2019-2020",0,INDEX(UnitCosts[],MATCH(FWD[[#This Row],[WORK TYPE]],UnitCosts[Work Type],0),2)*FWD[[#This Row],[Dwelling Units]])</f>
        <v>190779.69016076697</v>
      </c>
      <c r="P283" s="3"/>
      <c r="Q283" s="3"/>
      <c r="R283" s="69">
        <f t="shared" ca="1" si="4"/>
        <v>2945913.4138338254</v>
      </c>
      <c r="S283" s="71">
        <f ca="1">SUM(INDEX(FWD[Dwelling Units],1):FWD[[#This Row],[Dwelling Units]])</f>
        <v>154224</v>
      </c>
      <c r="T283" s="71">
        <f ca="1">IF(ISBLANK(FWD[[#This Row],[CALENDAR YEAR]]),ROUNDDOWN(FWD[[#This Row],[Running count]]/3000,0)+$T$1,FWD[[#This Row],[CALENDAR YEAR]])</f>
        <v>2071</v>
      </c>
    </row>
    <row r="284" spans="1:20">
      <c r="A284" s="65" t="s">
        <v>375</v>
      </c>
      <c r="B284" s="1" t="str">
        <f>VLOOKUP(A284,Data[],2,FALSE)</f>
        <v>BROOKLYN</v>
      </c>
      <c r="C284" s="1">
        <f>VLOOKUP(FWD[[#This Row],[DEVELOPMENT]],Data[],25,FALSE)</f>
        <v>0</v>
      </c>
      <c r="D284" s="9" t="s">
        <v>49</v>
      </c>
      <c r="E284" s="50">
        <f>VLOOKUP(FWD[[#This Row],[DEVELOPMENT]],Data[],7,FALSE)</f>
        <v>288</v>
      </c>
      <c r="F284" s="50" t="e">
        <f>VLOOKUP(FWD[[#This Row],[DEVELOPMENT]],all[[DEVELOPMENT]:[MRST Ext. Comp. Priority]],5,FALSE)</f>
        <v>#N/A</v>
      </c>
      <c r="G284" s="50">
        <f>VLOOKUP(FWD[[#This Row],[DEVELOPMENT]],Data[],8,FALSE)</f>
        <v>0</v>
      </c>
      <c r="H284" s="9">
        <f>VLOOKUP(FWD[[#This Row],[DEVELOPMENT]],Data[],9,FALSE)</f>
        <v>0</v>
      </c>
      <c r="I284" s="1" t="str">
        <f ca="1">IFERROR(VLOOKUP(FWD[[#This Row],[DEVELOPMENT]],Data[],4,FALSE),"")</f>
        <v/>
      </c>
      <c r="J284" s="51" t="str">
        <f ca="1">IF(FWD[[#This Row],[RAD/PACT]]="","",IF(OR(FWD[[#This Row],[RAD/PACT]]="2021-2025",FWD[[#This Row],[RAD/PACT]]="2019-2020"),"Yes",""))</f>
        <v/>
      </c>
      <c r="K284" s="1"/>
      <c r="L284" s="1"/>
      <c r="M284" s="1"/>
      <c r="N284" s="1"/>
      <c r="O284" s="3">
        <f ca="1">IF(FWD[[#This Row],[RAD/PACT]]="2019-2020",0,INDEX(UnitCosts[],MATCH(FWD[[#This Row],[WORK TYPE]],UnitCosts[Work Type],0),2)*FWD[[#This Row],[Dwelling Units]])</f>
        <v>494995.95284955751</v>
      </c>
      <c r="P284" s="3"/>
      <c r="Q284" s="3"/>
      <c r="R284" s="69">
        <f t="shared" ca="1" si="4"/>
        <v>3440909.366683383</v>
      </c>
      <c r="S284" s="71">
        <f ca="1">SUM(INDEX(FWD[Dwelling Units],1):FWD[[#This Row],[Dwelling Units]])</f>
        <v>154512</v>
      </c>
      <c r="T284" s="71">
        <f ca="1">IF(ISBLANK(FWD[[#This Row],[CALENDAR YEAR]]),ROUNDDOWN(FWD[[#This Row],[Running count]]/3000,0)+$T$1,FWD[[#This Row],[CALENDAR YEAR]])</f>
        <v>2071</v>
      </c>
    </row>
    <row r="285" spans="1:20">
      <c r="A285" s="65" t="s">
        <v>56</v>
      </c>
      <c r="B285" s="1" t="str">
        <f>VLOOKUP(A285,Data[],2,FALSE)</f>
        <v>MANHATTAN</v>
      </c>
      <c r="C285" s="1" t="str">
        <f>VLOOKUP(FWD[[#This Row],[DEVELOPMENT]],Data[],25,FALSE)</f>
        <v>Newtown Creek</v>
      </c>
      <c r="D285" s="9" t="s">
        <v>49</v>
      </c>
      <c r="E285" s="50">
        <f>VLOOKUP(FWD[[#This Row],[DEVELOPMENT]],Data[],7,FALSE)</f>
        <v>1527</v>
      </c>
      <c r="F285" s="50" t="e">
        <f>VLOOKUP(FWD[[#This Row],[DEVELOPMENT]],all[[DEVELOPMENT]:[MRST Ext. Comp. Priority]],5,FALSE)</f>
        <v>#N/A</v>
      </c>
      <c r="G285" s="50" t="str">
        <f>VLOOKUP(FWD[[#This Row],[DEVELOPMENT]],Data[],8,FALSE)</f>
        <v>Zone 1</v>
      </c>
      <c r="H285" s="9">
        <f>VLOOKUP(FWD[[#This Row],[DEVELOPMENT]],Data[],9,FALSE)</f>
        <v>3</v>
      </c>
      <c r="I285" s="1" t="str">
        <f ca="1">IFERROR(VLOOKUP(FWD[[#This Row],[DEVELOPMENT]],Data[],4,FALSE),"")</f>
        <v/>
      </c>
      <c r="J285" s="51" t="str">
        <f ca="1">IF(FWD[[#This Row],[RAD/PACT]]="","",IF(OR(FWD[[#This Row],[RAD/PACT]]="2021-2025",FWD[[#This Row],[RAD/PACT]]="2019-2020"),"Yes",""))</f>
        <v/>
      </c>
      <c r="K285" s="1"/>
      <c r="L285" s="1"/>
      <c r="M285" s="1"/>
      <c r="N285" s="1"/>
      <c r="O285" s="3">
        <f ca="1">IF(FWD[[#This Row],[RAD/PACT]]="2019-2020",0,INDEX(UnitCosts[],MATCH(FWD[[#This Row],[WORK TYPE]],UnitCosts[Work Type],0),2)*FWD[[#This Row],[Dwelling Units]])</f>
        <v>2624509.7916710917</v>
      </c>
      <c r="P285" s="3"/>
      <c r="Q285" s="3"/>
      <c r="R285" s="69">
        <f t="shared" ca="1" si="4"/>
        <v>2624509.7916710917</v>
      </c>
      <c r="S285" s="71">
        <f ca="1">SUM(INDEX(FWD[Dwelling Units],1):FWD[[#This Row],[Dwelling Units]])</f>
        <v>156039</v>
      </c>
      <c r="T285" s="71">
        <f ca="1">IF(ISBLANK(FWD[[#This Row],[CALENDAR YEAR]]),ROUNDDOWN(FWD[[#This Row],[Running count]]/3000,0)+$T$1,FWD[[#This Row],[CALENDAR YEAR]])</f>
        <v>2072</v>
      </c>
    </row>
    <row r="286" spans="1:20">
      <c r="A286" s="65" t="s">
        <v>108</v>
      </c>
      <c r="B286" s="1" t="str">
        <f>VLOOKUP(A286,Data[],2,FALSE)</f>
        <v>MANHATTAN</v>
      </c>
      <c r="C286" s="1" t="str">
        <f>VLOOKUP(FWD[[#This Row],[DEVELOPMENT]],Data[],25,FALSE)</f>
        <v>Newtown Creek</v>
      </c>
      <c r="D286" s="9" t="s">
        <v>49</v>
      </c>
      <c r="E286" s="50">
        <f>VLOOKUP(FWD[[#This Row],[DEVELOPMENT]],Data[],7,FALSE)</f>
        <v>240</v>
      </c>
      <c r="F286" s="50" t="e">
        <f>VLOOKUP(FWD[[#This Row],[DEVELOPMENT]],all[[DEVELOPMENT]:[MRST Ext. Comp. Priority]],5,FALSE)</f>
        <v>#N/A</v>
      </c>
      <c r="G286" s="50" t="str">
        <f>VLOOKUP(FWD[[#This Row],[DEVELOPMENT]],Data[],8,FALSE)</f>
        <v>Zone 1</v>
      </c>
      <c r="H286" s="9">
        <f>VLOOKUP(FWD[[#This Row],[DEVELOPMENT]],Data[],9,FALSE)</f>
        <v>4</v>
      </c>
      <c r="I286" s="1" t="str">
        <f ca="1">IFERROR(VLOOKUP(FWD[[#This Row],[DEVELOPMENT]],Data[],4,FALSE),"")</f>
        <v/>
      </c>
      <c r="J286" s="51" t="str">
        <f ca="1">IF(FWD[[#This Row],[RAD/PACT]]="","",IF(OR(FWD[[#This Row],[RAD/PACT]]="2021-2025",FWD[[#This Row],[RAD/PACT]]="2019-2020"),"Yes",""))</f>
        <v/>
      </c>
      <c r="K286" s="1"/>
      <c r="L286" s="1"/>
      <c r="M286" s="1"/>
      <c r="N286" s="1"/>
      <c r="O286" s="3">
        <f ca="1">IF(FWD[[#This Row],[RAD/PACT]]="2019-2020",0,INDEX(UnitCosts[],MATCH(FWD[[#This Row],[WORK TYPE]],UnitCosts[Work Type],0),2)*FWD[[#This Row],[Dwelling Units]])</f>
        <v>412496.62737463129</v>
      </c>
      <c r="P286" s="3"/>
      <c r="Q286" s="3"/>
      <c r="R286" s="69">
        <f t="shared" ca="1" si="4"/>
        <v>3037006.419045723</v>
      </c>
      <c r="S286" s="71">
        <f ca="1">SUM(INDEX(FWD[Dwelling Units],1):FWD[[#This Row],[Dwelling Units]])</f>
        <v>156279</v>
      </c>
      <c r="T286" s="71">
        <f ca="1">IF(ISBLANK(FWD[[#This Row],[CALENDAR YEAR]]),ROUNDDOWN(FWD[[#This Row],[Running count]]/3000,0)+$T$1,FWD[[#This Row],[CALENDAR YEAR]])</f>
        <v>2072</v>
      </c>
    </row>
    <row r="287" spans="1:20">
      <c r="A287" s="65" t="s">
        <v>127</v>
      </c>
      <c r="B287" s="1" t="str">
        <f>VLOOKUP(A287,Data[],2,FALSE)</f>
        <v>MANHATTAN</v>
      </c>
      <c r="C287" s="1">
        <f>VLOOKUP(FWD[[#This Row],[DEVELOPMENT]],Data[],25,FALSE)</f>
        <v>0</v>
      </c>
      <c r="D287" s="9" t="s">
        <v>49</v>
      </c>
      <c r="E287" s="50">
        <f>VLOOKUP(FWD[[#This Row],[DEVELOPMENT]],Data[],7,FALSE)</f>
        <v>2151</v>
      </c>
      <c r="F287" s="50" t="e">
        <f>VLOOKUP(FWD[[#This Row],[DEVELOPMENT]],all[[DEVELOPMENT]:[MRST Ext. Comp. Priority]],5,FALSE)</f>
        <v>#N/A</v>
      </c>
      <c r="G287" s="50" t="str">
        <f>VLOOKUP(FWD[[#This Row],[DEVELOPMENT]],Data[],8,FALSE)</f>
        <v>Zone 2</v>
      </c>
      <c r="H287" s="9">
        <f>VLOOKUP(FWD[[#This Row],[DEVELOPMENT]],Data[],9,FALSE)</f>
        <v>4</v>
      </c>
      <c r="I287" s="1" t="str">
        <f ca="1">IFERROR(VLOOKUP(FWD[[#This Row],[DEVELOPMENT]],Data[],4,FALSE),"")</f>
        <v>2026+</v>
      </c>
      <c r="J287" s="51" t="str">
        <f ca="1">IF(FWD[[#This Row],[RAD/PACT]]="","",IF(OR(FWD[[#This Row],[RAD/PACT]]="2021-2025",FWD[[#This Row],[RAD/PACT]]="2019-2020"),"Yes",""))</f>
        <v/>
      </c>
      <c r="K287" s="1"/>
      <c r="L287" s="1"/>
      <c r="M287" s="1"/>
      <c r="N287" s="1"/>
      <c r="O287" s="3">
        <f ca="1">IF(FWD[[#This Row],[RAD/PACT]]="2019-2020",0,INDEX(UnitCosts[],MATCH(FWD[[#This Row],[WORK TYPE]],UnitCosts[Work Type],0),2)*FWD[[#This Row],[Dwelling Units]])</f>
        <v>3697001.0228451327</v>
      </c>
      <c r="P287" s="3"/>
      <c r="Q287" s="3"/>
      <c r="R287" s="69">
        <f t="shared" ca="1" si="4"/>
        <v>6734007.4418908563</v>
      </c>
      <c r="S287" s="71">
        <f ca="1">SUM(INDEX(FWD[Dwelling Units],1):FWD[[#This Row],[Dwelling Units]])</f>
        <v>158430</v>
      </c>
      <c r="T287" s="71">
        <f ca="1">IF(ISBLANK(FWD[[#This Row],[CALENDAR YEAR]]),ROUNDDOWN(FWD[[#This Row],[Running count]]/3000,0)+$T$1,FWD[[#This Row],[CALENDAR YEAR]])</f>
        <v>2072</v>
      </c>
    </row>
    <row r="288" spans="1:20">
      <c r="A288" s="65" t="s">
        <v>66</v>
      </c>
      <c r="B288" s="1" t="str">
        <f>VLOOKUP(A288,Data[],2,FALSE)</f>
        <v>MANHATTAN</v>
      </c>
      <c r="C288" s="1" t="str">
        <f>VLOOKUP(FWD[[#This Row],[DEVELOPMENT]],Data[],25,FALSE)</f>
        <v>Newtown Creek</v>
      </c>
      <c r="D288" s="9" t="s">
        <v>49</v>
      </c>
      <c r="E288" s="50">
        <f>VLOOKUP(FWD[[#This Row],[DEVELOPMENT]],Data[],7,FALSE)</f>
        <v>1861</v>
      </c>
      <c r="F288" s="50" t="e">
        <f>VLOOKUP(FWD[[#This Row],[DEVELOPMENT]],all[[DEVELOPMENT]:[MRST Ext. Comp. Priority]],5,FALSE)</f>
        <v>#N/A</v>
      </c>
      <c r="G288" s="50" t="str">
        <f>VLOOKUP(FWD[[#This Row],[DEVELOPMENT]],Data[],8,FALSE)</f>
        <v>Zone 1</v>
      </c>
      <c r="H288" s="9">
        <f>VLOOKUP(FWD[[#This Row],[DEVELOPMENT]],Data[],9,FALSE)</f>
        <v>4</v>
      </c>
      <c r="I288" s="1" t="str">
        <f ca="1">IFERROR(VLOOKUP(FWD[[#This Row],[DEVELOPMENT]],Data[],4,FALSE),"")</f>
        <v/>
      </c>
      <c r="J288" s="51" t="str">
        <f ca="1">IF(FWD[[#This Row],[RAD/PACT]]="","",IF(OR(FWD[[#This Row],[RAD/PACT]]="2021-2025",FWD[[#This Row],[RAD/PACT]]="2019-2020"),"Yes",""))</f>
        <v/>
      </c>
      <c r="K288" s="1"/>
      <c r="L288" s="1"/>
      <c r="M288" s="1"/>
      <c r="N288" s="1"/>
      <c r="O288" s="3">
        <f ca="1">IF(FWD[[#This Row],[RAD/PACT]]="2019-2020",0,INDEX(UnitCosts[],MATCH(FWD[[#This Row],[WORK TYPE]],UnitCosts[Work Type],0),2)*FWD[[#This Row],[Dwelling Units]])</f>
        <v>3198567.5981007866</v>
      </c>
      <c r="P288" s="3"/>
      <c r="Q288" s="3"/>
      <c r="R288" s="69">
        <f t="shared" ca="1" si="4"/>
        <v>3198567.5981007866</v>
      </c>
      <c r="S288" s="71">
        <f ca="1">SUM(INDEX(FWD[Dwelling Units],1):FWD[[#This Row],[Dwelling Units]])</f>
        <v>160291</v>
      </c>
      <c r="T288" s="71">
        <f ca="1">IF(ISBLANK(FWD[[#This Row],[CALENDAR YEAR]]),ROUNDDOWN(FWD[[#This Row],[Running count]]/3000,0)+$T$1,FWD[[#This Row],[CALENDAR YEAR]])</f>
        <v>2073</v>
      </c>
    </row>
    <row r="289" spans="1:20">
      <c r="A289" s="65" t="s">
        <v>137</v>
      </c>
      <c r="B289" s="1" t="str">
        <f>VLOOKUP(A289,Data[],2,FALSE)</f>
        <v>MANHATTAN</v>
      </c>
      <c r="C289" s="1">
        <f>VLOOKUP(FWD[[#This Row],[DEVELOPMENT]],Data[],25,FALSE)</f>
        <v>0</v>
      </c>
      <c r="D289" s="9" t="s">
        <v>49</v>
      </c>
      <c r="E289" s="50">
        <f>VLOOKUP(FWD[[#This Row],[DEVELOPMENT]],Data[],7,FALSE)</f>
        <v>1515</v>
      </c>
      <c r="F289" s="50" t="e">
        <f>VLOOKUP(FWD[[#This Row],[DEVELOPMENT]],all[[DEVELOPMENT]:[MRST Ext. Comp. Priority]],5,FALSE)</f>
        <v>#N/A</v>
      </c>
      <c r="G289" s="50" t="str">
        <f>VLOOKUP(FWD[[#This Row],[DEVELOPMENT]],Data[],8,FALSE)</f>
        <v>Zone 2</v>
      </c>
      <c r="H289" s="9">
        <f>VLOOKUP(FWD[[#This Row],[DEVELOPMENT]],Data[],9,FALSE)</f>
        <v>2</v>
      </c>
      <c r="I289" s="1" t="str">
        <f ca="1">IFERROR(VLOOKUP(FWD[[#This Row],[DEVELOPMENT]],Data[],4,FALSE),"")</f>
        <v>2022-2025</v>
      </c>
      <c r="J289" s="51" t="str">
        <f ca="1">IF(FWD[[#This Row],[RAD/PACT]]="","",IF(OR(FWD[[#This Row],[RAD/PACT]]="2021-2025",FWD[[#This Row],[RAD/PACT]]="2019-2020"),"Yes",""))</f>
        <v/>
      </c>
      <c r="K289" s="1"/>
      <c r="L289" s="1"/>
      <c r="M289" s="1"/>
      <c r="N289" s="1"/>
      <c r="O289" s="3">
        <f ca="1">IF(FWD[[#This Row],[RAD/PACT]]="2019-2020",0,INDEX(UnitCosts[],MATCH(FWD[[#This Row],[WORK TYPE]],UnitCosts[Work Type],0),2)*FWD[[#This Row],[Dwelling Units]])</f>
        <v>2603884.9603023599</v>
      </c>
      <c r="P289" s="3"/>
      <c r="Q289" s="3"/>
      <c r="R289" s="69">
        <f t="shared" ca="1" si="4"/>
        <v>5802452.5584031465</v>
      </c>
      <c r="S289" s="71">
        <f ca="1">SUM(INDEX(FWD[Dwelling Units],1):FWD[[#This Row],[Dwelling Units]])</f>
        <v>161806</v>
      </c>
      <c r="T289" s="71">
        <f ca="1">IF(ISBLANK(FWD[[#This Row],[CALENDAR YEAR]]),ROUNDDOWN(FWD[[#This Row],[Running count]]/3000,0)+$T$1,FWD[[#This Row],[CALENDAR YEAR]])</f>
        <v>2073</v>
      </c>
    </row>
    <row r="290" spans="1:20">
      <c r="A290" s="65" t="s">
        <v>376</v>
      </c>
      <c r="B290" s="1" t="str">
        <f>VLOOKUP(A290,Data[],2,FALSE)</f>
        <v>MANHATTAN</v>
      </c>
      <c r="C290" s="1">
        <f>VLOOKUP(FWD[[#This Row],[DEVELOPMENT]],Data[],25,FALSE)</f>
        <v>0</v>
      </c>
      <c r="D290" s="9" t="s">
        <v>49</v>
      </c>
      <c r="E290" s="50">
        <f>VLOOKUP(FWD[[#This Row],[DEVELOPMENT]],Data[],7,FALSE)</f>
        <v>215</v>
      </c>
      <c r="F290" s="50" t="e">
        <f>VLOOKUP(FWD[[#This Row],[DEVELOPMENT]],all[[DEVELOPMENT]:[MRST Ext. Comp. Priority]],5,FALSE)</f>
        <v>#N/A</v>
      </c>
      <c r="G290" s="50">
        <f>VLOOKUP(FWD[[#This Row],[DEVELOPMENT]],Data[],8,FALSE)</f>
        <v>0</v>
      </c>
      <c r="H290" s="9">
        <f>VLOOKUP(FWD[[#This Row],[DEVELOPMENT]],Data[],9,FALSE)</f>
        <v>0</v>
      </c>
      <c r="I290" s="1" t="str">
        <f ca="1">IFERROR(VLOOKUP(FWD[[#This Row],[DEVELOPMENT]],Data[],4,FALSE),"")</f>
        <v>2020-2021</v>
      </c>
      <c r="J290" s="51" t="str">
        <f ca="1">IF(FWD[[#This Row],[RAD/PACT]]="","",IF(OR(FWD[[#This Row],[RAD/PACT]]="2021-2025",FWD[[#This Row],[RAD/PACT]]="2019-2020"),"Yes",""))</f>
        <v/>
      </c>
      <c r="K290" s="1"/>
      <c r="L290" s="1"/>
      <c r="M290" s="1"/>
      <c r="N290" s="1"/>
      <c r="O290" s="3">
        <f ca="1">IF(FWD[[#This Row],[RAD/PACT]]="2019-2020",0,INDEX(UnitCosts[],MATCH(FWD[[#This Row],[WORK TYPE]],UnitCosts[Work Type],0),2)*FWD[[#This Row],[Dwelling Units]])</f>
        <v>369528.22868977388</v>
      </c>
      <c r="P290" s="3"/>
      <c r="Q290" s="3"/>
      <c r="R290" s="69">
        <f t="shared" ca="1" si="4"/>
        <v>369528.22868977388</v>
      </c>
      <c r="S290" s="71">
        <f ca="1">SUM(INDEX(FWD[Dwelling Units],1):FWD[[#This Row],[Dwelling Units]])</f>
        <v>162021</v>
      </c>
      <c r="T290" s="71">
        <f ca="1">IF(ISBLANK(FWD[[#This Row],[CALENDAR YEAR]]),ROUNDDOWN(FWD[[#This Row],[Running count]]/3000,0)+$T$1,FWD[[#This Row],[CALENDAR YEAR]])</f>
        <v>2074</v>
      </c>
    </row>
    <row r="291" spans="1:20">
      <c r="A291" s="65" t="s">
        <v>377</v>
      </c>
      <c r="B291" s="1" t="str">
        <f>VLOOKUP(A291,Data[],2,FALSE)</f>
        <v>MANHATTAN</v>
      </c>
      <c r="C291" s="1">
        <f>VLOOKUP(FWD[[#This Row],[DEVELOPMENT]],Data[],25,FALSE)</f>
        <v>0</v>
      </c>
      <c r="D291" s="9" t="s">
        <v>49</v>
      </c>
      <c r="E291" s="50">
        <f>VLOOKUP(FWD[[#This Row],[DEVELOPMENT]],Data[],7,FALSE)</f>
        <v>88</v>
      </c>
      <c r="F291" s="50" t="e">
        <f>VLOOKUP(FWD[[#This Row],[DEVELOPMENT]],all[[DEVELOPMENT]:[MRST Ext. Comp. Priority]],5,FALSE)</f>
        <v>#N/A</v>
      </c>
      <c r="G291" s="50">
        <f>VLOOKUP(FWD[[#This Row],[DEVELOPMENT]],Data[],8,FALSE)</f>
        <v>0</v>
      </c>
      <c r="H291" s="9">
        <f>VLOOKUP(FWD[[#This Row],[DEVELOPMENT]],Data[],9,FALSE)</f>
        <v>0</v>
      </c>
      <c r="I291" s="1" t="str">
        <f ca="1">IFERROR(VLOOKUP(FWD[[#This Row],[DEVELOPMENT]],Data[],4,FALSE),"")</f>
        <v/>
      </c>
      <c r="J291" s="51" t="str">
        <f ca="1">IF(FWD[[#This Row],[RAD/PACT]]="","",IF(OR(FWD[[#This Row],[RAD/PACT]]="2021-2025",FWD[[#This Row],[RAD/PACT]]="2019-2020"),"Yes",""))</f>
        <v/>
      </c>
      <c r="K291" s="1"/>
      <c r="L291" s="1"/>
      <c r="M291" s="1"/>
      <c r="N291" s="1"/>
      <c r="O291" s="3">
        <f ca="1">IF(FWD[[#This Row],[RAD/PACT]]="2019-2020",0,INDEX(UnitCosts[],MATCH(FWD[[#This Row],[WORK TYPE]],UnitCosts[Work Type],0),2)*FWD[[#This Row],[Dwelling Units]])</f>
        <v>151248.76337069814</v>
      </c>
      <c r="P291" s="3"/>
      <c r="Q291" s="3"/>
      <c r="R291" s="69">
        <f t="shared" ca="1" si="4"/>
        <v>520776.99206047202</v>
      </c>
      <c r="S291" s="71">
        <f ca="1">SUM(INDEX(FWD[Dwelling Units],1):FWD[[#This Row],[Dwelling Units]])</f>
        <v>162109</v>
      </c>
      <c r="T291" s="71">
        <f ca="1">IF(ISBLANK(FWD[[#This Row],[CALENDAR YEAR]]),ROUNDDOWN(FWD[[#This Row],[Running count]]/3000,0)+$T$1,FWD[[#This Row],[CALENDAR YEAR]])</f>
        <v>2074</v>
      </c>
    </row>
    <row r="292" spans="1:20">
      <c r="A292" s="65" t="s">
        <v>378</v>
      </c>
      <c r="B292" s="1" t="str">
        <f>VLOOKUP(A292,Data[],2,FALSE)</f>
        <v>MANHATTAN</v>
      </c>
      <c r="C292" s="1">
        <f>VLOOKUP(FWD[[#This Row],[DEVELOPMENT]],Data[],25,FALSE)</f>
        <v>0</v>
      </c>
      <c r="D292" s="9" t="s">
        <v>49</v>
      </c>
      <c r="E292" s="50">
        <f>VLOOKUP(FWD[[#This Row],[DEVELOPMENT]],Data[],7,FALSE)</f>
        <v>14</v>
      </c>
      <c r="F292" s="50" t="e">
        <f>VLOOKUP(FWD[[#This Row],[DEVELOPMENT]],all[[DEVELOPMENT]:[MRST Ext. Comp. Priority]],5,FALSE)</f>
        <v>#N/A</v>
      </c>
      <c r="G292" s="50">
        <f>VLOOKUP(FWD[[#This Row],[DEVELOPMENT]],Data[],8,FALSE)</f>
        <v>0</v>
      </c>
      <c r="H292" s="9">
        <f>VLOOKUP(FWD[[#This Row],[DEVELOPMENT]],Data[],9,FALSE)</f>
        <v>0</v>
      </c>
      <c r="I292" s="1" t="str">
        <f ca="1">IFERROR(VLOOKUP(FWD[[#This Row],[DEVELOPMENT]],Data[],4,FALSE),"")</f>
        <v/>
      </c>
      <c r="J292" s="51" t="str">
        <f ca="1">IF(FWD[[#This Row],[RAD/PACT]]="","",IF(OR(FWD[[#This Row],[RAD/PACT]]="2021-2025",FWD[[#This Row],[RAD/PACT]]="2019-2020"),"Yes",""))</f>
        <v/>
      </c>
      <c r="K292" s="1"/>
      <c r="L292" s="1"/>
      <c r="M292" s="1"/>
      <c r="N292" s="1"/>
      <c r="O292" s="3">
        <f ca="1">IF(FWD[[#This Row],[RAD/PACT]]="2019-2020",0,INDEX(UnitCosts[],MATCH(FWD[[#This Row],[WORK TYPE]],UnitCosts[Work Type],0),2)*FWD[[#This Row],[Dwelling Units]])</f>
        <v>24062.30326352016</v>
      </c>
      <c r="P292" s="3"/>
      <c r="Q292" s="3"/>
      <c r="R292" s="69">
        <f t="shared" ca="1" si="4"/>
        <v>544839.29532399215</v>
      </c>
      <c r="S292" s="71">
        <f ca="1">SUM(INDEX(FWD[Dwelling Units],1):FWD[[#This Row],[Dwelling Units]])</f>
        <v>162123</v>
      </c>
      <c r="T292" s="71">
        <f ca="1">IF(ISBLANK(FWD[[#This Row],[CALENDAR YEAR]]),ROUNDDOWN(FWD[[#This Row],[Running count]]/3000,0)+$T$1,FWD[[#This Row],[CALENDAR YEAR]])</f>
        <v>2074</v>
      </c>
    </row>
    <row r="293" spans="1:20">
      <c r="A293" s="65" t="s">
        <v>259</v>
      </c>
      <c r="B293" s="1" t="str">
        <f>VLOOKUP(A293,Data[],2,FALSE)</f>
        <v>MANHATTAN</v>
      </c>
      <c r="C293" s="1">
        <f>VLOOKUP(FWD[[#This Row],[DEVELOPMENT]],Data[],25,FALSE)</f>
        <v>0</v>
      </c>
      <c r="D293" s="9" t="s">
        <v>49</v>
      </c>
      <c r="E293" s="50">
        <f>VLOOKUP(FWD[[#This Row],[DEVELOPMENT]],Data[],7,FALSE)</f>
        <v>32</v>
      </c>
      <c r="F293" s="50" t="e">
        <f>VLOOKUP(FWD[[#This Row],[DEVELOPMENT]],all[[DEVELOPMENT]:[MRST Ext. Comp. Priority]],5,FALSE)</f>
        <v>#N/A</v>
      </c>
      <c r="G293" s="50">
        <f>VLOOKUP(FWD[[#This Row],[DEVELOPMENT]],Data[],8,FALSE)</f>
        <v>0</v>
      </c>
      <c r="H293" s="9">
        <f>VLOOKUP(FWD[[#This Row],[DEVELOPMENT]],Data[],9,FALSE)</f>
        <v>0</v>
      </c>
      <c r="I293" s="1" t="str">
        <f ca="1">IFERROR(VLOOKUP(FWD[[#This Row],[DEVELOPMENT]],Data[],4,FALSE),"")</f>
        <v>2020-2021</v>
      </c>
      <c r="J293" s="51" t="str">
        <f ca="1">IF(FWD[[#This Row],[RAD/PACT]]="","",IF(OR(FWD[[#This Row],[RAD/PACT]]="2021-2025",FWD[[#This Row],[RAD/PACT]]="2019-2020"),"Yes",""))</f>
        <v/>
      </c>
      <c r="K293" s="1"/>
      <c r="L293" s="1"/>
      <c r="M293" s="1"/>
      <c r="N293" s="1"/>
      <c r="O293" s="3">
        <f ca="1">IF(FWD[[#This Row],[RAD/PACT]]="2019-2020",0,INDEX(UnitCosts[],MATCH(FWD[[#This Row],[WORK TYPE]],UnitCosts[Work Type],0),2)*FWD[[#This Row],[Dwelling Units]])</f>
        <v>54999.550316617504</v>
      </c>
      <c r="P293" s="3"/>
      <c r="Q293" s="3"/>
      <c r="R293" s="69">
        <f t="shared" ca="1" si="4"/>
        <v>599838.84564060962</v>
      </c>
      <c r="S293" s="71">
        <f ca="1">SUM(INDEX(FWD[Dwelling Units],1):FWD[[#This Row],[Dwelling Units]])</f>
        <v>162155</v>
      </c>
      <c r="T293" s="71">
        <f ca="1">IF(ISBLANK(FWD[[#This Row],[CALENDAR YEAR]]),ROUNDDOWN(FWD[[#This Row],[Running count]]/3000,0)+$T$1,FWD[[#This Row],[CALENDAR YEAR]])</f>
        <v>2074</v>
      </c>
    </row>
    <row r="294" spans="1:20">
      <c r="A294" s="65" t="s">
        <v>379</v>
      </c>
      <c r="B294" s="1" t="str">
        <f>VLOOKUP(A294,Data[],2,FALSE)</f>
        <v>MANHATTAN</v>
      </c>
      <c r="C294" s="1">
        <f>VLOOKUP(FWD[[#This Row],[DEVELOPMENT]],Data[],25,FALSE)</f>
        <v>0</v>
      </c>
      <c r="D294" s="9" t="s">
        <v>49</v>
      </c>
      <c r="E294" s="50">
        <f>VLOOKUP(FWD[[#This Row],[DEVELOPMENT]],Data[],7,FALSE)</f>
        <v>32</v>
      </c>
      <c r="F294" s="50" t="e">
        <f>VLOOKUP(FWD[[#This Row],[DEVELOPMENT]],all[[DEVELOPMENT]:[MRST Ext. Comp. Priority]],5,FALSE)</f>
        <v>#N/A</v>
      </c>
      <c r="G294" s="50">
        <f>VLOOKUP(FWD[[#This Row],[DEVELOPMENT]],Data[],8,FALSE)</f>
        <v>0</v>
      </c>
      <c r="H294" s="9">
        <f>VLOOKUP(FWD[[#This Row],[DEVELOPMENT]],Data[],9,FALSE)</f>
        <v>0</v>
      </c>
      <c r="I294" s="1" t="str">
        <f ca="1">IFERROR(VLOOKUP(FWD[[#This Row],[DEVELOPMENT]],Data[],4,FALSE),"")</f>
        <v>2020-2021</v>
      </c>
      <c r="J294" s="51" t="str">
        <f ca="1">IF(FWD[[#This Row],[RAD/PACT]]="","",IF(OR(FWD[[#This Row],[RAD/PACT]]="2021-2025",FWD[[#This Row],[RAD/PACT]]="2019-2020"),"Yes",""))</f>
        <v/>
      </c>
      <c r="K294" s="1"/>
      <c r="L294" s="1"/>
      <c r="M294" s="1"/>
      <c r="N294" s="1"/>
      <c r="O294" s="3">
        <f ca="1">IF(FWD[[#This Row],[RAD/PACT]]="2019-2020",0,INDEX(UnitCosts[],MATCH(FWD[[#This Row],[WORK TYPE]],UnitCosts[Work Type],0),2)*FWD[[#This Row],[Dwelling Units]])</f>
        <v>54999.550316617504</v>
      </c>
      <c r="P294" s="3"/>
      <c r="Q294" s="3"/>
      <c r="R294" s="69">
        <f t="shared" ca="1" si="4"/>
        <v>654838.3959572271</v>
      </c>
      <c r="S294" s="71">
        <f ca="1">SUM(INDEX(FWD[Dwelling Units],1):FWD[[#This Row],[Dwelling Units]])</f>
        <v>162187</v>
      </c>
      <c r="T294" s="71">
        <f ca="1">IF(ISBLANK(FWD[[#This Row],[CALENDAR YEAR]]),ROUNDDOWN(FWD[[#This Row],[Running count]]/3000,0)+$T$1,FWD[[#This Row],[CALENDAR YEAR]])</f>
        <v>2074</v>
      </c>
    </row>
    <row r="295" spans="1:20">
      <c r="A295" s="65" t="s">
        <v>47</v>
      </c>
      <c r="B295" s="1" t="str">
        <f>VLOOKUP(A295,Data[],2,FALSE)</f>
        <v>BRONX</v>
      </c>
      <c r="C295" s="1">
        <f>VLOOKUP(FWD[[#This Row],[DEVELOPMENT]],Data[],25,FALSE)</f>
        <v>0</v>
      </c>
      <c r="D295" s="9" t="s">
        <v>49</v>
      </c>
      <c r="E295" s="50">
        <f>VLOOKUP(FWD[[#This Row],[DEVELOPMENT]],Data[],7,FALSE)</f>
        <v>606</v>
      </c>
      <c r="F295" s="50" t="e">
        <f>VLOOKUP(FWD[[#This Row],[DEVELOPMENT]],all[[DEVELOPMENT]:[MRST Ext. Comp. Priority]],5,FALSE)</f>
        <v>#N/A</v>
      </c>
      <c r="G295" s="50" t="str">
        <f>VLOOKUP(FWD[[#This Row],[DEVELOPMENT]],Data[],8,FALSE)</f>
        <v>Zone 1</v>
      </c>
      <c r="H295" s="9">
        <f>VLOOKUP(FWD[[#This Row],[DEVELOPMENT]],Data[],9,FALSE)</f>
        <v>4</v>
      </c>
      <c r="I295" s="1" t="str">
        <f ca="1">IFERROR(VLOOKUP(FWD[[#This Row],[DEVELOPMENT]],Data[],4,FALSE),"")</f>
        <v/>
      </c>
      <c r="J295" s="51" t="str">
        <f ca="1">IF(FWD[[#This Row],[RAD/PACT]]="","",IF(OR(FWD[[#This Row],[RAD/PACT]]="2021-2025",FWD[[#This Row],[RAD/PACT]]="2019-2020"),"Yes",""))</f>
        <v/>
      </c>
      <c r="K295" s="1"/>
      <c r="L295" s="1"/>
      <c r="M295" s="1"/>
      <c r="N295" s="1"/>
      <c r="O295" s="3">
        <f ca="1">IF(FWD[[#This Row],[RAD/PACT]]="2019-2020",0,INDEX(UnitCosts[],MATCH(FWD[[#This Row],[WORK TYPE]],UnitCosts[Work Type],0),2)*FWD[[#This Row],[Dwelling Units]])</f>
        <v>1041553.9841209439</v>
      </c>
      <c r="P295" s="3"/>
      <c r="Q295" s="3"/>
      <c r="R295" s="69">
        <f t="shared" ca="1" si="4"/>
        <v>1696392.3800781709</v>
      </c>
      <c r="S295" s="71">
        <f ca="1">SUM(INDEX(FWD[Dwelling Units],1):FWD[[#This Row],[Dwelling Units]])</f>
        <v>162793</v>
      </c>
      <c r="T295" s="71">
        <f ca="1">IF(ISBLANK(FWD[[#This Row],[CALENDAR YEAR]]),ROUNDDOWN(FWD[[#This Row],[Running count]]/3000,0)+$T$1,FWD[[#This Row],[CALENDAR YEAR]])</f>
        <v>2074</v>
      </c>
    </row>
    <row r="296" spans="1:20">
      <c r="A296" s="65" t="s">
        <v>220</v>
      </c>
      <c r="B296" s="1" t="str">
        <f>VLOOKUP(A296,Data[],2,FALSE)</f>
        <v>BROOKLYN</v>
      </c>
      <c r="C296" s="1" t="str">
        <f>VLOOKUP(FWD[[#This Row],[DEVELOPMENT]],Data[],25,FALSE)</f>
        <v>Newtown Creek</v>
      </c>
      <c r="D296" s="9" t="s">
        <v>49</v>
      </c>
      <c r="E296" s="50">
        <f>VLOOKUP(FWD[[#This Row],[DEVELOPMENT]],Data[],7,FALSE)</f>
        <v>256</v>
      </c>
      <c r="F296" s="50" t="e">
        <f>VLOOKUP(FWD[[#This Row],[DEVELOPMENT]],all[[DEVELOPMENT]:[MRST Ext. Comp. Priority]],5,FALSE)</f>
        <v>#N/A</v>
      </c>
      <c r="G296" s="50">
        <f>VLOOKUP(FWD[[#This Row],[DEVELOPMENT]],Data[],8,FALSE)</f>
        <v>0</v>
      </c>
      <c r="H296" s="9">
        <f>VLOOKUP(FWD[[#This Row],[DEVELOPMENT]],Data[],9,FALSE)</f>
        <v>0</v>
      </c>
      <c r="I296" s="1">
        <f ca="1">IFERROR(VLOOKUP(FWD[[#This Row],[DEVELOPMENT]],Data[],4,FALSE),"")</f>
        <v>2019</v>
      </c>
      <c r="J296" s="51" t="str">
        <f ca="1">IF(FWD[[#This Row],[RAD/PACT]]="","",IF(OR(FWD[[#This Row],[RAD/PACT]]="2021-2025",FWD[[#This Row],[RAD/PACT]]="2019-2020"),"Yes",""))</f>
        <v/>
      </c>
      <c r="K296" s="1"/>
      <c r="L296" s="1"/>
      <c r="M296" s="1"/>
      <c r="N296" s="1"/>
      <c r="O296" s="3">
        <f ca="1">IF(FWD[[#This Row],[RAD/PACT]]="2019-2020",0,INDEX(UnitCosts[],MATCH(FWD[[#This Row],[WORK TYPE]],UnitCosts[Work Type],0),2)*FWD[[#This Row],[Dwelling Units]])</f>
        <v>439996.40253294003</v>
      </c>
      <c r="P296" s="3"/>
      <c r="Q296" s="3"/>
      <c r="R296" s="69">
        <f t="shared" ca="1" si="4"/>
        <v>2136388.7826111112</v>
      </c>
      <c r="S296" s="71">
        <f ca="1">SUM(INDEX(FWD[Dwelling Units],1):FWD[[#This Row],[Dwelling Units]])</f>
        <v>163049</v>
      </c>
      <c r="T296" s="71">
        <f ca="1">IF(ISBLANK(FWD[[#This Row],[CALENDAR YEAR]]),ROUNDDOWN(FWD[[#This Row],[Running count]]/3000,0)+$T$1,FWD[[#This Row],[CALENDAR YEAR]])</f>
        <v>2074</v>
      </c>
    </row>
    <row r="297" spans="1:20">
      <c r="A297" s="65" t="s">
        <v>380</v>
      </c>
      <c r="B297" s="1" t="str">
        <f>VLOOKUP(A297,Data[],2,FALSE)</f>
        <v>STATEN ISLAND</v>
      </c>
      <c r="C297" s="1">
        <f>VLOOKUP(FWD[[#This Row],[DEVELOPMENT]],Data[],25,FALSE)</f>
        <v>0</v>
      </c>
      <c r="D297" s="9" t="s">
        <v>49</v>
      </c>
      <c r="E297" s="50">
        <f>VLOOKUP(FWD[[#This Row],[DEVELOPMENT]],Data[],7,FALSE)</f>
        <v>487</v>
      </c>
      <c r="F297" s="50" t="e">
        <f>VLOOKUP(FWD[[#This Row],[DEVELOPMENT]],all[[DEVELOPMENT]:[MRST Ext. Comp. Priority]],5,FALSE)</f>
        <v>#N/A</v>
      </c>
      <c r="G297" s="50">
        <f>VLOOKUP(FWD[[#This Row],[DEVELOPMENT]],Data[],8,FALSE)</f>
        <v>0</v>
      </c>
      <c r="H297" s="9">
        <f>VLOOKUP(FWD[[#This Row],[DEVELOPMENT]],Data[],9,FALSE)</f>
        <v>0</v>
      </c>
      <c r="I297" s="1" t="str">
        <f ca="1">IFERROR(VLOOKUP(FWD[[#This Row],[DEVELOPMENT]],Data[],4,FALSE),"")</f>
        <v/>
      </c>
      <c r="J297" s="51" t="str">
        <f ca="1">IF(FWD[[#This Row],[RAD/PACT]]="","",IF(OR(FWD[[#This Row],[RAD/PACT]]="2021-2025",FWD[[#This Row],[RAD/PACT]]="2019-2020"),"Yes",""))</f>
        <v/>
      </c>
      <c r="K297" s="1"/>
      <c r="L297" s="1"/>
      <c r="M297" s="1"/>
      <c r="N297" s="1"/>
      <c r="O297" s="3">
        <f ca="1">IF(FWD[[#This Row],[RAD/PACT]]="2019-2020",0,INDEX(UnitCosts[],MATCH(FWD[[#This Row],[WORK TYPE]],UnitCosts[Work Type],0),2)*FWD[[#This Row],[Dwelling Units]])</f>
        <v>837024.40638102265</v>
      </c>
      <c r="P297" s="3"/>
      <c r="Q297" s="3"/>
      <c r="R297" s="69">
        <f t="shared" ca="1" si="4"/>
        <v>2973413.1889921338</v>
      </c>
      <c r="S297" s="71">
        <f ca="1">SUM(INDEX(FWD[Dwelling Units],1):FWD[[#This Row],[Dwelling Units]])</f>
        <v>163536</v>
      </c>
      <c r="T297" s="71">
        <f ca="1">IF(ISBLANK(FWD[[#This Row],[CALENDAR YEAR]]),ROUNDDOWN(FWD[[#This Row],[Running count]]/3000,0)+$T$1,FWD[[#This Row],[CALENDAR YEAR]])</f>
        <v>2074</v>
      </c>
    </row>
    <row r="298" spans="1:20">
      <c r="A298" s="65" t="s">
        <v>381</v>
      </c>
      <c r="B298" s="1" t="str">
        <f>VLOOKUP(A298,Data[],2,FALSE)</f>
        <v>STATEN ISLAND</v>
      </c>
      <c r="C298" s="1">
        <f>VLOOKUP(FWD[[#This Row],[DEVELOPMENT]],Data[],25,FALSE)</f>
        <v>0</v>
      </c>
      <c r="D298" s="9" t="s">
        <v>49</v>
      </c>
      <c r="E298" s="50">
        <f>VLOOKUP(FWD[[#This Row],[DEVELOPMENT]],Data[],7,FALSE)</f>
        <v>120</v>
      </c>
      <c r="F298" s="50" t="e">
        <f>VLOOKUP(FWD[[#This Row],[DEVELOPMENT]],all[[DEVELOPMENT]:[MRST Ext. Comp. Priority]],5,FALSE)</f>
        <v>#N/A</v>
      </c>
      <c r="G298" s="50">
        <f>VLOOKUP(FWD[[#This Row],[DEVELOPMENT]],Data[],8,FALSE)</f>
        <v>0</v>
      </c>
      <c r="H298" s="9">
        <f>VLOOKUP(FWD[[#This Row],[DEVELOPMENT]],Data[],9,FALSE)</f>
        <v>0</v>
      </c>
      <c r="I298" s="1" t="str">
        <f ca="1">IFERROR(VLOOKUP(FWD[[#This Row],[DEVELOPMENT]],Data[],4,FALSE),"")</f>
        <v/>
      </c>
      <c r="J298" s="51" t="str">
        <f ca="1">IF(FWD[[#This Row],[RAD/PACT]]="","",IF(OR(FWD[[#This Row],[RAD/PACT]]="2021-2025",FWD[[#This Row],[RAD/PACT]]="2019-2020"),"Yes",""))</f>
        <v/>
      </c>
      <c r="K298" s="1"/>
      <c r="L298" s="1"/>
      <c r="M298" s="1"/>
      <c r="N298" s="1"/>
      <c r="O298" s="3">
        <f ca="1">IF(FWD[[#This Row],[RAD/PACT]]="2019-2020",0,INDEX(UnitCosts[],MATCH(FWD[[#This Row],[WORK TYPE]],UnitCosts[Work Type],0),2)*FWD[[#This Row],[Dwelling Units]])</f>
        <v>206248.31368731565</v>
      </c>
      <c r="P298" s="3"/>
      <c r="Q298" s="3"/>
      <c r="R298" s="69">
        <f t="shared" ca="1" si="4"/>
        <v>3179661.5026794495</v>
      </c>
      <c r="S298" s="71">
        <f ca="1">SUM(INDEX(FWD[Dwelling Units],1):FWD[[#This Row],[Dwelling Units]])</f>
        <v>163656</v>
      </c>
      <c r="T298" s="71">
        <f ca="1">IF(ISBLANK(FWD[[#This Row],[CALENDAR YEAR]]),ROUNDDOWN(FWD[[#This Row],[Running count]]/3000,0)+$T$1,FWD[[#This Row],[CALENDAR YEAR]])</f>
        <v>2074</v>
      </c>
    </row>
    <row r="299" spans="1:20">
      <c r="A299" s="65" t="s">
        <v>289</v>
      </c>
      <c r="B299" s="1" t="str">
        <f>VLOOKUP(A299,Data[],2,FALSE)</f>
        <v>BRONX</v>
      </c>
      <c r="C299" s="1">
        <f>VLOOKUP(FWD[[#This Row],[DEVELOPMENT]],Data[],25,FALSE)</f>
        <v>0</v>
      </c>
      <c r="D299" s="9" t="s">
        <v>49</v>
      </c>
      <c r="E299" s="50">
        <f>VLOOKUP(FWD[[#This Row],[DEVELOPMENT]],Data[],7,FALSE)</f>
        <v>208</v>
      </c>
      <c r="F299" s="50" t="e">
        <f>VLOOKUP(FWD[[#This Row],[DEVELOPMENT]],all[[DEVELOPMENT]:[MRST Ext. Comp. Priority]],5,FALSE)</f>
        <v>#N/A</v>
      </c>
      <c r="G299" s="50">
        <f>VLOOKUP(FWD[[#This Row],[DEVELOPMENT]],Data[],8,FALSE)</f>
        <v>0</v>
      </c>
      <c r="H299" s="9">
        <f>VLOOKUP(FWD[[#This Row],[DEVELOPMENT]],Data[],9,FALSE)</f>
        <v>0</v>
      </c>
      <c r="I299" s="1" t="str">
        <f ca="1">IFERROR(VLOOKUP(FWD[[#This Row],[DEVELOPMENT]],Data[],4,FALSE),"")</f>
        <v/>
      </c>
      <c r="J299" s="51" t="str">
        <f ca="1">IF(FWD[[#This Row],[RAD/PACT]]="","",IF(OR(FWD[[#This Row],[RAD/PACT]]="2021-2025",FWD[[#This Row],[RAD/PACT]]="2019-2020"),"Yes",""))</f>
        <v/>
      </c>
      <c r="K299" s="1"/>
      <c r="L299" s="1"/>
      <c r="M299" s="1"/>
      <c r="N299" s="1"/>
      <c r="O299" s="3">
        <f ca="1">IF(FWD[[#This Row],[RAD/PACT]]="2019-2020",0,INDEX(UnitCosts[],MATCH(FWD[[#This Row],[WORK TYPE]],UnitCosts[Work Type],0),2)*FWD[[#This Row],[Dwelling Units]])</f>
        <v>357497.07705801376</v>
      </c>
      <c r="P299" s="3"/>
      <c r="Q299" s="3"/>
      <c r="R299" s="69">
        <f t="shared" ca="1" si="4"/>
        <v>3537158.579737463</v>
      </c>
      <c r="S299" s="71">
        <f ca="1">SUM(INDEX(FWD[Dwelling Units],1):FWD[[#This Row],[Dwelling Units]])</f>
        <v>163864</v>
      </c>
      <c r="T299" s="71">
        <f ca="1">IF(ISBLANK(FWD[[#This Row],[CALENDAR YEAR]]),ROUNDDOWN(FWD[[#This Row],[Running count]]/3000,0)+$T$1,FWD[[#This Row],[CALENDAR YEAR]])</f>
        <v>2074</v>
      </c>
    </row>
    <row r="300" spans="1:20">
      <c r="A300" s="65" t="s">
        <v>290</v>
      </c>
      <c r="B300" s="1" t="str">
        <f>VLOOKUP(A300,Data[],2,FALSE)</f>
        <v>BRONX</v>
      </c>
      <c r="C300" s="1">
        <f>VLOOKUP(FWD[[#This Row],[DEVELOPMENT]],Data[],25,FALSE)</f>
        <v>0</v>
      </c>
      <c r="D300" s="9" t="s">
        <v>49</v>
      </c>
      <c r="E300" s="50">
        <f>VLOOKUP(FWD[[#This Row],[DEVELOPMENT]],Data[],7,FALSE)</f>
        <v>20</v>
      </c>
      <c r="F300" s="50" t="e">
        <f>VLOOKUP(FWD[[#This Row],[DEVELOPMENT]],all[[DEVELOPMENT]:[MRST Ext. Comp. Priority]],5,FALSE)</f>
        <v>#N/A</v>
      </c>
      <c r="G300" s="50">
        <f>VLOOKUP(FWD[[#This Row],[DEVELOPMENT]],Data[],8,FALSE)</f>
        <v>0</v>
      </c>
      <c r="H300" s="9">
        <f>VLOOKUP(FWD[[#This Row],[DEVELOPMENT]],Data[],9,FALSE)</f>
        <v>0</v>
      </c>
      <c r="I300" s="1" t="str">
        <f ca="1">IFERROR(VLOOKUP(FWD[[#This Row],[DEVELOPMENT]],Data[],4,FALSE),"")</f>
        <v/>
      </c>
      <c r="J300" s="51" t="str">
        <f ca="1">IF(FWD[[#This Row],[RAD/PACT]]="","",IF(OR(FWD[[#This Row],[RAD/PACT]]="2021-2025",FWD[[#This Row],[RAD/PACT]]="2019-2020"),"Yes",""))</f>
        <v/>
      </c>
      <c r="K300" s="1"/>
      <c r="L300" s="1"/>
      <c r="M300" s="1"/>
      <c r="N300" s="1"/>
      <c r="O300" s="3">
        <f ca="1">IF(FWD[[#This Row],[RAD/PACT]]="2019-2020",0,INDEX(UnitCosts[],MATCH(FWD[[#This Row],[WORK TYPE]],UnitCosts[Work Type],0),2)*FWD[[#This Row],[Dwelling Units]])</f>
        <v>34374.718947885936</v>
      </c>
      <c r="P300" s="3"/>
      <c r="Q300" s="3"/>
      <c r="R300" s="69">
        <f t="shared" ca="1" si="4"/>
        <v>3571533.2986853491</v>
      </c>
      <c r="S300" s="71">
        <f ca="1">SUM(INDEX(FWD[Dwelling Units],1):FWD[[#This Row],[Dwelling Units]])</f>
        <v>163884</v>
      </c>
      <c r="T300" s="71">
        <f ca="1">IF(ISBLANK(FWD[[#This Row],[CALENDAR YEAR]]),ROUNDDOWN(FWD[[#This Row],[Running count]]/3000,0)+$T$1,FWD[[#This Row],[CALENDAR YEAR]])</f>
        <v>2074</v>
      </c>
    </row>
    <row r="301" spans="1:20">
      <c r="A301" s="65" t="s">
        <v>382</v>
      </c>
      <c r="B301" s="1" t="str">
        <f>VLOOKUP(A301,Data[],2,FALSE)</f>
        <v>BRONX</v>
      </c>
      <c r="C301" s="1">
        <f>VLOOKUP(FWD[[#This Row],[DEVELOPMENT]],Data[],25,FALSE)</f>
        <v>0</v>
      </c>
      <c r="D301" s="9" t="s">
        <v>49</v>
      </c>
      <c r="E301" s="50">
        <f>VLOOKUP(FWD[[#This Row],[DEVELOPMENT]],Data[],7,FALSE)</f>
        <v>148</v>
      </c>
      <c r="F301" s="50" t="e">
        <f>VLOOKUP(FWD[[#This Row],[DEVELOPMENT]],all[[DEVELOPMENT]:[MRST Ext. Comp. Priority]],5,FALSE)</f>
        <v>#N/A</v>
      </c>
      <c r="G301" s="50" t="str">
        <f>VLOOKUP(FWD[[#This Row],[DEVELOPMENT]],Data[],8,FALSE)</f>
        <v>Zone 4</v>
      </c>
      <c r="H301" s="9">
        <f>VLOOKUP(FWD[[#This Row],[DEVELOPMENT]],Data[],9,FALSE)</f>
        <v>0</v>
      </c>
      <c r="I301" s="1" t="str">
        <f ca="1">IFERROR(VLOOKUP(FWD[[#This Row],[DEVELOPMENT]],Data[],4,FALSE),"")</f>
        <v/>
      </c>
      <c r="J301" s="51" t="str">
        <f ca="1">IF(FWD[[#This Row],[RAD/PACT]]="","",IF(OR(FWD[[#This Row],[RAD/PACT]]="2021-2025",FWD[[#This Row],[RAD/PACT]]="2019-2020"),"Yes",""))</f>
        <v/>
      </c>
      <c r="K301" s="1"/>
      <c r="L301" s="1"/>
      <c r="M301" s="1"/>
      <c r="N301" s="1"/>
      <c r="O301" s="3">
        <f ca="1">IF(FWD[[#This Row],[RAD/PACT]]="2019-2020",0,INDEX(UnitCosts[],MATCH(FWD[[#This Row],[WORK TYPE]],UnitCosts[Work Type],0),2)*FWD[[#This Row],[Dwelling Units]])</f>
        <v>254372.92021435595</v>
      </c>
      <c r="P301" s="3"/>
      <c r="Q301" s="3"/>
      <c r="R301" s="69">
        <f t="shared" ca="1" si="4"/>
        <v>3825906.218899705</v>
      </c>
      <c r="S301" s="71">
        <f ca="1">SUM(INDEX(FWD[Dwelling Units],1):FWD[[#This Row],[Dwelling Units]])</f>
        <v>164032</v>
      </c>
      <c r="T301" s="71">
        <f ca="1">IF(ISBLANK(FWD[[#This Row],[CALENDAR YEAR]]),ROUNDDOWN(FWD[[#This Row],[Running count]]/3000,0)+$T$1,FWD[[#This Row],[CALENDAR YEAR]])</f>
        <v>2074</v>
      </c>
    </row>
    <row r="302" spans="1:20">
      <c r="A302" s="65" t="s">
        <v>102</v>
      </c>
      <c r="B302" s="1" t="str">
        <f>VLOOKUP(A302,Data[],2,FALSE)</f>
        <v>MANHATTAN</v>
      </c>
      <c r="C302" s="1">
        <f>VLOOKUP(FWD[[#This Row],[DEVELOPMENT]],Data[],25,FALSE)</f>
        <v>0</v>
      </c>
      <c r="D302" s="9" t="s">
        <v>49</v>
      </c>
      <c r="E302" s="50">
        <f>VLOOKUP(FWD[[#This Row],[DEVELOPMENT]],Data[],7,FALSE)</f>
        <v>246</v>
      </c>
      <c r="F302" s="50" t="e">
        <f>VLOOKUP(FWD[[#This Row],[DEVELOPMENT]],all[[DEVELOPMENT]:[MRST Ext. Comp. Priority]],5,FALSE)</f>
        <v>#N/A</v>
      </c>
      <c r="G302" s="50" t="str">
        <f>VLOOKUP(FWD[[#This Row],[DEVELOPMENT]],Data[],8,FALSE)</f>
        <v>Zone 2</v>
      </c>
      <c r="H302" s="9">
        <f>VLOOKUP(FWD[[#This Row],[DEVELOPMENT]],Data[],9,FALSE)</f>
        <v>4</v>
      </c>
      <c r="I302" s="1" t="str">
        <f ca="1">IFERROR(VLOOKUP(FWD[[#This Row],[DEVELOPMENT]],Data[],4,FALSE),"")</f>
        <v>2026+</v>
      </c>
      <c r="J302" s="51" t="str">
        <f ca="1">IF(FWD[[#This Row],[RAD/PACT]]="","",IF(OR(FWD[[#This Row],[RAD/PACT]]="2021-2025",FWD[[#This Row],[RAD/PACT]]="2019-2020"),"Yes",""))</f>
        <v/>
      </c>
      <c r="K302" s="1"/>
      <c r="L302" s="1"/>
      <c r="M302" s="1"/>
      <c r="N302" s="1"/>
      <c r="O302" s="3">
        <f ca="1">IF(FWD[[#This Row],[RAD/PACT]]="2019-2020",0,INDEX(UnitCosts[],MATCH(FWD[[#This Row],[WORK TYPE]],UnitCosts[Work Type],0),2)*FWD[[#This Row],[Dwelling Units]])</f>
        <v>422809.04305899708</v>
      </c>
      <c r="P302" s="3"/>
      <c r="Q302" s="3"/>
      <c r="R302" s="69">
        <f t="shared" ca="1" si="4"/>
        <v>4248715.2619587025</v>
      </c>
      <c r="S302" s="71">
        <f ca="1">SUM(INDEX(FWD[Dwelling Units],1):FWD[[#This Row],[Dwelling Units]])</f>
        <v>164278</v>
      </c>
      <c r="T302" s="71">
        <f ca="1">IF(ISBLANK(FWD[[#This Row],[CALENDAR YEAR]]),ROUNDDOWN(FWD[[#This Row],[Running count]]/3000,0)+$T$1,FWD[[#This Row],[CALENDAR YEAR]])</f>
        <v>2074</v>
      </c>
    </row>
    <row r="303" spans="1:20">
      <c r="A303" s="65" t="s">
        <v>383</v>
      </c>
      <c r="B303" s="1" t="str">
        <f>VLOOKUP(A303,Data[],2,FALSE)</f>
        <v>BROOKLYN</v>
      </c>
      <c r="C303" s="1" t="str">
        <f>VLOOKUP(FWD[[#This Row],[DEVELOPMENT]],Data[],25,FALSE)</f>
        <v>Newtown Creek</v>
      </c>
      <c r="D303" s="9" t="s">
        <v>49</v>
      </c>
      <c r="E303" s="50">
        <f>VLOOKUP(FWD[[#This Row],[DEVELOPMENT]],Data[],7,FALSE)</f>
        <v>1651</v>
      </c>
      <c r="F303" s="50" t="e">
        <f>VLOOKUP(FWD[[#This Row],[DEVELOPMENT]],all[[DEVELOPMENT]:[MRST Ext. Comp. Priority]],5,FALSE)</f>
        <v>#N/A</v>
      </c>
      <c r="G303" s="50">
        <f>VLOOKUP(FWD[[#This Row],[DEVELOPMENT]],Data[],8,FALSE)</f>
        <v>0</v>
      </c>
      <c r="H303" s="9">
        <f>VLOOKUP(FWD[[#This Row],[DEVELOPMENT]],Data[],9,FALSE)</f>
        <v>0</v>
      </c>
      <c r="I303" s="1" t="str">
        <f ca="1">IFERROR(VLOOKUP(FWD[[#This Row],[DEVELOPMENT]],Data[],4,FALSE),"")</f>
        <v/>
      </c>
      <c r="J303" s="51" t="str">
        <f ca="1">IF(FWD[[#This Row],[RAD/PACT]]="","",IF(OR(FWD[[#This Row],[RAD/PACT]]="2021-2025",FWD[[#This Row],[RAD/PACT]]="2019-2020"),"Yes",""))</f>
        <v/>
      </c>
      <c r="K303" s="1"/>
      <c r="L303" s="1"/>
      <c r="M303" s="1"/>
      <c r="N303" s="1"/>
      <c r="O303" s="3">
        <f ca="1">IF(FWD[[#This Row],[RAD/PACT]]="2019-2020",0,INDEX(UnitCosts[],MATCH(FWD[[#This Row],[WORK TYPE]],UnitCosts[Work Type],0),2)*FWD[[#This Row],[Dwelling Units]])</f>
        <v>2837633.0491479845</v>
      </c>
      <c r="P303" s="3"/>
      <c r="Q303" s="3"/>
      <c r="R303" s="69">
        <f t="shared" ca="1" si="4"/>
        <v>2837633.0491479845</v>
      </c>
      <c r="S303" s="71">
        <f ca="1">SUM(INDEX(FWD[Dwelling Units],1):FWD[[#This Row],[Dwelling Units]])</f>
        <v>165929</v>
      </c>
      <c r="T303" s="71">
        <f ca="1">IF(ISBLANK(FWD[[#This Row],[CALENDAR YEAR]]),ROUNDDOWN(FWD[[#This Row],[Running count]]/3000,0)+$T$1,FWD[[#This Row],[CALENDAR YEAR]])</f>
        <v>2075</v>
      </c>
    </row>
    <row r="304" spans="1:20">
      <c r="A304" s="65" t="s">
        <v>384</v>
      </c>
      <c r="B304" s="1" t="str">
        <f>VLOOKUP(A304,Data[],2,FALSE)</f>
        <v>BROOKLYN</v>
      </c>
      <c r="C304" s="1" t="str">
        <f>VLOOKUP(FWD[[#This Row],[DEVELOPMENT]],Data[],25,FALSE)</f>
        <v>Newtown Creek</v>
      </c>
      <c r="D304" s="9" t="s">
        <v>49</v>
      </c>
      <c r="E304" s="50">
        <f>VLOOKUP(FWD[[#This Row],[DEVELOPMENT]],Data[],7,FALSE)</f>
        <v>577</v>
      </c>
      <c r="F304" s="50" t="e">
        <f>VLOOKUP(FWD[[#This Row],[DEVELOPMENT]],all[[DEVELOPMENT]:[MRST Ext. Comp. Priority]],5,FALSE)</f>
        <v>#N/A</v>
      </c>
      <c r="G304" s="50">
        <f>VLOOKUP(FWD[[#This Row],[DEVELOPMENT]],Data[],8,FALSE)</f>
        <v>0</v>
      </c>
      <c r="H304" s="9">
        <f>VLOOKUP(FWD[[#This Row],[DEVELOPMENT]],Data[],9,FALSE)</f>
        <v>0</v>
      </c>
      <c r="I304" s="1">
        <f ca="1">IFERROR(VLOOKUP(FWD[[#This Row],[DEVELOPMENT]],Data[],4,FALSE),"")</f>
        <v>2019</v>
      </c>
      <c r="J304" s="51" t="str">
        <f ca="1">IF(FWD[[#This Row],[RAD/PACT]]="","",IF(OR(FWD[[#This Row],[RAD/PACT]]="2021-2025",FWD[[#This Row],[RAD/PACT]]="2019-2020"),"Yes",""))</f>
        <v/>
      </c>
      <c r="K304" s="1"/>
      <c r="L304" s="1"/>
      <c r="M304" s="1"/>
      <c r="N304" s="1"/>
      <c r="O304" s="3">
        <f ca="1">IF(FWD[[#This Row],[RAD/PACT]]="2019-2020",0,INDEX(UnitCosts[],MATCH(FWD[[#This Row],[WORK TYPE]],UnitCosts[Work Type],0),2)*FWD[[#This Row],[Dwelling Units]])</f>
        <v>991710.64164650941</v>
      </c>
      <c r="P304" s="3"/>
      <c r="Q304" s="3"/>
      <c r="R304" s="69">
        <f t="shared" ca="1" si="4"/>
        <v>3829343.690794494</v>
      </c>
      <c r="S304" s="71">
        <f ca="1">SUM(INDEX(FWD[Dwelling Units],1):FWD[[#This Row],[Dwelling Units]])</f>
        <v>166506</v>
      </c>
      <c r="T304" s="71">
        <f ca="1">IF(ISBLANK(FWD[[#This Row],[CALENDAR YEAR]]),ROUNDDOWN(FWD[[#This Row],[Running count]]/3000,0)+$T$1,FWD[[#This Row],[CALENDAR YEAR]])</f>
        <v>2075</v>
      </c>
    </row>
    <row r="305" spans="1:20">
      <c r="A305" s="65" t="s">
        <v>385</v>
      </c>
      <c r="B305" s="1" t="str">
        <f>VLOOKUP(A305,Data[],2,FALSE)</f>
        <v>BROOKLYN</v>
      </c>
      <c r="C305" s="1" t="str">
        <f>VLOOKUP(FWD[[#This Row],[DEVELOPMENT]],Data[],25,FALSE)</f>
        <v>Newtown Creek</v>
      </c>
      <c r="D305" s="9" t="s">
        <v>49</v>
      </c>
      <c r="E305" s="50">
        <f>VLOOKUP(FWD[[#This Row],[DEVELOPMENT]],Data[],7,FALSE)</f>
        <v>1627</v>
      </c>
      <c r="F305" s="50" t="e">
        <f>VLOOKUP(FWD[[#This Row],[DEVELOPMENT]],all[[DEVELOPMENT]:[MRST Ext. Comp. Priority]],5,FALSE)</f>
        <v>#N/A</v>
      </c>
      <c r="G305" s="50">
        <f>VLOOKUP(FWD[[#This Row],[DEVELOPMENT]],Data[],8,FALSE)</f>
        <v>0</v>
      </c>
      <c r="H305" s="9">
        <f>VLOOKUP(FWD[[#This Row],[DEVELOPMENT]],Data[],9,FALSE)</f>
        <v>0</v>
      </c>
      <c r="I305" s="1" t="str">
        <f ca="1">IFERROR(VLOOKUP(FWD[[#This Row],[DEVELOPMENT]],Data[],4,FALSE),"")</f>
        <v>2020-2021</v>
      </c>
      <c r="J305" s="51" t="str">
        <f ca="1">IF(FWD[[#This Row],[RAD/PACT]]="","",IF(OR(FWD[[#This Row],[RAD/PACT]]="2021-2025",FWD[[#This Row],[RAD/PACT]]="2019-2020"),"Yes",""))</f>
        <v/>
      </c>
      <c r="K305" s="1"/>
      <c r="L305" s="1"/>
      <c r="M305" s="1"/>
      <c r="N305" s="1"/>
      <c r="O305" s="3">
        <f ca="1">IF(FWD[[#This Row],[RAD/PACT]]="2019-2020",0,INDEX(UnitCosts[],MATCH(FWD[[#This Row],[WORK TYPE]],UnitCosts[Work Type],0),2)*FWD[[#This Row],[Dwelling Units]])</f>
        <v>2796383.3864105213</v>
      </c>
      <c r="P305" s="3"/>
      <c r="Q305" s="3"/>
      <c r="R305" s="69">
        <f t="shared" ca="1" si="4"/>
        <v>2796383.3864105213</v>
      </c>
      <c r="S305" s="71">
        <f ca="1">SUM(INDEX(FWD[Dwelling Units],1):FWD[[#This Row],[Dwelling Units]])</f>
        <v>168133</v>
      </c>
      <c r="T305" s="71">
        <f ca="1">IF(ISBLANK(FWD[[#This Row],[CALENDAR YEAR]]),ROUNDDOWN(FWD[[#This Row],[Running count]]/3000,0)+$T$1,FWD[[#This Row],[CALENDAR YEAR]])</f>
        <v>2076</v>
      </c>
    </row>
    <row r="306" spans="1:20">
      <c r="A306" s="65" t="s">
        <v>116</v>
      </c>
      <c r="B306" s="1" t="str">
        <f>VLOOKUP(A306,Data[],2,FALSE)</f>
        <v>MANHATTAN</v>
      </c>
      <c r="C306" s="1">
        <f>VLOOKUP(FWD[[#This Row],[DEVELOPMENT]],Data[],25,FALSE)</f>
        <v>0</v>
      </c>
      <c r="D306" s="9" t="s">
        <v>49</v>
      </c>
      <c r="E306" s="50">
        <f>VLOOKUP(FWD[[#This Row],[DEVELOPMENT]],Data[],7,FALSE)</f>
        <v>398</v>
      </c>
      <c r="F306" s="50" t="e">
        <f>VLOOKUP(FWD[[#This Row],[DEVELOPMENT]],all[[DEVELOPMENT]:[MRST Ext. Comp. Priority]],5,FALSE)</f>
        <v>#N/A</v>
      </c>
      <c r="G306" s="50" t="str">
        <f>VLOOKUP(FWD[[#This Row],[DEVELOPMENT]],Data[],8,FALSE)</f>
        <v>Zone 2</v>
      </c>
      <c r="H306" s="9">
        <f>VLOOKUP(FWD[[#This Row],[DEVELOPMENT]],Data[],9,FALSE)</f>
        <v>4</v>
      </c>
      <c r="I306" s="1" t="str">
        <f ca="1">IFERROR(VLOOKUP(FWD[[#This Row],[DEVELOPMENT]],Data[],4,FALSE),"")</f>
        <v>2026+</v>
      </c>
      <c r="J306" s="51" t="str">
        <f ca="1">IF(FWD[[#This Row],[RAD/PACT]]="","",IF(OR(FWD[[#This Row],[RAD/PACT]]="2021-2025",FWD[[#This Row],[RAD/PACT]]="2019-2020"),"Yes",""))</f>
        <v/>
      </c>
      <c r="K306" s="1"/>
      <c r="L306" s="1"/>
      <c r="M306" s="1"/>
      <c r="N306" s="1"/>
      <c r="O306" s="3">
        <f ca="1">IF(FWD[[#This Row],[RAD/PACT]]="2019-2020",0,INDEX(UnitCosts[],MATCH(FWD[[#This Row],[WORK TYPE]],UnitCosts[Work Type],0),2)*FWD[[#This Row],[Dwelling Units]])</f>
        <v>684056.90706293017</v>
      </c>
      <c r="P306" s="3"/>
      <c r="Q306" s="3"/>
      <c r="R306" s="69">
        <f t="shared" ca="1" si="4"/>
        <v>3480440.2934734514</v>
      </c>
      <c r="S306" s="71">
        <f ca="1">SUM(INDEX(FWD[Dwelling Units],1):FWD[[#This Row],[Dwelling Units]])</f>
        <v>168531</v>
      </c>
      <c r="T306" s="71">
        <f ca="1">IF(ISBLANK(FWD[[#This Row],[CALENDAR YEAR]]),ROUNDDOWN(FWD[[#This Row],[Running count]]/3000,0)+$T$1,FWD[[#This Row],[CALENDAR YEAR]])</f>
        <v>2076</v>
      </c>
    </row>
    <row r="307" spans="1:20">
      <c r="A307" s="65" t="s">
        <v>386</v>
      </c>
      <c r="B307" s="1" t="str">
        <f>VLOOKUP(A307,Data[],2,FALSE)</f>
        <v>MANHATTAN</v>
      </c>
      <c r="C307" s="1">
        <f>VLOOKUP(FWD[[#This Row],[DEVELOPMENT]],Data[],25,FALSE)</f>
        <v>0</v>
      </c>
      <c r="D307" s="9" t="s">
        <v>49</v>
      </c>
      <c r="E307" s="50">
        <f>VLOOKUP(FWD[[#This Row],[DEVELOPMENT]],Data[],7,FALSE)</f>
        <v>397</v>
      </c>
      <c r="F307" s="50" t="e">
        <f>VLOOKUP(FWD[[#This Row],[DEVELOPMENT]],all[[DEVELOPMENT]:[MRST Ext. Comp. Priority]],5,FALSE)</f>
        <v>#N/A</v>
      </c>
      <c r="G307" s="50" t="str">
        <f>VLOOKUP(FWD[[#This Row],[DEVELOPMENT]],Data[],8,FALSE)</f>
        <v>Zone 4</v>
      </c>
      <c r="H307" s="9">
        <f>VLOOKUP(FWD[[#This Row],[DEVELOPMENT]],Data[],9,FALSE)</f>
        <v>0</v>
      </c>
      <c r="I307" s="1" t="str">
        <f ca="1">IFERROR(VLOOKUP(FWD[[#This Row],[DEVELOPMENT]],Data[],4,FALSE),"")</f>
        <v>2020-2021</v>
      </c>
      <c r="J307" s="51" t="str">
        <f ca="1">IF(FWD[[#This Row],[RAD/PACT]]="","",IF(OR(FWD[[#This Row],[RAD/PACT]]="2021-2025",FWD[[#This Row],[RAD/PACT]]="2019-2020"),"Yes",""))</f>
        <v/>
      </c>
      <c r="K307" s="1"/>
      <c r="L307" s="1"/>
      <c r="M307" s="1"/>
      <c r="N307" s="1"/>
      <c r="O307" s="3">
        <f ca="1">IF(FWD[[#This Row],[RAD/PACT]]="2019-2020",0,INDEX(UnitCosts[],MATCH(FWD[[#This Row],[WORK TYPE]],UnitCosts[Work Type],0),2)*FWD[[#This Row],[Dwelling Units]])</f>
        <v>682338.17111553589</v>
      </c>
      <c r="P307" s="3"/>
      <c r="Q307" s="3"/>
      <c r="R307" s="69">
        <f t="shared" ca="1" si="4"/>
        <v>4162778.4645889872</v>
      </c>
      <c r="S307" s="71">
        <f ca="1">SUM(INDEX(FWD[Dwelling Units],1):FWD[[#This Row],[Dwelling Units]])</f>
        <v>168928</v>
      </c>
      <c r="T307" s="71">
        <f ca="1">IF(ISBLANK(FWD[[#This Row],[CALENDAR YEAR]]),ROUNDDOWN(FWD[[#This Row],[Running count]]/3000,0)+$T$1,FWD[[#This Row],[CALENDAR YEAR]])</f>
        <v>2076</v>
      </c>
    </row>
    <row r="308" spans="1:20">
      <c r="A308" s="65" t="s">
        <v>271</v>
      </c>
      <c r="B308" s="1" t="str">
        <f>VLOOKUP(A308,Data[],2,FALSE)</f>
        <v>QUEENS</v>
      </c>
      <c r="C308" s="1">
        <f>VLOOKUP(FWD[[#This Row],[DEVELOPMENT]],Data[],25,FALSE)</f>
        <v>0</v>
      </c>
      <c r="D308" s="9" t="s">
        <v>49</v>
      </c>
      <c r="E308" s="50">
        <f>VLOOKUP(FWD[[#This Row],[DEVELOPMENT]],Data[],7,FALSE)</f>
        <v>1355</v>
      </c>
      <c r="F308" s="50" t="e">
        <f>VLOOKUP(FWD[[#This Row],[DEVELOPMENT]],all[[DEVELOPMENT]:[MRST Ext. Comp. Priority]],5,FALSE)</f>
        <v>#N/A</v>
      </c>
      <c r="G308" s="50">
        <f>VLOOKUP(FWD[[#This Row],[DEVELOPMENT]],Data[],8,FALSE)</f>
        <v>0</v>
      </c>
      <c r="H308" s="9">
        <f>VLOOKUP(FWD[[#This Row],[DEVELOPMENT]],Data[],9,FALSE)</f>
        <v>0</v>
      </c>
      <c r="I308" s="1" t="str">
        <f ca="1">IFERROR(VLOOKUP(FWD[[#This Row],[DEVELOPMENT]],Data[],4,FALSE),"")</f>
        <v/>
      </c>
      <c r="J308" s="51" t="str">
        <f ca="1">IF(FWD[[#This Row],[RAD/PACT]]="","",IF(OR(FWD[[#This Row],[RAD/PACT]]="2021-2025",FWD[[#This Row],[RAD/PACT]]="2019-2020"),"Yes",""))</f>
        <v/>
      </c>
      <c r="K308" s="1"/>
      <c r="L308" s="1"/>
      <c r="M308" s="1"/>
      <c r="N308" s="1"/>
      <c r="O308" s="3">
        <f ca="1">IF(FWD[[#This Row],[RAD/PACT]]="2019-2020",0,INDEX(UnitCosts[],MATCH(FWD[[#This Row],[WORK TYPE]],UnitCosts[Work Type],0),2)*FWD[[#This Row],[Dwelling Units]])</f>
        <v>2328887.2087192726</v>
      </c>
      <c r="P308" s="3"/>
      <c r="Q308" s="3"/>
      <c r="R308" s="69">
        <f t="shared" ca="1" si="4"/>
        <v>6491665.6733082598</v>
      </c>
      <c r="S308" s="71">
        <f ca="1">SUM(INDEX(FWD[Dwelling Units],1):FWD[[#This Row],[Dwelling Units]])</f>
        <v>170283</v>
      </c>
      <c r="T308" s="71">
        <f ca="1">IF(ISBLANK(FWD[[#This Row],[CALENDAR YEAR]]),ROUNDDOWN(FWD[[#This Row],[Running count]]/3000,0)+$T$1,FWD[[#This Row],[CALENDAR YEAR]])</f>
        <v>2076</v>
      </c>
    </row>
    <row r="309" spans="1:20">
      <c r="A309" s="65" t="s">
        <v>387</v>
      </c>
      <c r="B309" s="1" t="str">
        <f>VLOOKUP(A309,Data[],2,FALSE)</f>
        <v>BROOKLYN</v>
      </c>
      <c r="C309" s="1">
        <f>VLOOKUP(FWD[[#This Row],[DEVELOPMENT]],Data[],25,FALSE)</f>
        <v>0</v>
      </c>
      <c r="D309" s="9" t="s">
        <v>49</v>
      </c>
      <c r="E309" s="50">
        <f>VLOOKUP(FWD[[#This Row],[DEVELOPMENT]],Data[],7,FALSE)</f>
        <v>407</v>
      </c>
      <c r="F309" s="50" t="e">
        <f>VLOOKUP(FWD[[#This Row],[DEVELOPMENT]],all[[DEVELOPMENT]:[MRST Ext. Comp. Priority]],5,FALSE)</f>
        <v>#N/A</v>
      </c>
      <c r="G309" s="50">
        <f>VLOOKUP(FWD[[#This Row],[DEVELOPMENT]],Data[],8,FALSE)</f>
        <v>0</v>
      </c>
      <c r="H309" s="9">
        <f>VLOOKUP(FWD[[#This Row],[DEVELOPMENT]],Data[],9,FALSE)</f>
        <v>0</v>
      </c>
      <c r="I309" s="1" t="str">
        <f ca="1">IFERROR(VLOOKUP(FWD[[#This Row],[DEVELOPMENT]],Data[],4,FALSE),"")</f>
        <v/>
      </c>
      <c r="J309" s="51" t="str">
        <f ca="1">IF(FWD[[#This Row],[RAD/PACT]]="","",IF(OR(FWD[[#This Row],[RAD/PACT]]="2021-2025",FWD[[#This Row],[RAD/PACT]]="2019-2020"),"Yes",""))</f>
        <v/>
      </c>
      <c r="K309" s="1"/>
      <c r="L309" s="1"/>
      <c r="M309" s="1"/>
      <c r="N309" s="1"/>
      <c r="O309" s="3">
        <f ca="1">IF(FWD[[#This Row],[RAD/PACT]]="2019-2020",0,INDEX(UnitCosts[],MATCH(FWD[[#This Row],[WORK TYPE]],UnitCosts[Work Type],0),2)*FWD[[#This Row],[Dwelling Units]])</f>
        <v>699525.53058947891</v>
      </c>
      <c r="P309" s="3"/>
      <c r="Q309" s="3"/>
      <c r="R309" s="69">
        <f t="shared" ca="1" si="4"/>
        <v>7191191.2038977388</v>
      </c>
      <c r="S309" s="71">
        <f ca="1">SUM(INDEX(FWD[Dwelling Units],1):FWD[[#This Row],[Dwelling Units]])</f>
        <v>170690</v>
      </c>
      <c r="T309" s="71">
        <f ca="1">IF(ISBLANK(FWD[[#This Row],[CALENDAR YEAR]]),ROUNDDOWN(FWD[[#This Row],[Running count]]/3000,0)+$T$1,FWD[[#This Row],[CALENDAR YEAR]])</f>
        <v>2076</v>
      </c>
    </row>
    <row r="310" spans="1:20">
      <c r="A310" s="65" t="s">
        <v>388</v>
      </c>
      <c r="B310" s="1" t="str">
        <f>VLOOKUP(A310,Data[],2,FALSE)</f>
        <v>MANHATTAN</v>
      </c>
      <c r="C310" s="1">
        <f>VLOOKUP(FWD[[#This Row],[DEVELOPMENT]],Data[],25,FALSE)</f>
        <v>0</v>
      </c>
      <c r="D310" s="9" t="s">
        <v>49</v>
      </c>
      <c r="E310" s="50">
        <f>VLOOKUP(FWD[[#This Row],[DEVELOPMENT]],Data[],7,FALSE)</f>
        <v>236</v>
      </c>
      <c r="F310" s="50" t="e">
        <f>VLOOKUP(FWD[[#This Row],[DEVELOPMENT]],all[[DEVELOPMENT]:[MRST Ext. Comp. Priority]],5,FALSE)</f>
        <v>#N/A</v>
      </c>
      <c r="G310" s="50" t="str">
        <f>VLOOKUP(FWD[[#This Row],[DEVELOPMENT]],Data[],8,FALSE)</f>
        <v>Zone 4</v>
      </c>
      <c r="H310" s="9">
        <f>VLOOKUP(FWD[[#This Row],[DEVELOPMENT]],Data[],9,FALSE)</f>
        <v>0</v>
      </c>
      <c r="I310" s="1" t="str">
        <f ca="1">IFERROR(VLOOKUP(FWD[[#This Row],[DEVELOPMENT]],Data[],4,FALSE),"")</f>
        <v/>
      </c>
      <c r="J310" s="51" t="str">
        <f ca="1">IF(FWD[[#This Row],[RAD/PACT]]="","",IF(OR(FWD[[#This Row],[RAD/PACT]]="2021-2025",FWD[[#This Row],[RAD/PACT]]="2019-2020"),"Yes",""))</f>
        <v/>
      </c>
      <c r="K310" s="1"/>
      <c r="L310" s="1"/>
      <c r="M310" s="1"/>
      <c r="N310" s="1"/>
      <c r="O310" s="3">
        <f ca="1">IF(FWD[[#This Row],[RAD/PACT]]="2019-2020",0,INDEX(UnitCosts[],MATCH(FWD[[#This Row],[WORK TYPE]],UnitCosts[Work Type],0),2)*FWD[[#This Row],[Dwelling Units]])</f>
        <v>405621.68358505407</v>
      </c>
      <c r="P310" s="3"/>
      <c r="Q310" s="3"/>
      <c r="R310" s="69">
        <f t="shared" ca="1" si="4"/>
        <v>7596812.8874827931</v>
      </c>
      <c r="S310" s="71">
        <f ca="1">SUM(INDEX(FWD[Dwelling Units],1):FWD[[#This Row],[Dwelling Units]])</f>
        <v>170926</v>
      </c>
      <c r="T310" s="71">
        <f ca="1">IF(ISBLANK(FWD[[#This Row],[CALENDAR YEAR]]),ROUNDDOWN(FWD[[#This Row],[Running count]]/3000,0)+$T$1,FWD[[#This Row],[CALENDAR YEAR]])</f>
        <v>2076</v>
      </c>
    </row>
    <row r="311" spans="1:20">
      <c r="A311" s="65" t="s">
        <v>389</v>
      </c>
      <c r="B311" s="1" t="str">
        <f>VLOOKUP(A311,Data[],2,FALSE)</f>
        <v>MANHATTAN</v>
      </c>
      <c r="C311" s="1">
        <f>VLOOKUP(FWD[[#This Row],[DEVELOPMENT]],Data[],25,FALSE)</f>
        <v>0</v>
      </c>
      <c r="D311" s="9" t="s">
        <v>49</v>
      </c>
      <c r="E311" s="50">
        <f>VLOOKUP(FWD[[#This Row],[DEVELOPMENT]],Data[],7,FALSE)</f>
        <v>69</v>
      </c>
      <c r="F311" s="50" t="e">
        <f>VLOOKUP(FWD[[#This Row],[DEVELOPMENT]],all[[DEVELOPMENT]:[MRST Ext. Comp. Priority]],5,FALSE)</f>
        <v>#N/A</v>
      </c>
      <c r="G311" s="50" t="str">
        <f>VLOOKUP(FWD[[#This Row],[DEVELOPMENT]],Data[],8,FALSE)</f>
        <v>Zone 4</v>
      </c>
      <c r="H311" s="9">
        <f>VLOOKUP(FWD[[#This Row],[DEVELOPMENT]],Data[],9,FALSE)</f>
        <v>0</v>
      </c>
      <c r="I311" s="1" t="str">
        <f ca="1">IFERROR(VLOOKUP(FWD[[#This Row],[DEVELOPMENT]],Data[],4,FALSE),"")</f>
        <v/>
      </c>
      <c r="J311" s="51" t="str">
        <f ca="1">IF(FWD[[#This Row],[RAD/PACT]]="","",IF(OR(FWD[[#This Row],[RAD/PACT]]="2021-2025",FWD[[#This Row],[RAD/PACT]]="2019-2020"),"Yes",""))</f>
        <v/>
      </c>
      <c r="K311" s="1"/>
      <c r="L311" s="1"/>
      <c r="M311" s="1"/>
      <c r="N311" s="1"/>
      <c r="O311" s="3">
        <f ca="1">IF(FWD[[#This Row],[RAD/PACT]]="2019-2020",0,INDEX(UnitCosts[],MATCH(FWD[[#This Row],[WORK TYPE]],UnitCosts[Work Type],0),2)*FWD[[#This Row],[Dwelling Units]])</f>
        <v>118592.7803702065</v>
      </c>
      <c r="P311" s="3"/>
      <c r="Q311" s="3"/>
      <c r="R311" s="69">
        <f t="shared" ca="1" si="4"/>
        <v>7715405.6678529996</v>
      </c>
      <c r="S311" s="71">
        <f ca="1">SUM(INDEX(FWD[Dwelling Units],1):FWD[[#This Row],[Dwelling Units]])</f>
        <v>170995</v>
      </c>
      <c r="T311" s="71">
        <f ca="1">IF(ISBLANK(FWD[[#This Row],[CALENDAR YEAR]]),ROUNDDOWN(FWD[[#This Row],[Running count]]/3000,0)+$T$1,FWD[[#This Row],[CALENDAR YEAR]])</f>
        <v>2076</v>
      </c>
    </row>
    <row r="312" spans="1:20">
      <c r="A312" s="65" t="s">
        <v>390</v>
      </c>
      <c r="B312" s="1" t="str">
        <f>VLOOKUP(A312,Data[],2,FALSE)</f>
        <v>MANHATTAN</v>
      </c>
      <c r="C312" s="1">
        <f>VLOOKUP(FWD[[#This Row],[DEVELOPMENT]],Data[],25,FALSE)</f>
        <v>0</v>
      </c>
      <c r="D312" s="9" t="s">
        <v>49</v>
      </c>
      <c r="E312" s="50">
        <f>VLOOKUP(FWD[[#This Row],[DEVELOPMENT]],Data[],7,FALSE)</f>
        <v>168</v>
      </c>
      <c r="F312" s="50" t="e">
        <f>VLOOKUP(FWD[[#This Row],[DEVELOPMENT]],all[[DEVELOPMENT]:[MRST Ext. Comp. Priority]],5,FALSE)</f>
        <v>#N/A</v>
      </c>
      <c r="G312" s="50" t="str">
        <f>VLOOKUP(FWD[[#This Row],[DEVELOPMENT]],Data[],8,FALSE)</f>
        <v>Zone 4</v>
      </c>
      <c r="H312" s="9">
        <f>VLOOKUP(FWD[[#This Row],[DEVELOPMENT]],Data[],9,FALSE)</f>
        <v>0</v>
      </c>
      <c r="I312" s="1" t="str">
        <f ca="1">IFERROR(VLOOKUP(FWD[[#This Row],[DEVELOPMENT]],Data[],4,FALSE),"")</f>
        <v/>
      </c>
      <c r="J312" s="51" t="str">
        <f ca="1">IF(FWD[[#This Row],[RAD/PACT]]="","",IF(OR(FWD[[#This Row],[RAD/PACT]]="2021-2025",FWD[[#This Row],[RAD/PACT]]="2019-2020"),"Yes",""))</f>
        <v/>
      </c>
      <c r="K312" s="1"/>
      <c r="L312" s="1"/>
      <c r="M312" s="1"/>
      <c r="N312" s="1"/>
      <c r="O312" s="3">
        <f ca="1">IF(FWD[[#This Row],[RAD/PACT]]="2019-2020",0,INDEX(UnitCosts[],MATCH(FWD[[#This Row],[WORK TYPE]],UnitCosts[Work Type],0),2)*FWD[[#This Row],[Dwelling Units]])</f>
        <v>288747.63916224189</v>
      </c>
      <c r="P312" s="3"/>
      <c r="Q312" s="3"/>
      <c r="R312" s="69">
        <f t="shared" ca="1" si="4"/>
        <v>288747.63916224189</v>
      </c>
      <c r="S312" s="71">
        <f ca="1">SUM(INDEX(FWD[Dwelling Units],1):FWD[[#This Row],[Dwelling Units]])</f>
        <v>171163</v>
      </c>
      <c r="T312" s="71">
        <f ca="1">IF(ISBLANK(FWD[[#This Row],[CALENDAR YEAR]]),ROUNDDOWN(FWD[[#This Row],[Running count]]/3000,0)+$T$1,FWD[[#This Row],[CALENDAR YEAR]])</f>
        <v>2077</v>
      </c>
    </row>
    <row r="313" spans="1:20">
      <c r="A313" s="65" t="s">
        <v>391</v>
      </c>
      <c r="B313" s="1" t="str">
        <f>VLOOKUP(A313,Data[],2,FALSE)</f>
        <v>MANHATTAN</v>
      </c>
      <c r="C313" s="1">
        <f>VLOOKUP(FWD[[#This Row],[DEVELOPMENT]],Data[],25,FALSE)</f>
        <v>0</v>
      </c>
      <c r="D313" s="9" t="s">
        <v>49</v>
      </c>
      <c r="E313" s="50">
        <f>VLOOKUP(FWD[[#This Row],[DEVELOPMENT]],Data[],7,FALSE)</f>
        <v>158</v>
      </c>
      <c r="F313" s="50" t="e">
        <f>VLOOKUP(FWD[[#This Row],[DEVELOPMENT]],all[[DEVELOPMENT]:[MRST Ext. Comp. Priority]],5,FALSE)</f>
        <v>#N/A</v>
      </c>
      <c r="G313" s="50">
        <f>VLOOKUP(FWD[[#This Row],[DEVELOPMENT]],Data[],8,FALSE)</f>
        <v>0</v>
      </c>
      <c r="H313" s="9">
        <f>VLOOKUP(FWD[[#This Row],[DEVELOPMENT]],Data[],9,FALSE)</f>
        <v>0</v>
      </c>
      <c r="I313" s="1" t="str">
        <f ca="1">IFERROR(VLOOKUP(FWD[[#This Row],[DEVELOPMENT]],Data[],4,FALSE),"")</f>
        <v/>
      </c>
      <c r="J313" s="51" t="str">
        <f ca="1">IF(FWD[[#This Row],[RAD/PACT]]="","",IF(OR(FWD[[#This Row],[RAD/PACT]]="2021-2025",FWD[[#This Row],[RAD/PACT]]="2019-2020"),"Yes",""))</f>
        <v/>
      </c>
      <c r="K313" s="1"/>
      <c r="L313" s="1"/>
      <c r="M313" s="1"/>
      <c r="N313" s="1"/>
      <c r="O313" s="3">
        <f ca="1">IF(FWD[[#This Row],[RAD/PACT]]="2019-2020",0,INDEX(UnitCosts[],MATCH(FWD[[#This Row],[WORK TYPE]],UnitCosts[Work Type],0),2)*FWD[[#This Row],[Dwelling Units]])</f>
        <v>271560.27968829894</v>
      </c>
      <c r="P313" s="3"/>
      <c r="Q313" s="3"/>
      <c r="R313" s="69">
        <f t="shared" ca="1" si="4"/>
        <v>560307.91885054088</v>
      </c>
      <c r="S313" s="71">
        <f ca="1">SUM(INDEX(FWD[Dwelling Units],1):FWD[[#This Row],[Dwelling Units]])</f>
        <v>171321</v>
      </c>
      <c r="T313" s="71">
        <f ca="1">IF(ISBLANK(FWD[[#This Row],[CALENDAR YEAR]]),ROUNDDOWN(FWD[[#This Row],[Running count]]/3000,0)+$T$1,FWD[[#This Row],[CALENDAR YEAR]])</f>
        <v>2077</v>
      </c>
    </row>
    <row r="314" spans="1:20">
      <c r="A314" s="70" t="s">
        <v>260</v>
      </c>
      <c r="B314" s="36" t="str">
        <f>VLOOKUP(A314,Data[],2,FALSE)</f>
        <v>BROOKLYN</v>
      </c>
      <c r="C314" s="36">
        <f>VLOOKUP(FWD[[#This Row],[DEVELOPMENT]],Data[],25,FALSE)</f>
        <v>0</v>
      </c>
      <c r="D314" s="9" t="s">
        <v>49</v>
      </c>
      <c r="E314" s="52">
        <f>VLOOKUP(FWD[[#This Row],[DEVELOPMENT]],Data[],7,FALSE)</f>
        <v>528</v>
      </c>
      <c r="F314" s="52" t="e">
        <f>VLOOKUP(FWD[[#This Row],[DEVELOPMENT]],all[[DEVELOPMENT]:[MRST Ext. Comp. Priority]],5,FALSE)</f>
        <v>#N/A</v>
      </c>
      <c r="G314" s="52">
        <f>VLOOKUP(FWD[[#This Row],[DEVELOPMENT]],Data[],8,FALSE)</f>
        <v>0</v>
      </c>
      <c r="H314" s="24">
        <f>VLOOKUP(FWD[[#This Row],[DEVELOPMENT]],Data[],9,FALSE)</f>
        <v>0</v>
      </c>
      <c r="I314" s="36" t="str">
        <f ca="1">IFERROR(VLOOKUP(FWD[[#This Row],[DEVELOPMENT]],Data[],4,FALSE),"")</f>
        <v/>
      </c>
      <c r="J314" s="62" t="str">
        <f ca="1">IF(FWD[[#This Row],[RAD/PACT]]="","",IF(OR(FWD[[#This Row],[RAD/PACT]]="2021-2025",FWD[[#This Row],[RAD/PACT]]="2019-2020"),"Yes",""))</f>
        <v/>
      </c>
      <c r="K314" s="36"/>
      <c r="L314" s="36"/>
      <c r="M314" s="36"/>
      <c r="N314" s="36"/>
      <c r="O314" s="3">
        <f ca="1">IF(FWD[[#This Row],[RAD/PACT]]="2019-2020",0,INDEX(UnitCosts[],MATCH(FWD[[#This Row],[WORK TYPE]],UnitCosts[Work Type],0),2)*FWD[[#This Row],[Dwelling Units]])</f>
        <v>907492.58022418886</v>
      </c>
      <c r="P314" s="42"/>
      <c r="Q314" s="42"/>
      <c r="R314" s="69">
        <f t="shared" ca="1" si="4"/>
        <v>1467800.4990747296</v>
      </c>
      <c r="S314" s="173">
        <f ca="1">SUM(INDEX(FWD[Dwelling Units],1):FWD[[#This Row],[Dwelling Units]])</f>
        <v>171849</v>
      </c>
      <c r="T314" s="173">
        <f ca="1">IF(ISBLANK(FWD[[#This Row],[CALENDAR YEAR]]),ROUNDDOWN(FWD[[#This Row],[Running count]]/3000,0)+$T$1,FWD[[#This Row],[CALENDAR YEAR]])</f>
        <v>2077</v>
      </c>
    </row>
  </sheetData>
  <conditionalFormatting sqref="A3:O3 P3:P314 T3:T314 R3:R314 A4:Q314">
    <cfRule type="containsErrors" dxfId="560" priority="15">
      <formula>ISERROR(A3)</formula>
    </cfRule>
  </conditionalFormatting>
  <conditionalFormatting sqref="R1:R1048576">
    <cfRule type="expression" dxfId="559" priority="14">
      <formula>R1&gt;R2</formula>
    </cfRule>
  </conditionalFormatting>
  <conditionalFormatting sqref="S3">
    <cfRule type="containsErrors" dxfId="558" priority="7">
      <formula>ISERROR(S3)</formula>
    </cfRule>
  </conditionalFormatting>
  <conditionalFormatting sqref="S4">
    <cfRule type="containsErrors" dxfId="557" priority="2">
      <formula>ISERROR(S4)</formula>
    </cfRule>
  </conditionalFormatting>
  <conditionalFormatting sqref="A1:A1048576">
    <cfRule type="duplicateValues" dxfId="556" priority="1"/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313"/>
  <sheetViews>
    <sheetView zoomScale="85" zoomScaleNormal="85" workbookViewId="0">
      <pane xSplit="1" ySplit="2" topLeftCell="I45" activePane="bottomRight" state="frozen"/>
      <selection pane="bottomRight" activeCell="J48" sqref="J48:J65"/>
      <selection pane="bottomLeft" activeCell="A4" sqref="A4"/>
      <selection pane="topRight" activeCell="B1" sqref="B1"/>
    </sheetView>
  </sheetViews>
  <sheetFormatPr defaultColWidth="9.140625" defaultRowHeight="14.45"/>
  <cols>
    <col min="1" max="1" width="57" style="44" bestFit="1" customWidth="1"/>
    <col min="2" max="2" width="14.7109375" style="44" bestFit="1" customWidth="1"/>
    <col min="3" max="3" width="19.42578125" style="44" bestFit="1" customWidth="1"/>
    <col min="4" max="4" width="20" style="44" bestFit="1" customWidth="1"/>
    <col min="5" max="5" width="12.42578125" style="44" bestFit="1" customWidth="1"/>
    <col min="6" max="7" width="12.42578125" style="44" customWidth="1"/>
    <col min="8" max="8" width="17.7109375" style="44" bestFit="1" customWidth="1"/>
    <col min="9" max="9" width="14.140625" style="44" bestFit="1" customWidth="1"/>
    <col min="10" max="10" width="12.7109375" style="44" bestFit="1" customWidth="1"/>
    <col min="11" max="11" width="14.28515625" style="145" bestFit="1" customWidth="1"/>
    <col min="12" max="12" width="15.28515625" style="145" bestFit="1" customWidth="1"/>
    <col min="13" max="13" width="19.7109375" style="44" bestFit="1" customWidth="1"/>
    <col min="14" max="14" width="28.42578125" style="44" bestFit="1" customWidth="1"/>
    <col min="15" max="16384" width="9.140625" style="44"/>
  </cols>
  <sheetData>
    <row r="1" spans="1:15">
      <c r="K1" s="145">
        <f>SUM(EHDAll[COST])</f>
        <v>1318928.892435</v>
      </c>
      <c r="L1" s="145">
        <f ca="1">SUM(EHDAll[ESTIMATE])</f>
        <v>22865272.970415018</v>
      </c>
    </row>
    <row r="2" spans="1:15" s="146" customFormat="1">
      <c r="A2" s="149" t="s">
        <v>7</v>
      </c>
      <c r="B2" s="133" t="s">
        <v>5</v>
      </c>
      <c r="C2" s="133" t="s">
        <v>11</v>
      </c>
      <c r="D2" s="133" t="s">
        <v>156</v>
      </c>
      <c r="E2" s="133" t="s">
        <v>10</v>
      </c>
      <c r="F2" s="133" t="s">
        <v>399</v>
      </c>
      <c r="G2" s="133" t="s">
        <v>449</v>
      </c>
      <c r="H2" s="133" t="s">
        <v>17</v>
      </c>
      <c r="I2" s="133" t="s">
        <v>18</v>
      </c>
      <c r="J2" s="133" t="s">
        <v>19</v>
      </c>
      <c r="K2" s="134" t="s">
        <v>21</v>
      </c>
      <c r="L2" s="134" t="s">
        <v>440</v>
      </c>
      <c r="M2" s="133" t="s">
        <v>12</v>
      </c>
      <c r="N2" s="133" t="s">
        <v>450</v>
      </c>
      <c r="O2" s="150" t="s">
        <v>451</v>
      </c>
    </row>
    <row r="3" spans="1:15">
      <c r="A3" s="148" t="s">
        <v>48</v>
      </c>
      <c r="B3" s="144" t="str">
        <f>VLOOKUP(A3,Data[],2,FALSE)</f>
        <v>MANHATTAN</v>
      </c>
      <c r="C3" s="144" t="s">
        <v>27</v>
      </c>
      <c r="D3" s="9" t="str">
        <f>VLOOKUP(A3,Data[],52,FALSE)</f>
        <v>FEDERAL</v>
      </c>
      <c r="E3" s="9" t="str">
        <f ca="1">VLOOKUP(A3,Data[],4,FALSE)</f>
        <v/>
      </c>
      <c r="F3" s="9">
        <f>VLOOKUP(EHDAll[[#This Row],[DEVELOPMENT]],EHD[],7,FALSE)</f>
        <v>1</v>
      </c>
      <c r="G3" s="9">
        <f>VLOOKUP(EHDAll[[#This Row],[DEVELOPMENT]],Data[],67,FALSE)</f>
        <v>23</v>
      </c>
      <c r="H3" s="143">
        <f>IF(EHDAll[[#This Row],[STATUS]]="","",VLOOKUP(A3,EHD[],19,FALSE))</f>
        <v>2019</v>
      </c>
      <c r="I3" s="143">
        <f>IF(VLOOKUP(A3,EHD[],13,FALSE)=0,"",VLOOKUP(A3,EHD[],13,FALSE))</f>
        <v>2019</v>
      </c>
      <c r="J3" s="143" t="str">
        <f>IF(ISBLANK(VLOOKUP(A3,EHD[],14,FALSE)),"",VLOOKUP(A3,EHD[],14,FALSE))</f>
        <v>COMPLETED</v>
      </c>
      <c r="K3" s="151">
        <f>VLOOKUP(A3,EHD[],15,FALSE)</f>
        <v>0</v>
      </c>
      <c r="L3" s="151">
        <f>VLOOKUP(A3,EHD[],16,FALSE)</f>
        <v>0</v>
      </c>
      <c r="M3" s="143" t="s">
        <v>452</v>
      </c>
      <c r="N3" s="143" t="str">
        <f>IF(ISBLANK(VLOOKUP(A3,EHD[],20,FALSE)),"",VLOOKUP(A3,EHD[],20,FALSE))</f>
        <v>MRST</v>
      </c>
      <c r="O3" s="152"/>
    </row>
    <row r="4" spans="1:15">
      <c r="A4" s="147" t="s">
        <v>71</v>
      </c>
      <c r="B4" s="144" t="str">
        <f>VLOOKUP(A4,Data[],2,FALSE)</f>
        <v>MANHATTAN</v>
      </c>
      <c r="C4" s="144" t="s">
        <v>27</v>
      </c>
      <c r="D4" s="9" t="str">
        <f>VLOOKUP(A4,Data[],52,FALSE)</f>
        <v>FEDERAL</v>
      </c>
      <c r="E4" s="9" t="str">
        <f ca="1">VLOOKUP(A4,Data[],4,FALSE)</f>
        <v>2020-2021</v>
      </c>
      <c r="F4" s="9">
        <f>VLOOKUP(EHDAll[[#This Row],[DEVELOPMENT]],EHD[],7,FALSE)</f>
        <v>1</v>
      </c>
      <c r="G4" s="9">
        <f>VLOOKUP(EHDAll[[#This Row],[DEVELOPMENT]],Data[],67,FALSE)</f>
        <v>22</v>
      </c>
      <c r="H4" s="143">
        <f>IF(EHDAll[[#This Row],[STATUS]]="","",VLOOKUP(A4,EHD[],19,FALSE))</f>
        <v>2019</v>
      </c>
      <c r="I4" s="143">
        <f>IF(VLOOKUP(A4,EHD[],13,FALSE)=0,"",VLOOKUP(A4,EHD[],13,FALSE))</f>
        <v>2019</v>
      </c>
      <c r="J4" s="143" t="str">
        <f>IF(ISBLANK(VLOOKUP(A4,EHD[],14,FALSE)),"",VLOOKUP(A4,EHD[],14,FALSE))</f>
        <v>COMPLETED</v>
      </c>
      <c r="K4" s="151">
        <f>VLOOKUP(A4,EHD[],15,FALSE)</f>
        <v>0</v>
      </c>
      <c r="L4" s="151">
        <f>VLOOKUP(A4,EHD[],16,FALSE)</f>
        <v>0</v>
      </c>
      <c r="M4" s="143" t="s">
        <v>452</v>
      </c>
      <c r="N4" s="143" t="str">
        <f>IF(ISBLANK(VLOOKUP(A4,EHD[],20,FALSE)),"",VLOOKUP(A4,EHD[],20,FALSE))</f>
        <v>MRST</v>
      </c>
      <c r="O4" s="152"/>
    </row>
    <row r="5" spans="1:15">
      <c r="A5" s="147" t="s">
        <v>234</v>
      </c>
      <c r="B5" s="144" t="str">
        <f>VLOOKUP(A5,Data[],2,FALSE)</f>
        <v>BRONX</v>
      </c>
      <c r="C5" s="144" t="s">
        <v>27</v>
      </c>
      <c r="D5" s="9" t="str">
        <f>VLOOKUP(A5,Data[],52,FALSE)</f>
        <v>FEDERAL</v>
      </c>
      <c r="E5" s="9" t="str">
        <f ca="1">VLOOKUP(A5,Data[],4,FALSE)</f>
        <v>2022-2025</v>
      </c>
      <c r="F5" s="9">
        <f>VLOOKUP(EHDAll[[#This Row],[DEVELOPMENT]],EHD[],7,FALSE)</f>
        <v>1</v>
      </c>
      <c r="G5" s="9">
        <f>VLOOKUP(EHDAll[[#This Row],[DEVELOPMENT]],Data[],67,FALSE)</f>
        <v>20</v>
      </c>
      <c r="H5" s="143">
        <f>IF(EHDAll[[#This Row],[STATUS]]="","",VLOOKUP(A5,EHD[],19,FALSE))</f>
        <v>2019</v>
      </c>
      <c r="I5" s="143">
        <f>IF(VLOOKUP(A5,EHD[],13,FALSE)=0,"",VLOOKUP(A5,EHD[],13,FALSE))</f>
        <v>2019</v>
      </c>
      <c r="J5" s="143" t="str">
        <f>IF(ISBLANK(VLOOKUP(A5,EHD[],14,FALSE)),"",VLOOKUP(A5,EHD[],14,FALSE))</f>
        <v>COMPLETED</v>
      </c>
      <c r="K5" s="151">
        <f>VLOOKUP(A5,EHD[],15,FALSE)</f>
        <v>0</v>
      </c>
      <c r="L5" s="151">
        <f>VLOOKUP(A5,EHD[],16,FALSE)</f>
        <v>0</v>
      </c>
      <c r="M5" s="143" t="s">
        <v>452</v>
      </c>
      <c r="N5" s="143" t="str">
        <f>IF(ISBLANK(VLOOKUP(A5,EHD[],20,FALSE)),"",VLOOKUP(A5,EHD[],20,FALSE))</f>
        <v>MRST</v>
      </c>
      <c r="O5" s="152"/>
    </row>
    <row r="6" spans="1:15">
      <c r="A6" s="147" t="s">
        <v>189</v>
      </c>
      <c r="B6" s="144" t="str">
        <f>VLOOKUP(A6,Data[],2,FALSE)</f>
        <v>BRONX</v>
      </c>
      <c r="C6" s="144" t="s">
        <v>27</v>
      </c>
      <c r="D6" s="9" t="str">
        <f>VLOOKUP(A6,Data[],52,FALSE)</f>
        <v>FEDERAL</v>
      </c>
      <c r="E6" s="9" t="str">
        <f ca="1">VLOOKUP(A6,Data[],4,FALSE)</f>
        <v/>
      </c>
      <c r="F6" s="9">
        <f>VLOOKUP(EHDAll[[#This Row],[DEVELOPMENT]],EHD[],7,FALSE)</f>
        <v>2</v>
      </c>
      <c r="G6" s="9">
        <f>VLOOKUP(EHDAll[[#This Row],[DEVELOPMENT]],Data[],67,FALSE)</f>
        <v>43630</v>
      </c>
      <c r="H6" s="143">
        <f>IF(EHDAll[[#This Row],[STATUS]]="","",VLOOKUP(A6,EHD[],19,FALSE))</f>
        <v>2019</v>
      </c>
      <c r="I6" s="143">
        <f>IF(VLOOKUP(A6,EHD[],13,FALSE)=0,"",VLOOKUP(A6,EHD[],13,FALSE))</f>
        <v>2019</v>
      </c>
      <c r="J6" s="143" t="str">
        <f>IF(ISBLANK(VLOOKUP(A6,EHD[],14,FALSE)),"",VLOOKUP(A6,EHD[],14,FALSE))</f>
        <v>COMPLETED</v>
      </c>
      <c r="K6" s="151">
        <f>VLOOKUP(A6,EHD[],15,FALSE)</f>
        <v>0</v>
      </c>
      <c r="L6" s="151">
        <f>VLOOKUP(A6,EHD[],16,FALSE)</f>
        <v>0</v>
      </c>
      <c r="M6" s="143" t="s">
        <v>452</v>
      </c>
      <c r="N6" s="143" t="str">
        <f>IF(ISBLANK(VLOOKUP(A6,EHD[],20,FALSE)),"",VLOOKUP(A6,EHD[],20,FALSE))</f>
        <v>MRST</v>
      </c>
      <c r="O6" s="152"/>
    </row>
    <row r="7" spans="1:15">
      <c r="A7" s="147" t="s">
        <v>305</v>
      </c>
      <c r="B7" s="144" t="str">
        <f>VLOOKUP(A7,Data[],2,FALSE)</f>
        <v>BROOKLYN</v>
      </c>
      <c r="C7" s="144" t="s">
        <v>27</v>
      </c>
      <c r="D7" s="9" t="str">
        <f>VLOOKUP(A7,Data[],52,FALSE)</f>
        <v>FEDERAL</v>
      </c>
      <c r="E7" s="9" t="str">
        <f ca="1">VLOOKUP(A7,Data[],4,FALSE)</f>
        <v/>
      </c>
      <c r="F7" s="9">
        <f>VLOOKUP(EHDAll[[#This Row],[DEVELOPMENT]],EHD[],7,FALSE)</f>
        <v>2</v>
      </c>
      <c r="G7" s="9">
        <f>VLOOKUP(EHDAll[[#This Row],[DEVELOPMENT]],Data[],67,FALSE)</f>
        <v>6</v>
      </c>
      <c r="H7" s="143">
        <f>IF(EHDAll[[#This Row],[STATUS]]="","",VLOOKUP(A7,EHD[],19,FALSE))</f>
        <v>2019</v>
      </c>
      <c r="I7" s="143">
        <f>IF(VLOOKUP(A7,EHD[],13,FALSE)=0,"",VLOOKUP(A7,EHD[],13,FALSE))</f>
        <v>2019</v>
      </c>
      <c r="J7" s="143" t="str">
        <f>IF(ISBLANK(VLOOKUP(A7,EHD[],14,FALSE)),"",VLOOKUP(A7,EHD[],14,FALSE))</f>
        <v>COMPLETED</v>
      </c>
      <c r="K7" s="151">
        <f>VLOOKUP(A7,EHD[],15,FALSE)</f>
        <v>0</v>
      </c>
      <c r="L7" s="151">
        <f>VLOOKUP(A7,EHD[],16,FALSE)</f>
        <v>0</v>
      </c>
      <c r="M7" s="143" t="s">
        <v>452</v>
      </c>
      <c r="N7" s="143" t="str">
        <f>IF(ISBLANK(VLOOKUP(A7,EHD[],20,FALSE)),"",VLOOKUP(A7,EHD[],20,FALSE))</f>
        <v>MRST</v>
      </c>
      <c r="O7" s="152"/>
    </row>
    <row r="8" spans="1:15">
      <c r="A8" s="147" t="s">
        <v>308</v>
      </c>
      <c r="B8" s="144" t="str">
        <f>VLOOKUP(A8,Data[],2,FALSE)</f>
        <v>STATEN ISLAND</v>
      </c>
      <c r="C8" s="144" t="s">
        <v>27</v>
      </c>
      <c r="D8" s="9" t="str">
        <f>VLOOKUP(A8,Data[],52,FALSE)</f>
        <v>FEDERAL</v>
      </c>
      <c r="E8" s="9" t="str">
        <f ca="1">VLOOKUP(A8,Data[],4,FALSE)</f>
        <v/>
      </c>
      <c r="F8" s="9">
        <f>VLOOKUP(EHDAll[[#This Row],[DEVELOPMENT]],EHD[],7,FALSE)</f>
        <v>4</v>
      </c>
      <c r="G8" s="9">
        <f>VLOOKUP(EHDAll[[#This Row],[DEVELOPMENT]],Data[],67,FALSE)</f>
        <v>6</v>
      </c>
      <c r="H8" s="143">
        <f>IF(EHDAll[[#This Row],[STATUS]]="","",VLOOKUP(A8,EHD[],19,FALSE))</f>
        <v>2019</v>
      </c>
      <c r="I8" s="143">
        <f>IF(VLOOKUP(A8,EHD[],13,FALSE)=0,"",VLOOKUP(A8,EHD[],13,FALSE))</f>
        <v>2019</v>
      </c>
      <c r="J8" s="143" t="str">
        <f>IF(ISBLANK(VLOOKUP(A8,EHD[],14,FALSE)),"",VLOOKUP(A8,EHD[],14,FALSE))</f>
        <v>COMPLETED</v>
      </c>
      <c r="K8" s="151">
        <f>VLOOKUP(A8,EHD[],15,FALSE)</f>
        <v>0</v>
      </c>
      <c r="L8" s="151">
        <f>VLOOKUP(A8,EHD[],16,FALSE)</f>
        <v>0</v>
      </c>
      <c r="M8" s="143" t="s">
        <v>452</v>
      </c>
      <c r="N8" s="143" t="str">
        <f>IF(ISBLANK(VLOOKUP(A8,EHD[],20,FALSE)),"",VLOOKUP(A8,EHD[],20,FALSE))</f>
        <v>MRST</v>
      </c>
      <c r="O8" s="152"/>
    </row>
    <row r="9" spans="1:15">
      <c r="A9" s="147" t="s">
        <v>313</v>
      </c>
      <c r="B9" s="144" t="str">
        <f>VLOOKUP(A9,Data[],2,FALSE)</f>
        <v>QUEENS</v>
      </c>
      <c r="C9" s="144" t="s">
        <v>27</v>
      </c>
      <c r="D9" s="9" t="str">
        <f>VLOOKUP(A9,Data[],52,FALSE)</f>
        <v>FEDERAL</v>
      </c>
      <c r="E9" s="9" t="str">
        <f ca="1">VLOOKUP(A9,Data[],4,FALSE)</f>
        <v/>
      </c>
      <c r="F9" s="9">
        <f>VLOOKUP(EHDAll[[#This Row],[DEVELOPMENT]],EHD[],7,FALSE)</f>
        <v>1</v>
      </c>
      <c r="G9" s="9">
        <f>VLOOKUP(EHDAll[[#This Row],[DEVELOPMENT]],Data[],67,FALSE)</f>
        <v>13</v>
      </c>
      <c r="H9" s="143">
        <f>IF(EHDAll[[#This Row],[STATUS]]="","",VLOOKUP(A9,EHD[],19,FALSE))</f>
        <v>2019</v>
      </c>
      <c r="I9" s="143">
        <f>IF(VLOOKUP(A9,EHD[],13,FALSE)=0,"",VLOOKUP(A9,EHD[],13,FALSE))</f>
        <v>2019</v>
      </c>
      <c r="J9" s="143" t="str">
        <f>IF(ISBLANK(VLOOKUP(A9,EHD[],14,FALSE)),"",VLOOKUP(A9,EHD[],14,FALSE))</f>
        <v>COMPLETED</v>
      </c>
      <c r="K9" s="151">
        <f>VLOOKUP(A9,EHD[],15,FALSE)</f>
        <v>0</v>
      </c>
      <c r="L9" s="151">
        <f>VLOOKUP(A9,EHD[],16,FALSE)</f>
        <v>0</v>
      </c>
      <c r="M9" s="143" t="s">
        <v>452</v>
      </c>
      <c r="N9" s="143" t="str">
        <f>IF(ISBLANK(VLOOKUP(A9,EHD[],20,FALSE)),"",VLOOKUP(A9,EHD[],20,FALSE))</f>
        <v>MRST</v>
      </c>
      <c r="O9" s="152"/>
    </row>
    <row r="10" spans="1:15">
      <c r="A10" s="147" t="s">
        <v>74</v>
      </c>
      <c r="B10" s="144" t="str">
        <f>VLOOKUP(A10,Data[],2,FALSE)</f>
        <v>MANHATTAN</v>
      </c>
      <c r="C10" s="144" t="s">
        <v>27</v>
      </c>
      <c r="D10" s="9" t="str">
        <f>VLOOKUP(A10,Data[],52,FALSE)</f>
        <v>FEDERAL</v>
      </c>
      <c r="E10" s="9" t="str">
        <f ca="1">VLOOKUP(A10,Data[],4,FALSE)</f>
        <v>2026+</v>
      </c>
      <c r="F10" s="9">
        <f>VLOOKUP(EHDAll[[#This Row],[DEVELOPMENT]],EHD[],7,FALSE)</f>
        <v>1</v>
      </c>
      <c r="G10" s="9">
        <f>VLOOKUP(EHDAll[[#This Row],[DEVELOPMENT]],Data[],67,FALSE)</f>
        <v>16</v>
      </c>
      <c r="H10" s="143">
        <f>IF(EHDAll[[#This Row],[STATUS]]="","",VLOOKUP(A10,EHD[],19,FALSE))</f>
        <v>2019</v>
      </c>
      <c r="I10" s="143">
        <f>IF(VLOOKUP(A10,EHD[],13,FALSE)=0,"",VLOOKUP(A10,EHD[],13,FALSE))</f>
        <v>2019</v>
      </c>
      <c r="J10" s="143" t="str">
        <f>IF(ISBLANK(VLOOKUP(A10,EHD[],14,FALSE)),"",VLOOKUP(A10,EHD[],14,FALSE))</f>
        <v>COMPLETED</v>
      </c>
      <c r="K10" s="151">
        <f>VLOOKUP(A10,EHD[],15,FALSE)</f>
        <v>0</v>
      </c>
      <c r="L10" s="151">
        <f>VLOOKUP(A10,EHD[],16,FALSE)</f>
        <v>0</v>
      </c>
      <c r="M10" s="143" t="s">
        <v>452</v>
      </c>
      <c r="N10" s="143" t="str">
        <f>IF(ISBLANK(VLOOKUP(A10,EHD[],20,FALSE)),"",VLOOKUP(A10,EHD[],20,FALSE))</f>
        <v>MRST</v>
      </c>
      <c r="O10" s="152"/>
    </row>
    <row r="11" spans="1:15">
      <c r="A11" s="147" t="s">
        <v>75</v>
      </c>
      <c r="B11" s="144" t="str">
        <f>VLOOKUP(A11,Data[],2,FALSE)</f>
        <v>MANHATTAN</v>
      </c>
      <c r="C11" s="144" t="s">
        <v>27</v>
      </c>
      <c r="D11" s="9" t="str">
        <f>VLOOKUP(A11,Data[],52,FALSE)</f>
        <v>FEDERAL</v>
      </c>
      <c r="E11" s="9" t="str">
        <f ca="1">VLOOKUP(A11,Data[],4,FALSE)</f>
        <v/>
      </c>
      <c r="F11" s="9">
        <f>VLOOKUP(EHDAll[[#This Row],[DEVELOPMENT]],EHD[],7,FALSE)</f>
        <v>1</v>
      </c>
      <c r="G11" s="9">
        <f>VLOOKUP(EHDAll[[#This Row],[DEVELOPMENT]],Data[],67,FALSE)</f>
        <v>16</v>
      </c>
      <c r="H11" s="143">
        <f>IF(EHDAll[[#This Row],[STATUS]]="","",VLOOKUP(A11,EHD[],19,FALSE))</f>
        <v>2019</v>
      </c>
      <c r="I11" s="143">
        <f>IF(VLOOKUP(A11,EHD[],13,FALSE)=0,"",VLOOKUP(A11,EHD[],13,FALSE))</f>
        <v>2019</v>
      </c>
      <c r="J11" s="143" t="str">
        <f>IF(ISBLANK(VLOOKUP(A11,EHD[],14,FALSE)),"",VLOOKUP(A11,EHD[],14,FALSE))</f>
        <v>COMPLETED</v>
      </c>
      <c r="K11" s="151">
        <f>VLOOKUP(A11,EHD[],15,FALSE)</f>
        <v>0</v>
      </c>
      <c r="L11" s="151">
        <f>VLOOKUP(A11,EHD[],16,FALSE)</f>
        <v>0</v>
      </c>
      <c r="M11" s="143" t="s">
        <v>452</v>
      </c>
      <c r="N11" s="143" t="str">
        <f>IF(ISBLANK(VLOOKUP(A11,EHD[],20,FALSE)),"",VLOOKUP(A11,EHD[],20,FALSE))</f>
        <v>MRST</v>
      </c>
      <c r="O11" s="152"/>
    </row>
    <row r="12" spans="1:15">
      <c r="A12" s="147" t="s">
        <v>329</v>
      </c>
      <c r="B12" s="144" t="str">
        <f>VLOOKUP(A12,Data[],2,FALSE)</f>
        <v>BROOKLYN</v>
      </c>
      <c r="C12" s="144" t="s">
        <v>27</v>
      </c>
      <c r="D12" s="9" t="str">
        <f>VLOOKUP(A12,Data[],52,FALSE)</f>
        <v>FEDERAL</v>
      </c>
      <c r="E12" s="9" t="str">
        <f ca="1">VLOOKUP(A12,Data[],4,FALSE)</f>
        <v/>
      </c>
      <c r="F12" s="9">
        <f>VLOOKUP(EHDAll[[#This Row],[DEVELOPMENT]],EHD[],7,FALSE)</f>
        <v>3</v>
      </c>
      <c r="G12" s="9">
        <f>VLOOKUP(EHDAll[[#This Row],[DEVELOPMENT]],Data[],67,FALSE)</f>
        <v>14</v>
      </c>
      <c r="H12" s="143">
        <f>IF(EHDAll[[#This Row],[STATUS]]="","",VLOOKUP(A12,EHD[],19,FALSE))</f>
        <v>2019</v>
      </c>
      <c r="I12" s="143">
        <f>IF(VLOOKUP(A12,EHD[],13,FALSE)=0,"",VLOOKUP(A12,EHD[],13,FALSE))</f>
        <v>2019</v>
      </c>
      <c r="J12" s="143" t="str">
        <f>IF(ISBLANK(VLOOKUP(A12,EHD[],14,FALSE)),"",VLOOKUP(A12,EHD[],14,FALSE))</f>
        <v>COMPLETED</v>
      </c>
      <c r="K12" s="151">
        <f>VLOOKUP(A12,EHD[],15,FALSE)</f>
        <v>0</v>
      </c>
      <c r="L12" s="151">
        <f>VLOOKUP(A12,EHD[],16,FALSE)</f>
        <v>0</v>
      </c>
      <c r="M12" s="143" t="s">
        <v>452</v>
      </c>
      <c r="N12" s="143" t="str">
        <f>IF(ISBLANK(VLOOKUP(A12,EHD[],20,FALSE)),"",VLOOKUP(A12,EHD[],20,FALSE))</f>
        <v>MRST</v>
      </c>
      <c r="O12" s="152"/>
    </row>
    <row r="13" spans="1:15">
      <c r="A13" s="147" t="s">
        <v>336</v>
      </c>
      <c r="B13" s="144" t="str">
        <f>VLOOKUP(A13,Data[],2,FALSE)</f>
        <v>QUEENS</v>
      </c>
      <c r="C13" s="144" t="s">
        <v>27</v>
      </c>
      <c r="D13" s="9" t="str">
        <f>VLOOKUP(A13,Data[],52,FALSE)</f>
        <v>FEDERAL</v>
      </c>
      <c r="E13" s="9" t="str">
        <f ca="1">VLOOKUP(A13,Data[],4,FALSE)</f>
        <v/>
      </c>
      <c r="F13" s="9">
        <f>VLOOKUP(EHDAll[[#This Row],[DEVELOPMENT]],EHD[],7,FALSE)</f>
        <v>1</v>
      </c>
      <c r="G13" s="9">
        <f>VLOOKUP(EHDAll[[#This Row],[DEVELOPMENT]],Data[],67,FALSE)</f>
        <v>10</v>
      </c>
      <c r="H13" s="143">
        <f>IF(EHDAll[[#This Row],[STATUS]]="","",VLOOKUP(A13,EHD[],19,FALSE))</f>
        <v>2019</v>
      </c>
      <c r="I13" s="143">
        <f>IF(VLOOKUP(A13,EHD[],13,FALSE)=0,"",VLOOKUP(A13,EHD[],13,FALSE))</f>
        <v>2019</v>
      </c>
      <c r="J13" s="143" t="str">
        <f>IF(ISBLANK(VLOOKUP(A13,EHD[],14,FALSE)),"",VLOOKUP(A13,EHD[],14,FALSE))</f>
        <v>COMPLETED</v>
      </c>
      <c r="K13" s="151">
        <f>VLOOKUP(A13,EHD[],15,FALSE)</f>
        <v>0</v>
      </c>
      <c r="L13" s="151">
        <f>VLOOKUP(A13,EHD[],16,FALSE)</f>
        <v>0</v>
      </c>
      <c r="M13" s="143" t="s">
        <v>452</v>
      </c>
      <c r="N13" s="143" t="str">
        <f>IF(ISBLANK(VLOOKUP(A13,EHD[],20,FALSE)),"",VLOOKUP(A13,EHD[],20,FALSE))</f>
        <v>MRST</v>
      </c>
      <c r="O13" s="152"/>
    </row>
    <row r="14" spans="1:15">
      <c r="A14" s="147" t="s">
        <v>191</v>
      </c>
      <c r="B14" s="144" t="str">
        <f>VLOOKUP(A14,Data[],2,FALSE)</f>
        <v>BROOKLYN</v>
      </c>
      <c r="C14" s="144" t="s">
        <v>27</v>
      </c>
      <c r="D14" s="9" t="str">
        <f>VLOOKUP(A14,Data[],52,FALSE)</f>
        <v>FEDERAL</v>
      </c>
      <c r="E14" s="9" t="str">
        <f ca="1">VLOOKUP(A14,Data[],4,FALSE)</f>
        <v/>
      </c>
      <c r="F14" s="9">
        <f>VLOOKUP(EHDAll[[#This Row],[DEVELOPMENT]],EHD[],7,FALSE)</f>
        <v>1</v>
      </c>
      <c r="G14" s="9">
        <f>VLOOKUP(EHDAll[[#This Row],[DEVELOPMENT]],Data[],67,FALSE)</f>
        <v>25</v>
      </c>
      <c r="H14" s="143">
        <f>IF(EHDAll[[#This Row],[STATUS]]="","",VLOOKUP(A14,EHD[],19,FALSE))</f>
        <v>2019</v>
      </c>
      <c r="I14" s="143">
        <f>IF(VLOOKUP(A14,EHD[],13,FALSE)=0,"",VLOOKUP(A14,EHD[],13,FALSE))</f>
        <v>2019</v>
      </c>
      <c r="J14" s="143" t="str">
        <f>IF(ISBLANK(VLOOKUP(A14,EHD[],14,FALSE)),"",VLOOKUP(A14,EHD[],14,FALSE))</f>
        <v>COMPLETED</v>
      </c>
      <c r="K14" s="151">
        <f>VLOOKUP(A14,EHD[],15,FALSE)</f>
        <v>0</v>
      </c>
      <c r="L14" s="151">
        <f>VLOOKUP(A14,EHD[],16,FALSE)</f>
        <v>0</v>
      </c>
      <c r="M14" s="143" t="s">
        <v>452</v>
      </c>
      <c r="N14" s="143" t="str">
        <f>IF(ISBLANK(VLOOKUP(A14,EHD[],20,FALSE)),"",VLOOKUP(A14,EHD[],20,FALSE))</f>
        <v>MRST</v>
      </c>
      <c r="O14" s="152"/>
    </row>
    <row r="15" spans="1:15">
      <c r="A15" s="148" t="s">
        <v>103</v>
      </c>
      <c r="B15" s="144" t="str">
        <f>VLOOKUP(A15,Data[],2,FALSE)</f>
        <v>MANHATTAN</v>
      </c>
      <c r="C15" s="144" t="s">
        <v>27</v>
      </c>
      <c r="D15" s="9" t="str">
        <f>VLOOKUP(A15,Data[],52,FALSE)</f>
        <v>FEDERAL</v>
      </c>
      <c r="E15" s="9" t="str">
        <f ca="1">VLOOKUP(A15,Data[],4,FALSE)</f>
        <v/>
      </c>
      <c r="F15" s="9">
        <f>VLOOKUP(EHDAll[[#This Row],[DEVELOPMENT]],EHD[],7,FALSE)</f>
        <v>1</v>
      </c>
      <c r="G15" s="9">
        <f>VLOOKUP(EHDAll[[#This Row],[DEVELOPMENT]],Data[],67,FALSE)</f>
        <v>16</v>
      </c>
      <c r="H15" s="143">
        <f>IF(EHDAll[[#This Row],[STATUS]]="","",VLOOKUP(A15,EHD[],19,FALSE))</f>
        <v>2019</v>
      </c>
      <c r="I15" s="143">
        <f>IF(VLOOKUP(A15,EHD[],13,FALSE)=0,"",VLOOKUP(A15,EHD[],13,FALSE))</f>
        <v>2019</v>
      </c>
      <c r="J15" s="143" t="str">
        <f>IF(ISBLANK(VLOOKUP(A15,EHD[],14,FALSE)),"",VLOOKUP(A15,EHD[],14,FALSE))</f>
        <v>COMPLETED</v>
      </c>
      <c r="K15" s="151">
        <f>VLOOKUP(A15,EHD[],15,FALSE)</f>
        <v>0</v>
      </c>
      <c r="L15" s="151">
        <f>VLOOKUP(A15,EHD[],16,FALSE)</f>
        <v>0</v>
      </c>
      <c r="M15" s="143" t="s">
        <v>452</v>
      </c>
      <c r="N15" s="143" t="str">
        <f>IF(ISBLANK(VLOOKUP(A15,EHD[],20,FALSE)),"",VLOOKUP(A15,EHD[],20,FALSE))</f>
        <v>MRST</v>
      </c>
      <c r="O15" s="152"/>
    </row>
    <row r="16" spans="1:15">
      <c r="A16" s="147" t="s">
        <v>89</v>
      </c>
      <c r="B16" s="144" t="str">
        <f>VLOOKUP(A16,Data[],2,FALSE)</f>
        <v>MANHATTAN</v>
      </c>
      <c r="C16" s="144" t="s">
        <v>27</v>
      </c>
      <c r="D16" s="9" t="str">
        <f>VLOOKUP(A16,Data[],52,FALSE)</f>
        <v>FEDERAL</v>
      </c>
      <c r="E16" s="9" t="str">
        <f ca="1">VLOOKUP(A16,Data[],4,FALSE)</f>
        <v>2020-2021</v>
      </c>
      <c r="F16" s="9">
        <f>VLOOKUP(EHDAll[[#This Row],[DEVELOPMENT]],EHD[],7,FALSE)</f>
        <v>1</v>
      </c>
      <c r="G16" s="9">
        <f>VLOOKUP(EHDAll[[#This Row],[DEVELOPMENT]],Data[],67,FALSE)</f>
        <v>13</v>
      </c>
      <c r="H16" s="143">
        <f>IF(EHDAll[[#This Row],[STATUS]]="","",VLOOKUP(A16,EHD[],19,FALSE))</f>
        <v>2019</v>
      </c>
      <c r="I16" s="143">
        <f>IF(VLOOKUP(A16,EHD[],13,FALSE)=0,"",VLOOKUP(A16,EHD[],13,FALSE))</f>
        <v>2019</v>
      </c>
      <c r="J16" s="143" t="str">
        <f>IF(ISBLANK(VLOOKUP(A16,EHD[],14,FALSE)),"",VLOOKUP(A16,EHD[],14,FALSE))</f>
        <v>COMPLETED</v>
      </c>
      <c r="K16" s="151">
        <f>VLOOKUP(A16,EHD[],15,FALSE)</f>
        <v>0</v>
      </c>
      <c r="L16" s="151">
        <f>VLOOKUP(A16,EHD[],16,FALSE)</f>
        <v>0</v>
      </c>
      <c r="M16" s="143" t="s">
        <v>452</v>
      </c>
      <c r="N16" s="143" t="str">
        <f>IF(ISBLANK(VLOOKUP(A16,EHD[],20,FALSE)),"",VLOOKUP(A16,EHD[],20,FALSE))</f>
        <v>MRST</v>
      </c>
      <c r="O16" s="152"/>
    </row>
    <row r="17" spans="1:15">
      <c r="A17" s="148" t="s">
        <v>50</v>
      </c>
      <c r="B17" s="144" t="str">
        <f>VLOOKUP(A17,Data[],2,FALSE)</f>
        <v>MANHATTAN</v>
      </c>
      <c r="C17" s="144" t="s">
        <v>27</v>
      </c>
      <c r="D17" s="9" t="str">
        <f>VLOOKUP(A17,Data[],52,FALSE)</f>
        <v>FEDERAL</v>
      </c>
      <c r="E17" s="9" t="str">
        <f ca="1">VLOOKUP(A17,Data[],4,FALSE)</f>
        <v/>
      </c>
      <c r="F17" s="9">
        <f>VLOOKUP(EHDAll[[#This Row],[DEVELOPMENT]],EHD[],7,FALSE)</f>
        <v>1</v>
      </c>
      <c r="G17" s="9">
        <f>VLOOKUP(EHDAll[[#This Row],[DEVELOPMENT]],Data[],67,FALSE)</f>
        <v>20</v>
      </c>
      <c r="H17" s="143">
        <f>IF(EHDAll[[#This Row],[STATUS]]="","",VLOOKUP(A17,EHD[],19,FALSE))</f>
        <v>2019</v>
      </c>
      <c r="I17" s="143">
        <f>IF(VLOOKUP(A17,EHD[],13,FALSE)=0,"",VLOOKUP(A17,EHD[],13,FALSE))</f>
        <v>2019</v>
      </c>
      <c r="J17" s="143" t="str">
        <f>IF(ISBLANK(VLOOKUP(A17,EHD[],14,FALSE)),"",VLOOKUP(A17,EHD[],14,FALSE))</f>
        <v>COMPLETED</v>
      </c>
      <c r="K17" s="151">
        <f>VLOOKUP(A17,EHD[],15,FALSE)</f>
        <v>0</v>
      </c>
      <c r="L17" s="151">
        <f>VLOOKUP(A17,EHD[],16,FALSE)</f>
        <v>0</v>
      </c>
      <c r="M17" s="143" t="s">
        <v>452</v>
      </c>
      <c r="N17" s="143" t="str">
        <f>IF(ISBLANK(VLOOKUP(A17,EHD[],20,FALSE)),"",VLOOKUP(A17,EHD[],20,FALSE))</f>
        <v>MRST</v>
      </c>
      <c r="O17" s="152"/>
    </row>
    <row r="18" spans="1:15">
      <c r="A18" s="147" t="s">
        <v>345</v>
      </c>
      <c r="B18" s="144" t="str">
        <f>VLOOKUP(A18,Data[],2,FALSE)</f>
        <v>BRONX</v>
      </c>
      <c r="C18" s="144" t="s">
        <v>27</v>
      </c>
      <c r="D18" s="9" t="str">
        <f>VLOOKUP(A18,Data[],52,FALSE)</f>
        <v>FEDERAL</v>
      </c>
      <c r="E18" s="9" t="str">
        <f ca="1">VLOOKUP(A18,Data[],4,FALSE)</f>
        <v>2026+</v>
      </c>
      <c r="F18" s="9">
        <f>VLOOKUP(EHDAll[[#This Row],[DEVELOPMENT]],EHD[],7,FALSE)</f>
        <v>1</v>
      </c>
      <c r="G18" s="9">
        <f>VLOOKUP(EHDAll[[#This Row],[DEVELOPMENT]],Data[],67,FALSE)</f>
        <v>15</v>
      </c>
      <c r="H18" s="143">
        <f>IF(EHDAll[[#This Row],[STATUS]]="","",VLOOKUP(A18,EHD[],19,FALSE))</f>
        <v>2019</v>
      </c>
      <c r="I18" s="143">
        <f>IF(VLOOKUP(A18,EHD[],13,FALSE)=0,"",VLOOKUP(A18,EHD[],13,FALSE))</f>
        <v>2019</v>
      </c>
      <c r="J18" s="143" t="str">
        <f>IF(ISBLANK(VLOOKUP(A18,EHD[],14,FALSE)),"",VLOOKUP(A18,EHD[],14,FALSE))</f>
        <v>COMPLETED</v>
      </c>
      <c r="K18" s="151">
        <f>VLOOKUP(A18,EHD[],15,FALSE)</f>
        <v>0</v>
      </c>
      <c r="L18" s="151">
        <f>VLOOKUP(A18,EHD[],16,FALSE)</f>
        <v>0</v>
      </c>
      <c r="M18" s="143" t="s">
        <v>452</v>
      </c>
      <c r="N18" s="143" t="str">
        <f>IF(ISBLANK(VLOOKUP(A18,EHD[],20,FALSE)),"",VLOOKUP(A18,EHD[],20,FALSE))</f>
        <v>MRST</v>
      </c>
      <c r="O18" s="152"/>
    </row>
    <row r="19" spans="1:15">
      <c r="A19" s="147" t="s">
        <v>347</v>
      </c>
      <c r="B19" s="144" t="str">
        <f>VLOOKUP(A19,Data[],2,FALSE)</f>
        <v>STATEN ISLAND</v>
      </c>
      <c r="C19" s="144" t="s">
        <v>27</v>
      </c>
      <c r="D19" s="9" t="str">
        <f>VLOOKUP(A19,Data[],52,FALSE)</f>
        <v>FEDERAL</v>
      </c>
      <c r="E19" s="9" t="str">
        <f ca="1">VLOOKUP(A19,Data[],4,FALSE)</f>
        <v/>
      </c>
      <c r="F19" s="9">
        <f>VLOOKUP(EHDAll[[#This Row],[DEVELOPMENT]],EHD[],7,FALSE)</f>
        <v>1</v>
      </c>
      <c r="G19" s="9">
        <f>VLOOKUP(EHDAll[[#This Row],[DEVELOPMENT]],Data[],67,FALSE)</f>
        <v>10</v>
      </c>
      <c r="H19" s="143">
        <f>IF(EHDAll[[#This Row],[STATUS]]="","",VLOOKUP(A19,EHD[],19,FALSE))</f>
        <v>2019</v>
      </c>
      <c r="I19" s="143">
        <f>IF(VLOOKUP(A19,EHD[],13,FALSE)=0,"",VLOOKUP(A19,EHD[],13,FALSE))</f>
        <v>2019</v>
      </c>
      <c r="J19" s="143" t="str">
        <f>IF(ISBLANK(VLOOKUP(A19,EHD[],14,FALSE)),"",VLOOKUP(A19,EHD[],14,FALSE))</f>
        <v>COMPLETED</v>
      </c>
      <c r="K19" s="151">
        <f>VLOOKUP(A19,EHD[],15,FALSE)</f>
        <v>0</v>
      </c>
      <c r="L19" s="151">
        <f>VLOOKUP(A19,EHD[],16,FALSE)</f>
        <v>0</v>
      </c>
      <c r="M19" s="143" t="s">
        <v>452</v>
      </c>
      <c r="N19" s="143" t="str">
        <f>IF(ISBLANK(VLOOKUP(A19,EHD[],20,FALSE)),"",VLOOKUP(A19,EHD[],20,FALSE))</f>
        <v>MRST</v>
      </c>
      <c r="O19" s="152"/>
    </row>
    <row r="20" spans="1:15">
      <c r="A20" s="147" t="s">
        <v>268</v>
      </c>
      <c r="B20" s="144" t="str">
        <f>VLOOKUP(A20,Data[],2,FALSE)</f>
        <v>BRONX</v>
      </c>
      <c r="C20" s="144" t="s">
        <v>27</v>
      </c>
      <c r="D20" s="9" t="str">
        <f>VLOOKUP(A20,Data[],52,FALSE)</f>
        <v>FEDERAL</v>
      </c>
      <c r="E20" s="9" t="str">
        <f ca="1">VLOOKUP(A20,Data[],4,FALSE)</f>
        <v>2020-2021</v>
      </c>
      <c r="F20" s="9">
        <f>VLOOKUP(EHDAll[[#This Row],[DEVELOPMENT]],EHD[],7,FALSE)</f>
        <v>3</v>
      </c>
      <c r="G20" s="9">
        <f>VLOOKUP(EHDAll[[#This Row],[DEVELOPMENT]],Data[],67,FALSE)</f>
        <v>6</v>
      </c>
      <c r="H20" s="143">
        <f>IF(EHDAll[[#This Row],[STATUS]]="","",VLOOKUP(A20,EHD[],19,FALSE))</f>
        <v>2019</v>
      </c>
      <c r="I20" s="143">
        <f>IF(VLOOKUP(A20,EHD[],13,FALSE)=0,"",VLOOKUP(A20,EHD[],13,FALSE))</f>
        <v>2019</v>
      </c>
      <c r="J20" s="143" t="str">
        <f>IF(ISBLANK(VLOOKUP(A20,EHD[],14,FALSE)),"",VLOOKUP(A20,EHD[],14,FALSE))</f>
        <v>COMPLETED</v>
      </c>
      <c r="K20" s="151">
        <f>VLOOKUP(A20,EHD[],15,FALSE)</f>
        <v>0</v>
      </c>
      <c r="L20" s="151">
        <f>VLOOKUP(A20,EHD[],16,FALSE)</f>
        <v>0</v>
      </c>
      <c r="M20" s="143" t="s">
        <v>452</v>
      </c>
      <c r="N20" s="143" t="str">
        <f>IF(ISBLANK(VLOOKUP(A20,EHD[],20,FALSE)),"",VLOOKUP(A20,EHD[],20,FALSE))</f>
        <v>MRST</v>
      </c>
      <c r="O20" s="152"/>
    </row>
    <row r="21" spans="1:15">
      <c r="A21" s="147" t="s">
        <v>356</v>
      </c>
      <c r="B21" s="144" t="str">
        <f>VLOOKUP(A21,Data[],2,FALSE)</f>
        <v>BROOKLYN</v>
      </c>
      <c r="C21" s="144" t="s">
        <v>27</v>
      </c>
      <c r="D21" s="9" t="str">
        <f>VLOOKUP(A21,Data[],52,FALSE)</f>
        <v>FEDERAL</v>
      </c>
      <c r="E21" s="9" t="str">
        <f ca="1">VLOOKUP(A21,Data[],4,FALSE)</f>
        <v>2020-2021</v>
      </c>
      <c r="F21" s="9">
        <f>VLOOKUP(EHDAll[[#This Row],[DEVELOPMENT]],EHD[],7,FALSE)</f>
        <v>1</v>
      </c>
      <c r="G21" s="9">
        <f>VLOOKUP(EHDAll[[#This Row],[DEVELOPMENT]],Data[],67,FALSE)</f>
        <v>20</v>
      </c>
      <c r="H21" s="143">
        <f>IF(EHDAll[[#This Row],[STATUS]]="","",VLOOKUP(A21,EHD[],19,FALSE))</f>
        <v>2019</v>
      </c>
      <c r="I21" s="143">
        <f>IF(VLOOKUP(A21,EHD[],13,FALSE)=0,"",VLOOKUP(A21,EHD[],13,FALSE))</f>
        <v>2019</v>
      </c>
      <c r="J21" s="143" t="str">
        <f>IF(ISBLANK(VLOOKUP(A21,EHD[],14,FALSE)),"",VLOOKUP(A21,EHD[],14,FALSE))</f>
        <v>COMPLETED</v>
      </c>
      <c r="K21" s="151">
        <f>VLOOKUP(A21,EHD[],15,FALSE)</f>
        <v>0</v>
      </c>
      <c r="L21" s="151">
        <f>VLOOKUP(A21,EHD[],16,FALSE)</f>
        <v>0</v>
      </c>
      <c r="M21" s="143" t="s">
        <v>452</v>
      </c>
      <c r="N21" s="143" t="str">
        <f>IF(ISBLANK(VLOOKUP(A21,EHD[],20,FALSE)),"",VLOOKUP(A21,EHD[],20,FALSE))</f>
        <v>MRST</v>
      </c>
      <c r="O21" s="152"/>
    </row>
    <row r="22" spans="1:15">
      <c r="A22" s="147" t="s">
        <v>195</v>
      </c>
      <c r="B22" s="144" t="str">
        <f>VLOOKUP(A22,Data[],2,FALSE)</f>
        <v>MANHATTAN</v>
      </c>
      <c r="C22" s="144" t="s">
        <v>27</v>
      </c>
      <c r="D22" s="9" t="str">
        <f>VLOOKUP(A22,Data[],52,FALSE)</f>
        <v>FEDERAL</v>
      </c>
      <c r="E22" s="9" t="str">
        <f ca="1">VLOOKUP(A22,Data[],4,FALSE)</f>
        <v/>
      </c>
      <c r="F22" s="9">
        <f>VLOOKUP(EHDAll[[#This Row],[DEVELOPMENT]],EHD[],7,FALSE)</f>
        <v>1</v>
      </c>
      <c r="G22" s="9">
        <f>VLOOKUP(EHDAll[[#This Row],[DEVELOPMENT]],Data[],67,FALSE)</f>
        <v>20</v>
      </c>
      <c r="H22" s="143">
        <f>IF(EHDAll[[#This Row],[STATUS]]="","",VLOOKUP(A22,EHD[],19,FALSE))</f>
        <v>2019</v>
      </c>
      <c r="I22" s="143">
        <f>IF(VLOOKUP(A22,EHD[],13,FALSE)=0,"",VLOOKUP(A22,EHD[],13,FALSE))</f>
        <v>2019</v>
      </c>
      <c r="J22" s="143" t="str">
        <f>IF(ISBLANK(VLOOKUP(A22,EHD[],14,FALSE)),"",VLOOKUP(A22,EHD[],14,FALSE))</f>
        <v>COMPLETED</v>
      </c>
      <c r="K22" s="151">
        <f>VLOOKUP(A22,EHD[],15,FALSE)</f>
        <v>0</v>
      </c>
      <c r="L22" s="151">
        <f>VLOOKUP(A22,EHD[],16,FALSE)</f>
        <v>0</v>
      </c>
      <c r="M22" s="143" t="s">
        <v>452</v>
      </c>
      <c r="N22" s="143" t="str">
        <f>IF(ISBLANK(VLOOKUP(A22,EHD[],20,FALSE)),"",VLOOKUP(A22,EHD[],20,FALSE))</f>
        <v>MRST</v>
      </c>
      <c r="O22" s="152"/>
    </row>
    <row r="23" spans="1:15">
      <c r="A23" s="147" t="s">
        <v>362</v>
      </c>
      <c r="B23" s="144" t="str">
        <f>VLOOKUP(A23,Data[],2,FALSE)</f>
        <v>QUEENS</v>
      </c>
      <c r="C23" s="144" t="s">
        <v>27</v>
      </c>
      <c r="D23" s="9" t="str">
        <f>VLOOKUP(A23,Data[],52,FALSE)</f>
        <v>FEDERAL</v>
      </c>
      <c r="E23" s="9" t="str">
        <f ca="1">VLOOKUP(A23,Data[],4,FALSE)</f>
        <v/>
      </c>
      <c r="F23" s="9">
        <f>VLOOKUP(EHDAll[[#This Row],[DEVELOPMENT]],EHD[],7,FALSE)</f>
        <v>1</v>
      </c>
      <c r="G23" s="9">
        <f>VLOOKUP(EHDAll[[#This Row],[DEVELOPMENT]],Data[],67,FALSE)</f>
        <v>12</v>
      </c>
      <c r="H23" s="143">
        <f>IF(EHDAll[[#This Row],[STATUS]]="","",VLOOKUP(A23,EHD[],19,FALSE))</f>
        <v>2019</v>
      </c>
      <c r="I23" s="143">
        <f>IF(VLOOKUP(A23,EHD[],13,FALSE)=0,"",VLOOKUP(A23,EHD[],13,FALSE))</f>
        <v>2019</v>
      </c>
      <c r="J23" s="143" t="str">
        <f>IF(ISBLANK(VLOOKUP(A23,EHD[],14,FALSE)),"",VLOOKUP(A23,EHD[],14,FALSE))</f>
        <v>COMPLETED</v>
      </c>
      <c r="K23" s="151">
        <f>VLOOKUP(A23,EHD[],15,FALSE)</f>
        <v>0</v>
      </c>
      <c r="L23" s="151">
        <f>VLOOKUP(A23,EHD[],16,FALSE)</f>
        <v>0</v>
      </c>
      <c r="M23" s="143" t="s">
        <v>452</v>
      </c>
      <c r="N23" s="143" t="str">
        <f>IF(ISBLANK(VLOOKUP(A23,EHD[],20,FALSE)),"",VLOOKUP(A23,EHD[],20,FALSE))</f>
        <v>MRST</v>
      </c>
      <c r="O23" s="152"/>
    </row>
    <row r="24" spans="1:15">
      <c r="A24" s="148" t="s">
        <v>258</v>
      </c>
      <c r="B24" s="144" t="str">
        <f>VLOOKUP(A24,Data[],2,FALSE)</f>
        <v>BROOKLYN</v>
      </c>
      <c r="C24" s="144" t="s">
        <v>27</v>
      </c>
      <c r="D24" s="9" t="str">
        <f>VLOOKUP(A24,Data[],52,FALSE)</f>
        <v>FEDERAL</v>
      </c>
      <c r="E24" s="9" t="str">
        <f ca="1">VLOOKUP(A24,Data[],4,FALSE)</f>
        <v>2026+</v>
      </c>
      <c r="F24" s="9">
        <f>VLOOKUP(EHDAll[[#This Row],[DEVELOPMENT]],EHD[],7,FALSE)</f>
        <v>1</v>
      </c>
      <c r="G24" s="9">
        <f>VLOOKUP(EHDAll[[#This Row],[DEVELOPMENT]],Data[],67,FALSE)</f>
        <v>7</v>
      </c>
      <c r="H24" s="143">
        <f>IF(EHDAll[[#This Row],[STATUS]]="","",VLOOKUP(A24,EHD[],19,FALSE))</f>
        <v>2019</v>
      </c>
      <c r="I24" s="143">
        <f>IF(VLOOKUP(A24,EHD[],13,FALSE)=0,"",VLOOKUP(A24,EHD[],13,FALSE))</f>
        <v>2019</v>
      </c>
      <c r="J24" s="143" t="str">
        <f>IF(ISBLANK(VLOOKUP(A24,EHD[],14,FALSE)),"",VLOOKUP(A24,EHD[],14,FALSE))</f>
        <v>COMPLETED</v>
      </c>
      <c r="K24" s="151">
        <f>VLOOKUP(A24,EHD[],15,FALSE)</f>
        <v>0</v>
      </c>
      <c r="L24" s="151">
        <f>VLOOKUP(A24,EHD[],16,FALSE)</f>
        <v>0</v>
      </c>
      <c r="M24" s="143" t="s">
        <v>452</v>
      </c>
      <c r="N24" s="143" t="str">
        <f>IF(ISBLANK(VLOOKUP(A24,EHD[],20,FALSE)),"",VLOOKUP(A24,EHD[],20,FALSE))</f>
        <v>MRST</v>
      </c>
      <c r="O24" s="152"/>
    </row>
    <row r="25" spans="1:15">
      <c r="A25" s="148" t="s">
        <v>138</v>
      </c>
      <c r="B25" s="144" t="str">
        <f>VLOOKUP(A25,Data[],2,FALSE)</f>
        <v>BRONX</v>
      </c>
      <c r="C25" s="144" t="s">
        <v>27</v>
      </c>
      <c r="D25" s="9" t="str">
        <f>VLOOKUP(A25,Data[],52,FALSE)</f>
        <v>FEDERAL</v>
      </c>
      <c r="E25" s="9" t="str">
        <f ca="1">VLOOKUP(A25,Data[],4,FALSE)</f>
        <v/>
      </c>
      <c r="F25" s="9">
        <f>VLOOKUP(EHDAll[[#This Row],[DEVELOPMENT]],EHD[],7,FALSE)</f>
        <v>1</v>
      </c>
      <c r="G25" s="9">
        <f>VLOOKUP(EHDAll[[#This Row],[DEVELOPMENT]],Data[],67,FALSE)</f>
        <v>14</v>
      </c>
      <c r="H25" s="143">
        <f>IF(EHDAll[[#This Row],[STATUS]]="","",VLOOKUP(A25,EHD[],19,FALSE))</f>
        <v>2019</v>
      </c>
      <c r="I25" s="143">
        <f>IF(VLOOKUP(A25,EHD[],13,FALSE)=0,"",VLOOKUP(A25,EHD[],13,FALSE))</f>
        <v>2019</v>
      </c>
      <c r="J25" s="143" t="str">
        <f>IF(ISBLANK(VLOOKUP(A25,EHD[],14,FALSE)),"",VLOOKUP(A25,EHD[],14,FALSE))</f>
        <v>COMPLETED</v>
      </c>
      <c r="K25" s="151">
        <f>VLOOKUP(A25,EHD[],15,FALSE)</f>
        <v>0</v>
      </c>
      <c r="L25" s="151">
        <f>VLOOKUP(A25,EHD[],16,FALSE)</f>
        <v>0</v>
      </c>
      <c r="M25" s="143" t="s">
        <v>452</v>
      </c>
      <c r="N25" s="143" t="str">
        <f>IF(ISBLANK(VLOOKUP(A25,EHD[],20,FALSE)),"",VLOOKUP(A25,EHD[],20,FALSE))</f>
        <v>MRST</v>
      </c>
      <c r="O25" s="152"/>
    </row>
    <row r="26" spans="1:15">
      <c r="A26" s="147" t="s">
        <v>98</v>
      </c>
      <c r="B26" s="144" t="str">
        <f>VLOOKUP(A26,Data[],2,FALSE)</f>
        <v>BRONX</v>
      </c>
      <c r="C26" s="144" t="s">
        <v>27</v>
      </c>
      <c r="D26" s="9" t="str">
        <f>VLOOKUP(A26,Data[],52,FALSE)</f>
        <v>FEDERAL</v>
      </c>
      <c r="E26" s="9" t="str">
        <f ca="1">VLOOKUP(A26,Data[],4,FALSE)</f>
        <v>2026+</v>
      </c>
      <c r="F26" s="9">
        <f>VLOOKUP(EHDAll[[#This Row],[DEVELOPMENT]],EHD[],7,FALSE)</f>
        <v>1</v>
      </c>
      <c r="G26" s="9">
        <f>VLOOKUP(EHDAll[[#This Row],[DEVELOPMENT]],Data[],67,FALSE)</f>
        <v>9</v>
      </c>
      <c r="H26" s="143">
        <f>IF(EHDAll[[#This Row],[STATUS]]="","",VLOOKUP(A26,EHD[],19,FALSE))</f>
        <v>2019</v>
      </c>
      <c r="I26" s="143">
        <f>IF(VLOOKUP(A26,EHD[],13,FALSE)=0,"",VLOOKUP(A26,EHD[],13,FALSE))</f>
        <v>2019</v>
      </c>
      <c r="J26" s="143" t="str">
        <f>IF(ISBLANK(VLOOKUP(A26,EHD[],14,FALSE)),"",VLOOKUP(A26,EHD[],14,FALSE))</f>
        <v>COMPLETED</v>
      </c>
      <c r="K26" s="151">
        <f>VLOOKUP(A26,EHD[],15,FALSE)</f>
        <v>0</v>
      </c>
      <c r="L26" s="151">
        <f>VLOOKUP(A26,EHD[],16,FALSE)</f>
        <v>0</v>
      </c>
      <c r="M26" s="143" t="s">
        <v>452</v>
      </c>
      <c r="N26" s="143" t="str">
        <f>IF(ISBLANK(VLOOKUP(A26,EHD[],20,FALSE)),"",VLOOKUP(A26,EHD[],20,FALSE))</f>
        <v>MRST</v>
      </c>
      <c r="O26" s="152"/>
    </row>
    <row r="27" spans="1:15">
      <c r="A27" s="147" t="s">
        <v>126</v>
      </c>
      <c r="B27" s="144" t="str">
        <f>VLOOKUP(A27,Data[],2,FALSE)</f>
        <v>MANHATTAN</v>
      </c>
      <c r="C27" s="144" t="s">
        <v>27</v>
      </c>
      <c r="D27" s="9" t="str">
        <f>VLOOKUP(A27,Data[],52,FALSE)</f>
        <v>FEDERAL</v>
      </c>
      <c r="E27" s="9" t="str">
        <f ca="1">VLOOKUP(A27,Data[],4,FALSE)</f>
        <v/>
      </c>
      <c r="F27" s="9">
        <f>VLOOKUP(EHDAll[[#This Row],[DEVELOPMENT]],EHD[],7,FALSE)</f>
        <v>1</v>
      </c>
      <c r="G27" s="9">
        <f>VLOOKUP(EHDAll[[#This Row],[DEVELOPMENT]],Data[],67,FALSE)</f>
        <v>11</v>
      </c>
      <c r="H27" s="143">
        <f>IF(EHDAll[[#This Row],[STATUS]]="","",VLOOKUP(A27,EHD[],19,FALSE))</f>
        <v>2019</v>
      </c>
      <c r="I27" s="143">
        <f>IF(VLOOKUP(A27,EHD[],13,FALSE)=0,"",VLOOKUP(A27,EHD[],13,FALSE))</f>
        <v>2019</v>
      </c>
      <c r="J27" s="143" t="str">
        <f>IF(ISBLANK(VLOOKUP(A27,EHD[],14,FALSE)),"",VLOOKUP(A27,EHD[],14,FALSE))</f>
        <v>COMPLETED</v>
      </c>
      <c r="K27" s="151">
        <f>VLOOKUP(A27,EHD[],15,FALSE)</f>
        <v>0</v>
      </c>
      <c r="L27" s="151">
        <f>VLOOKUP(A27,EHD[],16,FALSE)</f>
        <v>0</v>
      </c>
      <c r="M27" s="143" t="s">
        <v>452</v>
      </c>
      <c r="N27" s="143" t="str">
        <f>IF(ISBLANK(VLOOKUP(A27,EHD[],20,FALSE)),"",VLOOKUP(A27,EHD[],20,FALSE))</f>
        <v>MRST</v>
      </c>
      <c r="O27" s="152"/>
    </row>
    <row r="28" spans="1:15">
      <c r="A28" s="147" t="s">
        <v>375</v>
      </c>
      <c r="B28" s="144" t="str">
        <f>VLOOKUP(A28,Data[],2,FALSE)</f>
        <v>BROOKLYN</v>
      </c>
      <c r="C28" s="144" t="s">
        <v>27</v>
      </c>
      <c r="D28" s="9" t="str">
        <f>VLOOKUP(A28,Data[],52,FALSE)</f>
        <v>FEDERAL</v>
      </c>
      <c r="E28" s="9" t="str">
        <f ca="1">VLOOKUP(A28,Data[],4,FALSE)</f>
        <v/>
      </c>
      <c r="F28" s="9">
        <f>VLOOKUP(EHDAll[[#This Row],[DEVELOPMENT]],EHD[],7,FALSE)</f>
        <v>2</v>
      </c>
      <c r="G28" s="9">
        <f>VLOOKUP(EHDAll[[#This Row],[DEVELOPMENT]],Data[],67,FALSE)</f>
        <v>10</v>
      </c>
      <c r="H28" s="143">
        <f>IF(EHDAll[[#This Row],[STATUS]]="","",VLOOKUP(A28,EHD[],19,FALSE))</f>
        <v>2019</v>
      </c>
      <c r="I28" s="143">
        <f>IF(VLOOKUP(A28,EHD[],13,FALSE)=0,"",VLOOKUP(A28,EHD[],13,FALSE))</f>
        <v>2019</v>
      </c>
      <c r="J28" s="143" t="str">
        <f>IF(ISBLANK(VLOOKUP(A28,EHD[],14,FALSE)),"",VLOOKUP(A28,EHD[],14,FALSE))</f>
        <v>COMPLETED</v>
      </c>
      <c r="K28" s="151">
        <f>VLOOKUP(A28,EHD[],15,FALSE)</f>
        <v>0</v>
      </c>
      <c r="L28" s="151">
        <f>VLOOKUP(A28,EHD[],16,FALSE)</f>
        <v>0</v>
      </c>
      <c r="M28" s="143" t="s">
        <v>452</v>
      </c>
      <c r="N28" s="143" t="str">
        <f>IF(ISBLANK(VLOOKUP(A28,EHD[],20,FALSE)),"",VLOOKUP(A28,EHD[],20,FALSE))</f>
        <v>MRST</v>
      </c>
      <c r="O28" s="152"/>
    </row>
    <row r="29" spans="1:15">
      <c r="A29" s="147" t="s">
        <v>102</v>
      </c>
      <c r="B29" s="144" t="str">
        <f>VLOOKUP(A29,Data[],2,FALSE)</f>
        <v>MANHATTAN</v>
      </c>
      <c r="C29" s="144" t="s">
        <v>27</v>
      </c>
      <c r="D29" s="9" t="str">
        <f>VLOOKUP(A29,Data[],52,FALSE)</f>
        <v>FEDERAL</v>
      </c>
      <c r="E29" s="9" t="str">
        <f ca="1">VLOOKUP(A29,Data[],4,FALSE)</f>
        <v>2026+</v>
      </c>
      <c r="F29" s="9">
        <f>VLOOKUP(EHDAll[[#This Row],[DEVELOPMENT]],EHD[],7,FALSE)</f>
        <v>1</v>
      </c>
      <c r="G29" s="9">
        <f>VLOOKUP(EHDAll[[#This Row],[DEVELOPMENT]],Data[],67,FALSE)</f>
        <v>20</v>
      </c>
      <c r="H29" s="143">
        <f>IF(EHDAll[[#This Row],[STATUS]]="","",VLOOKUP(A29,EHD[],19,FALSE))</f>
        <v>2019</v>
      </c>
      <c r="I29" s="143">
        <f>IF(VLOOKUP(A29,EHD[],13,FALSE)=0,"",VLOOKUP(A29,EHD[],13,FALSE))</f>
        <v>2019</v>
      </c>
      <c r="J29" s="143" t="str">
        <f>IF(ISBLANK(VLOOKUP(A29,EHD[],14,FALSE)),"",VLOOKUP(A29,EHD[],14,FALSE))</f>
        <v>COMPLETED</v>
      </c>
      <c r="K29" s="151">
        <f>VLOOKUP(A29,EHD[],15,FALSE)</f>
        <v>0</v>
      </c>
      <c r="L29" s="151">
        <f>VLOOKUP(A29,EHD[],16,FALSE)</f>
        <v>0</v>
      </c>
      <c r="M29" s="143" t="s">
        <v>452</v>
      </c>
      <c r="N29" s="143" t="str">
        <f>IF(ISBLANK(VLOOKUP(A29,EHD[],20,FALSE)),"",VLOOKUP(A29,EHD[],20,FALSE))</f>
        <v>MRST</v>
      </c>
      <c r="O29" s="152"/>
    </row>
    <row r="30" spans="1:15">
      <c r="A30" s="147" t="s">
        <v>387</v>
      </c>
      <c r="B30" s="144" t="str">
        <f>VLOOKUP(A30,Data[],2,FALSE)</f>
        <v>BROOKLYN</v>
      </c>
      <c r="C30" s="144" t="s">
        <v>27</v>
      </c>
      <c r="D30" s="9" t="str">
        <f>VLOOKUP(A30,Data[],52,FALSE)</f>
        <v>FEDERAL</v>
      </c>
      <c r="E30" s="9" t="str">
        <f ca="1">VLOOKUP(A30,Data[],4,FALSE)</f>
        <v/>
      </c>
      <c r="F30" s="9">
        <f>VLOOKUP(EHDAll[[#This Row],[DEVELOPMENT]],EHD[],7,FALSE)</f>
        <v>3</v>
      </c>
      <c r="G30" s="9">
        <f>VLOOKUP(EHDAll[[#This Row],[DEVELOPMENT]],Data[],67,FALSE)</f>
        <v>43763</v>
      </c>
      <c r="H30" s="143">
        <f>IF(EHDAll[[#This Row],[STATUS]]="","",VLOOKUP(A30,EHD[],19,FALSE))</f>
        <v>2019</v>
      </c>
      <c r="I30" s="143">
        <f>IF(VLOOKUP(A30,EHD[],13,FALSE)=0,"",VLOOKUP(A30,EHD[],13,FALSE))</f>
        <v>2019</v>
      </c>
      <c r="J30" s="143" t="str">
        <f>IF(ISBLANK(VLOOKUP(A30,EHD[],14,FALSE)),"",VLOOKUP(A30,EHD[],14,FALSE))</f>
        <v>COMPLETED</v>
      </c>
      <c r="K30" s="151">
        <f>VLOOKUP(A30,EHD[],15,FALSE)</f>
        <v>0</v>
      </c>
      <c r="L30" s="151">
        <f>VLOOKUP(A30,EHD[],16,FALSE)</f>
        <v>0</v>
      </c>
      <c r="M30" s="143" t="s">
        <v>452</v>
      </c>
      <c r="N30" s="143" t="str">
        <f>IF(ISBLANK(VLOOKUP(A30,EHD[],20,FALSE)),"",VLOOKUP(A30,EHD[],20,FALSE))</f>
        <v>MRST</v>
      </c>
      <c r="O30" s="152"/>
    </row>
    <row r="31" spans="1:15">
      <c r="A31" s="148" t="s">
        <v>26</v>
      </c>
      <c r="B31" s="144" t="str">
        <f>VLOOKUP(A31,Data[],2,FALSE)</f>
        <v>BROOKLYN</v>
      </c>
      <c r="C31" s="144" t="s">
        <v>27</v>
      </c>
      <c r="D31" s="9" t="str">
        <f>VLOOKUP(A31,Data[],52,FALSE)</f>
        <v>MIXED FINANCE/LLC1</v>
      </c>
      <c r="E31" s="9" t="str">
        <f ca="1">VLOOKUP(A31,Data[],4,FALSE)</f>
        <v/>
      </c>
      <c r="F31" s="9">
        <f>VLOOKUP(EHDAll[[#This Row],[DEVELOPMENT]],EHD[],7,FALSE)</f>
        <v>8</v>
      </c>
      <c r="G31" s="9" t="str">
        <f>VLOOKUP(EHDAll[[#This Row],[DEVELOPMENT]],Data[],67,FALSE)</f>
        <v>13-20</v>
      </c>
      <c r="H31" s="143">
        <f>IF(EHDAll[[#This Row],[STATUS]]="","",VLOOKUP(A31,EHD[],19,FALSE))</f>
        <v>2019</v>
      </c>
      <c r="I31" s="143">
        <f>IF(VLOOKUP(A31,EHD[],13,FALSE)=0,"",VLOOKUP(A31,EHD[],13,FALSE))</f>
        <v>2020</v>
      </c>
      <c r="J31" s="143" t="str">
        <f>IF(ISBLANK(VLOOKUP(A31,EHD[],14,FALSE)),"",VLOOKUP(A31,EHD[],14,FALSE))</f>
        <v>COMPLETED</v>
      </c>
      <c r="K31" s="151">
        <f>VLOOKUP(A31,EHD[],15,FALSE)</f>
        <v>44243.94</v>
      </c>
      <c r="L31" s="151">
        <f>VLOOKUP(A31,EHD[],16,FALSE)</f>
        <v>0</v>
      </c>
      <c r="M31" s="143" t="s">
        <v>33</v>
      </c>
      <c r="N31" s="143" t="str">
        <f>IF(ISBLANK(VLOOKUP(A31,EHD[],20,FALSE)),"",VLOOKUP(A31,EHD[],20,FALSE))</f>
        <v>CM/JOCs</v>
      </c>
      <c r="O31" s="152"/>
    </row>
    <row r="32" spans="1:15">
      <c r="A32" s="148" t="s">
        <v>31</v>
      </c>
      <c r="B32" s="144" t="str">
        <f>VLOOKUP(A32,Data[],2,FALSE)</f>
        <v>BRONX</v>
      </c>
      <c r="C32" s="144" t="s">
        <v>27</v>
      </c>
      <c r="D32" s="9" t="str">
        <f>VLOOKUP(A32,Data[],52,FALSE)</f>
        <v>FEDERAL</v>
      </c>
      <c r="E32" s="9" t="str">
        <f ca="1">VLOOKUP(A32,Data[],4,FALSE)</f>
        <v/>
      </c>
      <c r="F32" s="9">
        <f>VLOOKUP(EHDAll[[#This Row],[DEVELOPMENT]],EHD[],7,FALSE)</f>
        <v>6</v>
      </c>
      <c r="G32" s="9">
        <f>VLOOKUP(EHDAll[[#This Row],[DEVELOPMENT]],Data[],67,FALSE)</f>
        <v>21</v>
      </c>
      <c r="H32" s="143">
        <f>IF(EHDAll[[#This Row],[STATUS]]="","",VLOOKUP(A32,EHD[],19,FALSE))</f>
        <v>2019</v>
      </c>
      <c r="I32" s="143">
        <f>IF(VLOOKUP(A32,EHD[],13,FALSE)=0,"",VLOOKUP(A32,EHD[],13,FALSE))</f>
        <v>2020</v>
      </c>
      <c r="J32" s="143" t="str">
        <f>IF(ISBLANK(VLOOKUP(A32,EHD[],14,FALSE)),"",VLOOKUP(A32,EHD[],14,FALSE))</f>
        <v>COMPLETED</v>
      </c>
      <c r="K32" s="151">
        <f>VLOOKUP(A32,EHD[],15,FALSE)</f>
        <v>38658.230000000003</v>
      </c>
      <c r="L32" s="151">
        <f>VLOOKUP(A32,EHD[],16,FALSE)</f>
        <v>0</v>
      </c>
      <c r="M32" s="143" t="s">
        <v>33</v>
      </c>
      <c r="N32" s="143" t="str">
        <f>IF(ISBLANK(VLOOKUP(A32,EHD[],20,FALSE)),"",VLOOKUP(A32,EHD[],20,FALSE))</f>
        <v>CM/JOCs</v>
      </c>
      <c r="O32" s="152"/>
    </row>
    <row r="33" spans="1:15">
      <c r="A33" s="148" t="s">
        <v>35</v>
      </c>
      <c r="B33" s="144" t="str">
        <f>VLOOKUP(A33,Data[],2,FALSE)</f>
        <v>BRONX</v>
      </c>
      <c r="C33" s="144" t="s">
        <v>27</v>
      </c>
      <c r="D33" s="9" t="str">
        <f>VLOOKUP(A33,Data[],52,FALSE)</f>
        <v>FEDERAL</v>
      </c>
      <c r="E33" s="9" t="str">
        <f ca="1">VLOOKUP(A33,Data[],4,FALSE)</f>
        <v/>
      </c>
      <c r="F33" s="9">
        <f>VLOOKUP(EHDAll[[#This Row],[DEVELOPMENT]],EHD[],7,FALSE)</f>
        <v>7</v>
      </c>
      <c r="G33" s="9">
        <f>VLOOKUP(EHDAll[[#This Row],[DEVELOPMENT]],Data[],67,FALSE)</f>
        <v>16</v>
      </c>
      <c r="H33" s="143">
        <f>IF(EHDAll[[#This Row],[STATUS]]="","",VLOOKUP(A33,EHD[],19,FALSE))</f>
        <v>2019</v>
      </c>
      <c r="I33" s="143">
        <f>IF(VLOOKUP(A33,EHD[],13,FALSE)=0,"",VLOOKUP(A33,EHD[],13,FALSE))</f>
        <v>2020</v>
      </c>
      <c r="J33" s="143" t="str">
        <f>IF(ISBLANK(VLOOKUP(A33,EHD[],14,FALSE)),"",VLOOKUP(A33,EHD[],14,FALSE))</f>
        <v>COMPLETED</v>
      </c>
      <c r="K33" s="151">
        <f>VLOOKUP(A33,EHD[],15,FALSE)</f>
        <v>44828.82</v>
      </c>
      <c r="L33" s="151">
        <f>VLOOKUP(A33,EHD[],16,FALSE)</f>
        <v>0</v>
      </c>
      <c r="M33" s="143" t="s">
        <v>33</v>
      </c>
      <c r="N33" s="143" t="str">
        <f>IF(ISBLANK(VLOOKUP(A33,EHD[],20,FALSE)),"",VLOOKUP(A33,EHD[],20,FALSE))</f>
        <v>CM/JOCs</v>
      </c>
      <c r="O33" s="152"/>
    </row>
    <row r="34" spans="1:15">
      <c r="A34" s="148" t="s">
        <v>36</v>
      </c>
      <c r="B34" s="144" t="str">
        <f>VLOOKUP(A34,Data[],2,FALSE)</f>
        <v>MANHATTAN</v>
      </c>
      <c r="C34" s="144" t="s">
        <v>27</v>
      </c>
      <c r="D34" s="9" t="str">
        <f>VLOOKUP(A34,Data[],52,FALSE)</f>
        <v>FEDERAL</v>
      </c>
      <c r="E34" s="9" t="str">
        <f ca="1">VLOOKUP(A34,Data[],4,FALSE)</f>
        <v/>
      </c>
      <c r="F34" s="9">
        <f>VLOOKUP(EHDAll[[#This Row],[DEVELOPMENT]],EHD[],7,FALSE)</f>
        <v>9</v>
      </c>
      <c r="G34" s="9">
        <f>VLOOKUP(EHDAll[[#This Row],[DEVELOPMENT]],Data[],67,FALSE)</f>
        <v>16</v>
      </c>
      <c r="H34" s="143">
        <f>IF(EHDAll[[#This Row],[STATUS]]="","",VLOOKUP(A34,EHD[],19,FALSE))</f>
        <v>2019</v>
      </c>
      <c r="I34" s="143">
        <f>IF(VLOOKUP(A34,EHD[],13,FALSE)=0,"",VLOOKUP(A34,EHD[],13,FALSE))</f>
        <v>2020</v>
      </c>
      <c r="J34" s="143" t="str">
        <f>IF(ISBLANK(VLOOKUP(A34,EHD[],14,FALSE)),"",VLOOKUP(A34,EHD[],14,FALSE))</f>
        <v>COMPLETED</v>
      </c>
      <c r="K34" s="151">
        <f>VLOOKUP(A34,EHD[],15,FALSE)</f>
        <v>56519.89</v>
      </c>
      <c r="L34" s="151">
        <f>VLOOKUP(A34,EHD[],16,FALSE)</f>
        <v>0</v>
      </c>
      <c r="M34" s="143" t="s">
        <v>33</v>
      </c>
      <c r="N34" s="143" t="str">
        <f>IF(ISBLANK(VLOOKUP(A34,EHD[],20,FALSE)),"",VLOOKUP(A34,EHD[],20,FALSE))</f>
        <v>CM/JOCs</v>
      </c>
      <c r="O34" s="152"/>
    </row>
    <row r="35" spans="1:15">
      <c r="A35" s="148" t="s">
        <v>37</v>
      </c>
      <c r="B35" s="144" t="str">
        <f>VLOOKUP(A35,Data[],2,FALSE)</f>
        <v>BROOKLYN</v>
      </c>
      <c r="C35" s="144" t="s">
        <v>27</v>
      </c>
      <c r="D35" s="9" t="str">
        <f>VLOOKUP(A35,Data[],52,FALSE)</f>
        <v>FEDERAL</v>
      </c>
      <c r="E35" s="9" t="str">
        <f ca="1">VLOOKUP(A35,Data[],4,FALSE)</f>
        <v/>
      </c>
      <c r="F35" s="9">
        <f>VLOOKUP(EHDAll[[#This Row],[DEVELOPMENT]],EHD[],7,FALSE)</f>
        <v>7</v>
      </c>
      <c r="G35" s="9" t="str">
        <f>VLOOKUP(EHDAll[[#This Row],[DEVELOPMENT]],Data[],67,FALSE)</f>
        <v>13-15-20</v>
      </c>
      <c r="H35" s="143">
        <f>IF(EHDAll[[#This Row],[STATUS]]="","",VLOOKUP(A35,EHD[],19,FALSE))</f>
        <v>2019</v>
      </c>
      <c r="I35" s="143">
        <f>IF(VLOOKUP(A35,EHD[],13,FALSE)=0,"",VLOOKUP(A35,EHD[],13,FALSE))</f>
        <v>2020</v>
      </c>
      <c r="J35" s="143" t="str">
        <f>IF(ISBLANK(VLOOKUP(A35,EHD[],14,FALSE)),"",VLOOKUP(A35,EHD[],14,FALSE))</f>
        <v>COMPLETED</v>
      </c>
      <c r="K35" s="151">
        <f>VLOOKUP(A35,EHD[],15,FALSE)</f>
        <v>52577.562435</v>
      </c>
      <c r="L35" s="151">
        <f>VLOOKUP(A35,EHD[],16,FALSE)</f>
        <v>0</v>
      </c>
      <c r="M35" s="143" t="s">
        <v>33</v>
      </c>
      <c r="N35" s="143" t="str">
        <f>IF(ISBLANK(VLOOKUP(A35,EHD[],20,FALSE)),"",VLOOKUP(A35,EHD[],20,FALSE))</f>
        <v>CM/JOCs</v>
      </c>
      <c r="O35" s="152"/>
    </row>
    <row r="36" spans="1:15">
      <c r="A36" s="148" t="s">
        <v>39</v>
      </c>
      <c r="B36" s="144" t="str">
        <f>VLOOKUP(A36,Data[],2,FALSE)</f>
        <v>BRONX</v>
      </c>
      <c r="C36" s="144" t="s">
        <v>27</v>
      </c>
      <c r="D36" s="9" t="str">
        <f>VLOOKUP(A36,Data[],52,FALSE)</f>
        <v>FEDERAL</v>
      </c>
      <c r="E36" s="9" t="str">
        <f ca="1">VLOOKUP(A36,Data[],4,FALSE)</f>
        <v>2022-2025</v>
      </c>
      <c r="F36" s="9">
        <f>VLOOKUP(EHDAll[[#This Row],[DEVELOPMENT]],EHD[],7,FALSE)</f>
        <v>8</v>
      </c>
      <c r="G36" s="9">
        <f>VLOOKUP(EHDAll[[#This Row],[DEVELOPMENT]],Data[],67,FALSE)</f>
        <v>14</v>
      </c>
      <c r="H36" s="143">
        <f>IF(EHDAll[[#This Row],[STATUS]]="","",VLOOKUP(A36,EHD[],19,FALSE))</f>
        <v>2019</v>
      </c>
      <c r="I36" s="143">
        <f>IF(VLOOKUP(A36,EHD[],13,FALSE)=0,"",VLOOKUP(A36,EHD[],13,FALSE))</f>
        <v>2020</v>
      </c>
      <c r="J36" s="143" t="str">
        <f>IF(ISBLANK(VLOOKUP(A36,EHD[],14,FALSE)),"",VLOOKUP(A36,EHD[],14,FALSE))</f>
        <v>COMPLETED</v>
      </c>
      <c r="K36" s="151">
        <f>VLOOKUP(A36,EHD[],15,FALSE)</f>
        <v>51048.6</v>
      </c>
      <c r="L36" s="151">
        <f>VLOOKUP(A36,EHD[],16,FALSE)</f>
        <v>0</v>
      </c>
      <c r="M36" s="143" t="s">
        <v>33</v>
      </c>
      <c r="N36" s="143" t="str">
        <f>IF(ISBLANK(VLOOKUP(A36,EHD[],20,FALSE)),"",VLOOKUP(A36,EHD[],20,FALSE))</f>
        <v>CM/JOCs</v>
      </c>
      <c r="O36" s="152"/>
    </row>
    <row r="37" spans="1:15">
      <c r="A37" s="148" t="s">
        <v>40</v>
      </c>
      <c r="B37" s="144" t="str">
        <f>VLOOKUP(A37,Data[],2,FALSE)</f>
        <v>BRONX</v>
      </c>
      <c r="C37" s="144" t="s">
        <v>27</v>
      </c>
      <c r="D37" s="9" t="str">
        <f>VLOOKUP(A37,Data[],52,FALSE)</f>
        <v>FEDERAL</v>
      </c>
      <c r="E37" s="9" t="str">
        <f ca="1">VLOOKUP(A37,Data[],4,FALSE)</f>
        <v/>
      </c>
      <c r="F37" s="9">
        <f>VLOOKUP(EHDAll[[#This Row],[DEVELOPMENT]],EHD[],7,FALSE)</f>
        <v>10</v>
      </c>
      <c r="G37" s="9" t="str">
        <f>VLOOKUP(EHDAll[[#This Row],[DEVELOPMENT]],Data[],67,FALSE)</f>
        <v>16-20</v>
      </c>
      <c r="H37" s="143">
        <f>IF(EHDAll[[#This Row],[STATUS]]="","",VLOOKUP(A37,EHD[],19,FALSE))</f>
        <v>2019</v>
      </c>
      <c r="I37" s="143">
        <f>IF(VLOOKUP(A37,EHD[],13,FALSE)=0,"",VLOOKUP(A37,EHD[],13,FALSE))</f>
        <v>2020</v>
      </c>
      <c r="J37" s="143" t="str">
        <f>IF(ISBLANK(VLOOKUP(A37,EHD[],14,FALSE)),"",VLOOKUP(A37,EHD[],14,FALSE))</f>
        <v>COMPLETED</v>
      </c>
      <c r="K37" s="151">
        <f>VLOOKUP(A37,EHD[],15,FALSE)</f>
        <v>57268.37</v>
      </c>
      <c r="L37" s="151">
        <f>VLOOKUP(A37,EHD[],16,FALSE)</f>
        <v>0</v>
      </c>
      <c r="M37" s="143" t="s">
        <v>33</v>
      </c>
      <c r="N37" s="143" t="str">
        <f>IF(ISBLANK(VLOOKUP(A37,EHD[],20,FALSE)),"",VLOOKUP(A37,EHD[],20,FALSE))</f>
        <v>CM/JOCs</v>
      </c>
      <c r="O37" s="152"/>
    </row>
    <row r="38" spans="1:15">
      <c r="A38" s="148" t="s">
        <v>42</v>
      </c>
      <c r="B38" s="144" t="str">
        <f>VLOOKUP(A38,Data[],2,FALSE)</f>
        <v>BROOKLYN</v>
      </c>
      <c r="C38" s="144" t="s">
        <v>27</v>
      </c>
      <c r="D38" s="9" t="str">
        <f>VLOOKUP(A38,Data[],52,FALSE)</f>
        <v>FEDERAL</v>
      </c>
      <c r="E38" s="9" t="str">
        <f ca="1">VLOOKUP(A38,Data[],4,FALSE)</f>
        <v/>
      </c>
      <c r="F38" s="9">
        <f>VLOOKUP(EHDAll[[#This Row],[DEVELOPMENT]],EHD[],7,FALSE)</f>
        <v>6</v>
      </c>
      <c r="G38" s="9" t="str">
        <f>VLOOKUP(EHDAll[[#This Row],[DEVELOPMENT]],Data[],67,FALSE)</f>
        <v>14-15-18</v>
      </c>
      <c r="H38" s="143">
        <f>IF(EHDAll[[#This Row],[STATUS]]="","",VLOOKUP(A38,EHD[],19,FALSE))</f>
        <v>2019</v>
      </c>
      <c r="I38" s="143">
        <f>IF(VLOOKUP(A38,EHD[],13,FALSE)=0,"",VLOOKUP(A38,EHD[],13,FALSE))</f>
        <v>2020</v>
      </c>
      <c r="J38" s="143" t="str">
        <f>IF(ISBLANK(VLOOKUP(A38,EHD[],14,FALSE)),"",VLOOKUP(A38,EHD[],14,FALSE))</f>
        <v>COMPLETED</v>
      </c>
      <c r="K38" s="151">
        <f>VLOOKUP(A38,EHD[],15,FALSE)</f>
        <v>38790.68</v>
      </c>
      <c r="L38" s="151">
        <f>VLOOKUP(A38,EHD[],16,FALSE)</f>
        <v>0</v>
      </c>
      <c r="M38" s="143" t="s">
        <v>33</v>
      </c>
      <c r="N38" s="143" t="str">
        <f>IF(ISBLANK(VLOOKUP(A38,EHD[],20,FALSE)),"",VLOOKUP(A38,EHD[],20,FALSE))</f>
        <v>CM/JOCs</v>
      </c>
      <c r="O38" s="152"/>
    </row>
    <row r="39" spans="1:15">
      <c r="A39" s="148" t="s">
        <v>43</v>
      </c>
      <c r="B39" s="144" t="str">
        <f>VLOOKUP(A39,Data[],2,FALSE)</f>
        <v>MANHATTAN</v>
      </c>
      <c r="C39" s="144" t="s">
        <v>27</v>
      </c>
      <c r="D39" s="9" t="str">
        <f>VLOOKUP(A39,Data[],52,FALSE)</f>
        <v>MIXED FINANCE/LLC1</v>
      </c>
      <c r="E39" s="9" t="str">
        <f ca="1">VLOOKUP(A39,Data[],4,FALSE)</f>
        <v/>
      </c>
      <c r="F39" s="9">
        <f>VLOOKUP(EHDAll[[#This Row],[DEVELOPMENT]],EHD[],7,FALSE)</f>
        <v>5</v>
      </c>
      <c r="G39" s="9">
        <f>VLOOKUP(EHDAll[[#This Row],[DEVELOPMENT]],Data[],67,FALSE)</f>
        <v>20</v>
      </c>
      <c r="H39" s="143">
        <f>IF(EHDAll[[#This Row],[STATUS]]="","",VLOOKUP(A39,EHD[],19,FALSE))</f>
        <v>2019</v>
      </c>
      <c r="I39" s="143">
        <f>IF(VLOOKUP(A39,EHD[],13,FALSE)=0,"",VLOOKUP(A39,EHD[],13,FALSE))</f>
        <v>2020</v>
      </c>
      <c r="J39" s="143" t="str">
        <f>IF(ISBLANK(VLOOKUP(A39,EHD[],14,FALSE)),"",VLOOKUP(A39,EHD[],14,FALSE))</f>
        <v>COMPLETED</v>
      </c>
      <c r="K39" s="151">
        <f>VLOOKUP(A39,EHD[],15,FALSE)</f>
        <v>32007.26</v>
      </c>
      <c r="L39" s="151">
        <f>VLOOKUP(A39,EHD[],16,FALSE)</f>
        <v>0</v>
      </c>
      <c r="M39" s="143" t="s">
        <v>33</v>
      </c>
      <c r="N39" s="143" t="str">
        <f>IF(ISBLANK(VLOOKUP(A39,EHD[],20,FALSE)),"",VLOOKUP(A39,EHD[],20,FALSE))</f>
        <v>CM/JOCs</v>
      </c>
      <c r="O39" s="152"/>
    </row>
    <row r="40" spans="1:15">
      <c r="A40" s="148" t="s">
        <v>44</v>
      </c>
      <c r="B40" s="144" t="str">
        <f>VLOOKUP(A40,Data[],2,FALSE)</f>
        <v>MANHATTAN</v>
      </c>
      <c r="C40" s="144" t="s">
        <v>27</v>
      </c>
      <c r="D40" s="9" t="str">
        <f>VLOOKUP(A40,Data[],52,FALSE)</f>
        <v>FEDERAL</v>
      </c>
      <c r="E40" s="9" t="str">
        <f ca="1">VLOOKUP(A40,Data[],4,FALSE)</f>
        <v/>
      </c>
      <c r="F40" s="9">
        <f>VLOOKUP(EHDAll[[#This Row],[DEVELOPMENT]],EHD[],7,FALSE)</f>
        <v>12</v>
      </c>
      <c r="G40" s="9">
        <f>VLOOKUP(EHDAll[[#This Row],[DEVELOPMENT]],Data[],67,FALSE)</f>
        <v>17</v>
      </c>
      <c r="H40" s="143">
        <f>IF(EHDAll[[#This Row],[STATUS]]="","",VLOOKUP(A40,EHD[],19,FALSE))</f>
        <v>2019</v>
      </c>
      <c r="I40" s="143">
        <f>IF(VLOOKUP(A40,EHD[],13,FALSE)=0,"",VLOOKUP(A40,EHD[],13,FALSE))</f>
        <v>2020</v>
      </c>
      <c r="J40" s="143" t="str">
        <f>IF(ISBLANK(VLOOKUP(A40,EHD[],14,FALSE)),"",VLOOKUP(A40,EHD[],14,FALSE))</f>
        <v>COMPLETED</v>
      </c>
      <c r="K40" s="151">
        <f>VLOOKUP(A40,EHD[],15,FALSE)</f>
        <v>74933.740000000005</v>
      </c>
      <c r="L40" s="151">
        <f>VLOOKUP(A40,EHD[],16,FALSE)</f>
        <v>0</v>
      </c>
      <c r="M40" s="143" t="s">
        <v>33</v>
      </c>
      <c r="N40" s="143" t="str">
        <f>IF(ISBLANK(VLOOKUP(A40,EHD[],20,FALSE)),"",VLOOKUP(A40,EHD[],20,FALSE))</f>
        <v>CM/JOCs</v>
      </c>
      <c r="O40" s="152"/>
    </row>
    <row r="41" spans="1:15">
      <c r="A41" s="148" t="s">
        <v>45</v>
      </c>
      <c r="B41" s="144" t="str">
        <f>VLOOKUP(A41,Data[],2,FALSE)</f>
        <v>BROOKLYN</v>
      </c>
      <c r="C41" s="144" t="s">
        <v>27</v>
      </c>
      <c r="D41" s="9" t="str">
        <f>VLOOKUP(A41,Data[],52,FALSE)</f>
        <v>FEDERAL</v>
      </c>
      <c r="E41" s="9" t="str">
        <f ca="1">VLOOKUP(A41,Data[],4,FALSE)</f>
        <v/>
      </c>
      <c r="F41" s="9">
        <f>VLOOKUP(EHDAll[[#This Row],[DEVELOPMENT]],EHD[],7,FALSE)</f>
        <v>24</v>
      </c>
      <c r="G41" s="9">
        <f>VLOOKUP(EHDAll[[#This Row],[DEVELOPMENT]],Data[],67,FALSE)</f>
        <v>43658</v>
      </c>
      <c r="H41" s="143">
        <f>IF(EHDAll[[#This Row],[STATUS]]="","",VLOOKUP(A41,EHD[],19,FALSE))</f>
        <v>2019</v>
      </c>
      <c r="I41" s="143">
        <f>IF(VLOOKUP(A41,EHD[],13,FALSE)=0,"",VLOOKUP(A41,EHD[],13,FALSE))</f>
        <v>2020</v>
      </c>
      <c r="J41" s="143" t="str">
        <f>IF(ISBLANK(VLOOKUP(A41,EHD[],14,FALSE)),"",VLOOKUP(A41,EHD[],14,FALSE))</f>
        <v>COMPLETED</v>
      </c>
      <c r="K41" s="151">
        <f>VLOOKUP(A41,EHD[],15,FALSE)</f>
        <v>148620.14000000001</v>
      </c>
      <c r="L41" s="151">
        <f>VLOOKUP(A41,EHD[],16,FALSE)</f>
        <v>0</v>
      </c>
      <c r="M41" s="143" t="s">
        <v>33</v>
      </c>
      <c r="N41" s="143" t="str">
        <f>IF(ISBLANK(VLOOKUP(A41,EHD[],20,FALSE)),"",VLOOKUP(A41,EHD[],20,FALSE))</f>
        <v>CM/JOCs</v>
      </c>
      <c r="O41" s="152"/>
    </row>
    <row r="42" spans="1:15">
      <c r="A42" s="148" t="s">
        <v>47</v>
      </c>
      <c r="B42" s="144" t="str">
        <f>VLOOKUP(A42,Data[],2,FALSE)</f>
        <v>BRONX</v>
      </c>
      <c r="C42" s="144" t="s">
        <v>27</v>
      </c>
      <c r="D42" s="9" t="str">
        <f>VLOOKUP(A42,Data[],52,FALSE)</f>
        <v>FEDERAL</v>
      </c>
      <c r="E42" s="9" t="str">
        <f ca="1">VLOOKUP(A42,Data[],4,FALSE)</f>
        <v/>
      </c>
      <c r="F42" s="9">
        <f>VLOOKUP(EHDAll[[#This Row],[DEVELOPMENT]],EHD[],7,FALSE)</f>
        <v>5</v>
      </c>
      <c r="G42" s="9">
        <f>VLOOKUP(EHDAll[[#This Row],[DEVELOPMENT]],Data[],67,FALSE)</f>
        <v>21</v>
      </c>
      <c r="H42" s="143">
        <f>IF(EHDAll[[#This Row],[STATUS]]="","",VLOOKUP(A42,EHD[],19,FALSE))</f>
        <v>2019</v>
      </c>
      <c r="I42" s="143">
        <f>IF(VLOOKUP(A42,EHD[],13,FALSE)=0,"",VLOOKUP(A42,EHD[],13,FALSE))</f>
        <v>2020</v>
      </c>
      <c r="J42" s="143" t="str">
        <f>IF(ISBLANK(VLOOKUP(A42,EHD[],14,FALSE)),"",VLOOKUP(A42,EHD[],14,FALSE))</f>
        <v>COMPLETED</v>
      </c>
      <c r="K42" s="151">
        <f>VLOOKUP(A42,EHD[],15,FALSE)</f>
        <v>32309.48</v>
      </c>
      <c r="L42" s="151">
        <f>VLOOKUP(A42,EHD[],16,FALSE)</f>
        <v>0</v>
      </c>
      <c r="M42" s="143" t="s">
        <v>33</v>
      </c>
      <c r="N42" s="143" t="str">
        <f>IF(ISBLANK(VLOOKUP(A42,EHD[],20,FALSE)),"",VLOOKUP(A42,EHD[],20,FALSE))</f>
        <v>CM/JOCs</v>
      </c>
      <c r="O42" s="152"/>
    </row>
    <row r="43" spans="1:15">
      <c r="A43" s="148" t="s">
        <v>32</v>
      </c>
      <c r="B43" s="144" t="str">
        <f>VLOOKUP(A43,Data[],2,FALSE)</f>
        <v>BRONX</v>
      </c>
      <c r="C43" s="144" t="s">
        <v>27</v>
      </c>
      <c r="D43" s="9" t="str">
        <f>VLOOKUP(A43,Data[],52,FALSE)</f>
        <v>FEDERAL</v>
      </c>
      <c r="E43" s="9" t="str">
        <f ca="1">VLOOKUP(A43,Data[],4,FALSE)</f>
        <v>2022-2025</v>
      </c>
      <c r="F43" s="9">
        <f>VLOOKUP(EHDAll[[#This Row],[DEVELOPMENT]],EHD[],7,FALSE)</f>
        <v>8</v>
      </c>
      <c r="G43" s="9">
        <f>VLOOKUP(EHDAll[[#This Row],[DEVELOPMENT]],Data[],67,FALSE)</f>
        <v>5</v>
      </c>
      <c r="H43" s="143">
        <f>IF(EHDAll[[#This Row],[STATUS]]="","",VLOOKUP(A43,EHD[],19,FALSE))</f>
        <v>2019</v>
      </c>
      <c r="I43" s="143">
        <f>IF(VLOOKUP(A43,EHD[],13,FALSE)=0,"",VLOOKUP(A43,EHD[],13,FALSE))</f>
        <v>2020</v>
      </c>
      <c r="J43" s="143" t="str">
        <f>IF(ISBLANK(VLOOKUP(A43,EHD[],14,FALSE)),"",VLOOKUP(A43,EHD[],14,FALSE))</f>
        <v>CANCELED</v>
      </c>
      <c r="K43" s="151">
        <f>VLOOKUP(A43,EHD[],15,FALSE)</f>
        <v>51048.6</v>
      </c>
      <c r="L43" s="151">
        <f>VLOOKUP(A43,EHD[],16,FALSE)</f>
        <v>0</v>
      </c>
      <c r="M43" s="143" t="s">
        <v>33</v>
      </c>
      <c r="N43" s="143" t="str">
        <f>IF(ISBLANK(VLOOKUP(A43,EHD[],20,FALSE)),"",VLOOKUP(A43,EHD[],20,FALSE))</f>
        <v>CM/JOCs</v>
      </c>
      <c r="O43" s="152"/>
    </row>
    <row r="44" spans="1:15">
      <c r="A44" s="148" t="s">
        <v>34</v>
      </c>
      <c r="B44" s="144" t="str">
        <f>VLOOKUP(A44,Data[],2,FALSE)</f>
        <v>BRONX</v>
      </c>
      <c r="C44" s="144" t="s">
        <v>27</v>
      </c>
      <c r="D44" s="9" t="str">
        <f>VLOOKUP(A44,Data[],52,FALSE)</f>
        <v>FEDERAL</v>
      </c>
      <c r="E44" s="9" t="str">
        <f ca="1">VLOOKUP(A44,Data[],4,FALSE)</f>
        <v>2022-2025</v>
      </c>
      <c r="F44" s="9">
        <f>VLOOKUP(EHDAll[[#This Row],[DEVELOPMENT]],EHD[],7,FALSE)</f>
        <v>9</v>
      </c>
      <c r="G44" s="9">
        <f>VLOOKUP(EHDAll[[#This Row],[DEVELOPMENT]],Data[],67,FALSE)</f>
        <v>43560</v>
      </c>
      <c r="H44" s="143">
        <f>IF(EHDAll[[#This Row],[STATUS]]="","",VLOOKUP(A44,EHD[],19,FALSE))</f>
        <v>2019</v>
      </c>
      <c r="I44" s="143">
        <f>IF(VLOOKUP(A44,EHD[],13,FALSE)=0,"",VLOOKUP(A44,EHD[],13,FALSE))</f>
        <v>2020</v>
      </c>
      <c r="J44" s="143" t="str">
        <f>IF(ISBLANK(VLOOKUP(A44,EHD[],14,FALSE)),"",VLOOKUP(A44,EHD[],14,FALSE))</f>
        <v>CANCELED</v>
      </c>
      <c r="K44" s="151">
        <f>VLOOKUP(A44,EHD[],15,FALSE)</f>
        <v>57268.37</v>
      </c>
      <c r="L44" s="151">
        <f>VLOOKUP(A44,EHD[],16,FALSE)</f>
        <v>0</v>
      </c>
      <c r="M44" s="143" t="s">
        <v>33</v>
      </c>
      <c r="N44" s="143" t="str">
        <f>IF(ISBLANK(VLOOKUP(A44,EHD[],20,FALSE)),"",VLOOKUP(A44,EHD[],20,FALSE))</f>
        <v>CM/JOCs</v>
      </c>
      <c r="O44" s="152"/>
    </row>
    <row r="45" spans="1:15">
      <c r="A45" s="148" t="s">
        <v>38</v>
      </c>
      <c r="B45" s="144" t="str">
        <f>VLOOKUP(A45,Data[],2,FALSE)</f>
        <v>BROOKLYN</v>
      </c>
      <c r="C45" s="144" t="s">
        <v>27</v>
      </c>
      <c r="D45" s="9" t="str">
        <f>VLOOKUP(A45,Data[],52,FALSE)</f>
        <v>FEDERAL</v>
      </c>
      <c r="E45" s="9" t="str">
        <f ca="1">VLOOKUP(A45,Data[],4,FALSE)</f>
        <v>2026+</v>
      </c>
      <c r="F45" s="9">
        <f>VLOOKUP(EHDAll[[#This Row],[DEVELOPMENT]],EHD[],7,FALSE)</f>
        <v>70</v>
      </c>
      <c r="G45" s="9">
        <f>VLOOKUP(EHDAll[[#This Row],[DEVELOPMENT]],Data[],67,FALSE)</f>
        <v>6</v>
      </c>
      <c r="H45" s="143">
        <f>IF(EHDAll[[#This Row],[STATUS]]="","",VLOOKUP(A45,EHD[],19,FALSE))</f>
        <v>2019</v>
      </c>
      <c r="I45" s="143">
        <f>IF(VLOOKUP(A45,EHD[],13,FALSE)=0,"",VLOOKUP(A45,EHD[],13,FALSE))</f>
        <v>2020</v>
      </c>
      <c r="J45" s="143" t="str">
        <f>IF(ISBLANK(VLOOKUP(A45,EHD[],14,FALSE)),"",VLOOKUP(A45,EHD[],14,FALSE))</f>
        <v>CANCELED</v>
      </c>
      <c r="K45" s="151">
        <f>VLOOKUP(A45,EHD[],15,FALSE)</f>
        <v>431441.19</v>
      </c>
      <c r="L45" s="151">
        <f>VLOOKUP(A45,EHD[],16,FALSE)</f>
        <v>0</v>
      </c>
      <c r="M45" s="143" t="s">
        <v>33</v>
      </c>
      <c r="N45" s="143" t="str">
        <f>IF(ISBLANK(VLOOKUP(A45,EHD[],20,FALSE)),"",VLOOKUP(A45,EHD[],20,FALSE))</f>
        <v>CM/JOCs</v>
      </c>
      <c r="O45" s="152"/>
    </row>
    <row r="46" spans="1:15">
      <c r="A46" s="148" t="s">
        <v>41</v>
      </c>
      <c r="B46" s="144" t="str">
        <f>VLOOKUP(A46,Data[],2,FALSE)</f>
        <v>BRONX</v>
      </c>
      <c r="C46" s="144" t="s">
        <v>27</v>
      </c>
      <c r="D46" s="9" t="str">
        <f>VLOOKUP(A46,Data[],52,FALSE)</f>
        <v>FEDERAL</v>
      </c>
      <c r="E46" s="9" t="str">
        <f ca="1">VLOOKUP(A46,Data[],4,FALSE)</f>
        <v/>
      </c>
      <c r="F46" s="9">
        <f>VLOOKUP(EHDAll[[#This Row],[DEVELOPMENT]],EHD[],7,FALSE)</f>
        <v>5</v>
      </c>
      <c r="G46" s="9" t="str">
        <f>VLOOKUP(EHDAll[[#This Row],[DEVELOPMENT]],Data[],67,FALSE)</f>
        <v>19-23-29</v>
      </c>
      <c r="H46" s="143">
        <f>IF(EHDAll[[#This Row],[STATUS]]="","",VLOOKUP(A46,EHD[],19,FALSE))</f>
        <v>2019</v>
      </c>
      <c r="I46" s="143">
        <f>IF(VLOOKUP(A46,EHD[],13,FALSE)=0,"",VLOOKUP(A46,EHD[],13,FALSE))</f>
        <v>2020</v>
      </c>
      <c r="J46" s="143" t="str">
        <f>IF(ISBLANK(VLOOKUP(A46,EHD[],14,FALSE)),"",VLOOKUP(A46,EHD[],14,FALSE))</f>
        <v>CANCELED</v>
      </c>
      <c r="K46" s="151">
        <f>VLOOKUP(A46,EHD[],15,FALSE)</f>
        <v>32430.28</v>
      </c>
      <c r="L46" s="151">
        <f>VLOOKUP(A46,EHD[],16,FALSE)</f>
        <v>0</v>
      </c>
      <c r="M46" s="143" t="s">
        <v>33</v>
      </c>
      <c r="N46" s="143" t="str">
        <f>IF(ISBLANK(VLOOKUP(A46,EHD[],20,FALSE)),"",VLOOKUP(A46,EHD[],20,FALSE))</f>
        <v>CM/JOCs</v>
      </c>
      <c r="O46" s="152"/>
    </row>
    <row r="47" spans="1:15">
      <c r="A47" s="148" t="s">
        <v>46</v>
      </c>
      <c r="B47" s="144" t="str">
        <f>VLOOKUP(A47,Data[],2,FALSE)</f>
        <v>BROOKLYN</v>
      </c>
      <c r="C47" s="144" t="s">
        <v>27</v>
      </c>
      <c r="D47" s="9" t="str">
        <f>VLOOKUP(A47,Data[],52,FALSE)</f>
        <v>FEDERAL</v>
      </c>
      <c r="E47" s="9" t="str">
        <f ca="1">VLOOKUP(A47,Data[],4,FALSE)</f>
        <v>2026+</v>
      </c>
      <c r="F47" s="9">
        <f>VLOOKUP(EHDAll[[#This Row],[DEVELOPMENT]],EHD[],7,FALSE)</f>
        <v>12</v>
      </c>
      <c r="G47" s="9">
        <f>VLOOKUP(EHDAll[[#This Row],[DEVELOPMENT]],Data[],67,FALSE)</f>
        <v>43693</v>
      </c>
      <c r="H47" s="143">
        <f>IF(EHDAll[[#This Row],[STATUS]]="","",VLOOKUP(A47,EHD[],19,FALSE))</f>
        <v>2019</v>
      </c>
      <c r="I47" s="143">
        <f>IF(VLOOKUP(A47,EHD[],13,FALSE)=0,"",VLOOKUP(A47,EHD[],13,FALSE))</f>
        <v>2020</v>
      </c>
      <c r="J47" s="143" t="str">
        <f>IF(ISBLANK(VLOOKUP(A47,EHD[],14,FALSE)),"",VLOOKUP(A47,EHD[],14,FALSE))</f>
        <v>CANCELED</v>
      </c>
      <c r="K47" s="151">
        <f>VLOOKUP(A47,EHD[],15,FALSE)</f>
        <v>74933.740000000005</v>
      </c>
      <c r="L47" s="151">
        <f>VLOOKUP(A47,EHD[],16,FALSE)</f>
        <v>0</v>
      </c>
      <c r="M47" s="143" t="s">
        <v>33</v>
      </c>
      <c r="N47" s="143" t="str">
        <f>IF(ISBLANK(VLOOKUP(A47,EHD[],20,FALSE)),"",VLOOKUP(A47,EHD[],20,FALSE))</f>
        <v>CM/JOCs</v>
      </c>
      <c r="O47" s="152"/>
    </row>
    <row r="48" spans="1:15">
      <c r="A48" s="148" t="s">
        <v>118</v>
      </c>
      <c r="B48" s="144" t="str">
        <f>VLOOKUP(A48,Data[],2,FALSE)</f>
        <v>BROOKLYN</v>
      </c>
      <c r="C48" s="144" t="s">
        <v>27</v>
      </c>
      <c r="D48" s="9" t="str">
        <f>VLOOKUP(A48,Data[],52,FALSE)</f>
        <v>FEDERAL</v>
      </c>
      <c r="E48" s="9" t="str">
        <f ca="1">VLOOKUP(A48,Data[],4,FALSE)</f>
        <v/>
      </c>
      <c r="F48" s="9">
        <f>VLOOKUP(EHDAll[[#This Row],[DEVELOPMENT]],EHD[],7,FALSE)</f>
        <v>1</v>
      </c>
      <c r="G48" s="9">
        <f>VLOOKUP(EHDAll[[#This Row],[DEVELOPMENT]],Data[],67,FALSE)</f>
        <v>24</v>
      </c>
      <c r="H48" s="143">
        <f>IF(EHDAll[[#This Row],[STATUS]]="","",VLOOKUP(A48,EHD[],19,FALSE))</f>
        <v>2020</v>
      </c>
      <c r="I48" s="143">
        <f>IF(VLOOKUP(A48,EHD[],13,FALSE)=0,"",VLOOKUP(A48,EHD[],13,FALSE))</f>
        <v>2020</v>
      </c>
      <c r="J48" s="143" t="str">
        <f>IF(ISBLANK(VLOOKUP(A48,EHD[],14,FALSE)),"",VLOOKUP(A48,EHD[],14,FALSE))</f>
        <v>QUEUED</v>
      </c>
      <c r="K48" s="151">
        <f>VLOOKUP(A48,EHD[],15,FALSE)</f>
        <v>0</v>
      </c>
      <c r="L48" s="151">
        <f ca="1">VLOOKUP(A48,EHD[],16,FALSE)</f>
        <v>7435.6435000000001</v>
      </c>
      <c r="M48" s="143" t="s">
        <v>447</v>
      </c>
      <c r="N48" s="143" t="str">
        <f>IF(ISBLANK(VLOOKUP(A48,EHD[],20,FALSE)),"",VLOOKUP(A48,EHD[],20,FALSE))</f>
        <v>Jacobs - JOCs</v>
      </c>
      <c r="O48" s="152"/>
    </row>
    <row r="49" spans="1:15">
      <c r="A49" s="148" t="s">
        <v>57</v>
      </c>
      <c r="B49" s="144" t="str">
        <f>VLOOKUP(A49,Data[],2,FALSE)</f>
        <v>MANHATTAN</v>
      </c>
      <c r="C49" s="144" t="s">
        <v>27</v>
      </c>
      <c r="D49" s="9" t="str">
        <f>VLOOKUP(A49,Data[],52,FALSE)</f>
        <v>FEDERAL</v>
      </c>
      <c r="E49" s="9" t="str">
        <f ca="1">VLOOKUP(A49,Data[],4,FALSE)</f>
        <v/>
      </c>
      <c r="F49" s="9">
        <f>VLOOKUP(EHDAll[[#This Row],[DEVELOPMENT]],EHD[],7,FALSE)</f>
        <v>1</v>
      </c>
      <c r="G49" s="9">
        <f>VLOOKUP(EHDAll[[#This Row],[DEVELOPMENT]],Data[],67,FALSE)</f>
        <v>14</v>
      </c>
      <c r="H49" s="143">
        <f>IF(EHDAll[[#This Row],[STATUS]]="","",VLOOKUP(A49,EHD[],19,FALSE))</f>
        <v>2020</v>
      </c>
      <c r="I49" s="143">
        <f>IF(VLOOKUP(A49,EHD[],13,FALSE)=0,"",VLOOKUP(A49,EHD[],13,FALSE))</f>
        <v>2020</v>
      </c>
      <c r="J49" s="143" t="str">
        <f>IF(ISBLANK(VLOOKUP(A49,EHD[],14,FALSE)),"",VLOOKUP(A49,EHD[],14,FALSE))</f>
        <v>QUEUED</v>
      </c>
      <c r="K49" s="151">
        <f>VLOOKUP(A49,EHD[],15,FALSE)</f>
        <v>0</v>
      </c>
      <c r="L49" s="151">
        <f ca="1">VLOOKUP(A49,EHD[],16,FALSE)</f>
        <v>7435.6435000000001</v>
      </c>
      <c r="M49" s="143" t="s">
        <v>447</v>
      </c>
      <c r="N49" s="143" t="str">
        <f>IF(ISBLANK(VLOOKUP(A49,EHD[],20,FALSE)),"",VLOOKUP(A49,EHD[],20,FALSE))</f>
        <v>Jacobs - JOCs</v>
      </c>
      <c r="O49" s="152"/>
    </row>
    <row r="50" spans="1:15">
      <c r="A50" s="148" t="s">
        <v>58</v>
      </c>
      <c r="B50" s="144" t="str">
        <f>VLOOKUP(A50,Data[],2,FALSE)</f>
        <v>MANHATTAN</v>
      </c>
      <c r="C50" s="144" t="s">
        <v>27</v>
      </c>
      <c r="D50" s="9" t="str">
        <f>VLOOKUP(A50,Data[],52,FALSE)</f>
        <v>FEDERAL</v>
      </c>
      <c r="E50" s="9" t="str">
        <f ca="1">VLOOKUP(A50,Data[],4,FALSE)</f>
        <v/>
      </c>
      <c r="F50" s="9">
        <f>VLOOKUP(EHDAll[[#This Row],[DEVELOPMENT]],EHD[],7,FALSE)</f>
        <v>17</v>
      </c>
      <c r="G50" s="9">
        <f>VLOOKUP(EHDAll[[#This Row],[DEVELOPMENT]],Data[],67,FALSE)</f>
        <v>41833</v>
      </c>
      <c r="H50" s="143">
        <f>IF(EHDAll[[#This Row],[STATUS]]="","",VLOOKUP(A50,EHD[],19,FALSE))</f>
        <v>2020</v>
      </c>
      <c r="I50" s="143">
        <f>IF(VLOOKUP(A50,EHD[],13,FALSE)=0,"",VLOOKUP(A50,EHD[],13,FALSE))</f>
        <v>2020</v>
      </c>
      <c r="J50" s="143" t="str">
        <f>IF(ISBLANK(VLOOKUP(A50,EHD[],14,FALSE)),"",VLOOKUP(A50,EHD[],14,FALSE))</f>
        <v>QUEUED</v>
      </c>
      <c r="K50" s="151">
        <f>VLOOKUP(A50,EHD[],15,FALSE)</f>
        <v>0</v>
      </c>
      <c r="L50" s="151">
        <f ca="1">VLOOKUP(A50,EHD[],16,FALSE)</f>
        <v>126405.93950000001</v>
      </c>
      <c r="M50" s="143" t="s">
        <v>447</v>
      </c>
      <c r="N50" s="143" t="str">
        <f>IF(ISBLANK(VLOOKUP(A50,EHD[],20,FALSE)),"",VLOOKUP(A50,EHD[],20,FALSE))</f>
        <v>Jacobs - JOCs</v>
      </c>
      <c r="O50" s="152"/>
    </row>
    <row r="51" spans="1:15">
      <c r="A51" s="148" t="s">
        <v>142</v>
      </c>
      <c r="B51" s="144" t="str">
        <f>VLOOKUP(A51,Data[],2,FALSE)</f>
        <v>BROOKLYN</v>
      </c>
      <c r="C51" s="144" t="s">
        <v>27</v>
      </c>
      <c r="D51" s="9" t="str">
        <f>VLOOKUP(A51,Data[],52,FALSE)</f>
        <v>FEDERAL</v>
      </c>
      <c r="E51" s="9" t="str">
        <f ca="1">VLOOKUP(A51,Data[],4,FALSE)</f>
        <v/>
      </c>
      <c r="F51" s="9">
        <f>VLOOKUP(EHDAll[[#This Row],[DEVELOPMENT]],EHD[],7,FALSE)</f>
        <v>5</v>
      </c>
      <c r="G51" s="9">
        <f>VLOOKUP(EHDAll[[#This Row],[DEVELOPMENT]],Data[],67,FALSE)</f>
        <v>43561</v>
      </c>
      <c r="H51" s="143">
        <f>IF(EHDAll[[#This Row],[STATUS]]="","",VLOOKUP(A51,EHD[],19,FALSE))</f>
        <v>2020</v>
      </c>
      <c r="I51" s="143">
        <f>IF(VLOOKUP(A51,EHD[],13,FALSE)=0,"",VLOOKUP(A51,EHD[],13,FALSE))</f>
        <v>2020</v>
      </c>
      <c r="J51" s="143" t="str">
        <f>IF(ISBLANK(VLOOKUP(A51,EHD[],14,FALSE)),"",VLOOKUP(A51,EHD[],14,FALSE))</f>
        <v>QUEUED</v>
      </c>
      <c r="K51" s="151">
        <f>VLOOKUP(A51,EHD[],15,FALSE)</f>
        <v>0</v>
      </c>
      <c r="L51" s="151">
        <f ca="1">VLOOKUP(A51,EHD[],16,FALSE)</f>
        <v>37178.217499999999</v>
      </c>
      <c r="M51" s="143" t="s">
        <v>447</v>
      </c>
      <c r="N51" s="143" t="str">
        <f>IF(ISBLANK(VLOOKUP(A51,EHD[],20,FALSE)),"",VLOOKUP(A51,EHD[],20,FALSE))</f>
        <v>Jacobs - JOCs</v>
      </c>
      <c r="O51" s="152"/>
    </row>
    <row r="52" spans="1:15">
      <c r="A52" s="148" t="s">
        <v>121</v>
      </c>
      <c r="B52" s="144" t="str">
        <f>VLOOKUP(A52,Data[],2,FALSE)</f>
        <v>BRONX</v>
      </c>
      <c r="C52" s="144" t="s">
        <v>27</v>
      </c>
      <c r="D52" s="9" t="str">
        <f>VLOOKUP(A52,Data[],52,FALSE)</f>
        <v>FEDERAL</v>
      </c>
      <c r="E52" s="9" t="str">
        <f ca="1">VLOOKUP(A52,Data[],4,FALSE)</f>
        <v/>
      </c>
      <c r="F52" s="9">
        <f>VLOOKUP(EHDAll[[#This Row],[DEVELOPMENT]],EHD[],7,FALSE)</f>
        <v>2</v>
      </c>
      <c r="G52" s="9">
        <f>VLOOKUP(EHDAll[[#This Row],[DEVELOPMENT]],Data[],67,FALSE)</f>
        <v>10</v>
      </c>
      <c r="H52" s="143">
        <f>IF(EHDAll[[#This Row],[STATUS]]="","",VLOOKUP(A52,EHD[],19,FALSE))</f>
        <v>2020</v>
      </c>
      <c r="I52" s="143">
        <f>IF(VLOOKUP(A52,EHD[],13,FALSE)=0,"",VLOOKUP(A52,EHD[],13,FALSE))</f>
        <v>2020</v>
      </c>
      <c r="J52" s="143" t="str">
        <f>IF(ISBLANK(VLOOKUP(A52,EHD[],14,FALSE)),"",VLOOKUP(A52,EHD[],14,FALSE))</f>
        <v>QUEUED</v>
      </c>
      <c r="K52" s="151">
        <f>VLOOKUP(A52,EHD[],15,FALSE)</f>
        <v>0</v>
      </c>
      <c r="L52" s="151">
        <f ca="1">VLOOKUP(A52,EHD[],16,FALSE)</f>
        <v>14871.287</v>
      </c>
      <c r="M52" s="143" t="s">
        <v>447</v>
      </c>
      <c r="N52" s="143" t="str">
        <f>IF(ISBLANK(VLOOKUP(A52,EHD[],20,FALSE)),"",VLOOKUP(A52,EHD[],20,FALSE))</f>
        <v>Jacobs - JOCs</v>
      </c>
      <c r="O52" s="152"/>
    </row>
    <row r="53" spans="1:15">
      <c r="A53" s="148" t="s">
        <v>61</v>
      </c>
      <c r="B53" s="144" t="str">
        <f>VLOOKUP(A53,Data[],2,FALSE)</f>
        <v>MANHATTAN</v>
      </c>
      <c r="C53" s="144" t="s">
        <v>27</v>
      </c>
      <c r="D53" s="9" t="str">
        <f>VLOOKUP(A53,Data[],52,FALSE)</f>
        <v>FEDERAL</v>
      </c>
      <c r="E53" s="9" t="str">
        <f ca="1">VLOOKUP(A53,Data[],4,FALSE)</f>
        <v/>
      </c>
      <c r="F53" s="9">
        <f>VLOOKUP(EHDAll[[#This Row],[DEVELOPMENT]],EHD[],7,FALSE)</f>
        <v>4</v>
      </c>
      <c r="G53" s="9">
        <f>VLOOKUP(EHDAll[[#This Row],[DEVELOPMENT]],Data[],67,FALSE)</f>
        <v>20</v>
      </c>
      <c r="H53" s="143">
        <f>IF(EHDAll[[#This Row],[STATUS]]="","",VLOOKUP(A53,EHD[],19,FALSE))</f>
        <v>2020</v>
      </c>
      <c r="I53" s="143">
        <f>IF(VLOOKUP(A53,EHD[],13,FALSE)=0,"",VLOOKUP(A53,EHD[],13,FALSE))</f>
        <v>2020</v>
      </c>
      <c r="J53" s="143" t="str">
        <f>IF(ISBLANK(VLOOKUP(A53,EHD[],14,FALSE)),"",VLOOKUP(A53,EHD[],14,FALSE))</f>
        <v>QUEUED</v>
      </c>
      <c r="K53" s="151">
        <f>VLOOKUP(A53,EHD[],15,FALSE)</f>
        <v>0</v>
      </c>
      <c r="L53" s="151">
        <f ca="1">VLOOKUP(A53,EHD[],16,FALSE)</f>
        <v>29742.574000000001</v>
      </c>
      <c r="M53" s="143" t="s">
        <v>447</v>
      </c>
      <c r="N53" s="143" t="str">
        <f>IF(ISBLANK(VLOOKUP(A53,EHD[],20,FALSE)),"",VLOOKUP(A53,EHD[],20,FALSE))</f>
        <v>Jacobs - JOCs</v>
      </c>
      <c r="O53" s="152"/>
    </row>
    <row r="54" spans="1:15">
      <c r="A54" s="148" t="s">
        <v>266</v>
      </c>
      <c r="B54" s="144" t="str">
        <f>VLOOKUP(A54,Data[],2,FALSE)</f>
        <v>MANHATTAN</v>
      </c>
      <c r="C54" s="144" t="s">
        <v>27</v>
      </c>
      <c r="D54" s="9" t="str">
        <f>VLOOKUP(A54,Data[],52,FALSE)</f>
        <v>FEDERAL</v>
      </c>
      <c r="E54" s="9" t="str">
        <f ca="1">VLOOKUP(A54,Data[],4,FALSE)</f>
        <v/>
      </c>
      <c r="F54" s="9">
        <f>VLOOKUP(EHDAll[[#This Row],[DEVELOPMENT]],EHD[],7,FALSE)</f>
        <v>1</v>
      </c>
      <c r="G54" s="9">
        <f>VLOOKUP(EHDAll[[#This Row],[DEVELOPMENT]],Data[],67,FALSE)</f>
        <v>17</v>
      </c>
      <c r="H54" s="143">
        <f>IF(EHDAll[[#This Row],[STATUS]]="","",VLOOKUP(A54,EHD[],19,FALSE))</f>
        <v>2020</v>
      </c>
      <c r="I54" s="143">
        <f>IF(VLOOKUP(A54,EHD[],13,FALSE)=0,"",VLOOKUP(A54,EHD[],13,FALSE))</f>
        <v>2020</v>
      </c>
      <c r="J54" s="143" t="str">
        <f>IF(ISBLANK(VLOOKUP(A54,EHD[],14,FALSE)),"",VLOOKUP(A54,EHD[],14,FALSE))</f>
        <v>QUEUED</v>
      </c>
      <c r="K54" s="151">
        <f>VLOOKUP(A54,EHD[],15,FALSE)</f>
        <v>0</v>
      </c>
      <c r="L54" s="151">
        <f ca="1">VLOOKUP(A54,EHD[],16,FALSE)</f>
        <v>7435.6435000000001</v>
      </c>
      <c r="M54" s="143" t="s">
        <v>447</v>
      </c>
      <c r="N54" s="143" t="str">
        <f>IF(ISBLANK(VLOOKUP(A54,EHD[],20,FALSE)),"",VLOOKUP(A54,EHD[],20,FALSE))</f>
        <v/>
      </c>
      <c r="O54" s="152"/>
    </row>
    <row r="55" spans="1:15">
      <c r="A55" s="148" t="s">
        <v>139</v>
      </c>
      <c r="B55" s="144" t="str">
        <f>VLOOKUP(A55,Data[],2,FALSE)</f>
        <v>BROOKLYN</v>
      </c>
      <c r="C55" s="144" t="s">
        <v>27</v>
      </c>
      <c r="D55" s="9" t="str">
        <f>VLOOKUP(A55,Data[],52,FALSE)</f>
        <v>FEDERAL</v>
      </c>
      <c r="E55" s="9" t="str">
        <f ca="1">VLOOKUP(A55,Data[],4,FALSE)</f>
        <v/>
      </c>
      <c r="F55" s="9">
        <f>VLOOKUP(EHDAll[[#This Row],[DEVELOPMENT]],EHD[],7,FALSE)</f>
        <v>1</v>
      </c>
      <c r="G55" s="9">
        <f>VLOOKUP(EHDAll[[#This Row],[DEVELOPMENT]],Data[],67,FALSE)</f>
        <v>19</v>
      </c>
      <c r="H55" s="143">
        <f>IF(EHDAll[[#This Row],[STATUS]]="","",VLOOKUP(A55,EHD[],19,FALSE))</f>
        <v>2020</v>
      </c>
      <c r="I55" s="143">
        <f>IF(VLOOKUP(A55,EHD[],13,FALSE)=0,"",VLOOKUP(A55,EHD[],13,FALSE))</f>
        <v>2020</v>
      </c>
      <c r="J55" s="143" t="str">
        <f>IF(ISBLANK(VLOOKUP(A55,EHD[],14,FALSE)),"",VLOOKUP(A55,EHD[],14,FALSE))</f>
        <v>QUEUED</v>
      </c>
      <c r="K55" s="151">
        <f>VLOOKUP(A55,EHD[],15,FALSE)</f>
        <v>0</v>
      </c>
      <c r="L55" s="151">
        <f ca="1">VLOOKUP(A55,EHD[],16,FALSE)</f>
        <v>7435.6435000000001</v>
      </c>
      <c r="M55" s="143" t="s">
        <v>447</v>
      </c>
      <c r="N55" s="143" t="str">
        <f>IF(ISBLANK(VLOOKUP(A55,EHD[],20,FALSE)),"",VLOOKUP(A55,EHD[],20,FALSE))</f>
        <v>Jacobs - JOCs</v>
      </c>
      <c r="O55" s="152"/>
    </row>
    <row r="56" spans="1:15">
      <c r="A56" s="148" t="s">
        <v>62</v>
      </c>
      <c r="B56" s="144" t="str">
        <f>VLOOKUP(A56,Data[],2,FALSE)</f>
        <v>MANHATTAN</v>
      </c>
      <c r="C56" s="144" t="s">
        <v>27</v>
      </c>
      <c r="D56" s="9" t="str">
        <f>VLOOKUP(A56,Data[],52,FALSE)</f>
        <v>FEDERAL</v>
      </c>
      <c r="E56" s="9" t="str">
        <f ca="1">VLOOKUP(A56,Data[],4,FALSE)</f>
        <v/>
      </c>
      <c r="F56" s="9">
        <f>VLOOKUP(EHDAll[[#This Row],[DEVELOPMENT]],EHD[],7,FALSE)</f>
        <v>1</v>
      </c>
      <c r="G56" s="9">
        <f>VLOOKUP(EHDAll[[#This Row],[DEVELOPMENT]],Data[],67,FALSE)</f>
        <v>43564</v>
      </c>
      <c r="H56" s="143">
        <f>IF(EHDAll[[#This Row],[STATUS]]="","",VLOOKUP(A56,EHD[],19,FALSE))</f>
        <v>2020</v>
      </c>
      <c r="I56" s="143">
        <f>IF(VLOOKUP(A56,EHD[],13,FALSE)=0,"",VLOOKUP(A56,EHD[],13,FALSE))</f>
        <v>2020</v>
      </c>
      <c r="J56" s="143" t="str">
        <f>IF(ISBLANK(VLOOKUP(A56,EHD[],14,FALSE)),"",VLOOKUP(A56,EHD[],14,FALSE))</f>
        <v>QUEUED</v>
      </c>
      <c r="K56" s="151">
        <f>VLOOKUP(A56,EHD[],15,FALSE)</f>
        <v>0</v>
      </c>
      <c r="L56" s="151">
        <f ca="1">VLOOKUP(A56,EHD[],16,FALSE)</f>
        <v>7435.6435000000001</v>
      </c>
      <c r="M56" s="143" t="s">
        <v>447</v>
      </c>
      <c r="N56" s="143" t="str">
        <f>IF(ISBLANK(VLOOKUP(A56,EHD[],20,FALSE)),"",VLOOKUP(A56,EHD[],20,FALSE))</f>
        <v>Jacobs - JOCs</v>
      </c>
      <c r="O56" s="152"/>
    </row>
    <row r="57" spans="1:15">
      <c r="A57" s="148" t="s">
        <v>140</v>
      </c>
      <c r="B57" s="144" t="str">
        <f>VLOOKUP(A57,Data[],2,FALSE)</f>
        <v>BRONX</v>
      </c>
      <c r="C57" s="144" t="s">
        <v>27</v>
      </c>
      <c r="D57" s="9" t="str">
        <f>VLOOKUP(A57,Data[],52,FALSE)</f>
        <v>FEDERAL</v>
      </c>
      <c r="E57" s="9" t="str">
        <f ca="1">VLOOKUP(A57,Data[],4,FALSE)</f>
        <v/>
      </c>
      <c r="F57" s="9">
        <f>VLOOKUP(EHDAll[[#This Row],[DEVELOPMENT]],EHD[],7,FALSE)</f>
        <v>7</v>
      </c>
      <c r="G57" s="9" t="str">
        <f>VLOOKUP(EHDAll[[#This Row],[DEVELOPMENT]],Data[],67,FALSE)</f>
        <v>16-20</v>
      </c>
      <c r="H57" s="143">
        <f>IF(EHDAll[[#This Row],[STATUS]]="","",VLOOKUP(A57,EHD[],19,FALSE))</f>
        <v>2020</v>
      </c>
      <c r="I57" s="143">
        <f>IF(VLOOKUP(A57,EHD[],13,FALSE)=0,"",VLOOKUP(A57,EHD[],13,FALSE))</f>
        <v>2020</v>
      </c>
      <c r="J57" s="143" t="str">
        <f>IF(ISBLANK(VLOOKUP(A57,EHD[],14,FALSE)),"",VLOOKUP(A57,EHD[],14,FALSE))</f>
        <v>QUEUED</v>
      </c>
      <c r="K57" s="151">
        <f>VLOOKUP(A57,EHD[],15,FALSE)</f>
        <v>0</v>
      </c>
      <c r="L57" s="151">
        <f ca="1">VLOOKUP(A57,EHD[],16,FALSE)</f>
        <v>52049.504500000003</v>
      </c>
      <c r="M57" s="143" t="s">
        <v>447</v>
      </c>
      <c r="N57" s="143" t="str">
        <f>IF(ISBLANK(VLOOKUP(A57,EHD[],20,FALSE)),"",VLOOKUP(A57,EHD[],20,FALSE))</f>
        <v>Jacobs - JOCs</v>
      </c>
      <c r="O57" s="152"/>
    </row>
    <row r="58" spans="1:15">
      <c r="A58" s="148" t="s">
        <v>147</v>
      </c>
      <c r="B58" s="144" t="str">
        <f>VLOOKUP(A58,Data[],2,FALSE)</f>
        <v>BRONX</v>
      </c>
      <c r="C58" s="144" t="s">
        <v>27</v>
      </c>
      <c r="D58" s="9" t="str">
        <f>VLOOKUP(A58,Data[],52,FALSE)</f>
        <v>FEDERAL</v>
      </c>
      <c r="E58" s="9" t="str">
        <f ca="1">VLOOKUP(A58,Data[],4,FALSE)</f>
        <v/>
      </c>
      <c r="F58" s="9">
        <f>VLOOKUP(EHDAll[[#This Row],[DEVELOPMENT]],EHD[],7,FALSE)</f>
        <v>2</v>
      </c>
      <c r="G58" s="9">
        <f>VLOOKUP(EHDAll[[#This Row],[DEVELOPMENT]],Data[],67,FALSE)</f>
        <v>16</v>
      </c>
      <c r="H58" s="143">
        <f>IF(EHDAll[[#This Row],[STATUS]]="","",VLOOKUP(A58,EHD[],19,FALSE))</f>
        <v>2020</v>
      </c>
      <c r="I58" s="143">
        <f>IF(VLOOKUP(A58,EHD[],13,FALSE)=0,"",VLOOKUP(A58,EHD[],13,FALSE))</f>
        <v>2020</v>
      </c>
      <c r="J58" s="143" t="str">
        <f>IF(ISBLANK(VLOOKUP(A58,EHD[],14,FALSE)),"",VLOOKUP(A58,EHD[],14,FALSE))</f>
        <v>QUEUED</v>
      </c>
      <c r="K58" s="151">
        <f>VLOOKUP(A58,EHD[],15,FALSE)</f>
        <v>0</v>
      </c>
      <c r="L58" s="151">
        <f ca="1">VLOOKUP(A58,EHD[],16,FALSE)</f>
        <v>14871.287</v>
      </c>
      <c r="M58" s="143" t="s">
        <v>447</v>
      </c>
      <c r="N58" s="143" t="str">
        <f>IF(ISBLANK(VLOOKUP(A58,EHD[],20,FALSE)),"",VLOOKUP(A58,EHD[],20,FALSE))</f>
        <v>Jacobs - JOCs</v>
      </c>
      <c r="O58" s="152"/>
    </row>
    <row r="59" spans="1:15">
      <c r="A59" s="148" t="s">
        <v>55</v>
      </c>
      <c r="B59" s="144" t="str">
        <f>VLOOKUP(A59,Data[],2,FALSE)</f>
        <v>MANHATTAN</v>
      </c>
      <c r="C59" s="144" t="s">
        <v>27</v>
      </c>
      <c r="D59" s="9" t="str">
        <f>VLOOKUP(A59,Data[],52,FALSE)</f>
        <v>FEDERAL</v>
      </c>
      <c r="E59" s="9" t="str">
        <f ca="1">VLOOKUP(A59,Data[],4,FALSE)</f>
        <v/>
      </c>
      <c r="F59" s="9">
        <f>VLOOKUP(EHDAll[[#This Row],[DEVELOPMENT]],EHD[],7,FALSE)</f>
        <v>18</v>
      </c>
      <c r="G59" s="9">
        <f>VLOOKUP(EHDAll[[#This Row],[DEVELOPMENT]],Data[],67,FALSE)</f>
        <v>41803</v>
      </c>
      <c r="H59" s="143">
        <f>IF(EHDAll[[#This Row],[STATUS]]="","",VLOOKUP(A59,EHD[],19,FALSE))</f>
        <v>2020</v>
      </c>
      <c r="I59" s="143">
        <f>IF(VLOOKUP(A59,EHD[],13,FALSE)=0,"",VLOOKUP(A59,EHD[],13,FALSE))</f>
        <v>2020</v>
      </c>
      <c r="J59" s="143" t="str">
        <f>IF(ISBLANK(VLOOKUP(A59,EHD[],14,FALSE)),"",VLOOKUP(A59,EHD[],14,FALSE))</f>
        <v>QUEUED</v>
      </c>
      <c r="K59" s="151">
        <f>VLOOKUP(A59,EHD[],15,FALSE)</f>
        <v>0</v>
      </c>
      <c r="L59" s="151">
        <f ca="1">VLOOKUP(A59,EHD[],16,FALSE)</f>
        <v>133841.58300000001</v>
      </c>
      <c r="M59" s="143" t="s">
        <v>447</v>
      </c>
      <c r="N59" s="143" t="str">
        <f>IF(ISBLANK(VLOOKUP(A59,EHD[],20,FALSE)),"",VLOOKUP(A59,EHD[],20,FALSE))</f>
        <v>Jacobs - JOCs</v>
      </c>
      <c r="O59" s="152"/>
    </row>
    <row r="60" spans="1:15">
      <c r="A60" s="148" t="s">
        <v>104</v>
      </c>
      <c r="B60" s="144" t="str">
        <f>VLOOKUP(A60,Data[],2,FALSE)</f>
        <v>MANHATTAN</v>
      </c>
      <c r="C60" s="144" t="s">
        <v>27</v>
      </c>
      <c r="D60" s="9" t="str">
        <f>VLOOKUP(A60,Data[],52,FALSE)</f>
        <v>FEDERAL</v>
      </c>
      <c r="E60" s="9" t="str">
        <f ca="1">VLOOKUP(A60,Data[],4,FALSE)</f>
        <v/>
      </c>
      <c r="F60" s="9">
        <f>VLOOKUP(EHDAll[[#This Row],[DEVELOPMENT]],EHD[],7,FALSE)</f>
        <v>8</v>
      </c>
      <c r="G60" s="9">
        <f>VLOOKUP(EHDAll[[#This Row],[DEVELOPMENT]],Data[],67,FALSE)</f>
        <v>41803</v>
      </c>
      <c r="H60" s="143">
        <f>IF(EHDAll[[#This Row],[STATUS]]="","",VLOOKUP(A60,EHD[],19,FALSE))</f>
        <v>2020</v>
      </c>
      <c r="I60" s="143">
        <f>IF(VLOOKUP(A60,EHD[],13,FALSE)=0,"",VLOOKUP(A60,EHD[],13,FALSE))</f>
        <v>2020</v>
      </c>
      <c r="J60" s="143" t="str">
        <f>IF(ISBLANK(VLOOKUP(A60,EHD[],14,FALSE)),"",VLOOKUP(A60,EHD[],14,FALSE))</f>
        <v>QUEUED</v>
      </c>
      <c r="K60" s="151">
        <f>VLOOKUP(A60,EHD[],15,FALSE)</f>
        <v>0</v>
      </c>
      <c r="L60" s="151">
        <f ca="1">VLOOKUP(A60,EHD[],16,FALSE)</f>
        <v>59485.148000000001</v>
      </c>
      <c r="M60" s="143" t="s">
        <v>447</v>
      </c>
      <c r="N60" s="143" t="str">
        <f>IF(ISBLANK(VLOOKUP(A60,EHD[],20,FALSE)),"",VLOOKUP(A60,EHD[],20,FALSE))</f>
        <v/>
      </c>
      <c r="O60" s="152"/>
    </row>
    <row r="61" spans="1:15">
      <c r="A61" s="148" t="s">
        <v>148</v>
      </c>
      <c r="B61" s="144" t="str">
        <f>VLOOKUP(A61,Data[],2,FALSE)</f>
        <v>BROOKLYN</v>
      </c>
      <c r="C61" s="144" t="s">
        <v>27</v>
      </c>
      <c r="D61" s="9" t="str">
        <f>VLOOKUP(A61,Data[],52,FALSE)</f>
        <v>FEDERAL</v>
      </c>
      <c r="E61" s="9" t="str">
        <f ca="1">VLOOKUP(A61,Data[],4,FALSE)</f>
        <v/>
      </c>
      <c r="F61" s="9">
        <f>VLOOKUP(EHDAll[[#This Row],[DEVELOPMENT]],EHD[],7,FALSE)</f>
        <v>3</v>
      </c>
      <c r="G61" s="9" t="str">
        <f>VLOOKUP(EHDAll[[#This Row],[DEVELOPMENT]],Data[],67,FALSE)</f>
        <v>14-15</v>
      </c>
      <c r="H61" s="143">
        <f>IF(EHDAll[[#This Row],[STATUS]]="","",VLOOKUP(A61,EHD[],19,FALSE))</f>
        <v>2020</v>
      </c>
      <c r="I61" s="143">
        <f>IF(VLOOKUP(A61,EHD[],13,FALSE)=0,"",VLOOKUP(A61,EHD[],13,FALSE))</f>
        <v>2020</v>
      </c>
      <c r="J61" s="143" t="str">
        <f>IF(ISBLANK(VLOOKUP(A61,EHD[],14,FALSE)),"",VLOOKUP(A61,EHD[],14,FALSE))</f>
        <v>QUEUED</v>
      </c>
      <c r="K61" s="151">
        <f>VLOOKUP(A61,EHD[],15,FALSE)</f>
        <v>0</v>
      </c>
      <c r="L61" s="151">
        <f ca="1">VLOOKUP(A61,EHD[],16,FALSE)</f>
        <v>22306.930500000002</v>
      </c>
      <c r="M61" s="143" t="s">
        <v>447</v>
      </c>
      <c r="N61" s="143" t="str">
        <f>IF(ISBLANK(VLOOKUP(A61,EHD[],20,FALSE)),"",VLOOKUP(A61,EHD[],20,FALSE))</f>
        <v>Jacobs - JOCs</v>
      </c>
      <c r="O61" s="152"/>
    </row>
    <row r="62" spans="1:15">
      <c r="A62" s="148" t="s">
        <v>65</v>
      </c>
      <c r="B62" s="144" t="str">
        <f>VLOOKUP(A62,Data[],2,FALSE)</f>
        <v>MANHATTAN</v>
      </c>
      <c r="C62" s="144" t="s">
        <v>27</v>
      </c>
      <c r="D62" s="9" t="str">
        <f>VLOOKUP(A62,Data[],52,FALSE)</f>
        <v>FEDERAL</v>
      </c>
      <c r="E62" s="9" t="str">
        <f ca="1">VLOOKUP(A62,Data[],4,FALSE)</f>
        <v/>
      </c>
      <c r="F62" s="9">
        <f>VLOOKUP(EHDAll[[#This Row],[DEVELOPMENT]],EHD[],7,FALSE)</f>
        <v>2</v>
      </c>
      <c r="G62" s="9">
        <f>VLOOKUP(EHDAll[[#This Row],[DEVELOPMENT]],Data[],67,FALSE)</f>
        <v>23</v>
      </c>
      <c r="H62" s="143">
        <f>IF(EHDAll[[#This Row],[STATUS]]="","",VLOOKUP(A62,EHD[],19,FALSE))</f>
        <v>2020</v>
      </c>
      <c r="I62" s="143">
        <f>IF(VLOOKUP(A62,EHD[],13,FALSE)=0,"",VLOOKUP(A62,EHD[],13,FALSE))</f>
        <v>2020</v>
      </c>
      <c r="J62" s="143" t="str">
        <f>IF(ISBLANK(VLOOKUP(A62,EHD[],14,FALSE)),"",VLOOKUP(A62,EHD[],14,FALSE))</f>
        <v>QUEUED</v>
      </c>
      <c r="K62" s="151">
        <f>VLOOKUP(A62,EHD[],15,FALSE)</f>
        <v>0</v>
      </c>
      <c r="L62" s="151">
        <f ca="1">VLOOKUP(A62,EHD[],16,FALSE)</f>
        <v>14871.287</v>
      </c>
      <c r="M62" s="143" t="s">
        <v>447</v>
      </c>
      <c r="N62" s="143" t="str">
        <f>IF(ISBLANK(VLOOKUP(A62,EHD[],20,FALSE)),"",VLOOKUP(A62,EHD[],20,FALSE))</f>
        <v>Jacobs - JOCs</v>
      </c>
      <c r="O62" s="152"/>
    </row>
    <row r="63" spans="1:15">
      <c r="A63" s="148" t="s">
        <v>51</v>
      </c>
      <c r="B63" s="144" t="str">
        <f>VLOOKUP(A63,Data[],2,FALSE)</f>
        <v>MANHATTAN</v>
      </c>
      <c r="C63" s="144" t="s">
        <v>27</v>
      </c>
      <c r="D63" s="9" t="str">
        <f>VLOOKUP(A63,Data[],52,FALSE)</f>
        <v>FEDERAL</v>
      </c>
      <c r="E63" s="9" t="str">
        <f ca="1">VLOOKUP(A63,Data[],4,FALSE)</f>
        <v/>
      </c>
      <c r="F63" s="9">
        <f>VLOOKUP(EHDAll[[#This Row],[DEVELOPMENT]],EHD[],7,FALSE)</f>
        <v>1</v>
      </c>
      <c r="G63" s="9">
        <f>VLOOKUP(EHDAll[[#This Row],[DEVELOPMENT]],Data[],67,FALSE)</f>
        <v>26</v>
      </c>
      <c r="H63" s="143">
        <f>IF(EHDAll[[#This Row],[STATUS]]="","",VLOOKUP(A63,EHD[],19,FALSE))</f>
        <v>2020</v>
      </c>
      <c r="I63" s="143">
        <f>IF(VLOOKUP(A63,EHD[],13,FALSE)=0,"",VLOOKUP(A63,EHD[],13,FALSE))</f>
        <v>2020</v>
      </c>
      <c r="J63" s="143" t="str">
        <f>IF(ISBLANK(VLOOKUP(A63,EHD[],14,FALSE)),"",VLOOKUP(A63,EHD[],14,FALSE))</f>
        <v>QUEUED</v>
      </c>
      <c r="K63" s="151">
        <f>VLOOKUP(A63,EHD[],15,FALSE)</f>
        <v>0</v>
      </c>
      <c r="L63" s="151">
        <f ca="1">VLOOKUP(A63,EHD[],16,FALSE)</f>
        <v>7435.6435000000001</v>
      </c>
      <c r="M63" s="143" t="s">
        <v>447</v>
      </c>
      <c r="N63" s="143" t="str">
        <f>IF(ISBLANK(VLOOKUP(A63,EHD[],20,FALSE)),"",VLOOKUP(A63,EHD[],20,FALSE))</f>
        <v>Jacobs - JOCs</v>
      </c>
      <c r="O63" s="152"/>
    </row>
    <row r="64" spans="1:15">
      <c r="A64" s="148" t="s">
        <v>108</v>
      </c>
      <c r="B64" s="144" t="str">
        <f>VLOOKUP(A64,Data[],2,FALSE)</f>
        <v>MANHATTAN</v>
      </c>
      <c r="C64" s="144" t="s">
        <v>27</v>
      </c>
      <c r="D64" s="9" t="str">
        <f>VLOOKUP(A64,Data[],52,FALSE)</f>
        <v>FEDERAL</v>
      </c>
      <c r="E64" s="9" t="str">
        <f ca="1">VLOOKUP(A64,Data[],4,FALSE)</f>
        <v/>
      </c>
      <c r="F64" s="9">
        <f>VLOOKUP(EHDAll[[#This Row],[DEVELOPMENT]],EHD[],7,FALSE)</f>
        <v>9</v>
      </c>
      <c r="G64" s="9">
        <f>VLOOKUP(EHDAll[[#This Row],[DEVELOPMENT]],Data[],67,FALSE)</f>
        <v>6</v>
      </c>
      <c r="H64" s="143">
        <f>IF(EHDAll[[#This Row],[STATUS]]="","",VLOOKUP(A64,EHD[],19,FALSE))</f>
        <v>2020</v>
      </c>
      <c r="I64" s="143">
        <f>IF(VLOOKUP(A64,EHD[],13,FALSE)=0,"",VLOOKUP(A64,EHD[],13,FALSE))</f>
        <v>2020</v>
      </c>
      <c r="J64" s="143" t="str">
        <f>IF(ISBLANK(VLOOKUP(A64,EHD[],14,FALSE)),"",VLOOKUP(A64,EHD[],14,FALSE))</f>
        <v>QUEUED</v>
      </c>
      <c r="K64" s="151">
        <f>VLOOKUP(A64,EHD[],15,FALSE)</f>
        <v>0</v>
      </c>
      <c r="L64" s="151">
        <f ca="1">VLOOKUP(A64,EHD[],16,FALSE)</f>
        <v>66920.791500000007</v>
      </c>
      <c r="M64" s="143" t="s">
        <v>447</v>
      </c>
      <c r="N64" s="143" t="str">
        <f>IF(ISBLANK(VLOOKUP(A64,EHD[],20,FALSE)),"",VLOOKUP(A64,EHD[],20,FALSE))</f>
        <v/>
      </c>
      <c r="O64" s="152"/>
    </row>
    <row r="65" spans="1:15">
      <c r="A65" s="148" t="s">
        <v>66</v>
      </c>
      <c r="B65" s="144" t="str">
        <f>VLOOKUP(A65,Data[],2,FALSE)</f>
        <v>MANHATTAN</v>
      </c>
      <c r="C65" s="144" t="s">
        <v>27</v>
      </c>
      <c r="D65" s="9" t="str">
        <f>VLOOKUP(A65,Data[],52,FALSE)</f>
        <v>FEDERAL</v>
      </c>
      <c r="E65" s="9" t="str">
        <f ca="1">VLOOKUP(A65,Data[],4,FALSE)</f>
        <v/>
      </c>
      <c r="F65" s="9">
        <f>VLOOKUP(EHDAll[[#This Row],[DEVELOPMENT]],EHD[],7,FALSE)</f>
        <v>16</v>
      </c>
      <c r="G65" s="9">
        <f>VLOOKUP(EHDAll[[#This Row],[DEVELOPMENT]],Data[],67,FALSE)</f>
        <v>43783</v>
      </c>
      <c r="H65" s="143">
        <f>IF(EHDAll[[#This Row],[STATUS]]="","",VLOOKUP(A65,EHD[],19,FALSE))</f>
        <v>2020</v>
      </c>
      <c r="I65" s="143">
        <f>IF(VLOOKUP(A65,EHD[],13,FALSE)=0,"",VLOOKUP(A65,EHD[],13,FALSE))</f>
        <v>2020</v>
      </c>
      <c r="J65" s="143" t="str">
        <f>IF(ISBLANK(VLOOKUP(A65,EHD[],14,FALSE)),"",VLOOKUP(A65,EHD[],14,FALSE))</f>
        <v>QUEUED</v>
      </c>
      <c r="K65" s="151">
        <f>VLOOKUP(A65,EHD[],15,FALSE)</f>
        <v>0</v>
      </c>
      <c r="L65" s="151">
        <f ca="1">VLOOKUP(A65,EHD[],16,FALSE)</f>
        <v>118970.296</v>
      </c>
      <c r="M65" s="143" t="s">
        <v>447</v>
      </c>
      <c r="N65" s="143" t="str">
        <f>IF(ISBLANK(VLOOKUP(A65,EHD[],20,FALSE)),"",VLOOKUP(A65,EHD[],20,FALSE))</f>
        <v>Jacobs - JOCs</v>
      </c>
      <c r="O65" s="152"/>
    </row>
    <row r="66" spans="1:15">
      <c r="A66" s="148" t="s">
        <v>59</v>
      </c>
      <c r="B66" s="144" t="str">
        <f>VLOOKUP(A66,Data[],2,FALSE)</f>
        <v>MANHATTAN</v>
      </c>
      <c r="C66" s="144" t="s">
        <v>27</v>
      </c>
      <c r="D66" s="9" t="str">
        <f>VLOOKUP(A66,Data[],52,FALSE)</f>
        <v>FEDERAL</v>
      </c>
      <c r="E66" s="9" t="str">
        <f ca="1">VLOOKUP(A66,Data[],4,FALSE)</f>
        <v>2026+</v>
      </c>
      <c r="F66" s="9">
        <f>VLOOKUP(EHDAll[[#This Row],[DEVELOPMENT]],EHD[],7,FALSE)</f>
        <v>2</v>
      </c>
      <c r="G66" s="9">
        <f>VLOOKUP(EHDAll[[#This Row],[DEVELOPMENT]],Data[],67,FALSE)</f>
        <v>7</v>
      </c>
      <c r="H66" s="143">
        <f>IF(EHDAll[[#This Row],[STATUS]]="","",VLOOKUP(A66,EHD[],19,FALSE))</f>
        <v>2020</v>
      </c>
      <c r="I66" s="143">
        <f>IF(VLOOKUP(A66,EHD[],13,FALSE)=0,"",VLOOKUP(A66,EHD[],13,FALSE))</f>
        <v>2020</v>
      </c>
      <c r="J66" s="143" t="str">
        <f>IF(ISBLANK(VLOOKUP(A66,EHD[],14,FALSE)),"",VLOOKUP(A66,EHD[],14,FALSE))</f>
        <v>CANCELED</v>
      </c>
      <c r="K66" s="151">
        <f>VLOOKUP(A66,EHD[],15,FALSE)</f>
        <v>0</v>
      </c>
      <c r="L66" s="151">
        <f ca="1">VLOOKUP(A66,EHD[],16,FALSE)</f>
        <v>14871.287</v>
      </c>
      <c r="M66" s="143"/>
      <c r="N66" s="143"/>
      <c r="O66" s="152"/>
    </row>
    <row r="67" spans="1:15">
      <c r="A67" s="148" t="s">
        <v>60</v>
      </c>
      <c r="B67" s="144" t="str">
        <f>VLOOKUP(A67,Data[],2,FALSE)</f>
        <v>MANHATTAN</v>
      </c>
      <c r="C67" s="144" t="s">
        <v>27</v>
      </c>
      <c r="D67" s="9" t="str">
        <f>VLOOKUP(A67,Data[],52,FALSE)</f>
        <v>FEDERAL</v>
      </c>
      <c r="E67" s="9" t="str">
        <f ca="1">VLOOKUP(A67,Data[],4,FALSE)</f>
        <v>2026+</v>
      </c>
      <c r="F67" s="9">
        <f>VLOOKUP(EHDAll[[#This Row],[DEVELOPMENT]],EHD[],7,FALSE)</f>
        <v>3</v>
      </c>
      <c r="G67" s="9">
        <f>VLOOKUP(EHDAll[[#This Row],[DEVELOPMENT]],Data[],67,FALSE)</f>
        <v>43725</v>
      </c>
      <c r="H67" s="143">
        <f>IF(EHDAll[[#This Row],[STATUS]]="","",VLOOKUP(A67,EHD[],19,FALSE))</f>
        <v>2020</v>
      </c>
      <c r="I67" s="143">
        <f>IF(VLOOKUP(A67,EHD[],13,FALSE)=0,"",VLOOKUP(A67,EHD[],13,FALSE))</f>
        <v>2020</v>
      </c>
      <c r="J67" s="143" t="str">
        <f>IF(ISBLANK(VLOOKUP(A67,EHD[],14,FALSE)),"",VLOOKUP(A67,EHD[],14,FALSE))</f>
        <v>CANCELED</v>
      </c>
      <c r="K67" s="151">
        <f>VLOOKUP(A67,EHD[],15,FALSE)</f>
        <v>0</v>
      </c>
      <c r="L67" s="151">
        <f ca="1">VLOOKUP(A67,EHD[],16,FALSE)</f>
        <v>22306.930500000002</v>
      </c>
      <c r="M67" s="143"/>
      <c r="N67" s="143"/>
      <c r="O67" s="152"/>
    </row>
    <row r="68" spans="1:15">
      <c r="A68" s="148" t="s">
        <v>143</v>
      </c>
      <c r="B68" s="144" t="str">
        <f>VLOOKUP(A68,Data[],2,FALSE)</f>
        <v>BRONX</v>
      </c>
      <c r="C68" s="144" t="s">
        <v>27</v>
      </c>
      <c r="D68" s="9" t="str">
        <f>VLOOKUP(A68,Data[],52,FALSE)</f>
        <v>FEDERAL</v>
      </c>
      <c r="E68" s="9" t="str">
        <f ca="1">VLOOKUP(A68,Data[],4,FALSE)</f>
        <v>2022-2025</v>
      </c>
      <c r="F68" s="9">
        <f>VLOOKUP(EHDAll[[#This Row],[DEVELOPMENT]],EHD[],7,FALSE)</f>
        <v>4</v>
      </c>
      <c r="G68" s="9">
        <f>VLOOKUP(EHDAll[[#This Row],[DEVELOPMENT]],Data[],67,FALSE)</f>
        <v>43591</v>
      </c>
      <c r="H68" s="143">
        <f>IF(EHDAll[[#This Row],[STATUS]]="","",VLOOKUP(A68,EHD[],19,FALSE))</f>
        <v>2020</v>
      </c>
      <c r="I68" s="143">
        <f>IF(VLOOKUP(A68,EHD[],13,FALSE)=0,"",VLOOKUP(A68,EHD[],13,FALSE))</f>
        <v>2020</v>
      </c>
      <c r="J68" s="143" t="str">
        <f>IF(ISBLANK(VLOOKUP(A68,EHD[],14,FALSE)),"",VLOOKUP(A68,EHD[],14,FALSE))</f>
        <v>CANCELED</v>
      </c>
      <c r="K68" s="151">
        <f>VLOOKUP(A68,EHD[],15,FALSE)</f>
        <v>0</v>
      </c>
      <c r="L68" s="151">
        <f ca="1">VLOOKUP(A68,EHD[],16,FALSE)</f>
        <v>29742.574000000001</v>
      </c>
      <c r="M68" s="143"/>
      <c r="N68" s="143"/>
      <c r="O68" s="152"/>
    </row>
    <row r="69" spans="1:15">
      <c r="A69" s="148" t="s">
        <v>144</v>
      </c>
      <c r="B69" s="144" t="str">
        <f>VLOOKUP(A69,Data[],2,FALSE)</f>
        <v>BRONX</v>
      </c>
      <c r="C69" s="144" t="s">
        <v>27</v>
      </c>
      <c r="D69" s="9" t="str">
        <f>VLOOKUP(A69,Data[],52,FALSE)</f>
        <v>FEDERAL</v>
      </c>
      <c r="E69" s="9" t="str">
        <f ca="1">VLOOKUP(A69,Data[],4,FALSE)</f>
        <v>2022-2025</v>
      </c>
      <c r="F69" s="9">
        <f>VLOOKUP(EHDAll[[#This Row],[DEVELOPMENT]],EHD[],7,FALSE)</f>
        <v>3</v>
      </c>
      <c r="G69" s="9">
        <f>VLOOKUP(EHDAll[[#This Row],[DEVELOPMENT]],Data[],67,FALSE)</f>
        <v>5</v>
      </c>
      <c r="H69" s="143">
        <f>IF(EHDAll[[#This Row],[STATUS]]="","",VLOOKUP(A69,EHD[],19,FALSE))</f>
        <v>2020</v>
      </c>
      <c r="I69" s="143">
        <f>IF(VLOOKUP(A69,EHD[],13,FALSE)=0,"",VLOOKUP(A69,EHD[],13,FALSE))</f>
        <v>2020</v>
      </c>
      <c r="J69" s="143" t="str">
        <f>IF(ISBLANK(VLOOKUP(A69,EHD[],14,FALSE)),"",VLOOKUP(A69,EHD[],14,FALSE))</f>
        <v>CANCELED</v>
      </c>
      <c r="K69" s="151">
        <f>VLOOKUP(A69,EHD[],15,FALSE)</f>
        <v>0</v>
      </c>
      <c r="L69" s="151">
        <f ca="1">VLOOKUP(A69,EHD[],16,FALSE)</f>
        <v>22306.930500000002</v>
      </c>
      <c r="M69" s="143"/>
      <c r="N69" s="143"/>
      <c r="O69" s="152"/>
    </row>
    <row r="70" spans="1:15">
      <c r="A70" s="148" t="s">
        <v>145</v>
      </c>
      <c r="B70" s="144" t="str">
        <f>VLOOKUP(A70,Data[],2,FALSE)</f>
        <v>BRONX</v>
      </c>
      <c r="C70" s="144" t="s">
        <v>27</v>
      </c>
      <c r="D70" s="9" t="str">
        <f>VLOOKUP(A70,Data[],52,FALSE)</f>
        <v>FEDERAL</v>
      </c>
      <c r="E70" s="9" t="str">
        <f ca="1">VLOOKUP(A70,Data[],4,FALSE)</f>
        <v>2022-2025</v>
      </c>
      <c r="F70" s="9">
        <f>VLOOKUP(EHDAll[[#This Row],[DEVELOPMENT]],EHD[],7,FALSE)</f>
        <v>1</v>
      </c>
      <c r="G70" s="9">
        <f>VLOOKUP(EHDAll[[#This Row],[DEVELOPMENT]],Data[],67,FALSE)</f>
        <v>6</v>
      </c>
      <c r="H70" s="143">
        <f>IF(EHDAll[[#This Row],[STATUS]]="","",VLOOKUP(A70,EHD[],19,FALSE))</f>
        <v>2020</v>
      </c>
      <c r="I70" s="143">
        <f>IF(VLOOKUP(A70,EHD[],13,FALSE)=0,"",VLOOKUP(A70,EHD[],13,FALSE))</f>
        <v>2020</v>
      </c>
      <c r="J70" s="143" t="str">
        <f>IF(ISBLANK(VLOOKUP(A70,EHD[],14,FALSE)),"",VLOOKUP(A70,EHD[],14,FALSE))</f>
        <v>CANCELED</v>
      </c>
      <c r="K70" s="151">
        <f>VLOOKUP(A70,EHD[],15,FALSE)</f>
        <v>0</v>
      </c>
      <c r="L70" s="151">
        <f ca="1">VLOOKUP(A70,EHD[],16,FALSE)</f>
        <v>7435.6435000000001</v>
      </c>
      <c r="M70" s="143"/>
      <c r="N70" s="143"/>
      <c r="O70" s="152"/>
    </row>
    <row r="71" spans="1:15">
      <c r="A71" s="148" t="s">
        <v>63</v>
      </c>
      <c r="B71" s="144" t="str">
        <f>VLOOKUP(A71,Data[],2,FALSE)</f>
        <v>MANHATTAN</v>
      </c>
      <c r="C71" s="144" t="s">
        <v>27</v>
      </c>
      <c r="D71" s="9" t="str">
        <f>VLOOKUP(A71,Data[],52,FALSE)</f>
        <v>FEDERAL</v>
      </c>
      <c r="E71" s="9" t="str">
        <f ca="1">VLOOKUP(A71,Data[],4,FALSE)</f>
        <v>2026+</v>
      </c>
      <c r="F71" s="9">
        <f>VLOOKUP(EHDAll[[#This Row],[DEVELOPMENT]],EHD[],7,FALSE)</f>
        <v>1</v>
      </c>
      <c r="G71" s="9">
        <f>VLOOKUP(EHDAll[[#This Row],[DEVELOPMENT]],Data[],67,FALSE)</f>
        <v>3</v>
      </c>
      <c r="H71" s="143">
        <f>IF(EHDAll[[#This Row],[STATUS]]="","",VLOOKUP(A71,EHD[],19,FALSE))</f>
        <v>2020</v>
      </c>
      <c r="I71" s="143">
        <f>IF(VLOOKUP(A71,EHD[],13,FALSE)=0,"",VLOOKUP(A71,EHD[],13,FALSE))</f>
        <v>2020</v>
      </c>
      <c r="J71" s="143" t="str">
        <f>IF(ISBLANK(VLOOKUP(A71,EHD[],14,FALSE)),"",VLOOKUP(A71,EHD[],14,FALSE))</f>
        <v>CANCELED</v>
      </c>
      <c r="K71" s="151">
        <f>VLOOKUP(A71,EHD[],15,FALSE)</f>
        <v>0</v>
      </c>
      <c r="L71" s="151">
        <f ca="1">VLOOKUP(A71,EHD[],16,FALSE)</f>
        <v>7435.6435000000001</v>
      </c>
      <c r="M71" s="143"/>
      <c r="N71" s="143"/>
      <c r="O71" s="152"/>
    </row>
    <row r="72" spans="1:15">
      <c r="A72" s="148" t="s">
        <v>64</v>
      </c>
      <c r="B72" s="144" t="str">
        <f>VLOOKUP(A72,Data[],2,FALSE)</f>
        <v>MANHATTAN</v>
      </c>
      <c r="C72" s="144" t="s">
        <v>27</v>
      </c>
      <c r="D72" s="9" t="str">
        <f>VLOOKUP(A72,Data[],52,FALSE)</f>
        <v>FEDERAL</v>
      </c>
      <c r="E72" s="9" t="str">
        <f ca="1">VLOOKUP(A72,Data[],4,FALSE)</f>
        <v>2026+</v>
      </c>
      <c r="F72" s="9">
        <f>VLOOKUP(EHDAll[[#This Row],[DEVELOPMENT]],EHD[],7,FALSE)</f>
        <v>3</v>
      </c>
      <c r="G72" s="9">
        <f>VLOOKUP(EHDAll[[#This Row],[DEVELOPMENT]],Data[],67,FALSE)</f>
        <v>6</v>
      </c>
      <c r="H72" s="143">
        <f>IF(EHDAll[[#This Row],[STATUS]]="","",VLOOKUP(A72,EHD[],19,FALSE))</f>
        <v>2020</v>
      </c>
      <c r="I72" s="143">
        <f>IF(VLOOKUP(A72,EHD[],13,FALSE)=0,"",VLOOKUP(A72,EHD[],13,FALSE))</f>
        <v>2020</v>
      </c>
      <c r="J72" s="143" t="str">
        <f>IF(ISBLANK(VLOOKUP(A72,EHD[],14,FALSE)),"",VLOOKUP(A72,EHD[],14,FALSE))</f>
        <v>CANCELED</v>
      </c>
      <c r="K72" s="151">
        <f>VLOOKUP(A72,EHD[],15,FALSE)</f>
        <v>0</v>
      </c>
      <c r="L72" s="151">
        <f ca="1">VLOOKUP(A72,EHD[],16,FALSE)</f>
        <v>22306.930500000002</v>
      </c>
      <c r="M72" s="143"/>
      <c r="N72" s="143"/>
      <c r="O72" s="152"/>
    </row>
    <row r="73" spans="1:15">
      <c r="A73" s="148" t="s">
        <v>149</v>
      </c>
      <c r="B73" s="144" t="str">
        <f>VLOOKUP(A73,Data[],2,FALSE)</f>
        <v>BRONX</v>
      </c>
      <c r="C73" s="144" t="s">
        <v>27</v>
      </c>
      <c r="D73" s="9" t="str">
        <f>VLOOKUP(A73,Data[],52,FALSE)</f>
        <v>FEDERAL</v>
      </c>
      <c r="E73" s="9" t="str">
        <f ca="1">VLOOKUP(A73,Data[],4,FALSE)</f>
        <v>2022-2025</v>
      </c>
      <c r="F73" s="9">
        <f>VLOOKUP(EHDAll[[#This Row],[DEVELOPMENT]],EHD[],7,FALSE)</f>
        <v>2</v>
      </c>
      <c r="G73" s="9">
        <f>VLOOKUP(EHDAll[[#This Row],[DEVELOPMENT]],Data[],67,FALSE)</f>
        <v>6</v>
      </c>
      <c r="H73" s="143">
        <f>IF(EHDAll[[#This Row],[STATUS]]="","",VLOOKUP(A73,EHD[],19,FALSE))</f>
        <v>2020</v>
      </c>
      <c r="I73" s="143">
        <f>IF(VLOOKUP(A73,EHD[],13,FALSE)=0,"",VLOOKUP(A73,EHD[],13,FALSE))</f>
        <v>2020</v>
      </c>
      <c r="J73" s="143" t="str">
        <f>IF(ISBLANK(VLOOKUP(A73,EHD[],14,FALSE)),"",VLOOKUP(A73,EHD[],14,FALSE))</f>
        <v>CANCELED</v>
      </c>
      <c r="K73" s="151">
        <f>VLOOKUP(A73,EHD[],15,FALSE)</f>
        <v>0</v>
      </c>
      <c r="L73" s="151">
        <f ca="1">VLOOKUP(A73,EHD[],16,FALSE)</f>
        <v>14871.287</v>
      </c>
      <c r="M73" s="143"/>
      <c r="N73" s="143"/>
      <c r="O73" s="152"/>
    </row>
    <row r="74" spans="1:15">
      <c r="A74" s="148" t="s">
        <v>242</v>
      </c>
      <c r="B74" s="144" t="str">
        <f>VLOOKUP(A74,Data[],2,FALSE)</f>
        <v>MANHATTAN</v>
      </c>
      <c r="C74" s="144" t="s">
        <v>27</v>
      </c>
      <c r="D74" s="9" t="str">
        <f>VLOOKUP(A74,Data[],52,FALSE)</f>
        <v>FEDERAL</v>
      </c>
      <c r="E74" s="9" t="str">
        <f ca="1">VLOOKUP(A74,Data[],4,FALSE)</f>
        <v>2026+</v>
      </c>
      <c r="F74" s="9">
        <f>VLOOKUP(EHDAll[[#This Row],[DEVELOPMENT]],EHD[],7,FALSE)</f>
        <v>8</v>
      </c>
      <c r="G74" s="9">
        <f>VLOOKUP(EHDAll[[#This Row],[DEVELOPMENT]],Data[],67,FALSE)</f>
        <v>43560</v>
      </c>
      <c r="H74" s="143">
        <f ca="1">IF(EHDAll[[#This Row],[STATUS]]="","",VLOOKUP(A74,EHD[],19,FALSE))</f>
        <v>2021</v>
      </c>
      <c r="I74" s="143" t="str">
        <f>IF(VLOOKUP(A74,EHD[],13,FALSE)=0,"",VLOOKUP(A74,EHD[],13,FALSE))</f>
        <v/>
      </c>
      <c r="J74" s="143" t="str">
        <f>IF(ISBLANK(VLOOKUP(A74,EHD[],14,FALSE)),"",VLOOKUP(A74,EHD[],14,FALSE))</f>
        <v>CANCELED</v>
      </c>
      <c r="K74" s="151">
        <f>VLOOKUP(A74,EHD[],15,FALSE)</f>
        <v>0</v>
      </c>
      <c r="L74" s="151">
        <f>VLOOKUP(A74,EHD[],16,FALSE)</f>
        <v>0</v>
      </c>
      <c r="M74" s="143"/>
      <c r="N74" s="143" t="str">
        <f>IF(ISBLANK(VLOOKUP(A74,EHD[],20,FALSE)),"",VLOOKUP(A74,EHD[],20,FALSE))</f>
        <v/>
      </c>
      <c r="O74" s="152"/>
    </row>
    <row r="75" spans="1:15">
      <c r="A75" s="147" t="s">
        <v>291</v>
      </c>
      <c r="B75" s="144" t="str">
        <f>VLOOKUP(A75,Data[],2,FALSE)</f>
        <v>BRONX</v>
      </c>
      <c r="C75" s="144" t="s">
        <v>27</v>
      </c>
      <c r="D75" s="9" t="str">
        <f>VLOOKUP(A75,Data[],52,FALSE)</f>
        <v>FEDERAL</v>
      </c>
      <c r="E75" s="9" t="str">
        <f ca="1">VLOOKUP(A75,Data[],4,FALSE)</f>
        <v/>
      </c>
      <c r="F75" s="9">
        <f>VLOOKUP(EHDAll[[#This Row],[DEVELOPMENT]],EHD[],7,FALSE)</f>
        <v>1</v>
      </c>
      <c r="G75" s="9">
        <f>VLOOKUP(EHDAll[[#This Row],[DEVELOPMENT]],Data[],67,FALSE)</f>
        <v>21</v>
      </c>
      <c r="H75" s="143" t="str">
        <f>IF(EHDAll[[#This Row],[STATUS]]="","",VLOOKUP(A75,EHD[],19,FALSE))</f>
        <v/>
      </c>
      <c r="I75" s="143" t="str">
        <f>IF(VLOOKUP(A75,EHD[],13,FALSE)=0,"",VLOOKUP(A75,EHD[],13,FALSE))</f>
        <v/>
      </c>
      <c r="J75" s="143" t="str">
        <f>IF(ISBLANK(VLOOKUP(A75,EHD[],14,FALSE)),"",VLOOKUP(A75,EHD[],14,FALSE))</f>
        <v/>
      </c>
      <c r="K75" s="151">
        <f>VLOOKUP(A75,EHD[],15,FALSE)</f>
        <v>0</v>
      </c>
      <c r="L75" s="151">
        <f ca="1">VLOOKUP(A75,EHD[],16,FALSE)</f>
        <v>8736.8811125000011</v>
      </c>
      <c r="M75" s="143"/>
      <c r="N75" s="143" t="str">
        <f>IF(ISBLANK(VLOOKUP(A75,EHD[],20,FALSE)),"",VLOOKUP(A75,EHD[],20,FALSE))</f>
        <v/>
      </c>
      <c r="O75" s="152"/>
    </row>
    <row r="76" spans="1:15">
      <c r="A76" s="147" t="s">
        <v>292</v>
      </c>
      <c r="B76" s="144" t="str">
        <f>VLOOKUP(A76,Data[],2,FALSE)</f>
        <v>BROOKLYN</v>
      </c>
      <c r="C76" s="144" t="s">
        <v>27</v>
      </c>
      <c r="D76" s="9" t="str">
        <f>VLOOKUP(A76,Data[],52,FALSE)</f>
        <v>FEDERAL</v>
      </c>
      <c r="E76" s="9" t="str">
        <f ca="1">VLOOKUP(A76,Data[],4,FALSE)</f>
        <v>2020-2021</v>
      </c>
      <c r="F76" s="9">
        <f>VLOOKUP(EHDAll[[#This Row],[DEVELOPMENT]],EHD[],7,FALSE)</f>
        <v>1</v>
      </c>
      <c r="G76" s="9">
        <f>VLOOKUP(EHDAll[[#This Row],[DEVELOPMENT]],Data[],67,FALSE)</f>
        <v>4</v>
      </c>
      <c r="H76" s="143" t="str">
        <f>IF(EHDAll[[#This Row],[STATUS]]="","",VLOOKUP(A76,EHD[],19,FALSE))</f>
        <v/>
      </c>
      <c r="I76" s="143" t="str">
        <f>IF(VLOOKUP(A76,EHD[],13,FALSE)=0,"",VLOOKUP(A76,EHD[],13,FALSE))</f>
        <v/>
      </c>
      <c r="J76" s="143" t="str">
        <f>IF(ISBLANK(VLOOKUP(A76,EHD[],14,FALSE)),"",VLOOKUP(A76,EHD[],14,FALSE))</f>
        <v/>
      </c>
      <c r="K76" s="151">
        <f>VLOOKUP(A76,EHD[],15,FALSE)</f>
        <v>0</v>
      </c>
      <c r="L76" s="151">
        <f ca="1">VLOOKUP(A76,EHD[],16,FALSE)</f>
        <v>8736.8811125000011</v>
      </c>
      <c r="M76" s="143"/>
      <c r="N76" s="143" t="str">
        <f>IF(ISBLANK(VLOOKUP(A76,EHD[],20,FALSE)),"",VLOOKUP(A76,EHD[],20,FALSE))</f>
        <v/>
      </c>
      <c r="O76" s="152"/>
    </row>
    <row r="77" spans="1:15">
      <c r="A77" s="147" t="s">
        <v>293</v>
      </c>
      <c r="B77" s="144" t="str">
        <f>VLOOKUP(A77,Data[],2,FALSE)</f>
        <v>BRONX</v>
      </c>
      <c r="C77" s="144" t="s">
        <v>27</v>
      </c>
      <c r="D77" s="9" t="str">
        <f>VLOOKUP(A77,Data[],52,FALSE)</f>
        <v>FEDERAL</v>
      </c>
      <c r="E77" s="9" t="str">
        <f ca="1">VLOOKUP(A77,Data[],4,FALSE)</f>
        <v>2022-2025</v>
      </c>
      <c r="F77" s="9">
        <f>VLOOKUP(EHDAll[[#This Row],[DEVELOPMENT]],EHD[],7,FALSE)</f>
        <v>1</v>
      </c>
      <c r="G77" s="9">
        <f>VLOOKUP(EHDAll[[#This Row],[DEVELOPMENT]],Data[],67,FALSE)</f>
        <v>6</v>
      </c>
      <c r="H77" s="143" t="str">
        <f>IF(EHDAll[[#This Row],[STATUS]]="","",VLOOKUP(A77,EHD[],19,FALSE))</f>
        <v/>
      </c>
      <c r="I77" s="143" t="str">
        <f>IF(VLOOKUP(A77,EHD[],13,FALSE)=0,"",VLOOKUP(A77,EHD[],13,FALSE))</f>
        <v/>
      </c>
      <c r="J77" s="143" t="str">
        <f>IF(ISBLANK(VLOOKUP(A77,EHD[],14,FALSE)),"",VLOOKUP(A77,EHD[],14,FALSE))</f>
        <v/>
      </c>
      <c r="K77" s="151">
        <f>VLOOKUP(A77,EHD[],15,FALSE)</f>
        <v>0</v>
      </c>
      <c r="L77" s="151">
        <f ca="1">VLOOKUP(A77,EHD[],16,FALSE)</f>
        <v>8476.6335900000013</v>
      </c>
      <c r="M77" s="143"/>
      <c r="N77" s="143" t="str">
        <f>IF(ISBLANK(VLOOKUP(A77,EHD[],20,FALSE)),"",VLOOKUP(A77,EHD[],20,FALSE))</f>
        <v/>
      </c>
      <c r="O77" s="152"/>
    </row>
    <row r="78" spans="1:15">
      <c r="A78" s="147" t="s">
        <v>67</v>
      </c>
      <c r="B78" s="144" t="str">
        <f>VLOOKUP(A78,Data[],2,FALSE)</f>
        <v>MANHATTAN</v>
      </c>
      <c r="C78" s="144" t="s">
        <v>27</v>
      </c>
      <c r="D78" s="9" t="str">
        <f>VLOOKUP(A78,Data[],52,FALSE)</f>
        <v>FEDERAL</v>
      </c>
      <c r="E78" s="9" t="str">
        <f ca="1">VLOOKUP(A78,Data[],4,FALSE)</f>
        <v>2026+</v>
      </c>
      <c r="F78" s="9">
        <f>VLOOKUP(EHDAll[[#This Row],[DEVELOPMENT]],EHD[],7,FALSE)</f>
        <v>1</v>
      </c>
      <c r="G78" s="9">
        <f>VLOOKUP(EHDAll[[#This Row],[DEVELOPMENT]],Data[],67,FALSE)</f>
        <v>17</v>
      </c>
      <c r="H78" s="143" t="str">
        <f>IF(EHDAll[[#This Row],[STATUS]]="","",VLOOKUP(A78,EHD[],19,FALSE))</f>
        <v/>
      </c>
      <c r="I78" s="143" t="str">
        <f>IF(VLOOKUP(A78,EHD[],13,FALSE)=0,"",VLOOKUP(A78,EHD[],13,FALSE))</f>
        <v/>
      </c>
      <c r="J78" s="143" t="str">
        <f>IF(ISBLANK(VLOOKUP(A78,EHD[],14,FALSE)),"",VLOOKUP(A78,EHD[],14,FALSE))</f>
        <v/>
      </c>
      <c r="K78" s="151">
        <f>VLOOKUP(A78,EHD[],15,FALSE)</f>
        <v>0</v>
      </c>
      <c r="L78" s="151">
        <f ca="1">VLOOKUP(A78,EHD[],16,FALSE)</f>
        <v>7956.1385450000007</v>
      </c>
      <c r="M78" s="143"/>
      <c r="N78" s="143" t="str">
        <f>IF(ISBLANK(VLOOKUP(A78,EHD[],20,FALSE)),"",VLOOKUP(A78,EHD[],20,FALSE))</f>
        <v/>
      </c>
      <c r="O78" s="152"/>
    </row>
    <row r="79" spans="1:15">
      <c r="A79" s="147" t="s">
        <v>227</v>
      </c>
      <c r="B79" s="144" t="str">
        <f>VLOOKUP(A79,Data[],2,FALSE)</f>
        <v>BRONX</v>
      </c>
      <c r="C79" s="144" t="s">
        <v>27</v>
      </c>
      <c r="D79" s="9" t="str">
        <f>VLOOKUP(A79,Data[],52,FALSE)</f>
        <v>FEDERAL</v>
      </c>
      <c r="E79" s="9" t="str">
        <f ca="1">VLOOKUP(A79,Data[],4,FALSE)</f>
        <v>2026+</v>
      </c>
      <c r="F79" s="9">
        <f>VLOOKUP(EHDAll[[#This Row],[DEVELOPMENT]],EHD[],7,FALSE)</f>
        <v>2</v>
      </c>
      <c r="G79" s="9">
        <f>VLOOKUP(EHDAll[[#This Row],[DEVELOPMENT]],Data[],67,FALSE)</f>
        <v>6</v>
      </c>
      <c r="H79" s="143" t="str">
        <f>IF(EHDAll[[#This Row],[STATUS]]="","",VLOOKUP(A79,EHD[],19,FALSE))</f>
        <v/>
      </c>
      <c r="I79" s="143" t="str">
        <f>IF(VLOOKUP(A79,EHD[],13,FALSE)=0,"",VLOOKUP(A79,EHD[],13,FALSE))</f>
        <v/>
      </c>
      <c r="J79" s="143" t="str">
        <f>IF(ISBLANK(VLOOKUP(A79,EHD[],14,FALSE)),"",VLOOKUP(A79,EHD[],14,FALSE))</f>
        <v/>
      </c>
      <c r="K79" s="151">
        <f>VLOOKUP(A79,EHD[],15,FALSE)</f>
        <v>0</v>
      </c>
      <c r="L79" s="151">
        <f ca="1">VLOOKUP(A79,EHD[],16,FALSE)</f>
        <v>16953.267180000003</v>
      </c>
      <c r="M79" s="143"/>
      <c r="N79" s="143" t="str">
        <f>IF(ISBLANK(VLOOKUP(A79,EHD[],20,FALSE)),"",VLOOKUP(A79,EHD[],20,FALSE))</f>
        <v/>
      </c>
      <c r="O79" s="152"/>
    </row>
    <row r="80" spans="1:15">
      <c r="A80" s="147" t="s">
        <v>229</v>
      </c>
      <c r="B80" s="144" t="str">
        <f>VLOOKUP(A80,Data[],2,FALSE)</f>
        <v>MANHATTAN</v>
      </c>
      <c r="C80" s="144" t="s">
        <v>27</v>
      </c>
      <c r="D80" s="9" t="str">
        <f>VLOOKUP(A80,Data[],52,FALSE)</f>
        <v>FEDERAL</v>
      </c>
      <c r="E80" s="9" t="str">
        <f ca="1">VLOOKUP(A80,Data[],4,FALSE)</f>
        <v/>
      </c>
      <c r="F80" s="9">
        <f>VLOOKUP(EHDAll[[#This Row],[DEVELOPMENT]],EHD[],7,FALSE)</f>
        <v>1</v>
      </c>
      <c r="G80" s="9">
        <f>VLOOKUP(EHDAll[[#This Row],[DEVELOPMENT]],Data[],67,FALSE)</f>
        <v>7</v>
      </c>
      <c r="H80" s="143" t="str">
        <f>IF(EHDAll[[#This Row],[STATUS]]="","",VLOOKUP(A80,EHD[],19,FALSE))</f>
        <v/>
      </c>
      <c r="I80" s="143" t="str">
        <f>IF(VLOOKUP(A80,EHD[],13,FALSE)=0,"",VLOOKUP(A80,EHD[],13,FALSE))</f>
        <v/>
      </c>
      <c r="J80" s="143" t="str">
        <f>IF(ISBLANK(VLOOKUP(A80,EHD[],14,FALSE)),"",VLOOKUP(A80,EHD[],14,FALSE))</f>
        <v/>
      </c>
      <c r="K80" s="151">
        <f>VLOOKUP(A80,EHD[],15,FALSE)</f>
        <v>0</v>
      </c>
      <c r="L80" s="151">
        <f ca="1">VLOOKUP(A80,EHD[],16,FALSE)</f>
        <v>8476.6335900000013</v>
      </c>
      <c r="M80" s="143"/>
      <c r="N80" s="143" t="str">
        <f>IF(ISBLANK(VLOOKUP(A80,EHD[],20,FALSE)),"",VLOOKUP(A80,EHD[],20,FALSE))</f>
        <v/>
      </c>
      <c r="O80" s="152"/>
    </row>
    <row r="81" spans="1:15">
      <c r="A81" s="147" t="s">
        <v>69</v>
      </c>
      <c r="B81" s="144" t="str">
        <f>VLOOKUP(A81,Data[],2,FALSE)</f>
        <v>MANHATTAN</v>
      </c>
      <c r="C81" s="144" t="s">
        <v>27</v>
      </c>
      <c r="D81" s="9" t="str">
        <f>VLOOKUP(A81,Data[],52,FALSE)</f>
        <v>FEDERAL</v>
      </c>
      <c r="E81" s="9" t="str">
        <f ca="1">VLOOKUP(A81,Data[],4,FALSE)</f>
        <v>2020-2021</v>
      </c>
      <c r="F81" s="9">
        <f>VLOOKUP(EHDAll[[#This Row],[DEVELOPMENT]],EHD[],7,FALSE)</f>
        <v>1</v>
      </c>
      <c r="G81" s="9">
        <f>VLOOKUP(EHDAll[[#This Row],[DEVELOPMENT]],Data[],67,FALSE)</f>
        <v>6</v>
      </c>
      <c r="H81" s="143" t="str">
        <f>IF(EHDAll[[#This Row],[STATUS]]="","",VLOOKUP(A81,EHD[],19,FALSE))</f>
        <v/>
      </c>
      <c r="I81" s="143" t="str">
        <f>IF(VLOOKUP(A81,EHD[],13,FALSE)=0,"",VLOOKUP(A81,EHD[],13,FALSE))</f>
        <v/>
      </c>
      <c r="J81" s="143" t="str">
        <f>IF(ISBLANK(VLOOKUP(A81,EHD[],14,FALSE)),"",VLOOKUP(A81,EHD[],14,FALSE))</f>
        <v/>
      </c>
      <c r="K81" s="151">
        <f>VLOOKUP(A81,EHD[],15,FALSE)</f>
        <v>0</v>
      </c>
      <c r="L81" s="151">
        <f ca="1">VLOOKUP(A81,EHD[],16,FALSE)</f>
        <v>7695.8910225</v>
      </c>
      <c r="M81" s="143"/>
      <c r="N81" s="143" t="str">
        <f>IF(ISBLANK(VLOOKUP(A81,EHD[],20,FALSE)),"",VLOOKUP(A81,EHD[],20,FALSE))</f>
        <v/>
      </c>
      <c r="O81" s="152"/>
    </row>
    <row r="82" spans="1:15">
      <c r="A82" s="147" t="s">
        <v>282</v>
      </c>
      <c r="B82" s="144" t="str">
        <f>VLOOKUP(A82,Data[],2,FALSE)</f>
        <v>MANHATTAN</v>
      </c>
      <c r="C82" s="144" t="s">
        <v>27</v>
      </c>
      <c r="D82" s="9" t="str">
        <f>VLOOKUP(A82,Data[],52,FALSE)</f>
        <v>MIXED FINANCE/LLC2</v>
      </c>
      <c r="E82" s="9" t="str">
        <f ca="1">VLOOKUP(A82,Data[],4,FALSE)</f>
        <v>2020-2021</v>
      </c>
      <c r="F82" s="9">
        <f>VLOOKUP(EHDAll[[#This Row],[DEVELOPMENT]],EHD[],7,FALSE)</f>
        <v>1</v>
      </c>
      <c r="G82" s="9">
        <f>VLOOKUP(EHDAll[[#This Row],[DEVELOPMENT]],Data[],67,FALSE)</f>
        <v>26</v>
      </c>
      <c r="H82" s="143" t="str">
        <f>IF(EHDAll[[#This Row],[STATUS]]="","",VLOOKUP(A82,EHD[],19,FALSE))</f>
        <v/>
      </c>
      <c r="I82" s="143" t="str">
        <f>IF(VLOOKUP(A82,EHD[],13,FALSE)=0,"",VLOOKUP(A82,EHD[],13,FALSE))</f>
        <v/>
      </c>
      <c r="J82" s="143" t="str">
        <f>IF(ISBLANK(VLOOKUP(A82,EHD[],14,FALSE)),"",VLOOKUP(A82,EHD[],14,FALSE))</f>
        <v/>
      </c>
      <c r="K82" s="151">
        <f>VLOOKUP(A82,EHD[],15,FALSE)</f>
        <v>0</v>
      </c>
      <c r="L82" s="151">
        <f ca="1">VLOOKUP(A82,EHD[],16,FALSE)</f>
        <v>8476.6335900000013</v>
      </c>
      <c r="M82" s="143"/>
      <c r="N82" s="143" t="str">
        <f>IF(ISBLANK(VLOOKUP(A82,EHD[],20,FALSE)),"",VLOOKUP(A82,EHD[],20,FALSE))</f>
        <v/>
      </c>
      <c r="O82" s="152"/>
    </row>
    <row r="83" spans="1:15">
      <c r="A83" s="147" t="s">
        <v>294</v>
      </c>
      <c r="B83" s="144" t="str">
        <f>VLOOKUP(A83,Data[],2,FALSE)</f>
        <v>BROOKLYN</v>
      </c>
      <c r="C83" s="144" t="s">
        <v>27</v>
      </c>
      <c r="D83" s="9" t="str">
        <f>VLOOKUP(A83,Data[],52,FALSE)</f>
        <v>FEDERAL</v>
      </c>
      <c r="E83" s="9">
        <f ca="1">VLOOKUP(A83,Data[],4,FALSE)</f>
        <v>2019</v>
      </c>
      <c r="F83" s="9">
        <f>VLOOKUP(EHDAll[[#This Row],[DEVELOPMENT]],EHD[],7,FALSE)</f>
        <v>2</v>
      </c>
      <c r="G83" s="9">
        <f>VLOOKUP(EHDAll[[#This Row],[DEVELOPMENT]],Data[],67,FALSE)</f>
        <v>6</v>
      </c>
      <c r="H83" s="143" t="str">
        <f>IF(EHDAll[[#This Row],[STATUS]]="","",VLOOKUP(A83,EHD[],19,FALSE))</f>
        <v/>
      </c>
      <c r="I83" s="143" t="str">
        <f>IF(VLOOKUP(A83,EHD[],13,FALSE)=0,"",VLOOKUP(A83,EHD[],13,FALSE))</f>
        <v/>
      </c>
      <c r="J83" s="143" t="str">
        <f>IF(ISBLANK(VLOOKUP(A83,EHD[],14,FALSE)),"",VLOOKUP(A83,EHD[],14,FALSE))</f>
        <v/>
      </c>
      <c r="K83" s="151">
        <f>VLOOKUP(A83,EHD[],15,FALSE)</f>
        <v>0</v>
      </c>
      <c r="L83" s="151">
        <f ca="1">VLOOKUP(A83,EHD[],16,FALSE)</f>
        <v>17994.257269999998</v>
      </c>
      <c r="M83" s="143"/>
      <c r="N83" s="143" t="str">
        <f>IF(ISBLANK(VLOOKUP(A83,EHD[],20,FALSE)),"",VLOOKUP(A83,EHD[],20,FALSE))</f>
        <v/>
      </c>
      <c r="O83" s="152"/>
    </row>
    <row r="84" spans="1:15">
      <c r="A84" s="147" t="s">
        <v>295</v>
      </c>
      <c r="B84" s="144" t="str">
        <f>VLOOKUP(A84,Data[],2,FALSE)</f>
        <v>MANHATTAN</v>
      </c>
      <c r="C84" s="144" t="s">
        <v>27</v>
      </c>
      <c r="D84" s="9" t="str">
        <f>VLOOKUP(A84,Data[],52,FALSE)</f>
        <v>FEDERAL</v>
      </c>
      <c r="E84" s="9" t="str">
        <f ca="1">VLOOKUP(A84,Data[],4,FALSE)</f>
        <v/>
      </c>
      <c r="F84" s="9">
        <f>VLOOKUP(EHDAll[[#This Row],[DEVELOPMENT]],EHD[],7,FALSE)</f>
        <v>1</v>
      </c>
      <c r="G84" s="9">
        <f>VLOOKUP(EHDAll[[#This Row],[DEVELOPMENT]],Data[],67,FALSE)</f>
        <v>20</v>
      </c>
      <c r="H84" s="143" t="str">
        <f>IF(EHDAll[[#This Row],[STATUS]]="","",VLOOKUP(A84,EHD[],19,FALSE))</f>
        <v/>
      </c>
      <c r="I84" s="143" t="str">
        <f>IF(VLOOKUP(A84,EHD[],13,FALSE)=0,"",VLOOKUP(A84,EHD[],13,FALSE))</f>
        <v/>
      </c>
      <c r="J84" s="143" t="str">
        <f>IF(ISBLANK(VLOOKUP(A84,EHD[],14,FALSE)),"",VLOOKUP(A84,EHD[],14,FALSE))</f>
        <v/>
      </c>
      <c r="K84" s="151">
        <f>VLOOKUP(A84,EHD[],15,FALSE)</f>
        <v>0</v>
      </c>
      <c r="L84" s="151">
        <f ca="1">VLOOKUP(A84,EHD[],16,FALSE)</f>
        <v>8476.6335900000013</v>
      </c>
      <c r="M84" s="143"/>
      <c r="N84" s="143" t="str">
        <f>IF(ISBLANK(VLOOKUP(A84,EHD[],20,FALSE)),"",VLOOKUP(A84,EHD[],20,FALSE))</f>
        <v/>
      </c>
      <c r="O84" s="152"/>
    </row>
    <row r="85" spans="1:15">
      <c r="A85" s="147" t="s">
        <v>278</v>
      </c>
      <c r="B85" s="144" t="str">
        <f>VLOOKUP(A85,Data[],2,FALSE)</f>
        <v>BRONX</v>
      </c>
      <c r="C85" s="144" t="s">
        <v>27</v>
      </c>
      <c r="D85" s="9" t="str">
        <f>VLOOKUP(A85,Data[],52,FALSE)</f>
        <v>FEDERAL</v>
      </c>
      <c r="E85" s="9" t="str">
        <f ca="1">VLOOKUP(A85,Data[],4,FALSE)</f>
        <v/>
      </c>
      <c r="F85" s="9">
        <f>VLOOKUP(EHDAll[[#This Row],[DEVELOPMENT]],EHD[],7,FALSE)</f>
        <v>7</v>
      </c>
      <c r="G85" s="9" t="str">
        <f>VLOOKUP(EHDAll[[#This Row],[DEVELOPMENT]],Data[],67,FALSE)</f>
        <v>15-21</v>
      </c>
      <c r="H85" s="143" t="str">
        <f>IF(EHDAll[[#This Row],[STATUS]]="","",VLOOKUP(A85,EHD[],19,FALSE))</f>
        <v/>
      </c>
      <c r="I85" s="143" t="str">
        <f>IF(VLOOKUP(A85,EHD[],13,FALSE)=0,"",VLOOKUP(A85,EHD[],13,FALSE))</f>
        <v/>
      </c>
      <c r="J85" s="143" t="str">
        <f>IF(ISBLANK(VLOOKUP(A85,EHD[],14,FALSE)),"",VLOOKUP(A85,EHD[],14,FALSE))</f>
        <v/>
      </c>
      <c r="K85" s="151">
        <f>VLOOKUP(A85,EHD[],15,FALSE)</f>
        <v>0</v>
      </c>
      <c r="L85" s="151">
        <f ca="1">VLOOKUP(A85,EHD[],16,FALSE)</f>
        <v>57514.702472500001</v>
      </c>
      <c r="M85" s="143"/>
      <c r="N85" s="143" t="str">
        <f>IF(ISBLANK(VLOOKUP(A85,EHD[],20,FALSE)),"",VLOOKUP(A85,EHD[],20,FALSE))</f>
        <v/>
      </c>
      <c r="O85" s="152"/>
    </row>
    <row r="86" spans="1:15">
      <c r="A86" s="147" t="s">
        <v>296</v>
      </c>
      <c r="B86" s="144" t="str">
        <f>VLOOKUP(A86,Data[],2,FALSE)</f>
        <v>BROOKLYN</v>
      </c>
      <c r="C86" s="144" t="s">
        <v>27</v>
      </c>
      <c r="D86" s="9" t="str">
        <f>VLOOKUP(A86,Data[],52,FALSE)</f>
        <v>FEDERAL</v>
      </c>
      <c r="E86" s="9" t="str">
        <f ca="1">VLOOKUP(A86,Data[],4,FALSE)</f>
        <v>2022-2025</v>
      </c>
      <c r="F86" s="9">
        <f>VLOOKUP(EHDAll[[#This Row],[DEVELOPMENT]],EHD[],7,FALSE)</f>
        <v>6</v>
      </c>
      <c r="G86" s="9">
        <f>VLOOKUP(EHDAll[[#This Row],[DEVELOPMENT]],Data[],67,FALSE)</f>
        <v>14</v>
      </c>
      <c r="H86" s="143" t="str">
        <f>IF(EHDAll[[#This Row],[STATUS]]="","",VLOOKUP(A86,EHD[],19,FALSE))</f>
        <v/>
      </c>
      <c r="I86" s="143" t="str">
        <f>IF(VLOOKUP(A86,EHD[],13,FALSE)=0,"",VLOOKUP(A86,EHD[],13,FALSE))</f>
        <v/>
      </c>
      <c r="J86" s="143" t="str">
        <f>IF(ISBLANK(VLOOKUP(A86,EHD[],14,FALSE)),"",VLOOKUP(A86,EHD[],14,FALSE))</f>
        <v/>
      </c>
      <c r="K86" s="151">
        <f>VLOOKUP(A86,EHD[],15,FALSE)</f>
        <v>0</v>
      </c>
      <c r="L86" s="151">
        <f ca="1">VLOOKUP(A86,EHD[],16,FALSE)</f>
        <v>50859.801540000008</v>
      </c>
      <c r="M86" s="143"/>
      <c r="N86" s="143" t="str">
        <f>IF(ISBLANK(VLOOKUP(A86,EHD[],20,FALSE)),"",VLOOKUP(A86,EHD[],20,FALSE))</f>
        <v/>
      </c>
      <c r="O86" s="152"/>
    </row>
    <row r="87" spans="1:15">
      <c r="A87" s="147" t="s">
        <v>297</v>
      </c>
      <c r="B87" s="144" t="str">
        <f>VLOOKUP(A87,Data[],2,FALSE)</f>
        <v>BROOKLYN</v>
      </c>
      <c r="C87" s="144" t="s">
        <v>27</v>
      </c>
      <c r="D87" s="9" t="str">
        <f>VLOOKUP(A87,Data[],52,FALSE)</f>
        <v>FEDERAL</v>
      </c>
      <c r="E87" s="9" t="str">
        <f ca="1">VLOOKUP(A87,Data[],4,FALSE)</f>
        <v>2022-2025</v>
      </c>
      <c r="F87" s="9">
        <f>VLOOKUP(EHDAll[[#This Row],[DEVELOPMENT]],EHD[],7,FALSE)</f>
        <v>3</v>
      </c>
      <c r="G87" s="9" t="str">
        <f>VLOOKUP(EHDAll[[#This Row],[DEVELOPMENT]],Data[],67,FALSE)</f>
        <v>13-14</v>
      </c>
      <c r="H87" s="143" t="str">
        <f>IF(EHDAll[[#This Row],[STATUS]]="","",VLOOKUP(A87,EHD[],19,FALSE))</f>
        <v/>
      </c>
      <c r="I87" s="143" t="str">
        <f>IF(VLOOKUP(A87,EHD[],13,FALSE)=0,"",VLOOKUP(A87,EHD[],13,FALSE))</f>
        <v/>
      </c>
      <c r="J87" s="143" t="str">
        <f>IF(ISBLANK(VLOOKUP(A87,EHD[],14,FALSE)),"",VLOOKUP(A87,EHD[],14,FALSE))</f>
        <v/>
      </c>
      <c r="K87" s="151">
        <f>VLOOKUP(A87,EHD[],15,FALSE)</f>
        <v>0</v>
      </c>
      <c r="L87" s="151">
        <f ca="1">VLOOKUP(A87,EHD[],16,FALSE)</f>
        <v>25429.900770000004</v>
      </c>
      <c r="M87" s="143"/>
      <c r="N87" s="143" t="str">
        <f>IF(ISBLANK(VLOOKUP(A87,EHD[],20,FALSE)),"",VLOOKUP(A87,EHD[],20,FALSE))</f>
        <v/>
      </c>
      <c r="O87" s="152"/>
    </row>
    <row r="88" spans="1:15">
      <c r="A88" s="147" t="s">
        <v>261</v>
      </c>
      <c r="B88" s="144" t="str">
        <f>VLOOKUP(A88,Data[],2,FALSE)</f>
        <v>MANHATTAN</v>
      </c>
      <c r="C88" s="144" t="s">
        <v>27</v>
      </c>
      <c r="D88" s="9" t="str">
        <f>VLOOKUP(A88,Data[],52,FALSE)</f>
        <v>FEDERAL</v>
      </c>
      <c r="E88" s="9" t="str">
        <f ca="1">VLOOKUP(A88,Data[],4,FALSE)</f>
        <v/>
      </c>
      <c r="F88" s="9">
        <f>VLOOKUP(EHDAll[[#This Row],[DEVELOPMENT]],EHD[],7,FALSE)</f>
        <v>24</v>
      </c>
      <c r="G88" s="9">
        <f>VLOOKUP(EHDAll[[#This Row],[DEVELOPMENT]],Data[],67,FALSE)</f>
        <v>43629</v>
      </c>
      <c r="H88" s="143" t="str">
        <f>IF(EHDAll[[#This Row],[STATUS]]="","",VLOOKUP(A88,EHD[],19,FALSE))</f>
        <v/>
      </c>
      <c r="I88" s="143" t="str">
        <f>IF(VLOOKUP(A88,EHD[],13,FALSE)=0,"",VLOOKUP(A88,EHD[],13,FALSE))</f>
        <v/>
      </c>
      <c r="J88" s="143" t="str">
        <f>IF(ISBLANK(VLOOKUP(A88,EHD[],14,FALSE)),"",VLOOKUP(A88,EHD[],14,FALSE))</f>
        <v/>
      </c>
      <c r="K88" s="151">
        <f>VLOOKUP(A88,EHD[],15,FALSE)</f>
        <v>0</v>
      </c>
      <c r="L88" s="151">
        <f ca="1">VLOOKUP(A88,EHD[],16,FALSE)</f>
        <v>203439.20616000003</v>
      </c>
      <c r="M88" s="143"/>
      <c r="N88" s="143" t="str">
        <f>IF(ISBLANK(VLOOKUP(A88,EHD[],20,FALSE)),"",VLOOKUP(A88,EHD[],20,FALSE))</f>
        <v/>
      </c>
      <c r="O88" s="152"/>
    </row>
    <row r="89" spans="1:15">
      <c r="A89" s="147" t="s">
        <v>262</v>
      </c>
      <c r="B89" s="144" t="str">
        <f>VLOOKUP(A89,Data[],2,FALSE)</f>
        <v>MANHATTAN</v>
      </c>
      <c r="C89" s="144" t="s">
        <v>27</v>
      </c>
      <c r="D89" s="9" t="str">
        <f>VLOOKUP(A89,Data[],52,FALSE)</f>
        <v>MIXED FINANCE/LLC1</v>
      </c>
      <c r="E89" s="9" t="str">
        <f ca="1">VLOOKUP(A89,Data[],4,FALSE)</f>
        <v/>
      </c>
      <c r="F89" s="9">
        <f>VLOOKUP(EHDAll[[#This Row],[DEVELOPMENT]],EHD[],7,FALSE)</f>
        <v>1</v>
      </c>
      <c r="G89" s="9">
        <f>VLOOKUP(EHDAll[[#This Row],[DEVELOPMENT]],Data[],67,FALSE)</f>
        <v>27</v>
      </c>
      <c r="H89" s="143" t="str">
        <f>IF(EHDAll[[#This Row],[STATUS]]="","",VLOOKUP(A89,EHD[],19,FALSE))</f>
        <v/>
      </c>
      <c r="I89" s="143" t="str">
        <f>IF(VLOOKUP(A89,EHD[],13,FALSE)=0,"",VLOOKUP(A89,EHD[],13,FALSE))</f>
        <v/>
      </c>
      <c r="J89" s="143" t="str">
        <f>IF(ISBLANK(VLOOKUP(A89,EHD[],14,FALSE)),"",VLOOKUP(A89,EHD[],14,FALSE))</f>
        <v/>
      </c>
      <c r="K89" s="151">
        <f>VLOOKUP(A89,EHD[],15,FALSE)</f>
        <v>0</v>
      </c>
      <c r="L89" s="151">
        <f ca="1">VLOOKUP(A89,EHD[],16,FALSE)</f>
        <v>8476.6335900000013</v>
      </c>
      <c r="M89" s="143"/>
      <c r="N89" s="143" t="str">
        <f>IF(ISBLANK(VLOOKUP(A89,EHD[],20,FALSE)),"",VLOOKUP(A89,EHD[],20,FALSE))</f>
        <v/>
      </c>
      <c r="O89" s="152"/>
    </row>
    <row r="90" spans="1:15">
      <c r="A90" s="148" t="s">
        <v>298</v>
      </c>
      <c r="B90" s="144" t="str">
        <f>VLOOKUP(A90,Data[],2,FALSE)</f>
        <v>BROOKLYN</v>
      </c>
      <c r="C90" s="144" t="s">
        <v>27</v>
      </c>
      <c r="D90" s="9" t="str">
        <f>VLOOKUP(A90,Data[],52,FALSE)</f>
        <v>FEDERAL</v>
      </c>
      <c r="E90" s="9">
        <f ca="1">VLOOKUP(A90,Data[],4,FALSE)</f>
        <v>2019</v>
      </c>
      <c r="F90" s="9">
        <f>VLOOKUP(EHDAll[[#This Row],[DEVELOPMENT]],EHD[],7,FALSE)</f>
        <v>7</v>
      </c>
      <c r="G90" s="9">
        <f>VLOOKUP(EHDAll[[#This Row],[DEVELOPMENT]],Data[],67,FALSE)</f>
        <v>38780</v>
      </c>
      <c r="H90" s="143" t="str">
        <f>IF(EHDAll[[#This Row],[STATUS]]="","",VLOOKUP(A90,EHD[],19,FALSE))</f>
        <v/>
      </c>
      <c r="I90" s="143" t="str">
        <f>IF(VLOOKUP(A90,EHD[],13,FALSE)=0,"",VLOOKUP(A90,EHD[],13,FALSE))</f>
        <v/>
      </c>
      <c r="J90" s="143" t="str">
        <f>IF(ISBLANK(VLOOKUP(A90,EHD[],14,FALSE)),"",VLOOKUP(A90,EHD[],14,FALSE))</f>
        <v/>
      </c>
      <c r="K90" s="151">
        <f>VLOOKUP(A90,EHD[],15,FALSE)</f>
        <v>0</v>
      </c>
      <c r="L90" s="151">
        <f ca="1">VLOOKUP(A90,EHD[],16,FALSE)</f>
        <v>53871.2371575</v>
      </c>
      <c r="M90" s="143"/>
      <c r="N90" s="143" t="str">
        <f>IF(ISBLANK(VLOOKUP(A90,EHD[],20,FALSE)),"",VLOOKUP(A90,EHD[],20,FALSE))</f>
        <v/>
      </c>
      <c r="O90" s="152"/>
    </row>
    <row r="91" spans="1:15">
      <c r="A91" s="148" t="s">
        <v>230</v>
      </c>
      <c r="B91" s="144" t="str">
        <f>VLOOKUP(A91,Data[],2,FALSE)</f>
        <v>BROOKLYN</v>
      </c>
      <c r="C91" s="144" t="s">
        <v>27</v>
      </c>
      <c r="D91" s="9" t="str">
        <f>VLOOKUP(A91,Data[],52,FALSE)</f>
        <v>FEDERAL</v>
      </c>
      <c r="E91" s="9">
        <f ca="1">VLOOKUP(A91,Data[],4,FALSE)</f>
        <v>2019</v>
      </c>
      <c r="F91" s="9">
        <f>VLOOKUP(EHDAll[[#This Row],[DEVELOPMENT]],EHD[],7,FALSE)</f>
        <v>9</v>
      </c>
      <c r="G91" s="9">
        <f>VLOOKUP(EHDAll[[#This Row],[DEVELOPMENT]],Data[],67,FALSE)</f>
        <v>4</v>
      </c>
      <c r="H91" s="143" t="str">
        <f>IF(EHDAll[[#This Row],[STATUS]]="","",VLOOKUP(A91,EHD[],19,FALSE))</f>
        <v/>
      </c>
      <c r="I91" s="143" t="str">
        <f>IF(VLOOKUP(A91,EHD[],13,FALSE)=0,"",VLOOKUP(A91,EHD[],13,FALSE))</f>
        <v/>
      </c>
      <c r="J91" s="143" t="str">
        <f>IF(ISBLANK(VLOOKUP(A91,EHD[],14,FALSE)),"",VLOOKUP(A91,EHD[],14,FALSE))</f>
        <v/>
      </c>
      <c r="K91" s="151">
        <f>VLOOKUP(A91,EHD[],15,FALSE)</f>
        <v>0</v>
      </c>
      <c r="L91" s="151">
        <f ca="1">VLOOKUP(A91,EHD[],16,FALSE)</f>
        <v>69263.0192025</v>
      </c>
      <c r="M91" s="143"/>
      <c r="N91" s="143" t="str">
        <f>IF(ISBLANK(VLOOKUP(A91,EHD[],20,FALSE)),"",VLOOKUP(A91,EHD[],20,FALSE))</f>
        <v/>
      </c>
      <c r="O91" s="152"/>
    </row>
    <row r="92" spans="1:15">
      <c r="A92" s="147" t="s">
        <v>272</v>
      </c>
      <c r="B92" s="144" t="str">
        <f>VLOOKUP(A92,Data[],2,FALSE)</f>
        <v>QUEENS</v>
      </c>
      <c r="C92" s="144" t="s">
        <v>27</v>
      </c>
      <c r="D92" s="9" t="str">
        <f>VLOOKUP(A92,Data[],52,FALSE)</f>
        <v>FEDERAL</v>
      </c>
      <c r="E92" s="9" t="str">
        <f ca="1">VLOOKUP(A92,Data[],4,FALSE)</f>
        <v>2022-2025</v>
      </c>
      <c r="F92" s="9">
        <f>VLOOKUP(EHDAll[[#This Row],[DEVELOPMENT]],EHD[],7,FALSE)</f>
        <v>22</v>
      </c>
      <c r="G92" s="9">
        <f>VLOOKUP(EHDAll[[#This Row],[DEVELOPMENT]],Data[],67,FALSE)</f>
        <v>43623</v>
      </c>
      <c r="H92" s="143" t="str">
        <f>IF(EHDAll[[#This Row],[STATUS]]="","",VLOOKUP(A92,EHD[],19,FALSE))</f>
        <v/>
      </c>
      <c r="I92" s="143" t="str">
        <f>IF(VLOOKUP(A92,EHD[],13,FALSE)=0,"",VLOOKUP(A92,EHD[],13,FALSE))</f>
        <v/>
      </c>
      <c r="J92" s="143" t="str">
        <f>IF(ISBLANK(VLOOKUP(A92,EHD[],14,FALSE)),"",VLOOKUP(A92,EHD[],14,FALSE))</f>
        <v/>
      </c>
      <c r="K92" s="151">
        <f>VLOOKUP(A92,EHD[],15,FALSE)</f>
        <v>0</v>
      </c>
      <c r="L92" s="151">
        <f ca="1">VLOOKUP(A92,EHD[],16,FALSE)</f>
        <v>186485.93898000004</v>
      </c>
      <c r="M92" s="143"/>
      <c r="N92" s="143" t="str">
        <f>IF(ISBLANK(VLOOKUP(A92,EHD[],20,FALSE)),"",VLOOKUP(A92,EHD[],20,FALSE))</f>
        <v/>
      </c>
      <c r="O92" s="152"/>
    </row>
    <row r="93" spans="1:15">
      <c r="A93" s="147" t="s">
        <v>299</v>
      </c>
      <c r="B93" s="144" t="str">
        <f>VLOOKUP(A93,Data[],2,FALSE)</f>
        <v>BROOKLYN</v>
      </c>
      <c r="C93" s="144" t="s">
        <v>27</v>
      </c>
      <c r="D93" s="9" t="str">
        <f>VLOOKUP(A93,Data[],52,FALSE)</f>
        <v>FEDERAL</v>
      </c>
      <c r="E93" s="9" t="str">
        <f ca="1">VLOOKUP(A93,Data[],4,FALSE)</f>
        <v/>
      </c>
      <c r="F93" s="9">
        <f>VLOOKUP(EHDAll[[#This Row],[DEVELOPMENT]],EHD[],7,FALSE)</f>
        <v>1</v>
      </c>
      <c r="G93" s="9">
        <f>VLOOKUP(EHDAll[[#This Row],[DEVELOPMENT]],Data[],67,FALSE)</f>
        <v>31</v>
      </c>
      <c r="H93" s="143" t="str">
        <f>IF(EHDAll[[#This Row],[STATUS]]="","",VLOOKUP(A93,EHD[],19,FALSE))</f>
        <v/>
      </c>
      <c r="I93" s="143" t="str">
        <f>IF(VLOOKUP(A93,EHD[],13,FALSE)=0,"",VLOOKUP(A93,EHD[],13,FALSE))</f>
        <v/>
      </c>
      <c r="J93" s="143" t="str">
        <f>IF(ISBLANK(VLOOKUP(A93,EHD[],14,FALSE)),"",VLOOKUP(A93,EHD[],14,FALSE))</f>
        <v/>
      </c>
      <c r="K93" s="151">
        <f>VLOOKUP(A93,EHD[],15,FALSE)</f>
        <v>0</v>
      </c>
      <c r="L93" s="151">
        <f ca="1">VLOOKUP(A93,EHD[],16,FALSE)</f>
        <v>8997.1286349999991</v>
      </c>
      <c r="M93" s="143"/>
      <c r="N93" s="143" t="str">
        <f>IF(ISBLANK(VLOOKUP(A93,EHD[],20,FALSE)),"",VLOOKUP(A93,EHD[],20,FALSE))</f>
        <v/>
      </c>
      <c r="O93" s="152"/>
    </row>
    <row r="94" spans="1:15">
      <c r="A94" s="147" t="s">
        <v>70</v>
      </c>
      <c r="B94" s="144" t="str">
        <f>VLOOKUP(A94,Data[],2,FALSE)</f>
        <v>MANHATTAN</v>
      </c>
      <c r="C94" s="144" t="s">
        <v>27</v>
      </c>
      <c r="D94" s="9" t="str">
        <f>VLOOKUP(A94,Data[],52,FALSE)</f>
        <v>FEDERAL</v>
      </c>
      <c r="E94" s="9" t="str">
        <f ca="1">VLOOKUP(A94,Data[],4,FALSE)</f>
        <v>2020-2021</v>
      </c>
      <c r="F94" s="9">
        <f>VLOOKUP(EHDAll[[#This Row],[DEVELOPMENT]],EHD[],7,FALSE)</f>
        <v>1</v>
      </c>
      <c r="G94" s="9">
        <f>VLOOKUP(EHDAll[[#This Row],[DEVELOPMENT]],Data[],67,FALSE)</f>
        <v>20</v>
      </c>
      <c r="H94" s="143" t="str">
        <f>IF(EHDAll[[#This Row],[STATUS]]="","",VLOOKUP(A94,EHD[],19,FALSE))</f>
        <v/>
      </c>
      <c r="I94" s="143" t="str">
        <f>IF(VLOOKUP(A94,EHD[],13,FALSE)=0,"",VLOOKUP(A94,EHD[],13,FALSE))</f>
        <v/>
      </c>
      <c r="J94" s="143" t="str">
        <f>IF(ISBLANK(VLOOKUP(A94,EHD[],14,FALSE)),"",VLOOKUP(A94,EHD[],14,FALSE))</f>
        <v/>
      </c>
      <c r="K94" s="151">
        <f>VLOOKUP(A94,EHD[],15,FALSE)</f>
        <v>0</v>
      </c>
      <c r="L94" s="151">
        <f ca="1">VLOOKUP(A94,EHD[],16,FALSE)</f>
        <v>7435.6435000000001</v>
      </c>
      <c r="M94" s="143"/>
      <c r="N94" s="143" t="str">
        <f>IF(ISBLANK(VLOOKUP(A94,EHD[],20,FALSE)),"",VLOOKUP(A94,EHD[],20,FALSE))</f>
        <v/>
      </c>
      <c r="O94" s="152"/>
    </row>
    <row r="95" spans="1:15">
      <c r="A95" s="147" t="s">
        <v>273</v>
      </c>
      <c r="B95" s="144" t="str">
        <f>VLOOKUP(A95,Data[],2,FALSE)</f>
        <v>BRONX</v>
      </c>
      <c r="C95" s="144" t="s">
        <v>27</v>
      </c>
      <c r="D95" s="9" t="str">
        <f>VLOOKUP(A95,Data[],52,FALSE)</f>
        <v>FEDERAL</v>
      </c>
      <c r="E95" s="9" t="str">
        <f ca="1">VLOOKUP(A95,Data[],4,FALSE)</f>
        <v/>
      </c>
      <c r="F95" s="9">
        <f>VLOOKUP(EHDAll[[#This Row],[DEVELOPMENT]],EHD[],7,FALSE)</f>
        <v>1</v>
      </c>
      <c r="G95" s="9">
        <f>VLOOKUP(EHDAll[[#This Row],[DEVELOPMENT]],Data[],67,FALSE)</f>
        <v>20</v>
      </c>
      <c r="H95" s="143" t="str">
        <f>IF(EHDAll[[#This Row],[STATUS]]="","",VLOOKUP(A95,EHD[],19,FALSE))</f>
        <v/>
      </c>
      <c r="I95" s="143" t="str">
        <f>IF(VLOOKUP(A95,EHD[],13,FALSE)=0,"",VLOOKUP(A95,EHD[],13,FALSE))</f>
        <v/>
      </c>
      <c r="J95" s="143" t="str">
        <f>IF(ISBLANK(VLOOKUP(A95,EHD[],14,FALSE)),"",VLOOKUP(A95,EHD[],14,FALSE))</f>
        <v/>
      </c>
      <c r="K95" s="151">
        <f>VLOOKUP(A95,EHD[],15,FALSE)</f>
        <v>0</v>
      </c>
      <c r="L95" s="151">
        <f ca="1">VLOOKUP(A95,EHD[],16,FALSE)</f>
        <v>8476.6335900000013</v>
      </c>
      <c r="M95" s="143"/>
      <c r="N95" s="143" t="str">
        <f>IF(ISBLANK(VLOOKUP(A95,EHD[],20,FALSE)),"",VLOOKUP(A95,EHD[],20,FALSE))</f>
        <v/>
      </c>
      <c r="O95" s="152"/>
    </row>
    <row r="96" spans="1:15">
      <c r="A96" s="147" t="s">
        <v>300</v>
      </c>
      <c r="B96" s="144" t="str">
        <f>VLOOKUP(A96,Data[],2,FALSE)</f>
        <v>QUEENS</v>
      </c>
      <c r="C96" s="144" t="s">
        <v>27</v>
      </c>
      <c r="D96" s="9" t="str">
        <f>VLOOKUP(A96,Data[],52,FALSE)</f>
        <v>FEDERAL</v>
      </c>
      <c r="E96" s="9" t="str">
        <f ca="1">VLOOKUP(A96,Data[],4,FALSE)</f>
        <v/>
      </c>
      <c r="F96" s="9">
        <f>VLOOKUP(EHDAll[[#This Row],[DEVELOPMENT]],EHD[],7,FALSE)</f>
        <v>5</v>
      </c>
      <c r="G96" s="9">
        <f>VLOOKUP(EHDAll[[#This Row],[DEVELOPMENT]],Data[],67,FALSE)</f>
        <v>8</v>
      </c>
      <c r="H96" s="143" t="str">
        <f>IF(EHDAll[[#This Row],[STATUS]]="","",VLOOKUP(A96,EHD[],19,FALSE))</f>
        <v/>
      </c>
      <c r="I96" s="143" t="str">
        <f>IF(VLOOKUP(A96,EHD[],13,FALSE)=0,"",VLOOKUP(A96,EHD[],13,FALSE))</f>
        <v/>
      </c>
      <c r="J96" s="143" t="str">
        <f>IF(ISBLANK(VLOOKUP(A96,EHD[],14,FALSE)),"",VLOOKUP(A96,EHD[],14,FALSE))</f>
        <v/>
      </c>
      <c r="K96" s="151">
        <f>VLOOKUP(A96,EHD[],15,FALSE)</f>
        <v>0</v>
      </c>
      <c r="L96" s="151">
        <f ca="1">VLOOKUP(A96,EHD[],16,FALSE)</f>
        <v>42383.167950000003</v>
      </c>
      <c r="M96" s="143"/>
      <c r="N96" s="143" t="str">
        <f>IF(ISBLANK(VLOOKUP(A96,EHD[],20,FALSE)),"",VLOOKUP(A96,EHD[],20,FALSE))</f>
        <v/>
      </c>
      <c r="O96" s="152"/>
    </row>
    <row r="97" spans="1:15">
      <c r="A97" s="147" t="s">
        <v>231</v>
      </c>
      <c r="B97" s="144" t="str">
        <f>VLOOKUP(A97,Data[],2,FALSE)</f>
        <v>BROOKLYN</v>
      </c>
      <c r="C97" s="144" t="s">
        <v>27</v>
      </c>
      <c r="D97" s="9" t="str">
        <f>VLOOKUP(A97,Data[],52,FALSE)</f>
        <v>MIXED FINANCE/LLC1</v>
      </c>
      <c r="E97" s="9" t="str">
        <f ca="1">VLOOKUP(A97,Data[],4,FALSE)</f>
        <v>2026+</v>
      </c>
      <c r="F97" s="9">
        <f>VLOOKUP(EHDAll[[#This Row],[DEVELOPMENT]],EHD[],7,FALSE)</f>
        <v>23</v>
      </c>
      <c r="G97" s="9">
        <f>VLOOKUP(EHDAll[[#This Row],[DEVELOPMENT]],Data[],67,FALSE)</f>
        <v>8</v>
      </c>
      <c r="H97" s="143" t="str">
        <f>IF(EHDAll[[#This Row],[STATUS]]="","",VLOOKUP(A97,EHD[],19,FALSE))</f>
        <v/>
      </c>
      <c r="I97" s="143" t="str">
        <f>IF(VLOOKUP(A97,EHD[],13,FALSE)=0,"",VLOOKUP(A97,EHD[],13,FALSE))</f>
        <v/>
      </c>
      <c r="J97" s="143" t="str">
        <f>IF(ISBLANK(VLOOKUP(A97,EHD[],14,FALSE)),"",VLOOKUP(A97,EHD[],14,FALSE))</f>
        <v/>
      </c>
      <c r="K97" s="151">
        <f>VLOOKUP(A97,EHD[],15,FALSE)</f>
        <v>0</v>
      </c>
      <c r="L97" s="151">
        <f ca="1">VLOOKUP(A97,EHD[],16,FALSE)</f>
        <v>194962.57257000005</v>
      </c>
      <c r="M97" s="143"/>
      <c r="N97" s="143" t="str">
        <f>IF(ISBLANK(VLOOKUP(A97,EHD[],20,FALSE)),"",VLOOKUP(A97,EHD[],20,FALSE))</f>
        <v/>
      </c>
      <c r="O97" s="152"/>
    </row>
    <row r="98" spans="1:15">
      <c r="A98" s="147" t="s">
        <v>301</v>
      </c>
      <c r="B98" s="144" t="str">
        <f>VLOOKUP(A98,Data[],2,FALSE)</f>
        <v>QUEENS</v>
      </c>
      <c r="C98" s="144" t="s">
        <v>27</v>
      </c>
      <c r="D98" s="9" t="str">
        <f>VLOOKUP(A98,Data[],52,FALSE)</f>
        <v>FEDERAL</v>
      </c>
      <c r="E98" s="9" t="str">
        <f ca="1">VLOOKUP(A98,Data[],4,FALSE)</f>
        <v>2026+</v>
      </c>
      <c r="F98" s="9">
        <f>VLOOKUP(EHDAll[[#This Row],[DEVELOPMENT]],EHD[],7,FALSE)</f>
        <v>6</v>
      </c>
      <c r="G98" s="9">
        <f>VLOOKUP(EHDAll[[#This Row],[DEVELOPMENT]],Data[],67,FALSE)</f>
        <v>13</v>
      </c>
      <c r="H98" s="143" t="str">
        <f>IF(EHDAll[[#This Row],[STATUS]]="","",VLOOKUP(A98,EHD[],19,FALSE))</f>
        <v/>
      </c>
      <c r="I98" s="143" t="str">
        <f>IF(VLOOKUP(A98,EHD[],13,FALSE)=0,"",VLOOKUP(A98,EHD[],13,FALSE))</f>
        <v/>
      </c>
      <c r="J98" s="143" t="str">
        <f>IF(ISBLANK(VLOOKUP(A98,EHD[],14,FALSE)),"",VLOOKUP(A98,EHD[],14,FALSE))</f>
        <v/>
      </c>
      <c r="K98" s="151">
        <f>VLOOKUP(A98,EHD[],15,FALSE)</f>
        <v>0</v>
      </c>
      <c r="L98" s="151">
        <f ca="1">VLOOKUP(A98,EHD[],16,FALSE)</f>
        <v>50859.801540000008</v>
      </c>
      <c r="M98" s="143"/>
      <c r="N98" s="143" t="str">
        <f>IF(ISBLANK(VLOOKUP(A98,EHD[],20,FALSE)),"",VLOOKUP(A98,EHD[],20,FALSE))</f>
        <v/>
      </c>
      <c r="O98" s="152"/>
    </row>
    <row r="99" spans="1:15">
      <c r="A99" s="147" t="s">
        <v>302</v>
      </c>
      <c r="B99" s="144" t="str">
        <f>VLOOKUP(A99,Data[],2,FALSE)</f>
        <v>BROOKLYN</v>
      </c>
      <c r="C99" s="144" t="s">
        <v>27</v>
      </c>
      <c r="D99" s="9" t="str">
        <f>VLOOKUP(A99,Data[],52,FALSE)</f>
        <v>FEDERAL</v>
      </c>
      <c r="E99" s="9" t="str">
        <f ca="1">VLOOKUP(A99,Data[],4,FALSE)</f>
        <v/>
      </c>
      <c r="F99" s="9">
        <f>VLOOKUP(EHDAll[[#This Row],[DEVELOPMENT]],EHD[],7,FALSE)</f>
        <v>0</v>
      </c>
      <c r="G99" s="9">
        <f>VLOOKUP(EHDAll[[#This Row],[DEVELOPMENT]],Data[],67,FALSE)</f>
        <v>3</v>
      </c>
      <c r="H99" s="143" t="str">
        <f>IF(EHDAll[[#This Row],[STATUS]]="","",VLOOKUP(A99,EHD[],19,FALSE))</f>
        <v/>
      </c>
      <c r="I99" s="143" t="str">
        <f>IF(VLOOKUP(A99,EHD[],13,FALSE)=0,"",VLOOKUP(A99,EHD[],13,FALSE))</f>
        <v/>
      </c>
      <c r="J99" s="143" t="str">
        <f>IF(ISBLANK(VLOOKUP(A99,EHD[],14,FALSE)),"",VLOOKUP(A99,EHD[],14,FALSE))</f>
        <v/>
      </c>
      <c r="K99" s="151">
        <f>VLOOKUP(A99,EHD[],15,FALSE)</f>
        <v>0</v>
      </c>
      <c r="L99" s="151">
        <f ca="1">VLOOKUP(A99,EHD[],16,FALSE)</f>
        <v>0</v>
      </c>
      <c r="M99" s="143"/>
      <c r="N99" s="143" t="str">
        <f>IF(ISBLANK(VLOOKUP(A99,EHD[],20,FALSE)),"",VLOOKUP(A99,EHD[],20,FALSE))</f>
        <v/>
      </c>
      <c r="O99" s="152"/>
    </row>
    <row r="100" spans="1:15">
      <c r="A100" s="147" t="s">
        <v>232</v>
      </c>
      <c r="B100" s="144" t="str">
        <f>VLOOKUP(A100,Data[],2,FALSE)</f>
        <v>STATEN ISLAND</v>
      </c>
      <c r="C100" s="144" t="s">
        <v>27</v>
      </c>
      <c r="D100" s="9" t="str">
        <f>VLOOKUP(A100,Data[],52,FALSE)</f>
        <v>FEDERAL</v>
      </c>
      <c r="E100" s="9" t="str">
        <f ca="1">VLOOKUP(A100,Data[],4,FALSE)</f>
        <v/>
      </c>
      <c r="F100" s="9">
        <f>VLOOKUP(EHDAll[[#This Row],[DEVELOPMENT]],EHD[],7,FALSE)</f>
        <v>16</v>
      </c>
      <c r="G100" s="9">
        <f>VLOOKUP(EHDAll[[#This Row],[DEVELOPMENT]],Data[],67,FALSE)</f>
        <v>6</v>
      </c>
      <c r="H100" s="143" t="str">
        <f>IF(EHDAll[[#This Row],[STATUS]]="","",VLOOKUP(A100,EHD[],19,FALSE))</f>
        <v/>
      </c>
      <c r="I100" s="143" t="str">
        <f>IF(VLOOKUP(A100,EHD[],13,FALSE)=0,"",VLOOKUP(A100,EHD[],13,FALSE))</f>
        <v/>
      </c>
      <c r="J100" s="143" t="str">
        <f>IF(ISBLANK(VLOOKUP(A100,EHD[],14,FALSE)),"",VLOOKUP(A100,EHD[],14,FALSE))</f>
        <v/>
      </c>
      <c r="K100" s="151">
        <f>VLOOKUP(A100,EHD[],15,FALSE)</f>
        <v>0</v>
      </c>
      <c r="L100" s="151">
        <f ca="1">VLOOKUP(A100,EHD[],16,FALSE)</f>
        <v>135626.13744000002</v>
      </c>
      <c r="M100" s="143"/>
      <c r="N100" s="143" t="str">
        <f>IF(ISBLANK(VLOOKUP(A100,EHD[],20,FALSE)),"",VLOOKUP(A100,EHD[],20,FALSE))</f>
        <v/>
      </c>
      <c r="O100" s="152"/>
    </row>
    <row r="101" spans="1:15">
      <c r="A101" s="147" t="s">
        <v>303</v>
      </c>
      <c r="B101" s="144" t="str">
        <f>VLOOKUP(A101,Data[],2,FALSE)</f>
        <v>BROOKLYN</v>
      </c>
      <c r="C101" s="144" t="s">
        <v>27</v>
      </c>
      <c r="D101" s="9" t="str">
        <f>VLOOKUP(A101,Data[],52,FALSE)</f>
        <v>FEDERAL</v>
      </c>
      <c r="E101" s="9">
        <f ca="1">VLOOKUP(A101,Data[],4,FALSE)</f>
        <v>2019</v>
      </c>
      <c r="F101" s="9">
        <f>VLOOKUP(EHDAll[[#This Row],[DEVELOPMENT]],EHD[],7,FALSE)</f>
        <v>1</v>
      </c>
      <c r="G101" s="9">
        <f>VLOOKUP(EHDAll[[#This Row],[DEVELOPMENT]],Data[],67,FALSE)</f>
        <v>43530</v>
      </c>
      <c r="H101" s="143" t="str">
        <f>IF(EHDAll[[#This Row],[STATUS]]="","",VLOOKUP(A101,EHD[],19,FALSE))</f>
        <v/>
      </c>
      <c r="I101" s="143" t="str">
        <f>IF(VLOOKUP(A101,EHD[],13,FALSE)=0,"",VLOOKUP(A101,EHD[],13,FALSE))</f>
        <v/>
      </c>
      <c r="J101" s="143" t="str">
        <f>IF(ISBLANK(VLOOKUP(A101,EHD[],14,FALSE)),"",VLOOKUP(A101,EHD[],14,FALSE))</f>
        <v/>
      </c>
      <c r="K101" s="151">
        <f>VLOOKUP(A101,EHD[],15,FALSE)</f>
        <v>0</v>
      </c>
      <c r="L101" s="151">
        <f ca="1">VLOOKUP(A101,EHD[],16,FALSE)</f>
        <v>8736.8811125000011</v>
      </c>
      <c r="M101" s="143"/>
      <c r="N101" s="143" t="str">
        <f>IF(ISBLANK(VLOOKUP(A101,EHD[],20,FALSE)),"",VLOOKUP(A101,EHD[],20,FALSE))</f>
        <v/>
      </c>
      <c r="O101" s="152"/>
    </row>
    <row r="102" spans="1:15">
      <c r="A102" s="147" t="s">
        <v>233</v>
      </c>
      <c r="B102" s="144" t="str">
        <f>VLOOKUP(A102,Data[],2,FALSE)</f>
        <v>QUEENS</v>
      </c>
      <c r="C102" s="144" t="s">
        <v>27</v>
      </c>
      <c r="D102" s="9" t="str">
        <f>VLOOKUP(A102,Data[],52,FALSE)</f>
        <v>FEDERAL</v>
      </c>
      <c r="E102" s="9" t="str">
        <f ca="1">VLOOKUP(A102,Data[],4,FALSE)</f>
        <v/>
      </c>
      <c r="F102" s="9">
        <f>VLOOKUP(EHDAll[[#This Row],[DEVELOPMENT]],EHD[],7,FALSE)</f>
        <v>5</v>
      </c>
      <c r="G102" s="9">
        <f>VLOOKUP(EHDAll[[#This Row],[DEVELOPMENT]],Data[],67,FALSE)</f>
        <v>10</v>
      </c>
      <c r="H102" s="143" t="str">
        <f>IF(EHDAll[[#This Row],[STATUS]]="","",VLOOKUP(A102,EHD[],19,FALSE))</f>
        <v/>
      </c>
      <c r="I102" s="143" t="str">
        <f>IF(VLOOKUP(A102,EHD[],13,FALSE)=0,"",VLOOKUP(A102,EHD[],13,FALSE))</f>
        <v/>
      </c>
      <c r="J102" s="143" t="str">
        <f>IF(ISBLANK(VLOOKUP(A102,EHD[],14,FALSE)),"",VLOOKUP(A102,EHD[],14,FALSE))</f>
        <v/>
      </c>
      <c r="K102" s="151">
        <f>VLOOKUP(A102,EHD[],15,FALSE)</f>
        <v>0</v>
      </c>
      <c r="L102" s="151">
        <f ca="1">VLOOKUP(A102,EHD[],16,FALSE)</f>
        <v>42383.167950000003</v>
      </c>
      <c r="M102" s="143"/>
      <c r="N102" s="143" t="str">
        <f>IF(ISBLANK(VLOOKUP(A102,EHD[],20,FALSE)),"",VLOOKUP(A102,EHD[],20,FALSE))</f>
        <v/>
      </c>
      <c r="O102" s="152"/>
    </row>
    <row r="103" spans="1:15">
      <c r="A103" s="147" t="s">
        <v>119</v>
      </c>
      <c r="B103" s="144" t="str">
        <f>VLOOKUP(A103,Data[],2,FALSE)</f>
        <v>BROOKLYN</v>
      </c>
      <c r="C103" s="144" t="s">
        <v>27</v>
      </c>
      <c r="D103" s="9" t="str">
        <f>VLOOKUP(A103,Data[],52,FALSE)</f>
        <v>FEDERAL</v>
      </c>
      <c r="E103" s="9" t="str">
        <f ca="1">VLOOKUP(A103,Data[],4,FALSE)</f>
        <v>2026+</v>
      </c>
      <c r="F103" s="9">
        <f>VLOOKUP(EHDAll[[#This Row],[DEVELOPMENT]],EHD[],7,FALSE)</f>
        <v>8</v>
      </c>
      <c r="G103" s="9">
        <f>VLOOKUP(EHDAll[[#This Row],[DEVELOPMENT]],Data[],67,FALSE)</f>
        <v>7</v>
      </c>
      <c r="H103" s="143" t="str">
        <f>IF(EHDAll[[#This Row],[STATUS]]="","",VLOOKUP(A103,EHD[],19,FALSE))</f>
        <v/>
      </c>
      <c r="I103" s="143" t="str">
        <f>IF(VLOOKUP(A103,EHD[],13,FALSE)=0,"",VLOOKUP(A103,EHD[],13,FALSE))</f>
        <v/>
      </c>
      <c r="J103" s="143" t="str">
        <f>IF(ISBLANK(VLOOKUP(A103,EHD[],14,FALSE)),"",VLOOKUP(A103,EHD[],14,FALSE))</f>
        <v/>
      </c>
      <c r="K103" s="151">
        <f>VLOOKUP(A103,EHD[],15,FALSE)</f>
        <v>0</v>
      </c>
      <c r="L103" s="151">
        <f ca="1">VLOOKUP(A103,EHD[],16,FALSE)</f>
        <v>59485.148000000001</v>
      </c>
      <c r="M103" s="143"/>
      <c r="N103" s="143" t="str">
        <f>IF(ISBLANK(VLOOKUP(A103,EHD[],20,FALSE)),"",VLOOKUP(A103,EHD[],20,FALSE))</f>
        <v/>
      </c>
      <c r="O103" s="152"/>
    </row>
    <row r="104" spans="1:15">
      <c r="A104" s="147" t="s">
        <v>72</v>
      </c>
      <c r="B104" s="144" t="str">
        <f>VLOOKUP(A104,Data[],2,FALSE)</f>
        <v>BROOKLYN</v>
      </c>
      <c r="C104" s="144" t="s">
        <v>27</v>
      </c>
      <c r="D104" s="9" t="str">
        <f>VLOOKUP(A104,Data[],52,FALSE)</f>
        <v>FEDERAL</v>
      </c>
      <c r="E104" s="9" t="str">
        <f ca="1">VLOOKUP(A104,Data[],4,FALSE)</f>
        <v>2026+</v>
      </c>
      <c r="F104" s="9">
        <f>VLOOKUP(EHDAll[[#This Row],[DEVELOPMENT]],EHD[],7,FALSE)</f>
        <v>7</v>
      </c>
      <c r="G104" s="9">
        <f>VLOOKUP(EHDAll[[#This Row],[DEVELOPMENT]],Data[],67,FALSE)</f>
        <v>7</v>
      </c>
      <c r="H104" s="143" t="str">
        <f>IF(EHDAll[[#This Row],[STATUS]]="","",VLOOKUP(A104,EHD[],19,FALSE))</f>
        <v/>
      </c>
      <c r="I104" s="143" t="str">
        <f>IF(VLOOKUP(A104,EHD[],13,FALSE)=0,"",VLOOKUP(A104,EHD[],13,FALSE))</f>
        <v/>
      </c>
      <c r="J104" s="143" t="str">
        <f>IF(ISBLANK(VLOOKUP(A104,EHD[],14,FALSE)),"",VLOOKUP(A104,EHD[],14,FALSE))</f>
        <v/>
      </c>
      <c r="K104" s="151">
        <f>VLOOKUP(A104,EHD[],15,FALSE)</f>
        <v>0</v>
      </c>
      <c r="L104" s="151">
        <f ca="1">VLOOKUP(A104,EHD[],16,FALSE)</f>
        <v>52049.504500000003</v>
      </c>
      <c r="M104" s="143"/>
      <c r="N104" s="143" t="str">
        <f>IF(ISBLANK(VLOOKUP(A104,EHD[],20,FALSE)),"",VLOOKUP(A104,EHD[],20,FALSE))</f>
        <v/>
      </c>
      <c r="O104" s="152"/>
    </row>
    <row r="105" spans="1:15">
      <c r="A105" s="147" t="s">
        <v>304</v>
      </c>
      <c r="B105" s="144" t="str">
        <f>VLOOKUP(A105,Data[],2,FALSE)</f>
        <v>BRONX</v>
      </c>
      <c r="C105" s="144" t="s">
        <v>27</v>
      </c>
      <c r="D105" s="9" t="str">
        <f>VLOOKUP(A105,Data[],52,FALSE)</f>
        <v>FEDERAL</v>
      </c>
      <c r="E105" s="9" t="str">
        <f ca="1">VLOOKUP(A105,Data[],4,FALSE)</f>
        <v/>
      </c>
      <c r="F105" s="9">
        <f>VLOOKUP(EHDAll[[#This Row],[DEVELOPMENT]],EHD[],7,FALSE)</f>
        <v>4</v>
      </c>
      <c r="G105" s="9" t="str">
        <f>VLOOKUP(EHDAll[[#This Row],[DEVELOPMENT]],Data[],67,FALSE)</f>
        <v>13-14-17-18</v>
      </c>
      <c r="H105" s="143" t="str">
        <f>IF(EHDAll[[#This Row],[STATUS]]="","",VLOOKUP(A105,EHD[],19,FALSE))</f>
        <v/>
      </c>
      <c r="I105" s="143" t="str">
        <f>IF(VLOOKUP(A105,EHD[],13,FALSE)=0,"",VLOOKUP(A105,EHD[],13,FALSE))</f>
        <v/>
      </c>
      <c r="J105" s="143" t="str">
        <f>IF(ISBLANK(VLOOKUP(A105,EHD[],14,FALSE)),"",VLOOKUP(A105,EHD[],14,FALSE))</f>
        <v/>
      </c>
      <c r="K105" s="151">
        <f>VLOOKUP(A105,EHD[],15,FALSE)</f>
        <v>0</v>
      </c>
      <c r="L105" s="151">
        <f ca="1">VLOOKUP(A105,EHD[],16,FALSE)</f>
        <v>33906.534360000005</v>
      </c>
      <c r="M105" s="143"/>
      <c r="N105" s="143" t="str">
        <f>IF(ISBLANK(VLOOKUP(A105,EHD[],20,FALSE)),"",VLOOKUP(A105,EHD[],20,FALSE))</f>
        <v/>
      </c>
      <c r="O105" s="152"/>
    </row>
    <row r="106" spans="1:15">
      <c r="A106" s="147" t="s">
        <v>226</v>
      </c>
      <c r="B106" s="144" t="str">
        <f>VLOOKUP(A106,Data[],2,FALSE)</f>
        <v>BROOKLYN</v>
      </c>
      <c r="C106" s="144" t="s">
        <v>27</v>
      </c>
      <c r="D106" s="9" t="str">
        <f>VLOOKUP(A106,Data[],52,FALSE)</f>
        <v>MIXED FINANCE/LLC2</v>
      </c>
      <c r="E106" s="9" t="str">
        <f ca="1">VLOOKUP(A106,Data[],4,FALSE)</f>
        <v>2020-2021</v>
      </c>
      <c r="F106" s="9">
        <f>VLOOKUP(EHDAll[[#This Row],[DEVELOPMENT]],EHD[],7,FALSE)</f>
        <v>30</v>
      </c>
      <c r="G106" s="9">
        <f>VLOOKUP(EHDAll[[#This Row],[DEVELOPMENT]],Data[],67,FALSE)</f>
        <v>43630</v>
      </c>
      <c r="H106" s="143" t="str">
        <f>IF(EHDAll[[#This Row],[STATUS]]="","",VLOOKUP(A106,EHD[],19,FALSE))</f>
        <v/>
      </c>
      <c r="I106" s="143" t="str">
        <f>IF(VLOOKUP(A106,EHD[],13,FALSE)=0,"",VLOOKUP(A106,EHD[],13,FALSE))</f>
        <v/>
      </c>
      <c r="J106" s="143" t="str">
        <f>IF(ISBLANK(VLOOKUP(A106,EHD[],14,FALSE)),"",VLOOKUP(A106,EHD[],14,FALSE))</f>
        <v/>
      </c>
      <c r="K106" s="151">
        <f>VLOOKUP(A106,EHD[],15,FALSE)</f>
        <v>0</v>
      </c>
      <c r="L106" s="151">
        <f ca="1">VLOOKUP(A106,EHD[],16,FALSE)</f>
        <v>238684.15635</v>
      </c>
      <c r="M106" s="143"/>
      <c r="N106" s="143" t="str">
        <f>IF(ISBLANK(VLOOKUP(A106,EHD[],20,FALSE)),"",VLOOKUP(A106,EHD[],20,FALSE))</f>
        <v/>
      </c>
      <c r="O106" s="152"/>
    </row>
    <row r="107" spans="1:15">
      <c r="A107" s="147" t="s">
        <v>187</v>
      </c>
      <c r="B107" s="144" t="str">
        <f>VLOOKUP(A107,Data[],2,FALSE)</f>
        <v>BRONX</v>
      </c>
      <c r="C107" s="144" t="s">
        <v>27</v>
      </c>
      <c r="D107" s="9" t="str">
        <f>VLOOKUP(A107,Data[],52,FALSE)</f>
        <v>FEDERAL</v>
      </c>
      <c r="E107" s="9" t="str">
        <f ca="1">VLOOKUP(A107,Data[],4,FALSE)</f>
        <v/>
      </c>
      <c r="F107" s="9">
        <f>VLOOKUP(EHDAll[[#This Row],[DEVELOPMENT]],EHD[],7,FALSE)</f>
        <v>3</v>
      </c>
      <c r="G107" s="9">
        <f>VLOOKUP(EHDAll[[#This Row],[DEVELOPMENT]],Data[],67,FALSE)</f>
        <v>43561</v>
      </c>
      <c r="H107" s="143" t="str">
        <f>IF(EHDAll[[#This Row],[STATUS]]="","",VLOOKUP(A107,EHD[],19,FALSE))</f>
        <v/>
      </c>
      <c r="I107" s="143" t="str">
        <f>IF(VLOOKUP(A107,EHD[],13,FALSE)=0,"",VLOOKUP(A107,EHD[],13,FALSE))</f>
        <v/>
      </c>
      <c r="J107" s="143" t="str">
        <f>IF(ISBLANK(VLOOKUP(A107,EHD[],14,FALSE)),"",VLOOKUP(A107,EHD[],14,FALSE))</f>
        <v/>
      </c>
      <c r="K107" s="151">
        <f>VLOOKUP(A107,EHD[],15,FALSE)</f>
        <v>0</v>
      </c>
      <c r="L107" s="151">
        <f ca="1">VLOOKUP(A107,EHD[],16,FALSE)</f>
        <v>23868.415635000005</v>
      </c>
      <c r="M107" s="143"/>
      <c r="N107" s="143" t="str">
        <f>IF(ISBLANK(VLOOKUP(A107,EHD[],20,FALSE)),"",VLOOKUP(A107,EHD[],20,FALSE))</f>
        <v/>
      </c>
      <c r="O107" s="152"/>
    </row>
    <row r="108" spans="1:15">
      <c r="A108" s="147" t="s">
        <v>188</v>
      </c>
      <c r="B108" s="144" t="str">
        <f>VLOOKUP(A108,Data[],2,FALSE)</f>
        <v>BROOKLYN</v>
      </c>
      <c r="C108" s="144" t="s">
        <v>27</v>
      </c>
      <c r="D108" s="9" t="str">
        <f>VLOOKUP(A108,Data[],52,FALSE)</f>
        <v>FEDERAL</v>
      </c>
      <c r="E108" s="9" t="str">
        <f ca="1">VLOOKUP(A108,Data[],4,FALSE)</f>
        <v>2020-2021</v>
      </c>
      <c r="F108" s="9">
        <f>VLOOKUP(EHDAll[[#This Row],[DEVELOPMENT]],EHD[],7,FALSE)</f>
        <v>94</v>
      </c>
      <c r="G108" s="9">
        <f>VLOOKUP(EHDAll[[#This Row],[DEVELOPMENT]],Data[],67,FALSE)</f>
        <v>43531</v>
      </c>
      <c r="H108" s="143" t="str">
        <f>IF(EHDAll[[#This Row],[STATUS]]="","",VLOOKUP(A108,EHD[],19,FALSE))</f>
        <v/>
      </c>
      <c r="I108" s="143" t="str">
        <f>IF(VLOOKUP(A108,EHD[],13,FALSE)=0,"",VLOOKUP(A108,EHD[],13,FALSE))</f>
        <v/>
      </c>
      <c r="J108" s="143" t="str">
        <f>IF(ISBLANK(VLOOKUP(A108,EHD[],14,FALSE)),"",VLOOKUP(A108,EHD[],14,FALSE))</f>
        <v/>
      </c>
      <c r="K108" s="151">
        <f>VLOOKUP(A108,EHD[],15,FALSE)</f>
        <v>0</v>
      </c>
      <c r="L108" s="151">
        <f ca="1">VLOOKUP(A108,EHD[],16,FALSE)</f>
        <v>747877.02323000005</v>
      </c>
      <c r="M108" s="143"/>
      <c r="N108" s="143" t="str">
        <f>IF(ISBLANK(VLOOKUP(A108,EHD[],20,FALSE)),"",VLOOKUP(A108,EHD[],20,FALSE))</f>
        <v/>
      </c>
      <c r="O108" s="152"/>
    </row>
    <row r="109" spans="1:15">
      <c r="A109" s="147" t="s">
        <v>199</v>
      </c>
      <c r="B109" s="144" t="str">
        <f>VLOOKUP(A109,Data[],2,FALSE)</f>
        <v>BROOKLYN</v>
      </c>
      <c r="C109" s="144" t="s">
        <v>27</v>
      </c>
      <c r="D109" s="9" t="str">
        <f>VLOOKUP(A109,Data[],52,FALSE)</f>
        <v>FEDERAL</v>
      </c>
      <c r="E109" s="9" t="str">
        <f ca="1">VLOOKUP(A109,Data[],4,FALSE)</f>
        <v>2026+</v>
      </c>
      <c r="F109" s="9">
        <f>VLOOKUP(EHDAll[[#This Row],[DEVELOPMENT]],EHD[],7,FALSE)</f>
        <v>26</v>
      </c>
      <c r="G109" s="9">
        <f>VLOOKUP(EHDAll[[#This Row],[DEVELOPMENT]],Data[],67,FALSE)</f>
        <v>7</v>
      </c>
      <c r="H109" s="143" t="str">
        <f>IF(EHDAll[[#This Row],[STATUS]]="","",VLOOKUP(A109,EHD[],19,FALSE))</f>
        <v/>
      </c>
      <c r="I109" s="143" t="str">
        <f>IF(VLOOKUP(A109,EHD[],13,FALSE)=0,"",VLOOKUP(A109,EHD[],13,FALSE))</f>
        <v/>
      </c>
      <c r="J109" s="143" t="str">
        <f>IF(ISBLANK(VLOOKUP(A109,EHD[],14,FALSE)),"",VLOOKUP(A109,EHD[],14,FALSE))</f>
        <v/>
      </c>
      <c r="K109" s="151">
        <f>VLOOKUP(A109,EHD[],15,FALSE)</f>
        <v>0</v>
      </c>
      <c r="L109" s="151">
        <f ca="1">VLOOKUP(A109,EHD[],16,FALSE)</f>
        <v>206859.60217</v>
      </c>
      <c r="M109" s="143"/>
      <c r="N109" s="143" t="str">
        <f>IF(ISBLANK(VLOOKUP(A109,EHD[],20,FALSE)),"",VLOOKUP(A109,EHD[],20,FALSE))</f>
        <v/>
      </c>
      <c r="O109" s="152"/>
    </row>
    <row r="110" spans="1:15">
      <c r="A110" s="147" t="s">
        <v>73</v>
      </c>
      <c r="B110" s="144" t="str">
        <f>VLOOKUP(A110,Data[],2,FALSE)</f>
        <v>BRONX</v>
      </c>
      <c r="C110" s="144" t="s">
        <v>27</v>
      </c>
      <c r="D110" s="9" t="str">
        <f>VLOOKUP(A110,Data[],52,FALSE)</f>
        <v>FEDERAL</v>
      </c>
      <c r="E110" s="9" t="str">
        <f ca="1">VLOOKUP(A110,Data[],4,FALSE)</f>
        <v/>
      </c>
      <c r="F110" s="9">
        <f>VLOOKUP(EHDAll[[#This Row],[DEVELOPMENT]],EHD[],7,FALSE)</f>
        <v>9</v>
      </c>
      <c r="G110" s="9">
        <f>VLOOKUP(EHDAll[[#This Row],[DEVELOPMENT]],Data[],67,FALSE)</f>
        <v>14</v>
      </c>
      <c r="H110" s="143" t="str">
        <f>IF(EHDAll[[#This Row],[STATUS]]="","",VLOOKUP(A110,EHD[],19,FALSE))</f>
        <v/>
      </c>
      <c r="I110" s="143" t="str">
        <f>IF(VLOOKUP(A110,EHD[],13,FALSE)=0,"",VLOOKUP(A110,EHD[],13,FALSE))</f>
        <v/>
      </c>
      <c r="J110" s="143" t="str">
        <f>IF(ISBLANK(VLOOKUP(A110,EHD[],14,FALSE)),"",VLOOKUP(A110,EHD[],14,FALSE))</f>
        <v/>
      </c>
      <c r="K110" s="151">
        <f>VLOOKUP(A110,EHD[],15,FALSE)</f>
        <v>0</v>
      </c>
      <c r="L110" s="151">
        <f ca="1">VLOOKUP(A110,EHD[],16,FALSE)</f>
        <v>69263.0192025</v>
      </c>
      <c r="M110" s="143"/>
      <c r="N110" s="143" t="str">
        <f>IF(ISBLANK(VLOOKUP(A110,EHD[],20,FALSE)),"",VLOOKUP(A110,EHD[],20,FALSE))</f>
        <v/>
      </c>
      <c r="O110" s="152"/>
    </row>
    <row r="111" spans="1:15">
      <c r="A111" s="147" t="s">
        <v>392</v>
      </c>
      <c r="B111" s="144" t="str">
        <f>VLOOKUP(A111,Data[],2,FALSE)</f>
        <v>BROOKLYN</v>
      </c>
      <c r="C111" s="144" t="s">
        <v>27</v>
      </c>
      <c r="D111" s="9" t="str">
        <f>VLOOKUP(A111,Data[],52,FALSE)</f>
        <v>FEDERAL</v>
      </c>
      <c r="E111" s="9" t="str">
        <f ca="1">VLOOKUP(A111,Data[],4,FALSE)</f>
        <v>2026+</v>
      </c>
      <c r="F111" s="9">
        <f>VLOOKUP(EHDAll[[#This Row],[DEVELOPMENT]],EHD[],7,FALSE)</f>
        <v>46</v>
      </c>
      <c r="G111" s="9">
        <f>VLOOKUP(EHDAll[[#This Row],[DEVELOPMENT]],Data[],67,FALSE)</f>
        <v>43623</v>
      </c>
      <c r="H111" s="143" t="str">
        <f>IF(EHDAll[[#This Row],[STATUS]]="","",VLOOKUP(A111,EHD[],19,FALSE))</f>
        <v/>
      </c>
      <c r="I111" s="143" t="str">
        <f>IF(VLOOKUP(A111,EHD[],13,FALSE)=0,"",VLOOKUP(A111,EHD[],13,FALSE))</f>
        <v/>
      </c>
      <c r="J111" s="143" t="str">
        <f>IF(ISBLANK(VLOOKUP(A111,EHD[],14,FALSE)),"",VLOOKUP(A111,EHD[],14,FALSE))</f>
        <v/>
      </c>
      <c r="K111" s="151">
        <f>VLOOKUP(A111,EHD[],15,FALSE)</f>
        <v>0</v>
      </c>
      <c r="L111" s="151">
        <f ca="1">VLOOKUP(A111,EHD[],16,FALSE)</f>
        <v>389925.1451400001</v>
      </c>
      <c r="M111" s="143"/>
      <c r="N111" s="143" t="str">
        <f>IF(ISBLANK(VLOOKUP(A111,EHD[],20,FALSE)),"",VLOOKUP(A111,EHD[],20,FALSE))</f>
        <v/>
      </c>
      <c r="O111" s="152"/>
    </row>
    <row r="112" spans="1:15">
      <c r="A112" s="147" t="s">
        <v>283</v>
      </c>
      <c r="B112" s="144" t="str">
        <f>VLOOKUP(A112,Data[],2,FALSE)</f>
        <v>BRONX</v>
      </c>
      <c r="C112" s="144" t="s">
        <v>27</v>
      </c>
      <c r="D112" s="9" t="str">
        <f>VLOOKUP(A112,Data[],52,FALSE)</f>
        <v>FEDERAL</v>
      </c>
      <c r="E112" s="9" t="str">
        <f ca="1">VLOOKUP(A112,Data[],4,FALSE)</f>
        <v/>
      </c>
      <c r="F112" s="9">
        <f>VLOOKUP(EHDAll[[#This Row],[DEVELOPMENT]],EHD[],7,FALSE)</f>
        <v>1</v>
      </c>
      <c r="G112" s="9">
        <f>VLOOKUP(EHDAll[[#This Row],[DEVELOPMENT]],Data[],67,FALSE)</f>
        <v>6</v>
      </c>
      <c r="H112" s="143" t="str">
        <f>IF(EHDAll[[#This Row],[STATUS]]="","",VLOOKUP(A112,EHD[],19,FALSE))</f>
        <v/>
      </c>
      <c r="I112" s="143" t="str">
        <f>IF(VLOOKUP(A112,EHD[],13,FALSE)=0,"",VLOOKUP(A112,EHD[],13,FALSE))</f>
        <v/>
      </c>
      <c r="J112" s="143" t="str">
        <f>IF(ISBLANK(VLOOKUP(A112,EHD[],14,FALSE)),"",VLOOKUP(A112,EHD[],14,FALSE))</f>
        <v/>
      </c>
      <c r="K112" s="151">
        <f>VLOOKUP(A112,EHD[],15,FALSE)</f>
        <v>0</v>
      </c>
      <c r="L112" s="151">
        <f ca="1">VLOOKUP(A112,EHD[],16,FALSE)</f>
        <v>8476.6335900000013</v>
      </c>
      <c r="M112" s="143"/>
      <c r="N112" s="143" t="str">
        <f>IF(ISBLANK(VLOOKUP(A112,EHD[],20,FALSE)),"",VLOOKUP(A112,EHD[],20,FALSE))</f>
        <v/>
      </c>
      <c r="O112" s="152"/>
    </row>
    <row r="113" spans="1:15">
      <c r="A113" s="147" t="s">
        <v>306</v>
      </c>
      <c r="B113" s="144" t="str">
        <f>VLOOKUP(A113,Data[],2,FALSE)</f>
        <v>BROOKLYN</v>
      </c>
      <c r="C113" s="144" t="s">
        <v>27</v>
      </c>
      <c r="D113" s="9" t="str">
        <f>VLOOKUP(A113,Data[],52,FALSE)</f>
        <v>FEDERAL</v>
      </c>
      <c r="E113" s="9" t="str">
        <f ca="1">VLOOKUP(A113,Data[],4,FALSE)</f>
        <v/>
      </c>
      <c r="F113" s="9">
        <f>VLOOKUP(EHDAll[[#This Row],[DEVELOPMENT]],EHD[],7,FALSE)</f>
        <v>3</v>
      </c>
      <c r="G113" s="9" t="str">
        <f>VLOOKUP(EHDAll[[#This Row],[DEVELOPMENT]],Data[],67,FALSE)</f>
        <v>15-17</v>
      </c>
      <c r="H113" s="143" t="str">
        <f>IF(EHDAll[[#This Row],[STATUS]]="","",VLOOKUP(A113,EHD[],19,FALSE))</f>
        <v/>
      </c>
      <c r="I113" s="143" t="str">
        <f>IF(VLOOKUP(A113,EHD[],13,FALSE)=0,"",VLOOKUP(A113,EHD[],13,FALSE))</f>
        <v/>
      </c>
      <c r="J113" s="143" t="str">
        <f>IF(ISBLANK(VLOOKUP(A113,EHD[],14,FALSE)),"",VLOOKUP(A113,EHD[],14,FALSE))</f>
        <v/>
      </c>
      <c r="K113" s="151">
        <f>VLOOKUP(A113,EHD[],15,FALSE)</f>
        <v>0</v>
      </c>
      <c r="L113" s="151">
        <f ca="1">VLOOKUP(A113,EHD[],16,FALSE)</f>
        <v>25429.900770000004</v>
      </c>
      <c r="M113" s="143"/>
      <c r="N113" s="143" t="str">
        <f>IF(ISBLANK(VLOOKUP(A113,EHD[],20,FALSE)),"",VLOOKUP(A113,EHD[],20,FALSE))</f>
        <v/>
      </c>
      <c r="O113" s="152"/>
    </row>
    <row r="114" spans="1:15">
      <c r="A114" s="147" t="s">
        <v>307</v>
      </c>
      <c r="B114" s="144" t="str">
        <f>VLOOKUP(A114,Data[],2,FALSE)</f>
        <v>QUEENS</v>
      </c>
      <c r="C114" s="144" t="s">
        <v>27</v>
      </c>
      <c r="D114" s="9" t="str">
        <f>VLOOKUP(A114,Data[],52,FALSE)</f>
        <v>FEDERAL</v>
      </c>
      <c r="E114" s="9" t="str">
        <f ca="1">VLOOKUP(A114,Data[],4,FALSE)</f>
        <v>2026+</v>
      </c>
      <c r="F114" s="9">
        <f>VLOOKUP(EHDAll[[#This Row],[DEVELOPMENT]],EHD[],7,FALSE)</f>
        <v>1</v>
      </c>
      <c r="G114" s="9">
        <f>VLOOKUP(EHDAll[[#This Row],[DEVELOPMENT]],Data[],67,FALSE)</f>
        <v>11</v>
      </c>
      <c r="H114" s="143" t="str">
        <f>IF(EHDAll[[#This Row],[STATUS]]="","",VLOOKUP(A114,EHD[],19,FALSE))</f>
        <v/>
      </c>
      <c r="I114" s="143" t="str">
        <f>IF(VLOOKUP(A114,EHD[],13,FALSE)=0,"",VLOOKUP(A114,EHD[],13,FALSE))</f>
        <v/>
      </c>
      <c r="J114" s="143" t="str">
        <f>IF(ISBLANK(VLOOKUP(A114,EHD[],14,FALSE)),"",VLOOKUP(A114,EHD[],14,FALSE))</f>
        <v/>
      </c>
      <c r="K114" s="151">
        <f>VLOOKUP(A114,EHD[],15,FALSE)</f>
        <v>0</v>
      </c>
      <c r="L114" s="151">
        <f ca="1">VLOOKUP(A114,EHD[],16,FALSE)</f>
        <v>8736.8811125000011</v>
      </c>
      <c r="M114" s="143"/>
      <c r="N114" s="143" t="str">
        <f>IF(ISBLANK(VLOOKUP(A114,EHD[],20,FALSE)),"",VLOOKUP(A114,EHD[],20,FALSE))</f>
        <v/>
      </c>
      <c r="O114" s="152"/>
    </row>
    <row r="115" spans="1:15">
      <c r="A115" s="147" t="s">
        <v>120</v>
      </c>
      <c r="B115" s="144" t="str">
        <f>VLOOKUP(A115,Data[],2,FALSE)</f>
        <v>MANHATTAN</v>
      </c>
      <c r="C115" s="144" t="s">
        <v>27</v>
      </c>
      <c r="D115" s="9" t="str">
        <f>VLOOKUP(A115,Data[],52,FALSE)</f>
        <v>FEDERAL</v>
      </c>
      <c r="E115" s="9" t="str">
        <f ca="1">VLOOKUP(A115,Data[],4,FALSE)</f>
        <v>2026+</v>
      </c>
      <c r="F115" s="9">
        <f>VLOOKUP(EHDAll[[#This Row],[DEVELOPMENT]],EHD[],7,FALSE)</f>
        <v>13</v>
      </c>
      <c r="G115" s="9">
        <f>VLOOKUP(EHDAll[[#This Row],[DEVELOPMENT]],Data[],67,FALSE)</f>
        <v>43631</v>
      </c>
      <c r="H115" s="143" t="str">
        <f>IF(EHDAll[[#This Row],[STATUS]]="","",VLOOKUP(A115,EHD[],19,FALSE))</f>
        <v/>
      </c>
      <c r="I115" s="143" t="str">
        <f>IF(VLOOKUP(A115,EHD[],13,FALSE)=0,"",VLOOKUP(A115,EHD[],13,FALSE))</f>
        <v/>
      </c>
      <c r="J115" s="143" t="str">
        <f>IF(ISBLANK(VLOOKUP(A115,EHD[],14,FALSE)),"",VLOOKUP(A115,EHD[],14,FALSE))</f>
        <v/>
      </c>
      <c r="K115" s="151">
        <f>VLOOKUP(A115,EHD[],15,FALSE)</f>
        <v>0</v>
      </c>
      <c r="L115" s="151">
        <f ca="1">VLOOKUP(A115,EHD[],16,FALSE)</f>
        <v>100046.58329249998</v>
      </c>
      <c r="M115" s="143"/>
      <c r="N115" s="143" t="str">
        <f>IF(ISBLANK(VLOOKUP(A115,EHD[],20,FALSE)),"",VLOOKUP(A115,EHD[],20,FALSE))</f>
        <v/>
      </c>
      <c r="O115" s="152"/>
    </row>
    <row r="116" spans="1:15">
      <c r="A116" s="147" t="s">
        <v>200</v>
      </c>
      <c r="B116" s="144" t="str">
        <f>VLOOKUP(A116,Data[],2,FALSE)</f>
        <v>BRONX</v>
      </c>
      <c r="C116" s="144" t="s">
        <v>27</v>
      </c>
      <c r="D116" s="9" t="str">
        <f>VLOOKUP(A116,Data[],52,FALSE)</f>
        <v>MIXED FINANCE/LLC1</v>
      </c>
      <c r="E116" s="9" t="str">
        <f ca="1">VLOOKUP(A116,Data[],4,FALSE)</f>
        <v/>
      </c>
      <c r="F116" s="9">
        <f>VLOOKUP(EHDAll[[#This Row],[DEVELOPMENT]],EHD[],7,FALSE)</f>
        <v>14</v>
      </c>
      <c r="G116" s="9">
        <f>VLOOKUP(EHDAll[[#This Row],[DEVELOPMENT]],Data[],67,FALSE)</f>
        <v>43819</v>
      </c>
      <c r="H116" s="143" t="str">
        <f>IF(EHDAll[[#This Row],[STATUS]]="","",VLOOKUP(A116,EHD[],19,FALSE))</f>
        <v/>
      </c>
      <c r="I116" s="143" t="str">
        <f>IF(VLOOKUP(A116,EHD[],13,FALSE)=0,"",VLOOKUP(A116,EHD[],13,FALSE))</f>
        <v/>
      </c>
      <c r="J116" s="143" t="str">
        <f>IF(ISBLANK(VLOOKUP(A116,EHD[],14,FALSE)),"",VLOOKUP(A116,EHD[],14,FALSE))</f>
        <v/>
      </c>
      <c r="K116" s="151">
        <f>VLOOKUP(A116,EHD[],15,FALSE)</f>
        <v>0</v>
      </c>
      <c r="L116" s="151">
        <f ca="1">VLOOKUP(A116,EHD[],16,FALSE)</f>
        <v>111385.93963000001</v>
      </c>
      <c r="M116" s="143"/>
      <c r="N116" s="143" t="str">
        <f>IF(ISBLANK(VLOOKUP(A116,EHD[],20,FALSE)),"",VLOOKUP(A116,EHD[],20,FALSE))</f>
        <v/>
      </c>
      <c r="O116" s="152"/>
    </row>
    <row r="117" spans="1:15">
      <c r="A117" s="147" t="s">
        <v>309</v>
      </c>
      <c r="B117" s="144" t="str">
        <f>VLOOKUP(A117,Data[],2,FALSE)</f>
        <v>MANHATTAN</v>
      </c>
      <c r="C117" s="144" t="s">
        <v>27</v>
      </c>
      <c r="D117" s="9" t="str">
        <f>VLOOKUP(A117,Data[],52,FALSE)</f>
        <v>MIXED FINANCE/LLC1</v>
      </c>
      <c r="E117" s="9" t="str">
        <f ca="1">VLOOKUP(A117,Data[],4,FALSE)</f>
        <v/>
      </c>
      <c r="F117" s="9">
        <f>VLOOKUP(EHDAll[[#This Row],[DEVELOPMENT]],EHD[],7,FALSE)</f>
        <v>4</v>
      </c>
      <c r="G117" s="9">
        <f>VLOOKUP(EHDAll[[#This Row],[DEVELOPMENT]],Data[],67,FALSE)</f>
        <v>21</v>
      </c>
      <c r="H117" s="143" t="str">
        <f>IF(EHDAll[[#This Row],[STATUS]]="","",VLOOKUP(A117,EHD[],19,FALSE))</f>
        <v/>
      </c>
      <c r="I117" s="143" t="str">
        <f>IF(VLOOKUP(A117,EHD[],13,FALSE)=0,"",VLOOKUP(A117,EHD[],13,FALSE))</f>
        <v/>
      </c>
      <c r="J117" s="143" t="str">
        <f>IF(ISBLANK(VLOOKUP(A117,EHD[],14,FALSE)),"",VLOOKUP(A117,EHD[],14,FALSE))</f>
        <v/>
      </c>
      <c r="K117" s="151">
        <f>VLOOKUP(A117,EHD[],15,FALSE)</f>
        <v>0</v>
      </c>
      <c r="L117" s="151">
        <f ca="1">VLOOKUP(A117,EHD[],16,FALSE)</f>
        <v>33906.534360000005</v>
      </c>
      <c r="M117" s="143"/>
      <c r="N117" s="143" t="str">
        <f>IF(ISBLANK(VLOOKUP(A117,EHD[],20,FALSE)),"",VLOOKUP(A117,EHD[],20,FALSE))</f>
        <v/>
      </c>
      <c r="O117" s="152"/>
    </row>
    <row r="118" spans="1:15">
      <c r="A118" s="147" t="s">
        <v>274</v>
      </c>
      <c r="B118" s="144" t="str">
        <f>VLOOKUP(A118,Data[],2,FALSE)</f>
        <v>MANHATTAN</v>
      </c>
      <c r="C118" s="144" t="s">
        <v>27</v>
      </c>
      <c r="D118" s="9" t="str">
        <f>VLOOKUP(A118,Data[],52,FALSE)</f>
        <v>FEDERAL</v>
      </c>
      <c r="E118" s="9" t="str">
        <f ca="1">VLOOKUP(A118,Data[],4,FALSE)</f>
        <v/>
      </c>
      <c r="F118" s="9">
        <f>VLOOKUP(EHDAll[[#This Row],[DEVELOPMENT]],EHD[],7,FALSE)</f>
        <v>1</v>
      </c>
      <c r="G118" s="9">
        <f>VLOOKUP(EHDAll[[#This Row],[DEVELOPMENT]],Data[],67,FALSE)</f>
        <v>14</v>
      </c>
      <c r="H118" s="143" t="str">
        <f>IF(EHDAll[[#This Row],[STATUS]]="","",VLOOKUP(A118,EHD[],19,FALSE))</f>
        <v/>
      </c>
      <c r="I118" s="143" t="str">
        <f>IF(VLOOKUP(A118,EHD[],13,FALSE)=0,"",VLOOKUP(A118,EHD[],13,FALSE))</f>
        <v/>
      </c>
      <c r="J118" s="143" t="str">
        <f>IF(ISBLANK(VLOOKUP(A118,EHD[],14,FALSE)),"",VLOOKUP(A118,EHD[],14,FALSE))</f>
        <v/>
      </c>
      <c r="K118" s="151">
        <f>VLOOKUP(A118,EHD[],15,FALSE)</f>
        <v>0</v>
      </c>
      <c r="L118" s="151">
        <f ca="1">VLOOKUP(A118,EHD[],16,FALSE)</f>
        <v>8476.6335900000013</v>
      </c>
      <c r="M118" s="143"/>
      <c r="N118" s="143" t="str">
        <f>IF(ISBLANK(VLOOKUP(A118,EHD[],20,FALSE)),"",VLOOKUP(A118,EHD[],20,FALSE))</f>
        <v/>
      </c>
      <c r="O118" s="152"/>
    </row>
    <row r="119" spans="1:15">
      <c r="A119" s="147" t="s">
        <v>124</v>
      </c>
      <c r="B119" s="144" t="str">
        <f>VLOOKUP(A119,Data[],2,FALSE)</f>
        <v>BRONX</v>
      </c>
      <c r="C119" s="144" t="s">
        <v>27</v>
      </c>
      <c r="D119" s="9" t="str">
        <f>VLOOKUP(A119,Data[],52,FALSE)</f>
        <v>FEDERAL</v>
      </c>
      <c r="E119" s="9" t="str">
        <f ca="1">VLOOKUP(A119,Data[],4,FALSE)</f>
        <v>2026+</v>
      </c>
      <c r="F119" s="9">
        <f>VLOOKUP(EHDAll[[#This Row],[DEVELOPMENT]],EHD[],7,FALSE)</f>
        <v>3</v>
      </c>
      <c r="G119" s="9">
        <f>VLOOKUP(EHDAll[[#This Row],[DEVELOPMENT]],Data[],67,FALSE)</f>
        <v>43531</v>
      </c>
      <c r="H119" s="143" t="str">
        <f>IF(EHDAll[[#This Row],[STATUS]]="","",VLOOKUP(A119,EHD[],19,FALSE))</f>
        <v/>
      </c>
      <c r="I119" s="143" t="str">
        <f>IF(VLOOKUP(A119,EHD[],13,FALSE)=0,"",VLOOKUP(A119,EHD[],13,FALSE))</f>
        <v/>
      </c>
      <c r="J119" s="143" t="str">
        <f>IF(ISBLANK(VLOOKUP(A119,EHD[],14,FALSE)),"",VLOOKUP(A119,EHD[],14,FALSE))</f>
        <v/>
      </c>
      <c r="K119" s="151">
        <f>VLOOKUP(A119,EHD[],15,FALSE)</f>
        <v>0</v>
      </c>
      <c r="L119" s="151">
        <f ca="1">VLOOKUP(A119,EHD[],16,FALSE)</f>
        <v>23087.6730675</v>
      </c>
      <c r="M119" s="143"/>
      <c r="N119" s="143" t="str">
        <f>IF(ISBLANK(VLOOKUP(A119,EHD[],20,FALSE)),"",VLOOKUP(A119,EHD[],20,FALSE))</f>
        <v/>
      </c>
      <c r="O119" s="152"/>
    </row>
    <row r="120" spans="1:15">
      <c r="A120" s="147" t="s">
        <v>310</v>
      </c>
      <c r="B120" s="144" t="str">
        <f>VLOOKUP(A120,Data[],2,FALSE)</f>
        <v>BRONX</v>
      </c>
      <c r="C120" s="144" t="s">
        <v>27</v>
      </c>
      <c r="D120" s="9" t="str">
        <f>VLOOKUP(A120,Data[],52,FALSE)</f>
        <v>FEDERAL</v>
      </c>
      <c r="E120" s="9" t="str">
        <f ca="1">VLOOKUP(A120,Data[],4,FALSE)</f>
        <v>2022-2025</v>
      </c>
      <c r="F120" s="9">
        <f>VLOOKUP(EHDAll[[#This Row],[DEVELOPMENT]],EHD[],7,FALSE)</f>
        <v>0</v>
      </c>
      <c r="G120" s="9">
        <f>VLOOKUP(EHDAll[[#This Row],[DEVELOPMENT]],Data[],67,FALSE)</f>
        <v>2</v>
      </c>
      <c r="H120" s="143" t="str">
        <f>IF(EHDAll[[#This Row],[STATUS]]="","",VLOOKUP(A120,EHD[],19,FALSE))</f>
        <v/>
      </c>
      <c r="I120" s="143" t="str">
        <f>IF(VLOOKUP(A120,EHD[],13,FALSE)=0,"",VLOOKUP(A120,EHD[],13,FALSE))</f>
        <v/>
      </c>
      <c r="J120" s="143" t="str">
        <f>IF(ISBLANK(VLOOKUP(A120,EHD[],14,FALSE)),"",VLOOKUP(A120,EHD[],14,FALSE))</f>
        <v/>
      </c>
      <c r="K120" s="151">
        <f>VLOOKUP(A120,EHD[],15,FALSE)</f>
        <v>0</v>
      </c>
      <c r="L120" s="151">
        <f ca="1">VLOOKUP(A120,EHD[],16,FALSE)</f>
        <v>0</v>
      </c>
      <c r="M120" s="143"/>
      <c r="N120" s="143" t="str">
        <f>IF(ISBLANK(VLOOKUP(A120,EHD[],20,FALSE)),"",VLOOKUP(A120,EHD[],20,FALSE))</f>
        <v/>
      </c>
      <c r="O120" s="152"/>
    </row>
    <row r="121" spans="1:15">
      <c r="A121" s="147" t="s">
        <v>129</v>
      </c>
      <c r="B121" s="144" t="str">
        <f>VLOOKUP(A121,Data[],2,FALSE)</f>
        <v>MANHATTAN</v>
      </c>
      <c r="C121" s="144" t="s">
        <v>27</v>
      </c>
      <c r="D121" s="9" t="str">
        <f>VLOOKUP(A121,Data[],52,FALSE)</f>
        <v>FEDERAL</v>
      </c>
      <c r="E121" s="9" t="str">
        <f ca="1">VLOOKUP(A121,Data[],4,FALSE)</f>
        <v/>
      </c>
      <c r="F121" s="9">
        <f>VLOOKUP(EHDAll[[#This Row],[DEVELOPMENT]],EHD[],7,FALSE)</f>
        <v>6</v>
      </c>
      <c r="G121" s="9">
        <f>VLOOKUP(EHDAll[[#This Row],[DEVELOPMENT]],Data[],67,FALSE)</f>
        <v>43726</v>
      </c>
      <c r="H121" s="143" t="str">
        <f>IF(EHDAll[[#This Row],[STATUS]]="","",VLOOKUP(A121,EHD[],19,FALSE))</f>
        <v/>
      </c>
      <c r="I121" s="143" t="str">
        <f>IF(VLOOKUP(A121,EHD[],13,FALSE)=0,"",VLOOKUP(A121,EHD[],13,FALSE))</f>
        <v/>
      </c>
      <c r="J121" s="143" t="str">
        <f>IF(ISBLANK(VLOOKUP(A121,EHD[],14,FALSE)),"",VLOOKUP(A121,EHD[],14,FALSE))</f>
        <v/>
      </c>
      <c r="K121" s="151">
        <f>VLOOKUP(A121,EHD[],15,FALSE)</f>
        <v>0</v>
      </c>
      <c r="L121" s="151">
        <f ca="1">VLOOKUP(A121,EHD[],16,FALSE)</f>
        <v>44613.861000000004</v>
      </c>
      <c r="M121" s="143"/>
      <c r="N121" s="143" t="str">
        <f>IF(ISBLANK(VLOOKUP(A121,EHD[],20,FALSE)),"",VLOOKUP(A121,EHD[],20,FALSE))</f>
        <v/>
      </c>
      <c r="O121" s="152"/>
    </row>
    <row r="122" spans="1:15">
      <c r="A122" s="147" t="s">
        <v>235</v>
      </c>
      <c r="B122" s="144" t="str">
        <f>VLOOKUP(A122,Data[],2,FALSE)</f>
        <v>BROOKLYN</v>
      </c>
      <c r="C122" s="144" t="s">
        <v>27</v>
      </c>
      <c r="D122" s="9" t="str">
        <f>VLOOKUP(A122,Data[],52,FALSE)</f>
        <v>FEDERAL</v>
      </c>
      <c r="E122" s="9" t="str">
        <f ca="1">VLOOKUP(A122,Data[],4,FALSE)</f>
        <v/>
      </c>
      <c r="F122" s="9">
        <f>VLOOKUP(EHDAll[[#This Row],[DEVELOPMENT]],EHD[],7,FALSE)</f>
        <v>5</v>
      </c>
      <c r="G122" s="9">
        <f>VLOOKUP(EHDAll[[#This Row],[DEVELOPMENT]],Data[],67,FALSE)</f>
        <v>14</v>
      </c>
      <c r="H122" s="143" t="str">
        <f>IF(EHDAll[[#This Row],[STATUS]]="","",VLOOKUP(A122,EHD[],19,FALSE))</f>
        <v/>
      </c>
      <c r="I122" s="143" t="str">
        <f>IF(VLOOKUP(A122,EHD[],13,FALSE)=0,"",VLOOKUP(A122,EHD[],13,FALSE))</f>
        <v/>
      </c>
      <c r="J122" s="143" t="str">
        <f>IF(ISBLANK(VLOOKUP(A122,EHD[],14,FALSE)),"",VLOOKUP(A122,EHD[],14,FALSE))</f>
        <v/>
      </c>
      <c r="K122" s="151">
        <f>VLOOKUP(A122,EHD[],15,FALSE)</f>
        <v>0</v>
      </c>
      <c r="L122" s="151">
        <f ca="1">VLOOKUP(A122,EHD[],16,FALSE)</f>
        <v>42383.167950000003</v>
      </c>
      <c r="M122" s="143"/>
      <c r="N122" s="143" t="str">
        <f>IF(ISBLANK(VLOOKUP(A122,EHD[],20,FALSE)),"",VLOOKUP(A122,EHD[],20,FALSE))</f>
        <v/>
      </c>
      <c r="O122" s="152"/>
    </row>
    <row r="123" spans="1:15">
      <c r="A123" s="147" t="s">
        <v>311</v>
      </c>
      <c r="B123" s="144" t="str">
        <f>VLOOKUP(A123,Data[],2,FALSE)</f>
        <v>BROOKLYN</v>
      </c>
      <c r="C123" s="144" t="s">
        <v>27</v>
      </c>
      <c r="D123" s="9" t="str">
        <f>VLOOKUP(A123,Data[],52,FALSE)</f>
        <v>FEDERAL</v>
      </c>
      <c r="E123" s="9" t="str">
        <f ca="1">VLOOKUP(A123,Data[],4,FALSE)</f>
        <v/>
      </c>
      <c r="F123" s="9">
        <f>VLOOKUP(EHDAll[[#This Row],[DEVELOPMENT]],EHD[],7,FALSE)</f>
        <v>1</v>
      </c>
      <c r="G123" s="9">
        <f>VLOOKUP(EHDAll[[#This Row],[DEVELOPMENT]],Data[],67,FALSE)</f>
        <v>18</v>
      </c>
      <c r="H123" s="143" t="str">
        <f>IF(EHDAll[[#This Row],[STATUS]]="","",VLOOKUP(A123,EHD[],19,FALSE))</f>
        <v/>
      </c>
      <c r="I123" s="143" t="str">
        <f>IF(VLOOKUP(A123,EHD[],13,FALSE)=0,"",VLOOKUP(A123,EHD[],13,FALSE))</f>
        <v/>
      </c>
      <c r="J123" s="143" t="str">
        <f>IF(ISBLANK(VLOOKUP(A123,EHD[],14,FALSE)),"",VLOOKUP(A123,EHD[],14,FALSE))</f>
        <v/>
      </c>
      <c r="K123" s="151">
        <f>VLOOKUP(A123,EHD[],15,FALSE)</f>
        <v>0</v>
      </c>
      <c r="L123" s="151">
        <f ca="1">VLOOKUP(A123,EHD[],16,FALSE)</f>
        <v>8476.6335900000013</v>
      </c>
      <c r="M123" s="143"/>
      <c r="N123" s="143" t="str">
        <f>IF(ISBLANK(VLOOKUP(A123,EHD[],20,FALSE)),"",VLOOKUP(A123,EHD[],20,FALSE))</f>
        <v/>
      </c>
      <c r="O123" s="152"/>
    </row>
    <row r="124" spans="1:15">
      <c r="A124" s="147" t="s">
        <v>236</v>
      </c>
      <c r="B124" s="144" t="str">
        <f>VLOOKUP(A124,Data[],2,FALSE)</f>
        <v>BROOKLYN</v>
      </c>
      <c r="C124" s="144" t="s">
        <v>27</v>
      </c>
      <c r="D124" s="9" t="str">
        <f>VLOOKUP(A124,Data[],52,FALSE)</f>
        <v>FEDERAL</v>
      </c>
      <c r="E124" s="9" t="str">
        <f ca="1">VLOOKUP(A124,Data[],4,FALSE)</f>
        <v>2026+</v>
      </c>
      <c r="F124" s="9">
        <f>VLOOKUP(EHDAll[[#This Row],[DEVELOPMENT]],EHD[],7,FALSE)</f>
        <v>1</v>
      </c>
      <c r="G124" s="9">
        <f>VLOOKUP(EHDAll[[#This Row],[DEVELOPMENT]],Data[],67,FALSE)</f>
        <v>14</v>
      </c>
      <c r="H124" s="143" t="str">
        <f>IF(EHDAll[[#This Row],[STATUS]]="","",VLOOKUP(A124,EHD[],19,FALSE))</f>
        <v/>
      </c>
      <c r="I124" s="143" t="str">
        <f>IF(VLOOKUP(A124,EHD[],13,FALSE)=0,"",VLOOKUP(A124,EHD[],13,FALSE))</f>
        <v/>
      </c>
      <c r="J124" s="143" t="str">
        <f>IF(ISBLANK(VLOOKUP(A124,EHD[],14,FALSE)),"",VLOOKUP(A124,EHD[],14,FALSE))</f>
        <v/>
      </c>
      <c r="K124" s="151">
        <f>VLOOKUP(A124,EHD[],15,FALSE)</f>
        <v>0</v>
      </c>
      <c r="L124" s="151">
        <f ca="1">VLOOKUP(A124,EHD[],16,FALSE)</f>
        <v>8476.6335900000013</v>
      </c>
      <c r="M124" s="143"/>
      <c r="N124" s="143" t="str">
        <f>IF(ISBLANK(VLOOKUP(A124,EHD[],20,FALSE)),"",VLOOKUP(A124,EHD[],20,FALSE))</f>
        <v/>
      </c>
      <c r="O124" s="152"/>
    </row>
    <row r="125" spans="1:15">
      <c r="A125" s="147" t="s">
        <v>312</v>
      </c>
      <c r="B125" s="144" t="str">
        <f>VLOOKUP(A125,Data[],2,FALSE)</f>
        <v>BROOKLYN</v>
      </c>
      <c r="C125" s="144" t="s">
        <v>27</v>
      </c>
      <c r="D125" s="9" t="str">
        <f>VLOOKUP(A125,Data[],52,FALSE)</f>
        <v>FEDERAL</v>
      </c>
      <c r="E125" s="9" t="str">
        <f ca="1">VLOOKUP(A125,Data[],4,FALSE)</f>
        <v/>
      </c>
      <c r="F125" s="9">
        <f>VLOOKUP(EHDAll[[#This Row],[DEVELOPMENT]],EHD[],7,FALSE)</f>
        <v>3</v>
      </c>
      <c r="G125" s="9">
        <f>VLOOKUP(EHDAll[[#This Row],[DEVELOPMENT]],Data[],67,FALSE)</f>
        <v>17</v>
      </c>
      <c r="H125" s="143" t="str">
        <f>IF(EHDAll[[#This Row],[STATUS]]="","",VLOOKUP(A125,EHD[],19,FALSE))</f>
        <v/>
      </c>
      <c r="I125" s="143" t="str">
        <f>IF(VLOOKUP(A125,EHD[],13,FALSE)=0,"",VLOOKUP(A125,EHD[],13,FALSE))</f>
        <v/>
      </c>
      <c r="J125" s="143" t="str">
        <f>IF(ISBLANK(VLOOKUP(A125,EHD[],14,FALSE)),"",VLOOKUP(A125,EHD[],14,FALSE))</f>
        <v/>
      </c>
      <c r="K125" s="151">
        <f>VLOOKUP(A125,EHD[],15,FALSE)</f>
        <v>0</v>
      </c>
      <c r="L125" s="151">
        <f ca="1">VLOOKUP(A125,EHD[],16,FALSE)</f>
        <v>26210.643337500005</v>
      </c>
      <c r="M125" s="143"/>
      <c r="N125" s="143" t="str">
        <f>IF(ISBLANK(VLOOKUP(A125,EHD[],20,FALSE)),"",VLOOKUP(A125,EHD[],20,FALSE))</f>
        <v/>
      </c>
      <c r="O125" s="152"/>
    </row>
    <row r="126" spans="1:15">
      <c r="A126" s="147" t="s">
        <v>190</v>
      </c>
      <c r="B126" s="144" t="str">
        <f>VLOOKUP(A126,Data[],2,FALSE)</f>
        <v>BROOKLYN</v>
      </c>
      <c r="C126" s="144" t="s">
        <v>27</v>
      </c>
      <c r="D126" s="9" t="str">
        <f>VLOOKUP(A126,Data[],52,FALSE)</f>
        <v>FEDERAL</v>
      </c>
      <c r="E126" s="9" t="str">
        <f ca="1">VLOOKUP(A126,Data[],4,FALSE)</f>
        <v>2026+</v>
      </c>
      <c r="F126" s="9">
        <f>VLOOKUP(EHDAll[[#This Row],[DEVELOPMENT]],EHD[],7,FALSE)</f>
        <v>13</v>
      </c>
      <c r="G126" s="9">
        <f>VLOOKUP(EHDAll[[#This Row],[DEVELOPMENT]],Data[],67,FALSE)</f>
        <v>7</v>
      </c>
      <c r="H126" s="143" t="str">
        <f>IF(EHDAll[[#This Row],[STATUS]]="","",VLOOKUP(A126,EHD[],19,FALSE))</f>
        <v/>
      </c>
      <c r="I126" s="143" t="str">
        <f>IF(VLOOKUP(A126,EHD[],13,FALSE)=0,"",VLOOKUP(A126,EHD[],13,FALSE))</f>
        <v/>
      </c>
      <c r="J126" s="143" t="str">
        <f>IF(ISBLANK(VLOOKUP(A126,EHD[],14,FALSE)),"",VLOOKUP(A126,EHD[],14,FALSE))</f>
        <v/>
      </c>
      <c r="K126" s="151">
        <f>VLOOKUP(A126,EHD[],15,FALSE)</f>
        <v>0</v>
      </c>
      <c r="L126" s="151">
        <f ca="1">VLOOKUP(A126,EHD[],16,FALSE)</f>
        <v>103429.801085</v>
      </c>
      <c r="M126" s="143"/>
      <c r="N126" s="143" t="str">
        <f>IF(ISBLANK(VLOOKUP(A126,EHD[],20,FALSE)),"",VLOOKUP(A126,EHD[],20,FALSE))</f>
        <v/>
      </c>
      <c r="O126" s="152"/>
    </row>
    <row r="127" spans="1:15">
      <c r="A127" s="147" t="s">
        <v>314</v>
      </c>
      <c r="B127" s="144" t="str">
        <f>VLOOKUP(A127,Data[],2,FALSE)</f>
        <v>BROOKLYN</v>
      </c>
      <c r="C127" s="144" t="s">
        <v>27</v>
      </c>
      <c r="D127" s="9" t="str">
        <f>VLOOKUP(A127,Data[],52,FALSE)</f>
        <v>FEDERAL</v>
      </c>
      <c r="E127" s="9" t="str">
        <f ca="1">VLOOKUP(A127,Data[],4,FALSE)</f>
        <v>2022-2025</v>
      </c>
      <c r="F127" s="9">
        <f>VLOOKUP(EHDAll[[#This Row],[DEVELOPMENT]],EHD[],7,FALSE)</f>
        <v>8</v>
      </c>
      <c r="G127" s="9">
        <f>VLOOKUP(EHDAll[[#This Row],[DEVELOPMENT]],Data[],67,FALSE)</f>
        <v>4</v>
      </c>
      <c r="H127" s="143" t="str">
        <f>IF(EHDAll[[#This Row],[STATUS]]="","",VLOOKUP(A127,EHD[],19,FALSE))</f>
        <v/>
      </c>
      <c r="I127" s="143" t="str">
        <f>IF(VLOOKUP(A127,EHD[],13,FALSE)=0,"",VLOOKUP(A127,EHD[],13,FALSE))</f>
        <v/>
      </c>
      <c r="J127" s="143" t="str">
        <f>IF(ISBLANK(VLOOKUP(A127,EHD[],14,FALSE)),"",VLOOKUP(A127,EHD[],14,FALSE))</f>
        <v/>
      </c>
      <c r="K127" s="151">
        <f>VLOOKUP(A127,EHD[],15,FALSE)</f>
        <v>0</v>
      </c>
      <c r="L127" s="151">
        <f ca="1">VLOOKUP(A127,EHD[],16,FALSE)</f>
        <v>69895.048900000009</v>
      </c>
      <c r="M127" s="143"/>
      <c r="N127" s="143" t="str">
        <f>IF(ISBLANK(VLOOKUP(A127,EHD[],20,FALSE)),"",VLOOKUP(A127,EHD[],20,FALSE))</f>
        <v/>
      </c>
      <c r="O127" s="152"/>
    </row>
    <row r="128" spans="1:15">
      <c r="A128" s="147" t="s">
        <v>315</v>
      </c>
      <c r="B128" s="144" t="str">
        <f>VLOOKUP(A128,Data[],2,FALSE)</f>
        <v>BROOKLYN</v>
      </c>
      <c r="C128" s="144" t="s">
        <v>27</v>
      </c>
      <c r="D128" s="9" t="str">
        <f>VLOOKUP(A128,Data[],52,FALSE)</f>
        <v>FEDERAL</v>
      </c>
      <c r="E128" s="9" t="str">
        <f ca="1">VLOOKUP(A128,Data[],4,FALSE)</f>
        <v>2022-2025</v>
      </c>
      <c r="F128" s="9">
        <f>VLOOKUP(EHDAll[[#This Row],[DEVELOPMENT]],EHD[],7,FALSE)</f>
        <v>30</v>
      </c>
      <c r="G128" s="9">
        <f>VLOOKUP(EHDAll[[#This Row],[DEVELOPMENT]],Data[],67,FALSE)</f>
        <v>7</v>
      </c>
      <c r="H128" s="143" t="str">
        <f>IF(EHDAll[[#This Row],[STATUS]]="","",VLOOKUP(A128,EHD[],19,FALSE))</f>
        <v/>
      </c>
      <c r="I128" s="143" t="str">
        <f>IF(VLOOKUP(A128,EHD[],13,FALSE)=0,"",VLOOKUP(A128,EHD[],13,FALSE))</f>
        <v/>
      </c>
      <c r="J128" s="143" t="str">
        <f>IF(ISBLANK(VLOOKUP(A128,EHD[],14,FALSE)),"",VLOOKUP(A128,EHD[],14,FALSE))</f>
        <v/>
      </c>
      <c r="K128" s="151">
        <f>VLOOKUP(A128,EHD[],15,FALSE)</f>
        <v>0</v>
      </c>
      <c r="L128" s="151">
        <f ca="1">VLOOKUP(A128,EHD[],16,FALSE)</f>
        <v>254299.00770000002</v>
      </c>
      <c r="M128" s="143"/>
      <c r="N128" s="143" t="str">
        <f>IF(ISBLANK(VLOOKUP(A128,EHD[],20,FALSE)),"",VLOOKUP(A128,EHD[],20,FALSE))</f>
        <v/>
      </c>
      <c r="O128" s="152"/>
    </row>
    <row r="129" spans="1:15">
      <c r="A129" s="147" t="s">
        <v>105</v>
      </c>
      <c r="B129" s="144" t="str">
        <f>VLOOKUP(A129,Data[],2,FALSE)</f>
        <v>BRONX</v>
      </c>
      <c r="C129" s="144" t="s">
        <v>27</v>
      </c>
      <c r="D129" s="9" t="str">
        <f>VLOOKUP(A129,Data[],52,FALSE)</f>
        <v>FEDERAL</v>
      </c>
      <c r="E129" s="9" t="str">
        <f ca="1">VLOOKUP(A129,Data[],4,FALSE)</f>
        <v>2026+</v>
      </c>
      <c r="F129" s="9">
        <f>VLOOKUP(EHDAll[[#This Row],[DEVELOPMENT]],EHD[],7,FALSE)</f>
        <v>1</v>
      </c>
      <c r="G129" s="9">
        <f>VLOOKUP(EHDAll[[#This Row],[DEVELOPMENT]],Data[],67,FALSE)</f>
        <v>8</v>
      </c>
      <c r="H129" s="143" t="str">
        <f>IF(EHDAll[[#This Row],[STATUS]]="","",VLOOKUP(A129,EHD[],19,FALSE))</f>
        <v/>
      </c>
      <c r="I129" s="143" t="str">
        <f>IF(VLOOKUP(A129,EHD[],13,FALSE)=0,"",VLOOKUP(A129,EHD[],13,FALSE))</f>
        <v/>
      </c>
      <c r="J129" s="143" t="str">
        <f>IF(ISBLANK(VLOOKUP(A129,EHD[],14,FALSE)),"",VLOOKUP(A129,EHD[],14,FALSE))</f>
        <v/>
      </c>
      <c r="K129" s="151">
        <f>VLOOKUP(A129,EHD[],15,FALSE)</f>
        <v>0</v>
      </c>
      <c r="L129" s="151">
        <f ca="1">VLOOKUP(A129,EHD[],16,FALSE)</f>
        <v>7695.8910225</v>
      </c>
      <c r="M129" s="143"/>
      <c r="N129" s="143" t="str">
        <f>IF(ISBLANK(VLOOKUP(A129,EHD[],20,FALSE)),"",VLOOKUP(A129,EHD[],20,FALSE))</f>
        <v/>
      </c>
      <c r="O129" s="152"/>
    </row>
    <row r="130" spans="1:15">
      <c r="A130" s="147" t="s">
        <v>263</v>
      </c>
      <c r="B130" s="144" t="str">
        <f>VLOOKUP(A130,Data[],2,FALSE)</f>
        <v>MANHATTAN</v>
      </c>
      <c r="C130" s="144" t="s">
        <v>27</v>
      </c>
      <c r="D130" s="9" t="str">
        <f>VLOOKUP(A130,Data[],52,FALSE)</f>
        <v>FEDERAL</v>
      </c>
      <c r="E130" s="9" t="str">
        <f ca="1">VLOOKUP(A130,Data[],4,FALSE)</f>
        <v/>
      </c>
      <c r="F130" s="9">
        <f>VLOOKUP(EHDAll[[#This Row],[DEVELOPMENT]],EHD[],7,FALSE)</f>
        <v>1</v>
      </c>
      <c r="G130" s="9">
        <f>VLOOKUP(EHDAll[[#This Row],[DEVELOPMENT]],Data[],67,FALSE)</f>
        <v>22</v>
      </c>
      <c r="H130" s="143" t="str">
        <f>IF(EHDAll[[#This Row],[STATUS]]="","",VLOOKUP(A130,EHD[],19,FALSE))</f>
        <v/>
      </c>
      <c r="I130" s="143" t="str">
        <f>IF(VLOOKUP(A130,EHD[],13,FALSE)=0,"",VLOOKUP(A130,EHD[],13,FALSE))</f>
        <v/>
      </c>
      <c r="J130" s="143" t="str">
        <f>IF(ISBLANK(VLOOKUP(A130,EHD[],14,FALSE)),"",VLOOKUP(A130,EHD[],14,FALSE))</f>
        <v/>
      </c>
      <c r="K130" s="151">
        <f>VLOOKUP(A130,EHD[],15,FALSE)</f>
        <v>0</v>
      </c>
      <c r="L130" s="151">
        <f ca="1">VLOOKUP(A130,EHD[],16,FALSE)</f>
        <v>8476.6335900000013</v>
      </c>
      <c r="M130" s="143"/>
      <c r="N130" s="143" t="str">
        <f>IF(ISBLANK(VLOOKUP(A130,EHD[],20,FALSE)),"",VLOOKUP(A130,EHD[],20,FALSE))</f>
        <v/>
      </c>
      <c r="O130" s="152"/>
    </row>
    <row r="131" spans="1:15">
      <c r="A131" s="147" t="s">
        <v>130</v>
      </c>
      <c r="B131" s="144" t="str">
        <f>VLOOKUP(A131,Data[],2,FALSE)</f>
        <v>MANHATTAN</v>
      </c>
      <c r="C131" s="144" t="s">
        <v>27</v>
      </c>
      <c r="D131" s="9" t="str">
        <f>VLOOKUP(A131,Data[],52,FALSE)</f>
        <v>FEDERAL</v>
      </c>
      <c r="E131" s="9" t="str">
        <f ca="1">VLOOKUP(A131,Data[],4,FALSE)</f>
        <v/>
      </c>
      <c r="F131" s="9">
        <f>VLOOKUP(EHDAll[[#This Row],[DEVELOPMENT]],EHD[],7,FALSE)</f>
        <v>0</v>
      </c>
      <c r="G131" s="9" t="str">
        <f>VLOOKUP(EHDAll[[#This Row],[DEVELOPMENT]],Data[],67,FALSE)</f>
        <v>5-9-12-17-20</v>
      </c>
      <c r="H131" s="143" t="str">
        <f>IF(EHDAll[[#This Row],[STATUS]]="","",VLOOKUP(A131,EHD[],19,FALSE))</f>
        <v/>
      </c>
      <c r="I131" s="143" t="str">
        <f>IF(VLOOKUP(A131,EHD[],13,FALSE)=0,"",VLOOKUP(A131,EHD[],13,FALSE))</f>
        <v/>
      </c>
      <c r="J131" s="143" t="str">
        <f>IF(ISBLANK(VLOOKUP(A131,EHD[],14,FALSE)),"",VLOOKUP(A131,EHD[],14,FALSE))</f>
        <v/>
      </c>
      <c r="K131" s="151">
        <f>VLOOKUP(A131,EHD[],15,FALSE)</f>
        <v>0</v>
      </c>
      <c r="L131" s="151">
        <f ca="1">VLOOKUP(A131,EHD[],16,FALSE)</f>
        <v>0</v>
      </c>
      <c r="M131" s="143"/>
      <c r="N131" s="143" t="str">
        <f>IF(ISBLANK(VLOOKUP(A131,EHD[],20,FALSE)),"",VLOOKUP(A131,EHD[],20,FALSE))</f>
        <v/>
      </c>
      <c r="O131" s="152"/>
    </row>
    <row r="132" spans="1:15">
      <c r="A132" s="147" t="s">
        <v>76</v>
      </c>
      <c r="B132" s="144" t="str">
        <f>VLOOKUP(A132,Data[],2,FALSE)</f>
        <v>MANHATTAN</v>
      </c>
      <c r="C132" s="144" t="s">
        <v>27</v>
      </c>
      <c r="D132" s="9" t="str">
        <f>VLOOKUP(A132,Data[],52,FALSE)</f>
        <v>FEDERAL</v>
      </c>
      <c r="E132" s="9" t="str">
        <f ca="1">VLOOKUP(A132,Data[],4,FALSE)</f>
        <v/>
      </c>
      <c r="F132" s="9">
        <f>VLOOKUP(EHDAll[[#This Row],[DEVELOPMENT]],EHD[],7,FALSE)</f>
        <v>0</v>
      </c>
      <c r="G132" s="9" t="str">
        <f>VLOOKUP(EHDAll[[#This Row],[DEVELOPMENT]],Data[],67,FALSE)</f>
        <v>9-12-17-18-20</v>
      </c>
      <c r="H132" s="143" t="str">
        <f>IF(EHDAll[[#This Row],[STATUS]]="","",VLOOKUP(A132,EHD[],19,FALSE))</f>
        <v/>
      </c>
      <c r="I132" s="143" t="str">
        <f>IF(VLOOKUP(A132,EHD[],13,FALSE)=0,"",VLOOKUP(A132,EHD[],13,FALSE))</f>
        <v/>
      </c>
      <c r="J132" s="143" t="str">
        <f>IF(ISBLANK(VLOOKUP(A132,EHD[],14,FALSE)),"",VLOOKUP(A132,EHD[],14,FALSE))</f>
        <v/>
      </c>
      <c r="K132" s="151">
        <f>VLOOKUP(A132,EHD[],15,FALSE)</f>
        <v>0</v>
      </c>
      <c r="L132" s="151">
        <f ca="1">VLOOKUP(A132,EHD[],16,FALSE)</f>
        <v>0</v>
      </c>
      <c r="M132" s="143"/>
      <c r="N132" s="143" t="str">
        <f>IF(ISBLANK(VLOOKUP(A132,EHD[],20,FALSE)),"",VLOOKUP(A132,EHD[],20,FALSE))</f>
        <v/>
      </c>
      <c r="O132" s="152"/>
    </row>
    <row r="133" spans="1:15">
      <c r="A133" s="147" t="s">
        <v>77</v>
      </c>
      <c r="B133" s="144" t="str">
        <f>VLOOKUP(A133,Data[],2,FALSE)</f>
        <v>MANHATTAN</v>
      </c>
      <c r="C133" s="144" t="s">
        <v>27</v>
      </c>
      <c r="D133" s="9" t="str">
        <f>VLOOKUP(A133,Data[],52,FALSE)</f>
        <v>MIXED FINANCE/LLC1</v>
      </c>
      <c r="E133" s="9" t="str">
        <f ca="1">VLOOKUP(A133,Data[],4,FALSE)</f>
        <v/>
      </c>
      <c r="F133" s="9">
        <f>VLOOKUP(EHDAll[[#This Row],[DEVELOPMENT]],EHD[],7,FALSE)</f>
        <v>5</v>
      </c>
      <c r="G133" s="9">
        <f>VLOOKUP(EHDAll[[#This Row],[DEVELOPMENT]],Data[],67,FALSE)</f>
        <v>21</v>
      </c>
      <c r="H133" s="143" t="str">
        <f>IF(EHDAll[[#This Row],[STATUS]]="","",VLOOKUP(A133,EHD[],19,FALSE))</f>
        <v/>
      </c>
      <c r="I133" s="143" t="str">
        <f>IF(VLOOKUP(A133,EHD[],13,FALSE)=0,"",VLOOKUP(A133,EHD[],13,FALSE))</f>
        <v/>
      </c>
      <c r="J133" s="143" t="str">
        <f>IF(ISBLANK(VLOOKUP(A133,EHD[],14,FALSE)),"",VLOOKUP(A133,EHD[],14,FALSE))</f>
        <v/>
      </c>
      <c r="K133" s="151">
        <f>VLOOKUP(A133,EHD[],15,FALSE)</f>
        <v>0</v>
      </c>
      <c r="L133" s="151">
        <f ca="1">VLOOKUP(A133,EHD[],16,FALSE)</f>
        <v>38479.455112499993</v>
      </c>
      <c r="M133" s="143"/>
      <c r="N133" s="143" t="str">
        <f>IF(ISBLANK(VLOOKUP(A133,EHD[],20,FALSE)),"",VLOOKUP(A133,EHD[],20,FALSE))</f>
        <v/>
      </c>
      <c r="O133" s="152"/>
    </row>
    <row r="134" spans="1:15">
      <c r="A134" s="147" t="s">
        <v>279</v>
      </c>
      <c r="B134" s="144" t="str">
        <f>VLOOKUP(A134,Data[],2,FALSE)</f>
        <v>MANHATTAN</v>
      </c>
      <c r="C134" s="144" t="s">
        <v>27</v>
      </c>
      <c r="D134" s="9" t="str">
        <f>VLOOKUP(A134,Data[],52,FALSE)</f>
        <v>FEDERAL</v>
      </c>
      <c r="E134" s="9" t="str">
        <f ca="1">VLOOKUP(A134,Data[],4,FALSE)</f>
        <v/>
      </c>
      <c r="F134" s="9">
        <f>VLOOKUP(EHDAll[[#This Row],[DEVELOPMENT]],EHD[],7,FALSE)</f>
        <v>7</v>
      </c>
      <c r="G134" s="9">
        <f>VLOOKUP(EHDAll[[#This Row],[DEVELOPMENT]],Data[],67,FALSE)</f>
        <v>14</v>
      </c>
      <c r="H134" s="143" t="str">
        <f>IF(EHDAll[[#This Row],[STATUS]]="","",VLOOKUP(A134,EHD[],19,FALSE))</f>
        <v/>
      </c>
      <c r="I134" s="143" t="str">
        <f>IF(VLOOKUP(A134,EHD[],13,FALSE)=0,"",VLOOKUP(A134,EHD[],13,FALSE))</f>
        <v/>
      </c>
      <c r="J134" s="143" t="str">
        <f>IF(ISBLANK(VLOOKUP(A134,EHD[],14,FALSE)),"",VLOOKUP(A134,EHD[],14,FALSE))</f>
        <v/>
      </c>
      <c r="K134" s="151">
        <f>VLOOKUP(A134,EHD[],15,FALSE)</f>
        <v>0</v>
      </c>
      <c r="L134" s="151">
        <f ca="1">VLOOKUP(A134,EHD[],16,FALSE)</f>
        <v>59336.435130000013</v>
      </c>
      <c r="M134" s="143"/>
      <c r="N134" s="143" t="str">
        <f>IF(ISBLANK(VLOOKUP(A134,EHD[],20,FALSE)),"",VLOOKUP(A134,EHD[],20,FALSE))</f>
        <v/>
      </c>
      <c r="O134" s="152"/>
    </row>
    <row r="135" spans="1:15">
      <c r="A135" s="147" t="s">
        <v>264</v>
      </c>
      <c r="B135" s="144" t="str">
        <f>VLOOKUP(A135,Data[],2,FALSE)</f>
        <v>BRONX</v>
      </c>
      <c r="C135" s="144" t="s">
        <v>27</v>
      </c>
      <c r="D135" s="9" t="str">
        <f>VLOOKUP(A135,Data[],52,FALSE)</f>
        <v>FEDERAL</v>
      </c>
      <c r="E135" s="9" t="str">
        <f ca="1">VLOOKUP(A135,Data[],4,FALSE)</f>
        <v>2026+</v>
      </c>
      <c r="F135" s="9">
        <f>VLOOKUP(EHDAll[[#This Row],[DEVELOPMENT]],EHD[],7,FALSE)</f>
        <v>1</v>
      </c>
      <c r="G135" s="9">
        <f>VLOOKUP(EHDAll[[#This Row],[DEVELOPMENT]],Data[],67,FALSE)</f>
        <v>6</v>
      </c>
      <c r="H135" s="143" t="str">
        <f>IF(EHDAll[[#This Row],[STATUS]]="","",VLOOKUP(A135,EHD[],19,FALSE))</f>
        <v/>
      </c>
      <c r="I135" s="143" t="str">
        <f>IF(VLOOKUP(A135,EHD[],13,FALSE)=0,"",VLOOKUP(A135,EHD[],13,FALSE))</f>
        <v/>
      </c>
      <c r="J135" s="143" t="str">
        <f>IF(ISBLANK(VLOOKUP(A135,EHD[],14,FALSE)),"",VLOOKUP(A135,EHD[],14,FALSE))</f>
        <v/>
      </c>
      <c r="K135" s="151">
        <f>VLOOKUP(A135,EHD[],15,FALSE)</f>
        <v>0</v>
      </c>
      <c r="L135" s="151">
        <f ca="1">VLOOKUP(A135,EHD[],16,FALSE)</f>
        <v>8476.6335900000013</v>
      </c>
      <c r="M135" s="143"/>
      <c r="N135" s="143" t="str">
        <f>IF(ISBLANK(VLOOKUP(A135,EHD[],20,FALSE)),"",VLOOKUP(A135,EHD[],20,FALSE))</f>
        <v/>
      </c>
      <c r="O135" s="152"/>
    </row>
    <row r="136" spans="1:15">
      <c r="A136" s="147" t="s">
        <v>275</v>
      </c>
      <c r="B136" s="144" t="str">
        <f>VLOOKUP(A136,Data[],2,FALSE)</f>
        <v>BRONX</v>
      </c>
      <c r="C136" s="144" t="s">
        <v>27</v>
      </c>
      <c r="D136" s="9" t="str">
        <f>VLOOKUP(A136,Data[],52,FALSE)</f>
        <v>FEDERAL</v>
      </c>
      <c r="E136" s="9" t="str">
        <f ca="1">VLOOKUP(A136,Data[],4,FALSE)</f>
        <v>2022-2025</v>
      </c>
      <c r="F136" s="9">
        <f>VLOOKUP(EHDAll[[#This Row],[DEVELOPMENT]],EHD[],7,FALSE)</f>
        <v>2</v>
      </c>
      <c r="G136" s="9">
        <f>VLOOKUP(EHDAll[[#This Row],[DEVELOPMENT]],Data[],67,FALSE)</f>
        <v>43783</v>
      </c>
      <c r="H136" s="143" t="str">
        <f>IF(EHDAll[[#This Row],[STATUS]]="","",VLOOKUP(A136,EHD[],19,FALSE))</f>
        <v/>
      </c>
      <c r="I136" s="143" t="str">
        <f>IF(VLOOKUP(A136,EHD[],13,FALSE)=0,"",VLOOKUP(A136,EHD[],13,FALSE))</f>
        <v/>
      </c>
      <c r="J136" s="143" t="str">
        <f>IF(ISBLANK(VLOOKUP(A136,EHD[],14,FALSE)),"",VLOOKUP(A136,EHD[],14,FALSE))</f>
        <v/>
      </c>
      <c r="K136" s="151">
        <f>VLOOKUP(A136,EHD[],15,FALSE)</f>
        <v>0</v>
      </c>
      <c r="L136" s="151">
        <f ca="1">VLOOKUP(A136,EHD[],16,FALSE)</f>
        <v>16953.267180000003</v>
      </c>
      <c r="M136" s="143"/>
      <c r="N136" s="143" t="str">
        <f>IF(ISBLANK(VLOOKUP(A136,EHD[],20,FALSE)),"",VLOOKUP(A136,EHD[],20,FALSE))</f>
        <v/>
      </c>
      <c r="O136" s="152"/>
    </row>
    <row r="137" spans="1:15">
      <c r="A137" s="147" t="s">
        <v>280</v>
      </c>
      <c r="B137" s="144" t="str">
        <f>VLOOKUP(A137,Data[],2,FALSE)</f>
        <v>BRONX</v>
      </c>
      <c r="C137" s="144" t="s">
        <v>27</v>
      </c>
      <c r="D137" s="9" t="str">
        <f>VLOOKUP(A137,Data[],52,FALSE)</f>
        <v>FEDERAL</v>
      </c>
      <c r="E137" s="9" t="str">
        <f ca="1">VLOOKUP(A137,Data[],4,FALSE)</f>
        <v/>
      </c>
      <c r="F137" s="9">
        <f>VLOOKUP(EHDAll[[#This Row],[DEVELOPMENT]],EHD[],7,FALSE)</f>
        <v>0</v>
      </c>
      <c r="G137" s="9">
        <f>VLOOKUP(EHDAll[[#This Row],[DEVELOPMENT]],Data[],67,FALSE)</f>
        <v>3</v>
      </c>
      <c r="H137" s="143" t="str">
        <f>IF(EHDAll[[#This Row],[STATUS]]="","",VLOOKUP(A137,EHD[],19,FALSE))</f>
        <v/>
      </c>
      <c r="I137" s="143" t="str">
        <f>IF(VLOOKUP(A137,EHD[],13,FALSE)=0,"",VLOOKUP(A137,EHD[],13,FALSE))</f>
        <v/>
      </c>
      <c r="J137" s="143" t="str">
        <f>IF(ISBLANK(VLOOKUP(A137,EHD[],14,FALSE)),"",VLOOKUP(A137,EHD[],14,FALSE))</f>
        <v/>
      </c>
      <c r="K137" s="151">
        <f>VLOOKUP(A137,EHD[],15,FALSE)</f>
        <v>0</v>
      </c>
      <c r="L137" s="151">
        <f ca="1">VLOOKUP(A137,EHD[],16,FALSE)</f>
        <v>0</v>
      </c>
      <c r="M137" s="143"/>
      <c r="N137" s="143" t="str">
        <f>IF(ISBLANK(VLOOKUP(A137,EHD[],20,FALSE)),"",VLOOKUP(A137,EHD[],20,FALSE))</f>
        <v/>
      </c>
      <c r="O137" s="152"/>
    </row>
    <row r="138" spans="1:15">
      <c r="A138" s="147" t="s">
        <v>284</v>
      </c>
      <c r="B138" s="144" t="str">
        <f>VLOOKUP(A138,Data[],2,FALSE)</f>
        <v>BRONX</v>
      </c>
      <c r="C138" s="144" t="s">
        <v>27</v>
      </c>
      <c r="D138" s="9" t="str">
        <f>VLOOKUP(A138,Data[],52,FALSE)</f>
        <v>FEDERAL</v>
      </c>
      <c r="E138" s="9" t="str">
        <f ca="1">VLOOKUP(A138,Data[],4,FALSE)</f>
        <v/>
      </c>
      <c r="F138" s="9">
        <f>VLOOKUP(EHDAll[[#This Row],[DEVELOPMENT]],EHD[],7,FALSE)</f>
        <v>0</v>
      </c>
      <c r="G138" s="9">
        <f>VLOOKUP(EHDAll[[#This Row],[DEVELOPMENT]],Data[],67,FALSE)</f>
        <v>3</v>
      </c>
      <c r="H138" s="143" t="str">
        <f>IF(EHDAll[[#This Row],[STATUS]]="","",VLOOKUP(A138,EHD[],19,FALSE))</f>
        <v/>
      </c>
      <c r="I138" s="143" t="str">
        <f>IF(VLOOKUP(A138,EHD[],13,FALSE)=0,"",VLOOKUP(A138,EHD[],13,FALSE))</f>
        <v/>
      </c>
      <c r="J138" s="143" t="str">
        <f>IF(ISBLANK(VLOOKUP(A138,EHD[],14,FALSE)),"",VLOOKUP(A138,EHD[],14,FALSE))</f>
        <v/>
      </c>
      <c r="K138" s="151">
        <f>VLOOKUP(A138,EHD[],15,FALSE)</f>
        <v>0</v>
      </c>
      <c r="L138" s="151">
        <f ca="1">VLOOKUP(A138,EHD[],16,FALSE)</f>
        <v>0</v>
      </c>
      <c r="M138" s="143"/>
      <c r="N138" s="143" t="str">
        <f>IF(ISBLANK(VLOOKUP(A138,EHD[],20,FALSE)),"",VLOOKUP(A138,EHD[],20,FALSE))</f>
        <v/>
      </c>
      <c r="O138" s="152"/>
    </row>
    <row r="139" spans="1:15">
      <c r="A139" s="147" t="s">
        <v>316</v>
      </c>
      <c r="B139" s="144" t="str">
        <f>VLOOKUP(A139,Data[],2,FALSE)</f>
        <v>BROOKLYN</v>
      </c>
      <c r="C139" s="144" t="s">
        <v>27</v>
      </c>
      <c r="D139" s="9" t="str">
        <f>VLOOKUP(A139,Data[],52,FALSE)</f>
        <v>FEDERAL</v>
      </c>
      <c r="E139" s="9" t="str">
        <f ca="1">VLOOKUP(A139,Data[],4,FALSE)</f>
        <v>2022-2025</v>
      </c>
      <c r="F139" s="9">
        <f>VLOOKUP(EHDAll[[#This Row],[DEVELOPMENT]],EHD[],7,FALSE)</f>
        <v>0</v>
      </c>
      <c r="G139" s="9">
        <f>VLOOKUP(EHDAll[[#This Row],[DEVELOPMENT]],Data[],67,FALSE)</f>
        <v>3</v>
      </c>
      <c r="H139" s="143" t="str">
        <f>IF(EHDAll[[#This Row],[STATUS]]="","",VLOOKUP(A139,EHD[],19,FALSE))</f>
        <v/>
      </c>
      <c r="I139" s="143" t="str">
        <f>IF(VLOOKUP(A139,EHD[],13,FALSE)=0,"",VLOOKUP(A139,EHD[],13,FALSE))</f>
        <v/>
      </c>
      <c r="J139" s="143" t="str">
        <f>IF(ISBLANK(VLOOKUP(A139,EHD[],14,FALSE)),"",VLOOKUP(A139,EHD[],14,FALSE))</f>
        <v/>
      </c>
      <c r="K139" s="151">
        <f>VLOOKUP(A139,EHD[],15,FALSE)</f>
        <v>0</v>
      </c>
      <c r="L139" s="151">
        <f ca="1">VLOOKUP(A139,EHD[],16,FALSE)</f>
        <v>0</v>
      </c>
      <c r="M139" s="143"/>
      <c r="N139" s="143" t="str">
        <f>IF(ISBLANK(VLOOKUP(A139,EHD[],20,FALSE)),"",VLOOKUP(A139,EHD[],20,FALSE))</f>
        <v/>
      </c>
      <c r="O139" s="152"/>
    </row>
    <row r="140" spans="1:15">
      <c r="A140" s="147" t="s">
        <v>78</v>
      </c>
      <c r="B140" s="144" t="str">
        <f>VLOOKUP(A140,Data[],2,FALSE)</f>
        <v>MANHATTAN</v>
      </c>
      <c r="C140" s="144" t="s">
        <v>27</v>
      </c>
      <c r="D140" s="9" t="str">
        <f>VLOOKUP(A140,Data[],52,FALSE)</f>
        <v>FEDERAL</v>
      </c>
      <c r="E140" s="9" t="str">
        <f ca="1">VLOOKUP(A140,Data[],4,FALSE)</f>
        <v>2022-2025</v>
      </c>
      <c r="F140" s="9">
        <f>VLOOKUP(EHDAll[[#This Row],[DEVELOPMENT]],EHD[],7,FALSE)</f>
        <v>29</v>
      </c>
      <c r="G140" s="9">
        <f>VLOOKUP(EHDAll[[#This Row],[DEVELOPMENT]],Data[],67,FALSE)</f>
        <v>40704</v>
      </c>
      <c r="H140" s="143" t="str">
        <f>IF(EHDAll[[#This Row],[STATUS]]="","",VLOOKUP(A140,EHD[],19,FALSE))</f>
        <v/>
      </c>
      <c r="I140" s="143" t="str">
        <f>IF(VLOOKUP(A140,EHD[],13,FALSE)=0,"",VLOOKUP(A140,EHD[],13,FALSE))</f>
        <v/>
      </c>
      <c r="J140" s="143" t="str">
        <f>IF(ISBLANK(VLOOKUP(A140,EHD[],14,FALSE)),"",VLOOKUP(A140,EHD[],14,FALSE))</f>
        <v/>
      </c>
      <c r="K140" s="151">
        <f>VLOOKUP(A140,EHD[],15,FALSE)</f>
        <v>0</v>
      </c>
      <c r="L140" s="151">
        <f ca="1">VLOOKUP(A140,EHD[],16,FALSE)</f>
        <v>223180.8396525</v>
      </c>
      <c r="M140" s="143"/>
      <c r="N140" s="143" t="str">
        <f>IF(ISBLANK(VLOOKUP(A140,EHD[],20,FALSE)),"",VLOOKUP(A140,EHD[],20,FALSE))</f>
        <v/>
      </c>
      <c r="O140" s="152"/>
    </row>
    <row r="141" spans="1:15">
      <c r="A141" s="147" t="s">
        <v>317</v>
      </c>
      <c r="B141" s="144" t="str">
        <f>VLOOKUP(A141,Data[],2,FALSE)</f>
        <v>BRONX</v>
      </c>
      <c r="C141" s="144" t="s">
        <v>27</v>
      </c>
      <c r="D141" s="9" t="str">
        <f>VLOOKUP(A141,Data[],52,FALSE)</f>
        <v>FEDERAL</v>
      </c>
      <c r="E141" s="9" t="str">
        <f ca="1">VLOOKUP(A141,Data[],4,FALSE)</f>
        <v>2026+</v>
      </c>
      <c r="F141" s="9">
        <f>VLOOKUP(EHDAll[[#This Row],[DEVELOPMENT]],EHD[],7,FALSE)</f>
        <v>15</v>
      </c>
      <c r="G141" s="9">
        <f>VLOOKUP(EHDAll[[#This Row],[DEVELOPMENT]],Data[],67,FALSE)</f>
        <v>43654</v>
      </c>
      <c r="H141" s="143" t="str">
        <f>IF(EHDAll[[#This Row],[STATUS]]="","",VLOOKUP(A141,EHD[],19,FALSE))</f>
        <v/>
      </c>
      <c r="I141" s="143" t="str">
        <f>IF(VLOOKUP(A141,EHD[],13,FALSE)=0,"",VLOOKUP(A141,EHD[],13,FALSE))</f>
        <v/>
      </c>
      <c r="J141" s="143" t="str">
        <f>IF(ISBLANK(VLOOKUP(A141,EHD[],14,FALSE)),"",VLOOKUP(A141,EHD[],14,FALSE))</f>
        <v/>
      </c>
      <c r="K141" s="151">
        <f>VLOOKUP(A141,EHD[],15,FALSE)</f>
        <v>0</v>
      </c>
      <c r="L141" s="151">
        <f ca="1">VLOOKUP(A141,EHD[],16,FALSE)</f>
        <v>127149.50385000001</v>
      </c>
      <c r="M141" s="143"/>
      <c r="N141" s="143" t="str">
        <f>IF(ISBLANK(VLOOKUP(A141,EHD[],20,FALSE)),"",VLOOKUP(A141,EHD[],20,FALSE))</f>
        <v/>
      </c>
      <c r="O141" s="152"/>
    </row>
    <row r="142" spans="1:15">
      <c r="A142" s="147" t="s">
        <v>201</v>
      </c>
      <c r="B142" s="144" t="str">
        <f>VLOOKUP(A142,Data[],2,FALSE)</f>
        <v>BRONX</v>
      </c>
      <c r="C142" s="144" t="s">
        <v>27</v>
      </c>
      <c r="D142" s="9" t="str">
        <f>VLOOKUP(A142,Data[],52,FALSE)</f>
        <v>FEDERAL</v>
      </c>
      <c r="E142" s="9" t="str">
        <f ca="1">VLOOKUP(A142,Data[],4,FALSE)</f>
        <v>2022-2025</v>
      </c>
      <c r="F142" s="9">
        <f>VLOOKUP(EHDAll[[#This Row],[DEVELOPMENT]],EHD[],7,FALSE)</f>
        <v>71</v>
      </c>
      <c r="G142" s="9">
        <f>VLOOKUP(EHDAll[[#This Row],[DEVELOPMENT]],Data[],67,FALSE)</f>
        <v>43538</v>
      </c>
      <c r="H142" s="143" t="str">
        <f>IF(EHDAll[[#This Row],[STATUS]]="","",VLOOKUP(A142,EHD[],19,FALSE))</f>
        <v/>
      </c>
      <c r="I142" s="143" t="str">
        <f>IF(VLOOKUP(A142,EHD[],13,FALSE)=0,"",VLOOKUP(A142,EHD[],13,FALSE))</f>
        <v/>
      </c>
      <c r="J142" s="143" t="str">
        <f>IF(ISBLANK(VLOOKUP(A142,EHD[],14,FALSE)),"",VLOOKUP(A142,EHD[],14,FALSE))</f>
        <v/>
      </c>
      <c r="K142" s="151">
        <f>VLOOKUP(A142,EHD[],15,FALSE)</f>
        <v>0</v>
      </c>
      <c r="L142" s="151">
        <f ca="1">VLOOKUP(A142,EHD[],16,FALSE)</f>
        <v>564885.83669500006</v>
      </c>
      <c r="M142" s="143"/>
      <c r="N142" s="143" t="str">
        <f>IF(ISBLANK(VLOOKUP(A142,EHD[],20,FALSE)),"",VLOOKUP(A142,EHD[],20,FALSE))</f>
        <v/>
      </c>
      <c r="O142" s="152"/>
    </row>
    <row r="143" spans="1:15">
      <c r="A143" s="147" t="s">
        <v>221</v>
      </c>
      <c r="B143" s="144" t="str">
        <f>VLOOKUP(A143,Data[],2,FALSE)</f>
        <v>MANHATTAN</v>
      </c>
      <c r="C143" s="144" t="s">
        <v>27</v>
      </c>
      <c r="D143" s="9" t="str">
        <f>VLOOKUP(A143,Data[],52,FALSE)</f>
        <v>FEDERAL</v>
      </c>
      <c r="E143" s="9" t="str">
        <f ca="1">VLOOKUP(A143,Data[],4,FALSE)</f>
        <v/>
      </c>
      <c r="F143" s="9">
        <f>VLOOKUP(EHDAll[[#This Row],[DEVELOPMENT]],EHD[],7,FALSE)</f>
        <v>8</v>
      </c>
      <c r="G143" s="9">
        <f>VLOOKUP(EHDAll[[#This Row],[DEVELOPMENT]],Data[],67,FALSE)</f>
        <v>43781</v>
      </c>
      <c r="H143" s="143" t="str">
        <f>IF(EHDAll[[#This Row],[STATUS]]="","",VLOOKUP(A143,EHD[],19,FALSE))</f>
        <v/>
      </c>
      <c r="I143" s="143" t="str">
        <f>IF(VLOOKUP(A143,EHD[],13,FALSE)=0,"",VLOOKUP(A143,EHD[],13,FALSE))</f>
        <v/>
      </c>
      <c r="J143" s="143" t="str">
        <f>IF(ISBLANK(VLOOKUP(A143,EHD[],14,FALSE)),"",VLOOKUP(A143,EHD[],14,FALSE))</f>
        <v/>
      </c>
      <c r="K143" s="151">
        <f>VLOOKUP(A143,EHD[],15,FALSE)</f>
        <v>0</v>
      </c>
      <c r="L143" s="151">
        <f ca="1">VLOOKUP(A143,EHD[],16,FALSE)</f>
        <v>63649.108360000006</v>
      </c>
      <c r="M143" s="143"/>
      <c r="N143" s="143" t="str">
        <f>IF(ISBLANK(VLOOKUP(A143,EHD[],20,FALSE)),"",VLOOKUP(A143,EHD[],20,FALSE))</f>
        <v/>
      </c>
      <c r="O143" s="152"/>
    </row>
    <row r="144" spans="1:15">
      <c r="A144" s="147" t="s">
        <v>202</v>
      </c>
      <c r="B144" s="144" t="str">
        <f>VLOOKUP(A144,Data[],2,FALSE)</f>
        <v>BROOKLYN</v>
      </c>
      <c r="C144" s="144" t="s">
        <v>27</v>
      </c>
      <c r="D144" s="9" t="str">
        <f>VLOOKUP(A144,Data[],52,FALSE)</f>
        <v>FEDERAL</v>
      </c>
      <c r="E144" s="9" t="str">
        <f ca="1">VLOOKUP(A144,Data[],4,FALSE)</f>
        <v>2026+</v>
      </c>
      <c r="F144" s="9">
        <f>VLOOKUP(EHDAll[[#This Row],[DEVELOPMENT]],EHD[],7,FALSE)</f>
        <v>10</v>
      </c>
      <c r="G144" s="9">
        <f>VLOOKUP(EHDAll[[#This Row],[DEVELOPMENT]],Data[],67,FALSE)</f>
        <v>14</v>
      </c>
      <c r="H144" s="143" t="str">
        <f>IF(EHDAll[[#This Row],[STATUS]]="","",VLOOKUP(A144,EHD[],19,FALSE))</f>
        <v/>
      </c>
      <c r="I144" s="143" t="str">
        <f>IF(VLOOKUP(A144,EHD[],13,FALSE)=0,"",VLOOKUP(A144,EHD[],13,FALSE))</f>
        <v/>
      </c>
      <c r="J144" s="143" t="str">
        <f>IF(ISBLANK(VLOOKUP(A144,EHD[],14,FALSE)),"",VLOOKUP(A144,EHD[],14,FALSE))</f>
        <v/>
      </c>
      <c r="K144" s="151">
        <f>VLOOKUP(A144,EHD[],15,FALSE)</f>
        <v>0</v>
      </c>
      <c r="L144" s="151">
        <f ca="1">VLOOKUP(A144,EHD[],16,FALSE)</f>
        <v>79561.385450000002</v>
      </c>
      <c r="M144" s="143"/>
      <c r="N144" s="143" t="str">
        <f>IF(ISBLANK(VLOOKUP(A144,EHD[],20,FALSE)),"",VLOOKUP(A144,EHD[],20,FALSE))</f>
        <v/>
      </c>
      <c r="O144" s="152"/>
    </row>
    <row r="145" spans="1:15">
      <c r="A145" s="147" t="s">
        <v>318</v>
      </c>
      <c r="B145" s="144" t="str">
        <f>VLOOKUP(A145,Data[],2,FALSE)</f>
        <v>BROOKLYN</v>
      </c>
      <c r="C145" s="144" t="s">
        <v>27</v>
      </c>
      <c r="D145" s="9" t="str">
        <f>VLOOKUP(A145,Data[],52,FALSE)</f>
        <v>FEDERAL</v>
      </c>
      <c r="E145" s="9" t="str">
        <f ca="1">VLOOKUP(A145,Data[],4,FALSE)</f>
        <v>2020-2021</v>
      </c>
      <c r="F145" s="9">
        <f>VLOOKUP(EHDAll[[#This Row],[DEVELOPMENT]],EHD[],7,FALSE)</f>
        <v>0</v>
      </c>
      <c r="G145" s="9">
        <f>VLOOKUP(EHDAll[[#This Row],[DEVELOPMENT]],Data[],67,FALSE)</f>
        <v>2</v>
      </c>
      <c r="H145" s="143" t="str">
        <f>IF(EHDAll[[#This Row],[STATUS]]="","",VLOOKUP(A145,EHD[],19,FALSE))</f>
        <v/>
      </c>
      <c r="I145" s="143" t="str">
        <f>IF(VLOOKUP(A145,EHD[],13,FALSE)=0,"",VLOOKUP(A145,EHD[],13,FALSE))</f>
        <v/>
      </c>
      <c r="J145" s="143" t="str">
        <f>IF(ISBLANK(VLOOKUP(A145,EHD[],14,FALSE)),"",VLOOKUP(A145,EHD[],14,FALSE))</f>
        <v/>
      </c>
      <c r="K145" s="151">
        <f>VLOOKUP(A145,EHD[],15,FALSE)</f>
        <v>0</v>
      </c>
      <c r="L145" s="151">
        <f ca="1">VLOOKUP(A145,EHD[],16,FALSE)</f>
        <v>0</v>
      </c>
      <c r="M145" s="143"/>
      <c r="N145" s="143" t="str">
        <f>IF(ISBLANK(VLOOKUP(A145,EHD[],20,FALSE)),"",VLOOKUP(A145,EHD[],20,FALSE))</f>
        <v/>
      </c>
      <c r="O145" s="152"/>
    </row>
    <row r="146" spans="1:15">
      <c r="A146" s="147" t="s">
        <v>319</v>
      </c>
      <c r="B146" s="144">
        <f>VLOOKUP(A146,Data[],2,FALSE)</f>
        <v>0</v>
      </c>
      <c r="C146" s="144" t="s">
        <v>27</v>
      </c>
      <c r="D146" s="9" t="str">
        <f>VLOOKUP(A146,Data[],52,FALSE)</f>
        <v>FEDERAL</v>
      </c>
      <c r="E146" s="9" t="str">
        <f ca="1">VLOOKUP(A146,Data[],4,FALSE)</f>
        <v/>
      </c>
      <c r="F146" s="9">
        <f>VLOOKUP(EHDAll[[#This Row],[DEVELOPMENT]],EHD[],7,FALSE)</f>
        <v>0</v>
      </c>
      <c r="G146" s="9">
        <f>VLOOKUP(EHDAll[[#This Row],[DEVELOPMENT]],Data[],67,FALSE)</f>
        <v>43467</v>
      </c>
      <c r="H146" s="143" t="str">
        <f>IF(EHDAll[[#This Row],[STATUS]]="","",VLOOKUP(A146,EHD[],19,FALSE))</f>
        <v/>
      </c>
      <c r="I146" s="143" t="str">
        <f>IF(VLOOKUP(A146,EHD[],13,FALSE)=0,"",VLOOKUP(A146,EHD[],13,FALSE))</f>
        <v/>
      </c>
      <c r="J146" s="143" t="str">
        <f>IF(ISBLANK(VLOOKUP(A146,EHD[],14,FALSE)),"",VLOOKUP(A146,EHD[],14,FALSE))</f>
        <v/>
      </c>
      <c r="K146" s="151">
        <f>VLOOKUP(A146,EHD[],15,FALSE)</f>
        <v>0</v>
      </c>
      <c r="L146" s="151">
        <f ca="1">VLOOKUP(A146,EHD[],16,FALSE)</f>
        <v>0</v>
      </c>
      <c r="M146" s="143"/>
      <c r="N146" s="143" t="str">
        <f>IF(ISBLANK(VLOOKUP(A146,EHD[],20,FALSE)),"",VLOOKUP(A146,EHD[],20,FALSE))</f>
        <v/>
      </c>
      <c r="O146" s="152"/>
    </row>
    <row r="147" spans="1:15">
      <c r="A147" s="147" t="s">
        <v>237</v>
      </c>
      <c r="B147" s="144">
        <f>VLOOKUP(A147,Data[],2,FALSE)</f>
        <v>0</v>
      </c>
      <c r="C147" s="144" t="s">
        <v>27</v>
      </c>
      <c r="D147" s="9" t="str">
        <f>VLOOKUP(A147,Data[],52,FALSE)</f>
        <v>FEDERAL</v>
      </c>
      <c r="E147" s="9" t="str">
        <f ca="1">VLOOKUP(A147,Data[],4,FALSE)</f>
        <v/>
      </c>
      <c r="F147" s="9">
        <f>VLOOKUP(EHDAll[[#This Row],[DEVELOPMENT]],EHD[],7,FALSE)</f>
        <v>0</v>
      </c>
      <c r="G147" s="9">
        <f>VLOOKUP(EHDAll[[#This Row],[DEVELOPMENT]],Data[],67,FALSE)</f>
        <v>37623</v>
      </c>
      <c r="H147" s="143" t="str">
        <f>IF(EHDAll[[#This Row],[STATUS]]="","",VLOOKUP(A147,EHD[],19,FALSE))</f>
        <v/>
      </c>
      <c r="I147" s="143" t="str">
        <f>IF(VLOOKUP(A147,EHD[],13,FALSE)=0,"",VLOOKUP(A147,EHD[],13,FALSE))</f>
        <v/>
      </c>
      <c r="J147" s="143" t="str">
        <f>IF(ISBLANK(VLOOKUP(A147,EHD[],14,FALSE)),"",VLOOKUP(A147,EHD[],14,FALSE))</f>
        <v/>
      </c>
      <c r="K147" s="151">
        <f>VLOOKUP(A147,EHD[],15,FALSE)</f>
        <v>0</v>
      </c>
      <c r="L147" s="151">
        <f ca="1">VLOOKUP(A147,EHD[],16,FALSE)</f>
        <v>0</v>
      </c>
      <c r="M147" s="143"/>
      <c r="N147" s="143" t="str">
        <f>IF(ISBLANK(VLOOKUP(A147,EHD[],20,FALSE)),"",VLOOKUP(A147,EHD[],20,FALSE))</f>
        <v/>
      </c>
      <c r="O147" s="152"/>
    </row>
    <row r="148" spans="1:15">
      <c r="A148" s="147" t="s">
        <v>238</v>
      </c>
      <c r="B148" s="144">
        <f>VLOOKUP(A148,Data[],2,FALSE)</f>
        <v>0</v>
      </c>
      <c r="C148" s="144" t="s">
        <v>27</v>
      </c>
      <c r="D148" s="9" t="str">
        <f>VLOOKUP(A148,Data[],52,FALSE)</f>
        <v>FEDERAL</v>
      </c>
      <c r="E148" s="9" t="str">
        <f ca="1">VLOOKUP(A148,Data[],4,FALSE)</f>
        <v/>
      </c>
      <c r="F148" s="9">
        <f>VLOOKUP(EHDAll[[#This Row],[DEVELOPMENT]],EHD[],7,FALSE)</f>
        <v>0</v>
      </c>
      <c r="G148" s="9">
        <f>VLOOKUP(EHDAll[[#This Row],[DEVELOPMENT]],Data[],67,FALSE)</f>
        <v>43467</v>
      </c>
      <c r="H148" s="143" t="str">
        <f>IF(EHDAll[[#This Row],[STATUS]]="","",VLOOKUP(A148,EHD[],19,FALSE))</f>
        <v/>
      </c>
      <c r="I148" s="143" t="str">
        <f>IF(VLOOKUP(A148,EHD[],13,FALSE)=0,"",VLOOKUP(A148,EHD[],13,FALSE))</f>
        <v/>
      </c>
      <c r="J148" s="143" t="str">
        <f>IF(ISBLANK(VLOOKUP(A148,EHD[],14,FALSE)),"",VLOOKUP(A148,EHD[],14,FALSE))</f>
        <v/>
      </c>
      <c r="K148" s="151">
        <f>VLOOKUP(A148,EHD[],15,FALSE)</f>
        <v>0</v>
      </c>
      <c r="L148" s="151">
        <f ca="1">VLOOKUP(A148,EHD[],16,FALSE)</f>
        <v>0</v>
      </c>
      <c r="M148" s="143"/>
      <c r="N148" s="143" t="str">
        <f>IF(ISBLANK(VLOOKUP(A148,EHD[],20,FALSE)),"",VLOOKUP(A148,EHD[],20,FALSE))</f>
        <v/>
      </c>
      <c r="O148" s="152"/>
    </row>
    <row r="149" spans="1:15">
      <c r="A149" s="147" t="s">
        <v>239</v>
      </c>
      <c r="B149" s="144">
        <f>VLOOKUP(A149,Data[],2,FALSE)</f>
        <v>0</v>
      </c>
      <c r="C149" s="144" t="s">
        <v>27</v>
      </c>
      <c r="D149" s="9" t="str">
        <f>VLOOKUP(A149,Data[],52,FALSE)</f>
        <v>FEDERAL</v>
      </c>
      <c r="E149" s="9" t="str">
        <f ca="1">VLOOKUP(A149,Data[],4,FALSE)</f>
        <v/>
      </c>
      <c r="F149" s="9">
        <f>VLOOKUP(EHDAll[[#This Row],[DEVELOPMENT]],EHD[],7,FALSE)</f>
        <v>0</v>
      </c>
      <c r="G149" s="9">
        <f>VLOOKUP(EHDAll[[#This Row],[DEVELOPMENT]],Data[],67,FALSE)</f>
        <v>37623</v>
      </c>
      <c r="H149" s="143" t="str">
        <f>IF(EHDAll[[#This Row],[STATUS]]="","",VLOOKUP(A149,EHD[],19,FALSE))</f>
        <v/>
      </c>
      <c r="I149" s="143" t="str">
        <f>IF(VLOOKUP(A149,EHD[],13,FALSE)=0,"",VLOOKUP(A149,EHD[],13,FALSE))</f>
        <v/>
      </c>
      <c r="J149" s="143" t="str">
        <f>IF(ISBLANK(VLOOKUP(A149,EHD[],14,FALSE)),"",VLOOKUP(A149,EHD[],14,FALSE))</f>
        <v/>
      </c>
      <c r="K149" s="151">
        <f>VLOOKUP(A149,EHD[],15,FALSE)</f>
        <v>0</v>
      </c>
      <c r="L149" s="151">
        <f ca="1">VLOOKUP(A149,EHD[],16,FALSE)</f>
        <v>0</v>
      </c>
      <c r="M149" s="143"/>
      <c r="N149" s="143" t="str">
        <f>IF(ISBLANK(VLOOKUP(A149,EHD[],20,FALSE)),"",VLOOKUP(A149,EHD[],20,FALSE))</f>
        <v/>
      </c>
      <c r="O149" s="152"/>
    </row>
    <row r="150" spans="1:15">
      <c r="A150" s="147" t="s">
        <v>240</v>
      </c>
      <c r="B150" s="144">
        <f>VLOOKUP(A150,Data[],2,FALSE)</f>
        <v>0</v>
      </c>
      <c r="C150" s="144" t="s">
        <v>27</v>
      </c>
      <c r="D150" s="9" t="str">
        <f>VLOOKUP(A150,Data[],52,FALSE)</f>
        <v>FEDERAL</v>
      </c>
      <c r="E150" s="9" t="str">
        <f ca="1">VLOOKUP(A150,Data[],4,FALSE)</f>
        <v/>
      </c>
      <c r="F150" s="9">
        <f>VLOOKUP(EHDAll[[#This Row],[DEVELOPMENT]],EHD[],7,FALSE)</f>
        <v>0</v>
      </c>
      <c r="G150" s="9" t="str">
        <f>VLOOKUP(EHDAll[[#This Row],[DEVELOPMENT]],Data[],67,FALSE)</f>
        <v>1-1.5-2-2.5-3</v>
      </c>
      <c r="H150" s="143" t="str">
        <f>IF(EHDAll[[#This Row],[STATUS]]="","",VLOOKUP(A150,EHD[],19,FALSE))</f>
        <v/>
      </c>
      <c r="I150" s="143" t="str">
        <f>IF(VLOOKUP(A150,EHD[],13,FALSE)=0,"",VLOOKUP(A150,EHD[],13,FALSE))</f>
        <v/>
      </c>
      <c r="J150" s="143" t="str">
        <f>IF(ISBLANK(VLOOKUP(A150,EHD[],14,FALSE)),"",VLOOKUP(A150,EHD[],14,FALSE))</f>
        <v/>
      </c>
      <c r="K150" s="151">
        <f>VLOOKUP(A150,EHD[],15,FALSE)</f>
        <v>0</v>
      </c>
      <c r="L150" s="151">
        <f ca="1">VLOOKUP(A150,EHD[],16,FALSE)</f>
        <v>0</v>
      </c>
      <c r="M150" s="143"/>
      <c r="N150" s="143" t="str">
        <f>IF(ISBLANK(VLOOKUP(A150,EHD[],20,FALSE)),"",VLOOKUP(A150,EHD[],20,FALSE))</f>
        <v/>
      </c>
      <c r="O150" s="152"/>
    </row>
    <row r="151" spans="1:15">
      <c r="A151" s="147" t="s">
        <v>320</v>
      </c>
      <c r="B151" s="144">
        <f>VLOOKUP(A151,Data[],2,FALSE)</f>
        <v>0</v>
      </c>
      <c r="C151" s="144" t="s">
        <v>27</v>
      </c>
      <c r="D151" s="9" t="str">
        <f>VLOOKUP(A151,Data[],52,FALSE)</f>
        <v>FEDERAL</v>
      </c>
      <c r="E151" s="9" t="str">
        <f ca="1">VLOOKUP(A151,Data[],4,FALSE)</f>
        <v/>
      </c>
      <c r="F151" s="9">
        <f>VLOOKUP(EHDAll[[#This Row],[DEVELOPMENT]],EHD[],7,FALSE)</f>
        <v>0</v>
      </c>
      <c r="G151" s="9">
        <f>VLOOKUP(EHDAll[[#This Row],[DEVELOPMENT]],Data[],67,FALSE)</f>
        <v>37623</v>
      </c>
      <c r="H151" s="143" t="str">
        <f>IF(EHDAll[[#This Row],[STATUS]]="","",VLOOKUP(A151,EHD[],19,FALSE))</f>
        <v/>
      </c>
      <c r="I151" s="143" t="str">
        <f>IF(VLOOKUP(A151,EHD[],13,FALSE)=0,"",VLOOKUP(A151,EHD[],13,FALSE))</f>
        <v/>
      </c>
      <c r="J151" s="143" t="str">
        <f>IF(ISBLANK(VLOOKUP(A151,EHD[],14,FALSE)),"",VLOOKUP(A151,EHD[],14,FALSE))</f>
        <v/>
      </c>
      <c r="K151" s="151">
        <f>VLOOKUP(A151,EHD[],15,FALSE)</f>
        <v>0</v>
      </c>
      <c r="L151" s="151">
        <f ca="1">VLOOKUP(A151,EHD[],16,FALSE)</f>
        <v>0</v>
      </c>
      <c r="M151" s="143"/>
      <c r="N151" s="143" t="str">
        <f>IF(ISBLANK(VLOOKUP(A151,EHD[],20,FALSE)),"",VLOOKUP(A151,EHD[],20,FALSE))</f>
        <v/>
      </c>
      <c r="O151" s="152"/>
    </row>
    <row r="152" spans="1:15">
      <c r="A152" s="147" t="s">
        <v>321</v>
      </c>
      <c r="B152" s="144">
        <f>VLOOKUP(A152,Data[],2,FALSE)</f>
        <v>0</v>
      </c>
      <c r="C152" s="144" t="s">
        <v>27</v>
      </c>
      <c r="D152" s="9" t="str">
        <f>VLOOKUP(A152,Data[],52,FALSE)</f>
        <v>FEDERAL</v>
      </c>
      <c r="E152" s="9" t="str">
        <f ca="1">VLOOKUP(A152,Data[],4,FALSE)</f>
        <v/>
      </c>
      <c r="F152" s="9">
        <f>VLOOKUP(EHDAll[[#This Row],[DEVELOPMENT]],EHD[],7,FALSE)</f>
        <v>0</v>
      </c>
      <c r="G152" s="9" t="str">
        <f>VLOOKUP(EHDAll[[#This Row],[DEVELOPMENT]],Data[],67,FALSE)</f>
        <v>1-1.5-2-2.5</v>
      </c>
      <c r="H152" s="143" t="str">
        <f>IF(EHDAll[[#This Row],[STATUS]]="","",VLOOKUP(A152,EHD[],19,FALSE))</f>
        <v/>
      </c>
      <c r="I152" s="143" t="str">
        <f>IF(VLOOKUP(A152,EHD[],13,FALSE)=0,"",VLOOKUP(A152,EHD[],13,FALSE))</f>
        <v/>
      </c>
      <c r="J152" s="143" t="str">
        <f>IF(ISBLANK(VLOOKUP(A152,EHD[],14,FALSE)),"",VLOOKUP(A152,EHD[],14,FALSE))</f>
        <v/>
      </c>
      <c r="K152" s="151">
        <f>VLOOKUP(A152,EHD[],15,FALSE)</f>
        <v>0</v>
      </c>
      <c r="L152" s="151">
        <f ca="1">VLOOKUP(A152,EHD[],16,FALSE)</f>
        <v>0</v>
      </c>
      <c r="M152" s="143"/>
      <c r="N152" s="143" t="str">
        <f>IF(ISBLANK(VLOOKUP(A152,EHD[],20,FALSE)),"",VLOOKUP(A152,EHD[],20,FALSE))</f>
        <v/>
      </c>
      <c r="O152" s="152"/>
    </row>
    <row r="153" spans="1:15">
      <c r="A153" s="147" t="s">
        <v>322</v>
      </c>
      <c r="B153" s="144">
        <f>VLOOKUP(A153,Data[],2,FALSE)</f>
        <v>0</v>
      </c>
      <c r="C153" s="144" t="s">
        <v>27</v>
      </c>
      <c r="D153" s="9" t="str">
        <f>VLOOKUP(A153,Data[],52,FALSE)</f>
        <v>FEDERAL</v>
      </c>
      <c r="E153" s="9" t="str">
        <f ca="1">VLOOKUP(A153,Data[],4,FALSE)</f>
        <v/>
      </c>
      <c r="F153" s="9">
        <f>VLOOKUP(EHDAll[[#This Row],[DEVELOPMENT]],EHD[],7,FALSE)</f>
        <v>0</v>
      </c>
      <c r="G153" s="9" t="str">
        <f>VLOOKUP(EHDAll[[#This Row],[DEVELOPMENT]],Data[],67,FALSE)</f>
        <v>1-1.5-2-2.5</v>
      </c>
      <c r="H153" s="143" t="str">
        <f>IF(EHDAll[[#This Row],[STATUS]]="","",VLOOKUP(A153,EHD[],19,FALSE))</f>
        <v/>
      </c>
      <c r="I153" s="143" t="str">
        <f>IF(VLOOKUP(A153,EHD[],13,FALSE)=0,"",VLOOKUP(A153,EHD[],13,FALSE))</f>
        <v/>
      </c>
      <c r="J153" s="143" t="str">
        <f>IF(ISBLANK(VLOOKUP(A153,EHD[],14,FALSE)),"",VLOOKUP(A153,EHD[],14,FALSE))</f>
        <v/>
      </c>
      <c r="K153" s="151">
        <f>VLOOKUP(A153,EHD[],15,FALSE)</f>
        <v>0</v>
      </c>
      <c r="L153" s="151">
        <f ca="1">VLOOKUP(A153,EHD[],16,FALSE)</f>
        <v>0</v>
      </c>
      <c r="M153" s="143"/>
      <c r="N153" s="143" t="str">
        <f>IF(ISBLANK(VLOOKUP(A153,EHD[],20,FALSE)),"",VLOOKUP(A153,EHD[],20,FALSE))</f>
        <v/>
      </c>
      <c r="O153" s="152"/>
    </row>
    <row r="154" spans="1:15">
      <c r="A154" s="147" t="s">
        <v>241</v>
      </c>
      <c r="B154" s="144">
        <f>VLOOKUP(A154,Data[],2,FALSE)</f>
        <v>0</v>
      </c>
      <c r="C154" s="144" t="s">
        <v>27</v>
      </c>
      <c r="D154" s="9" t="str">
        <f>VLOOKUP(A154,Data[],52,FALSE)</f>
        <v>FEDERAL</v>
      </c>
      <c r="E154" s="9" t="str">
        <f ca="1">VLOOKUP(A154,Data[],4,FALSE)</f>
        <v/>
      </c>
      <c r="F154" s="9">
        <f>VLOOKUP(EHDAll[[#This Row],[DEVELOPMENT]],EHD[],7,FALSE)</f>
        <v>0</v>
      </c>
      <c r="G154" s="9" t="str">
        <f>VLOOKUP(EHDAll[[#This Row],[DEVELOPMENT]],Data[],67,FALSE)</f>
        <v>1-1.5-2-2.5</v>
      </c>
      <c r="H154" s="143" t="str">
        <f>IF(EHDAll[[#This Row],[STATUS]]="","",VLOOKUP(A154,EHD[],19,FALSE))</f>
        <v/>
      </c>
      <c r="I154" s="143" t="str">
        <f>IF(VLOOKUP(A154,EHD[],13,FALSE)=0,"",VLOOKUP(A154,EHD[],13,FALSE))</f>
        <v/>
      </c>
      <c r="J154" s="143" t="str">
        <f>IF(ISBLANK(VLOOKUP(A154,EHD[],14,FALSE)),"",VLOOKUP(A154,EHD[],14,FALSE))</f>
        <v/>
      </c>
      <c r="K154" s="151">
        <f>VLOOKUP(A154,EHD[],15,FALSE)</f>
        <v>0</v>
      </c>
      <c r="L154" s="151">
        <f ca="1">VLOOKUP(A154,EHD[],16,FALSE)</f>
        <v>0</v>
      </c>
      <c r="M154" s="143"/>
      <c r="N154" s="143" t="str">
        <f>IF(ISBLANK(VLOOKUP(A154,EHD[],20,FALSE)),"",VLOOKUP(A154,EHD[],20,FALSE))</f>
        <v/>
      </c>
      <c r="O154" s="152"/>
    </row>
    <row r="155" spans="1:15">
      <c r="A155" s="147" t="s">
        <v>323</v>
      </c>
      <c r="B155" s="144">
        <f>VLOOKUP(A155,Data[],2,FALSE)</f>
        <v>0</v>
      </c>
      <c r="C155" s="144" t="s">
        <v>27</v>
      </c>
      <c r="D155" s="9" t="str">
        <f>VLOOKUP(A155,Data[],52,FALSE)</f>
        <v>FEDERAL</v>
      </c>
      <c r="E155" s="9" t="str">
        <f ca="1">VLOOKUP(A155,Data[],4,FALSE)</f>
        <v/>
      </c>
      <c r="F155" s="9">
        <f>VLOOKUP(EHDAll[[#This Row],[DEVELOPMENT]],EHD[],7,FALSE)</f>
        <v>0</v>
      </c>
      <c r="G155" s="9" t="str">
        <f>VLOOKUP(EHDAll[[#This Row],[DEVELOPMENT]],Data[],67,FALSE)</f>
        <v>1-1.5-2-2.5</v>
      </c>
      <c r="H155" s="143" t="str">
        <f>IF(EHDAll[[#This Row],[STATUS]]="","",VLOOKUP(A155,EHD[],19,FALSE))</f>
        <v/>
      </c>
      <c r="I155" s="143" t="str">
        <f>IF(VLOOKUP(A155,EHD[],13,FALSE)=0,"",VLOOKUP(A155,EHD[],13,FALSE))</f>
        <v/>
      </c>
      <c r="J155" s="143" t="str">
        <f>IF(ISBLANK(VLOOKUP(A155,EHD[],14,FALSE)),"",VLOOKUP(A155,EHD[],14,FALSE))</f>
        <v/>
      </c>
      <c r="K155" s="151">
        <f>VLOOKUP(A155,EHD[],15,FALSE)</f>
        <v>0</v>
      </c>
      <c r="L155" s="151">
        <f ca="1">VLOOKUP(A155,EHD[],16,FALSE)</f>
        <v>0</v>
      </c>
      <c r="M155" s="143"/>
      <c r="N155" s="143" t="str">
        <f>IF(ISBLANK(VLOOKUP(A155,EHD[],20,FALSE)),"",VLOOKUP(A155,EHD[],20,FALSE))</f>
        <v/>
      </c>
      <c r="O155" s="152"/>
    </row>
    <row r="156" spans="1:15">
      <c r="A156" s="147" t="s">
        <v>203</v>
      </c>
      <c r="B156" s="144" t="str">
        <f>VLOOKUP(A156,Data[],2,FALSE)</f>
        <v>BROOKLYN</v>
      </c>
      <c r="C156" s="144" t="s">
        <v>27</v>
      </c>
      <c r="D156" s="9" t="str">
        <f>VLOOKUP(A156,Data[],52,FALSE)</f>
        <v>FEDERAL</v>
      </c>
      <c r="E156" s="9" t="str">
        <f ca="1">VLOOKUP(A156,Data[],4,FALSE)</f>
        <v>2026+</v>
      </c>
      <c r="F156" s="9">
        <f>VLOOKUP(EHDAll[[#This Row],[DEVELOPMENT]],EHD[],7,FALSE)</f>
        <v>10</v>
      </c>
      <c r="G156" s="9">
        <f>VLOOKUP(EHDAll[[#This Row],[DEVELOPMENT]],Data[],67,FALSE)</f>
        <v>4</v>
      </c>
      <c r="H156" s="143" t="str">
        <f>IF(EHDAll[[#This Row],[STATUS]]="","",VLOOKUP(A156,EHD[],19,FALSE))</f>
        <v/>
      </c>
      <c r="I156" s="143" t="str">
        <f>IF(VLOOKUP(A156,EHD[],13,FALSE)=0,"",VLOOKUP(A156,EHD[],13,FALSE))</f>
        <v/>
      </c>
      <c r="J156" s="143" t="str">
        <f>IF(ISBLANK(VLOOKUP(A156,EHD[],14,FALSE)),"",VLOOKUP(A156,EHD[],14,FALSE))</f>
        <v/>
      </c>
      <c r="K156" s="151">
        <f>VLOOKUP(A156,EHD[],15,FALSE)</f>
        <v>0</v>
      </c>
      <c r="L156" s="151">
        <f ca="1">VLOOKUP(A156,EHD[],16,FALSE)</f>
        <v>82163.860674999989</v>
      </c>
      <c r="M156" s="143"/>
      <c r="N156" s="143" t="str">
        <f>IF(ISBLANK(VLOOKUP(A156,EHD[],20,FALSE)),"",VLOOKUP(A156,EHD[],20,FALSE))</f>
        <v/>
      </c>
      <c r="O156" s="152"/>
    </row>
    <row r="157" spans="1:15">
      <c r="A157" s="147" t="s">
        <v>204</v>
      </c>
      <c r="B157" s="144" t="str">
        <f>VLOOKUP(A157,Data[],2,FALSE)</f>
        <v>BRONX</v>
      </c>
      <c r="C157" s="144" t="s">
        <v>27</v>
      </c>
      <c r="D157" s="9" t="str">
        <f>VLOOKUP(A157,Data[],52,FALSE)</f>
        <v>FEDERAL</v>
      </c>
      <c r="E157" s="9" t="str">
        <f ca="1">VLOOKUP(A157,Data[],4,FALSE)</f>
        <v>2026+</v>
      </c>
      <c r="F157" s="9">
        <f>VLOOKUP(EHDAll[[#This Row],[DEVELOPMENT]],EHD[],7,FALSE)</f>
        <v>30</v>
      </c>
      <c r="G157" s="9">
        <f>VLOOKUP(EHDAll[[#This Row],[DEVELOPMENT]],Data[],67,FALSE)</f>
        <v>41892</v>
      </c>
      <c r="H157" s="143" t="str">
        <f>IF(EHDAll[[#This Row],[STATUS]]="","",VLOOKUP(A157,EHD[],19,FALSE))</f>
        <v/>
      </c>
      <c r="I157" s="143" t="str">
        <f>IF(VLOOKUP(A157,EHD[],13,FALSE)=0,"",VLOOKUP(A157,EHD[],13,FALSE))</f>
        <v/>
      </c>
      <c r="J157" s="143" t="str">
        <f>IF(ISBLANK(VLOOKUP(A157,EHD[],14,FALSE)),"",VLOOKUP(A157,EHD[],14,FALSE))</f>
        <v/>
      </c>
      <c r="K157" s="151">
        <f>VLOOKUP(A157,EHD[],15,FALSE)</f>
        <v>0</v>
      </c>
      <c r="L157" s="151">
        <f ca="1">VLOOKUP(A157,EHD[],16,FALSE)</f>
        <v>238684.15635</v>
      </c>
      <c r="M157" s="143"/>
      <c r="N157" s="143" t="str">
        <f>IF(ISBLANK(VLOOKUP(A157,EHD[],20,FALSE)),"",VLOOKUP(A157,EHD[],20,FALSE))</f>
        <v/>
      </c>
      <c r="O157" s="152"/>
    </row>
    <row r="158" spans="1:15">
      <c r="A158" s="147" t="s">
        <v>276</v>
      </c>
      <c r="B158" s="144" t="str">
        <f>VLOOKUP(A158,Data[],2,FALSE)</f>
        <v>BRONX</v>
      </c>
      <c r="C158" s="144" t="s">
        <v>27</v>
      </c>
      <c r="D158" s="9" t="str">
        <f>VLOOKUP(A158,Data[],52,FALSE)</f>
        <v>FEDERAL</v>
      </c>
      <c r="E158" s="9" t="str">
        <f ca="1">VLOOKUP(A158,Data[],4,FALSE)</f>
        <v/>
      </c>
      <c r="F158" s="9">
        <f>VLOOKUP(EHDAll[[#This Row],[DEVELOPMENT]],EHD[],7,FALSE)</f>
        <v>2</v>
      </c>
      <c r="G158" s="9">
        <f>VLOOKUP(EHDAll[[#This Row],[DEVELOPMENT]],Data[],67,FALSE)</f>
        <v>21</v>
      </c>
      <c r="H158" s="143" t="str">
        <f>IF(EHDAll[[#This Row],[STATUS]]="","",VLOOKUP(A158,EHD[],19,FALSE))</f>
        <v/>
      </c>
      <c r="I158" s="143" t="str">
        <f>IF(VLOOKUP(A158,EHD[],13,FALSE)=0,"",VLOOKUP(A158,EHD[],13,FALSE))</f>
        <v/>
      </c>
      <c r="J158" s="143" t="str">
        <f>IF(ISBLANK(VLOOKUP(A158,EHD[],14,FALSE)),"",VLOOKUP(A158,EHD[],14,FALSE))</f>
        <v/>
      </c>
      <c r="K158" s="151">
        <f>VLOOKUP(A158,EHD[],15,FALSE)</f>
        <v>0</v>
      </c>
      <c r="L158" s="151">
        <f ca="1">VLOOKUP(A158,EHD[],16,FALSE)</f>
        <v>16953.267180000003</v>
      </c>
      <c r="M158" s="143"/>
      <c r="N158" s="143" t="str">
        <f>IF(ISBLANK(VLOOKUP(A158,EHD[],20,FALSE)),"",VLOOKUP(A158,EHD[],20,FALSE))</f>
        <v/>
      </c>
      <c r="O158" s="152"/>
    </row>
    <row r="159" spans="1:15">
      <c r="A159" s="147" t="s">
        <v>79</v>
      </c>
      <c r="B159" s="144" t="str">
        <f>VLOOKUP(A159,Data[],2,FALSE)</f>
        <v>MANHATTAN</v>
      </c>
      <c r="C159" s="144" t="s">
        <v>27</v>
      </c>
      <c r="D159" s="9" t="str">
        <f>VLOOKUP(A159,Data[],52,FALSE)</f>
        <v>FEDERAL</v>
      </c>
      <c r="E159" s="9" t="str">
        <f ca="1">VLOOKUP(A159,Data[],4,FALSE)</f>
        <v>2020-2021</v>
      </c>
      <c r="F159" s="9">
        <f>VLOOKUP(EHDAll[[#This Row],[DEVELOPMENT]],EHD[],7,FALSE)</f>
        <v>1</v>
      </c>
      <c r="G159" s="9">
        <f>VLOOKUP(EHDAll[[#This Row],[DEVELOPMENT]],Data[],67,FALSE)</f>
        <v>7</v>
      </c>
      <c r="H159" s="143" t="str">
        <f>IF(EHDAll[[#This Row],[STATUS]]="","",VLOOKUP(A159,EHD[],19,FALSE))</f>
        <v/>
      </c>
      <c r="I159" s="143" t="str">
        <f>IF(VLOOKUP(A159,EHD[],13,FALSE)=0,"",VLOOKUP(A159,EHD[],13,FALSE))</f>
        <v/>
      </c>
      <c r="J159" s="143" t="str">
        <f>IF(ISBLANK(VLOOKUP(A159,EHD[],14,FALSE)),"",VLOOKUP(A159,EHD[],14,FALSE))</f>
        <v/>
      </c>
      <c r="K159" s="151">
        <f>VLOOKUP(A159,EHD[],15,FALSE)</f>
        <v>0</v>
      </c>
      <c r="L159" s="151">
        <f ca="1">VLOOKUP(A159,EHD[],16,FALSE)</f>
        <v>7695.8910225</v>
      </c>
      <c r="M159" s="143"/>
      <c r="N159" s="143" t="str">
        <f>IF(ISBLANK(VLOOKUP(A159,EHD[],20,FALSE)),"",VLOOKUP(A159,EHD[],20,FALSE))</f>
        <v/>
      </c>
      <c r="O159" s="152"/>
    </row>
    <row r="160" spans="1:15">
      <c r="A160" s="147" t="s">
        <v>111</v>
      </c>
      <c r="B160" s="144" t="str">
        <f>VLOOKUP(A160,Data[],2,FALSE)</f>
        <v>MANHATTAN</v>
      </c>
      <c r="C160" s="144" t="s">
        <v>27</v>
      </c>
      <c r="D160" s="9" t="str">
        <f>VLOOKUP(A160,Data[],52,FALSE)</f>
        <v>FEDERAL</v>
      </c>
      <c r="E160" s="9" t="str">
        <f ca="1">VLOOKUP(A160,Data[],4,FALSE)</f>
        <v/>
      </c>
      <c r="F160" s="9">
        <f>VLOOKUP(EHDAll[[#This Row],[DEVELOPMENT]],EHD[],7,FALSE)</f>
        <v>19</v>
      </c>
      <c r="G160" s="9">
        <f>VLOOKUP(EHDAll[[#This Row],[DEVELOPMENT]],Data[],67,FALSE)</f>
        <v>43641</v>
      </c>
      <c r="H160" s="143" t="str">
        <f>IF(EHDAll[[#This Row],[STATUS]]="","",VLOOKUP(A160,EHD[],19,FALSE))</f>
        <v/>
      </c>
      <c r="I160" s="143" t="str">
        <f>IF(VLOOKUP(A160,EHD[],13,FALSE)=0,"",VLOOKUP(A160,EHD[],13,FALSE))</f>
        <v/>
      </c>
      <c r="J160" s="143" t="str">
        <f>IF(ISBLANK(VLOOKUP(A160,EHD[],14,FALSE)),"",VLOOKUP(A160,EHD[],14,FALSE))</f>
        <v/>
      </c>
      <c r="K160" s="151">
        <f>VLOOKUP(A160,EHD[],15,FALSE)</f>
        <v>0</v>
      </c>
      <c r="L160" s="151">
        <f ca="1">VLOOKUP(A160,EHD[],16,FALSE)</f>
        <v>146221.92942749997</v>
      </c>
      <c r="M160" s="143"/>
      <c r="N160" s="143" t="str">
        <f>IF(ISBLANK(VLOOKUP(A160,EHD[],20,FALSE)),"",VLOOKUP(A160,EHD[],20,FALSE))</f>
        <v/>
      </c>
      <c r="O160" s="152"/>
    </row>
    <row r="161" spans="1:15">
      <c r="A161" s="147" t="s">
        <v>324</v>
      </c>
      <c r="B161" s="144" t="str">
        <f>VLOOKUP(A161,Data[],2,FALSE)</f>
        <v>BROOKLYN</v>
      </c>
      <c r="C161" s="144" t="s">
        <v>27</v>
      </c>
      <c r="D161" s="9" t="str">
        <f>VLOOKUP(A161,Data[],52,FALSE)</f>
        <v>FEDERAL</v>
      </c>
      <c r="E161" s="9" t="str">
        <f ca="1">VLOOKUP(A161,Data[],4,FALSE)</f>
        <v/>
      </c>
      <c r="F161" s="9">
        <f>VLOOKUP(EHDAll[[#This Row],[DEVELOPMENT]],EHD[],7,FALSE)</f>
        <v>5</v>
      </c>
      <c r="G161" s="9" t="str">
        <f>VLOOKUP(EHDAll[[#This Row],[DEVELOPMENT]],Data[],67,FALSE)</f>
        <v>2, 6-14</v>
      </c>
      <c r="H161" s="143" t="str">
        <f>IF(EHDAll[[#This Row],[STATUS]]="","",VLOOKUP(A161,EHD[],19,FALSE))</f>
        <v/>
      </c>
      <c r="I161" s="143" t="str">
        <f>IF(VLOOKUP(A161,EHD[],13,FALSE)=0,"",VLOOKUP(A161,EHD[],13,FALSE))</f>
        <v/>
      </c>
      <c r="J161" s="143" t="str">
        <f>IF(ISBLANK(VLOOKUP(A161,EHD[],14,FALSE)),"",VLOOKUP(A161,EHD[],14,FALSE))</f>
        <v/>
      </c>
      <c r="K161" s="151">
        <f>VLOOKUP(A161,EHD[],15,FALSE)</f>
        <v>0</v>
      </c>
      <c r="L161" s="151">
        <f ca="1">VLOOKUP(A161,EHD[],16,FALSE)</f>
        <v>42383.167950000003</v>
      </c>
      <c r="M161" s="143"/>
      <c r="N161" s="143" t="str">
        <f>IF(ISBLANK(VLOOKUP(A161,EHD[],20,FALSE)),"",VLOOKUP(A161,EHD[],20,FALSE))</f>
        <v/>
      </c>
      <c r="O161" s="152"/>
    </row>
    <row r="162" spans="1:15">
      <c r="A162" s="147" t="s">
        <v>243</v>
      </c>
      <c r="B162" s="144" t="str">
        <f>VLOOKUP(A162,Data[],2,FALSE)</f>
        <v>BRONX</v>
      </c>
      <c r="C162" s="144" t="s">
        <v>27</v>
      </c>
      <c r="D162" s="9" t="str">
        <f>VLOOKUP(A162,Data[],52,FALSE)</f>
        <v>FEDERAL</v>
      </c>
      <c r="E162" s="9" t="str">
        <f ca="1">VLOOKUP(A162,Data[],4,FALSE)</f>
        <v>2026+</v>
      </c>
      <c r="F162" s="9">
        <f>VLOOKUP(EHDAll[[#This Row],[DEVELOPMENT]],EHD[],7,FALSE)</f>
        <v>1</v>
      </c>
      <c r="G162" s="9">
        <f>VLOOKUP(EHDAll[[#This Row],[DEVELOPMENT]],Data[],67,FALSE)</f>
        <v>6</v>
      </c>
      <c r="H162" s="143" t="str">
        <f>IF(EHDAll[[#This Row],[STATUS]]="","",VLOOKUP(A162,EHD[],19,FALSE))</f>
        <v/>
      </c>
      <c r="I162" s="143" t="str">
        <f>IF(VLOOKUP(A162,EHD[],13,FALSE)=0,"",VLOOKUP(A162,EHD[],13,FALSE))</f>
        <v/>
      </c>
      <c r="J162" s="143" t="str">
        <f>IF(ISBLANK(VLOOKUP(A162,EHD[],14,FALSE)),"",VLOOKUP(A162,EHD[],14,FALSE))</f>
        <v/>
      </c>
      <c r="K162" s="151">
        <f>VLOOKUP(A162,EHD[],15,FALSE)</f>
        <v>0</v>
      </c>
      <c r="L162" s="151">
        <f ca="1">VLOOKUP(A162,EHD[],16,FALSE)</f>
        <v>8476.6335900000013</v>
      </c>
      <c r="M162" s="143"/>
      <c r="N162" s="143" t="str">
        <f>IF(ISBLANK(VLOOKUP(A162,EHD[],20,FALSE)),"",VLOOKUP(A162,EHD[],20,FALSE))</f>
        <v/>
      </c>
      <c r="O162" s="152"/>
    </row>
    <row r="163" spans="1:15">
      <c r="A163" s="147" t="s">
        <v>205</v>
      </c>
      <c r="B163" s="144" t="str">
        <f>VLOOKUP(A163,Data[],2,FALSE)</f>
        <v>BROOKLYN</v>
      </c>
      <c r="C163" s="144" t="s">
        <v>27</v>
      </c>
      <c r="D163" s="9" t="str">
        <f>VLOOKUP(A163,Data[],52,FALSE)</f>
        <v>FEDERAL</v>
      </c>
      <c r="E163" s="9" t="str">
        <f ca="1">VLOOKUP(A163,Data[],4,FALSE)</f>
        <v/>
      </c>
      <c r="F163" s="9">
        <f>VLOOKUP(EHDAll[[#This Row],[DEVELOPMENT]],EHD[],7,FALSE)</f>
        <v>5</v>
      </c>
      <c r="G163" s="9">
        <f>VLOOKUP(EHDAll[[#This Row],[DEVELOPMENT]],Data[],67,FALSE)</f>
        <v>45583</v>
      </c>
      <c r="H163" s="143" t="str">
        <f>IF(EHDAll[[#This Row],[STATUS]]="","",VLOOKUP(A163,EHD[],19,FALSE))</f>
        <v/>
      </c>
      <c r="I163" s="143" t="str">
        <f>IF(VLOOKUP(A163,EHD[],13,FALSE)=0,"",VLOOKUP(A163,EHD[],13,FALSE))</f>
        <v/>
      </c>
      <c r="J163" s="143" t="str">
        <f>IF(ISBLANK(VLOOKUP(A163,EHD[],14,FALSE)),"",VLOOKUP(A163,EHD[],14,FALSE))</f>
        <v/>
      </c>
      <c r="K163" s="151">
        <f>VLOOKUP(A163,EHD[],15,FALSE)</f>
        <v>0</v>
      </c>
      <c r="L163" s="151">
        <f ca="1">VLOOKUP(A163,EHD[],16,FALSE)</f>
        <v>39780.692725000001</v>
      </c>
      <c r="M163" s="143"/>
      <c r="N163" s="143" t="str">
        <f>IF(ISBLANK(VLOOKUP(A163,EHD[],20,FALSE)),"",VLOOKUP(A163,EHD[],20,FALSE))</f>
        <v/>
      </c>
      <c r="O163" s="152"/>
    </row>
    <row r="164" spans="1:15">
      <c r="A164" s="147" t="s">
        <v>325</v>
      </c>
      <c r="B164" s="144" t="str">
        <f>VLOOKUP(A164,Data[],2,FALSE)</f>
        <v>BROOKLYN</v>
      </c>
      <c r="C164" s="144" t="s">
        <v>27</v>
      </c>
      <c r="D164" s="9" t="str">
        <f>VLOOKUP(A164,Data[],52,FALSE)</f>
        <v>FEDERAL</v>
      </c>
      <c r="E164" s="9" t="str">
        <f ca="1">VLOOKUP(A164,Data[],4,FALSE)</f>
        <v>2026+</v>
      </c>
      <c r="F164" s="9">
        <f>VLOOKUP(EHDAll[[#This Row],[DEVELOPMENT]],EHD[],7,FALSE)</f>
        <v>40</v>
      </c>
      <c r="G164" s="9">
        <f>VLOOKUP(EHDAll[[#This Row],[DEVELOPMENT]],Data[],67,FALSE)</f>
        <v>6</v>
      </c>
      <c r="H164" s="143" t="str">
        <f>IF(EHDAll[[#This Row],[STATUS]]="","",VLOOKUP(A164,EHD[],19,FALSE))</f>
        <v/>
      </c>
      <c r="I164" s="143" t="str">
        <f>IF(VLOOKUP(A164,EHD[],13,FALSE)=0,"",VLOOKUP(A164,EHD[],13,FALSE))</f>
        <v/>
      </c>
      <c r="J164" s="143" t="str">
        <f>IF(ISBLANK(VLOOKUP(A164,EHD[],14,FALSE)),"",VLOOKUP(A164,EHD[],14,FALSE))</f>
        <v/>
      </c>
      <c r="K164" s="151">
        <f>VLOOKUP(A164,EHD[],15,FALSE)</f>
        <v>0</v>
      </c>
      <c r="L164" s="151">
        <f ca="1">VLOOKUP(A164,EHD[],16,FALSE)</f>
        <v>349475.24450000003</v>
      </c>
      <c r="M164" s="143"/>
      <c r="N164" s="143" t="str">
        <f>IF(ISBLANK(VLOOKUP(A164,EHD[],20,FALSE)),"",VLOOKUP(A164,EHD[],20,FALSE))</f>
        <v/>
      </c>
      <c r="O164" s="152"/>
    </row>
    <row r="165" spans="1:15">
      <c r="A165" s="147" t="s">
        <v>326</v>
      </c>
      <c r="B165" s="144" t="str">
        <f>VLOOKUP(A165,Data[],2,FALSE)</f>
        <v>BROOKLYN</v>
      </c>
      <c r="C165" s="144" t="s">
        <v>27</v>
      </c>
      <c r="D165" s="9" t="str">
        <f>VLOOKUP(A165,Data[],52,FALSE)</f>
        <v>FEDERAL</v>
      </c>
      <c r="E165" s="9" t="str">
        <f ca="1">VLOOKUP(A165,Data[],4,FALSE)</f>
        <v>2026+</v>
      </c>
      <c r="F165" s="9">
        <f>VLOOKUP(EHDAll[[#This Row],[DEVELOPMENT]],EHD[],7,FALSE)</f>
        <v>24</v>
      </c>
      <c r="G165" s="9" t="str">
        <f>VLOOKUP(EHDAll[[#This Row],[DEVELOPMENT]],Data[],67,FALSE)</f>
        <v>4-6-9-13-14</v>
      </c>
      <c r="H165" s="143" t="str">
        <f>IF(EHDAll[[#This Row],[STATUS]]="","",VLOOKUP(A165,EHD[],19,FALSE))</f>
        <v/>
      </c>
      <c r="I165" s="143" t="str">
        <f>IF(VLOOKUP(A165,EHD[],13,FALSE)=0,"",VLOOKUP(A165,EHD[],13,FALSE))</f>
        <v/>
      </c>
      <c r="J165" s="143" t="str">
        <f>IF(ISBLANK(VLOOKUP(A165,EHD[],14,FALSE)),"",VLOOKUP(A165,EHD[],14,FALSE))</f>
        <v/>
      </c>
      <c r="K165" s="151">
        <f>VLOOKUP(A165,EHD[],15,FALSE)</f>
        <v>0</v>
      </c>
      <c r="L165" s="151">
        <f ca="1">VLOOKUP(A165,EHD[],16,FALSE)</f>
        <v>209685.14670000004</v>
      </c>
      <c r="M165" s="143"/>
      <c r="N165" s="143" t="str">
        <f>IF(ISBLANK(VLOOKUP(A165,EHD[],20,FALSE)),"",VLOOKUP(A165,EHD[],20,FALSE))</f>
        <v/>
      </c>
      <c r="O165" s="152"/>
    </row>
    <row r="166" spans="1:15">
      <c r="A166" s="147" t="s">
        <v>80</v>
      </c>
      <c r="B166" s="144" t="str">
        <f>VLOOKUP(A166,Data[],2,FALSE)</f>
        <v>MANHATTAN</v>
      </c>
      <c r="C166" s="144" t="s">
        <v>27</v>
      </c>
      <c r="D166" s="9" t="str">
        <f>VLOOKUP(A166,Data[],52,FALSE)</f>
        <v>FEDERAL</v>
      </c>
      <c r="E166" s="9" t="str">
        <f ca="1">VLOOKUP(A166,Data[],4,FALSE)</f>
        <v>2020-2021</v>
      </c>
      <c r="F166" s="9">
        <f>VLOOKUP(EHDAll[[#This Row],[DEVELOPMENT]],EHD[],7,FALSE)</f>
        <v>1</v>
      </c>
      <c r="G166" s="9">
        <f>VLOOKUP(EHDAll[[#This Row],[DEVELOPMENT]],Data[],67,FALSE)</f>
        <v>7</v>
      </c>
      <c r="H166" s="143" t="str">
        <f>IF(EHDAll[[#This Row],[STATUS]]="","",VLOOKUP(A166,EHD[],19,FALSE))</f>
        <v/>
      </c>
      <c r="I166" s="143" t="str">
        <f>IF(VLOOKUP(A166,EHD[],13,FALSE)=0,"",VLOOKUP(A166,EHD[],13,FALSE))</f>
        <v/>
      </c>
      <c r="J166" s="143" t="str">
        <f>IF(ISBLANK(VLOOKUP(A166,EHD[],14,FALSE)),"",VLOOKUP(A166,EHD[],14,FALSE))</f>
        <v/>
      </c>
      <c r="K166" s="151">
        <f>VLOOKUP(A166,EHD[],15,FALSE)</f>
        <v>0</v>
      </c>
      <c r="L166" s="151">
        <f ca="1">VLOOKUP(A166,EHD[],16,FALSE)</f>
        <v>7695.8910225</v>
      </c>
      <c r="M166" s="143"/>
      <c r="N166" s="143" t="str">
        <f>IF(ISBLANK(VLOOKUP(A166,EHD[],20,FALSE)),"",VLOOKUP(A166,EHD[],20,FALSE))</f>
        <v/>
      </c>
      <c r="O166" s="152"/>
    </row>
    <row r="167" spans="1:15">
      <c r="A167" s="147" t="s">
        <v>81</v>
      </c>
      <c r="B167" s="144" t="str">
        <f>VLOOKUP(A167,Data[],2,FALSE)</f>
        <v>MANHATTAN</v>
      </c>
      <c r="C167" s="144" t="s">
        <v>27</v>
      </c>
      <c r="D167" s="9" t="str">
        <f>VLOOKUP(A167,Data[],52,FALSE)</f>
        <v>FEDERAL</v>
      </c>
      <c r="E167" s="9" t="str">
        <f ca="1">VLOOKUP(A167,Data[],4,FALSE)</f>
        <v>2026+</v>
      </c>
      <c r="F167" s="9">
        <f>VLOOKUP(EHDAll[[#This Row],[DEVELOPMENT]],EHD[],7,FALSE)</f>
        <v>9</v>
      </c>
      <c r="G167" s="9" t="str">
        <f>VLOOKUP(EHDAll[[#This Row],[DEVELOPMENT]],Data[],67,FALSE)</f>
        <v>13-21</v>
      </c>
      <c r="H167" s="143" t="str">
        <f>IF(EHDAll[[#This Row],[STATUS]]="","",VLOOKUP(A167,EHD[],19,FALSE))</f>
        <v/>
      </c>
      <c r="I167" s="143" t="str">
        <f>IF(VLOOKUP(A167,EHD[],13,FALSE)=0,"",VLOOKUP(A167,EHD[],13,FALSE))</f>
        <v/>
      </c>
      <c r="J167" s="143" t="str">
        <f>IF(ISBLANK(VLOOKUP(A167,EHD[],14,FALSE)),"",VLOOKUP(A167,EHD[],14,FALSE))</f>
        <v/>
      </c>
      <c r="K167" s="151">
        <f>VLOOKUP(A167,EHD[],15,FALSE)</f>
        <v>0</v>
      </c>
      <c r="L167" s="151">
        <f ca="1">VLOOKUP(A167,EHD[],16,FALSE)</f>
        <v>66920.791500000007</v>
      </c>
      <c r="M167" s="143"/>
      <c r="N167" s="143" t="str">
        <f>IF(ISBLANK(VLOOKUP(A167,EHD[],20,FALSE)),"",VLOOKUP(A167,EHD[],20,FALSE))</f>
        <v/>
      </c>
      <c r="O167" s="152"/>
    </row>
    <row r="168" spans="1:15">
      <c r="A168" s="147" t="s">
        <v>327</v>
      </c>
      <c r="B168" s="144" t="str">
        <f>VLOOKUP(A168,Data[],2,FALSE)</f>
        <v>BROOKLYN</v>
      </c>
      <c r="C168" s="144" t="s">
        <v>27</v>
      </c>
      <c r="D168" s="9" t="str">
        <f>VLOOKUP(A168,Data[],52,FALSE)</f>
        <v>FEDERAL</v>
      </c>
      <c r="E168" s="9" t="str">
        <f ca="1">VLOOKUP(A168,Data[],4,FALSE)</f>
        <v>2026+</v>
      </c>
      <c r="F168" s="9">
        <f>VLOOKUP(EHDAll[[#This Row],[DEVELOPMENT]],EHD[],7,FALSE)</f>
        <v>15</v>
      </c>
      <c r="G168" s="9">
        <f>VLOOKUP(EHDAll[[#This Row],[DEVELOPMENT]],Data[],67,FALSE)</f>
        <v>7</v>
      </c>
      <c r="H168" s="143" t="str">
        <f>IF(EHDAll[[#This Row],[STATUS]]="","",VLOOKUP(A168,EHD[],19,FALSE))</f>
        <v/>
      </c>
      <c r="I168" s="143" t="str">
        <f>IF(VLOOKUP(A168,EHD[],13,FALSE)=0,"",VLOOKUP(A168,EHD[],13,FALSE))</f>
        <v/>
      </c>
      <c r="J168" s="143" t="str">
        <f>IF(ISBLANK(VLOOKUP(A168,EHD[],14,FALSE)),"",VLOOKUP(A168,EHD[],14,FALSE))</f>
        <v/>
      </c>
      <c r="K168" s="151">
        <f>VLOOKUP(A168,EHD[],15,FALSE)</f>
        <v>0</v>
      </c>
      <c r="L168" s="151">
        <f ca="1">VLOOKUP(A168,EHD[],16,FALSE)</f>
        <v>131053.2166875</v>
      </c>
      <c r="M168" s="143"/>
      <c r="N168" s="143" t="str">
        <f>IF(ISBLANK(VLOOKUP(A168,EHD[],20,FALSE)),"",VLOOKUP(A168,EHD[],20,FALSE))</f>
        <v/>
      </c>
      <c r="O168" s="152"/>
    </row>
    <row r="169" spans="1:15">
      <c r="A169" s="147" t="s">
        <v>328</v>
      </c>
      <c r="B169" s="144" t="str">
        <f>VLOOKUP(A169,Data[],2,FALSE)</f>
        <v>BRONX</v>
      </c>
      <c r="C169" s="144" t="s">
        <v>27</v>
      </c>
      <c r="D169" s="9" t="str">
        <f>VLOOKUP(A169,Data[],52,FALSE)</f>
        <v>FEDERAL</v>
      </c>
      <c r="E169" s="9" t="str">
        <f ca="1">VLOOKUP(A169,Data[],4,FALSE)</f>
        <v/>
      </c>
      <c r="F169" s="9">
        <f>VLOOKUP(EHDAll[[#This Row],[DEVELOPMENT]],EHD[],7,FALSE)</f>
        <v>6</v>
      </c>
      <c r="G169" s="9">
        <f>VLOOKUP(EHDAll[[#This Row],[DEVELOPMENT]],Data[],67,FALSE)</f>
        <v>14</v>
      </c>
      <c r="H169" s="143" t="str">
        <f>IF(EHDAll[[#This Row],[STATUS]]="","",VLOOKUP(A169,EHD[],19,FALSE))</f>
        <v/>
      </c>
      <c r="I169" s="143" t="str">
        <f>IF(VLOOKUP(A169,EHD[],13,FALSE)=0,"",VLOOKUP(A169,EHD[],13,FALSE))</f>
        <v/>
      </c>
      <c r="J169" s="143" t="str">
        <f>IF(ISBLANK(VLOOKUP(A169,EHD[],14,FALSE)),"",VLOOKUP(A169,EHD[],14,FALSE))</f>
        <v/>
      </c>
      <c r="K169" s="151">
        <f>VLOOKUP(A169,EHD[],15,FALSE)</f>
        <v>0</v>
      </c>
      <c r="L169" s="151">
        <f ca="1">VLOOKUP(A169,EHD[],16,FALSE)</f>
        <v>52421.28667500001</v>
      </c>
      <c r="M169" s="143"/>
      <c r="N169" s="143" t="str">
        <f>IF(ISBLANK(VLOOKUP(A169,EHD[],20,FALSE)),"",VLOOKUP(A169,EHD[],20,FALSE))</f>
        <v/>
      </c>
      <c r="O169" s="152"/>
    </row>
    <row r="170" spans="1:15">
      <c r="A170" s="147" t="s">
        <v>244</v>
      </c>
      <c r="B170" s="144" t="str">
        <f>VLOOKUP(A170,Data[],2,FALSE)</f>
        <v>QUEENS</v>
      </c>
      <c r="C170" s="144" t="s">
        <v>27</v>
      </c>
      <c r="D170" s="9" t="str">
        <f>VLOOKUP(A170,Data[],52,FALSE)</f>
        <v>FEDERAL</v>
      </c>
      <c r="E170" s="9" t="str">
        <f ca="1">VLOOKUP(A170,Data[],4,FALSE)</f>
        <v>2026+</v>
      </c>
      <c r="F170" s="9">
        <f>VLOOKUP(EHDAll[[#This Row],[DEVELOPMENT]],EHD[],7,FALSE)</f>
        <v>14</v>
      </c>
      <c r="G170" s="9">
        <f>VLOOKUP(EHDAll[[#This Row],[DEVELOPMENT]],Data[],67,FALSE)</f>
        <v>7</v>
      </c>
      <c r="H170" s="143" t="str">
        <f>IF(EHDAll[[#This Row],[STATUS]]="","",VLOOKUP(A170,EHD[],19,FALSE))</f>
        <v/>
      </c>
      <c r="I170" s="143" t="str">
        <f>IF(VLOOKUP(A170,EHD[],13,FALSE)=0,"",VLOOKUP(A170,EHD[],13,FALSE))</f>
        <v/>
      </c>
      <c r="J170" s="143" t="str">
        <f>IF(ISBLANK(VLOOKUP(A170,EHD[],14,FALSE)),"",VLOOKUP(A170,EHD[],14,FALSE))</f>
        <v/>
      </c>
      <c r="K170" s="151">
        <f>VLOOKUP(A170,EHD[],15,FALSE)</f>
        <v>0</v>
      </c>
      <c r="L170" s="151">
        <f ca="1">VLOOKUP(A170,EHD[],16,FALSE)</f>
        <v>118672.87026000003</v>
      </c>
      <c r="M170" s="143"/>
      <c r="N170" s="143" t="str">
        <f>IF(ISBLANK(VLOOKUP(A170,EHD[],20,FALSE)),"",VLOOKUP(A170,EHD[],20,FALSE))</f>
        <v/>
      </c>
      <c r="O170" s="152"/>
    </row>
    <row r="171" spans="1:15">
      <c r="A171" s="147" t="s">
        <v>265</v>
      </c>
      <c r="B171" s="144" t="str">
        <f>VLOOKUP(A171,Data[],2,FALSE)</f>
        <v>MANHATTAN</v>
      </c>
      <c r="C171" s="144" t="s">
        <v>27</v>
      </c>
      <c r="D171" s="9" t="str">
        <f>VLOOKUP(A171,Data[],52,FALSE)</f>
        <v>FEDERAL</v>
      </c>
      <c r="E171" s="9" t="str">
        <f ca="1">VLOOKUP(A171,Data[],4,FALSE)</f>
        <v/>
      </c>
      <c r="F171" s="9">
        <f>VLOOKUP(EHDAll[[#This Row],[DEVELOPMENT]],EHD[],7,FALSE)</f>
        <v>2</v>
      </c>
      <c r="G171" s="9" t="str">
        <f>VLOOKUP(EHDAll[[#This Row],[DEVELOPMENT]],Data[],67,FALSE)</f>
        <v>14-15</v>
      </c>
      <c r="H171" s="143" t="str">
        <f>IF(EHDAll[[#This Row],[STATUS]]="","",VLOOKUP(A171,EHD[],19,FALSE))</f>
        <v/>
      </c>
      <c r="I171" s="143" t="str">
        <f>IF(VLOOKUP(A171,EHD[],13,FALSE)=0,"",VLOOKUP(A171,EHD[],13,FALSE))</f>
        <v/>
      </c>
      <c r="J171" s="143" t="str">
        <f>IF(ISBLANK(VLOOKUP(A171,EHD[],14,FALSE)),"",VLOOKUP(A171,EHD[],14,FALSE))</f>
        <v/>
      </c>
      <c r="K171" s="151">
        <f>VLOOKUP(A171,EHD[],15,FALSE)</f>
        <v>0</v>
      </c>
      <c r="L171" s="151">
        <f ca="1">VLOOKUP(A171,EHD[],16,FALSE)</f>
        <v>16953.267180000003</v>
      </c>
      <c r="M171" s="143"/>
      <c r="N171" s="143" t="str">
        <f>IF(ISBLANK(VLOOKUP(A171,EHD[],20,FALSE)),"",VLOOKUP(A171,EHD[],20,FALSE))</f>
        <v/>
      </c>
      <c r="O171" s="152"/>
    </row>
    <row r="172" spans="1:15">
      <c r="A172" s="147" t="s">
        <v>117</v>
      </c>
      <c r="B172" s="144" t="str">
        <f>VLOOKUP(A172,Data[],2,FALSE)</f>
        <v>MANHATTAN</v>
      </c>
      <c r="C172" s="144" t="s">
        <v>27</v>
      </c>
      <c r="D172" s="9" t="str">
        <f>VLOOKUP(A172,Data[],52,FALSE)</f>
        <v>FEDERAL</v>
      </c>
      <c r="E172" s="9" t="str">
        <f ca="1">VLOOKUP(A172,Data[],4,FALSE)</f>
        <v>2020-2021</v>
      </c>
      <c r="F172" s="9">
        <f>VLOOKUP(EHDAll[[#This Row],[DEVELOPMENT]],EHD[],7,FALSE)</f>
        <v>47</v>
      </c>
      <c r="G172" s="9">
        <f>VLOOKUP(EHDAll[[#This Row],[DEVELOPMENT]],Data[],67,FALSE)</f>
        <v>43560</v>
      </c>
      <c r="H172" s="143" t="str">
        <f>IF(EHDAll[[#This Row],[STATUS]]="","",VLOOKUP(A172,EHD[],19,FALSE))</f>
        <v/>
      </c>
      <c r="I172" s="143" t="str">
        <f>IF(VLOOKUP(A172,EHD[],13,FALSE)=0,"",VLOOKUP(A172,EHD[],13,FALSE))</f>
        <v/>
      </c>
      <c r="J172" s="143" t="str">
        <f>IF(ISBLANK(VLOOKUP(A172,EHD[],14,FALSE)),"",VLOOKUP(A172,EHD[],14,FALSE))</f>
        <v/>
      </c>
      <c r="K172" s="151">
        <f>VLOOKUP(A172,EHD[],15,FALSE)</f>
        <v>0</v>
      </c>
      <c r="L172" s="151">
        <f ca="1">VLOOKUP(A172,EHD[],16,FALSE)</f>
        <v>361706.8780575</v>
      </c>
      <c r="M172" s="143"/>
      <c r="N172" s="143" t="str">
        <f>IF(ISBLANK(VLOOKUP(A172,EHD[],20,FALSE)),"",VLOOKUP(A172,EHD[],20,FALSE))</f>
        <v/>
      </c>
      <c r="O172" s="152"/>
    </row>
    <row r="173" spans="1:15">
      <c r="A173" s="147" t="s">
        <v>82</v>
      </c>
      <c r="B173" s="144" t="str">
        <f>VLOOKUP(A173,Data[],2,FALSE)</f>
        <v>MANHATTAN</v>
      </c>
      <c r="C173" s="144" t="s">
        <v>27</v>
      </c>
      <c r="D173" s="9" t="str">
        <f>VLOOKUP(A173,Data[],52,FALSE)</f>
        <v>FEDERAL</v>
      </c>
      <c r="E173" s="9" t="str">
        <f ca="1">VLOOKUP(A173,Data[],4,FALSE)</f>
        <v>2020-2021</v>
      </c>
      <c r="F173" s="9">
        <f>VLOOKUP(EHDAll[[#This Row],[DEVELOPMENT]],EHD[],7,FALSE)</f>
        <v>1</v>
      </c>
      <c r="G173" s="9">
        <f>VLOOKUP(EHDAll[[#This Row],[DEVELOPMENT]],Data[],67,FALSE)</f>
        <v>15</v>
      </c>
      <c r="H173" s="143" t="str">
        <f>IF(EHDAll[[#This Row],[STATUS]]="","",VLOOKUP(A173,EHD[],19,FALSE))</f>
        <v/>
      </c>
      <c r="I173" s="143" t="str">
        <f>IF(VLOOKUP(A173,EHD[],13,FALSE)=0,"",VLOOKUP(A173,EHD[],13,FALSE))</f>
        <v/>
      </c>
      <c r="J173" s="143" t="str">
        <f>IF(ISBLANK(VLOOKUP(A173,EHD[],14,FALSE)),"",VLOOKUP(A173,EHD[],14,FALSE))</f>
        <v/>
      </c>
      <c r="K173" s="151">
        <f>VLOOKUP(A173,EHD[],15,FALSE)</f>
        <v>0</v>
      </c>
      <c r="L173" s="151">
        <f ca="1">VLOOKUP(A173,EHD[],16,FALSE)</f>
        <v>7435.6435000000001</v>
      </c>
      <c r="M173" s="143"/>
      <c r="N173" s="143" t="str">
        <f>IF(ISBLANK(VLOOKUP(A173,EHD[],20,FALSE)),"",VLOOKUP(A173,EHD[],20,FALSE))</f>
        <v/>
      </c>
      <c r="O173" s="152"/>
    </row>
    <row r="174" spans="1:15">
      <c r="A174" s="147" t="s">
        <v>330</v>
      </c>
      <c r="B174" s="144" t="str">
        <f>VLOOKUP(A174,Data[],2,FALSE)</f>
        <v>BRONX</v>
      </c>
      <c r="C174" s="144" t="s">
        <v>27</v>
      </c>
      <c r="D174" s="9" t="str">
        <f>VLOOKUP(A174,Data[],52,FALSE)</f>
        <v>FEDERAL</v>
      </c>
      <c r="E174" s="9" t="str">
        <f ca="1">VLOOKUP(A174,Data[],4,FALSE)</f>
        <v/>
      </c>
      <c r="F174" s="9">
        <f>VLOOKUP(EHDAll[[#This Row],[DEVELOPMENT]],EHD[],7,FALSE)</f>
        <v>1</v>
      </c>
      <c r="G174" s="9">
        <f>VLOOKUP(EHDAll[[#This Row],[DEVELOPMENT]],Data[],67,FALSE)</f>
        <v>5</v>
      </c>
      <c r="H174" s="143" t="str">
        <f>IF(EHDAll[[#This Row],[STATUS]]="","",VLOOKUP(A174,EHD[],19,FALSE))</f>
        <v/>
      </c>
      <c r="I174" s="143" t="str">
        <f>IF(VLOOKUP(A174,EHD[],13,FALSE)=0,"",VLOOKUP(A174,EHD[],13,FALSE))</f>
        <v/>
      </c>
      <c r="J174" s="143" t="str">
        <f>IF(ISBLANK(VLOOKUP(A174,EHD[],14,FALSE)),"",VLOOKUP(A174,EHD[],14,FALSE))</f>
        <v/>
      </c>
      <c r="K174" s="151">
        <f>VLOOKUP(A174,EHD[],15,FALSE)</f>
        <v>0</v>
      </c>
      <c r="L174" s="151">
        <f ca="1">VLOOKUP(A174,EHD[],16,FALSE)</f>
        <v>8736.8811125000011</v>
      </c>
      <c r="M174" s="143"/>
      <c r="N174" s="143" t="str">
        <f>IF(ISBLANK(VLOOKUP(A174,EHD[],20,FALSE)),"",VLOOKUP(A174,EHD[],20,FALSE))</f>
        <v/>
      </c>
      <c r="O174" s="152"/>
    </row>
    <row r="175" spans="1:15">
      <c r="A175" s="147" t="s">
        <v>331</v>
      </c>
      <c r="B175" s="144" t="str">
        <f>VLOOKUP(A175,Data[],2,FALSE)</f>
        <v>BRONX</v>
      </c>
      <c r="C175" s="144" t="s">
        <v>27</v>
      </c>
      <c r="D175" s="9" t="str">
        <f>VLOOKUP(A175,Data[],52,FALSE)</f>
        <v>FEDERAL</v>
      </c>
      <c r="E175" s="9" t="str">
        <f ca="1">VLOOKUP(A175,Data[],4,FALSE)</f>
        <v/>
      </c>
      <c r="F175" s="9">
        <f>VLOOKUP(EHDAll[[#This Row],[DEVELOPMENT]],EHD[],7,FALSE)</f>
        <v>4</v>
      </c>
      <c r="G175" s="9">
        <f>VLOOKUP(EHDAll[[#This Row],[DEVELOPMENT]],Data[],67,FALSE)</f>
        <v>43591</v>
      </c>
      <c r="H175" s="143" t="str">
        <f>IF(EHDAll[[#This Row],[STATUS]]="","",VLOOKUP(A175,EHD[],19,FALSE))</f>
        <v/>
      </c>
      <c r="I175" s="143" t="str">
        <f>IF(VLOOKUP(A175,EHD[],13,FALSE)=0,"",VLOOKUP(A175,EHD[],13,FALSE))</f>
        <v/>
      </c>
      <c r="J175" s="143" t="str">
        <f>IF(ISBLANK(VLOOKUP(A175,EHD[],14,FALSE)),"",VLOOKUP(A175,EHD[],14,FALSE))</f>
        <v/>
      </c>
      <c r="K175" s="151">
        <f>VLOOKUP(A175,EHD[],15,FALSE)</f>
        <v>0</v>
      </c>
      <c r="L175" s="151">
        <f ca="1">VLOOKUP(A175,EHD[],16,FALSE)</f>
        <v>34947.524450000004</v>
      </c>
      <c r="M175" s="143"/>
      <c r="N175" s="143" t="str">
        <f>IF(ISBLANK(VLOOKUP(A175,EHD[],20,FALSE)),"",VLOOKUP(A175,EHD[],20,FALSE))</f>
        <v/>
      </c>
      <c r="O175" s="152"/>
    </row>
    <row r="176" spans="1:15">
      <c r="A176" s="148" t="s">
        <v>332</v>
      </c>
      <c r="B176" s="144" t="str">
        <f>VLOOKUP(A176,Data[],2,FALSE)</f>
        <v>BRONX</v>
      </c>
      <c r="C176" s="144" t="s">
        <v>27</v>
      </c>
      <c r="D176" s="9" t="str">
        <f>VLOOKUP(A176,Data[],52,FALSE)</f>
        <v>FEDERAL</v>
      </c>
      <c r="E176" s="9" t="str">
        <f ca="1">VLOOKUP(A176,Data[],4,FALSE)</f>
        <v/>
      </c>
      <c r="F176" s="9">
        <f>VLOOKUP(EHDAll[[#This Row],[DEVELOPMENT]],EHD[],7,FALSE)</f>
        <v>6</v>
      </c>
      <c r="G176" s="9" t="str">
        <f>VLOOKUP(EHDAll[[#This Row],[DEVELOPMENT]],Data[],67,FALSE)</f>
        <v>13-14</v>
      </c>
      <c r="H176" s="143" t="str">
        <f>IF(EHDAll[[#This Row],[STATUS]]="","",VLOOKUP(A176,EHD[],19,FALSE))</f>
        <v/>
      </c>
      <c r="I176" s="143" t="str">
        <f>IF(VLOOKUP(A176,EHD[],13,FALSE)=0,"",VLOOKUP(A176,EHD[],13,FALSE))</f>
        <v/>
      </c>
      <c r="J176" s="143" t="str">
        <f>IF(ISBLANK(VLOOKUP(A176,EHD[],14,FALSE)),"",VLOOKUP(A176,EHD[],14,FALSE))</f>
        <v/>
      </c>
      <c r="K176" s="151">
        <f>VLOOKUP(A176,EHD[],15,FALSE)</f>
        <v>0</v>
      </c>
      <c r="L176" s="151">
        <f ca="1">VLOOKUP(A176,EHD[],16,FALSE)</f>
        <v>46175.346135</v>
      </c>
      <c r="M176" s="143"/>
      <c r="N176" s="143" t="str">
        <f>IF(ISBLANK(VLOOKUP(A176,EHD[],20,FALSE)),"",VLOOKUP(A176,EHD[],20,FALSE))</f>
        <v/>
      </c>
      <c r="O176" s="152"/>
    </row>
    <row r="177" spans="1:15">
      <c r="A177" s="147" t="s">
        <v>285</v>
      </c>
      <c r="B177" s="144" t="str">
        <f>VLOOKUP(A177,Data[],2,FALSE)</f>
        <v>BRONX</v>
      </c>
      <c r="C177" s="144" t="s">
        <v>27</v>
      </c>
      <c r="D177" s="9" t="str">
        <f>VLOOKUP(A177,Data[],52,FALSE)</f>
        <v>FEDERAL</v>
      </c>
      <c r="E177" s="9" t="str">
        <f ca="1">VLOOKUP(A177,Data[],4,FALSE)</f>
        <v/>
      </c>
      <c r="F177" s="9">
        <f>VLOOKUP(EHDAll[[#This Row],[DEVELOPMENT]],EHD[],7,FALSE)</f>
        <v>1</v>
      </c>
      <c r="G177" s="9">
        <f>VLOOKUP(EHDAll[[#This Row],[DEVELOPMENT]],Data[],67,FALSE)</f>
        <v>6</v>
      </c>
      <c r="H177" s="143" t="str">
        <f>IF(EHDAll[[#This Row],[STATUS]]="","",VLOOKUP(A177,EHD[],19,FALSE))</f>
        <v/>
      </c>
      <c r="I177" s="143" t="str">
        <f>IF(VLOOKUP(A177,EHD[],13,FALSE)=0,"",VLOOKUP(A177,EHD[],13,FALSE))</f>
        <v/>
      </c>
      <c r="J177" s="143" t="str">
        <f>IF(ISBLANK(VLOOKUP(A177,EHD[],14,FALSE)),"",VLOOKUP(A177,EHD[],14,FALSE))</f>
        <v/>
      </c>
      <c r="K177" s="151">
        <f>VLOOKUP(A177,EHD[],15,FALSE)</f>
        <v>0</v>
      </c>
      <c r="L177" s="151">
        <f ca="1">VLOOKUP(A177,EHD[],16,FALSE)</f>
        <v>8476.6335900000013</v>
      </c>
      <c r="M177" s="143"/>
      <c r="N177" s="143" t="str">
        <f>IF(ISBLANK(VLOOKUP(A177,EHD[],20,FALSE)),"",VLOOKUP(A177,EHD[],20,FALSE))</f>
        <v/>
      </c>
      <c r="O177" s="152"/>
    </row>
    <row r="178" spans="1:15">
      <c r="A178" s="147" t="s">
        <v>333</v>
      </c>
      <c r="B178" s="144" t="str">
        <f>VLOOKUP(A178,Data[],2,FALSE)</f>
        <v>MANHATTAN</v>
      </c>
      <c r="C178" s="144" t="s">
        <v>27</v>
      </c>
      <c r="D178" s="9" t="str">
        <f>VLOOKUP(A178,Data[],52,FALSE)</f>
        <v>FEDERAL</v>
      </c>
      <c r="E178" s="9" t="str">
        <f ca="1">VLOOKUP(A178,Data[],4,FALSE)</f>
        <v/>
      </c>
      <c r="F178" s="9">
        <f>VLOOKUP(EHDAll[[#This Row],[DEVELOPMENT]],EHD[],7,FALSE)</f>
        <v>2</v>
      </c>
      <c r="G178" s="9">
        <f>VLOOKUP(EHDAll[[#This Row],[DEVELOPMENT]],Data[],67,FALSE)</f>
        <v>25</v>
      </c>
      <c r="H178" s="143" t="str">
        <f>IF(EHDAll[[#This Row],[STATUS]]="","",VLOOKUP(A178,EHD[],19,FALSE))</f>
        <v/>
      </c>
      <c r="I178" s="143" t="str">
        <f>IF(VLOOKUP(A178,EHD[],13,FALSE)=0,"",VLOOKUP(A178,EHD[],13,FALSE))</f>
        <v/>
      </c>
      <c r="J178" s="143" t="str">
        <f>IF(ISBLANK(VLOOKUP(A178,EHD[],14,FALSE)),"",VLOOKUP(A178,EHD[],14,FALSE))</f>
        <v/>
      </c>
      <c r="K178" s="151">
        <f>VLOOKUP(A178,EHD[],15,FALSE)</f>
        <v>0</v>
      </c>
      <c r="L178" s="151">
        <f ca="1">VLOOKUP(A178,EHD[],16,FALSE)</f>
        <v>17473.762225000002</v>
      </c>
      <c r="M178" s="143"/>
      <c r="N178" s="143" t="str">
        <f>IF(ISBLANK(VLOOKUP(A178,EHD[],20,FALSE)),"",VLOOKUP(A178,EHD[],20,FALSE))</f>
        <v/>
      </c>
      <c r="O178" s="152"/>
    </row>
    <row r="179" spans="1:15">
      <c r="A179" s="147" t="s">
        <v>206</v>
      </c>
      <c r="B179" s="144" t="str">
        <f>VLOOKUP(A179,Data[],2,FALSE)</f>
        <v>BROOKLYN</v>
      </c>
      <c r="C179" s="144" t="s">
        <v>27</v>
      </c>
      <c r="D179" s="9" t="str">
        <f>VLOOKUP(A179,Data[],52,FALSE)</f>
        <v>FEDERAL</v>
      </c>
      <c r="E179" s="9" t="str">
        <f ca="1">VLOOKUP(A179,Data[],4,FALSE)</f>
        <v>2026+</v>
      </c>
      <c r="F179" s="9">
        <f>VLOOKUP(EHDAll[[#This Row],[DEVELOPMENT]],EHD[],7,FALSE)</f>
        <v>16</v>
      </c>
      <c r="G179" s="9">
        <f>VLOOKUP(EHDAll[[#This Row],[DEVELOPMENT]],Data[],67,FALSE)</f>
        <v>43659</v>
      </c>
      <c r="H179" s="143" t="str">
        <f>IF(EHDAll[[#This Row],[STATUS]]="","",VLOOKUP(A179,EHD[],19,FALSE))</f>
        <v/>
      </c>
      <c r="I179" s="143" t="str">
        <f>IF(VLOOKUP(A179,EHD[],13,FALSE)=0,"",VLOOKUP(A179,EHD[],13,FALSE))</f>
        <v/>
      </c>
      <c r="J179" s="143" t="str">
        <f>IF(ISBLANK(VLOOKUP(A179,EHD[],14,FALSE)),"",VLOOKUP(A179,EHD[],14,FALSE))</f>
        <v/>
      </c>
      <c r="K179" s="151">
        <f>VLOOKUP(A179,EHD[],15,FALSE)</f>
        <v>0</v>
      </c>
      <c r="L179" s="151">
        <f ca="1">VLOOKUP(A179,EHD[],16,FALSE)</f>
        <v>127298.21672000001</v>
      </c>
      <c r="M179" s="143"/>
      <c r="N179" s="143" t="str">
        <f>IF(ISBLANK(VLOOKUP(A179,EHD[],20,FALSE)),"",VLOOKUP(A179,EHD[],20,FALSE))</f>
        <v/>
      </c>
      <c r="O179" s="152"/>
    </row>
    <row r="180" spans="1:15">
      <c r="A180" s="147" t="s">
        <v>245</v>
      </c>
      <c r="B180" s="144" t="str">
        <f>VLOOKUP(A180,Data[],2,FALSE)</f>
        <v>BROOKLYN</v>
      </c>
      <c r="C180" s="144" t="s">
        <v>27</v>
      </c>
      <c r="D180" s="9" t="str">
        <f>VLOOKUP(A180,Data[],52,FALSE)</f>
        <v>FEDERAL</v>
      </c>
      <c r="E180" s="9" t="str">
        <f ca="1">VLOOKUP(A180,Data[],4,FALSE)</f>
        <v>2022-2025</v>
      </c>
      <c r="F180" s="9">
        <f>VLOOKUP(EHDAll[[#This Row],[DEVELOPMENT]],EHD[],7,FALSE)</f>
        <v>0</v>
      </c>
      <c r="G180" s="9">
        <f>VLOOKUP(EHDAll[[#This Row],[DEVELOPMENT]],Data[],67,FALSE)</f>
        <v>3</v>
      </c>
      <c r="H180" s="143" t="str">
        <f>IF(EHDAll[[#This Row],[STATUS]]="","",VLOOKUP(A180,EHD[],19,FALSE))</f>
        <v/>
      </c>
      <c r="I180" s="143" t="str">
        <f>IF(VLOOKUP(A180,EHD[],13,FALSE)=0,"",VLOOKUP(A180,EHD[],13,FALSE))</f>
        <v/>
      </c>
      <c r="J180" s="143" t="str">
        <f>IF(ISBLANK(VLOOKUP(A180,EHD[],14,FALSE)),"",VLOOKUP(A180,EHD[],14,FALSE))</f>
        <v/>
      </c>
      <c r="K180" s="151">
        <f>VLOOKUP(A180,EHD[],15,FALSE)</f>
        <v>0</v>
      </c>
      <c r="L180" s="151">
        <f ca="1">VLOOKUP(A180,EHD[],16,FALSE)</f>
        <v>0</v>
      </c>
      <c r="M180" s="143"/>
      <c r="N180" s="143" t="str">
        <f>IF(ISBLANK(VLOOKUP(A180,EHD[],20,FALSE)),"",VLOOKUP(A180,EHD[],20,FALSE))</f>
        <v/>
      </c>
      <c r="O180" s="152"/>
    </row>
    <row r="181" spans="1:15">
      <c r="A181" s="147" t="s">
        <v>246</v>
      </c>
      <c r="B181" s="144" t="str">
        <f>VLOOKUP(A181,Data[],2,FALSE)</f>
        <v>BROOKLYN</v>
      </c>
      <c r="C181" s="144" t="s">
        <v>27</v>
      </c>
      <c r="D181" s="9" t="str">
        <f>VLOOKUP(A181,Data[],52,FALSE)</f>
        <v>FEDERAL</v>
      </c>
      <c r="E181" s="9" t="str">
        <f ca="1">VLOOKUP(A181,Data[],4,FALSE)</f>
        <v>2022-2025</v>
      </c>
      <c r="F181" s="9">
        <f>VLOOKUP(EHDAll[[#This Row],[DEVELOPMENT]],EHD[],7,FALSE)</f>
        <v>0</v>
      </c>
      <c r="G181" s="9">
        <f>VLOOKUP(EHDAll[[#This Row],[DEVELOPMENT]],Data[],67,FALSE)</f>
        <v>3</v>
      </c>
      <c r="H181" s="143" t="str">
        <f>IF(EHDAll[[#This Row],[STATUS]]="","",VLOOKUP(A181,EHD[],19,FALSE))</f>
        <v/>
      </c>
      <c r="I181" s="143" t="str">
        <f>IF(VLOOKUP(A181,EHD[],13,FALSE)=0,"",VLOOKUP(A181,EHD[],13,FALSE))</f>
        <v/>
      </c>
      <c r="J181" s="143" t="str">
        <f>IF(ISBLANK(VLOOKUP(A181,EHD[],14,FALSE)),"",VLOOKUP(A181,EHD[],14,FALSE))</f>
        <v/>
      </c>
      <c r="K181" s="151">
        <f>VLOOKUP(A181,EHD[],15,FALSE)</f>
        <v>0</v>
      </c>
      <c r="L181" s="151">
        <f ca="1">VLOOKUP(A181,EHD[],16,FALSE)</f>
        <v>0</v>
      </c>
      <c r="M181" s="143"/>
      <c r="N181" s="143" t="str">
        <f>IF(ISBLANK(VLOOKUP(A181,EHD[],20,FALSE)),"",VLOOKUP(A181,EHD[],20,FALSE))</f>
        <v/>
      </c>
      <c r="O181" s="152"/>
    </row>
    <row r="182" spans="1:15">
      <c r="A182" s="147" t="s">
        <v>334</v>
      </c>
      <c r="B182" s="144" t="str">
        <f>VLOOKUP(A182,Data[],2,FALSE)</f>
        <v>BROOKLYN</v>
      </c>
      <c r="C182" s="144" t="s">
        <v>27</v>
      </c>
      <c r="D182" s="9" t="str">
        <f>VLOOKUP(A182,Data[],52,FALSE)</f>
        <v>FEDERAL</v>
      </c>
      <c r="E182" s="9" t="str">
        <f ca="1">VLOOKUP(A182,Data[],4,FALSE)</f>
        <v/>
      </c>
      <c r="F182" s="9">
        <f>VLOOKUP(EHDAll[[#This Row],[DEVELOPMENT]],EHD[],7,FALSE)</f>
        <v>3</v>
      </c>
      <c r="G182" s="9">
        <f>VLOOKUP(EHDAll[[#This Row],[DEVELOPMENT]],Data[],67,FALSE)</f>
        <v>22</v>
      </c>
      <c r="H182" s="143" t="str">
        <f>IF(EHDAll[[#This Row],[STATUS]]="","",VLOOKUP(A182,EHD[],19,FALSE))</f>
        <v/>
      </c>
      <c r="I182" s="143" t="str">
        <f>IF(VLOOKUP(A182,EHD[],13,FALSE)=0,"",VLOOKUP(A182,EHD[],13,FALSE))</f>
        <v/>
      </c>
      <c r="J182" s="143" t="str">
        <f>IF(ISBLANK(VLOOKUP(A182,EHD[],14,FALSE)),"",VLOOKUP(A182,EHD[],14,FALSE))</f>
        <v/>
      </c>
      <c r="K182" s="151">
        <f>VLOOKUP(A182,EHD[],15,FALSE)</f>
        <v>0</v>
      </c>
      <c r="L182" s="151">
        <f ca="1">VLOOKUP(A182,EHD[],16,FALSE)</f>
        <v>26210.643337500005</v>
      </c>
      <c r="M182" s="143"/>
      <c r="N182" s="143" t="str">
        <f>IF(ISBLANK(VLOOKUP(A182,EHD[],20,FALSE)),"",VLOOKUP(A182,EHD[],20,FALSE))</f>
        <v/>
      </c>
      <c r="O182" s="152"/>
    </row>
    <row r="183" spans="1:15">
      <c r="A183" s="147" t="s">
        <v>286</v>
      </c>
      <c r="B183" s="144" t="str">
        <f>VLOOKUP(A183,Data[],2,FALSE)</f>
        <v>BRONX</v>
      </c>
      <c r="C183" s="144" t="s">
        <v>27</v>
      </c>
      <c r="D183" s="9" t="str">
        <f>VLOOKUP(A183,Data[],52,FALSE)</f>
        <v>FEDERAL</v>
      </c>
      <c r="E183" s="9" t="str">
        <f ca="1">VLOOKUP(A183,Data[],4,FALSE)</f>
        <v/>
      </c>
      <c r="F183" s="9">
        <f>VLOOKUP(EHDAll[[#This Row],[DEVELOPMENT]],EHD[],7,FALSE)</f>
        <v>1</v>
      </c>
      <c r="G183" s="9">
        <f>VLOOKUP(EHDAll[[#This Row],[DEVELOPMENT]],Data[],67,FALSE)</f>
        <v>43560</v>
      </c>
      <c r="H183" s="143" t="str">
        <f>IF(EHDAll[[#This Row],[STATUS]]="","",VLOOKUP(A183,EHD[],19,FALSE))</f>
        <v/>
      </c>
      <c r="I183" s="143" t="str">
        <f>IF(VLOOKUP(A183,EHD[],13,FALSE)=0,"",VLOOKUP(A183,EHD[],13,FALSE))</f>
        <v/>
      </c>
      <c r="J183" s="143" t="str">
        <f>IF(ISBLANK(VLOOKUP(A183,EHD[],14,FALSE)),"",VLOOKUP(A183,EHD[],14,FALSE))</f>
        <v/>
      </c>
      <c r="K183" s="151">
        <f>VLOOKUP(A183,EHD[],15,FALSE)</f>
        <v>0</v>
      </c>
      <c r="L183" s="151">
        <f ca="1">VLOOKUP(A183,EHD[],16,FALSE)</f>
        <v>8476.6335900000013</v>
      </c>
      <c r="M183" s="143"/>
      <c r="N183" s="143" t="str">
        <f>IF(ISBLANK(VLOOKUP(A183,EHD[],20,FALSE)),"",VLOOKUP(A183,EHD[],20,FALSE))</f>
        <v/>
      </c>
      <c r="O183" s="152"/>
    </row>
    <row r="184" spans="1:15">
      <c r="A184" s="147" t="s">
        <v>335</v>
      </c>
      <c r="B184" s="144" t="str">
        <f>VLOOKUP(A184,Data[],2,FALSE)</f>
        <v>BROOKLYN</v>
      </c>
      <c r="C184" s="144" t="s">
        <v>27</v>
      </c>
      <c r="D184" s="9" t="str">
        <f>VLOOKUP(A184,Data[],52,FALSE)</f>
        <v>MIXED FINANCE/LLC2</v>
      </c>
      <c r="E184" s="9">
        <f ca="1">VLOOKUP(A184,Data[],4,FALSE)</f>
        <v>2019</v>
      </c>
      <c r="F184" s="9">
        <f>VLOOKUP(EHDAll[[#This Row],[DEVELOPMENT]],EHD[],7,FALSE)</f>
        <v>6</v>
      </c>
      <c r="G184" s="9">
        <f>VLOOKUP(EHDAll[[#This Row],[DEVELOPMENT]],Data[],67,FALSE)</f>
        <v>21</v>
      </c>
      <c r="H184" s="143" t="str">
        <f>IF(EHDAll[[#This Row],[STATUS]]="","",VLOOKUP(A184,EHD[],19,FALSE))</f>
        <v/>
      </c>
      <c r="I184" s="143" t="str">
        <f>IF(VLOOKUP(A184,EHD[],13,FALSE)=0,"",VLOOKUP(A184,EHD[],13,FALSE))</f>
        <v/>
      </c>
      <c r="J184" s="143" t="str">
        <f>IF(ISBLANK(VLOOKUP(A184,EHD[],14,FALSE)),"",VLOOKUP(A184,EHD[],14,FALSE))</f>
        <v/>
      </c>
      <c r="K184" s="151">
        <f>VLOOKUP(A184,EHD[],15,FALSE)</f>
        <v>0</v>
      </c>
      <c r="L184" s="151">
        <f ca="1">VLOOKUP(A184,EHD[],16,FALSE)</f>
        <v>52421.28667500001</v>
      </c>
      <c r="M184" s="143"/>
      <c r="N184" s="143" t="str">
        <f>IF(ISBLANK(VLOOKUP(A184,EHD[],20,FALSE)),"",VLOOKUP(A184,EHD[],20,FALSE))</f>
        <v/>
      </c>
      <c r="O184" s="152"/>
    </row>
    <row r="185" spans="1:15">
      <c r="A185" s="147" t="s">
        <v>207</v>
      </c>
      <c r="B185" s="144" t="str">
        <f>VLOOKUP(A185,Data[],2,FALSE)</f>
        <v>BROOKLYN</v>
      </c>
      <c r="C185" s="144" t="s">
        <v>27</v>
      </c>
      <c r="D185" s="9" t="str">
        <f>VLOOKUP(A185,Data[],52,FALSE)</f>
        <v>FEDERAL</v>
      </c>
      <c r="E185" s="9" t="str">
        <f ca="1">VLOOKUP(A185,Data[],4,FALSE)</f>
        <v/>
      </c>
      <c r="F185" s="9">
        <f>VLOOKUP(EHDAll[[#This Row],[DEVELOPMENT]],EHD[],7,FALSE)</f>
        <v>45</v>
      </c>
      <c r="G185" s="9">
        <f>VLOOKUP(EHDAll[[#This Row],[DEVELOPMENT]],Data[],67,FALSE)</f>
        <v>43627</v>
      </c>
      <c r="H185" s="143" t="str">
        <f>IF(EHDAll[[#This Row],[STATUS]]="","",VLOOKUP(A185,EHD[],19,FALSE))</f>
        <v/>
      </c>
      <c r="I185" s="143" t="str">
        <f>IF(VLOOKUP(A185,EHD[],13,FALSE)=0,"",VLOOKUP(A185,EHD[],13,FALSE))</f>
        <v/>
      </c>
      <c r="J185" s="143" t="str">
        <f>IF(ISBLANK(VLOOKUP(A185,EHD[],14,FALSE)),"",VLOOKUP(A185,EHD[],14,FALSE))</f>
        <v/>
      </c>
      <c r="K185" s="151">
        <f>VLOOKUP(A185,EHD[],15,FALSE)</f>
        <v>0</v>
      </c>
      <c r="L185" s="151">
        <f ca="1">VLOOKUP(A185,EHD[],16,FALSE)</f>
        <v>358026.23452500004</v>
      </c>
      <c r="M185" s="143"/>
      <c r="N185" s="143" t="str">
        <f>IF(ISBLANK(VLOOKUP(A185,EHD[],20,FALSE)),"",VLOOKUP(A185,EHD[],20,FALSE))</f>
        <v/>
      </c>
      <c r="O185" s="152"/>
    </row>
    <row r="186" spans="1:15">
      <c r="A186" s="147" t="s">
        <v>337</v>
      </c>
      <c r="B186" s="144" t="str">
        <f>VLOOKUP(A186,Data[],2,FALSE)</f>
        <v>MANHATTAN</v>
      </c>
      <c r="C186" s="144" t="s">
        <v>27</v>
      </c>
      <c r="D186" s="9" t="str">
        <f>VLOOKUP(A186,Data[],52,FALSE)</f>
        <v>FEDERAL</v>
      </c>
      <c r="E186" s="9" t="str">
        <f ca="1">VLOOKUP(A186,Data[],4,FALSE)</f>
        <v/>
      </c>
      <c r="F186" s="9">
        <f>VLOOKUP(EHDAll[[#This Row],[DEVELOPMENT]],EHD[],7,FALSE)</f>
        <v>3</v>
      </c>
      <c r="G186" s="9">
        <f>VLOOKUP(EHDAll[[#This Row],[DEVELOPMENT]],Data[],67,FALSE)</f>
        <v>24</v>
      </c>
      <c r="H186" s="143" t="str">
        <f>IF(EHDAll[[#This Row],[STATUS]]="","",VLOOKUP(A186,EHD[],19,FALSE))</f>
        <v/>
      </c>
      <c r="I186" s="143" t="str">
        <f>IF(VLOOKUP(A186,EHD[],13,FALSE)=0,"",VLOOKUP(A186,EHD[],13,FALSE))</f>
        <v/>
      </c>
      <c r="J186" s="143" t="str">
        <f>IF(ISBLANK(VLOOKUP(A186,EHD[],14,FALSE)),"",VLOOKUP(A186,EHD[],14,FALSE))</f>
        <v/>
      </c>
      <c r="K186" s="151">
        <f>VLOOKUP(A186,EHD[],15,FALSE)</f>
        <v>0</v>
      </c>
      <c r="L186" s="151">
        <f ca="1">VLOOKUP(A186,EHD[],16,FALSE)</f>
        <v>26210.643337500005</v>
      </c>
      <c r="M186" s="143"/>
      <c r="N186" s="143" t="str">
        <f>IF(ISBLANK(VLOOKUP(A186,EHD[],20,FALSE)),"",VLOOKUP(A186,EHD[],20,FALSE))</f>
        <v/>
      </c>
      <c r="O186" s="152"/>
    </row>
    <row r="187" spans="1:15">
      <c r="A187" s="147" t="s">
        <v>112</v>
      </c>
      <c r="B187" s="144" t="str">
        <f>VLOOKUP(A187,Data[],2,FALSE)</f>
        <v>MANHATTAN</v>
      </c>
      <c r="C187" s="144" t="s">
        <v>27</v>
      </c>
      <c r="D187" s="9" t="str">
        <f>VLOOKUP(A187,Data[],52,FALSE)</f>
        <v>FEDERAL</v>
      </c>
      <c r="E187" s="9" t="str">
        <f ca="1">VLOOKUP(A187,Data[],4,FALSE)</f>
        <v>2026+</v>
      </c>
      <c r="F187" s="9">
        <f>VLOOKUP(EHDAll[[#This Row],[DEVELOPMENT]],EHD[],7,FALSE)</f>
        <v>34</v>
      </c>
      <c r="G187" s="9">
        <f>VLOOKUP(EHDAll[[#This Row],[DEVELOPMENT]],Data[],67,FALSE)</f>
        <v>41833</v>
      </c>
      <c r="H187" s="143" t="str">
        <f>IF(EHDAll[[#This Row],[STATUS]]="","",VLOOKUP(A187,EHD[],19,FALSE))</f>
        <v/>
      </c>
      <c r="I187" s="143" t="str">
        <f>IF(VLOOKUP(A187,EHD[],13,FALSE)=0,"",VLOOKUP(A187,EHD[],13,FALSE))</f>
        <v/>
      </c>
      <c r="J187" s="143" t="str">
        <f>IF(ISBLANK(VLOOKUP(A187,EHD[],14,FALSE)),"",VLOOKUP(A187,EHD[],14,FALSE))</f>
        <v/>
      </c>
      <c r="K187" s="151">
        <f>VLOOKUP(A187,EHD[],15,FALSE)</f>
        <v>0</v>
      </c>
      <c r="L187" s="151">
        <f ca="1">VLOOKUP(A187,EHD[],16,FALSE)</f>
        <v>261660.294765</v>
      </c>
      <c r="M187" s="143"/>
      <c r="N187" s="143" t="str">
        <f>IF(ISBLANK(VLOOKUP(A187,EHD[],20,FALSE)),"",VLOOKUP(A187,EHD[],20,FALSE))</f>
        <v/>
      </c>
      <c r="O187" s="152"/>
    </row>
    <row r="188" spans="1:15">
      <c r="A188" s="147" t="s">
        <v>83</v>
      </c>
      <c r="B188" s="144" t="str">
        <f>VLOOKUP(A188,Data[],2,FALSE)</f>
        <v>MANHATTAN</v>
      </c>
      <c r="C188" s="144" t="s">
        <v>27</v>
      </c>
      <c r="D188" s="9" t="str">
        <f>VLOOKUP(A188,Data[],52,FALSE)</f>
        <v>FEDERAL</v>
      </c>
      <c r="E188" s="9" t="str">
        <f ca="1">VLOOKUP(A188,Data[],4,FALSE)</f>
        <v>2026+</v>
      </c>
      <c r="F188" s="9">
        <f>VLOOKUP(EHDAll[[#This Row],[DEVELOPMENT]],EHD[],7,FALSE)</f>
        <v>17</v>
      </c>
      <c r="G188" s="9">
        <f>VLOOKUP(EHDAll[[#This Row],[DEVELOPMENT]],Data[],67,FALSE)</f>
        <v>14</v>
      </c>
      <c r="H188" s="143" t="str">
        <f>IF(EHDAll[[#This Row],[STATUS]]="","",VLOOKUP(A188,EHD[],19,FALSE))</f>
        <v/>
      </c>
      <c r="I188" s="143" t="str">
        <f>IF(VLOOKUP(A188,EHD[],13,FALSE)=0,"",VLOOKUP(A188,EHD[],13,FALSE))</f>
        <v/>
      </c>
      <c r="J188" s="143" t="str">
        <f>IF(ISBLANK(VLOOKUP(A188,EHD[],14,FALSE)),"",VLOOKUP(A188,EHD[],14,FALSE))</f>
        <v/>
      </c>
      <c r="K188" s="151">
        <f>VLOOKUP(A188,EHD[],15,FALSE)</f>
        <v>0</v>
      </c>
      <c r="L188" s="151">
        <f ca="1">VLOOKUP(A188,EHD[],16,FALSE)</f>
        <v>126405.93950000001</v>
      </c>
      <c r="M188" s="143"/>
      <c r="N188" s="143" t="str">
        <f>IF(ISBLANK(VLOOKUP(A188,EHD[],20,FALSE)),"",VLOOKUP(A188,EHD[],20,FALSE))</f>
        <v/>
      </c>
      <c r="O188" s="152"/>
    </row>
    <row r="189" spans="1:15">
      <c r="A189" s="147" t="s">
        <v>131</v>
      </c>
      <c r="B189" s="144" t="str">
        <f>VLOOKUP(A189,Data[],2,FALSE)</f>
        <v>MANHATTAN</v>
      </c>
      <c r="C189" s="144" t="s">
        <v>27</v>
      </c>
      <c r="D189" s="9" t="str">
        <f>VLOOKUP(A189,Data[],52,FALSE)</f>
        <v>FEDERAL</v>
      </c>
      <c r="E189" s="9" t="str">
        <f ca="1">VLOOKUP(A189,Data[],4,FALSE)</f>
        <v/>
      </c>
      <c r="F189" s="9">
        <f>VLOOKUP(EHDAll[[#This Row],[DEVELOPMENT]],EHD[],7,FALSE)</f>
        <v>10</v>
      </c>
      <c r="G189" s="9" t="str">
        <f>VLOOKUP(EHDAll[[#This Row],[DEVELOPMENT]],Data[],67,FALSE)</f>
        <v>13-14</v>
      </c>
      <c r="H189" s="143" t="str">
        <f>IF(EHDAll[[#This Row],[STATUS]]="","",VLOOKUP(A189,EHD[],19,FALSE))</f>
        <v/>
      </c>
      <c r="I189" s="143" t="str">
        <f>IF(VLOOKUP(A189,EHD[],13,FALSE)=0,"",VLOOKUP(A189,EHD[],13,FALSE))</f>
        <v/>
      </c>
      <c r="J189" s="143" t="str">
        <f>IF(ISBLANK(VLOOKUP(A189,EHD[],14,FALSE)),"",VLOOKUP(A189,EHD[],14,FALSE))</f>
        <v/>
      </c>
      <c r="K189" s="151">
        <f>VLOOKUP(A189,EHD[],15,FALSE)</f>
        <v>0</v>
      </c>
      <c r="L189" s="151">
        <f ca="1">VLOOKUP(A189,EHD[],16,FALSE)</f>
        <v>74356.434999999998</v>
      </c>
      <c r="M189" s="143"/>
      <c r="N189" s="143" t="str">
        <f>IF(ISBLANK(VLOOKUP(A189,EHD[],20,FALSE)),"",VLOOKUP(A189,EHD[],20,FALSE))</f>
        <v/>
      </c>
      <c r="O189" s="152"/>
    </row>
    <row r="190" spans="1:15">
      <c r="A190" s="147" t="s">
        <v>84</v>
      </c>
      <c r="B190" s="144" t="str">
        <f>VLOOKUP(A190,Data[],2,FALSE)</f>
        <v>BROOKLYN</v>
      </c>
      <c r="C190" s="144" t="s">
        <v>27</v>
      </c>
      <c r="D190" s="9" t="str">
        <f>VLOOKUP(A190,Data[],52,FALSE)</f>
        <v>FEDERAL</v>
      </c>
      <c r="E190" s="9" t="str">
        <f ca="1">VLOOKUP(A190,Data[],4,FALSE)</f>
        <v/>
      </c>
      <c r="F190" s="9">
        <f>VLOOKUP(EHDAll[[#This Row],[DEVELOPMENT]],EHD[],7,FALSE)</f>
        <v>35</v>
      </c>
      <c r="G190" s="9">
        <f>VLOOKUP(EHDAll[[#This Row],[DEVELOPMENT]],Data[],67,FALSE)</f>
        <v>6</v>
      </c>
      <c r="H190" s="143" t="str">
        <f>IF(EHDAll[[#This Row],[STATUS]]="","",VLOOKUP(A190,EHD[],19,FALSE))</f>
        <v/>
      </c>
      <c r="I190" s="143" t="str">
        <f>IF(VLOOKUP(A190,EHD[],13,FALSE)=0,"",VLOOKUP(A190,EHD[],13,FALSE))</f>
        <v/>
      </c>
      <c r="J190" s="143" t="str">
        <f>IF(ISBLANK(VLOOKUP(A190,EHD[],14,FALSE)),"",VLOOKUP(A190,EHD[],14,FALSE))</f>
        <v/>
      </c>
      <c r="K190" s="151">
        <f>VLOOKUP(A190,EHD[],15,FALSE)</f>
        <v>0</v>
      </c>
      <c r="L190" s="151">
        <f ca="1">VLOOKUP(A190,EHD[],16,FALSE)</f>
        <v>269356.1857875</v>
      </c>
      <c r="M190" s="143"/>
      <c r="N190" s="143" t="str">
        <f>IF(ISBLANK(VLOOKUP(A190,EHD[],20,FALSE)),"",VLOOKUP(A190,EHD[],20,FALSE))</f>
        <v/>
      </c>
      <c r="O190" s="152"/>
    </row>
    <row r="191" spans="1:15">
      <c r="A191" s="147" t="s">
        <v>338</v>
      </c>
      <c r="B191" s="144" t="str">
        <f>VLOOKUP(A191,Data[],2,FALSE)</f>
        <v>QUEENS</v>
      </c>
      <c r="C191" s="144" t="s">
        <v>27</v>
      </c>
      <c r="D191" s="9" t="str">
        <f>VLOOKUP(A191,Data[],52,FALSE)</f>
        <v>FEDERAL</v>
      </c>
      <c r="E191" s="9" t="str">
        <f ca="1">VLOOKUP(A191,Data[],4,FALSE)</f>
        <v/>
      </c>
      <c r="F191" s="9">
        <f>VLOOKUP(EHDAll[[#This Row],[DEVELOPMENT]],EHD[],7,FALSE)</f>
        <v>4</v>
      </c>
      <c r="G191" s="9">
        <f>VLOOKUP(EHDAll[[#This Row],[DEVELOPMENT]],Data[],67,FALSE)</f>
        <v>10</v>
      </c>
      <c r="H191" s="143" t="str">
        <f>IF(EHDAll[[#This Row],[STATUS]]="","",VLOOKUP(A191,EHD[],19,FALSE))</f>
        <v/>
      </c>
      <c r="I191" s="143" t="str">
        <f>IF(VLOOKUP(A191,EHD[],13,FALSE)=0,"",VLOOKUP(A191,EHD[],13,FALSE))</f>
        <v/>
      </c>
      <c r="J191" s="143" t="str">
        <f>IF(ISBLANK(VLOOKUP(A191,EHD[],14,FALSE)),"",VLOOKUP(A191,EHD[],14,FALSE))</f>
        <v/>
      </c>
      <c r="K191" s="151">
        <f>VLOOKUP(A191,EHD[],15,FALSE)</f>
        <v>0</v>
      </c>
      <c r="L191" s="151">
        <f ca="1">VLOOKUP(A191,EHD[],16,FALSE)</f>
        <v>34947.524450000004</v>
      </c>
      <c r="M191" s="143"/>
      <c r="N191" s="143" t="str">
        <f>IF(ISBLANK(VLOOKUP(A191,EHD[],20,FALSE)),"",VLOOKUP(A191,EHD[],20,FALSE))</f>
        <v/>
      </c>
      <c r="O191" s="152"/>
    </row>
    <row r="192" spans="1:15">
      <c r="A192" s="147" t="s">
        <v>339</v>
      </c>
      <c r="B192" s="144" t="str">
        <f>VLOOKUP(A192,Data[],2,FALSE)</f>
        <v>QUEENS</v>
      </c>
      <c r="C192" s="144" t="s">
        <v>27</v>
      </c>
      <c r="D192" s="9" t="str">
        <f>VLOOKUP(A192,Data[],52,FALSE)</f>
        <v>FEDERAL</v>
      </c>
      <c r="E192" s="9" t="str">
        <f ca="1">VLOOKUP(A192,Data[],4,FALSE)</f>
        <v/>
      </c>
      <c r="F192" s="9">
        <f>VLOOKUP(EHDAll[[#This Row],[DEVELOPMENT]],EHD[],7,FALSE)</f>
        <v>1</v>
      </c>
      <c r="G192" s="9">
        <f>VLOOKUP(EHDAll[[#This Row],[DEVELOPMENT]],Data[],67,FALSE)</f>
        <v>6</v>
      </c>
      <c r="H192" s="143" t="str">
        <f>IF(EHDAll[[#This Row],[STATUS]]="","",VLOOKUP(A192,EHD[],19,FALSE))</f>
        <v/>
      </c>
      <c r="I192" s="143" t="str">
        <f>IF(VLOOKUP(A192,EHD[],13,FALSE)=0,"",VLOOKUP(A192,EHD[],13,FALSE))</f>
        <v/>
      </c>
      <c r="J192" s="143" t="str">
        <f>IF(ISBLANK(VLOOKUP(A192,EHD[],14,FALSE)),"",VLOOKUP(A192,EHD[],14,FALSE))</f>
        <v/>
      </c>
      <c r="K192" s="151">
        <f>VLOOKUP(A192,EHD[],15,FALSE)</f>
        <v>0</v>
      </c>
      <c r="L192" s="151">
        <f ca="1">VLOOKUP(A192,EHD[],16,FALSE)</f>
        <v>8736.8811125000011</v>
      </c>
      <c r="M192" s="143"/>
      <c r="N192" s="143" t="str">
        <f>IF(ISBLANK(VLOOKUP(A192,EHD[],20,FALSE)),"",VLOOKUP(A192,EHD[],20,FALSE))</f>
        <v/>
      </c>
      <c r="O192" s="152"/>
    </row>
    <row r="193" spans="1:15">
      <c r="A193" s="147" t="s">
        <v>146</v>
      </c>
      <c r="B193" s="144" t="str">
        <f>VLOOKUP(A193,Data[],2,FALSE)</f>
        <v>MANHATTAN</v>
      </c>
      <c r="C193" s="144" t="s">
        <v>27</v>
      </c>
      <c r="D193" s="9" t="str">
        <f>VLOOKUP(A193,Data[],52,FALSE)</f>
        <v>FEDERAL</v>
      </c>
      <c r="E193" s="9" t="str">
        <f ca="1">VLOOKUP(A193,Data[],4,FALSE)</f>
        <v/>
      </c>
      <c r="F193" s="9">
        <f>VLOOKUP(EHDAll[[#This Row],[DEVELOPMENT]],EHD[],7,FALSE)</f>
        <v>4</v>
      </c>
      <c r="G193" s="9">
        <f>VLOOKUP(EHDAll[[#This Row],[DEVELOPMENT]],Data[],67,FALSE)</f>
        <v>20</v>
      </c>
      <c r="H193" s="143" t="str">
        <f>IF(EHDAll[[#This Row],[STATUS]]="","",VLOOKUP(A193,EHD[],19,FALSE))</f>
        <v/>
      </c>
      <c r="I193" s="143" t="str">
        <f>IF(VLOOKUP(A193,EHD[],13,FALSE)=0,"",VLOOKUP(A193,EHD[],13,FALSE))</f>
        <v/>
      </c>
      <c r="J193" s="143" t="str">
        <f>IF(ISBLANK(VLOOKUP(A193,EHD[],14,FALSE)),"",VLOOKUP(A193,EHD[],14,FALSE))</f>
        <v/>
      </c>
      <c r="K193" s="151">
        <f>VLOOKUP(A193,EHD[],15,FALSE)</f>
        <v>0</v>
      </c>
      <c r="L193" s="151">
        <f ca="1">VLOOKUP(A193,EHD[],16,FALSE)</f>
        <v>33906.534360000005</v>
      </c>
      <c r="M193" s="143"/>
      <c r="N193" s="143" t="str">
        <f>IF(ISBLANK(VLOOKUP(A193,EHD[],20,FALSE)),"",VLOOKUP(A193,EHD[],20,FALSE))</f>
        <v/>
      </c>
      <c r="O193" s="152"/>
    </row>
    <row r="194" spans="1:15">
      <c r="A194" s="147" t="s">
        <v>340</v>
      </c>
      <c r="B194" s="144" t="str">
        <f>VLOOKUP(A194,Data[],2,FALSE)</f>
        <v>BROOKLYN</v>
      </c>
      <c r="C194" s="144" t="s">
        <v>27</v>
      </c>
      <c r="D194" s="9" t="str">
        <f>VLOOKUP(A194,Data[],52,FALSE)</f>
        <v>FEDERAL</v>
      </c>
      <c r="E194" s="9" t="str">
        <f ca="1">VLOOKUP(A194,Data[],4,FALSE)</f>
        <v>2020-2021</v>
      </c>
      <c r="F194" s="9">
        <f>VLOOKUP(EHDAll[[#This Row],[DEVELOPMENT]],EHD[],7,FALSE)</f>
        <v>3</v>
      </c>
      <c r="G194" s="9">
        <f>VLOOKUP(EHDAll[[#This Row],[DEVELOPMENT]],Data[],67,FALSE)</f>
        <v>4</v>
      </c>
      <c r="H194" s="143" t="str">
        <f>IF(EHDAll[[#This Row],[STATUS]]="","",VLOOKUP(A194,EHD[],19,FALSE))</f>
        <v/>
      </c>
      <c r="I194" s="143" t="str">
        <f>IF(VLOOKUP(A194,EHD[],13,FALSE)=0,"",VLOOKUP(A194,EHD[],13,FALSE))</f>
        <v/>
      </c>
      <c r="J194" s="143" t="str">
        <f>IF(ISBLANK(VLOOKUP(A194,EHD[],14,FALSE)),"",VLOOKUP(A194,EHD[],14,FALSE))</f>
        <v/>
      </c>
      <c r="K194" s="151">
        <f>VLOOKUP(A194,EHD[],15,FALSE)</f>
        <v>0</v>
      </c>
      <c r="L194" s="151">
        <f ca="1">VLOOKUP(A194,EHD[],16,FALSE)</f>
        <v>26210.643337500005</v>
      </c>
      <c r="M194" s="143"/>
      <c r="N194" s="143" t="str">
        <f>IF(ISBLANK(VLOOKUP(A194,EHD[],20,FALSE)),"",VLOOKUP(A194,EHD[],20,FALSE))</f>
        <v/>
      </c>
      <c r="O194" s="152"/>
    </row>
    <row r="195" spans="1:15">
      <c r="A195" s="147" t="s">
        <v>125</v>
      </c>
      <c r="B195" s="144" t="str">
        <f>VLOOKUP(A195,Data[],2,FALSE)</f>
        <v>MANHATTAN</v>
      </c>
      <c r="C195" s="144" t="s">
        <v>27</v>
      </c>
      <c r="D195" s="9" t="str">
        <f>VLOOKUP(A195,Data[],52,FALSE)</f>
        <v>FEDERAL</v>
      </c>
      <c r="E195" s="9" t="str">
        <f ca="1">VLOOKUP(A195,Data[],4,FALSE)</f>
        <v>2022-2025</v>
      </c>
      <c r="F195" s="9">
        <f>VLOOKUP(EHDAll[[#This Row],[DEVELOPMENT]],EHD[],7,FALSE)</f>
        <v>4</v>
      </c>
      <c r="G195" s="9">
        <f>VLOOKUP(EHDAll[[#This Row],[DEVELOPMENT]],Data[],67,FALSE)</f>
        <v>14</v>
      </c>
      <c r="H195" s="143" t="str">
        <f>IF(EHDAll[[#This Row],[STATUS]]="","",VLOOKUP(A195,EHD[],19,FALSE))</f>
        <v/>
      </c>
      <c r="I195" s="143" t="str">
        <f>IF(VLOOKUP(A195,EHD[],13,FALSE)=0,"",VLOOKUP(A195,EHD[],13,FALSE))</f>
        <v/>
      </c>
      <c r="J195" s="143" t="str">
        <f>IF(ISBLANK(VLOOKUP(A195,EHD[],14,FALSE)),"",VLOOKUP(A195,EHD[],14,FALSE))</f>
        <v/>
      </c>
      <c r="K195" s="151">
        <f>VLOOKUP(A195,EHD[],15,FALSE)</f>
        <v>0</v>
      </c>
      <c r="L195" s="151">
        <f ca="1">VLOOKUP(A195,EHD[],16,FALSE)</f>
        <v>30783.56409</v>
      </c>
      <c r="M195" s="143"/>
      <c r="N195" s="143" t="str">
        <f>IF(ISBLANK(VLOOKUP(A195,EHD[],20,FALSE)),"",VLOOKUP(A195,EHD[],20,FALSE))</f>
        <v/>
      </c>
      <c r="O195" s="152"/>
    </row>
    <row r="196" spans="1:15">
      <c r="A196" s="147" t="s">
        <v>113</v>
      </c>
      <c r="B196" s="144" t="str">
        <f>VLOOKUP(A196,Data[],2,FALSE)</f>
        <v>MANHATTAN</v>
      </c>
      <c r="C196" s="144" t="s">
        <v>27</v>
      </c>
      <c r="D196" s="9" t="str">
        <f>VLOOKUP(A196,Data[],52,FALSE)</f>
        <v>FEDERAL</v>
      </c>
      <c r="E196" s="9" t="str">
        <f ca="1">VLOOKUP(A196,Data[],4,FALSE)</f>
        <v>2026+</v>
      </c>
      <c r="F196" s="9">
        <f>VLOOKUP(EHDAll[[#This Row],[DEVELOPMENT]],EHD[],7,FALSE)</f>
        <v>20</v>
      </c>
      <c r="G196" s="9">
        <f>VLOOKUP(EHDAll[[#This Row],[DEVELOPMENT]],Data[],67,FALSE)</f>
        <v>43630</v>
      </c>
      <c r="H196" s="143" t="str">
        <f>IF(EHDAll[[#This Row],[STATUS]]="","",VLOOKUP(A196,EHD[],19,FALSE))</f>
        <v/>
      </c>
      <c r="I196" s="143" t="str">
        <f>IF(VLOOKUP(A196,EHD[],13,FALSE)=0,"",VLOOKUP(A196,EHD[],13,FALSE))</f>
        <v/>
      </c>
      <c r="J196" s="143" t="str">
        <f>IF(ISBLANK(VLOOKUP(A196,EHD[],14,FALSE)),"",VLOOKUP(A196,EHD[],14,FALSE))</f>
        <v/>
      </c>
      <c r="K196" s="151">
        <f>VLOOKUP(A196,EHD[],15,FALSE)</f>
        <v>0</v>
      </c>
      <c r="L196" s="151">
        <f ca="1">VLOOKUP(A196,EHD[],16,FALSE)</f>
        <v>148712.87</v>
      </c>
      <c r="M196" s="143"/>
      <c r="N196" s="143" t="str">
        <f>IF(ISBLANK(VLOOKUP(A196,EHD[],20,FALSE)),"",VLOOKUP(A196,EHD[],20,FALSE))</f>
        <v/>
      </c>
      <c r="O196" s="152"/>
    </row>
    <row r="197" spans="1:15">
      <c r="A197" s="147" t="s">
        <v>341</v>
      </c>
      <c r="B197" s="144" t="str">
        <f>VLOOKUP(A197,Data[],2,FALSE)</f>
        <v>BROOKLYN</v>
      </c>
      <c r="C197" s="144" t="s">
        <v>27</v>
      </c>
      <c r="D197" s="9" t="str">
        <f>VLOOKUP(A197,Data[],52,FALSE)</f>
        <v>MIXED FINANCE/LLC2</v>
      </c>
      <c r="E197" s="9" t="str">
        <f ca="1">VLOOKUP(A197,Data[],4,FALSE)</f>
        <v>2020-2021</v>
      </c>
      <c r="F197" s="9">
        <f>VLOOKUP(EHDAll[[#This Row],[DEVELOPMENT]],EHD[],7,FALSE)</f>
        <v>19</v>
      </c>
      <c r="G197" s="9">
        <f>VLOOKUP(EHDAll[[#This Row],[DEVELOPMENT]],Data[],67,FALSE)</f>
        <v>43691</v>
      </c>
      <c r="H197" s="143" t="str">
        <f>IF(EHDAll[[#This Row],[STATUS]]="","",VLOOKUP(A197,EHD[],19,FALSE))</f>
        <v/>
      </c>
      <c r="I197" s="143" t="str">
        <f>IF(VLOOKUP(A197,EHD[],13,FALSE)=0,"",VLOOKUP(A197,EHD[],13,FALSE))</f>
        <v/>
      </c>
      <c r="J197" s="143" t="str">
        <f>IF(ISBLANK(VLOOKUP(A197,EHD[],14,FALSE)),"",VLOOKUP(A197,EHD[],14,FALSE))</f>
        <v/>
      </c>
      <c r="K197" s="151">
        <f>VLOOKUP(A197,EHD[],15,FALSE)</f>
        <v>0</v>
      </c>
      <c r="L197" s="151">
        <f ca="1">VLOOKUP(A197,EHD[],16,FALSE)</f>
        <v>166000.74113750001</v>
      </c>
      <c r="M197" s="143"/>
      <c r="N197" s="143" t="str">
        <f>IF(ISBLANK(VLOOKUP(A197,EHD[],20,FALSE)),"",VLOOKUP(A197,EHD[],20,FALSE))</f>
        <v/>
      </c>
      <c r="O197" s="152"/>
    </row>
    <row r="198" spans="1:15">
      <c r="A198" s="147" t="s">
        <v>208</v>
      </c>
      <c r="B198" s="144" t="str">
        <f>VLOOKUP(A198,Data[],2,FALSE)</f>
        <v>BROOKLYN</v>
      </c>
      <c r="C198" s="144" t="s">
        <v>27</v>
      </c>
      <c r="D198" s="9" t="str">
        <f>VLOOKUP(A198,Data[],52,FALSE)</f>
        <v>FEDERAL</v>
      </c>
      <c r="E198" s="9" t="str">
        <f ca="1">VLOOKUP(A198,Data[],4,FALSE)</f>
        <v>2026+</v>
      </c>
      <c r="F198" s="9">
        <f>VLOOKUP(EHDAll[[#This Row],[DEVELOPMENT]],EHD[],7,FALSE)</f>
        <v>4</v>
      </c>
      <c r="G198" s="9">
        <f>VLOOKUP(EHDAll[[#This Row],[DEVELOPMENT]],Data[],67,FALSE)</f>
        <v>6</v>
      </c>
      <c r="H198" s="143" t="str">
        <f>IF(EHDAll[[#This Row],[STATUS]]="","",VLOOKUP(A198,EHD[],19,FALSE))</f>
        <v/>
      </c>
      <c r="I198" s="143" t="str">
        <f>IF(VLOOKUP(A198,EHD[],13,FALSE)=0,"",VLOOKUP(A198,EHD[],13,FALSE))</f>
        <v/>
      </c>
      <c r="J198" s="143" t="str">
        <f>IF(ISBLANK(VLOOKUP(A198,EHD[],14,FALSE)),"",VLOOKUP(A198,EHD[],14,FALSE))</f>
        <v/>
      </c>
      <c r="K198" s="151">
        <f>VLOOKUP(A198,EHD[],15,FALSE)</f>
        <v>0</v>
      </c>
      <c r="L198" s="151">
        <f ca="1">VLOOKUP(A198,EHD[],16,FALSE)</f>
        <v>32865.544269999999</v>
      </c>
      <c r="M198" s="143"/>
      <c r="N198" s="143" t="str">
        <f>IF(ISBLANK(VLOOKUP(A198,EHD[],20,FALSE)),"",VLOOKUP(A198,EHD[],20,FALSE))</f>
        <v/>
      </c>
      <c r="O198" s="152"/>
    </row>
    <row r="199" spans="1:15">
      <c r="A199" s="147" t="s">
        <v>287</v>
      </c>
      <c r="B199" s="144" t="str">
        <f>VLOOKUP(A199,Data[],2,FALSE)</f>
        <v>BRONX</v>
      </c>
      <c r="C199" s="144" t="s">
        <v>27</v>
      </c>
      <c r="D199" s="9" t="str">
        <f>VLOOKUP(A199,Data[],52,FALSE)</f>
        <v>FEDERAL</v>
      </c>
      <c r="E199" s="9" t="str">
        <f ca="1">VLOOKUP(A199,Data[],4,FALSE)</f>
        <v/>
      </c>
      <c r="F199" s="9">
        <f>VLOOKUP(EHDAll[[#This Row],[DEVELOPMENT]],EHD[],7,FALSE)</f>
        <v>5</v>
      </c>
      <c r="G199" s="9">
        <f>VLOOKUP(EHDAll[[#This Row],[DEVELOPMENT]],Data[],67,FALSE)</f>
        <v>5</v>
      </c>
      <c r="H199" s="143" t="str">
        <f>IF(EHDAll[[#This Row],[STATUS]]="","",VLOOKUP(A199,EHD[],19,FALSE))</f>
        <v/>
      </c>
      <c r="I199" s="143" t="str">
        <f>IF(VLOOKUP(A199,EHD[],13,FALSE)=0,"",VLOOKUP(A199,EHD[],13,FALSE))</f>
        <v/>
      </c>
      <c r="J199" s="143" t="str">
        <f>IF(ISBLANK(VLOOKUP(A199,EHD[],14,FALSE)),"",VLOOKUP(A199,EHD[],14,FALSE))</f>
        <v/>
      </c>
      <c r="K199" s="151">
        <f>VLOOKUP(A199,EHD[],15,FALSE)</f>
        <v>0</v>
      </c>
      <c r="L199" s="151">
        <f ca="1">VLOOKUP(A199,EHD[],16,FALSE)</f>
        <v>42383.167950000003</v>
      </c>
      <c r="M199" s="143"/>
      <c r="N199" s="143" t="str">
        <f>IF(ISBLANK(VLOOKUP(A199,EHD[],20,FALSE)),"",VLOOKUP(A199,EHD[],20,FALSE))</f>
        <v/>
      </c>
      <c r="O199" s="152"/>
    </row>
    <row r="200" spans="1:15">
      <c r="A200" s="147" t="s">
        <v>192</v>
      </c>
      <c r="B200" s="144" t="str">
        <f>VLOOKUP(A200,Data[],2,FALSE)</f>
        <v>BROOKLYN</v>
      </c>
      <c r="C200" s="144" t="s">
        <v>27</v>
      </c>
      <c r="D200" s="9" t="str">
        <f>VLOOKUP(A200,Data[],52,FALSE)</f>
        <v>FEDERAL</v>
      </c>
      <c r="E200" s="9" t="str">
        <f ca="1">VLOOKUP(A200,Data[],4,FALSE)</f>
        <v/>
      </c>
      <c r="F200" s="9">
        <f>VLOOKUP(EHDAll[[#This Row],[DEVELOPMENT]],EHD[],7,FALSE)</f>
        <v>4</v>
      </c>
      <c r="G200" s="9" t="str">
        <f>VLOOKUP(EHDAll[[#This Row],[DEVELOPMENT]],Data[],67,FALSE)</f>
        <v>17-18</v>
      </c>
      <c r="H200" s="143" t="str">
        <f>IF(EHDAll[[#This Row],[STATUS]]="","",VLOOKUP(A200,EHD[],19,FALSE))</f>
        <v/>
      </c>
      <c r="I200" s="143" t="str">
        <f>IF(VLOOKUP(A200,EHD[],13,FALSE)=0,"",VLOOKUP(A200,EHD[],13,FALSE))</f>
        <v/>
      </c>
      <c r="J200" s="143" t="str">
        <f>IF(ISBLANK(VLOOKUP(A200,EHD[],14,FALSE)),"",VLOOKUP(A200,EHD[],14,FALSE))</f>
        <v/>
      </c>
      <c r="K200" s="151">
        <f>VLOOKUP(A200,EHD[],15,FALSE)</f>
        <v>0</v>
      </c>
      <c r="L200" s="151">
        <f ca="1">VLOOKUP(A200,EHD[],16,FALSE)</f>
        <v>31824.554180000003</v>
      </c>
      <c r="M200" s="143"/>
      <c r="N200" s="143" t="str">
        <f>IF(ISBLANK(VLOOKUP(A200,EHD[],20,FALSE)),"",VLOOKUP(A200,EHD[],20,FALSE))</f>
        <v/>
      </c>
      <c r="O200" s="152"/>
    </row>
    <row r="201" spans="1:15">
      <c r="A201" s="148" t="s">
        <v>247</v>
      </c>
      <c r="B201" s="144" t="str">
        <f>VLOOKUP(A201,Data[],2,FALSE)</f>
        <v>MANHATTAN</v>
      </c>
      <c r="C201" s="144" t="s">
        <v>27</v>
      </c>
      <c r="D201" s="9" t="str">
        <f>VLOOKUP(A201,Data[],52,FALSE)</f>
        <v>FEDERAL</v>
      </c>
      <c r="E201" s="9" t="str">
        <f ca="1">VLOOKUP(A201,Data[],4,FALSE)</f>
        <v/>
      </c>
      <c r="F201" s="9">
        <f>VLOOKUP(EHDAll[[#This Row],[DEVELOPMENT]],EHD[],7,FALSE)</f>
        <v>0</v>
      </c>
      <c r="G201" s="9">
        <f>VLOOKUP(EHDAll[[#This Row],[DEVELOPMENT]],Data[],67,FALSE)</f>
        <v>4</v>
      </c>
      <c r="H201" s="143" t="str">
        <f>IF(EHDAll[[#This Row],[STATUS]]="","",VLOOKUP(A201,EHD[],19,FALSE))</f>
        <v/>
      </c>
      <c r="I201" s="143" t="str">
        <f>IF(VLOOKUP(A201,EHD[],13,FALSE)=0,"",VLOOKUP(A201,EHD[],13,FALSE))</f>
        <v/>
      </c>
      <c r="J201" s="143" t="str">
        <f>IF(ISBLANK(VLOOKUP(A201,EHD[],14,FALSE)),"",VLOOKUP(A201,EHD[],14,FALSE))</f>
        <v/>
      </c>
      <c r="K201" s="151">
        <f>VLOOKUP(A201,EHD[],15,FALSE)</f>
        <v>0</v>
      </c>
      <c r="L201" s="151">
        <f ca="1">VLOOKUP(A201,EHD[],16,FALSE)</f>
        <v>0</v>
      </c>
      <c r="M201" s="143"/>
      <c r="N201" s="143" t="str">
        <f>IF(ISBLANK(VLOOKUP(A201,EHD[],20,FALSE)),"",VLOOKUP(A201,EHD[],20,FALSE))</f>
        <v/>
      </c>
      <c r="O201" s="152"/>
    </row>
    <row r="202" spans="1:15">
      <c r="A202" s="147" t="s">
        <v>122</v>
      </c>
      <c r="B202" s="144" t="str">
        <f>VLOOKUP(A202,Data[],2,FALSE)</f>
        <v>MANHATTAN</v>
      </c>
      <c r="C202" s="144" t="s">
        <v>27</v>
      </c>
      <c r="D202" s="9" t="str">
        <f>VLOOKUP(A202,Data[],52,FALSE)</f>
        <v>MIXED FINANCE/LLC1</v>
      </c>
      <c r="E202" s="9" t="str">
        <f ca="1">VLOOKUP(A202,Data[],4,FALSE)</f>
        <v>2026+</v>
      </c>
      <c r="F202" s="9">
        <f>VLOOKUP(EHDAll[[#This Row],[DEVELOPMENT]],EHD[],7,FALSE)</f>
        <v>6</v>
      </c>
      <c r="G202" s="9">
        <f>VLOOKUP(EHDAll[[#This Row],[DEVELOPMENT]],Data[],67,FALSE)</f>
        <v>20</v>
      </c>
      <c r="H202" s="143" t="str">
        <f>IF(EHDAll[[#This Row],[STATUS]]="","",VLOOKUP(A202,EHD[],19,FALSE))</f>
        <v/>
      </c>
      <c r="I202" s="143" t="str">
        <f>IF(VLOOKUP(A202,EHD[],13,FALSE)=0,"",VLOOKUP(A202,EHD[],13,FALSE))</f>
        <v/>
      </c>
      <c r="J202" s="143" t="str">
        <f>IF(ISBLANK(VLOOKUP(A202,EHD[],14,FALSE)),"",VLOOKUP(A202,EHD[],14,FALSE))</f>
        <v/>
      </c>
      <c r="K202" s="151">
        <f>VLOOKUP(A202,EHD[],15,FALSE)</f>
        <v>0</v>
      </c>
      <c r="L202" s="151">
        <f ca="1">VLOOKUP(A202,EHD[],16,FALSE)</f>
        <v>46175.346135</v>
      </c>
      <c r="M202" s="143"/>
      <c r="N202" s="143" t="str">
        <f>IF(ISBLANK(VLOOKUP(A202,EHD[],20,FALSE)),"",VLOOKUP(A202,EHD[],20,FALSE))</f>
        <v/>
      </c>
      <c r="O202" s="152"/>
    </row>
    <row r="203" spans="1:15">
      <c r="A203" s="147" t="s">
        <v>87</v>
      </c>
      <c r="B203" s="144" t="str">
        <f>VLOOKUP(A203,Data[],2,FALSE)</f>
        <v>MANHATTAN</v>
      </c>
      <c r="C203" s="144" t="s">
        <v>27</v>
      </c>
      <c r="D203" s="9" t="str">
        <f>VLOOKUP(A203,Data[],52,FALSE)</f>
        <v>FEDERAL</v>
      </c>
      <c r="E203" s="9" t="str">
        <f ca="1">VLOOKUP(A203,Data[],4,FALSE)</f>
        <v>2020-2021</v>
      </c>
      <c r="F203" s="9">
        <f>VLOOKUP(EHDAll[[#This Row],[DEVELOPMENT]],EHD[],7,FALSE)</f>
        <v>1</v>
      </c>
      <c r="G203" s="9">
        <f>VLOOKUP(EHDAll[[#This Row],[DEVELOPMENT]],Data[],67,FALSE)</f>
        <v>43591</v>
      </c>
      <c r="H203" s="143" t="str">
        <f>IF(EHDAll[[#This Row],[STATUS]]="","",VLOOKUP(A203,EHD[],19,FALSE))</f>
        <v/>
      </c>
      <c r="I203" s="143" t="str">
        <f>IF(VLOOKUP(A203,EHD[],13,FALSE)=0,"",VLOOKUP(A203,EHD[],13,FALSE))</f>
        <v/>
      </c>
      <c r="J203" s="143" t="str">
        <f>IF(ISBLANK(VLOOKUP(A203,EHD[],14,FALSE)),"",VLOOKUP(A203,EHD[],14,FALSE))</f>
        <v/>
      </c>
      <c r="K203" s="151">
        <f>VLOOKUP(A203,EHD[],15,FALSE)</f>
        <v>0</v>
      </c>
      <c r="L203" s="151">
        <f ca="1">VLOOKUP(A203,EHD[],16,FALSE)</f>
        <v>7695.8910225</v>
      </c>
      <c r="M203" s="143"/>
      <c r="N203" s="143" t="str">
        <f>IF(ISBLANK(VLOOKUP(A203,EHD[],20,FALSE)),"",VLOOKUP(A203,EHD[],20,FALSE))</f>
        <v/>
      </c>
      <c r="O203" s="152"/>
    </row>
    <row r="204" spans="1:15">
      <c r="A204" s="147" t="s">
        <v>88</v>
      </c>
      <c r="B204" s="144" t="str">
        <f>VLOOKUP(A204,Data[],2,FALSE)</f>
        <v>MANHATTAN</v>
      </c>
      <c r="C204" s="144" t="s">
        <v>27</v>
      </c>
      <c r="D204" s="9" t="str">
        <f>VLOOKUP(A204,Data[],52,FALSE)</f>
        <v>FEDERAL</v>
      </c>
      <c r="E204" s="9" t="str">
        <f ca="1">VLOOKUP(A204,Data[],4,FALSE)</f>
        <v>2020-2021</v>
      </c>
      <c r="F204" s="9">
        <f>VLOOKUP(EHDAll[[#This Row],[DEVELOPMENT]],EHD[],7,FALSE)</f>
        <v>1</v>
      </c>
      <c r="G204" s="9">
        <f>VLOOKUP(EHDAll[[#This Row],[DEVELOPMENT]],Data[],67,FALSE)</f>
        <v>43591</v>
      </c>
      <c r="H204" s="143" t="str">
        <f>IF(EHDAll[[#This Row],[STATUS]]="","",VLOOKUP(A204,EHD[],19,FALSE))</f>
        <v/>
      </c>
      <c r="I204" s="143" t="str">
        <f>IF(VLOOKUP(A204,EHD[],13,FALSE)=0,"",VLOOKUP(A204,EHD[],13,FALSE))</f>
        <v/>
      </c>
      <c r="J204" s="143" t="str">
        <f>IF(ISBLANK(VLOOKUP(A204,EHD[],14,FALSE)),"",VLOOKUP(A204,EHD[],14,FALSE))</f>
        <v/>
      </c>
      <c r="K204" s="151">
        <f>VLOOKUP(A204,EHD[],15,FALSE)</f>
        <v>0</v>
      </c>
      <c r="L204" s="151">
        <f ca="1">VLOOKUP(A204,EHD[],16,FALSE)</f>
        <v>7695.8910225</v>
      </c>
      <c r="M204" s="143"/>
      <c r="N204" s="143" t="str">
        <f>IF(ISBLANK(VLOOKUP(A204,EHD[],20,FALSE)),"",VLOOKUP(A204,EHD[],20,FALSE))</f>
        <v/>
      </c>
      <c r="O204" s="152"/>
    </row>
    <row r="205" spans="1:15">
      <c r="A205" s="147" t="s">
        <v>342</v>
      </c>
      <c r="B205" s="144" t="str">
        <f>VLOOKUP(A205,Data[],2,FALSE)</f>
        <v>BRONX</v>
      </c>
      <c r="C205" s="144" t="s">
        <v>27</v>
      </c>
      <c r="D205" s="9" t="str">
        <f>VLOOKUP(A205,Data[],52,FALSE)</f>
        <v>MIXED FINANCE/LLC1</v>
      </c>
      <c r="E205" s="9" t="str">
        <f ca="1">VLOOKUP(A205,Data[],4,FALSE)</f>
        <v/>
      </c>
      <c r="F205" s="9">
        <f>VLOOKUP(EHDAll[[#This Row],[DEVELOPMENT]],EHD[],7,FALSE)</f>
        <v>11</v>
      </c>
      <c r="G205" s="9" t="str">
        <f>VLOOKUP(EHDAll[[#This Row],[DEVELOPMENT]],Data[],67,FALSE)</f>
        <v>14-15</v>
      </c>
      <c r="H205" s="143" t="str">
        <f>IF(EHDAll[[#This Row],[STATUS]]="","",VLOOKUP(A205,EHD[],19,FALSE))</f>
        <v/>
      </c>
      <c r="I205" s="143" t="str">
        <f>IF(VLOOKUP(A205,EHD[],13,FALSE)=0,"",VLOOKUP(A205,EHD[],13,FALSE))</f>
        <v/>
      </c>
      <c r="J205" s="143" t="str">
        <f>IF(ISBLANK(VLOOKUP(A205,EHD[],14,FALSE)),"",VLOOKUP(A205,EHD[],14,FALSE))</f>
        <v/>
      </c>
      <c r="K205" s="151">
        <f>VLOOKUP(A205,EHD[],15,FALSE)</f>
        <v>0</v>
      </c>
      <c r="L205" s="151">
        <f ca="1">VLOOKUP(A205,EHD[],16,FALSE)</f>
        <v>96105.692237500014</v>
      </c>
      <c r="M205" s="143"/>
      <c r="N205" s="143" t="str">
        <f>IF(ISBLANK(VLOOKUP(A205,EHD[],20,FALSE)),"",VLOOKUP(A205,EHD[],20,FALSE))</f>
        <v/>
      </c>
      <c r="O205" s="152"/>
    </row>
    <row r="206" spans="1:15">
      <c r="A206" s="148" t="s">
        <v>343</v>
      </c>
      <c r="B206" s="144" t="str">
        <f>VLOOKUP(A206,Data[],2,FALSE)</f>
        <v>BROOKLYN</v>
      </c>
      <c r="C206" s="144" t="s">
        <v>27</v>
      </c>
      <c r="D206" s="9" t="str">
        <f>VLOOKUP(A206,Data[],52,FALSE)</f>
        <v>FEDERAL</v>
      </c>
      <c r="E206" s="9">
        <f ca="1">VLOOKUP(A206,Data[],4,FALSE)</f>
        <v>2019</v>
      </c>
      <c r="F206" s="9">
        <f>VLOOKUP(EHDAll[[#This Row],[DEVELOPMENT]],EHD[],7,FALSE)</f>
        <v>0</v>
      </c>
      <c r="G206" s="9">
        <f>VLOOKUP(EHDAll[[#This Row],[DEVELOPMENT]],Data[],67,FALSE)</f>
        <v>3</v>
      </c>
      <c r="H206" s="143" t="str">
        <f>IF(EHDAll[[#This Row],[STATUS]]="","",VLOOKUP(A206,EHD[],19,FALSE))</f>
        <v/>
      </c>
      <c r="I206" s="143" t="str">
        <f>IF(VLOOKUP(A206,EHD[],13,FALSE)=0,"",VLOOKUP(A206,EHD[],13,FALSE))</f>
        <v/>
      </c>
      <c r="J206" s="143" t="str">
        <f>IF(ISBLANK(VLOOKUP(A206,EHD[],14,FALSE)),"",VLOOKUP(A206,EHD[],14,FALSE))</f>
        <v/>
      </c>
      <c r="K206" s="151">
        <f>VLOOKUP(A206,EHD[],15,FALSE)</f>
        <v>0</v>
      </c>
      <c r="L206" s="151">
        <f ca="1">VLOOKUP(A206,EHD[],16,FALSE)</f>
        <v>0</v>
      </c>
      <c r="M206" s="143"/>
      <c r="N206" s="143" t="str">
        <f>IF(ISBLANK(VLOOKUP(A206,EHD[],20,FALSE)),"",VLOOKUP(A206,EHD[],20,FALSE))</f>
        <v/>
      </c>
      <c r="O206" s="152"/>
    </row>
    <row r="207" spans="1:15">
      <c r="A207" s="147" t="s">
        <v>248</v>
      </c>
      <c r="B207" s="144" t="str">
        <f>VLOOKUP(A207,Data[],2,FALSE)</f>
        <v>BROOKLYN</v>
      </c>
      <c r="C207" s="144" t="s">
        <v>27</v>
      </c>
      <c r="D207" s="9" t="str">
        <f>VLOOKUP(A207,Data[],52,FALSE)</f>
        <v>FEDERAL</v>
      </c>
      <c r="E207" s="9">
        <f ca="1">VLOOKUP(A207,Data[],4,FALSE)</f>
        <v>2019</v>
      </c>
      <c r="F207" s="9">
        <f>VLOOKUP(EHDAll[[#This Row],[DEVELOPMENT]],EHD[],7,FALSE)</f>
        <v>0</v>
      </c>
      <c r="G207" s="9">
        <f>VLOOKUP(EHDAll[[#This Row],[DEVELOPMENT]],Data[],67,FALSE)</f>
        <v>3</v>
      </c>
      <c r="H207" s="143" t="str">
        <f>IF(EHDAll[[#This Row],[STATUS]]="","",VLOOKUP(A207,EHD[],19,FALSE))</f>
        <v/>
      </c>
      <c r="I207" s="143" t="str">
        <f>IF(VLOOKUP(A207,EHD[],13,FALSE)=0,"",VLOOKUP(A207,EHD[],13,FALSE))</f>
        <v/>
      </c>
      <c r="J207" s="143" t="str">
        <f>IF(ISBLANK(VLOOKUP(A207,EHD[],14,FALSE)),"",VLOOKUP(A207,EHD[],14,FALSE))</f>
        <v/>
      </c>
      <c r="K207" s="151">
        <f>VLOOKUP(A207,EHD[],15,FALSE)</f>
        <v>0</v>
      </c>
      <c r="L207" s="151">
        <f ca="1">VLOOKUP(A207,EHD[],16,FALSE)</f>
        <v>0</v>
      </c>
      <c r="M207" s="143"/>
      <c r="N207" s="143" t="str">
        <f>IF(ISBLANK(VLOOKUP(A207,EHD[],20,FALSE)),"",VLOOKUP(A207,EHD[],20,FALSE))</f>
        <v/>
      </c>
      <c r="O207" s="152"/>
    </row>
    <row r="208" spans="1:15">
      <c r="A208" s="147" t="s">
        <v>344</v>
      </c>
      <c r="B208" s="144" t="str">
        <f>VLOOKUP(A208,Data[],2,FALSE)</f>
        <v>STATEN ISLAND</v>
      </c>
      <c r="C208" s="144" t="s">
        <v>27</v>
      </c>
      <c r="D208" s="9" t="str">
        <f>VLOOKUP(A208,Data[],52,FALSE)</f>
        <v>FEDERAL</v>
      </c>
      <c r="E208" s="9" t="str">
        <f ca="1">VLOOKUP(A208,Data[],4,FALSE)</f>
        <v>2026+</v>
      </c>
      <c r="F208" s="9">
        <f>VLOOKUP(EHDAll[[#This Row],[DEVELOPMENT]],EHD[],7,FALSE)</f>
        <v>32</v>
      </c>
      <c r="G208" s="9">
        <f>VLOOKUP(EHDAll[[#This Row],[DEVELOPMENT]],Data[],67,FALSE)</f>
        <v>43530</v>
      </c>
      <c r="H208" s="143" t="str">
        <f>IF(EHDAll[[#This Row],[STATUS]]="","",VLOOKUP(A208,EHD[],19,FALSE))</f>
        <v/>
      </c>
      <c r="I208" s="143" t="str">
        <f>IF(VLOOKUP(A208,EHD[],13,FALSE)=0,"",VLOOKUP(A208,EHD[],13,FALSE))</f>
        <v/>
      </c>
      <c r="J208" s="143" t="str">
        <f>IF(ISBLANK(VLOOKUP(A208,EHD[],14,FALSE)),"",VLOOKUP(A208,EHD[],14,FALSE))</f>
        <v/>
      </c>
      <c r="K208" s="151">
        <f>VLOOKUP(A208,EHD[],15,FALSE)</f>
        <v>0</v>
      </c>
      <c r="L208" s="151">
        <f ca="1">VLOOKUP(A208,EHD[],16,FALSE)</f>
        <v>279580.19560000004</v>
      </c>
      <c r="M208" s="143"/>
      <c r="N208" s="143" t="str">
        <f>IF(ISBLANK(VLOOKUP(A208,EHD[],20,FALSE)),"",VLOOKUP(A208,EHD[],20,FALSE))</f>
        <v/>
      </c>
      <c r="O208" s="152"/>
    </row>
    <row r="209" spans="1:15">
      <c r="A209" s="147" t="s">
        <v>193</v>
      </c>
      <c r="B209" s="144" t="str">
        <f>VLOOKUP(A209,Data[],2,FALSE)</f>
        <v>BROOKLYN</v>
      </c>
      <c r="C209" s="144" t="s">
        <v>27</v>
      </c>
      <c r="D209" s="9" t="str">
        <f>VLOOKUP(A209,Data[],52,FALSE)</f>
        <v>MIXED FINANCE/LLC1</v>
      </c>
      <c r="E209" s="9" t="str">
        <f ca="1">VLOOKUP(A209,Data[],4,FALSE)</f>
        <v>2026+</v>
      </c>
      <c r="F209" s="9">
        <f>VLOOKUP(EHDAll[[#This Row],[DEVELOPMENT]],EHD[],7,FALSE)</f>
        <v>28</v>
      </c>
      <c r="G209" s="9">
        <f>VLOOKUP(EHDAll[[#This Row],[DEVELOPMENT]],Data[],67,FALSE)</f>
        <v>43662</v>
      </c>
      <c r="H209" s="143" t="str">
        <f>IF(EHDAll[[#This Row],[STATUS]]="","",VLOOKUP(A209,EHD[],19,FALSE))</f>
        <v/>
      </c>
      <c r="I209" s="143" t="str">
        <f>IF(VLOOKUP(A209,EHD[],13,FALSE)=0,"",VLOOKUP(A209,EHD[],13,FALSE))</f>
        <v/>
      </c>
      <c r="J209" s="143" t="str">
        <f>IF(ISBLANK(VLOOKUP(A209,EHD[],14,FALSE)),"",VLOOKUP(A209,EHD[],14,FALSE))</f>
        <v/>
      </c>
      <c r="K209" s="151">
        <f>VLOOKUP(A209,EHD[],15,FALSE)</f>
        <v>0</v>
      </c>
      <c r="L209" s="151">
        <f ca="1">VLOOKUP(A209,EHD[],16,FALSE)</f>
        <v>222771.87926000002</v>
      </c>
      <c r="M209" s="143"/>
      <c r="N209" s="143" t="str">
        <f>IF(ISBLANK(VLOOKUP(A209,EHD[],20,FALSE)),"",VLOOKUP(A209,EHD[],20,FALSE))</f>
        <v/>
      </c>
      <c r="O209" s="152"/>
    </row>
    <row r="210" spans="1:15">
      <c r="A210" s="147" t="s">
        <v>222</v>
      </c>
      <c r="B210" s="144" t="str">
        <f>VLOOKUP(A210,Data[],2,FALSE)</f>
        <v>BRONX</v>
      </c>
      <c r="C210" s="144" t="s">
        <v>27</v>
      </c>
      <c r="D210" s="9" t="str">
        <f>VLOOKUP(A210,Data[],52,FALSE)</f>
        <v>FEDERAL</v>
      </c>
      <c r="E210" s="9" t="str">
        <f ca="1">VLOOKUP(A210,Data[],4,FALSE)</f>
        <v>2026+</v>
      </c>
      <c r="F210" s="9">
        <f>VLOOKUP(EHDAll[[#This Row],[DEVELOPMENT]],EHD[],7,FALSE)</f>
        <v>5</v>
      </c>
      <c r="G210" s="9">
        <f>VLOOKUP(EHDAll[[#This Row],[DEVELOPMENT]],Data[],67,FALSE)</f>
        <v>16</v>
      </c>
      <c r="H210" s="143" t="str">
        <f>IF(EHDAll[[#This Row],[STATUS]]="","",VLOOKUP(A210,EHD[],19,FALSE))</f>
        <v/>
      </c>
      <c r="I210" s="143" t="str">
        <f>IF(VLOOKUP(A210,EHD[],13,FALSE)=0,"",VLOOKUP(A210,EHD[],13,FALSE))</f>
        <v/>
      </c>
      <c r="J210" s="143" t="str">
        <f>IF(ISBLANK(VLOOKUP(A210,EHD[],14,FALSE)),"",VLOOKUP(A210,EHD[],14,FALSE))</f>
        <v/>
      </c>
      <c r="K210" s="151">
        <f>VLOOKUP(A210,EHD[],15,FALSE)</f>
        <v>0</v>
      </c>
      <c r="L210" s="151">
        <f ca="1">VLOOKUP(A210,EHD[],16,FALSE)</f>
        <v>39780.692725000001</v>
      </c>
      <c r="M210" s="143"/>
      <c r="N210" s="143" t="str">
        <f>IF(ISBLANK(VLOOKUP(A210,EHD[],20,FALSE)),"",VLOOKUP(A210,EHD[],20,FALSE))</f>
        <v/>
      </c>
      <c r="O210" s="152"/>
    </row>
    <row r="211" spans="1:15">
      <c r="A211" s="147" t="s">
        <v>90</v>
      </c>
      <c r="B211" s="144" t="str">
        <f>VLOOKUP(A211,Data[],2,FALSE)</f>
        <v>MANHATTAN</v>
      </c>
      <c r="C211" s="144" t="s">
        <v>27</v>
      </c>
      <c r="D211" s="9" t="str">
        <f>VLOOKUP(A211,Data[],52,FALSE)</f>
        <v>FEDERAL</v>
      </c>
      <c r="E211" s="9" t="str">
        <f ca="1">VLOOKUP(A211,Data[],4,FALSE)</f>
        <v>2026+</v>
      </c>
      <c r="F211" s="9">
        <f>VLOOKUP(EHDAll[[#This Row],[DEVELOPMENT]],EHD[],7,FALSE)</f>
        <v>3</v>
      </c>
      <c r="G211" s="9">
        <f>VLOOKUP(EHDAll[[#This Row],[DEVELOPMENT]],Data[],67,FALSE)</f>
        <v>40732</v>
      </c>
      <c r="H211" s="143" t="str">
        <f>IF(EHDAll[[#This Row],[STATUS]]="","",VLOOKUP(A211,EHD[],19,FALSE))</f>
        <v/>
      </c>
      <c r="I211" s="143" t="str">
        <f>IF(VLOOKUP(A211,EHD[],13,FALSE)=0,"",VLOOKUP(A211,EHD[],13,FALSE))</f>
        <v/>
      </c>
      <c r="J211" s="143" t="str">
        <f>IF(ISBLANK(VLOOKUP(A211,EHD[],14,FALSE)),"",VLOOKUP(A211,EHD[],14,FALSE))</f>
        <v/>
      </c>
      <c r="K211" s="151">
        <f>VLOOKUP(A211,EHD[],15,FALSE)</f>
        <v>0</v>
      </c>
      <c r="L211" s="151">
        <f ca="1">VLOOKUP(A211,EHD[],16,FALSE)</f>
        <v>23868.415635000005</v>
      </c>
      <c r="M211" s="143"/>
      <c r="N211" s="143" t="str">
        <f>IF(ISBLANK(VLOOKUP(A211,EHD[],20,FALSE)),"",VLOOKUP(A211,EHD[],20,FALSE))</f>
        <v/>
      </c>
      <c r="O211" s="152"/>
    </row>
    <row r="212" spans="1:15">
      <c r="A212" s="147" t="s">
        <v>267</v>
      </c>
      <c r="B212" s="144" t="str">
        <f>VLOOKUP(A212,Data[],2,FALSE)</f>
        <v>BRONX</v>
      </c>
      <c r="C212" s="144" t="s">
        <v>27</v>
      </c>
      <c r="D212" s="9" t="str">
        <f>VLOOKUP(A212,Data[],52,FALSE)</f>
        <v>FEDERAL</v>
      </c>
      <c r="E212" s="9" t="str">
        <f ca="1">VLOOKUP(A212,Data[],4,FALSE)</f>
        <v/>
      </c>
      <c r="F212" s="9">
        <f>VLOOKUP(EHDAll[[#This Row],[DEVELOPMENT]],EHD[],7,FALSE)</f>
        <v>12</v>
      </c>
      <c r="G212" s="9">
        <f>VLOOKUP(EHDAll[[#This Row],[DEVELOPMENT]],Data[],67,FALSE)</f>
        <v>16</v>
      </c>
      <c r="H212" s="143" t="str">
        <f>IF(EHDAll[[#This Row],[STATUS]]="","",VLOOKUP(A212,EHD[],19,FALSE))</f>
        <v/>
      </c>
      <c r="I212" s="143" t="str">
        <f>IF(VLOOKUP(A212,EHD[],13,FALSE)=0,"",VLOOKUP(A212,EHD[],13,FALSE))</f>
        <v/>
      </c>
      <c r="J212" s="143" t="str">
        <f>IF(ISBLANK(VLOOKUP(A212,EHD[],14,FALSE)),"",VLOOKUP(A212,EHD[],14,FALSE))</f>
        <v/>
      </c>
      <c r="K212" s="151">
        <f>VLOOKUP(A212,EHD[],15,FALSE)</f>
        <v>0</v>
      </c>
      <c r="L212" s="151">
        <f ca="1">VLOOKUP(A212,EHD[],16,FALSE)</f>
        <v>101719.60308000002</v>
      </c>
      <c r="M212" s="143"/>
      <c r="N212" s="143" t="str">
        <f>IF(ISBLANK(VLOOKUP(A212,EHD[],20,FALSE)),"",VLOOKUP(A212,EHD[],20,FALSE))</f>
        <v/>
      </c>
      <c r="O212" s="152"/>
    </row>
    <row r="213" spans="1:15">
      <c r="A213" s="147" t="s">
        <v>277</v>
      </c>
      <c r="B213" s="144" t="str">
        <f>VLOOKUP(A213,Data[],2,FALSE)</f>
        <v>BRONX</v>
      </c>
      <c r="C213" s="144" t="s">
        <v>27</v>
      </c>
      <c r="D213" s="9" t="str">
        <f>VLOOKUP(A213,Data[],52,FALSE)</f>
        <v>FEDERAL</v>
      </c>
      <c r="E213" s="9" t="str">
        <f ca="1">VLOOKUP(A213,Data[],4,FALSE)</f>
        <v/>
      </c>
      <c r="F213" s="9">
        <f>VLOOKUP(EHDAll[[#This Row],[DEVELOPMENT]],EHD[],7,FALSE)</f>
        <v>1</v>
      </c>
      <c r="G213" s="9">
        <f>VLOOKUP(EHDAll[[#This Row],[DEVELOPMENT]],Data[],67,FALSE)</f>
        <v>16</v>
      </c>
      <c r="H213" s="143" t="str">
        <f>IF(EHDAll[[#This Row],[STATUS]]="","",VLOOKUP(A213,EHD[],19,FALSE))</f>
        <v/>
      </c>
      <c r="I213" s="143" t="str">
        <f>IF(VLOOKUP(A213,EHD[],13,FALSE)=0,"",VLOOKUP(A213,EHD[],13,FALSE))</f>
        <v/>
      </c>
      <c r="J213" s="143" t="str">
        <f>IF(ISBLANK(VLOOKUP(A213,EHD[],14,FALSE)),"",VLOOKUP(A213,EHD[],14,FALSE))</f>
        <v/>
      </c>
      <c r="K213" s="151">
        <f>VLOOKUP(A213,EHD[],15,FALSE)</f>
        <v>0</v>
      </c>
      <c r="L213" s="151">
        <f ca="1">VLOOKUP(A213,EHD[],16,FALSE)</f>
        <v>8476.6335900000013</v>
      </c>
      <c r="M213" s="143"/>
      <c r="N213" s="143" t="str">
        <f>IF(ISBLANK(VLOOKUP(A213,EHD[],20,FALSE)),"",VLOOKUP(A213,EHD[],20,FALSE))</f>
        <v/>
      </c>
      <c r="O213" s="152"/>
    </row>
    <row r="214" spans="1:15">
      <c r="A214" s="147" t="s">
        <v>223</v>
      </c>
      <c r="B214" s="144" t="str">
        <f>VLOOKUP(A214,Data[],2,FALSE)</f>
        <v>BRONX</v>
      </c>
      <c r="C214" s="144" t="s">
        <v>27</v>
      </c>
      <c r="D214" s="9" t="str">
        <f>VLOOKUP(A214,Data[],52,FALSE)</f>
        <v>FEDERAL</v>
      </c>
      <c r="E214" s="9" t="str">
        <f ca="1">VLOOKUP(A214,Data[],4,FALSE)</f>
        <v>2026+</v>
      </c>
      <c r="F214" s="9">
        <f>VLOOKUP(EHDAll[[#This Row],[DEVELOPMENT]],EHD[],7,FALSE)</f>
        <v>10</v>
      </c>
      <c r="G214" s="9" t="str">
        <f>VLOOKUP(EHDAll[[#This Row],[DEVELOPMENT]],Data[],67,FALSE)</f>
        <v>17-19-20</v>
      </c>
      <c r="H214" s="143" t="str">
        <f>IF(EHDAll[[#This Row],[STATUS]]="","",VLOOKUP(A214,EHD[],19,FALSE))</f>
        <v/>
      </c>
      <c r="I214" s="143" t="str">
        <f>IF(VLOOKUP(A214,EHD[],13,FALSE)=0,"",VLOOKUP(A214,EHD[],13,FALSE))</f>
        <v/>
      </c>
      <c r="J214" s="143" t="str">
        <f>IF(ISBLANK(VLOOKUP(A214,EHD[],14,FALSE)),"",VLOOKUP(A214,EHD[],14,FALSE))</f>
        <v/>
      </c>
      <c r="K214" s="151">
        <f>VLOOKUP(A214,EHD[],15,FALSE)</f>
        <v>0</v>
      </c>
      <c r="L214" s="151">
        <f ca="1">VLOOKUP(A214,EHD[],16,FALSE)</f>
        <v>79561.385450000002</v>
      </c>
      <c r="M214" s="143"/>
      <c r="N214" s="143" t="str">
        <f>IF(ISBLANK(VLOOKUP(A214,EHD[],20,FALSE)),"",VLOOKUP(A214,EHD[],20,FALSE))</f>
        <v/>
      </c>
      <c r="O214" s="152"/>
    </row>
    <row r="215" spans="1:15">
      <c r="A215" s="147" t="s">
        <v>114</v>
      </c>
      <c r="B215" s="144" t="str">
        <f>VLOOKUP(A215,Data[],2,FALSE)</f>
        <v>BRONX</v>
      </c>
      <c r="C215" s="144" t="s">
        <v>27</v>
      </c>
      <c r="D215" s="9" t="str">
        <f>VLOOKUP(A215,Data[],52,FALSE)</f>
        <v>FEDERAL</v>
      </c>
      <c r="E215" s="9" t="str">
        <f ca="1">VLOOKUP(A215,Data[],4,FALSE)</f>
        <v>2026+</v>
      </c>
      <c r="F215" s="9">
        <f>VLOOKUP(EHDAll[[#This Row],[DEVELOPMENT]],EHD[],7,FALSE)</f>
        <v>18</v>
      </c>
      <c r="G215" s="9">
        <f>VLOOKUP(EHDAll[[#This Row],[DEVELOPMENT]],Data[],67,FALSE)</f>
        <v>42230</v>
      </c>
      <c r="H215" s="143" t="str">
        <f>IF(EHDAll[[#This Row],[STATUS]]="","",VLOOKUP(A215,EHD[],19,FALSE))</f>
        <v/>
      </c>
      <c r="I215" s="143" t="str">
        <f>IF(VLOOKUP(A215,EHD[],13,FALSE)=0,"",VLOOKUP(A215,EHD[],13,FALSE))</f>
        <v/>
      </c>
      <c r="J215" s="143" t="str">
        <f>IF(ISBLANK(VLOOKUP(A215,EHD[],14,FALSE)),"",VLOOKUP(A215,EHD[],14,FALSE))</f>
        <v/>
      </c>
      <c r="K215" s="151">
        <f>VLOOKUP(A215,EHD[],15,FALSE)</f>
        <v>0</v>
      </c>
      <c r="L215" s="151">
        <f ca="1">VLOOKUP(A215,EHD[],16,FALSE)</f>
        <v>138526.038405</v>
      </c>
      <c r="M215" s="143"/>
      <c r="N215" s="143" t="str">
        <f>IF(ISBLANK(VLOOKUP(A215,EHD[],20,FALSE)),"",VLOOKUP(A215,EHD[],20,FALSE))</f>
        <v/>
      </c>
      <c r="O215" s="152"/>
    </row>
    <row r="216" spans="1:15">
      <c r="A216" s="147" t="s">
        <v>91</v>
      </c>
      <c r="B216" s="144" t="str">
        <f>VLOOKUP(A216,Data[],2,FALSE)</f>
        <v>BRONX</v>
      </c>
      <c r="C216" s="144" t="s">
        <v>27</v>
      </c>
      <c r="D216" s="9" t="str">
        <f>VLOOKUP(A216,Data[],52,FALSE)</f>
        <v>FEDERAL</v>
      </c>
      <c r="E216" s="9" t="str">
        <f ca="1">VLOOKUP(A216,Data[],4,FALSE)</f>
        <v>2026+</v>
      </c>
      <c r="F216" s="9">
        <f>VLOOKUP(EHDAll[[#This Row],[DEVELOPMENT]],EHD[],7,FALSE)</f>
        <v>4</v>
      </c>
      <c r="G216" s="9">
        <f>VLOOKUP(EHDAll[[#This Row],[DEVELOPMENT]],Data[],67,FALSE)</f>
        <v>20</v>
      </c>
      <c r="H216" s="143" t="str">
        <f>IF(EHDAll[[#This Row],[STATUS]]="","",VLOOKUP(A216,EHD[],19,FALSE))</f>
        <v/>
      </c>
      <c r="I216" s="143" t="str">
        <f>IF(VLOOKUP(A216,EHD[],13,FALSE)=0,"",VLOOKUP(A216,EHD[],13,FALSE))</f>
        <v/>
      </c>
      <c r="J216" s="143" t="str">
        <f>IF(ISBLANK(VLOOKUP(A216,EHD[],14,FALSE)),"",VLOOKUP(A216,EHD[],14,FALSE))</f>
        <v/>
      </c>
      <c r="K216" s="151">
        <f>VLOOKUP(A216,EHD[],15,FALSE)</f>
        <v>0</v>
      </c>
      <c r="L216" s="151">
        <f ca="1">VLOOKUP(A216,EHD[],16,FALSE)</f>
        <v>30783.56409</v>
      </c>
      <c r="M216" s="143"/>
      <c r="N216" s="143" t="str">
        <f>IF(ISBLANK(VLOOKUP(A216,EHD[],20,FALSE)),"",VLOOKUP(A216,EHD[],20,FALSE))</f>
        <v/>
      </c>
      <c r="O216" s="152"/>
    </row>
    <row r="217" spans="1:15">
      <c r="A217" s="147" t="s">
        <v>92</v>
      </c>
      <c r="B217" s="144" t="str">
        <f>VLOOKUP(A217,Data[],2,FALSE)</f>
        <v>MANHATTAN</v>
      </c>
      <c r="C217" s="144" t="s">
        <v>27</v>
      </c>
      <c r="D217" s="9" t="str">
        <f>VLOOKUP(A217,Data[],52,FALSE)</f>
        <v>FEDERAL</v>
      </c>
      <c r="E217" s="9" t="str">
        <f ca="1">VLOOKUP(A217,Data[],4,FALSE)</f>
        <v/>
      </c>
      <c r="F217" s="9">
        <f>VLOOKUP(EHDAll[[#This Row],[DEVELOPMENT]],EHD[],7,FALSE)</f>
        <v>1</v>
      </c>
      <c r="G217" s="9">
        <f>VLOOKUP(EHDAll[[#This Row],[DEVELOPMENT]],Data[],67,FALSE)</f>
        <v>9</v>
      </c>
      <c r="H217" s="143" t="str">
        <f>IF(EHDAll[[#This Row],[STATUS]]="","",VLOOKUP(A217,EHD[],19,FALSE))</f>
        <v/>
      </c>
      <c r="I217" s="143" t="str">
        <f>IF(VLOOKUP(A217,EHD[],13,FALSE)=0,"",VLOOKUP(A217,EHD[],13,FALSE))</f>
        <v/>
      </c>
      <c r="J217" s="143" t="str">
        <f>IF(ISBLANK(VLOOKUP(A217,EHD[],14,FALSE)),"",VLOOKUP(A217,EHD[],14,FALSE))</f>
        <v/>
      </c>
      <c r="K217" s="151">
        <f>VLOOKUP(A217,EHD[],15,FALSE)</f>
        <v>0</v>
      </c>
      <c r="L217" s="151">
        <f ca="1">VLOOKUP(A217,EHD[],16,FALSE)</f>
        <v>7435.6435000000001</v>
      </c>
      <c r="M217" s="143"/>
      <c r="N217" s="143" t="str">
        <f>IF(ISBLANK(VLOOKUP(A217,EHD[],20,FALSE)),"",VLOOKUP(A217,EHD[],20,FALSE))</f>
        <v/>
      </c>
      <c r="O217" s="152"/>
    </row>
    <row r="218" spans="1:15">
      <c r="A218" s="147" t="s">
        <v>346</v>
      </c>
      <c r="B218" s="144" t="str">
        <f>VLOOKUP(A218,Data[],2,FALSE)</f>
        <v>BRONX</v>
      </c>
      <c r="C218" s="144" t="s">
        <v>27</v>
      </c>
      <c r="D218" s="9" t="str">
        <f>VLOOKUP(A218,Data[],52,FALSE)</f>
        <v>FEDERAL</v>
      </c>
      <c r="E218" s="9" t="str">
        <f ca="1">VLOOKUP(A218,Data[],4,FALSE)</f>
        <v>2026+</v>
      </c>
      <c r="F218" s="9">
        <f>VLOOKUP(EHDAll[[#This Row],[DEVELOPMENT]],EHD[],7,FALSE)</f>
        <v>8</v>
      </c>
      <c r="G218" s="9" t="str">
        <f>VLOOKUP(EHDAll[[#This Row],[DEVELOPMENT]],Data[],67,FALSE)</f>
        <v>20-22</v>
      </c>
      <c r="H218" s="143" t="str">
        <f>IF(EHDAll[[#This Row],[STATUS]]="","",VLOOKUP(A218,EHD[],19,FALSE))</f>
        <v/>
      </c>
      <c r="I218" s="143" t="str">
        <f>IF(VLOOKUP(A218,EHD[],13,FALSE)=0,"",VLOOKUP(A218,EHD[],13,FALSE))</f>
        <v/>
      </c>
      <c r="J218" s="143" t="str">
        <f>IF(ISBLANK(VLOOKUP(A218,EHD[],14,FALSE)),"",VLOOKUP(A218,EHD[],14,FALSE))</f>
        <v/>
      </c>
      <c r="K218" s="151">
        <f>VLOOKUP(A218,EHD[],15,FALSE)</f>
        <v>0</v>
      </c>
      <c r="L218" s="151">
        <f ca="1">VLOOKUP(A218,EHD[],16,FALSE)</f>
        <v>69895.048900000009</v>
      </c>
      <c r="M218" s="143"/>
      <c r="N218" s="143" t="str">
        <f>IF(ISBLANK(VLOOKUP(A218,EHD[],20,FALSE)),"",VLOOKUP(A218,EHD[],20,FALSE))</f>
        <v/>
      </c>
      <c r="O218" s="152"/>
    </row>
    <row r="219" spans="1:15">
      <c r="A219" s="147" t="s">
        <v>209</v>
      </c>
      <c r="B219" s="144" t="str">
        <f>VLOOKUP(A219,Data[],2,FALSE)</f>
        <v>BROOKLYN</v>
      </c>
      <c r="C219" s="144" t="s">
        <v>27</v>
      </c>
      <c r="D219" s="9" t="str">
        <f>VLOOKUP(A219,Data[],52,FALSE)</f>
        <v>FEDERAL</v>
      </c>
      <c r="E219" s="9" t="str">
        <f ca="1">VLOOKUP(A219,Data[],4,FALSE)</f>
        <v>2026+</v>
      </c>
      <c r="F219" s="9">
        <f>VLOOKUP(EHDAll[[#This Row],[DEVELOPMENT]],EHD[],7,FALSE)</f>
        <v>32</v>
      </c>
      <c r="G219" s="9">
        <f>VLOOKUP(EHDAll[[#This Row],[DEVELOPMENT]],Data[],67,FALSE)</f>
        <v>6</v>
      </c>
      <c r="H219" s="143" t="str">
        <f>IF(EHDAll[[#This Row],[STATUS]]="","",VLOOKUP(A219,EHD[],19,FALSE))</f>
        <v/>
      </c>
      <c r="I219" s="143" t="str">
        <f>IF(VLOOKUP(A219,EHD[],13,FALSE)=0,"",VLOOKUP(A219,EHD[],13,FALSE))</f>
        <v/>
      </c>
      <c r="J219" s="143" t="str">
        <f>IF(ISBLANK(VLOOKUP(A219,EHD[],14,FALSE)),"",VLOOKUP(A219,EHD[],14,FALSE))</f>
        <v/>
      </c>
      <c r="K219" s="151">
        <f>VLOOKUP(A219,EHD[],15,FALSE)</f>
        <v>0</v>
      </c>
      <c r="L219" s="151">
        <f ca="1">VLOOKUP(A219,EHD[],16,FALSE)</f>
        <v>262924.35415999999</v>
      </c>
      <c r="M219" s="143"/>
      <c r="N219" s="143" t="str">
        <f>IF(ISBLANK(VLOOKUP(A219,EHD[],20,FALSE)),"",VLOOKUP(A219,EHD[],20,FALSE))</f>
        <v/>
      </c>
      <c r="O219" s="152"/>
    </row>
    <row r="220" spans="1:15">
      <c r="A220" s="147" t="s">
        <v>351</v>
      </c>
      <c r="B220" s="144" t="str">
        <f>VLOOKUP(A220,Data[],2,FALSE)</f>
        <v>BROOKLYN</v>
      </c>
      <c r="C220" s="144" t="s">
        <v>27</v>
      </c>
      <c r="D220" s="9" t="str">
        <f>VLOOKUP(A220,Data[],52,FALSE)</f>
        <v>FEDERAL</v>
      </c>
      <c r="E220" s="9" t="str">
        <f ca="1">VLOOKUP(A220,Data[],4,FALSE)</f>
        <v>2026+</v>
      </c>
      <c r="F220" s="9">
        <f>VLOOKUP(EHDAll[[#This Row],[DEVELOPMENT]],EHD[],7,FALSE)</f>
        <v>6</v>
      </c>
      <c r="G220" s="9" t="str">
        <f>VLOOKUP(EHDAll[[#This Row],[DEVELOPMENT]],Data[],67,FALSE)</f>
        <v>15-16</v>
      </c>
      <c r="H220" s="143" t="str">
        <f>IF(EHDAll[[#This Row],[STATUS]]="","",VLOOKUP(A220,EHD[],19,FALSE))</f>
        <v/>
      </c>
      <c r="I220" s="143" t="str">
        <f>IF(VLOOKUP(A220,EHD[],13,FALSE)=0,"",VLOOKUP(A220,EHD[],13,FALSE))</f>
        <v/>
      </c>
      <c r="J220" s="143" t="str">
        <f>IF(ISBLANK(VLOOKUP(A220,EHD[],14,FALSE)),"",VLOOKUP(A220,EHD[],14,FALSE))</f>
        <v/>
      </c>
      <c r="K220" s="151">
        <f>VLOOKUP(A220,EHD[],15,FALSE)</f>
        <v>0</v>
      </c>
      <c r="L220" s="151">
        <f ca="1">VLOOKUP(A220,EHD[],16,FALSE)</f>
        <v>52421.28667500001</v>
      </c>
      <c r="M220" s="143"/>
      <c r="N220" s="143" t="str">
        <f>IF(ISBLANK(VLOOKUP(A220,EHD[],20,FALSE)),"",VLOOKUP(A220,EHD[],20,FALSE))</f>
        <v/>
      </c>
      <c r="O220" s="152"/>
    </row>
    <row r="221" spans="1:15">
      <c r="A221" s="147" t="s">
        <v>348</v>
      </c>
      <c r="B221" s="144" t="str">
        <f>VLOOKUP(A221,Data[],2,FALSE)</f>
        <v>QUEENS</v>
      </c>
      <c r="C221" s="144" t="s">
        <v>27</v>
      </c>
      <c r="D221" s="9" t="str">
        <f>VLOOKUP(A221,Data[],52,FALSE)</f>
        <v>FEDERAL</v>
      </c>
      <c r="E221" s="9" t="str">
        <f ca="1">VLOOKUP(A221,Data[],4,FALSE)</f>
        <v>2026+</v>
      </c>
      <c r="F221" s="9">
        <f>VLOOKUP(EHDAll[[#This Row],[DEVELOPMENT]],EHD[],7,FALSE)</f>
        <v>14</v>
      </c>
      <c r="G221" s="9">
        <f>VLOOKUP(EHDAll[[#This Row],[DEVELOPMENT]],Data[],67,FALSE)</f>
        <v>6</v>
      </c>
      <c r="H221" s="143" t="str">
        <f>IF(EHDAll[[#This Row],[STATUS]]="","",VLOOKUP(A221,EHD[],19,FALSE))</f>
        <v/>
      </c>
      <c r="I221" s="143" t="str">
        <f>IF(VLOOKUP(A221,EHD[],13,FALSE)=0,"",VLOOKUP(A221,EHD[],13,FALSE))</f>
        <v/>
      </c>
      <c r="J221" s="143" t="str">
        <f>IF(ISBLANK(VLOOKUP(A221,EHD[],14,FALSE)),"",VLOOKUP(A221,EHD[],14,FALSE))</f>
        <v/>
      </c>
      <c r="K221" s="151">
        <f>VLOOKUP(A221,EHD[],15,FALSE)</f>
        <v>0</v>
      </c>
      <c r="L221" s="151">
        <f ca="1">VLOOKUP(A221,EHD[],16,FALSE)</f>
        <v>118672.87026000003</v>
      </c>
      <c r="M221" s="143"/>
      <c r="N221" s="143" t="str">
        <f>IF(ISBLANK(VLOOKUP(A221,EHD[],20,FALSE)),"",VLOOKUP(A221,EHD[],20,FALSE))</f>
        <v/>
      </c>
      <c r="O221" s="152"/>
    </row>
    <row r="222" spans="1:15">
      <c r="A222" s="147" t="s">
        <v>349</v>
      </c>
      <c r="B222" s="144" t="str">
        <f>VLOOKUP(A222,Data[],2,FALSE)</f>
        <v>BROOKLYN</v>
      </c>
      <c r="C222" s="144" t="s">
        <v>27</v>
      </c>
      <c r="D222" s="9" t="str">
        <f>VLOOKUP(A222,Data[],52,FALSE)</f>
        <v>FEDERAL</v>
      </c>
      <c r="E222" s="9" t="str">
        <f ca="1">VLOOKUP(A222,Data[],4,FALSE)</f>
        <v/>
      </c>
      <c r="F222" s="9">
        <f>VLOOKUP(EHDAll[[#This Row],[DEVELOPMENT]],EHD[],7,FALSE)</f>
        <v>3</v>
      </c>
      <c r="G222" s="9">
        <f>VLOOKUP(EHDAll[[#This Row],[DEVELOPMENT]],Data[],67,FALSE)</f>
        <v>14</v>
      </c>
      <c r="H222" s="143" t="str">
        <f>IF(EHDAll[[#This Row],[STATUS]]="","",VLOOKUP(A222,EHD[],19,FALSE))</f>
        <v/>
      </c>
      <c r="I222" s="143" t="str">
        <f>IF(VLOOKUP(A222,EHD[],13,FALSE)=0,"",VLOOKUP(A222,EHD[],13,FALSE))</f>
        <v/>
      </c>
      <c r="J222" s="143" t="str">
        <f>IF(ISBLANK(VLOOKUP(A222,EHD[],14,FALSE)),"",VLOOKUP(A222,EHD[],14,FALSE))</f>
        <v/>
      </c>
      <c r="K222" s="151">
        <f>VLOOKUP(A222,EHD[],15,FALSE)</f>
        <v>0</v>
      </c>
      <c r="L222" s="151">
        <f ca="1">VLOOKUP(A222,EHD[],16,FALSE)</f>
        <v>26210.643337500005</v>
      </c>
      <c r="M222" s="143"/>
      <c r="N222" s="143" t="str">
        <f>IF(ISBLANK(VLOOKUP(A222,EHD[],20,FALSE)),"",VLOOKUP(A222,EHD[],20,FALSE))</f>
        <v/>
      </c>
      <c r="O222" s="152"/>
    </row>
    <row r="223" spans="1:15">
      <c r="A223" s="147" t="s">
        <v>350</v>
      </c>
      <c r="B223" s="144" t="str">
        <f>VLOOKUP(A223,Data[],2,FALSE)</f>
        <v>BROOKLYN</v>
      </c>
      <c r="C223" s="144" t="s">
        <v>27</v>
      </c>
      <c r="D223" s="9" t="str">
        <f>VLOOKUP(A223,Data[],52,FALSE)</f>
        <v>FEDERAL</v>
      </c>
      <c r="E223" s="9" t="str">
        <f ca="1">VLOOKUP(A223,Data[],4,FALSE)</f>
        <v>2022-2025</v>
      </c>
      <c r="F223" s="9">
        <f>VLOOKUP(EHDAll[[#This Row],[DEVELOPMENT]],EHD[],7,FALSE)</f>
        <v>6</v>
      </c>
      <c r="G223" s="9">
        <f>VLOOKUP(EHDAll[[#This Row],[DEVELOPMENT]],Data[],67,FALSE)</f>
        <v>4</v>
      </c>
      <c r="H223" s="143" t="str">
        <f>IF(EHDAll[[#This Row],[STATUS]]="","",VLOOKUP(A223,EHD[],19,FALSE))</f>
        <v/>
      </c>
      <c r="I223" s="143" t="str">
        <f>IF(VLOOKUP(A223,EHD[],13,FALSE)=0,"",VLOOKUP(A223,EHD[],13,FALSE))</f>
        <v/>
      </c>
      <c r="J223" s="143" t="str">
        <f>IF(ISBLANK(VLOOKUP(A223,EHD[],14,FALSE)),"",VLOOKUP(A223,EHD[],14,FALSE))</f>
        <v/>
      </c>
      <c r="K223" s="151">
        <f>VLOOKUP(A223,EHD[],15,FALSE)</f>
        <v>0</v>
      </c>
      <c r="L223" s="151">
        <f ca="1">VLOOKUP(A223,EHD[],16,FALSE)</f>
        <v>52421.28667500001</v>
      </c>
      <c r="M223" s="143"/>
      <c r="N223" s="143" t="str">
        <f>IF(ISBLANK(VLOOKUP(A223,EHD[],20,FALSE)),"",VLOOKUP(A223,EHD[],20,FALSE))</f>
        <v/>
      </c>
      <c r="O223" s="152"/>
    </row>
    <row r="224" spans="1:15">
      <c r="A224" s="147" t="s">
        <v>93</v>
      </c>
      <c r="B224" s="144" t="str">
        <f>VLOOKUP(A224,Data[],2,FALSE)</f>
        <v>MANHATTAN</v>
      </c>
      <c r="C224" s="144" t="s">
        <v>27</v>
      </c>
      <c r="D224" s="9" t="str">
        <f>VLOOKUP(A224,Data[],52,FALSE)</f>
        <v>FEDERAL</v>
      </c>
      <c r="E224" s="9" t="str">
        <f ca="1">VLOOKUP(A224,Data[],4,FALSE)</f>
        <v>2020-2021</v>
      </c>
      <c r="F224" s="9">
        <f>VLOOKUP(EHDAll[[#This Row],[DEVELOPMENT]],EHD[],7,FALSE)</f>
        <v>2</v>
      </c>
      <c r="G224" s="9">
        <f>VLOOKUP(EHDAll[[#This Row],[DEVELOPMENT]],Data[],67,FALSE)</f>
        <v>6</v>
      </c>
      <c r="H224" s="143" t="str">
        <f>IF(EHDAll[[#This Row],[STATUS]]="","",VLOOKUP(A224,EHD[],19,FALSE))</f>
        <v/>
      </c>
      <c r="I224" s="143" t="str">
        <f>IF(VLOOKUP(A224,EHD[],13,FALSE)=0,"",VLOOKUP(A224,EHD[],13,FALSE))</f>
        <v/>
      </c>
      <c r="J224" s="143" t="str">
        <f>IF(ISBLANK(VLOOKUP(A224,EHD[],14,FALSE)),"",VLOOKUP(A224,EHD[],14,FALSE))</f>
        <v/>
      </c>
      <c r="K224" s="151">
        <f>VLOOKUP(A224,EHD[],15,FALSE)</f>
        <v>0</v>
      </c>
      <c r="L224" s="151">
        <f ca="1">VLOOKUP(A224,EHD[],16,FALSE)</f>
        <v>15391.782045</v>
      </c>
      <c r="M224" s="143"/>
      <c r="N224" s="143" t="str">
        <f>IF(ISBLANK(VLOOKUP(A224,EHD[],20,FALSE)),"",VLOOKUP(A224,EHD[],20,FALSE))</f>
        <v/>
      </c>
      <c r="O224" s="152"/>
    </row>
    <row r="225" spans="1:15">
      <c r="A225" s="147" t="s">
        <v>352</v>
      </c>
      <c r="B225" s="144" t="str">
        <f>VLOOKUP(A225,Data[],2,FALSE)</f>
        <v>BROOKLYN</v>
      </c>
      <c r="C225" s="144" t="s">
        <v>27</v>
      </c>
      <c r="D225" s="9" t="str">
        <f>VLOOKUP(A225,Data[],52,FALSE)</f>
        <v>FEDERAL</v>
      </c>
      <c r="E225" s="9" t="str">
        <f ca="1">VLOOKUP(A225,Data[],4,FALSE)</f>
        <v>2022-2025</v>
      </c>
      <c r="F225" s="9">
        <f>VLOOKUP(EHDAll[[#This Row],[DEVELOPMENT]],EHD[],7,FALSE)</f>
        <v>7</v>
      </c>
      <c r="G225" s="9">
        <f>VLOOKUP(EHDAll[[#This Row],[DEVELOPMENT]],Data[],67,FALSE)</f>
        <v>4</v>
      </c>
      <c r="H225" s="143" t="str">
        <f>IF(EHDAll[[#This Row],[STATUS]]="","",VLOOKUP(A225,EHD[],19,FALSE))</f>
        <v/>
      </c>
      <c r="I225" s="143" t="str">
        <f>IF(VLOOKUP(A225,EHD[],13,FALSE)=0,"",VLOOKUP(A225,EHD[],13,FALSE))</f>
        <v/>
      </c>
      <c r="J225" s="143" t="str">
        <f>IF(ISBLANK(VLOOKUP(A225,EHD[],14,FALSE)),"",VLOOKUP(A225,EHD[],14,FALSE))</f>
        <v/>
      </c>
      <c r="K225" s="151">
        <f>VLOOKUP(A225,EHD[],15,FALSE)</f>
        <v>0</v>
      </c>
      <c r="L225" s="151">
        <f ca="1">VLOOKUP(A225,EHD[],16,FALSE)</f>
        <v>61158.167787500002</v>
      </c>
      <c r="M225" s="143"/>
      <c r="N225" s="143" t="str">
        <f>IF(ISBLANK(VLOOKUP(A225,EHD[],20,FALSE)),"",VLOOKUP(A225,EHD[],20,FALSE))</f>
        <v/>
      </c>
      <c r="O225" s="152"/>
    </row>
    <row r="226" spans="1:15">
      <c r="A226" s="147" t="s">
        <v>353</v>
      </c>
      <c r="B226" s="144" t="str">
        <f>VLOOKUP(A226,Data[],2,FALSE)</f>
        <v>BRONX</v>
      </c>
      <c r="C226" s="144" t="s">
        <v>27</v>
      </c>
      <c r="D226" s="9" t="str">
        <f>VLOOKUP(A226,Data[],52,FALSE)</f>
        <v>FEDERAL</v>
      </c>
      <c r="E226" s="9" t="str">
        <f ca="1">VLOOKUP(A226,Data[],4,FALSE)</f>
        <v>2026+</v>
      </c>
      <c r="F226" s="9">
        <f>VLOOKUP(EHDAll[[#This Row],[DEVELOPMENT]],EHD[],7,FALSE)</f>
        <v>20</v>
      </c>
      <c r="G226" s="9" t="str">
        <f>VLOOKUP(EHDAll[[#This Row],[DEVELOPMENT]],Data[],67,FALSE)</f>
        <v>6-7-14-15</v>
      </c>
      <c r="H226" s="143" t="str">
        <f>IF(EHDAll[[#This Row],[STATUS]]="","",VLOOKUP(A226,EHD[],19,FALSE))</f>
        <v/>
      </c>
      <c r="I226" s="143" t="str">
        <f>IF(VLOOKUP(A226,EHD[],13,FALSE)=0,"",VLOOKUP(A226,EHD[],13,FALSE))</f>
        <v/>
      </c>
      <c r="J226" s="143" t="str">
        <f>IF(ISBLANK(VLOOKUP(A226,EHD[],14,FALSE)),"",VLOOKUP(A226,EHD[],14,FALSE))</f>
        <v/>
      </c>
      <c r="K226" s="151">
        <f>VLOOKUP(A226,EHD[],15,FALSE)</f>
        <v>0</v>
      </c>
      <c r="L226" s="151">
        <f ca="1">VLOOKUP(A226,EHD[],16,FALSE)</f>
        <v>174737.62225000001</v>
      </c>
      <c r="M226" s="143"/>
      <c r="N226" s="143" t="str">
        <f>IF(ISBLANK(VLOOKUP(A226,EHD[],20,FALSE)),"",VLOOKUP(A226,EHD[],20,FALSE))</f>
        <v/>
      </c>
      <c r="O226" s="152"/>
    </row>
    <row r="227" spans="1:15">
      <c r="A227" s="147" t="s">
        <v>132</v>
      </c>
      <c r="B227" s="144" t="str">
        <f>VLOOKUP(A227,Data[],2,FALSE)</f>
        <v>BRONX</v>
      </c>
      <c r="C227" s="144" t="s">
        <v>27</v>
      </c>
      <c r="D227" s="9" t="str">
        <f>VLOOKUP(A227,Data[],52,FALSE)</f>
        <v>FEDERAL</v>
      </c>
      <c r="E227" s="9" t="str">
        <f ca="1">VLOOKUP(A227,Data[],4,FALSE)</f>
        <v>2022-2025</v>
      </c>
      <c r="F227" s="9">
        <f>VLOOKUP(EHDAll[[#This Row],[DEVELOPMENT]],EHD[],7,FALSE)</f>
        <v>25</v>
      </c>
      <c r="G227" s="9">
        <f>VLOOKUP(EHDAll[[#This Row],[DEVELOPMENT]],Data[],67,FALSE)</f>
        <v>43629</v>
      </c>
      <c r="H227" s="143" t="str">
        <f>IF(EHDAll[[#This Row],[STATUS]]="","",VLOOKUP(A227,EHD[],19,FALSE))</f>
        <v/>
      </c>
      <c r="I227" s="143" t="str">
        <f>IF(VLOOKUP(A227,EHD[],13,FALSE)=0,"",VLOOKUP(A227,EHD[],13,FALSE))</f>
        <v/>
      </c>
      <c r="J227" s="143" t="str">
        <f>IF(ISBLANK(VLOOKUP(A227,EHD[],14,FALSE)),"",VLOOKUP(A227,EHD[],14,FALSE))</f>
        <v/>
      </c>
      <c r="K227" s="151">
        <f>VLOOKUP(A227,EHD[],15,FALSE)</f>
        <v>0</v>
      </c>
      <c r="L227" s="151">
        <f ca="1">VLOOKUP(A227,EHD[],16,FALSE)</f>
        <v>185891.08749999999</v>
      </c>
      <c r="M227" s="143"/>
      <c r="N227" s="143" t="str">
        <f>IF(ISBLANK(VLOOKUP(A227,EHD[],20,FALSE)),"",VLOOKUP(A227,EHD[],20,FALSE))</f>
        <v/>
      </c>
      <c r="O227" s="152"/>
    </row>
    <row r="228" spans="1:15">
      <c r="A228" s="147" t="s">
        <v>210</v>
      </c>
      <c r="B228" s="144" t="str">
        <f>VLOOKUP(A228,Data[],2,FALSE)</f>
        <v>BRONX</v>
      </c>
      <c r="C228" s="144" t="s">
        <v>27</v>
      </c>
      <c r="D228" s="9" t="str">
        <f>VLOOKUP(A228,Data[],52,FALSE)</f>
        <v>FEDERAL</v>
      </c>
      <c r="E228" s="9" t="str">
        <f ca="1">VLOOKUP(A228,Data[],4,FALSE)</f>
        <v>2022-2025</v>
      </c>
      <c r="F228" s="9">
        <f>VLOOKUP(EHDAll[[#This Row],[DEVELOPMENT]],EHD[],7,FALSE)</f>
        <v>38</v>
      </c>
      <c r="G228" s="9">
        <f>VLOOKUP(EHDAll[[#This Row],[DEVELOPMENT]],Data[],67,FALSE)</f>
        <v>6</v>
      </c>
      <c r="H228" s="143" t="str">
        <f>IF(EHDAll[[#This Row],[STATUS]]="","",VLOOKUP(A228,EHD[],19,FALSE))</f>
        <v/>
      </c>
      <c r="I228" s="143" t="str">
        <f>IF(VLOOKUP(A228,EHD[],13,FALSE)=0,"",VLOOKUP(A228,EHD[],13,FALSE))</f>
        <v/>
      </c>
      <c r="J228" s="143" t="str">
        <f>IF(ISBLANK(VLOOKUP(A228,EHD[],14,FALSE)),"",VLOOKUP(A228,EHD[],14,FALSE))</f>
        <v/>
      </c>
      <c r="K228" s="151">
        <f>VLOOKUP(A228,EHD[],15,FALSE)</f>
        <v>0</v>
      </c>
      <c r="L228" s="151">
        <f ca="1">VLOOKUP(A228,EHD[],16,FALSE)</f>
        <v>302333.26471000002</v>
      </c>
      <c r="M228" s="143"/>
      <c r="N228" s="143" t="str">
        <f>IF(ISBLANK(VLOOKUP(A228,EHD[],20,FALSE)),"",VLOOKUP(A228,EHD[],20,FALSE))</f>
        <v/>
      </c>
      <c r="O228" s="152"/>
    </row>
    <row r="229" spans="1:15">
      <c r="A229" s="147" t="s">
        <v>354</v>
      </c>
      <c r="B229" s="144" t="str">
        <f>VLOOKUP(A229,Data[],2,FALSE)</f>
        <v>BROOKLYN</v>
      </c>
      <c r="C229" s="144" t="s">
        <v>27</v>
      </c>
      <c r="D229" s="9" t="str">
        <f>VLOOKUP(A229,Data[],52,FALSE)</f>
        <v>FEDERAL</v>
      </c>
      <c r="E229" s="9" t="str">
        <f ca="1">VLOOKUP(A229,Data[],4,FALSE)</f>
        <v/>
      </c>
      <c r="F229" s="9">
        <f>VLOOKUP(EHDAll[[#This Row],[DEVELOPMENT]],EHD[],7,FALSE)</f>
        <v>3</v>
      </c>
      <c r="G229" s="9">
        <f>VLOOKUP(EHDAll[[#This Row],[DEVELOPMENT]],Data[],67,FALSE)</f>
        <v>43693</v>
      </c>
      <c r="H229" s="143" t="str">
        <f>IF(EHDAll[[#This Row],[STATUS]]="","",VLOOKUP(A229,EHD[],19,FALSE))</f>
        <v/>
      </c>
      <c r="I229" s="143" t="str">
        <f>IF(VLOOKUP(A229,EHD[],13,FALSE)=0,"",VLOOKUP(A229,EHD[],13,FALSE))</f>
        <v/>
      </c>
      <c r="J229" s="143" t="str">
        <f>IF(ISBLANK(VLOOKUP(A229,EHD[],14,FALSE)),"",VLOOKUP(A229,EHD[],14,FALSE))</f>
        <v/>
      </c>
      <c r="K229" s="151">
        <f>VLOOKUP(A229,EHD[],15,FALSE)</f>
        <v>0</v>
      </c>
      <c r="L229" s="151">
        <f ca="1">VLOOKUP(A229,EHD[],16,FALSE)</f>
        <v>26210.643337500005</v>
      </c>
      <c r="M229" s="143"/>
      <c r="N229" s="143" t="str">
        <f>IF(ISBLANK(VLOOKUP(A229,EHD[],20,FALSE)),"",VLOOKUP(A229,EHD[],20,FALSE))</f>
        <v/>
      </c>
      <c r="O229" s="152"/>
    </row>
    <row r="230" spans="1:15">
      <c r="A230" s="147" t="s">
        <v>249</v>
      </c>
      <c r="B230" s="144" t="str">
        <f>VLOOKUP(A230,Data[],2,FALSE)</f>
        <v>BROOKLYN</v>
      </c>
      <c r="C230" s="144" t="s">
        <v>27</v>
      </c>
      <c r="D230" s="9" t="str">
        <f>VLOOKUP(A230,Data[],52,FALSE)</f>
        <v>FEDERAL</v>
      </c>
      <c r="E230" s="9" t="str">
        <f ca="1">VLOOKUP(A230,Data[],4,FALSE)</f>
        <v/>
      </c>
      <c r="F230" s="9">
        <f>VLOOKUP(EHDAll[[#This Row],[DEVELOPMENT]],EHD[],7,FALSE)</f>
        <v>22</v>
      </c>
      <c r="G230" s="9">
        <f>VLOOKUP(EHDAll[[#This Row],[DEVELOPMENT]],Data[],67,FALSE)</f>
        <v>8</v>
      </c>
      <c r="H230" s="143" t="str">
        <f>IF(EHDAll[[#This Row],[STATUS]]="","",VLOOKUP(A230,EHD[],19,FALSE))</f>
        <v/>
      </c>
      <c r="I230" s="143" t="str">
        <f>IF(VLOOKUP(A230,EHD[],13,FALSE)=0,"",VLOOKUP(A230,EHD[],13,FALSE))</f>
        <v/>
      </c>
      <c r="J230" s="143" t="str">
        <f>IF(ISBLANK(VLOOKUP(A230,EHD[],14,FALSE)),"",VLOOKUP(A230,EHD[],14,FALSE))</f>
        <v/>
      </c>
      <c r="K230" s="151">
        <f>VLOOKUP(A230,EHD[],15,FALSE)</f>
        <v>0</v>
      </c>
      <c r="L230" s="151">
        <f ca="1">VLOOKUP(A230,EHD[],16,FALSE)</f>
        <v>186485.93898000004</v>
      </c>
      <c r="M230" s="143"/>
      <c r="N230" s="143" t="str">
        <f>IF(ISBLANK(VLOOKUP(A230,EHD[],20,FALSE)),"",VLOOKUP(A230,EHD[],20,FALSE))</f>
        <v/>
      </c>
      <c r="O230" s="152"/>
    </row>
    <row r="231" spans="1:15">
      <c r="A231" s="147" t="s">
        <v>133</v>
      </c>
      <c r="B231" s="144" t="str">
        <f>VLOOKUP(A231,Data[],2,FALSE)</f>
        <v>MANHATTAN</v>
      </c>
      <c r="C231" s="144" t="s">
        <v>27</v>
      </c>
      <c r="D231" s="9" t="str">
        <f>VLOOKUP(A231,Data[],52,FALSE)</f>
        <v>FEDERAL</v>
      </c>
      <c r="E231" s="9" t="str">
        <f ca="1">VLOOKUP(A231,Data[],4,FALSE)</f>
        <v/>
      </c>
      <c r="F231" s="9">
        <f>VLOOKUP(EHDAll[[#This Row],[DEVELOPMENT]],EHD[],7,FALSE)</f>
        <v>8</v>
      </c>
      <c r="G231" s="9">
        <f>VLOOKUP(EHDAll[[#This Row],[DEVELOPMENT]],Data[],67,FALSE)</f>
        <v>30</v>
      </c>
      <c r="H231" s="143" t="str">
        <f>IF(EHDAll[[#This Row],[STATUS]]="","",VLOOKUP(A231,EHD[],19,FALSE))</f>
        <v/>
      </c>
      <c r="I231" s="143" t="str">
        <f>IF(VLOOKUP(A231,EHD[],13,FALSE)=0,"",VLOOKUP(A231,EHD[],13,FALSE))</f>
        <v/>
      </c>
      <c r="J231" s="143" t="str">
        <f>IF(ISBLANK(VLOOKUP(A231,EHD[],14,FALSE)),"",VLOOKUP(A231,EHD[],14,FALSE))</f>
        <v/>
      </c>
      <c r="K231" s="151">
        <f>VLOOKUP(A231,EHD[],15,FALSE)</f>
        <v>0</v>
      </c>
      <c r="L231" s="151">
        <f ca="1">VLOOKUP(A231,EHD[],16,FALSE)</f>
        <v>61567.12818</v>
      </c>
      <c r="M231" s="143"/>
      <c r="N231" s="143" t="str">
        <f>IF(ISBLANK(VLOOKUP(A231,EHD[],20,FALSE)),"",VLOOKUP(A231,EHD[],20,FALSE))</f>
        <v/>
      </c>
      <c r="O231" s="152"/>
    </row>
    <row r="232" spans="1:15">
      <c r="A232" s="147" t="s">
        <v>211</v>
      </c>
      <c r="B232" s="144" t="str">
        <f>VLOOKUP(A232,Data[],2,FALSE)</f>
        <v>QUEENS</v>
      </c>
      <c r="C232" s="144" t="s">
        <v>27</v>
      </c>
      <c r="D232" s="9" t="str">
        <f>VLOOKUP(A232,Data[],52,FALSE)</f>
        <v>FEDERAL</v>
      </c>
      <c r="E232" s="9" t="str">
        <f ca="1">VLOOKUP(A232,Data[],4,FALSE)</f>
        <v>2026+</v>
      </c>
      <c r="F232" s="9">
        <f>VLOOKUP(EHDAll[[#This Row],[DEVELOPMENT]],EHD[],7,FALSE)</f>
        <v>121</v>
      </c>
      <c r="G232" s="9">
        <f>VLOOKUP(EHDAll[[#This Row],[DEVELOPMENT]],Data[],67,FALSE)</f>
        <v>39514</v>
      </c>
      <c r="H232" s="143" t="str">
        <f>IF(EHDAll[[#This Row],[STATUS]]="","",VLOOKUP(A232,EHD[],19,FALSE))</f>
        <v/>
      </c>
      <c r="I232" s="143" t="str">
        <f>IF(VLOOKUP(A232,EHD[],13,FALSE)=0,"",VLOOKUP(A232,EHD[],13,FALSE))</f>
        <v/>
      </c>
      <c r="J232" s="143" t="str">
        <f>IF(ISBLANK(VLOOKUP(A232,EHD[],14,FALSE)),"",VLOOKUP(A232,EHD[],14,FALSE))</f>
        <v/>
      </c>
      <c r="K232" s="151">
        <f>VLOOKUP(A232,EHD[],15,FALSE)</f>
        <v>0</v>
      </c>
      <c r="L232" s="151">
        <f ca="1">VLOOKUP(A232,EHD[],16,FALSE)</f>
        <v>994182.71416749991</v>
      </c>
      <c r="M232" s="143"/>
      <c r="N232" s="143" t="str">
        <f>IF(ISBLANK(VLOOKUP(A232,EHD[],20,FALSE)),"",VLOOKUP(A232,EHD[],20,FALSE))</f>
        <v/>
      </c>
      <c r="O232" s="152"/>
    </row>
    <row r="233" spans="1:15">
      <c r="A233" s="147" t="s">
        <v>94</v>
      </c>
      <c r="B233" s="144" t="str">
        <f>VLOOKUP(A233,Data[],2,FALSE)</f>
        <v>MANHATTAN</v>
      </c>
      <c r="C233" s="144" t="s">
        <v>27</v>
      </c>
      <c r="D233" s="9" t="str">
        <f>VLOOKUP(A233,Data[],52,FALSE)</f>
        <v>FEDERAL</v>
      </c>
      <c r="E233" s="9" t="str">
        <f ca="1">VLOOKUP(A233,Data[],4,FALSE)</f>
        <v>2020-2021</v>
      </c>
      <c r="F233" s="9">
        <f>VLOOKUP(EHDAll[[#This Row],[DEVELOPMENT]],EHD[],7,FALSE)</f>
        <v>1</v>
      </c>
      <c r="G233" s="9">
        <f>VLOOKUP(EHDAll[[#This Row],[DEVELOPMENT]],Data[],67,FALSE)</f>
        <v>5</v>
      </c>
      <c r="H233" s="143" t="str">
        <f>IF(EHDAll[[#This Row],[STATUS]]="","",VLOOKUP(A233,EHD[],19,FALSE))</f>
        <v/>
      </c>
      <c r="I233" s="143" t="str">
        <f>IF(VLOOKUP(A233,EHD[],13,FALSE)=0,"",VLOOKUP(A233,EHD[],13,FALSE))</f>
        <v/>
      </c>
      <c r="J233" s="143" t="str">
        <f>IF(ISBLANK(VLOOKUP(A233,EHD[],14,FALSE)),"",VLOOKUP(A233,EHD[],14,FALSE))</f>
        <v/>
      </c>
      <c r="K233" s="151">
        <f>VLOOKUP(A233,EHD[],15,FALSE)</f>
        <v>0</v>
      </c>
      <c r="L233" s="151">
        <f ca="1">VLOOKUP(A233,EHD[],16,FALSE)</f>
        <v>7695.8910225</v>
      </c>
      <c r="M233" s="143"/>
      <c r="N233" s="143" t="str">
        <f>IF(ISBLANK(VLOOKUP(A233,EHD[],20,FALSE)),"",VLOOKUP(A233,EHD[],20,FALSE))</f>
        <v/>
      </c>
      <c r="O233" s="152"/>
    </row>
    <row r="234" spans="1:15">
      <c r="A234" s="147" t="s">
        <v>134</v>
      </c>
      <c r="B234" s="144" t="str">
        <f>VLOOKUP(A234,Data[],2,FALSE)</f>
        <v>QUEENS</v>
      </c>
      <c r="C234" s="144" t="s">
        <v>27</v>
      </c>
      <c r="D234" s="9" t="str">
        <f>VLOOKUP(A234,Data[],52,FALSE)</f>
        <v>FEDERAL</v>
      </c>
      <c r="E234" s="9" t="str">
        <f ca="1">VLOOKUP(A234,Data[],4,FALSE)</f>
        <v>2026+</v>
      </c>
      <c r="F234" s="9">
        <f>VLOOKUP(EHDAll[[#This Row],[DEVELOPMENT]],EHD[],7,FALSE)</f>
        <v>47</v>
      </c>
      <c r="G234" s="9">
        <f>VLOOKUP(EHDAll[[#This Row],[DEVELOPMENT]],Data[],67,FALSE)</f>
        <v>6</v>
      </c>
      <c r="H234" s="143" t="str">
        <f>IF(EHDAll[[#This Row],[STATUS]]="","",VLOOKUP(A234,EHD[],19,FALSE))</f>
        <v/>
      </c>
      <c r="I234" s="143" t="str">
        <f>IF(VLOOKUP(A234,EHD[],13,FALSE)=0,"",VLOOKUP(A234,EHD[],13,FALSE))</f>
        <v/>
      </c>
      <c r="J234" s="143" t="str">
        <f>IF(ISBLANK(VLOOKUP(A234,EHD[],14,FALSE)),"",VLOOKUP(A234,EHD[],14,FALSE))</f>
        <v/>
      </c>
      <c r="K234" s="151">
        <f>VLOOKUP(A234,EHD[],15,FALSE)</f>
        <v>0</v>
      </c>
      <c r="L234" s="151">
        <f ca="1">VLOOKUP(A234,EHD[],16,FALSE)</f>
        <v>361706.8780575</v>
      </c>
      <c r="M234" s="143"/>
      <c r="N234" s="143" t="str">
        <f>IF(ISBLANK(VLOOKUP(A234,EHD[],20,FALSE)),"",VLOOKUP(A234,EHD[],20,FALSE))</f>
        <v/>
      </c>
      <c r="O234" s="152"/>
    </row>
    <row r="235" spans="1:15">
      <c r="A235" s="147" t="s">
        <v>135</v>
      </c>
      <c r="B235" s="144" t="str">
        <f>VLOOKUP(A235,Data[],2,FALSE)</f>
        <v>QUEENS</v>
      </c>
      <c r="C235" s="144" t="s">
        <v>27</v>
      </c>
      <c r="D235" s="9" t="str">
        <f>VLOOKUP(A235,Data[],52,FALSE)</f>
        <v>FEDERAL</v>
      </c>
      <c r="E235" s="9" t="str">
        <f ca="1">VLOOKUP(A235,Data[],4,FALSE)</f>
        <v>2026+</v>
      </c>
      <c r="F235" s="9">
        <f>VLOOKUP(EHDAll[[#This Row],[DEVELOPMENT]],EHD[],7,FALSE)</f>
        <v>49</v>
      </c>
      <c r="G235" s="9">
        <f>VLOOKUP(EHDAll[[#This Row],[DEVELOPMENT]],Data[],67,FALSE)</f>
        <v>6</v>
      </c>
      <c r="H235" s="143" t="str">
        <f>IF(EHDAll[[#This Row],[STATUS]]="","",VLOOKUP(A235,EHD[],19,FALSE))</f>
        <v/>
      </c>
      <c r="I235" s="143" t="str">
        <f>IF(VLOOKUP(A235,EHD[],13,FALSE)=0,"",VLOOKUP(A235,EHD[],13,FALSE))</f>
        <v/>
      </c>
      <c r="J235" s="143" t="str">
        <f>IF(ISBLANK(VLOOKUP(A235,EHD[],14,FALSE)),"",VLOOKUP(A235,EHD[],14,FALSE))</f>
        <v/>
      </c>
      <c r="K235" s="151">
        <f>VLOOKUP(A235,EHD[],15,FALSE)</f>
        <v>0</v>
      </c>
      <c r="L235" s="151">
        <f ca="1">VLOOKUP(A235,EHD[],16,FALSE)</f>
        <v>377098.66010249994</v>
      </c>
      <c r="M235" s="143"/>
      <c r="N235" s="143" t="str">
        <f>IF(ISBLANK(VLOOKUP(A235,EHD[],20,FALSE)),"",VLOOKUP(A235,EHD[],20,FALSE))</f>
        <v/>
      </c>
      <c r="O235" s="152"/>
    </row>
    <row r="236" spans="1:15">
      <c r="A236" s="147" t="s">
        <v>355</v>
      </c>
      <c r="B236" s="144" t="str">
        <f>VLOOKUP(A236,Data[],2,FALSE)</f>
        <v>BROOKLYN</v>
      </c>
      <c r="C236" s="144" t="s">
        <v>27</v>
      </c>
      <c r="D236" s="9" t="str">
        <f>VLOOKUP(A236,Data[],52,FALSE)</f>
        <v>FEDERAL</v>
      </c>
      <c r="E236" s="9" t="str">
        <f ca="1">VLOOKUP(A236,Data[],4,FALSE)</f>
        <v>2020-2021</v>
      </c>
      <c r="F236" s="9">
        <f>VLOOKUP(EHDAll[[#This Row],[DEVELOPMENT]],EHD[],7,FALSE)</f>
        <v>5</v>
      </c>
      <c r="G236" s="9">
        <f>VLOOKUP(EHDAll[[#This Row],[DEVELOPMENT]],Data[],67,FALSE)</f>
        <v>4</v>
      </c>
      <c r="H236" s="143" t="str">
        <f>IF(EHDAll[[#This Row],[STATUS]]="","",VLOOKUP(A236,EHD[],19,FALSE))</f>
        <v/>
      </c>
      <c r="I236" s="143" t="str">
        <f>IF(VLOOKUP(A236,EHD[],13,FALSE)=0,"",VLOOKUP(A236,EHD[],13,FALSE))</f>
        <v/>
      </c>
      <c r="J236" s="143" t="str">
        <f>IF(ISBLANK(VLOOKUP(A236,EHD[],14,FALSE)),"",VLOOKUP(A236,EHD[],14,FALSE))</f>
        <v/>
      </c>
      <c r="K236" s="151">
        <f>VLOOKUP(A236,EHD[],15,FALSE)</f>
        <v>0</v>
      </c>
      <c r="L236" s="151">
        <f ca="1">VLOOKUP(A236,EHD[],16,FALSE)</f>
        <v>43684.405562500004</v>
      </c>
      <c r="M236" s="143"/>
      <c r="N236" s="143" t="str">
        <f>IF(ISBLANK(VLOOKUP(A236,EHD[],20,FALSE)),"",VLOOKUP(A236,EHD[],20,FALSE))</f>
        <v/>
      </c>
      <c r="O236" s="152"/>
    </row>
    <row r="237" spans="1:15">
      <c r="A237" s="147" t="s">
        <v>115</v>
      </c>
      <c r="B237" s="144" t="str">
        <f>VLOOKUP(A237,Data[],2,FALSE)</f>
        <v>MANHATTAN</v>
      </c>
      <c r="C237" s="144" t="s">
        <v>27</v>
      </c>
      <c r="D237" s="9" t="str">
        <f>VLOOKUP(A237,Data[],52,FALSE)</f>
        <v>FEDERAL</v>
      </c>
      <c r="E237" s="9" t="str">
        <f ca="1">VLOOKUP(A237,Data[],4,FALSE)</f>
        <v/>
      </c>
      <c r="F237" s="9">
        <f>VLOOKUP(EHDAll[[#This Row],[DEVELOPMENT]],EHD[],7,FALSE)</f>
        <v>9</v>
      </c>
      <c r="G237" s="9">
        <f>VLOOKUP(EHDAll[[#This Row],[DEVELOPMENT]],Data[],67,FALSE)</f>
        <v>14</v>
      </c>
      <c r="H237" s="143" t="str">
        <f>IF(EHDAll[[#This Row],[STATUS]]="","",VLOOKUP(A237,EHD[],19,FALSE))</f>
        <v/>
      </c>
      <c r="I237" s="143" t="str">
        <f>IF(VLOOKUP(A237,EHD[],13,FALSE)=0,"",VLOOKUP(A237,EHD[],13,FALSE))</f>
        <v/>
      </c>
      <c r="J237" s="143" t="str">
        <f>IF(ISBLANK(VLOOKUP(A237,EHD[],14,FALSE)),"",VLOOKUP(A237,EHD[],14,FALSE))</f>
        <v/>
      </c>
      <c r="K237" s="151">
        <f>VLOOKUP(A237,EHD[],15,FALSE)</f>
        <v>0</v>
      </c>
      <c r="L237" s="151">
        <f ca="1">VLOOKUP(A237,EHD[],16,FALSE)</f>
        <v>69263.0192025</v>
      </c>
      <c r="M237" s="143"/>
      <c r="N237" s="143" t="str">
        <f>IF(ISBLANK(VLOOKUP(A237,EHD[],20,FALSE)),"",VLOOKUP(A237,EHD[],20,FALSE))</f>
        <v/>
      </c>
      <c r="O237" s="152"/>
    </row>
    <row r="238" spans="1:15">
      <c r="A238" s="147" t="s">
        <v>212</v>
      </c>
      <c r="B238" s="144" t="str">
        <f>VLOOKUP(A238,Data[],2,FALSE)</f>
        <v>QUEENS</v>
      </c>
      <c r="C238" s="144" t="s">
        <v>27</v>
      </c>
      <c r="D238" s="9" t="str">
        <f>VLOOKUP(A238,Data[],52,FALSE)</f>
        <v>FEDERAL</v>
      </c>
      <c r="E238" s="9" t="str">
        <f ca="1">VLOOKUP(A238,Data[],4,FALSE)</f>
        <v/>
      </c>
      <c r="F238" s="9">
        <f>VLOOKUP(EHDAll[[#This Row],[DEVELOPMENT]],EHD[],7,FALSE)</f>
        <v>45</v>
      </c>
      <c r="G238" s="9">
        <f>VLOOKUP(EHDAll[[#This Row],[DEVELOPMENT]],Data[],67,FALSE)</f>
        <v>43623</v>
      </c>
      <c r="H238" s="143" t="str">
        <f>IF(EHDAll[[#This Row],[STATUS]]="","",VLOOKUP(A238,EHD[],19,FALSE))</f>
        <v/>
      </c>
      <c r="I238" s="143" t="str">
        <f>IF(VLOOKUP(A238,EHD[],13,FALSE)=0,"",VLOOKUP(A238,EHD[],13,FALSE))</f>
        <v/>
      </c>
      <c r="J238" s="143" t="str">
        <f>IF(ISBLANK(VLOOKUP(A238,EHD[],14,FALSE)),"",VLOOKUP(A238,EHD[],14,FALSE))</f>
        <v/>
      </c>
      <c r="K238" s="151">
        <f>VLOOKUP(A238,EHD[],15,FALSE)</f>
        <v>0</v>
      </c>
      <c r="L238" s="151">
        <f ca="1">VLOOKUP(A238,EHD[],16,FALSE)</f>
        <v>369737.37303750002</v>
      </c>
      <c r="M238" s="143"/>
      <c r="N238" s="143" t="str">
        <f>IF(ISBLANK(VLOOKUP(A238,EHD[],20,FALSE)),"",VLOOKUP(A238,EHD[],20,FALSE))</f>
        <v/>
      </c>
      <c r="O238" s="152"/>
    </row>
    <row r="239" spans="1:15">
      <c r="A239" s="147" t="s">
        <v>213</v>
      </c>
      <c r="B239" s="144" t="str">
        <f>VLOOKUP(A239,Data[],2,FALSE)</f>
        <v>BROOKLYN</v>
      </c>
      <c r="C239" s="144" t="s">
        <v>27</v>
      </c>
      <c r="D239" s="9" t="str">
        <f>VLOOKUP(A239,Data[],52,FALSE)</f>
        <v>FEDERAL</v>
      </c>
      <c r="E239" s="9" t="str">
        <f ca="1">VLOOKUP(A239,Data[],4,FALSE)</f>
        <v>2022-2025</v>
      </c>
      <c r="F239" s="9">
        <f>VLOOKUP(EHDAll[[#This Row],[DEVELOPMENT]],EHD[],7,FALSE)</f>
        <v>47</v>
      </c>
      <c r="G239" s="9">
        <f>VLOOKUP(EHDAll[[#This Row],[DEVELOPMENT]],Data[],67,FALSE)</f>
        <v>43502</v>
      </c>
      <c r="H239" s="143" t="str">
        <f>IF(EHDAll[[#This Row],[STATUS]]="","",VLOOKUP(A239,EHD[],19,FALSE))</f>
        <v/>
      </c>
      <c r="I239" s="143" t="str">
        <f>IF(VLOOKUP(A239,EHD[],13,FALSE)=0,"",VLOOKUP(A239,EHD[],13,FALSE))</f>
        <v/>
      </c>
      <c r="J239" s="143" t="str">
        <f>IF(ISBLANK(VLOOKUP(A239,EHD[],14,FALSE)),"",VLOOKUP(A239,EHD[],14,FALSE))</f>
        <v/>
      </c>
      <c r="K239" s="151">
        <f>VLOOKUP(A239,EHD[],15,FALSE)</f>
        <v>0</v>
      </c>
      <c r="L239" s="151">
        <f ca="1">VLOOKUP(A239,EHD[],16,FALSE)</f>
        <v>386170.14517250005</v>
      </c>
      <c r="M239" s="143"/>
      <c r="N239" s="143" t="str">
        <f>IF(ISBLANK(VLOOKUP(A239,EHD[],20,FALSE)),"",VLOOKUP(A239,EHD[],20,FALSE))</f>
        <v/>
      </c>
      <c r="O239" s="152"/>
    </row>
    <row r="240" spans="1:15">
      <c r="A240" s="147" t="s">
        <v>214</v>
      </c>
      <c r="B240" s="144" t="str">
        <f>VLOOKUP(A240,Data[],2,FALSE)</f>
        <v>BROOKLYN</v>
      </c>
      <c r="C240" s="144" t="s">
        <v>27</v>
      </c>
      <c r="D240" s="9" t="str">
        <f>VLOOKUP(A240,Data[],52,FALSE)</f>
        <v>FEDERAL</v>
      </c>
      <c r="E240" s="9" t="str">
        <f ca="1">VLOOKUP(A240,Data[],4,FALSE)</f>
        <v>2022-2025</v>
      </c>
      <c r="F240" s="9">
        <f>VLOOKUP(EHDAll[[#This Row],[DEVELOPMENT]],EHD[],7,FALSE)</f>
        <v>49</v>
      </c>
      <c r="G240" s="9">
        <f>VLOOKUP(EHDAll[[#This Row],[DEVELOPMENT]],Data[],67,FALSE)</f>
        <v>41704</v>
      </c>
      <c r="H240" s="143" t="str">
        <f>IF(EHDAll[[#This Row],[STATUS]]="","",VLOOKUP(A240,EHD[],19,FALSE))</f>
        <v/>
      </c>
      <c r="I240" s="143" t="str">
        <f>IF(VLOOKUP(A240,EHD[],13,FALSE)=0,"",VLOOKUP(A240,EHD[],13,FALSE))</f>
        <v/>
      </c>
      <c r="J240" s="143" t="str">
        <f>IF(ISBLANK(VLOOKUP(A240,EHD[],14,FALSE)),"",VLOOKUP(A240,EHD[],14,FALSE))</f>
        <v/>
      </c>
      <c r="K240" s="151">
        <f>VLOOKUP(A240,EHD[],15,FALSE)</f>
        <v>0</v>
      </c>
      <c r="L240" s="151">
        <f ca="1">VLOOKUP(A240,EHD[],16,FALSE)</f>
        <v>402602.91730749997</v>
      </c>
      <c r="M240" s="143"/>
      <c r="N240" s="143" t="str">
        <f>IF(ISBLANK(VLOOKUP(A240,EHD[],20,FALSE)),"",VLOOKUP(A240,EHD[],20,FALSE))</f>
        <v/>
      </c>
      <c r="O240" s="152"/>
    </row>
    <row r="241" spans="1:15">
      <c r="A241" s="147" t="s">
        <v>194</v>
      </c>
      <c r="B241" s="144" t="str">
        <f>VLOOKUP(A241,Data[],2,FALSE)</f>
        <v>QUEENS</v>
      </c>
      <c r="C241" s="144" t="s">
        <v>27</v>
      </c>
      <c r="D241" s="9" t="str">
        <f>VLOOKUP(A241,Data[],52,FALSE)</f>
        <v>FEDERAL</v>
      </c>
      <c r="E241" s="9" t="str">
        <f ca="1">VLOOKUP(A241,Data[],4,FALSE)</f>
        <v>2020-2021</v>
      </c>
      <c r="F241" s="9">
        <f>VLOOKUP(EHDAll[[#This Row],[DEVELOPMENT]],EHD[],7,FALSE)</f>
        <v>16</v>
      </c>
      <c r="G241" s="9">
        <f>VLOOKUP(EHDAll[[#This Row],[DEVELOPMENT]],Data[],67,FALSE)</f>
        <v>43623</v>
      </c>
      <c r="H241" s="143" t="str">
        <f>IF(EHDAll[[#This Row],[STATUS]]="","",VLOOKUP(A241,EHD[],19,FALSE))</f>
        <v/>
      </c>
      <c r="I241" s="143" t="str">
        <f>IF(VLOOKUP(A241,EHD[],13,FALSE)=0,"",VLOOKUP(A241,EHD[],13,FALSE))</f>
        <v/>
      </c>
      <c r="J241" s="143" t="str">
        <f>IF(ISBLANK(VLOOKUP(A241,EHD[],14,FALSE)),"",VLOOKUP(A241,EHD[],14,FALSE))</f>
        <v/>
      </c>
      <c r="K241" s="151">
        <f>VLOOKUP(A241,EHD[],15,FALSE)</f>
        <v>0</v>
      </c>
      <c r="L241" s="151">
        <f ca="1">VLOOKUP(A241,EHD[],16,FALSE)</f>
        <v>131462.17707999999</v>
      </c>
      <c r="M241" s="143"/>
      <c r="N241" s="143" t="str">
        <f>IF(ISBLANK(VLOOKUP(A241,EHD[],20,FALSE)),"",VLOOKUP(A241,EHD[],20,FALSE))</f>
        <v/>
      </c>
      <c r="O241" s="152"/>
    </row>
    <row r="242" spans="1:15">
      <c r="A242" s="147" t="s">
        <v>215</v>
      </c>
      <c r="B242" s="144" t="str">
        <f>VLOOKUP(A242,Data[],2,FALSE)</f>
        <v>QUEENS</v>
      </c>
      <c r="C242" s="144" t="s">
        <v>27</v>
      </c>
      <c r="D242" s="9" t="str">
        <f>VLOOKUP(A242,Data[],52,FALSE)</f>
        <v>FEDERAL</v>
      </c>
      <c r="E242" s="9" t="str">
        <f ca="1">VLOOKUP(A242,Data[],4,FALSE)</f>
        <v/>
      </c>
      <c r="F242" s="9">
        <f>VLOOKUP(EHDAll[[#This Row],[DEVELOPMENT]],EHD[],7,FALSE)</f>
        <v>0</v>
      </c>
      <c r="G242" s="9">
        <f>VLOOKUP(EHDAll[[#This Row],[DEVELOPMENT]],Data[],67,FALSE)</f>
        <v>1</v>
      </c>
      <c r="H242" s="143" t="str">
        <f>IF(EHDAll[[#This Row],[STATUS]]="","",VLOOKUP(A242,EHD[],19,FALSE))</f>
        <v/>
      </c>
      <c r="I242" s="143" t="str">
        <f>IF(VLOOKUP(A242,EHD[],13,FALSE)=0,"",VLOOKUP(A242,EHD[],13,FALSE))</f>
        <v/>
      </c>
      <c r="J242" s="143" t="str">
        <f>IF(ISBLANK(VLOOKUP(A242,EHD[],14,FALSE)),"",VLOOKUP(A242,EHD[],14,FALSE))</f>
        <v/>
      </c>
      <c r="K242" s="151">
        <f>VLOOKUP(A242,EHD[],15,FALSE)</f>
        <v>0</v>
      </c>
      <c r="L242" s="151">
        <f ca="1">VLOOKUP(A242,EHD[],16,FALSE)</f>
        <v>0</v>
      </c>
      <c r="M242" s="143"/>
      <c r="N242" s="143" t="str">
        <f>IF(ISBLANK(VLOOKUP(A242,EHD[],20,FALSE)),"",VLOOKUP(A242,EHD[],20,FALSE))</f>
        <v/>
      </c>
      <c r="O242" s="152"/>
    </row>
    <row r="243" spans="1:15">
      <c r="A243" s="147" t="s">
        <v>250</v>
      </c>
      <c r="B243" s="144" t="str">
        <f>VLOOKUP(A243,Data[],2,FALSE)</f>
        <v>MANHATTAN</v>
      </c>
      <c r="C243" s="144" t="s">
        <v>27</v>
      </c>
      <c r="D243" s="9" t="str">
        <f>VLOOKUP(A243,Data[],52,FALSE)</f>
        <v>FEDERAL</v>
      </c>
      <c r="E243" s="9" t="str">
        <f ca="1">VLOOKUP(A243,Data[],4,FALSE)</f>
        <v/>
      </c>
      <c r="F243" s="9">
        <f>VLOOKUP(EHDAll[[#This Row],[DEVELOPMENT]],EHD[],7,FALSE)</f>
        <v>3</v>
      </c>
      <c r="G243" s="9">
        <f>VLOOKUP(EHDAll[[#This Row],[DEVELOPMENT]],Data[],67,FALSE)</f>
        <v>39147</v>
      </c>
      <c r="H243" s="143" t="str">
        <f>IF(EHDAll[[#This Row],[STATUS]]="","",VLOOKUP(A243,EHD[],19,FALSE))</f>
        <v/>
      </c>
      <c r="I243" s="143" t="str">
        <f>IF(VLOOKUP(A243,EHD[],13,FALSE)=0,"",VLOOKUP(A243,EHD[],13,FALSE))</f>
        <v/>
      </c>
      <c r="J243" s="143" t="str">
        <f>IF(ISBLANK(VLOOKUP(A243,EHD[],14,FALSE)),"",VLOOKUP(A243,EHD[],14,FALSE))</f>
        <v/>
      </c>
      <c r="K243" s="151">
        <f>VLOOKUP(A243,EHD[],15,FALSE)</f>
        <v>0</v>
      </c>
      <c r="L243" s="151">
        <f ca="1">VLOOKUP(A243,EHD[],16,FALSE)</f>
        <v>25429.900770000004</v>
      </c>
      <c r="M243" s="143"/>
      <c r="N243" s="143" t="str">
        <f>IF(ISBLANK(VLOOKUP(A243,EHD[],20,FALSE)),"",VLOOKUP(A243,EHD[],20,FALSE))</f>
        <v/>
      </c>
      <c r="O243" s="152"/>
    </row>
    <row r="244" spans="1:15">
      <c r="A244" s="147" t="s">
        <v>251</v>
      </c>
      <c r="B244" s="144" t="str">
        <f>VLOOKUP(A244,Data[],2,FALSE)</f>
        <v>MANHATTAN</v>
      </c>
      <c r="C244" s="144" t="s">
        <v>27</v>
      </c>
      <c r="D244" s="9" t="str">
        <f>VLOOKUP(A244,Data[],52,FALSE)</f>
        <v>FEDERAL</v>
      </c>
      <c r="E244" s="9" t="str">
        <f ca="1">VLOOKUP(A244,Data[],4,FALSE)</f>
        <v/>
      </c>
      <c r="F244" s="9">
        <f>VLOOKUP(EHDAll[[#This Row],[DEVELOPMENT]],EHD[],7,FALSE)</f>
        <v>4</v>
      </c>
      <c r="G244" s="9">
        <f>VLOOKUP(EHDAll[[#This Row],[DEVELOPMENT]],Data[],67,FALSE)</f>
        <v>7</v>
      </c>
      <c r="H244" s="143" t="str">
        <f>IF(EHDAll[[#This Row],[STATUS]]="","",VLOOKUP(A244,EHD[],19,FALSE))</f>
        <v/>
      </c>
      <c r="I244" s="143" t="str">
        <f>IF(VLOOKUP(A244,EHD[],13,FALSE)=0,"",VLOOKUP(A244,EHD[],13,FALSE))</f>
        <v/>
      </c>
      <c r="J244" s="143" t="str">
        <f>IF(ISBLANK(VLOOKUP(A244,EHD[],14,FALSE)),"",VLOOKUP(A244,EHD[],14,FALSE))</f>
        <v/>
      </c>
      <c r="K244" s="151">
        <f>VLOOKUP(A244,EHD[],15,FALSE)</f>
        <v>0</v>
      </c>
      <c r="L244" s="151">
        <f ca="1">VLOOKUP(A244,EHD[],16,FALSE)</f>
        <v>33906.534360000005</v>
      </c>
      <c r="M244" s="143"/>
      <c r="N244" s="143" t="str">
        <f>IF(ISBLANK(VLOOKUP(A244,EHD[],20,FALSE)),"",VLOOKUP(A244,EHD[],20,FALSE))</f>
        <v/>
      </c>
      <c r="O244" s="152"/>
    </row>
    <row r="245" spans="1:15">
      <c r="A245" s="147" t="s">
        <v>252</v>
      </c>
      <c r="B245" s="144" t="str">
        <f>VLOOKUP(A245,Data[],2,FALSE)</f>
        <v>MANHATTAN</v>
      </c>
      <c r="C245" s="144" t="s">
        <v>27</v>
      </c>
      <c r="D245" s="9" t="str">
        <f>VLOOKUP(A245,Data[],52,FALSE)</f>
        <v>FEDERAL</v>
      </c>
      <c r="E245" s="9" t="str">
        <f ca="1">VLOOKUP(A245,Data[],4,FALSE)</f>
        <v/>
      </c>
      <c r="F245" s="9">
        <f>VLOOKUP(EHDAll[[#This Row],[DEVELOPMENT]],EHD[],7,FALSE)</f>
        <v>1</v>
      </c>
      <c r="G245" s="9">
        <f>VLOOKUP(EHDAll[[#This Row],[DEVELOPMENT]],Data[],67,FALSE)</f>
        <v>5</v>
      </c>
      <c r="H245" s="143" t="str">
        <f>IF(EHDAll[[#This Row],[STATUS]]="","",VLOOKUP(A245,EHD[],19,FALSE))</f>
        <v/>
      </c>
      <c r="I245" s="143" t="str">
        <f>IF(VLOOKUP(A245,EHD[],13,FALSE)=0,"",VLOOKUP(A245,EHD[],13,FALSE))</f>
        <v/>
      </c>
      <c r="J245" s="143" t="str">
        <f>IF(ISBLANK(VLOOKUP(A245,EHD[],14,FALSE)),"",VLOOKUP(A245,EHD[],14,FALSE))</f>
        <v/>
      </c>
      <c r="K245" s="151">
        <f>VLOOKUP(A245,EHD[],15,FALSE)</f>
        <v>0</v>
      </c>
      <c r="L245" s="151">
        <f ca="1">VLOOKUP(A245,EHD[],16,FALSE)</f>
        <v>8476.6335900000013</v>
      </c>
      <c r="M245" s="143"/>
      <c r="N245" s="143" t="str">
        <f>IF(ISBLANK(VLOOKUP(A245,EHD[],20,FALSE)),"",VLOOKUP(A245,EHD[],20,FALSE))</f>
        <v/>
      </c>
      <c r="O245" s="152"/>
    </row>
    <row r="246" spans="1:15">
      <c r="A246" s="147" t="s">
        <v>357</v>
      </c>
      <c r="B246" s="144" t="str">
        <f>VLOOKUP(A246,Data[],2,FALSE)</f>
        <v>STATEN ISLAND</v>
      </c>
      <c r="C246" s="144" t="s">
        <v>27</v>
      </c>
      <c r="D246" s="9" t="str">
        <f>VLOOKUP(A246,Data[],52,FALSE)</f>
        <v>FEDERAL</v>
      </c>
      <c r="E246" s="9" t="str">
        <f ca="1">VLOOKUP(A246,Data[],4,FALSE)</f>
        <v/>
      </c>
      <c r="F246" s="9">
        <f>VLOOKUP(EHDAll[[#This Row],[DEVELOPMENT]],EHD[],7,FALSE)</f>
        <v>6</v>
      </c>
      <c r="G246" s="9">
        <f>VLOOKUP(EHDAll[[#This Row],[DEVELOPMENT]],Data[],67,FALSE)</f>
        <v>8</v>
      </c>
      <c r="H246" s="143" t="str">
        <f>IF(EHDAll[[#This Row],[STATUS]]="","",VLOOKUP(A246,EHD[],19,FALSE))</f>
        <v/>
      </c>
      <c r="I246" s="143" t="str">
        <f>IF(VLOOKUP(A246,EHD[],13,FALSE)=0,"",VLOOKUP(A246,EHD[],13,FALSE))</f>
        <v/>
      </c>
      <c r="J246" s="143" t="str">
        <f>IF(ISBLANK(VLOOKUP(A246,EHD[],14,FALSE)),"",VLOOKUP(A246,EHD[],14,FALSE))</f>
        <v/>
      </c>
      <c r="K246" s="151">
        <f>VLOOKUP(A246,EHD[],15,FALSE)</f>
        <v>0</v>
      </c>
      <c r="L246" s="151">
        <f ca="1">VLOOKUP(A246,EHD[],16,FALSE)</f>
        <v>52421.28667500001</v>
      </c>
      <c r="M246" s="143"/>
      <c r="N246" s="143" t="str">
        <f>IF(ISBLANK(VLOOKUP(A246,EHD[],20,FALSE)),"",VLOOKUP(A246,EHD[],20,FALSE))</f>
        <v/>
      </c>
      <c r="O246" s="152"/>
    </row>
    <row r="247" spans="1:15">
      <c r="A247" s="147" t="s">
        <v>107</v>
      </c>
      <c r="B247" s="144" t="str">
        <f>VLOOKUP(A247,Data[],2,FALSE)</f>
        <v>MANHATTAN</v>
      </c>
      <c r="C247" s="144" t="s">
        <v>27</v>
      </c>
      <c r="D247" s="9" t="str">
        <f>VLOOKUP(A247,Data[],52,FALSE)</f>
        <v>FEDERAL</v>
      </c>
      <c r="E247" s="9" t="str">
        <f ca="1">VLOOKUP(A247,Data[],4,FALSE)</f>
        <v/>
      </c>
      <c r="F247" s="9">
        <f>VLOOKUP(EHDAll[[#This Row],[DEVELOPMENT]],EHD[],7,FALSE)</f>
        <v>2</v>
      </c>
      <c r="G247" s="9">
        <f>VLOOKUP(EHDAll[[#This Row],[DEVELOPMENT]],Data[],67,FALSE)</f>
        <v>8</v>
      </c>
      <c r="H247" s="143" t="str">
        <f>IF(EHDAll[[#This Row],[STATUS]]="","",VLOOKUP(A247,EHD[],19,FALSE))</f>
        <v/>
      </c>
      <c r="I247" s="143" t="str">
        <f>IF(VLOOKUP(A247,EHD[],13,FALSE)=0,"",VLOOKUP(A247,EHD[],13,FALSE))</f>
        <v/>
      </c>
      <c r="J247" s="143" t="str">
        <f>IF(ISBLANK(VLOOKUP(A247,EHD[],14,FALSE)),"",VLOOKUP(A247,EHD[],14,FALSE))</f>
        <v/>
      </c>
      <c r="K247" s="151">
        <f>VLOOKUP(A247,EHD[],15,FALSE)</f>
        <v>0</v>
      </c>
      <c r="L247" s="151">
        <f ca="1">VLOOKUP(A247,EHD[],16,FALSE)</f>
        <v>15391.782045</v>
      </c>
      <c r="M247" s="143"/>
      <c r="N247" s="143" t="str">
        <f>IF(ISBLANK(VLOOKUP(A247,EHD[],20,FALSE)),"",VLOOKUP(A247,EHD[],20,FALSE))</f>
        <v/>
      </c>
      <c r="O247" s="152"/>
    </row>
    <row r="248" spans="1:15">
      <c r="A248" s="147" t="s">
        <v>216</v>
      </c>
      <c r="B248" s="144" t="str">
        <f>VLOOKUP(A248,Data[],2,FALSE)</f>
        <v>BROOKLYN</v>
      </c>
      <c r="C248" s="144" t="s">
        <v>27</v>
      </c>
      <c r="D248" s="9" t="str">
        <f>VLOOKUP(A248,Data[],52,FALSE)</f>
        <v>FEDERAL</v>
      </c>
      <c r="E248" s="9" t="str">
        <f ca="1">VLOOKUP(A248,Data[],4,FALSE)</f>
        <v>2020-2021</v>
      </c>
      <c r="F248" s="9">
        <f>VLOOKUP(EHDAll[[#This Row],[DEVELOPMENT]],EHD[],7,FALSE)</f>
        <v>1</v>
      </c>
      <c r="G248" s="9">
        <f>VLOOKUP(EHDAll[[#This Row],[DEVELOPMENT]],Data[],67,FALSE)</f>
        <v>6</v>
      </c>
      <c r="H248" s="143" t="str">
        <f>IF(EHDAll[[#This Row],[STATUS]]="","",VLOOKUP(A248,EHD[],19,FALSE))</f>
        <v/>
      </c>
      <c r="I248" s="143" t="str">
        <f>IF(VLOOKUP(A248,EHD[],13,FALSE)=0,"",VLOOKUP(A248,EHD[],13,FALSE))</f>
        <v/>
      </c>
      <c r="J248" s="143" t="str">
        <f>IF(ISBLANK(VLOOKUP(A248,EHD[],14,FALSE)),"",VLOOKUP(A248,EHD[],14,FALSE))</f>
        <v/>
      </c>
      <c r="K248" s="151">
        <f>VLOOKUP(A248,EHD[],15,FALSE)</f>
        <v>0</v>
      </c>
      <c r="L248" s="151">
        <f ca="1">VLOOKUP(A248,EHD[],16,FALSE)</f>
        <v>8216.3860674999996</v>
      </c>
      <c r="M248" s="143"/>
      <c r="N248" s="143" t="str">
        <f>IF(ISBLANK(VLOOKUP(A248,EHD[],20,FALSE)),"",VLOOKUP(A248,EHD[],20,FALSE))</f>
        <v/>
      </c>
      <c r="O248" s="152"/>
    </row>
    <row r="249" spans="1:15">
      <c r="A249" s="147" t="s">
        <v>253</v>
      </c>
      <c r="B249" s="144" t="str">
        <f>VLOOKUP(A249,Data[],2,FALSE)</f>
        <v>BRONX</v>
      </c>
      <c r="C249" s="144" t="s">
        <v>27</v>
      </c>
      <c r="D249" s="9" t="str">
        <f>VLOOKUP(A249,Data[],52,FALSE)</f>
        <v>FEDERAL</v>
      </c>
      <c r="E249" s="9" t="str">
        <f ca="1">VLOOKUP(A249,Data[],4,FALSE)</f>
        <v>2022-2025</v>
      </c>
      <c r="F249" s="9">
        <f>VLOOKUP(EHDAll[[#This Row],[DEVELOPMENT]],EHD[],7,FALSE)</f>
        <v>7</v>
      </c>
      <c r="G249" s="9">
        <f>VLOOKUP(EHDAll[[#This Row],[DEVELOPMENT]],Data[],67,FALSE)</f>
        <v>6</v>
      </c>
      <c r="H249" s="143" t="str">
        <f>IF(EHDAll[[#This Row],[STATUS]]="","",VLOOKUP(A249,EHD[],19,FALSE))</f>
        <v/>
      </c>
      <c r="I249" s="143" t="str">
        <f>IF(VLOOKUP(A249,EHD[],13,FALSE)=0,"",VLOOKUP(A249,EHD[],13,FALSE))</f>
        <v/>
      </c>
      <c r="J249" s="143" t="str">
        <f>IF(ISBLANK(VLOOKUP(A249,EHD[],14,FALSE)),"",VLOOKUP(A249,EHD[],14,FALSE))</f>
        <v/>
      </c>
      <c r="K249" s="151">
        <f>VLOOKUP(A249,EHD[],15,FALSE)</f>
        <v>0</v>
      </c>
      <c r="L249" s="151">
        <f ca="1">VLOOKUP(A249,EHD[],16,FALSE)</f>
        <v>59336.435130000013</v>
      </c>
      <c r="M249" s="143"/>
      <c r="N249" s="143" t="str">
        <f>IF(ISBLANK(VLOOKUP(A249,EHD[],20,FALSE)),"",VLOOKUP(A249,EHD[],20,FALSE))</f>
        <v/>
      </c>
      <c r="O249" s="152"/>
    </row>
    <row r="250" spans="1:15">
      <c r="A250" s="147" t="s">
        <v>123</v>
      </c>
      <c r="B250" s="144" t="str">
        <f>VLOOKUP(A250,Data[],2,FALSE)</f>
        <v>BRONX</v>
      </c>
      <c r="C250" s="144" t="s">
        <v>27</v>
      </c>
      <c r="D250" s="9" t="str">
        <f>VLOOKUP(A250,Data[],52,FALSE)</f>
        <v>MIXED FINANCE/LLC1</v>
      </c>
      <c r="E250" s="9" t="str">
        <f ca="1">VLOOKUP(A250,Data[],4,FALSE)</f>
        <v>2026+</v>
      </c>
      <c r="F250" s="9">
        <f>VLOOKUP(EHDAll[[#This Row],[DEVELOPMENT]],EHD[],7,FALSE)</f>
        <v>6</v>
      </c>
      <c r="G250" s="9">
        <f>VLOOKUP(EHDAll[[#This Row],[DEVELOPMENT]],Data[],67,FALSE)</f>
        <v>21</v>
      </c>
      <c r="H250" s="143" t="str">
        <f>IF(EHDAll[[#This Row],[STATUS]]="","",VLOOKUP(A250,EHD[],19,FALSE))</f>
        <v/>
      </c>
      <c r="I250" s="143" t="str">
        <f>IF(VLOOKUP(A250,EHD[],13,FALSE)=0,"",VLOOKUP(A250,EHD[],13,FALSE))</f>
        <v/>
      </c>
      <c r="J250" s="143" t="str">
        <f>IF(ISBLANK(VLOOKUP(A250,EHD[],14,FALSE)),"",VLOOKUP(A250,EHD[],14,FALSE))</f>
        <v/>
      </c>
      <c r="K250" s="151">
        <f>VLOOKUP(A250,EHD[],15,FALSE)</f>
        <v>0</v>
      </c>
      <c r="L250" s="151">
        <f ca="1">VLOOKUP(A250,EHD[],16,FALSE)</f>
        <v>46175.346135</v>
      </c>
      <c r="M250" s="143"/>
      <c r="N250" s="143" t="str">
        <f>IF(ISBLANK(VLOOKUP(A250,EHD[],20,FALSE)),"",VLOOKUP(A250,EHD[],20,FALSE))</f>
        <v/>
      </c>
      <c r="O250" s="152"/>
    </row>
    <row r="251" spans="1:15">
      <c r="A251" s="147" t="s">
        <v>136</v>
      </c>
      <c r="B251" s="144" t="str">
        <f>VLOOKUP(A251,Data[],2,FALSE)</f>
        <v>MANHATTAN</v>
      </c>
      <c r="C251" s="144" t="s">
        <v>27</v>
      </c>
      <c r="D251" s="9" t="str">
        <f>VLOOKUP(A251,Data[],52,FALSE)</f>
        <v>FEDERAL</v>
      </c>
      <c r="E251" s="9" t="str">
        <f ca="1">VLOOKUP(A251,Data[],4,FALSE)</f>
        <v>2026+</v>
      </c>
      <c r="F251" s="9">
        <f>VLOOKUP(EHDAll[[#This Row],[DEVELOPMENT]],EHD[],7,FALSE)</f>
        <v>14</v>
      </c>
      <c r="G251" s="9">
        <f>VLOOKUP(EHDAll[[#This Row],[DEVELOPMENT]],Data[],67,FALSE)</f>
        <v>14</v>
      </c>
      <c r="H251" s="143" t="str">
        <f>IF(EHDAll[[#This Row],[STATUS]]="","",VLOOKUP(A251,EHD[],19,FALSE))</f>
        <v/>
      </c>
      <c r="I251" s="143" t="str">
        <f>IF(VLOOKUP(A251,EHD[],13,FALSE)=0,"",VLOOKUP(A251,EHD[],13,FALSE))</f>
        <v/>
      </c>
      <c r="J251" s="143" t="str">
        <f>IF(ISBLANK(VLOOKUP(A251,EHD[],14,FALSE)),"",VLOOKUP(A251,EHD[],14,FALSE))</f>
        <v/>
      </c>
      <c r="K251" s="151">
        <f>VLOOKUP(A251,EHD[],15,FALSE)</f>
        <v>0</v>
      </c>
      <c r="L251" s="151">
        <f ca="1">VLOOKUP(A251,EHD[],16,FALSE)</f>
        <v>111385.93963000001</v>
      </c>
      <c r="M251" s="143"/>
      <c r="N251" s="143" t="str">
        <f>IF(ISBLANK(VLOOKUP(A251,EHD[],20,FALSE)),"",VLOOKUP(A251,EHD[],20,FALSE))</f>
        <v/>
      </c>
      <c r="O251" s="152"/>
    </row>
    <row r="252" spans="1:15">
      <c r="A252" s="147" t="s">
        <v>95</v>
      </c>
      <c r="B252" s="144" t="str">
        <f>VLOOKUP(A252,Data[],2,FALSE)</f>
        <v>MANHATTAN</v>
      </c>
      <c r="C252" s="144" t="s">
        <v>27</v>
      </c>
      <c r="D252" s="9" t="str">
        <f>VLOOKUP(A252,Data[],52,FALSE)</f>
        <v>MIXED FINANCE/LLC1</v>
      </c>
      <c r="E252" s="9" t="str">
        <f ca="1">VLOOKUP(A252,Data[],4,FALSE)</f>
        <v>2020-2021</v>
      </c>
      <c r="F252" s="9">
        <f>VLOOKUP(EHDAll[[#This Row],[DEVELOPMENT]],EHD[],7,FALSE)</f>
        <v>40</v>
      </c>
      <c r="G252" s="9">
        <f>VLOOKUP(EHDAll[[#This Row],[DEVELOPMENT]],Data[],67,FALSE)</f>
        <v>39208</v>
      </c>
      <c r="H252" s="143" t="str">
        <f>IF(EHDAll[[#This Row],[STATUS]]="","",VLOOKUP(A252,EHD[],19,FALSE))</f>
        <v/>
      </c>
      <c r="I252" s="143" t="str">
        <f>IF(VLOOKUP(A252,EHD[],13,FALSE)=0,"",VLOOKUP(A252,EHD[],13,FALSE))</f>
        <v/>
      </c>
      <c r="J252" s="143" t="str">
        <f>IF(ISBLANK(VLOOKUP(A252,EHD[],14,FALSE)),"",VLOOKUP(A252,EHD[],14,FALSE))</f>
        <v/>
      </c>
      <c r="K252" s="151">
        <f>VLOOKUP(A252,EHD[],15,FALSE)</f>
        <v>0</v>
      </c>
      <c r="L252" s="151">
        <f ca="1">VLOOKUP(A252,EHD[],16,FALSE)</f>
        <v>307835.64089999994</v>
      </c>
      <c r="M252" s="143"/>
      <c r="N252" s="143" t="str">
        <f>IF(ISBLANK(VLOOKUP(A252,EHD[],20,FALSE)),"",VLOOKUP(A252,EHD[],20,FALSE))</f>
        <v/>
      </c>
      <c r="O252" s="152"/>
    </row>
    <row r="253" spans="1:15">
      <c r="A253" s="147" t="s">
        <v>358</v>
      </c>
      <c r="B253" s="144" t="str">
        <f>VLOOKUP(A253,Data[],2,FALSE)</f>
        <v>MANHATTAN</v>
      </c>
      <c r="C253" s="144" t="s">
        <v>27</v>
      </c>
      <c r="D253" s="9" t="str">
        <f>VLOOKUP(A253,Data[],52,FALSE)</f>
        <v>MHOP</v>
      </c>
      <c r="E253" s="9" t="str">
        <f ca="1">VLOOKUP(A253,Data[],4,FALSE)</f>
        <v>2020-2021</v>
      </c>
      <c r="F253" s="9">
        <f>VLOOKUP(EHDAll[[#This Row],[DEVELOPMENT]],EHD[],7,FALSE)</f>
        <v>1</v>
      </c>
      <c r="G253" s="9">
        <f>VLOOKUP(EHDAll[[#This Row],[DEVELOPMENT]],Data[],67,FALSE)</f>
        <v>5</v>
      </c>
      <c r="H253" s="143" t="str">
        <f>IF(EHDAll[[#This Row],[STATUS]]="","",VLOOKUP(A253,EHD[],19,FALSE))</f>
        <v/>
      </c>
      <c r="I253" s="143" t="str">
        <f>IF(VLOOKUP(A253,EHD[],13,FALSE)=0,"",VLOOKUP(A253,EHD[],13,FALSE))</f>
        <v/>
      </c>
      <c r="J253" s="143" t="str">
        <f>IF(ISBLANK(VLOOKUP(A253,EHD[],14,FALSE)),"",VLOOKUP(A253,EHD[],14,FALSE))</f>
        <v/>
      </c>
      <c r="K253" s="151">
        <f>VLOOKUP(A253,EHD[],15,FALSE)</f>
        <v>0</v>
      </c>
      <c r="L253" s="151">
        <f ca="1">VLOOKUP(A253,EHD[],16,FALSE)</f>
        <v>8736.8811125000011</v>
      </c>
      <c r="M253" s="143"/>
      <c r="N253" s="143" t="str">
        <f>IF(ISBLANK(VLOOKUP(A253,EHD[],20,FALSE)),"",VLOOKUP(A253,EHD[],20,FALSE))</f>
        <v/>
      </c>
      <c r="O253" s="152"/>
    </row>
    <row r="254" spans="1:15">
      <c r="A254" s="147" t="s">
        <v>359</v>
      </c>
      <c r="B254" s="144" t="str">
        <f>VLOOKUP(A254,Data[],2,FALSE)</f>
        <v>MANHATTAN</v>
      </c>
      <c r="C254" s="144" t="s">
        <v>27</v>
      </c>
      <c r="D254" s="9" t="str">
        <f>VLOOKUP(A254,Data[],52,FALSE)</f>
        <v>MHOP</v>
      </c>
      <c r="E254" s="9" t="str">
        <f ca="1">VLOOKUP(A254,Data[],4,FALSE)</f>
        <v>2020-2021</v>
      </c>
      <c r="F254" s="9">
        <f>VLOOKUP(EHDAll[[#This Row],[DEVELOPMENT]],EHD[],7,FALSE)</f>
        <v>0</v>
      </c>
      <c r="G254" s="9">
        <f>VLOOKUP(EHDAll[[#This Row],[DEVELOPMENT]],Data[],67,FALSE)</f>
        <v>5</v>
      </c>
      <c r="H254" s="143" t="str">
        <f>IF(EHDAll[[#This Row],[STATUS]]="","",VLOOKUP(A254,EHD[],19,FALSE))</f>
        <v/>
      </c>
      <c r="I254" s="143" t="str">
        <f>IF(VLOOKUP(A254,EHD[],13,FALSE)=0,"",VLOOKUP(A254,EHD[],13,FALSE))</f>
        <v/>
      </c>
      <c r="J254" s="143" t="str">
        <f>IF(ISBLANK(VLOOKUP(A254,EHD[],14,FALSE)),"",VLOOKUP(A254,EHD[],14,FALSE))</f>
        <v/>
      </c>
      <c r="K254" s="151">
        <f>VLOOKUP(A254,EHD[],15,FALSE)</f>
        <v>0</v>
      </c>
      <c r="L254" s="151">
        <f ca="1">VLOOKUP(A254,EHD[],16,FALSE)</f>
        <v>0</v>
      </c>
      <c r="M254" s="143"/>
      <c r="N254" s="143" t="str">
        <f>IF(ISBLANK(VLOOKUP(A254,EHD[],20,FALSE)),"",VLOOKUP(A254,EHD[],20,FALSE))</f>
        <v/>
      </c>
      <c r="O254" s="152"/>
    </row>
    <row r="255" spans="1:15">
      <c r="A255" s="147" t="s">
        <v>360</v>
      </c>
      <c r="B255" s="144" t="str">
        <f>VLOOKUP(A255,Data[],2,FALSE)</f>
        <v>MANHATTAN</v>
      </c>
      <c r="C255" s="144" t="s">
        <v>27</v>
      </c>
      <c r="D255" s="9" t="str">
        <f>VLOOKUP(A255,Data[],52,FALSE)</f>
        <v>MHOP</v>
      </c>
      <c r="E255" s="9" t="str">
        <f ca="1">VLOOKUP(A255,Data[],4,FALSE)</f>
        <v>2020-2021</v>
      </c>
      <c r="F255" s="9">
        <f>VLOOKUP(EHDAll[[#This Row],[DEVELOPMENT]],EHD[],7,FALSE)</f>
        <v>1</v>
      </c>
      <c r="G255" s="9">
        <f>VLOOKUP(EHDAll[[#This Row],[DEVELOPMENT]],Data[],67,FALSE)</f>
        <v>5</v>
      </c>
      <c r="H255" s="143" t="str">
        <f>IF(EHDAll[[#This Row],[STATUS]]="","",VLOOKUP(A255,EHD[],19,FALSE))</f>
        <v/>
      </c>
      <c r="I255" s="143" t="str">
        <f>IF(VLOOKUP(A255,EHD[],13,FALSE)=0,"",VLOOKUP(A255,EHD[],13,FALSE))</f>
        <v/>
      </c>
      <c r="J255" s="143" t="str">
        <f>IF(ISBLANK(VLOOKUP(A255,EHD[],14,FALSE)),"",VLOOKUP(A255,EHD[],14,FALSE))</f>
        <v/>
      </c>
      <c r="K255" s="151">
        <f>VLOOKUP(A255,EHD[],15,FALSE)</f>
        <v>0</v>
      </c>
      <c r="L255" s="151">
        <f ca="1">VLOOKUP(A255,EHD[],16,FALSE)</f>
        <v>8736.8811125000011</v>
      </c>
      <c r="M255" s="143"/>
      <c r="N255" s="143" t="str">
        <f>IF(ISBLANK(VLOOKUP(A255,EHD[],20,FALSE)),"",VLOOKUP(A255,EHD[],20,FALSE))</f>
        <v/>
      </c>
      <c r="O255" s="152"/>
    </row>
    <row r="256" spans="1:15">
      <c r="A256" s="147" t="s">
        <v>254</v>
      </c>
      <c r="B256" s="144" t="str">
        <f>VLOOKUP(A256,Data[],2,FALSE)</f>
        <v>BROOKLYN</v>
      </c>
      <c r="C256" s="144" t="s">
        <v>27</v>
      </c>
      <c r="D256" s="9" t="str">
        <f>VLOOKUP(A256,Data[],52,FALSE)</f>
        <v>FEDERAL</v>
      </c>
      <c r="E256" s="9" t="str">
        <f ca="1">VLOOKUP(A256,Data[],4,FALSE)</f>
        <v/>
      </c>
      <c r="F256" s="9">
        <f>VLOOKUP(EHDAll[[#This Row],[DEVELOPMENT]],EHD[],7,FALSE)</f>
        <v>1</v>
      </c>
      <c r="G256" s="9">
        <f>VLOOKUP(EHDAll[[#This Row],[DEVELOPMENT]],Data[],67,FALSE)</f>
        <v>16</v>
      </c>
      <c r="H256" s="143" t="str">
        <f>IF(EHDAll[[#This Row],[STATUS]]="","",VLOOKUP(A256,EHD[],19,FALSE))</f>
        <v/>
      </c>
      <c r="I256" s="143" t="str">
        <f>IF(VLOOKUP(A256,EHD[],13,FALSE)=0,"",VLOOKUP(A256,EHD[],13,FALSE))</f>
        <v/>
      </c>
      <c r="J256" s="143" t="str">
        <f>IF(ISBLANK(VLOOKUP(A256,EHD[],14,FALSE)),"",VLOOKUP(A256,EHD[],14,FALSE))</f>
        <v/>
      </c>
      <c r="K256" s="151">
        <f>VLOOKUP(A256,EHD[],15,FALSE)</f>
        <v>0</v>
      </c>
      <c r="L256" s="151">
        <f ca="1">VLOOKUP(A256,EHD[],16,FALSE)</f>
        <v>8476.6335900000013</v>
      </c>
      <c r="M256" s="143"/>
      <c r="N256" s="143" t="str">
        <f>IF(ISBLANK(VLOOKUP(A256,EHD[],20,FALSE)),"",VLOOKUP(A256,EHD[],20,FALSE))</f>
        <v/>
      </c>
      <c r="O256" s="152"/>
    </row>
    <row r="257" spans="1:15">
      <c r="A257" s="147" t="s">
        <v>361</v>
      </c>
      <c r="B257" s="144" t="str">
        <f>VLOOKUP(A257,Data[],2,FALSE)</f>
        <v>BRONX</v>
      </c>
      <c r="C257" s="144" t="s">
        <v>27</v>
      </c>
      <c r="D257" s="9" t="str">
        <f>VLOOKUP(A257,Data[],52,FALSE)</f>
        <v>FEDERAL</v>
      </c>
      <c r="E257" s="9" t="str">
        <f ca="1">VLOOKUP(A257,Data[],4,FALSE)</f>
        <v/>
      </c>
      <c r="F257" s="9">
        <f>VLOOKUP(EHDAll[[#This Row],[DEVELOPMENT]],EHD[],7,FALSE)</f>
        <v>7</v>
      </c>
      <c r="G257" s="9" t="str">
        <f>VLOOKUP(EHDAll[[#This Row],[DEVELOPMENT]],Data[],67,FALSE)</f>
        <v>14-15</v>
      </c>
      <c r="H257" s="143" t="str">
        <f>IF(EHDAll[[#This Row],[STATUS]]="","",VLOOKUP(A257,EHD[],19,FALSE))</f>
        <v/>
      </c>
      <c r="I257" s="143" t="str">
        <f>IF(VLOOKUP(A257,EHD[],13,FALSE)=0,"",VLOOKUP(A257,EHD[],13,FALSE))</f>
        <v/>
      </c>
      <c r="J257" s="143" t="str">
        <f>IF(ISBLANK(VLOOKUP(A257,EHD[],14,FALSE)),"",VLOOKUP(A257,EHD[],14,FALSE))</f>
        <v/>
      </c>
      <c r="K257" s="151">
        <f>VLOOKUP(A257,EHD[],15,FALSE)</f>
        <v>0</v>
      </c>
      <c r="L257" s="151">
        <f ca="1">VLOOKUP(A257,EHD[],16,FALSE)</f>
        <v>61158.167787500002</v>
      </c>
      <c r="M257" s="143"/>
      <c r="N257" s="143" t="str">
        <f>IF(ISBLANK(VLOOKUP(A257,EHD[],20,FALSE)),"",VLOOKUP(A257,EHD[],20,FALSE))</f>
        <v/>
      </c>
      <c r="O257" s="152"/>
    </row>
    <row r="258" spans="1:15">
      <c r="A258" s="147" t="s">
        <v>196</v>
      </c>
      <c r="B258" s="144" t="str">
        <f>VLOOKUP(A258,Data[],2,FALSE)</f>
        <v>BROOKLYN</v>
      </c>
      <c r="C258" s="144" t="s">
        <v>27</v>
      </c>
      <c r="D258" s="9" t="str">
        <f>VLOOKUP(A258,Data[],52,FALSE)</f>
        <v>FEDERAL</v>
      </c>
      <c r="E258" s="9" t="str">
        <f ca="1">VLOOKUP(A258,Data[],4,FALSE)</f>
        <v>2026+</v>
      </c>
      <c r="F258" s="9">
        <f>VLOOKUP(EHDAll[[#This Row],[DEVELOPMENT]],EHD[],7,FALSE)</f>
        <v>36</v>
      </c>
      <c r="G258" s="9">
        <f>VLOOKUP(EHDAll[[#This Row],[DEVELOPMENT]],Data[],67,FALSE)</f>
        <v>6</v>
      </c>
      <c r="H258" s="143" t="str">
        <f>IF(EHDAll[[#This Row],[STATUS]]="","",VLOOKUP(A258,EHD[],19,FALSE))</f>
        <v/>
      </c>
      <c r="I258" s="143" t="str">
        <f>IF(VLOOKUP(A258,EHD[],13,FALSE)=0,"",VLOOKUP(A258,EHD[],13,FALSE))</f>
        <v/>
      </c>
      <c r="J258" s="143" t="str">
        <f>IF(ISBLANK(VLOOKUP(A258,EHD[],14,FALSE)),"",VLOOKUP(A258,EHD[],14,FALSE))</f>
        <v/>
      </c>
      <c r="K258" s="151">
        <f>VLOOKUP(A258,EHD[],15,FALSE)</f>
        <v>0</v>
      </c>
      <c r="L258" s="151">
        <f ca="1">VLOOKUP(A258,EHD[],16,FALSE)</f>
        <v>295789.89843</v>
      </c>
      <c r="M258" s="143"/>
      <c r="N258" s="143" t="str">
        <f>IF(ISBLANK(VLOOKUP(A258,EHD[],20,FALSE)),"",VLOOKUP(A258,EHD[],20,FALSE))</f>
        <v/>
      </c>
      <c r="O258" s="152"/>
    </row>
    <row r="259" spans="1:15">
      <c r="A259" s="147" t="s">
        <v>197</v>
      </c>
      <c r="B259" s="144" t="str">
        <f>VLOOKUP(A259,Data[],2,FALSE)</f>
        <v>BRONX</v>
      </c>
      <c r="C259" s="144" t="s">
        <v>27</v>
      </c>
      <c r="D259" s="9" t="str">
        <f>VLOOKUP(A259,Data[],52,FALSE)</f>
        <v>FEDERAL</v>
      </c>
      <c r="E259" s="9" t="str">
        <f ca="1">VLOOKUP(A259,Data[],4,FALSE)</f>
        <v>2026+</v>
      </c>
      <c r="F259" s="9">
        <f>VLOOKUP(EHDAll[[#This Row],[DEVELOPMENT]],EHD[],7,FALSE)</f>
        <v>28</v>
      </c>
      <c r="G259" s="9">
        <f>VLOOKUP(EHDAll[[#This Row],[DEVELOPMENT]],Data[],67,FALSE)</f>
        <v>7</v>
      </c>
      <c r="H259" s="143" t="str">
        <f>IF(EHDAll[[#This Row],[STATUS]]="","",VLOOKUP(A259,EHD[],19,FALSE))</f>
        <v/>
      </c>
      <c r="I259" s="143" t="str">
        <f>IF(VLOOKUP(A259,EHD[],13,FALSE)=0,"",VLOOKUP(A259,EHD[],13,FALSE))</f>
        <v/>
      </c>
      <c r="J259" s="143" t="str">
        <f>IF(ISBLANK(VLOOKUP(A259,EHD[],14,FALSE)),"",VLOOKUP(A259,EHD[],14,FALSE))</f>
        <v/>
      </c>
      <c r="K259" s="151">
        <f>VLOOKUP(A259,EHD[],15,FALSE)</f>
        <v>0</v>
      </c>
      <c r="L259" s="151">
        <f ca="1">VLOOKUP(A259,EHD[],16,FALSE)</f>
        <v>230058.80989</v>
      </c>
      <c r="M259" s="143"/>
      <c r="N259" s="143" t="str">
        <f>IF(ISBLANK(VLOOKUP(A259,EHD[],20,FALSE)),"",VLOOKUP(A259,EHD[],20,FALSE))</f>
        <v/>
      </c>
      <c r="O259" s="152"/>
    </row>
    <row r="260" spans="1:15">
      <c r="A260" s="147" t="s">
        <v>363</v>
      </c>
      <c r="B260" s="144" t="str">
        <f>VLOOKUP(A260,Data[],2,FALSE)</f>
        <v>BRONX</v>
      </c>
      <c r="C260" s="144" t="s">
        <v>27</v>
      </c>
      <c r="D260" s="9" t="str">
        <f>VLOOKUP(A260,Data[],52,FALSE)</f>
        <v>FEDERAL</v>
      </c>
      <c r="E260" s="9" t="str">
        <f ca="1">VLOOKUP(A260,Data[],4,FALSE)</f>
        <v>2022-2025</v>
      </c>
      <c r="F260" s="9">
        <f>VLOOKUP(EHDAll[[#This Row],[DEVELOPMENT]],EHD[],7,FALSE)</f>
        <v>26</v>
      </c>
      <c r="G260" s="9">
        <f>VLOOKUP(EHDAll[[#This Row],[DEVELOPMENT]],Data[],67,FALSE)</f>
        <v>7</v>
      </c>
      <c r="H260" s="143" t="str">
        <f>IF(EHDAll[[#This Row],[STATUS]]="","",VLOOKUP(A260,EHD[],19,FALSE))</f>
        <v/>
      </c>
      <c r="I260" s="143" t="str">
        <f>IF(VLOOKUP(A260,EHD[],13,FALSE)=0,"",VLOOKUP(A260,EHD[],13,FALSE))</f>
        <v/>
      </c>
      <c r="J260" s="143" t="str">
        <f>IF(ISBLANK(VLOOKUP(A260,EHD[],14,FALSE)),"",VLOOKUP(A260,EHD[],14,FALSE))</f>
        <v/>
      </c>
      <c r="K260" s="151">
        <f>VLOOKUP(A260,EHD[],15,FALSE)</f>
        <v>0</v>
      </c>
      <c r="L260" s="151">
        <f ca="1">VLOOKUP(A260,EHD[],16,FALSE)</f>
        <v>227158.908925</v>
      </c>
      <c r="M260" s="143"/>
      <c r="N260" s="143" t="str">
        <f>IF(ISBLANK(VLOOKUP(A260,EHD[],20,FALSE)),"",VLOOKUP(A260,EHD[],20,FALSE))</f>
        <v/>
      </c>
      <c r="O260" s="152"/>
    </row>
    <row r="261" spans="1:15">
      <c r="A261" s="147" t="s">
        <v>255</v>
      </c>
      <c r="B261" s="144" t="str">
        <f>VLOOKUP(A261,Data[],2,FALSE)</f>
        <v>STATEN ISLAND</v>
      </c>
      <c r="C261" s="144" t="s">
        <v>27</v>
      </c>
      <c r="D261" s="9" t="str">
        <f>VLOOKUP(A261,Data[],52,FALSE)</f>
        <v>FEDERAL</v>
      </c>
      <c r="E261" s="9" t="str">
        <f ca="1">VLOOKUP(A261,Data[],4,FALSE)</f>
        <v/>
      </c>
      <c r="F261" s="9">
        <f>VLOOKUP(EHDAll[[#This Row],[DEVELOPMENT]],EHD[],7,FALSE)</f>
        <v>15</v>
      </c>
      <c r="G261" s="9">
        <f>VLOOKUP(EHDAll[[#This Row],[DEVELOPMENT]],Data[],67,FALSE)</f>
        <v>6</v>
      </c>
      <c r="H261" s="143" t="str">
        <f>IF(EHDAll[[#This Row],[STATUS]]="","",VLOOKUP(A261,EHD[],19,FALSE))</f>
        <v/>
      </c>
      <c r="I261" s="143" t="str">
        <f>IF(VLOOKUP(A261,EHD[],13,FALSE)=0,"",VLOOKUP(A261,EHD[],13,FALSE))</f>
        <v/>
      </c>
      <c r="J261" s="143" t="str">
        <f>IF(ISBLANK(VLOOKUP(A261,EHD[],14,FALSE)),"",VLOOKUP(A261,EHD[],14,FALSE))</f>
        <v/>
      </c>
      <c r="K261" s="151">
        <f>VLOOKUP(A261,EHD[],15,FALSE)</f>
        <v>0</v>
      </c>
      <c r="L261" s="151">
        <f ca="1">VLOOKUP(A261,EHD[],16,FALSE)</f>
        <v>127149.50385000001</v>
      </c>
      <c r="M261" s="143"/>
      <c r="N261" s="143" t="str">
        <f>IF(ISBLANK(VLOOKUP(A261,EHD[],20,FALSE)),"",VLOOKUP(A261,EHD[],20,FALSE))</f>
        <v/>
      </c>
      <c r="O261" s="152"/>
    </row>
    <row r="262" spans="1:15">
      <c r="A262" s="147" t="s">
        <v>96</v>
      </c>
      <c r="B262" s="144" t="str">
        <f>VLOOKUP(A262,Data[],2,FALSE)</f>
        <v>BRONX</v>
      </c>
      <c r="C262" s="144" t="s">
        <v>27</v>
      </c>
      <c r="D262" s="9" t="str">
        <f>VLOOKUP(A262,Data[],52,FALSE)</f>
        <v>FEDERAL</v>
      </c>
      <c r="E262" s="9" t="str">
        <f ca="1">VLOOKUP(A262,Data[],4,FALSE)</f>
        <v>2026+</v>
      </c>
      <c r="F262" s="9">
        <f>VLOOKUP(EHDAll[[#This Row],[DEVELOPMENT]],EHD[],7,FALSE)</f>
        <v>0</v>
      </c>
      <c r="G262" s="9">
        <f>VLOOKUP(EHDAll[[#This Row],[DEVELOPMENT]],Data[],67,FALSE)</f>
        <v>3</v>
      </c>
      <c r="H262" s="143" t="str">
        <f>IF(EHDAll[[#This Row],[STATUS]]="","",VLOOKUP(A262,EHD[],19,FALSE))</f>
        <v/>
      </c>
      <c r="I262" s="143" t="str">
        <f>IF(VLOOKUP(A262,EHD[],13,FALSE)=0,"",VLOOKUP(A262,EHD[],13,FALSE))</f>
        <v/>
      </c>
      <c r="J262" s="143" t="str">
        <f>IF(ISBLANK(VLOOKUP(A262,EHD[],14,FALSE)),"",VLOOKUP(A262,EHD[],14,FALSE))</f>
        <v/>
      </c>
      <c r="K262" s="151">
        <f>VLOOKUP(A262,EHD[],15,FALSE)</f>
        <v>0</v>
      </c>
      <c r="L262" s="151">
        <f ca="1">VLOOKUP(A262,EHD[],16,FALSE)</f>
        <v>0</v>
      </c>
      <c r="M262" s="143"/>
      <c r="N262" s="143" t="str">
        <f>IF(ISBLANK(VLOOKUP(A262,EHD[],20,FALSE)),"",VLOOKUP(A262,EHD[],20,FALSE))</f>
        <v/>
      </c>
      <c r="O262" s="152"/>
    </row>
    <row r="263" spans="1:15">
      <c r="A263" s="147" t="s">
        <v>224</v>
      </c>
      <c r="B263" s="144" t="str">
        <f>VLOOKUP(A263,Data[],2,FALSE)</f>
        <v>QUEENS</v>
      </c>
      <c r="C263" s="144" t="s">
        <v>27</v>
      </c>
      <c r="D263" s="9" t="str">
        <f>VLOOKUP(A263,Data[],52,FALSE)</f>
        <v>FEDERAL</v>
      </c>
      <c r="E263" s="9" t="str">
        <f ca="1">VLOOKUP(A263,Data[],4,FALSE)</f>
        <v>2026+</v>
      </c>
      <c r="F263" s="9">
        <f>VLOOKUP(EHDAll[[#This Row],[DEVELOPMENT]],EHD[],7,FALSE)</f>
        <v>33</v>
      </c>
      <c r="G263" s="9">
        <f>VLOOKUP(EHDAll[[#This Row],[DEVELOPMENT]],Data[],67,FALSE)</f>
        <v>43528</v>
      </c>
      <c r="H263" s="143" t="str">
        <f>IF(EHDAll[[#This Row],[STATUS]]="","",VLOOKUP(A263,EHD[],19,FALSE))</f>
        <v/>
      </c>
      <c r="I263" s="143" t="str">
        <f>IF(VLOOKUP(A263,EHD[],13,FALSE)=0,"",VLOOKUP(A263,EHD[],13,FALSE))</f>
        <v/>
      </c>
      <c r="J263" s="143" t="str">
        <f>IF(ISBLANK(VLOOKUP(A263,EHD[],14,FALSE)),"",VLOOKUP(A263,EHD[],14,FALSE))</f>
        <v/>
      </c>
      <c r="K263" s="151">
        <f>VLOOKUP(A263,EHD[],15,FALSE)</f>
        <v>0</v>
      </c>
      <c r="L263" s="151">
        <f ca="1">VLOOKUP(A263,EHD[],16,FALSE)</f>
        <v>271140.74022750003</v>
      </c>
      <c r="M263" s="143"/>
      <c r="N263" s="143" t="str">
        <f>IF(ISBLANK(VLOOKUP(A263,EHD[],20,FALSE)),"",VLOOKUP(A263,EHD[],20,FALSE))</f>
        <v/>
      </c>
      <c r="O263" s="152"/>
    </row>
    <row r="264" spans="1:15">
      <c r="A264" s="147" t="s">
        <v>269</v>
      </c>
      <c r="B264" s="144" t="str">
        <f>VLOOKUP(A264,Data[],2,FALSE)</f>
        <v>QUEENS</v>
      </c>
      <c r="C264" s="144" t="s">
        <v>27</v>
      </c>
      <c r="D264" s="9" t="str">
        <f>VLOOKUP(A264,Data[],52,FALSE)</f>
        <v>FEDERAL</v>
      </c>
      <c r="E264" s="9" t="str">
        <f ca="1">VLOOKUP(A264,Data[],4,FALSE)</f>
        <v>2026+</v>
      </c>
      <c r="F264" s="9">
        <f>VLOOKUP(EHDAll[[#This Row],[DEVELOPMENT]],EHD[],7,FALSE)</f>
        <v>27</v>
      </c>
      <c r="G264" s="9">
        <f>VLOOKUP(EHDAll[[#This Row],[DEVELOPMENT]],Data[],67,FALSE)</f>
        <v>43531</v>
      </c>
      <c r="H264" s="143" t="str">
        <f>IF(EHDAll[[#This Row],[STATUS]]="","",VLOOKUP(A264,EHD[],19,FALSE))</f>
        <v/>
      </c>
      <c r="I264" s="143" t="str">
        <f>IF(VLOOKUP(A264,EHD[],13,FALSE)=0,"",VLOOKUP(A264,EHD[],13,FALSE))</f>
        <v/>
      </c>
      <c r="J264" s="143" t="str">
        <f>IF(ISBLANK(VLOOKUP(A264,EHD[],14,FALSE)),"",VLOOKUP(A264,EHD[],14,FALSE))</f>
        <v/>
      </c>
      <c r="K264" s="151">
        <f>VLOOKUP(A264,EHD[],15,FALSE)</f>
        <v>0</v>
      </c>
      <c r="L264" s="151">
        <f ca="1">VLOOKUP(A264,EHD[],16,FALSE)</f>
        <v>228869.10693000004</v>
      </c>
      <c r="M264" s="143"/>
      <c r="N264" s="143" t="str">
        <f>IF(ISBLANK(VLOOKUP(A264,EHD[],20,FALSE)),"",VLOOKUP(A264,EHD[],20,FALSE))</f>
        <v/>
      </c>
      <c r="O264" s="152"/>
    </row>
    <row r="265" spans="1:15">
      <c r="A265" s="147" t="s">
        <v>364</v>
      </c>
      <c r="B265" s="144" t="str">
        <f>VLOOKUP(A265,Data[],2,FALSE)</f>
        <v>MANHATTAN</v>
      </c>
      <c r="C265" s="144" t="s">
        <v>27</v>
      </c>
      <c r="D265" s="9" t="str">
        <f>VLOOKUP(A265,Data[],52,FALSE)</f>
        <v>FEDERAL</v>
      </c>
      <c r="E265" s="9" t="str">
        <f ca="1">VLOOKUP(A265,Data[],4,FALSE)</f>
        <v/>
      </c>
      <c r="F265" s="9">
        <f>VLOOKUP(EHDAll[[#This Row],[DEVELOPMENT]],EHD[],7,FALSE)</f>
        <v>1</v>
      </c>
      <c r="G265" s="9">
        <f>VLOOKUP(EHDAll[[#This Row],[DEVELOPMENT]],Data[],67,FALSE)</f>
        <v>6</v>
      </c>
      <c r="H265" s="143" t="str">
        <f>IF(EHDAll[[#This Row],[STATUS]]="","",VLOOKUP(A265,EHD[],19,FALSE))</f>
        <v/>
      </c>
      <c r="I265" s="143" t="str">
        <f>IF(VLOOKUP(A265,EHD[],13,FALSE)=0,"",VLOOKUP(A265,EHD[],13,FALSE))</f>
        <v/>
      </c>
      <c r="J265" s="143" t="str">
        <f>IF(ISBLANK(VLOOKUP(A265,EHD[],14,FALSE)),"",VLOOKUP(A265,EHD[],14,FALSE))</f>
        <v/>
      </c>
      <c r="K265" s="151">
        <f>VLOOKUP(A265,EHD[],15,FALSE)</f>
        <v>0</v>
      </c>
      <c r="L265" s="151">
        <f ca="1">VLOOKUP(A265,EHD[],16,FALSE)</f>
        <v>8736.8811125000011</v>
      </c>
      <c r="M265" s="143"/>
      <c r="N265" s="143" t="str">
        <f>IF(ISBLANK(VLOOKUP(A265,EHD[],20,FALSE)),"",VLOOKUP(A265,EHD[],20,FALSE))</f>
        <v/>
      </c>
      <c r="O265" s="152"/>
    </row>
    <row r="266" spans="1:15">
      <c r="A266" s="147" t="s">
        <v>365</v>
      </c>
      <c r="B266" s="144" t="str">
        <f>VLOOKUP(A266,Data[],2,FALSE)</f>
        <v>STATEN ISLAND</v>
      </c>
      <c r="C266" s="144" t="s">
        <v>27</v>
      </c>
      <c r="D266" s="9" t="str">
        <f>VLOOKUP(A266,Data[],52,FALSE)</f>
        <v>MIXED FINANCE/LLC1</v>
      </c>
      <c r="E266" s="9" t="str">
        <f ca="1">VLOOKUP(A266,Data[],4,FALSE)</f>
        <v/>
      </c>
      <c r="F266" s="9">
        <f>VLOOKUP(EHDAll[[#This Row],[DEVELOPMENT]],EHD[],7,FALSE)</f>
        <v>12</v>
      </c>
      <c r="G266" s="9" t="str">
        <f>VLOOKUP(EHDAll[[#This Row],[DEVELOPMENT]],Data[],67,FALSE)</f>
        <v>1, 8</v>
      </c>
      <c r="H266" s="143" t="str">
        <f>IF(EHDAll[[#This Row],[STATUS]]="","",VLOOKUP(A266,EHD[],19,FALSE))</f>
        <v/>
      </c>
      <c r="I266" s="143" t="str">
        <f>IF(VLOOKUP(A266,EHD[],13,FALSE)=0,"",VLOOKUP(A266,EHD[],13,FALSE))</f>
        <v/>
      </c>
      <c r="J266" s="143" t="str">
        <f>IF(ISBLANK(VLOOKUP(A266,EHD[],14,FALSE)),"",VLOOKUP(A266,EHD[],14,FALSE))</f>
        <v/>
      </c>
      <c r="K266" s="151">
        <f>VLOOKUP(A266,EHD[],15,FALSE)</f>
        <v>0</v>
      </c>
      <c r="L266" s="151">
        <f ca="1">VLOOKUP(A266,EHD[],16,FALSE)</f>
        <v>104842.57335000002</v>
      </c>
      <c r="M266" s="143"/>
      <c r="N266" s="143" t="str">
        <f>IF(ISBLANK(VLOOKUP(A266,EHD[],20,FALSE)),"",VLOOKUP(A266,EHD[],20,FALSE))</f>
        <v/>
      </c>
      <c r="O266" s="152"/>
    </row>
    <row r="267" spans="1:15">
      <c r="A267" s="147" t="s">
        <v>97</v>
      </c>
      <c r="B267" s="144" t="str">
        <f>VLOOKUP(A267,Data[],2,FALSE)</f>
        <v>BRONX</v>
      </c>
      <c r="C267" s="144" t="s">
        <v>27</v>
      </c>
      <c r="D267" s="9" t="str">
        <f>VLOOKUP(A267,Data[],52,FALSE)</f>
        <v>FEDERAL</v>
      </c>
      <c r="E267" s="9" t="str">
        <f ca="1">VLOOKUP(A267,Data[],4,FALSE)</f>
        <v>2026+</v>
      </c>
      <c r="F267" s="9">
        <f>VLOOKUP(EHDAll[[#This Row],[DEVELOPMENT]],EHD[],7,FALSE)</f>
        <v>0</v>
      </c>
      <c r="G267" s="9">
        <f>VLOOKUP(EHDAll[[#This Row],[DEVELOPMENT]],Data[],67,FALSE)</f>
        <v>3</v>
      </c>
      <c r="H267" s="143" t="str">
        <f>IF(EHDAll[[#This Row],[STATUS]]="","",VLOOKUP(A267,EHD[],19,FALSE))</f>
        <v/>
      </c>
      <c r="I267" s="143" t="str">
        <f>IF(VLOOKUP(A267,EHD[],13,FALSE)=0,"",VLOOKUP(A267,EHD[],13,FALSE))</f>
        <v/>
      </c>
      <c r="J267" s="143" t="str">
        <f>IF(ISBLANK(VLOOKUP(A267,EHD[],14,FALSE)),"",VLOOKUP(A267,EHD[],14,FALSE))</f>
        <v/>
      </c>
      <c r="K267" s="151">
        <f>VLOOKUP(A267,EHD[],15,FALSE)</f>
        <v>0</v>
      </c>
      <c r="L267" s="151">
        <f ca="1">VLOOKUP(A267,EHD[],16,FALSE)</f>
        <v>0</v>
      </c>
      <c r="M267" s="143"/>
      <c r="N267" s="143" t="str">
        <f>IF(ISBLANK(VLOOKUP(A267,EHD[],20,FALSE)),"",VLOOKUP(A267,EHD[],20,FALSE))</f>
        <v/>
      </c>
      <c r="O267" s="152"/>
    </row>
    <row r="268" spans="1:15">
      <c r="A268" s="147" t="s">
        <v>366</v>
      </c>
      <c r="B268" s="144" t="str">
        <f>VLOOKUP(A268,Data[],2,FALSE)</f>
        <v>BROOKLYN</v>
      </c>
      <c r="C268" s="144" t="s">
        <v>27</v>
      </c>
      <c r="D268" s="9" t="str">
        <f>VLOOKUP(A268,Data[],52,FALSE)</f>
        <v>FEDERAL</v>
      </c>
      <c r="E268" s="9" t="str">
        <f ca="1">VLOOKUP(A268,Data[],4,FALSE)</f>
        <v>2022-2025</v>
      </c>
      <c r="F268" s="9">
        <f>VLOOKUP(EHDAll[[#This Row],[DEVELOPMENT]],EHD[],7,FALSE)</f>
        <v>5</v>
      </c>
      <c r="G268" s="9">
        <f>VLOOKUP(EHDAll[[#This Row],[DEVELOPMENT]],Data[],67,FALSE)</f>
        <v>4</v>
      </c>
      <c r="H268" s="143" t="str">
        <f>IF(EHDAll[[#This Row],[STATUS]]="","",VLOOKUP(A268,EHD[],19,FALSE))</f>
        <v/>
      </c>
      <c r="I268" s="143" t="str">
        <f>IF(VLOOKUP(A268,EHD[],13,FALSE)=0,"",VLOOKUP(A268,EHD[],13,FALSE))</f>
        <v/>
      </c>
      <c r="J268" s="143" t="str">
        <f>IF(ISBLANK(VLOOKUP(A268,EHD[],14,FALSE)),"",VLOOKUP(A268,EHD[],14,FALSE))</f>
        <v/>
      </c>
      <c r="K268" s="151">
        <f>VLOOKUP(A268,EHD[],15,FALSE)</f>
        <v>0</v>
      </c>
      <c r="L268" s="151">
        <f ca="1">VLOOKUP(A268,EHD[],16,FALSE)</f>
        <v>43684.405562500004</v>
      </c>
      <c r="M268" s="143"/>
      <c r="N268" s="143" t="str">
        <f>IF(ISBLANK(VLOOKUP(A268,EHD[],20,FALSE)),"",VLOOKUP(A268,EHD[],20,FALSE))</f>
        <v/>
      </c>
      <c r="O268" s="152"/>
    </row>
    <row r="269" spans="1:15">
      <c r="A269" s="147" t="s">
        <v>256</v>
      </c>
      <c r="B269" s="144" t="str">
        <f>VLOOKUP(A269,Data[],2,FALSE)</f>
        <v>BROOKLYN</v>
      </c>
      <c r="C269" s="144" t="s">
        <v>27</v>
      </c>
      <c r="D269" s="9" t="str">
        <f>VLOOKUP(A269,Data[],52,FALSE)</f>
        <v>FEDERAL</v>
      </c>
      <c r="E269" s="9" t="str">
        <f ca="1">VLOOKUP(A269,Data[],4,FALSE)</f>
        <v>2022-2025</v>
      </c>
      <c r="F269" s="9">
        <f>VLOOKUP(EHDAll[[#This Row],[DEVELOPMENT]],EHD[],7,FALSE)</f>
        <v>7</v>
      </c>
      <c r="G269" s="9">
        <f>VLOOKUP(EHDAll[[#This Row],[DEVELOPMENT]],Data[],67,FALSE)</f>
        <v>4</v>
      </c>
      <c r="H269" s="143" t="str">
        <f>IF(EHDAll[[#This Row],[STATUS]]="","",VLOOKUP(A269,EHD[],19,FALSE))</f>
        <v/>
      </c>
      <c r="I269" s="143" t="str">
        <f>IF(VLOOKUP(A269,EHD[],13,FALSE)=0,"",VLOOKUP(A269,EHD[],13,FALSE))</f>
        <v/>
      </c>
      <c r="J269" s="143" t="str">
        <f>IF(ISBLANK(VLOOKUP(A269,EHD[],14,FALSE)),"",VLOOKUP(A269,EHD[],14,FALSE))</f>
        <v/>
      </c>
      <c r="K269" s="151">
        <f>VLOOKUP(A269,EHD[],15,FALSE)</f>
        <v>0</v>
      </c>
      <c r="L269" s="151">
        <f ca="1">VLOOKUP(A269,EHD[],16,FALSE)</f>
        <v>59336.435130000013</v>
      </c>
      <c r="M269" s="143"/>
      <c r="N269" s="143" t="str">
        <f>IF(ISBLANK(VLOOKUP(A269,EHD[],20,FALSE)),"",VLOOKUP(A269,EHD[],20,FALSE))</f>
        <v/>
      </c>
      <c r="O269" s="152"/>
    </row>
    <row r="270" spans="1:15">
      <c r="A270" s="147" t="s">
        <v>198</v>
      </c>
      <c r="B270" s="144" t="str">
        <f>VLOOKUP(A270,Data[],2,FALSE)</f>
        <v>MANHATTAN</v>
      </c>
      <c r="C270" s="144" t="s">
        <v>27</v>
      </c>
      <c r="D270" s="9" t="str">
        <f>VLOOKUP(A270,Data[],52,FALSE)</f>
        <v>FEDERAL</v>
      </c>
      <c r="E270" s="9" t="str">
        <f ca="1">VLOOKUP(A270,Data[],4,FALSE)</f>
        <v/>
      </c>
      <c r="F270" s="9">
        <f>VLOOKUP(EHDAll[[#This Row],[DEVELOPMENT]],EHD[],7,FALSE)</f>
        <v>2</v>
      </c>
      <c r="G270" s="9" t="str">
        <f>VLOOKUP(EHDAll[[#This Row],[DEVELOPMENT]],Data[],67,FALSE)</f>
        <v>19-20</v>
      </c>
      <c r="H270" s="143" t="str">
        <f>IF(EHDAll[[#This Row],[STATUS]]="","",VLOOKUP(A270,EHD[],19,FALSE))</f>
        <v/>
      </c>
      <c r="I270" s="143" t="str">
        <f>IF(VLOOKUP(A270,EHD[],13,FALSE)=0,"",VLOOKUP(A270,EHD[],13,FALSE))</f>
        <v/>
      </c>
      <c r="J270" s="143" t="str">
        <f>IF(ISBLANK(VLOOKUP(A270,EHD[],14,FALSE)),"",VLOOKUP(A270,EHD[],14,FALSE))</f>
        <v/>
      </c>
      <c r="K270" s="151">
        <f>VLOOKUP(A270,EHD[],15,FALSE)</f>
        <v>0</v>
      </c>
      <c r="L270" s="151">
        <f ca="1">VLOOKUP(A270,EHD[],16,FALSE)</f>
        <v>16432.772134999999</v>
      </c>
      <c r="M270" s="143"/>
      <c r="N270" s="143" t="str">
        <f>IF(ISBLANK(VLOOKUP(A270,EHD[],20,FALSE)),"",VLOOKUP(A270,EHD[],20,FALSE))</f>
        <v/>
      </c>
      <c r="O270" s="152"/>
    </row>
    <row r="271" spans="1:15">
      <c r="A271" s="148" t="s">
        <v>257</v>
      </c>
      <c r="B271" s="144" t="str">
        <f>VLOOKUP(A271,Data[],2,FALSE)</f>
        <v>BROOKLYN</v>
      </c>
      <c r="C271" s="144" t="s">
        <v>27</v>
      </c>
      <c r="D271" s="9" t="str">
        <f>VLOOKUP(A271,Data[],52,FALSE)</f>
        <v>FEDERAL</v>
      </c>
      <c r="E271" s="9" t="str">
        <f ca="1">VLOOKUP(A271,Data[],4,FALSE)</f>
        <v>2026+</v>
      </c>
      <c r="F271" s="9">
        <f>VLOOKUP(EHDAll[[#This Row],[DEVELOPMENT]],EHD[],7,FALSE)</f>
        <v>11</v>
      </c>
      <c r="G271" s="9">
        <f>VLOOKUP(EHDAll[[#This Row],[DEVELOPMENT]],Data[],67,FALSE)</f>
        <v>4</v>
      </c>
      <c r="H271" s="143" t="str">
        <f>IF(EHDAll[[#This Row],[STATUS]]="","",VLOOKUP(A271,EHD[],19,FALSE))</f>
        <v/>
      </c>
      <c r="I271" s="143" t="str">
        <f>IF(VLOOKUP(A271,EHD[],13,FALSE)=0,"",VLOOKUP(A271,EHD[],13,FALSE))</f>
        <v/>
      </c>
      <c r="J271" s="143" t="str">
        <f>IF(ISBLANK(VLOOKUP(A271,EHD[],14,FALSE)),"",VLOOKUP(A271,EHD[],14,FALSE))</f>
        <v/>
      </c>
      <c r="K271" s="151">
        <f>VLOOKUP(A271,EHD[],15,FALSE)</f>
        <v>0</v>
      </c>
      <c r="L271" s="151">
        <f ca="1">VLOOKUP(A271,EHD[],16,FALSE)</f>
        <v>93242.969490000018</v>
      </c>
      <c r="M271" s="143"/>
      <c r="N271" s="143" t="str">
        <f>IF(ISBLANK(VLOOKUP(A271,EHD[],20,FALSE)),"",VLOOKUP(A271,EHD[],20,FALSE))</f>
        <v/>
      </c>
      <c r="O271" s="152"/>
    </row>
    <row r="272" spans="1:15">
      <c r="A272" s="147" t="s">
        <v>367</v>
      </c>
      <c r="B272" s="144" t="str">
        <f>VLOOKUP(A272,Data[],2,FALSE)</f>
        <v>BROOKLYN</v>
      </c>
      <c r="C272" s="144" t="s">
        <v>27</v>
      </c>
      <c r="D272" s="9" t="str">
        <f>VLOOKUP(A272,Data[],52,FALSE)</f>
        <v>FEDERAL</v>
      </c>
      <c r="E272" s="9" t="str">
        <f ca="1">VLOOKUP(A272,Data[],4,FALSE)</f>
        <v/>
      </c>
      <c r="F272" s="9">
        <f>VLOOKUP(EHDAll[[#This Row],[DEVELOPMENT]],EHD[],7,FALSE)</f>
        <v>5</v>
      </c>
      <c r="G272" s="9" t="str">
        <f>VLOOKUP(EHDAll[[#This Row],[DEVELOPMENT]],Data[],67,FALSE)</f>
        <v>14-15</v>
      </c>
      <c r="H272" s="143" t="str">
        <f>IF(EHDAll[[#This Row],[STATUS]]="","",VLOOKUP(A272,EHD[],19,FALSE))</f>
        <v/>
      </c>
      <c r="I272" s="143" t="str">
        <f>IF(VLOOKUP(A272,EHD[],13,FALSE)=0,"",VLOOKUP(A272,EHD[],13,FALSE))</f>
        <v/>
      </c>
      <c r="J272" s="143" t="str">
        <f>IF(ISBLANK(VLOOKUP(A272,EHD[],14,FALSE)),"",VLOOKUP(A272,EHD[],14,FALSE))</f>
        <v/>
      </c>
      <c r="K272" s="151">
        <f>VLOOKUP(A272,EHD[],15,FALSE)</f>
        <v>0</v>
      </c>
      <c r="L272" s="151">
        <f ca="1">VLOOKUP(A272,EHD[],16,FALSE)</f>
        <v>43684.405562500004</v>
      </c>
      <c r="M272" s="143"/>
      <c r="N272" s="143" t="str">
        <f>IF(ISBLANK(VLOOKUP(A272,EHD[],20,FALSE)),"",VLOOKUP(A272,EHD[],20,FALSE))</f>
        <v/>
      </c>
      <c r="O272" s="152"/>
    </row>
    <row r="273" spans="1:15">
      <c r="A273" s="147" t="s">
        <v>368</v>
      </c>
      <c r="B273" s="144" t="str">
        <f>VLOOKUP(A273,Data[],2,FALSE)</f>
        <v>BROOKLYN</v>
      </c>
      <c r="C273" s="144" t="s">
        <v>27</v>
      </c>
      <c r="D273" s="9" t="str">
        <f>VLOOKUP(A273,Data[],52,FALSE)</f>
        <v>FEDERAL</v>
      </c>
      <c r="E273" s="9" t="str">
        <f ca="1">VLOOKUP(A273,Data[],4,FALSE)</f>
        <v>2020-2021</v>
      </c>
      <c r="F273" s="9">
        <f>VLOOKUP(EHDAll[[#This Row],[DEVELOPMENT]],EHD[],7,FALSE)</f>
        <v>6</v>
      </c>
      <c r="G273" s="9">
        <f>VLOOKUP(EHDAll[[#This Row],[DEVELOPMENT]],Data[],67,FALSE)</f>
        <v>43561</v>
      </c>
      <c r="H273" s="143" t="str">
        <f>IF(EHDAll[[#This Row],[STATUS]]="","",VLOOKUP(A273,EHD[],19,FALSE))</f>
        <v/>
      </c>
      <c r="I273" s="143" t="str">
        <f>IF(VLOOKUP(A273,EHD[],13,FALSE)=0,"",VLOOKUP(A273,EHD[],13,FALSE))</f>
        <v/>
      </c>
      <c r="J273" s="143" t="str">
        <f>IF(ISBLANK(VLOOKUP(A273,EHD[],14,FALSE)),"",VLOOKUP(A273,EHD[],14,FALSE))</f>
        <v/>
      </c>
      <c r="K273" s="151">
        <f>VLOOKUP(A273,EHD[],15,FALSE)</f>
        <v>0</v>
      </c>
      <c r="L273" s="151">
        <f ca="1">VLOOKUP(A273,EHD[],16,FALSE)</f>
        <v>52421.28667500001</v>
      </c>
      <c r="M273" s="143"/>
      <c r="N273" s="143" t="str">
        <f>IF(ISBLANK(VLOOKUP(A273,EHD[],20,FALSE)),"",VLOOKUP(A273,EHD[],20,FALSE))</f>
        <v/>
      </c>
      <c r="O273" s="152"/>
    </row>
    <row r="274" spans="1:15">
      <c r="A274" s="147" t="s">
        <v>128</v>
      </c>
      <c r="B274" s="144" t="str">
        <f>VLOOKUP(A274,Data[],2,FALSE)</f>
        <v>MANHATTAN</v>
      </c>
      <c r="C274" s="144" t="s">
        <v>27</v>
      </c>
      <c r="D274" s="9" t="str">
        <f>VLOOKUP(A274,Data[],52,FALSE)</f>
        <v>FEDERAL</v>
      </c>
      <c r="E274" s="9" t="str">
        <f ca="1">VLOOKUP(A274,Data[],4,FALSE)</f>
        <v>2026+</v>
      </c>
      <c r="F274" s="9">
        <f>VLOOKUP(EHDAll[[#This Row],[DEVELOPMENT]],EHD[],7,FALSE)</f>
        <v>18</v>
      </c>
      <c r="G274" s="9">
        <f>VLOOKUP(EHDAll[[#This Row],[DEVELOPMENT]],Data[],67,FALSE)</f>
        <v>19</v>
      </c>
      <c r="H274" s="143" t="str">
        <f>IF(EHDAll[[#This Row],[STATUS]]="","",VLOOKUP(A274,EHD[],19,FALSE))</f>
        <v/>
      </c>
      <c r="I274" s="143" t="str">
        <f>IF(VLOOKUP(A274,EHD[],13,FALSE)=0,"",VLOOKUP(A274,EHD[],13,FALSE))</f>
        <v/>
      </c>
      <c r="J274" s="143" t="str">
        <f>IF(ISBLANK(VLOOKUP(A274,EHD[],14,FALSE)),"",VLOOKUP(A274,EHD[],14,FALSE))</f>
        <v/>
      </c>
      <c r="K274" s="151">
        <f>VLOOKUP(A274,EHD[],15,FALSE)</f>
        <v>0</v>
      </c>
      <c r="L274" s="151">
        <f ca="1">VLOOKUP(A274,EHD[],16,FALSE)</f>
        <v>133841.58300000001</v>
      </c>
      <c r="M274" s="143"/>
      <c r="N274" s="143" t="str">
        <f>IF(ISBLANK(VLOOKUP(A274,EHD[],20,FALSE)),"",VLOOKUP(A274,EHD[],20,FALSE))</f>
        <v/>
      </c>
      <c r="O274" s="152"/>
    </row>
    <row r="275" spans="1:15">
      <c r="A275" s="147" t="s">
        <v>369</v>
      </c>
      <c r="B275" s="144" t="str">
        <f>VLOOKUP(A275,Data[],2,FALSE)</f>
        <v>BROOKLYN</v>
      </c>
      <c r="C275" s="144" t="s">
        <v>27</v>
      </c>
      <c r="D275" s="9" t="str">
        <f>VLOOKUP(A275,Data[],52,FALSE)</f>
        <v>FEDERAL</v>
      </c>
      <c r="E275" s="9" t="str">
        <f ca="1">VLOOKUP(A275,Data[],4,FALSE)</f>
        <v>2020-2021</v>
      </c>
      <c r="F275" s="9">
        <f>VLOOKUP(EHDAll[[#This Row],[DEVELOPMENT]],EHD[],7,FALSE)</f>
        <v>8</v>
      </c>
      <c r="G275" s="9">
        <f>VLOOKUP(EHDAll[[#This Row],[DEVELOPMENT]],Data[],67,FALSE)</f>
        <v>4</v>
      </c>
      <c r="H275" s="143" t="str">
        <f>IF(EHDAll[[#This Row],[STATUS]]="","",VLOOKUP(A275,EHD[],19,FALSE))</f>
        <v/>
      </c>
      <c r="I275" s="143" t="str">
        <f>IF(VLOOKUP(A275,EHD[],13,FALSE)=0,"",VLOOKUP(A275,EHD[],13,FALSE))</f>
        <v/>
      </c>
      <c r="J275" s="143" t="str">
        <f>IF(ISBLANK(VLOOKUP(A275,EHD[],14,FALSE)),"",VLOOKUP(A275,EHD[],14,FALSE))</f>
        <v/>
      </c>
      <c r="K275" s="151">
        <f>VLOOKUP(A275,EHD[],15,FALSE)</f>
        <v>0</v>
      </c>
      <c r="L275" s="151">
        <f ca="1">VLOOKUP(A275,EHD[],16,FALSE)</f>
        <v>69895.048900000009</v>
      </c>
      <c r="M275" s="143"/>
      <c r="N275" s="143" t="str">
        <f>IF(ISBLANK(VLOOKUP(A275,EHD[],20,FALSE)),"",VLOOKUP(A275,EHD[],20,FALSE))</f>
        <v/>
      </c>
      <c r="O275" s="152"/>
    </row>
    <row r="276" spans="1:15">
      <c r="A276" s="147" t="s">
        <v>370</v>
      </c>
      <c r="B276" s="144" t="str">
        <f>VLOOKUP(A276,Data[],2,FALSE)</f>
        <v>BROOKLYN</v>
      </c>
      <c r="C276" s="144" t="s">
        <v>27</v>
      </c>
      <c r="D276" s="9" t="str">
        <f>VLOOKUP(A276,Data[],52,FALSE)</f>
        <v>FEDERAL</v>
      </c>
      <c r="E276" s="9" t="str">
        <f ca="1">VLOOKUP(A276,Data[],4,FALSE)</f>
        <v/>
      </c>
      <c r="F276" s="9">
        <f>VLOOKUP(EHDAll[[#This Row],[DEVELOPMENT]],EHD[],7,FALSE)</f>
        <v>5</v>
      </c>
      <c r="G276" s="9" t="str">
        <f>VLOOKUP(EHDAll[[#This Row],[DEVELOPMENT]],Data[],67,FALSE)</f>
        <v>8-11-12-13</v>
      </c>
      <c r="H276" s="143" t="str">
        <f>IF(EHDAll[[#This Row],[STATUS]]="","",VLOOKUP(A276,EHD[],19,FALSE))</f>
        <v/>
      </c>
      <c r="I276" s="143" t="str">
        <f>IF(VLOOKUP(A276,EHD[],13,FALSE)=0,"",VLOOKUP(A276,EHD[],13,FALSE))</f>
        <v/>
      </c>
      <c r="J276" s="143" t="str">
        <f>IF(ISBLANK(VLOOKUP(A276,EHD[],14,FALSE)),"",VLOOKUP(A276,EHD[],14,FALSE))</f>
        <v/>
      </c>
      <c r="K276" s="151">
        <f>VLOOKUP(A276,EHD[],15,FALSE)</f>
        <v>0</v>
      </c>
      <c r="L276" s="151">
        <f ca="1">VLOOKUP(A276,EHD[],16,FALSE)</f>
        <v>43684.405562500004</v>
      </c>
      <c r="M276" s="143"/>
      <c r="N276" s="143" t="str">
        <f>IF(ISBLANK(VLOOKUP(A276,EHD[],20,FALSE)),"",VLOOKUP(A276,EHD[],20,FALSE))</f>
        <v/>
      </c>
      <c r="O276" s="152"/>
    </row>
    <row r="277" spans="1:15">
      <c r="A277" s="147" t="s">
        <v>371</v>
      </c>
      <c r="B277" s="144" t="str">
        <f>VLOOKUP(A277,Data[],2,FALSE)</f>
        <v>MANHATTAN</v>
      </c>
      <c r="C277" s="144" t="s">
        <v>27</v>
      </c>
      <c r="D277" s="9" t="str">
        <f>VLOOKUP(A277,Data[],52,FALSE)</f>
        <v>FEDERAL</v>
      </c>
      <c r="E277" s="9" t="str">
        <f ca="1">VLOOKUP(A277,Data[],4,FALSE)</f>
        <v/>
      </c>
      <c r="F277" s="9">
        <f>VLOOKUP(EHDAll[[#This Row],[DEVELOPMENT]],EHD[],7,FALSE)</f>
        <v>1</v>
      </c>
      <c r="G277" s="9">
        <f>VLOOKUP(EHDAll[[#This Row],[DEVELOPMENT]],Data[],67,FALSE)</f>
        <v>11</v>
      </c>
      <c r="H277" s="143" t="str">
        <f>IF(EHDAll[[#This Row],[STATUS]]="","",VLOOKUP(A277,EHD[],19,FALSE))</f>
        <v/>
      </c>
      <c r="I277" s="143" t="str">
        <f>IF(VLOOKUP(A277,EHD[],13,FALSE)=0,"",VLOOKUP(A277,EHD[],13,FALSE))</f>
        <v/>
      </c>
      <c r="J277" s="143" t="str">
        <f>IF(ISBLANK(VLOOKUP(A277,EHD[],14,FALSE)),"",VLOOKUP(A277,EHD[],14,FALSE))</f>
        <v/>
      </c>
      <c r="K277" s="151">
        <f>VLOOKUP(A277,EHD[],15,FALSE)</f>
        <v>0</v>
      </c>
      <c r="L277" s="151">
        <f ca="1">VLOOKUP(A277,EHD[],16,FALSE)</f>
        <v>8997.1286349999991</v>
      </c>
      <c r="M277" s="143"/>
      <c r="N277" s="143" t="str">
        <f>IF(ISBLANK(VLOOKUP(A277,EHD[],20,FALSE)),"",VLOOKUP(A277,EHD[],20,FALSE))</f>
        <v/>
      </c>
      <c r="O277" s="152"/>
    </row>
    <row r="278" spans="1:15">
      <c r="A278" s="147" t="s">
        <v>217</v>
      </c>
      <c r="B278" s="144" t="str">
        <f>VLOOKUP(A278,Data[],2,FALSE)</f>
        <v>BRONX</v>
      </c>
      <c r="C278" s="144" t="s">
        <v>27</v>
      </c>
      <c r="D278" s="9" t="str">
        <f>VLOOKUP(A278,Data[],52,FALSE)</f>
        <v>FEDERAL</v>
      </c>
      <c r="E278" s="9" t="str">
        <f ca="1">VLOOKUP(A278,Data[],4,FALSE)</f>
        <v>2020-2021</v>
      </c>
      <c r="F278" s="9">
        <f>VLOOKUP(EHDAll[[#This Row],[DEVELOPMENT]],EHD[],7,FALSE)</f>
        <v>62</v>
      </c>
      <c r="G278" s="9">
        <f>VLOOKUP(EHDAll[[#This Row],[DEVELOPMENT]],Data[],67,FALSE)</f>
        <v>43531</v>
      </c>
      <c r="H278" s="143" t="str">
        <f>IF(EHDAll[[#This Row],[STATUS]]="","",VLOOKUP(A278,EHD[],19,FALSE))</f>
        <v/>
      </c>
      <c r="I278" s="143" t="str">
        <f>IF(VLOOKUP(A278,EHD[],13,FALSE)=0,"",VLOOKUP(A278,EHD[],13,FALSE))</f>
        <v/>
      </c>
      <c r="J278" s="143" t="str">
        <f>IF(ISBLANK(VLOOKUP(A278,EHD[],14,FALSE)),"",VLOOKUP(A278,EHD[],14,FALSE))</f>
        <v/>
      </c>
      <c r="K278" s="151">
        <f>VLOOKUP(A278,EHD[],15,FALSE)</f>
        <v>0</v>
      </c>
      <c r="L278" s="151">
        <f ca="1">VLOOKUP(A278,EHD[],16,FALSE)</f>
        <v>509415.936185</v>
      </c>
      <c r="M278" s="143"/>
      <c r="N278" s="143" t="str">
        <f>IF(ISBLANK(VLOOKUP(A278,EHD[],20,FALSE)),"",VLOOKUP(A278,EHD[],20,FALSE))</f>
        <v/>
      </c>
      <c r="O278" s="152"/>
    </row>
    <row r="279" spans="1:15">
      <c r="A279" s="147" t="s">
        <v>225</v>
      </c>
      <c r="B279" s="144" t="str">
        <f>VLOOKUP(A279,Data[],2,FALSE)</f>
        <v>BRONX</v>
      </c>
      <c r="C279" s="144" t="s">
        <v>27</v>
      </c>
      <c r="D279" s="9" t="str">
        <f>VLOOKUP(A279,Data[],52,FALSE)</f>
        <v>FEDERAL</v>
      </c>
      <c r="E279" s="9" t="str">
        <f ca="1">VLOOKUP(A279,Data[],4,FALSE)</f>
        <v>2020-2021</v>
      </c>
      <c r="F279" s="9">
        <f>VLOOKUP(EHDAll[[#This Row],[DEVELOPMENT]],EHD[],7,FALSE)</f>
        <v>4</v>
      </c>
      <c r="G279" s="9">
        <f>VLOOKUP(EHDAll[[#This Row],[DEVELOPMENT]],Data[],67,FALSE)</f>
        <v>43688</v>
      </c>
      <c r="H279" s="143" t="str">
        <f>IF(EHDAll[[#This Row],[STATUS]]="","",VLOOKUP(A279,EHD[],19,FALSE))</f>
        <v/>
      </c>
      <c r="I279" s="143" t="str">
        <f>IF(VLOOKUP(A279,EHD[],13,FALSE)=0,"",VLOOKUP(A279,EHD[],13,FALSE))</f>
        <v/>
      </c>
      <c r="J279" s="143" t="str">
        <f>IF(ISBLANK(VLOOKUP(A279,EHD[],14,FALSE)),"",VLOOKUP(A279,EHD[],14,FALSE))</f>
        <v/>
      </c>
      <c r="K279" s="151">
        <f>VLOOKUP(A279,EHD[],15,FALSE)</f>
        <v>0</v>
      </c>
      <c r="L279" s="151">
        <f ca="1">VLOOKUP(A279,EHD[],16,FALSE)</f>
        <v>32865.544269999999</v>
      </c>
      <c r="M279" s="143"/>
      <c r="N279" s="143" t="str">
        <f>IF(ISBLANK(VLOOKUP(A279,EHD[],20,FALSE)),"",VLOOKUP(A279,EHD[],20,FALSE))</f>
        <v/>
      </c>
      <c r="O279" s="152"/>
    </row>
    <row r="280" spans="1:15">
      <c r="A280" s="147" t="s">
        <v>270</v>
      </c>
      <c r="B280" s="144" t="str">
        <f>VLOOKUP(A280,Data[],2,FALSE)</f>
        <v>BROOKLYN</v>
      </c>
      <c r="C280" s="144" t="s">
        <v>27</v>
      </c>
      <c r="D280" s="9" t="str">
        <f>VLOOKUP(A280,Data[],52,FALSE)</f>
        <v>FEDERAL</v>
      </c>
      <c r="E280" s="9" t="str">
        <f ca="1">VLOOKUP(A280,Data[],4,FALSE)</f>
        <v/>
      </c>
      <c r="F280" s="9">
        <f>VLOOKUP(EHDAll[[#This Row],[DEVELOPMENT]],EHD[],7,FALSE)</f>
        <v>8</v>
      </c>
      <c r="G280" s="9">
        <f>VLOOKUP(EHDAll[[#This Row],[DEVELOPMENT]],Data[],67,FALSE)</f>
        <v>16</v>
      </c>
      <c r="H280" s="143" t="str">
        <f>IF(EHDAll[[#This Row],[STATUS]]="","",VLOOKUP(A280,EHD[],19,FALSE))</f>
        <v/>
      </c>
      <c r="I280" s="143" t="str">
        <f>IF(VLOOKUP(A280,EHD[],13,FALSE)=0,"",VLOOKUP(A280,EHD[],13,FALSE))</f>
        <v/>
      </c>
      <c r="J280" s="143" t="str">
        <f>IF(ISBLANK(VLOOKUP(A280,EHD[],14,FALSE)),"",VLOOKUP(A280,EHD[],14,FALSE))</f>
        <v/>
      </c>
      <c r="K280" s="151">
        <f>VLOOKUP(A280,EHD[],15,FALSE)</f>
        <v>0</v>
      </c>
      <c r="L280" s="151">
        <f ca="1">VLOOKUP(A280,EHD[],16,FALSE)</f>
        <v>67813.06872000001</v>
      </c>
      <c r="M280" s="143"/>
      <c r="N280" s="143" t="str">
        <f>IF(ISBLANK(VLOOKUP(A280,EHD[],20,FALSE)),"",VLOOKUP(A280,EHD[],20,FALSE))</f>
        <v/>
      </c>
      <c r="O280" s="152"/>
    </row>
    <row r="281" spans="1:15">
      <c r="A281" s="147" t="s">
        <v>288</v>
      </c>
      <c r="B281" s="144" t="str">
        <f>VLOOKUP(A281,Data[],2,FALSE)</f>
        <v>STATEN ISLAND</v>
      </c>
      <c r="C281" s="144" t="s">
        <v>27</v>
      </c>
      <c r="D281" s="9" t="str">
        <f>VLOOKUP(A281,Data[],52,FALSE)</f>
        <v>FEDERAL</v>
      </c>
      <c r="E281" s="9" t="str">
        <f ca="1">VLOOKUP(A281,Data[],4,FALSE)</f>
        <v/>
      </c>
      <c r="F281" s="9">
        <f>VLOOKUP(EHDAll[[#This Row],[DEVELOPMENT]],EHD[],7,FALSE)</f>
        <v>14</v>
      </c>
      <c r="G281" s="9">
        <f>VLOOKUP(EHDAll[[#This Row],[DEVELOPMENT]],Data[],67,FALSE)</f>
        <v>6</v>
      </c>
      <c r="H281" s="143" t="str">
        <f>IF(EHDAll[[#This Row],[STATUS]]="","",VLOOKUP(A281,EHD[],19,FALSE))</f>
        <v/>
      </c>
      <c r="I281" s="143" t="str">
        <f>IF(VLOOKUP(A281,EHD[],13,FALSE)=0,"",VLOOKUP(A281,EHD[],13,FALSE))</f>
        <v/>
      </c>
      <c r="J281" s="143" t="str">
        <f>IF(ISBLANK(VLOOKUP(A281,EHD[],14,FALSE)),"",VLOOKUP(A281,EHD[],14,FALSE))</f>
        <v/>
      </c>
      <c r="K281" s="151">
        <f>VLOOKUP(A281,EHD[],15,FALSE)</f>
        <v>0</v>
      </c>
      <c r="L281" s="151">
        <f ca="1">VLOOKUP(A281,EHD[],16,FALSE)</f>
        <v>118672.87026000003</v>
      </c>
      <c r="M281" s="143"/>
      <c r="N281" s="143" t="str">
        <f>IF(ISBLANK(VLOOKUP(A281,EHD[],20,FALSE)),"",VLOOKUP(A281,EHD[],20,FALSE))</f>
        <v/>
      </c>
      <c r="O281" s="152"/>
    </row>
    <row r="282" spans="1:15">
      <c r="A282" s="147" t="s">
        <v>99</v>
      </c>
      <c r="B282" s="144" t="str">
        <f>VLOOKUP(A282,Data[],2,FALSE)</f>
        <v>BRONX</v>
      </c>
      <c r="C282" s="144" t="s">
        <v>27</v>
      </c>
      <c r="D282" s="9" t="str">
        <f>VLOOKUP(A282,Data[],52,FALSE)</f>
        <v>FEDERAL</v>
      </c>
      <c r="E282" s="9" t="str">
        <f ca="1">VLOOKUP(A282,Data[],4,FALSE)</f>
        <v>2026+</v>
      </c>
      <c r="F282" s="9">
        <f>VLOOKUP(EHDAll[[#This Row],[DEVELOPMENT]],EHD[],7,FALSE)</f>
        <v>0</v>
      </c>
      <c r="G282" s="9">
        <f>VLOOKUP(EHDAll[[#This Row],[DEVELOPMENT]],Data[],67,FALSE)</f>
        <v>3</v>
      </c>
      <c r="H282" s="143" t="str">
        <f>IF(EHDAll[[#This Row],[STATUS]]="","",VLOOKUP(A282,EHD[],19,FALSE))</f>
        <v/>
      </c>
      <c r="I282" s="143" t="str">
        <f>IF(VLOOKUP(A282,EHD[],13,FALSE)=0,"",VLOOKUP(A282,EHD[],13,FALSE))</f>
        <v/>
      </c>
      <c r="J282" s="143" t="str">
        <f>IF(ISBLANK(VLOOKUP(A282,EHD[],14,FALSE)),"",VLOOKUP(A282,EHD[],14,FALSE))</f>
        <v/>
      </c>
      <c r="K282" s="151">
        <f>VLOOKUP(A282,EHD[],15,FALSE)</f>
        <v>0</v>
      </c>
      <c r="L282" s="151">
        <f ca="1">VLOOKUP(A282,EHD[],16,FALSE)</f>
        <v>0</v>
      </c>
      <c r="M282" s="143"/>
      <c r="N282" s="143" t="str">
        <f>IF(ISBLANK(VLOOKUP(A282,EHD[],20,FALSE)),"",VLOOKUP(A282,EHD[],20,FALSE))</f>
        <v/>
      </c>
      <c r="O282" s="152"/>
    </row>
    <row r="283" spans="1:15">
      <c r="A283" s="147" t="s">
        <v>218</v>
      </c>
      <c r="B283" s="144" t="str">
        <f>VLOOKUP(A283,Data[],2,FALSE)</f>
        <v>BROOKLYN</v>
      </c>
      <c r="C283" s="144" t="s">
        <v>27</v>
      </c>
      <c r="D283" s="9" t="str">
        <f>VLOOKUP(A283,Data[],52,FALSE)</f>
        <v>FEDERAL</v>
      </c>
      <c r="E283" s="9" t="str">
        <f ca="1">VLOOKUP(A283,Data[],4,FALSE)</f>
        <v>2026+</v>
      </c>
      <c r="F283" s="9">
        <f>VLOOKUP(EHDAll[[#This Row],[DEVELOPMENT]],EHD[],7,FALSE)</f>
        <v>5</v>
      </c>
      <c r="G283" s="9">
        <f>VLOOKUP(EHDAll[[#This Row],[DEVELOPMENT]],Data[],67,FALSE)</f>
        <v>6</v>
      </c>
      <c r="H283" s="143" t="str">
        <f>IF(EHDAll[[#This Row],[STATUS]]="","",VLOOKUP(A283,EHD[],19,FALSE))</f>
        <v/>
      </c>
      <c r="I283" s="143" t="str">
        <f>IF(VLOOKUP(A283,EHD[],13,FALSE)=0,"",VLOOKUP(A283,EHD[],13,FALSE))</f>
        <v/>
      </c>
      <c r="J283" s="143" t="str">
        <f>IF(ISBLANK(VLOOKUP(A283,EHD[],14,FALSE)),"",VLOOKUP(A283,EHD[],14,FALSE))</f>
        <v/>
      </c>
      <c r="K283" s="151">
        <f>VLOOKUP(A283,EHD[],15,FALSE)</f>
        <v>0</v>
      </c>
      <c r="L283" s="151">
        <f ca="1">VLOOKUP(A283,EHD[],16,FALSE)</f>
        <v>41081.930337499994</v>
      </c>
      <c r="M283" s="143"/>
      <c r="N283" s="143" t="str">
        <f>IF(ISBLANK(VLOOKUP(A283,EHD[],20,FALSE)),"",VLOOKUP(A283,EHD[],20,FALSE))</f>
        <v/>
      </c>
      <c r="O283" s="152"/>
    </row>
    <row r="284" spans="1:15">
      <c r="A284" s="147" t="s">
        <v>219</v>
      </c>
      <c r="B284" s="144" t="str">
        <f>VLOOKUP(A284,Data[],2,FALSE)</f>
        <v>BROOKLYN</v>
      </c>
      <c r="C284" s="144" t="s">
        <v>27</v>
      </c>
      <c r="D284" s="9" t="str">
        <f>VLOOKUP(A284,Data[],52,FALSE)</f>
        <v>FEDERAL</v>
      </c>
      <c r="E284" s="9" t="str">
        <f ca="1">VLOOKUP(A284,Data[],4,FALSE)</f>
        <v>2026+</v>
      </c>
      <c r="F284" s="9">
        <f>VLOOKUP(EHDAll[[#This Row],[DEVELOPMENT]],EHD[],7,FALSE)</f>
        <v>12</v>
      </c>
      <c r="G284" s="9">
        <f>VLOOKUP(EHDAll[[#This Row],[DEVELOPMENT]],Data[],67,FALSE)</f>
        <v>6</v>
      </c>
      <c r="H284" s="143" t="str">
        <f>IF(EHDAll[[#This Row],[STATUS]]="","",VLOOKUP(A284,EHD[],19,FALSE))</f>
        <v/>
      </c>
      <c r="I284" s="143" t="str">
        <f>IF(VLOOKUP(A284,EHD[],13,FALSE)=0,"",VLOOKUP(A284,EHD[],13,FALSE))</f>
        <v/>
      </c>
      <c r="J284" s="143" t="str">
        <f>IF(ISBLANK(VLOOKUP(A284,EHD[],14,FALSE)),"",VLOOKUP(A284,EHD[],14,FALSE))</f>
        <v/>
      </c>
      <c r="K284" s="151">
        <f>VLOOKUP(A284,EHD[],15,FALSE)</f>
        <v>0</v>
      </c>
      <c r="L284" s="151">
        <f ca="1">VLOOKUP(A284,EHD[],16,FALSE)</f>
        <v>98596.63281000001</v>
      </c>
      <c r="M284" s="143"/>
      <c r="N284" s="143" t="str">
        <f>IF(ISBLANK(VLOOKUP(A284,EHD[],20,FALSE)),"",VLOOKUP(A284,EHD[],20,FALSE))</f>
        <v/>
      </c>
      <c r="O284" s="152"/>
    </row>
    <row r="285" spans="1:15">
      <c r="A285" s="147" t="s">
        <v>372</v>
      </c>
      <c r="B285" s="144" t="str">
        <f>VLOOKUP(A285,Data[],2,FALSE)</f>
        <v>BRONX</v>
      </c>
      <c r="C285" s="144" t="s">
        <v>27</v>
      </c>
      <c r="D285" s="9" t="str">
        <f>VLOOKUP(A285,Data[],52,FALSE)</f>
        <v>FEDERAL</v>
      </c>
      <c r="E285" s="9" t="str">
        <f ca="1">VLOOKUP(A285,Data[],4,FALSE)</f>
        <v/>
      </c>
      <c r="F285" s="9">
        <f>VLOOKUP(EHDAll[[#This Row],[DEVELOPMENT]],EHD[],7,FALSE)</f>
        <v>5</v>
      </c>
      <c r="G285" s="9">
        <f>VLOOKUP(EHDAll[[#This Row],[DEVELOPMENT]],Data[],67,FALSE)</f>
        <v>6</v>
      </c>
      <c r="H285" s="143" t="str">
        <f>IF(EHDAll[[#This Row],[STATUS]]="","",VLOOKUP(A285,EHD[],19,FALSE))</f>
        <v/>
      </c>
      <c r="I285" s="143" t="str">
        <f>IF(VLOOKUP(A285,EHD[],13,FALSE)=0,"",VLOOKUP(A285,EHD[],13,FALSE))</f>
        <v/>
      </c>
      <c r="J285" s="143" t="str">
        <f>IF(ISBLANK(VLOOKUP(A285,EHD[],14,FALSE)),"",VLOOKUP(A285,EHD[],14,FALSE))</f>
        <v/>
      </c>
      <c r="K285" s="151">
        <f>VLOOKUP(A285,EHD[],15,FALSE)</f>
        <v>0</v>
      </c>
      <c r="L285" s="151">
        <f ca="1">VLOOKUP(A285,EHD[],16,FALSE)</f>
        <v>43684.405562500004</v>
      </c>
      <c r="M285" s="143"/>
      <c r="N285" s="143" t="str">
        <f>IF(ISBLANK(VLOOKUP(A285,EHD[],20,FALSE)),"",VLOOKUP(A285,EHD[],20,FALSE))</f>
        <v/>
      </c>
      <c r="O285" s="152"/>
    </row>
    <row r="286" spans="1:15">
      <c r="A286" s="147" t="s">
        <v>100</v>
      </c>
      <c r="B286" s="144" t="str">
        <f>VLOOKUP(A286,Data[],2,FALSE)</f>
        <v>MANHATTAN</v>
      </c>
      <c r="C286" s="144" t="s">
        <v>27</v>
      </c>
      <c r="D286" s="9" t="str">
        <f>VLOOKUP(A286,Data[],52,FALSE)</f>
        <v>FEDERAL</v>
      </c>
      <c r="E286" s="9" t="str">
        <f ca="1">VLOOKUP(A286,Data[],4,FALSE)</f>
        <v/>
      </c>
      <c r="F286" s="9">
        <f>VLOOKUP(EHDAll[[#This Row],[DEVELOPMENT]],EHD[],7,FALSE)</f>
        <v>6</v>
      </c>
      <c r="G286" s="9">
        <f>VLOOKUP(EHDAll[[#This Row],[DEVELOPMENT]],Data[],67,FALSE)</f>
        <v>12</v>
      </c>
      <c r="H286" s="143" t="str">
        <f>IF(EHDAll[[#This Row],[STATUS]]="","",VLOOKUP(A286,EHD[],19,FALSE))</f>
        <v/>
      </c>
      <c r="I286" s="143" t="str">
        <f>IF(VLOOKUP(A286,EHD[],13,FALSE)=0,"",VLOOKUP(A286,EHD[],13,FALSE))</f>
        <v/>
      </c>
      <c r="J286" s="143" t="str">
        <f>IF(ISBLANK(VLOOKUP(A286,EHD[],14,FALSE)),"",VLOOKUP(A286,EHD[],14,FALSE))</f>
        <v/>
      </c>
      <c r="K286" s="151">
        <f>VLOOKUP(A286,EHD[],15,FALSE)</f>
        <v>0</v>
      </c>
      <c r="L286" s="151">
        <f ca="1">VLOOKUP(A286,EHD[],16,FALSE)</f>
        <v>46175.346135</v>
      </c>
      <c r="M286" s="143"/>
      <c r="N286" s="143" t="str">
        <f>IF(ISBLANK(VLOOKUP(A286,EHD[],20,FALSE)),"",VLOOKUP(A286,EHD[],20,FALSE))</f>
        <v/>
      </c>
      <c r="O286" s="152"/>
    </row>
    <row r="287" spans="1:15">
      <c r="A287" s="147" t="s">
        <v>373</v>
      </c>
      <c r="B287" s="144" t="str">
        <f>VLOOKUP(A287,Data[],2,FALSE)</f>
        <v>BROOKLYN</v>
      </c>
      <c r="C287" s="144" t="s">
        <v>27</v>
      </c>
      <c r="D287" s="9" t="str">
        <f>VLOOKUP(A287,Data[],52,FALSE)</f>
        <v>FEDERAL</v>
      </c>
      <c r="E287" s="9" t="str">
        <f ca="1">VLOOKUP(A287,Data[],4,FALSE)</f>
        <v>2022-2025</v>
      </c>
      <c r="F287" s="9">
        <f>VLOOKUP(EHDAll[[#This Row],[DEVELOPMENT]],EHD[],7,FALSE)</f>
        <v>31</v>
      </c>
      <c r="G287" s="9">
        <f>VLOOKUP(EHDAll[[#This Row],[DEVELOPMENT]],Data[],67,FALSE)</f>
        <v>43538</v>
      </c>
      <c r="H287" s="143" t="str">
        <f>IF(EHDAll[[#This Row],[STATUS]]="","",VLOOKUP(A287,EHD[],19,FALSE))</f>
        <v/>
      </c>
      <c r="I287" s="143" t="str">
        <f>IF(VLOOKUP(A287,EHD[],13,FALSE)=0,"",VLOOKUP(A287,EHD[],13,FALSE))</f>
        <v/>
      </c>
      <c r="J287" s="143" t="str">
        <f>IF(ISBLANK(VLOOKUP(A287,EHD[],14,FALSE)),"",VLOOKUP(A287,EHD[],14,FALSE))</f>
        <v/>
      </c>
      <c r="K287" s="151">
        <f>VLOOKUP(A287,EHD[],15,FALSE)</f>
        <v>0</v>
      </c>
      <c r="L287" s="151">
        <f ca="1">VLOOKUP(A287,EHD[],16,FALSE)</f>
        <v>270843.3144875</v>
      </c>
      <c r="M287" s="143"/>
      <c r="N287" s="143" t="str">
        <f>IF(ISBLANK(VLOOKUP(A287,EHD[],20,FALSE)),"",VLOOKUP(A287,EHD[],20,FALSE))</f>
        <v/>
      </c>
      <c r="O287" s="152"/>
    </row>
    <row r="288" spans="1:15">
      <c r="A288" s="147" t="s">
        <v>374</v>
      </c>
      <c r="B288" s="144" t="str">
        <f>VLOOKUP(A288,Data[],2,FALSE)</f>
        <v>BROOKLYN</v>
      </c>
      <c r="C288" s="144" t="s">
        <v>27</v>
      </c>
      <c r="D288" s="9" t="str">
        <f>VLOOKUP(A288,Data[],52,FALSE)</f>
        <v>FEDERAL</v>
      </c>
      <c r="E288" s="9" t="str">
        <f ca="1">VLOOKUP(A288,Data[],4,FALSE)</f>
        <v/>
      </c>
      <c r="F288" s="9">
        <f>VLOOKUP(EHDAll[[#This Row],[DEVELOPMENT]],EHD[],7,FALSE)</f>
        <v>1</v>
      </c>
      <c r="G288" s="9">
        <f>VLOOKUP(EHDAll[[#This Row],[DEVELOPMENT]],Data[],67,FALSE)</f>
        <v>14</v>
      </c>
      <c r="H288" s="143" t="str">
        <f>IF(EHDAll[[#This Row],[STATUS]]="","",VLOOKUP(A288,EHD[],19,FALSE))</f>
        <v/>
      </c>
      <c r="I288" s="143" t="str">
        <f>IF(VLOOKUP(A288,EHD[],13,FALSE)=0,"",VLOOKUP(A288,EHD[],13,FALSE))</f>
        <v/>
      </c>
      <c r="J288" s="143" t="str">
        <f>IF(ISBLANK(VLOOKUP(A288,EHD[],14,FALSE)),"",VLOOKUP(A288,EHD[],14,FALSE))</f>
        <v/>
      </c>
      <c r="K288" s="151">
        <f>VLOOKUP(A288,EHD[],15,FALSE)</f>
        <v>0</v>
      </c>
      <c r="L288" s="151">
        <f ca="1">VLOOKUP(A288,EHD[],16,FALSE)</f>
        <v>8997.1286349999991</v>
      </c>
      <c r="M288" s="143"/>
      <c r="N288" s="143" t="str">
        <f>IF(ISBLANK(VLOOKUP(A288,EHD[],20,FALSE)),"",VLOOKUP(A288,EHD[],20,FALSE))</f>
        <v/>
      </c>
      <c r="O288" s="152"/>
    </row>
    <row r="289" spans="1:15">
      <c r="A289" s="148" t="s">
        <v>56</v>
      </c>
      <c r="B289" s="144" t="str">
        <f>VLOOKUP(A289,Data[],2,FALSE)</f>
        <v>MANHATTAN</v>
      </c>
      <c r="C289" s="144" t="s">
        <v>27</v>
      </c>
      <c r="D289" s="9" t="str">
        <f>VLOOKUP(A289,Data[],52,FALSE)</f>
        <v>FEDERAL</v>
      </c>
      <c r="E289" s="9" t="str">
        <f ca="1">VLOOKUP(A289,Data[],4,FALSE)</f>
        <v/>
      </c>
      <c r="F289" s="9">
        <f>VLOOKUP(EHDAll[[#This Row],[DEVELOPMENT]],EHD[],7,FALSE)</f>
        <v>45</v>
      </c>
      <c r="G289" s="9">
        <f>VLOOKUP(EHDAll[[#This Row],[DEVELOPMENT]],Data[],67,FALSE)</f>
        <v>6</v>
      </c>
      <c r="H289" s="143" t="str">
        <f>IF(EHDAll[[#This Row],[STATUS]]="","",VLOOKUP(A289,EHD[],19,FALSE))</f>
        <v/>
      </c>
      <c r="I289" s="143" t="str">
        <f>IF(VLOOKUP(A289,EHD[],13,FALSE)=0,"",VLOOKUP(A289,EHD[],13,FALSE))</f>
        <v/>
      </c>
      <c r="J289" s="143" t="str">
        <f>IF(ISBLANK(VLOOKUP(A289,EHD[],14,FALSE)),"",VLOOKUP(A289,EHD[],14,FALSE))</f>
        <v/>
      </c>
      <c r="K289" s="151">
        <f>VLOOKUP(A289,EHD[],15,FALSE)</f>
        <v>0</v>
      </c>
      <c r="L289" s="151">
        <f ca="1">VLOOKUP(A289,EHD[],16,FALSE)</f>
        <v>346315.0960125</v>
      </c>
      <c r="M289" s="143"/>
      <c r="N289" s="143" t="str">
        <f>IF(ISBLANK(VLOOKUP(A289,EHD[],20,FALSE)),"",VLOOKUP(A289,EHD[],20,FALSE))</f>
        <v/>
      </c>
      <c r="O289" s="152"/>
    </row>
    <row r="290" spans="1:15">
      <c r="A290" s="147" t="s">
        <v>127</v>
      </c>
      <c r="B290" s="144" t="str">
        <f>VLOOKUP(A290,Data[],2,FALSE)</f>
        <v>MANHATTAN</v>
      </c>
      <c r="C290" s="144" t="s">
        <v>27</v>
      </c>
      <c r="D290" s="9" t="str">
        <f>VLOOKUP(A290,Data[],52,FALSE)</f>
        <v>FEDERAL</v>
      </c>
      <c r="E290" s="9" t="str">
        <f ca="1">VLOOKUP(A290,Data[],4,FALSE)</f>
        <v>2026+</v>
      </c>
      <c r="F290" s="9">
        <f>VLOOKUP(EHDAll[[#This Row],[DEVELOPMENT]],EHD[],7,FALSE)</f>
        <v>22</v>
      </c>
      <c r="G290" s="9">
        <f>VLOOKUP(EHDAll[[#This Row],[DEVELOPMENT]],Data[],67,FALSE)</f>
        <v>43662</v>
      </c>
      <c r="H290" s="143" t="str">
        <f>IF(EHDAll[[#This Row],[STATUS]]="","",VLOOKUP(A290,EHD[],19,FALSE))</f>
        <v/>
      </c>
      <c r="I290" s="143" t="str">
        <f>IF(VLOOKUP(A290,EHD[],13,FALSE)=0,"",VLOOKUP(A290,EHD[],13,FALSE))</f>
        <v/>
      </c>
      <c r="J290" s="143" t="str">
        <f>IF(ISBLANK(VLOOKUP(A290,EHD[],14,FALSE)),"",VLOOKUP(A290,EHD[],14,FALSE))</f>
        <v/>
      </c>
      <c r="K290" s="151">
        <f>VLOOKUP(A290,EHD[],15,FALSE)</f>
        <v>0</v>
      </c>
      <c r="L290" s="151">
        <f ca="1">VLOOKUP(A290,EHD[],16,FALSE)</f>
        <v>175035.04799000002</v>
      </c>
      <c r="M290" s="143"/>
      <c r="N290" s="143" t="str">
        <f>IF(ISBLANK(VLOOKUP(A290,EHD[],20,FALSE)),"",VLOOKUP(A290,EHD[],20,FALSE))</f>
        <v/>
      </c>
      <c r="O290" s="152"/>
    </row>
    <row r="291" spans="1:15">
      <c r="A291" s="147" t="s">
        <v>137</v>
      </c>
      <c r="B291" s="144" t="str">
        <f>VLOOKUP(A291,Data[],2,FALSE)</f>
        <v>MANHATTAN</v>
      </c>
      <c r="C291" s="144" t="s">
        <v>27</v>
      </c>
      <c r="D291" s="9" t="str">
        <f>VLOOKUP(A291,Data[],52,FALSE)</f>
        <v>FEDERAL</v>
      </c>
      <c r="E291" s="9" t="str">
        <f ca="1">VLOOKUP(A291,Data[],4,FALSE)</f>
        <v>2022-2025</v>
      </c>
      <c r="F291" s="9">
        <f>VLOOKUP(EHDAll[[#This Row],[DEVELOPMENT]],EHD[],7,FALSE)</f>
        <v>14</v>
      </c>
      <c r="G291" s="9" t="str">
        <f>VLOOKUP(EHDAll[[#This Row],[DEVELOPMENT]],Data[],67,FALSE)</f>
        <v>2, 12-14</v>
      </c>
      <c r="H291" s="143" t="str">
        <f>IF(EHDAll[[#This Row],[STATUS]]="","",VLOOKUP(A291,EHD[],19,FALSE))</f>
        <v/>
      </c>
      <c r="I291" s="143" t="str">
        <f>IF(VLOOKUP(A291,EHD[],13,FALSE)=0,"",VLOOKUP(A291,EHD[],13,FALSE))</f>
        <v/>
      </c>
      <c r="J291" s="143" t="str">
        <f>IF(ISBLANK(VLOOKUP(A291,EHD[],14,FALSE)),"",VLOOKUP(A291,EHD[],14,FALSE))</f>
        <v/>
      </c>
      <c r="K291" s="151">
        <f>VLOOKUP(A291,EHD[],15,FALSE)</f>
        <v>0</v>
      </c>
      <c r="L291" s="151">
        <f ca="1">VLOOKUP(A291,EHD[],16,FALSE)</f>
        <v>104099.00900000001</v>
      </c>
      <c r="M291" s="143"/>
      <c r="N291" s="143" t="str">
        <f>IF(ISBLANK(VLOOKUP(A291,EHD[],20,FALSE)),"",VLOOKUP(A291,EHD[],20,FALSE))</f>
        <v/>
      </c>
      <c r="O291" s="152"/>
    </row>
    <row r="292" spans="1:15">
      <c r="A292" s="147" t="s">
        <v>376</v>
      </c>
      <c r="B292" s="144" t="str">
        <f>VLOOKUP(A292,Data[],2,FALSE)</f>
        <v>MANHATTAN</v>
      </c>
      <c r="C292" s="144" t="s">
        <v>27</v>
      </c>
      <c r="D292" s="9" t="str">
        <f>VLOOKUP(A292,Data[],52,FALSE)</f>
        <v>FEDERAL</v>
      </c>
      <c r="E292" s="9" t="str">
        <f ca="1">VLOOKUP(A292,Data[],4,FALSE)</f>
        <v>2020-2021</v>
      </c>
      <c r="F292" s="9">
        <f>VLOOKUP(EHDAll[[#This Row],[DEVELOPMENT]],EHD[],7,FALSE)</f>
        <v>7</v>
      </c>
      <c r="G292" s="9">
        <f>VLOOKUP(EHDAll[[#This Row],[DEVELOPMENT]],Data[],67,FALSE)</f>
        <v>43591</v>
      </c>
      <c r="H292" s="143" t="str">
        <f>IF(EHDAll[[#This Row],[STATUS]]="","",VLOOKUP(A292,EHD[],19,FALSE))</f>
        <v/>
      </c>
      <c r="I292" s="143" t="str">
        <f>IF(VLOOKUP(A292,EHD[],13,FALSE)=0,"",VLOOKUP(A292,EHD[],13,FALSE))</f>
        <v/>
      </c>
      <c r="J292" s="143" t="str">
        <f>IF(ISBLANK(VLOOKUP(A292,EHD[],14,FALSE)),"",VLOOKUP(A292,EHD[],14,FALSE))</f>
        <v/>
      </c>
      <c r="K292" s="151">
        <f>VLOOKUP(A292,EHD[],15,FALSE)</f>
        <v>0</v>
      </c>
      <c r="L292" s="151">
        <f ca="1">VLOOKUP(A292,EHD[],16,FALSE)</f>
        <v>59336.435130000013</v>
      </c>
      <c r="M292" s="143"/>
      <c r="N292" s="143" t="str">
        <f>IF(ISBLANK(VLOOKUP(A292,EHD[],20,FALSE)),"",VLOOKUP(A292,EHD[],20,FALSE))</f>
        <v/>
      </c>
      <c r="O292" s="152"/>
    </row>
    <row r="293" spans="1:15">
      <c r="A293" s="147" t="s">
        <v>377</v>
      </c>
      <c r="B293" s="144" t="str">
        <f>VLOOKUP(A293,Data[],2,FALSE)</f>
        <v>MANHATTAN</v>
      </c>
      <c r="C293" s="144" t="s">
        <v>27</v>
      </c>
      <c r="D293" s="9" t="str">
        <f>VLOOKUP(A293,Data[],52,FALSE)</f>
        <v>FEDERAL</v>
      </c>
      <c r="E293" s="9" t="str">
        <f ca="1">VLOOKUP(A293,Data[],4,FALSE)</f>
        <v/>
      </c>
      <c r="F293" s="9">
        <f>VLOOKUP(EHDAll[[#This Row],[DEVELOPMENT]],EHD[],7,FALSE)</f>
        <v>3</v>
      </c>
      <c r="G293" s="9">
        <f>VLOOKUP(EHDAll[[#This Row],[DEVELOPMENT]],Data[],67,FALSE)</f>
        <v>5</v>
      </c>
      <c r="H293" s="143" t="str">
        <f>IF(EHDAll[[#This Row],[STATUS]]="","",VLOOKUP(A293,EHD[],19,FALSE))</f>
        <v/>
      </c>
      <c r="I293" s="143" t="str">
        <f>IF(VLOOKUP(A293,EHD[],13,FALSE)=0,"",VLOOKUP(A293,EHD[],13,FALSE))</f>
        <v/>
      </c>
      <c r="J293" s="143" t="str">
        <f>IF(ISBLANK(VLOOKUP(A293,EHD[],14,FALSE)),"",VLOOKUP(A293,EHD[],14,FALSE))</f>
        <v/>
      </c>
      <c r="K293" s="151">
        <f>VLOOKUP(A293,EHD[],15,FALSE)</f>
        <v>0</v>
      </c>
      <c r="L293" s="151">
        <f ca="1">VLOOKUP(A293,EHD[],16,FALSE)</f>
        <v>26991.385905000003</v>
      </c>
      <c r="M293" s="143"/>
      <c r="N293" s="143" t="str">
        <f>IF(ISBLANK(VLOOKUP(A293,EHD[],20,FALSE)),"",VLOOKUP(A293,EHD[],20,FALSE))</f>
        <v/>
      </c>
      <c r="O293" s="152"/>
    </row>
    <row r="294" spans="1:15">
      <c r="A294" s="147" t="s">
        <v>378</v>
      </c>
      <c r="B294" s="144" t="str">
        <f>VLOOKUP(A294,Data[],2,FALSE)</f>
        <v>MANHATTAN</v>
      </c>
      <c r="C294" s="144" t="s">
        <v>27</v>
      </c>
      <c r="D294" s="9" t="str">
        <f>VLOOKUP(A294,Data[],52,FALSE)</f>
        <v>FEDERAL</v>
      </c>
      <c r="E294" s="9" t="str">
        <f ca="1">VLOOKUP(A294,Data[],4,FALSE)</f>
        <v/>
      </c>
      <c r="F294" s="9">
        <f>VLOOKUP(EHDAll[[#This Row],[DEVELOPMENT]],EHD[],7,FALSE)</f>
        <v>1</v>
      </c>
      <c r="G294" s="9">
        <f>VLOOKUP(EHDAll[[#This Row],[DEVELOPMENT]],Data[],67,FALSE)</f>
        <v>5</v>
      </c>
      <c r="H294" s="143" t="str">
        <f>IF(EHDAll[[#This Row],[STATUS]]="","",VLOOKUP(A294,EHD[],19,FALSE))</f>
        <v/>
      </c>
      <c r="I294" s="143" t="str">
        <f>IF(VLOOKUP(A294,EHD[],13,FALSE)=0,"",VLOOKUP(A294,EHD[],13,FALSE))</f>
        <v/>
      </c>
      <c r="J294" s="143" t="str">
        <f>IF(ISBLANK(VLOOKUP(A294,EHD[],14,FALSE)),"",VLOOKUP(A294,EHD[],14,FALSE))</f>
        <v/>
      </c>
      <c r="K294" s="151">
        <f>VLOOKUP(A294,EHD[],15,FALSE)</f>
        <v>0</v>
      </c>
      <c r="L294" s="151">
        <f ca="1">VLOOKUP(A294,EHD[],16,FALSE)</f>
        <v>8997.1286349999991</v>
      </c>
      <c r="M294" s="143"/>
      <c r="N294" s="143" t="str">
        <f>IF(ISBLANK(VLOOKUP(A294,EHD[],20,FALSE)),"",VLOOKUP(A294,EHD[],20,FALSE))</f>
        <v/>
      </c>
      <c r="O294" s="152"/>
    </row>
    <row r="295" spans="1:15">
      <c r="A295" s="147" t="s">
        <v>259</v>
      </c>
      <c r="B295" s="144" t="str">
        <f>VLOOKUP(A295,Data[],2,FALSE)</f>
        <v>MANHATTAN</v>
      </c>
      <c r="C295" s="144" t="s">
        <v>27</v>
      </c>
      <c r="D295" s="9" t="str">
        <f>VLOOKUP(A295,Data[],52,FALSE)</f>
        <v>FEDERAL</v>
      </c>
      <c r="E295" s="9" t="str">
        <f ca="1">VLOOKUP(A295,Data[],4,FALSE)</f>
        <v>2020-2021</v>
      </c>
      <c r="F295" s="9">
        <f>VLOOKUP(EHDAll[[#This Row],[DEVELOPMENT]],EHD[],7,FALSE)</f>
        <v>2</v>
      </c>
      <c r="G295" s="9">
        <f>VLOOKUP(EHDAll[[#This Row],[DEVELOPMENT]],Data[],67,FALSE)</f>
        <v>5</v>
      </c>
      <c r="H295" s="143" t="str">
        <f>IF(EHDAll[[#This Row],[STATUS]]="","",VLOOKUP(A295,EHD[],19,FALSE))</f>
        <v/>
      </c>
      <c r="I295" s="143" t="str">
        <f>IF(VLOOKUP(A295,EHD[],13,FALSE)=0,"",VLOOKUP(A295,EHD[],13,FALSE))</f>
        <v/>
      </c>
      <c r="J295" s="143" t="str">
        <f>IF(ISBLANK(VLOOKUP(A295,EHD[],14,FALSE)),"",VLOOKUP(A295,EHD[],14,FALSE))</f>
        <v/>
      </c>
      <c r="K295" s="151">
        <f>VLOOKUP(A295,EHD[],15,FALSE)</f>
        <v>0</v>
      </c>
      <c r="L295" s="151">
        <f ca="1">VLOOKUP(A295,EHD[],16,FALSE)</f>
        <v>16953.267180000003</v>
      </c>
      <c r="M295" s="143"/>
      <c r="N295" s="143" t="str">
        <f>IF(ISBLANK(VLOOKUP(A295,EHD[],20,FALSE)),"",VLOOKUP(A295,EHD[],20,FALSE))</f>
        <v/>
      </c>
      <c r="O295" s="152"/>
    </row>
    <row r="296" spans="1:15">
      <c r="A296" s="147" t="s">
        <v>379</v>
      </c>
      <c r="B296" s="144" t="str">
        <f>VLOOKUP(A296,Data[],2,FALSE)</f>
        <v>MANHATTAN</v>
      </c>
      <c r="C296" s="144" t="s">
        <v>27</v>
      </c>
      <c r="D296" s="9" t="str">
        <f>VLOOKUP(A296,Data[],52,FALSE)</f>
        <v>FEDERAL</v>
      </c>
      <c r="E296" s="9" t="str">
        <f ca="1">VLOOKUP(A296,Data[],4,FALSE)</f>
        <v>2020-2021</v>
      </c>
      <c r="F296" s="9">
        <f>VLOOKUP(EHDAll[[#This Row],[DEVELOPMENT]],EHD[],7,FALSE)</f>
        <v>2</v>
      </c>
      <c r="G296" s="9">
        <f>VLOOKUP(EHDAll[[#This Row],[DEVELOPMENT]],Data[],67,FALSE)</f>
        <v>5</v>
      </c>
      <c r="H296" s="143" t="str">
        <f>IF(EHDAll[[#This Row],[STATUS]]="","",VLOOKUP(A296,EHD[],19,FALSE))</f>
        <v/>
      </c>
      <c r="I296" s="143" t="str">
        <f>IF(VLOOKUP(A296,EHD[],13,FALSE)=0,"",VLOOKUP(A296,EHD[],13,FALSE))</f>
        <v/>
      </c>
      <c r="J296" s="143" t="str">
        <f>IF(ISBLANK(VLOOKUP(A296,EHD[],14,FALSE)),"",VLOOKUP(A296,EHD[],14,FALSE))</f>
        <v/>
      </c>
      <c r="K296" s="151">
        <f>VLOOKUP(A296,EHD[],15,FALSE)</f>
        <v>0</v>
      </c>
      <c r="L296" s="151">
        <f ca="1">VLOOKUP(A296,EHD[],16,FALSE)</f>
        <v>16953.267180000003</v>
      </c>
      <c r="M296" s="143"/>
      <c r="N296" s="143" t="str">
        <f>IF(ISBLANK(VLOOKUP(A296,EHD[],20,FALSE)),"",VLOOKUP(A296,EHD[],20,FALSE))</f>
        <v/>
      </c>
      <c r="O296" s="152"/>
    </row>
    <row r="297" spans="1:15">
      <c r="A297" s="147" t="s">
        <v>220</v>
      </c>
      <c r="B297" s="144" t="str">
        <f>VLOOKUP(A297,Data[],2,FALSE)</f>
        <v>BROOKLYN</v>
      </c>
      <c r="C297" s="144" t="s">
        <v>27</v>
      </c>
      <c r="D297" s="9" t="str">
        <f>VLOOKUP(A297,Data[],52,FALSE)</f>
        <v>FEDERAL</v>
      </c>
      <c r="E297" s="9">
        <f ca="1">VLOOKUP(A297,Data[],4,FALSE)</f>
        <v>2019</v>
      </c>
      <c r="F297" s="9">
        <f>VLOOKUP(EHDAll[[#This Row],[DEVELOPMENT]],EHD[],7,FALSE)</f>
        <v>0</v>
      </c>
      <c r="G297" s="9">
        <f>VLOOKUP(EHDAll[[#This Row],[DEVELOPMENT]],Data[],67,FALSE)</f>
        <v>43560</v>
      </c>
      <c r="H297" s="143" t="str">
        <f>IF(EHDAll[[#This Row],[STATUS]]="","",VLOOKUP(A297,EHD[],19,FALSE))</f>
        <v/>
      </c>
      <c r="I297" s="143" t="str">
        <f>IF(VLOOKUP(A297,EHD[],13,FALSE)=0,"",VLOOKUP(A297,EHD[],13,FALSE))</f>
        <v/>
      </c>
      <c r="J297" s="143" t="str">
        <f>IF(ISBLANK(VLOOKUP(A297,EHD[],14,FALSE)),"",VLOOKUP(A297,EHD[],14,FALSE))</f>
        <v/>
      </c>
      <c r="K297" s="151">
        <f>VLOOKUP(A297,EHD[],15,FALSE)</f>
        <v>0</v>
      </c>
      <c r="L297" s="151">
        <f ca="1">VLOOKUP(A297,EHD[],16,FALSE)</f>
        <v>0</v>
      </c>
      <c r="M297" s="143"/>
      <c r="N297" s="143" t="str">
        <f>IF(ISBLANK(VLOOKUP(A297,EHD[],20,FALSE)),"",VLOOKUP(A297,EHD[],20,FALSE))</f>
        <v/>
      </c>
      <c r="O297" s="152"/>
    </row>
    <row r="298" spans="1:15">
      <c r="A298" s="147" t="s">
        <v>380</v>
      </c>
      <c r="B298" s="144" t="str">
        <f>VLOOKUP(A298,Data[],2,FALSE)</f>
        <v>STATEN ISLAND</v>
      </c>
      <c r="C298" s="144" t="s">
        <v>27</v>
      </c>
      <c r="D298" s="9" t="str">
        <f>VLOOKUP(A298,Data[],52,FALSE)</f>
        <v>FEDERAL</v>
      </c>
      <c r="E298" s="9" t="str">
        <f ca="1">VLOOKUP(A298,Data[],4,FALSE)</f>
        <v/>
      </c>
      <c r="F298" s="9">
        <f>VLOOKUP(EHDAll[[#This Row],[DEVELOPMENT]],EHD[],7,FALSE)</f>
        <v>8</v>
      </c>
      <c r="G298" s="9">
        <f>VLOOKUP(EHDAll[[#This Row],[DEVELOPMENT]],Data[],67,FALSE)</f>
        <v>8</v>
      </c>
      <c r="H298" s="143" t="str">
        <f>IF(EHDAll[[#This Row],[STATUS]]="","",VLOOKUP(A298,EHD[],19,FALSE))</f>
        <v/>
      </c>
      <c r="I298" s="143" t="str">
        <f>IF(VLOOKUP(A298,EHD[],13,FALSE)=0,"",VLOOKUP(A298,EHD[],13,FALSE))</f>
        <v/>
      </c>
      <c r="J298" s="143" t="str">
        <f>IF(ISBLANK(VLOOKUP(A298,EHD[],14,FALSE)),"",VLOOKUP(A298,EHD[],14,FALSE))</f>
        <v/>
      </c>
      <c r="K298" s="151">
        <f>VLOOKUP(A298,EHD[],15,FALSE)</f>
        <v>0</v>
      </c>
      <c r="L298" s="151">
        <f ca="1">VLOOKUP(A298,EHD[],16,FALSE)</f>
        <v>69895.048900000009</v>
      </c>
      <c r="M298" s="143"/>
      <c r="N298" s="143" t="str">
        <f>IF(ISBLANK(VLOOKUP(A298,EHD[],20,FALSE)),"",VLOOKUP(A298,EHD[],20,FALSE))</f>
        <v/>
      </c>
      <c r="O298" s="152"/>
    </row>
    <row r="299" spans="1:15">
      <c r="A299" s="147" t="s">
        <v>381</v>
      </c>
      <c r="B299" s="144" t="str">
        <f>VLOOKUP(A299,Data[],2,FALSE)</f>
        <v>STATEN ISLAND</v>
      </c>
      <c r="C299" s="144" t="s">
        <v>27</v>
      </c>
      <c r="D299" s="9" t="str">
        <f>VLOOKUP(A299,Data[],52,FALSE)</f>
        <v>FEDERAL</v>
      </c>
      <c r="E299" s="9" t="str">
        <f ca="1">VLOOKUP(A299,Data[],4,FALSE)</f>
        <v/>
      </c>
      <c r="F299" s="9">
        <f>VLOOKUP(EHDAll[[#This Row],[DEVELOPMENT]],EHD[],7,FALSE)</f>
        <v>0</v>
      </c>
      <c r="G299" s="9">
        <f>VLOOKUP(EHDAll[[#This Row],[DEVELOPMENT]],Data[],67,FALSE)</f>
        <v>1</v>
      </c>
      <c r="H299" s="143" t="str">
        <f>IF(EHDAll[[#This Row],[STATUS]]="","",VLOOKUP(A299,EHD[],19,FALSE))</f>
        <v/>
      </c>
      <c r="I299" s="143" t="str">
        <f>IF(VLOOKUP(A299,EHD[],13,FALSE)=0,"",VLOOKUP(A299,EHD[],13,FALSE))</f>
        <v/>
      </c>
      <c r="J299" s="143" t="str">
        <f>IF(ISBLANK(VLOOKUP(A299,EHD[],14,FALSE)),"",VLOOKUP(A299,EHD[],14,FALSE))</f>
        <v/>
      </c>
      <c r="K299" s="151">
        <f>VLOOKUP(A299,EHD[],15,FALSE)</f>
        <v>0</v>
      </c>
      <c r="L299" s="151">
        <f ca="1">VLOOKUP(A299,EHD[],16,FALSE)</f>
        <v>0</v>
      </c>
      <c r="M299" s="143"/>
      <c r="N299" s="143" t="str">
        <f>IF(ISBLANK(VLOOKUP(A299,EHD[],20,FALSE)),"",VLOOKUP(A299,EHD[],20,FALSE))</f>
        <v/>
      </c>
      <c r="O299" s="152"/>
    </row>
    <row r="300" spans="1:15">
      <c r="A300" s="147" t="s">
        <v>289</v>
      </c>
      <c r="B300" s="144" t="str">
        <f>VLOOKUP(A300,Data[],2,FALSE)</f>
        <v>BRONX</v>
      </c>
      <c r="C300" s="144" t="s">
        <v>27</v>
      </c>
      <c r="D300" s="9" t="str">
        <f>VLOOKUP(A300,Data[],52,FALSE)</f>
        <v>FEDERAL</v>
      </c>
      <c r="E300" s="9" t="str">
        <f ca="1">VLOOKUP(A300,Data[],4,FALSE)</f>
        <v/>
      </c>
      <c r="F300" s="9">
        <f>VLOOKUP(EHDAll[[#This Row],[DEVELOPMENT]],EHD[],7,FALSE)</f>
        <v>7</v>
      </c>
      <c r="G300" s="9">
        <f>VLOOKUP(EHDAll[[#This Row],[DEVELOPMENT]],Data[],67,FALSE)</f>
        <v>6</v>
      </c>
      <c r="H300" s="143" t="str">
        <f>IF(EHDAll[[#This Row],[STATUS]]="","",VLOOKUP(A300,EHD[],19,FALSE))</f>
        <v/>
      </c>
      <c r="I300" s="143" t="str">
        <f>IF(VLOOKUP(A300,EHD[],13,FALSE)=0,"",VLOOKUP(A300,EHD[],13,FALSE))</f>
        <v/>
      </c>
      <c r="J300" s="143" t="str">
        <f>IF(ISBLANK(VLOOKUP(A300,EHD[],14,FALSE)),"",VLOOKUP(A300,EHD[],14,FALSE))</f>
        <v/>
      </c>
      <c r="K300" s="151">
        <f>VLOOKUP(A300,EHD[],15,FALSE)</f>
        <v>0</v>
      </c>
      <c r="L300" s="151">
        <f ca="1">VLOOKUP(A300,EHD[],16,FALSE)</f>
        <v>59336.435130000013</v>
      </c>
      <c r="M300" s="143"/>
      <c r="N300" s="143" t="str">
        <f>IF(ISBLANK(VLOOKUP(A300,EHD[],20,FALSE)),"",VLOOKUP(A300,EHD[],20,FALSE))</f>
        <v/>
      </c>
      <c r="O300" s="152"/>
    </row>
    <row r="301" spans="1:15">
      <c r="A301" s="147" t="s">
        <v>290</v>
      </c>
      <c r="B301" s="144" t="str">
        <f>VLOOKUP(A301,Data[],2,FALSE)</f>
        <v>BRONX</v>
      </c>
      <c r="C301" s="144" t="s">
        <v>27</v>
      </c>
      <c r="D301" s="9" t="str">
        <f>VLOOKUP(A301,Data[],52,FALSE)</f>
        <v>FEDERAL</v>
      </c>
      <c r="E301" s="9" t="str">
        <f ca="1">VLOOKUP(A301,Data[],4,FALSE)</f>
        <v/>
      </c>
      <c r="F301" s="9">
        <f>VLOOKUP(EHDAll[[#This Row],[DEVELOPMENT]],EHD[],7,FALSE)</f>
        <v>1</v>
      </c>
      <c r="G301" s="9">
        <f>VLOOKUP(EHDAll[[#This Row],[DEVELOPMENT]],Data[],67,FALSE)</f>
        <v>5</v>
      </c>
      <c r="H301" s="143" t="str">
        <f>IF(EHDAll[[#This Row],[STATUS]]="","",VLOOKUP(A301,EHD[],19,FALSE))</f>
        <v/>
      </c>
      <c r="I301" s="143" t="str">
        <f>IF(VLOOKUP(A301,EHD[],13,FALSE)=0,"",VLOOKUP(A301,EHD[],13,FALSE))</f>
        <v/>
      </c>
      <c r="J301" s="143" t="str">
        <f>IF(ISBLANK(VLOOKUP(A301,EHD[],14,FALSE)),"",VLOOKUP(A301,EHD[],14,FALSE))</f>
        <v/>
      </c>
      <c r="K301" s="151">
        <f>VLOOKUP(A301,EHD[],15,FALSE)</f>
        <v>0</v>
      </c>
      <c r="L301" s="151">
        <f ca="1">VLOOKUP(A301,EHD[],16,FALSE)</f>
        <v>8476.6335900000013</v>
      </c>
      <c r="M301" s="143"/>
      <c r="N301" s="143" t="str">
        <f>IF(ISBLANK(VLOOKUP(A301,EHD[],20,FALSE)),"",VLOOKUP(A301,EHD[],20,FALSE))</f>
        <v/>
      </c>
      <c r="O301" s="152"/>
    </row>
    <row r="302" spans="1:15">
      <c r="A302" s="147" t="s">
        <v>382</v>
      </c>
      <c r="B302" s="144" t="str">
        <f>VLOOKUP(A302,Data[],2,FALSE)</f>
        <v>BRONX</v>
      </c>
      <c r="C302" s="144" t="s">
        <v>27</v>
      </c>
      <c r="D302" s="9" t="str">
        <f>VLOOKUP(A302,Data[],52,FALSE)</f>
        <v>FEDERAL</v>
      </c>
      <c r="E302" s="9" t="str">
        <f ca="1">VLOOKUP(A302,Data[],4,FALSE)</f>
        <v/>
      </c>
      <c r="F302" s="9">
        <f>VLOOKUP(EHDAll[[#This Row],[DEVELOPMENT]],EHD[],7,FALSE)</f>
        <v>1</v>
      </c>
      <c r="G302" s="9">
        <f>VLOOKUP(EHDAll[[#This Row],[DEVELOPMENT]],Data[],67,FALSE)</f>
        <v>12</v>
      </c>
      <c r="H302" s="143" t="str">
        <f>IF(EHDAll[[#This Row],[STATUS]]="","",VLOOKUP(A302,EHD[],19,FALSE))</f>
        <v/>
      </c>
      <c r="I302" s="143" t="str">
        <f>IF(VLOOKUP(A302,EHD[],13,FALSE)=0,"",VLOOKUP(A302,EHD[],13,FALSE))</f>
        <v/>
      </c>
      <c r="J302" s="143" t="str">
        <f>IF(ISBLANK(VLOOKUP(A302,EHD[],14,FALSE)),"",VLOOKUP(A302,EHD[],14,FALSE))</f>
        <v/>
      </c>
      <c r="K302" s="151">
        <f>VLOOKUP(A302,EHD[],15,FALSE)</f>
        <v>0</v>
      </c>
      <c r="L302" s="151">
        <f ca="1">VLOOKUP(A302,EHD[],16,FALSE)</f>
        <v>8736.8811125000011</v>
      </c>
      <c r="M302" s="143"/>
      <c r="N302" s="143" t="str">
        <f>IF(ISBLANK(VLOOKUP(A302,EHD[],20,FALSE)),"",VLOOKUP(A302,EHD[],20,FALSE))</f>
        <v/>
      </c>
      <c r="O302" s="152"/>
    </row>
    <row r="303" spans="1:15">
      <c r="A303" s="147" t="s">
        <v>383</v>
      </c>
      <c r="B303" s="144" t="str">
        <f>VLOOKUP(A303,Data[],2,FALSE)</f>
        <v>BROOKLYN</v>
      </c>
      <c r="C303" s="144" t="s">
        <v>27</v>
      </c>
      <c r="D303" s="9" t="str">
        <f>VLOOKUP(A303,Data[],52,FALSE)</f>
        <v>FEDERAL</v>
      </c>
      <c r="E303" s="9" t="str">
        <f ca="1">VLOOKUP(A303,Data[],4,FALSE)</f>
        <v/>
      </c>
      <c r="F303" s="9">
        <f>VLOOKUP(EHDAll[[#This Row],[DEVELOPMENT]],EHD[],7,FALSE)</f>
        <v>32</v>
      </c>
      <c r="G303" s="9">
        <f>VLOOKUP(EHDAll[[#This Row],[DEVELOPMENT]],Data[],67,FALSE)</f>
        <v>43629</v>
      </c>
      <c r="H303" s="143" t="str">
        <f>IF(EHDAll[[#This Row],[STATUS]]="","",VLOOKUP(A303,EHD[],19,FALSE))</f>
        <v/>
      </c>
      <c r="I303" s="143" t="str">
        <f>IF(VLOOKUP(A303,EHD[],13,FALSE)=0,"",VLOOKUP(A303,EHD[],13,FALSE))</f>
        <v/>
      </c>
      <c r="J303" s="143" t="str">
        <f>IF(ISBLANK(VLOOKUP(A303,EHD[],14,FALSE)),"",VLOOKUP(A303,EHD[],14,FALSE))</f>
        <v/>
      </c>
      <c r="K303" s="151">
        <f>VLOOKUP(A303,EHD[],15,FALSE)</f>
        <v>0</v>
      </c>
      <c r="L303" s="151">
        <f ca="1">VLOOKUP(A303,EHD[],16,FALSE)</f>
        <v>279580.19560000004</v>
      </c>
      <c r="M303" s="143"/>
      <c r="N303" s="143" t="str">
        <f>IF(ISBLANK(VLOOKUP(A303,EHD[],20,FALSE)),"",VLOOKUP(A303,EHD[],20,FALSE))</f>
        <v/>
      </c>
      <c r="O303" s="152"/>
    </row>
    <row r="304" spans="1:15">
      <c r="A304" s="147" t="s">
        <v>384</v>
      </c>
      <c r="B304" s="144" t="str">
        <f>VLOOKUP(A304,Data[],2,FALSE)</f>
        <v>BROOKLYN</v>
      </c>
      <c r="C304" s="144" t="s">
        <v>27</v>
      </c>
      <c r="D304" s="9" t="str">
        <f>VLOOKUP(A304,Data[],52,FALSE)</f>
        <v>MIXED FINANCE/LLC2</v>
      </c>
      <c r="E304" s="9">
        <f ca="1">VLOOKUP(A304,Data[],4,FALSE)</f>
        <v>2019</v>
      </c>
      <c r="F304" s="9">
        <f>VLOOKUP(EHDAll[[#This Row],[DEVELOPMENT]],EHD[],7,FALSE)</f>
        <v>5</v>
      </c>
      <c r="G304" s="9" t="str">
        <f>VLOOKUP(EHDAll[[#This Row],[DEVELOPMENT]],Data[],67,FALSE)</f>
        <v>14-21</v>
      </c>
      <c r="H304" s="143" t="str">
        <f>IF(EHDAll[[#This Row],[STATUS]]="","",VLOOKUP(A304,EHD[],19,FALSE))</f>
        <v/>
      </c>
      <c r="I304" s="143" t="str">
        <f>IF(VLOOKUP(A304,EHD[],13,FALSE)=0,"",VLOOKUP(A304,EHD[],13,FALSE))</f>
        <v/>
      </c>
      <c r="J304" s="143" t="str">
        <f>IF(ISBLANK(VLOOKUP(A304,EHD[],14,FALSE)),"",VLOOKUP(A304,EHD[],14,FALSE))</f>
        <v/>
      </c>
      <c r="K304" s="151">
        <f>VLOOKUP(A304,EHD[],15,FALSE)</f>
        <v>0</v>
      </c>
      <c r="L304" s="151">
        <f ca="1">VLOOKUP(A304,EHD[],16,FALSE)</f>
        <v>43684.405562500004</v>
      </c>
      <c r="M304" s="143"/>
      <c r="N304" s="143" t="str">
        <f>IF(ISBLANK(VLOOKUP(A304,EHD[],20,FALSE)),"",VLOOKUP(A304,EHD[],20,FALSE))</f>
        <v/>
      </c>
      <c r="O304" s="152"/>
    </row>
    <row r="305" spans="1:15">
      <c r="A305" s="147" t="s">
        <v>385</v>
      </c>
      <c r="B305" s="144" t="str">
        <f>VLOOKUP(A305,Data[],2,FALSE)</f>
        <v>BROOKLYN</v>
      </c>
      <c r="C305" s="144" t="s">
        <v>27</v>
      </c>
      <c r="D305" s="9" t="str">
        <f>VLOOKUP(A305,Data[],52,FALSE)</f>
        <v>FEDERAL</v>
      </c>
      <c r="E305" s="9" t="str">
        <f ca="1">VLOOKUP(A305,Data[],4,FALSE)</f>
        <v>2020-2021</v>
      </c>
      <c r="F305" s="9">
        <f>VLOOKUP(EHDAll[[#This Row],[DEVELOPMENT]],EHD[],7,FALSE)</f>
        <v>136</v>
      </c>
      <c r="G305" s="9">
        <f>VLOOKUP(EHDAll[[#This Row],[DEVELOPMENT]],Data[],67,FALSE)</f>
        <v>4</v>
      </c>
      <c r="H305" s="143" t="str">
        <f>IF(EHDAll[[#This Row],[STATUS]]="","",VLOOKUP(A305,EHD[],19,FALSE))</f>
        <v/>
      </c>
      <c r="I305" s="143" t="str">
        <f>IF(VLOOKUP(A305,EHD[],13,FALSE)=0,"",VLOOKUP(A305,EHD[],13,FALSE))</f>
        <v/>
      </c>
      <c r="J305" s="143" t="str">
        <f>IF(ISBLANK(VLOOKUP(A305,EHD[],14,FALSE)),"",VLOOKUP(A305,EHD[],14,FALSE))</f>
        <v/>
      </c>
      <c r="K305" s="151">
        <f>VLOOKUP(A305,EHD[],15,FALSE)</f>
        <v>0</v>
      </c>
      <c r="L305" s="151">
        <f ca="1">VLOOKUP(A305,EHD[],16,FALSE)</f>
        <v>1223609.4943600001</v>
      </c>
      <c r="M305" s="143"/>
      <c r="N305" s="143" t="str">
        <f>IF(ISBLANK(VLOOKUP(A305,EHD[],20,FALSE)),"",VLOOKUP(A305,EHD[],20,FALSE))</f>
        <v/>
      </c>
      <c r="O305" s="152"/>
    </row>
    <row r="306" spans="1:15">
      <c r="A306" s="147" t="s">
        <v>116</v>
      </c>
      <c r="B306" s="144" t="str">
        <f>VLOOKUP(A306,Data[],2,FALSE)</f>
        <v>MANHATTAN</v>
      </c>
      <c r="C306" s="144" t="s">
        <v>27</v>
      </c>
      <c r="D306" s="9" t="str">
        <f>VLOOKUP(A306,Data[],52,FALSE)</f>
        <v>FEDERAL</v>
      </c>
      <c r="E306" s="9" t="str">
        <f ca="1">VLOOKUP(A306,Data[],4,FALSE)</f>
        <v>2026+</v>
      </c>
      <c r="F306" s="9">
        <f>VLOOKUP(EHDAll[[#This Row],[DEVELOPMENT]],EHD[],7,FALSE)</f>
        <v>3</v>
      </c>
      <c r="G306" s="9">
        <f>VLOOKUP(EHDAll[[#This Row],[DEVELOPMENT]],Data[],67,FALSE)</f>
        <v>20</v>
      </c>
      <c r="H306" s="143" t="str">
        <f>IF(EHDAll[[#This Row],[STATUS]]="","",VLOOKUP(A306,EHD[],19,FALSE))</f>
        <v/>
      </c>
      <c r="I306" s="143" t="str">
        <f>IF(VLOOKUP(A306,EHD[],13,FALSE)=0,"",VLOOKUP(A306,EHD[],13,FALSE))</f>
        <v/>
      </c>
      <c r="J306" s="143" t="str">
        <f>IF(ISBLANK(VLOOKUP(A306,EHD[],14,FALSE)),"",VLOOKUP(A306,EHD[],14,FALSE))</f>
        <v/>
      </c>
      <c r="K306" s="151">
        <f>VLOOKUP(A306,EHD[],15,FALSE)</f>
        <v>0</v>
      </c>
      <c r="L306" s="151">
        <f ca="1">VLOOKUP(A306,EHD[],16,FALSE)</f>
        <v>23087.6730675</v>
      </c>
      <c r="M306" s="143"/>
      <c r="N306" s="143" t="str">
        <f>IF(ISBLANK(VLOOKUP(A306,EHD[],20,FALSE)),"",VLOOKUP(A306,EHD[],20,FALSE))</f>
        <v/>
      </c>
      <c r="O306" s="152"/>
    </row>
    <row r="307" spans="1:15">
      <c r="A307" s="147" t="s">
        <v>386</v>
      </c>
      <c r="B307" s="144" t="str">
        <f>VLOOKUP(A307,Data[],2,FALSE)</f>
        <v>MANHATTAN</v>
      </c>
      <c r="C307" s="144" t="s">
        <v>27</v>
      </c>
      <c r="D307" s="9" t="str">
        <f>VLOOKUP(A307,Data[],52,FALSE)</f>
        <v>MIXED FINANCE/LLC2</v>
      </c>
      <c r="E307" s="9" t="str">
        <f ca="1">VLOOKUP(A307,Data[],4,FALSE)</f>
        <v>2020-2021</v>
      </c>
      <c r="F307" s="9">
        <f>VLOOKUP(EHDAll[[#This Row],[DEVELOPMENT]],EHD[],7,FALSE)</f>
        <v>4</v>
      </c>
      <c r="G307" s="9">
        <f>VLOOKUP(EHDAll[[#This Row],[DEVELOPMENT]],Data[],67,FALSE)</f>
        <v>19</v>
      </c>
      <c r="H307" s="143" t="str">
        <f>IF(EHDAll[[#This Row],[STATUS]]="","",VLOOKUP(A307,EHD[],19,FALSE))</f>
        <v/>
      </c>
      <c r="I307" s="143" t="str">
        <f>IF(VLOOKUP(A307,EHD[],13,FALSE)=0,"",VLOOKUP(A307,EHD[],13,FALSE))</f>
        <v/>
      </c>
      <c r="J307" s="143" t="str">
        <f>IF(ISBLANK(VLOOKUP(A307,EHD[],14,FALSE)),"",VLOOKUP(A307,EHD[],14,FALSE))</f>
        <v/>
      </c>
      <c r="K307" s="151">
        <f>VLOOKUP(A307,EHD[],15,FALSE)</f>
        <v>0</v>
      </c>
      <c r="L307" s="151">
        <f ca="1">VLOOKUP(A307,EHD[],16,FALSE)</f>
        <v>35988.514539999996</v>
      </c>
      <c r="M307" s="143"/>
      <c r="N307" s="143" t="str">
        <f>IF(ISBLANK(VLOOKUP(A307,EHD[],20,FALSE)),"",VLOOKUP(A307,EHD[],20,FALSE))</f>
        <v/>
      </c>
      <c r="O307" s="152"/>
    </row>
    <row r="308" spans="1:15">
      <c r="A308" s="147" t="s">
        <v>271</v>
      </c>
      <c r="B308" s="144" t="str">
        <f>VLOOKUP(A308,Data[],2,FALSE)</f>
        <v>QUEENS</v>
      </c>
      <c r="C308" s="144" t="s">
        <v>27</v>
      </c>
      <c r="D308" s="9" t="str">
        <f>VLOOKUP(A308,Data[],52,FALSE)</f>
        <v>FEDERAL</v>
      </c>
      <c r="E308" s="9" t="str">
        <f ca="1">VLOOKUP(A308,Data[],4,FALSE)</f>
        <v/>
      </c>
      <c r="F308" s="9">
        <f>VLOOKUP(EHDAll[[#This Row],[DEVELOPMENT]],EHD[],7,FALSE)</f>
        <v>55</v>
      </c>
      <c r="G308" s="9">
        <f>VLOOKUP(EHDAll[[#This Row],[DEVELOPMENT]],Data[],67,FALSE)</f>
        <v>6</v>
      </c>
      <c r="H308" s="143" t="str">
        <f>IF(EHDAll[[#This Row],[STATUS]]="","",VLOOKUP(A308,EHD[],19,FALSE))</f>
        <v/>
      </c>
      <c r="I308" s="143" t="str">
        <f>IF(VLOOKUP(A308,EHD[],13,FALSE)=0,"",VLOOKUP(A308,EHD[],13,FALSE))</f>
        <v/>
      </c>
      <c r="J308" s="143" t="str">
        <f>IF(ISBLANK(VLOOKUP(A308,EHD[],14,FALSE)),"",VLOOKUP(A308,EHD[],14,FALSE))</f>
        <v/>
      </c>
      <c r="K308" s="151">
        <f>VLOOKUP(A308,EHD[],15,FALSE)</f>
        <v>0</v>
      </c>
      <c r="L308" s="151">
        <f ca="1">VLOOKUP(A308,EHD[],16,FALSE)</f>
        <v>466214.84745000006</v>
      </c>
      <c r="M308" s="143"/>
      <c r="N308" s="143" t="str">
        <f>IF(ISBLANK(VLOOKUP(A308,EHD[],20,FALSE)),"",VLOOKUP(A308,EHD[],20,FALSE))</f>
        <v/>
      </c>
      <c r="O308" s="152"/>
    </row>
    <row r="309" spans="1:15">
      <c r="A309" s="147" t="s">
        <v>388</v>
      </c>
      <c r="B309" s="144" t="str">
        <f>VLOOKUP(A309,Data[],2,FALSE)</f>
        <v>MANHATTAN</v>
      </c>
      <c r="C309" s="144" t="s">
        <v>27</v>
      </c>
      <c r="D309" s="9" t="str">
        <f>VLOOKUP(A309,Data[],52,FALSE)</f>
        <v>FEDERAL</v>
      </c>
      <c r="E309" s="9" t="str">
        <f ca="1">VLOOKUP(A309,Data[],4,FALSE)</f>
        <v/>
      </c>
      <c r="F309" s="9">
        <f>VLOOKUP(EHDAll[[#This Row],[DEVELOPMENT]],EHD[],7,FALSE)</f>
        <v>0</v>
      </c>
      <c r="G309" s="9">
        <f>VLOOKUP(EHDAll[[#This Row],[DEVELOPMENT]],Data[],67,FALSE)</f>
        <v>38780</v>
      </c>
      <c r="H309" s="143" t="str">
        <f>IF(EHDAll[[#This Row],[STATUS]]="","",VLOOKUP(A309,EHD[],19,FALSE))</f>
        <v/>
      </c>
      <c r="I309" s="143" t="str">
        <f>IF(VLOOKUP(A309,EHD[],13,FALSE)=0,"",VLOOKUP(A309,EHD[],13,FALSE))</f>
        <v/>
      </c>
      <c r="J309" s="143" t="str">
        <f>IF(ISBLANK(VLOOKUP(A309,EHD[],14,FALSE)),"",VLOOKUP(A309,EHD[],14,FALSE))</f>
        <v/>
      </c>
      <c r="K309" s="151">
        <f>VLOOKUP(A309,EHD[],15,FALSE)</f>
        <v>0</v>
      </c>
      <c r="L309" s="151">
        <f ca="1">VLOOKUP(A309,EHD[],16,FALSE)</f>
        <v>0</v>
      </c>
      <c r="M309" s="143"/>
      <c r="N309" s="143" t="str">
        <f>IF(ISBLANK(VLOOKUP(A309,EHD[],20,FALSE)),"",VLOOKUP(A309,EHD[],20,FALSE))</f>
        <v/>
      </c>
      <c r="O309" s="152"/>
    </row>
    <row r="310" spans="1:15">
      <c r="A310" s="147" t="s">
        <v>389</v>
      </c>
      <c r="B310" s="144" t="str">
        <f>VLOOKUP(A310,Data[],2,FALSE)</f>
        <v>MANHATTAN</v>
      </c>
      <c r="C310" s="144" t="s">
        <v>27</v>
      </c>
      <c r="D310" s="9" t="str">
        <f>VLOOKUP(A310,Data[],52,FALSE)</f>
        <v>FEDERAL</v>
      </c>
      <c r="E310" s="9" t="str">
        <f ca="1">VLOOKUP(A310,Data[],4,FALSE)</f>
        <v/>
      </c>
      <c r="F310" s="9">
        <f>VLOOKUP(EHDAll[[#This Row],[DEVELOPMENT]],EHD[],7,FALSE)</f>
        <v>1</v>
      </c>
      <c r="G310" s="9">
        <f>VLOOKUP(EHDAll[[#This Row],[DEVELOPMENT]],Data[],67,FALSE)</f>
        <v>9</v>
      </c>
      <c r="H310" s="143" t="str">
        <f>IF(EHDAll[[#This Row],[STATUS]]="","",VLOOKUP(A310,EHD[],19,FALSE))</f>
        <v/>
      </c>
      <c r="I310" s="143" t="str">
        <f>IF(VLOOKUP(A310,EHD[],13,FALSE)=0,"",VLOOKUP(A310,EHD[],13,FALSE))</f>
        <v/>
      </c>
      <c r="J310" s="143" t="str">
        <f>IF(ISBLANK(VLOOKUP(A310,EHD[],14,FALSE)),"",VLOOKUP(A310,EHD[],14,FALSE))</f>
        <v/>
      </c>
      <c r="K310" s="151">
        <f>VLOOKUP(A310,EHD[],15,FALSE)</f>
        <v>0</v>
      </c>
      <c r="L310" s="151">
        <f ca="1">VLOOKUP(A310,EHD[],16,FALSE)</f>
        <v>8997.1286349999991</v>
      </c>
      <c r="M310" s="143"/>
      <c r="N310" s="143" t="str">
        <f>IF(ISBLANK(VLOOKUP(A310,EHD[],20,FALSE)),"",VLOOKUP(A310,EHD[],20,FALSE))</f>
        <v/>
      </c>
      <c r="O310" s="152"/>
    </row>
    <row r="311" spans="1:15">
      <c r="A311" s="147" t="s">
        <v>390</v>
      </c>
      <c r="B311" s="144" t="str">
        <f>VLOOKUP(A311,Data[],2,FALSE)</f>
        <v>MANHATTAN</v>
      </c>
      <c r="C311" s="144" t="s">
        <v>27</v>
      </c>
      <c r="D311" s="9" t="str">
        <f>VLOOKUP(A311,Data[],52,FALSE)</f>
        <v>FEDERAL</v>
      </c>
      <c r="E311" s="9" t="str">
        <f ca="1">VLOOKUP(A311,Data[],4,FALSE)</f>
        <v/>
      </c>
      <c r="F311" s="9">
        <f>VLOOKUP(EHDAll[[#This Row],[DEVELOPMENT]],EHD[],7,FALSE)</f>
        <v>2</v>
      </c>
      <c r="G311" s="9">
        <f>VLOOKUP(EHDAll[[#This Row],[DEVELOPMENT]],Data[],67,FALSE)</f>
        <v>22</v>
      </c>
      <c r="H311" s="143" t="str">
        <f>IF(EHDAll[[#This Row],[STATUS]]="","",VLOOKUP(A311,EHD[],19,FALSE))</f>
        <v/>
      </c>
      <c r="I311" s="143" t="str">
        <f>IF(VLOOKUP(A311,EHD[],13,FALSE)=0,"",VLOOKUP(A311,EHD[],13,FALSE))</f>
        <v/>
      </c>
      <c r="J311" s="143" t="str">
        <f>IF(ISBLANK(VLOOKUP(A311,EHD[],14,FALSE)),"",VLOOKUP(A311,EHD[],14,FALSE))</f>
        <v/>
      </c>
      <c r="K311" s="151">
        <f>VLOOKUP(A311,EHD[],15,FALSE)</f>
        <v>0</v>
      </c>
      <c r="L311" s="151">
        <f ca="1">VLOOKUP(A311,EHD[],16,FALSE)</f>
        <v>17994.257269999998</v>
      </c>
      <c r="M311" s="143"/>
      <c r="N311" s="143" t="str">
        <f>IF(ISBLANK(VLOOKUP(A311,EHD[],20,FALSE)),"",VLOOKUP(A311,EHD[],20,FALSE))</f>
        <v/>
      </c>
      <c r="O311" s="152"/>
    </row>
    <row r="312" spans="1:15">
      <c r="A312" s="147" t="s">
        <v>391</v>
      </c>
      <c r="B312" s="144" t="str">
        <f>VLOOKUP(A312,Data[],2,FALSE)</f>
        <v>MANHATTAN</v>
      </c>
      <c r="C312" s="144" t="s">
        <v>27</v>
      </c>
      <c r="D312" s="9" t="str">
        <f>VLOOKUP(A312,Data[],52,FALSE)</f>
        <v>FEDERAL</v>
      </c>
      <c r="E312" s="9" t="str">
        <f ca="1">VLOOKUP(A312,Data[],4,FALSE)</f>
        <v/>
      </c>
      <c r="F312" s="9">
        <f>VLOOKUP(EHDAll[[#This Row],[DEVELOPMENT]],EHD[],7,FALSE)</f>
        <v>2</v>
      </c>
      <c r="G312" s="9">
        <f>VLOOKUP(EHDAll[[#This Row],[DEVELOPMENT]],Data[],67,FALSE)</f>
        <v>18</v>
      </c>
      <c r="H312" s="143" t="str">
        <f>IF(EHDAll[[#This Row],[STATUS]]="","",VLOOKUP(A312,EHD[],19,FALSE))</f>
        <v/>
      </c>
      <c r="I312" s="143" t="str">
        <f>IF(VLOOKUP(A312,EHD[],13,FALSE)=0,"",VLOOKUP(A312,EHD[],13,FALSE))</f>
        <v/>
      </c>
      <c r="J312" s="143" t="str">
        <f>IF(ISBLANK(VLOOKUP(A312,EHD[],14,FALSE)),"",VLOOKUP(A312,EHD[],14,FALSE))</f>
        <v/>
      </c>
      <c r="K312" s="151">
        <f>VLOOKUP(A312,EHD[],15,FALSE)</f>
        <v>0</v>
      </c>
      <c r="L312" s="151">
        <f ca="1">VLOOKUP(A312,EHD[],16,FALSE)</f>
        <v>17994.257269999998</v>
      </c>
      <c r="M312" s="143"/>
      <c r="N312" s="143" t="str">
        <f>IF(ISBLANK(VLOOKUP(A312,EHD[],20,FALSE)),"",VLOOKUP(A312,EHD[],20,FALSE))</f>
        <v/>
      </c>
      <c r="O312" s="152"/>
    </row>
    <row r="313" spans="1:15">
      <c r="A313" s="153" t="s">
        <v>260</v>
      </c>
      <c r="B313" s="154" t="str">
        <f>VLOOKUP(A313,Data[],2,FALSE)</f>
        <v>BROOKLYN</v>
      </c>
      <c r="C313" s="154" t="s">
        <v>27</v>
      </c>
      <c r="D313" s="24" t="str">
        <f>VLOOKUP(A313,Data[],52,FALSE)</f>
        <v>FEDERAL</v>
      </c>
      <c r="E313" s="24" t="str">
        <f ca="1">VLOOKUP(A313,Data[],4,FALSE)</f>
        <v/>
      </c>
      <c r="F313" s="24">
        <f>VLOOKUP(EHDAll[[#This Row],[DEVELOPMENT]],EHD[],7,FALSE)</f>
        <v>3</v>
      </c>
      <c r="G313" s="24">
        <f>VLOOKUP(EHDAll[[#This Row],[DEVELOPMENT]],Data[],67,FALSE)</f>
        <v>21</v>
      </c>
      <c r="H313" s="143" t="str">
        <f>IF(EHDAll[[#This Row],[STATUS]]="","",VLOOKUP(A313,EHD[],19,FALSE))</f>
        <v/>
      </c>
      <c r="I313" s="143" t="str">
        <f>IF(VLOOKUP(A313,EHD[],13,FALSE)=0,"",VLOOKUP(A313,EHD[],13,FALSE))</f>
        <v/>
      </c>
      <c r="J313" s="143" t="str">
        <f>IF(ISBLANK(VLOOKUP(A313,EHD[],14,FALSE)),"",VLOOKUP(A313,EHD[],14,FALSE))</f>
        <v/>
      </c>
      <c r="K313" s="151">
        <f>VLOOKUP(A313,EHD[],15,FALSE)</f>
        <v>0</v>
      </c>
      <c r="L313" s="151">
        <f ca="1">VLOOKUP(A313,EHD[],16,FALSE)</f>
        <v>25429.900770000004</v>
      </c>
      <c r="M313" s="155"/>
      <c r="N313" s="143" t="str">
        <f>IF(ISBLANK(VLOOKUP(A313,EHD[],20,FALSE)),"",VLOOKUP(A313,EHD[],20,FALSE))</f>
        <v/>
      </c>
      <c r="O313" s="157"/>
    </row>
  </sheetData>
  <conditionalFormatting sqref="B3:B313 A2:C2 H2:O2">
    <cfRule type="containsErrors" dxfId="531" priority="5">
      <formula>ISERROR(A2)</formula>
    </cfRule>
  </conditionalFormatting>
  <conditionalFormatting sqref="C3:C313">
    <cfRule type="containsErrors" dxfId="530" priority="3">
      <formula>ISERROR(C3)</formula>
    </cfRule>
  </conditionalFormatting>
  <conditionalFormatting sqref="A3:A313">
    <cfRule type="containsErrors" dxfId="529" priority="4">
      <formula>ISERROR(A3)</formula>
    </cfRule>
  </conditionalFormatting>
  <conditionalFormatting sqref="A3:A313">
    <cfRule type="duplicateValues" dxfId="528" priority="6"/>
  </conditionalFormatting>
  <conditionalFormatting sqref="D2:G2">
    <cfRule type="containsErrors" dxfId="527" priority="2">
      <formula>ISERROR(D2)</formula>
    </cfRule>
  </conditionalFormatting>
  <conditionalFormatting sqref="D3:G313">
    <cfRule type="containsErrors" dxfId="526" priority="1">
      <formula>ISERROR(D3)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2:O317"/>
  <sheetViews>
    <sheetView zoomScale="85" zoomScaleNormal="85" workbookViewId="0">
      <pane xSplit="1" ySplit="2" topLeftCell="F111" activePane="bottomRight" state="frozen"/>
      <selection pane="bottomRight" activeCell="A126" sqref="A126:XFD127"/>
      <selection pane="bottomLeft" activeCell="A3" sqref="A3"/>
      <selection pane="topRight" activeCell="B1" sqref="B1"/>
    </sheetView>
  </sheetViews>
  <sheetFormatPr defaultColWidth="9.140625" defaultRowHeight="14.45"/>
  <cols>
    <col min="1" max="1" width="57" style="44" bestFit="1" customWidth="1"/>
    <col min="2" max="2" width="14.7109375" style="44" bestFit="1" customWidth="1"/>
    <col min="3" max="3" width="18.7109375" style="44" bestFit="1" customWidth="1"/>
    <col min="4" max="4" width="20" style="44" bestFit="1" customWidth="1"/>
    <col min="5" max="5" width="13.140625" style="44" bestFit="1" customWidth="1"/>
    <col min="6" max="6" width="12.42578125" style="44" bestFit="1" customWidth="1"/>
    <col min="7" max="7" width="12.42578125" style="44" customWidth="1"/>
    <col min="8" max="8" width="17.7109375" style="44" bestFit="1" customWidth="1"/>
    <col min="9" max="9" width="14.140625" style="44" bestFit="1" customWidth="1"/>
    <col min="10" max="10" width="21" style="44" bestFit="1" customWidth="1"/>
    <col min="11" max="11" width="7.7109375" style="145" bestFit="1" customWidth="1"/>
    <col min="12" max="12" width="15.28515625" style="145" bestFit="1" customWidth="1"/>
    <col min="13" max="13" width="19.7109375" style="44" bestFit="1" customWidth="1"/>
    <col min="14" max="14" width="28.42578125" style="44" bestFit="1" customWidth="1"/>
    <col min="15" max="15" width="17" style="44" bestFit="1" customWidth="1"/>
    <col min="16" max="16384" width="9.140625" style="44"/>
  </cols>
  <sheetData>
    <row r="2" spans="1:15" s="146" customFormat="1">
      <c r="A2" s="149" t="s">
        <v>7</v>
      </c>
      <c r="B2" s="133" t="s">
        <v>5</v>
      </c>
      <c r="C2" s="133" t="s">
        <v>11</v>
      </c>
      <c r="D2" s="133" t="s">
        <v>156</v>
      </c>
      <c r="E2" s="133" t="s">
        <v>453</v>
      </c>
      <c r="F2" s="133" t="s">
        <v>10</v>
      </c>
      <c r="G2" s="133" t="s">
        <v>399</v>
      </c>
      <c r="H2" s="133" t="s">
        <v>17</v>
      </c>
      <c r="I2" s="133" t="s">
        <v>18</v>
      </c>
      <c r="J2" s="133" t="s">
        <v>19</v>
      </c>
      <c r="K2" s="134" t="s">
        <v>21</v>
      </c>
      <c r="L2" s="134" t="s">
        <v>440</v>
      </c>
      <c r="M2" s="133" t="s">
        <v>12</v>
      </c>
      <c r="N2" s="133" t="s">
        <v>450</v>
      </c>
      <c r="O2" s="150" t="s">
        <v>451</v>
      </c>
    </row>
    <row r="3" spans="1:15">
      <c r="A3" s="148" t="s">
        <v>32</v>
      </c>
      <c r="B3" s="144" t="str">
        <f>VLOOKUP(A3,Data[],2,FALSE)</f>
        <v>BRONX</v>
      </c>
      <c r="C3" s="144" t="s">
        <v>106</v>
      </c>
      <c r="D3" s="9" t="str">
        <f>VLOOKUP(A3,Data[],52,FALSE)</f>
        <v>FEDERAL</v>
      </c>
      <c r="E3" s="9">
        <f>VLOOKUP(IntAll[[#This Row],[DEVELOPMENT]],Data[],62,FALSE)</f>
        <v>4</v>
      </c>
      <c r="F3" s="9" t="str">
        <f ca="1">VLOOKUP(A3,Data[],4,FALSE)</f>
        <v>2022-2025</v>
      </c>
      <c r="G3" s="9">
        <f>VLOOKUP(IntAll[[#This Row],[DEVELOPMENT]],EHDAll[[DEVELOPMENT]:['# Units]],6,FALSE)</f>
        <v>8</v>
      </c>
      <c r="H3" s="143">
        <f ca="1">IF(IntAll[[#This Row],[STATUS]]="","",IF(OR(F3="2019-2020",F3="2021-2025"),"",IF(ISNUMBER(SEARCH("LLC",D3)),VLOOKUP(A3,IntComp24[],21,FALSE),VLOOKUP(A3,IntComp[],21,FALSE))))</f>
        <v>2019</v>
      </c>
      <c r="I3" s="143">
        <f ca="1">IF(IntAll[[#This Row],[STATUS]]="","",IF(IF(OR(F3="2019-2020",F3="2021-2025"),"",IF(ISNUMBER(SEARCH("LLC",D3)),VLOOKUP(A3,IntComp24[],16,FALSE),VLOOKUP(A3,IntComp[],16,FALSE)))=0,"",IF(OR(F3="2019-2020",F3="2021-2025"),"",IF(ISNUMBER(SEARCH("LLC",D3)),VLOOKUP(A3,IntComp24[],16,FALSE),VLOOKUP(A3,IntComp[],16,FALSE)))))</f>
        <v>2020</v>
      </c>
      <c r="J3" s="143" t="str">
        <f ca="1">IF(IF(OR(F3="2019-2020",F3="2021-2025"),"",IF(ISNUMBER(SEARCH("LLC",D3)),VLOOKUP(A3,IntComp24[],17,FALSE),VLOOKUP(A3,IntComp[],17,FALSE)))=0,"",IF(OR(F3="2019-2020",F3="2021-2025"),"",IF(ISNUMBER(SEARCH("LLC",D3)),VLOOKUP(A3,IntComp24[],17,FALSE),VLOOKUP(A3,IntComp[],17,FALSE))))</f>
        <v>COMPLETED</v>
      </c>
      <c r="K3" s="151"/>
      <c r="L3" s="151" t="e">
        <f ca="1">IF(OR(F3="2019-2020",F3="2021-2025"),"",IF(ISNUMBER(SEARCH("LLC",D3)),VLOOKUP(A3,IntComp24[],18,FALSE),VLOOKUP(A3,IntComp[],18,FALSE)))</f>
        <v>#N/A</v>
      </c>
      <c r="M3" s="143" t="s">
        <v>447</v>
      </c>
      <c r="N3" s="143" t="str">
        <f ca="1">IF(IF(OR(F3="2019-2020",F3="2021-2025"),"",IF(ISNUMBER(SEARCH("LLC",D3)),VLOOKUP(A3,IntComp24[],20,FALSE),VLOOKUP(A3,IntComp[],20,FALSE)))=0,"",IF(OR(F3="2019-2020",F3="2021-2025"),"",IF(ISNUMBER(SEARCH("LLC",D3)),VLOOKUP(A3,IntComp24[],20,FALSE),VLOOKUP(A3,IntComp[],20,FALSE))))</f>
        <v>CPD PM Team</v>
      </c>
      <c r="O3" s="152" t="str">
        <f ca="1">IF(IF(OR(F3="2019-2020",F3="2021-2025"),"",IF(ISNUMBER(SEARCH("LLC",D3)),VLOOKUP(A3,IntComp24[],23,FALSE),VLOOKUP(A3,IntComp[],23,FALSE)))=0,"",IF(OR(F3="2019-2020",F3="2021-2025"),"",IF(ISNUMBER(SEARCH("LLC",D3)),VLOOKUP(A3,IntComp24[],23,FALSE),VLOOKUP(A3,IntComp[],23,FALSE))))</f>
        <v/>
      </c>
    </row>
    <row r="4" spans="1:15">
      <c r="A4" s="148" t="s">
        <v>332</v>
      </c>
      <c r="B4" s="144" t="str">
        <f>VLOOKUP(A4,Data[],2,FALSE)</f>
        <v>BRONX</v>
      </c>
      <c r="C4" s="144" t="s">
        <v>106</v>
      </c>
      <c r="D4" s="9" t="str">
        <f>VLOOKUP(A4,Data[],52,FALSE)</f>
        <v>FEDERAL</v>
      </c>
      <c r="E4" s="9">
        <f>VLOOKUP(IntAll[[#This Row],[DEVELOPMENT]],Data[],62,FALSE)</f>
        <v>4</v>
      </c>
      <c r="F4" s="9" t="str">
        <f ca="1">VLOOKUP(A4,Data[],4,FALSE)</f>
        <v/>
      </c>
      <c r="G4" s="9">
        <f>VLOOKUP(IntAll[[#This Row],[DEVELOPMENT]],EHDAll[[DEVELOPMENT]:['# Units]],6,FALSE)</f>
        <v>6</v>
      </c>
      <c r="H4" s="143">
        <f ca="1">IF(IntAll[[#This Row],[STATUS]]="","",IF(OR(F4="2019-2020",F4="2021-2025"),"",IF(ISNUMBER(SEARCH("LLC",D4)),VLOOKUP(A4,IntComp24[],21,FALSE),VLOOKUP(A4,IntComp[],21,FALSE))))</f>
        <v>2019</v>
      </c>
      <c r="I4" s="143">
        <f ca="1">IF(IntAll[[#This Row],[STATUS]]="","",IF(IF(OR(F4="2019-2020",F4="2021-2025"),"",IF(ISNUMBER(SEARCH("LLC",D4)),VLOOKUP(A4,IntComp24[],16,FALSE),VLOOKUP(A4,IntComp[],16,FALSE)))=0,"",IF(OR(F4="2019-2020",F4="2021-2025"),"",IF(ISNUMBER(SEARCH("LLC",D4)),VLOOKUP(A4,IntComp24[],16,FALSE),VLOOKUP(A4,IntComp[],16,FALSE)))))</f>
        <v>2020</v>
      </c>
      <c r="J4" s="143" t="str">
        <f ca="1">IF(IF(OR(F4="2019-2020",F4="2021-2025"),"",IF(ISNUMBER(SEARCH("LLC",D4)),VLOOKUP(A4,IntComp24[],17,FALSE),VLOOKUP(A4,IntComp[],17,FALSE)))=0,"",IF(OR(F4="2019-2020",F4="2021-2025"),"",IF(ISNUMBER(SEARCH("LLC",D4)),VLOOKUP(A4,IntComp24[],17,FALSE),VLOOKUP(A4,IntComp[],17,FALSE))))</f>
        <v>COMPLETED</v>
      </c>
      <c r="K4" s="151"/>
      <c r="L4" s="151">
        <f ca="1">IF(OR(F4="2019-2020",F4="2021-2025"),"",IF(ISNUMBER(SEARCH("LLC",D4)),VLOOKUP(A4,IntComp24[],18,FALSE),VLOOKUP(A4,IntComp[],18,FALSE)))</f>
        <v>285309</v>
      </c>
      <c r="M4" s="143" t="s">
        <v>447</v>
      </c>
      <c r="N4" s="143" t="str">
        <f ca="1">IF(IF(OR(F4="2019-2020",F4="2021-2025"),"",IF(ISNUMBER(SEARCH("LLC",D4)),VLOOKUP(A4,IntComp24[],20,FALSE),VLOOKUP(A4,IntComp[],20,FALSE)))=0,"",IF(OR(F4="2019-2020",F4="2021-2025"),"",IF(ISNUMBER(SEARCH("LLC",D4)),VLOOKUP(A4,IntComp24[],20,FALSE),VLOOKUP(A4,IntComp[],20,FALSE))))</f>
        <v>CPD PM Team</v>
      </c>
      <c r="O4" s="152" t="str">
        <f ca="1">IF(IF(OR(F4="2019-2020",F4="2021-2025"),"",IF(ISNUMBER(SEARCH("LLC",D4)),VLOOKUP(A4,IntComp24[],23,FALSE),VLOOKUP(A4,IntComp[],23,FALSE)))=0,"",IF(OR(F4="2019-2020",F4="2021-2025"),"",IF(ISNUMBER(SEARCH("LLC",D4)),VLOOKUP(A4,IntComp24[],23,FALSE),VLOOKUP(A4,IntComp[],23,FALSE))))</f>
        <v/>
      </c>
    </row>
    <row r="5" spans="1:15">
      <c r="A5" s="148" t="s">
        <v>103</v>
      </c>
      <c r="B5" s="144" t="str">
        <f>VLOOKUP(A5,Data[],2,FALSE)</f>
        <v>MANHATTAN</v>
      </c>
      <c r="C5" s="144" t="s">
        <v>106</v>
      </c>
      <c r="D5" s="9" t="str">
        <f>VLOOKUP(A5,Data[],52,FALSE)</f>
        <v>FEDERAL</v>
      </c>
      <c r="E5" s="9">
        <f>VLOOKUP(IntAll[[#This Row],[DEVELOPMENT]],Data[],62,FALSE)</f>
        <v>3</v>
      </c>
      <c r="F5" s="9" t="str">
        <f ca="1">VLOOKUP(A5,Data[],4,FALSE)</f>
        <v/>
      </c>
      <c r="G5" s="9">
        <f>VLOOKUP(IntAll[[#This Row],[DEVELOPMENT]],EHDAll[[DEVELOPMENT]:['# Units]],6,FALSE)</f>
        <v>1</v>
      </c>
      <c r="H5" s="143">
        <f ca="1">IF(IntAll[[#This Row],[STATUS]]="","",IF(OR(F5="2019-2020",F5="2021-2025"),"",IF(ISNUMBER(SEARCH("LLC",D5)),VLOOKUP(A5,IntComp24[],21,FALSE),VLOOKUP(A5,IntComp[],21,FALSE))))</f>
        <v>2019</v>
      </c>
      <c r="I5" s="143">
        <f ca="1">IF(IntAll[[#This Row],[STATUS]]="","",IF(IF(OR(F5="2019-2020",F5="2021-2025"),"",IF(ISNUMBER(SEARCH("LLC",D5)),VLOOKUP(A5,IntComp24[],16,FALSE),VLOOKUP(A5,IntComp[],16,FALSE)))=0,"",IF(OR(F5="2019-2020",F5="2021-2025"),"",IF(ISNUMBER(SEARCH("LLC",D5)),VLOOKUP(A5,IntComp24[],16,FALSE),VLOOKUP(A5,IntComp[],16,FALSE)))))</f>
        <v>2020</v>
      </c>
      <c r="J5" s="143" t="str">
        <f ca="1">IF(IF(OR(F5="2019-2020",F5="2021-2025"),"",IF(ISNUMBER(SEARCH("LLC",D5)),VLOOKUP(A5,IntComp24[],17,FALSE),VLOOKUP(A5,IntComp[],17,FALSE)))=0,"",IF(OR(F5="2019-2020",F5="2021-2025"),"",IF(ISNUMBER(SEARCH("LLC",D5)),VLOOKUP(A5,IntComp24[],17,FALSE),VLOOKUP(A5,IntComp[],17,FALSE))))</f>
        <v>COMPLETED</v>
      </c>
      <c r="K5" s="151"/>
      <c r="L5" s="151">
        <f ca="1">IF(OR(F5="2019-2020",F5="2021-2025"),"",IF(ISNUMBER(SEARCH("LLC",D5)),VLOOKUP(A5,IntComp24[],18,FALSE),VLOOKUP(A5,IntComp[],18,FALSE)))</f>
        <v>46198</v>
      </c>
      <c r="M5" s="143" t="s">
        <v>447</v>
      </c>
      <c r="N5" s="143" t="str">
        <f ca="1">IF(IF(OR(F5="2019-2020",F5="2021-2025"),"",IF(ISNUMBER(SEARCH("LLC",D5)),VLOOKUP(A5,IntComp24[],20,FALSE),VLOOKUP(A5,IntComp[],20,FALSE)))=0,"",IF(OR(F5="2019-2020",F5="2021-2025"),"",IF(ISNUMBER(SEARCH("LLC",D5)),VLOOKUP(A5,IntComp24[],20,FALSE),VLOOKUP(A5,IntComp[],20,FALSE))))</f>
        <v>CPD PM Team</v>
      </c>
      <c r="O5" s="152" t="str">
        <f ca="1">IF(IF(OR(F5="2019-2020",F5="2021-2025"),"",IF(ISNUMBER(SEARCH("LLC",D5)),VLOOKUP(A5,IntComp24[],23,FALSE),VLOOKUP(A5,IntComp[],23,FALSE)))=0,"",IF(OR(F5="2019-2020",F5="2021-2025"),"",IF(ISNUMBER(SEARCH("LLC",D5)),VLOOKUP(A5,IntComp24[],23,FALSE),VLOOKUP(A5,IntComp[],23,FALSE))))</f>
        <v/>
      </c>
    </row>
    <row r="6" spans="1:15">
      <c r="A6" s="148" t="s">
        <v>40</v>
      </c>
      <c r="B6" s="144" t="str">
        <f>VLOOKUP(A6,Data[],2,FALSE)</f>
        <v>BRONX</v>
      </c>
      <c r="C6" s="144" t="s">
        <v>106</v>
      </c>
      <c r="D6" s="9" t="str">
        <f>VLOOKUP(A6,Data[],52,FALSE)</f>
        <v>FEDERAL</v>
      </c>
      <c r="E6" s="9">
        <f>VLOOKUP(IntAll[[#This Row],[DEVELOPMENT]],Data[],62,FALSE)</f>
        <v>3</v>
      </c>
      <c r="F6" s="9" t="str">
        <f ca="1">VLOOKUP(A6,Data[],4,FALSE)</f>
        <v/>
      </c>
      <c r="G6" s="9">
        <f>VLOOKUP(IntAll[[#This Row],[DEVELOPMENT]],EHDAll[[DEVELOPMENT]:['# Units]],6,FALSE)</f>
        <v>10</v>
      </c>
      <c r="H6" s="143">
        <f ca="1">IF(IntAll[[#This Row],[STATUS]]="","",IF(OR(F6="2019-2020",F6="2021-2025"),"",IF(ISNUMBER(SEARCH("LLC",D6)),VLOOKUP(A6,IntComp24[],21,FALSE),VLOOKUP(A6,IntComp[],21,FALSE))))</f>
        <v>2019</v>
      </c>
      <c r="I6" s="143">
        <f ca="1">IF(IntAll[[#This Row],[STATUS]]="","",IF(IF(OR(F6="2019-2020",F6="2021-2025"),"",IF(ISNUMBER(SEARCH("LLC",D6)),VLOOKUP(A6,IntComp24[],16,FALSE),VLOOKUP(A6,IntComp[],16,FALSE)))=0,"",IF(OR(F6="2019-2020",F6="2021-2025"),"",IF(ISNUMBER(SEARCH("LLC",D6)),VLOOKUP(A6,IntComp24[],16,FALSE),VLOOKUP(A6,IntComp[],16,FALSE)))))</f>
        <v>2020</v>
      </c>
      <c r="J6" s="143" t="str">
        <f ca="1">IF(IF(OR(F6="2019-2020",F6="2021-2025"),"",IF(ISNUMBER(SEARCH("LLC",D6)),VLOOKUP(A6,IntComp24[],17,FALSE),VLOOKUP(A6,IntComp[],17,FALSE)))=0,"",IF(OR(F6="2019-2020",F6="2021-2025"),"",IF(ISNUMBER(SEARCH("LLC",D6)),VLOOKUP(A6,IntComp24[],17,FALSE),VLOOKUP(A6,IntComp[],17,FALSE))))</f>
        <v>COMPLETED</v>
      </c>
      <c r="K6" s="151"/>
      <c r="L6" s="151">
        <f ca="1">IF(OR(F6="2019-2020",F6="2021-2025"),"",IF(ISNUMBER(SEARCH("LLC",D6)),VLOOKUP(A6,IntComp24[],18,FALSE),VLOOKUP(A6,IntComp[],18,FALSE)))</f>
        <v>1005592</v>
      </c>
      <c r="M6" s="143" t="s">
        <v>447</v>
      </c>
      <c r="N6" s="143" t="str">
        <f ca="1">IF(IF(OR(F6="2019-2020",F6="2021-2025"),"",IF(ISNUMBER(SEARCH("LLC",D6)),VLOOKUP(A6,IntComp24[],20,FALSE),VLOOKUP(A6,IntComp[],20,FALSE)))=0,"",IF(OR(F6="2019-2020",F6="2021-2025"),"",IF(ISNUMBER(SEARCH("LLC",D6)),VLOOKUP(A6,IntComp24[],20,FALSE),VLOOKUP(A6,IntComp[],20,FALSE))))</f>
        <v>CPD PM Team</v>
      </c>
      <c r="O6" s="152" t="str">
        <f ca="1">IF(IF(OR(F6="2019-2020",F6="2021-2025"),"",IF(ISNUMBER(SEARCH("LLC",D6)),VLOOKUP(A6,IntComp24[],23,FALSE),VLOOKUP(A6,IntComp[],23,FALSE)))=0,"",IF(OR(F6="2019-2020",F6="2021-2025"),"",IF(ISNUMBER(SEARCH("LLC",D6)),VLOOKUP(A6,IntComp24[],23,FALSE),VLOOKUP(A6,IntComp[],23,FALSE))))</f>
        <v/>
      </c>
    </row>
    <row r="7" spans="1:15">
      <c r="A7" s="148" t="s">
        <v>65</v>
      </c>
      <c r="B7" s="144" t="str">
        <f>VLOOKUP(A7,Data[],2,FALSE)</f>
        <v>MANHATTAN</v>
      </c>
      <c r="C7" s="144" t="s">
        <v>106</v>
      </c>
      <c r="D7" s="9" t="str">
        <f>VLOOKUP(A7,Data[],52,FALSE)</f>
        <v>FEDERAL</v>
      </c>
      <c r="E7" s="9">
        <f>VLOOKUP(IntAll[[#This Row],[DEVELOPMENT]],Data[],62,FALSE)</f>
        <v>3</v>
      </c>
      <c r="F7" s="9" t="str">
        <f ca="1">VLOOKUP(A7,Data[],4,FALSE)</f>
        <v/>
      </c>
      <c r="G7" s="9">
        <f>VLOOKUP(IntAll[[#This Row],[DEVELOPMENT]],EHDAll[[DEVELOPMENT]:['# Units]],6,FALSE)</f>
        <v>2</v>
      </c>
      <c r="H7" s="143">
        <f ca="1">IF(IntAll[[#This Row],[STATUS]]="","",IF(OR(F7="2019-2020",F7="2021-2025"),"",IF(ISNUMBER(SEARCH("LLC",D7)),VLOOKUP(A7,IntComp24[],21,FALSE),VLOOKUP(A7,IntComp[],21,FALSE))))</f>
        <v>2019</v>
      </c>
      <c r="I7" s="143">
        <f ca="1">IF(IntAll[[#This Row],[STATUS]]="","",IF(IF(OR(F7="2019-2020",F7="2021-2025"),"",IF(ISNUMBER(SEARCH("LLC",D7)),VLOOKUP(A7,IntComp24[],16,FALSE),VLOOKUP(A7,IntComp[],16,FALSE)))=0,"",IF(OR(F7="2019-2020",F7="2021-2025"),"",IF(ISNUMBER(SEARCH("LLC",D7)),VLOOKUP(A7,IntComp24[],16,FALSE),VLOOKUP(A7,IntComp[],16,FALSE)))))</f>
        <v>2020</v>
      </c>
      <c r="J7" s="143" t="str">
        <f ca="1">IF(IF(OR(F7="2019-2020",F7="2021-2025"),"",IF(ISNUMBER(SEARCH("LLC",D7)),VLOOKUP(A7,IntComp24[],17,FALSE),VLOOKUP(A7,IntComp[],17,FALSE)))=0,"",IF(OR(F7="2019-2020",F7="2021-2025"),"",IF(ISNUMBER(SEARCH("LLC",D7)),VLOOKUP(A7,IntComp24[],17,FALSE),VLOOKUP(A7,IntComp[],17,FALSE))))</f>
        <v>COMPLETED</v>
      </c>
      <c r="K7" s="151"/>
      <c r="L7" s="151">
        <f ca="1">IF(OR(F7="2019-2020",F7="2021-2025"),"",IF(ISNUMBER(SEARCH("LLC",D7)),VLOOKUP(A7,IntComp24[],18,FALSE),VLOOKUP(A7,IntComp[],18,FALSE)))</f>
        <v>0</v>
      </c>
      <c r="M7" s="143" t="s">
        <v>447</v>
      </c>
      <c r="N7" s="143" t="str">
        <f ca="1">IF(IF(OR(F7="2019-2020",F7="2021-2025"),"",IF(ISNUMBER(SEARCH("LLC",D7)),VLOOKUP(A7,IntComp24[],20,FALSE),VLOOKUP(A7,IntComp[],20,FALSE)))=0,"",IF(OR(F7="2019-2020",F7="2021-2025"),"",IF(ISNUMBER(SEARCH("LLC",D7)),VLOOKUP(A7,IntComp24[],20,FALSE),VLOOKUP(A7,IntComp[],20,FALSE))))</f>
        <v>CPD PM Team</v>
      </c>
      <c r="O7" s="152" t="str">
        <f ca="1">IF(IF(OR(F7="2019-2020",F7="2021-2025"),"",IF(ISNUMBER(SEARCH("LLC",D7)),VLOOKUP(A7,IntComp24[],23,FALSE),VLOOKUP(A7,IntComp[],23,FALSE)))=0,"",IF(OR(F7="2019-2020",F7="2021-2025"),"",IF(ISNUMBER(SEARCH("LLC",D7)),VLOOKUP(A7,IntComp24[],23,FALSE),VLOOKUP(A7,IntComp[],23,FALSE))))</f>
        <v/>
      </c>
    </row>
    <row r="8" spans="1:15">
      <c r="A8" s="148" t="s">
        <v>44</v>
      </c>
      <c r="B8" s="144" t="str">
        <f>VLOOKUP(A8,Data[],2,FALSE)</f>
        <v>MANHATTAN</v>
      </c>
      <c r="C8" s="144" t="s">
        <v>106</v>
      </c>
      <c r="D8" s="9" t="str">
        <f>VLOOKUP(A8,Data[],52,FALSE)</f>
        <v>FEDERAL</v>
      </c>
      <c r="E8" s="9">
        <f>VLOOKUP(IntAll[[#This Row],[DEVELOPMENT]],Data[],62,FALSE)</f>
        <v>3</v>
      </c>
      <c r="F8" s="9" t="str">
        <f ca="1">VLOOKUP(A8,Data[],4,FALSE)</f>
        <v/>
      </c>
      <c r="G8" s="9">
        <f>VLOOKUP(IntAll[[#This Row],[DEVELOPMENT]],EHDAll[[DEVELOPMENT]:['# Units]],6,FALSE)</f>
        <v>12</v>
      </c>
      <c r="H8" s="143">
        <f ca="1">IF(IntAll[[#This Row],[STATUS]]="","",IF(OR(F8="2019-2020",F8="2021-2025"),"",IF(ISNUMBER(SEARCH("LLC",D8)),VLOOKUP(A8,IntComp24[],21,FALSE),VLOOKUP(A8,IntComp[],21,FALSE))))</f>
        <v>2019</v>
      </c>
      <c r="I8" s="143">
        <f ca="1">IF(IntAll[[#This Row],[STATUS]]="","",IF(IF(OR(F8="2019-2020",F8="2021-2025"),"",IF(ISNUMBER(SEARCH("LLC",D8)),VLOOKUP(A8,IntComp24[],16,FALSE),VLOOKUP(A8,IntComp[],16,FALSE)))=0,"",IF(OR(F8="2019-2020",F8="2021-2025"),"",IF(ISNUMBER(SEARCH("LLC",D8)),VLOOKUP(A8,IntComp24[],16,FALSE),VLOOKUP(A8,IntComp[],16,FALSE)))))</f>
        <v>2020</v>
      </c>
      <c r="J8" s="143" t="str">
        <f ca="1">IF(IF(OR(F8="2019-2020",F8="2021-2025"),"",IF(ISNUMBER(SEARCH("LLC",D8)),VLOOKUP(A8,IntComp24[],17,FALSE),VLOOKUP(A8,IntComp[],17,FALSE)))=0,"",IF(OR(F8="2019-2020",F8="2021-2025"),"",IF(ISNUMBER(SEARCH("LLC",D8)),VLOOKUP(A8,IntComp24[],17,FALSE),VLOOKUP(A8,IntComp[],17,FALSE))))</f>
        <v>COMPLETED</v>
      </c>
      <c r="K8" s="151"/>
      <c r="L8" s="151">
        <f ca="1">IF(OR(F8="2019-2020",F8="2021-2025"),"",IF(ISNUMBER(SEARCH("LLC",D8)),VLOOKUP(A8,IntComp24[],18,FALSE),VLOOKUP(A8,IntComp[],18,FALSE)))</f>
        <v>1153953</v>
      </c>
      <c r="M8" s="143" t="s">
        <v>447</v>
      </c>
      <c r="N8" s="143" t="str">
        <f ca="1">IF(IF(OR(F8="2019-2020",F8="2021-2025"),"",IF(ISNUMBER(SEARCH("LLC",D8)),VLOOKUP(A8,IntComp24[],20,FALSE),VLOOKUP(A8,IntComp[],20,FALSE)))=0,"",IF(OR(F8="2019-2020",F8="2021-2025"),"",IF(ISNUMBER(SEARCH("LLC",D8)),VLOOKUP(A8,IntComp24[],20,FALSE),VLOOKUP(A8,IntComp[],20,FALSE))))</f>
        <v>CPD PM Team</v>
      </c>
      <c r="O8" s="152" t="str">
        <f ca="1">IF(IF(OR(F8="2019-2020",F8="2021-2025"),"",IF(ISNUMBER(SEARCH("LLC",D8)),VLOOKUP(A8,IntComp24[],23,FALSE),VLOOKUP(A8,IntComp[],23,FALSE)))=0,"",IF(OR(F8="2019-2020",F8="2021-2025"),"",IF(ISNUMBER(SEARCH("LLC",D8)),VLOOKUP(A8,IntComp24[],23,FALSE),VLOOKUP(A8,IntComp[],23,FALSE))))</f>
        <v/>
      </c>
    </row>
    <row r="9" spans="1:15">
      <c r="A9" s="148" t="s">
        <v>45</v>
      </c>
      <c r="B9" s="144" t="str">
        <f>VLOOKUP(A9,Data[],2,FALSE)</f>
        <v>BROOKLYN</v>
      </c>
      <c r="C9" s="144" t="s">
        <v>106</v>
      </c>
      <c r="D9" s="9" t="str">
        <f>VLOOKUP(A9,Data[],52,FALSE)</f>
        <v>FEDERAL</v>
      </c>
      <c r="E9" s="9">
        <f>VLOOKUP(IntAll[[#This Row],[DEVELOPMENT]],Data[],62,FALSE)</f>
        <v>3</v>
      </c>
      <c r="F9" s="9" t="str">
        <f ca="1">VLOOKUP(A9,Data[],4,FALSE)</f>
        <v/>
      </c>
      <c r="G9" s="9">
        <f>VLOOKUP(IntAll[[#This Row],[DEVELOPMENT]],EHDAll[[DEVELOPMENT]:['# Units]],6,FALSE)</f>
        <v>24</v>
      </c>
      <c r="H9" s="143">
        <f ca="1">IF(IntAll[[#This Row],[STATUS]]="","",IF(OR(F9="2019-2020",F9="2021-2025"),"",IF(ISNUMBER(SEARCH("LLC",D9)),VLOOKUP(A9,IntComp24[],21,FALSE),VLOOKUP(A9,IntComp[],21,FALSE))))</f>
        <v>2019</v>
      </c>
      <c r="I9" s="143">
        <f ca="1">IF(IntAll[[#This Row],[STATUS]]="","",IF(IF(OR(F9="2019-2020",F9="2021-2025"),"",IF(ISNUMBER(SEARCH("LLC",D9)),VLOOKUP(A9,IntComp24[],16,FALSE),VLOOKUP(A9,IntComp[],16,FALSE)))=0,"",IF(OR(F9="2019-2020",F9="2021-2025"),"",IF(ISNUMBER(SEARCH("LLC",D9)),VLOOKUP(A9,IntComp24[],16,FALSE),VLOOKUP(A9,IntComp[],16,FALSE)))))</f>
        <v>2020</v>
      </c>
      <c r="J9" s="143" t="str">
        <f ca="1">IF(IF(OR(F9="2019-2020",F9="2021-2025"),"",IF(ISNUMBER(SEARCH("LLC",D9)),VLOOKUP(A9,IntComp24[],17,FALSE),VLOOKUP(A9,IntComp[],17,FALSE)))=0,"",IF(OR(F9="2019-2020",F9="2021-2025"),"",IF(ISNUMBER(SEARCH("LLC",D9)),VLOOKUP(A9,IntComp24[],17,FALSE),VLOOKUP(A9,IntComp[],17,FALSE))))</f>
        <v>COMPLETED</v>
      </c>
      <c r="K9" s="151"/>
      <c r="L9" s="151">
        <f ca="1">IF(OR(F9="2019-2020",F9="2021-2025"),"",IF(ISNUMBER(SEARCH("LLC",D9)),VLOOKUP(A9,IntComp24[],18,FALSE),VLOOKUP(A9,IntComp[],18,FALSE)))</f>
        <v>957660</v>
      </c>
      <c r="M9" s="143" t="s">
        <v>447</v>
      </c>
      <c r="N9" s="143" t="str">
        <f ca="1">IF(IF(OR(F9="2019-2020",F9="2021-2025"),"",IF(ISNUMBER(SEARCH("LLC",D9)),VLOOKUP(A9,IntComp24[],20,FALSE),VLOOKUP(A9,IntComp[],20,FALSE)))=0,"",IF(OR(F9="2019-2020",F9="2021-2025"),"",IF(ISNUMBER(SEARCH("LLC",D9)),VLOOKUP(A9,IntComp24[],20,FALSE),VLOOKUP(A9,IntComp[],20,FALSE))))</f>
        <v>CPD PM Team</v>
      </c>
      <c r="O9" s="152" t="str">
        <f ca="1">IF(IF(OR(F9="2019-2020",F9="2021-2025"),"",IF(ISNUMBER(SEARCH("LLC",D9)),VLOOKUP(A9,IntComp24[],23,FALSE),VLOOKUP(A9,IntComp[],23,FALSE)))=0,"",IF(OR(F9="2019-2020",F9="2021-2025"),"",IF(ISNUMBER(SEARCH("LLC",D9)),VLOOKUP(A9,IntComp24[],23,FALSE),VLOOKUP(A9,IntComp[],23,FALSE))))</f>
        <v/>
      </c>
    </row>
    <row r="10" spans="1:15">
      <c r="A10" s="148" t="s">
        <v>66</v>
      </c>
      <c r="B10" s="144" t="str">
        <f>VLOOKUP(A10,Data[],2,FALSE)</f>
        <v>MANHATTAN</v>
      </c>
      <c r="C10" s="144" t="s">
        <v>106</v>
      </c>
      <c r="D10" s="9" t="str">
        <f>VLOOKUP(A10,Data[],52,FALSE)</f>
        <v>FEDERAL</v>
      </c>
      <c r="E10" s="9">
        <f>VLOOKUP(IntAll[[#This Row],[DEVELOPMENT]],Data[],62,FALSE)</f>
        <v>3</v>
      </c>
      <c r="F10" s="9" t="str">
        <f ca="1">VLOOKUP(A10,Data[],4,FALSE)</f>
        <v/>
      </c>
      <c r="G10" s="9">
        <f>VLOOKUP(IntAll[[#This Row],[DEVELOPMENT]],EHDAll[[DEVELOPMENT]:['# Units]],6,FALSE)</f>
        <v>16</v>
      </c>
      <c r="H10" s="143">
        <f ca="1">IF(IntAll[[#This Row],[STATUS]]="","",IF(OR(F10="2019-2020",F10="2021-2025"),"",IF(ISNUMBER(SEARCH("LLC",D10)),VLOOKUP(A10,IntComp24[],21,FALSE),VLOOKUP(A10,IntComp[],21,FALSE))))</f>
        <v>2019</v>
      </c>
      <c r="I10" s="143">
        <f ca="1">IF(IntAll[[#This Row],[STATUS]]="","",IF(IF(OR(F10="2019-2020",F10="2021-2025"),"",IF(ISNUMBER(SEARCH("LLC",D10)),VLOOKUP(A10,IntComp24[],16,FALSE),VLOOKUP(A10,IntComp[],16,FALSE)))=0,"",IF(OR(F10="2019-2020",F10="2021-2025"),"",IF(ISNUMBER(SEARCH("LLC",D10)),VLOOKUP(A10,IntComp24[],16,FALSE),VLOOKUP(A10,IntComp[],16,FALSE)))))</f>
        <v>2020</v>
      </c>
      <c r="J10" s="143" t="str">
        <f ca="1">IF(IF(OR(F10="2019-2020",F10="2021-2025"),"",IF(ISNUMBER(SEARCH("LLC",D10)),VLOOKUP(A10,IntComp24[],17,FALSE),VLOOKUP(A10,IntComp[],17,FALSE)))=0,"",IF(OR(F10="2019-2020",F10="2021-2025"),"",IF(ISNUMBER(SEARCH("LLC",D10)),VLOOKUP(A10,IntComp24[],17,FALSE),VLOOKUP(A10,IntComp[],17,FALSE))))</f>
        <v>COMPLETED</v>
      </c>
      <c r="K10" s="151"/>
      <c r="L10" s="151">
        <f ca="1">IF(OR(F10="2019-2020",F10="2021-2025"),"",IF(ISNUMBER(SEARCH("LLC",D10)),VLOOKUP(A10,IntComp24[],18,FALSE),VLOOKUP(A10,IntComp[],18,FALSE)))</f>
        <v>775248</v>
      </c>
      <c r="M10" s="143" t="s">
        <v>447</v>
      </c>
      <c r="N10" s="143" t="str">
        <f ca="1">IF(IF(OR(F10="2019-2020",F10="2021-2025"),"",IF(ISNUMBER(SEARCH("LLC",D10)),VLOOKUP(A10,IntComp24[],20,FALSE),VLOOKUP(A10,IntComp[],20,FALSE)))=0,"",IF(OR(F10="2019-2020",F10="2021-2025"),"",IF(ISNUMBER(SEARCH("LLC",D10)),VLOOKUP(A10,IntComp24[],20,FALSE),VLOOKUP(A10,IntComp[],20,FALSE))))</f>
        <v>CPD PM Team</v>
      </c>
      <c r="O10" s="152" t="str">
        <f ca="1">IF(IF(OR(F10="2019-2020",F10="2021-2025"),"",IF(ISNUMBER(SEARCH("LLC",D10)),VLOOKUP(A10,IntComp24[],23,FALSE),VLOOKUP(A10,IntComp[],23,FALSE)))=0,"",IF(OR(F10="2019-2020",F10="2021-2025"),"",IF(ISNUMBER(SEARCH("LLC",D10)),VLOOKUP(A10,IntComp24[],23,FALSE),VLOOKUP(A10,IntComp[],23,FALSE))))</f>
        <v/>
      </c>
    </row>
    <row r="11" spans="1:15">
      <c r="A11" s="148" t="s">
        <v>46</v>
      </c>
      <c r="B11" s="144" t="str">
        <f>VLOOKUP(A11,Data[],2,FALSE)</f>
        <v>BROOKLYN</v>
      </c>
      <c r="C11" s="144" t="s">
        <v>106</v>
      </c>
      <c r="D11" s="9" t="str">
        <f>VLOOKUP(A11,Data[],52,FALSE)</f>
        <v>FEDERAL</v>
      </c>
      <c r="E11" s="9">
        <f>VLOOKUP(IntAll[[#This Row],[DEVELOPMENT]],Data[],62,FALSE)</f>
        <v>3</v>
      </c>
      <c r="F11" s="9" t="str">
        <f ca="1">VLOOKUP(A11,Data[],4,FALSE)</f>
        <v>2026+</v>
      </c>
      <c r="G11" s="9">
        <f>VLOOKUP(IntAll[[#This Row],[DEVELOPMENT]],EHDAll[[DEVELOPMENT]:['# Units]],6,FALSE)</f>
        <v>12</v>
      </c>
      <c r="H11" s="143">
        <f ca="1">IF(IntAll[[#This Row],[STATUS]]="","",IF(OR(F11="2019-2020",F11="2021-2025"),"",IF(ISNUMBER(SEARCH("LLC",D11)),VLOOKUP(A11,IntComp24[],21,FALSE),VLOOKUP(A11,IntComp[],21,FALSE))))</f>
        <v>2019</v>
      </c>
      <c r="I11" s="143">
        <f ca="1">IF(IntAll[[#This Row],[STATUS]]="","",IF(IF(OR(F11="2019-2020",F11="2021-2025"),"",IF(ISNUMBER(SEARCH("LLC",D11)),VLOOKUP(A11,IntComp24[],16,FALSE),VLOOKUP(A11,IntComp[],16,FALSE)))=0,"",IF(OR(F11="2019-2020",F11="2021-2025"),"",IF(ISNUMBER(SEARCH("LLC",D11)),VLOOKUP(A11,IntComp24[],16,FALSE),VLOOKUP(A11,IntComp[],16,FALSE)))))</f>
        <v>2020</v>
      </c>
      <c r="J11" s="143" t="str">
        <f ca="1">IF(IF(OR(F11="2019-2020",F11="2021-2025"),"",IF(ISNUMBER(SEARCH("LLC",D11)),VLOOKUP(A11,IntComp24[],17,FALSE),VLOOKUP(A11,IntComp[],17,FALSE)))=0,"",IF(OR(F11="2019-2020",F11="2021-2025"),"",IF(ISNUMBER(SEARCH("LLC",D11)),VLOOKUP(A11,IntComp24[],17,FALSE),VLOOKUP(A11,IntComp[],17,FALSE))))</f>
        <v>COMPLETED</v>
      </c>
      <c r="K11" s="151"/>
      <c r="L11" s="151">
        <f ca="1">IF(OR(F11="2019-2020",F11="2021-2025"),"",IF(ISNUMBER(SEARCH("LLC",D11)),VLOOKUP(A11,IntComp24[],18,FALSE),VLOOKUP(A11,IntComp[],18,FALSE)))</f>
        <v>538903</v>
      </c>
      <c r="M11" s="143" t="s">
        <v>447</v>
      </c>
      <c r="N11" s="143" t="str">
        <f ca="1">IF(IF(OR(F11="2019-2020",F11="2021-2025"),"",IF(ISNUMBER(SEARCH("LLC",D11)),VLOOKUP(A11,IntComp24[],20,FALSE),VLOOKUP(A11,IntComp[],20,FALSE)))=0,"",IF(OR(F11="2019-2020",F11="2021-2025"),"",IF(ISNUMBER(SEARCH("LLC",D11)),VLOOKUP(A11,IntComp24[],20,FALSE),VLOOKUP(A11,IntComp[],20,FALSE))))</f>
        <v>CPD PM Team</v>
      </c>
      <c r="O11" s="152" t="str">
        <f ca="1">IF(IF(OR(F11="2019-2020",F11="2021-2025"),"",IF(ISNUMBER(SEARCH("LLC",D11)),VLOOKUP(A11,IntComp24[],23,FALSE),VLOOKUP(A11,IntComp[],23,FALSE)))=0,"",IF(OR(F11="2019-2020",F11="2021-2025"),"",IF(ISNUMBER(SEARCH("LLC",D11)),VLOOKUP(A11,IntComp24[],23,FALSE),VLOOKUP(A11,IntComp[],23,FALSE))))</f>
        <v/>
      </c>
    </row>
    <row r="12" spans="1:15">
      <c r="A12" s="148" t="s">
        <v>57</v>
      </c>
      <c r="B12" s="144" t="str">
        <f>VLOOKUP(A12,Data[],2,FALSE)</f>
        <v>MANHATTAN</v>
      </c>
      <c r="C12" s="144" t="s">
        <v>106</v>
      </c>
      <c r="D12" s="9" t="str">
        <f>VLOOKUP(A12,Data[],52,FALSE)</f>
        <v>FEDERAL</v>
      </c>
      <c r="E12" s="9">
        <f>VLOOKUP(IntAll[[#This Row],[DEVELOPMENT]],Data[],62,FALSE)</f>
        <v>3</v>
      </c>
      <c r="F12" s="9" t="str">
        <f ca="1">VLOOKUP(A12,Data[],4,FALSE)</f>
        <v/>
      </c>
      <c r="G12" s="9">
        <f>VLOOKUP(IntAll[[#This Row],[DEVELOPMENT]],EHDAll[[DEVELOPMENT]:['# Units]],6,FALSE)</f>
        <v>1</v>
      </c>
      <c r="H12" s="143">
        <f ca="1">IF(IntAll[[#This Row],[STATUS]]="","",IF(OR(F12="2019-2020",F12="2021-2025"),"",IF(ISNUMBER(SEARCH("LLC",D12)),VLOOKUP(A12,IntComp24[],21,FALSE),VLOOKUP(A12,IntComp[],21,FALSE))))</f>
        <v>2019</v>
      </c>
      <c r="I12" s="143">
        <f ca="1">IF(IntAll[[#This Row],[STATUS]]="","",IF(IF(OR(F12="2019-2020",F12="2021-2025"),"",IF(ISNUMBER(SEARCH("LLC",D12)),VLOOKUP(A12,IntComp24[],16,FALSE),VLOOKUP(A12,IntComp[],16,FALSE)))=0,"",IF(OR(F12="2019-2020",F12="2021-2025"),"",IF(ISNUMBER(SEARCH("LLC",D12)),VLOOKUP(A12,IntComp24[],16,FALSE),VLOOKUP(A12,IntComp[],16,FALSE)))))</f>
        <v>2020</v>
      </c>
      <c r="J12" s="143" t="str">
        <f ca="1">IF(IF(OR(F12="2019-2020",F12="2021-2025"),"",IF(ISNUMBER(SEARCH("LLC",D12)),VLOOKUP(A12,IntComp24[],17,FALSE),VLOOKUP(A12,IntComp[],17,FALSE)))=0,"",IF(OR(F12="2019-2020",F12="2021-2025"),"",IF(ISNUMBER(SEARCH("LLC",D12)),VLOOKUP(A12,IntComp24[],17,FALSE),VLOOKUP(A12,IntComp[],17,FALSE))))</f>
        <v>COMPLETED</v>
      </c>
      <c r="K12" s="151"/>
      <c r="L12" s="151">
        <f ca="1">IF(OR(F12="2019-2020",F12="2021-2025"),"",IF(ISNUMBER(SEARCH("LLC",D12)),VLOOKUP(A12,IntComp24[],18,FALSE),VLOOKUP(A12,IntComp[],18,FALSE)))</f>
        <v>53023</v>
      </c>
      <c r="M12" s="143" t="s">
        <v>447</v>
      </c>
      <c r="N12" s="143" t="str">
        <f ca="1">IF(IF(OR(F12="2019-2020",F12="2021-2025"),"",IF(ISNUMBER(SEARCH("LLC",D12)),VLOOKUP(A12,IntComp24[],20,FALSE),VLOOKUP(A12,IntComp[],20,FALSE)))=0,"",IF(OR(F12="2019-2020",F12="2021-2025"),"",IF(ISNUMBER(SEARCH("LLC",D12)),VLOOKUP(A12,IntComp24[],20,FALSE),VLOOKUP(A12,IntComp[],20,FALSE))))</f>
        <v>CPD PM Team</v>
      </c>
      <c r="O12" s="152" t="str">
        <f ca="1">IF(IF(OR(F12="2019-2020",F12="2021-2025"),"",IF(ISNUMBER(SEARCH("LLC",D12)),VLOOKUP(A12,IntComp24[],23,FALSE),VLOOKUP(A12,IntComp[],23,FALSE)))=0,"",IF(OR(F12="2019-2020",F12="2021-2025"),"",IF(ISNUMBER(SEARCH("LLC",D12)),VLOOKUP(A12,IntComp24[],23,FALSE),VLOOKUP(A12,IntComp[],23,FALSE))))</f>
        <v/>
      </c>
    </row>
    <row r="13" spans="1:15">
      <c r="A13" s="148" t="s">
        <v>59</v>
      </c>
      <c r="B13" s="144" t="str">
        <f>VLOOKUP(A13,Data[],2,FALSE)</f>
        <v>MANHATTAN</v>
      </c>
      <c r="C13" s="144" t="s">
        <v>106</v>
      </c>
      <c r="D13" s="9" t="str">
        <f>VLOOKUP(A13,Data[],52,FALSE)</f>
        <v>FEDERAL</v>
      </c>
      <c r="E13" s="9">
        <f>VLOOKUP(IntAll[[#This Row],[DEVELOPMENT]],Data[],62,FALSE)</f>
        <v>3</v>
      </c>
      <c r="F13" s="9" t="str">
        <f ca="1">VLOOKUP(A13,Data[],4,FALSE)</f>
        <v>2026+</v>
      </c>
      <c r="G13" s="9">
        <f>VLOOKUP(IntAll[[#This Row],[DEVELOPMENT]],EHDAll[[DEVELOPMENT]:['# Units]],6,FALSE)</f>
        <v>2</v>
      </c>
      <c r="H13" s="143">
        <f ca="1">IF(IntAll[[#This Row],[STATUS]]="","",IF(OR(F13="2019-2020",F13="2021-2025"),"",IF(ISNUMBER(SEARCH("LLC",D13)),VLOOKUP(A13,IntComp24[],21,FALSE),VLOOKUP(A13,IntComp[],21,FALSE))))</f>
        <v>2019</v>
      </c>
      <c r="I13" s="143">
        <f ca="1">IF(IntAll[[#This Row],[STATUS]]="","",IF(IF(OR(F13="2019-2020",F13="2021-2025"),"",IF(ISNUMBER(SEARCH("LLC",D13)),VLOOKUP(A13,IntComp24[],16,FALSE),VLOOKUP(A13,IntComp[],16,FALSE)))=0,"",IF(OR(F13="2019-2020",F13="2021-2025"),"",IF(ISNUMBER(SEARCH("LLC",D13)),VLOOKUP(A13,IntComp24[],16,FALSE),VLOOKUP(A13,IntComp[],16,FALSE)))))</f>
        <v>2020</v>
      </c>
      <c r="J13" s="143" t="str">
        <f ca="1">IF(IF(OR(F13="2019-2020",F13="2021-2025"),"",IF(ISNUMBER(SEARCH("LLC",D13)),VLOOKUP(A13,IntComp24[],17,FALSE),VLOOKUP(A13,IntComp[],17,FALSE)))=0,"",IF(OR(F13="2019-2020",F13="2021-2025"),"",IF(ISNUMBER(SEARCH("LLC",D13)),VLOOKUP(A13,IntComp24[],17,FALSE),VLOOKUP(A13,IntComp[],17,FALSE))))</f>
        <v>COMPLETED</v>
      </c>
      <c r="K13" s="151"/>
      <c r="L13" s="151">
        <f ca="1">IF(OR(F13="2019-2020",F13="2021-2025"),"",IF(ISNUMBER(SEARCH("LLC",D13)),VLOOKUP(A13,IntComp24[],18,FALSE),VLOOKUP(A13,IntComp[],18,FALSE)))</f>
        <v>94981</v>
      </c>
      <c r="M13" s="143" t="s">
        <v>447</v>
      </c>
      <c r="N13" s="143" t="str">
        <f ca="1">IF(IF(OR(F13="2019-2020",F13="2021-2025"),"",IF(ISNUMBER(SEARCH("LLC",D13)),VLOOKUP(A13,IntComp24[],20,FALSE),VLOOKUP(A13,IntComp[],20,FALSE)))=0,"",IF(OR(F13="2019-2020",F13="2021-2025"),"",IF(ISNUMBER(SEARCH("LLC",D13)),VLOOKUP(A13,IntComp24[],20,FALSE),VLOOKUP(A13,IntComp[],20,FALSE))))</f>
        <v>CPD PM Team</v>
      </c>
      <c r="O13" s="152" t="str">
        <f ca="1">IF(IF(OR(F13="2019-2020",F13="2021-2025"),"",IF(ISNUMBER(SEARCH("LLC",D13)),VLOOKUP(A13,IntComp24[],23,FALSE),VLOOKUP(A13,IntComp[],23,FALSE)))=0,"",IF(OR(F13="2019-2020",F13="2021-2025"),"",IF(ISNUMBER(SEARCH("LLC",D13)),VLOOKUP(A13,IntComp24[],23,FALSE),VLOOKUP(A13,IntComp[],23,FALSE))))</f>
        <v/>
      </c>
    </row>
    <row r="14" spans="1:15">
      <c r="A14" s="148" t="s">
        <v>26</v>
      </c>
      <c r="B14" s="144" t="str">
        <f>VLOOKUP(A14,Data[],2,FALSE)</f>
        <v>BROOKLYN</v>
      </c>
      <c r="C14" s="144" t="s">
        <v>106</v>
      </c>
      <c r="D14" s="9" t="str">
        <f>VLOOKUP(A14,Data[],52,FALSE)</f>
        <v>MIXED FINANCE/LLC1</v>
      </c>
      <c r="E14" s="9">
        <f>VLOOKUP(IntAll[[#This Row],[DEVELOPMENT]],Data[],62,FALSE)</f>
        <v>1</v>
      </c>
      <c r="F14" s="9" t="str">
        <f ca="1">VLOOKUP(A14,Data[],4,FALSE)</f>
        <v/>
      </c>
      <c r="G14" s="9">
        <f>VLOOKUP(IntAll[[#This Row],[DEVELOPMENT]],EHDAll[[DEVELOPMENT]:['# Units]],6,FALSE)</f>
        <v>8</v>
      </c>
      <c r="H14" s="143">
        <f ca="1">IF(IntAll[[#This Row],[STATUS]]="","",IF(OR(F14="2019-2020",F14="2021-2025"),"",IF(ISNUMBER(SEARCH("LLC",D14)),VLOOKUP(A14,IntComp24[],21,FALSE),VLOOKUP(A14,IntComp[],21,FALSE))))</f>
        <v>2019</v>
      </c>
      <c r="I14" s="143">
        <f ca="1">IF(IntAll[[#This Row],[STATUS]]="","",IF(IF(OR(F14="2019-2020",F14="2021-2025"),"",IF(ISNUMBER(SEARCH("LLC",D14)),VLOOKUP(A14,IntComp24[],16,FALSE),VLOOKUP(A14,IntComp[],16,FALSE)))=0,"",IF(OR(F14="2019-2020",F14="2021-2025"),"",IF(ISNUMBER(SEARCH("LLC",D14)),VLOOKUP(A14,IntComp24[],16,FALSE),VLOOKUP(A14,IntComp[],16,FALSE)))))</f>
        <v>2020</v>
      </c>
      <c r="J14" s="143" t="str">
        <f ca="1">IF(IF(OR(F14="2019-2020",F14="2021-2025"),"",IF(ISNUMBER(SEARCH("LLC",D14)),VLOOKUP(A14,IntComp24[],17,FALSE),VLOOKUP(A14,IntComp[],17,FALSE)))=0,"",IF(OR(F14="2019-2020",F14="2021-2025"),"",IF(ISNUMBER(SEARCH("LLC",D14)),VLOOKUP(A14,IntComp24[],17,FALSE),VLOOKUP(A14,IntComp[],17,FALSE))))</f>
        <v>COMPLETED</v>
      </c>
      <c r="K14" s="151"/>
      <c r="L14" s="151">
        <f ca="1">IF(OR(F14="2019-2020",F14="2021-2025"),"",IF(ISNUMBER(SEARCH("LLC",D14)),VLOOKUP(A14,IntComp24[],18,FALSE),VLOOKUP(A14,IntComp[],18,FALSE)))</f>
        <v>220329</v>
      </c>
      <c r="M14" s="143" t="s">
        <v>447</v>
      </c>
      <c r="N14" s="143" t="str">
        <f ca="1">IF(IF(OR(F14="2019-2020",F14="2021-2025"),"",IF(ISNUMBER(SEARCH("LLC",D14)),VLOOKUP(A14,IntComp24[],20,FALSE),VLOOKUP(A14,IntComp[],20,FALSE)))=0,"",IF(OR(F14="2019-2020",F14="2021-2025"),"",IF(ISNUMBER(SEARCH("LLC",D14)),VLOOKUP(A14,IntComp24[],20,FALSE),VLOOKUP(A14,IntComp[],20,FALSE))))</f>
        <v>CPD PM Team</v>
      </c>
      <c r="O14" s="152" t="str">
        <f ca="1">IF(IF(OR(F14="2019-2020",F14="2021-2025"),"",IF(ISNUMBER(SEARCH("LLC",D14)),VLOOKUP(A14,IntComp24[],23,FALSE),VLOOKUP(A14,IntComp[],23,FALSE)))=0,"",IF(OR(F14="2019-2020",F14="2021-2025"),"",IF(ISNUMBER(SEARCH("LLC",D14)),VLOOKUP(A14,IntComp24[],23,FALSE),VLOOKUP(A14,IntComp[],23,FALSE))))</f>
        <v/>
      </c>
    </row>
    <row r="15" spans="1:15">
      <c r="A15" s="148" t="s">
        <v>61</v>
      </c>
      <c r="B15" s="144" t="str">
        <f>VLOOKUP(A15,Data[],2,FALSE)</f>
        <v>MANHATTAN</v>
      </c>
      <c r="C15" s="144" t="s">
        <v>106</v>
      </c>
      <c r="D15" s="9" t="str">
        <f>VLOOKUP(A15,Data[],52,FALSE)</f>
        <v>FEDERAL</v>
      </c>
      <c r="E15" s="9">
        <f>VLOOKUP(IntAll[[#This Row],[DEVELOPMENT]],Data[],62,FALSE)</f>
        <v>3</v>
      </c>
      <c r="F15" s="9" t="str">
        <f ca="1">VLOOKUP(A15,Data[],4,FALSE)</f>
        <v/>
      </c>
      <c r="G15" s="9">
        <f>VLOOKUP(IntAll[[#This Row],[DEVELOPMENT]],EHDAll[[DEVELOPMENT]:['# Units]],6,FALSE)</f>
        <v>4</v>
      </c>
      <c r="H15" s="143">
        <f ca="1">IF(IntAll[[#This Row],[STATUS]]="","",IF(OR(F15="2019-2020",F15="2021-2025"),"",IF(ISNUMBER(SEARCH("LLC",D15)),VLOOKUP(A15,IntComp24[],21,FALSE),VLOOKUP(A15,IntComp[],21,FALSE))))</f>
        <v>2019</v>
      </c>
      <c r="I15" s="143">
        <f ca="1">IF(IntAll[[#This Row],[STATUS]]="","",IF(IF(OR(F15="2019-2020",F15="2021-2025"),"",IF(ISNUMBER(SEARCH("LLC",D15)),VLOOKUP(A15,IntComp24[],16,FALSE),VLOOKUP(A15,IntComp[],16,FALSE)))=0,"",IF(OR(F15="2019-2020",F15="2021-2025"),"",IF(ISNUMBER(SEARCH("LLC",D15)),VLOOKUP(A15,IntComp24[],16,FALSE),VLOOKUP(A15,IntComp[],16,FALSE)))))</f>
        <v>2020</v>
      </c>
      <c r="J15" s="143" t="str">
        <f ca="1">IF(IF(OR(F15="2019-2020",F15="2021-2025"),"",IF(ISNUMBER(SEARCH("LLC",D15)),VLOOKUP(A15,IntComp24[],17,FALSE),VLOOKUP(A15,IntComp[],17,FALSE)))=0,"",IF(OR(F15="2019-2020",F15="2021-2025"),"",IF(ISNUMBER(SEARCH("LLC",D15)),VLOOKUP(A15,IntComp24[],17,FALSE),VLOOKUP(A15,IntComp[],17,FALSE))))</f>
        <v>COMPLETED</v>
      </c>
      <c r="K15" s="151"/>
      <c r="L15" s="151">
        <f ca="1">IF(OR(F15="2019-2020",F15="2021-2025"),"",IF(ISNUMBER(SEARCH("LLC",D15)),VLOOKUP(A15,IntComp24[],18,FALSE),VLOOKUP(A15,IntComp[],18,FALSE)))</f>
        <v>191322</v>
      </c>
      <c r="M15" s="143" t="s">
        <v>447</v>
      </c>
      <c r="N15" s="143" t="str">
        <f ca="1">IF(IF(OR(F15="2019-2020",F15="2021-2025"),"",IF(ISNUMBER(SEARCH("LLC",D15)),VLOOKUP(A15,IntComp24[],20,FALSE),VLOOKUP(A15,IntComp[],20,FALSE)))=0,"",IF(OR(F15="2019-2020",F15="2021-2025"),"",IF(ISNUMBER(SEARCH("LLC",D15)),VLOOKUP(A15,IntComp24[],20,FALSE),VLOOKUP(A15,IntComp[],20,FALSE))))</f>
        <v>CPD PM Team</v>
      </c>
      <c r="O15" s="152" t="str">
        <f ca="1">IF(IF(OR(F15="2019-2020",F15="2021-2025"),"",IF(ISNUMBER(SEARCH("LLC",D15)),VLOOKUP(A15,IntComp24[],23,FALSE),VLOOKUP(A15,IntComp[],23,FALSE)))=0,"",IF(OR(F15="2019-2020",F15="2021-2025"),"",IF(ISNUMBER(SEARCH("LLC",D15)),VLOOKUP(A15,IntComp24[],23,FALSE),VLOOKUP(A15,IntComp[],23,FALSE))))</f>
        <v/>
      </c>
    </row>
    <row r="16" spans="1:15">
      <c r="A16" s="148" t="s">
        <v>36</v>
      </c>
      <c r="B16" s="144" t="str">
        <f>VLOOKUP(A16,Data[],2,FALSE)</f>
        <v>MANHATTAN</v>
      </c>
      <c r="C16" s="144" t="s">
        <v>106</v>
      </c>
      <c r="D16" s="9" t="str">
        <f>VLOOKUP(A16,Data[],52,FALSE)</f>
        <v>FEDERAL</v>
      </c>
      <c r="E16" s="9">
        <f>VLOOKUP(IntAll[[#This Row],[DEVELOPMENT]],Data[],62,FALSE)</f>
        <v>3</v>
      </c>
      <c r="F16" s="9" t="str">
        <f ca="1">VLOOKUP(A16,Data[],4,FALSE)</f>
        <v/>
      </c>
      <c r="G16" s="9">
        <f>VLOOKUP(IntAll[[#This Row],[DEVELOPMENT]],EHDAll[[DEVELOPMENT]:['# Units]],6,FALSE)</f>
        <v>9</v>
      </c>
      <c r="H16" s="143">
        <f ca="1">IF(IntAll[[#This Row],[STATUS]]="","",IF(OR(F16="2019-2020",F16="2021-2025"),"",IF(ISNUMBER(SEARCH("LLC",D16)),VLOOKUP(A16,IntComp24[],21,FALSE),VLOOKUP(A16,IntComp[],21,FALSE))))</f>
        <v>2019</v>
      </c>
      <c r="I16" s="143">
        <f ca="1">IF(IntAll[[#This Row],[STATUS]]="","",IF(IF(OR(F16="2019-2020",F16="2021-2025"),"",IF(ISNUMBER(SEARCH("LLC",D16)),VLOOKUP(A16,IntComp24[],16,FALSE),VLOOKUP(A16,IntComp[],16,FALSE)))=0,"",IF(OR(F16="2019-2020",F16="2021-2025"),"",IF(ISNUMBER(SEARCH("LLC",D16)),VLOOKUP(A16,IntComp24[],16,FALSE),VLOOKUP(A16,IntComp[],16,FALSE)))))</f>
        <v>2020</v>
      </c>
      <c r="J16" s="143" t="str">
        <f ca="1">IF(IF(OR(F16="2019-2020",F16="2021-2025"),"",IF(ISNUMBER(SEARCH("LLC",D16)),VLOOKUP(A16,IntComp24[],17,FALSE),VLOOKUP(A16,IntComp[],17,FALSE)))=0,"",IF(OR(F16="2019-2020",F16="2021-2025"),"",IF(ISNUMBER(SEARCH("LLC",D16)),VLOOKUP(A16,IntComp24[],17,FALSE),VLOOKUP(A16,IntComp[],17,FALSE))))</f>
        <v>COMPLETED</v>
      </c>
      <c r="K16" s="151"/>
      <c r="L16" s="151">
        <f ca="1">IF(OR(F16="2019-2020",F16="2021-2025"),"",IF(ISNUMBER(SEARCH("LLC",D16)),VLOOKUP(A16,IntComp24[],18,FALSE),VLOOKUP(A16,IntComp[],18,FALSE)))</f>
        <v>479884</v>
      </c>
      <c r="M16" s="143" t="s">
        <v>447</v>
      </c>
      <c r="N16" s="143" t="str">
        <f ca="1">IF(IF(OR(F16="2019-2020",F16="2021-2025"),"",IF(ISNUMBER(SEARCH("LLC",D16)),VLOOKUP(A16,IntComp24[],20,FALSE),VLOOKUP(A16,IntComp[],20,FALSE)))=0,"",IF(OR(F16="2019-2020",F16="2021-2025"),"",IF(ISNUMBER(SEARCH("LLC",D16)),VLOOKUP(A16,IntComp24[],20,FALSE),VLOOKUP(A16,IntComp[],20,FALSE))))</f>
        <v>CPD PM Team</v>
      </c>
      <c r="O16" s="152" t="str">
        <f ca="1">IF(IF(OR(F16="2019-2020",F16="2021-2025"),"",IF(ISNUMBER(SEARCH("LLC",D16)),VLOOKUP(A16,IntComp24[],23,FALSE),VLOOKUP(A16,IntComp[],23,FALSE)))=0,"",IF(OR(F16="2019-2020",F16="2021-2025"),"",IF(ISNUMBER(SEARCH("LLC",D16)),VLOOKUP(A16,IntComp24[],23,FALSE),VLOOKUP(A16,IntComp[],23,FALSE))))</f>
        <v/>
      </c>
    </row>
    <row r="17" spans="1:15">
      <c r="A17" s="148" t="s">
        <v>63</v>
      </c>
      <c r="B17" s="144" t="str">
        <f>VLOOKUP(A17,Data[],2,FALSE)</f>
        <v>MANHATTAN</v>
      </c>
      <c r="C17" s="144" t="s">
        <v>106</v>
      </c>
      <c r="D17" s="9" t="str">
        <f>VLOOKUP(A17,Data[],52,FALSE)</f>
        <v>FEDERAL</v>
      </c>
      <c r="E17" s="9">
        <f>VLOOKUP(IntAll[[#This Row],[DEVELOPMENT]],Data[],62,FALSE)</f>
        <v>3</v>
      </c>
      <c r="F17" s="9" t="str">
        <f ca="1">VLOOKUP(A17,Data[],4,FALSE)</f>
        <v>2026+</v>
      </c>
      <c r="G17" s="9">
        <f>VLOOKUP(IntAll[[#This Row],[DEVELOPMENT]],EHDAll[[DEVELOPMENT]:['# Units]],6,FALSE)</f>
        <v>1</v>
      </c>
      <c r="H17" s="143" t="e">
        <f ca="1">IF(IntAll[[#This Row],[STATUS]]="","",IF(OR(F17="2019-2020",F17="2021-2025"),"",IF(ISNUMBER(SEARCH("LLC",D17)),VLOOKUP(A17,IntComp24[],21,FALSE),VLOOKUP(A17,IntComp[],21,FALSE))))</f>
        <v>#N/A</v>
      </c>
      <c r="I17" s="143" t="e">
        <f ca="1">IF(IntAll[[#This Row],[STATUS]]="","",IF(IF(OR(F17="2019-2020",F17="2021-2025"),"",IF(ISNUMBER(SEARCH("LLC",D17)),VLOOKUP(A17,IntComp24[],16,FALSE),VLOOKUP(A17,IntComp[],16,FALSE)))=0,"",IF(OR(F17="2019-2020",F17="2021-2025"),"",IF(ISNUMBER(SEARCH("LLC",D17)),VLOOKUP(A17,IntComp24[],16,FALSE),VLOOKUP(A17,IntComp[],16,FALSE)))))</f>
        <v>#N/A</v>
      </c>
      <c r="J17" s="143" t="e">
        <f ca="1">IF(IF(OR(F17="2019-2020",F17="2021-2025"),"",IF(ISNUMBER(SEARCH("LLC",D17)),VLOOKUP(A17,IntComp24[],17,FALSE),VLOOKUP(A17,IntComp[],17,FALSE)))=0,"",IF(OR(F17="2019-2020",F17="2021-2025"),"",IF(ISNUMBER(SEARCH("LLC",D17)),VLOOKUP(A17,IntComp24[],17,FALSE),VLOOKUP(A17,IntComp[],17,FALSE))))</f>
        <v>#N/A</v>
      </c>
      <c r="K17" s="151"/>
      <c r="L17" s="151" t="e">
        <f ca="1">IF(OR(F17="2019-2020",F17="2021-2025"),"",IF(ISNUMBER(SEARCH("LLC",D17)),VLOOKUP(A17,IntComp24[],18,FALSE),VLOOKUP(A17,IntComp[],18,FALSE)))</f>
        <v>#N/A</v>
      </c>
      <c r="M17" s="143" t="s">
        <v>447</v>
      </c>
      <c r="N17" s="143" t="str">
        <f ca="1">IF(IF(OR(F17="2019-2020",F17="2021-2025"),"",IF(ISNUMBER(SEARCH("LLC",D17)),VLOOKUP(A17,IntComp24[],20,FALSE),VLOOKUP(A17,IntComp[],20,FALSE)))=0,"",IF(OR(F17="2019-2020",F17="2021-2025"),"",IF(ISNUMBER(SEARCH("LLC",D17)),VLOOKUP(A17,IntComp24[],20,FALSE),VLOOKUP(A17,IntComp[],20,FALSE))))</f>
        <v>CPD PM Team</v>
      </c>
      <c r="O17" s="152" t="str">
        <f ca="1">IF(IF(OR(F17="2019-2020",F17="2021-2025"),"",IF(ISNUMBER(SEARCH("LLC",D17)),VLOOKUP(A17,IntComp24[],23,FALSE),VLOOKUP(A17,IntComp[],23,FALSE)))=0,"",IF(OR(F17="2019-2020",F17="2021-2025"),"",IF(ISNUMBER(SEARCH("LLC",D17)),VLOOKUP(A17,IntComp24[],23,FALSE),VLOOKUP(A17,IntComp[],23,FALSE))))</f>
        <v/>
      </c>
    </row>
    <row r="18" spans="1:15">
      <c r="A18" s="148" t="s">
        <v>43</v>
      </c>
      <c r="B18" s="144" t="str">
        <f>VLOOKUP(A18,Data[],2,FALSE)</f>
        <v>MANHATTAN</v>
      </c>
      <c r="C18" s="144" t="s">
        <v>106</v>
      </c>
      <c r="D18" s="9" t="str">
        <f>VLOOKUP(A18,Data[],52,FALSE)</f>
        <v>MIXED FINANCE/LLC1</v>
      </c>
      <c r="E18" s="9">
        <f>VLOOKUP(IntAll[[#This Row],[DEVELOPMENT]],Data[],62,FALSE)</f>
        <v>3</v>
      </c>
      <c r="F18" s="9" t="str">
        <f ca="1">VLOOKUP(A18,Data[],4,FALSE)</f>
        <v/>
      </c>
      <c r="G18" s="9">
        <f>VLOOKUP(IntAll[[#This Row],[DEVELOPMENT]],EHDAll[[DEVELOPMENT]:['# Units]],6,FALSE)</f>
        <v>5</v>
      </c>
      <c r="H18" s="143">
        <f ca="1">IF(IntAll[[#This Row],[STATUS]]="","",IF(OR(F18="2019-2020",F18="2021-2025"),"",IF(ISNUMBER(SEARCH("LLC",D18)),VLOOKUP(A18,IntComp24[],21,FALSE),VLOOKUP(A18,IntComp[],21,FALSE))))</f>
        <v>2019</v>
      </c>
      <c r="I18" s="143">
        <f ca="1">IF(IntAll[[#This Row],[STATUS]]="","",IF(IF(OR(F18="2019-2020",F18="2021-2025"),"",IF(ISNUMBER(SEARCH("LLC",D18)),VLOOKUP(A18,IntComp24[],16,FALSE),VLOOKUP(A18,IntComp[],16,FALSE)))=0,"",IF(OR(F18="2019-2020",F18="2021-2025"),"",IF(ISNUMBER(SEARCH("LLC",D18)),VLOOKUP(A18,IntComp24[],16,FALSE),VLOOKUP(A18,IntComp[],16,FALSE)))))</f>
        <v>2020</v>
      </c>
      <c r="J18" s="143" t="str">
        <f ca="1">IF(IF(OR(F18="2019-2020",F18="2021-2025"),"",IF(ISNUMBER(SEARCH("LLC",D18)),VLOOKUP(A18,IntComp24[],17,FALSE),VLOOKUP(A18,IntComp[],17,FALSE)))=0,"",IF(OR(F18="2019-2020",F18="2021-2025"),"",IF(ISNUMBER(SEARCH("LLC",D18)),VLOOKUP(A18,IntComp24[],17,FALSE),VLOOKUP(A18,IntComp[],17,FALSE))))</f>
        <v>COMPLETED</v>
      </c>
      <c r="K18" s="151"/>
      <c r="L18" s="151">
        <f ca="1">IF(OR(F18="2019-2020",F18="2021-2025"),"",IF(ISNUMBER(SEARCH("LLC",D18)),VLOOKUP(A18,IntComp24[],18,FALSE),VLOOKUP(A18,IntComp[],18,FALSE)))</f>
        <v>0</v>
      </c>
      <c r="M18" s="143" t="s">
        <v>447</v>
      </c>
      <c r="N18" s="143" t="str">
        <f ca="1">IF(IF(OR(F18="2019-2020",F18="2021-2025"),"",IF(ISNUMBER(SEARCH("LLC",D18)),VLOOKUP(A18,IntComp24[],20,FALSE),VLOOKUP(A18,IntComp[],20,FALSE)))=0,"",IF(OR(F18="2019-2020",F18="2021-2025"),"",IF(ISNUMBER(SEARCH("LLC",D18)),VLOOKUP(A18,IntComp24[],20,FALSE),VLOOKUP(A18,IntComp[],20,FALSE))))</f>
        <v>CPD PM Team</v>
      </c>
      <c r="O18" s="152" t="str">
        <f ca="1">IF(IF(OR(F18="2019-2020",F18="2021-2025"),"",IF(ISNUMBER(SEARCH("LLC",D18)),VLOOKUP(A18,IntComp24[],23,FALSE),VLOOKUP(A18,IntComp[],23,FALSE)))=0,"",IF(OR(F18="2019-2020",F18="2021-2025"),"",IF(ISNUMBER(SEARCH("LLC",D18)),VLOOKUP(A18,IntComp24[],23,FALSE),VLOOKUP(A18,IntComp[],23,FALSE))))</f>
        <v/>
      </c>
    </row>
    <row r="19" spans="1:15">
      <c r="A19" s="148" t="s">
        <v>51</v>
      </c>
      <c r="B19" s="144" t="str">
        <f>VLOOKUP(A19,Data[],2,FALSE)</f>
        <v>MANHATTAN</v>
      </c>
      <c r="C19" s="144" t="s">
        <v>106</v>
      </c>
      <c r="D19" s="9" t="str">
        <f>VLOOKUP(A19,Data[],52,FALSE)</f>
        <v>FEDERAL</v>
      </c>
      <c r="E19" s="9">
        <f>VLOOKUP(IntAll[[#This Row],[DEVELOPMENT]],Data[],62,FALSE)</f>
        <v>3</v>
      </c>
      <c r="F19" s="9" t="str">
        <f ca="1">VLOOKUP(A19,Data[],4,FALSE)</f>
        <v/>
      </c>
      <c r="G19" s="9">
        <f>VLOOKUP(IntAll[[#This Row],[DEVELOPMENT]],EHDAll[[DEVELOPMENT]:['# Units]],6,FALSE)</f>
        <v>1</v>
      </c>
      <c r="H19" s="143">
        <f ca="1">IF(IntAll[[#This Row],[STATUS]]="","",IF(OR(F19="2019-2020",F19="2021-2025"),"",IF(ISNUMBER(SEARCH("LLC",D19)),VLOOKUP(A19,IntComp24[],21,FALSE),VLOOKUP(A19,IntComp[],21,FALSE))))</f>
        <v>2019</v>
      </c>
      <c r="I19" s="143">
        <f ca="1">IF(IntAll[[#This Row],[STATUS]]="","",IF(IF(OR(F19="2019-2020",F19="2021-2025"),"",IF(ISNUMBER(SEARCH("LLC",D19)),VLOOKUP(A19,IntComp24[],16,FALSE),VLOOKUP(A19,IntComp[],16,FALSE)))=0,"",IF(OR(F19="2019-2020",F19="2021-2025"),"",IF(ISNUMBER(SEARCH("LLC",D19)),VLOOKUP(A19,IntComp24[],16,FALSE),VLOOKUP(A19,IntComp[],16,FALSE)))))</f>
        <v>2020</v>
      </c>
      <c r="J19" s="143" t="str">
        <f ca="1">IF(IF(OR(F19="2019-2020",F19="2021-2025"),"",IF(ISNUMBER(SEARCH("LLC",D19)),VLOOKUP(A19,IntComp24[],17,FALSE),VLOOKUP(A19,IntComp[],17,FALSE)))=0,"",IF(OR(F19="2019-2020",F19="2021-2025"),"",IF(ISNUMBER(SEARCH("LLC",D19)),VLOOKUP(A19,IntComp24[],17,FALSE),VLOOKUP(A19,IntComp[],17,FALSE))))</f>
        <v>COMPLETED</v>
      </c>
      <c r="K19" s="151"/>
      <c r="L19" s="151">
        <f ca="1">IF(OR(F19="2019-2020",F19="2021-2025"),"",IF(ISNUMBER(SEARCH("LLC",D19)),VLOOKUP(A19,IntComp24[],18,FALSE),VLOOKUP(A19,IntComp[],18,FALSE)))</f>
        <v>84804</v>
      </c>
      <c r="M19" s="143" t="s">
        <v>447</v>
      </c>
      <c r="N19" s="143" t="str">
        <f ca="1">IF(IF(OR(F19="2019-2020",F19="2021-2025"),"",IF(ISNUMBER(SEARCH("LLC",D19)),VLOOKUP(A19,IntComp24[],20,FALSE),VLOOKUP(A19,IntComp[],20,FALSE)))=0,"",IF(OR(F19="2019-2020",F19="2021-2025"),"",IF(ISNUMBER(SEARCH("LLC",D19)),VLOOKUP(A19,IntComp24[],20,FALSE),VLOOKUP(A19,IntComp[],20,FALSE))))</f>
        <v>CPD PM Team</v>
      </c>
      <c r="O19" s="152" t="str">
        <f ca="1">IF(IF(OR(F19="2019-2020",F19="2021-2025"),"",IF(ISNUMBER(SEARCH("LLC",D19)),VLOOKUP(A19,IntComp24[],23,FALSE),VLOOKUP(A19,IntComp[],23,FALSE)))=0,"",IF(OR(F19="2019-2020",F19="2021-2025"),"",IF(ISNUMBER(SEARCH("LLC",D19)),VLOOKUP(A19,IntComp24[],23,FALSE),VLOOKUP(A19,IntComp[],23,FALSE))))</f>
        <v/>
      </c>
    </row>
    <row r="20" spans="1:15">
      <c r="A20" s="148" t="s">
        <v>31</v>
      </c>
      <c r="B20" s="144" t="str">
        <f>VLOOKUP(A20,Data[],2,FALSE)</f>
        <v>BRONX</v>
      </c>
      <c r="C20" s="144" t="s">
        <v>106</v>
      </c>
      <c r="D20" s="9" t="str">
        <f>VLOOKUP(A20,Data[],52,FALSE)</f>
        <v>FEDERAL</v>
      </c>
      <c r="E20" s="9">
        <f>VLOOKUP(IntAll[[#This Row],[DEVELOPMENT]],Data[],62,FALSE)</f>
        <v>3</v>
      </c>
      <c r="F20" s="9" t="str">
        <f ca="1">VLOOKUP(A20,Data[],4,FALSE)</f>
        <v/>
      </c>
      <c r="G20" s="9">
        <f>VLOOKUP(IntAll[[#This Row],[DEVELOPMENT]],EHDAll[[DEVELOPMENT]:['# Units]],6,FALSE)</f>
        <v>6</v>
      </c>
      <c r="H20" s="143">
        <f ca="1">IF(IntAll[[#This Row],[STATUS]]="","",IF(OR(F20="2019-2020",F20="2021-2025"),"",IF(ISNUMBER(SEARCH("LLC",D20)),VLOOKUP(A20,IntComp24[],21,FALSE),VLOOKUP(A20,IntComp[],21,FALSE))))</f>
        <v>2019</v>
      </c>
      <c r="I20" s="143">
        <f ca="1">IF(IntAll[[#This Row],[STATUS]]="","",IF(IF(OR(F20="2019-2020",F20="2021-2025"),"",IF(ISNUMBER(SEARCH("LLC",D20)),VLOOKUP(A20,IntComp24[],16,FALSE),VLOOKUP(A20,IntComp[],16,FALSE)))=0,"",IF(OR(F20="2019-2020",F20="2021-2025"),"",IF(ISNUMBER(SEARCH("LLC",D20)),VLOOKUP(A20,IntComp24[],16,FALSE),VLOOKUP(A20,IntComp[],16,FALSE)))))</f>
        <v>2020</v>
      </c>
      <c r="J20" s="143" t="str">
        <f ca="1">IF(IF(OR(F20="2019-2020",F20="2021-2025"),"",IF(ISNUMBER(SEARCH("LLC",D20)),VLOOKUP(A20,IntComp24[],17,FALSE),VLOOKUP(A20,IntComp[],17,FALSE)))=0,"",IF(OR(F20="2019-2020",F20="2021-2025"),"",IF(ISNUMBER(SEARCH("LLC",D20)),VLOOKUP(A20,IntComp24[],17,FALSE),VLOOKUP(A20,IntComp[],17,FALSE))))</f>
        <v>IN PROGRESS</v>
      </c>
      <c r="K20" s="151"/>
      <c r="L20" s="151">
        <f ca="1">IF(OR(F20="2019-2020",F20="2021-2025"),"",IF(ISNUMBER(SEARCH("LLC",D20)),VLOOKUP(A20,IntComp24[],18,FALSE),VLOOKUP(A20,IntComp[],18,FALSE)))</f>
        <v>0</v>
      </c>
      <c r="M20" s="143" t="s">
        <v>447</v>
      </c>
      <c r="N20" s="143" t="str">
        <f ca="1">IF(IF(OR(F20="2019-2020",F20="2021-2025"),"",IF(ISNUMBER(SEARCH("LLC",D20)),VLOOKUP(A20,IntComp24[],20,FALSE),VLOOKUP(A20,IntComp[],20,FALSE)))=0,"",IF(OR(F20="2019-2020",F20="2021-2025"),"",IF(ISNUMBER(SEARCH("LLC",D20)),VLOOKUP(A20,IntComp24[],20,FALSE),VLOOKUP(A20,IntComp[],20,FALSE))))</f>
        <v>CPD PM Team</v>
      </c>
      <c r="O20" s="152" t="str">
        <f ca="1">IF(IF(OR(F20="2019-2020",F20="2021-2025"),"",IF(ISNUMBER(SEARCH("LLC",D20)),VLOOKUP(A20,IntComp24[],23,FALSE),VLOOKUP(A20,IntComp[],23,FALSE)))=0,"",IF(OR(F20="2019-2020",F20="2021-2025"),"",IF(ISNUMBER(SEARCH("LLC",D20)),VLOOKUP(A20,IntComp24[],23,FALSE),VLOOKUP(A20,IntComp[],23,FALSE))))</f>
        <v/>
      </c>
    </row>
    <row r="21" spans="1:15">
      <c r="A21" s="148" t="s">
        <v>121</v>
      </c>
      <c r="B21" s="144" t="str">
        <f>VLOOKUP(A21,Data[],2,FALSE)</f>
        <v>BRONX</v>
      </c>
      <c r="C21" s="144" t="s">
        <v>106</v>
      </c>
      <c r="D21" s="9" t="str">
        <f>VLOOKUP(A21,Data[],52,FALSE)</f>
        <v>FEDERAL</v>
      </c>
      <c r="E21" s="9">
        <f>VLOOKUP(IntAll[[#This Row],[DEVELOPMENT]],Data[],62,FALSE)</f>
        <v>6</v>
      </c>
      <c r="F21" s="9" t="str">
        <f ca="1">VLOOKUP(A21,Data[],4,FALSE)</f>
        <v/>
      </c>
      <c r="G21" s="9">
        <f>VLOOKUP(IntAll[[#This Row],[DEVELOPMENT]],EHDAll[[DEVELOPMENT]:['# Units]],6,FALSE)</f>
        <v>2</v>
      </c>
      <c r="H21" s="143">
        <f ca="1">IF(IntAll[[#This Row],[STATUS]]="","",IF(OR(F21="2019-2020",F21="2021-2025"),"",IF(ISNUMBER(SEARCH("LLC",D21)),VLOOKUP(A21,IntComp24[],21,FALSE),VLOOKUP(A21,IntComp[],21,FALSE))))</f>
        <v>2019</v>
      </c>
      <c r="I21" s="143">
        <f ca="1">IF(IntAll[[#This Row],[STATUS]]="","",IF(IF(OR(F21="2019-2020",F21="2021-2025"),"",IF(ISNUMBER(SEARCH("LLC",D21)),VLOOKUP(A21,IntComp24[],16,FALSE),VLOOKUP(A21,IntComp[],16,FALSE)))=0,"",IF(OR(F21="2019-2020",F21="2021-2025"),"",IF(ISNUMBER(SEARCH("LLC",D21)),VLOOKUP(A21,IntComp24[],16,FALSE),VLOOKUP(A21,IntComp[],16,FALSE)))))</f>
        <v>2020</v>
      </c>
      <c r="J21" s="143" t="str">
        <f ca="1">IF(IF(OR(F21="2019-2020",F21="2021-2025"),"",IF(ISNUMBER(SEARCH("LLC",D21)),VLOOKUP(A21,IntComp24[],17,FALSE),VLOOKUP(A21,IntComp[],17,FALSE)))=0,"",IF(OR(F21="2019-2020",F21="2021-2025"),"",IF(ISNUMBER(SEARCH("LLC",D21)),VLOOKUP(A21,IntComp24[],17,FALSE),VLOOKUP(A21,IntComp[],17,FALSE))))</f>
        <v>IN PROGRESS</v>
      </c>
      <c r="K21" s="151"/>
      <c r="L21" s="151">
        <f ca="1">IF(OR(F21="2019-2020",F21="2021-2025"),"",IF(ISNUMBER(SEARCH("LLC",D21)),VLOOKUP(A21,IntComp24[],18,FALSE),VLOOKUP(A21,IntComp[],18,FALSE)))</f>
        <v>0</v>
      </c>
      <c r="M21" s="143" t="s">
        <v>447</v>
      </c>
      <c r="N21" s="143" t="str">
        <f ca="1">IF(IF(OR(F21="2019-2020",F21="2021-2025"),"",IF(ISNUMBER(SEARCH("LLC",D21)),VLOOKUP(A21,IntComp24[],20,FALSE),VLOOKUP(A21,IntComp[],20,FALSE)))=0,"",IF(OR(F21="2019-2020",F21="2021-2025"),"",IF(ISNUMBER(SEARCH("LLC",D21)),VLOOKUP(A21,IntComp24[],20,FALSE),VLOOKUP(A21,IntComp[],20,FALSE))))</f>
        <v>CPD PM Team</v>
      </c>
      <c r="O21" s="152" t="str">
        <f ca="1">IF(IF(OR(F21="2019-2020",F21="2021-2025"),"",IF(ISNUMBER(SEARCH("LLC",D21)),VLOOKUP(A21,IntComp24[],23,FALSE),VLOOKUP(A21,IntComp[],23,FALSE)))=0,"",IF(OR(F21="2019-2020",F21="2021-2025"),"",IF(ISNUMBER(SEARCH("LLC",D21)),VLOOKUP(A21,IntComp24[],23,FALSE),VLOOKUP(A21,IntComp[],23,FALSE))))</f>
        <v/>
      </c>
    </row>
    <row r="22" spans="1:15">
      <c r="A22" s="148" t="s">
        <v>242</v>
      </c>
      <c r="B22" s="144" t="str">
        <f>VLOOKUP(A22,Data[],2,FALSE)</f>
        <v>MANHATTAN</v>
      </c>
      <c r="C22" s="144" t="s">
        <v>106</v>
      </c>
      <c r="D22" s="9" t="str">
        <f>VLOOKUP(A22,Data[],52,FALSE)</f>
        <v>FEDERAL</v>
      </c>
      <c r="E22" s="9">
        <f>VLOOKUP(IntAll[[#This Row],[DEVELOPMENT]],Data[],62,FALSE)</f>
        <v>3</v>
      </c>
      <c r="F22" s="9" t="str">
        <f ca="1">VLOOKUP(A22,Data[],4,FALSE)</f>
        <v>2026+</v>
      </c>
      <c r="G22" s="9">
        <f>VLOOKUP(IntAll[[#This Row],[DEVELOPMENT]],EHDAll[[DEVELOPMENT]:['# Units]],6,FALSE)</f>
        <v>8</v>
      </c>
      <c r="H22" s="143">
        <f ca="1">IF(IntAll[[#This Row],[STATUS]]="","",IF(OR(F22="2019-2020",F22="2021-2025"),"",IF(ISNUMBER(SEARCH("LLC",D22)),VLOOKUP(A22,IntComp24[],21,FALSE),VLOOKUP(A22,IntComp[],21,FALSE))))</f>
        <v>2019</v>
      </c>
      <c r="I22" s="143">
        <f ca="1">IF(IntAll[[#This Row],[STATUS]]="","",IF(IF(OR(F22="2019-2020",F22="2021-2025"),"",IF(ISNUMBER(SEARCH("LLC",D22)),VLOOKUP(A22,IntComp24[],16,FALSE),VLOOKUP(A22,IntComp[],16,FALSE)))=0,"",IF(OR(F22="2019-2020",F22="2021-2025"),"",IF(ISNUMBER(SEARCH("LLC",D22)),VLOOKUP(A22,IntComp24[],16,FALSE),VLOOKUP(A22,IntComp[],16,FALSE)))))</f>
        <v>2020</v>
      </c>
      <c r="J22" s="143" t="str">
        <f ca="1">IF(IF(OR(F22="2019-2020",F22="2021-2025"),"",IF(ISNUMBER(SEARCH("LLC",D22)),VLOOKUP(A22,IntComp24[],17,FALSE),VLOOKUP(A22,IntComp[],17,FALSE)))=0,"",IF(OR(F22="2019-2020",F22="2021-2025"),"",IF(ISNUMBER(SEARCH("LLC",D22)),VLOOKUP(A22,IntComp24[],17,FALSE),VLOOKUP(A22,IntComp[],17,FALSE))))</f>
        <v>IN PROGRESS</v>
      </c>
      <c r="K22" s="151"/>
      <c r="L22" s="151">
        <f ca="1">IF(OR(F22="2019-2020",F22="2021-2025"),"",IF(ISNUMBER(SEARCH("LLC",D22)),VLOOKUP(A22,IntComp24[],18,FALSE),VLOOKUP(A22,IntComp[],18,FALSE)))</f>
        <v>405596</v>
      </c>
      <c r="M22" s="143" t="s">
        <v>447</v>
      </c>
      <c r="N22" s="143" t="str">
        <f ca="1">IF(IF(OR(F22="2019-2020",F22="2021-2025"),"",IF(ISNUMBER(SEARCH("LLC",D22)),VLOOKUP(A22,IntComp24[],20,FALSE),VLOOKUP(A22,IntComp[],20,FALSE)))=0,"",IF(OR(F22="2019-2020",F22="2021-2025"),"",IF(ISNUMBER(SEARCH("LLC",D22)),VLOOKUP(A22,IntComp24[],20,FALSE),VLOOKUP(A22,IntComp[],20,FALSE))))</f>
        <v>CPD PM Team</v>
      </c>
      <c r="O22" s="152" t="str">
        <f ca="1">IF(IF(OR(F22="2019-2020",F22="2021-2025"),"",IF(ISNUMBER(SEARCH("LLC",D22)),VLOOKUP(A22,IntComp24[],23,FALSE),VLOOKUP(A22,IntComp[],23,FALSE)))=0,"",IF(OR(F22="2019-2020",F22="2021-2025"),"",IF(ISNUMBER(SEARCH("LLC",D22)),VLOOKUP(A22,IntComp24[],23,FALSE),VLOOKUP(A22,IntComp[],23,FALSE))))</f>
        <v/>
      </c>
    </row>
    <row r="23" spans="1:15">
      <c r="A23" s="148" t="s">
        <v>139</v>
      </c>
      <c r="B23" s="144" t="str">
        <f>VLOOKUP(A23,Data[],2,FALSE)</f>
        <v>BROOKLYN</v>
      </c>
      <c r="C23" s="144" t="s">
        <v>106</v>
      </c>
      <c r="D23" s="9" t="str">
        <f>VLOOKUP(A23,Data[],52,FALSE)</f>
        <v>FEDERAL</v>
      </c>
      <c r="E23" s="9">
        <f>VLOOKUP(IntAll[[#This Row],[DEVELOPMENT]],Data[],62,FALSE)</f>
        <v>1</v>
      </c>
      <c r="F23" s="9" t="str">
        <f ca="1">VLOOKUP(A23,Data[],4,FALSE)</f>
        <v/>
      </c>
      <c r="G23" s="9">
        <f>VLOOKUP(IntAll[[#This Row],[DEVELOPMENT]],EHDAll[[DEVELOPMENT]:['# Units]],6,FALSE)</f>
        <v>1</v>
      </c>
      <c r="H23" s="143">
        <f ca="1">IF(IntAll[[#This Row],[STATUS]]="","",IF(OR(F23="2019-2020",F23="2021-2025"),"",IF(ISNUMBER(SEARCH("LLC",D23)),VLOOKUP(A23,IntComp24[],21,FALSE),VLOOKUP(A23,IntComp[],21,FALSE))))</f>
        <v>2019</v>
      </c>
      <c r="I23" s="143">
        <f ca="1">IF(IntAll[[#This Row],[STATUS]]="","",IF(IF(OR(F23="2019-2020",F23="2021-2025"),"",IF(ISNUMBER(SEARCH("LLC",D23)),VLOOKUP(A23,IntComp24[],16,FALSE),VLOOKUP(A23,IntComp[],16,FALSE)))=0,"",IF(OR(F23="2019-2020",F23="2021-2025"),"",IF(ISNUMBER(SEARCH("LLC",D23)),VLOOKUP(A23,IntComp24[],16,FALSE),VLOOKUP(A23,IntComp[],16,FALSE)))))</f>
        <v>2020</v>
      </c>
      <c r="J23" s="143" t="str">
        <f ca="1">IF(IF(OR(F23="2019-2020",F23="2021-2025"),"",IF(ISNUMBER(SEARCH("LLC",D23)),VLOOKUP(A23,IntComp24[],17,FALSE),VLOOKUP(A23,IntComp[],17,FALSE)))=0,"",IF(OR(F23="2019-2020",F23="2021-2025"),"",IF(ISNUMBER(SEARCH("LLC",D23)),VLOOKUP(A23,IntComp24[],17,FALSE),VLOOKUP(A23,IntComp[],17,FALSE))))</f>
        <v>IN PROGRESS</v>
      </c>
      <c r="K23" s="151"/>
      <c r="L23" s="151">
        <f ca="1">IF(OR(F23="2019-2020",F23="2021-2025"),"",IF(ISNUMBER(SEARCH("LLC",D23)),VLOOKUP(A23,IntComp24[],18,FALSE),VLOOKUP(A23,IntComp[],18,FALSE)))</f>
        <v>63283</v>
      </c>
      <c r="M23" s="143" t="s">
        <v>447</v>
      </c>
      <c r="N23" s="143" t="str">
        <f ca="1">IF(IF(OR(F23="2019-2020",F23="2021-2025"),"",IF(ISNUMBER(SEARCH("LLC",D23)),VLOOKUP(A23,IntComp24[],20,FALSE),VLOOKUP(A23,IntComp[],20,FALSE)))=0,"",IF(OR(F23="2019-2020",F23="2021-2025"),"",IF(ISNUMBER(SEARCH("LLC",D23)),VLOOKUP(A23,IntComp24[],20,FALSE),VLOOKUP(A23,IntComp[],20,FALSE))))</f>
        <v>CPD PM Team</v>
      </c>
      <c r="O23" s="152" t="str">
        <f ca="1">IF(IF(OR(F23="2019-2020",F23="2021-2025"),"",IF(ISNUMBER(SEARCH("LLC",D23)),VLOOKUP(A23,IntComp24[],23,FALSE),VLOOKUP(A23,IntComp[],23,FALSE)))=0,"",IF(OR(F23="2019-2020",F23="2021-2025"),"",IF(ISNUMBER(SEARCH("LLC",D23)),VLOOKUP(A23,IntComp24[],23,FALSE),VLOOKUP(A23,IntComp[],23,FALSE))))</f>
        <v/>
      </c>
    </row>
    <row r="24" spans="1:15">
      <c r="A24" s="148" t="s">
        <v>62</v>
      </c>
      <c r="B24" s="144" t="str">
        <f>VLOOKUP(A24,Data[],2,FALSE)</f>
        <v>MANHATTAN</v>
      </c>
      <c r="C24" s="144" t="s">
        <v>106</v>
      </c>
      <c r="D24" s="9" t="str">
        <f>VLOOKUP(A24,Data[],52,FALSE)</f>
        <v>FEDERAL</v>
      </c>
      <c r="E24" s="9">
        <f>VLOOKUP(IntAll[[#This Row],[DEVELOPMENT]],Data[],62,FALSE)</f>
        <v>3</v>
      </c>
      <c r="F24" s="9" t="str">
        <f ca="1">VLOOKUP(A24,Data[],4,FALSE)</f>
        <v/>
      </c>
      <c r="G24" s="9">
        <f>VLOOKUP(IntAll[[#This Row],[DEVELOPMENT]],EHDAll[[DEVELOPMENT]:['# Units]],6,FALSE)</f>
        <v>1</v>
      </c>
      <c r="H24" s="143">
        <f ca="1">IF(IntAll[[#This Row],[STATUS]]="","",IF(OR(F24="2019-2020",F24="2021-2025"),"",IF(ISNUMBER(SEARCH("LLC",D24)),VLOOKUP(A24,IntComp24[],21,FALSE),VLOOKUP(A24,IntComp[],21,FALSE))))</f>
        <v>2019</v>
      </c>
      <c r="I24" s="143">
        <f ca="1">IF(IntAll[[#This Row],[STATUS]]="","",IF(IF(OR(F24="2019-2020",F24="2021-2025"),"",IF(ISNUMBER(SEARCH("LLC",D24)),VLOOKUP(A24,IntComp24[],16,FALSE),VLOOKUP(A24,IntComp[],16,FALSE)))=0,"",IF(OR(F24="2019-2020",F24="2021-2025"),"",IF(ISNUMBER(SEARCH("LLC",D24)),VLOOKUP(A24,IntComp24[],16,FALSE),VLOOKUP(A24,IntComp[],16,FALSE)))))</f>
        <v>2020</v>
      </c>
      <c r="J24" s="143" t="str">
        <f ca="1">IF(IF(OR(F24="2019-2020",F24="2021-2025"),"",IF(ISNUMBER(SEARCH("LLC",D24)),VLOOKUP(A24,IntComp24[],17,FALSE),VLOOKUP(A24,IntComp[],17,FALSE)))=0,"",IF(OR(F24="2019-2020",F24="2021-2025"),"",IF(ISNUMBER(SEARCH("LLC",D24)),VLOOKUP(A24,IntComp24[],17,FALSE),VLOOKUP(A24,IntComp[],17,FALSE))))</f>
        <v>IN PROGRESS</v>
      </c>
      <c r="K24" s="151"/>
      <c r="L24" s="151">
        <f ca="1">IF(OR(F24="2019-2020",F24="2021-2025"),"",IF(ISNUMBER(SEARCH("LLC",D24)),VLOOKUP(A24,IntComp24[],18,FALSE),VLOOKUP(A24,IntComp[],18,FALSE)))</f>
        <v>0</v>
      </c>
      <c r="M24" s="143" t="s">
        <v>447</v>
      </c>
      <c r="N24" s="143" t="str">
        <f ca="1">IF(IF(OR(F24="2019-2020",F24="2021-2025"),"",IF(ISNUMBER(SEARCH("LLC",D24)),VLOOKUP(A24,IntComp24[],20,FALSE),VLOOKUP(A24,IntComp[],20,FALSE)))=0,"",IF(OR(F24="2019-2020",F24="2021-2025"),"",IF(ISNUMBER(SEARCH("LLC",D24)),VLOOKUP(A24,IntComp24[],20,FALSE),VLOOKUP(A24,IntComp[],20,FALSE))))</f>
        <v>CPD PM Team</v>
      </c>
      <c r="O24" s="152" t="str">
        <f ca="1">IF(IF(OR(F24="2019-2020",F24="2021-2025"),"",IF(ISNUMBER(SEARCH("LLC",D24)),VLOOKUP(A24,IntComp24[],23,FALSE),VLOOKUP(A24,IntComp[],23,FALSE)))=0,"",IF(OR(F24="2019-2020",F24="2021-2025"),"",IF(ISNUMBER(SEARCH("LLC",D24)),VLOOKUP(A24,IntComp24[],23,FALSE),VLOOKUP(A24,IntComp[],23,FALSE))))</f>
        <v/>
      </c>
    </row>
    <row r="25" spans="1:15">
      <c r="A25" s="148" t="s">
        <v>138</v>
      </c>
      <c r="B25" s="144" t="str">
        <f>VLOOKUP(A25,Data[],2,FALSE)</f>
        <v>BRONX</v>
      </c>
      <c r="C25" s="144" t="s">
        <v>106</v>
      </c>
      <c r="D25" s="9" t="str">
        <f>VLOOKUP(A25,Data[],52,FALSE)</f>
        <v>FEDERAL</v>
      </c>
      <c r="E25" s="9">
        <f>VLOOKUP(IntAll[[#This Row],[DEVELOPMENT]],Data[],62,FALSE)</f>
        <v>6</v>
      </c>
      <c r="F25" s="9" t="str">
        <f ca="1">VLOOKUP(A25,Data[],4,FALSE)</f>
        <v/>
      </c>
      <c r="G25" s="9">
        <f>VLOOKUP(IntAll[[#This Row],[DEVELOPMENT]],EHDAll[[DEVELOPMENT]:['# Units]],6,FALSE)</f>
        <v>1</v>
      </c>
      <c r="H25" s="143">
        <f ca="1">IF(IntAll[[#This Row],[STATUS]]="","",IF(OR(F25="2019-2020",F25="2021-2025"),"",IF(ISNUMBER(SEARCH("LLC",D25)),VLOOKUP(A25,IntComp24[],21,FALSE),VLOOKUP(A25,IntComp[],21,FALSE))))</f>
        <v>2019</v>
      </c>
      <c r="I25" s="143">
        <f ca="1">IF(IntAll[[#This Row],[STATUS]]="","",IF(IF(OR(F25="2019-2020",F25="2021-2025"),"",IF(ISNUMBER(SEARCH("LLC",D25)),VLOOKUP(A25,IntComp24[],16,FALSE),VLOOKUP(A25,IntComp[],16,FALSE)))=0,"",IF(OR(F25="2019-2020",F25="2021-2025"),"",IF(ISNUMBER(SEARCH("LLC",D25)),VLOOKUP(A25,IntComp24[],16,FALSE),VLOOKUP(A25,IntComp[],16,FALSE)))))</f>
        <v>2020</v>
      </c>
      <c r="J25" s="143" t="str">
        <f ca="1">IF(IF(OR(F25="2019-2020",F25="2021-2025"),"",IF(ISNUMBER(SEARCH("LLC",D25)),VLOOKUP(A25,IntComp24[],17,FALSE),VLOOKUP(A25,IntComp[],17,FALSE)))=0,"",IF(OR(F25="2019-2020",F25="2021-2025"),"",IF(ISNUMBER(SEARCH("LLC",D25)),VLOOKUP(A25,IntComp24[],17,FALSE),VLOOKUP(A25,IntComp[],17,FALSE))))</f>
        <v>IN PROGRESS</v>
      </c>
      <c r="K25" s="151"/>
      <c r="L25" s="151">
        <f ca="1">IF(OR(F25="2019-2020",F25="2021-2025"),"",IF(ISNUMBER(SEARCH("LLC",D25)),VLOOKUP(A25,IntComp24[],18,FALSE),VLOOKUP(A25,IntComp[],18,FALSE)))</f>
        <v>0</v>
      </c>
      <c r="M25" s="143" t="s">
        <v>447</v>
      </c>
      <c r="N25" s="143" t="str">
        <f ca="1">IF(IF(OR(F25="2019-2020",F25="2021-2025"),"",IF(ISNUMBER(SEARCH("LLC",D25)),VLOOKUP(A25,IntComp24[],20,FALSE),VLOOKUP(A25,IntComp[],20,FALSE)))=0,"",IF(OR(F25="2019-2020",F25="2021-2025"),"",IF(ISNUMBER(SEARCH("LLC",D25)),VLOOKUP(A25,IntComp24[],20,FALSE),VLOOKUP(A25,IntComp[],20,FALSE))))</f>
        <v>CPD PM Team</v>
      </c>
      <c r="O25" s="152" t="str">
        <f ca="1">IF(IF(OR(F25="2019-2020",F25="2021-2025"),"",IF(ISNUMBER(SEARCH("LLC",D25)),VLOOKUP(A25,IntComp24[],23,FALSE),VLOOKUP(A25,IntComp[],23,FALSE)))=0,"",IF(OR(F25="2019-2020",F25="2021-2025"),"",IF(ISNUMBER(SEARCH("LLC",D25)),VLOOKUP(A25,IntComp24[],23,FALSE),VLOOKUP(A25,IntComp[],23,FALSE))))</f>
        <v/>
      </c>
    </row>
    <row r="26" spans="1:15">
      <c r="A26" s="148" t="s">
        <v>56</v>
      </c>
      <c r="B26" s="144" t="str">
        <f>VLOOKUP(A26,Data[],2,FALSE)</f>
        <v>MANHATTAN</v>
      </c>
      <c r="C26" s="144" t="s">
        <v>106</v>
      </c>
      <c r="D26" s="9" t="str">
        <f>VLOOKUP(A26,Data[],52,FALSE)</f>
        <v>FEDERAL</v>
      </c>
      <c r="E26" s="9">
        <f>VLOOKUP(IntAll[[#This Row],[DEVELOPMENT]],Data[],62,FALSE)</f>
        <v>3</v>
      </c>
      <c r="F26" s="9" t="str">
        <f ca="1">VLOOKUP(A26,Data[],4,FALSE)</f>
        <v/>
      </c>
      <c r="G26" s="9">
        <f>VLOOKUP(IntAll[[#This Row],[DEVELOPMENT]],EHDAll[[DEVELOPMENT]:['# Units]],6,FALSE)</f>
        <v>45</v>
      </c>
      <c r="H26" s="143">
        <f ca="1">IF(IntAll[[#This Row],[STATUS]]="","",IF(OR(F26="2019-2020",F26="2021-2025"),"",IF(ISNUMBER(SEARCH("LLC",D26)),VLOOKUP(A26,IntComp24[],21,FALSE),VLOOKUP(A26,IntComp[],21,FALSE))))</f>
        <v>2019</v>
      </c>
      <c r="I26" s="143">
        <f ca="1">IF(IntAll[[#This Row],[STATUS]]="","",IF(IF(OR(F26="2019-2020",F26="2021-2025"),"",IF(ISNUMBER(SEARCH("LLC",D26)),VLOOKUP(A26,IntComp24[],16,FALSE),VLOOKUP(A26,IntComp[],16,FALSE)))=0,"",IF(OR(F26="2019-2020",F26="2021-2025"),"",IF(ISNUMBER(SEARCH("LLC",D26)),VLOOKUP(A26,IntComp24[],16,FALSE),VLOOKUP(A26,IntComp[],16,FALSE)))))</f>
        <v>2020</v>
      </c>
      <c r="J26" s="143" t="str">
        <f ca="1">IF(IF(OR(F26="2019-2020",F26="2021-2025"),"",IF(ISNUMBER(SEARCH("LLC",D26)),VLOOKUP(A26,IntComp24[],17,FALSE),VLOOKUP(A26,IntComp[],17,FALSE)))=0,"",IF(OR(F26="2019-2020",F26="2021-2025"),"",IF(ISNUMBER(SEARCH("LLC",D26)),VLOOKUP(A26,IntComp24[],17,FALSE),VLOOKUP(A26,IntComp[],17,FALSE))))</f>
        <v>IN PROGRESS</v>
      </c>
      <c r="K26" s="151"/>
      <c r="L26" s="151">
        <f ca="1">IF(OR(F26="2019-2020",F26="2021-2025"),"",IF(ISNUMBER(SEARCH("LLC",D26)),VLOOKUP(A26,IntComp24[],18,FALSE),VLOOKUP(A26,IntComp[],18,FALSE)))</f>
        <v>0</v>
      </c>
      <c r="M26" s="143" t="s">
        <v>447</v>
      </c>
      <c r="N26" s="143" t="str">
        <f ca="1">IF(IF(OR(F26="2019-2020",F26="2021-2025"),"",IF(ISNUMBER(SEARCH("LLC",D26)),VLOOKUP(A26,IntComp24[],20,FALSE),VLOOKUP(A26,IntComp[],20,FALSE)))=0,"",IF(OR(F26="2019-2020",F26="2021-2025"),"",IF(ISNUMBER(SEARCH("LLC",D26)),VLOOKUP(A26,IntComp24[],20,FALSE),VLOOKUP(A26,IntComp[],20,FALSE))))</f>
        <v>CPD PM Team</v>
      </c>
      <c r="O26" s="152" t="str">
        <f ca="1">IF(IF(OR(F26="2019-2020",F26="2021-2025"),"",IF(ISNUMBER(SEARCH("LLC",D26)),VLOOKUP(A26,IntComp24[],23,FALSE),VLOOKUP(A26,IntComp[],23,FALSE)))=0,"",IF(OR(F26="2019-2020",F26="2021-2025"),"",IF(ISNUMBER(SEARCH("LLC",D26)),VLOOKUP(A26,IntComp24[],23,FALSE),VLOOKUP(A26,IntComp[],23,FALSE))))</f>
        <v/>
      </c>
    </row>
    <row r="27" spans="1:15">
      <c r="A27" s="148" t="s">
        <v>108</v>
      </c>
      <c r="B27" s="144" t="str">
        <f>VLOOKUP(A27,Data[],2,FALSE)</f>
        <v>MANHATTAN</v>
      </c>
      <c r="C27" s="144" t="s">
        <v>106</v>
      </c>
      <c r="D27" s="9" t="str">
        <f>VLOOKUP(A27,Data[],52,FALSE)</f>
        <v>FEDERAL</v>
      </c>
      <c r="E27" s="9">
        <f>VLOOKUP(IntAll[[#This Row],[DEVELOPMENT]],Data[],62,FALSE)</f>
        <v>3</v>
      </c>
      <c r="F27" s="9" t="str">
        <f ca="1">VLOOKUP(A27,Data[],4,FALSE)</f>
        <v/>
      </c>
      <c r="G27" s="9">
        <f>VLOOKUP(IntAll[[#This Row],[DEVELOPMENT]],EHDAll[[DEVELOPMENT]:['# Units]],6,FALSE)</f>
        <v>9</v>
      </c>
      <c r="H27" s="143">
        <f ca="1">IF(IntAll[[#This Row],[STATUS]]="","",IF(OR(F27="2019-2020",F27="2021-2025"),"",IF(ISNUMBER(SEARCH("LLC",D27)),VLOOKUP(A27,IntComp24[],21,FALSE),VLOOKUP(A27,IntComp[],21,FALSE))))</f>
        <v>2019</v>
      </c>
      <c r="I27" s="143">
        <f ca="1">IF(IntAll[[#This Row],[STATUS]]="","",IF(IF(OR(F27="2019-2020",F27="2021-2025"),"",IF(ISNUMBER(SEARCH("LLC",D27)),VLOOKUP(A27,IntComp24[],16,FALSE),VLOOKUP(A27,IntComp[],16,FALSE)))=0,"",IF(OR(F27="2019-2020",F27="2021-2025"),"",IF(ISNUMBER(SEARCH("LLC",D27)),VLOOKUP(A27,IntComp24[],16,FALSE),VLOOKUP(A27,IntComp[],16,FALSE)))))</f>
        <v>2020</v>
      </c>
      <c r="J27" s="143" t="str">
        <f ca="1">IF(IF(OR(F27="2019-2020",F27="2021-2025"),"",IF(ISNUMBER(SEARCH("LLC",D27)),VLOOKUP(A27,IntComp24[],17,FALSE),VLOOKUP(A27,IntComp[],17,FALSE)))=0,"",IF(OR(F27="2019-2020",F27="2021-2025"),"",IF(ISNUMBER(SEARCH("LLC",D27)),VLOOKUP(A27,IntComp24[],17,FALSE),VLOOKUP(A27,IntComp[],17,FALSE))))</f>
        <v>IN PROGRESS</v>
      </c>
      <c r="K27" s="151"/>
      <c r="L27" s="151">
        <f ca="1">IF(OR(F27="2019-2020",F27="2021-2025"),"",IF(ISNUMBER(SEARCH("LLC",D27)),VLOOKUP(A27,IntComp24[],18,FALSE),VLOOKUP(A27,IntComp[],18,FALSE)))</f>
        <v>0</v>
      </c>
      <c r="M27" s="143" t="s">
        <v>447</v>
      </c>
      <c r="N27" s="143" t="str">
        <f ca="1">IF(IF(OR(F27="2019-2020",F27="2021-2025"),"",IF(ISNUMBER(SEARCH("LLC",D27)),VLOOKUP(A27,IntComp24[],20,FALSE),VLOOKUP(A27,IntComp[],20,FALSE)))=0,"",IF(OR(F27="2019-2020",F27="2021-2025"),"",IF(ISNUMBER(SEARCH("LLC",D27)),VLOOKUP(A27,IntComp24[],20,FALSE),VLOOKUP(A27,IntComp[],20,FALSE))))</f>
        <v>CPD PM Team</v>
      </c>
      <c r="O27" s="152" t="str">
        <f ca="1">IF(IF(OR(F27="2019-2020",F27="2021-2025"),"",IF(ISNUMBER(SEARCH("LLC",D27)),VLOOKUP(A27,IntComp24[],23,FALSE),VLOOKUP(A27,IntComp[],23,FALSE)))=0,"",IF(OR(F27="2019-2020",F27="2021-2025"),"",IF(ISNUMBER(SEARCH("LLC",D27)),VLOOKUP(A27,IntComp24[],23,FALSE),VLOOKUP(A27,IntComp[],23,FALSE))))</f>
        <v/>
      </c>
    </row>
    <row r="28" spans="1:15">
      <c r="A28" s="148" t="s">
        <v>47</v>
      </c>
      <c r="B28" s="144" t="str">
        <f>VLOOKUP(A28,Data[],2,FALSE)</f>
        <v>BRONX</v>
      </c>
      <c r="C28" s="144" t="s">
        <v>106</v>
      </c>
      <c r="D28" s="9" t="str">
        <f>VLOOKUP(A28,Data[],52,FALSE)</f>
        <v>FEDERAL</v>
      </c>
      <c r="E28" s="9">
        <f>VLOOKUP(IntAll[[#This Row],[DEVELOPMENT]],Data[],62,FALSE)</f>
        <v>3</v>
      </c>
      <c r="F28" s="9" t="str">
        <f ca="1">VLOOKUP(A28,Data[],4,FALSE)</f>
        <v/>
      </c>
      <c r="G28" s="9">
        <f>VLOOKUP(IntAll[[#This Row],[DEVELOPMENT]],EHDAll[[DEVELOPMENT]:['# Units]],6,FALSE)</f>
        <v>5</v>
      </c>
      <c r="H28" s="143">
        <f ca="1">IF(IntAll[[#This Row],[STATUS]]="","",IF(OR(F28="2019-2020",F28="2021-2025"),"",IF(ISNUMBER(SEARCH("LLC",D28)),VLOOKUP(A28,IntComp24[],21,FALSE),VLOOKUP(A28,IntComp[],21,FALSE))))</f>
        <v>2019</v>
      </c>
      <c r="I28" s="143">
        <f ca="1">IF(IntAll[[#This Row],[STATUS]]="","",IF(IF(OR(F28="2019-2020",F28="2021-2025"),"",IF(ISNUMBER(SEARCH("LLC",D28)),VLOOKUP(A28,IntComp24[],16,FALSE),VLOOKUP(A28,IntComp[],16,FALSE)))=0,"",IF(OR(F28="2019-2020",F28="2021-2025"),"",IF(ISNUMBER(SEARCH("LLC",D28)),VLOOKUP(A28,IntComp24[],16,FALSE),VLOOKUP(A28,IntComp[],16,FALSE)))))</f>
        <v>2020</v>
      </c>
      <c r="J28" s="143" t="str">
        <f ca="1">IF(IF(OR(F28="2019-2020",F28="2021-2025"),"",IF(ISNUMBER(SEARCH("LLC",D28)),VLOOKUP(A28,IntComp24[],17,FALSE),VLOOKUP(A28,IntComp[],17,FALSE)))=0,"",IF(OR(F28="2019-2020",F28="2021-2025"),"",IF(ISNUMBER(SEARCH("LLC",D28)),VLOOKUP(A28,IntComp24[],17,FALSE),VLOOKUP(A28,IntComp[],17,FALSE))))</f>
        <v>IN PROGRESS</v>
      </c>
      <c r="K28" s="151"/>
      <c r="L28" s="151">
        <f ca="1">IF(OR(F28="2019-2020",F28="2021-2025"),"",IF(ISNUMBER(SEARCH("LLC",D28)),VLOOKUP(A28,IntComp24[],18,FALSE),VLOOKUP(A28,IntComp[],18,FALSE)))</f>
        <v>0</v>
      </c>
      <c r="M28" s="143" t="s">
        <v>447</v>
      </c>
      <c r="N28" s="143" t="str">
        <f ca="1">IF(IF(OR(F28="2019-2020",F28="2021-2025"),"",IF(ISNUMBER(SEARCH("LLC",D28)),VLOOKUP(A28,IntComp24[],20,FALSE),VLOOKUP(A28,IntComp[],20,FALSE)))=0,"",IF(OR(F28="2019-2020",F28="2021-2025"),"",IF(ISNUMBER(SEARCH("LLC",D28)),VLOOKUP(A28,IntComp24[],20,FALSE),VLOOKUP(A28,IntComp[],20,FALSE))))</f>
        <v>CPD PM Team</v>
      </c>
      <c r="O28" s="152" t="str">
        <f ca="1">IF(IF(OR(F28="2019-2020",F28="2021-2025"),"",IF(ISNUMBER(SEARCH("LLC",D28)),VLOOKUP(A28,IntComp24[],23,FALSE),VLOOKUP(A28,IntComp[],23,FALSE)))=0,"",IF(OR(F28="2019-2020",F28="2021-2025"),"",IF(ISNUMBER(SEARCH("LLC",D28)),VLOOKUP(A28,IntComp24[],23,FALSE),VLOOKUP(A28,IntComp[],23,FALSE))))</f>
        <v/>
      </c>
    </row>
    <row r="29" spans="1:15">
      <c r="A29" s="148" t="s">
        <v>42</v>
      </c>
      <c r="B29" s="144" t="str">
        <f>VLOOKUP(A29,Data[],2,FALSE)</f>
        <v>BROOKLYN</v>
      </c>
      <c r="C29" s="144" t="s">
        <v>106</v>
      </c>
      <c r="D29" s="9" t="str">
        <f>VLOOKUP(A29,Data[],52,FALSE)</f>
        <v>FEDERAL</v>
      </c>
      <c r="E29" s="9">
        <f>VLOOKUP(IntAll[[#This Row],[DEVELOPMENT]],Data[],62,FALSE)</f>
        <v>3</v>
      </c>
      <c r="F29" s="9" t="str">
        <f ca="1">VLOOKUP(A29,Data[],4,FALSE)</f>
        <v/>
      </c>
      <c r="G29" s="9">
        <f>VLOOKUP(IntAll[[#This Row],[DEVELOPMENT]],EHDAll[[DEVELOPMENT]:['# Units]],6,FALSE)</f>
        <v>6</v>
      </c>
      <c r="H29" s="143">
        <f ca="1">IF(IntAll[[#This Row],[STATUS]]="","",IF(OR(F29="2019-2020",F29="2021-2025"),"",IF(ISNUMBER(SEARCH("LLC",D29)),VLOOKUP(A29,IntComp24[],21,FALSE),VLOOKUP(A29,IntComp[],21,FALSE))))</f>
        <v>2020</v>
      </c>
      <c r="I29" s="143">
        <f ca="1">IF(IntAll[[#This Row],[STATUS]]="","",IF(IF(OR(F29="2019-2020",F29="2021-2025"),"",IF(ISNUMBER(SEARCH("LLC",D29)),VLOOKUP(A29,IntComp24[],16,FALSE),VLOOKUP(A29,IntComp[],16,FALSE)))=0,"",IF(OR(F29="2019-2020",F29="2021-2025"),"",IF(ISNUMBER(SEARCH("LLC",D29)),VLOOKUP(A29,IntComp24[],16,FALSE),VLOOKUP(A29,IntComp[],16,FALSE)))))</f>
        <v>2020</v>
      </c>
      <c r="J29" s="143" t="str">
        <f ca="1">IF(IF(OR(F29="2019-2020",F29="2021-2025"),"",IF(ISNUMBER(SEARCH("LLC",D29)),VLOOKUP(A29,IntComp24[],17,FALSE),VLOOKUP(A29,IntComp[],17,FALSE)))=0,"",IF(OR(F29="2019-2020",F29="2021-2025"),"",IF(ISNUMBER(SEARCH("LLC",D29)),VLOOKUP(A29,IntComp24[],17,FALSE),VLOOKUP(A29,IntComp[],17,FALSE))))</f>
        <v>COMPLETED</v>
      </c>
      <c r="K29" s="151"/>
      <c r="L29" s="151">
        <f ca="1">IF(OR(F29="2019-2020",F29="2021-2025"),"",IF(ISNUMBER(SEARCH("LLC",D29)),VLOOKUP(A29,IntComp24[],18,FALSE),VLOOKUP(A29,IntComp[],18,FALSE)))</f>
        <v>280640</v>
      </c>
      <c r="M29" s="143" t="s">
        <v>447</v>
      </c>
      <c r="N29" s="143" t="str">
        <f ca="1">IF(IF(OR(F29="2019-2020",F29="2021-2025"),"",IF(ISNUMBER(SEARCH("LLC",D29)),VLOOKUP(A29,IntComp24[],20,FALSE),VLOOKUP(A29,IntComp[],20,FALSE)))=0,"",IF(OR(F29="2019-2020",F29="2021-2025"),"",IF(ISNUMBER(SEARCH("LLC",D29)),VLOOKUP(A29,IntComp24[],20,FALSE),VLOOKUP(A29,IntComp[],20,FALSE))))</f>
        <v>CPD PM Team</v>
      </c>
      <c r="O29" s="152" t="str">
        <f ca="1">IF(IF(OR(F29="2019-2020",F29="2021-2025"),"",IF(ISNUMBER(SEARCH("LLC",D29)),VLOOKUP(A29,IntComp24[],23,FALSE),VLOOKUP(A29,IntComp[],23,FALSE)))=0,"",IF(OR(F29="2019-2020",F29="2021-2025"),"",IF(ISNUMBER(SEARCH("LLC",D29)),VLOOKUP(A29,IntComp24[],23,FALSE),VLOOKUP(A29,IntComp[],23,FALSE))))</f>
        <v/>
      </c>
    </row>
    <row r="30" spans="1:15">
      <c r="A30" s="148" t="s">
        <v>148</v>
      </c>
      <c r="B30" s="144" t="str">
        <f>VLOOKUP(A30,Data[],2,FALSE)</f>
        <v>BROOKLYN</v>
      </c>
      <c r="C30" s="144" t="s">
        <v>106</v>
      </c>
      <c r="D30" s="9" t="str">
        <f>VLOOKUP(A30,Data[],52,FALSE)</f>
        <v>FEDERAL</v>
      </c>
      <c r="E30" s="9">
        <f>VLOOKUP(IntAll[[#This Row],[DEVELOPMENT]],Data[],62,FALSE)</f>
        <v>3</v>
      </c>
      <c r="F30" s="9" t="str">
        <f ca="1">VLOOKUP(A30,Data[],4,FALSE)</f>
        <v/>
      </c>
      <c r="G30" s="9">
        <f>VLOOKUP(IntAll[[#This Row],[DEVELOPMENT]],EHDAll[[DEVELOPMENT]:['# Units]],6,FALSE)</f>
        <v>3</v>
      </c>
      <c r="H30" s="143">
        <f ca="1">IF(IntAll[[#This Row],[STATUS]]="","",IF(OR(F30="2019-2020",F30="2021-2025"),"",IF(ISNUMBER(SEARCH("LLC",D30)),VLOOKUP(A30,IntComp24[],21,FALSE),VLOOKUP(A30,IntComp[],21,FALSE))))</f>
        <v>2020</v>
      </c>
      <c r="I30" s="143">
        <f ca="1">IF(IntAll[[#This Row],[STATUS]]="","",IF(IF(OR(F30="2019-2020",F30="2021-2025"),"",IF(ISNUMBER(SEARCH("LLC",D30)),VLOOKUP(A30,IntComp24[],16,FALSE),VLOOKUP(A30,IntComp[],16,FALSE)))=0,"",IF(OR(F30="2019-2020",F30="2021-2025"),"",IF(ISNUMBER(SEARCH("LLC",D30)),VLOOKUP(A30,IntComp24[],16,FALSE),VLOOKUP(A30,IntComp[],16,FALSE)))))</f>
        <v>2020</v>
      </c>
      <c r="J30" s="143" t="str">
        <f ca="1">IF(IF(OR(F30="2019-2020",F30="2021-2025"),"",IF(ISNUMBER(SEARCH("LLC",D30)),VLOOKUP(A30,IntComp24[],17,FALSE),VLOOKUP(A30,IntComp[],17,FALSE)))=0,"",IF(OR(F30="2019-2020",F30="2021-2025"),"",IF(ISNUMBER(SEARCH("LLC",D30)),VLOOKUP(A30,IntComp24[],17,FALSE),VLOOKUP(A30,IntComp[],17,FALSE))))</f>
        <v>COMPLETED</v>
      </c>
      <c r="K30" s="151"/>
      <c r="L30" s="151">
        <f ca="1">IF(OR(F30="2019-2020",F30="2021-2025"),"",IF(ISNUMBER(SEARCH("LLC",D30)),VLOOKUP(A30,IntComp24[],18,FALSE),VLOOKUP(A30,IntComp[],18,FALSE)))</f>
        <v>141242</v>
      </c>
      <c r="M30" s="143" t="s">
        <v>447</v>
      </c>
      <c r="N30" s="143" t="str">
        <f ca="1">IF(IF(OR(F30="2019-2020",F30="2021-2025"),"",IF(ISNUMBER(SEARCH("LLC",D30)),VLOOKUP(A30,IntComp24[],20,FALSE),VLOOKUP(A30,IntComp[],20,FALSE)))=0,"",IF(OR(F30="2019-2020",F30="2021-2025"),"",IF(ISNUMBER(SEARCH("LLC",D30)),VLOOKUP(A30,IntComp24[],20,FALSE),VLOOKUP(A30,IntComp[],20,FALSE))))</f>
        <v>CPD PM Team</v>
      </c>
      <c r="O30" s="152" t="str">
        <f ca="1">IF(IF(OR(F30="2019-2020",F30="2021-2025"),"",IF(ISNUMBER(SEARCH("LLC",D30)),VLOOKUP(A30,IntComp24[],23,FALSE),VLOOKUP(A30,IntComp[],23,FALSE)))=0,"",IF(OR(F30="2019-2020",F30="2021-2025"),"",IF(ISNUMBER(SEARCH("LLC",D30)),VLOOKUP(A30,IntComp24[],23,FALSE),VLOOKUP(A30,IntComp[],23,FALSE))))</f>
        <v/>
      </c>
    </row>
    <row r="31" spans="1:15">
      <c r="A31" s="148" t="s">
        <v>266</v>
      </c>
      <c r="B31" s="144" t="str">
        <f>VLOOKUP(A31,Data[],2,FALSE)</f>
        <v>MANHATTAN</v>
      </c>
      <c r="C31" s="144" t="s">
        <v>106</v>
      </c>
      <c r="D31" s="9" t="str">
        <f>VLOOKUP(A31,Data[],52,FALSE)</f>
        <v>FEDERAL</v>
      </c>
      <c r="E31" s="9">
        <f>VLOOKUP(IntAll[[#This Row],[DEVELOPMENT]],Data[],62,FALSE)</f>
        <v>3</v>
      </c>
      <c r="F31" s="9" t="str">
        <f ca="1">VLOOKUP(A31,Data[],4,FALSE)</f>
        <v/>
      </c>
      <c r="G31" s="9">
        <f>VLOOKUP(IntAll[[#This Row],[DEVELOPMENT]],EHDAll[[DEVELOPMENT]:['# Units]],6,FALSE)</f>
        <v>1</v>
      </c>
      <c r="H31" s="143">
        <f ca="1">IF(IntAll[[#This Row],[STATUS]]="","",IF(OR(F31="2019-2020",F31="2021-2025"),"",IF(ISNUMBER(SEARCH("LLC",D31)),VLOOKUP(A31,IntComp24[],21,FALSE),VLOOKUP(A31,IntComp[],21,FALSE))))</f>
        <v>2020</v>
      </c>
      <c r="I31" s="143">
        <f ca="1">IF(IntAll[[#This Row],[STATUS]]="","",IF(IF(OR(F31="2019-2020",F31="2021-2025"),"",IF(ISNUMBER(SEARCH("LLC",D31)),VLOOKUP(A31,IntComp24[],16,FALSE),VLOOKUP(A31,IntComp[],16,FALSE)))=0,"",IF(OR(F31="2019-2020",F31="2021-2025"),"",IF(ISNUMBER(SEARCH("LLC",D31)),VLOOKUP(A31,IntComp24[],16,FALSE),VLOOKUP(A31,IntComp[],16,FALSE)))))</f>
        <v>2020</v>
      </c>
      <c r="J31" s="143" t="str">
        <f ca="1">IF(IF(OR(F31="2019-2020",F31="2021-2025"),"",IF(ISNUMBER(SEARCH("LLC",D31)),VLOOKUP(A31,IntComp24[],17,FALSE),VLOOKUP(A31,IntComp[],17,FALSE)))=0,"",IF(OR(F31="2019-2020",F31="2021-2025"),"",IF(ISNUMBER(SEARCH("LLC",D31)),VLOOKUP(A31,IntComp24[],17,FALSE),VLOOKUP(A31,IntComp[],17,FALSE))))</f>
        <v>COMPLETED</v>
      </c>
      <c r="K31" s="151"/>
      <c r="L31" s="151">
        <f ca="1">IF(OR(F31="2019-2020",F31="2021-2025"),"",IF(ISNUMBER(SEARCH("LLC",D31)),VLOOKUP(A31,IntComp24[],18,FALSE),VLOOKUP(A31,IntComp[],18,FALSE)))</f>
        <v>59677</v>
      </c>
      <c r="M31" s="143" t="s">
        <v>447</v>
      </c>
      <c r="N31" s="143" t="str">
        <f ca="1">IF(IF(OR(F31="2019-2020",F31="2021-2025"),"",IF(ISNUMBER(SEARCH("LLC",D31)),VLOOKUP(A31,IntComp24[],20,FALSE),VLOOKUP(A31,IntComp[],20,FALSE)))=0,"",IF(OR(F31="2019-2020",F31="2021-2025"),"",IF(ISNUMBER(SEARCH("LLC",D31)),VLOOKUP(A31,IntComp24[],20,FALSE),VLOOKUP(A31,IntComp[],20,FALSE))))</f>
        <v>CPD PM Team</v>
      </c>
      <c r="O31" s="152" t="str">
        <f ca="1">IF(IF(OR(F31="2019-2020",F31="2021-2025"),"",IF(ISNUMBER(SEARCH("LLC",D31)),VLOOKUP(A31,IntComp24[],23,FALSE),VLOOKUP(A31,IntComp[],23,FALSE)))=0,"",IF(OR(F31="2019-2020",F31="2021-2025"),"",IF(ISNUMBER(SEARCH("LLC",D31)),VLOOKUP(A31,IntComp24[],23,FALSE),VLOOKUP(A31,IntComp[],23,FALSE))))</f>
        <v/>
      </c>
    </row>
    <row r="32" spans="1:15">
      <c r="A32" s="148" t="s">
        <v>50</v>
      </c>
      <c r="B32" s="144" t="str">
        <f>VLOOKUP(A32,Data[],2,FALSE)</f>
        <v>MANHATTAN</v>
      </c>
      <c r="C32" s="144" t="s">
        <v>106</v>
      </c>
      <c r="D32" s="9" t="str">
        <f>VLOOKUP(A32,Data[],52,FALSE)</f>
        <v>FEDERAL</v>
      </c>
      <c r="E32" s="9">
        <f>VLOOKUP(IntAll[[#This Row],[DEVELOPMENT]],Data[],62,FALSE)</f>
        <v>3</v>
      </c>
      <c r="F32" s="9" t="str">
        <f ca="1">VLOOKUP(A32,Data[],4,FALSE)</f>
        <v/>
      </c>
      <c r="G32" s="9">
        <f>VLOOKUP(IntAll[[#This Row],[DEVELOPMENT]],EHDAll[[DEVELOPMENT]:['# Units]],6,FALSE)</f>
        <v>1</v>
      </c>
      <c r="H32" s="143">
        <f ca="1">IF(IntAll[[#This Row],[STATUS]]="","",IF(OR(F32="2019-2020",F32="2021-2025"),"",IF(ISNUMBER(SEARCH("LLC",D32)),VLOOKUP(A32,IntComp24[],21,FALSE),VLOOKUP(A32,IntComp[],21,FALSE))))</f>
        <v>2020</v>
      </c>
      <c r="I32" s="143">
        <f ca="1">IF(IntAll[[#This Row],[STATUS]]="","",IF(IF(OR(F32="2019-2020",F32="2021-2025"),"",IF(ISNUMBER(SEARCH("LLC",D32)),VLOOKUP(A32,IntComp24[],16,FALSE),VLOOKUP(A32,IntComp[],16,FALSE)))=0,"",IF(OR(F32="2019-2020",F32="2021-2025"),"",IF(ISNUMBER(SEARCH("LLC",D32)),VLOOKUP(A32,IntComp24[],16,FALSE),VLOOKUP(A32,IntComp[],16,FALSE)))))</f>
        <v>2020</v>
      </c>
      <c r="J32" s="143" t="str">
        <f ca="1">IF(IF(OR(F32="2019-2020",F32="2021-2025"),"",IF(ISNUMBER(SEARCH("LLC",D32)),VLOOKUP(A32,IntComp24[],17,FALSE),VLOOKUP(A32,IntComp[],17,FALSE)))=0,"",IF(OR(F32="2019-2020",F32="2021-2025"),"",IF(ISNUMBER(SEARCH("LLC",D32)),VLOOKUP(A32,IntComp24[],17,FALSE),VLOOKUP(A32,IntComp[],17,FALSE))))</f>
        <v>COMPLETED</v>
      </c>
      <c r="K32" s="151"/>
      <c r="L32" s="151">
        <f ca="1">IF(OR(F32="2019-2020",F32="2021-2025"),"",IF(ISNUMBER(SEARCH("LLC",D32)),VLOOKUP(A32,IntComp24[],18,FALSE),VLOOKUP(A32,IntComp[],18,FALSE)))</f>
        <v>55349</v>
      </c>
      <c r="M32" s="143" t="s">
        <v>447</v>
      </c>
      <c r="N32" s="143" t="str">
        <f ca="1">IF(IF(OR(F32="2019-2020",F32="2021-2025"),"",IF(ISNUMBER(SEARCH("LLC",D32)),VLOOKUP(A32,IntComp24[],20,FALSE),VLOOKUP(A32,IntComp[],20,FALSE)))=0,"",IF(OR(F32="2019-2020",F32="2021-2025"),"",IF(ISNUMBER(SEARCH("LLC",D32)),VLOOKUP(A32,IntComp24[],20,FALSE),VLOOKUP(A32,IntComp[],20,FALSE))))</f>
        <v>CPD PM Team</v>
      </c>
      <c r="O32" s="152" t="str">
        <f ca="1">IF(IF(OR(F32="2019-2020",F32="2021-2025"),"",IF(ISNUMBER(SEARCH("LLC",D32)),VLOOKUP(A32,IntComp24[],23,FALSE),VLOOKUP(A32,IntComp[],23,FALSE)))=0,"",IF(OR(F32="2019-2020",F32="2021-2025"),"",IF(ISNUMBER(SEARCH("LLC",D32)),VLOOKUP(A32,IntComp24[],23,FALSE),VLOOKUP(A32,IntComp[],23,FALSE))))</f>
        <v/>
      </c>
    </row>
    <row r="33" spans="1:15">
      <c r="A33" s="148" t="s">
        <v>140</v>
      </c>
      <c r="B33" s="144" t="str">
        <f>VLOOKUP(A33,Data[],2,FALSE)</f>
        <v>BRONX</v>
      </c>
      <c r="C33" s="144" t="s">
        <v>106</v>
      </c>
      <c r="D33" s="9" t="str">
        <f>VLOOKUP(A33,Data[],52,FALSE)</f>
        <v>FEDERAL</v>
      </c>
      <c r="E33" s="9">
        <f>VLOOKUP(IntAll[[#This Row],[DEVELOPMENT]],Data[],62,FALSE)</f>
        <v>3</v>
      </c>
      <c r="F33" s="9" t="str">
        <f ca="1">VLOOKUP(A33,Data[],4,FALSE)</f>
        <v/>
      </c>
      <c r="G33" s="9">
        <f>VLOOKUP(IntAll[[#This Row],[DEVELOPMENT]],EHDAll[[DEVELOPMENT]:['# Units]],6,FALSE)</f>
        <v>7</v>
      </c>
      <c r="H33" s="143">
        <f ca="1">IF(IntAll[[#This Row],[STATUS]]="","",IF(OR(F33="2019-2020",F33="2021-2025"),"",IF(ISNUMBER(SEARCH("LLC",D33)),VLOOKUP(A33,IntComp24[],21,FALSE),VLOOKUP(A33,IntComp[],21,FALSE))))</f>
        <v>2020</v>
      </c>
      <c r="I33" s="143">
        <f ca="1">IF(IntAll[[#This Row],[STATUS]]="","",IF(IF(OR(F33="2019-2020",F33="2021-2025"),"",IF(ISNUMBER(SEARCH("LLC",D33)),VLOOKUP(A33,IntComp24[],16,FALSE),VLOOKUP(A33,IntComp[],16,FALSE)))=0,"",IF(OR(F33="2019-2020",F33="2021-2025"),"",IF(ISNUMBER(SEARCH("LLC",D33)),VLOOKUP(A33,IntComp24[],16,FALSE),VLOOKUP(A33,IntComp[],16,FALSE)))))</f>
        <v>2020</v>
      </c>
      <c r="J33" s="143" t="str">
        <f ca="1">IF(IF(OR(F33="2019-2020",F33="2021-2025"),"",IF(ISNUMBER(SEARCH("LLC",D33)),VLOOKUP(A33,IntComp24[],17,FALSE),VLOOKUP(A33,IntComp[],17,FALSE)))=0,"",IF(OR(F33="2019-2020",F33="2021-2025"),"",IF(ISNUMBER(SEARCH("LLC",D33)),VLOOKUP(A33,IntComp24[],17,FALSE),VLOOKUP(A33,IntComp[],17,FALSE))))</f>
        <v>COMPLETED</v>
      </c>
      <c r="K33" s="151"/>
      <c r="L33" s="151">
        <f ca="1">IF(OR(F33="2019-2020",F33="2021-2025"),"",IF(ISNUMBER(SEARCH("LLC",D33)),VLOOKUP(A33,IntComp24[],18,FALSE),VLOOKUP(A33,IntComp[],18,FALSE)))</f>
        <v>0</v>
      </c>
      <c r="M33" s="143" t="s">
        <v>447</v>
      </c>
      <c r="N33" s="143" t="str">
        <f ca="1">IF(IF(OR(F33="2019-2020",F33="2021-2025"),"",IF(ISNUMBER(SEARCH("LLC",D33)),VLOOKUP(A33,IntComp24[],20,FALSE),VLOOKUP(A33,IntComp[],20,FALSE)))=0,"",IF(OR(F33="2019-2020",F33="2021-2025"),"",IF(ISNUMBER(SEARCH("LLC",D33)),VLOOKUP(A33,IntComp24[],20,FALSE),VLOOKUP(A33,IntComp[],20,FALSE))))</f>
        <v>CPD PM Team</v>
      </c>
      <c r="O33" s="152" t="str">
        <f ca="1">IF(IF(OR(F33="2019-2020",F33="2021-2025"),"",IF(ISNUMBER(SEARCH("LLC",D33)),VLOOKUP(A33,IntComp24[],23,FALSE),VLOOKUP(A33,IntComp[],23,FALSE)))=0,"",IF(OR(F33="2019-2020",F33="2021-2025"),"",IF(ISNUMBER(SEARCH("LLC",D33)),VLOOKUP(A33,IntComp24[],23,FALSE),VLOOKUP(A33,IntComp[],23,FALSE))))</f>
        <v/>
      </c>
    </row>
    <row r="34" spans="1:15">
      <c r="A34" s="148" t="s">
        <v>142</v>
      </c>
      <c r="B34" s="144" t="str">
        <f>VLOOKUP(A34,Data[],2,FALSE)</f>
        <v>BROOKLYN</v>
      </c>
      <c r="C34" s="144" t="s">
        <v>106</v>
      </c>
      <c r="D34" s="9" t="str">
        <f>VLOOKUP(A34,Data[],52,FALSE)</f>
        <v>FEDERAL</v>
      </c>
      <c r="E34" s="9">
        <f>VLOOKUP(IntAll[[#This Row],[DEVELOPMENT]],Data[],62,FALSE)</f>
        <v>3</v>
      </c>
      <c r="F34" s="9" t="str">
        <f ca="1">VLOOKUP(A34,Data[],4,FALSE)</f>
        <v/>
      </c>
      <c r="G34" s="9">
        <f>VLOOKUP(IntAll[[#This Row],[DEVELOPMENT]],EHDAll[[DEVELOPMENT]:['# Units]],6,FALSE)</f>
        <v>5</v>
      </c>
      <c r="H34" s="143" t="e">
        <f ca="1">IF(IntAll[[#This Row],[STATUS]]="","",IF(OR(F34="2019-2020",F34="2021-2025"),"",IF(ISNUMBER(SEARCH("LLC",D34)),VLOOKUP(A34,IntComp24[],21,FALSE),VLOOKUP(A34,IntComp[],21,FALSE))))</f>
        <v>#N/A</v>
      </c>
      <c r="I34" s="143" t="e">
        <f ca="1">IF(IntAll[[#This Row],[STATUS]]="","",IF(IF(OR(F34="2019-2020",F34="2021-2025"),"",IF(ISNUMBER(SEARCH("LLC",D34)),VLOOKUP(A34,IntComp24[],16,FALSE),VLOOKUP(A34,IntComp[],16,FALSE)))=0,"",IF(OR(F34="2019-2020",F34="2021-2025"),"",IF(ISNUMBER(SEARCH("LLC",D34)),VLOOKUP(A34,IntComp24[],16,FALSE),VLOOKUP(A34,IntComp[],16,FALSE)))))</f>
        <v>#N/A</v>
      </c>
      <c r="J34" s="143" t="e">
        <f ca="1">IF(IF(OR(F34="2019-2020",F34="2021-2025"),"",IF(ISNUMBER(SEARCH("LLC",D34)),VLOOKUP(A34,IntComp24[],17,FALSE),VLOOKUP(A34,IntComp[],17,FALSE)))=0,"",IF(OR(F34="2019-2020",F34="2021-2025"),"",IF(ISNUMBER(SEARCH("LLC",D34)),VLOOKUP(A34,IntComp24[],17,FALSE),VLOOKUP(A34,IntComp[],17,FALSE))))</f>
        <v>#N/A</v>
      </c>
      <c r="K34" s="151"/>
      <c r="L34" s="151" t="e">
        <f ca="1">IF(OR(F34="2019-2020",F34="2021-2025"),"",IF(ISNUMBER(SEARCH("LLC",D34)),VLOOKUP(A34,IntComp24[],18,FALSE),VLOOKUP(A34,IntComp[],18,FALSE)))</f>
        <v>#N/A</v>
      </c>
      <c r="M34" s="143" t="s">
        <v>447</v>
      </c>
      <c r="N34" s="143" t="str">
        <f ca="1">IF(IF(OR(F34="2019-2020",F34="2021-2025"),"",IF(ISNUMBER(SEARCH("LLC",D34)),VLOOKUP(A34,IntComp24[],20,FALSE),VLOOKUP(A34,IntComp[],20,FALSE)))=0,"",IF(OR(F34="2019-2020",F34="2021-2025"),"",IF(ISNUMBER(SEARCH("LLC",D34)),VLOOKUP(A34,IntComp24[],20,FALSE),VLOOKUP(A34,IntComp[],20,FALSE))))</f>
        <v>CPD PM Team</v>
      </c>
      <c r="O34" s="152" t="str">
        <f ca="1">IF(IF(OR(F34="2019-2020",F34="2021-2025"),"",IF(ISNUMBER(SEARCH("LLC",D34)),VLOOKUP(A34,IntComp24[],23,FALSE),VLOOKUP(A34,IntComp[],23,FALSE)))=0,"",IF(OR(F34="2019-2020",F34="2021-2025"),"",IF(ISNUMBER(SEARCH("LLC",D34)),VLOOKUP(A34,IntComp24[],23,FALSE),VLOOKUP(A34,IntComp[],23,FALSE))))</f>
        <v/>
      </c>
    </row>
    <row r="35" spans="1:15">
      <c r="A35" s="209" t="s">
        <v>249</v>
      </c>
      <c r="B35" s="144" t="str">
        <f>VLOOKUP(A35,Data[],2,FALSE)</f>
        <v>BROOKLYN</v>
      </c>
      <c r="C35" s="144" t="s">
        <v>106</v>
      </c>
      <c r="D35" s="9" t="str">
        <f>VLOOKUP(A35,Data[],52,FALSE)</f>
        <v>FEDERAL</v>
      </c>
      <c r="E35" s="9">
        <f>VLOOKUP(IntAll[[#This Row],[DEVELOPMENT]],Data[],62,FALSE)</f>
        <v>5</v>
      </c>
      <c r="F35" s="9" t="str">
        <f ca="1">VLOOKUP(A35,Data[],4,FALSE)</f>
        <v/>
      </c>
      <c r="G35" s="9">
        <f>VLOOKUP(IntAll[[#This Row],[DEVELOPMENT]],EHDAll[[DEVELOPMENT]:['# Units]],6,FALSE)</f>
        <v>22</v>
      </c>
      <c r="H35" s="143">
        <f ca="1">IF(IntAll[[#This Row],[STATUS]]="","",IF(OR(F35="2019-2020",F35="2021-2025"),"",IF(ISNUMBER(SEARCH("LLC",D35)),VLOOKUP(A35,IntComp24[],21,FALSE),VLOOKUP(A35,IntComp[],21,FALSE))))</f>
        <v>2020</v>
      </c>
      <c r="I35" s="143">
        <f ca="1">IF(IntAll[[#This Row],[STATUS]]="","",IF(IF(OR(F35="2019-2020",F35="2021-2025"),"",IF(ISNUMBER(SEARCH("LLC",D35)),VLOOKUP(A35,IntComp24[],16,FALSE),VLOOKUP(A35,IntComp[],16,FALSE)))=0,"",IF(OR(F35="2019-2020",F35="2021-2025"),"",IF(ISNUMBER(SEARCH("LLC",D35)),VLOOKUP(A35,IntComp24[],16,FALSE),VLOOKUP(A35,IntComp[],16,FALSE)))))</f>
        <v>2020</v>
      </c>
      <c r="J35" s="143" t="str">
        <f ca="1">IF(IF(OR(F35="2019-2020",F35="2021-2025"),"",IF(ISNUMBER(SEARCH("LLC",D35)),VLOOKUP(A35,IntComp24[],17,FALSE),VLOOKUP(A35,IntComp[],17,FALSE)))=0,"",IF(OR(F35="2019-2020",F35="2021-2025"),"",IF(ISNUMBER(SEARCH("LLC",D35)),VLOOKUP(A35,IntComp24[],17,FALSE),VLOOKUP(A35,IntComp[],17,FALSE))))</f>
        <v>IN PROGRESS</v>
      </c>
      <c r="K35" s="151"/>
      <c r="L35" s="239">
        <f ca="1">IF(OR(F35="2019-2020",F35="2021-2025"),"",IF(ISNUMBER(SEARCH("LLC",D35)),VLOOKUP(A35,IntComp24[],18,FALSE),VLOOKUP(A35,IntComp[],18,FALSE)))</f>
        <v>1387925</v>
      </c>
      <c r="M35" s="143" t="s">
        <v>447</v>
      </c>
      <c r="N35" s="143" t="str">
        <f ca="1">IF(IF(OR(F35="2019-2020",F35="2021-2025"),"",IF(ISNUMBER(SEARCH("LLC",D35)),VLOOKUP(A35,IntComp24[],20,FALSE),VLOOKUP(A35,IntComp[],20,FALSE)))=0,"",IF(OR(F35="2019-2020",F35="2021-2025"),"",IF(ISNUMBER(SEARCH("LLC",D35)),VLOOKUP(A35,IntComp24[],20,FALSE),VLOOKUP(A35,IntComp[],20,FALSE))))</f>
        <v>CPD PM Team</v>
      </c>
      <c r="O35" s="152" t="str">
        <f ca="1">IF(IF(OR(F35="2019-2020",F35="2021-2025"),"",IF(ISNUMBER(SEARCH("LLC",D35)),VLOOKUP(A35,IntComp24[],23,FALSE),VLOOKUP(A35,IntComp[],23,FALSE)))=0,"",IF(OR(F35="2019-2020",F35="2021-2025"),"",IF(ISNUMBER(SEARCH("LLC",D35)),VLOOKUP(A35,IntComp24[],23,FALSE),VLOOKUP(A35,IntComp[],23,FALSE))))</f>
        <v/>
      </c>
    </row>
    <row r="36" spans="1:15">
      <c r="A36" s="148" t="s">
        <v>118</v>
      </c>
      <c r="B36" s="144" t="str">
        <f>VLOOKUP(A36,Data[],2,FALSE)</f>
        <v>BROOKLYN</v>
      </c>
      <c r="C36" s="144" t="s">
        <v>106</v>
      </c>
      <c r="D36" s="9" t="str">
        <f>VLOOKUP(A36,Data[],52,FALSE)</f>
        <v>FEDERAL</v>
      </c>
      <c r="E36" s="9">
        <f>VLOOKUP(IntAll[[#This Row],[DEVELOPMENT]],Data[],62,FALSE)</f>
        <v>3</v>
      </c>
      <c r="F36" s="9" t="str">
        <f ca="1">VLOOKUP(A36,Data[],4,FALSE)</f>
        <v/>
      </c>
      <c r="G36" s="9">
        <f>VLOOKUP(IntAll[[#This Row],[DEVELOPMENT]],EHDAll[[DEVELOPMENT]:['# Units]],6,FALSE)</f>
        <v>1</v>
      </c>
      <c r="H36" s="143">
        <f ca="1">IF(IntAll[[#This Row],[STATUS]]="","",IF(OR(F36="2019-2020",F36="2021-2025"),"",IF(ISNUMBER(SEARCH("LLC",D36)),VLOOKUP(A36,IntComp24[],21,FALSE),VLOOKUP(A36,IntComp[],21,FALSE))))</f>
        <v>2020</v>
      </c>
      <c r="I36" s="143">
        <f ca="1">IF(IntAll[[#This Row],[STATUS]]="","",IF(IF(OR(F36="2019-2020",F36="2021-2025"),"",IF(ISNUMBER(SEARCH("LLC",D36)),VLOOKUP(A36,IntComp24[],16,FALSE),VLOOKUP(A36,IntComp[],16,FALSE)))=0,"",IF(OR(F36="2019-2020",F36="2021-2025"),"",IF(ISNUMBER(SEARCH("LLC",D36)),VLOOKUP(A36,IntComp24[],16,FALSE),VLOOKUP(A36,IntComp[],16,FALSE)))))</f>
        <v>2020</v>
      </c>
      <c r="J36" s="143" t="str">
        <f ca="1">IF(IF(OR(F36="2019-2020",F36="2021-2025"),"",IF(ISNUMBER(SEARCH("LLC",D36)),VLOOKUP(A36,IntComp24[],17,FALSE),VLOOKUP(A36,IntComp[],17,FALSE)))=0,"",IF(OR(F36="2019-2020",F36="2021-2025"),"",IF(ISNUMBER(SEARCH("LLC",D36)),VLOOKUP(A36,IntComp24[],17,FALSE),VLOOKUP(A36,IntComp[],17,FALSE))))</f>
        <v>QUEUED</v>
      </c>
      <c r="K36" s="151"/>
      <c r="L36" s="151">
        <f ca="1">IF(OR(F36="2019-2020",F36="2021-2025"),"",IF(ISNUMBER(SEARCH("LLC",D36)),VLOOKUP(A36,IntComp24[],18,FALSE),VLOOKUP(A36,IntComp[],18,FALSE)))</f>
        <v>63087.5</v>
      </c>
      <c r="M36" s="143" t="s">
        <v>454</v>
      </c>
      <c r="N36" s="143" t="str">
        <f ca="1">IF(IF(OR(F36="2019-2020",F36="2021-2025"),"",IF(ISNUMBER(SEARCH("LLC",D36)),VLOOKUP(A36,IntComp24[],20,FALSE),VLOOKUP(A36,IntComp[],20,FALSE)))=0,"",IF(OR(F36="2019-2020",F36="2021-2025"),"",IF(ISNUMBER(SEARCH("LLC",D36)),VLOOKUP(A36,IntComp24[],20,FALSE),VLOOKUP(A36,IntComp[],20,FALSE))))</f>
        <v>Jacobs - JOCS</v>
      </c>
      <c r="O36" s="152" t="str">
        <f ca="1">IF(IF(OR(F36="2019-2020",F36="2021-2025"),"",IF(ISNUMBER(SEARCH("LLC",D36)),VLOOKUP(A36,IntComp24[],23,FALSE),VLOOKUP(A36,IntComp[],23,FALSE)))=0,"",IF(OR(F36="2019-2020",F36="2021-2025"),"",IF(ISNUMBER(SEARCH("LLC",D36)),VLOOKUP(A36,IntComp24[],23,FALSE),VLOOKUP(A36,IntComp[],23,FALSE))))</f>
        <v/>
      </c>
    </row>
    <row r="37" spans="1:15">
      <c r="A37" s="147" t="s">
        <v>233</v>
      </c>
      <c r="B37" s="144" t="str">
        <f>VLOOKUP(A37,Data[],2,FALSE)</f>
        <v>QUEENS</v>
      </c>
      <c r="C37" s="144" t="s">
        <v>106</v>
      </c>
      <c r="D37" s="9" t="str">
        <f>VLOOKUP(A37,Data[],52,FALSE)</f>
        <v>FEDERAL</v>
      </c>
      <c r="E37" s="9">
        <f>VLOOKUP(IntAll[[#This Row],[DEVELOPMENT]],Data[],62,FALSE)</f>
        <v>7</v>
      </c>
      <c r="F37" s="9" t="str">
        <f ca="1">VLOOKUP(A37,Data[],4,FALSE)</f>
        <v/>
      </c>
      <c r="G37" s="9">
        <f>VLOOKUP(IntAll[[#This Row],[DEVELOPMENT]],EHDAll[[DEVELOPMENT]:['# Units]],6,FALSE)</f>
        <v>5</v>
      </c>
      <c r="H37" s="143">
        <f ca="1">IF(IntAll[[#This Row],[STATUS]]="","",IF(OR(F37="2019-2020",F37="2021-2025"),"",IF(ISNUMBER(SEARCH("LLC",D37)),VLOOKUP(A37,IntComp24[],21,FALSE),VLOOKUP(A37,IntComp[],21,FALSE))))</f>
        <v>2020</v>
      </c>
      <c r="I37" s="143">
        <f ca="1">IF(IntAll[[#This Row],[STATUS]]="","",IF(IF(OR(F37="2019-2020",F37="2021-2025"),"",IF(ISNUMBER(SEARCH("LLC",D37)),VLOOKUP(A37,IntComp24[],16,FALSE),VLOOKUP(A37,IntComp[],16,FALSE)))=0,"",IF(OR(F37="2019-2020",F37="2021-2025"),"",IF(ISNUMBER(SEARCH("LLC",D37)),VLOOKUP(A37,IntComp24[],16,FALSE),VLOOKUP(A37,IntComp[],16,FALSE)))))</f>
        <v>2020</v>
      </c>
      <c r="J37" s="143" t="str">
        <f ca="1">IF(IF(OR(F37="2019-2020",F37="2021-2025"),"",IF(ISNUMBER(SEARCH("LLC",D37)),VLOOKUP(A37,IntComp24[],17,FALSE),VLOOKUP(A37,IntComp[],17,FALSE)))=0,"",IF(OR(F37="2019-2020",F37="2021-2025"),"",IF(ISNUMBER(SEARCH("LLC",D37)),VLOOKUP(A37,IntComp24[],17,FALSE),VLOOKUP(A37,IntComp[],17,FALSE))))</f>
        <v>QUEUED</v>
      </c>
      <c r="K37" s="151"/>
      <c r="L37" s="151">
        <f ca="1">IF(OR(F37="2019-2020",F37="2021-2025"),"",IF(ISNUMBER(SEARCH("LLC",D37)),VLOOKUP(A37,IntComp24[],18,FALSE),VLOOKUP(A37,IntComp[],18,FALSE)))</f>
        <v>315437.5</v>
      </c>
      <c r="M37" s="143" t="s">
        <v>454</v>
      </c>
      <c r="N37" s="143" t="str">
        <f ca="1">IF(IF(OR(F37="2019-2020",F37="2021-2025"),"",IF(ISNUMBER(SEARCH("LLC",D37)),VLOOKUP(A37,IntComp24[],20,FALSE),VLOOKUP(A37,IntComp[],20,FALSE)))=0,"",IF(OR(F37="2019-2020",F37="2021-2025"),"",IF(ISNUMBER(SEARCH("LLC",D37)),VLOOKUP(A37,IntComp24[],20,FALSE),VLOOKUP(A37,IntComp[],20,FALSE))))</f>
        <v>Jacobs - JOCS</v>
      </c>
      <c r="O37" s="152" t="str">
        <f ca="1">IF(IF(OR(F37="2019-2020",F37="2021-2025"),"",IF(ISNUMBER(SEARCH("LLC",D37)),VLOOKUP(A37,IntComp24[],23,FALSE),VLOOKUP(A37,IntComp[],23,FALSE)))=0,"",IF(OR(F37="2019-2020",F37="2021-2025"),"",IF(ISNUMBER(SEARCH("LLC",D37)),VLOOKUP(A37,IntComp24[],23,FALSE),VLOOKUP(A37,IntComp[],23,FALSE))))</f>
        <v/>
      </c>
    </row>
    <row r="38" spans="1:15">
      <c r="A38" s="147" t="s">
        <v>187</v>
      </c>
      <c r="B38" s="144" t="str">
        <f>VLOOKUP(A38,Data[],2,FALSE)</f>
        <v>BRONX</v>
      </c>
      <c r="C38" s="144" t="s">
        <v>106</v>
      </c>
      <c r="D38" s="9" t="str">
        <f>VLOOKUP(A38,Data[],52,FALSE)</f>
        <v>FEDERAL</v>
      </c>
      <c r="E38" s="9">
        <f>VLOOKUP(IntAll[[#This Row],[DEVELOPMENT]],Data[],62,FALSE)</f>
        <v>9</v>
      </c>
      <c r="F38" s="9" t="str">
        <f ca="1">VLOOKUP(A38,Data[],4,FALSE)</f>
        <v/>
      </c>
      <c r="G38" s="9">
        <f>VLOOKUP(IntAll[[#This Row],[DEVELOPMENT]],EHDAll[[DEVELOPMENT]:['# Units]],6,FALSE)</f>
        <v>3</v>
      </c>
      <c r="H38" s="143">
        <f ca="1">IF(IntAll[[#This Row],[STATUS]]="","",IF(OR(F38="2019-2020",F38="2021-2025"),"",IF(ISNUMBER(SEARCH("LLC",D38)),VLOOKUP(A38,IntComp24[],21,FALSE),VLOOKUP(A38,IntComp[],21,FALSE))))</f>
        <v>2020</v>
      </c>
      <c r="I38" s="143">
        <f ca="1">IF(IntAll[[#This Row],[STATUS]]="","",IF(IF(OR(F38="2019-2020",F38="2021-2025"),"",IF(ISNUMBER(SEARCH("LLC",D38)),VLOOKUP(A38,IntComp24[],16,FALSE),VLOOKUP(A38,IntComp[],16,FALSE)))=0,"",IF(OR(F38="2019-2020",F38="2021-2025"),"",IF(ISNUMBER(SEARCH("LLC",D38)),VLOOKUP(A38,IntComp24[],16,FALSE),VLOOKUP(A38,IntComp[],16,FALSE)))))</f>
        <v>2020</v>
      </c>
      <c r="J38" s="143" t="str">
        <f ca="1">IF(IF(OR(F38="2019-2020",F38="2021-2025"),"",IF(ISNUMBER(SEARCH("LLC",D38)),VLOOKUP(A38,IntComp24[],17,FALSE),VLOOKUP(A38,IntComp[],17,FALSE)))=0,"",IF(OR(F38="2019-2020",F38="2021-2025"),"",IF(ISNUMBER(SEARCH("LLC",D38)),VLOOKUP(A38,IntComp24[],17,FALSE),VLOOKUP(A38,IntComp[],17,FALSE))))</f>
        <v>QUEUED</v>
      </c>
      <c r="K38" s="151"/>
      <c r="L38" s="151">
        <f ca="1">IF(OR(F38="2019-2020",F38="2021-2025"),"",IF(ISNUMBER(SEARCH("LLC",D38)),VLOOKUP(A38,IntComp24[],18,FALSE),VLOOKUP(A38,IntComp[],18,FALSE)))</f>
        <v>189262.5</v>
      </c>
      <c r="M38" s="143" t="s">
        <v>454</v>
      </c>
      <c r="N38" s="143" t="str">
        <f ca="1">IF(IF(OR(F38="2019-2020",F38="2021-2025"),"",IF(ISNUMBER(SEARCH("LLC",D38)),VLOOKUP(A38,IntComp24[],20,FALSE),VLOOKUP(A38,IntComp[],20,FALSE)))=0,"",IF(OR(F38="2019-2020",F38="2021-2025"),"",IF(ISNUMBER(SEARCH("LLC",D38)),VLOOKUP(A38,IntComp24[],20,FALSE),VLOOKUP(A38,IntComp[],20,FALSE))))</f>
        <v>Jacobs - JOCS</v>
      </c>
      <c r="O38" s="152" t="str">
        <f ca="1">IF(IF(OR(F38="2019-2020",F38="2021-2025"),"",IF(ISNUMBER(SEARCH("LLC",D38)),VLOOKUP(A38,IntComp24[],23,FALSE),VLOOKUP(A38,IntComp[],23,FALSE)))=0,"",IF(OR(F38="2019-2020",F38="2021-2025"),"",IF(ISNUMBER(SEARCH("LLC",D38)),VLOOKUP(A38,IntComp24[],23,FALSE),VLOOKUP(A38,IntComp[],23,FALSE))))</f>
        <v/>
      </c>
    </row>
    <row r="39" spans="1:15">
      <c r="A39" s="147" t="s">
        <v>305</v>
      </c>
      <c r="B39" s="144" t="str">
        <f>VLOOKUP(A39,Data[],2,FALSE)</f>
        <v>BROOKLYN</v>
      </c>
      <c r="C39" s="144" t="s">
        <v>106</v>
      </c>
      <c r="D39" s="9" t="str">
        <f>VLOOKUP(A39,Data[],52,FALSE)</f>
        <v>FEDERAL</v>
      </c>
      <c r="E39" s="9">
        <f>VLOOKUP(IntAll[[#This Row],[DEVELOPMENT]],Data[],62,FALSE)</f>
        <v>16</v>
      </c>
      <c r="F39" s="9" t="str">
        <f ca="1">VLOOKUP(A39,Data[],4,FALSE)</f>
        <v/>
      </c>
      <c r="G39" s="9">
        <f>VLOOKUP(IntAll[[#This Row],[DEVELOPMENT]],EHDAll[[DEVELOPMENT]:['# Units]],6,FALSE)</f>
        <v>2</v>
      </c>
      <c r="H39" s="143">
        <f ca="1">IF(IntAll[[#This Row],[STATUS]]="","",IF(OR(F39="2019-2020",F39="2021-2025"),"",IF(ISNUMBER(SEARCH("LLC",D39)),VLOOKUP(A39,IntComp24[],21,FALSE),VLOOKUP(A39,IntComp[],21,FALSE))))</f>
        <v>2020</v>
      </c>
      <c r="I39" s="143">
        <f ca="1">IF(IntAll[[#This Row],[STATUS]]="","",IF(IF(OR(F39="2019-2020",F39="2021-2025"),"",IF(ISNUMBER(SEARCH("LLC",D39)),VLOOKUP(A39,IntComp24[],16,FALSE),VLOOKUP(A39,IntComp[],16,FALSE)))=0,"",IF(OR(F39="2019-2020",F39="2021-2025"),"",IF(ISNUMBER(SEARCH("LLC",D39)),VLOOKUP(A39,IntComp24[],16,FALSE),VLOOKUP(A39,IntComp[],16,FALSE)))))</f>
        <v>2020</v>
      </c>
      <c r="J39" s="143" t="str">
        <f ca="1">IF(IF(OR(F39="2019-2020",F39="2021-2025"),"",IF(ISNUMBER(SEARCH("LLC",D39)),VLOOKUP(A39,IntComp24[],17,FALSE),VLOOKUP(A39,IntComp[],17,FALSE)))=0,"",IF(OR(F39="2019-2020",F39="2021-2025"),"",IF(ISNUMBER(SEARCH("LLC",D39)),VLOOKUP(A39,IntComp24[],17,FALSE),VLOOKUP(A39,IntComp[],17,FALSE))))</f>
        <v>QUEUED</v>
      </c>
      <c r="K39" s="151"/>
      <c r="L39" s="151">
        <f ca="1">IF(OR(F39="2019-2020",F39="2021-2025"),"",IF(ISNUMBER(SEARCH("LLC",D39)),VLOOKUP(A39,IntComp24[],18,FALSE),VLOOKUP(A39,IntComp[],18,FALSE)))</f>
        <v>126175</v>
      </c>
      <c r="M39" s="143" t="s">
        <v>454</v>
      </c>
      <c r="N39" s="143" t="str">
        <f ca="1">IF(IF(OR(F39="2019-2020",F39="2021-2025"),"",IF(ISNUMBER(SEARCH("LLC",D39)),VLOOKUP(A39,IntComp24[],20,FALSE),VLOOKUP(A39,IntComp[],20,FALSE)))=0,"",IF(OR(F39="2019-2020",F39="2021-2025"),"",IF(ISNUMBER(SEARCH("LLC",D39)),VLOOKUP(A39,IntComp24[],20,FALSE),VLOOKUP(A39,IntComp[],20,FALSE))))</f>
        <v>Jacobs - JOCS</v>
      </c>
      <c r="O39" s="152" t="str">
        <f ca="1">IF(IF(OR(F39="2019-2020",F39="2021-2025"),"",IF(ISNUMBER(SEARCH("LLC",D39)),VLOOKUP(A39,IntComp24[],23,FALSE),VLOOKUP(A39,IntComp[],23,FALSE)))=0,"",IF(OR(F39="2019-2020",F39="2021-2025"),"",IF(ISNUMBER(SEARCH("LLC",D39)),VLOOKUP(A39,IntComp24[],23,FALSE),VLOOKUP(A39,IntComp[],23,FALSE))))</f>
        <v/>
      </c>
    </row>
    <row r="40" spans="1:15">
      <c r="A40" s="147" t="s">
        <v>129</v>
      </c>
      <c r="B40" s="144" t="str">
        <f>VLOOKUP(A40,Data[],2,FALSE)</f>
        <v>MANHATTAN</v>
      </c>
      <c r="C40" s="144" t="s">
        <v>106</v>
      </c>
      <c r="D40" s="9" t="str">
        <f>VLOOKUP(A40,Data[],52,FALSE)</f>
        <v>FEDERAL</v>
      </c>
      <c r="E40" s="9">
        <f>VLOOKUP(IntAll[[#This Row],[DEVELOPMENT]],Data[],62,FALSE)</f>
        <v>11</v>
      </c>
      <c r="F40" s="9" t="str">
        <f ca="1">VLOOKUP(A40,Data[],4,FALSE)</f>
        <v/>
      </c>
      <c r="G40" s="9">
        <f>VLOOKUP(IntAll[[#This Row],[DEVELOPMENT]],EHDAll[[DEVELOPMENT]:['# Units]],6,FALSE)</f>
        <v>6</v>
      </c>
      <c r="H40" s="143">
        <f ca="1">IF(IntAll[[#This Row],[STATUS]]="","",IF(OR(F40="2019-2020",F40="2021-2025"),"",IF(ISNUMBER(SEARCH("LLC",D40)),VLOOKUP(A40,IntComp24[],21,FALSE),VLOOKUP(A40,IntComp[],21,FALSE))))</f>
        <v>2020</v>
      </c>
      <c r="I40" s="143">
        <f ca="1">IF(IntAll[[#This Row],[STATUS]]="","",IF(IF(OR(F40="2019-2020",F40="2021-2025"),"",IF(ISNUMBER(SEARCH("LLC",D40)),VLOOKUP(A40,IntComp24[],16,FALSE),VLOOKUP(A40,IntComp[],16,FALSE)))=0,"",IF(OR(F40="2019-2020",F40="2021-2025"),"",IF(ISNUMBER(SEARCH("LLC",D40)),VLOOKUP(A40,IntComp24[],16,FALSE),VLOOKUP(A40,IntComp[],16,FALSE)))))</f>
        <v>2021</v>
      </c>
      <c r="J40" s="143" t="str">
        <f ca="1">IF(IF(OR(F40="2019-2020",F40="2021-2025"),"",IF(ISNUMBER(SEARCH("LLC",D40)),VLOOKUP(A40,IntComp24[],17,FALSE),VLOOKUP(A40,IntComp[],17,FALSE)))=0,"",IF(OR(F40="2019-2020",F40="2021-2025"),"",IF(ISNUMBER(SEARCH("LLC",D40)),VLOOKUP(A40,IntComp24[],17,FALSE),VLOOKUP(A40,IntComp[],17,FALSE))))</f>
        <v>QUEUED</v>
      </c>
      <c r="K40" s="151"/>
      <c r="L40" s="151">
        <f ca="1">IF(OR(F40="2019-2020",F40="2021-2025"),"",IF(ISNUMBER(SEARCH("LLC",D40)),VLOOKUP(A40,IntComp24[],18,FALSE),VLOOKUP(A40,IntComp[],18,FALSE)))</f>
        <v>378525</v>
      </c>
      <c r="M40" s="143" t="s">
        <v>454</v>
      </c>
      <c r="N40" s="143" t="str">
        <f ca="1">IF(IF(OR(F40="2019-2020",F40="2021-2025"),"",IF(ISNUMBER(SEARCH("LLC",D40)),VLOOKUP(A40,IntComp24[],20,FALSE),VLOOKUP(A40,IntComp[],20,FALSE)))=0,"",IF(OR(F40="2019-2020",F40="2021-2025"),"",IF(ISNUMBER(SEARCH("LLC",D40)),VLOOKUP(A40,IntComp24[],20,FALSE),VLOOKUP(A40,IntComp[],20,FALSE))))</f>
        <v>Jacobs - JOCS</v>
      </c>
      <c r="O40" s="152" t="str">
        <f ca="1">IF(IF(OR(F40="2019-2020",F40="2021-2025"),"",IF(ISNUMBER(SEARCH("LLC",D40)),VLOOKUP(A40,IntComp24[],23,FALSE),VLOOKUP(A40,IntComp[],23,FALSE)))=0,"",IF(OR(F40="2019-2020",F40="2021-2025"),"",IF(ISNUMBER(SEARCH("LLC",D40)),VLOOKUP(A40,IntComp24[],23,FALSE),VLOOKUP(A40,IntComp[],23,FALSE))))</f>
        <v>OMB request sent</v>
      </c>
    </row>
    <row r="41" spans="1:15">
      <c r="A41" s="147" t="s">
        <v>105</v>
      </c>
      <c r="B41" s="144" t="str">
        <f>VLOOKUP(A41,Data[],2,FALSE)</f>
        <v>BRONX</v>
      </c>
      <c r="C41" s="144" t="s">
        <v>106</v>
      </c>
      <c r="D41" s="9" t="str">
        <f>VLOOKUP(A41,Data[],52,FALSE)</f>
        <v>FEDERAL</v>
      </c>
      <c r="E41" s="9">
        <f>VLOOKUP(IntAll[[#This Row],[DEVELOPMENT]],Data[],62,FALSE)</f>
        <v>3</v>
      </c>
      <c r="F41" s="9" t="str">
        <f ca="1">VLOOKUP(A41,Data[],4,FALSE)</f>
        <v>2026+</v>
      </c>
      <c r="G41" s="9">
        <f>VLOOKUP(IntAll[[#This Row],[DEVELOPMENT]],EHDAll[[DEVELOPMENT]:['# Units]],6,FALSE)</f>
        <v>1</v>
      </c>
      <c r="H41" s="143">
        <f ca="1">IF(IntAll[[#This Row],[STATUS]]="","",IF(OR(F41="2019-2020",F41="2021-2025"),"",IF(ISNUMBER(SEARCH("LLC",D41)),VLOOKUP(A41,IntComp24[],21,FALSE),VLOOKUP(A41,IntComp[],21,FALSE))))</f>
        <v>2020</v>
      </c>
      <c r="I41" s="143">
        <f ca="1">IF(IntAll[[#This Row],[STATUS]]="","",IF(IF(OR(F41="2019-2020",F41="2021-2025"),"",IF(ISNUMBER(SEARCH("LLC",D41)),VLOOKUP(A41,IntComp24[],16,FALSE),VLOOKUP(A41,IntComp[],16,FALSE)))=0,"",IF(OR(F41="2019-2020",F41="2021-2025"),"",IF(ISNUMBER(SEARCH("LLC",D41)),VLOOKUP(A41,IntComp24[],16,FALSE),VLOOKUP(A41,IntComp[],16,FALSE)))))</f>
        <v>2020</v>
      </c>
      <c r="J41" s="143" t="str">
        <f ca="1">IF(IF(OR(F41="2019-2020",F41="2021-2025"),"",IF(ISNUMBER(SEARCH("LLC",D41)),VLOOKUP(A41,IntComp24[],17,FALSE),VLOOKUP(A41,IntComp[],17,FALSE)))=0,"",IF(OR(F41="2019-2020",F41="2021-2025"),"",IF(ISNUMBER(SEARCH("LLC",D41)),VLOOKUP(A41,IntComp24[],17,FALSE),VLOOKUP(A41,IntComp[],17,FALSE))))</f>
        <v>QUEUED</v>
      </c>
      <c r="K41" s="151"/>
      <c r="L41" s="151">
        <f ca="1">IF(OR(F41="2019-2020",F41="2021-2025"),"",IF(ISNUMBER(SEARCH("LLC",D41)),VLOOKUP(A41,IntComp24[],18,FALSE),VLOOKUP(A41,IntComp[],18,FALSE)))</f>
        <v>63087.5</v>
      </c>
      <c r="M41" s="143" t="s">
        <v>454</v>
      </c>
      <c r="N41" s="143" t="str">
        <f ca="1">IF(IF(OR(F41="2019-2020",F41="2021-2025"),"",IF(ISNUMBER(SEARCH("LLC",D41)),VLOOKUP(A41,IntComp24[],20,FALSE),VLOOKUP(A41,IntComp[],20,FALSE)))=0,"",IF(OR(F41="2019-2020",F41="2021-2025"),"",IF(ISNUMBER(SEARCH("LLC",D41)),VLOOKUP(A41,IntComp24[],20,FALSE),VLOOKUP(A41,IntComp[],20,FALSE))))</f>
        <v>Jacobs - JOCS</v>
      </c>
      <c r="O41" s="152" t="str">
        <f ca="1">IF(IF(OR(F41="2019-2020",F41="2021-2025"),"",IF(ISNUMBER(SEARCH("LLC",D41)),VLOOKUP(A41,IntComp24[],23,FALSE),VLOOKUP(A41,IntComp[],23,FALSE)))=0,"",IF(OR(F41="2019-2020",F41="2021-2025"),"",IF(ISNUMBER(SEARCH("LLC",D41)),VLOOKUP(A41,IntComp24[],23,FALSE),VLOOKUP(A41,IntComp[],23,FALSE))))</f>
        <v/>
      </c>
    </row>
    <row r="42" spans="1:15">
      <c r="A42" s="147" t="s">
        <v>75</v>
      </c>
      <c r="B42" s="144" t="str">
        <f>VLOOKUP(A42,Data[],2,FALSE)</f>
        <v>MANHATTAN</v>
      </c>
      <c r="C42" s="144" t="s">
        <v>106</v>
      </c>
      <c r="D42" s="9" t="str">
        <f>VLOOKUP(A42,Data[],52,FALSE)</f>
        <v>FEDERAL</v>
      </c>
      <c r="E42" s="9">
        <f>VLOOKUP(IntAll[[#This Row],[DEVELOPMENT]],Data[],62,FALSE)</f>
        <v>7</v>
      </c>
      <c r="F42" s="9" t="str">
        <f ca="1">VLOOKUP(A42,Data[],4,FALSE)</f>
        <v/>
      </c>
      <c r="G42" s="9">
        <f>VLOOKUP(IntAll[[#This Row],[DEVELOPMENT]],EHDAll[[DEVELOPMENT]:['# Units]],6,FALSE)</f>
        <v>1</v>
      </c>
      <c r="H42" s="143">
        <f ca="1">IF(IntAll[[#This Row],[STATUS]]="","",IF(OR(F42="2019-2020",F42="2021-2025"),"",IF(ISNUMBER(SEARCH("LLC",D42)),VLOOKUP(A42,IntComp24[],21,FALSE),VLOOKUP(A42,IntComp[],21,FALSE))))</f>
        <v>2020</v>
      </c>
      <c r="I42" s="143">
        <f ca="1">IF(IntAll[[#This Row],[STATUS]]="","",IF(IF(OR(F42="2019-2020",F42="2021-2025"),"",IF(ISNUMBER(SEARCH("LLC",D42)),VLOOKUP(A42,IntComp24[],16,FALSE),VLOOKUP(A42,IntComp[],16,FALSE)))=0,"",IF(OR(F42="2019-2020",F42="2021-2025"),"",IF(ISNUMBER(SEARCH("LLC",D42)),VLOOKUP(A42,IntComp24[],16,FALSE),VLOOKUP(A42,IntComp[],16,FALSE)))))</f>
        <v>2020</v>
      </c>
      <c r="J42" s="143" t="str">
        <f ca="1">IF(IF(OR(F42="2019-2020",F42="2021-2025"),"",IF(ISNUMBER(SEARCH("LLC",D42)),VLOOKUP(A42,IntComp24[],17,FALSE),VLOOKUP(A42,IntComp[],17,FALSE)))=0,"",IF(OR(F42="2019-2020",F42="2021-2025"),"",IF(ISNUMBER(SEARCH("LLC",D42)),VLOOKUP(A42,IntComp24[],17,FALSE),VLOOKUP(A42,IntComp[],17,FALSE))))</f>
        <v>QUEUED</v>
      </c>
      <c r="K42" s="151"/>
      <c r="L42" s="151">
        <f ca="1">IF(OR(F42="2019-2020",F42="2021-2025"),"",IF(ISNUMBER(SEARCH("LLC",D42)),VLOOKUP(A42,IntComp24[],18,FALSE),VLOOKUP(A42,IntComp[],18,FALSE)))</f>
        <v>63087.5</v>
      </c>
      <c r="M42" s="143" t="s">
        <v>454</v>
      </c>
      <c r="N42" s="143" t="str">
        <f ca="1">IF(IF(OR(F42="2019-2020",F42="2021-2025"),"",IF(ISNUMBER(SEARCH("LLC",D42)),VLOOKUP(A42,IntComp24[],20,FALSE),VLOOKUP(A42,IntComp[],20,FALSE)))=0,"",IF(OR(F42="2019-2020",F42="2021-2025"),"",IF(ISNUMBER(SEARCH("LLC",D42)),VLOOKUP(A42,IntComp24[],20,FALSE),VLOOKUP(A42,IntComp[],20,FALSE))))</f>
        <v>Jacobs - JOCS</v>
      </c>
      <c r="O42" s="152" t="str">
        <f ca="1">IF(IF(OR(F42="2019-2020",F42="2021-2025"),"",IF(ISNUMBER(SEARCH("LLC",D42)),VLOOKUP(A42,IntComp24[],23,FALSE),VLOOKUP(A42,IntComp[],23,FALSE)))=0,"",IF(OR(F42="2019-2020",F42="2021-2025"),"",IF(ISNUMBER(SEARCH("LLC",D42)),VLOOKUP(A42,IntComp24[],23,FALSE),VLOOKUP(A42,IntComp[],23,FALSE))))</f>
        <v/>
      </c>
    </row>
    <row r="43" spans="1:15">
      <c r="A43" s="147" t="s">
        <v>202</v>
      </c>
      <c r="B43" s="144" t="str">
        <f>VLOOKUP(A43,Data[],2,FALSE)</f>
        <v>BROOKLYN</v>
      </c>
      <c r="C43" s="144" t="s">
        <v>106</v>
      </c>
      <c r="D43" s="9" t="str">
        <f>VLOOKUP(A43,Data[],52,FALSE)</f>
        <v>FEDERAL</v>
      </c>
      <c r="E43" s="9">
        <f>VLOOKUP(IntAll[[#This Row],[DEVELOPMENT]],Data[],62,FALSE)</f>
        <v>2</v>
      </c>
      <c r="F43" s="9" t="str">
        <f ca="1">VLOOKUP(A43,Data[],4,FALSE)</f>
        <v>2026+</v>
      </c>
      <c r="G43" s="9">
        <f>VLOOKUP(IntAll[[#This Row],[DEVELOPMENT]],EHDAll[[DEVELOPMENT]:['# Units]],6,FALSE)</f>
        <v>10</v>
      </c>
      <c r="H43" s="143">
        <f ca="1">IF(IntAll[[#This Row],[STATUS]]="","",IF(OR(F43="2019-2020",F43="2021-2025"),"",IF(ISNUMBER(SEARCH("LLC",D43)),VLOOKUP(A43,IntComp24[],21,FALSE),VLOOKUP(A43,IntComp[],21,FALSE))))</f>
        <v>2020</v>
      </c>
      <c r="I43" s="143">
        <f ca="1">IF(IntAll[[#This Row],[STATUS]]="","",IF(IF(OR(F43="2019-2020",F43="2021-2025"),"",IF(ISNUMBER(SEARCH("LLC",D43)),VLOOKUP(A43,IntComp24[],16,FALSE),VLOOKUP(A43,IntComp[],16,FALSE)))=0,"",IF(OR(F43="2019-2020",F43="2021-2025"),"",IF(ISNUMBER(SEARCH("LLC",D43)),VLOOKUP(A43,IntComp24[],16,FALSE),VLOOKUP(A43,IntComp[],16,FALSE)))))</f>
        <v>2020</v>
      </c>
      <c r="J43" s="143" t="str">
        <f ca="1">IF(IF(OR(F43="2019-2020",F43="2021-2025"),"",IF(ISNUMBER(SEARCH("LLC",D43)),VLOOKUP(A43,IntComp24[],17,FALSE),VLOOKUP(A43,IntComp[],17,FALSE)))=0,"",IF(OR(F43="2019-2020",F43="2021-2025"),"",IF(ISNUMBER(SEARCH("LLC",D43)),VLOOKUP(A43,IntComp24[],17,FALSE),VLOOKUP(A43,IntComp[],17,FALSE))))</f>
        <v>QUEUED</v>
      </c>
      <c r="K43" s="151"/>
      <c r="L43" s="151">
        <f ca="1">IF(OR(F43="2019-2020",F43="2021-2025"),"",IF(ISNUMBER(SEARCH("LLC",D43)),VLOOKUP(A43,IntComp24[],18,FALSE),VLOOKUP(A43,IntComp[],18,FALSE)))</f>
        <v>630875</v>
      </c>
      <c r="M43" s="143" t="s">
        <v>454</v>
      </c>
      <c r="N43" s="143" t="str">
        <f ca="1">IF(IF(OR(F43="2019-2020",F43="2021-2025"),"",IF(ISNUMBER(SEARCH("LLC",D43)),VLOOKUP(A43,IntComp24[],20,FALSE),VLOOKUP(A43,IntComp[],20,FALSE)))=0,"",IF(OR(F43="2019-2020",F43="2021-2025"),"",IF(ISNUMBER(SEARCH("LLC",D43)),VLOOKUP(A43,IntComp24[],20,FALSE),VLOOKUP(A43,IntComp[],20,FALSE))))</f>
        <v>Jacobs - JOCS</v>
      </c>
      <c r="O43" s="152" t="str">
        <f ca="1">IF(IF(OR(F43="2019-2020",F43="2021-2025"),"",IF(ISNUMBER(SEARCH("LLC",D43)),VLOOKUP(A43,IntComp24[],23,FALSE),VLOOKUP(A43,IntComp[],23,FALSE)))=0,"",IF(OR(F43="2019-2020",F43="2021-2025"),"",IF(ISNUMBER(SEARCH("LLC",D43)),VLOOKUP(A43,IntComp24[],23,FALSE),VLOOKUP(A43,IntComp[],23,FALSE))))</f>
        <v/>
      </c>
    </row>
    <row r="44" spans="1:15">
      <c r="A44" s="147" t="s">
        <v>265</v>
      </c>
      <c r="B44" s="144" t="str">
        <f>VLOOKUP(A44,Data[],2,FALSE)</f>
        <v>MANHATTAN</v>
      </c>
      <c r="C44" s="144" t="s">
        <v>106</v>
      </c>
      <c r="D44" s="9" t="str">
        <f>VLOOKUP(A44,Data[],52,FALSE)</f>
        <v>FEDERAL</v>
      </c>
      <c r="E44" s="9">
        <f>VLOOKUP(IntAll[[#This Row],[DEVELOPMENT]],Data[],62,FALSE)</f>
        <v>4</v>
      </c>
      <c r="F44" s="9" t="str">
        <f ca="1">VLOOKUP(A44,Data[],4,FALSE)</f>
        <v/>
      </c>
      <c r="G44" s="9">
        <f>VLOOKUP(IntAll[[#This Row],[DEVELOPMENT]],EHDAll[[DEVELOPMENT]:['# Units]],6,FALSE)</f>
        <v>2</v>
      </c>
      <c r="H44" s="143">
        <f ca="1">IF(IntAll[[#This Row],[STATUS]]="","",IF(OR(F44="2019-2020",F44="2021-2025"),"",IF(ISNUMBER(SEARCH("LLC",D44)),VLOOKUP(A44,IntComp24[],21,FALSE),VLOOKUP(A44,IntComp[],21,FALSE))))</f>
        <v>2020</v>
      </c>
      <c r="I44" s="143">
        <f ca="1">IF(IntAll[[#This Row],[STATUS]]="","",IF(IF(OR(F44="2019-2020",F44="2021-2025"),"",IF(ISNUMBER(SEARCH("LLC",D44)),VLOOKUP(A44,IntComp24[],16,FALSE),VLOOKUP(A44,IntComp[],16,FALSE)))=0,"",IF(OR(F44="2019-2020",F44="2021-2025"),"",IF(ISNUMBER(SEARCH("LLC",D44)),VLOOKUP(A44,IntComp24[],16,FALSE),VLOOKUP(A44,IntComp[],16,FALSE)))))</f>
        <v>2020</v>
      </c>
      <c r="J44" s="143" t="str">
        <f ca="1">IF(IF(OR(F44="2019-2020",F44="2021-2025"),"",IF(ISNUMBER(SEARCH("LLC",D44)),VLOOKUP(A44,IntComp24[],17,FALSE),VLOOKUP(A44,IntComp[],17,FALSE)))=0,"",IF(OR(F44="2019-2020",F44="2021-2025"),"",IF(ISNUMBER(SEARCH("LLC",D44)),VLOOKUP(A44,IntComp24[],17,FALSE),VLOOKUP(A44,IntComp[],17,FALSE))))</f>
        <v>QUEUED</v>
      </c>
      <c r="K44" s="151"/>
      <c r="L44" s="151">
        <f ca="1">IF(OR(F44="2019-2020",F44="2021-2025"),"",IF(ISNUMBER(SEARCH("LLC",D44)),VLOOKUP(A44,IntComp24[],18,FALSE),VLOOKUP(A44,IntComp[],18,FALSE)))</f>
        <v>126175</v>
      </c>
      <c r="M44" s="143" t="s">
        <v>454</v>
      </c>
      <c r="N44" s="143" t="str">
        <f ca="1">IF(IF(OR(F44="2019-2020",F44="2021-2025"),"",IF(ISNUMBER(SEARCH("LLC",D44)),VLOOKUP(A44,IntComp24[],20,FALSE),VLOOKUP(A44,IntComp[],20,FALSE)))=0,"",IF(OR(F44="2019-2020",F44="2021-2025"),"",IF(ISNUMBER(SEARCH("LLC",D44)),VLOOKUP(A44,IntComp24[],20,FALSE),VLOOKUP(A44,IntComp[],20,FALSE))))</f>
        <v>Jacobs - JOCS</v>
      </c>
      <c r="O44" s="152" t="str">
        <f ca="1">IF(IF(OR(F44="2019-2020",F44="2021-2025"),"",IF(ISNUMBER(SEARCH("LLC",D44)),VLOOKUP(A44,IntComp24[],23,FALSE),VLOOKUP(A44,IntComp[],23,FALSE)))=0,"",IF(OR(F44="2019-2020",F44="2021-2025"),"",IF(ISNUMBER(SEARCH("LLC",D44)),VLOOKUP(A44,IntComp24[],23,FALSE),VLOOKUP(A44,IntComp[],23,FALSE))))</f>
        <v/>
      </c>
    </row>
    <row r="45" spans="1:15">
      <c r="A45" s="147" t="s">
        <v>83</v>
      </c>
      <c r="B45" s="144" t="str">
        <f>VLOOKUP(A45,Data[],2,FALSE)</f>
        <v>MANHATTAN</v>
      </c>
      <c r="C45" s="144" t="s">
        <v>106</v>
      </c>
      <c r="D45" s="9" t="str">
        <f>VLOOKUP(A45,Data[],52,FALSE)</f>
        <v>FEDERAL</v>
      </c>
      <c r="E45" s="9">
        <f>VLOOKUP(IntAll[[#This Row],[DEVELOPMENT]],Data[],62,FALSE)</f>
        <v>11</v>
      </c>
      <c r="F45" s="9" t="str">
        <f ca="1">VLOOKUP(A45,Data[],4,FALSE)</f>
        <v>2026+</v>
      </c>
      <c r="G45" s="9">
        <f>VLOOKUP(IntAll[[#This Row],[DEVELOPMENT]],EHDAll[[DEVELOPMENT]:['# Units]],6,FALSE)</f>
        <v>17</v>
      </c>
      <c r="H45" s="143">
        <f ca="1">IF(IntAll[[#This Row],[STATUS]]="","",IF(OR(F45="2019-2020",F45="2021-2025"),"",IF(ISNUMBER(SEARCH("LLC",D45)),VLOOKUP(A45,IntComp24[],21,FALSE),VLOOKUP(A45,IntComp[],21,FALSE))))</f>
        <v>2020</v>
      </c>
      <c r="I45" s="143">
        <f ca="1">IF(IntAll[[#This Row],[STATUS]]="","",IF(IF(OR(F45="2019-2020",F45="2021-2025"),"",IF(ISNUMBER(SEARCH("LLC",D45)),VLOOKUP(A45,IntComp24[],16,FALSE),VLOOKUP(A45,IntComp[],16,FALSE)))=0,"",IF(OR(F45="2019-2020",F45="2021-2025"),"",IF(ISNUMBER(SEARCH("LLC",D45)),VLOOKUP(A45,IntComp24[],16,FALSE),VLOOKUP(A45,IntComp[],16,FALSE)))))</f>
        <v>2021</v>
      </c>
      <c r="J45" s="143" t="str">
        <f ca="1">IF(IF(OR(F45="2019-2020",F45="2021-2025"),"",IF(ISNUMBER(SEARCH("LLC",D45)),VLOOKUP(A45,IntComp24[],17,FALSE),VLOOKUP(A45,IntComp[],17,FALSE)))=0,"",IF(OR(F45="2019-2020",F45="2021-2025"),"",IF(ISNUMBER(SEARCH("LLC",D45)),VLOOKUP(A45,IntComp24[],17,FALSE),VLOOKUP(A45,IntComp[],17,FALSE))))</f>
        <v>QUEUED</v>
      </c>
      <c r="K45" s="151"/>
      <c r="L45" s="151">
        <f ca="1">IF(OR(F45="2019-2020",F45="2021-2025"),"",IF(ISNUMBER(SEARCH("LLC",D45)),VLOOKUP(A45,IntComp24[],18,FALSE),VLOOKUP(A45,IntComp[],18,FALSE)))</f>
        <v>1072487.5</v>
      </c>
      <c r="M45" s="143" t="s">
        <v>454</v>
      </c>
      <c r="N45" s="143" t="str">
        <f ca="1">IF(IF(OR(F45="2019-2020",F45="2021-2025"),"",IF(ISNUMBER(SEARCH("LLC",D45)),VLOOKUP(A45,IntComp24[],20,FALSE),VLOOKUP(A45,IntComp[],20,FALSE)))=0,"",IF(OR(F45="2019-2020",F45="2021-2025"),"",IF(ISNUMBER(SEARCH("LLC",D45)),VLOOKUP(A45,IntComp24[],20,FALSE),VLOOKUP(A45,IntComp[],20,FALSE))))</f>
        <v>Jacobs - JOCS</v>
      </c>
      <c r="O45" s="152" t="str">
        <f ca="1">IF(IF(OR(F45="2019-2020",F45="2021-2025"),"",IF(ISNUMBER(SEARCH("LLC",D45)),VLOOKUP(A45,IntComp24[],23,FALSE),VLOOKUP(A45,IntComp[],23,FALSE)))=0,"",IF(OR(F45="2019-2020",F45="2021-2025"),"",IF(ISNUMBER(SEARCH("LLC",D45)),VLOOKUP(A45,IntComp24[],23,FALSE),VLOOKUP(A45,IntComp[],23,FALSE))))</f>
        <v>OMB request sent</v>
      </c>
    </row>
    <row r="46" spans="1:15">
      <c r="A46" s="147" t="s">
        <v>131</v>
      </c>
      <c r="B46" s="144" t="str">
        <f>VLOOKUP(A46,Data[],2,FALSE)</f>
        <v>MANHATTAN</v>
      </c>
      <c r="C46" s="144" t="s">
        <v>106</v>
      </c>
      <c r="D46" s="9" t="str">
        <f>VLOOKUP(A46,Data[],52,FALSE)</f>
        <v>FEDERAL</v>
      </c>
      <c r="E46" s="9">
        <f>VLOOKUP(IntAll[[#This Row],[DEVELOPMENT]],Data[],62,FALSE)</f>
        <v>10</v>
      </c>
      <c r="F46" s="9" t="str">
        <f ca="1">VLOOKUP(A46,Data[],4,FALSE)</f>
        <v/>
      </c>
      <c r="G46" s="9">
        <f>VLOOKUP(IntAll[[#This Row],[DEVELOPMENT]],EHDAll[[DEVELOPMENT]:['# Units]],6,FALSE)</f>
        <v>10</v>
      </c>
      <c r="H46" s="143">
        <f ca="1">IF(IntAll[[#This Row],[STATUS]]="","",IF(OR(F46="2019-2020",F46="2021-2025"),"",IF(ISNUMBER(SEARCH("LLC",D46)),VLOOKUP(A46,IntComp24[],21,FALSE),VLOOKUP(A46,IntComp[],21,FALSE))))</f>
        <v>2020</v>
      </c>
      <c r="I46" s="143">
        <f ca="1">IF(IntAll[[#This Row],[STATUS]]="","",IF(IF(OR(F46="2019-2020",F46="2021-2025"),"",IF(ISNUMBER(SEARCH("LLC",D46)),VLOOKUP(A46,IntComp24[],16,FALSE),VLOOKUP(A46,IntComp[],16,FALSE)))=0,"",IF(OR(F46="2019-2020",F46="2021-2025"),"",IF(ISNUMBER(SEARCH("LLC",D46)),VLOOKUP(A46,IntComp24[],16,FALSE),VLOOKUP(A46,IntComp[],16,FALSE)))))</f>
        <v>2020</v>
      </c>
      <c r="J46" s="143" t="str">
        <f ca="1">IF(IF(OR(F46="2019-2020",F46="2021-2025"),"",IF(ISNUMBER(SEARCH("LLC",D46)),VLOOKUP(A46,IntComp24[],17,FALSE),VLOOKUP(A46,IntComp[],17,FALSE)))=0,"",IF(OR(F46="2019-2020",F46="2021-2025"),"",IF(ISNUMBER(SEARCH("LLC",D46)),VLOOKUP(A46,IntComp24[],17,FALSE),VLOOKUP(A46,IntComp[],17,FALSE))))</f>
        <v>QUEUED</v>
      </c>
      <c r="K46" s="151"/>
      <c r="L46" s="151">
        <f ca="1">IF(OR(F46="2019-2020",F46="2021-2025"),"",IF(ISNUMBER(SEARCH("LLC",D46)),VLOOKUP(A46,IntComp24[],18,FALSE),VLOOKUP(A46,IntComp[],18,FALSE)))</f>
        <v>630875</v>
      </c>
      <c r="M46" s="143" t="s">
        <v>454</v>
      </c>
      <c r="N46" s="143" t="str">
        <f ca="1">IF(IF(OR(F46="2019-2020",F46="2021-2025"),"",IF(ISNUMBER(SEARCH("LLC",D46)),VLOOKUP(A46,IntComp24[],20,FALSE),VLOOKUP(A46,IntComp[],20,FALSE)))=0,"",IF(OR(F46="2019-2020",F46="2021-2025"),"",IF(ISNUMBER(SEARCH("LLC",D46)),VLOOKUP(A46,IntComp24[],20,FALSE),VLOOKUP(A46,IntComp[],20,FALSE))))</f>
        <v>Jacobs - JOCS</v>
      </c>
      <c r="O46" s="152" t="str">
        <f ca="1">IF(IF(OR(F46="2019-2020",F46="2021-2025"),"",IF(ISNUMBER(SEARCH("LLC",D46)),VLOOKUP(A46,IntComp24[],23,FALSE),VLOOKUP(A46,IntComp[],23,FALSE)))=0,"",IF(OR(F46="2019-2020",F46="2021-2025"),"",IF(ISNUMBER(SEARCH("LLC",D46)),VLOOKUP(A46,IntComp24[],23,FALSE),VLOOKUP(A46,IntComp[],23,FALSE))))</f>
        <v>OMB request sent</v>
      </c>
    </row>
    <row r="47" spans="1:15">
      <c r="A47" s="148" t="s">
        <v>37</v>
      </c>
      <c r="B47" s="144" t="str">
        <f>VLOOKUP(A47,Data[],2,FALSE)</f>
        <v>BROOKLYN</v>
      </c>
      <c r="C47" s="144" t="s">
        <v>106</v>
      </c>
      <c r="D47" s="9" t="str">
        <f>VLOOKUP(A47,Data[],52,FALSE)</f>
        <v>FEDERAL</v>
      </c>
      <c r="E47" s="9">
        <f>VLOOKUP(IntAll[[#This Row],[DEVELOPMENT]],Data[],62,FALSE)</f>
        <v>3</v>
      </c>
      <c r="F47" s="9" t="str">
        <f ca="1">VLOOKUP(A47,Data[],4,FALSE)</f>
        <v/>
      </c>
      <c r="G47" s="9">
        <f>VLOOKUP(IntAll[[#This Row],[DEVELOPMENT]],EHDAll[[DEVELOPMENT]:['# Units]],6,FALSE)</f>
        <v>7</v>
      </c>
      <c r="H47" s="143">
        <f ca="1">IF(IntAll[[#This Row],[STATUS]]="","",IF(OR(F47="2019-2020",F47="2021-2025"),"",IF(ISNUMBER(SEARCH("LLC",D47)),VLOOKUP(A47,IntComp24[],21,FALSE),VLOOKUP(A47,IntComp[],21,FALSE))))</f>
        <v>2020</v>
      </c>
      <c r="I47" s="143">
        <f ca="1">IF(IntAll[[#This Row],[STATUS]]="","",IF(IF(OR(F47="2019-2020",F47="2021-2025"),"",IF(ISNUMBER(SEARCH("LLC",D47)),VLOOKUP(A47,IntComp24[],16,FALSE),VLOOKUP(A47,IntComp[],16,FALSE)))=0,"",IF(OR(F47="2019-2020",F47="2021-2025"),"",IF(ISNUMBER(SEARCH("LLC",D47)),VLOOKUP(A47,IntComp24[],16,FALSE),VLOOKUP(A47,IntComp[],16,FALSE)))))</f>
        <v>2020</v>
      </c>
      <c r="J47" s="143" t="str">
        <f ca="1">IF(IF(OR(F47="2019-2020",F47="2021-2025"),"",IF(ISNUMBER(SEARCH("LLC",D47)),VLOOKUP(A47,IntComp24[],17,FALSE),VLOOKUP(A47,IntComp[],17,FALSE)))=0,"",IF(OR(F47="2019-2020",F47="2021-2025"),"",IF(ISNUMBER(SEARCH("LLC",D47)),VLOOKUP(A47,IntComp24[],17,FALSE),VLOOKUP(A47,IntComp[],17,FALSE))))</f>
        <v>QUEUED</v>
      </c>
      <c r="K47" s="151"/>
      <c r="L47" s="151">
        <f ca="1">IF(OR(F47="2019-2020",F47="2021-2025"),"",IF(ISNUMBER(SEARCH("LLC",D47)),VLOOKUP(A47,IntComp24[],18,FALSE),VLOOKUP(A47,IntComp[],18,FALSE)))</f>
        <v>441612.5</v>
      </c>
      <c r="M47" s="143" t="s">
        <v>454</v>
      </c>
      <c r="N47" s="143" t="str">
        <f ca="1">IF(IF(OR(F47="2019-2020",F47="2021-2025"),"",IF(ISNUMBER(SEARCH("LLC",D47)),VLOOKUP(A47,IntComp24[],20,FALSE),VLOOKUP(A47,IntComp[],20,FALSE)))=0,"",IF(OR(F47="2019-2020",F47="2021-2025"),"",IF(ISNUMBER(SEARCH("LLC",D47)),VLOOKUP(A47,IntComp24[],20,FALSE),VLOOKUP(A47,IntComp[],20,FALSE))))</f>
        <v>Jacobs - JOCS</v>
      </c>
      <c r="O47" s="152" t="str">
        <f ca="1">IF(IF(OR(F47="2019-2020",F47="2021-2025"),"",IF(ISNUMBER(SEARCH("LLC",D47)),VLOOKUP(A47,IntComp24[],23,FALSE),VLOOKUP(A47,IntComp[],23,FALSE)))=0,"",IF(OR(F47="2019-2020",F47="2021-2025"),"",IF(ISNUMBER(SEARCH("LLC",D47)),VLOOKUP(A47,IntComp24[],23,FALSE),VLOOKUP(A47,IntComp[],23,FALSE))))</f>
        <v/>
      </c>
    </row>
    <row r="48" spans="1:15">
      <c r="A48" s="147" t="s">
        <v>208</v>
      </c>
      <c r="B48" s="144" t="str">
        <f>VLOOKUP(A48,Data[],2,FALSE)</f>
        <v>BROOKLYN</v>
      </c>
      <c r="C48" s="144" t="s">
        <v>106</v>
      </c>
      <c r="D48" s="9" t="str">
        <f>VLOOKUP(A48,Data[],52,FALSE)</f>
        <v>FEDERAL</v>
      </c>
      <c r="E48" s="9">
        <f>VLOOKUP(IntAll[[#This Row],[DEVELOPMENT]],Data[],62,FALSE)</f>
        <v>5</v>
      </c>
      <c r="F48" s="9" t="str">
        <f ca="1">VLOOKUP(A48,Data[],4,FALSE)</f>
        <v>2026+</v>
      </c>
      <c r="G48" s="9">
        <f>VLOOKUP(IntAll[[#This Row],[DEVELOPMENT]],EHDAll[[DEVELOPMENT]:['# Units]],6,FALSE)</f>
        <v>4</v>
      </c>
      <c r="H48" s="143">
        <f ca="1">IF(IntAll[[#This Row],[STATUS]]="","",IF(OR(F48="2019-2020",F48="2021-2025"),"",IF(ISNUMBER(SEARCH("LLC",D48)),VLOOKUP(A48,IntComp24[],21,FALSE),VLOOKUP(A48,IntComp[],21,FALSE))))</f>
        <v>2020</v>
      </c>
      <c r="I48" s="143">
        <f ca="1">IF(IntAll[[#This Row],[STATUS]]="","",IF(IF(OR(F48="2019-2020",F48="2021-2025"),"",IF(ISNUMBER(SEARCH("LLC",D48)),VLOOKUP(A48,IntComp24[],16,FALSE),VLOOKUP(A48,IntComp[],16,FALSE)))=0,"",IF(OR(F48="2019-2020",F48="2021-2025"),"",IF(ISNUMBER(SEARCH("LLC",D48)),VLOOKUP(A48,IntComp24[],16,FALSE),VLOOKUP(A48,IntComp[],16,FALSE)))))</f>
        <v>2020</v>
      </c>
      <c r="J48" s="143" t="str">
        <f ca="1">IF(IF(OR(F48="2019-2020",F48="2021-2025"),"",IF(ISNUMBER(SEARCH("LLC",D48)),VLOOKUP(A48,IntComp24[],17,FALSE),VLOOKUP(A48,IntComp[],17,FALSE)))=0,"",IF(OR(F48="2019-2020",F48="2021-2025"),"",IF(ISNUMBER(SEARCH("LLC",D48)),VLOOKUP(A48,IntComp24[],17,FALSE),VLOOKUP(A48,IntComp[],17,FALSE))))</f>
        <v>QUEUED</v>
      </c>
      <c r="K48" s="151"/>
      <c r="L48" s="151">
        <f ca="1">IF(OR(F48="2019-2020",F48="2021-2025"),"",IF(ISNUMBER(SEARCH("LLC",D48)),VLOOKUP(A48,IntComp24[],18,FALSE),VLOOKUP(A48,IntComp[],18,FALSE)))</f>
        <v>252350</v>
      </c>
      <c r="M48" s="143" t="s">
        <v>454</v>
      </c>
      <c r="N48" s="143" t="str">
        <f ca="1">IF(IF(OR(F48="2019-2020",F48="2021-2025"),"",IF(ISNUMBER(SEARCH("LLC",D48)),VLOOKUP(A48,IntComp24[],20,FALSE),VLOOKUP(A48,IntComp[],20,FALSE)))=0,"",IF(OR(F48="2019-2020",F48="2021-2025"),"",IF(ISNUMBER(SEARCH("LLC",D48)),VLOOKUP(A48,IntComp24[],20,FALSE),VLOOKUP(A48,IntComp[],20,FALSE))))</f>
        <v>Jacobs - JOCS</v>
      </c>
      <c r="O48" s="152" t="str">
        <f ca="1">IF(IF(OR(F48="2019-2020",F48="2021-2025"),"",IF(ISNUMBER(SEARCH("LLC",D48)),VLOOKUP(A48,IntComp24[],23,FALSE),VLOOKUP(A48,IntComp[],23,FALSE)))=0,"",IF(OR(F48="2019-2020",F48="2021-2025"),"",IF(ISNUMBER(SEARCH("LLC",D48)),VLOOKUP(A48,IntComp24[],23,FALSE),VLOOKUP(A48,IntComp[],23,FALSE))))</f>
        <v/>
      </c>
    </row>
    <row r="49" spans="1:15">
      <c r="A49" s="148" t="s">
        <v>64</v>
      </c>
      <c r="B49" s="144" t="str">
        <f>VLOOKUP(A49,Data[],2,FALSE)</f>
        <v>MANHATTAN</v>
      </c>
      <c r="C49" s="144" t="s">
        <v>106</v>
      </c>
      <c r="D49" s="9" t="str">
        <f>VLOOKUP(A49,Data[],52,FALSE)</f>
        <v>FEDERAL</v>
      </c>
      <c r="E49" s="9">
        <f>VLOOKUP(IntAll[[#This Row],[DEVELOPMENT]],Data[],62,FALSE)</f>
        <v>3</v>
      </c>
      <c r="F49" s="9" t="str">
        <f ca="1">VLOOKUP(A49,Data[],4,FALSE)</f>
        <v>2026+</v>
      </c>
      <c r="G49" s="9">
        <f>VLOOKUP(IntAll[[#This Row],[DEVELOPMENT]],EHDAll[[DEVELOPMENT]:['# Units]],6,FALSE)</f>
        <v>3</v>
      </c>
      <c r="H49" s="143">
        <f ca="1">IF(IntAll[[#This Row],[STATUS]]="","",IF(OR(F49="2019-2020",F49="2021-2025"),"",IF(ISNUMBER(SEARCH("LLC",D49)),VLOOKUP(A49,IntComp24[],21,FALSE),VLOOKUP(A49,IntComp[],21,FALSE))))</f>
        <v>2020</v>
      </c>
      <c r="I49" s="143">
        <f ca="1">IF(IntAll[[#This Row],[STATUS]]="","",IF(IF(OR(F49="2019-2020",F49="2021-2025"),"",IF(ISNUMBER(SEARCH("LLC",D49)),VLOOKUP(A49,IntComp24[],16,FALSE),VLOOKUP(A49,IntComp[],16,FALSE)))=0,"",IF(OR(F49="2019-2020",F49="2021-2025"),"",IF(ISNUMBER(SEARCH("LLC",D49)),VLOOKUP(A49,IntComp24[],16,FALSE),VLOOKUP(A49,IntComp[],16,FALSE)))))</f>
        <v>2020</v>
      </c>
      <c r="J49" s="143" t="str">
        <f ca="1">IF(IF(OR(F49="2019-2020",F49="2021-2025"),"",IF(ISNUMBER(SEARCH("LLC",D49)),VLOOKUP(A49,IntComp24[],17,FALSE),VLOOKUP(A49,IntComp[],17,FALSE)))=0,"",IF(OR(F49="2019-2020",F49="2021-2025"),"",IF(ISNUMBER(SEARCH("LLC",D49)),VLOOKUP(A49,IntComp24[],17,FALSE),VLOOKUP(A49,IntComp[],17,FALSE))))</f>
        <v>QUEUED</v>
      </c>
      <c r="K49" s="151"/>
      <c r="L49" s="151">
        <f ca="1">IF(OR(F49="2019-2020",F49="2021-2025"),"",IF(ISNUMBER(SEARCH("LLC",D49)),VLOOKUP(A49,IntComp24[],18,FALSE),VLOOKUP(A49,IntComp[],18,FALSE)))</f>
        <v>189262.5</v>
      </c>
      <c r="M49" s="143" t="s">
        <v>454</v>
      </c>
      <c r="N49" s="143" t="str">
        <f ca="1">IF(IF(OR(F49="2019-2020",F49="2021-2025"),"",IF(ISNUMBER(SEARCH("LLC",D49)),VLOOKUP(A49,IntComp24[],20,FALSE),VLOOKUP(A49,IntComp[],20,FALSE)))=0,"",IF(OR(F49="2019-2020",F49="2021-2025"),"",IF(ISNUMBER(SEARCH("LLC",D49)),VLOOKUP(A49,IntComp24[],20,FALSE),VLOOKUP(A49,IntComp[],20,FALSE))))</f>
        <v>Jacobs - JOCS</v>
      </c>
      <c r="O49" s="152" t="str">
        <f ca="1">IF(IF(OR(F49="2019-2020",F49="2021-2025"),"",IF(ISNUMBER(SEARCH("LLC",D49)),VLOOKUP(A49,IntComp24[],23,FALSE),VLOOKUP(A49,IntComp[],23,FALSE)))=0,"",IF(OR(F49="2019-2020",F49="2021-2025"),"",IF(ISNUMBER(SEARCH("LLC",D49)),VLOOKUP(A49,IntComp24[],23,FALSE),VLOOKUP(A49,IntComp[],23,FALSE))))</f>
        <v/>
      </c>
    </row>
    <row r="50" spans="1:15">
      <c r="A50" s="147" t="s">
        <v>345</v>
      </c>
      <c r="B50" s="144" t="str">
        <f>VLOOKUP(A50,Data[],2,FALSE)</f>
        <v>BRONX</v>
      </c>
      <c r="C50" s="144" t="s">
        <v>106</v>
      </c>
      <c r="D50" s="9" t="str">
        <f>VLOOKUP(A50,Data[],52,FALSE)</f>
        <v>FEDERAL</v>
      </c>
      <c r="E50" s="9">
        <f>VLOOKUP(IntAll[[#This Row],[DEVELOPMENT]],Data[],62,FALSE)</f>
        <v>10</v>
      </c>
      <c r="F50" s="9" t="str">
        <f ca="1">VLOOKUP(A50,Data[],4,FALSE)</f>
        <v>2026+</v>
      </c>
      <c r="G50" s="9">
        <f>VLOOKUP(IntAll[[#This Row],[DEVELOPMENT]],EHDAll[[DEVELOPMENT]:['# Units]],6,FALSE)</f>
        <v>1</v>
      </c>
      <c r="H50" s="143">
        <f ca="1">IF(IntAll[[#This Row],[STATUS]]="","",IF(OR(F50="2019-2020",F50="2021-2025"),"",IF(ISNUMBER(SEARCH("LLC",D50)),VLOOKUP(A50,IntComp24[],21,FALSE),VLOOKUP(A50,IntComp[],21,FALSE))))</f>
        <v>2020</v>
      </c>
      <c r="I50" s="143">
        <f ca="1">IF(IntAll[[#This Row],[STATUS]]="","",IF(IF(OR(F50="2019-2020",F50="2021-2025"),"",IF(ISNUMBER(SEARCH("LLC",D50)),VLOOKUP(A50,IntComp24[],16,FALSE),VLOOKUP(A50,IntComp[],16,FALSE)))=0,"",IF(OR(F50="2019-2020",F50="2021-2025"),"",IF(ISNUMBER(SEARCH("LLC",D50)),VLOOKUP(A50,IntComp24[],16,FALSE),VLOOKUP(A50,IntComp[],16,FALSE)))))</f>
        <v>2020</v>
      </c>
      <c r="J50" s="143" t="str">
        <f ca="1">IF(IF(OR(F50="2019-2020",F50="2021-2025"),"",IF(ISNUMBER(SEARCH("LLC",D50)),VLOOKUP(A50,IntComp24[],17,FALSE),VLOOKUP(A50,IntComp[],17,FALSE)))=0,"",IF(OR(F50="2019-2020",F50="2021-2025"),"",IF(ISNUMBER(SEARCH("LLC",D50)),VLOOKUP(A50,IntComp24[],17,FALSE),VLOOKUP(A50,IntComp[],17,FALSE))))</f>
        <v>QUEUED</v>
      </c>
      <c r="K50" s="151"/>
      <c r="L50" s="151">
        <f ca="1">IF(OR(F50="2019-2020",F50="2021-2025"),"",IF(ISNUMBER(SEARCH("LLC",D50)),VLOOKUP(A50,IntComp24[],18,FALSE),VLOOKUP(A50,IntComp[],18,FALSE)))</f>
        <v>63087.5</v>
      </c>
      <c r="M50" s="143" t="s">
        <v>454</v>
      </c>
      <c r="N50" s="143" t="str">
        <f ca="1">IF(IF(OR(F50="2019-2020",F50="2021-2025"),"",IF(ISNUMBER(SEARCH("LLC",D50)),VLOOKUP(A50,IntComp24[],20,FALSE),VLOOKUP(A50,IntComp[],20,FALSE)))=0,"",IF(OR(F50="2019-2020",F50="2021-2025"),"",IF(ISNUMBER(SEARCH("LLC",D50)),VLOOKUP(A50,IntComp24[],20,FALSE),VLOOKUP(A50,IntComp[],20,FALSE))))</f>
        <v>Jacobs - JOCS</v>
      </c>
      <c r="O50" s="152" t="str">
        <f ca="1">IF(IF(OR(F50="2019-2020",F50="2021-2025"),"",IF(ISNUMBER(SEARCH("LLC",D50)),VLOOKUP(A50,IntComp24[],23,FALSE),VLOOKUP(A50,IntComp[],23,FALSE)))=0,"",IF(OR(F50="2019-2020",F50="2021-2025"),"",IF(ISNUMBER(SEARCH("LLC",D50)),VLOOKUP(A50,IntComp24[],23,FALSE),VLOOKUP(A50,IntComp[],23,FALSE))))</f>
        <v/>
      </c>
    </row>
    <row r="51" spans="1:15">
      <c r="A51" s="148" t="s">
        <v>41</v>
      </c>
      <c r="B51" s="144" t="str">
        <f>VLOOKUP(A51,Data[],2,FALSE)</f>
        <v>BRONX</v>
      </c>
      <c r="C51" s="144" t="s">
        <v>106</v>
      </c>
      <c r="D51" s="9" t="str">
        <f>VLOOKUP(A51,Data[],52,FALSE)</f>
        <v>FEDERAL</v>
      </c>
      <c r="E51" s="9" t="str">
        <f>VLOOKUP(IntAll[[#This Row],[DEVELOPMENT]],Data[],62,FALSE)</f>
        <v>3, 4</v>
      </c>
      <c r="F51" s="9" t="str">
        <f ca="1">VLOOKUP(A51,Data[],4,FALSE)</f>
        <v/>
      </c>
      <c r="G51" s="9">
        <f>VLOOKUP(IntAll[[#This Row],[DEVELOPMENT]],EHDAll[[DEVELOPMENT]:['# Units]],6,FALSE)</f>
        <v>5</v>
      </c>
      <c r="H51" s="143">
        <f ca="1">IF(IntAll[[#This Row],[STATUS]]="","",IF(OR(F51="2019-2020",F51="2021-2025"),"",IF(ISNUMBER(SEARCH("LLC",D51)),VLOOKUP(A51,IntComp24[],21,FALSE),VLOOKUP(A51,IntComp[],21,FALSE))))</f>
        <v>2020</v>
      </c>
      <c r="I51" s="143">
        <f ca="1">IF(IntAll[[#This Row],[STATUS]]="","",IF(IF(OR(F51="2019-2020",F51="2021-2025"),"",IF(ISNUMBER(SEARCH("LLC",D51)),VLOOKUP(A51,IntComp24[],16,FALSE),VLOOKUP(A51,IntComp[],16,FALSE)))=0,"",IF(OR(F51="2019-2020",F51="2021-2025"),"",IF(ISNUMBER(SEARCH("LLC",D51)),VLOOKUP(A51,IntComp24[],16,FALSE),VLOOKUP(A51,IntComp[],16,FALSE)))))</f>
        <v>2020</v>
      </c>
      <c r="J51" s="143" t="str">
        <f ca="1">IF(IF(OR(F51="2019-2020",F51="2021-2025"),"",IF(ISNUMBER(SEARCH("LLC",D51)),VLOOKUP(A51,IntComp24[],17,FALSE),VLOOKUP(A51,IntComp[],17,FALSE)))=0,"",IF(OR(F51="2019-2020",F51="2021-2025"),"",IF(ISNUMBER(SEARCH("LLC",D51)),VLOOKUP(A51,IntComp24[],17,FALSE),VLOOKUP(A51,IntComp[],17,FALSE))))</f>
        <v>QUEUED</v>
      </c>
      <c r="K51" s="151"/>
      <c r="L51" s="151">
        <f ca="1">IF(OR(F51="2019-2020",F51="2021-2025"),"",IF(ISNUMBER(SEARCH("LLC",D51)),VLOOKUP(A51,IntComp24[],18,FALSE),VLOOKUP(A51,IntComp[],18,FALSE)))</f>
        <v>315437.5</v>
      </c>
      <c r="M51" s="143" t="s">
        <v>454</v>
      </c>
      <c r="N51" s="143" t="str">
        <f ca="1">IF(IF(OR(F51="2019-2020",F51="2021-2025"),"",IF(ISNUMBER(SEARCH("LLC",D51)),VLOOKUP(A51,IntComp24[],20,FALSE),VLOOKUP(A51,IntComp[],20,FALSE)))=0,"",IF(OR(F51="2019-2020",F51="2021-2025"),"",IF(ISNUMBER(SEARCH("LLC",D51)),VLOOKUP(A51,IntComp24[],20,FALSE),VLOOKUP(A51,IntComp[],20,FALSE))))</f>
        <v>Jacobs - JOCS</v>
      </c>
      <c r="O51" s="152" t="str">
        <f ca="1">IF(IF(OR(F51="2019-2020",F51="2021-2025"),"",IF(ISNUMBER(SEARCH("LLC",D51)),VLOOKUP(A51,IntComp24[],23,FALSE),VLOOKUP(A51,IntComp[],23,FALSE)))=0,"",IF(OR(F51="2019-2020",F51="2021-2025"),"",IF(ISNUMBER(SEARCH("LLC",D51)),VLOOKUP(A51,IntComp24[],23,FALSE),VLOOKUP(A51,IntComp[],23,FALSE))))</f>
        <v/>
      </c>
    </row>
    <row r="52" spans="1:15">
      <c r="A52" s="147" t="s">
        <v>250</v>
      </c>
      <c r="B52" s="144" t="str">
        <f>VLOOKUP(A52,Data[],2,FALSE)</f>
        <v>MANHATTAN</v>
      </c>
      <c r="C52" s="144" t="s">
        <v>106</v>
      </c>
      <c r="D52" s="9" t="str">
        <f>VLOOKUP(A52,Data[],52,FALSE)</f>
        <v>FEDERAL</v>
      </c>
      <c r="E52" s="9">
        <f>VLOOKUP(IntAll[[#This Row],[DEVELOPMENT]],Data[],62,FALSE)</f>
        <v>7</v>
      </c>
      <c r="F52" s="9" t="str">
        <f ca="1">VLOOKUP(A52,Data[],4,FALSE)</f>
        <v/>
      </c>
      <c r="G52" s="9">
        <f>VLOOKUP(IntAll[[#This Row],[DEVELOPMENT]],EHDAll[[DEVELOPMENT]:['# Units]],6,FALSE)</f>
        <v>3</v>
      </c>
      <c r="H52" s="143">
        <f ca="1">IF(IntAll[[#This Row],[STATUS]]="","",IF(OR(F52="2019-2020",F52="2021-2025"),"",IF(ISNUMBER(SEARCH("LLC",D52)),VLOOKUP(A52,IntComp24[],21,FALSE),VLOOKUP(A52,IntComp[],21,FALSE))))</f>
        <v>2020</v>
      </c>
      <c r="I52" s="143">
        <f ca="1">IF(IntAll[[#This Row],[STATUS]]="","",IF(IF(OR(F52="2019-2020",F52="2021-2025"),"",IF(ISNUMBER(SEARCH("LLC",D52)),VLOOKUP(A52,IntComp24[],16,FALSE),VLOOKUP(A52,IntComp[],16,FALSE)))=0,"",IF(OR(F52="2019-2020",F52="2021-2025"),"",IF(ISNUMBER(SEARCH("LLC",D52)),VLOOKUP(A52,IntComp24[],16,FALSE),VLOOKUP(A52,IntComp[],16,FALSE)))))</f>
        <v>2020</v>
      </c>
      <c r="J52" s="143" t="str">
        <f ca="1">IF(IF(OR(F52="2019-2020",F52="2021-2025"),"",IF(ISNUMBER(SEARCH("LLC",D52)),VLOOKUP(A52,IntComp24[],17,FALSE),VLOOKUP(A52,IntComp[],17,FALSE)))=0,"",IF(OR(F52="2019-2020",F52="2021-2025"),"",IF(ISNUMBER(SEARCH("LLC",D52)),VLOOKUP(A52,IntComp24[],17,FALSE),VLOOKUP(A52,IntComp[],17,FALSE))))</f>
        <v>QUEUED</v>
      </c>
      <c r="K52" s="151"/>
      <c r="L52" s="151">
        <f ca="1">IF(OR(F52="2019-2020",F52="2021-2025"),"",IF(ISNUMBER(SEARCH("LLC",D52)),VLOOKUP(A52,IntComp24[],18,FALSE),VLOOKUP(A52,IntComp[],18,FALSE)))</f>
        <v>63087.5</v>
      </c>
      <c r="M52" s="143" t="s">
        <v>454</v>
      </c>
      <c r="N52" s="143" t="str">
        <f ca="1">IF(IF(OR(F52="2019-2020",F52="2021-2025"),"",IF(ISNUMBER(SEARCH("LLC",D52)),VLOOKUP(A52,IntComp24[],20,FALSE),VLOOKUP(A52,IntComp[],20,FALSE)))=0,"",IF(OR(F52="2019-2020",F52="2021-2025"),"",IF(ISNUMBER(SEARCH("LLC",D52)),VLOOKUP(A52,IntComp24[],20,FALSE),VLOOKUP(A52,IntComp[],20,FALSE))))</f>
        <v>Jacobs - JOCS</v>
      </c>
      <c r="O52" s="152" t="str">
        <f ca="1">IF(IF(OR(F52="2019-2020",F52="2021-2025"),"",IF(ISNUMBER(SEARCH("LLC",D52)),VLOOKUP(A52,IntComp24[],23,FALSE),VLOOKUP(A52,IntComp[],23,FALSE)))=0,"",IF(OR(F52="2019-2020",F52="2021-2025"),"",IF(ISNUMBER(SEARCH("LLC",D52)),VLOOKUP(A52,IntComp24[],23,FALSE),VLOOKUP(A52,IntComp[],23,FALSE))))</f>
        <v/>
      </c>
    </row>
    <row r="53" spans="1:15">
      <c r="A53" s="148" t="s">
        <v>55</v>
      </c>
      <c r="B53" s="144" t="str">
        <f>VLOOKUP(A53,Data[],2,FALSE)</f>
        <v>MANHATTAN</v>
      </c>
      <c r="C53" s="144" t="s">
        <v>106</v>
      </c>
      <c r="D53" s="9" t="str">
        <f>VLOOKUP(A53,Data[],52,FALSE)</f>
        <v>FEDERAL</v>
      </c>
      <c r="E53" s="9">
        <f>VLOOKUP(IntAll[[#This Row],[DEVELOPMENT]],Data[],62,FALSE)</f>
        <v>3</v>
      </c>
      <c r="F53" s="9" t="str">
        <f ca="1">VLOOKUP(A53,Data[],4,FALSE)</f>
        <v/>
      </c>
      <c r="G53" s="9">
        <f>VLOOKUP(IntAll[[#This Row],[DEVELOPMENT]],EHDAll[[DEVELOPMENT]:['# Units]],6,FALSE)</f>
        <v>18</v>
      </c>
      <c r="H53" s="143">
        <f ca="1">IF(IntAll[[#This Row],[STATUS]]="","",IF(OR(F53="2019-2020",F53="2021-2025"),"",IF(ISNUMBER(SEARCH("LLC",D53)),VLOOKUP(A53,IntComp24[],21,FALSE),VLOOKUP(A53,IntComp[],21,FALSE))))</f>
        <v>2020</v>
      </c>
      <c r="I53" s="143">
        <f ca="1">IF(IntAll[[#This Row],[STATUS]]="","",IF(IF(OR(F53="2019-2020",F53="2021-2025"),"",IF(ISNUMBER(SEARCH("LLC",D53)),VLOOKUP(A53,IntComp24[],16,FALSE),VLOOKUP(A53,IntComp[],16,FALSE)))=0,"",IF(OR(F53="2019-2020",F53="2021-2025"),"",IF(ISNUMBER(SEARCH("LLC",D53)),VLOOKUP(A53,IntComp24[],16,FALSE),VLOOKUP(A53,IntComp[],16,FALSE)))))</f>
        <v>2020</v>
      </c>
      <c r="J53" s="143" t="str">
        <f ca="1">IF(IF(OR(F53="2019-2020",F53="2021-2025"),"",IF(ISNUMBER(SEARCH("LLC",D53)),VLOOKUP(A53,IntComp24[],17,FALSE),VLOOKUP(A53,IntComp[],17,FALSE)))=0,"",IF(OR(F53="2019-2020",F53="2021-2025"),"",IF(ISNUMBER(SEARCH("LLC",D53)),VLOOKUP(A53,IntComp24[],17,FALSE),VLOOKUP(A53,IntComp[],17,FALSE))))</f>
        <v>QUEUED</v>
      </c>
      <c r="K53" s="151"/>
      <c r="L53" s="151">
        <f ca="1">IF(OR(F53="2019-2020",F53="2021-2025"),"",IF(ISNUMBER(SEARCH("LLC",D53)),VLOOKUP(A53,IntComp24[],18,FALSE),VLOOKUP(A53,IntComp[],18,FALSE)))</f>
        <v>1135575</v>
      </c>
      <c r="M53" s="143" t="s">
        <v>454</v>
      </c>
      <c r="N53" s="143" t="str">
        <f ca="1">IF(IF(OR(F53="2019-2020",F53="2021-2025"),"",IF(ISNUMBER(SEARCH("LLC",D53)),VLOOKUP(A53,IntComp24[],20,FALSE),VLOOKUP(A53,IntComp[],20,FALSE)))=0,"",IF(OR(F53="2019-2020",F53="2021-2025"),"",IF(ISNUMBER(SEARCH("LLC",D53)),VLOOKUP(A53,IntComp24[],20,FALSE),VLOOKUP(A53,IntComp[],20,FALSE))))</f>
        <v>Jacobs - JOCS</v>
      </c>
      <c r="O53" s="152" t="str">
        <f ca="1">IF(IF(OR(F53="2019-2020",F53="2021-2025"),"",IF(ISNUMBER(SEARCH("LLC",D53)),VLOOKUP(A53,IntComp24[],23,FALSE),VLOOKUP(A53,IntComp[],23,FALSE)))=0,"",IF(OR(F53="2019-2020",F53="2021-2025"),"",IF(ISNUMBER(SEARCH("LLC",D53)),VLOOKUP(A53,IntComp24[],23,FALSE),VLOOKUP(A53,IntComp[],23,FALSE))))</f>
        <v/>
      </c>
    </row>
    <row r="54" spans="1:15">
      <c r="A54" s="148" t="s">
        <v>104</v>
      </c>
      <c r="B54" s="144" t="str">
        <f>VLOOKUP(A54,Data[],2,FALSE)</f>
        <v>MANHATTAN</v>
      </c>
      <c r="C54" s="144" t="s">
        <v>106</v>
      </c>
      <c r="D54" s="9" t="str">
        <f>VLOOKUP(A54,Data[],52,FALSE)</f>
        <v>FEDERAL</v>
      </c>
      <c r="E54" s="9">
        <f>VLOOKUP(IntAll[[#This Row],[DEVELOPMENT]],Data[],62,FALSE)</f>
        <v>3</v>
      </c>
      <c r="F54" s="9" t="str">
        <f ca="1">VLOOKUP(A54,Data[],4,FALSE)</f>
        <v/>
      </c>
      <c r="G54" s="9">
        <f>VLOOKUP(IntAll[[#This Row],[DEVELOPMENT]],EHDAll[[DEVELOPMENT]:['# Units]],6,FALSE)</f>
        <v>8</v>
      </c>
      <c r="H54" s="143">
        <f ca="1">IF(IntAll[[#This Row],[STATUS]]="","",IF(OR(F54="2019-2020",F54="2021-2025"),"",IF(ISNUMBER(SEARCH("LLC",D54)),VLOOKUP(A54,IntComp24[],21,FALSE),VLOOKUP(A54,IntComp[],21,FALSE))))</f>
        <v>2020</v>
      </c>
      <c r="I54" s="143">
        <f ca="1">IF(IntAll[[#This Row],[STATUS]]="","",IF(IF(OR(F54="2019-2020",F54="2021-2025"),"",IF(ISNUMBER(SEARCH("LLC",D54)),VLOOKUP(A54,IntComp24[],16,FALSE),VLOOKUP(A54,IntComp[],16,FALSE)))=0,"",IF(OR(F54="2019-2020",F54="2021-2025"),"",IF(ISNUMBER(SEARCH("LLC",D54)),VLOOKUP(A54,IntComp24[],16,FALSE),VLOOKUP(A54,IntComp[],16,FALSE)))))</f>
        <v>2020</v>
      </c>
      <c r="J54" s="143" t="str">
        <f ca="1">IF(IF(OR(F54="2019-2020",F54="2021-2025"),"",IF(ISNUMBER(SEARCH("LLC",D54)),VLOOKUP(A54,IntComp24[],17,FALSE),VLOOKUP(A54,IntComp[],17,FALSE)))=0,"",IF(OR(F54="2019-2020",F54="2021-2025"),"",IF(ISNUMBER(SEARCH("LLC",D54)),VLOOKUP(A54,IntComp24[],17,FALSE),VLOOKUP(A54,IntComp[],17,FALSE))))</f>
        <v>QUEUED</v>
      </c>
      <c r="K54" s="151"/>
      <c r="L54" s="151">
        <f ca="1">IF(OR(F54="2019-2020",F54="2021-2025"),"",IF(ISNUMBER(SEARCH("LLC",D54)),VLOOKUP(A54,IntComp24[],18,FALSE),VLOOKUP(A54,IntComp[],18,FALSE)))</f>
        <v>504700</v>
      </c>
      <c r="M54" s="143" t="s">
        <v>454</v>
      </c>
      <c r="N54" s="143" t="str">
        <f ca="1">IF(IF(OR(F54="2019-2020",F54="2021-2025"),"",IF(ISNUMBER(SEARCH("LLC",D54)),VLOOKUP(A54,IntComp24[],20,FALSE),VLOOKUP(A54,IntComp[],20,FALSE)))=0,"",IF(OR(F54="2019-2020",F54="2021-2025"),"",IF(ISNUMBER(SEARCH("LLC",D54)),VLOOKUP(A54,IntComp24[],20,FALSE),VLOOKUP(A54,IntComp[],20,FALSE))))</f>
        <v>Jacobs - JOCS</v>
      </c>
      <c r="O54" s="152" t="str">
        <f ca="1">IF(IF(OR(F54="2019-2020",F54="2021-2025"),"",IF(ISNUMBER(SEARCH("LLC",D54)),VLOOKUP(A54,IntComp24[],23,FALSE),VLOOKUP(A54,IntComp[],23,FALSE)))=0,"",IF(OR(F54="2019-2020",F54="2021-2025"),"",IF(ISNUMBER(SEARCH("LLC",D54)),VLOOKUP(A54,IntComp24[],23,FALSE),VLOOKUP(A54,IntComp[],23,FALSE))))</f>
        <v/>
      </c>
    </row>
    <row r="55" spans="1:15">
      <c r="A55" s="147" t="s">
        <v>195</v>
      </c>
      <c r="B55" s="144" t="str">
        <f>VLOOKUP(A55,Data[],2,FALSE)</f>
        <v>MANHATTAN</v>
      </c>
      <c r="C55" s="144" t="s">
        <v>106</v>
      </c>
      <c r="D55" s="9" t="str">
        <f>VLOOKUP(A55,Data[],52,FALSE)</f>
        <v>FEDERAL</v>
      </c>
      <c r="E55" s="9">
        <f>VLOOKUP(IntAll[[#This Row],[DEVELOPMENT]],Data[],62,FALSE)</f>
        <v>8</v>
      </c>
      <c r="F55" s="9" t="str">
        <f ca="1">VLOOKUP(A55,Data[],4,FALSE)</f>
        <v/>
      </c>
      <c r="G55" s="9">
        <f>VLOOKUP(IntAll[[#This Row],[DEVELOPMENT]],EHDAll[[DEVELOPMENT]:['# Units]],6,FALSE)</f>
        <v>1</v>
      </c>
      <c r="H55" s="143">
        <f ca="1">IF(IntAll[[#This Row],[STATUS]]="","",IF(OR(F55="2019-2020",F55="2021-2025"),"",IF(ISNUMBER(SEARCH("LLC",D55)),VLOOKUP(A55,IntComp24[],21,FALSE),VLOOKUP(A55,IntComp[],21,FALSE))))</f>
        <v>2020</v>
      </c>
      <c r="I55" s="143">
        <f ca="1">IF(IntAll[[#This Row],[STATUS]]="","",IF(IF(OR(F55="2019-2020",F55="2021-2025"),"",IF(ISNUMBER(SEARCH("LLC",D55)),VLOOKUP(A55,IntComp24[],16,FALSE),VLOOKUP(A55,IntComp[],16,FALSE)))=0,"",IF(OR(F55="2019-2020",F55="2021-2025"),"",IF(ISNUMBER(SEARCH("LLC",D55)),VLOOKUP(A55,IntComp24[],16,FALSE),VLOOKUP(A55,IntComp[],16,FALSE)))))</f>
        <v>2020</v>
      </c>
      <c r="J55" s="143" t="str">
        <f ca="1">IF(IF(OR(F55="2019-2020",F55="2021-2025"),"",IF(ISNUMBER(SEARCH("LLC",D55)),VLOOKUP(A55,IntComp24[],17,FALSE),VLOOKUP(A55,IntComp[],17,FALSE)))=0,"",IF(OR(F55="2019-2020",F55="2021-2025"),"",IF(ISNUMBER(SEARCH("LLC",D55)),VLOOKUP(A55,IntComp24[],17,FALSE),VLOOKUP(A55,IntComp[],17,FALSE))))</f>
        <v>QUEUED</v>
      </c>
      <c r="K55" s="151"/>
      <c r="L55" s="151">
        <f ca="1">IF(OR(F55="2019-2020",F55="2021-2025"),"",IF(ISNUMBER(SEARCH("LLC",D55)),VLOOKUP(A55,IntComp24[],18,FALSE),VLOOKUP(A55,IntComp[],18,FALSE)))</f>
        <v>63087.5</v>
      </c>
      <c r="M55" s="143" t="s">
        <v>454</v>
      </c>
      <c r="N55" s="143" t="str">
        <f ca="1">IF(IF(OR(F55="2019-2020",F55="2021-2025"),"",IF(ISNUMBER(SEARCH("LLC",D55)),VLOOKUP(A55,IntComp24[],20,FALSE),VLOOKUP(A55,IntComp[],20,FALSE)))=0,"",IF(OR(F55="2019-2020",F55="2021-2025"),"",IF(ISNUMBER(SEARCH("LLC",D55)),VLOOKUP(A55,IntComp24[],20,FALSE),VLOOKUP(A55,IntComp[],20,FALSE))))</f>
        <v>Jacobs - JOCS</v>
      </c>
      <c r="O55" s="152" t="str">
        <f ca="1">IF(IF(OR(F55="2019-2020",F55="2021-2025"),"",IF(ISNUMBER(SEARCH("LLC",D55)),VLOOKUP(A55,IntComp24[],23,FALSE),VLOOKUP(A55,IntComp[],23,FALSE)))=0,"",IF(OR(F55="2019-2020",F55="2021-2025"),"",IF(ISNUMBER(SEARCH("LLC",D55)),VLOOKUP(A55,IntComp24[],23,FALSE),VLOOKUP(A55,IntComp[],23,FALSE))))</f>
        <v/>
      </c>
    </row>
    <row r="56" spans="1:15">
      <c r="A56" s="147" t="s">
        <v>107</v>
      </c>
      <c r="B56" s="144" t="str">
        <f>VLOOKUP(A56,Data[],2,FALSE)</f>
        <v>MANHATTAN</v>
      </c>
      <c r="C56" s="144" t="s">
        <v>106</v>
      </c>
      <c r="D56" s="9" t="str">
        <f>VLOOKUP(A56,Data[],52,FALSE)</f>
        <v>FEDERAL</v>
      </c>
      <c r="E56" s="9">
        <f>VLOOKUP(IntAll[[#This Row],[DEVELOPMENT]],Data[],62,FALSE)</f>
        <v>11</v>
      </c>
      <c r="F56" s="9" t="str">
        <f ca="1">VLOOKUP(A56,Data[],4,FALSE)</f>
        <v/>
      </c>
      <c r="G56" s="9">
        <f>VLOOKUP(IntAll[[#This Row],[DEVELOPMENT]],EHDAll[[DEVELOPMENT]:['# Units]],6,FALSE)</f>
        <v>2</v>
      </c>
      <c r="H56" s="143">
        <f ca="1">IF(IntAll[[#This Row],[STATUS]]="","",IF(OR(F56="2019-2020",F56="2021-2025"),"",IF(ISNUMBER(SEARCH("LLC",D56)),VLOOKUP(A56,IntComp24[],21,FALSE),VLOOKUP(A56,IntComp[],21,FALSE))))</f>
        <v>2020</v>
      </c>
      <c r="I56" s="143">
        <f ca="1">IF(IntAll[[#This Row],[STATUS]]="","",IF(IF(OR(F56="2019-2020",F56="2021-2025"),"",IF(ISNUMBER(SEARCH("LLC",D56)),VLOOKUP(A56,IntComp24[],16,FALSE),VLOOKUP(A56,IntComp[],16,FALSE)))=0,"",IF(OR(F56="2019-2020",F56="2021-2025"),"",IF(ISNUMBER(SEARCH("LLC",D56)),VLOOKUP(A56,IntComp24[],16,FALSE),VLOOKUP(A56,IntComp[],16,FALSE)))))</f>
        <v>2020</v>
      </c>
      <c r="J56" s="143" t="str">
        <f ca="1">IF(IF(OR(F56="2019-2020",F56="2021-2025"),"",IF(ISNUMBER(SEARCH("LLC",D56)),VLOOKUP(A56,IntComp24[],17,FALSE),VLOOKUP(A56,IntComp[],17,FALSE)))=0,"",IF(OR(F56="2019-2020",F56="2021-2025"),"",IF(ISNUMBER(SEARCH("LLC",D56)),VLOOKUP(A56,IntComp24[],17,FALSE),VLOOKUP(A56,IntComp[],17,FALSE))))</f>
        <v>QUEUED</v>
      </c>
      <c r="K56" s="151"/>
      <c r="L56" s="151">
        <f ca="1">IF(OR(F56="2019-2020",F56="2021-2025"),"",IF(ISNUMBER(SEARCH("LLC",D56)),VLOOKUP(A56,IntComp24[],18,FALSE),VLOOKUP(A56,IntComp[],18,FALSE)))</f>
        <v>126175</v>
      </c>
      <c r="M56" s="143" t="s">
        <v>454</v>
      </c>
      <c r="N56" s="143" t="str">
        <f ca="1">IF(IF(OR(F56="2019-2020",F56="2021-2025"),"",IF(ISNUMBER(SEARCH("LLC",D56)),VLOOKUP(A56,IntComp24[],20,FALSE),VLOOKUP(A56,IntComp[],20,FALSE)))=0,"",IF(OR(F56="2019-2020",F56="2021-2025"),"",IF(ISNUMBER(SEARCH("LLC",D56)),VLOOKUP(A56,IntComp24[],20,FALSE),VLOOKUP(A56,IntComp[],20,FALSE))))</f>
        <v>Jacobs - JOCS</v>
      </c>
      <c r="O56" s="152" t="str">
        <f ca="1">IF(IF(OR(F56="2019-2020",F56="2021-2025"),"",IF(ISNUMBER(SEARCH("LLC",D56)),VLOOKUP(A56,IntComp24[],23,FALSE),VLOOKUP(A56,IntComp[],23,FALSE)))=0,"",IF(OR(F56="2019-2020",F56="2021-2025"),"",IF(ISNUMBER(SEARCH("LLC",D56)),VLOOKUP(A56,IntComp24[],23,FALSE),VLOOKUP(A56,IntComp[],23,FALSE))))</f>
        <v/>
      </c>
    </row>
    <row r="57" spans="1:15">
      <c r="A57" s="147" t="s">
        <v>98</v>
      </c>
      <c r="B57" s="144" t="str">
        <f>VLOOKUP(A57,Data[],2,FALSE)</f>
        <v>BRONX</v>
      </c>
      <c r="C57" s="144" t="s">
        <v>106</v>
      </c>
      <c r="D57" s="9" t="str">
        <f>VLOOKUP(A57,Data[],52,FALSE)</f>
        <v>FEDERAL</v>
      </c>
      <c r="E57" s="9">
        <f>VLOOKUP(IntAll[[#This Row],[DEVELOPMENT]],Data[],62,FALSE)</f>
        <v>3</v>
      </c>
      <c r="F57" s="9" t="str">
        <f ca="1">VLOOKUP(A57,Data[],4,FALSE)</f>
        <v>2026+</v>
      </c>
      <c r="G57" s="9">
        <f>VLOOKUP(IntAll[[#This Row],[DEVELOPMENT]],EHDAll[[DEVELOPMENT]:['# Units]],6,FALSE)</f>
        <v>1</v>
      </c>
      <c r="H57" s="143">
        <f ca="1">IF(IntAll[[#This Row],[STATUS]]="","",IF(OR(F57="2019-2020",F57="2021-2025"),"",IF(ISNUMBER(SEARCH("LLC",D57)),VLOOKUP(A57,IntComp24[],21,FALSE),VLOOKUP(A57,IntComp[],21,FALSE))))</f>
        <v>2020</v>
      </c>
      <c r="I57" s="143">
        <f ca="1">IF(IntAll[[#This Row],[STATUS]]="","",IF(IF(OR(F57="2019-2020",F57="2021-2025"),"",IF(ISNUMBER(SEARCH("LLC",D57)),VLOOKUP(A57,IntComp24[],16,FALSE),VLOOKUP(A57,IntComp[],16,FALSE)))=0,"",IF(OR(F57="2019-2020",F57="2021-2025"),"",IF(ISNUMBER(SEARCH("LLC",D57)),VLOOKUP(A57,IntComp24[],16,FALSE),VLOOKUP(A57,IntComp[],16,FALSE)))))</f>
        <v>2020</v>
      </c>
      <c r="J57" s="143" t="str">
        <f ca="1">IF(IF(OR(F57="2019-2020",F57="2021-2025"),"",IF(ISNUMBER(SEARCH("LLC",D57)),VLOOKUP(A57,IntComp24[],17,FALSE),VLOOKUP(A57,IntComp[],17,FALSE)))=0,"",IF(OR(F57="2019-2020",F57="2021-2025"),"",IF(ISNUMBER(SEARCH("LLC",D57)),VLOOKUP(A57,IntComp24[],17,FALSE),VLOOKUP(A57,IntComp[],17,FALSE))))</f>
        <v>QUEUED</v>
      </c>
      <c r="K57" s="151"/>
      <c r="L57" s="151">
        <f ca="1">IF(OR(F57="2019-2020",F57="2021-2025"),"",IF(ISNUMBER(SEARCH("LLC",D57)),VLOOKUP(A57,IntComp24[],18,FALSE),VLOOKUP(A57,IntComp[],18,FALSE)))</f>
        <v>63087.5</v>
      </c>
      <c r="M57" s="143" t="s">
        <v>454</v>
      </c>
      <c r="N57" s="143" t="str">
        <f ca="1">IF(IF(OR(F57="2019-2020",F57="2021-2025"),"",IF(ISNUMBER(SEARCH("LLC",D57)),VLOOKUP(A57,IntComp24[],20,FALSE),VLOOKUP(A57,IntComp[],20,FALSE)))=0,"",IF(OR(F57="2019-2020",F57="2021-2025"),"",IF(ISNUMBER(SEARCH("LLC",D57)),VLOOKUP(A57,IntComp24[],20,FALSE),VLOOKUP(A57,IntComp[],20,FALSE))))</f>
        <v>Jacobs - JOCS</v>
      </c>
      <c r="O57" s="152" t="str">
        <f ca="1">IF(IF(OR(F57="2019-2020",F57="2021-2025"),"",IF(ISNUMBER(SEARCH("LLC",D57)),VLOOKUP(A57,IntComp24[],23,FALSE),VLOOKUP(A57,IntComp[],23,FALSE)))=0,"",IF(OR(F57="2019-2020",F57="2021-2025"),"",IF(ISNUMBER(SEARCH("LLC",D57)),VLOOKUP(A57,IntComp24[],23,FALSE),VLOOKUP(A57,IntComp[],23,FALSE))))</f>
        <v/>
      </c>
    </row>
    <row r="58" spans="1:15">
      <c r="A58" s="147" t="s">
        <v>382</v>
      </c>
      <c r="B58" s="144" t="str">
        <f>VLOOKUP(A58,Data[],2,FALSE)</f>
        <v>BRONX</v>
      </c>
      <c r="C58" s="144" t="s">
        <v>106</v>
      </c>
      <c r="D58" s="9" t="str">
        <f>VLOOKUP(A58,Data[],52,FALSE)</f>
        <v>FEDERAL</v>
      </c>
      <c r="E58" s="9">
        <f>VLOOKUP(IntAll[[#This Row],[DEVELOPMENT]],Data[],62,FALSE)</f>
        <v>5</v>
      </c>
      <c r="F58" s="9" t="str">
        <f ca="1">VLOOKUP(A58,Data[],4,FALSE)</f>
        <v/>
      </c>
      <c r="G58" s="9">
        <f>VLOOKUP(IntAll[[#This Row],[DEVELOPMENT]],EHDAll[[DEVELOPMENT]:['# Units]],6,FALSE)</f>
        <v>1</v>
      </c>
      <c r="H58" s="143">
        <f ca="1">IF(IntAll[[#This Row],[STATUS]]="","",IF(OR(F58="2019-2020",F58="2021-2025"),"",IF(ISNUMBER(SEARCH("LLC",D58)),VLOOKUP(A58,IntComp24[],21,FALSE),VLOOKUP(A58,IntComp[],21,FALSE))))</f>
        <v>2020</v>
      </c>
      <c r="I58" s="143">
        <f ca="1">IF(IntAll[[#This Row],[STATUS]]="","",IF(IF(OR(F58="2019-2020",F58="2021-2025"),"",IF(ISNUMBER(SEARCH("LLC",D58)),VLOOKUP(A58,IntComp24[],16,FALSE),VLOOKUP(A58,IntComp[],16,FALSE)))=0,"",IF(OR(F58="2019-2020",F58="2021-2025"),"",IF(ISNUMBER(SEARCH("LLC",D58)),VLOOKUP(A58,IntComp24[],16,FALSE),VLOOKUP(A58,IntComp[],16,FALSE)))))</f>
        <v>2020</v>
      </c>
      <c r="J58" s="143" t="str">
        <f ca="1">IF(IF(OR(F58="2019-2020",F58="2021-2025"),"",IF(ISNUMBER(SEARCH("LLC",D58)),VLOOKUP(A58,IntComp24[],17,FALSE),VLOOKUP(A58,IntComp[],17,FALSE)))=0,"",IF(OR(F58="2019-2020",F58="2021-2025"),"",IF(ISNUMBER(SEARCH("LLC",D58)),VLOOKUP(A58,IntComp24[],17,FALSE),VLOOKUP(A58,IntComp[],17,FALSE))))</f>
        <v>QUEUED</v>
      </c>
      <c r="K58" s="151"/>
      <c r="L58" s="151">
        <f ca="1">IF(OR(F58="2019-2020",F58="2021-2025"),"",IF(ISNUMBER(SEARCH("LLC",D58)),VLOOKUP(A58,IntComp24[],18,FALSE),VLOOKUP(A58,IntComp[],18,FALSE)))</f>
        <v>63087.5</v>
      </c>
      <c r="M58" s="143" t="s">
        <v>454</v>
      </c>
      <c r="N58" s="143" t="str">
        <f ca="1">IF(IF(OR(F58="2019-2020",F58="2021-2025"),"",IF(ISNUMBER(SEARCH("LLC",D58)),VLOOKUP(A58,IntComp24[],20,FALSE),VLOOKUP(A58,IntComp[],20,FALSE)))=0,"",IF(OR(F58="2019-2020",F58="2021-2025"),"",IF(ISNUMBER(SEARCH("LLC",D58)),VLOOKUP(A58,IntComp24[],20,FALSE),VLOOKUP(A58,IntComp[],20,FALSE))))</f>
        <v>Jacobs - JOCS</v>
      </c>
      <c r="O58" s="143" t="str">
        <f ca="1">IF(IF(OR(F58="2019-2020",F58="2021-2025"),"",IF(ISNUMBER(SEARCH("LLC",D58)),VLOOKUP(A58,IntComp24[],23,FALSE),VLOOKUP(A58,IntComp[],23,FALSE)))=0,"",IF(OR(F58="2019-2020",F58="2021-2025"),"",IF(ISNUMBER(SEARCH("LLC",D58)),VLOOKUP(A58,IntComp24[],23,FALSE),VLOOKUP(A58,IntComp[],23,FALSE))))</f>
        <v/>
      </c>
    </row>
    <row r="59" spans="1:15">
      <c r="A59" s="147" t="s">
        <v>102</v>
      </c>
      <c r="B59" s="144" t="str">
        <f>VLOOKUP(A59,Data[],2,FALSE)</f>
        <v>MANHATTAN</v>
      </c>
      <c r="C59" s="144" t="s">
        <v>106</v>
      </c>
      <c r="D59" s="9" t="str">
        <f>VLOOKUP(A59,Data[],52,FALSE)</f>
        <v>FEDERAL</v>
      </c>
      <c r="E59" s="9">
        <f>VLOOKUP(IntAll[[#This Row],[DEVELOPMENT]],Data[],62,FALSE)</f>
        <v>11</v>
      </c>
      <c r="F59" s="9" t="str">
        <f ca="1">VLOOKUP(A59,Data[],4,FALSE)</f>
        <v>2026+</v>
      </c>
      <c r="G59" s="9">
        <f>VLOOKUP(IntAll[[#This Row],[DEVELOPMENT]],EHDAll[[DEVELOPMENT]:['# Units]],6,FALSE)</f>
        <v>1</v>
      </c>
      <c r="H59" s="143">
        <f ca="1">IF(IntAll[[#This Row],[STATUS]]="","",IF(OR(F59="2019-2020",F59="2021-2025"),"",IF(ISNUMBER(SEARCH("LLC",D59)),VLOOKUP(A59,IntComp24[],21,FALSE),VLOOKUP(A59,IntComp[],21,FALSE))))</f>
        <v>2020</v>
      </c>
      <c r="I59" s="143">
        <f ca="1">IF(IntAll[[#This Row],[STATUS]]="","",IF(IF(OR(F59="2019-2020",F59="2021-2025"),"",IF(ISNUMBER(SEARCH("LLC",D59)),VLOOKUP(A59,IntComp24[],16,FALSE),VLOOKUP(A59,IntComp[],16,FALSE)))=0,"",IF(OR(F59="2019-2020",F59="2021-2025"),"",IF(ISNUMBER(SEARCH("LLC",D59)),VLOOKUP(A59,IntComp24[],16,FALSE),VLOOKUP(A59,IntComp[],16,FALSE)))))</f>
        <v>2020</v>
      </c>
      <c r="J59" s="143" t="str">
        <f ca="1">IF(IF(OR(F59="2019-2020",F59="2021-2025"),"",IF(ISNUMBER(SEARCH("LLC",D59)),VLOOKUP(A59,IntComp24[],17,FALSE),VLOOKUP(A59,IntComp[],17,FALSE)))=0,"",IF(OR(F59="2019-2020",F59="2021-2025"),"",IF(ISNUMBER(SEARCH("LLC",D59)),VLOOKUP(A59,IntComp24[],17,FALSE),VLOOKUP(A59,IntComp[],17,FALSE))))</f>
        <v>QUEUED</v>
      </c>
      <c r="K59" s="151"/>
      <c r="L59" s="151">
        <f ca="1">IF(OR(F59="2019-2020",F59="2021-2025"),"",IF(ISNUMBER(SEARCH("LLC",D59)),VLOOKUP(A59,IntComp24[],18,FALSE),VLOOKUP(A59,IntComp[],18,FALSE)))</f>
        <v>63087.5</v>
      </c>
      <c r="M59" s="143" t="s">
        <v>454</v>
      </c>
      <c r="N59" s="143" t="str">
        <f ca="1">IF(IF(OR(F59="2019-2020",F59="2021-2025"),"",IF(ISNUMBER(SEARCH("LLC",D59)),VLOOKUP(A59,IntComp24[],20,FALSE),VLOOKUP(A59,IntComp[],20,FALSE)))=0,"",IF(OR(F59="2019-2020",F59="2021-2025"),"",IF(ISNUMBER(SEARCH("LLC",D59)),VLOOKUP(A59,IntComp24[],20,FALSE),VLOOKUP(A59,IntComp[],20,FALSE))))</f>
        <v>Jacobs - JOCS</v>
      </c>
      <c r="O59" s="152" t="str">
        <f ca="1">IF(IF(OR(F59="2019-2020",F59="2021-2025"),"",IF(ISNUMBER(SEARCH("LLC",D59)),VLOOKUP(A59,IntComp24[],23,FALSE),VLOOKUP(A59,IntComp[],23,FALSE)))=0,"",IF(OR(F59="2019-2020",F59="2021-2025"),"",IF(ISNUMBER(SEARCH("LLC",D59)),VLOOKUP(A59,IntComp24[],23,FALSE),VLOOKUP(A59,IntComp[],23,FALSE))))</f>
        <v/>
      </c>
    </row>
    <row r="60" spans="1:15">
      <c r="A60" s="147" t="s">
        <v>203</v>
      </c>
      <c r="B60" s="144" t="str">
        <f>VLOOKUP(A60,Data[],2,FALSE)</f>
        <v>BROOKLYN</v>
      </c>
      <c r="C60" s="144" t="s">
        <v>106</v>
      </c>
      <c r="D60" s="9" t="str">
        <f>VLOOKUP(A60,Data[],52,FALSE)</f>
        <v>FEDERAL</v>
      </c>
      <c r="E60" s="9">
        <f>VLOOKUP(IntAll[[#This Row],[DEVELOPMENT]],Data[],62,FALSE)</f>
        <v>5</v>
      </c>
      <c r="F60" s="9" t="str">
        <f ca="1">VLOOKUP(A60,Data[],4,FALSE)</f>
        <v>2026+</v>
      </c>
      <c r="G60" s="9">
        <f>VLOOKUP(IntAll[[#This Row],[DEVELOPMENT]],EHDAll[[DEVELOPMENT]:['# Units]],6,FALSE)</f>
        <v>10</v>
      </c>
      <c r="H60" s="143">
        <f ca="1">IF(IntAll[[#This Row],[STATUS]]="","",IF(OR(F60="2019-2020",F60="2021-2025"),"",IF(ISNUMBER(SEARCH("LLC",D60)),VLOOKUP(A60,IntComp24[],21,FALSE),VLOOKUP(A60,IntComp[],21,FALSE))))</f>
        <v>2020</v>
      </c>
      <c r="I60" s="143">
        <f ca="1">IF(IntAll[[#This Row],[STATUS]]="","",IF(IF(OR(F60="2019-2020",F60="2021-2025"),"",IF(ISNUMBER(SEARCH("LLC",D60)),VLOOKUP(A60,IntComp24[],16,FALSE),VLOOKUP(A60,IntComp[],16,FALSE)))=0,"",IF(OR(F60="2019-2020",F60="2021-2025"),"",IF(ISNUMBER(SEARCH("LLC",D60)),VLOOKUP(A60,IntComp24[],16,FALSE),VLOOKUP(A60,IntComp[],16,FALSE)))))</f>
        <v>2020</v>
      </c>
      <c r="J60" s="143" t="str">
        <f ca="1">IF(IF(OR(F60="2019-2020",F60="2021-2025"),"",IF(ISNUMBER(SEARCH("LLC",D60)),VLOOKUP(A60,IntComp24[],17,FALSE),VLOOKUP(A60,IntComp[],17,FALSE)))=0,"",IF(OR(F60="2019-2020",F60="2021-2025"),"",IF(ISNUMBER(SEARCH("LLC",D60)),VLOOKUP(A60,IntComp24[],17,FALSE),VLOOKUP(A60,IntComp[],17,FALSE))))</f>
        <v>CANCELED</v>
      </c>
      <c r="K60" s="151"/>
      <c r="L60" s="151">
        <f ca="1">IF(OR(F60="2019-2020",F60="2021-2025"),"",IF(ISNUMBER(SEARCH("LLC",D60)),VLOOKUP(A60,IntComp24[],18,FALSE),VLOOKUP(A60,IntComp[],18,FALSE)))</f>
        <v>630875</v>
      </c>
      <c r="M60" s="143" t="s">
        <v>454</v>
      </c>
      <c r="N60" s="143" t="str">
        <f ca="1">IF(IF(OR(F60="2019-2020",F60="2021-2025"),"",IF(ISNUMBER(SEARCH("LLC",D60)),VLOOKUP(A60,IntComp24[],20,FALSE),VLOOKUP(A60,IntComp[],20,FALSE)))=0,"",IF(OR(F60="2019-2020",F60="2021-2025"),"",IF(ISNUMBER(SEARCH("LLC",D60)),VLOOKUP(A60,IntComp24[],20,FALSE),VLOOKUP(A60,IntComp[],20,FALSE))))</f>
        <v/>
      </c>
      <c r="O60" s="152" t="str">
        <f ca="1">IF(IF(OR(F60="2019-2020",F60="2021-2025"),"",IF(ISNUMBER(SEARCH("LLC",D60)),VLOOKUP(A60,IntComp24[],23,FALSE),VLOOKUP(A60,IntComp[],23,FALSE)))=0,"",IF(OR(F60="2019-2020",F60="2021-2025"),"",IF(ISNUMBER(SEARCH("LLC",D60)),VLOOKUP(A60,IntComp24[],23,FALSE),VLOOKUP(A60,IntComp[],23,FALSE))))</f>
        <v/>
      </c>
    </row>
    <row r="61" spans="1:15">
      <c r="A61" s="147" t="s">
        <v>291</v>
      </c>
      <c r="B61" s="144" t="str">
        <f>VLOOKUP(A61,Data[],2,FALSE)</f>
        <v>BRONX</v>
      </c>
      <c r="C61" s="144" t="s">
        <v>106</v>
      </c>
      <c r="D61" s="9" t="str">
        <f>VLOOKUP(A61,Data[],52,FALSE)</f>
        <v>FEDERAL</v>
      </c>
      <c r="E61" s="9">
        <f>VLOOKUP(IntAll[[#This Row],[DEVELOPMENT]],Data[],62,FALSE)</f>
        <v>6</v>
      </c>
      <c r="F61" s="9" t="str">
        <f ca="1">VLOOKUP(A61,Data[],4,FALSE)</f>
        <v/>
      </c>
      <c r="G61" s="9">
        <f>VLOOKUP(IntAll[[#This Row],[DEVELOPMENT]],EHDAll[[DEVELOPMENT]:['# Units]],6,FALSE)</f>
        <v>1</v>
      </c>
      <c r="H61" s="143" t="str">
        <f ca="1">IF(IntAll[[#This Row],[STATUS]]="","",IF(OR(F61="2019-2020",F61="2021-2025"),"",IF(ISNUMBER(SEARCH("LLC",D61)),VLOOKUP(A61,IntComp24[],21,FALSE),VLOOKUP(A61,IntComp[],21,FALSE))))</f>
        <v/>
      </c>
      <c r="I61" s="143" t="str">
        <f ca="1">IF(IntAll[[#This Row],[STATUS]]="","",IF(IF(OR(F61="2019-2020",F61="2021-2025"),"",IF(ISNUMBER(SEARCH("LLC",D61)),VLOOKUP(A61,IntComp24[],16,FALSE),VLOOKUP(A61,IntComp[],16,FALSE)))=0,"",IF(OR(F61="2019-2020",F61="2021-2025"),"",IF(ISNUMBER(SEARCH("LLC",D61)),VLOOKUP(A61,IntComp24[],16,FALSE),VLOOKUP(A61,IntComp[],16,FALSE)))))</f>
        <v/>
      </c>
      <c r="J61" s="143" t="str">
        <f ca="1">IF(IF(OR(F61="2019-2020",F61="2021-2025"),"",IF(ISNUMBER(SEARCH("LLC",D61)),VLOOKUP(A61,IntComp24[],17,FALSE),VLOOKUP(A61,IntComp[],17,FALSE)))=0,"",IF(OR(F61="2019-2020",F61="2021-2025"),"",IF(ISNUMBER(SEARCH("LLC",D61)),VLOOKUP(A61,IntComp24[],17,FALSE),VLOOKUP(A61,IntComp[],17,FALSE))))</f>
        <v/>
      </c>
      <c r="K61" s="151"/>
      <c r="L61" s="151">
        <f ca="1">IF(OR(F61="2019-2020",F61="2021-2025"),"",IF(ISNUMBER(SEARCH("LLC",D61)),VLOOKUP(A61,IntComp24[],18,FALSE),VLOOKUP(A61,IntComp[],18,FALSE)))</f>
        <v>78543.9375</v>
      </c>
      <c r="M61" s="143"/>
      <c r="N61" s="143" t="str">
        <f ca="1">IF(IF(OR(F61="2019-2020",F61="2021-2025"),"",IF(ISNUMBER(SEARCH("LLC",D61)),VLOOKUP(A61,IntComp24[],20,FALSE),VLOOKUP(A61,IntComp[],20,FALSE)))=0,"",IF(OR(F61="2019-2020",F61="2021-2025"),"",IF(ISNUMBER(SEARCH("LLC",D61)),VLOOKUP(A61,IntComp24[],20,FALSE),VLOOKUP(A61,IntComp[],20,FALSE))))</f>
        <v/>
      </c>
      <c r="O61" s="152" t="str">
        <f ca="1">IF(IF(OR(F61="2019-2020",F61="2021-2025"),"",IF(ISNUMBER(SEARCH("LLC",D61)),VLOOKUP(A61,IntComp24[],23,FALSE),VLOOKUP(A61,IntComp[],23,FALSE)))=0,"",IF(OR(F61="2019-2020",F61="2021-2025"),"",IF(ISNUMBER(SEARCH("LLC",D61)),VLOOKUP(A61,IntComp24[],23,FALSE),VLOOKUP(A61,IntComp[],23,FALSE))))</f>
        <v/>
      </c>
    </row>
    <row r="62" spans="1:15">
      <c r="A62" s="147" t="s">
        <v>292</v>
      </c>
      <c r="B62" s="144" t="str">
        <f>VLOOKUP(A62,Data[],2,FALSE)</f>
        <v>BROOKLYN</v>
      </c>
      <c r="C62" s="144" t="s">
        <v>106</v>
      </c>
      <c r="D62" s="9" t="str">
        <f>VLOOKUP(A62,Data[],52,FALSE)</f>
        <v>FEDERAL</v>
      </c>
      <c r="E62" s="9">
        <f>VLOOKUP(IntAll[[#This Row],[DEVELOPMENT]],Data[],62,FALSE)</f>
        <v>16</v>
      </c>
      <c r="F62" s="9" t="str">
        <f ca="1">VLOOKUP(A62,Data[],4,FALSE)</f>
        <v>2020-2021</v>
      </c>
      <c r="G62" s="9">
        <f>VLOOKUP(IntAll[[#This Row],[DEVELOPMENT]],EHDAll[[DEVELOPMENT]:['# Units]],6,FALSE)</f>
        <v>1</v>
      </c>
      <c r="H62" s="143" t="str">
        <f ca="1">IF(IntAll[[#This Row],[STATUS]]="","",IF(OR(F62="2019-2020",F62="2021-2025"),"",IF(ISNUMBER(SEARCH("LLC",D62)),VLOOKUP(A62,IntComp24[],21,FALSE),VLOOKUP(A62,IntComp[],21,FALSE))))</f>
        <v/>
      </c>
      <c r="I62" s="143" t="str">
        <f ca="1">IF(IntAll[[#This Row],[STATUS]]="","",IF(IF(OR(F62="2019-2020",F62="2021-2025"),"",IF(ISNUMBER(SEARCH("LLC",D62)),VLOOKUP(A62,IntComp24[],16,FALSE),VLOOKUP(A62,IntComp[],16,FALSE)))=0,"",IF(OR(F62="2019-2020",F62="2021-2025"),"",IF(ISNUMBER(SEARCH("LLC",D62)),VLOOKUP(A62,IntComp24[],16,FALSE),VLOOKUP(A62,IntComp[],16,FALSE)))))</f>
        <v/>
      </c>
      <c r="J62" s="143" t="str">
        <f ca="1">IF(IF(OR(F62="2019-2020",F62="2021-2025"),"",IF(ISNUMBER(SEARCH("LLC",D62)),VLOOKUP(A62,IntComp24[],17,FALSE),VLOOKUP(A62,IntComp[],17,FALSE)))=0,"",IF(OR(F62="2019-2020",F62="2021-2025"),"",IF(ISNUMBER(SEARCH("LLC",D62)),VLOOKUP(A62,IntComp24[],17,FALSE),VLOOKUP(A62,IntComp[],17,FALSE))))</f>
        <v/>
      </c>
      <c r="K62" s="151"/>
      <c r="L62" s="151">
        <f ca="1">IF(OR(F62="2019-2020",F62="2021-2025"),"",IF(ISNUMBER(SEARCH("LLC",D62)),VLOOKUP(A62,IntComp24[],18,FALSE),VLOOKUP(A62,IntComp[],18,FALSE)))</f>
        <v>0</v>
      </c>
      <c r="M62" s="143"/>
      <c r="N62" s="143" t="str">
        <f ca="1">IF(IF(OR(F62="2019-2020",F62="2021-2025"),"",IF(ISNUMBER(SEARCH("LLC",D62)),VLOOKUP(A62,IntComp24[],20,FALSE),VLOOKUP(A62,IntComp[],20,FALSE)))=0,"",IF(OR(F62="2019-2020",F62="2021-2025"),"",IF(ISNUMBER(SEARCH("LLC",D62)),VLOOKUP(A62,IntComp24[],20,FALSE),VLOOKUP(A62,IntComp[],20,FALSE))))</f>
        <v/>
      </c>
      <c r="O62" s="152" t="str">
        <f ca="1">IF(IF(OR(F62="2019-2020",F62="2021-2025"),"",IF(ISNUMBER(SEARCH("LLC",D62)),VLOOKUP(A62,IntComp24[],23,FALSE),VLOOKUP(A62,IntComp[],23,FALSE)))=0,"",IF(OR(F62="2019-2020",F62="2021-2025"),"",IF(ISNUMBER(SEARCH("LLC",D62)),VLOOKUP(A62,IntComp24[],23,FALSE),VLOOKUP(A62,IntComp[],23,FALSE))))</f>
        <v/>
      </c>
    </row>
    <row r="63" spans="1:15">
      <c r="A63" s="147" t="s">
        <v>293</v>
      </c>
      <c r="B63" s="144" t="str">
        <f>VLOOKUP(A63,Data[],2,FALSE)</f>
        <v>BRONX</v>
      </c>
      <c r="C63" s="144" t="s">
        <v>106</v>
      </c>
      <c r="D63" s="9" t="str">
        <f>VLOOKUP(A63,Data[],52,FALSE)</f>
        <v>FEDERAL</v>
      </c>
      <c r="E63" s="9">
        <f>VLOOKUP(IntAll[[#This Row],[DEVELOPMENT]],Data[],62,FALSE)</f>
        <v>3</v>
      </c>
      <c r="F63" s="9" t="str">
        <f ca="1">VLOOKUP(A63,Data[],4,FALSE)</f>
        <v>2022-2025</v>
      </c>
      <c r="G63" s="9">
        <f>VLOOKUP(IntAll[[#This Row],[DEVELOPMENT]],EHDAll[[DEVELOPMENT]:['# Units]],6,FALSE)</f>
        <v>1</v>
      </c>
      <c r="H63" s="143" t="str">
        <f ca="1">IF(IntAll[[#This Row],[STATUS]]="","",IF(OR(F63="2019-2020",F63="2021-2025"),"",IF(ISNUMBER(SEARCH("LLC",D63)),VLOOKUP(A63,IntComp24[],21,FALSE),VLOOKUP(A63,IntComp[],21,FALSE))))</f>
        <v/>
      </c>
      <c r="I63" s="143" t="str">
        <f ca="1">IF(IntAll[[#This Row],[STATUS]]="","",IF(IF(OR(F63="2019-2020",F63="2021-2025"),"",IF(ISNUMBER(SEARCH("LLC",D63)),VLOOKUP(A63,IntComp24[],16,FALSE),VLOOKUP(A63,IntComp[],16,FALSE)))=0,"",IF(OR(F63="2019-2020",F63="2021-2025"),"",IF(ISNUMBER(SEARCH("LLC",D63)),VLOOKUP(A63,IntComp24[],16,FALSE),VLOOKUP(A63,IntComp[],16,FALSE)))))</f>
        <v/>
      </c>
      <c r="J63" s="143" t="str">
        <f ca="1">IF(IF(OR(F63="2019-2020",F63="2021-2025"),"",IF(ISNUMBER(SEARCH("LLC",D63)),VLOOKUP(A63,IntComp24[],17,FALSE),VLOOKUP(A63,IntComp[],17,FALSE)))=0,"",IF(OR(F63="2019-2020",F63="2021-2025"),"",IF(ISNUMBER(SEARCH("LLC",D63)),VLOOKUP(A63,IntComp24[],17,FALSE),VLOOKUP(A63,IntComp[],17,FALSE))))</f>
        <v/>
      </c>
      <c r="K63" s="151"/>
      <c r="L63" s="151">
        <f ca="1">IF(OR(F63="2019-2020",F63="2021-2025"),"",IF(ISNUMBER(SEARCH("LLC",D63)),VLOOKUP(A63,IntComp24[],18,FALSE),VLOOKUP(A63,IntComp[],18,FALSE)))</f>
        <v>0</v>
      </c>
      <c r="M63" s="143"/>
      <c r="N63" s="143" t="str">
        <f ca="1">IF(IF(OR(F63="2019-2020",F63="2021-2025"),"",IF(ISNUMBER(SEARCH("LLC",D63)),VLOOKUP(A63,IntComp24[],20,FALSE),VLOOKUP(A63,IntComp[],20,FALSE)))=0,"",IF(OR(F63="2019-2020",F63="2021-2025"),"",IF(ISNUMBER(SEARCH("LLC",D63)),VLOOKUP(A63,IntComp24[],20,FALSE),VLOOKUP(A63,IntComp[],20,FALSE))))</f>
        <v/>
      </c>
      <c r="O63" s="152" t="str">
        <f ca="1">IF(IF(OR(F63="2019-2020",F63="2021-2025"),"",IF(ISNUMBER(SEARCH("LLC",D63)),VLOOKUP(A63,IntComp24[],23,FALSE),VLOOKUP(A63,IntComp[],23,FALSE)))=0,"",IF(OR(F63="2019-2020",F63="2021-2025"),"",IF(ISNUMBER(SEARCH("LLC",D63)),VLOOKUP(A63,IntComp24[],23,FALSE),VLOOKUP(A63,IntComp[],23,FALSE))))</f>
        <v/>
      </c>
    </row>
    <row r="64" spans="1:15">
      <c r="A64" s="147" t="s">
        <v>67</v>
      </c>
      <c r="B64" s="144" t="str">
        <f>VLOOKUP(A64,Data[],2,FALSE)</f>
        <v>MANHATTAN</v>
      </c>
      <c r="C64" s="144" t="s">
        <v>106</v>
      </c>
      <c r="D64" s="9" t="str">
        <f>VLOOKUP(A64,Data[],52,FALSE)</f>
        <v>FEDERAL</v>
      </c>
      <c r="E64" s="9">
        <f>VLOOKUP(IntAll[[#This Row],[DEVELOPMENT]],Data[],62,FALSE)</f>
        <v>10</v>
      </c>
      <c r="F64" s="9" t="str">
        <f ca="1">VLOOKUP(A64,Data[],4,FALSE)</f>
        <v>2026+</v>
      </c>
      <c r="G64" s="9">
        <f>VLOOKUP(IntAll[[#This Row],[DEVELOPMENT]],EHDAll[[DEVELOPMENT]:['# Units]],6,FALSE)</f>
        <v>1</v>
      </c>
      <c r="H64" s="143" t="str">
        <f ca="1">IF(IntAll[[#This Row],[STATUS]]="","",IF(OR(F64="2019-2020",F64="2021-2025"),"",IF(ISNUMBER(SEARCH("LLC",D64)),VLOOKUP(A64,IntComp24[],21,FALSE),VLOOKUP(A64,IntComp[],21,FALSE))))</f>
        <v/>
      </c>
      <c r="I64" s="143" t="str">
        <f ca="1">IF(IntAll[[#This Row],[STATUS]]="","",IF(IF(OR(F64="2019-2020",F64="2021-2025"),"",IF(ISNUMBER(SEARCH("LLC",D64)),VLOOKUP(A64,IntComp24[],16,FALSE),VLOOKUP(A64,IntComp[],16,FALSE)))=0,"",IF(OR(F64="2019-2020",F64="2021-2025"),"",IF(ISNUMBER(SEARCH("LLC",D64)),VLOOKUP(A64,IntComp24[],16,FALSE),VLOOKUP(A64,IntComp[],16,FALSE)))))</f>
        <v/>
      </c>
      <c r="J64" s="143" t="str">
        <f ca="1">IF(IF(OR(F64="2019-2020",F64="2021-2025"),"",IF(ISNUMBER(SEARCH("LLC",D64)),VLOOKUP(A64,IntComp24[],17,FALSE),VLOOKUP(A64,IntComp[],17,FALSE)))=0,"",IF(OR(F64="2019-2020",F64="2021-2025"),"",IF(ISNUMBER(SEARCH("LLC",D64)),VLOOKUP(A64,IntComp24[],17,FALSE),VLOOKUP(A64,IntComp[],17,FALSE))))</f>
        <v/>
      </c>
      <c r="K64" s="151"/>
      <c r="L64" s="151">
        <f ca="1">IF(OR(F64="2019-2020",F64="2021-2025"),"",IF(ISNUMBER(SEARCH("LLC",D64)),VLOOKUP(A64,IntComp24[],18,FALSE),VLOOKUP(A64,IntComp[],18,FALSE)))</f>
        <v>76335.875</v>
      </c>
      <c r="M64" s="143"/>
      <c r="N64" s="143" t="str">
        <f ca="1">IF(IF(OR(F64="2019-2020",F64="2021-2025"),"",IF(ISNUMBER(SEARCH("LLC",D64)),VLOOKUP(A64,IntComp24[],20,FALSE),VLOOKUP(A64,IntComp[],20,FALSE)))=0,"",IF(OR(F64="2019-2020",F64="2021-2025"),"",IF(ISNUMBER(SEARCH("LLC",D64)),VLOOKUP(A64,IntComp24[],20,FALSE),VLOOKUP(A64,IntComp[],20,FALSE))))</f>
        <v/>
      </c>
      <c r="O64" s="152" t="str">
        <f ca="1">IF(IF(OR(F64="2019-2020",F64="2021-2025"),"",IF(ISNUMBER(SEARCH("LLC",D64)),VLOOKUP(A64,IntComp24[],23,FALSE),VLOOKUP(A64,IntComp[],23,FALSE)))=0,"",IF(OR(F64="2019-2020",F64="2021-2025"),"",IF(ISNUMBER(SEARCH("LLC",D64)),VLOOKUP(A64,IntComp24[],23,FALSE),VLOOKUP(A64,IntComp[],23,FALSE))))</f>
        <v/>
      </c>
    </row>
    <row r="65" spans="1:15">
      <c r="A65" s="147" t="s">
        <v>227</v>
      </c>
      <c r="B65" s="144" t="str">
        <f>VLOOKUP(A65,Data[],2,FALSE)</f>
        <v>BRONX</v>
      </c>
      <c r="C65" s="144" t="s">
        <v>106</v>
      </c>
      <c r="D65" s="9" t="str">
        <f>VLOOKUP(A65,Data[],52,FALSE)</f>
        <v>FEDERAL</v>
      </c>
      <c r="E65" s="9">
        <f>VLOOKUP(IntAll[[#This Row],[DEVELOPMENT]],Data[],62,FALSE)</f>
        <v>9</v>
      </c>
      <c r="F65" s="9" t="str">
        <f ca="1">VLOOKUP(A65,Data[],4,FALSE)</f>
        <v>2026+</v>
      </c>
      <c r="G65" s="9">
        <f>VLOOKUP(IntAll[[#This Row],[DEVELOPMENT]],EHDAll[[DEVELOPMENT]:['# Units]],6,FALSE)</f>
        <v>2</v>
      </c>
      <c r="H65" s="143" t="str">
        <f ca="1">IF(IntAll[[#This Row],[STATUS]]="","",IF(OR(F65="2019-2020",F65="2021-2025"),"",IF(ISNUMBER(SEARCH("LLC",D65)),VLOOKUP(A65,IntComp24[],21,FALSE),VLOOKUP(A65,IntComp[],21,FALSE))))</f>
        <v/>
      </c>
      <c r="I65" s="143" t="str">
        <f ca="1">IF(IntAll[[#This Row],[STATUS]]="","",IF(IF(OR(F65="2019-2020",F65="2021-2025"),"",IF(ISNUMBER(SEARCH("LLC",D65)),VLOOKUP(A65,IntComp24[],16,FALSE),VLOOKUP(A65,IntComp[],16,FALSE)))=0,"",IF(OR(F65="2019-2020",F65="2021-2025"),"",IF(ISNUMBER(SEARCH("LLC",D65)),VLOOKUP(A65,IntComp24[],16,FALSE),VLOOKUP(A65,IntComp[],16,FALSE)))))</f>
        <v/>
      </c>
      <c r="J65" s="143" t="str">
        <f ca="1">IF(IF(OR(F65="2019-2020",F65="2021-2025"),"",IF(ISNUMBER(SEARCH("LLC",D65)),VLOOKUP(A65,IntComp24[],17,FALSE),VLOOKUP(A65,IntComp[],17,FALSE)))=0,"",IF(OR(F65="2019-2020",F65="2021-2025"),"",IF(ISNUMBER(SEARCH("LLC",D65)),VLOOKUP(A65,IntComp24[],17,FALSE),VLOOKUP(A65,IntComp[],17,FALSE))))</f>
        <v/>
      </c>
      <c r="K65" s="151"/>
      <c r="L65" s="151">
        <f ca="1">IF(OR(F65="2019-2020",F65="2021-2025"),"",IF(ISNUMBER(SEARCH("LLC",D65)),VLOOKUP(A65,IntComp24[],18,FALSE),VLOOKUP(A65,IntComp[],18,FALSE)))</f>
        <v>157087.875</v>
      </c>
      <c r="M65" s="143"/>
      <c r="N65" s="143" t="str">
        <f ca="1">IF(IF(OR(F65="2019-2020",F65="2021-2025"),"",IF(ISNUMBER(SEARCH("LLC",D65)),VLOOKUP(A65,IntComp24[],20,FALSE),VLOOKUP(A65,IntComp[],20,FALSE)))=0,"",IF(OR(F65="2019-2020",F65="2021-2025"),"",IF(ISNUMBER(SEARCH("LLC",D65)),VLOOKUP(A65,IntComp24[],20,FALSE),VLOOKUP(A65,IntComp[],20,FALSE))))</f>
        <v/>
      </c>
      <c r="O65" s="152" t="str">
        <f ca="1">IF(IF(OR(F65="2019-2020",F65="2021-2025"),"",IF(ISNUMBER(SEARCH("LLC",D65)),VLOOKUP(A65,IntComp24[],23,FALSE),VLOOKUP(A65,IntComp[],23,FALSE)))=0,"",IF(OR(F65="2019-2020",F65="2021-2025"),"",IF(ISNUMBER(SEARCH("LLC",D65)),VLOOKUP(A65,IntComp24[],23,FALSE),VLOOKUP(A65,IntComp[],23,FALSE))))</f>
        <v/>
      </c>
    </row>
    <row r="66" spans="1:15">
      <c r="A66" s="147" t="s">
        <v>229</v>
      </c>
      <c r="B66" s="144" t="str">
        <f>VLOOKUP(A66,Data[],2,FALSE)</f>
        <v>MANHATTAN</v>
      </c>
      <c r="C66" s="144" t="s">
        <v>106</v>
      </c>
      <c r="D66" s="9" t="str">
        <f>VLOOKUP(A66,Data[],52,FALSE)</f>
        <v>FEDERAL</v>
      </c>
      <c r="E66" s="9">
        <f>VLOOKUP(IntAll[[#This Row],[DEVELOPMENT]],Data[],62,FALSE)</f>
        <v>7</v>
      </c>
      <c r="F66" s="9" t="str">
        <f ca="1">VLOOKUP(A66,Data[],4,FALSE)</f>
        <v/>
      </c>
      <c r="G66" s="9">
        <f>VLOOKUP(IntAll[[#This Row],[DEVELOPMENT]],EHDAll[[DEVELOPMENT]:['# Units]],6,FALSE)</f>
        <v>1</v>
      </c>
      <c r="H66" s="143" t="str">
        <f ca="1">IF(IntAll[[#This Row],[STATUS]]="","",IF(OR(F66="2019-2020",F66="2021-2025"),"",IF(ISNUMBER(SEARCH("LLC",D66)),VLOOKUP(A66,IntComp24[],21,FALSE),VLOOKUP(A66,IntComp[],21,FALSE))))</f>
        <v/>
      </c>
      <c r="I66" s="143" t="str">
        <f ca="1">IF(IntAll[[#This Row],[STATUS]]="","",IF(IF(OR(F66="2019-2020",F66="2021-2025"),"",IF(ISNUMBER(SEARCH("LLC",D66)),VLOOKUP(A66,IntComp24[],16,FALSE),VLOOKUP(A66,IntComp[],16,FALSE)))=0,"",IF(OR(F66="2019-2020",F66="2021-2025"),"",IF(ISNUMBER(SEARCH("LLC",D66)),VLOOKUP(A66,IntComp24[],16,FALSE),VLOOKUP(A66,IntComp[],16,FALSE)))))</f>
        <v/>
      </c>
      <c r="J66" s="143" t="str">
        <f ca="1">IF(IF(OR(F66="2019-2020",F66="2021-2025"),"",IF(ISNUMBER(SEARCH("LLC",D66)),VLOOKUP(A66,IntComp24[],17,FALSE),VLOOKUP(A66,IntComp[],17,FALSE)))=0,"",IF(OR(F66="2019-2020",F66="2021-2025"),"",IF(ISNUMBER(SEARCH("LLC",D66)),VLOOKUP(A66,IntComp24[],17,FALSE),VLOOKUP(A66,IntComp[],17,FALSE))))</f>
        <v/>
      </c>
      <c r="K66" s="151"/>
      <c r="L66" s="151">
        <f ca="1">IF(OR(F66="2019-2020",F66="2021-2025"),"",IF(ISNUMBER(SEARCH("LLC",D66)),VLOOKUP(A66,IntComp24[],18,FALSE),VLOOKUP(A66,IntComp[],18,FALSE)))</f>
        <v>0</v>
      </c>
      <c r="M66" s="143"/>
      <c r="N66" s="143" t="str">
        <f ca="1">IF(IF(OR(F66="2019-2020",F66="2021-2025"),"",IF(ISNUMBER(SEARCH("LLC",D66)),VLOOKUP(A66,IntComp24[],20,FALSE),VLOOKUP(A66,IntComp[],20,FALSE)))=0,"",IF(OR(F66="2019-2020",F66="2021-2025"),"",IF(ISNUMBER(SEARCH("LLC",D66)),VLOOKUP(A66,IntComp24[],20,FALSE),VLOOKUP(A66,IntComp[],20,FALSE))))</f>
        <v/>
      </c>
      <c r="O66" s="152" t="str">
        <f ca="1">IF(IF(OR(F66="2019-2020",F66="2021-2025"),"",IF(ISNUMBER(SEARCH("LLC",D66)),VLOOKUP(A66,IntComp24[],23,FALSE),VLOOKUP(A66,IntComp[],23,FALSE)))=0,"",IF(OR(F66="2019-2020",F66="2021-2025"),"",IF(ISNUMBER(SEARCH("LLC",D66)),VLOOKUP(A66,IntComp24[],23,FALSE),VLOOKUP(A66,IntComp[],23,FALSE))))</f>
        <v/>
      </c>
    </row>
    <row r="67" spans="1:15">
      <c r="A67" s="147" t="s">
        <v>69</v>
      </c>
      <c r="B67" s="144" t="str">
        <f>VLOOKUP(A67,Data[],2,FALSE)</f>
        <v>MANHATTAN</v>
      </c>
      <c r="C67" s="144" t="s">
        <v>106</v>
      </c>
      <c r="D67" s="9" t="str">
        <f>VLOOKUP(A67,Data[],52,FALSE)</f>
        <v>FEDERAL</v>
      </c>
      <c r="E67" s="9">
        <f>VLOOKUP(IntAll[[#This Row],[DEVELOPMENT]],Data[],62,FALSE)</f>
        <v>11</v>
      </c>
      <c r="F67" s="9" t="str">
        <f ca="1">VLOOKUP(A67,Data[],4,FALSE)</f>
        <v>2020-2021</v>
      </c>
      <c r="G67" s="9">
        <f>VLOOKUP(IntAll[[#This Row],[DEVELOPMENT]],EHDAll[[DEVELOPMENT]:['# Units]],6,FALSE)</f>
        <v>1</v>
      </c>
      <c r="H67" s="143" t="str">
        <f ca="1">IF(IntAll[[#This Row],[STATUS]]="","",IF(OR(F67="2019-2020",F67="2021-2025"),"",IF(ISNUMBER(SEARCH("LLC",D67)),VLOOKUP(A67,IntComp24[],21,FALSE),VLOOKUP(A67,IntComp[],21,FALSE))))</f>
        <v/>
      </c>
      <c r="I67" s="143" t="str">
        <f ca="1">IF(IntAll[[#This Row],[STATUS]]="","",IF(IF(OR(F67="2019-2020",F67="2021-2025"),"",IF(ISNUMBER(SEARCH("LLC",D67)),VLOOKUP(A67,IntComp24[],16,FALSE),VLOOKUP(A67,IntComp[],16,FALSE)))=0,"",IF(OR(F67="2019-2020",F67="2021-2025"),"",IF(ISNUMBER(SEARCH("LLC",D67)),VLOOKUP(A67,IntComp24[],16,FALSE),VLOOKUP(A67,IntComp[],16,FALSE)))))</f>
        <v/>
      </c>
      <c r="J67" s="143" t="str">
        <f ca="1">IF(IF(OR(F67="2019-2020",F67="2021-2025"),"",IF(ISNUMBER(SEARCH("LLC",D67)),VLOOKUP(A67,IntComp24[],17,FALSE),VLOOKUP(A67,IntComp[],17,FALSE)))=0,"",IF(OR(F67="2019-2020",F67="2021-2025"),"",IF(ISNUMBER(SEARCH("LLC",D67)),VLOOKUP(A67,IntComp24[],17,FALSE),VLOOKUP(A67,IntComp[],17,FALSE))))</f>
        <v/>
      </c>
      <c r="K67" s="151"/>
      <c r="L67" s="151">
        <f ca="1">IF(OR(F67="2019-2020",F67="2021-2025"),"",IF(ISNUMBER(SEARCH("LLC",D67)),VLOOKUP(A67,IntComp24[],18,FALSE),VLOOKUP(A67,IntComp[],18,FALSE)))</f>
        <v>0</v>
      </c>
      <c r="M67" s="143"/>
      <c r="N67" s="143" t="str">
        <f ca="1">IF(IF(OR(F67="2019-2020",F67="2021-2025"),"",IF(ISNUMBER(SEARCH("LLC",D67)),VLOOKUP(A67,IntComp24[],20,FALSE),VLOOKUP(A67,IntComp[],20,FALSE)))=0,"",IF(OR(F67="2019-2020",F67="2021-2025"),"",IF(ISNUMBER(SEARCH("LLC",D67)),VLOOKUP(A67,IntComp24[],20,FALSE),VLOOKUP(A67,IntComp[],20,FALSE))))</f>
        <v/>
      </c>
      <c r="O67" s="152" t="str">
        <f ca="1">IF(IF(OR(F67="2019-2020",F67="2021-2025"),"",IF(ISNUMBER(SEARCH("LLC",D67)),VLOOKUP(A67,IntComp24[],23,FALSE),VLOOKUP(A67,IntComp[],23,FALSE)))=0,"",IF(OR(F67="2019-2020",F67="2021-2025"),"",IF(ISNUMBER(SEARCH("LLC",D67)),VLOOKUP(A67,IntComp24[],23,FALSE),VLOOKUP(A67,IntComp[],23,FALSE))))</f>
        <v/>
      </c>
    </row>
    <row r="68" spans="1:15">
      <c r="A68" s="147" t="s">
        <v>282</v>
      </c>
      <c r="B68" s="144" t="str">
        <f>VLOOKUP(A68,Data[],2,FALSE)</f>
        <v>MANHATTAN</v>
      </c>
      <c r="C68" s="144" t="s">
        <v>106</v>
      </c>
      <c r="D68" s="9" t="str">
        <f>VLOOKUP(A68,Data[],52,FALSE)</f>
        <v>MIXED FINANCE/LLC2</v>
      </c>
      <c r="E68" s="9">
        <f>VLOOKUP(IntAll[[#This Row],[DEVELOPMENT]],Data[],62,FALSE)</f>
        <v>6</v>
      </c>
      <c r="F68" s="9" t="str">
        <f ca="1">VLOOKUP(A68,Data[],4,FALSE)</f>
        <v>2020-2021</v>
      </c>
      <c r="G68" s="9">
        <f>VLOOKUP(IntAll[[#This Row],[DEVELOPMENT]],EHDAll[[DEVELOPMENT]:['# Units]],6,FALSE)</f>
        <v>1</v>
      </c>
      <c r="H68" s="143" t="str">
        <f ca="1">IF(IntAll[[#This Row],[STATUS]]="","",IF(OR(F68="2019-2020",F68="2021-2025"),"",IF(ISNUMBER(SEARCH("LLC",D68)),VLOOKUP(A68,IntComp24[],21,FALSE),VLOOKUP(A68,IntComp[],21,FALSE))))</f>
        <v/>
      </c>
      <c r="I68" s="143" t="str">
        <f ca="1">IF(IntAll[[#This Row],[STATUS]]="","",IF(IF(OR(F68="2019-2020",F68="2021-2025"),"",IF(ISNUMBER(SEARCH("LLC",D68)),VLOOKUP(A68,IntComp24[],16,FALSE),VLOOKUP(A68,IntComp[],16,FALSE)))=0,"",IF(OR(F68="2019-2020",F68="2021-2025"),"",IF(ISNUMBER(SEARCH("LLC",D68)),VLOOKUP(A68,IntComp24[],16,FALSE),VLOOKUP(A68,IntComp[],16,FALSE)))))</f>
        <v/>
      </c>
      <c r="J68" s="143" t="str">
        <f ca="1">IF(IF(OR(F68="2019-2020",F68="2021-2025"),"",IF(ISNUMBER(SEARCH("LLC",D68)),VLOOKUP(A68,IntComp24[],17,FALSE),VLOOKUP(A68,IntComp[],17,FALSE)))=0,"",IF(OR(F68="2019-2020",F68="2021-2025"),"",IF(ISNUMBER(SEARCH("LLC",D68)),VLOOKUP(A68,IntComp24[],17,FALSE),VLOOKUP(A68,IntComp[],17,FALSE))))</f>
        <v/>
      </c>
      <c r="K68" s="151"/>
      <c r="L68" s="151">
        <f ca="1">IF(OR(F68="2019-2020",F68="2021-2025"),"",IF(ISNUMBER(SEARCH("LLC",D68)),VLOOKUP(A68,IntComp24[],18,FALSE),VLOOKUP(A68,IntComp[],18,FALSE)))</f>
        <v>0</v>
      </c>
      <c r="M68" s="143"/>
      <c r="N68" s="143" t="str">
        <f ca="1">IF(IF(OR(F68="2019-2020",F68="2021-2025"),"",IF(ISNUMBER(SEARCH("LLC",D68)),VLOOKUP(A68,IntComp24[],20,FALSE),VLOOKUP(A68,IntComp[],20,FALSE)))=0,"",IF(OR(F68="2019-2020",F68="2021-2025"),"",IF(ISNUMBER(SEARCH("LLC",D68)),VLOOKUP(A68,IntComp24[],20,FALSE),VLOOKUP(A68,IntComp[],20,FALSE))))</f>
        <v/>
      </c>
      <c r="O68" s="152" t="str">
        <f ca="1">IF(IF(OR(F68="2019-2020",F68="2021-2025"),"",IF(ISNUMBER(SEARCH("LLC",D68)),VLOOKUP(A68,IntComp24[],23,FALSE),VLOOKUP(A68,IntComp[],23,FALSE)))=0,"",IF(OR(F68="2019-2020",F68="2021-2025"),"",IF(ISNUMBER(SEARCH("LLC",D68)),VLOOKUP(A68,IntComp24[],23,FALSE),VLOOKUP(A68,IntComp[],23,FALSE))))</f>
        <v/>
      </c>
    </row>
    <row r="69" spans="1:15">
      <c r="A69" s="147" t="s">
        <v>294</v>
      </c>
      <c r="B69" s="144" t="str">
        <f>VLOOKUP(A69,Data[],2,FALSE)</f>
        <v>BROOKLYN</v>
      </c>
      <c r="C69" s="144" t="s">
        <v>106</v>
      </c>
      <c r="D69" s="9" t="str">
        <f>VLOOKUP(A69,Data[],52,FALSE)</f>
        <v>FEDERAL</v>
      </c>
      <c r="E69" s="9">
        <f>VLOOKUP(IntAll[[#This Row],[DEVELOPMENT]],Data[],62,FALSE)</f>
        <v>6</v>
      </c>
      <c r="F69" s="9">
        <f ca="1">VLOOKUP(A69,Data[],4,FALSE)</f>
        <v>2019</v>
      </c>
      <c r="G69" s="9">
        <f>VLOOKUP(IntAll[[#This Row],[DEVELOPMENT]],EHDAll[[DEVELOPMENT]:['# Units]],6,FALSE)</f>
        <v>2</v>
      </c>
      <c r="H69" s="143" t="str">
        <f ca="1">IF(IntAll[[#This Row],[STATUS]]="","",IF(OR(F69="2019-2020",F69="2021-2025"),"",IF(ISNUMBER(SEARCH("LLC",D69)),VLOOKUP(A69,IntComp24[],21,FALSE),VLOOKUP(A69,IntComp[],21,FALSE))))</f>
        <v/>
      </c>
      <c r="I69" s="143" t="str">
        <f ca="1">IF(IntAll[[#This Row],[STATUS]]="","",IF(IF(OR(F69="2019-2020",F69="2021-2025"),"",IF(ISNUMBER(SEARCH("LLC",D69)),VLOOKUP(A69,IntComp24[],16,FALSE),VLOOKUP(A69,IntComp[],16,FALSE)))=0,"",IF(OR(F69="2019-2020",F69="2021-2025"),"",IF(ISNUMBER(SEARCH("LLC",D69)),VLOOKUP(A69,IntComp24[],16,FALSE),VLOOKUP(A69,IntComp[],16,FALSE)))))</f>
        <v/>
      </c>
      <c r="J69" s="143" t="str">
        <f ca="1">IF(IF(OR(F69="2019-2020",F69="2021-2025"),"",IF(ISNUMBER(SEARCH("LLC",D69)),VLOOKUP(A69,IntComp24[],17,FALSE),VLOOKUP(A69,IntComp[],17,FALSE)))=0,"",IF(OR(F69="2019-2020",F69="2021-2025"),"",IF(ISNUMBER(SEARCH("LLC",D69)),VLOOKUP(A69,IntComp24[],17,FALSE),VLOOKUP(A69,IntComp[],17,FALSE))))</f>
        <v/>
      </c>
      <c r="K69" s="151"/>
      <c r="L69" s="151">
        <f ca="1">IF(OR(F69="2019-2020",F69="2021-2025"),"",IF(ISNUMBER(SEARCH("LLC",D69)),VLOOKUP(A69,IntComp24[],18,FALSE),VLOOKUP(A69,IntComp[],18,FALSE)))</f>
        <v>0</v>
      </c>
      <c r="M69" s="143"/>
      <c r="N69" s="143" t="str">
        <f ca="1">IF(IF(OR(F69="2019-2020",F69="2021-2025"),"",IF(ISNUMBER(SEARCH("LLC",D69)),VLOOKUP(A69,IntComp24[],20,FALSE),VLOOKUP(A69,IntComp[],20,FALSE)))=0,"",IF(OR(F69="2019-2020",F69="2021-2025"),"",IF(ISNUMBER(SEARCH("LLC",D69)),VLOOKUP(A69,IntComp24[],20,FALSE),VLOOKUP(A69,IntComp[],20,FALSE))))</f>
        <v/>
      </c>
      <c r="O69" s="152" t="str">
        <f ca="1">IF(IF(OR(F69="2019-2020",F69="2021-2025"),"",IF(ISNUMBER(SEARCH("LLC",D69)),VLOOKUP(A69,IntComp24[],23,FALSE),VLOOKUP(A69,IntComp[],23,FALSE)))=0,"",IF(OR(F69="2019-2020",F69="2021-2025"),"",IF(ISNUMBER(SEARCH("LLC",D69)),VLOOKUP(A69,IntComp24[],23,FALSE),VLOOKUP(A69,IntComp[],23,FALSE))))</f>
        <v/>
      </c>
    </row>
    <row r="70" spans="1:15">
      <c r="A70" s="147" t="s">
        <v>295</v>
      </c>
      <c r="B70" s="144" t="str">
        <f>VLOOKUP(A70,Data[],2,FALSE)</f>
        <v>MANHATTAN</v>
      </c>
      <c r="C70" s="144" t="s">
        <v>106</v>
      </c>
      <c r="D70" s="9" t="str">
        <f>VLOOKUP(A70,Data[],52,FALSE)</f>
        <v>FEDERAL</v>
      </c>
      <c r="E70" s="9">
        <f>VLOOKUP(IntAll[[#This Row],[DEVELOPMENT]],Data[],62,FALSE)</f>
        <v>7</v>
      </c>
      <c r="F70" s="9" t="str">
        <f ca="1">VLOOKUP(A70,Data[],4,FALSE)</f>
        <v/>
      </c>
      <c r="G70" s="9">
        <f>VLOOKUP(IntAll[[#This Row],[DEVELOPMENT]],EHDAll[[DEVELOPMENT]:['# Units]],6,FALSE)</f>
        <v>1</v>
      </c>
      <c r="H70" s="143" t="str">
        <f ca="1">IF(IntAll[[#This Row],[STATUS]]="","",IF(OR(F70="2019-2020",F70="2021-2025"),"",IF(ISNUMBER(SEARCH("LLC",D70)),VLOOKUP(A70,IntComp24[],21,FALSE),VLOOKUP(A70,IntComp[],21,FALSE))))</f>
        <v/>
      </c>
      <c r="I70" s="143" t="str">
        <f ca="1">IF(IntAll[[#This Row],[STATUS]]="","",IF(IF(OR(F70="2019-2020",F70="2021-2025"),"",IF(ISNUMBER(SEARCH("LLC",D70)),VLOOKUP(A70,IntComp24[],16,FALSE),VLOOKUP(A70,IntComp[],16,FALSE)))=0,"",IF(OR(F70="2019-2020",F70="2021-2025"),"",IF(ISNUMBER(SEARCH("LLC",D70)),VLOOKUP(A70,IntComp24[],16,FALSE),VLOOKUP(A70,IntComp[],16,FALSE)))))</f>
        <v/>
      </c>
      <c r="J70" s="143" t="str">
        <f ca="1">IF(IF(OR(F70="2019-2020",F70="2021-2025"),"",IF(ISNUMBER(SEARCH("LLC",D70)),VLOOKUP(A70,IntComp24[],17,FALSE),VLOOKUP(A70,IntComp[],17,FALSE)))=0,"",IF(OR(F70="2019-2020",F70="2021-2025"),"",IF(ISNUMBER(SEARCH("LLC",D70)),VLOOKUP(A70,IntComp24[],17,FALSE),VLOOKUP(A70,IntComp[],17,FALSE))))</f>
        <v/>
      </c>
      <c r="K70" s="151"/>
      <c r="L70" s="151">
        <f ca="1">IF(OR(F70="2019-2020",F70="2021-2025"),"",IF(ISNUMBER(SEARCH("LLC",D70)),VLOOKUP(A70,IntComp24[],18,FALSE),VLOOKUP(A70,IntComp[],18,FALSE)))</f>
        <v>65295.562499999993</v>
      </c>
      <c r="M70" s="143"/>
      <c r="N70" s="143" t="str">
        <f ca="1">IF(IF(OR(F70="2019-2020",F70="2021-2025"),"",IF(ISNUMBER(SEARCH("LLC",D70)),VLOOKUP(A70,IntComp24[],20,FALSE),VLOOKUP(A70,IntComp[],20,FALSE)))=0,"",IF(OR(F70="2019-2020",F70="2021-2025"),"",IF(ISNUMBER(SEARCH("LLC",D70)),VLOOKUP(A70,IntComp24[],20,FALSE),VLOOKUP(A70,IntComp[],20,FALSE))))</f>
        <v/>
      </c>
      <c r="O70" s="152" t="str">
        <f ca="1">IF(IF(OR(F70="2019-2020",F70="2021-2025"),"",IF(ISNUMBER(SEARCH("LLC",D70)),VLOOKUP(A70,IntComp24[],23,FALSE),VLOOKUP(A70,IntComp[],23,FALSE)))=0,"",IF(OR(F70="2019-2020",F70="2021-2025"),"",IF(ISNUMBER(SEARCH("LLC",D70)),VLOOKUP(A70,IntComp24[],23,FALSE),VLOOKUP(A70,IntComp[],23,FALSE))))</f>
        <v/>
      </c>
    </row>
    <row r="71" spans="1:15">
      <c r="A71" s="147" t="s">
        <v>278</v>
      </c>
      <c r="B71" s="144" t="str">
        <f>VLOOKUP(A71,Data[],2,FALSE)</f>
        <v>BRONX</v>
      </c>
      <c r="C71" s="144" t="s">
        <v>106</v>
      </c>
      <c r="D71" s="9" t="str">
        <f>VLOOKUP(A71,Data[],52,FALSE)</f>
        <v>FEDERAL</v>
      </c>
      <c r="E71" s="9">
        <f>VLOOKUP(IntAll[[#This Row],[DEVELOPMENT]],Data[],62,FALSE)</f>
        <v>1</v>
      </c>
      <c r="F71" s="9" t="str">
        <f ca="1">VLOOKUP(A71,Data[],4,FALSE)</f>
        <v/>
      </c>
      <c r="G71" s="9">
        <f>VLOOKUP(IntAll[[#This Row],[DEVELOPMENT]],EHDAll[[DEVELOPMENT]:['# Units]],6,FALSE)</f>
        <v>7</v>
      </c>
      <c r="H71" s="143" t="str">
        <f ca="1">IF(IntAll[[#This Row],[STATUS]]="","",IF(OR(F71="2019-2020",F71="2021-2025"),"",IF(ISNUMBER(SEARCH("LLC",D71)),VLOOKUP(A71,IntComp24[],21,FALSE),VLOOKUP(A71,IntComp[],21,FALSE))))</f>
        <v/>
      </c>
      <c r="I71" s="143" t="str">
        <f ca="1">IF(IntAll[[#This Row],[STATUS]]="","",IF(IF(OR(F71="2019-2020",F71="2021-2025"),"",IF(ISNUMBER(SEARCH("LLC",D71)),VLOOKUP(A71,IntComp24[],16,FALSE),VLOOKUP(A71,IntComp[],16,FALSE)))=0,"",IF(OR(F71="2019-2020",F71="2021-2025"),"",IF(ISNUMBER(SEARCH("LLC",D71)),VLOOKUP(A71,IntComp24[],16,FALSE),VLOOKUP(A71,IntComp[],16,FALSE)))))</f>
        <v/>
      </c>
      <c r="J71" s="143" t="str">
        <f ca="1">IF(IF(OR(F71="2019-2020",F71="2021-2025"),"",IF(ISNUMBER(SEARCH("LLC",D71)),VLOOKUP(A71,IntComp24[],17,FALSE),VLOOKUP(A71,IntComp[],17,FALSE)))=0,"",IF(OR(F71="2019-2020",F71="2021-2025"),"",IF(ISNUMBER(SEARCH("LLC",D71)),VLOOKUP(A71,IntComp24[],17,FALSE),VLOOKUP(A71,IntComp[],17,FALSE))))</f>
        <v/>
      </c>
      <c r="K71" s="151"/>
      <c r="L71" s="151">
        <f ca="1">IF(OR(F71="2019-2020",F71="2021-2025"),"",IF(ISNUMBER(SEARCH("LLC",D71)),VLOOKUP(A71,IntComp24[],18,FALSE),VLOOKUP(A71,IntComp[],18,FALSE)))</f>
        <v>472525.375</v>
      </c>
      <c r="M71" s="143"/>
      <c r="N71" s="143" t="str">
        <f ca="1">IF(IF(OR(F71="2019-2020",F71="2021-2025"),"",IF(ISNUMBER(SEARCH("LLC",D71)),VLOOKUP(A71,IntComp24[],20,FALSE),VLOOKUP(A71,IntComp[],20,FALSE)))=0,"",IF(OR(F71="2019-2020",F71="2021-2025"),"",IF(ISNUMBER(SEARCH("LLC",D71)),VLOOKUP(A71,IntComp24[],20,FALSE),VLOOKUP(A71,IntComp[],20,FALSE))))</f>
        <v/>
      </c>
      <c r="O71" s="152" t="str">
        <f ca="1">IF(IF(OR(F71="2019-2020",F71="2021-2025"),"",IF(ISNUMBER(SEARCH("LLC",D71)),VLOOKUP(A71,IntComp24[],23,FALSE),VLOOKUP(A71,IntComp[],23,FALSE)))=0,"",IF(OR(F71="2019-2020",F71="2021-2025"),"",IF(ISNUMBER(SEARCH("LLC",D71)),VLOOKUP(A71,IntComp24[],23,FALSE),VLOOKUP(A71,IntComp[],23,FALSE))))</f>
        <v/>
      </c>
    </row>
    <row r="72" spans="1:15">
      <c r="A72" s="147" t="s">
        <v>296</v>
      </c>
      <c r="B72" s="144" t="str">
        <f>VLOOKUP(A72,Data[],2,FALSE)</f>
        <v>BROOKLYN</v>
      </c>
      <c r="C72" s="144" t="s">
        <v>106</v>
      </c>
      <c r="D72" s="9" t="str">
        <f>VLOOKUP(A72,Data[],52,FALSE)</f>
        <v>FEDERAL</v>
      </c>
      <c r="E72" s="9">
        <f>VLOOKUP(IntAll[[#This Row],[DEVELOPMENT]],Data[],62,FALSE)</f>
        <v>8</v>
      </c>
      <c r="F72" s="9" t="str">
        <f ca="1">VLOOKUP(A72,Data[],4,FALSE)</f>
        <v>2022-2025</v>
      </c>
      <c r="G72" s="9">
        <f>VLOOKUP(IntAll[[#This Row],[DEVELOPMENT]],EHDAll[[DEVELOPMENT]:['# Units]],6,FALSE)</f>
        <v>6</v>
      </c>
      <c r="H72" s="143" t="str">
        <f ca="1">IF(IntAll[[#This Row],[STATUS]]="","",IF(OR(F72="2019-2020",F72="2021-2025"),"",IF(ISNUMBER(SEARCH("LLC",D72)),VLOOKUP(A72,IntComp24[],21,FALSE),VLOOKUP(A72,IntComp[],21,FALSE))))</f>
        <v/>
      </c>
      <c r="I72" s="143" t="str">
        <f ca="1">IF(IntAll[[#This Row],[STATUS]]="","",IF(IF(OR(F72="2019-2020",F72="2021-2025"),"",IF(ISNUMBER(SEARCH("LLC",D72)),VLOOKUP(A72,IntComp24[],16,FALSE),VLOOKUP(A72,IntComp[],16,FALSE)))=0,"",IF(OR(F72="2019-2020",F72="2021-2025"),"",IF(ISNUMBER(SEARCH("LLC",D72)),VLOOKUP(A72,IntComp24[],16,FALSE),VLOOKUP(A72,IntComp[],16,FALSE)))))</f>
        <v/>
      </c>
      <c r="J72" s="143" t="str">
        <f ca="1">IF(IF(OR(F72="2019-2020",F72="2021-2025"),"",IF(ISNUMBER(SEARCH("LLC",D72)),VLOOKUP(A72,IntComp24[],17,FALSE),VLOOKUP(A72,IntComp[],17,FALSE)))=0,"",IF(OR(F72="2019-2020",F72="2021-2025"),"",IF(ISNUMBER(SEARCH("LLC",D72)),VLOOKUP(A72,IntComp24[],17,FALSE),VLOOKUP(A72,IntComp[],17,FALSE))))</f>
        <v/>
      </c>
      <c r="K72" s="151"/>
      <c r="L72" s="151">
        <f ca="1">IF(OR(F72="2019-2020",F72="2021-2025"),"",IF(ISNUMBER(SEARCH("LLC",D72)),VLOOKUP(A72,IntComp24[],18,FALSE),VLOOKUP(A72,IntComp[],18,FALSE)))</f>
        <v>0</v>
      </c>
      <c r="M72" s="143"/>
      <c r="N72" s="143" t="str">
        <f ca="1">IF(IF(OR(F72="2019-2020",F72="2021-2025"),"",IF(ISNUMBER(SEARCH("LLC",D72)),VLOOKUP(A72,IntComp24[],20,FALSE),VLOOKUP(A72,IntComp[],20,FALSE)))=0,"",IF(OR(F72="2019-2020",F72="2021-2025"),"",IF(ISNUMBER(SEARCH("LLC",D72)),VLOOKUP(A72,IntComp24[],20,FALSE),VLOOKUP(A72,IntComp[],20,FALSE))))</f>
        <v/>
      </c>
      <c r="O72" s="152" t="str">
        <f ca="1">IF(IF(OR(F72="2019-2020",F72="2021-2025"),"",IF(ISNUMBER(SEARCH("LLC",D72)),VLOOKUP(A72,IntComp24[],23,FALSE),VLOOKUP(A72,IntComp[],23,FALSE)))=0,"",IF(OR(F72="2019-2020",F72="2021-2025"),"",IF(ISNUMBER(SEARCH("LLC",D72)),VLOOKUP(A72,IntComp24[],23,FALSE),VLOOKUP(A72,IntComp[],23,FALSE))))</f>
        <v/>
      </c>
    </row>
    <row r="73" spans="1:15">
      <c r="A73" s="147" t="s">
        <v>297</v>
      </c>
      <c r="B73" s="144" t="str">
        <f>VLOOKUP(A73,Data[],2,FALSE)</f>
        <v>BROOKLYN</v>
      </c>
      <c r="C73" s="144" t="s">
        <v>106</v>
      </c>
      <c r="D73" s="9" t="str">
        <f>VLOOKUP(A73,Data[],52,FALSE)</f>
        <v>FEDERAL</v>
      </c>
      <c r="E73" s="9">
        <f>VLOOKUP(IntAll[[#This Row],[DEVELOPMENT]],Data[],62,FALSE)</f>
        <v>8</v>
      </c>
      <c r="F73" s="9" t="str">
        <f ca="1">VLOOKUP(A73,Data[],4,FALSE)</f>
        <v>2022-2025</v>
      </c>
      <c r="G73" s="9">
        <f>VLOOKUP(IntAll[[#This Row],[DEVELOPMENT]],EHDAll[[DEVELOPMENT]:['# Units]],6,FALSE)</f>
        <v>3</v>
      </c>
      <c r="H73" s="143" t="str">
        <f ca="1">IF(IntAll[[#This Row],[STATUS]]="","",IF(OR(F73="2019-2020",F73="2021-2025"),"",IF(ISNUMBER(SEARCH("LLC",D73)),VLOOKUP(A73,IntComp24[],21,FALSE),VLOOKUP(A73,IntComp[],21,FALSE))))</f>
        <v/>
      </c>
      <c r="I73" s="143" t="str">
        <f ca="1">IF(IntAll[[#This Row],[STATUS]]="","",IF(IF(OR(F73="2019-2020",F73="2021-2025"),"",IF(ISNUMBER(SEARCH("LLC",D73)),VLOOKUP(A73,IntComp24[],16,FALSE),VLOOKUP(A73,IntComp[],16,FALSE)))=0,"",IF(OR(F73="2019-2020",F73="2021-2025"),"",IF(ISNUMBER(SEARCH("LLC",D73)),VLOOKUP(A73,IntComp24[],16,FALSE),VLOOKUP(A73,IntComp[],16,FALSE)))))</f>
        <v/>
      </c>
      <c r="J73" s="143" t="str">
        <f ca="1">IF(IF(OR(F73="2019-2020",F73="2021-2025"),"",IF(ISNUMBER(SEARCH("LLC",D73)),VLOOKUP(A73,IntComp24[],17,FALSE),VLOOKUP(A73,IntComp[],17,FALSE)))=0,"",IF(OR(F73="2019-2020",F73="2021-2025"),"",IF(ISNUMBER(SEARCH("LLC",D73)),VLOOKUP(A73,IntComp24[],17,FALSE),VLOOKUP(A73,IntComp[],17,FALSE))))</f>
        <v/>
      </c>
      <c r="K73" s="151"/>
      <c r="L73" s="151">
        <f ca="1">IF(OR(F73="2019-2020",F73="2021-2025"),"",IF(ISNUMBER(SEARCH("LLC",D73)),VLOOKUP(A73,IntComp24[],18,FALSE),VLOOKUP(A73,IntComp[],18,FALSE)))</f>
        <v>0</v>
      </c>
      <c r="M73" s="143"/>
      <c r="N73" s="143" t="str">
        <f ca="1">IF(IF(OR(F73="2019-2020",F73="2021-2025"),"",IF(ISNUMBER(SEARCH("LLC",D73)),VLOOKUP(A73,IntComp24[],20,FALSE),VLOOKUP(A73,IntComp[],20,FALSE)))=0,"",IF(OR(F73="2019-2020",F73="2021-2025"),"",IF(ISNUMBER(SEARCH("LLC",D73)),VLOOKUP(A73,IntComp24[],20,FALSE),VLOOKUP(A73,IntComp[],20,FALSE))))</f>
        <v/>
      </c>
      <c r="O73" s="152" t="str">
        <f ca="1">IF(IF(OR(F73="2019-2020",F73="2021-2025"),"",IF(ISNUMBER(SEARCH("LLC",D73)),VLOOKUP(A73,IntComp24[],23,FALSE),VLOOKUP(A73,IntComp[],23,FALSE)))=0,"",IF(OR(F73="2019-2020",F73="2021-2025"),"",IF(ISNUMBER(SEARCH("LLC",D73)),VLOOKUP(A73,IntComp24[],23,FALSE),VLOOKUP(A73,IntComp[],23,FALSE))))</f>
        <v/>
      </c>
    </row>
    <row r="74" spans="1:15">
      <c r="A74" s="147" t="s">
        <v>261</v>
      </c>
      <c r="B74" s="144" t="str">
        <f>VLOOKUP(A74,Data[],2,FALSE)</f>
        <v>MANHATTAN</v>
      </c>
      <c r="C74" s="144" t="s">
        <v>106</v>
      </c>
      <c r="D74" s="9" t="str">
        <f>VLOOKUP(A74,Data[],52,FALSE)</f>
        <v>FEDERAL</v>
      </c>
      <c r="E74" s="9">
        <f>VLOOKUP(IntAll[[#This Row],[DEVELOPMENT]],Data[],62,FALSE)</f>
        <v>7</v>
      </c>
      <c r="F74" s="9" t="str">
        <f ca="1">VLOOKUP(A74,Data[],4,FALSE)</f>
        <v/>
      </c>
      <c r="G74" s="9">
        <f>VLOOKUP(IntAll[[#This Row],[DEVELOPMENT]],EHDAll[[DEVELOPMENT]:['# Units]],6,FALSE)</f>
        <v>24</v>
      </c>
      <c r="H74" s="143" t="str">
        <f ca="1">IF(IntAll[[#This Row],[STATUS]]="","",IF(OR(F74="2019-2020",F74="2021-2025"),"",IF(ISNUMBER(SEARCH("LLC",D74)),VLOOKUP(A74,IntComp24[],21,FALSE),VLOOKUP(A74,IntComp[],21,FALSE))))</f>
        <v/>
      </c>
      <c r="I74" s="143" t="str">
        <f ca="1">IF(IntAll[[#This Row],[STATUS]]="","",IF(IF(OR(F74="2019-2020",F74="2021-2025"),"",IF(ISNUMBER(SEARCH("LLC",D74)),VLOOKUP(A74,IntComp24[],16,FALSE),VLOOKUP(A74,IntComp[],16,FALSE)))=0,"",IF(OR(F74="2019-2020",F74="2021-2025"),"",IF(ISNUMBER(SEARCH("LLC",D74)),VLOOKUP(A74,IntComp24[],16,FALSE),VLOOKUP(A74,IntComp[],16,FALSE)))))</f>
        <v/>
      </c>
      <c r="J74" s="143" t="str">
        <f ca="1">IF(IF(OR(F74="2019-2020",F74="2021-2025"),"",IF(ISNUMBER(SEARCH("LLC",D74)),VLOOKUP(A74,IntComp24[],17,FALSE),VLOOKUP(A74,IntComp[],17,FALSE)))=0,"",IF(OR(F74="2019-2020",F74="2021-2025"),"",IF(ISNUMBER(SEARCH("LLC",D74)),VLOOKUP(A74,IntComp24[],17,FALSE),VLOOKUP(A74,IntComp[],17,FALSE))))</f>
        <v/>
      </c>
      <c r="K74" s="151"/>
      <c r="L74" s="151">
        <f ca="1">IF(OR(F74="2019-2020",F74="2021-2025"),"",IF(ISNUMBER(SEARCH("LLC",D74)),VLOOKUP(A74,IntComp24[],18,FALSE),VLOOKUP(A74,IntComp[],18,FALSE)))</f>
        <v>1620087</v>
      </c>
      <c r="M74" s="143"/>
      <c r="N74" s="143" t="str">
        <f ca="1">IF(IF(OR(F74="2019-2020",F74="2021-2025"),"",IF(ISNUMBER(SEARCH("LLC",D74)),VLOOKUP(A74,IntComp24[],20,FALSE),VLOOKUP(A74,IntComp[],20,FALSE)))=0,"",IF(OR(F74="2019-2020",F74="2021-2025"),"",IF(ISNUMBER(SEARCH("LLC",D74)),VLOOKUP(A74,IntComp24[],20,FALSE),VLOOKUP(A74,IntComp[],20,FALSE))))</f>
        <v/>
      </c>
      <c r="O74" s="152" t="str">
        <f ca="1">IF(IF(OR(F74="2019-2020",F74="2021-2025"),"",IF(ISNUMBER(SEARCH("LLC",D74)),VLOOKUP(A74,IntComp24[],23,FALSE),VLOOKUP(A74,IntComp[],23,FALSE)))=0,"",IF(OR(F74="2019-2020",F74="2021-2025"),"",IF(ISNUMBER(SEARCH("LLC",D74)),VLOOKUP(A74,IntComp24[],23,FALSE),VLOOKUP(A74,IntComp[],23,FALSE))))</f>
        <v/>
      </c>
    </row>
    <row r="75" spans="1:15">
      <c r="A75" s="147" t="s">
        <v>262</v>
      </c>
      <c r="B75" s="144" t="str">
        <f>VLOOKUP(A75,Data[],2,FALSE)</f>
        <v>MANHATTAN</v>
      </c>
      <c r="C75" s="144" t="s">
        <v>106</v>
      </c>
      <c r="D75" s="9" t="str">
        <f>VLOOKUP(A75,Data[],52,FALSE)</f>
        <v>MIXED FINANCE/LLC1</v>
      </c>
      <c r="E75" s="9">
        <f>VLOOKUP(IntAll[[#This Row],[DEVELOPMENT]],Data[],62,FALSE)</f>
        <v>7</v>
      </c>
      <c r="F75" s="9" t="str">
        <f ca="1">VLOOKUP(A75,Data[],4,FALSE)</f>
        <v/>
      </c>
      <c r="G75" s="9">
        <f>VLOOKUP(IntAll[[#This Row],[DEVELOPMENT]],EHDAll[[DEVELOPMENT]:['# Units]],6,FALSE)</f>
        <v>1</v>
      </c>
      <c r="H75" s="143" t="str">
        <f ca="1">IF(IntAll[[#This Row],[STATUS]]="","",IF(OR(F75="2019-2020",F75="2021-2025"),"",IF(ISNUMBER(SEARCH("LLC",D75)),VLOOKUP(A75,IntComp24[],21,FALSE),VLOOKUP(A75,IntComp[],21,FALSE))))</f>
        <v/>
      </c>
      <c r="I75" s="143" t="str">
        <f ca="1">IF(IntAll[[#This Row],[STATUS]]="","",IF(IF(OR(F75="2019-2020",F75="2021-2025"),"",IF(ISNUMBER(SEARCH("LLC",D75)),VLOOKUP(A75,IntComp24[],16,FALSE),VLOOKUP(A75,IntComp[],16,FALSE)))=0,"",IF(OR(F75="2019-2020",F75="2021-2025"),"",IF(ISNUMBER(SEARCH("LLC",D75)),VLOOKUP(A75,IntComp24[],16,FALSE),VLOOKUP(A75,IntComp[],16,FALSE)))))</f>
        <v/>
      </c>
      <c r="J75" s="143" t="str">
        <f ca="1">IF(IF(OR(F75="2019-2020",F75="2021-2025"),"",IF(ISNUMBER(SEARCH("LLC",D75)),VLOOKUP(A75,IntComp24[],17,FALSE),VLOOKUP(A75,IntComp[],17,FALSE)))=0,"",IF(OR(F75="2019-2020",F75="2021-2025"),"",IF(ISNUMBER(SEARCH("LLC",D75)),VLOOKUP(A75,IntComp24[],17,FALSE),VLOOKUP(A75,IntComp[],17,FALSE))))</f>
        <v/>
      </c>
      <c r="K75" s="151"/>
      <c r="L75" s="151">
        <f ca="1">IF(OR(F75="2019-2020",F75="2021-2025"),"",IF(ISNUMBER(SEARCH("LLC",D75)),VLOOKUP(A75,IntComp24[],18,FALSE),VLOOKUP(A75,IntComp[],18,FALSE)))</f>
        <v>69711.6875</v>
      </c>
      <c r="M75" s="143"/>
      <c r="N75" s="143" t="str">
        <f ca="1">IF(IF(OR(F75="2019-2020",F75="2021-2025"),"",IF(ISNUMBER(SEARCH("LLC",D75)),VLOOKUP(A75,IntComp24[],20,FALSE),VLOOKUP(A75,IntComp[],20,FALSE)))=0,"",IF(OR(F75="2019-2020",F75="2021-2025"),"",IF(ISNUMBER(SEARCH("LLC",D75)),VLOOKUP(A75,IntComp24[],20,FALSE),VLOOKUP(A75,IntComp[],20,FALSE))))</f>
        <v/>
      </c>
      <c r="O75" s="152" t="str">
        <f ca="1">IF(IF(OR(F75="2019-2020",F75="2021-2025"),"",IF(ISNUMBER(SEARCH("LLC",D75)),VLOOKUP(A75,IntComp24[],23,FALSE),VLOOKUP(A75,IntComp[],23,FALSE)))=0,"",IF(OR(F75="2019-2020",F75="2021-2025"),"",IF(ISNUMBER(SEARCH("LLC",D75)),VLOOKUP(A75,IntComp24[],23,FALSE),VLOOKUP(A75,IntComp[],23,FALSE))))</f>
        <v/>
      </c>
    </row>
    <row r="76" spans="1:15">
      <c r="A76" s="148" t="s">
        <v>298</v>
      </c>
      <c r="B76" s="144" t="str">
        <f>VLOOKUP(A76,Data[],2,FALSE)</f>
        <v>BROOKLYN</v>
      </c>
      <c r="C76" s="144" t="s">
        <v>106</v>
      </c>
      <c r="D76" s="9" t="str">
        <f>VLOOKUP(A76,Data[],52,FALSE)</f>
        <v>FEDERAL</v>
      </c>
      <c r="E76" s="9">
        <f>VLOOKUP(IntAll[[#This Row],[DEVELOPMENT]],Data[],62,FALSE)</f>
        <v>3</v>
      </c>
      <c r="F76" s="9">
        <f ca="1">VLOOKUP(A76,Data[],4,FALSE)</f>
        <v>2019</v>
      </c>
      <c r="G76" s="9">
        <f>VLOOKUP(IntAll[[#This Row],[DEVELOPMENT]],EHDAll[[DEVELOPMENT]:['# Units]],6,FALSE)</f>
        <v>7</v>
      </c>
      <c r="H76" s="143" t="str">
        <f ca="1">IF(IntAll[[#This Row],[STATUS]]="","",IF(OR(F76="2019-2020",F76="2021-2025"),"",IF(ISNUMBER(SEARCH("LLC",D76)),VLOOKUP(A76,IntComp24[],21,FALSE),VLOOKUP(A76,IntComp[],21,FALSE))))</f>
        <v/>
      </c>
      <c r="I76" s="143" t="str">
        <f ca="1">IF(IntAll[[#This Row],[STATUS]]="","",IF(IF(OR(F76="2019-2020",F76="2021-2025"),"",IF(ISNUMBER(SEARCH("LLC",D76)),VLOOKUP(A76,IntComp24[],16,FALSE),VLOOKUP(A76,IntComp[],16,FALSE)))=0,"",IF(OR(F76="2019-2020",F76="2021-2025"),"",IF(ISNUMBER(SEARCH("LLC",D76)),VLOOKUP(A76,IntComp24[],16,FALSE),VLOOKUP(A76,IntComp[],16,FALSE)))))</f>
        <v/>
      </c>
      <c r="J76" s="143" t="str">
        <f ca="1">IF(IF(OR(F76="2019-2020",F76="2021-2025"),"",IF(ISNUMBER(SEARCH("LLC",D76)),VLOOKUP(A76,IntComp24[],17,FALSE),VLOOKUP(A76,IntComp[],17,FALSE)))=0,"",IF(OR(F76="2019-2020",F76="2021-2025"),"",IF(ISNUMBER(SEARCH("LLC",D76)),VLOOKUP(A76,IntComp24[],17,FALSE),VLOOKUP(A76,IntComp[],17,FALSE))))</f>
        <v/>
      </c>
      <c r="K76" s="151"/>
      <c r="L76" s="151">
        <f ca="1">IF(OR(F76="2019-2020",F76="2021-2025"),"",IF(ISNUMBER(SEARCH("LLC",D76)),VLOOKUP(A76,IntComp24[],18,FALSE),VLOOKUP(A76,IntComp[],18,FALSE)))</f>
        <v>0</v>
      </c>
      <c r="M76" s="143"/>
      <c r="N76" s="143" t="str">
        <f ca="1">IF(IF(OR(F76="2019-2020",F76="2021-2025"),"",IF(ISNUMBER(SEARCH("LLC",D76)),VLOOKUP(A76,IntComp24[],20,FALSE),VLOOKUP(A76,IntComp[],20,FALSE)))=0,"",IF(OR(F76="2019-2020",F76="2021-2025"),"",IF(ISNUMBER(SEARCH("LLC",D76)),VLOOKUP(A76,IntComp24[],20,FALSE),VLOOKUP(A76,IntComp[],20,FALSE))))</f>
        <v/>
      </c>
      <c r="O76" s="152" t="str">
        <f ca="1">IF(IF(OR(F76="2019-2020",F76="2021-2025"),"",IF(ISNUMBER(SEARCH("LLC",D76)),VLOOKUP(A76,IntComp24[],23,FALSE),VLOOKUP(A76,IntComp[],23,FALSE)))=0,"",IF(OR(F76="2019-2020",F76="2021-2025"),"",IF(ISNUMBER(SEARCH("LLC",D76)),VLOOKUP(A76,IntComp24[],23,FALSE),VLOOKUP(A76,IntComp[],23,FALSE))))</f>
        <v/>
      </c>
    </row>
    <row r="77" spans="1:15">
      <c r="A77" s="148" t="s">
        <v>230</v>
      </c>
      <c r="B77" s="144" t="str">
        <f>VLOOKUP(A77,Data[],2,FALSE)</f>
        <v>BROOKLYN</v>
      </c>
      <c r="C77" s="144" t="s">
        <v>106</v>
      </c>
      <c r="D77" s="9" t="str">
        <f>VLOOKUP(A77,Data[],52,FALSE)</f>
        <v>FEDERAL</v>
      </c>
      <c r="E77" s="9">
        <f>VLOOKUP(IntAll[[#This Row],[DEVELOPMENT]],Data[],62,FALSE)</f>
        <v>3</v>
      </c>
      <c r="F77" s="9">
        <f ca="1">VLOOKUP(A77,Data[],4,FALSE)</f>
        <v>2019</v>
      </c>
      <c r="G77" s="9">
        <f>VLOOKUP(IntAll[[#This Row],[DEVELOPMENT]],EHDAll[[DEVELOPMENT]:['# Units]],6,FALSE)</f>
        <v>9</v>
      </c>
      <c r="H77" s="143" t="str">
        <f ca="1">IF(IntAll[[#This Row],[STATUS]]="","",IF(OR(F77="2019-2020",F77="2021-2025"),"",IF(ISNUMBER(SEARCH("LLC",D77)),VLOOKUP(A77,IntComp24[],21,FALSE),VLOOKUP(A77,IntComp[],21,FALSE))))</f>
        <v/>
      </c>
      <c r="I77" s="143" t="str">
        <f ca="1">IF(IntAll[[#This Row],[STATUS]]="","",IF(IF(OR(F77="2019-2020",F77="2021-2025"),"",IF(ISNUMBER(SEARCH("LLC",D77)),VLOOKUP(A77,IntComp24[],16,FALSE),VLOOKUP(A77,IntComp[],16,FALSE)))=0,"",IF(OR(F77="2019-2020",F77="2021-2025"),"",IF(ISNUMBER(SEARCH("LLC",D77)),VLOOKUP(A77,IntComp24[],16,FALSE),VLOOKUP(A77,IntComp[],16,FALSE)))))</f>
        <v/>
      </c>
      <c r="J77" s="143" t="str">
        <f ca="1">IF(IF(OR(F77="2019-2020",F77="2021-2025"),"",IF(ISNUMBER(SEARCH("LLC",D77)),VLOOKUP(A77,IntComp24[],17,FALSE),VLOOKUP(A77,IntComp[],17,FALSE)))=0,"",IF(OR(F77="2019-2020",F77="2021-2025"),"",IF(ISNUMBER(SEARCH("LLC",D77)),VLOOKUP(A77,IntComp24[],17,FALSE),VLOOKUP(A77,IntComp[],17,FALSE))))</f>
        <v/>
      </c>
      <c r="K77" s="151"/>
      <c r="L77" s="151">
        <f ca="1">IF(OR(F77="2019-2020",F77="2021-2025"),"",IF(ISNUMBER(SEARCH("LLC",D77)),VLOOKUP(A77,IntComp24[],18,FALSE),VLOOKUP(A77,IntComp[],18,FALSE)))</f>
        <v>0</v>
      </c>
      <c r="M77" s="143"/>
      <c r="N77" s="143" t="str">
        <f ca="1">IF(IF(OR(F77="2019-2020",F77="2021-2025"),"",IF(ISNUMBER(SEARCH("LLC",D77)),VLOOKUP(A77,IntComp24[],20,FALSE),VLOOKUP(A77,IntComp[],20,FALSE)))=0,"",IF(OR(F77="2019-2020",F77="2021-2025"),"",IF(ISNUMBER(SEARCH("LLC",D77)),VLOOKUP(A77,IntComp24[],20,FALSE),VLOOKUP(A77,IntComp[],20,FALSE))))</f>
        <v/>
      </c>
      <c r="O77" s="152" t="str">
        <f ca="1">IF(IF(OR(F77="2019-2020",F77="2021-2025"),"",IF(ISNUMBER(SEARCH("LLC",D77)),VLOOKUP(A77,IntComp24[],23,FALSE),VLOOKUP(A77,IntComp[],23,FALSE)))=0,"",IF(OR(F77="2019-2020",F77="2021-2025"),"",IF(ISNUMBER(SEARCH("LLC",D77)),VLOOKUP(A77,IntComp24[],23,FALSE),VLOOKUP(A77,IntComp[],23,FALSE))))</f>
        <v/>
      </c>
    </row>
    <row r="78" spans="1:15">
      <c r="A78" s="147" t="s">
        <v>272</v>
      </c>
      <c r="B78" s="144" t="str">
        <f>VLOOKUP(A78,Data[],2,FALSE)</f>
        <v>QUEENS</v>
      </c>
      <c r="C78" s="144" t="s">
        <v>106</v>
      </c>
      <c r="D78" s="9" t="str">
        <f>VLOOKUP(A78,Data[],52,FALSE)</f>
        <v>FEDERAL</v>
      </c>
      <c r="E78" s="9">
        <f>VLOOKUP(IntAll[[#This Row],[DEVELOPMENT]],Data[],62,FALSE)</f>
        <v>1</v>
      </c>
      <c r="F78" s="9" t="str">
        <f ca="1">VLOOKUP(A78,Data[],4,FALSE)</f>
        <v>2022-2025</v>
      </c>
      <c r="G78" s="9">
        <f>VLOOKUP(IntAll[[#This Row],[DEVELOPMENT]],EHDAll[[DEVELOPMENT]:['# Units]],6,FALSE)</f>
        <v>22</v>
      </c>
      <c r="H78" s="143" t="str">
        <f ca="1">IF(IntAll[[#This Row],[STATUS]]="","",IF(OR(F78="2019-2020",F78="2021-2025"),"",IF(ISNUMBER(SEARCH("LLC",D78)),VLOOKUP(A78,IntComp24[],21,FALSE),VLOOKUP(A78,IntComp[],21,FALSE))))</f>
        <v/>
      </c>
      <c r="I78" s="143" t="str">
        <f ca="1">IF(IntAll[[#This Row],[STATUS]]="","",IF(IF(OR(F78="2019-2020",F78="2021-2025"),"",IF(ISNUMBER(SEARCH("LLC",D78)),VLOOKUP(A78,IntComp24[],16,FALSE),VLOOKUP(A78,IntComp[],16,FALSE)))=0,"",IF(OR(F78="2019-2020",F78="2021-2025"),"",IF(ISNUMBER(SEARCH("LLC",D78)),VLOOKUP(A78,IntComp24[],16,FALSE),VLOOKUP(A78,IntComp[],16,FALSE)))))</f>
        <v/>
      </c>
      <c r="J78" s="143" t="str">
        <f ca="1">IF(IF(OR(F78="2019-2020",F78="2021-2025"),"",IF(ISNUMBER(SEARCH("LLC",D78)),VLOOKUP(A78,IntComp24[],17,FALSE),VLOOKUP(A78,IntComp[],17,FALSE)))=0,"",IF(OR(F78="2019-2020",F78="2021-2025"),"",IF(ISNUMBER(SEARCH("LLC",D78)),VLOOKUP(A78,IntComp24[],17,FALSE),VLOOKUP(A78,IntComp[],17,FALSE))))</f>
        <v/>
      </c>
      <c r="K78" s="151"/>
      <c r="L78" s="151">
        <f ca="1">IF(OR(F78="2019-2020",F78="2021-2025"),"",IF(ISNUMBER(SEARCH("LLC",D78)),VLOOKUP(A78,IntComp24[],18,FALSE),VLOOKUP(A78,IntComp[],18,FALSE)))</f>
        <v>0</v>
      </c>
      <c r="M78" s="143"/>
      <c r="N78" s="143" t="str">
        <f ca="1">IF(IF(OR(F78="2019-2020",F78="2021-2025"),"",IF(ISNUMBER(SEARCH("LLC",D78)),VLOOKUP(A78,IntComp24[],20,FALSE),VLOOKUP(A78,IntComp[],20,FALSE)))=0,"",IF(OR(F78="2019-2020",F78="2021-2025"),"",IF(ISNUMBER(SEARCH("LLC",D78)),VLOOKUP(A78,IntComp24[],20,FALSE),VLOOKUP(A78,IntComp[],20,FALSE))))</f>
        <v/>
      </c>
      <c r="O78" s="152" t="str">
        <f ca="1">IF(IF(OR(F78="2019-2020",F78="2021-2025"),"",IF(ISNUMBER(SEARCH("LLC",D78)),VLOOKUP(A78,IntComp24[],23,FALSE),VLOOKUP(A78,IntComp[],23,FALSE)))=0,"",IF(OR(F78="2019-2020",F78="2021-2025"),"",IF(ISNUMBER(SEARCH("LLC",D78)),VLOOKUP(A78,IntComp24[],23,FALSE),VLOOKUP(A78,IntComp[],23,FALSE))))</f>
        <v/>
      </c>
    </row>
    <row r="79" spans="1:15">
      <c r="A79" s="147" t="s">
        <v>299</v>
      </c>
      <c r="B79" s="144" t="str">
        <f>VLOOKUP(A79,Data[],2,FALSE)</f>
        <v>BROOKLYN</v>
      </c>
      <c r="C79" s="144" t="s">
        <v>106</v>
      </c>
      <c r="D79" s="9" t="str">
        <f>VLOOKUP(A79,Data[],52,FALSE)</f>
        <v>FEDERAL</v>
      </c>
      <c r="E79" s="9">
        <f>VLOOKUP(IntAll[[#This Row],[DEVELOPMENT]],Data[],62,FALSE)</f>
        <v>2</v>
      </c>
      <c r="F79" s="9" t="str">
        <f ca="1">VLOOKUP(A79,Data[],4,FALSE)</f>
        <v/>
      </c>
      <c r="G79" s="9">
        <f>VLOOKUP(IntAll[[#This Row],[DEVELOPMENT]],EHDAll[[DEVELOPMENT]:['# Units]],6,FALSE)</f>
        <v>1</v>
      </c>
      <c r="H79" s="143" t="str">
        <f ca="1">IF(IntAll[[#This Row],[STATUS]]="","",IF(OR(F79="2019-2020",F79="2021-2025"),"",IF(ISNUMBER(SEARCH("LLC",D79)),VLOOKUP(A79,IntComp24[],21,FALSE),VLOOKUP(A79,IntComp[],21,FALSE))))</f>
        <v/>
      </c>
      <c r="I79" s="143" t="str">
        <f ca="1">IF(IntAll[[#This Row],[STATUS]]="","",IF(IF(OR(F79="2019-2020",F79="2021-2025"),"",IF(ISNUMBER(SEARCH("LLC",D79)),VLOOKUP(A79,IntComp24[],16,FALSE),VLOOKUP(A79,IntComp[],16,FALSE)))=0,"",IF(OR(F79="2019-2020",F79="2021-2025"),"",IF(ISNUMBER(SEARCH("LLC",D79)),VLOOKUP(A79,IntComp24[],16,FALSE),VLOOKUP(A79,IntComp[],16,FALSE)))))</f>
        <v/>
      </c>
      <c r="J79" s="143" t="str">
        <f ca="1">IF(IF(OR(F79="2019-2020",F79="2021-2025"),"",IF(ISNUMBER(SEARCH("LLC",D79)),VLOOKUP(A79,IntComp24[],17,FALSE),VLOOKUP(A79,IntComp[],17,FALSE)))=0,"",IF(OR(F79="2019-2020",F79="2021-2025"),"",IF(ISNUMBER(SEARCH("LLC",D79)),VLOOKUP(A79,IntComp24[],17,FALSE),VLOOKUP(A79,IntComp[],17,FALSE))))</f>
        <v/>
      </c>
      <c r="K79" s="151"/>
      <c r="L79" s="151">
        <f ca="1">IF(OR(F79="2019-2020",F79="2021-2025"),"",IF(ISNUMBER(SEARCH("LLC",D79)),VLOOKUP(A79,IntComp24[],18,FALSE),VLOOKUP(A79,IntComp[],18,FALSE)))</f>
        <v>76335.875</v>
      </c>
      <c r="M79" s="143"/>
      <c r="N79" s="143" t="str">
        <f ca="1">IF(IF(OR(F79="2019-2020",F79="2021-2025"),"",IF(ISNUMBER(SEARCH("LLC",D79)),VLOOKUP(A79,IntComp24[],20,FALSE),VLOOKUP(A79,IntComp[],20,FALSE)))=0,"",IF(OR(F79="2019-2020",F79="2021-2025"),"",IF(ISNUMBER(SEARCH("LLC",D79)),VLOOKUP(A79,IntComp24[],20,FALSE),VLOOKUP(A79,IntComp[],20,FALSE))))</f>
        <v/>
      </c>
      <c r="O79" s="152" t="str">
        <f ca="1">IF(IF(OR(F79="2019-2020",F79="2021-2025"),"",IF(ISNUMBER(SEARCH("LLC",D79)),VLOOKUP(A79,IntComp24[],23,FALSE),VLOOKUP(A79,IntComp[],23,FALSE)))=0,"",IF(OR(F79="2019-2020",F79="2021-2025"),"",IF(ISNUMBER(SEARCH("LLC",D79)),VLOOKUP(A79,IntComp24[],23,FALSE),VLOOKUP(A79,IntComp[],23,FALSE))))</f>
        <v/>
      </c>
    </row>
    <row r="80" spans="1:15">
      <c r="A80" s="147" t="s">
        <v>70</v>
      </c>
      <c r="B80" s="144" t="str">
        <f>VLOOKUP(A80,Data[],2,FALSE)</f>
        <v>MANHATTAN</v>
      </c>
      <c r="C80" s="144" t="s">
        <v>106</v>
      </c>
      <c r="D80" s="9" t="str">
        <f>VLOOKUP(A80,Data[],52,FALSE)</f>
        <v>FEDERAL</v>
      </c>
      <c r="E80" s="9">
        <f>VLOOKUP(IntAll[[#This Row],[DEVELOPMENT]],Data[],62,FALSE)</f>
        <v>9</v>
      </c>
      <c r="F80" s="9" t="str">
        <f ca="1">VLOOKUP(A80,Data[],4,FALSE)</f>
        <v>2020-2021</v>
      </c>
      <c r="G80" s="9">
        <f>VLOOKUP(IntAll[[#This Row],[DEVELOPMENT]],EHDAll[[DEVELOPMENT]:['# Units]],6,FALSE)</f>
        <v>1</v>
      </c>
      <c r="H80" s="143" t="str">
        <f ca="1">IF(IntAll[[#This Row],[STATUS]]="","",IF(OR(F80="2019-2020",F80="2021-2025"),"",IF(ISNUMBER(SEARCH("LLC",D80)),VLOOKUP(A80,IntComp24[],21,FALSE),VLOOKUP(A80,IntComp[],21,FALSE))))</f>
        <v/>
      </c>
      <c r="I80" s="143" t="str">
        <f ca="1">IF(IntAll[[#This Row],[STATUS]]="","",IF(IF(OR(F80="2019-2020",F80="2021-2025"),"",IF(ISNUMBER(SEARCH("LLC",D80)),VLOOKUP(A80,IntComp24[],16,FALSE),VLOOKUP(A80,IntComp[],16,FALSE)))=0,"",IF(OR(F80="2019-2020",F80="2021-2025"),"",IF(ISNUMBER(SEARCH("LLC",D80)),VLOOKUP(A80,IntComp24[],16,FALSE),VLOOKUP(A80,IntComp[],16,FALSE)))))</f>
        <v/>
      </c>
      <c r="J80" s="143" t="str">
        <f ca="1">IF(IF(OR(F80="2019-2020",F80="2021-2025"),"",IF(ISNUMBER(SEARCH("LLC",D80)),VLOOKUP(A80,IntComp24[],17,FALSE),VLOOKUP(A80,IntComp[],17,FALSE)))=0,"",IF(OR(F80="2019-2020",F80="2021-2025"),"",IF(ISNUMBER(SEARCH("LLC",D80)),VLOOKUP(A80,IntComp24[],17,FALSE),VLOOKUP(A80,IntComp[],17,FALSE))))</f>
        <v/>
      </c>
      <c r="K80" s="151"/>
      <c r="L80" s="151">
        <f ca="1">IF(OR(F80="2019-2020",F80="2021-2025"),"",IF(ISNUMBER(SEARCH("LLC",D80)),VLOOKUP(A80,IntComp24[],18,FALSE),VLOOKUP(A80,IntComp[],18,FALSE)))</f>
        <v>0</v>
      </c>
      <c r="M80" s="143"/>
      <c r="N80" s="143" t="str">
        <f ca="1">IF(IF(OR(F80="2019-2020",F80="2021-2025"),"",IF(ISNUMBER(SEARCH("LLC",D80)),VLOOKUP(A80,IntComp24[],20,FALSE),VLOOKUP(A80,IntComp[],20,FALSE)))=0,"",IF(OR(F80="2019-2020",F80="2021-2025"),"",IF(ISNUMBER(SEARCH("LLC",D80)),VLOOKUP(A80,IntComp24[],20,FALSE),VLOOKUP(A80,IntComp[],20,FALSE))))</f>
        <v/>
      </c>
      <c r="O80" s="152" t="str">
        <f ca="1">IF(IF(OR(F80="2019-2020",F80="2021-2025"),"",IF(ISNUMBER(SEARCH("LLC",D80)),VLOOKUP(A80,IntComp24[],23,FALSE),VLOOKUP(A80,IntComp[],23,FALSE)))=0,"",IF(OR(F80="2019-2020",F80="2021-2025"),"",IF(ISNUMBER(SEARCH("LLC",D80)),VLOOKUP(A80,IntComp24[],23,FALSE),VLOOKUP(A80,IntComp[],23,FALSE))))</f>
        <v/>
      </c>
    </row>
    <row r="81" spans="1:15">
      <c r="A81" s="147" t="s">
        <v>273</v>
      </c>
      <c r="B81" s="144" t="str">
        <f>VLOOKUP(A81,Data[],2,FALSE)</f>
        <v>BRONX</v>
      </c>
      <c r="C81" s="144" t="s">
        <v>106</v>
      </c>
      <c r="D81" s="9" t="str">
        <f>VLOOKUP(A81,Data[],52,FALSE)</f>
        <v>FEDERAL</v>
      </c>
      <c r="E81" s="9">
        <f>VLOOKUP(IntAll[[#This Row],[DEVELOPMENT]],Data[],62,FALSE)</f>
        <v>7</v>
      </c>
      <c r="F81" s="9" t="str">
        <f ca="1">VLOOKUP(A81,Data[],4,FALSE)</f>
        <v/>
      </c>
      <c r="G81" s="9">
        <f>VLOOKUP(IntAll[[#This Row],[DEVELOPMENT]],EHDAll[[DEVELOPMENT]:['# Units]],6,FALSE)</f>
        <v>1</v>
      </c>
      <c r="H81" s="143" t="str">
        <f ca="1">IF(IntAll[[#This Row],[STATUS]]="","",IF(OR(F81="2019-2020",F81="2021-2025"),"",IF(ISNUMBER(SEARCH("LLC",D81)),VLOOKUP(A81,IntComp24[],21,FALSE),VLOOKUP(A81,IntComp[],21,FALSE))))</f>
        <v/>
      </c>
      <c r="I81" s="143" t="str">
        <f ca="1">IF(IntAll[[#This Row],[STATUS]]="","",IF(IF(OR(F81="2019-2020",F81="2021-2025"),"",IF(ISNUMBER(SEARCH("LLC",D81)),VLOOKUP(A81,IntComp24[],16,FALSE),VLOOKUP(A81,IntComp[],16,FALSE)))=0,"",IF(OR(F81="2019-2020",F81="2021-2025"),"",IF(ISNUMBER(SEARCH("LLC",D81)),VLOOKUP(A81,IntComp24[],16,FALSE),VLOOKUP(A81,IntComp[],16,FALSE)))))</f>
        <v/>
      </c>
      <c r="J81" s="143" t="str">
        <f ca="1">IF(IF(OR(F81="2019-2020",F81="2021-2025"),"",IF(ISNUMBER(SEARCH("LLC",D81)),VLOOKUP(A81,IntComp24[],17,FALSE),VLOOKUP(A81,IntComp[],17,FALSE)))=0,"",IF(OR(F81="2019-2020",F81="2021-2025"),"",IF(ISNUMBER(SEARCH("LLC",D81)),VLOOKUP(A81,IntComp24[],17,FALSE),VLOOKUP(A81,IntComp[],17,FALSE))))</f>
        <v/>
      </c>
      <c r="K81" s="151"/>
      <c r="L81" s="151">
        <f ca="1">IF(OR(F81="2019-2020",F81="2021-2025"),"",IF(ISNUMBER(SEARCH("LLC",D81)),VLOOKUP(A81,IntComp24[],18,FALSE),VLOOKUP(A81,IntComp[],18,FALSE)))</f>
        <v>76335.875</v>
      </c>
      <c r="M81" s="143"/>
      <c r="N81" s="143" t="str">
        <f ca="1">IF(IF(OR(F81="2019-2020",F81="2021-2025"),"",IF(ISNUMBER(SEARCH("LLC",D81)),VLOOKUP(A81,IntComp24[],20,FALSE),VLOOKUP(A81,IntComp[],20,FALSE)))=0,"",IF(OR(F81="2019-2020",F81="2021-2025"),"",IF(ISNUMBER(SEARCH("LLC",D81)),VLOOKUP(A81,IntComp24[],20,FALSE),VLOOKUP(A81,IntComp[],20,FALSE))))</f>
        <v/>
      </c>
      <c r="O81" s="152" t="str">
        <f ca="1">IF(IF(OR(F81="2019-2020",F81="2021-2025"),"",IF(ISNUMBER(SEARCH("LLC",D81)),VLOOKUP(A81,IntComp24[],23,FALSE),VLOOKUP(A81,IntComp[],23,FALSE)))=0,"",IF(OR(F81="2019-2020",F81="2021-2025"),"",IF(ISNUMBER(SEARCH("LLC",D81)),VLOOKUP(A81,IntComp24[],23,FALSE),VLOOKUP(A81,IntComp[],23,FALSE))))</f>
        <v/>
      </c>
    </row>
    <row r="82" spans="1:15">
      <c r="A82" s="147" t="s">
        <v>300</v>
      </c>
      <c r="B82" s="144" t="str">
        <f>VLOOKUP(A82,Data[],2,FALSE)</f>
        <v>QUEENS</v>
      </c>
      <c r="C82" s="144" t="s">
        <v>106</v>
      </c>
      <c r="D82" s="9" t="str">
        <f>VLOOKUP(A82,Data[],52,FALSE)</f>
        <v>FEDERAL</v>
      </c>
      <c r="E82" s="9">
        <f>VLOOKUP(IntAll[[#This Row],[DEVELOPMENT]],Data[],62,FALSE)</f>
        <v>12</v>
      </c>
      <c r="F82" s="9" t="str">
        <f ca="1">VLOOKUP(A82,Data[],4,FALSE)</f>
        <v/>
      </c>
      <c r="G82" s="9">
        <f>VLOOKUP(IntAll[[#This Row],[DEVELOPMENT]],EHDAll[[DEVELOPMENT]:['# Units]],6,FALSE)</f>
        <v>5</v>
      </c>
      <c r="H82" s="143" t="str">
        <f ca="1">IF(IntAll[[#This Row],[STATUS]]="","",IF(OR(F82="2019-2020",F82="2021-2025"),"",IF(ISNUMBER(SEARCH("LLC",D82)),VLOOKUP(A82,IntComp24[],21,FALSE),VLOOKUP(A82,IntComp[],21,FALSE))))</f>
        <v/>
      </c>
      <c r="I82" s="143" t="str">
        <f ca="1">IF(IntAll[[#This Row],[STATUS]]="","",IF(IF(OR(F82="2019-2020",F82="2021-2025"),"",IF(ISNUMBER(SEARCH("LLC",D82)),VLOOKUP(A82,IntComp24[],16,FALSE),VLOOKUP(A82,IntComp[],16,FALSE)))=0,"",IF(OR(F82="2019-2020",F82="2021-2025"),"",IF(ISNUMBER(SEARCH("LLC",D82)),VLOOKUP(A82,IntComp24[],16,FALSE),VLOOKUP(A82,IntComp[],16,FALSE)))))</f>
        <v/>
      </c>
      <c r="J82" s="143" t="str">
        <f ca="1">IF(IF(OR(F82="2019-2020",F82="2021-2025"),"",IF(ISNUMBER(SEARCH("LLC",D82)),VLOOKUP(A82,IntComp24[],17,FALSE),VLOOKUP(A82,IntComp[],17,FALSE)))=0,"",IF(OR(F82="2019-2020",F82="2021-2025"),"",IF(ISNUMBER(SEARCH("LLC",D82)),VLOOKUP(A82,IntComp24[],17,FALSE),VLOOKUP(A82,IntComp[],17,FALSE))))</f>
        <v/>
      </c>
      <c r="K82" s="151"/>
      <c r="L82" s="151">
        <f ca="1">IF(OR(F82="2019-2020",F82="2021-2025"),"",IF(ISNUMBER(SEARCH("LLC",D82)),VLOOKUP(A82,IntComp24[],18,FALSE),VLOOKUP(A82,IntComp[],18,FALSE)))</f>
        <v>337518.125</v>
      </c>
      <c r="M82" s="143"/>
      <c r="N82" s="143" t="str">
        <f ca="1">IF(IF(OR(F82="2019-2020",F82="2021-2025"),"",IF(ISNUMBER(SEARCH("LLC",D82)),VLOOKUP(A82,IntComp24[],20,FALSE),VLOOKUP(A82,IntComp[],20,FALSE)))=0,"",IF(OR(F82="2019-2020",F82="2021-2025"),"",IF(ISNUMBER(SEARCH("LLC",D82)),VLOOKUP(A82,IntComp24[],20,FALSE),VLOOKUP(A82,IntComp[],20,FALSE))))</f>
        <v/>
      </c>
      <c r="O82" s="152" t="str">
        <f ca="1">IF(IF(OR(F82="2019-2020",F82="2021-2025"),"",IF(ISNUMBER(SEARCH("LLC",D82)),VLOOKUP(A82,IntComp24[],23,FALSE),VLOOKUP(A82,IntComp[],23,FALSE)))=0,"",IF(OR(F82="2019-2020",F82="2021-2025"),"",IF(ISNUMBER(SEARCH("LLC",D82)),VLOOKUP(A82,IntComp24[],23,FALSE),VLOOKUP(A82,IntComp[],23,FALSE))))</f>
        <v/>
      </c>
    </row>
    <row r="83" spans="1:15">
      <c r="A83" s="148" t="s">
        <v>58</v>
      </c>
      <c r="B83" s="144" t="str">
        <f>VLOOKUP(A83,Data[],2,FALSE)</f>
        <v>MANHATTAN</v>
      </c>
      <c r="C83" s="144" t="s">
        <v>106</v>
      </c>
      <c r="D83" s="9" t="str">
        <f>VLOOKUP(A83,Data[],52,FALSE)</f>
        <v>FEDERAL</v>
      </c>
      <c r="E83" s="9">
        <f>VLOOKUP(IntAll[[#This Row],[DEVELOPMENT]],Data[],62,FALSE)</f>
        <v>3</v>
      </c>
      <c r="F83" s="9" t="str">
        <f ca="1">VLOOKUP(A83,Data[],4,FALSE)</f>
        <v/>
      </c>
      <c r="G83" s="9">
        <f>VLOOKUP(IntAll[[#This Row],[DEVELOPMENT]],EHDAll[[DEVELOPMENT]:['# Units]],6,FALSE)</f>
        <v>17</v>
      </c>
      <c r="H83" s="143" t="str">
        <f ca="1">IF(IntAll[[#This Row],[STATUS]]="","",IF(OR(F83="2019-2020",F83="2021-2025"),"",IF(ISNUMBER(SEARCH("LLC",D83)),VLOOKUP(A83,IntComp24[],21,FALSE),VLOOKUP(A83,IntComp[],21,FALSE))))</f>
        <v/>
      </c>
      <c r="I83" s="143" t="str">
        <f ca="1">IF(IntAll[[#This Row],[STATUS]]="","",IF(IF(OR(F83="2019-2020",F83="2021-2025"),"",IF(ISNUMBER(SEARCH("LLC",D83)),VLOOKUP(A83,IntComp24[],16,FALSE),VLOOKUP(A83,IntComp[],16,FALSE)))=0,"",IF(OR(F83="2019-2020",F83="2021-2025"),"",IF(ISNUMBER(SEARCH("LLC",D83)),VLOOKUP(A83,IntComp24[],16,FALSE),VLOOKUP(A83,IntComp[],16,FALSE)))))</f>
        <v/>
      </c>
      <c r="J83" s="143" t="str">
        <f ca="1">IF(IF(OR(F83="2019-2020",F83="2021-2025"),"",IF(ISNUMBER(SEARCH("LLC",D83)),VLOOKUP(A83,IntComp24[],17,FALSE),VLOOKUP(A83,IntComp[],17,FALSE)))=0,"",IF(OR(F83="2019-2020",F83="2021-2025"),"",IF(ISNUMBER(SEARCH("LLC",D83)),VLOOKUP(A83,IntComp24[],17,FALSE),VLOOKUP(A83,IntComp[],17,FALSE))))</f>
        <v/>
      </c>
      <c r="K83" s="151"/>
      <c r="L83" s="151">
        <f ca="1">IF(OR(F83="2019-2020",F83="2021-2025"),"",IF(ISNUMBER(SEARCH("LLC",D83)),VLOOKUP(A83,IntComp24[],18,FALSE),VLOOKUP(A83,IntComp[],18,FALSE)))</f>
        <v>1110024.5625</v>
      </c>
      <c r="M83" s="143"/>
      <c r="N83" s="143" t="str">
        <f ca="1">IF(IF(OR(F83="2019-2020",F83="2021-2025"),"",IF(ISNUMBER(SEARCH("LLC",D83)),VLOOKUP(A83,IntComp24[],20,FALSE),VLOOKUP(A83,IntComp[],20,FALSE)))=0,"",IF(OR(F83="2019-2020",F83="2021-2025"),"",IF(ISNUMBER(SEARCH("LLC",D83)),VLOOKUP(A83,IntComp24[],20,FALSE),VLOOKUP(A83,IntComp[],20,FALSE))))</f>
        <v/>
      </c>
      <c r="O83" s="152" t="str">
        <f ca="1">IF(IF(OR(F83="2019-2020",F83="2021-2025"),"",IF(ISNUMBER(SEARCH("LLC",D83)),VLOOKUP(A83,IntComp24[],23,FALSE),VLOOKUP(A83,IntComp[],23,FALSE)))=0,"",IF(OR(F83="2019-2020",F83="2021-2025"),"",IF(ISNUMBER(SEARCH("LLC",D83)),VLOOKUP(A83,IntComp24[],23,FALSE),VLOOKUP(A83,IntComp[],23,FALSE))))</f>
        <v/>
      </c>
    </row>
    <row r="84" spans="1:15">
      <c r="A84" s="148" t="s">
        <v>48</v>
      </c>
      <c r="B84" s="144" t="str">
        <f>VLOOKUP(A84,Data[],2,FALSE)</f>
        <v>MANHATTAN</v>
      </c>
      <c r="C84" s="144" t="s">
        <v>106</v>
      </c>
      <c r="D84" s="9" t="str">
        <f>VLOOKUP(A84,Data[],52,FALSE)</f>
        <v>FEDERAL</v>
      </c>
      <c r="E84" s="9">
        <f>VLOOKUP(IntAll[[#This Row],[DEVELOPMENT]],Data[],62,FALSE)</f>
        <v>3</v>
      </c>
      <c r="F84" s="9" t="str">
        <f ca="1">VLOOKUP(A84,Data[],4,FALSE)</f>
        <v/>
      </c>
      <c r="G84" s="9">
        <f>VLOOKUP(IntAll[[#This Row],[DEVELOPMENT]],EHDAll[[DEVELOPMENT]:['# Units]],6,FALSE)</f>
        <v>1</v>
      </c>
      <c r="H84" s="143" t="str">
        <f ca="1">IF(IntAll[[#This Row],[STATUS]]="","",IF(OR(F84="2019-2020",F84="2021-2025"),"",IF(ISNUMBER(SEARCH("LLC",D84)),VLOOKUP(A84,IntComp24[],21,FALSE),VLOOKUP(A84,IntComp[],21,FALSE))))</f>
        <v/>
      </c>
      <c r="I84" s="143" t="str">
        <f ca="1">IF(IntAll[[#This Row],[STATUS]]="","",IF(IF(OR(F84="2019-2020",F84="2021-2025"),"",IF(ISNUMBER(SEARCH("LLC",D84)),VLOOKUP(A84,IntComp24[],16,FALSE),VLOOKUP(A84,IntComp[],16,FALSE)))=0,"",IF(OR(F84="2019-2020",F84="2021-2025"),"",IF(ISNUMBER(SEARCH("LLC",D84)),VLOOKUP(A84,IntComp24[],16,FALSE),VLOOKUP(A84,IntComp[],16,FALSE)))))</f>
        <v/>
      </c>
      <c r="J84" s="143" t="str">
        <f ca="1">IF(IF(OR(F84="2019-2020",F84="2021-2025"),"",IF(ISNUMBER(SEARCH("LLC",D84)),VLOOKUP(A84,IntComp24[],17,FALSE),VLOOKUP(A84,IntComp[],17,FALSE)))=0,"",IF(OR(F84="2019-2020",F84="2021-2025"),"",IF(ISNUMBER(SEARCH("LLC",D84)),VLOOKUP(A84,IntComp24[],17,FALSE),VLOOKUP(A84,IntComp[],17,FALSE))))</f>
        <v/>
      </c>
      <c r="K84" s="151"/>
      <c r="L84" s="151">
        <f ca="1">IF(OR(F84="2019-2020",F84="2021-2025"),"",IF(ISNUMBER(SEARCH("LLC",D84)),VLOOKUP(A84,IntComp24[],18,FALSE),VLOOKUP(A84,IntComp[],18,FALSE)))</f>
        <v>65295.562499999993</v>
      </c>
      <c r="M84" s="143"/>
      <c r="N84" s="143" t="str">
        <f ca="1">IF(IF(OR(F84="2019-2020",F84="2021-2025"),"",IF(ISNUMBER(SEARCH("LLC",D84)),VLOOKUP(A84,IntComp24[],20,FALSE),VLOOKUP(A84,IntComp[],20,FALSE)))=0,"",IF(OR(F84="2019-2020",F84="2021-2025"),"",IF(ISNUMBER(SEARCH("LLC",D84)),VLOOKUP(A84,IntComp24[],20,FALSE),VLOOKUP(A84,IntComp[],20,FALSE))))</f>
        <v/>
      </c>
      <c r="O84" s="152" t="str">
        <f ca="1">IF(IF(OR(F84="2019-2020",F84="2021-2025"),"",IF(ISNUMBER(SEARCH("LLC",D84)),VLOOKUP(A84,IntComp24[],23,FALSE),VLOOKUP(A84,IntComp[],23,FALSE)))=0,"",IF(OR(F84="2019-2020",F84="2021-2025"),"",IF(ISNUMBER(SEARCH("LLC",D84)),VLOOKUP(A84,IntComp24[],23,FALSE),VLOOKUP(A84,IntComp[],23,FALSE))))</f>
        <v/>
      </c>
    </row>
    <row r="85" spans="1:15">
      <c r="A85" s="147" t="s">
        <v>231</v>
      </c>
      <c r="B85" s="144" t="str">
        <f>VLOOKUP(A85,Data[],2,FALSE)</f>
        <v>BROOKLYN</v>
      </c>
      <c r="C85" s="144" t="s">
        <v>106</v>
      </c>
      <c r="D85" s="9" t="str">
        <f>VLOOKUP(A85,Data[],52,FALSE)</f>
        <v>MIXED FINANCE/LLC1</v>
      </c>
      <c r="E85" s="9">
        <f>VLOOKUP(IntAll[[#This Row],[DEVELOPMENT]],Data[],62,FALSE)</f>
        <v>18</v>
      </c>
      <c r="F85" s="9" t="str">
        <f ca="1">VLOOKUP(A85,Data[],4,FALSE)</f>
        <v>2026+</v>
      </c>
      <c r="G85" s="9">
        <f>VLOOKUP(IntAll[[#This Row],[DEVELOPMENT]],EHDAll[[DEVELOPMENT]:['# Units]],6,FALSE)</f>
        <v>23</v>
      </c>
      <c r="H85" s="143" t="str">
        <f ca="1">IF(IntAll[[#This Row],[STATUS]]="","",IF(OR(F85="2019-2020",F85="2021-2025"),"",IF(ISNUMBER(SEARCH("LLC",D85)),VLOOKUP(A85,IntComp24[],21,FALSE),VLOOKUP(A85,IntComp[],21,FALSE))))</f>
        <v/>
      </c>
      <c r="I85" s="143" t="str">
        <f ca="1">IF(IntAll[[#This Row],[STATUS]]="","",IF(IF(OR(F85="2019-2020",F85="2021-2025"),"",IF(ISNUMBER(SEARCH("LLC",D85)),VLOOKUP(A85,IntComp24[],16,FALSE),VLOOKUP(A85,IntComp[],16,FALSE)))=0,"",IF(OR(F85="2019-2020",F85="2021-2025"),"",IF(ISNUMBER(SEARCH("LLC",D85)),VLOOKUP(A85,IntComp24[],16,FALSE),VLOOKUP(A85,IntComp[],16,FALSE)))))</f>
        <v/>
      </c>
      <c r="J85" s="143" t="str">
        <f ca="1">IF(IF(OR(F85="2019-2020",F85="2021-2025"),"",IF(ISNUMBER(SEARCH("LLC",D85)),VLOOKUP(A85,IntComp24[],17,FALSE),VLOOKUP(A85,IntComp[],17,FALSE)))=0,"",IF(OR(F85="2019-2020",F85="2021-2025"),"",IF(ISNUMBER(SEARCH("LLC",D85)),VLOOKUP(A85,IntComp24[],17,FALSE),VLOOKUP(A85,IntComp[],17,FALSE))))</f>
        <v/>
      </c>
      <c r="K85" s="151"/>
      <c r="L85" s="151">
        <f ca="1">IF(OR(F85="2019-2020",F85="2021-2025"),"",IF(ISNUMBER(SEARCH("LLC",D85)),VLOOKUP(A85,IntComp24[],18,FALSE),VLOOKUP(A85,IntComp[],18,FALSE)))</f>
        <v>1603368.8125</v>
      </c>
      <c r="M85" s="143"/>
      <c r="N85" s="143" t="str">
        <f ca="1">IF(IF(OR(F85="2019-2020",F85="2021-2025"),"",IF(ISNUMBER(SEARCH("LLC",D85)),VLOOKUP(A85,IntComp24[],20,FALSE),VLOOKUP(A85,IntComp[],20,FALSE)))=0,"",IF(OR(F85="2019-2020",F85="2021-2025"),"",IF(ISNUMBER(SEARCH("LLC",D85)),VLOOKUP(A85,IntComp24[],20,FALSE),VLOOKUP(A85,IntComp[],20,FALSE))))</f>
        <v/>
      </c>
      <c r="O85" s="152" t="str">
        <f ca="1">IF(IF(OR(F85="2019-2020",F85="2021-2025"),"",IF(ISNUMBER(SEARCH("LLC",D85)),VLOOKUP(A85,IntComp24[],23,FALSE),VLOOKUP(A85,IntComp[],23,FALSE)))=0,"",IF(OR(F85="2019-2020",F85="2021-2025"),"",IF(ISNUMBER(SEARCH("LLC",D85)),VLOOKUP(A85,IntComp24[],23,FALSE),VLOOKUP(A85,IntComp[],23,FALSE))))</f>
        <v/>
      </c>
    </row>
    <row r="86" spans="1:15">
      <c r="A86" s="147" t="s">
        <v>301</v>
      </c>
      <c r="B86" s="144" t="str">
        <f>VLOOKUP(A86,Data[],2,FALSE)</f>
        <v>QUEENS</v>
      </c>
      <c r="C86" s="144" t="s">
        <v>106</v>
      </c>
      <c r="D86" s="9" t="str">
        <f>VLOOKUP(A86,Data[],52,FALSE)</f>
        <v>FEDERAL</v>
      </c>
      <c r="E86" s="9">
        <f>VLOOKUP(IntAll[[#This Row],[DEVELOPMENT]],Data[],62,FALSE)</f>
        <v>14</v>
      </c>
      <c r="F86" s="9" t="str">
        <f ca="1">VLOOKUP(A86,Data[],4,FALSE)</f>
        <v>2026+</v>
      </c>
      <c r="G86" s="9">
        <f>VLOOKUP(IntAll[[#This Row],[DEVELOPMENT]],EHDAll[[DEVELOPMENT]:['# Units]],6,FALSE)</f>
        <v>6</v>
      </c>
      <c r="H86" s="143" t="str">
        <f ca="1">IF(IntAll[[#This Row],[STATUS]]="","",IF(OR(F86="2019-2020",F86="2021-2025"),"",IF(ISNUMBER(SEARCH("LLC",D86)),VLOOKUP(A86,IntComp24[],21,FALSE),VLOOKUP(A86,IntComp[],21,FALSE))))</f>
        <v/>
      </c>
      <c r="I86" s="143" t="str">
        <f ca="1">IF(IntAll[[#This Row],[STATUS]]="","",IF(IF(OR(F86="2019-2020",F86="2021-2025"),"",IF(ISNUMBER(SEARCH("LLC",D86)),VLOOKUP(A86,IntComp24[],16,FALSE),VLOOKUP(A86,IntComp[],16,FALSE)))=0,"",IF(OR(F86="2019-2020",F86="2021-2025"),"",IF(ISNUMBER(SEARCH("LLC",D86)),VLOOKUP(A86,IntComp24[],16,FALSE),VLOOKUP(A86,IntComp[],16,FALSE)))))</f>
        <v/>
      </c>
      <c r="J86" s="143" t="str">
        <f ca="1">IF(IF(OR(F86="2019-2020",F86="2021-2025"),"",IF(ISNUMBER(SEARCH("LLC",D86)),VLOOKUP(A86,IntComp24[],17,FALSE),VLOOKUP(A86,IntComp[],17,FALSE)))=0,"",IF(OR(F86="2019-2020",F86="2021-2025"),"",IF(ISNUMBER(SEARCH("LLC",D86)),VLOOKUP(A86,IntComp24[],17,FALSE),VLOOKUP(A86,IntComp[],17,FALSE))))</f>
        <v/>
      </c>
      <c r="K86" s="151"/>
      <c r="L86" s="151">
        <f ca="1">IF(OR(F86="2019-2020",F86="2021-2025"),"",IF(ISNUMBER(SEARCH("LLC",D86)),VLOOKUP(A86,IntComp24[],18,FALSE),VLOOKUP(A86,IntComp[],18,FALSE)))</f>
        <v>484512</v>
      </c>
      <c r="M86" s="143"/>
      <c r="N86" s="143" t="str">
        <f ca="1">IF(IF(OR(F86="2019-2020",F86="2021-2025"),"",IF(ISNUMBER(SEARCH("LLC",D86)),VLOOKUP(A86,IntComp24[],20,FALSE),VLOOKUP(A86,IntComp[],20,FALSE)))=0,"",IF(OR(F86="2019-2020",F86="2021-2025"),"",IF(ISNUMBER(SEARCH("LLC",D86)),VLOOKUP(A86,IntComp24[],20,FALSE),VLOOKUP(A86,IntComp[],20,FALSE))))</f>
        <v/>
      </c>
      <c r="O86" s="152" t="str">
        <f ca="1">IF(IF(OR(F86="2019-2020",F86="2021-2025"),"",IF(ISNUMBER(SEARCH("LLC",D86)),VLOOKUP(A86,IntComp24[],23,FALSE),VLOOKUP(A86,IntComp[],23,FALSE)))=0,"",IF(OR(F86="2019-2020",F86="2021-2025"),"",IF(ISNUMBER(SEARCH("LLC",D86)),VLOOKUP(A86,IntComp24[],23,FALSE),VLOOKUP(A86,IntComp[],23,FALSE))))</f>
        <v/>
      </c>
    </row>
    <row r="87" spans="1:15">
      <c r="A87" s="147" t="s">
        <v>302</v>
      </c>
      <c r="B87" s="144" t="str">
        <f>VLOOKUP(A87,Data[],2,FALSE)</f>
        <v>BROOKLYN</v>
      </c>
      <c r="C87" s="144" t="s">
        <v>106</v>
      </c>
      <c r="D87" s="9" t="str">
        <f>VLOOKUP(A87,Data[],52,FALSE)</f>
        <v>FEDERAL</v>
      </c>
      <c r="E87" s="9">
        <f>VLOOKUP(IntAll[[#This Row],[DEVELOPMENT]],Data[],62,FALSE)</f>
        <v>5</v>
      </c>
      <c r="F87" s="9" t="str">
        <f ca="1">VLOOKUP(A87,Data[],4,FALSE)</f>
        <v/>
      </c>
      <c r="G87" s="9">
        <f>VLOOKUP(IntAll[[#This Row],[DEVELOPMENT]],EHDAll[[DEVELOPMENT]:['# Units]],6,FALSE)</f>
        <v>0</v>
      </c>
      <c r="H87" s="143" t="str">
        <f ca="1">IF(IntAll[[#This Row],[STATUS]]="","",IF(OR(F87="2019-2020",F87="2021-2025"),"",IF(ISNUMBER(SEARCH("LLC",D87)),VLOOKUP(A87,IntComp24[],21,FALSE),VLOOKUP(A87,IntComp[],21,FALSE))))</f>
        <v/>
      </c>
      <c r="I87" s="143" t="str">
        <f ca="1">IF(IntAll[[#This Row],[STATUS]]="","",IF(IF(OR(F87="2019-2020",F87="2021-2025"),"",IF(ISNUMBER(SEARCH("LLC",D87)),VLOOKUP(A87,IntComp24[],16,FALSE),VLOOKUP(A87,IntComp[],16,FALSE)))=0,"",IF(OR(F87="2019-2020",F87="2021-2025"),"",IF(ISNUMBER(SEARCH("LLC",D87)),VLOOKUP(A87,IntComp24[],16,FALSE),VLOOKUP(A87,IntComp[],16,FALSE)))))</f>
        <v/>
      </c>
      <c r="J87" s="143" t="str">
        <f ca="1">IF(IF(OR(F87="2019-2020",F87="2021-2025"),"",IF(ISNUMBER(SEARCH("LLC",D87)),VLOOKUP(A87,IntComp24[],17,FALSE),VLOOKUP(A87,IntComp[],17,FALSE)))=0,"",IF(OR(F87="2019-2020",F87="2021-2025"),"",IF(ISNUMBER(SEARCH("LLC",D87)),VLOOKUP(A87,IntComp24[],17,FALSE),VLOOKUP(A87,IntComp[],17,FALSE))))</f>
        <v/>
      </c>
      <c r="K87" s="151"/>
      <c r="L87" s="151">
        <f ca="1">IF(OR(F87="2019-2020",F87="2021-2025"),"",IF(ISNUMBER(SEARCH("LLC",D87)),VLOOKUP(A87,IntComp24[],18,FALSE),VLOOKUP(A87,IntComp[],18,FALSE)))</f>
        <v>0</v>
      </c>
      <c r="M87" s="143"/>
      <c r="N87" s="143" t="str">
        <f ca="1">IF(IF(OR(F87="2019-2020",F87="2021-2025"),"",IF(ISNUMBER(SEARCH("LLC",D87)),VLOOKUP(A87,IntComp24[],20,FALSE),VLOOKUP(A87,IntComp[],20,FALSE)))=0,"",IF(OR(F87="2019-2020",F87="2021-2025"),"",IF(ISNUMBER(SEARCH("LLC",D87)),VLOOKUP(A87,IntComp24[],20,FALSE),VLOOKUP(A87,IntComp[],20,FALSE))))</f>
        <v/>
      </c>
      <c r="O87" s="152" t="str">
        <f ca="1">IF(IF(OR(F87="2019-2020",F87="2021-2025"),"",IF(ISNUMBER(SEARCH("LLC",D87)),VLOOKUP(A87,IntComp24[],23,FALSE),VLOOKUP(A87,IntComp[],23,FALSE)))=0,"",IF(OR(F87="2019-2020",F87="2021-2025"),"",IF(ISNUMBER(SEARCH("LLC",D87)),VLOOKUP(A87,IntComp24[],23,FALSE),VLOOKUP(A87,IntComp[],23,FALSE))))</f>
        <v/>
      </c>
    </row>
    <row r="88" spans="1:15">
      <c r="A88" s="147" t="s">
        <v>232</v>
      </c>
      <c r="B88" s="144" t="str">
        <f>VLOOKUP(A88,Data[],2,FALSE)</f>
        <v>STATEN ISLAND</v>
      </c>
      <c r="C88" s="144" t="s">
        <v>106</v>
      </c>
      <c r="D88" s="9" t="str">
        <f>VLOOKUP(A88,Data[],52,FALSE)</f>
        <v>FEDERAL</v>
      </c>
      <c r="E88" s="9">
        <f>VLOOKUP(IntAll[[#This Row],[DEVELOPMENT]],Data[],62,FALSE)</f>
        <v>2</v>
      </c>
      <c r="F88" s="9" t="str">
        <f ca="1">VLOOKUP(A88,Data[],4,FALSE)</f>
        <v/>
      </c>
      <c r="G88" s="9">
        <f>VLOOKUP(IntAll[[#This Row],[DEVELOPMENT]],EHDAll[[DEVELOPMENT]:['# Units]],6,FALSE)</f>
        <v>16</v>
      </c>
      <c r="H88" s="143" t="str">
        <f ca="1">IF(IntAll[[#This Row],[STATUS]]="","",IF(OR(F88="2019-2020",F88="2021-2025"),"",IF(ISNUMBER(SEARCH("LLC",D88)),VLOOKUP(A88,IntComp24[],21,FALSE),VLOOKUP(A88,IntComp[],21,FALSE))))</f>
        <v/>
      </c>
      <c r="I88" s="143" t="str">
        <f ca="1">IF(IntAll[[#This Row],[STATUS]]="","",IF(IF(OR(F88="2019-2020",F88="2021-2025"),"",IF(ISNUMBER(SEARCH("LLC",D88)),VLOOKUP(A88,IntComp24[],16,FALSE),VLOOKUP(A88,IntComp[],16,FALSE)))=0,"",IF(OR(F88="2019-2020",F88="2021-2025"),"",IF(ISNUMBER(SEARCH("LLC",D88)),VLOOKUP(A88,IntComp24[],16,FALSE),VLOOKUP(A88,IntComp[],16,FALSE)))))</f>
        <v/>
      </c>
      <c r="J88" s="143" t="str">
        <f ca="1">IF(IF(OR(F88="2019-2020",F88="2021-2025"),"",IF(ISNUMBER(SEARCH("LLC",D88)),VLOOKUP(A88,IntComp24[],17,FALSE),VLOOKUP(A88,IntComp[],17,FALSE)))=0,"",IF(OR(F88="2019-2020",F88="2021-2025"),"",IF(ISNUMBER(SEARCH("LLC",D88)),VLOOKUP(A88,IntComp24[],17,FALSE),VLOOKUP(A88,IntComp[],17,FALSE))))</f>
        <v/>
      </c>
      <c r="K88" s="151"/>
      <c r="L88" s="151">
        <f ca="1">IF(OR(F88="2019-2020",F88="2021-2025"),"",IF(ISNUMBER(SEARCH("LLC",D88)),VLOOKUP(A88,IntComp24[],18,FALSE),VLOOKUP(A88,IntComp[],18,FALSE)))</f>
        <v>1080058</v>
      </c>
      <c r="M88" s="143"/>
      <c r="N88" s="143" t="str">
        <f ca="1">IF(IF(OR(F88="2019-2020",F88="2021-2025"),"",IF(ISNUMBER(SEARCH("LLC",D88)),VLOOKUP(A88,IntComp24[],20,FALSE),VLOOKUP(A88,IntComp[],20,FALSE)))=0,"",IF(OR(F88="2019-2020",F88="2021-2025"),"",IF(ISNUMBER(SEARCH("LLC",D88)),VLOOKUP(A88,IntComp24[],20,FALSE),VLOOKUP(A88,IntComp[],20,FALSE))))</f>
        <v/>
      </c>
      <c r="O88" s="152" t="str">
        <f ca="1">IF(IF(OR(F88="2019-2020",F88="2021-2025"),"",IF(ISNUMBER(SEARCH("LLC",D88)),VLOOKUP(A88,IntComp24[],23,FALSE),VLOOKUP(A88,IntComp[],23,FALSE)))=0,"",IF(OR(F88="2019-2020",F88="2021-2025"),"",IF(ISNUMBER(SEARCH("LLC",D88)),VLOOKUP(A88,IntComp24[],23,FALSE),VLOOKUP(A88,IntComp[],23,FALSE))))</f>
        <v/>
      </c>
    </row>
    <row r="89" spans="1:15">
      <c r="A89" s="147" t="s">
        <v>303</v>
      </c>
      <c r="B89" s="144" t="str">
        <f>VLOOKUP(A89,Data[],2,FALSE)</f>
        <v>BROOKLYN</v>
      </c>
      <c r="C89" s="144" t="s">
        <v>106</v>
      </c>
      <c r="D89" s="9" t="str">
        <f>VLOOKUP(A89,Data[],52,FALSE)</f>
        <v>FEDERAL</v>
      </c>
      <c r="E89" s="9">
        <f>VLOOKUP(IntAll[[#This Row],[DEVELOPMENT]],Data[],62,FALSE)</f>
        <v>1</v>
      </c>
      <c r="F89" s="9">
        <f ca="1">VLOOKUP(A89,Data[],4,FALSE)</f>
        <v>2019</v>
      </c>
      <c r="G89" s="9">
        <f>VLOOKUP(IntAll[[#This Row],[DEVELOPMENT]],EHDAll[[DEVELOPMENT]:['# Units]],6,FALSE)</f>
        <v>1</v>
      </c>
      <c r="H89" s="143" t="str">
        <f ca="1">IF(IntAll[[#This Row],[STATUS]]="","",IF(OR(F89="2019-2020",F89="2021-2025"),"",IF(ISNUMBER(SEARCH("LLC",D89)),VLOOKUP(A89,IntComp24[],21,FALSE),VLOOKUP(A89,IntComp[],21,FALSE))))</f>
        <v/>
      </c>
      <c r="I89" s="143" t="str">
        <f ca="1">IF(IntAll[[#This Row],[STATUS]]="","",IF(IF(OR(F89="2019-2020",F89="2021-2025"),"",IF(ISNUMBER(SEARCH("LLC",D89)),VLOOKUP(A89,IntComp24[],16,FALSE),VLOOKUP(A89,IntComp[],16,FALSE)))=0,"",IF(OR(F89="2019-2020",F89="2021-2025"),"",IF(ISNUMBER(SEARCH("LLC",D89)),VLOOKUP(A89,IntComp24[],16,FALSE),VLOOKUP(A89,IntComp[],16,FALSE)))))</f>
        <v/>
      </c>
      <c r="J89" s="143" t="str">
        <f ca="1">IF(IF(OR(F89="2019-2020",F89="2021-2025"),"",IF(ISNUMBER(SEARCH("LLC",D89)),VLOOKUP(A89,IntComp24[],17,FALSE),VLOOKUP(A89,IntComp[],17,FALSE)))=0,"",IF(OR(F89="2019-2020",F89="2021-2025"),"",IF(ISNUMBER(SEARCH("LLC",D89)),VLOOKUP(A89,IntComp24[],17,FALSE),VLOOKUP(A89,IntComp[],17,FALSE))))</f>
        <v/>
      </c>
      <c r="K89" s="151"/>
      <c r="L89" s="151">
        <f ca="1">IF(OR(F89="2019-2020",F89="2021-2025"),"",IF(ISNUMBER(SEARCH("LLC",D89)),VLOOKUP(A89,IntComp24[],18,FALSE),VLOOKUP(A89,IntComp[],18,FALSE)))</f>
        <v>0</v>
      </c>
      <c r="M89" s="143"/>
      <c r="N89" s="143" t="str">
        <f ca="1">IF(IF(OR(F89="2019-2020",F89="2021-2025"),"",IF(ISNUMBER(SEARCH("LLC",D89)),VLOOKUP(A89,IntComp24[],20,FALSE),VLOOKUP(A89,IntComp[],20,FALSE)))=0,"",IF(OR(F89="2019-2020",F89="2021-2025"),"",IF(ISNUMBER(SEARCH("LLC",D89)),VLOOKUP(A89,IntComp24[],20,FALSE),VLOOKUP(A89,IntComp[],20,FALSE))))</f>
        <v/>
      </c>
      <c r="O89" s="152" t="str">
        <f ca="1">IF(IF(OR(F89="2019-2020",F89="2021-2025"),"",IF(ISNUMBER(SEARCH("LLC",D89)),VLOOKUP(A89,IntComp24[],23,FALSE),VLOOKUP(A89,IntComp[],23,FALSE)))=0,"",IF(OR(F89="2019-2020",F89="2021-2025"),"",IF(ISNUMBER(SEARCH("LLC",D89)),VLOOKUP(A89,IntComp24[],23,FALSE),VLOOKUP(A89,IntComp[],23,FALSE))))</f>
        <v/>
      </c>
    </row>
    <row r="90" spans="1:15">
      <c r="A90" s="147" t="s">
        <v>71</v>
      </c>
      <c r="B90" s="144" t="str">
        <f>VLOOKUP(A90,Data[],2,FALSE)</f>
        <v>MANHATTAN</v>
      </c>
      <c r="C90" s="144" t="s">
        <v>106</v>
      </c>
      <c r="D90" s="9" t="str">
        <f>VLOOKUP(A90,Data[],52,FALSE)</f>
        <v>FEDERAL</v>
      </c>
      <c r="E90" s="9">
        <f>VLOOKUP(IntAll[[#This Row],[DEVELOPMENT]],Data[],62,FALSE)</f>
        <v>12</v>
      </c>
      <c r="F90" s="9" t="str">
        <f ca="1">VLOOKUP(A90,Data[],4,FALSE)</f>
        <v>2020-2021</v>
      </c>
      <c r="G90" s="9">
        <f>VLOOKUP(IntAll[[#This Row],[DEVELOPMENT]],EHDAll[[DEVELOPMENT]:['# Units]],6,FALSE)</f>
        <v>1</v>
      </c>
      <c r="H90" s="143" t="str">
        <f ca="1">IF(IntAll[[#This Row],[STATUS]]="","",IF(OR(F90="2019-2020",F90="2021-2025"),"",IF(ISNUMBER(SEARCH("LLC",D90)),VLOOKUP(A90,IntComp24[],21,FALSE),VLOOKUP(A90,IntComp[],21,FALSE))))</f>
        <v/>
      </c>
      <c r="I90" s="143" t="str">
        <f ca="1">IF(IntAll[[#This Row],[STATUS]]="","",IF(IF(OR(F90="2019-2020",F90="2021-2025"),"",IF(ISNUMBER(SEARCH("LLC",D90)),VLOOKUP(A90,IntComp24[],16,FALSE),VLOOKUP(A90,IntComp[],16,FALSE)))=0,"",IF(OR(F90="2019-2020",F90="2021-2025"),"",IF(ISNUMBER(SEARCH("LLC",D90)),VLOOKUP(A90,IntComp24[],16,FALSE),VLOOKUP(A90,IntComp[],16,FALSE)))))</f>
        <v/>
      </c>
      <c r="J90" s="143" t="str">
        <f ca="1">IF(IF(OR(F90="2019-2020",F90="2021-2025"),"",IF(ISNUMBER(SEARCH("LLC",D90)),VLOOKUP(A90,IntComp24[],17,FALSE),VLOOKUP(A90,IntComp[],17,FALSE)))=0,"",IF(OR(F90="2019-2020",F90="2021-2025"),"",IF(ISNUMBER(SEARCH("LLC",D90)),VLOOKUP(A90,IntComp24[],17,FALSE),VLOOKUP(A90,IntComp[],17,FALSE))))</f>
        <v/>
      </c>
      <c r="K90" s="151"/>
      <c r="L90" s="151">
        <f ca="1">IF(OR(F90="2019-2020",F90="2021-2025"),"",IF(ISNUMBER(SEARCH("LLC",D90)),VLOOKUP(A90,IntComp24[],18,FALSE),VLOOKUP(A90,IntComp[],18,FALSE)))</f>
        <v>0</v>
      </c>
      <c r="M90" s="143"/>
      <c r="N90" s="143" t="str">
        <f ca="1">IF(IF(OR(F90="2019-2020",F90="2021-2025"),"",IF(ISNUMBER(SEARCH("LLC",D90)),VLOOKUP(A90,IntComp24[],20,FALSE),VLOOKUP(A90,IntComp[],20,FALSE)))=0,"",IF(OR(F90="2019-2020",F90="2021-2025"),"",IF(ISNUMBER(SEARCH("LLC",D90)),VLOOKUP(A90,IntComp24[],20,FALSE),VLOOKUP(A90,IntComp[],20,FALSE))))</f>
        <v/>
      </c>
      <c r="O90" s="152" t="str">
        <f ca="1">IF(IF(OR(F90="2019-2020",F90="2021-2025"),"",IF(ISNUMBER(SEARCH("LLC",D90)),VLOOKUP(A90,IntComp24[],23,FALSE),VLOOKUP(A90,IntComp[],23,FALSE)))=0,"",IF(OR(F90="2019-2020",F90="2021-2025"),"",IF(ISNUMBER(SEARCH("LLC",D90)),VLOOKUP(A90,IntComp24[],23,FALSE),VLOOKUP(A90,IntComp[],23,FALSE))))</f>
        <v/>
      </c>
    </row>
    <row r="91" spans="1:15">
      <c r="A91" s="147" t="s">
        <v>119</v>
      </c>
      <c r="B91" s="144" t="str">
        <f>VLOOKUP(A91,Data[],2,FALSE)</f>
        <v>BROOKLYN</v>
      </c>
      <c r="C91" s="144" t="s">
        <v>106</v>
      </c>
      <c r="D91" s="9" t="str">
        <f>VLOOKUP(A91,Data[],52,FALSE)</f>
        <v>FEDERAL</v>
      </c>
      <c r="E91" s="9">
        <f>VLOOKUP(IntAll[[#This Row],[DEVELOPMENT]],Data[],62,FALSE)</f>
        <v>1</v>
      </c>
      <c r="F91" s="9" t="str">
        <f ca="1">VLOOKUP(A91,Data[],4,FALSE)</f>
        <v>2026+</v>
      </c>
      <c r="G91" s="9">
        <f>VLOOKUP(IntAll[[#This Row],[DEVELOPMENT]],EHDAll[[DEVELOPMENT]:['# Units]],6,FALSE)</f>
        <v>8</v>
      </c>
      <c r="H91" s="143" t="str">
        <f ca="1">IF(IntAll[[#This Row],[STATUS]]="","",IF(OR(F91="2019-2020",F91="2021-2025"),"",IF(ISNUMBER(SEARCH("LLC",D91)),VLOOKUP(A91,IntComp24[],21,FALSE),VLOOKUP(A91,IntComp[],21,FALSE))))</f>
        <v/>
      </c>
      <c r="I91" s="143" t="str">
        <f ca="1">IF(IntAll[[#This Row],[STATUS]]="","",IF(IF(OR(F91="2019-2020",F91="2021-2025"),"",IF(ISNUMBER(SEARCH("LLC",D91)),VLOOKUP(A91,IntComp24[],16,FALSE),VLOOKUP(A91,IntComp[],16,FALSE)))=0,"",IF(OR(F91="2019-2020",F91="2021-2025"),"",IF(ISNUMBER(SEARCH("LLC",D91)),VLOOKUP(A91,IntComp24[],16,FALSE),VLOOKUP(A91,IntComp[],16,FALSE)))))</f>
        <v/>
      </c>
      <c r="J91" s="143" t="str">
        <f ca="1">IF(IF(OR(F91="2019-2020",F91="2021-2025"),"",IF(ISNUMBER(SEARCH("LLC",D91)),VLOOKUP(A91,IntComp24[],17,FALSE),VLOOKUP(A91,IntComp[],17,FALSE)))=0,"",IF(OR(F91="2019-2020",F91="2021-2025"),"",IF(ISNUMBER(SEARCH("LLC",D91)),VLOOKUP(A91,IntComp24[],17,FALSE),VLOOKUP(A91,IntComp[],17,FALSE))))</f>
        <v/>
      </c>
      <c r="K91" s="151"/>
      <c r="L91" s="151">
        <f ca="1">IF(OR(F91="2019-2020",F91="2021-2025"),"",IF(ISNUMBER(SEARCH("LLC",D91)),VLOOKUP(A91,IntComp24[],18,FALSE),VLOOKUP(A91,IntComp[],18,FALSE)))</f>
        <v>522364.49999999994</v>
      </c>
      <c r="M91" s="143"/>
      <c r="N91" s="143" t="str">
        <f ca="1">IF(IF(OR(F91="2019-2020",F91="2021-2025"),"",IF(ISNUMBER(SEARCH("LLC",D91)),VLOOKUP(A91,IntComp24[],20,FALSE),VLOOKUP(A91,IntComp[],20,FALSE)))=0,"",IF(OR(F91="2019-2020",F91="2021-2025"),"",IF(ISNUMBER(SEARCH("LLC",D91)),VLOOKUP(A91,IntComp24[],20,FALSE),VLOOKUP(A91,IntComp[],20,FALSE))))</f>
        <v/>
      </c>
      <c r="O91" s="152" t="str">
        <f ca="1">IF(IF(OR(F91="2019-2020",F91="2021-2025"),"",IF(ISNUMBER(SEARCH("LLC",D91)),VLOOKUP(A91,IntComp24[],23,FALSE),VLOOKUP(A91,IntComp[],23,FALSE)))=0,"",IF(OR(F91="2019-2020",F91="2021-2025"),"",IF(ISNUMBER(SEARCH("LLC",D91)),VLOOKUP(A91,IntComp24[],23,FALSE),VLOOKUP(A91,IntComp[],23,FALSE))))</f>
        <v/>
      </c>
    </row>
    <row r="92" spans="1:15">
      <c r="A92" s="147" t="s">
        <v>72</v>
      </c>
      <c r="B92" s="144" t="str">
        <f>VLOOKUP(A92,Data[],2,FALSE)</f>
        <v>BROOKLYN</v>
      </c>
      <c r="C92" s="144" t="s">
        <v>106</v>
      </c>
      <c r="D92" s="9" t="str">
        <f>VLOOKUP(A92,Data[],52,FALSE)</f>
        <v>FEDERAL</v>
      </c>
      <c r="E92" s="9">
        <f>VLOOKUP(IntAll[[#This Row],[DEVELOPMENT]],Data[],62,FALSE)</f>
        <v>1</v>
      </c>
      <c r="F92" s="9" t="str">
        <f ca="1">VLOOKUP(A92,Data[],4,FALSE)</f>
        <v>2026+</v>
      </c>
      <c r="G92" s="9">
        <f>VLOOKUP(IntAll[[#This Row],[DEVELOPMENT]],EHDAll[[DEVELOPMENT]:['# Units]],6,FALSE)</f>
        <v>7</v>
      </c>
      <c r="H92" s="143" t="str">
        <f ca="1">IF(IntAll[[#This Row],[STATUS]]="","",IF(OR(F92="2019-2020",F92="2021-2025"),"",IF(ISNUMBER(SEARCH("LLC",D92)),VLOOKUP(A92,IntComp24[],21,FALSE),VLOOKUP(A92,IntComp[],21,FALSE))))</f>
        <v/>
      </c>
      <c r="I92" s="143" t="str">
        <f ca="1">IF(IntAll[[#This Row],[STATUS]]="","",IF(IF(OR(F92="2019-2020",F92="2021-2025"),"",IF(ISNUMBER(SEARCH("LLC",D92)),VLOOKUP(A92,IntComp24[],16,FALSE),VLOOKUP(A92,IntComp[],16,FALSE)))=0,"",IF(OR(F92="2019-2020",F92="2021-2025"),"",IF(ISNUMBER(SEARCH("LLC",D92)),VLOOKUP(A92,IntComp24[],16,FALSE),VLOOKUP(A92,IntComp[],16,FALSE)))))</f>
        <v/>
      </c>
      <c r="J92" s="143" t="str">
        <f ca="1">IF(IF(OR(F92="2019-2020",F92="2021-2025"),"",IF(ISNUMBER(SEARCH("LLC",D92)),VLOOKUP(A92,IntComp24[],17,FALSE),VLOOKUP(A92,IntComp[],17,FALSE)))=0,"",IF(OR(F92="2019-2020",F92="2021-2025"),"",IF(ISNUMBER(SEARCH("LLC",D92)),VLOOKUP(A92,IntComp24[],17,FALSE),VLOOKUP(A92,IntComp[],17,FALSE))))</f>
        <v/>
      </c>
      <c r="K92" s="151"/>
      <c r="L92" s="151">
        <f ca="1">IF(OR(F92="2019-2020",F92="2021-2025"),"",IF(ISNUMBER(SEARCH("LLC",D92)),VLOOKUP(A92,IntComp24[],18,FALSE),VLOOKUP(A92,IntComp[],18,FALSE)))</f>
        <v>487981.8125</v>
      </c>
      <c r="M92" s="143"/>
      <c r="N92" s="143" t="str">
        <f ca="1">IF(IF(OR(F92="2019-2020",F92="2021-2025"),"",IF(ISNUMBER(SEARCH("LLC",D92)),VLOOKUP(A92,IntComp24[],20,FALSE),VLOOKUP(A92,IntComp[],20,FALSE)))=0,"",IF(OR(F92="2019-2020",F92="2021-2025"),"",IF(ISNUMBER(SEARCH("LLC",D92)),VLOOKUP(A92,IntComp24[],20,FALSE),VLOOKUP(A92,IntComp[],20,FALSE))))</f>
        <v/>
      </c>
      <c r="O92" s="152" t="str">
        <f ca="1">IF(IF(OR(F92="2019-2020",F92="2021-2025"),"",IF(ISNUMBER(SEARCH("LLC",D92)),VLOOKUP(A92,IntComp24[],23,FALSE),VLOOKUP(A92,IntComp[],23,FALSE)))=0,"",IF(OR(F92="2019-2020",F92="2021-2025"),"",IF(ISNUMBER(SEARCH("LLC",D92)),VLOOKUP(A92,IntComp24[],23,FALSE),VLOOKUP(A92,IntComp[],23,FALSE))))</f>
        <v/>
      </c>
    </row>
    <row r="93" spans="1:15">
      <c r="A93" s="147" t="s">
        <v>234</v>
      </c>
      <c r="B93" s="144" t="str">
        <f>VLOOKUP(A93,Data[],2,FALSE)</f>
        <v>BRONX</v>
      </c>
      <c r="C93" s="144" t="s">
        <v>106</v>
      </c>
      <c r="D93" s="9" t="str">
        <f>VLOOKUP(A93,Data[],52,FALSE)</f>
        <v>FEDERAL</v>
      </c>
      <c r="E93" s="9">
        <f>VLOOKUP(IntAll[[#This Row],[DEVELOPMENT]],Data[],62,FALSE)</f>
        <v>11</v>
      </c>
      <c r="F93" s="9" t="str">
        <f ca="1">VLOOKUP(A93,Data[],4,FALSE)</f>
        <v>2022-2025</v>
      </c>
      <c r="G93" s="9">
        <f>VLOOKUP(IntAll[[#This Row],[DEVELOPMENT]],EHDAll[[DEVELOPMENT]:['# Units]],6,FALSE)</f>
        <v>1</v>
      </c>
      <c r="H93" s="143" t="str">
        <f ca="1">IF(IntAll[[#This Row],[STATUS]]="","",IF(OR(F93="2019-2020",F93="2021-2025"),"",IF(ISNUMBER(SEARCH("LLC",D93)),VLOOKUP(A93,IntComp24[],21,FALSE),VLOOKUP(A93,IntComp[],21,FALSE))))</f>
        <v/>
      </c>
      <c r="I93" s="143" t="str">
        <f ca="1">IF(IntAll[[#This Row],[STATUS]]="","",IF(IF(OR(F93="2019-2020",F93="2021-2025"),"",IF(ISNUMBER(SEARCH("LLC",D93)),VLOOKUP(A93,IntComp24[],16,FALSE),VLOOKUP(A93,IntComp[],16,FALSE)))=0,"",IF(OR(F93="2019-2020",F93="2021-2025"),"",IF(ISNUMBER(SEARCH("LLC",D93)),VLOOKUP(A93,IntComp24[],16,FALSE),VLOOKUP(A93,IntComp[],16,FALSE)))))</f>
        <v/>
      </c>
      <c r="J93" s="143" t="str">
        <f ca="1">IF(IF(OR(F93="2019-2020",F93="2021-2025"),"",IF(ISNUMBER(SEARCH("LLC",D93)),VLOOKUP(A93,IntComp24[],17,FALSE),VLOOKUP(A93,IntComp[],17,FALSE)))=0,"",IF(OR(F93="2019-2020",F93="2021-2025"),"",IF(ISNUMBER(SEARCH("LLC",D93)),VLOOKUP(A93,IntComp24[],17,FALSE),VLOOKUP(A93,IntComp[],17,FALSE))))</f>
        <v/>
      </c>
      <c r="K93" s="151"/>
      <c r="L93" s="151">
        <f ca="1">IF(OR(F93="2019-2020",F93="2021-2025"),"",IF(ISNUMBER(SEARCH("LLC",D93)),VLOOKUP(A93,IntComp24[],18,FALSE),VLOOKUP(A93,IntComp[],18,FALSE)))</f>
        <v>0</v>
      </c>
      <c r="M93" s="143"/>
      <c r="N93" s="143" t="str">
        <f ca="1">IF(IF(OR(F93="2019-2020",F93="2021-2025"),"",IF(ISNUMBER(SEARCH("LLC",D93)),VLOOKUP(A93,IntComp24[],20,FALSE),VLOOKUP(A93,IntComp[],20,FALSE)))=0,"",IF(OR(F93="2019-2020",F93="2021-2025"),"",IF(ISNUMBER(SEARCH("LLC",D93)),VLOOKUP(A93,IntComp24[],20,FALSE),VLOOKUP(A93,IntComp[],20,FALSE))))</f>
        <v/>
      </c>
      <c r="O93" s="152" t="str">
        <f ca="1">IF(IF(OR(F93="2019-2020",F93="2021-2025"),"",IF(ISNUMBER(SEARCH("LLC",D93)),VLOOKUP(A93,IntComp24[],23,FALSE),VLOOKUP(A93,IntComp[],23,FALSE)))=0,"",IF(OR(F93="2019-2020",F93="2021-2025"),"",IF(ISNUMBER(SEARCH("LLC",D93)),VLOOKUP(A93,IntComp24[],23,FALSE),VLOOKUP(A93,IntComp[],23,FALSE))))</f>
        <v/>
      </c>
    </row>
    <row r="94" spans="1:15">
      <c r="A94" s="147" t="s">
        <v>304</v>
      </c>
      <c r="B94" s="144" t="str">
        <f>VLOOKUP(A94,Data[],2,FALSE)</f>
        <v>BRONX</v>
      </c>
      <c r="C94" s="144" t="s">
        <v>106</v>
      </c>
      <c r="D94" s="9" t="str">
        <f>VLOOKUP(A94,Data[],52,FALSE)</f>
        <v>FEDERAL</v>
      </c>
      <c r="E94" s="9">
        <f>VLOOKUP(IntAll[[#This Row],[DEVELOPMENT]],Data[],62,FALSE)</f>
        <v>12</v>
      </c>
      <c r="F94" s="9" t="str">
        <f ca="1">VLOOKUP(A94,Data[],4,FALSE)</f>
        <v/>
      </c>
      <c r="G94" s="9">
        <f>VLOOKUP(IntAll[[#This Row],[DEVELOPMENT]],EHDAll[[DEVELOPMENT]:['# Units]],6,FALSE)</f>
        <v>4</v>
      </c>
      <c r="H94" s="143" t="str">
        <f ca="1">IF(IntAll[[#This Row],[STATUS]]="","",IF(OR(F94="2019-2020",F94="2021-2025"),"",IF(ISNUMBER(SEARCH("LLC",D94)),VLOOKUP(A94,IntComp24[],21,FALSE),VLOOKUP(A94,IntComp[],21,FALSE))))</f>
        <v/>
      </c>
      <c r="I94" s="143" t="str">
        <f ca="1">IF(IntAll[[#This Row],[STATUS]]="","",IF(IF(OR(F94="2019-2020",F94="2021-2025"),"",IF(ISNUMBER(SEARCH("LLC",D94)),VLOOKUP(A94,IntComp24[],16,FALSE),VLOOKUP(A94,IntComp[],16,FALSE)))=0,"",IF(OR(F94="2019-2020",F94="2021-2025"),"",IF(ISNUMBER(SEARCH("LLC",D94)),VLOOKUP(A94,IntComp24[],16,FALSE),VLOOKUP(A94,IntComp[],16,FALSE)))))</f>
        <v/>
      </c>
      <c r="J94" s="143" t="str">
        <f ca="1">IF(IF(OR(F94="2019-2020",F94="2021-2025"),"",IF(ISNUMBER(SEARCH("LLC",D94)),VLOOKUP(A94,IntComp24[],17,FALSE),VLOOKUP(A94,IntComp[],17,FALSE)))=0,"",IF(OR(F94="2019-2020",F94="2021-2025"),"",IF(ISNUMBER(SEARCH("LLC",D94)),VLOOKUP(A94,IntComp24[],17,FALSE),VLOOKUP(A94,IntComp[],17,FALSE))))</f>
        <v/>
      </c>
      <c r="K94" s="151"/>
      <c r="L94" s="151">
        <f ca="1">IF(OR(F94="2019-2020",F94="2021-2025"),"",IF(ISNUMBER(SEARCH("LLC",D94)),VLOOKUP(A94,IntComp24[],18,FALSE),VLOOKUP(A94,IntComp[],18,FALSE)))</f>
        <v>314175.75</v>
      </c>
      <c r="M94" s="143"/>
      <c r="N94" s="143" t="str">
        <f ca="1">IF(IF(OR(F94="2019-2020",F94="2021-2025"),"",IF(ISNUMBER(SEARCH("LLC",D94)),VLOOKUP(A94,IntComp24[],20,FALSE),VLOOKUP(A94,IntComp[],20,FALSE)))=0,"",IF(OR(F94="2019-2020",F94="2021-2025"),"",IF(ISNUMBER(SEARCH("LLC",D94)),VLOOKUP(A94,IntComp24[],20,FALSE),VLOOKUP(A94,IntComp[],20,FALSE))))</f>
        <v/>
      </c>
      <c r="O94" s="152" t="str">
        <f ca="1">IF(IF(OR(F94="2019-2020",F94="2021-2025"),"",IF(ISNUMBER(SEARCH("LLC",D94)),VLOOKUP(A94,IntComp24[],23,FALSE),VLOOKUP(A94,IntComp[],23,FALSE)))=0,"",IF(OR(F94="2019-2020",F94="2021-2025"),"",IF(ISNUMBER(SEARCH("LLC",D94)),VLOOKUP(A94,IntComp24[],23,FALSE),VLOOKUP(A94,IntComp[],23,FALSE))))</f>
        <v/>
      </c>
    </row>
    <row r="95" spans="1:15">
      <c r="A95" s="147" t="s">
        <v>226</v>
      </c>
      <c r="B95" s="144" t="str">
        <f>VLOOKUP(A95,Data[],2,FALSE)</f>
        <v>BROOKLYN</v>
      </c>
      <c r="C95" s="144" t="s">
        <v>106</v>
      </c>
      <c r="D95" s="9" t="str">
        <f>VLOOKUP(A95,Data[],52,FALSE)</f>
        <v>MIXED FINANCE/LLC2</v>
      </c>
      <c r="E95" s="9">
        <f>VLOOKUP(IntAll[[#This Row],[DEVELOPMENT]],Data[],62,FALSE)</f>
        <v>5</v>
      </c>
      <c r="F95" s="9" t="str">
        <f ca="1">VLOOKUP(A95,Data[],4,FALSE)</f>
        <v>2020-2021</v>
      </c>
      <c r="G95" s="9">
        <f>VLOOKUP(IntAll[[#This Row],[DEVELOPMENT]],EHDAll[[DEVELOPMENT]:['# Units]],6,FALSE)</f>
        <v>30</v>
      </c>
      <c r="H95" s="143" t="str">
        <f ca="1">IF(IntAll[[#This Row],[STATUS]]="","",IF(OR(F95="2019-2020",F95="2021-2025"),"",IF(ISNUMBER(SEARCH("LLC",D95)),VLOOKUP(A95,IntComp24[],21,FALSE),VLOOKUP(A95,IntComp[],21,FALSE))))</f>
        <v/>
      </c>
      <c r="I95" s="143" t="str">
        <f ca="1">IF(IntAll[[#This Row],[STATUS]]="","",IF(IF(OR(F95="2019-2020",F95="2021-2025"),"",IF(ISNUMBER(SEARCH("LLC",D95)),VLOOKUP(A95,IntComp24[],16,FALSE),VLOOKUP(A95,IntComp[],16,FALSE)))=0,"",IF(OR(F95="2019-2020",F95="2021-2025"),"",IF(ISNUMBER(SEARCH("LLC",D95)),VLOOKUP(A95,IntComp24[],16,FALSE),VLOOKUP(A95,IntComp[],16,FALSE)))))</f>
        <v/>
      </c>
      <c r="J95" s="143" t="str">
        <f ca="1">IF(IF(OR(F95="2019-2020",F95="2021-2025"),"",IF(ISNUMBER(SEARCH("LLC",D95)),VLOOKUP(A95,IntComp24[],17,FALSE),VLOOKUP(A95,IntComp[],17,FALSE)))=0,"",IF(OR(F95="2019-2020",F95="2021-2025"),"",IF(ISNUMBER(SEARCH("LLC",D95)),VLOOKUP(A95,IntComp24[],17,FALSE),VLOOKUP(A95,IntComp[],17,FALSE))))</f>
        <v/>
      </c>
      <c r="K95" s="151"/>
      <c r="L95" s="151">
        <f ca="1">IF(OR(F95="2019-2020",F95="2021-2025"),"",IF(ISNUMBER(SEARCH("LLC",D95)),VLOOKUP(A95,IntComp24[],18,FALSE),VLOOKUP(A95,IntComp[],18,FALSE)))</f>
        <v>0</v>
      </c>
      <c r="M95" s="143"/>
      <c r="N95" s="143" t="str">
        <f ca="1">IF(IF(OR(F95="2019-2020",F95="2021-2025"),"",IF(ISNUMBER(SEARCH("LLC",D95)),VLOOKUP(A95,IntComp24[],20,FALSE),VLOOKUP(A95,IntComp[],20,FALSE)))=0,"",IF(OR(F95="2019-2020",F95="2021-2025"),"",IF(ISNUMBER(SEARCH("LLC",D95)),VLOOKUP(A95,IntComp24[],20,FALSE),VLOOKUP(A95,IntComp[],20,FALSE))))</f>
        <v/>
      </c>
      <c r="O95" s="152" t="str">
        <f ca="1">IF(IF(OR(F95="2019-2020",F95="2021-2025"),"",IF(ISNUMBER(SEARCH("LLC",D95)),VLOOKUP(A95,IntComp24[],23,FALSE),VLOOKUP(A95,IntComp[],23,FALSE)))=0,"",IF(OR(F95="2019-2020",F95="2021-2025"),"",IF(ISNUMBER(SEARCH("LLC",D95)),VLOOKUP(A95,IntComp24[],23,FALSE),VLOOKUP(A95,IntComp[],23,FALSE))))</f>
        <v/>
      </c>
    </row>
    <row r="96" spans="1:15">
      <c r="A96" s="147" t="s">
        <v>188</v>
      </c>
      <c r="B96" s="144" t="str">
        <f>VLOOKUP(A96,Data[],2,FALSE)</f>
        <v>BROOKLYN</v>
      </c>
      <c r="C96" s="144" t="s">
        <v>106</v>
      </c>
      <c r="D96" s="9" t="str">
        <f>VLOOKUP(A96,Data[],52,FALSE)</f>
        <v>FEDERAL</v>
      </c>
      <c r="E96" s="9">
        <f>VLOOKUP(IntAll[[#This Row],[DEVELOPMENT]],Data[],62,FALSE)</f>
        <v>18</v>
      </c>
      <c r="F96" s="9" t="str">
        <f ca="1">VLOOKUP(A96,Data[],4,FALSE)</f>
        <v>2020-2021</v>
      </c>
      <c r="G96" s="9">
        <f>VLOOKUP(IntAll[[#This Row],[DEVELOPMENT]],EHDAll[[DEVELOPMENT]:['# Units]],6,FALSE)</f>
        <v>94</v>
      </c>
      <c r="H96" s="143" t="str">
        <f ca="1">IF(IntAll[[#This Row],[STATUS]]="","",IF(OR(F96="2019-2020",F96="2021-2025"),"",IF(ISNUMBER(SEARCH("LLC",D96)),VLOOKUP(A96,IntComp24[],21,FALSE),VLOOKUP(A96,IntComp[],21,FALSE))))</f>
        <v/>
      </c>
      <c r="I96" s="143" t="str">
        <f ca="1">IF(IntAll[[#This Row],[STATUS]]="","",IF(IF(OR(F96="2019-2020",F96="2021-2025"),"",IF(ISNUMBER(SEARCH("LLC",D96)),VLOOKUP(A96,IntComp24[],16,FALSE),VLOOKUP(A96,IntComp[],16,FALSE)))=0,"",IF(OR(F96="2019-2020",F96="2021-2025"),"",IF(ISNUMBER(SEARCH("LLC",D96)),VLOOKUP(A96,IntComp24[],16,FALSE),VLOOKUP(A96,IntComp[],16,FALSE)))))</f>
        <v/>
      </c>
      <c r="J96" s="143" t="str">
        <f ca="1">IF(IF(OR(F96="2019-2020",F96="2021-2025"),"",IF(ISNUMBER(SEARCH("LLC",D96)),VLOOKUP(A96,IntComp24[],17,FALSE),VLOOKUP(A96,IntComp[],17,FALSE)))=0,"",IF(OR(F96="2019-2020",F96="2021-2025"),"",IF(ISNUMBER(SEARCH("LLC",D96)),VLOOKUP(A96,IntComp24[],17,FALSE),VLOOKUP(A96,IntComp[],17,FALSE))))</f>
        <v/>
      </c>
      <c r="K96" s="151"/>
      <c r="L96" s="151">
        <f ca="1">IF(OR(F96="2019-2020",F96="2021-2025"),"",IF(ISNUMBER(SEARCH("LLC",D96)),VLOOKUP(A96,IntComp24[],18,FALSE),VLOOKUP(A96,IntComp[],18,FALSE)))</f>
        <v>0</v>
      </c>
      <c r="M96" s="143"/>
      <c r="N96" s="143" t="str">
        <f ca="1">IF(IF(OR(F96="2019-2020",F96="2021-2025"),"",IF(ISNUMBER(SEARCH("LLC",D96)),VLOOKUP(A96,IntComp24[],20,FALSE),VLOOKUP(A96,IntComp[],20,FALSE)))=0,"",IF(OR(F96="2019-2020",F96="2021-2025"),"",IF(ISNUMBER(SEARCH("LLC",D96)),VLOOKUP(A96,IntComp24[],20,FALSE),VLOOKUP(A96,IntComp[],20,FALSE))))</f>
        <v/>
      </c>
      <c r="O96" s="152" t="str">
        <f ca="1">IF(IF(OR(F96="2019-2020",F96="2021-2025"),"",IF(ISNUMBER(SEARCH("LLC",D96)),VLOOKUP(A96,IntComp24[],23,FALSE),VLOOKUP(A96,IntComp[],23,FALSE)))=0,"",IF(OR(F96="2019-2020",F96="2021-2025"),"",IF(ISNUMBER(SEARCH("LLC",D96)),VLOOKUP(A96,IntComp24[],23,FALSE),VLOOKUP(A96,IntComp[],23,FALSE))))</f>
        <v/>
      </c>
    </row>
    <row r="97" spans="1:15">
      <c r="A97" s="147" t="s">
        <v>199</v>
      </c>
      <c r="B97" s="144" t="str">
        <f>VLOOKUP(A97,Data[],2,FALSE)</f>
        <v>BROOKLYN</v>
      </c>
      <c r="C97" s="144" t="s">
        <v>106</v>
      </c>
      <c r="D97" s="9" t="str">
        <f>VLOOKUP(A97,Data[],52,FALSE)</f>
        <v>FEDERAL</v>
      </c>
      <c r="E97" s="9">
        <f>VLOOKUP(IntAll[[#This Row],[DEVELOPMENT]],Data[],62,FALSE)</f>
        <v>3</v>
      </c>
      <c r="F97" s="9" t="str">
        <f ca="1">VLOOKUP(A97,Data[],4,FALSE)</f>
        <v>2026+</v>
      </c>
      <c r="G97" s="9">
        <f>VLOOKUP(IntAll[[#This Row],[DEVELOPMENT]],EHDAll[[DEVELOPMENT]:['# Units]],6,FALSE)</f>
        <v>26</v>
      </c>
      <c r="H97" s="143" t="str">
        <f ca="1">IF(IntAll[[#This Row],[STATUS]]="","",IF(OR(F97="2019-2020",F97="2021-2025"),"",IF(ISNUMBER(SEARCH("LLC",D97)),VLOOKUP(A97,IntComp24[],21,FALSE),VLOOKUP(A97,IntComp[],21,FALSE))))</f>
        <v/>
      </c>
      <c r="I97" s="143" t="str">
        <f ca="1">IF(IntAll[[#This Row],[STATUS]]="","",IF(IF(OR(F97="2019-2020",F97="2021-2025"),"",IF(ISNUMBER(SEARCH("LLC",D97)),VLOOKUP(A97,IntComp24[],16,FALSE),VLOOKUP(A97,IntComp[],16,FALSE)))=0,"",IF(OR(F97="2019-2020",F97="2021-2025"),"",IF(ISNUMBER(SEARCH("LLC",D97)),VLOOKUP(A97,IntComp24[],16,FALSE),VLOOKUP(A97,IntComp[],16,FALSE)))))</f>
        <v/>
      </c>
      <c r="J97" s="143" t="str">
        <f ca="1">IF(IF(OR(F97="2019-2020",F97="2021-2025"),"",IF(ISNUMBER(SEARCH("LLC",D97)),VLOOKUP(A97,IntComp24[],17,FALSE),VLOOKUP(A97,IntComp[],17,FALSE)))=0,"",IF(OR(F97="2019-2020",F97="2021-2025"),"",IF(ISNUMBER(SEARCH("LLC",D97)),VLOOKUP(A97,IntComp24[],17,FALSE),VLOOKUP(A97,IntComp[],17,FALSE))))</f>
        <v/>
      </c>
      <c r="K97" s="151"/>
      <c r="L97" s="151">
        <f ca="1">IF(OR(F97="2019-2020",F97="2021-2025"),"",IF(ISNUMBER(SEARCH("LLC",D97)),VLOOKUP(A97,IntComp24[],18,FALSE),VLOOKUP(A97,IntComp[],18,FALSE)))</f>
        <v>1869913.5000000002</v>
      </c>
      <c r="M97" s="143"/>
      <c r="N97" s="143" t="str">
        <f ca="1">IF(IF(OR(F97="2019-2020",F97="2021-2025"),"",IF(ISNUMBER(SEARCH("LLC",D97)),VLOOKUP(A97,IntComp24[],20,FALSE),VLOOKUP(A97,IntComp[],20,FALSE)))=0,"",IF(OR(F97="2019-2020",F97="2021-2025"),"",IF(ISNUMBER(SEARCH("LLC",D97)),VLOOKUP(A97,IntComp24[],20,FALSE),VLOOKUP(A97,IntComp[],20,FALSE))))</f>
        <v/>
      </c>
      <c r="O97" s="152" t="str">
        <f ca="1">IF(IF(OR(F97="2019-2020",F97="2021-2025"),"",IF(ISNUMBER(SEARCH("LLC",D97)),VLOOKUP(A97,IntComp24[],23,FALSE),VLOOKUP(A97,IntComp[],23,FALSE)))=0,"",IF(OR(F97="2019-2020",F97="2021-2025"),"",IF(ISNUMBER(SEARCH("LLC",D97)),VLOOKUP(A97,IntComp24[],23,FALSE),VLOOKUP(A97,IntComp[],23,FALSE))))</f>
        <v/>
      </c>
    </row>
    <row r="98" spans="1:15">
      <c r="A98" s="147" t="s">
        <v>73</v>
      </c>
      <c r="B98" s="144" t="str">
        <f>VLOOKUP(A98,Data[],2,FALSE)</f>
        <v>BRONX</v>
      </c>
      <c r="C98" s="144" t="s">
        <v>106</v>
      </c>
      <c r="D98" s="9" t="str">
        <f>VLOOKUP(A98,Data[],52,FALSE)</f>
        <v>FEDERAL</v>
      </c>
      <c r="E98" s="9">
        <f>VLOOKUP(IntAll[[#This Row],[DEVELOPMENT]],Data[],62,FALSE)</f>
        <v>9</v>
      </c>
      <c r="F98" s="9" t="str">
        <f ca="1">VLOOKUP(A98,Data[],4,FALSE)</f>
        <v/>
      </c>
      <c r="G98" s="9">
        <f>VLOOKUP(IntAll[[#This Row],[DEVELOPMENT]],EHDAll[[DEVELOPMENT]:['# Units]],6,FALSE)</f>
        <v>9</v>
      </c>
      <c r="H98" s="143" t="str">
        <f ca="1">IF(IntAll[[#This Row],[STATUS]]="","",IF(OR(F98="2019-2020",F98="2021-2025"),"",IF(ISNUMBER(SEARCH("LLC",D98)),VLOOKUP(A98,IntComp24[],21,FALSE),VLOOKUP(A98,IntComp[],21,FALSE))))</f>
        <v/>
      </c>
      <c r="I98" s="143" t="str">
        <f ca="1">IF(IntAll[[#This Row],[STATUS]]="","",IF(IF(OR(F98="2019-2020",F98="2021-2025"),"",IF(ISNUMBER(SEARCH("LLC",D98)),VLOOKUP(A98,IntComp24[],16,FALSE),VLOOKUP(A98,IntComp[],16,FALSE)))=0,"",IF(OR(F98="2019-2020",F98="2021-2025"),"",IF(ISNUMBER(SEARCH("LLC",D98)),VLOOKUP(A98,IntComp24[],16,FALSE),VLOOKUP(A98,IntComp[],16,FALSE)))))</f>
        <v/>
      </c>
      <c r="J98" s="143" t="str">
        <f ca="1">IF(IF(OR(F98="2019-2020",F98="2021-2025"),"",IF(ISNUMBER(SEARCH("LLC",D98)),VLOOKUP(A98,IntComp24[],17,FALSE),VLOOKUP(A98,IntComp[],17,FALSE)))=0,"",IF(OR(F98="2019-2020",F98="2021-2025"),"",IF(ISNUMBER(SEARCH("LLC",D98)),VLOOKUP(A98,IntComp24[],17,FALSE),VLOOKUP(A98,IntComp[],17,FALSE))))</f>
        <v/>
      </c>
      <c r="K98" s="151"/>
      <c r="L98" s="151">
        <f ca="1">IF(OR(F98="2019-2020",F98="2021-2025"),"",IF(ISNUMBER(SEARCH("LLC",D98)),VLOOKUP(A98,IntComp24[],18,FALSE),VLOOKUP(A98,IntComp[],18,FALSE)))</f>
        <v>726768</v>
      </c>
      <c r="M98" s="143"/>
      <c r="N98" s="143" t="str">
        <f ca="1">IF(IF(OR(F98="2019-2020",F98="2021-2025"),"",IF(ISNUMBER(SEARCH("LLC",D98)),VLOOKUP(A98,IntComp24[],20,FALSE),VLOOKUP(A98,IntComp[],20,FALSE)))=0,"",IF(OR(F98="2019-2020",F98="2021-2025"),"",IF(ISNUMBER(SEARCH("LLC",D98)),VLOOKUP(A98,IntComp24[],20,FALSE),VLOOKUP(A98,IntComp[],20,FALSE))))</f>
        <v/>
      </c>
      <c r="O98" s="152" t="str">
        <f ca="1">IF(IF(OR(F98="2019-2020",F98="2021-2025"),"",IF(ISNUMBER(SEARCH("LLC",D98)),VLOOKUP(A98,IntComp24[],23,FALSE),VLOOKUP(A98,IntComp[],23,FALSE)))=0,"",IF(OR(F98="2019-2020",F98="2021-2025"),"",IF(ISNUMBER(SEARCH("LLC",D98)),VLOOKUP(A98,IntComp24[],23,FALSE),VLOOKUP(A98,IntComp[],23,FALSE))))</f>
        <v/>
      </c>
    </row>
    <row r="99" spans="1:15">
      <c r="A99" s="147" t="s">
        <v>189</v>
      </c>
      <c r="B99" s="144" t="str">
        <f>VLOOKUP(A99,Data[],2,FALSE)</f>
        <v>BRONX</v>
      </c>
      <c r="C99" s="144" t="s">
        <v>106</v>
      </c>
      <c r="D99" s="9" t="str">
        <f>VLOOKUP(A99,Data[],52,FALSE)</f>
        <v>FEDERAL</v>
      </c>
      <c r="E99" s="9">
        <f>VLOOKUP(IntAll[[#This Row],[DEVELOPMENT]],Data[],62,FALSE)</f>
        <v>9</v>
      </c>
      <c r="F99" s="9" t="str">
        <f ca="1">VLOOKUP(A99,Data[],4,FALSE)</f>
        <v/>
      </c>
      <c r="G99" s="9">
        <f>VLOOKUP(IntAll[[#This Row],[DEVELOPMENT]],EHDAll[[DEVELOPMENT]:['# Units]],6,FALSE)</f>
        <v>2</v>
      </c>
      <c r="H99" s="143" t="str">
        <f ca="1">IF(IntAll[[#This Row],[STATUS]]="","",IF(OR(F99="2019-2020",F99="2021-2025"),"",IF(ISNUMBER(SEARCH("LLC",D99)),VLOOKUP(A99,IntComp24[],21,FALSE),VLOOKUP(A99,IntComp[],21,FALSE))))</f>
        <v/>
      </c>
      <c r="I99" s="143" t="str">
        <f ca="1">IF(IntAll[[#This Row],[STATUS]]="","",IF(IF(OR(F99="2019-2020",F99="2021-2025"),"",IF(ISNUMBER(SEARCH("LLC",D99)),VLOOKUP(A99,IntComp24[],16,FALSE),VLOOKUP(A99,IntComp[],16,FALSE)))=0,"",IF(OR(F99="2019-2020",F99="2021-2025"),"",IF(ISNUMBER(SEARCH("LLC",D99)),VLOOKUP(A99,IntComp24[],16,FALSE),VLOOKUP(A99,IntComp[],16,FALSE)))))</f>
        <v/>
      </c>
      <c r="J99" s="143" t="str">
        <f ca="1">IF(IF(OR(F99="2019-2020",F99="2021-2025"),"",IF(ISNUMBER(SEARCH("LLC",D99)),VLOOKUP(A99,IntComp24[],17,FALSE),VLOOKUP(A99,IntComp[],17,FALSE)))=0,"",IF(OR(F99="2019-2020",F99="2021-2025"),"",IF(ISNUMBER(SEARCH("LLC",D99)),VLOOKUP(A99,IntComp24[],17,FALSE),VLOOKUP(A99,IntComp[],17,FALSE))))</f>
        <v/>
      </c>
      <c r="K99" s="151"/>
      <c r="L99" s="151">
        <f ca="1">IF(OR(F99="2019-2020",F99="2021-2025"),"",IF(ISNUMBER(SEARCH("LLC",D99)),VLOOKUP(A99,IntComp24[],18,FALSE),VLOOKUP(A99,IntComp[],18,FALSE)))</f>
        <v>161504</v>
      </c>
      <c r="M99" s="143"/>
      <c r="N99" s="143" t="str">
        <f ca="1">IF(IF(OR(F99="2019-2020",F99="2021-2025"),"",IF(ISNUMBER(SEARCH("LLC",D99)),VLOOKUP(A99,IntComp24[],20,FALSE),VLOOKUP(A99,IntComp[],20,FALSE)))=0,"",IF(OR(F99="2019-2020",F99="2021-2025"),"",IF(ISNUMBER(SEARCH("LLC",D99)),VLOOKUP(A99,IntComp24[],20,FALSE),VLOOKUP(A99,IntComp[],20,FALSE))))</f>
        <v/>
      </c>
      <c r="O99" s="152" t="str">
        <f ca="1">IF(IF(OR(F99="2019-2020",F99="2021-2025"),"",IF(ISNUMBER(SEARCH("LLC",D99)),VLOOKUP(A99,IntComp24[],23,FALSE),VLOOKUP(A99,IntComp[],23,FALSE)))=0,"",IF(OR(F99="2019-2020",F99="2021-2025"),"",IF(ISNUMBER(SEARCH("LLC",D99)),VLOOKUP(A99,IntComp24[],23,FALSE),VLOOKUP(A99,IntComp[],23,FALSE))))</f>
        <v/>
      </c>
    </row>
    <row r="100" spans="1:15">
      <c r="A100" s="147" t="s">
        <v>392</v>
      </c>
      <c r="B100" s="144" t="str">
        <f>VLOOKUP(A100,Data[],2,FALSE)</f>
        <v>BROOKLYN</v>
      </c>
      <c r="C100" s="144" t="s">
        <v>106</v>
      </c>
      <c r="D100" s="9" t="str">
        <f>VLOOKUP(A100,Data[],52,FALSE)</f>
        <v>FEDERAL</v>
      </c>
      <c r="E100" s="9">
        <f>VLOOKUP(IntAll[[#This Row],[DEVELOPMENT]],Data[],62,FALSE)</f>
        <v>16</v>
      </c>
      <c r="F100" s="9" t="str">
        <f ca="1">VLOOKUP(A100,Data[],4,FALSE)</f>
        <v>2026+</v>
      </c>
      <c r="G100" s="9">
        <f>VLOOKUP(IntAll[[#This Row],[DEVELOPMENT]],EHDAll[[DEVELOPMENT]:['# Units]],6,FALSE)</f>
        <v>46</v>
      </c>
      <c r="H100" s="143" t="str">
        <f ca="1">IF(IntAll[[#This Row],[STATUS]]="","",IF(OR(F100="2019-2020",F100="2021-2025"),"",IF(ISNUMBER(SEARCH("LLC",D100)),VLOOKUP(A100,IntComp24[],21,FALSE),VLOOKUP(A100,IntComp[],21,FALSE))))</f>
        <v/>
      </c>
      <c r="I100" s="143" t="str">
        <f ca="1">IF(IntAll[[#This Row],[STATUS]]="","",IF(IF(OR(F100="2019-2020",F100="2021-2025"),"",IF(ISNUMBER(SEARCH("LLC",D100)),VLOOKUP(A100,IntComp24[],16,FALSE),VLOOKUP(A100,IntComp[],16,FALSE)))=0,"",IF(OR(F100="2019-2020",F100="2021-2025"),"",IF(ISNUMBER(SEARCH("LLC",D100)),VLOOKUP(A100,IntComp24[],16,FALSE),VLOOKUP(A100,IntComp[],16,FALSE)))))</f>
        <v/>
      </c>
      <c r="J100" s="143" t="str">
        <f ca="1">IF(IF(OR(F100="2019-2020",F100="2021-2025"),"",IF(ISNUMBER(SEARCH("LLC",D100)),VLOOKUP(A100,IntComp24[],17,FALSE),VLOOKUP(A100,IntComp[],17,FALSE)))=0,"",IF(OR(F100="2019-2020",F100="2021-2025"),"",IF(ISNUMBER(SEARCH("LLC",D100)),VLOOKUP(A100,IntComp24[],17,FALSE),VLOOKUP(A100,IntComp[],17,FALSE))))</f>
        <v/>
      </c>
      <c r="K100" s="151"/>
      <c r="L100" s="151">
        <f ca="1">IF(OR(F100="2019-2020",F100="2021-2025"),"",IF(ISNUMBER(SEARCH("LLC",D100)),VLOOKUP(A100,IntComp24[],18,FALSE),VLOOKUP(A100,IntComp[],18,FALSE)))</f>
        <v>3714592</v>
      </c>
      <c r="M100" s="143"/>
      <c r="N100" s="143" t="str">
        <f ca="1">IF(IF(OR(F100="2019-2020",F100="2021-2025"),"",IF(ISNUMBER(SEARCH("LLC",D100)),VLOOKUP(A100,IntComp24[],20,FALSE),VLOOKUP(A100,IntComp[],20,FALSE)))=0,"",IF(OR(F100="2019-2020",F100="2021-2025"),"",IF(ISNUMBER(SEARCH("LLC",D100)),VLOOKUP(A100,IntComp24[],20,FALSE),VLOOKUP(A100,IntComp[],20,FALSE))))</f>
        <v/>
      </c>
      <c r="O100" s="152" t="str">
        <f ca="1">IF(IF(OR(F100="2019-2020",F100="2021-2025"),"",IF(ISNUMBER(SEARCH("LLC",D100)),VLOOKUP(A100,IntComp24[],23,FALSE),VLOOKUP(A100,IntComp[],23,FALSE)))=0,"",IF(OR(F100="2019-2020",F100="2021-2025"),"",IF(ISNUMBER(SEARCH("LLC",D100)),VLOOKUP(A100,IntComp24[],23,FALSE),VLOOKUP(A100,IntComp[],23,FALSE))))</f>
        <v/>
      </c>
    </row>
    <row r="101" spans="1:15">
      <c r="A101" s="147" t="s">
        <v>283</v>
      </c>
      <c r="B101" s="144" t="str">
        <f>VLOOKUP(A101,Data[],2,FALSE)</f>
        <v>BRONX</v>
      </c>
      <c r="C101" s="144" t="s">
        <v>106</v>
      </c>
      <c r="D101" s="9" t="str">
        <f>VLOOKUP(A101,Data[],52,FALSE)</f>
        <v>FEDERAL</v>
      </c>
      <c r="E101" s="9">
        <f>VLOOKUP(IntAll[[#This Row],[DEVELOPMENT]],Data[],62,FALSE)</f>
        <v>3</v>
      </c>
      <c r="F101" s="9" t="str">
        <f ca="1">VLOOKUP(A101,Data[],4,FALSE)</f>
        <v/>
      </c>
      <c r="G101" s="9">
        <f>VLOOKUP(IntAll[[#This Row],[DEVELOPMENT]],EHDAll[[DEVELOPMENT]:['# Units]],6,FALSE)</f>
        <v>1</v>
      </c>
      <c r="H101" s="143" t="str">
        <f ca="1">IF(IntAll[[#This Row],[STATUS]]="","",IF(OR(F101="2019-2020",F101="2021-2025"),"",IF(ISNUMBER(SEARCH("LLC",D101)),VLOOKUP(A101,IntComp24[],21,FALSE),VLOOKUP(A101,IntComp[],21,FALSE))))</f>
        <v/>
      </c>
      <c r="I101" s="143" t="str">
        <f ca="1">IF(IntAll[[#This Row],[STATUS]]="","",IF(IF(OR(F101="2019-2020",F101="2021-2025"),"",IF(ISNUMBER(SEARCH("LLC",D101)),VLOOKUP(A101,IntComp24[],16,FALSE),VLOOKUP(A101,IntComp[],16,FALSE)))=0,"",IF(OR(F101="2019-2020",F101="2021-2025"),"",IF(ISNUMBER(SEARCH("LLC",D101)),VLOOKUP(A101,IntComp24[],16,FALSE),VLOOKUP(A101,IntComp[],16,FALSE)))))</f>
        <v/>
      </c>
      <c r="J101" s="143" t="str">
        <f ca="1">IF(IF(OR(F101="2019-2020",F101="2021-2025"),"",IF(ISNUMBER(SEARCH("LLC",D101)),VLOOKUP(A101,IntComp24[],17,FALSE),VLOOKUP(A101,IntComp[],17,FALSE)))=0,"",IF(OR(F101="2019-2020",F101="2021-2025"),"",IF(ISNUMBER(SEARCH("LLC",D101)),VLOOKUP(A101,IntComp24[],17,FALSE),VLOOKUP(A101,IntComp[],17,FALSE))))</f>
        <v/>
      </c>
      <c r="K101" s="151"/>
      <c r="L101" s="151">
        <f ca="1">IF(OR(F101="2019-2020",F101="2021-2025"),"",IF(ISNUMBER(SEARCH("LLC",D101)),VLOOKUP(A101,IntComp24[],18,FALSE),VLOOKUP(A101,IntComp[],18,FALSE)))</f>
        <v>0</v>
      </c>
      <c r="M101" s="143"/>
      <c r="N101" s="143" t="str">
        <f ca="1">IF(IF(OR(F101="2019-2020",F101="2021-2025"),"",IF(ISNUMBER(SEARCH("LLC",D101)),VLOOKUP(A101,IntComp24[],20,FALSE),VLOOKUP(A101,IntComp[],20,FALSE)))=0,"",IF(OR(F101="2019-2020",F101="2021-2025"),"",IF(ISNUMBER(SEARCH("LLC",D101)),VLOOKUP(A101,IntComp24[],20,FALSE),VLOOKUP(A101,IntComp[],20,FALSE))))</f>
        <v/>
      </c>
      <c r="O101" s="152" t="str">
        <f ca="1">IF(IF(OR(F101="2019-2020",F101="2021-2025"),"",IF(ISNUMBER(SEARCH("LLC",D101)),VLOOKUP(A101,IntComp24[],23,FALSE),VLOOKUP(A101,IntComp[],23,FALSE)))=0,"",IF(OR(F101="2019-2020",F101="2021-2025"),"",IF(ISNUMBER(SEARCH("LLC",D101)),VLOOKUP(A101,IntComp24[],23,FALSE),VLOOKUP(A101,IntComp[],23,FALSE))))</f>
        <v/>
      </c>
    </row>
    <row r="102" spans="1:15">
      <c r="A102" s="148" t="s">
        <v>60</v>
      </c>
      <c r="B102" s="144" t="str">
        <f>VLOOKUP(A102,Data[],2,FALSE)</f>
        <v>MANHATTAN</v>
      </c>
      <c r="C102" s="144" t="s">
        <v>106</v>
      </c>
      <c r="D102" s="9" t="str">
        <f>VLOOKUP(A102,Data[],52,FALSE)</f>
        <v>FEDERAL</v>
      </c>
      <c r="E102" s="9">
        <f>VLOOKUP(IntAll[[#This Row],[DEVELOPMENT]],Data[],62,FALSE)</f>
        <v>3</v>
      </c>
      <c r="F102" s="9" t="str">
        <f ca="1">VLOOKUP(A102,Data[],4,FALSE)</f>
        <v>2026+</v>
      </c>
      <c r="G102" s="9">
        <f>VLOOKUP(IntAll[[#This Row],[DEVELOPMENT]],EHDAll[[DEVELOPMENT]:['# Units]],6,FALSE)</f>
        <v>3</v>
      </c>
      <c r="H102" s="143" t="str">
        <f ca="1">IF(IntAll[[#This Row],[STATUS]]="","",IF(OR(F102="2019-2020",F102="2021-2025"),"",IF(ISNUMBER(SEARCH("LLC",D102)),VLOOKUP(A102,IntComp24[],21,FALSE),VLOOKUP(A102,IntComp[],21,FALSE))))</f>
        <v/>
      </c>
      <c r="I102" s="143" t="str">
        <f ca="1">IF(IntAll[[#This Row],[STATUS]]="","",IF(IF(OR(F102="2019-2020",F102="2021-2025"),"",IF(ISNUMBER(SEARCH("LLC",D102)),VLOOKUP(A102,IntComp24[],16,FALSE),VLOOKUP(A102,IntComp[],16,FALSE)))=0,"",IF(OR(F102="2019-2020",F102="2021-2025"),"",IF(ISNUMBER(SEARCH("LLC",D102)),VLOOKUP(A102,IntComp24[],16,FALSE),VLOOKUP(A102,IntComp[],16,FALSE)))))</f>
        <v/>
      </c>
      <c r="J102" s="143" t="str">
        <f ca="1">IF(IF(OR(F102="2019-2020",F102="2021-2025"),"",IF(ISNUMBER(SEARCH("LLC",D102)),VLOOKUP(A102,IntComp24[],17,FALSE),VLOOKUP(A102,IntComp[],17,FALSE)))=0,"",IF(OR(F102="2019-2020",F102="2021-2025"),"",IF(ISNUMBER(SEARCH("LLC",D102)),VLOOKUP(A102,IntComp24[],17,FALSE),VLOOKUP(A102,IntComp[],17,FALSE))))</f>
        <v/>
      </c>
      <c r="K102" s="151"/>
      <c r="L102" s="151">
        <f ca="1">IF(OR(F102="2019-2020",F102="2021-2025"),"",IF(ISNUMBER(SEARCH("LLC",D102)),VLOOKUP(A102,IntComp24[],18,FALSE),VLOOKUP(A102,IntComp[],18,FALSE)))</f>
        <v>0</v>
      </c>
      <c r="M102" s="143"/>
      <c r="N102" s="143" t="str">
        <f ca="1">IF(IF(OR(F102="2019-2020",F102="2021-2025"),"",IF(ISNUMBER(SEARCH("LLC",D102)),VLOOKUP(A102,IntComp24[],20,FALSE),VLOOKUP(A102,IntComp[],20,FALSE)))=0,"",IF(OR(F102="2019-2020",F102="2021-2025"),"",IF(ISNUMBER(SEARCH("LLC",D102)),VLOOKUP(A102,IntComp24[],20,FALSE),VLOOKUP(A102,IntComp[],20,FALSE))))</f>
        <v/>
      </c>
      <c r="O102" s="152" t="str">
        <f ca="1">IF(IF(OR(F102="2019-2020",F102="2021-2025"),"",IF(ISNUMBER(SEARCH("LLC",D102)),VLOOKUP(A102,IntComp24[],23,FALSE),VLOOKUP(A102,IntComp[],23,FALSE)))=0,"",IF(OR(F102="2019-2020",F102="2021-2025"),"",IF(ISNUMBER(SEARCH("LLC",D102)),VLOOKUP(A102,IntComp24[],23,FALSE),VLOOKUP(A102,IntComp[],23,FALSE))))</f>
        <v/>
      </c>
    </row>
    <row r="103" spans="1:15">
      <c r="A103" s="147" t="s">
        <v>306</v>
      </c>
      <c r="B103" s="144" t="str">
        <f>VLOOKUP(A103,Data[],2,FALSE)</f>
        <v>BROOKLYN</v>
      </c>
      <c r="C103" s="144" t="s">
        <v>106</v>
      </c>
      <c r="D103" s="9" t="str">
        <f>VLOOKUP(A103,Data[],52,FALSE)</f>
        <v>FEDERAL</v>
      </c>
      <c r="E103" s="9">
        <f>VLOOKUP(IntAll[[#This Row],[DEVELOPMENT]],Data[],62,FALSE)</f>
        <v>13</v>
      </c>
      <c r="F103" s="9" t="str">
        <f ca="1">VLOOKUP(A103,Data[],4,FALSE)</f>
        <v/>
      </c>
      <c r="G103" s="9">
        <f>VLOOKUP(IntAll[[#This Row],[DEVELOPMENT]],EHDAll[[DEVELOPMENT]:['# Units]],6,FALSE)</f>
        <v>3</v>
      </c>
      <c r="H103" s="143" t="str">
        <f ca="1">IF(IntAll[[#This Row],[STATUS]]="","",IF(OR(F103="2019-2020",F103="2021-2025"),"",IF(ISNUMBER(SEARCH("LLC",D103)),VLOOKUP(A103,IntComp24[],21,FALSE),VLOOKUP(A103,IntComp[],21,FALSE))))</f>
        <v/>
      </c>
      <c r="I103" s="143" t="str">
        <f ca="1">IF(IntAll[[#This Row],[STATUS]]="","",IF(IF(OR(F103="2019-2020",F103="2021-2025"),"",IF(ISNUMBER(SEARCH("LLC",D103)),VLOOKUP(A103,IntComp24[],16,FALSE),VLOOKUP(A103,IntComp[],16,FALSE)))=0,"",IF(OR(F103="2019-2020",F103="2021-2025"),"",IF(ISNUMBER(SEARCH("LLC",D103)),VLOOKUP(A103,IntComp24[],16,FALSE),VLOOKUP(A103,IntComp[],16,FALSE)))))</f>
        <v/>
      </c>
      <c r="J103" s="143" t="str">
        <f ca="1">IF(IF(OR(F103="2019-2020",F103="2021-2025"),"",IF(ISNUMBER(SEARCH("LLC",D103)),VLOOKUP(A103,IntComp24[],17,FALSE),VLOOKUP(A103,IntComp[],17,FALSE)))=0,"",IF(OR(F103="2019-2020",F103="2021-2025"),"",IF(ISNUMBER(SEARCH("LLC",D103)),VLOOKUP(A103,IntComp24[],17,FALSE),VLOOKUP(A103,IntComp[],17,FALSE))))</f>
        <v/>
      </c>
      <c r="K103" s="151"/>
      <c r="L103" s="151">
        <f ca="1">IF(OR(F103="2019-2020",F103="2021-2025"),"",IF(ISNUMBER(SEARCH("LLC",D103)),VLOOKUP(A103,IntComp24[],18,FALSE),VLOOKUP(A103,IntComp[],18,FALSE)))</f>
        <v>242256</v>
      </c>
      <c r="M103" s="143"/>
      <c r="N103" s="143" t="str">
        <f ca="1">IF(IF(OR(F103="2019-2020",F103="2021-2025"),"",IF(ISNUMBER(SEARCH("LLC",D103)),VLOOKUP(A103,IntComp24[],20,FALSE),VLOOKUP(A103,IntComp[],20,FALSE)))=0,"",IF(OR(F103="2019-2020",F103="2021-2025"),"",IF(ISNUMBER(SEARCH("LLC",D103)),VLOOKUP(A103,IntComp24[],20,FALSE),VLOOKUP(A103,IntComp[],20,FALSE))))</f>
        <v/>
      </c>
      <c r="O103" s="152" t="str">
        <f ca="1">IF(IF(OR(F103="2019-2020",F103="2021-2025"),"",IF(ISNUMBER(SEARCH("LLC",D103)),VLOOKUP(A103,IntComp24[],23,FALSE),VLOOKUP(A103,IntComp[],23,FALSE)))=0,"",IF(OR(F103="2019-2020",F103="2021-2025"),"",IF(ISNUMBER(SEARCH("LLC",D103)),VLOOKUP(A103,IntComp24[],23,FALSE),VLOOKUP(A103,IntComp[],23,FALSE))))</f>
        <v/>
      </c>
    </row>
    <row r="104" spans="1:15">
      <c r="A104" s="147" t="s">
        <v>307</v>
      </c>
      <c r="B104" s="144" t="str">
        <f>VLOOKUP(A104,Data[],2,FALSE)</f>
        <v>QUEENS</v>
      </c>
      <c r="C104" s="144" t="s">
        <v>106</v>
      </c>
      <c r="D104" s="9" t="str">
        <f>VLOOKUP(A104,Data[],52,FALSE)</f>
        <v>FEDERAL</v>
      </c>
      <c r="E104" s="9">
        <f>VLOOKUP(IntAll[[#This Row],[DEVELOPMENT]],Data[],62,FALSE)</f>
        <v>14</v>
      </c>
      <c r="F104" s="9" t="str">
        <f ca="1">VLOOKUP(A104,Data[],4,FALSE)</f>
        <v>2026+</v>
      </c>
      <c r="G104" s="9">
        <f>VLOOKUP(IntAll[[#This Row],[DEVELOPMENT]],EHDAll[[DEVELOPMENT]:['# Units]],6,FALSE)</f>
        <v>1</v>
      </c>
      <c r="H104" s="143" t="str">
        <f ca="1">IF(IntAll[[#This Row],[STATUS]]="","",IF(OR(F104="2019-2020",F104="2021-2025"),"",IF(ISNUMBER(SEARCH("LLC",D104)),VLOOKUP(A104,IntComp24[],21,FALSE),VLOOKUP(A104,IntComp[],21,FALSE))))</f>
        <v/>
      </c>
      <c r="I104" s="143" t="str">
        <f ca="1">IF(IntAll[[#This Row],[STATUS]]="","",IF(IF(OR(F104="2019-2020",F104="2021-2025"),"",IF(ISNUMBER(SEARCH("LLC",D104)),VLOOKUP(A104,IntComp24[],16,FALSE),VLOOKUP(A104,IntComp[],16,FALSE)))=0,"",IF(OR(F104="2019-2020",F104="2021-2025"),"",IF(ISNUMBER(SEARCH("LLC",D104)),VLOOKUP(A104,IntComp24[],16,FALSE),VLOOKUP(A104,IntComp[],16,FALSE)))))</f>
        <v/>
      </c>
      <c r="J104" s="143" t="str">
        <f ca="1">IF(IF(OR(F104="2019-2020",F104="2021-2025"),"",IF(ISNUMBER(SEARCH("LLC",D104)),VLOOKUP(A104,IntComp24[],17,FALSE),VLOOKUP(A104,IntComp[],17,FALSE)))=0,"",IF(OR(F104="2019-2020",F104="2021-2025"),"",IF(ISNUMBER(SEARCH("LLC",D104)),VLOOKUP(A104,IntComp24[],17,FALSE),VLOOKUP(A104,IntComp[],17,FALSE))))</f>
        <v/>
      </c>
      <c r="K104" s="151"/>
      <c r="L104" s="151">
        <f ca="1">IF(OR(F104="2019-2020",F104="2021-2025"),"",IF(ISNUMBER(SEARCH("LLC",D104)),VLOOKUP(A104,IntComp24[],18,FALSE),VLOOKUP(A104,IntComp[],18,FALSE)))</f>
        <v>80752</v>
      </c>
      <c r="M104" s="143"/>
      <c r="N104" s="143" t="str">
        <f ca="1">IF(IF(OR(F104="2019-2020",F104="2021-2025"),"",IF(ISNUMBER(SEARCH("LLC",D104)),VLOOKUP(A104,IntComp24[],20,FALSE),VLOOKUP(A104,IntComp[],20,FALSE)))=0,"",IF(OR(F104="2019-2020",F104="2021-2025"),"",IF(ISNUMBER(SEARCH("LLC",D104)),VLOOKUP(A104,IntComp24[],20,FALSE),VLOOKUP(A104,IntComp[],20,FALSE))))</f>
        <v/>
      </c>
      <c r="O104" s="152" t="str">
        <f ca="1">IF(IF(OR(F104="2019-2020",F104="2021-2025"),"",IF(ISNUMBER(SEARCH("LLC",D104)),VLOOKUP(A104,IntComp24[],23,FALSE),VLOOKUP(A104,IntComp[],23,FALSE)))=0,"",IF(OR(F104="2019-2020",F104="2021-2025"),"",IF(ISNUMBER(SEARCH("LLC",D104)),VLOOKUP(A104,IntComp24[],23,FALSE),VLOOKUP(A104,IntComp[],23,FALSE))))</f>
        <v/>
      </c>
    </row>
    <row r="105" spans="1:15">
      <c r="A105" s="147" t="s">
        <v>120</v>
      </c>
      <c r="B105" s="144" t="str">
        <f>VLOOKUP(A105,Data[],2,FALSE)</f>
        <v>MANHATTAN</v>
      </c>
      <c r="C105" s="144" t="s">
        <v>106</v>
      </c>
      <c r="D105" s="9" t="str">
        <f>VLOOKUP(A105,Data[],52,FALSE)</f>
        <v>FEDERAL</v>
      </c>
      <c r="E105" s="9">
        <f>VLOOKUP(IntAll[[#This Row],[DEVELOPMENT]],Data[],62,FALSE)</f>
        <v>11</v>
      </c>
      <c r="F105" s="9" t="str">
        <f ca="1">VLOOKUP(A105,Data[],4,FALSE)</f>
        <v>2026+</v>
      </c>
      <c r="G105" s="9">
        <f>VLOOKUP(IntAll[[#This Row],[DEVELOPMENT]],EHDAll[[DEVELOPMENT]:['# Units]],6,FALSE)</f>
        <v>13</v>
      </c>
      <c r="H105" s="143" t="str">
        <f ca="1">IF(IntAll[[#This Row],[STATUS]]="","",IF(OR(F105="2019-2020",F105="2021-2025"),"",IF(ISNUMBER(SEARCH("LLC",D105)),VLOOKUP(A105,IntComp24[],21,FALSE),VLOOKUP(A105,IntComp[],21,FALSE))))</f>
        <v/>
      </c>
      <c r="I105" s="143" t="str">
        <f ca="1">IF(IntAll[[#This Row],[STATUS]]="","",IF(IF(OR(F105="2019-2020",F105="2021-2025"),"",IF(ISNUMBER(SEARCH("LLC",D105)),VLOOKUP(A105,IntComp24[],16,FALSE),VLOOKUP(A105,IntComp[],16,FALSE)))=0,"",IF(OR(F105="2019-2020",F105="2021-2025"),"",IF(ISNUMBER(SEARCH("LLC",D105)),VLOOKUP(A105,IntComp24[],16,FALSE),VLOOKUP(A105,IntComp[],16,FALSE)))))</f>
        <v/>
      </c>
      <c r="J105" s="143" t="str">
        <f ca="1">IF(IF(OR(F105="2019-2020",F105="2021-2025"),"",IF(ISNUMBER(SEARCH("LLC",D105)),VLOOKUP(A105,IntComp24[],17,FALSE),VLOOKUP(A105,IntComp[],17,FALSE)))=0,"",IF(OR(F105="2019-2020",F105="2021-2025"),"",IF(ISNUMBER(SEARCH("LLC",D105)),VLOOKUP(A105,IntComp24[],17,FALSE),VLOOKUP(A105,IntComp[],17,FALSE))))</f>
        <v/>
      </c>
      <c r="K105" s="151"/>
      <c r="L105" s="151">
        <f ca="1">IF(OR(F105="2019-2020",F105="2021-2025"),"",IF(ISNUMBER(SEARCH("LLC",D105)),VLOOKUP(A105,IntComp24[],18,FALSE),VLOOKUP(A105,IntComp[],18,FALSE)))</f>
        <v>1049776</v>
      </c>
      <c r="M105" s="143"/>
      <c r="N105" s="143" t="str">
        <f ca="1">IF(IF(OR(F105="2019-2020",F105="2021-2025"),"",IF(ISNUMBER(SEARCH("LLC",D105)),VLOOKUP(A105,IntComp24[],20,FALSE),VLOOKUP(A105,IntComp[],20,FALSE)))=0,"",IF(OR(F105="2019-2020",F105="2021-2025"),"",IF(ISNUMBER(SEARCH("LLC",D105)),VLOOKUP(A105,IntComp24[],20,FALSE),VLOOKUP(A105,IntComp[],20,FALSE))))</f>
        <v/>
      </c>
      <c r="O105" s="152" t="str">
        <f ca="1">IF(IF(OR(F105="2019-2020",F105="2021-2025"),"",IF(ISNUMBER(SEARCH("LLC",D105)),VLOOKUP(A105,IntComp24[],23,FALSE),VLOOKUP(A105,IntComp[],23,FALSE)))=0,"",IF(OR(F105="2019-2020",F105="2021-2025"),"",IF(ISNUMBER(SEARCH("LLC",D105)),VLOOKUP(A105,IntComp24[],23,FALSE),VLOOKUP(A105,IntComp[],23,FALSE))))</f>
        <v>OMB request sent</v>
      </c>
    </row>
    <row r="106" spans="1:15">
      <c r="A106" s="147" t="s">
        <v>308</v>
      </c>
      <c r="B106" s="144" t="str">
        <f>VLOOKUP(A106,Data[],2,FALSE)</f>
        <v>STATEN ISLAND</v>
      </c>
      <c r="C106" s="144" t="s">
        <v>106</v>
      </c>
      <c r="D106" s="9" t="str">
        <f>VLOOKUP(A106,Data[],52,FALSE)</f>
        <v>FEDERAL</v>
      </c>
      <c r="E106" s="9">
        <f>VLOOKUP(IntAll[[#This Row],[DEVELOPMENT]],Data[],62,FALSE)</f>
        <v>1</v>
      </c>
      <c r="F106" s="9" t="str">
        <f ca="1">VLOOKUP(A106,Data[],4,FALSE)</f>
        <v/>
      </c>
      <c r="G106" s="9">
        <f>VLOOKUP(IntAll[[#This Row],[DEVELOPMENT]],EHDAll[[DEVELOPMENT]:['# Units]],6,FALSE)</f>
        <v>4</v>
      </c>
      <c r="H106" s="143" t="str">
        <f ca="1">IF(IntAll[[#This Row],[STATUS]]="","",IF(OR(F106="2019-2020",F106="2021-2025"),"",IF(ISNUMBER(SEARCH("LLC",D106)),VLOOKUP(A106,IntComp24[],21,FALSE),VLOOKUP(A106,IntComp[],21,FALSE))))</f>
        <v/>
      </c>
      <c r="I106" s="143" t="str">
        <f ca="1">IF(IntAll[[#This Row],[STATUS]]="","",IF(IF(OR(F106="2019-2020",F106="2021-2025"),"",IF(ISNUMBER(SEARCH("LLC",D106)),VLOOKUP(A106,IntComp24[],16,FALSE),VLOOKUP(A106,IntComp[],16,FALSE)))=0,"",IF(OR(F106="2019-2020",F106="2021-2025"),"",IF(ISNUMBER(SEARCH("LLC",D106)),VLOOKUP(A106,IntComp24[],16,FALSE),VLOOKUP(A106,IntComp[],16,FALSE)))))</f>
        <v/>
      </c>
      <c r="J106" s="143" t="str">
        <f ca="1">IF(IF(OR(F106="2019-2020",F106="2021-2025"),"",IF(ISNUMBER(SEARCH("LLC",D106)),VLOOKUP(A106,IntComp24[],17,FALSE),VLOOKUP(A106,IntComp[],17,FALSE)))=0,"",IF(OR(F106="2019-2020",F106="2021-2025"),"",IF(ISNUMBER(SEARCH("LLC",D106)),VLOOKUP(A106,IntComp24[],17,FALSE),VLOOKUP(A106,IntComp[],17,FALSE))))</f>
        <v/>
      </c>
      <c r="K106" s="151"/>
      <c r="L106" s="151">
        <f ca="1">IF(OR(F106="2019-2020",F106="2021-2025"),"",IF(ISNUMBER(SEARCH("LLC",D106)),VLOOKUP(A106,IntComp24[],18,FALSE),VLOOKUP(A106,IntComp[],18,FALSE)))</f>
        <v>323008</v>
      </c>
      <c r="M106" s="143"/>
      <c r="N106" s="143" t="str">
        <f ca="1">IF(IF(OR(F106="2019-2020",F106="2021-2025"),"",IF(ISNUMBER(SEARCH("LLC",D106)),VLOOKUP(A106,IntComp24[],20,FALSE),VLOOKUP(A106,IntComp[],20,FALSE)))=0,"",IF(OR(F106="2019-2020",F106="2021-2025"),"",IF(ISNUMBER(SEARCH("LLC",D106)),VLOOKUP(A106,IntComp24[],20,FALSE),VLOOKUP(A106,IntComp[],20,FALSE))))</f>
        <v/>
      </c>
      <c r="O106" s="152" t="str">
        <f ca="1">IF(IF(OR(F106="2019-2020",F106="2021-2025"),"",IF(ISNUMBER(SEARCH("LLC",D106)),VLOOKUP(A106,IntComp24[],23,FALSE),VLOOKUP(A106,IntComp[],23,FALSE)))=0,"",IF(OR(F106="2019-2020",F106="2021-2025"),"",IF(ISNUMBER(SEARCH("LLC",D106)),VLOOKUP(A106,IntComp24[],23,FALSE),VLOOKUP(A106,IntComp[],23,FALSE))))</f>
        <v/>
      </c>
    </row>
    <row r="107" spans="1:15">
      <c r="A107" s="147" t="s">
        <v>200</v>
      </c>
      <c r="B107" s="144" t="str">
        <f>VLOOKUP(A107,Data[],2,FALSE)</f>
        <v>BRONX</v>
      </c>
      <c r="C107" s="144" t="s">
        <v>106</v>
      </c>
      <c r="D107" s="9" t="str">
        <f>VLOOKUP(A107,Data[],52,FALSE)</f>
        <v>MIXED FINANCE/LLC1</v>
      </c>
      <c r="E107" s="9">
        <f>VLOOKUP(IntAll[[#This Row],[DEVELOPMENT]],Data[],62,FALSE)</f>
        <v>9</v>
      </c>
      <c r="F107" s="9" t="str">
        <f ca="1">VLOOKUP(A107,Data[],4,FALSE)</f>
        <v/>
      </c>
      <c r="G107" s="9">
        <f>VLOOKUP(IntAll[[#This Row],[DEVELOPMENT]],EHDAll[[DEVELOPMENT]:['# Units]],6,FALSE)</f>
        <v>14</v>
      </c>
      <c r="H107" s="143" t="str">
        <f ca="1">IF(IntAll[[#This Row],[STATUS]]="","",IF(OR(F107="2019-2020",F107="2021-2025"),"",IF(ISNUMBER(SEARCH("LLC",D107)),VLOOKUP(A107,IntComp24[],21,FALSE),VLOOKUP(A107,IntComp[],21,FALSE))))</f>
        <v/>
      </c>
      <c r="I107" s="143" t="str">
        <f ca="1">IF(IntAll[[#This Row],[STATUS]]="","",IF(IF(OR(F107="2019-2020",F107="2021-2025"),"",IF(ISNUMBER(SEARCH("LLC",D107)),VLOOKUP(A107,IntComp24[],16,FALSE),VLOOKUP(A107,IntComp[],16,FALSE)))=0,"",IF(OR(F107="2019-2020",F107="2021-2025"),"",IF(ISNUMBER(SEARCH("LLC",D107)),VLOOKUP(A107,IntComp24[],16,FALSE),VLOOKUP(A107,IntComp[],16,FALSE)))))</f>
        <v/>
      </c>
      <c r="J107" s="143" t="str">
        <f ca="1">IF(IF(OR(F107="2019-2020",F107="2021-2025"),"",IF(ISNUMBER(SEARCH("LLC",D107)),VLOOKUP(A107,IntComp24[],17,FALSE),VLOOKUP(A107,IntComp[],17,FALSE)))=0,"",IF(OR(F107="2019-2020",F107="2021-2025"),"",IF(ISNUMBER(SEARCH("LLC",D107)),VLOOKUP(A107,IntComp24[],17,FALSE),VLOOKUP(A107,IntComp[],17,FALSE))))</f>
        <v/>
      </c>
      <c r="K107" s="151"/>
      <c r="L107" s="151">
        <f ca="1">IF(OR(F107="2019-2020",F107="2021-2025"),"",IF(ISNUMBER(SEARCH("LLC",D107)),VLOOKUP(A107,IntComp24[],18,FALSE),VLOOKUP(A107,IntComp[],18,FALSE)))</f>
        <v>975963.625</v>
      </c>
      <c r="M107" s="143"/>
      <c r="N107" s="143" t="str">
        <f ca="1">IF(IF(OR(F107="2019-2020",F107="2021-2025"),"",IF(ISNUMBER(SEARCH("LLC",D107)),VLOOKUP(A107,IntComp24[],20,FALSE),VLOOKUP(A107,IntComp[],20,FALSE)))=0,"",IF(OR(F107="2019-2020",F107="2021-2025"),"",IF(ISNUMBER(SEARCH("LLC",D107)),VLOOKUP(A107,IntComp24[],20,FALSE),VLOOKUP(A107,IntComp[],20,FALSE))))</f>
        <v/>
      </c>
      <c r="O107" s="152" t="str">
        <f ca="1">IF(IF(OR(F107="2019-2020",F107="2021-2025"),"",IF(ISNUMBER(SEARCH("LLC",D107)),VLOOKUP(A107,IntComp24[],23,FALSE),VLOOKUP(A107,IntComp[],23,FALSE)))=0,"",IF(OR(F107="2019-2020",F107="2021-2025"),"",IF(ISNUMBER(SEARCH("LLC",D107)),VLOOKUP(A107,IntComp24[],23,FALSE),VLOOKUP(A107,IntComp[],23,FALSE))))</f>
        <v/>
      </c>
    </row>
    <row r="108" spans="1:15">
      <c r="A108" s="147" t="s">
        <v>309</v>
      </c>
      <c r="B108" s="144" t="str">
        <f>VLOOKUP(A108,Data[],2,FALSE)</f>
        <v>MANHATTAN</v>
      </c>
      <c r="C108" s="144" t="s">
        <v>106</v>
      </c>
      <c r="D108" s="9" t="str">
        <f>VLOOKUP(A108,Data[],52,FALSE)</f>
        <v>MIXED FINANCE/LLC1</v>
      </c>
      <c r="E108" s="9">
        <f>VLOOKUP(IntAll[[#This Row],[DEVELOPMENT]],Data[],62,FALSE)</f>
        <v>4</v>
      </c>
      <c r="F108" s="9" t="str">
        <f ca="1">VLOOKUP(A108,Data[],4,FALSE)</f>
        <v/>
      </c>
      <c r="G108" s="9">
        <f>VLOOKUP(IntAll[[#This Row],[DEVELOPMENT]],EHDAll[[DEVELOPMENT]:['# Units]],6,FALSE)</f>
        <v>4</v>
      </c>
      <c r="H108" s="143" t="str">
        <f ca="1">IF(IntAll[[#This Row],[STATUS]]="","",IF(OR(F108="2019-2020",F108="2021-2025"),"",IF(ISNUMBER(SEARCH("LLC",D108)),VLOOKUP(A108,IntComp24[],21,FALSE),VLOOKUP(A108,IntComp[],21,FALSE))))</f>
        <v/>
      </c>
      <c r="I108" s="143" t="str">
        <f ca="1">IF(IntAll[[#This Row],[STATUS]]="","",IF(IF(OR(F108="2019-2020",F108="2021-2025"),"",IF(ISNUMBER(SEARCH("LLC",D108)),VLOOKUP(A108,IntComp24[],16,FALSE),VLOOKUP(A108,IntComp[],16,FALSE)))=0,"",IF(OR(F108="2019-2020",F108="2021-2025"),"",IF(ISNUMBER(SEARCH("LLC",D108)),VLOOKUP(A108,IntComp24[],16,FALSE),VLOOKUP(A108,IntComp[],16,FALSE)))))</f>
        <v/>
      </c>
      <c r="J108" s="143" t="str">
        <f ca="1">IF(IF(OR(F108="2019-2020",F108="2021-2025"),"",IF(ISNUMBER(SEARCH("LLC",D108)),VLOOKUP(A108,IntComp24[],17,FALSE),VLOOKUP(A108,IntComp[],17,FALSE)))=0,"",IF(OR(F108="2019-2020",F108="2021-2025"),"",IF(ISNUMBER(SEARCH("LLC",D108)),VLOOKUP(A108,IntComp24[],17,FALSE),VLOOKUP(A108,IntComp[],17,FALSE))))</f>
        <v/>
      </c>
      <c r="K108" s="151"/>
      <c r="L108" s="151">
        <f ca="1">IF(OR(F108="2019-2020",F108="2021-2025"),"",IF(ISNUMBER(SEARCH("LLC",D108)),VLOOKUP(A108,IntComp24[],18,FALSE),VLOOKUP(A108,IntComp[],18,FALSE)))</f>
        <v>287679.00000000006</v>
      </c>
      <c r="M108" s="143"/>
      <c r="N108" s="143" t="str">
        <f ca="1">IF(IF(OR(F108="2019-2020",F108="2021-2025"),"",IF(ISNUMBER(SEARCH("LLC",D108)),VLOOKUP(A108,IntComp24[],20,FALSE),VLOOKUP(A108,IntComp[],20,FALSE)))=0,"",IF(OR(F108="2019-2020",F108="2021-2025"),"",IF(ISNUMBER(SEARCH("LLC",D108)),VLOOKUP(A108,IntComp24[],20,FALSE),VLOOKUP(A108,IntComp[],20,FALSE))))</f>
        <v/>
      </c>
      <c r="O108" s="152" t="str">
        <f ca="1">IF(IF(OR(F108="2019-2020",F108="2021-2025"),"",IF(ISNUMBER(SEARCH("LLC",D108)),VLOOKUP(A108,IntComp24[],23,FALSE),VLOOKUP(A108,IntComp[],23,FALSE)))=0,"",IF(OR(F108="2019-2020",F108="2021-2025"),"",IF(ISNUMBER(SEARCH("LLC",D108)),VLOOKUP(A108,IntComp24[],23,FALSE),VLOOKUP(A108,IntComp[],23,FALSE))))</f>
        <v/>
      </c>
    </row>
    <row r="109" spans="1:15">
      <c r="A109" s="147" t="s">
        <v>274</v>
      </c>
      <c r="B109" s="144" t="str">
        <f>VLOOKUP(A109,Data[],2,FALSE)</f>
        <v>MANHATTAN</v>
      </c>
      <c r="C109" s="144" t="s">
        <v>106</v>
      </c>
      <c r="D109" s="9" t="str">
        <f>VLOOKUP(A109,Data[],52,FALSE)</f>
        <v>FEDERAL</v>
      </c>
      <c r="E109" s="9">
        <f>VLOOKUP(IntAll[[#This Row],[DEVELOPMENT]],Data[],62,FALSE)</f>
        <v>4</v>
      </c>
      <c r="F109" s="9" t="str">
        <f ca="1">VLOOKUP(A109,Data[],4,FALSE)</f>
        <v/>
      </c>
      <c r="G109" s="9">
        <f>VLOOKUP(IntAll[[#This Row],[DEVELOPMENT]],EHDAll[[DEVELOPMENT]:['# Units]],6,FALSE)</f>
        <v>1</v>
      </c>
      <c r="H109" s="143" t="str">
        <f ca="1">IF(IntAll[[#This Row],[STATUS]]="","",IF(OR(F109="2019-2020",F109="2021-2025"),"",IF(ISNUMBER(SEARCH("LLC",D109)),VLOOKUP(A109,IntComp24[],21,FALSE),VLOOKUP(A109,IntComp[],21,FALSE))))</f>
        <v/>
      </c>
      <c r="I109" s="143" t="str">
        <f ca="1">IF(IntAll[[#This Row],[STATUS]]="","",IF(IF(OR(F109="2019-2020",F109="2021-2025"),"",IF(ISNUMBER(SEARCH("LLC",D109)),VLOOKUP(A109,IntComp24[],16,FALSE),VLOOKUP(A109,IntComp[],16,FALSE)))=0,"",IF(OR(F109="2019-2020",F109="2021-2025"),"",IF(ISNUMBER(SEARCH("LLC",D109)),VLOOKUP(A109,IntComp24[],16,FALSE),VLOOKUP(A109,IntComp[],16,FALSE)))))</f>
        <v/>
      </c>
      <c r="J109" s="143" t="str">
        <f ca="1">IF(IF(OR(F109="2019-2020",F109="2021-2025"),"",IF(ISNUMBER(SEARCH("LLC",D109)),VLOOKUP(A109,IntComp24[],17,FALSE),VLOOKUP(A109,IntComp[],17,FALSE)))=0,"",IF(OR(F109="2019-2020",F109="2021-2025"),"",IF(ISNUMBER(SEARCH("LLC",D109)),VLOOKUP(A109,IntComp24[],17,FALSE),VLOOKUP(A109,IntComp[],17,FALSE))))</f>
        <v/>
      </c>
      <c r="K109" s="151"/>
      <c r="L109" s="151">
        <f ca="1">IF(OR(F109="2019-2020",F109="2021-2025"),"",IF(ISNUMBER(SEARCH("LLC",D109)),VLOOKUP(A109,IntComp24[],18,FALSE),VLOOKUP(A109,IntComp[],18,FALSE)))</f>
        <v>78543.9375</v>
      </c>
      <c r="M109" s="143"/>
      <c r="N109" s="143" t="str">
        <f ca="1">IF(IF(OR(F109="2019-2020",F109="2021-2025"),"",IF(ISNUMBER(SEARCH("LLC",D109)),VLOOKUP(A109,IntComp24[],20,FALSE),VLOOKUP(A109,IntComp[],20,FALSE)))=0,"",IF(OR(F109="2019-2020",F109="2021-2025"),"",IF(ISNUMBER(SEARCH("LLC",D109)),VLOOKUP(A109,IntComp24[],20,FALSE),VLOOKUP(A109,IntComp[],20,FALSE))))</f>
        <v/>
      </c>
      <c r="O109" s="152" t="str">
        <f ca="1">IF(IF(OR(F109="2019-2020",F109="2021-2025"),"",IF(ISNUMBER(SEARCH("LLC",D109)),VLOOKUP(A109,IntComp24[],23,FALSE),VLOOKUP(A109,IntComp[],23,FALSE)))=0,"",IF(OR(F109="2019-2020",F109="2021-2025"),"",IF(ISNUMBER(SEARCH("LLC",D109)),VLOOKUP(A109,IntComp24[],23,FALSE),VLOOKUP(A109,IntComp[],23,FALSE))))</f>
        <v/>
      </c>
    </row>
    <row r="110" spans="1:15">
      <c r="A110" s="147" t="s">
        <v>124</v>
      </c>
      <c r="B110" s="144" t="str">
        <f>VLOOKUP(A110,Data[],2,FALSE)</f>
        <v>BRONX</v>
      </c>
      <c r="C110" s="144" t="s">
        <v>106</v>
      </c>
      <c r="D110" s="9" t="str">
        <f>VLOOKUP(A110,Data[],52,FALSE)</f>
        <v>FEDERAL</v>
      </c>
      <c r="E110" s="9">
        <f>VLOOKUP(IntAll[[#This Row],[DEVELOPMENT]],Data[],62,FALSE)</f>
        <v>3</v>
      </c>
      <c r="F110" s="9" t="str">
        <f ca="1">VLOOKUP(A110,Data[],4,FALSE)</f>
        <v>2026+</v>
      </c>
      <c r="G110" s="9">
        <f>VLOOKUP(IntAll[[#This Row],[DEVELOPMENT]],EHDAll[[DEVELOPMENT]:['# Units]],6,FALSE)</f>
        <v>3</v>
      </c>
      <c r="H110" s="143" t="str">
        <f ca="1">IF(IntAll[[#This Row],[STATUS]]="","",IF(OR(F110="2019-2020",F110="2021-2025"),"",IF(ISNUMBER(SEARCH("LLC",D110)),VLOOKUP(A110,IntComp24[],21,FALSE),VLOOKUP(A110,IntComp[],21,FALSE))))</f>
        <v/>
      </c>
      <c r="I110" s="143" t="str">
        <f ca="1">IF(IntAll[[#This Row],[STATUS]]="","",IF(IF(OR(F110="2019-2020",F110="2021-2025"),"",IF(ISNUMBER(SEARCH("LLC",D110)),VLOOKUP(A110,IntComp24[],16,FALSE),VLOOKUP(A110,IntComp[],16,FALSE)))=0,"",IF(OR(F110="2019-2020",F110="2021-2025"),"",IF(ISNUMBER(SEARCH("LLC",D110)),VLOOKUP(A110,IntComp24[],16,FALSE),VLOOKUP(A110,IntComp[],16,FALSE)))))</f>
        <v/>
      </c>
      <c r="J110" s="143" t="str">
        <f ca="1">IF(IF(OR(F110="2019-2020",F110="2021-2025"),"",IF(ISNUMBER(SEARCH("LLC",D110)),VLOOKUP(A110,IntComp24[],17,FALSE),VLOOKUP(A110,IntComp[],17,FALSE)))=0,"",IF(OR(F110="2019-2020",F110="2021-2025"),"",IF(ISNUMBER(SEARCH("LLC",D110)),VLOOKUP(A110,IntComp24[],17,FALSE),VLOOKUP(A110,IntComp[],17,FALSE))))</f>
        <v/>
      </c>
      <c r="K110" s="151"/>
      <c r="L110" s="151">
        <f ca="1">IF(OR(F110="2019-2020",F110="2021-2025"),"",IF(ISNUMBER(SEARCH("LLC",D110)),VLOOKUP(A110,IntComp24[],18,FALSE),VLOOKUP(A110,IntComp[],18,FALSE)))</f>
        <v>229007.625</v>
      </c>
      <c r="M110" s="143"/>
      <c r="N110" s="143" t="str">
        <f ca="1">IF(IF(OR(F110="2019-2020",F110="2021-2025"),"",IF(ISNUMBER(SEARCH("LLC",D110)),VLOOKUP(A110,IntComp24[],20,FALSE),VLOOKUP(A110,IntComp[],20,FALSE)))=0,"",IF(OR(F110="2019-2020",F110="2021-2025"),"",IF(ISNUMBER(SEARCH("LLC",D110)),VLOOKUP(A110,IntComp24[],20,FALSE),VLOOKUP(A110,IntComp[],20,FALSE))))</f>
        <v/>
      </c>
      <c r="O110" s="152" t="str">
        <f ca="1">IF(IF(OR(F110="2019-2020",F110="2021-2025"),"",IF(ISNUMBER(SEARCH("LLC",D110)),VLOOKUP(A110,IntComp24[],23,FALSE),VLOOKUP(A110,IntComp[],23,FALSE)))=0,"",IF(OR(F110="2019-2020",F110="2021-2025"),"",IF(ISNUMBER(SEARCH("LLC",D110)),VLOOKUP(A110,IntComp24[],23,FALSE),VLOOKUP(A110,IntComp[],23,FALSE))))</f>
        <v/>
      </c>
    </row>
    <row r="111" spans="1:15">
      <c r="A111" s="148" t="s">
        <v>143</v>
      </c>
      <c r="B111" s="144" t="str">
        <f>VLOOKUP(A111,Data[],2,FALSE)</f>
        <v>BRONX</v>
      </c>
      <c r="C111" s="144" t="s">
        <v>106</v>
      </c>
      <c r="D111" s="9" t="str">
        <f>VLOOKUP(A111,Data[],52,FALSE)</f>
        <v>FEDERAL</v>
      </c>
      <c r="E111" s="9">
        <f>VLOOKUP(IntAll[[#This Row],[DEVELOPMENT]],Data[],62,FALSE)</f>
        <v>4</v>
      </c>
      <c r="F111" s="9" t="str">
        <f ca="1">VLOOKUP(A111,Data[],4,FALSE)</f>
        <v>2022-2025</v>
      </c>
      <c r="G111" s="9">
        <f>VLOOKUP(IntAll[[#This Row],[DEVELOPMENT]],EHDAll[[DEVELOPMENT]:['# Units]],6,FALSE)</f>
        <v>4</v>
      </c>
      <c r="H111" s="143" t="str">
        <f ca="1">IF(IntAll[[#This Row],[STATUS]]="","",IF(OR(F111="2019-2020",F111="2021-2025"),"",IF(ISNUMBER(SEARCH("LLC",D111)),VLOOKUP(A111,IntComp24[],21,FALSE),VLOOKUP(A111,IntComp[],21,FALSE))))</f>
        <v/>
      </c>
      <c r="I111" s="143" t="str">
        <f ca="1">IF(IntAll[[#This Row],[STATUS]]="","",IF(IF(OR(F111="2019-2020",F111="2021-2025"),"",IF(ISNUMBER(SEARCH("LLC",D111)),VLOOKUP(A111,IntComp24[],16,FALSE),VLOOKUP(A111,IntComp[],16,FALSE)))=0,"",IF(OR(F111="2019-2020",F111="2021-2025"),"",IF(ISNUMBER(SEARCH("LLC",D111)),VLOOKUP(A111,IntComp24[],16,FALSE),VLOOKUP(A111,IntComp[],16,FALSE)))))</f>
        <v/>
      </c>
      <c r="J111" s="143" t="str">
        <f ca="1">IF(IF(OR(F111="2019-2020",F111="2021-2025"),"",IF(ISNUMBER(SEARCH("LLC",D111)),VLOOKUP(A111,IntComp24[],17,FALSE),VLOOKUP(A111,IntComp[],17,FALSE)))=0,"",IF(OR(F111="2019-2020",F111="2021-2025"),"",IF(ISNUMBER(SEARCH("LLC",D111)),VLOOKUP(A111,IntComp24[],17,FALSE),VLOOKUP(A111,IntComp[],17,FALSE))))</f>
        <v/>
      </c>
      <c r="K111" s="151"/>
      <c r="L111" s="151">
        <f ca="1">IF(OR(F111="2019-2020",F111="2021-2025"),"",IF(ISNUMBER(SEARCH("LLC",D111)),VLOOKUP(A111,IntComp24[],18,FALSE),VLOOKUP(A111,IntComp[],18,FALSE)))</f>
        <v>0</v>
      </c>
      <c r="M111" s="143"/>
      <c r="N111" s="143" t="str">
        <f ca="1">IF(IF(OR(F111="2019-2020",F111="2021-2025"),"",IF(ISNUMBER(SEARCH("LLC",D111)),VLOOKUP(A111,IntComp24[],20,FALSE),VLOOKUP(A111,IntComp[],20,FALSE)))=0,"",IF(OR(F111="2019-2020",F111="2021-2025"),"",IF(ISNUMBER(SEARCH("LLC",D111)),VLOOKUP(A111,IntComp24[],20,FALSE),VLOOKUP(A111,IntComp[],20,FALSE))))</f>
        <v/>
      </c>
      <c r="O111" s="152" t="str">
        <f ca="1">IF(IF(OR(F111="2019-2020",F111="2021-2025"),"",IF(ISNUMBER(SEARCH("LLC",D111)),VLOOKUP(A111,IntComp24[],23,FALSE),VLOOKUP(A111,IntComp[],23,FALSE)))=0,"",IF(OR(F111="2019-2020",F111="2021-2025"),"",IF(ISNUMBER(SEARCH("LLC",D111)),VLOOKUP(A111,IntComp24[],23,FALSE),VLOOKUP(A111,IntComp[],23,FALSE))))</f>
        <v/>
      </c>
    </row>
    <row r="112" spans="1:15">
      <c r="A112" s="148" t="s">
        <v>34</v>
      </c>
      <c r="B112" s="144" t="str">
        <f>VLOOKUP(A112,Data[],2,FALSE)</f>
        <v>BRONX</v>
      </c>
      <c r="C112" s="144" t="s">
        <v>106</v>
      </c>
      <c r="D112" s="9" t="str">
        <f>VLOOKUP(A112,Data[],52,FALSE)</f>
        <v>FEDERAL</v>
      </c>
      <c r="E112" s="9">
        <f>VLOOKUP(IntAll[[#This Row],[DEVELOPMENT]],Data[],62,FALSE)</f>
        <v>4</v>
      </c>
      <c r="F112" s="9" t="str">
        <f ca="1">VLOOKUP(A112,Data[],4,FALSE)</f>
        <v>2022-2025</v>
      </c>
      <c r="G112" s="9">
        <f>VLOOKUP(IntAll[[#This Row],[DEVELOPMENT]],EHDAll[[DEVELOPMENT]:['# Units]],6,FALSE)</f>
        <v>9</v>
      </c>
      <c r="H112" s="143" t="str">
        <f ca="1">IF(IntAll[[#This Row],[STATUS]]="","",IF(OR(F112="2019-2020",F112="2021-2025"),"",IF(ISNUMBER(SEARCH("LLC",D112)),VLOOKUP(A112,IntComp24[],21,FALSE),VLOOKUP(A112,IntComp[],21,FALSE))))</f>
        <v/>
      </c>
      <c r="I112" s="143" t="str">
        <f ca="1">IF(IntAll[[#This Row],[STATUS]]="","",IF(IF(OR(F112="2019-2020",F112="2021-2025"),"",IF(ISNUMBER(SEARCH("LLC",D112)),VLOOKUP(A112,IntComp24[],16,FALSE),VLOOKUP(A112,IntComp[],16,FALSE)))=0,"",IF(OR(F112="2019-2020",F112="2021-2025"),"",IF(ISNUMBER(SEARCH("LLC",D112)),VLOOKUP(A112,IntComp24[],16,FALSE),VLOOKUP(A112,IntComp[],16,FALSE)))))</f>
        <v/>
      </c>
      <c r="J112" s="143" t="str">
        <f ca="1">IF(IF(OR(F112="2019-2020",F112="2021-2025"),"",IF(ISNUMBER(SEARCH("LLC",D112)),VLOOKUP(A112,IntComp24[],17,FALSE),VLOOKUP(A112,IntComp[],17,FALSE)))=0,"",IF(OR(F112="2019-2020",F112="2021-2025"),"",IF(ISNUMBER(SEARCH("LLC",D112)),VLOOKUP(A112,IntComp24[],17,FALSE),VLOOKUP(A112,IntComp[],17,FALSE))))</f>
        <v/>
      </c>
      <c r="K112" s="151"/>
      <c r="L112" s="151">
        <f ca="1">IF(OR(F112="2019-2020",F112="2021-2025"),"",IF(ISNUMBER(SEARCH("LLC",D112)),VLOOKUP(A112,IntComp24[],18,FALSE),VLOOKUP(A112,IntComp[],18,FALSE)))</f>
        <v>0</v>
      </c>
      <c r="M112" s="143"/>
      <c r="N112" s="143" t="str">
        <f ca="1">IF(IF(OR(F112="2019-2020",F112="2021-2025"),"",IF(ISNUMBER(SEARCH("LLC",D112)),VLOOKUP(A112,IntComp24[],20,FALSE),VLOOKUP(A112,IntComp[],20,FALSE)))=0,"",IF(OR(F112="2019-2020",F112="2021-2025"),"",IF(ISNUMBER(SEARCH("LLC",D112)),VLOOKUP(A112,IntComp24[],20,FALSE),VLOOKUP(A112,IntComp[],20,FALSE))))</f>
        <v/>
      </c>
      <c r="O112" s="152" t="str">
        <f ca="1">IF(IF(OR(F112="2019-2020",F112="2021-2025"),"",IF(ISNUMBER(SEARCH("LLC",D112)),VLOOKUP(A112,IntComp24[],23,FALSE),VLOOKUP(A112,IntComp[],23,FALSE)))=0,"",IF(OR(F112="2019-2020",F112="2021-2025"),"",IF(ISNUMBER(SEARCH("LLC",D112)),VLOOKUP(A112,IntComp24[],23,FALSE),VLOOKUP(A112,IntComp[],23,FALSE))))</f>
        <v/>
      </c>
    </row>
    <row r="113" spans="1:15">
      <c r="A113" s="148" t="s">
        <v>144</v>
      </c>
      <c r="B113" s="144" t="str">
        <f>VLOOKUP(A113,Data[],2,FALSE)</f>
        <v>BRONX</v>
      </c>
      <c r="C113" s="144" t="s">
        <v>106</v>
      </c>
      <c r="D113" s="9" t="str">
        <f>VLOOKUP(A113,Data[],52,FALSE)</f>
        <v>FEDERAL</v>
      </c>
      <c r="E113" s="9">
        <f>VLOOKUP(IntAll[[#This Row],[DEVELOPMENT]],Data[],62,FALSE)</f>
        <v>4</v>
      </c>
      <c r="F113" s="9" t="str">
        <f ca="1">VLOOKUP(A113,Data[],4,FALSE)</f>
        <v>2022-2025</v>
      </c>
      <c r="G113" s="9">
        <f>VLOOKUP(IntAll[[#This Row],[DEVELOPMENT]],EHDAll[[DEVELOPMENT]:['# Units]],6,FALSE)</f>
        <v>3</v>
      </c>
      <c r="H113" s="143" t="str">
        <f ca="1">IF(IntAll[[#This Row],[STATUS]]="","",IF(OR(F113="2019-2020",F113="2021-2025"),"",IF(ISNUMBER(SEARCH("LLC",D113)),VLOOKUP(A113,IntComp24[],21,FALSE),VLOOKUP(A113,IntComp[],21,FALSE))))</f>
        <v/>
      </c>
      <c r="I113" s="143" t="str">
        <f ca="1">IF(IntAll[[#This Row],[STATUS]]="","",IF(IF(OR(F113="2019-2020",F113="2021-2025"),"",IF(ISNUMBER(SEARCH("LLC",D113)),VLOOKUP(A113,IntComp24[],16,FALSE),VLOOKUP(A113,IntComp[],16,FALSE)))=0,"",IF(OR(F113="2019-2020",F113="2021-2025"),"",IF(ISNUMBER(SEARCH("LLC",D113)),VLOOKUP(A113,IntComp24[],16,FALSE),VLOOKUP(A113,IntComp[],16,FALSE)))))</f>
        <v/>
      </c>
      <c r="J113" s="143" t="str">
        <f ca="1">IF(IF(OR(F113="2019-2020",F113="2021-2025"),"",IF(ISNUMBER(SEARCH("LLC",D113)),VLOOKUP(A113,IntComp24[],17,FALSE),VLOOKUP(A113,IntComp[],17,FALSE)))=0,"",IF(OR(F113="2019-2020",F113="2021-2025"),"",IF(ISNUMBER(SEARCH("LLC",D113)),VLOOKUP(A113,IntComp24[],17,FALSE),VLOOKUP(A113,IntComp[],17,FALSE))))</f>
        <v/>
      </c>
      <c r="K113" s="151"/>
      <c r="L113" s="151">
        <f ca="1">IF(OR(F113="2019-2020",F113="2021-2025"),"",IF(ISNUMBER(SEARCH("LLC",D113)),VLOOKUP(A113,IntComp24[],18,FALSE),VLOOKUP(A113,IntComp[],18,FALSE)))</f>
        <v>0</v>
      </c>
      <c r="M113" s="143"/>
      <c r="N113" s="143" t="str">
        <f ca="1">IF(IF(OR(F113="2019-2020",F113="2021-2025"),"",IF(ISNUMBER(SEARCH("LLC",D113)),VLOOKUP(A113,IntComp24[],20,FALSE),VLOOKUP(A113,IntComp[],20,FALSE)))=0,"",IF(OR(F113="2019-2020",F113="2021-2025"),"",IF(ISNUMBER(SEARCH("LLC",D113)),VLOOKUP(A113,IntComp24[],20,FALSE),VLOOKUP(A113,IntComp[],20,FALSE))))</f>
        <v/>
      </c>
      <c r="O113" s="152" t="str">
        <f ca="1">IF(IF(OR(F113="2019-2020",F113="2021-2025"),"",IF(ISNUMBER(SEARCH("LLC",D113)),VLOOKUP(A113,IntComp24[],23,FALSE),VLOOKUP(A113,IntComp[],23,FALSE)))=0,"",IF(OR(F113="2019-2020",F113="2021-2025"),"",IF(ISNUMBER(SEARCH("LLC",D113)),VLOOKUP(A113,IntComp24[],23,FALSE),VLOOKUP(A113,IntComp[],23,FALSE))))</f>
        <v/>
      </c>
    </row>
    <row r="114" spans="1:15">
      <c r="A114" s="147" t="s">
        <v>310</v>
      </c>
      <c r="B114" s="144" t="str">
        <f>VLOOKUP(A114,Data[],2,FALSE)</f>
        <v>BRONX</v>
      </c>
      <c r="C114" s="144" t="s">
        <v>106</v>
      </c>
      <c r="D114" s="9" t="str">
        <f>VLOOKUP(A114,Data[],52,FALSE)</f>
        <v>FEDERAL</v>
      </c>
      <c r="E114" s="9">
        <f>VLOOKUP(IntAll[[#This Row],[DEVELOPMENT]],Data[],62,FALSE)</f>
        <v>9</v>
      </c>
      <c r="F114" s="9" t="str">
        <f ca="1">VLOOKUP(A114,Data[],4,FALSE)</f>
        <v>2022-2025</v>
      </c>
      <c r="G114" s="9">
        <f>VLOOKUP(IntAll[[#This Row],[DEVELOPMENT]],EHDAll[[DEVELOPMENT]:['# Units]],6,FALSE)</f>
        <v>0</v>
      </c>
      <c r="H114" s="143" t="str">
        <f ca="1">IF(IntAll[[#This Row],[STATUS]]="","",IF(OR(F114="2019-2020",F114="2021-2025"),"",IF(ISNUMBER(SEARCH("LLC",D114)),VLOOKUP(A114,IntComp24[],21,FALSE),VLOOKUP(A114,IntComp[],21,FALSE))))</f>
        <v/>
      </c>
      <c r="I114" s="143" t="str">
        <f ca="1">IF(IntAll[[#This Row],[STATUS]]="","",IF(IF(OR(F114="2019-2020",F114="2021-2025"),"",IF(ISNUMBER(SEARCH("LLC",D114)),VLOOKUP(A114,IntComp24[],16,FALSE),VLOOKUP(A114,IntComp[],16,FALSE)))=0,"",IF(OR(F114="2019-2020",F114="2021-2025"),"",IF(ISNUMBER(SEARCH("LLC",D114)),VLOOKUP(A114,IntComp24[],16,FALSE),VLOOKUP(A114,IntComp[],16,FALSE)))))</f>
        <v/>
      </c>
      <c r="J114" s="143" t="str">
        <f ca="1">IF(IF(OR(F114="2019-2020",F114="2021-2025"),"",IF(ISNUMBER(SEARCH("LLC",D114)),VLOOKUP(A114,IntComp24[],17,FALSE),VLOOKUP(A114,IntComp[],17,FALSE)))=0,"",IF(OR(F114="2019-2020",F114="2021-2025"),"",IF(ISNUMBER(SEARCH("LLC",D114)),VLOOKUP(A114,IntComp24[],17,FALSE),VLOOKUP(A114,IntComp[],17,FALSE))))</f>
        <v/>
      </c>
      <c r="K114" s="151"/>
      <c r="L114" s="151">
        <f ca="1">IF(OR(F114="2019-2020",F114="2021-2025"),"",IF(ISNUMBER(SEARCH("LLC",D114)),VLOOKUP(A114,IntComp24[],18,FALSE),VLOOKUP(A114,IntComp[],18,FALSE)))</f>
        <v>0</v>
      </c>
      <c r="M114" s="143"/>
      <c r="N114" s="143" t="str">
        <f ca="1">IF(IF(OR(F114="2019-2020",F114="2021-2025"),"",IF(ISNUMBER(SEARCH("LLC",D114)),VLOOKUP(A114,IntComp24[],20,FALSE),VLOOKUP(A114,IntComp[],20,FALSE)))=0,"",IF(OR(F114="2019-2020",F114="2021-2025"),"",IF(ISNUMBER(SEARCH("LLC",D114)),VLOOKUP(A114,IntComp24[],20,FALSE),VLOOKUP(A114,IntComp[],20,FALSE))))</f>
        <v/>
      </c>
      <c r="O114" s="152" t="str">
        <f ca="1">IF(IF(OR(F114="2019-2020",F114="2021-2025"),"",IF(ISNUMBER(SEARCH("LLC",D114)),VLOOKUP(A114,IntComp24[],23,FALSE),VLOOKUP(A114,IntComp[],23,FALSE)))=0,"",IF(OR(F114="2019-2020",F114="2021-2025"),"",IF(ISNUMBER(SEARCH("LLC",D114)),VLOOKUP(A114,IntComp24[],23,FALSE),VLOOKUP(A114,IntComp[],23,FALSE))))</f>
        <v/>
      </c>
    </row>
    <row r="115" spans="1:15">
      <c r="A115" s="148" t="s">
        <v>145</v>
      </c>
      <c r="B115" s="144" t="str">
        <f>VLOOKUP(A115,Data[],2,FALSE)</f>
        <v>BRONX</v>
      </c>
      <c r="C115" s="144" t="s">
        <v>106</v>
      </c>
      <c r="D115" s="9" t="str">
        <f>VLOOKUP(A115,Data[],52,FALSE)</f>
        <v>FEDERAL</v>
      </c>
      <c r="E115" s="9">
        <f>VLOOKUP(IntAll[[#This Row],[DEVELOPMENT]],Data[],62,FALSE)</f>
        <v>4</v>
      </c>
      <c r="F115" s="9" t="str">
        <f ca="1">VLOOKUP(A115,Data[],4,FALSE)</f>
        <v>2022-2025</v>
      </c>
      <c r="G115" s="9">
        <f>VLOOKUP(IntAll[[#This Row],[DEVELOPMENT]],EHDAll[[DEVELOPMENT]:['# Units]],6,FALSE)</f>
        <v>1</v>
      </c>
      <c r="H115" s="143" t="str">
        <f ca="1">IF(IntAll[[#This Row],[STATUS]]="","",IF(OR(F115="2019-2020",F115="2021-2025"),"",IF(ISNUMBER(SEARCH("LLC",D115)),VLOOKUP(A115,IntComp24[],21,FALSE),VLOOKUP(A115,IntComp[],21,FALSE))))</f>
        <v/>
      </c>
      <c r="I115" s="143" t="str">
        <f ca="1">IF(IntAll[[#This Row],[STATUS]]="","",IF(IF(OR(F115="2019-2020",F115="2021-2025"),"",IF(ISNUMBER(SEARCH("LLC",D115)),VLOOKUP(A115,IntComp24[],16,FALSE),VLOOKUP(A115,IntComp[],16,FALSE)))=0,"",IF(OR(F115="2019-2020",F115="2021-2025"),"",IF(ISNUMBER(SEARCH("LLC",D115)),VLOOKUP(A115,IntComp24[],16,FALSE),VLOOKUP(A115,IntComp[],16,FALSE)))))</f>
        <v/>
      </c>
      <c r="J115" s="143" t="str">
        <f ca="1">IF(IF(OR(F115="2019-2020",F115="2021-2025"),"",IF(ISNUMBER(SEARCH("LLC",D115)),VLOOKUP(A115,IntComp24[],17,FALSE),VLOOKUP(A115,IntComp[],17,FALSE)))=0,"",IF(OR(F115="2019-2020",F115="2021-2025"),"",IF(ISNUMBER(SEARCH("LLC",D115)),VLOOKUP(A115,IntComp24[],17,FALSE),VLOOKUP(A115,IntComp[],17,FALSE))))</f>
        <v/>
      </c>
      <c r="K115" s="151"/>
      <c r="L115" s="151">
        <f ca="1">IF(OR(F115="2019-2020",F115="2021-2025"),"",IF(ISNUMBER(SEARCH("LLC",D115)),VLOOKUP(A115,IntComp24[],18,FALSE),VLOOKUP(A115,IntComp[],18,FALSE)))</f>
        <v>0</v>
      </c>
      <c r="M115" s="143"/>
      <c r="N115" s="143" t="str">
        <f ca="1">IF(IF(OR(F115="2019-2020",F115="2021-2025"),"",IF(ISNUMBER(SEARCH("LLC",D115)),VLOOKUP(A115,IntComp24[],20,FALSE),VLOOKUP(A115,IntComp[],20,FALSE)))=0,"",IF(OR(F115="2019-2020",F115="2021-2025"),"",IF(ISNUMBER(SEARCH("LLC",D115)),VLOOKUP(A115,IntComp24[],20,FALSE),VLOOKUP(A115,IntComp[],20,FALSE))))</f>
        <v/>
      </c>
      <c r="O115" s="152" t="str">
        <f ca="1">IF(IF(OR(F115="2019-2020",F115="2021-2025"),"",IF(ISNUMBER(SEARCH("LLC",D115)),VLOOKUP(A115,IntComp24[],23,FALSE),VLOOKUP(A115,IntComp[],23,FALSE)))=0,"",IF(OR(F115="2019-2020",F115="2021-2025"),"",IF(ISNUMBER(SEARCH("LLC",D115)),VLOOKUP(A115,IntComp24[],23,FALSE),VLOOKUP(A115,IntComp[],23,FALSE))))</f>
        <v/>
      </c>
    </row>
    <row r="116" spans="1:15">
      <c r="A116" s="147" t="s">
        <v>235</v>
      </c>
      <c r="B116" s="144" t="str">
        <f>VLOOKUP(A116,Data[],2,FALSE)</f>
        <v>BROOKLYN</v>
      </c>
      <c r="C116" s="144" t="s">
        <v>106</v>
      </c>
      <c r="D116" s="9" t="str">
        <f>VLOOKUP(A116,Data[],52,FALSE)</f>
        <v>FEDERAL</v>
      </c>
      <c r="E116" s="9">
        <f>VLOOKUP(IntAll[[#This Row],[DEVELOPMENT]],Data[],62,FALSE)</f>
        <v>13</v>
      </c>
      <c r="F116" s="9" t="str">
        <f ca="1">VLOOKUP(A116,Data[],4,FALSE)</f>
        <v/>
      </c>
      <c r="G116" s="9">
        <f>VLOOKUP(IntAll[[#This Row],[DEVELOPMENT]],EHDAll[[DEVELOPMENT]:['# Units]],6,FALSE)</f>
        <v>5</v>
      </c>
      <c r="H116" s="143" t="str">
        <f ca="1">IF(IntAll[[#This Row],[STATUS]]="","",IF(OR(F116="2019-2020",F116="2021-2025"),"",IF(ISNUMBER(SEARCH("LLC",D116)),VLOOKUP(A116,IntComp24[],21,FALSE),VLOOKUP(A116,IntComp[],21,FALSE))))</f>
        <v/>
      </c>
      <c r="I116" s="143" t="str">
        <f ca="1">IF(IntAll[[#This Row],[STATUS]]="","",IF(IF(OR(F116="2019-2020",F116="2021-2025"),"",IF(ISNUMBER(SEARCH("LLC",D116)),VLOOKUP(A116,IntComp24[],16,FALSE),VLOOKUP(A116,IntComp[],16,FALSE)))=0,"",IF(OR(F116="2019-2020",F116="2021-2025"),"",IF(ISNUMBER(SEARCH("LLC",D116)),VLOOKUP(A116,IntComp24[],16,FALSE),VLOOKUP(A116,IntComp[],16,FALSE)))))</f>
        <v/>
      </c>
      <c r="J116" s="143" t="str">
        <f ca="1">IF(IF(OR(F116="2019-2020",F116="2021-2025"),"",IF(ISNUMBER(SEARCH("LLC",D116)),VLOOKUP(A116,IntComp24[],17,FALSE),VLOOKUP(A116,IntComp[],17,FALSE)))=0,"",IF(OR(F116="2019-2020",F116="2021-2025"),"",IF(ISNUMBER(SEARCH("LLC",D116)),VLOOKUP(A116,IntComp24[],17,FALSE),VLOOKUP(A116,IntComp[],17,FALSE))))</f>
        <v/>
      </c>
      <c r="K116" s="151"/>
      <c r="L116" s="151">
        <f ca="1">IF(OR(F116="2019-2020",F116="2021-2025"),"",IF(ISNUMBER(SEARCH("LLC",D116)),VLOOKUP(A116,IntComp24[],18,FALSE),VLOOKUP(A116,IntComp[],18,FALSE)))</f>
        <v>381679.375</v>
      </c>
      <c r="M116" s="143"/>
      <c r="N116" s="143" t="str">
        <f ca="1">IF(IF(OR(F116="2019-2020",F116="2021-2025"),"",IF(ISNUMBER(SEARCH("LLC",D116)),VLOOKUP(A116,IntComp24[],20,FALSE),VLOOKUP(A116,IntComp[],20,FALSE)))=0,"",IF(OR(F116="2019-2020",F116="2021-2025"),"",IF(ISNUMBER(SEARCH("LLC",D116)),VLOOKUP(A116,IntComp24[],20,FALSE),VLOOKUP(A116,IntComp[],20,FALSE))))</f>
        <v/>
      </c>
      <c r="O116" s="152" t="str">
        <f ca="1">IF(IF(OR(F116="2019-2020",F116="2021-2025"),"",IF(ISNUMBER(SEARCH("LLC",D116)),VLOOKUP(A116,IntComp24[],23,FALSE),VLOOKUP(A116,IntComp[],23,FALSE)))=0,"",IF(OR(F116="2019-2020",F116="2021-2025"),"",IF(ISNUMBER(SEARCH("LLC",D116)),VLOOKUP(A116,IntComp24[],23,FALSE),VLOOKUP(A116,IntComp[],23,FALSE))))</f>
        <v/>
      </c>
    </row>
    <row r="117" spans="1:15">
      <c r="A117" s="147" t="s">
        <v>311</v>
      </c>
      <c r="B117" s="144" t="str">
        <f>VLOOKUP(A117,Data[],2,FALSE)</f>
        <v>BROOKLYN</v>
      </c>
      <c r="C117" s="144" t="s">
        <v>106</v>
      </c>
      <c r="D117" s="9" t="str">
        <f>VLOOKUP(A117,Data[],52,FALSE)</f>
        <v>FEDERAL</v>
      </c>
      <c r="E117" s="9">
        <f>VLOOKUP(IntAll[[#This Row],[DEVELOPMENT]],Data[],62,FALSE)</f>
        <v>13</v>
      </c>
      <c r="F117" s="9" t="str">
        <f ca="1">VLOOKUP(A117,Data[],4,FALSE)</f>
        <v/>
      </c>
      <c r="G117" s="9">
        <f>VLOOKUP(IntAll[[#This Row],[DEVELOPMENT]],EHDAll[[DEVELOPMENT]:['# Units]],6,FALSE)</f>
        <v>1</v>
      </c>
      <c r="H117" s="143" t="str">
        <f ca="1">IF(IntAll[[#This Row],[STATUS]]="","",IF(OR(F117="2019-2020",F117="2021-2025"),"",IF(ISNUMBER(SEARCH("LLC",D117)),VLOOKUP(A117,IntComp24[],21,FALSE),VLOOKUP(A117,IntComp[],21,FALSE))))</f>
        <v/>
      </c>
      <c r="I117" s="143" t="str">
        <f ca="1">IF(IntAll[[#This Row],[STATUS]]="","",IF(IF(OR(F117="2019-2020",F117="2021-2025"),"",IF(ISNUMBER(SEARCH("LLC",D117)),VLOOKUP(A117,IntComp24[],16,FALSE),VLOOKUP(A117,IntComp[],16,FALSE)))=0,"",IF(OR(F117="2019-2020",F117="2021-2025"),"",IF(ISNUMBER(SEARCH("LLC",D117)),VLOOKUP(A117,IntComp24[],16,FALSE),VLOOKUP(A117,IntComp[],16,FALSE)))))</f>
        <v/>
      </c>
      <c r="J117" s="143" t="str">
        <f ca="1">IF(IF(OR(F117="2019-2020",F117="2021-2025"),"",IF(ISNUMBER(SEARCH("LLC",D117)),VLOOKUP(A117,IntComp24[],17,FALSE),VLOOKUP(A117,IntComp[],17,FALSE)))=0,"",IF(OR(F117="2019-2020",F117="2021-2025"),"",IF(ISNUMBER(SEARCH("LLC",D117)),VLOOKUP(A117,IntComp24[],17,FALSE),VLOOKUP(A117,IntComp[],17,FALSE))))</f>
        <v/>
      </c>
      <c r="K117" s="151"/>
      <c r="L117" s="151">
        <f ca="1">IF(OR(F117="2019-2020",F117="2021-2025"),"",IF(ISNUMBER(SEARCH("LLC",D117)),VLOOKUP(A117,IntComp24[],18,FALSE),VLOOKUP(A117,IntComp[],18,FALSE)))</f>
        <v>0</v>
      </c>
      <c r="M117" s="143"/>
      <c r="N117" s="143" t="str">
        <f ca="1">IF(IF(OR(F117="2019-2020",F117="2021-2025"),"",IF(ISNUMBER(SEARCH("LLC",D117)),VLOOKUP(A117,IntComp24[],20,FALSE),VLOOKUP(A117,IntComp[],20,FALSE)))=0,"",IF(OR(F117="2019-2020",F117="2021-2025"),"",IF(ISNUMBER(SEARCH("LLC",D117)),VLOOKUP(A117,IntComp24[],20,FALSE),VLOOKUP(A117,IntComp[],20,FALSE))))</f>
        <v/>
      </c>
      <c r="O117" s="152" t="str">
        <f ca="1">IF(IF(OR(F117="2019-2020",F117="2021-2025"),"",IF(ISNUMBER(SEARCH("LLC",D117)),VLOOKUP(A117,IntComp24[],23,FALSE),VLOOKUP(A117,IntComp[],23,FALSE)))=0,"",IF(OR(F117="2019-2020",F117="2021-2025"),"",IF(ISNUMBER(SEARCH("LLC",D117)),VLOOKUP(A117,IntComp24[],23,FALSE),VLOOKUP(A117,IntComp[],23,FALSE))))</f>
        <v/>
      </c>
    </row>
    <row r="118" spans="1:15">
      <c r="A118" s="147" t="s">
        <v>236</v>
      </c>
      <c r="B118" s="144" t="str">
        <f>VLOOKUP(A118,Data[],2,FALSE)</f>
        <v>BROOKLYN</v>
      </c>
      <c r="C118" s="144" t="s">
        <v>106</v>
      </c>
      <c r="D118" s="9" t="str">
        <f>VLOOKUP(A118,Data[],52,FALSE)</f>
        <v>FEDERAL</v>
      </c>
      <c r="E118" s="9">
        <f>VLOOKUP(IntAll[[#This Row],[DEVELOPMENT]],Data[],62,FALSE)</f>
        <v>13</v>
      </c>
      <c r="F118" s="9" t="str">
        <f ca="1">VLOOKUP(A118,Data[],4,FALSE)</f>
        <v>2026+</v>
      </c>
      <c r="G118" s="9">
        <f>VLOOKUP(IntAll[[#This Row],[DEVELOPMENT]],EHDAll[[DEVELOPMENT]:['# Units]],6,FALSE)</f>
        <v>1</v>
      </c>
      <c r="H118" s="143" t="str">
        <f ca="1">IF(IntAll[[#This Row],[STATUS]]="","",IF(OR(F118="2019-2020",F118="2021-2025"),"",IF(ISNUMBER(SEARCH("LLC",D118)),VLOOKUP(A118,IntComp24[],21,FALSE),VLOOKUP(A118,IntComp[],21,FALSE))))</f>
        <v/>
      </c>
      <c r="I118" s="143" t="str">
        <f ca="1">IF(IntAll[[#This Row],[STATUS]]="","",IF(IF(OR(F118="2019-2020",F118="2021-2025"),"",IF(ISNUMBER(SEARCH("LLC",D118)),VLOOKUP(A118,IntComp24[],16,FALSE),VLOOKUP(A118,IntComp[],16,FALSE)))=0,"",IF(OR(F118="2019-2020",F118="2021-2025"),"",IF(ISNUMBER(SEARCH("LLC",D118)),VLOOKUP(A118,IntComp24[],16,FALSE),VLOOKUP(A118,IntComp[],16,FALSE)))))</f>
        <v/>
      </c>
      <c r="J118" s="143" t="str">
        <f ca="1">IF(IF(OR(F118="2019-2020",F118="2021-2025"),"",IF(ISNUMBER(SEARCH("LLC",D118)),VLOOKUP(A118,IntComp24[],17,FALSE),VLOOKUP(A118,IntComp[],17,FALSE)))=0,"",IF(OR(F118="2019-2020",F118="2021-2025"),"",IF(ISNUMBER(SEARCH("LLC",D118)),VLOOKUP(A118,IntComp24[],17,FALSE),VLOOKUP(A118,IntComp[],17,FALSE))))</f>
        <v/>
      </c>
      <c r="K118" s="151"/>
      <c r="L118" s="151">
        <f ca="1">IF(OR(F118="2019-2020",F118="2021-2025"),"",IF(ISNUMBER(SEARCH("LLC",D118)),VLOOKUP(A118,IntComp24[],18,FALSE),VLOOKUP(A118,IntComp[],18,FALSE)))</f>
        <v>78543.9375</v>
      </c>
      <c r="M118" s="143"/>
      <c r="N118" s="143" t="str">
        <f ca="1">IF(IF(OR(F118="2019-2020",F118="2021-2025"),"",IF(ISNUMBER(SEARCH("LLC",D118)),VLOOKUP(A118,IntComp24[],20,FALSE),VLOOKUP(A118,IntComp[],20,FALSE)))=0,"",IF(OR(F118="2019-2020",F118="2021-2025"),"",IF(ISNUMBER(SEARCH("LLC",D118)),VLOOKUP(A118,IntComp24[],20,FALSE),VLOOKUP(A118,IntComp[],20,FALSE))))</f>
        <v/>
      </c>
      <c r="O118" s="152" t="str">
        <f ca="1">IF(IF(OR(F118="2019-2020",F118="2021-2025"),"",IF(ISNUMBER(SEARCH("LLC",D118)),VLOOKUP(A118,IntComp24[],23,FALSE),VLOOKUP(A118,IntComp[],23,FALSE)))=0,"",IF(OR(F118="2019-2020",F118="2021-2025"),"",IF(ISNUMBER(SEARCH("LLC",D118)),VLOOKUP(A118,IntComp24[],23,FALSE),VLOOKUP(A118,IntComp[],23,FALSE))))</f>
        <v/>
      </c>
    </row>
    <row r="119" spans="1:15">
      <c r="A119" s="147" t="s">
        <v>312</v>
      </c>
      <c r="B119" s="144" t="str">
        <f>VLOOKUP(A119,Data[],2,FALSE)</f>
        <v>BROOKLYN</v>
      </c>
      <c r="C119" s="144" t="s">
        <v>106</v>
      </c>
      <c r="D119" s="9" t="str">
        <f>VLOOKUP(A119,Data[],52,FALSE)</f>
        <v>FEDERAL</v>
      </c>
      <c r="E119" s="9">
        <f>VLOOKUP(IntAll[[#This Row],[DEVELOPMENT]],Data[],62,FALSE)</f>
        <v>13</v>
      </c>
      <c r="F119" s="9" t="str">
        <f ca="1">VLOOKUP(A119,Data[],4,FALSE)</f>
        <v/>
      </c>
      <c r="G119" s="9">
        <f>VLOOKUP(IntAll[[#This Row],[DEVELOPMENT]],EHDAll[[DEVELOPMENT]:['# Units]],6,FALSE)</f>
        <v>3</v>
      </c>
      <c r="H119" s="143" t="str">
        <f ca="1">IF(IntAll[[#This Row],[STATUS]]="","",IF(OR(F119="2019-2020",F119="2021-2025"),"",IF(ISNUMBER(SEARCH("LLC",D119)),VLOOKUP(A119,IntComp24[],21,FALSE),VLOOKUP(A119,IntComp[],21,FALSE))))</f>
        <v/>
      </c>
      <c r="I119" s="143" t="str">
        <f ca="1">IF(IntAll[[#This Row],[STATUS]]="","",IF(IF(OR(F119="2019-2020",F119="2021-2025"),"",IF(ISNUMBER(SEARCH("LLC",D119)),VLOOKUP(A119,IntComp24[],16,FALSE),VLOOKUP(A119,IntComp[],16,FALSE)))=0,"",IF(OR(F119="2019-2020",F119="2021-2025"),"",IF(ISNUMBER(SEARCH("LLC",D119)),VLOOKUP(A119,IntComp24[],16,FALSE),VLOOKUP(A119,IntComp[],16,FALSE)))))</f>
        <v/>
      </c>
      <c r="J119" s="143" t="str">
        <f ca="1">IF(IF(OR(F119="2019-2020",F119="2021-2025"),"",IF(ISNUMBER(SEARCH("LLC",D119)),VLOOKUP(A119,IntComp24[],17,FALSE),VLOOKUP(A119,IntComp[],17,FALSE)))=0,"",IF(OR(F119="2019-2020",F119="2021-2025"),"",IF(ISNUMBER(SEARCH("LLC",D119)),VLOOKUP(A119,IntComp24[],17,FALSE),VLOOKUP(A119,IntComp[],17,FALSE))))</f>
        <v/>
      </c>
      <c r="K119" s="151"/>
      <c r="L119" s="151">
        <f ca="1">IF(OR(F119="2019-2020",F119="2021-2025"),"",IF(ISNUMBER(SEARCH("LLC",D119)),VLOOKUP(A119,IntComp24[],18,FALSE),VLOOKUP(A119,IntComp[],18,FALSE)))</f>
        <v>0</v>
      </c>
      <c r="M119" s="143"/>
      <c r="N119" s="143" t="str">
        <f ca="1">IF(IF(OR(F119="2019-2020",F119="2021-2025"),"",IF(ISNUMBER(SEARCH("LLC",D119)),VLOOKUP(A119,IntComp24[],20,FALSE),VLOOKUP(A119,IntComp[],20,FALSE)))=0,"",IF(OR(F119="2019-2020",F119="2021-2025"),"",IF(ISNUMBER(SEARCH("LLC",D119)),VLOOKUP(A119,IntComp24[],20,FALSE),VLOOKUP(A119,IntComp[],20,FALSE))))</f>
        <v/>
      </c>
      <c r="O119" s="152" t="str">
        <f ca="1">IF(IF(OR(F119="2019-2020",F119="2021-2025"),"",IF(ISNUMBER(SEARCH("LLC",D119)),VLOOKUP(A119,IntComp24[],23,FALSE),VLOOKUP(A119,IntComp[],23,FALSE)))=0,"",IF(OR(F119="2019-2020",F119="2021-2025"),"",IF(ISNUMBER(SEARCH("LLC",D119)),VLOOKUP(A119,IntComp24[],23,FALSE),VLOOKUP(A119,IntComp[],23,FALSE))))</f>
        <v/>
      </c>
    </row>
    <row r="120" spans="1:15">
      <c r="A120" s="147" t="s">
        <v>313</v>
      </c>
      <c r="B120" s="144" t="str">
        <f>VLOOKUP(A120,Data[],2,FALSE)</f>
        <v>QUEENS</v>
      </c>
      <c r="C120" s="144" t="s">
        <v>106</v>
      </c>
      <c r="D120" s="9" t="str">
        <f>VLOOKUP(A120,Data[],52,FALSE)</f>
        <v>FEDERAL</v>
      </c>
      <c r="E120" s="9">
        <f>VLOOKUP(IntAll[[#This Row],[DEVELOPMENT]],Data[],62,FALSE)</f>
        <v>12</v>
      </c>
      <c r="F120" s="9" t="str">
        <f ca="1">VLOOKUP(A120,Data[],4,FALSE)</f>
        <v/>
      </c>
      <c r="G120" s="9">
        <f>VLOOKUP(IntAll[[#This Row],[DEVELOPMENT]],EHDAll[[DEVELOPMENT]:['# Units]],6,FALSE)</f>
        <v>1</v>
      </c>
      <c r="H120" s="143" t="str">
        <f ca="1">IF(IntAll[[#This Row],[STATUS]]="","",IF(OR(F120="2019-2020",F120="2021-2025"),"",IF(ISNUMBER(SEARCH("LLC",D120)),VLOOKUP(A120,IntComp24[],21,FALSE),VLOOKUP(A120,IntComp[],21,FALSE))))</f>
        <v/>
      </c>
      <c r="I120" s="143" t="str">
        <f ca="1">IF(IntAll[[#This Row],[STATUS]]="","",IF(IF(OR(F120="2019-2020",F120="2021-2025"),"",IF(ISNUMBER(SEARCH("LLC",D120)),VLOOKUP(A120,IntComp24[],16,FALSE),VLOOKUP(A120,IntComp[],16,FALSE)))=0,"",IF(OR(F120="2019-2020",F120="2021-2025"),"",IF(ISNUMBER(SEARCH("LLC",D120)),VLOOKUP(A120,IntComp24[],16,FALSE),VLOOKUP(A120,IntComp[],16,FALSE)))))</f>
        <v/>
      </c>
      <c r="J120" s="143" t="str">
        <f ca="1">IF(IF(OR(F120="2019-2020",F120="2021-2025"),"",IF(ISNUMBER(SEARCH("LLC",D120)),VLOOKUP(A120,IntComp24[],17,FALSE),VLOOKUP(A120,IntComp[],17,FALSE)))=0,"",IF(OR(F120="2019-2020",F120="2021-2025"),"",IF(ISNUMBER(SEARCH("LLC",D120)),VLOOKUP(A120,IntComp24[],17,FALSE),VLOOKUP(A120,IntComp[],17,FALSE))))</f>
        <v/>
      </c>
      <c r="K120" s="151"/>
      <c r="L120" s="151">
        <f ca="1">IF(OR(F120="2019-2020",F120="2021-2025"),"",IF(ISNUMBER(SEARCH("LLC",D120)),VLOOKUP(A120,IntComp24[],18,FALSE),VLOOKUP(A120,IntComp[],18,FALSE)))</f>
        <v>76335.875</v>
      </c>
      <c r="M120" s="143"/>
      <c r="N120" s="143" t="str">
        <f ca="1">IF(IF(OR(F120="2019-2020",F120="2021-2025"),"",IF(ISNUMBER(SEARCH("LLC",D120)),VLOOKUP(A120,IntComp24[],20,FALSE),VLOOKUP(A120,IntComp[],20,FALSE)))=0,"",IF(OR(F120="2019-2020",F120="2021-2025"),"",IF(ISNUMBER(SEARCH("LLC",D120)),VLOOKUP(A120,IntComp24[],20,FALSE),VLOOKUP(A120,IntComp[],20,FALSE))))</f>
        <v/>
      </c>
      <c r="O120" s="152" t="str">
        <f ca="1">IF(IF(OR(F120="2019-2020",F120="2021-2025"),"",IF(ISNUMBER(SEARCH("LLC",D120)),VLOOKUP(A120,IntComp24[],23,FALSE),VLOOKUP(A120,IntComp[],23,FALSE)))=0,"",IF(OR(F120="2019-2020",F120="2021-2025"),"",IF(ISNUMBER(SEARCH("LLC",D120)),VLOOKUP(A120,IntComp24[],23,FALSE),VLOOKUP(A120,IntComp[],23,FALSE))))</f>
        <v/>
      </c>
    </row>
    <row r="121" spans="1:15">
      <c r="A121" s="147" t="s">
        <v>190</v>
      </c>
      <c r="B121" s="144" t="str">
        <f>VLOOKUP(A121,Data[],2,FALSE)</f>
        <v>BROOKLYN</v>
      </c>
      <c r="C121" s="144" t="s">
        <v>106</v>
      </c>
      <c r="D121" s="9" t="str">
        <f>VLOOKUP(A121,Data[],52,FALSE)</f>
        <v>FEDERAL</v>
      </c>
      <c r="E121" s="9">
        <f>VLOOKUP(IntAll[[#This Row],[DEVELOPMENT]],Data[],62,FALSE)</f>
        <v>1</v>
      </c>
      <c r="F121" s="9" t="str">
        <f ca="1">VLOOKUP(A121,Data[],4,FALSE)</f>
        <v>2026+</v>
      </c>
      <c r="G121" s="9">
        <f>VLOOKUP(IntAll[[#This Row],[DEVELOPMENT]],EHDAll[[DEVELOPMENT]:['# Units]],6,FALSE)</f>
        <v>13</v>
      </c>
      <c r="H121" s="143" t="str">
        <f ca="1">IF(IntAll[[#This Row],[STATUS]]="","",IF(OR(F121="2019-2020",F121="2021-2025"),"",IF(ISNUMBER(SEARCH("LLC",D121)),VLOOKUP(A121,IntComp24[],21,FALSE),VLOOKUP(A121,IntComp[],21,FALSE))))</f>
        <v/>
      </c>
      <c r="I121" s="143" t="str">
        <f ca="1">IF(IntAll[[#This Row],[STATUS]]="","",IF(IF(OR(F121="2019-2020",F121="2021-2025"),"",IF(ISNUMBER(SEARCH("LLC",D121)),VLOOKUP(A121,IntComp24[],16,FALSE),VLOOKUP(A121,IntComp[],16,FALSE)))=0,"",IF(OR(F121="2019-2020",F121="2021-2025"),"",IF(ISNUMBER(SEARCH("LLC",D121)),VLOOKUP(A121,IntComp24[],16,FALSE),VLOOKUP(A121,IntComp[],16,FALSE)))))</f>
        <v/>
      </c>
      <c r="J121" s="143" t="str">
        <f ca="1">IF(IF(OR(F121="2019-2020",F121="2021-2025"),"",IF(ISNUMBER(SEARCH("LLC",D121)),VLOOKUP(A121,IntComp24[],17,FALSE),VLOOKUP(A121,IntComp[],17,FALSE)))=0,"",IF(OR(F121="2019-2020",F121="2021-2025"),"",IF(ISNUMBER(SEARCH("LLC",D121)),VLOOKUP(A121,IntComp24[],17,FALSE),VLOOKUP(A121,IntComp[],17,FALSE))))</f>
        <v/>
      </c>
      <c r="K121" s="151"/>
      <c r="L121" s="151">
        <f ca="1">IF(OR(F121="2019-2020",F121="2021-2025"),"",IF(ISNUMBER(SEARCH("LLC",D121)),VLOOKUP(A121,IntComp24[],18,FALSE),VLOOKUP(A121,IntComp[],18,FALSE)))</f>
        <v>963661.5625</v>
      </c>
      <c r="M121" s="143"/>
      <c r="N121" s="143" t="str">
        <f ca="1">IF(IF(OR(F121="2019-2020",F121="2021-2025"),"",IF(ISNUMBER(SEARCH("LLC",D121)),VLOOKUP(A121,IntComp24[],20,FALSE),VLOOKUP(A121,IntComp[],20,FALSE)))=0,"",IF(OR(F121="2019-2020",F121="2021-2025"),"",IF(ISNUMBER(SEARCH("LLC",D121)),VLOOKUP(A121,IntComp24[],20,FALSE),VLOOKUP(A121,IntComp[],20,FALSE))))</f>
        <v/>
      </c>
      <c r="O121" s="152" t="str">
        <f ca="1">IF(IF(OR(F121="2019-2020",F121="2021-2025"),"",IF(ISNUMBER(SEARCH("LLC",D121)),VLOOKUP(A121,IntComp24[],23,FALSE),VLOOKUP(A121,IntComp[],23,FALSE)))=0,"",IF(OR(F121="2019-2020",F121="2021-2025"),"",IF(ISNUMBER(SEARCH("LLC",D121)),VLOOKUP(A121,IntComp24[],23,FALSE),VLOOKUP(A121,IntComp[],23,FALSE))))</f>
        <v/>
      </c>
    </row>
    <row r="122" spans="1:15">
      <c r="A122" s="147" t="s">
        <v>74</v>
      </c>
      <c r="B122" s="144" t="str">
        <f>VLOOKUP(A122,Data[],2,FALSE)</f>
        <v>MANHATTAN</v>
      </c>
      <c r="C122" s="144" t="s">
        <v>106</v>
      </c>
      <c r="D122" s="9" t="str">
        <f>VLOOKUP(A122,Data[],52,FALSE)</f>
        <v>FEDERAL</v>
      </c>
      <c r="E122" s="9">
        <f>VLOOKUP(IntAll[[#This Row],[DEVELOPMENT]],Data[],62,FALSE)</f>
        <v>11</v>
      </c>
      <c r="F122" s="9" t="str">
        <f ca="1">VLOOKUP(A122,Data[],4,FALSE)</f>
        <v>2026+</v>
      </c>
      <c r="G122" s="9">
        <f>VLOOKUP(IntAll[[#This Row],[DEVELOPMENT]],EHDAll[[DEVELOPMENT]:['# Units]],6,FALSE)</f>
        <v>1</v>
      </c>
      <c r="H122" s="143" t="str">
        <f ca="1">IF(IntAll[[#This Row],[STATUS]]="","",IF(OR(F122="2019-2020",F122="2021-2025"),"",IF(ISNUMBER(SEARCH("LLC",D122)),VLOOKUP(A122,IntComp24[],21,FALSE),VLOOKUP(A122,IntComp[],21,FALSE))))</f>
        <v/>
      </c>
      <c r="I122" s="143" t="str">
        <f ca="1">IF(IntAll[[#This Row],[STATUS]]="","",IF(IF(OR(F122="2019-2020",F122="2021-2025"),"",IF(ISNUMBER(SEARCH("LLC",D122)),VLOOKUP(A122,IntComp24[],16,FALSE),VLOOKUP(A122,IntComp[],16,FALSE)))=0,"",IF(OR(F122="2019-2020",F122="2021-2025"),"",IF(ISNUMBER(SEARCH("LLC",D122)),VLOOKUP(A122,IntComp24[],16,FALSE),VLOOKUP(A122,IntComp[],16,FALSE)))))</f>
        <v/>
      </c>
      <c r="J122" s="143" t="str">
        <f ca="1">IF(IF(OR(F122="2019-2020",F122="2021-2025"),"",IF(ISNUMBER(SEARCH("LLC",D122)),VLOOKUP(A122,IntComp24[],17,FALSE),VLOOKUP(A122,IntComp[],17,FALSE)))=0,"",IF(OR(F122="2019-2020",F122="2021-2025"),"",IF(ISNUMBER(SEARCH("LLC",D122)),VLOOKUP(A122,IntComp24[],17,FALSE),VLOOKUP(A122,IntComp[],17,FALSE))))</f>
        <v/>
      </c>
      <c r="K122" s="151"/>
      <c r="L122" s="151">
        <f ca="1">IF(OR(F122="2019-2020",F122="2021-2025"),"",IF(ISNUMBER(SEARCH("LLC",D122)),VLOOKUP(A122,IntComp24[],18,FALSE),VLOOKUP(A122,IntComp[],18,FALSE)))</f>
        <v>69711.6875</v>
      </c>
      <c r="M122" s="143"/>
      <c r="N122" s="143" t="str">
        <f ca="1">IF(IF(OR(F122="2019-2020",F122="2021-2025"),"",IF(ISNUMBER(SEARCH("LLC",D122)),VLOOKUP(A122,IntComp24[],20,FALSE),VLOOKUP(A122,IntComp[],20,FALSE)))=0,"",IF(OR(F122="2019-2020",F122="2021-2025"),"",IF(ISNUMBER(SEARCH("LLC",D122)),VLOOKUP(A122,IntComp24[],20,FALSE),VLOOKUP(A122,IntComp[],20,FALSE))))</f>
        <v/>
      </c>
      <c r="O122" s="152" t="str">
        <f ca="1">IF(IF(OR(F122="2019-2020",F122="2021-2025"),"",IF(ISNUMBER(SEARCH("LLC",D122)),VLOOKUP(A122,IntComp24[],23,FALSE),VLOOKUP(A122,IntComp[],23,FALSE)))=0,"",IF(OR(F122="2019-2020",F122="2021-2025"),"",IF(ISNUMBER(SEARCH("LLC",D122)),VLOOKUP(A122,IntComp24[],23,FALSE),VLOOKUP(A122,IntComp[],23,FALSE))))</f>
        <v/>
      </c>
    </row>
    <row r="123" spans="1:15">
      <c r="A123" s="147" t="s">
        <v>314</v>
      </c>
      <c r="B123" s="144" t="str">
        <f>VLOOKUP(A123,Data[],2,FALSE)</f>
        <v>BROOKLYN</v>
      </c>
      <c r="C123" s="144" t="s">
        <v>106</v>
      </c>
      <c r="D123" s="9" t="str">
        <f>VLOOKUP(A123,Data[],52,FALSE)</f>
        <v>FEDERAL</v>
      </c>
      <c r="E123" s="9">
        <f>VLOOKUP(IntAll[[#This Row],[DEVELOPMENT]],Data[],62,FALSE)</f>
        <v>8</v>
      </c>
      <c r="F123" s="9" t="str">
        <f ca="1">VLOOKUP(A123,Data[],4,FALSE)</f>
        <v>2022-2025</v>
      </c>
      <c r="G123" s="9">
        <f>VLOOKUP(IntAll[[#This Row],[DEVELOPMENT]],EHDAll[[DEVELOPMENT]:['# Units]],6,FALSE)</f>
        <v>8</v>
      </c>
      <c r="H123" s="143" t="str">
        <f ca="1">IF(IntAll[[#This Row],[STATUS]]="","",IF(OR(F123="2019-2020",F123="2021-2025"),"",IF(ISNUMBER(SEARCH("LLC",D123)),VLOOKUP(A123,IntComp24[],21,FALSE),VLOOKUP(A123,IntComp[],21,FALSE))))</f>
        <v/>
      </c>
      <c r="I123" s="143" t="str">
        <f ca="1">IF(IntAll[[#This Row],[STATUS]]="","",IF(IF(OR(F123="2019-2020",F123="2021-2025"),"",IF(ISNUMBER(SEARCH("LLC",D123)),VLOOKUP(A123,IntComp24[],16,FALSE),VLOOKUP(A123,IntComp[],16,FALSE)))=0,"",IF(OR(F123="2019-2020",F123="2021-2025"),"",IF(ISNUMBER(SEARCH("LLC",D123)),VLOOKUP(A123,IntComp24[],16,FALSE),VLOOKUP(A123,IntComp[],16,FALSE)))))</f>
        <v/>
      </c>
      <c r="J123" s="143" t="str">
        <f ca="1">IF(IF(OR(F123="2019-2020",F123="2021-2025"),"",IF(ISNUMBER(SEARCH("LLC",D123)),VLOOKUP(A123,IntComp24[],17,FALSE),VLOOKUP(A123,IntComp[],17,FALSE)))=0,"",IF(OR(F123="2019-2020",F123="2021-2025"),"",IF(ISNUMBER(SEARCH("LLC",D123)),VLOOKUP(A123,IntComp24[],17,FALSE),VLOOKUP(A123,IntComp[],17,FALSE))))</f>
        <v/>
      </c>
      <c r="K123" s="151"/>
      <c r="L123" s="151">
        <f ca="1">IF(OR(F123="2019-2020",F123="2021-2025"),"",IF(ISNUMBER(SEARCH("LLC",D123)),VLOOKUP(A123,IntComp24[],18,FALSE),VLOOKUP(A123,IntComp[],18,FALSE)))</f>
        <v>0</v>
      </c>
      <c r="M123" s="143"/>
      <c r="N123" s="143" t="str">
        <f ca="1">IF(IF(OR(F123="2019-2020",F123="2021-2025"),"",IF(ISNUMBER(SEARCH("LLC",D123)),VLOOKUP(A123,IntComp24[],20,FALSE),VLOOKUP(A123,IntComp[],20,FALSE)))=0,"",IF(OR(F123="2019-2020",F123="2021-2025"),"",IF(ISNUMBER(SEARCH("LLC",D123)),VLOOKUP(A123,IntComp24[],20,FALSE),VLOOKUP(A123,IntComp[],20,FALSE))))</f>
        <v/>
      </c>
      <c r="O123" s="152" t="str">
        <f ca="1">IF(IF(OR(F123="2019-2020",F123="2021-2025"),"",IF(ISNUMBER(SEARCH("LLC",D123)),VLOOKUP(A123,IntComp24[],23,FALSE),VLOOKUP(A123,IntComp[],23,FALSE)))=0,"",IF(OR(F123="2019-2020",F123="2021-2025"),"",IF(ISNUMBER(SEARCH("LLC",D123)),VLOOKUP(A123,IntComp24[],23,FALSE),VLOOKUP(A123,IntComp[],23,FALSE))))</f>
        <v/>
      </c>
    </row>
    <row r="124" spans="1:15">
      <c r="A124" s="147" t="s">
        <v>315</v>
      </c>
      <c r="B124" s="144" t="str">
        <f>VLOOKUP(A124,Data[],2,FALSE)</f>
        <v>BROOKLYN</v>
      </c>
      <c r="C124" s="144" t="s">
        <v>106</v>
      </c>
      <c r="D124" s="9" t="str">
        <f>VLOOKUP(A124,Data[],52,FALSE)</f>
        <v>FEDERAL</v>
      </c>
      <c r="E124" s="9">
        <f>VLOOKUP(IntAll[[#This Row],[DEVELOPMENT]],Data[],62,FALSE)</f>
        <v>5</v>
      </c>
      <c r="F124" s="9" t="str">
        <f ca="1">VLOOKUP(A124,Data[],4,FALSE)</f>
        <v>2022-2025</v>
      </c>
      <c r="G124" s="9">
        <f>VLOOKUP(IntAll[[#This Row],[DEVELOPMENT]],EHDAll[[DEVELOPMENT]:['# Units]],6,FALSE)</f>
        <v>30</v>
      </c>
      <c r="H124" s="143" t="str">
        <f ca="1">IF(IntAll[[#This Row],[STATUS]]="","",IF(OR(F124="2019-2020",F124="2021-2025"),"",IF(ISNUMBER(SEARCH("LLC",D124)),VLOOKUP(A124,IntComp24[],21,FALSE),VLOOKUP(A124,IntComp[],21,FALSE))))</f>
        <v/>
      </c>
      <c r="I124" s="143" t="str">
        <f ca="1">IF(IntAll[[#This Row],[STATUS]]="","",IF(IF(OR(F124="2019-2020",F124="2021-2025"),"",IF(ISNUMBER(SEARCH("LLC",D124)),VLOOKUP(A124,IntComp24[],16,FALSE),VLOOKUP(A124,IntComp[],16,FALSE)))=0,"",IF(OR(F124="2019-2020",F124="2021-2025"),"",IF(ISNUMBER(SEARCH("LLC",D124)),VLOOKUP(A124,IntComp24[],16,FALSE),VLOOKUP(A124,IntComp[],16,FALSE)))))</f>
        <v/>
      </c>
      <c r="J124" s="143" t="str">
        <f ca="1">IF(IF(OR(F124="2019-2020",F124="2021-2025"),"",IF(ISNUMBER(SEARCH("LLC",D124)),VLOOKUP(A124,IntComp24[],17,FALSE),VLOOKUP(A124,IntComp[],17,FALSE)))=0,"",IF(OR(F124="2019-2020",F124="2021-2025"),"",IF(ISNUMBER(SEARCH("LLC",D124)),VLOOKUP(A124,IntComp24[],17,FALSE),VLOOKUP(A124,IntComp[],17,FALSE))))</f>
        <v/>
      </c>
      <c r="K124" s="151"/>
      <c r="L124" s="151">
        <f ca="1">IF(OR(F124="2019-2020",F124="2021-2025"),"",IF(ISNUMBER(SEARCH("LLC",D124)),VLOOKUP(A124,IntComp24[],18,FALSE),VLOOKUP(A124,IntComp[],18,FALSE)))</f>
        <v>0</v>
      </c>
      <c r="M124" s="143"/>
      <c r="N124" s="143" t="str">
        <f ca="1">IF(IF(OR(F124="2019-2020",F124="2021-2025"),"",IF(ISNUMBER(SEARCH("LLC",D124)),VLOOKUP(A124,IntComp24[],20,FALSE),VLOOKUP(A124,IntComp[],20,FALSE)))=0,"",IF(OR(F124="2019-2020",F124="2021-2025"),"",IF(ISNUMBER(SEARCH("LLC",D124)),VLOOKUP(A124,IntComp24[],20,FALSE),VLOOKUP(A124,IntComp[],20,FALSE))))</f>
        <v/>
      </c>
      <c r="O124" s="152" t="str">
        <f ca="1">IF(IF(OR(F124="2019-2020",F124="2021-2025"),"",IF(ISNUMBER(SEARCH("LLC",D124)),VLOOKUP(A124,IntComp24[],23,FALSE),VLOOKUP(A124,IntComp[],23,FALSE)))=0,"",IF(OR(F124="2019-2020",F124="2021-2025"),"",IF(ISNUMBER(SEARCH("LLC",D124)),VLOOKUP(A124,IntComp24[],23,FALSE),VLOOKUP(A124,IntComp[],23,FALSE))))</f>
        <v/>
      </c>
    </row>
    <row r="125" spans="1:15">
      <c r="A125" s="147" t="s">
        <v>263</v>
      </c>
      <c r="B125" s="144" t="str">
        <f>VLOOKUP(A125,Data[],2,FALSE)</f>
        <v>MANHATTAN</v>
      </c>
      <c r="C125" s="144" t="s">
        <v>106</v>
      </c>
      <c r="D125" s="9" t="str">
        <f>VLOOKUP(A125,Data[],52,FALSE)</f>
        <v>FEDERAL</v>
      </c>
      <c r="E125" s="9">
        <f>VLOOKUP(IntAll[[#This Row],[DEVELOPMENT]],Data[],62,FALSE)</f>
        <v>7</v>
      </c>
      <c r="F125" s="9" t="str">
        <f ca="1">VLOOKUP(A125,Data[],4,FALSE)</f>
        <v/>
      </c>
      <c r="G125" s="9">
        <f>VLOOKUP(IntAll[[#This Row],[DEVELOPMENT]],EHDAll[[DEVELOPMENT]:['# Units]],6,FALSE)</f>
        <v>1</v>
      </c>
      <c r="H125" s="143" t="str">
        <f ca="1">IF(IntAll[[#This Row],[STATUS]]="","",IF(OR(F125="2019-2020",F125="2021-2025"),"",IF(ISNUMBER(SEARCH("LLC",D125)),VLOOKUP(A125,IntComp24[],21,FALSE),VLOOKUP(A125,IntComp[],21,FALSE))))</f>
        <v/>
      </c>
      <c r="I125" s="143" t="str">
        <f ca="1">IF(IntAll[[#This Row],[STATUS]]="","",IF(IF(OR(F125="2019-2020",F125="2021-2025"),"",IF(ISNUMBER(SEARCH("LLC",D125)),VLOOKUP(A125,IntComp24[],16,FALSE),VLOOKUP(A125,IntComp[],16,FALSE)))=0,"",IF(OR(F125="2019-2020",F125="2021-2025"),"",IF(ISNUMBER(SEARCH("LLC",D125)),VLOOKUP(A125,IntComp24[],16,FALSE),VLOOKUP(A125,IntComp[],16,FALSE)))))</f>
        <v/>
      </c>
      <c r="J125" s="143" t="str">
        <f ca="1">IF(IF(OR(F125="2019-2020",F125="2021-2025"),"",IF(ISNUMBER(SEARCH("LLC",D125)),VLOOKUP(A125,IntComp24[],17,FALSE),VLOOKUP(A125,IntComp[],17,FALSE)))=0,"",IF(OR(F125="2019-2020",F125="2021-2025"),"",IF(ISNUMBER(SEARCH("LLC",D125)),VLOOKUP(A125,IntComp24[],17,FALSE),VLOOKUP(A125,IntComp[],17,FALSE))))</f>
        <v/>
      </c>
      <c r="K125" s="151"/>
      <c r="L125" s="151">
        <f ca="1">IF(OR(F125="2019-2020",F125="2021-2025"),"",IF(ISNUMBER(SEARCH("LLC",D125)),VLOOKUP(A125,IntComp24[],18,FALSE),VLOOKUP(A125,IntComp[],18,FALSE)))</f>
        <v>65295.562499999993</v>
      </c>
      <c r="M125" s="143"/>
      <c r="N125" s="143" t="str">
        <f ca="1">IF(IF(OR(F125="2019-2020",F125="2021-2025"),"",IF(ISNUMBER(SEARCH("LLC",D125)),VLOOKUP(A125,IntComp24[],20,FALSE),VLOOKUP(A125,IntComp[],20,FALSE)))=0,"",IF(OR(F125="2019-2020",F125="2021-2025"),"",IF(ISNUMBER(SEARCH("LLC",D125)),VLOOKUP(A125,IntComp24[],20,FALSE),VLOOKUP(A125,IntComp[],20,FALSE))))</f>
        <v/>
      </c>
      <c r="O125" s="152" t="str">
        <f ca="1">IF(IF(OR(F125="2019-2020",F125="2021-2025"),"",IF(ISNUMBER(SEARCH("LLC",D125)),VLOOKUP(A125,IntComp24[],23,FALSE),VLOOKUP(A125,IntComp[],23,FALSE)))=0,"",IF(OR(F125="2019-2020",F125="2021-2025"),"",IF(ISNUMBER(SEARCH("LLC",D125)),VLOOKUP(A125,IntComp24[],23,FALSE),VLOOKUP(A125,IntComp[],23,FALSE))))</f>
        <v/>
      </c>
    </row>
    <row r="126" spans="1:15">
      <c r="A126" s="147" t="s">
        <v>130</v>
      </c>
      <c r="B126" s="144" t="str">
        <f>VLOOKUP(A126,Data[],2,FALSE)</f>
        <v>MANHATTAN</v>
      </c>
      <c r="C126" s="144" t="s">
        <v>106</v>
      </c>
      <c r="D126" s="9" t="str">
        <f>VLOOKUP(A126,Data[],52,FALSE)</f>
        <v>FEDERAL</v>
      </c>
      <c r="E126" s="9">
        <f>VLOOKUP(IntAll[[#This Row],[DEVELOPMENT]],Data[],62,FALSE)</f>
        <v>7</v>
      </c>
      <c r="F126" s="9" t="str">
        <f ca="1">VLOOKUP(A126,Data[],4,FALSE)</f>
        <v/>
      </c>
      <c r="G126" s="9">
        <f>VLOOKUP(IntAll[[#This Row],[DEVELOPMENT]],EHDAll[[DEVELOPMENT]:['# Units]],6,FALSE)</f>
        <v>0</v>
      </c>
      <c r="H126" s="143" t="str">
        <f ca="1">IF(IntAll[[#This Row],[STATUS]]="","",IF(OR(F126="2019-2020",F126="2021-2025"),"",IF(ISNUMBER(SEARCH("LLC",D126)),VLOOKUP(A126,IntComp24[],21,FALSE),VLOOKUP(A126,IntComp[],21,FALSE))))</f>
        <v/>
      </c>
      <c r="I126" s="143" t="str">
        <f ca="1">IF(IntAll[[#This Row],[STATUS]]="","",IF(IF(OR(F126="2019-2020",F126="2021-2025"),"",IF(ISNUMBER(SEARCH("LLC",D126)),VLOOKUP(A126,IntComp24[],16,FALSE),VLOOKUP(A126,IntComp[],16,FALSE)))=0,"",IF(OR(F126="2019-2020",F126="2021-2025"),"",IF(ISNUMBER(SEARCH("LLC",D126)),VLOOKUP(A126,IntComp24[],16,FALSE),VLOOKUP(A126,IntComp[],16,FALSE)))))</f>
        <v/>
      </c>
      <c r="J126" s="143" t="str">
        <f ca="1">IF(IF(OR(F126="2019-2020",F126="2021-2025"),"",IF(ISNUMBER(SEARCH("LLC",D126)),VLOOKUP(A126,IntComp24[],17,FALSE),VLOOKUP(A126,IntComp[],17,FALSE)))=0,"",IF(OR(F126="2019-2020",F126="2021-2025"),"",IF(ISNUMBER(SEARCH("LLC",D126)),VLOOKUP(A126,IntComp24[],17,FALSE),VLOOKUP(A126,IntComp[],17,FALSE))))</f>
        <v/>
      </c>
      <c r="K126" s="151"/>
      <c r="L126" s="151">
        <f ca="1">IF(OR(F126="2019-2020",F126="2021-2025"),"",IF(ISNUMBER(SEARCH("LLC",D126)),VLOOKUP(A126,IntComp24[],18,FALSE),VLOOKUP(A126,IntComp[],18,FALSE)))</f>
        <v>766828.5625</v>
      </c>
      <c r="M126" s="143"/>
      <c r="N126" s="143" t="str">
        <f ca="1">IF(IF(OR(F126="2019-2020",F126="2021-2025"),"",IF(ISNUMBER(SEARCH("LLC",D126)),VLOOKUP(A126,IntComp24[],20,FALSE),VLOOKUP(A126,IntComp[],20,FALSE)))=0,"",IF(OR(F126="2019-2020",F126="2021-2025"),"",IF(ISNUMBER(SEARCH("LLC",D126)),VLOOKUP(A126,IntComp24[],20,FALSE),VLOOKUP(A126,IntComp[],20,FALSE))))</f>
        <v/>
      </c>
      <c r="O126" s="152" t="str">
        <f ca="1">IF(IF(OR(F126="2019-2020",F126="2021-2025"),"",IF(ISNUMBER(SEARCH("LLC",D126)),VLOOKUP(A126,IntComp24[],23,FALSE),VLOOKUP(A126,IntComp[],23,FALSE)))=0,"",IF(OR(F126="2019-2020",F126="2021-2025"),"",IF(ISNUMBER(SEARCH("LLC",D126)),VLOOKUP(A126,IntComp24[],23,FALSE),VLOOKUP(A126,IntComp[],23,FALSE))))</f>
        <v/>
      </c>
    </row>
    <row r="127" spans="1:15">
      <c r="A127" s="147" t="s">
        <v>76</v>
      </c>
      <c r="B127" s="144" t="str">
        <f>VLOOKUP(A127,Data[],2,FALSE)</f>
        <v>MANHATTAN</v>
      </c>
      <c r="C127" s="144" t="s">
        <v>106</v>
      </c>
      <c r="D127" s="9" t="str">
        <f>VLOOKUP(A127,Data[],52,FALSE)</f>
        <v>FEDERAL</v>
      </c>
      <c r="E127" s="9">
        <f>VLOOKUP(IntAll[[#This Row],[DEVELOPMENT]],Data[],62,FALSE)</f>
        <v>7</v>
      </c>
      <c r="F127" s="9" t="str">
        <f ca="1">VLOOKUP(A127,Data[],4,FALSE)</f>
        <v/>
      </c>
      <c r="G127" s="9">
        <f>VLOOKUP(IntAll[[#This Row],[DEVELOPMENT]],EHDAll[[DEVELOPMENT]:['# Units]],6,FALSE)</f>
        <v>0</v>
      </c>
      <c r="H127" s="143" t="str">
        <f ca="1">IF(IntAll[[#This Row],[STATUS]]="","",IF(OR(F127="2019-2020",F127="2021-2025"),"",IF(ISNUMBER(SEARCH("LLC",D127)),VLOOKUP(A127,IntComp24[],21,FALSE),VLOOKUP(A127,IntComp[],21,FALSE))))</f>
        <v/>
      </c>
      <c r="I127" s="143" t="str">
        <f ca="1">IF(IntAll[[#This Row],[STATUS]]="","",IF(IF(OR(F127="2019-2020",F127="2021-2025"),"",IF(ISNUMBER(SEARCH("LLC",D127)),VLOOKUP(A127,IntComp24[],16,FALSE),VLOOKUP(A127,IntComp[],16,FALSE)))=0,"",IF(OR(F127="2019-2020",F127="2021-2025"),"",IF(ISNUMBER(SEARCH("LLC",D127)),VLOOKUP(A127,IntComp24[],16,FALSE),VLOOKUP(A127,IntComp[],16,FALSE)))))</f>
        <v/>
      </c>
      <c r="J127" s="143" t="str">
        <f ca="1">IF(IF(OR(F127="2019-2020",F127="2021-2025"),"",IF(ISNUMBER(SEARCH("LLC",D127)),VLOOKUP(A127,IntComp24[],17,FALSE),VLOOKUP(A127,IntComp[],17,FALSE)))=0,"",IF(OR(F127="2019-2020",F127="2021-2025"),"",IF(ISNUMBER(SEARCH("LLC",D127)),VLOOKUP(A127,IntComp24[],17,FALSE),VLOOKUP(A127,IntComp[],17,FALSE))))</f>
        <v/>
      </c>
      <c r="K127" s="151"/>
      <c r="L127" s="151">
        <f ca="1">IF(OR(F127="2019-2020",F127="2021-2025"),"",IF(ISNUMBER(SEARCH("LLC",D127)),VLOOKUP(A127,IntComp24[],18,FALSE),VLOOKUP(A127,IntComp[],18,FALSE)))</f>
        <v>418270.125</v>
      </c>
      <c r="M127" s="143"/>
      <c r="N127" s="143" t="str">
        <f ca="1">IF(IF(OR(F127="2019-2020",F127="2021-2025"),"",IF(ISNUMBER(SEARCH("LLC",D127)),VLOOKUP(A127,IntComp24[],20,FALSE),VLOOKUP(A127,IntComp[],20,FALSE)))=0,"",IF(OR(F127="2019-2020",F127="2021-2025"),"",IF(ISNUMBER(SEARCH("LLC",D127)),VLOOKUP(A127,IntComp24[],20,FALSE),VLOOKUP(A127,IntComp[],20,FALSE))))</f>
        <v/>
      </c>
      <c r="O127" s="152" t="str">
        <f ca="1">IF(IF(OR(F127="2019-2020",F127="2021-2025"),"",IF(ISNUMBER(SEARCH("LLC",D127)),VLOOKUP(A127,IntComp24[],23,FALSE),VLOOKUP(A127,IntComp[],23,FALSE)))=0,"",IF(OR(F127="2019-2020",F127="2021-2025"),"",IF(ISNUMBER(SEARCH("LLC",D127)),VLOOKUP(A127,IntComp24[],23,FALSE),VLOOKUP(A127,IntComp[],23,FALSE))))</f>
        <v/>
      </c>
    </row>
    <row r="128" spans="1:15">
      <c r="A128" s="147" t="s">
        <v>77</v>
      </c>
      <c r="B128" s="144" t="str">
        <f>VLOOKUP(A128,Data[],2,FALSE)</f>
        <v>MANHATTAN</v>
      </c>
      <c r="C128" s="144" t="s">
        <v>106</v>
      </c>
      <c r="D128" s="9" t="str">
        <f>VLOOKUP(A128,Data[],52,FALSE)</f>
        <v>MIXED FINANCE/LLC1</v>
      </c>
      <c r="E128" s="9">
        <f>VLOOKUP(IntAll[[#This Row],[DEVELOPMENT]],Data[],62,FALSE)</f>
        <v>10</v>
      </c>
      <c r="F128" s="9" t="str">
        <f ca="1">VLOOKUP(A128,Data[],4,FALSE)</f>
        <v/>
      </c>
      <c r="G128" s="9">
        <f>VLOOKUP(IntAll[[#This Row],[DEVELOPMENT]],EHDAll[[DEVELOPMENT]:['# Units]],6,FALSE)</f>
        <v>5</v>
      </c>
      <c r="H128" s="143" t="str">
        <f ca="1">IF(IntAll[[#This Row],[STATUS]]="","",IF(OR(F128="2019-2020",F128="2021-2025"),"",IF(ISNUMBER(SEARCH("LLC",D128)),VLOOKUP(A128,IntComp24[],21,FALSE),VLOOKUP(A128,IntComp[],21,FALSE))))</f>
        <v/>
      </c>
      <c r="I128" s="143" t="str">
        <f ca="1">IF(IntAll[[#This Row],[STATUS]]="","",IF(IF(OR(F128="2019-2020",F128="2021-2025"),"",IF(ISNUMBER(SEARCH("LLC",D128)),VLOOKUP(A128,IntComp24[],16,FALSE),VLOOKUP(A128,IntComp[],16,FALSE)))=0,"",IF(OR(F128="2019-2020",F128="2021-2025"),"",IF(ISNUMBER(SEARCH("LLC",D128)),VLOOKUP(A128,IntComp24[],16,FALSE),VLOOKUP(A128,IntComp[],16,FALSE)))))</f>
        <v/>
      </c>
      <c r="J128" s="143" t="str">
        <f ca="1">IF(IF(OR(F128="2019-2020",F128="2021-2025"),"",IF(ISNUMBER(SEARCH("LLC",D128)),VLOOKUP(A128,IntComp24[],17,FALSE),VLOOKUP(A128,IntComp[],17,FALSE)))=0,"",IF(OR(F128="2019-2020",F128="2021-2025"),"",IF(ISNUMBER(SEARCH("LLC",D128)),VLOOKUP(A128,IntComp24[],17,FALSE),VLOOKUP(A128,IntComp[],17,FALSE))))</f>
        <v/>
      </c>
      <c r="K128" s="151"/>
      <c r="L128" s="151">
        <f ca="1">IF(OR(F128="2019-2020",F128="2021-2025"),"",IF(ISNUMBER(SEARCH("LLC",D128)),VLOOKUP(A128,IntComp24[],18,FALSE),VLOOKUP(A128,IntComp[],18,FALSE)))</f>
        <v>359598.75000000006</v>
      </c>
      <c r="M128" s="143"/>
      <c r="N128" s="143" t="str">
        <f ca="1">IF(IF(OR(F128="2019-2020",F128="2021-2025"),"",IF(ISNUMBER(SEARCH("LLC",D128)),VLOOKUP(A128,IntComp24[],20,FALSE),VLOOKUP(A128,IntComp[],20,FALSE)))=0,"",IF(OR(F128="2019-2020",F128="2021-2025"),"",IF(ISNUMBER(SEARCH("LLC",D128)),VLOOKUP(A128,IntComp24[],20,FALSE),VLOOKUP(A128,IntComp[],20,FALSE))))</f>
        <v/>
      </c>
      <c r="O128" s="152" t="str">
        <f ca="1">IF(IF(OR(F128="2019-2020",F128="2021-2025"),"",IF(ISNUMBER(SEARCH("LLC",D128)),VLOOKUP(A128,IntComp24[],23,FALSE),VLOOKUP(A128,IntComp[],23,FALSE)))=0,"",IF(OR(F128="2019-2020",F128="2021-2025"),"",IF(ISNUMBER(SEARCH("LLC",D128)),VLOOKUP(A128,IntComp24[],23,FALSE),VLOOKUP(A128,IntComp[],23,FALSE))))</f>
        <v/>
      </c>
    </row>
    <row r="129" spans="1:15">
      <c r="A129" s="147" t="s">
        <v>279</v>
      </c>
      <c r="B129" s="144" t="str">
        <f>VLOOKUP(A129,Data[],2,FALSE)</f>
        <v>MANHATTAN</v>
      </c>
      <c r="C129" s="144" t="s">
        <v>106</v>
      </c>
      <c r="D129" s="9" t="str">
        <f>VLOOKUP(A129,Data[],52,FALSE)</f>
        <v>FEDERAL</v>
      </c>
      <c r="E129" s="9">
        <f>VLOOKUP(IntAll[[#This Row],[DEVELOPMENT]],Data[],62,FALSE)</f>
        <v>12</v>
      </c>
      <c r="F129" s="9" t="str">
        <f ca="1">VLOOKUP(A129,Data[],4,FALSE)</f>
        <v/>
      </c>
      <c r="G129" s="9">
        <f>VLOOKUP(IntAll[[#This Row],[DEVELOPMENT]],EHDAll[[DEVELOPMENT]:['# Units]],6,FALSE)</f>
        <v>7</v>
      </c>
      <c r="H129" s="143" t="str">
        <f ca="1">IF(IntAll[[#This Row],[STATUS]]="","",IF(OR(F129="2019-2020",F129="2021-2025"),"",IF(ISNUMBER(SEARCH("LLC",D129)),VLOOKUP(A129,IntComp24[],21,FALSE),VLOOKUP(A129,IntComp[],21,FALSE))))</f>
        <v/>
      </c>
      <c r="I129" s="143" t="str">
        <f ca="1">IF(IntAll[[#This Row],[STATUS]]="","",IF(IF(OR(F129="2019-2020",F129="2021-2025"),"",IF(ISNUMBER(SEARCH("LLC",D129)),VLOOKUP(A129,IntComp24[],16,FALSE),VLOOKUP(A129,IntComp[],16,FALSE)))=0,"",IF(OR(F129="2019-2020",F129="2021-2025"),"",IF(ISNUMBER(SEARCH("LLC",D129)),VLOOKUP(A129,IntComp24[],16,FALSE),VLOOKUP(A129,IntComp[],16,FALSE)))))</f>
        <v/>
      </c>
      <c r="J129" s="143" t="str">
        <f ca="1">IF(IF(OR(F129="2019-2020",F129="2021-2025"),"",IF(ISNUMBER(SEARCH("LLC",D129)),VLOOKUP(A129,IntComp24[],17,FALSE),VLOOKUP(A129,IntComp[],17,FALSE)))=0,"",IF(OR(F129="2019-2020",F129="2021-2025"),"",IF(ISNUMBER(SEARCH("LLC",D129)),VLOOKUP(A129,IntComp24[],17,FALSE),VLOOKUP(A129,IntComp[],17,FALSE))))</f>
        <v/>
      </c>
      <c r="K129" s="151"/>
      <c r="L129" s="151">
        <f ca="1">IF(OR(F129="2019-2020",F129="2021-2025"),"",IF(ISNUMBER(SEARCH("LLC",D129)),VLOOKUP(A129,IntComp24[],18,FALSE),VLOOKUP(A129,IntComp[],18,FALSE)))</f>
        <v>549807.5625</v>
      </c>
      <c r="M129" s="143"/>
      <c r="N129" s="143" t="str">
        <f ca="1">IF(IF(OR(F129="2019-2020",F129="2021-2025"),"",IF(ISNUMBER(SEARCH("LLC",D129)),VLOOKUP(A129,IntComp24[],20,FALSE),VLOOKUP(A129,IntComp[],20,FALSE)))=0,"",IF(OR(F129="2019-2020",F129="2021-2025"),"",IF(ISNUMBER(SEARCH("LLC",D129)),VLOOKUP(A129,IntComp24[],20,FALSE),VLOOKUP(A129,IntComp[],20,FALSE))))</f>
        <v/>
      </c>
      <c r="O129" s="152" t="str">
        <f ca="1">IF(IF(OR(F129="2019-2020",F129="2021-2025"),"",IF(ISNUMBER(SEARCH("LLC",D129)),VLOOKUP(A129,IntComp24[],23,FALSE),VLOOKUP(A129,IntComp[],23,FALSE)))=0,"",IF(OR(F129="2019-2020",F129="2021-2025"),"",IF(ISNUMBER(SEARCH("LLC",D129)),VLOOKUP(A129,IntComp24[],23,FALSE),VLOOKUP(A129,IntComp[],23,FALSE))))</f>
        <v/>
      </c>
    </row>
    <row r="130" spans="1:15">
      <c r="A130" s="147" t="s">
        <v>264</v>
      </c>
      <c r="B130" s="144" t="str">
        <f>VLOOKUP(A130,Data[],2,FALSE)</f>
        <v>BRONX</v>
      </c>
      <c r="C130" s="144" t="s">
        <v>106</v>
      </c>
      <c r="D130" s="9" t="str">
        <f>VLOOKUP(A130,Data[],52,FALSE)</f>
        <v>FEDERAL</v>
      </c>
      <c r="E130" s="9">
        <f>VLOOKUP(IntAll[[#This Row],[DEVELOPMENT]],Data[],62,FALSE)</f>
        <v>3</v>
      </c>
      <c r="F130" s="9" t="str">
        <f ca="1">VLOOKUP(A130,Data[],4,FALSE)</f>
        <v>2026+</v>
      </c>
      <c r="G130" s="9">
        <f>VLOOKUP(IntAll[[#This Row],[DEVELOPMENT]],EHDAll[[DEVELOPMENT]:['# Units]],6,FALSE)</f>
        <v>1</v>
      </c>
      <c r="H130" s="143" t="str">
        <f ca="1">IF(IntAll[[#This Row],[STATUS]]="","",IF(OR(F130="2019-2020",F130="2021-2025"),"",IF(ISNUMBER(SEARCH("LLC",D130)),VLOOKUP(A130,IntComp24[],21,FALSE),VLOOKUP(A130,IntComp[],21,FALSE))))</f>
        <v/>
      </c>
      <c r="I130" s="143" t="str">
        <f ca="1">IF(IntAll[[#This Row],[STATUS]]="","",IF(IF(OR(F130="2019-2020",F130="2021-2025"),"",IF(ISNUMBER(SEARCH("LLC",D130)),VLOOKUP(A130,IntComp24[],16,FALSE),VLOOKUP(A130,IntComp[],16,FALSE)))=0,"",IF(OR(F130="2019-2020",F130="2021-2025"),"",IF(ISNUMBER(SEARCH("LLC",D130)),VLOOKUP(A130,IntComp24[],16,FALSE),VLOOKUP(A130,IntComp[],16,FALSE)))))</f>
        <v/>
      </c>
      <c r="J130" s="143" t="str">
        <f ca="1">IF(IF(OR(F130="2019-2020",F130="2021-2025"),"",IF(ISNUMBER(SEARCH("LLC",D130)),VLOOKUP(A130,IntComp24[],17,FALSE),VLOOKUP(A130,IntComp[],17,FALSE)))=0,"",IF(OR(F130="2019-2020",F130="2021-2025"),"",IF(ISNUMBER(SEARCH("LLC",D130)),VLOOKUP(A130,IntComp24[],17,FALSE),VLOOKUP(A130,IntComp[],17,FALSE))))</f>
        <v/>
      </c>
      <c r="K130" s="151"/>
      <c r="L130" s="151">
        <f ca="1">IF(OR(F130="2019-2020",F130="2021-2025"),"",IF(ISNUMBER(SEARCH("LLC",D130)),VLOOKUP(A130,IntComp24[],18,FALSE),VLOOKUP(A130,IntComp[],18,FALSE)))</f>
        <v>65295.562499999993</v>
      </c>
      <c r="M130" s="143"/>
      <c r="N130" s="143" t="str">
        <f ca="1">IF(IF(OR(F130="2019-2020",F130="2021-2025"),"",IF(ISNUMBER(SEARCH("LLC",D130)),VLOOKUP(A130,IntComp24[],20,FALSE),VLOOKUP(A130,IntComp[],20,FALSE)))=0,"",IF(OR(F130="2019-2020",F130="2021-2025"),"",IF(ISNUMBER(SEARCH("LLC",D130)),VLOOKUP(A130,IntComp24[],20,FALSE),VLOOKUP(A130,IntComp[],20,FALSE))))</f>
        <v/>
      </c>
      <c r="O130" s="152" t="str">
        <f ca="1">IF(IF(OR(F130="2019-2020",F130="2021-2025"),"",IF(ISNUMBER(SEARCH("LLC",D130)),VLOOKUP(A130,IntComp24[],23,FALSE),VLOOKUP(A130,IntComp[],23,FALSE)))=0,"",IF(OR(F130="2019-2020",F130="2021-2025"),"",IF(ISNUMBER(SEARCH("LLC",D130)),VLOOKUP(A130,IntComp24[],23,FALSE),VLOOKUP(A130,IntComp[],23,FALSE))))</f>
        <v/>
      </c>
    </row>
    <row r="131" spans="1:15">
      <c r="A131" s="147" t="s">
        <v>275</v>
      </c>
      <c r="B131" s="144" t="str">
        <f>VLOOKUP(A131,Data[],2,FALSE)</f>
        <v>BRONX</v>
      </c>
      <c r="C131" s="144" t="s">
        <v>106</v>
      </c>
      <c r="D131" s="9" t="str">
        <f>VLOOKUP(A131,Data[],52,FALSE)</f>
        <v>FEDERAL</v>
      </c>
      <c r="E131" s="9">
        <f>VLOOKUP(IntAll[[#This Row],[DEVELOPMENT]],Data[],62,FALSE)</f>
        <v>1</v>
      </c>
      <c r="F131" s="9" t="str">
        <f ca="1">VLOOKUP(A131,Data[],4,FALSE)</f>
        <v>2022-2025</v>
      </c>
      <c r="G131" s="9">
        <f>VLOOKUP(IntAll[[#This Row],[DEVELOPMENT]],EHDAll[[DEVELOPMENT]:['# Units]],6,FALSE)</f>
        <v>2</v>
      </c>
      <c r="H131" s="143" t="str">
        <f ca="1">IF(IntAll[[#This Row],[STATUS]]="","",IF(OR(F131="2019-2020",F131="2021-2025"),"",IF(ISNUMBER(SEARCH("LLC",D131)),VLOOKUP(A131,IntComp24[],21,FALSE),VLOOKUP(A131,IntComp[],21,FALSE))))</f>
        <v/>
      </c>
      <c r="I131" s="143" t="str">
        <f ca="1">IF(IntAll[[#This Row],[STATUS]]="","",IF(IF(OR(F131="2019-2020",F131="2021-2025"),"",IF(ISNUMBER(SEARCH("LLC",D131)),VLOOKUP(A131,IntComp24[],16,FALSE),VLOOKUP(A131,IntComp[],16,FALSE)))=0,"",IF(OR(F131="2019-2020",F131="2021-2025"),"",IF(ISNUMBER(SEARCH("LLC",D131)),VLOOKUP(A131,IntComp24[],16,FALSE),VLOOKUP(A131,IntComp[],16,FALSE)))))</f>
        <v/>
      </c>
      <c r="J131" s="143" t="str">
        <f ca="1">IF(IF(OR(F131="2019-2020",F131="2021-2025"),"",IF(ISNUMBER(SEARCH("LLC",D131)),VLOOKUP(A131,IntComp24[],17,FALSE),VLOOKUP(A131,IntComp[],17,FALSE)))=0,"",IF(OR(F131="2019-2020",F131="2021-2025"),"",IF(ISNUMBER(SEARCH("LLC",D131)),VLOOKUP(A131,IntComp24[],17,FALSE),VLOOKUP(A131,IntComp[],17,FALSE))))</f>
        <v/>
      </c>
      <c r="K131" s="151"/>
      <c r="L131" s="151">
        <f ca="1">IF(OR(F131="2019-2020",F131="2021-2025"),"",IF(ISNUMBER(SEARCH("LLC",D131)),VLOOKUP(A131,IntComp24[],18,FALSE),VLOOKUP(A131,IntComp[],18,FALSE)))</f>
        <v>0</v>
      </c>
      <c r="M131" s="143"/>
      <c r="N131" s="143" t="str">
        <f ca="1">IF(IF(OR(F131="2019-2020",F131="2021-2025"),"",IF(ISNUMBER(SEARCH("LLC",D131)),VLOOKUP(A131,IntComp24[],20,FALSE),VLOOKUP(A131,IntComp[],20,FALSE)))=0,"",IF(OR(F131="2019-2020",F131="2021-2025"),"",IF(ISNUMBER(SEARCH("LLC",D131)),VLOOKUP(A131,IntComp24[],20,FALSE),VLOOKUP(A131,IntComp[],20,FALSE))))</f>
        <v/>
      </c>
      <c r="O131" s="152" t="str">
        <f ca="1">IF(IF(OR(F131="2019-2020",F131="2021-2025"),"",IF(ISNUMBER(SEARCH("LLC",D131)),VLOOKUP(A131,IntComp24[],23,FALSE),VLOOKUP(A131,IntComp[],23,FALSE)))=0,"",IF(OR(F131="2019-2020",F131="2021-2025"),"",IF(ISNUMBER(SEARCH("LLC",D131)),VLOOKUP(A131,IntComp24[],23,FALSE),VLOOKUP(A131,IntComp[],23,FALSE))))</f>
        <v/>
      </c>
    </row>
    <row r="132" spans="1:15">
      <c r="A132" s="147" t="s">
        <v>280</v>
      </c>
      <c r="B132" s="144" t="str">
        <f>VLOOKUP(A132,Data[],2,FALSE)</f>
        <v>BRONX</v>
      </c>
      <c r="C132" s="144" t="s">
        <v>106</v>
      </c>
      <c r="D132" s="9" t="str">
        <f>VLOOKUP(A132,Data[],52,FALSE)</f>
        <v>FEDERAL</v>
      </c>
      <c r="E132" s="9">
        <f>VLOOKUP(IntAll[[#This Row],[DEVELOPMENT]],Data[],62,FALSE)</f>
        <v>2</v>
      </c>
      <c r="F132" s="9" t="str">
        <f ca="1">VLOOKUP(A132,Data[],4,FALSE)</f>
        <v/>
      </c>
      <c r="G132" s="9">
        <f>VLOOKUP(IntAll[[#This Row],[DEVELOPMENT]],EHDAll[[DEVELOPMENT]:['# Units]],6,FALSE)</f>
        <v>0</v>
      </c>
      <c r="H132" s="143" t="str">
        <f ca="1">IF(IntAll[[#This Row],[STATUS]]="","",IF(OR(F132="2019-2020",F132="2021-2025"),"",IF(ISNUMBER(SEARCH("LLC",D132)),VLOOKUP(A132,IntComp24[],21,FALSE),VLOOKUP(A132,IntComp[],21,FALSE))))</f>
        <v/>
      </c>
      <c r="I132" s="143" t="str">
        <f ca="1">IF(IntAll[[#This Row],[STATUS]]="","",IF(IF(OR(F132="2019-2020",F132="2021-2025"),"",IF(ISNUMBER(SEARCH("LLC",D132)),VLOOKUP(A132,IntComp24[],16,FALSE),VLOOKUP(A132,IntComp[],16,FALSE)))=0,"",IF(OR(F132="2019-2020",F132="2021-2025"),"",IF(ISNUMBER(SEARCH("LLC",D132)),VLOOKUP(A132,IntComp24[],16,FALSE),VLOOKUP(A132,IntComp[],16,FALSE)))))</f>
        <v/>
      </c>
      <c r="J132" s="143" t="str">
        <f ca="1">IF(IF(OR(F132="2019-2020",F132="2021-2025"),"",IF(ISNUMBER(SEARCH("LLC",D132)),VLOOKUP(A132,IntComp24[],17,FALSE),VLOOKUP(A132,IntComp[],17,FALSE)))=0,"",IF(OR(F132="2019-2020",F132="2021-2025"),"",IF(ISNUMBER(SEARCH("LLC",D132)),VLOOKUP(A132,IntComp24[],17,FALSE),VLOOKUP(A132,IntComp[],17,FALSE))))</f>
        <v/>
      </c>
      <c r="K132" s="151"/>
      <c r="L132" s="151">
        <f ca="1">IF(OR(F132="2019-2020",F132="2021-2025"),"",IF(ISNUMBER(SEARCH("LLC",D132)),VLOOKUP(A132,IntComp24[],18,FALSE),VLOOKUP(A132,IntComp[],18,FALSE)))</f>
        <v>0</v>
      </c>
      <c r="M132" s="143"/>
      <c r="N132" s="143" t="str">
        <f ca="1">IF(IF(OR(F132="2019-2020",F132="2021-2025"),"",IF(ISNUMBER(SEARCH("LLC",D132)),VLOOKUP(A132,IntComp24[],20,FALSE),VLOOKUP(A132,IntComp[],20,FALSE)))=0,"",IF(OR(F132="2019-2020",F132="2021-2025"),"",IF(ISNUMBER(SEARCH("LLC",D132)),VLOOKUP(A132,IntComp24[],20,FALSE),VLOOKUP(A132,IntComp[],20,FALSE))))</f>
        <v/>
      </c>
      <c r="O132" s="152" t="str">
        <f ca="1">IF(IF(OR(F132="2019-2020",F132="2021-2025"),"",IF(ISNUMBER(SEARCH("LLC",D132)),VLOOKUP(A132,IntComp24[],23,FALSE),VLOOKUP(A132,IntComp[],23,FALSE)))=0,"",IF(OR(F132="2019-2020",F132="2021-2025"),"",IF(ISNUMBER(SEARCH("LLC",D132)),VLOOKUP(A132,IntComp24[],23,FALSE),VLOOKUP(A132,IntComp[],23,FALSE))))</f>
        <v/>
      </c>
    </row>
    <row r="133" spans="1:15">
      <c r="A133" s="147" t="s">
        <v>284</v>
      </c>
      <c r="B133" s="144" t="str">
        <f>VLOOKUP(A133,Data[],2,FALSE)</f>
        <v>BRONX</v>
      </c>
      <c r="C133" s="144" t="s">
        <v>106</v>
      </c>
      <c r="D133" s="9" t="str">
        <f>VLOOKUP(A133,Data[],52,FALSE)</f>
        <v>FEDERAL</v>
      </c>
      <c r="E133" s="9">
        <f>VLOOKUP(IntAll[[#This Row],[DEVELOPMENT]],Data[],62,FALSE)</f>
        <v>3</v>
      </c>
      <c r="F133" s="9" t="str">
        <f ca="1">VLOOKUP(A133,Data[],4,FALSE)</f>
        <v/>
      </c>
      <c r="G133" s="9">
        <f>VLOOKUP(IntAll[[#This Row],[DEVELOPMENT]],EHDAll[[DEVELOPMENT]:['# Units]],6,FALSE)</f>
        <v>0</v>
      </c>
      <c r="H133" s="143" t="str">
        <f ca="1">IF(IntAll[[#This Row],[STATUS]]="","",IF(OR(F133="2019-2020",F133="2021-2025"),"",IF(ISNUMBER(SEARCH("LLC",D133)),VLOOKUP(A133,IntComp24[],21,FALSE),VLOOKUP(A133,IntComp[],21,FALSE))))</f>
        <v/>
      </c>
      <c r="I133" s="143" t="str">
        <f ca="1">IF(IntAll[[#This Row],[STATUS]]="","",IF(IF(OR(F133="2019-2020",F133="2021-2025"),"",IF(ISNUMBER(SEARCH("LLC",D133)),VLOOKUP(A133,IntComp24[],16,FALSE),VLOOKUP(A133,IntComp[],16,FALSE)))=0,"",IF(OR(F133="2019-2020",F133="2021-2025"),"",IF(ISNUMBER(SEARCH("LLC",D133)),VLOOKUP(A133,IntComp24[],16,FALSE),VLOOKUP(A133,IntComp[],16,FALSE)))))</f>
        <v/>
      </c>
      <c r="J133" s="143" t="str">
        <f ca="1">IF(IF(OR(F133="2019-2020",F133="2021-2025"),"",IF(ISNUMBER(SEARCH("LLC",D133)),VLOOKUP(A133,IntComp24[],17,FALSE),VLOOKUP(A133,IntComp[],17,FALSE)))=0,"",IF(OR(F133="2019-2020",F133="2021-2025"),"",IF(ISNUMBER(SEARCH("LLC",D133)),VLOOKUP(A133,IntComp24[],17,FALSE),VLOOKUP(A133,IntComp[],17,FALSE))))</f>
        <v/>
      </c>
      <c r="K133" s="151"/>
      <c r="L133" s="151">
        <f ca="1">IF(OR(F133="2019-2020",F133="2021-2025"),"",IF(ISNUMBER(SEARCH("LLC",D133)),VLOOKUP(A133,IntComp24[],18,FALSE),VLOOKUP(A133,IntComp[],18,FALSE)))</f>
        <v>0</v>
      </c>
      <c r="M133" s="143"/>
      <c r="N133" s="143" t="str">
        <f ca="1">IF(IF(OR(F133="2019-2020",F133="2021-2025"),"",IF(ISNUMBER(SEARCH("LLC",D133)),VLOOKUP(A133,IntComp24[],20,FALSE),VLOOKUP(A133,IntComp[],20,FALSE)))=0,"",IF(OR(F133="2019-2020",F133="2021-2025"),"",IF(ISNUMBER(SEARCH("LLC",D133)),VLOOKUP(A133,IntComp24[],20,FALSE),VLOOKUP(A133,IntComp[],20,FALSE))))</f>
        <v/>
      </c>
      <c r="O133" s="152" t="str">
        <f ca="1">IF(IF(OR(F133="2019-2020",F133="2021-2025"),"",IF(ISNUMBER(SEARCH("LLC",D133)),VLOOKUP(A133,IntComp24[],23,FALSE),VLOOKUP(A133,IntComp[],23,FALSE)))=0,"",IF(OR(F133="2019-2020",F133="2021-2025"),"",IF(ISNUMBER(SEARCH("LLC",D133)),VLOOKUP(A133,IntComp24[],23,FALSE),VLOOKUP(A133,IntComp[],23,FALSE))))</f>
        <v/>
      </c>
    </row>
    <row r="134" spans="1:15">
      <c r="A134" s="147" t="s">
        <v>316</v>
      </c>
      <c r="B134" s="144" t="str">
        <f>VLOOKUP(A134,Data[],2,FALSE)</f>
        <v>BROOKLYN</v>
      </c>
      <c r="C134" s="144" t="s">
        <v>106</v>
      </c>
      <c r="D134" s="9" t="str">
        <f>VLOOKUP(A134,Data[],52,FALSE)</f>
        <v>FEDERAL</v>
      </c>
      <c r="E134" s="9">
        <f>VLOOKUP(IntAll[[#This Row],[DEVELOPMENT]],Data[],62,FALSE)</f>
        <v>5</v>
      </c>
      <c r="F134" s="9" t="str">
        <f ca="1">VLOOKUP(A134,Data[],4,FALSE)</f>
        <v>2022-2025</v>
      </c>
      <c r="G134" s="9">
        <f>VLOOKUP(IntAll[[#This Row],[DEVELOPMENT]],EHDAll[[DEVELOPMENT]:['# Units]],6,FALSE)</f>
        <v>0</v>
      </c>
      <c r="H134" s="143" t="str">
        <f ca="1">IF(IntAll[[#This Row],[STATUS]]="","",IF(OR(F134="2019-2020",F134="2021-2025"),"",IF(ISNUMBER(SEARCH("LLC",D134)),VLOOKUP(A134,IntComp24[],21,FALSE),VLOOKUP(A134,IntComp[],21,FALSE))))</f>
        <v/>
      </c>
      <c r="I134" s="143" t="str">
        <f ca="1">IF(IntAll[[#This Row],[STATUS]]="","",IF(IF(OR(F134="2019-2020",F134="2021-2025"),"",IF(ISNUMBER(SEARCH("LLC",D134)),VLOOKUP(A134,IntComp24[],16,FALSE),VLOOKUP(A134,IntComp[],16,FALSE)))=0,"",IF(OR(F134="2019-2020",F134="2021-2025"),"",IF(ISNUMBER(SEARCH("LLC",D134)),VLOOKUP(A134,IntComp24[],16,FALSE),VLOOKUP(A134,IntComp[],16,FALSE)))))</f>
        <v/>
      </c>
      <c r="J134" s="143" t="str">
        <f ca="1">IF(IF(OR(F134="2019-2020",F134="2021-2025"),"",IF(ISNUMBER(SEARCH("LLC",D134)),VLOOKUP(A134,IntComp24[],17,FALSE),VLOOKUP(A134,IntComp[],17,FALSE)))=0,"",IF(OR(F134="2019-2020",F134="2021-2025"),"",IF(ISNUMBER(SEARCH("LLC",D134)),VLOOKUP(A134,IntComp24[],17,FALSE),VLOOKUP(A134,IntComp[],17,FALSE))))</f>
        <v/>
      </c>
      <c r="K134" s="151"/>
      <c r="L134" s="151">
        <f ca="1">IF(OR(F134="2019-2020",F134="2021-2025"),"",IF(ISNUMBER(SEARCH("LLC",D134)),VLOOKUP(A134,IntComp24[],18,FALSE),VLOOKUP(A134,IntComp[],18,FALSE)))</f>
        <v>0</v>
      </c>
      <c r="M134" s="143"/>
      <c r="N134" s="143" t="str">
        <f ca="1">IF(IF(OR(F134="2019-2020",F134="2021-2025"),"",IF(ISNUMBER(SEARCH("LLC",D134)),VLOOKUP(A134,IntComp24[],20,FALSE),VLOOKUP(A134,IntComp[],20,FALSE)))=0,"",IF(OR(F134="2019-2020",F134="2021-2025"),"",IF(ISNUMBER(SEARCH("LLC",D134)),VLOOKUP(A134,IntComp24[],20,FALSE),VLOOKUP(A134,IntComp[],20,FALSE))))</f>
        <v/>
      </c>
      <c r="O134" s="152" t="str">
        <f ca="1">IF(IF(OR(F134="2019-2020",F134="2021-2025"),"",IF(ISNUMBER(SEARCH("LLC",D134)),VLOOKUP(A134,IntComp24[],23,FALSE),VLOOKUP(A134,IntComp[],23,FALSE)))=0,"",IF(OR(F134="2019-2020",F134="2021-2025"),"",IF(ISNUMBER(SEARCH("LLC",D134)),VLOOKUP(A134,IntComp24[],23,FALSE),VLOOKUP(A134,IntComp[],23,FALSE))))</f>
        <v/>
      </c>
    </row>
    <row r="135" spans="1:15">
      <c r="A135" s="147" t="s">
        <v>78</v>
      </c>
      <c r="B135" s="144" t="str">
        <f>VLOOKUP(A135,Data[],2,FALSE)</f>
        <v>MANHATTAN</v>
      </c>
      <c r="C135" s="144" t="s">
        <v>106</v>
      </c>
      <c r="D135" s="9" t="str">
        <f>VLOOKUP(A135,Data[],52,FALSE)</f>
        <v>FEDERAL</v>
      </c>
      <c r="E135" s="9">
        <f>VLOOKUP(IntAll[[#This Row],[DEVELOPMENT]],Data[],62,FALSE)</f>
        <v>11</v>
      </c>
      <c r="F135" s="9" t="str">
        <f ca="1">VLOOKUP(A135,Data[],4,FALSE)</f>
        <v>2022-2025</v>
      </c>
      <c r="G135" s="9">
        <f>VLOOKUP(IntAll[[#This Row],[DEVELOPMENT]],EHDAll[[DEVELOPMENT]:['# Units]],6,FALSE)</f>
        <v>29</v>
      </c>
      <c r="H135" s="143" t="str">
        <f ca="1">IF(IntAll[[#This Row],[STATUS]]="","",IF(OR(F135="2019-2020",F135="2021-2025"),"",IF(ISNUMBER(SEARCH("LLC",D135)),VLOOKUP(A135,IntComp24[],21,FALSE),VLOOKUP(A135,IntComp[],21,FALSE))))</f>
        <v/>
      </c>
      <c r="I135" s="143" t="str">
        <f ca="1">IF(IntAll[[#This Row],[STATUS]]="","",IF(IF(OR(F135="2019-2020",F135="2021-2025"),"",IF(ISNUMBER(SEARCH("LLC",D135)),VLOOKUP(A135,IntComp24[],16,FALSE),VLOOKUP(A135,IntComp[],16,FALSE)))=0,"",IF(OR(F135="2019-2020",F135="2021-2025"),"",IF(ISNUMBER(SEARCH("LLC",D135)),VLOOKUP(A135,IntComp24[],16,FALSE),VLOOKUP(A135,IntComp[],16,FALSE)))))</f>
        <v/>
      </c>
      <c r="J135" s="143" t="str">
        <f ca="1">IF(IF(OR(F135="2019-2020",F135="2021-2025"),"",IF(ISNUMBER(SEARCH("LLC",D135)),VLOOKUP(A135,IntComp24[],17,FALSE),VLOOKUP(A135,IntComp[],17,FALSE)))=0,"",IF(OR(F135="2019-2020",F135="2021-2025"),"",IF(ISNUMBER(SEARCH("LLC",D135)),VLOOKUP(A135,IntComp24[],17,FALSE),VLOOKUP(A135,IntComp[],17,FALSE))))</f>
        <v/>
      </c>
      <c r="K135" s="151"/>
      <c r="L135" s="151">
        <f ca="1">IF(OR(F135="2019-2020",F135="2021-2025"),"",IF(ISNUMBER(SEARCH("LLC",D135)),VLOOKUP(A135,IntComp24[],18,FALSE),VLOOKUP(A135,IntComp[],18,FALSE)))</f>
        <v>0</v>
      </c>
      <c r="M135" s="143"/>
      <c r="N135" s="143" t="str">
        <f ca="1">IF(IF(OR(F135="2019-2020",F135="2021-2025"),"",IF(ISNUMBER(SEARCH("LLC",D135)),VLOOKUP(A135,IntComp24[],20,FALSE),VLOOKUP(A135,IntComp[],20,FALSE)))=0,"",IF(OR(F135="2019-2020",F135="2021-2025"),"",IF(ISNUMBER(SEARCH("LLC",D135)),VLOOKUP(A135,IntComp24[],20,FALSE),VLOOKUP(A135,IntComp[],20,FALSE))))</f>
        <v/>
      </c>
      <c r="O135" s="152" t="str">
        <f ca="1">IF(IF(OR(F135="2019-2020",F135="2021-2025"),"",IF(ISNUMBER(SEARCH("LLC",D135)),VLOOKUP(A135,IntComp24[],23,FALSE),VLOOKUP(A135,IntComp[],23,FALSE)))=0,"",IF(OR(F135="2019-2020",F135="2021-2025"),"",IF(ISNUMBER(SEARCH("LLC",D135)),VLOOKUP(A135,IntComp24[],23,FALSE),VLOOKUP(A135,IntComp[],23,FALSE))))</f>
        <v/>
      </c>
    </row>
    <row r="136" spans="1:15">
      <c r="A136" s="147" t="s">
        <v>317</v>
      </c>
      <c r="B136" s="144" t="str">
        <f>VLOOKUP(A136,Data[],2,FALSE)</f>
        <v>BRONX</v>
      </c>
      <c r="C136" s="144" t="s">
        <v>106</v>
      </c>
      <c r="D136" s="9" t="str">
        <f>VLOOKUP(A136,Data[],52,FALSE)</f>
        <v>FEDERAL</v>
      </c>
      <c r="E136" s="9">
        <f>VLOOKUP(IntAll[[#This Row],[DEVELOPMENT]],Data[],62,FALSE)</f>
        <v>11</v>
      </c>
      <c r="F136" s="9" t="str">
        <f ca="1">VLOOKUP(A136,Data[],4,FALSE)</f>
        <v>2026+</v>
      </c>
      <c r="G136" s="9">
        <f>VLOOKUP(IntAll[[#This Row],[DEVELOPMENT]],EHDAll[[DEVELOPMENT]:['# Units]],6,FALSE)</f>
        <v>15</v>
      </c>
      <c r="H136" s="143" t="str">
        <f ca="1">IF(IntAll[[#This Row],[STATUS]]="","",IF(OR(F136="2019-2020",F136="2021-2025"),"",IF(ISNUMBER(SEARCH("LLC",D136)),VLOOKUP(A136,IntComp24[],21,FALSE),VLOOKUP(A136,IntComp[],21,FALSE))))</f>
        <v/>
      </c>
      <c r="I136" s="143" t="str">
        <f ca="1">IF(IntAll[[#This Row],[STATUS]]="","",IF(IF(OR(F136="2019-2020",F136="2021-2025"),"",IF(ISNUMBER(SEARCH("LLC",D136)),VLOOKUP(A136,IntComp24[],16,FALSE),VLOOKUP(A136,IntComp[],16,FALSE)))=0,"",IF(OR(F136="2019-2020",F136="2021-2025"),"",IF(ISNUMBER(SEARCH("LLC",D136)),VLOOKUP(A136,IntComp24[],16,FALSE),VLOOKUP(A136,IntComp[],16,FALSE)))))</f>
        <v/>
      </c>
      <c r="J136" s="143" t="str">
        <f ca="1">IF(IF(OR(F136="2019-2020",F136="2021-2025"),"",IF(ISNUMBER(SEARCH("LLC",D136)),VLOOKUP(A136,IntComp24[],17,FALSE),VLOOKUP(A136,IntComp[],17,FALSE)))=0,"",IF(OR(F136="2019-2020",F136="2021-2025"),"",IF(ISNUMBER(SEARCH("LLC",D136)),VLOOKUP(A136,IntComp24[],17,FALSE),VLOOKUP(A136,IntComp[],17,FALSE))))</f>
        <v/>
      </c>
      <c r="K136" s="151"/>
      <c r="L136" s="151">
        <f ca="1">IF(OR(F136="2019-2020",F136="2021-2025"),"",IF(ISNUMBER(SEARCH("LLC",D136)),VLOOKUP(A136,IntComp24[],18,FALSE),VLOOKUP(A136,IntComp[],18,FALSE)))</f>
        <v>1111917.1875</v>
      </c>
      <c r="M136" s="143"/>
      <c r="N136" s="143" t="str">
        <f ca="1">IF(IF(OR(F136="2019-2020",F136="2021-2025"),"",IF(ISNUMBER(SEARCH("LLC",D136)),VLOOKUP(A136,IntComp24[],20,FALSE),VLOOKUP(A136,IntComp[],20,FALSE)))=0,"",IF(OR(F136="2019-2020",F136="2021-2025"),"",IF(ISNUMBER(SEARCH("LLC",D136)),VLOOKUP(A136,IntComp24[],20,FALSE),VLOOKUP(A136,IntComp[],20,FALSE))))</f>
        <v/>
      </c>
      <c r="O136" s="152" t="str">
        <f ca="1">IF(IF(OR(F136="2019-2020",F136="2021-2025"),"",IF(ISNUMBER(SEARCH("LLC",D136)),VLOOKUP(A136,IntComp24[],23,FALSE),VLOOKUP(A136,IntComp[],23,FALSE)))=0,"",IF(OR(F136="2019-2020",F136="2021-2025"),"",IF(ISNUMBER(SEARCH("LLC",D136)),VLOOKUP(A136,IntComp24[],23,FALSE),VLOOKUP(A136,IntComp[],23,FALSE))))</f>
        <v/>
      </c>
    </row>
    <row r="137" spans="1:15">
      <c r="A137" s="147" t="s">
        <v>201</v>
      </c>
      <c r="B137" s="144" t="str">
        <f>VLOOKUP(A137,Data[],2,FALSE)</f>
        <v>BRONX</v>
      </c>
      <c r="C137" s="144" t="s">
        <v>106</v>
      </c>
      <c r="D137" s="9" t="str">
        <f>VLOOKUP(A137,Data[],52,FALSE)</f>
        <v>FEDERAL</v>
      </c>
      <c r="E137" s="9">
        <f>VLOOKUP(IntAll[[#This Row],[DEVELOPMENT]],Data[],62,FALSE)</f>
        <v>12</v>
      </c>
      <c r="F137" s="9" t="str">
        <f ca="1">VLOOKUP(A137,Data[],4,FALSE)</f>
        <v>2022-2025</v>
      </c>
      <c r="G137" s="9">
        <f>VLOOKUP(IntAll[[#This Row],[DEVELOPMENT]],EHDAll[[DEVELOPMENT]:['# Units]],6,FALSE)</f>
        <v>71</v>
      </c>
      <c r="H137" s="143" t="str">
        <f ca="1">IF(IntAll[[#This Row],[STATUS]]="","",IF(OR(F137="2019-2020",F137="2021-2025"),"",IF(ISNUMBER(SEARCH("LLC",D137)),VLOOKUP(A137,IntComp24[],21,FALSE),VLOOKUP(A137,IntComp[],21,FALSE))))</f>
        <v/>
      </c>
      <c r="I137" s="143" t="str">
        <f ca="1">IF(IntAll[[#This Row],[STATUS]]="","",IF(IF(OR(F137="2019-2020",F137="2021-2025"),"",IF(ISNUMBER(SEARCH("LLC",D137)),VLOOKUP(A137,IntComp24[],16,FALSE),VLOOKUP(A137,IntComp[],16,FALSE)))=0,"",IF(OR(F137="2019-2020",F137="2021-2025"),"",IF(ISNUMBER(SEARCH("LLC",D137)),VLOOKUP(A137,IntComp24[],16,FALSE),VLOOKUP(A137,IntComp[],16,FALSE)))))</f>
        <v/>
      </c>
      <c r="J137" s="143" t="str">
        <f ca="1">IF(IF(OR(F137="2019-2020",F137="2021-2025"),"",IF(ISNUMBER(SEARCH("LLC",D137)),VLOOKUP(A137,IntComp24[],17,FALSE),VLOOKUP(A137,IntComp[],17,FALSE)))=0,"",IF(OR(F137="2019-2020",F137="2021-2025"),"",IF(ISNUMBER(SEARCH("LLC",D137)),VLOOKUP(A137,IntComp24[],17,FALSE),VLOOKUP(A137,IntComp[],17,FALSE))))</f>
        <v/>
      </c>
      <c r="K137" s="151"/>
      <c r="L137" s="151">
        <f ca="1">IF(OR(F137="2019-2020",F137="2021-2025"),"",IF(ISNUMBER(SEARCH("LLC",D137)),VLOOKUP(A137,IntComp24[],18,FALSE),VLOOKUP(A137,IntComp[],18,FALSE)))</f>
        <v>0</v>
      </c>
      <c r="M137" s="143"/>
      <c r="N137" s="143" t="str">
        <f ca="1">IF(IF(OR(F137="2019-2020",F137="2021-2025"),"",IF(ISNUMBER(SEARCH("LLC",D137)),VLOOKUP(A137,IntComp24[],20,FALSE),VLOOKUP(A137,IntComp[],20,FALSE)))=0,"",IF(OR(F137="2019-2020",F137="2021-2025"),"",IF(ISNUMBER(SEARCH("LLC",D137)),VLOOKUP(A137,IntComp24[],20,FALSE),VLOOKUP(A137,IntComp[],20,FALSE))))</f>
        <v/>
      </c>
      <c r="O137" s="152" t="str">
        <f ca="1">IF(IF(OR(F137="2019-2020",F137="2021-2025"),"",IF(ISNUMBER(SEARCH("LLC",D137)),VLOOKUP(A137,IntComp24[],23,FALSE),VLOOKUP(A137,IntComp[],23,FALSE)))=0,"",IF(OR(F137="2019-2020",F137="2021-2025"),"",IF(ISNUMBER(SEARCH("LLC",D137)),VLOOKUP(A137,IntComp24[],23,FALSE),VLOOKUP(A137,IntComp[],23,FALSE))))</f>
        <v/>
      </c>
    </row>
    <row r="138" spans="1:15">
      <c r="A138" s="147" t="s">
        <v>221</v>
      </c>
      <c r="B138" s="144" t="str">
        <f>VLOOKUP(A138,Data[],2,FALSE)</f>
        <v>MANHATTAN</v>
      </c>
      <c r="C138" s="144" t="s">
        <v>106</v>
      </c>
      <c r="D138" s="9" t="str">
        <f>VLOOKUP(A138,Data[],52,FALSE)</f>
        <v>FEDERAL</v>
      </c>
      <c r="E138" s="9">
        <f>VLOOKUP(IntAll[[#This Row],[DEVELOPMENT]],Data[],62,FALSE)</f>
        <v>4</v>
      </c>
      <c r="F138" s="9" t="str">
        <f ca="1">VLOOKUP(A138,Data[],4,FALSE)</f>
        <v/>
      </c>
      <c r="G138" s="9">
        <f>VLOOKUP(IntAll[[#This Row],[DEVELOPMENT]],EHDAll[[DEVELOPMENT]:['# Units]],6,FALSE)</f>
        <v>8</v>
      </c>
      <c r="H138" s="143" t="str">
        <f ca="1">IF(IntAll[[#This Row],[STATUS]]="","",IF(OR(F138="2019-2020",F138="2021-2025"),"",IF(ISNUMBER(SEARCH("LLC",D138)),VLOOKUP(A138,IntComp24[],21,FALSE),VLOOKUP(A138,IntComp[],21,FALSE))))</f>
        <v/>
      </c>
      <c r="I138" s="143" t="str">
        <f ca="1">IF(IntAll[[#This Row],[STATUS]]="","",IF(IF(OR(F138="2019-2020",F138="2021-2025"),"",IF(ISNUMBER(SEARCH("LLC",D138)),VLOOKUP(A138,IntComp24[],16,FALSE),VLOOKUP(A138,IntComp[],16,FALSE)))=0,"",IF(OR(F138="2019-2020",F138="2021-2025"),"",IF(ISNUMBER(SEARCH("LLC",D138)),VLOOKUP(A138,IntComp24[],16,FALSE),VLOOKUP(A138,IntComp[],16,FALSE)))))</f>
        <v/>
      </c>
      <c r="J138" s="143" t="str">
        <f ca="1">IF(IF(OR(F138="2019-2020",F138="2021-2025"),"",IF(ISNUMBER(SEARCH("LLC",D138)),VLOOKUP(A138,IntComp24[],17,FALSE),VLOOKUP(A138,IntComp[],17,FALSE)))=0,"",IF(OR(F138="2019-2020",F138="2021-2025"),"",IF(ISNUMBER(SEARCH("LLC",D138)),VLOOKUP(A138,IntComp24[],17,FALSE),VLOOKUP(A138,IntComp[],17,FALSE))))</f>
        <v/>
      </c>
      <c r="K138" s="151"/>
      <c r="L138" s="151">
        <f ca="1">IF(OR(F138="2019-2020",F138="2021-2025"),"",IF(ISNUMBER(SEARCH("LLC",D138)),VLOOKUP(A138,IntComp24[],18,FALSE),VLOOKUP(A138,IntComp[],18,FALSE)))</f>
        <v>610687</v>
      </c>
      <c r="M138" s="143"/>
      <c r="N138" s="143" t="str">
        <f ca="1">IF(IF(OR(F138="2019-2020",F138="2021-2025"),"",IF(ISNUMBER(SEARCH("LLC",D138)),VLOOKUP(A138,IntComp24[],20,FALSE),VLOOKUP(A138,IntComp[],20,FALSE)))=0,"",IF(OR(F138="2019-2020",F138="2021-2025"),"",IF(ISNUMBER(SEARCH("LLC",D138)),VLOOKUP(A138,IntComp24[],20,FALSE),VLOOKUP(A138,IntComp[],20,FALSE))))</f>
        <v/>
      </c>
      <c r="O138" s="152" t="str">
        <f ca="1">IF(IF(OR(F138="2019-2020",F138="2021-2025"),"",IF(ISNUMBER(SEARCH("LLC",D138)),VLOOKUP(A138,IntComp24[],23,FALSE),VLOOKUP(A138,IntComp[],23,FALSE)))=0,"",IF(OR(F138="2019-2020",F138="2021-2025"),"",IF(ISNUMBER(SEARCH("LLC",D138)),VLOOKUP(A138,IntComp24[],23,FALSE),VLOOKUP(A138,IntComp[],23,FALSE))))</f>
        <v/>
      </c>
    </row>
    <row r="139" spans="1:15">
      <c r="A139" s="147" t="s">
        <v>318</v>
      </c>
      <c r="B139" s="144" t="str">
        <f>VLOOKUP(A139,Data[],2,FALSE)</f>
        <v>BROOKLYN</v>
      </c>
      <c r="C139" s="144" t="s">
        <v>106</v>
      </c>
      <c r="D139" s="9" t="str">
        <f>VLOOKUP(A139,Data[],52,FALSE)</f>
        <v>FEDERAL</v>
      </c>
      <c r="E139" s="9">
        <f>VLOOKUP(IntAll[[#This Row],[DEVELOPMENT]],Data[],62,FALSE)</f>
        <v>9</v>
      </c>
      <c r="F139" s="9" t="str">
        <f ca="1">VLOOKUP(A139,Data[],4,FALSE)</f>
        <v>2020-2021</v>
      </c>
      <c r="G139" s="9">
        <f>VLOOKUP(IntAll[[#This Row],[DEVELOPMENT]],EHDAll[[DEVELOPMENT]:['# Units]],6,FALSE)</f>
        <v>0</v>
      </c>
      <c r="H139" s="143" t="str">
        <f ca="1">IF(IntAll[[#This Row],[STATUS]]="","",IF(OR(F139="2019-2020",F139="2021-2025"),"",IF(ISNUMBER(SEARCH("LLC",D139)),VLOOKUP(A139,IntComp24[],21,FALSE),VLOOKUP(A139,IntComp[],21,FALSE))))</f>
        <v/>
      </c>
      <c r="I139" s="143" t="str">
        <f ca="1">IF(IntAll[[#This Row],[STATUS]]="","",IF(IF(OR(F139="2019-2020",F139="2021-2025"),"",IF(ISNUMBER(SEARCH("LLC",D139)),VLOOKUP(A139,IntComp24[],16,FALSE),VLOOKUP(A139,IntComp[],16,FALSE)))=0,"",IF(OR(F139="2019-2020",F139="2021-2025"),"",IF(ISNUMBER(SEARCH("LLC",D139)),VLOOKUP(A139,IntComp24[],16,FALSE),VLOOKUP(A139,IntComp[],16,FALSE)))))</f>
        <v/>
      </c>
      <c r="J139" s="143" t="str">
        <f ca="1">IF(IF(OR(F139="2019-2020",F139="2021-2025"),"",IF(ISNUMBER(SEARCH("LLC",D139)),VLOOKUP(A139,IntComp24[],17,FALSE),VLOOKUP(A139,IntComp[],17,FALSE)))=0,"",IF(OR(F139="2019-2020",F139="2021-2025"),"",IF(ISNUMBER(SEARCH("LLC",D139)),VLOOKUP(A139,IntComp24[],17,FALSE),VLOOKUP(A139,IntComp[],17,FALSE))))</f>
        <v/>
      </c>
      <c r="K139" s="151"/>
      <c r="L139" s="151">
        <f ca="1">IF(OR(F139="2019-2020",F139="2021-2025"),"",IF(ISNUMBER(SEARCH("LLC",D139)),VLOOKUP(A139,IntComp24[],18,FALSE),VLOOKUP(A139,IntComp[],18,FALSE)))</f>
        <v>0</v>
      </c>
      <c r="M139" s="143"/>
      <c r="N139" s="143" t="str">
        <f ca="1">IF(IF(OR(F139="2019-2020",F139="2021-2025"),"",IF(ISNUMBER(SEARCH("LLC",D139)),VLOOKUP(A139,IntComp24[],20,FALSE),VLOOKUP(A139,IntComp[],20,FALSE)))=0,"",IF(OR(F139="2019-2020",F139="2021-2025"),"",IF(ISNUMBER(SEARCH("LLC",D139)),VLOOKUP(A139,IntComp24[],20,FALSE),VLOOKUP(A139,IntComp[],20,FALSE))))</f>
        <v/>
      </c>
      <c r="O139" s="152" t="str">
        <f ca="1">IF(IF(OR(F139="2019-2020",F139="2021-2025"),"",IF(ISNUMBER(SEARCH("LLC",D139)),VLOOKUP(A139,IntComp24[],23,FALSE),VLOOKUP(A139,IntComp[],23,FALSE)))=0,"",IF(OR(F139="2019-2020",F139="2021-2025"),"",IF(ISNUMBER(SEARCH("LLC",D139)),VLOOKUP(A139,IntComp24[],23,FALSE),VLOOKUP(A139,IntComp[],23,FALSE))))</f>
        <v/>
      </c>
    </row>
    <row r="140" spans="1:15">
      <c r="A140" s="147" t="s">
        <v>319</v>
      </c>
      <c r="B140" s="144">
        <f>VLOOKUP(A140,Data[],2,FALSE)</f>
        <v>0</v>
      </c>
      <c r="C140" s="144" t="s">
        <v>106</v>
      </c>
      <c r="D140" s="9" t="str">
        <f>VLOOKUP(A140,Data[],52,FALSE)</f>
        <v>FEDERAL</v>
      </c>
      <c r="E140" s="9">
        <f>VLOOKUP(IntAll[[#This Row],[DEVELOPMENT]],Data[],62,FALSE)</f>
        <v>0</v>
      </c>
      <c r="F140" s="9" t="str">
        <f ca="1">VLOOKUP(A140,Data[],4,FALSE)</f>
        <v/>
      </c>
      <c r="G140" s="9">
        <f>VLOOKUP(IntAll[[#This Row],[DEVELOPMENT]],EHDAll[[DEVELOPMENT]:['# Units]],6,FALSE)</f>
        <v>0</v>
      </c>
      <c r="H140" s="143" t="str">
        <f ca="1">IF(IntAll[[#This Row],[STATUS]]="","",IF(OR(F140="2019-2020",F140="2021-2025"),"",IF(ISNUMBER(SEARCH("LLC",D140)),VLOOKUP(A140,IntComp24[],21,FALSE),VLOOKUP(A140,IntComp[],21,FALSE))))</f>
        <v/>
      </c>
      <c r="I140" s="143" t="str">
        <f ca="1">IF(IntAll[[#This Row],[STATUS]]="","",IF(IF(OR(F140="2019-2020",F140="2021-2025"),"",IF(ISNUMBER(SEARCH("LLC",D140)),VLOOKUP(A140,IntComp24[],16,FALSE),VLOOKUP(A140,IntComp[],16,FALSE)))=0,"",IF(OR(F140="2019-2020",F140="2021-2025"),"",IF(ISNUMBER(SEARCH("LLC",D140)),VLOOKUP(A140,IntComp24[],16,FALSE),VLOOKUP(A140,IntComp[],16,FALSE)))))</f>
        <v/>
      </c>
      <c r="J140" s="143" t="str">
        <f ca="1">IF(IF(OR(F140="2019-2020",F140="2021-2025"),"",IF(ISNUMBER(SEARCH("LLC",D140)),VLOOKUP(A140,IntComp24[],17,FALSE),VLOOKUP(A140,IntComp[],17,FALSE)))=0,"",IF(OR(F140="2019-2020",F140="2021-2025"),"",IF(ISNUMBER(SEARCH("LLC",D140)),VLOOKUP(A140,IntComp24[],17,FALSE),VLOOKUP(A140,IntComp[],17,FALSE))))</f>
        <v/>
      </c>
      <c r="K140" s="151"/>
      <c r="L140" s="151">
        <f ca="1">IF(OR(F140="2019-2020",F140="2021-2025"),"",IF(ISNUMBER(SEARCH("LLC",D140)),VLOOKUP(A140,IntComp24[],18,FALSE),VLOOKUP(A140,IntComp[],18,FALSE)))</f>
        <v>0</v>
      </c>
      <c r="M140" s="143"/>
      <c r="N140" s="143" t="str">
        <f ca="1">IF(IF(OR(F140="2019-2020",F140="2021-2025"),"",IF(ISNUMBER(SEARCH("LLC",D140)),VLOOKUP(A140,IntComp24[],20,FALSE),VLOOKUP(A140,IntComp[],20,FALSE)))=0,"",IF(OR(F140="2019-2020",F140="2021-2025"),"",IF(ISNUMBER(SEARCH("LLC",D140)),VLOOKUP(A140,IntComp24[],20,FALSE),VLOOKUP(A140,IntComp[],20,FALSE))))</f>
        <v/>
      </c>
      <c r="O140" s="152" t="str">
        <f ca="1">IF(IF(OR(F140="2019-2020",F140="2021-2025"),"",IF(ISNUMBER(SEARCH("LLC",D140)),VLOOKUP(A140,IntComp24[],23,FALSE),VLOOKUP(A140,IntComp[],23,FALSE)))=0,"",IF(OR(F140="2019-2020",F140="2021-2025"),"",IF(ISNUMBER(SEARCH("LLC",D140)),VLOOKUP(A140,IntComp24[],23,FALSE),VLOOKUP(A140,IntComp[],23,FALSE))))</f>
        <v/>
      </c>
    </row>
    <row r="141" spans="1:15">
      <c r="A141" s="147" t="s">
        <v>237</v>
      </c>
      <c r="B141" s="144">
        <f>VLOOKUP(A141,Data[],2,FALSE)</f>
        <v>0</v>
      </c>
      <c r="C141" s="144" t="s">
        <v>106</v>
      </c>
      <c r="D141" s="9" t="str">
        <f>VLOOKUP(A141,Data[],52,FALSE)</f>
        <v>FEDERAL</v>
      </c>
      <c r="E141" s="9">
        <f>VLOOKUP(IntAll[[#This Row],[DEVELOPMENT]],Data[],62,FALSE)</f>
        <v>0</v>
      </c>
      <c r="F141" s="9" t="str">
        <f ca="1">VLOOKUP(A141,Data[],4,FALSE)</f>
        <v/>
      </c>
      <c r="G141" s="9">
        <f>VLOOKUP(IntAll[[#This Row],[DEVELOPMENT]],EHDAll[[DEVELOPMENT]:['# Units]],6,FALSE)</f>
        <v>0</v>
      </c>
      <c r="H141" s="143" t="str">
        <f ca="1">IF(IntAll[[#This Row],[STATUS]]="","",IF(OR(F141="2019-2020",F141="2021-2025"),"",IF(ISNUMBER(SEARCH("LLC",D141)),VLOOKUP(A141,IntComp24[],21,FALSE),VLOOKUP(A141,IntComp[],21,FALSE))))</f>
        <v/>
      </c>
      <c r="I141" s="143" t="str">
        <f ca="1">IF(IntAll[[#This Row],[STATUS]]="","",IF(IF(OR(F141="2019-2020",F141="2021-2025"),"",IF(ISNUMBER(SEARCH("LLC",D141)),VLOOKUP(A141,IntComp24[],16,FALSE),VLOOKUP(A141,IntComp[],16,FALSE)))=0,"",IF(OR(F141="2019-2020",F141="2021-2025"),"",IF(ISNUMBER(SEARCH("LLC",D141)),VLOOKUP(A141,IntComp24[],16,FALSE),VLOOKUP(A141,IntComp[],16,FALSE)))))</f>
        <v/>
      </c>
      <c r="J141" s="143" t="str">
        <f ca="1">IF(IF(OR(F141="2019-2020",F141="2021-2025"),"",IF(ISNUMBER(SEARCH("LLC",D141)),VLOOKUP(A141,IntComp24[],17,FALSE),VLOOKUP(A141,IntComp[],17,FALSE)))=0,"",IF(OR(F141="2019-2020",F141="2021-2025"),"",IF(ISNUMBER(SEARCH("LLC",D141)),VLOOKUP(A141,IntComp24[],17,FALSE),VLOOKUP(A141,IntComp[],17,FALSE))))</f>
        <v/>
      </c>
      <c r="K141" s="151"/>
      <c r="L141" s="151">
        <f ca="1">IF(OR(F141="2019-2020",F141="2021-2025"),"",IF(ISNUMBER(SEARCH("LLC",D141)),VLOOKUP(A141,IntComp24[],18,FALSE),VLOOKUP(A141,IntComp[],18,FALSE)))</f>
        <v>0</v>
      </c>
      <c r="M141" s="143"/>
      <c r="N141" s="143" t="str">
        <f ca="1">IF(IF(OR(F141="2019-2020",F141="2021-2025"),"",IF(ISNUMBER(SEARCH("LLC",D141)),VLOOKUP(A141,IntComp24[],20,FALSE),VLOOKUP(A141,IntComp[],20,FALSE)))=0,"",IF(OR(F141="2019-2020",F141="2021-2025"),"",IF(ISNUMBER(SEARCH("LLC",D141)),VLOOKUP(A141,IntComp24[],20,FALSE),VLOOKUP(A141,IntComp[],20,FALSE))))</f>
        <v/>
      </c>
      <c r="O141" s="152" t="str">
        <f ca="1">IF(IF(OR(F141="2019-2020",F141="2021-2025"),"",IF(ISNUMBER(SEARCH("LLC",D141)),VLOOKUP(A141,IntComp24[],23,FALSE),VLOOKUP(A141,IntComp[],23,FALSE)))=0,"",IF(OR(F141="2019-2020",F141="2021-2025"),"",IF(ISNUMBER(SEARCH("LLC",D141)),VLOOKUP(A141,IntComp24[],23,FALSE),VLOOKUP(A141,IntComp[],23,FALSE))))</f>
        <v/>
      </c>
    </row>
    <row r="142" spans="1:15">
      <c r="A142" s="147" t="s">
        <v>238</v>
      </c>
      <c r="B142" s="144">
        <f>VLOOKUP(A142,Data[],2,FALSE)</f>
        <v>0</v>
      </c>
      <c r="C142" s="144" t="s">
        <v>106</v>
      </c>
      <c r="D142" s="9" t="str">
        <f>VLOOKUP(A142,Data[],52,FALSE)</f>
        <v>FEDERAL</v>
      </c>
      <c r="E142" s="9">
        <f>VLOOKUP(IntAll[[#This Row],[DEVELOPMENT]],Data[],62,FALSE)</f>
        <v>0</v>
      </c>
      <c r="F142" s="9" t="str">
        <f ca="1">VLOOKUP(A142,Data[],4,FALSE)</f>
        <v/>
      </c>
      <c r="G142" s="9">
        <f>VLOOKUP(IntAll[[#This Row],[DEVELOPMENT]],EHDAll[[DEVELOPMENT]:['# Units]],6,FALSE)</f>
        <v>0</v>
      </c>
      <c r="H142" s="143" t="str">
        <f ca="1">IF(IntAll[[#This Row],[STATUS]]="","",IF(OR(F142="2019-2020",F142="2021-2025"),"",IF(ISNUMBER(SEARCH("LLC",D142)),VLOOKUP(A142,IntComp24[],21,FALSE),VLOOKUP(A142,IntComp[],21,FALSE))))</f>
        <v/>
      </c>
      <c r="I142" s="143" t="str">
        <f ca="1">IF(IntAll[[#This Row],[STATUS]]="","",IF(IF(OR(F142="2019-2020",F142="2021-2025"),"",IF(ISNUMBER(SEARCH("LLC",D142)),VLOOKUP(A142,IntComp24[],16,FALSE),VLOOKUP(A142,IntComp[],16,FALSE)))=0,"",IF(OR(F142="2019-2020",F142="2021-2025"),"",IF(ISNUMBER(SEARCH("LLC",D142)),VLOOKUP(A142,IntComp24[],16,FALSE),VLOOKUP(A142,IntComp[],16,FALSE)))))</f>
        <v/>
      </c>
      <c r="J142" s="143" t="str">
        <f ca="1">IF(IF(OR(F142="2019-2020",F142="2021-2025"),"",IF(ISNUMBER(SEARCH("LLC",D142)),VLOOKUP(A142,IntComp24[],17,FALSE),VLOOKUP(A142,IntComp[],17,FALSE)))=0,"",IF(OR(F142="2019-2020",F142="2021-2025"),"",IF(ISNUMBER(SEARCH("LLC",D142)),VLOOKUP(A142,IntComp24[],17,FALSE),VLOOKUP(A142,IntComp[],17,FALSE))))</f>
        <v/>
      </c>
      <c r="K142" s="151"/>
      <c r="L142" s="151">
        <f ca="1">IF(OR(F142="2019-2020",F142="2021-2025"),"",IF(ISNUMBER(SEARCH("LLC",D142)),VLOOKUP(A142,IntComp24[],18,FALSE),VLOOKUP(A142,IntComp[],18,FALSE)))</f>
        <v>0</v>
      </c>
      <c r="M142" s="143"/>
      <c r="N142" s="143" t="str">
        <f ca="1">IF(IF(OR(F142="2019-2020",F142="2021-2025"),"",IF(ISNUMBER(SEARCH("LLC",D142)),VLOOKUP(A142,IntComp24[],20,FALSE),VLOOKUP(A142,IntComp[],20,FALSE)))=0,"",IF(OR(F142="2019-2020",F142="2021-2025"),"",IF(ISNUMBER(SEARCH("LLC",D142)),VLOOKUP(A142,IntComp24[],20,FALSE),VLOOKUP(A142,IntComp[],20,FALSE))))</f>
        <v/>
      </c>
      <c r="O142" s="152" t="str">
        <f ca="1">IF(IF(OR(F142="2019-2020",F142="2021-2025"),"",IF(ISNUMBER(SEARCH("LLC",D142)),VLOOKUP(A142,IntComp24[],23,FALSE),VLOOKUP(A142,IntComp[],23,FALSE)))=0,"",IF(OR(F142="2019-2020",F142="2021-2025"),"",IF(ISNUMBER(SEARCH("LLC",D142)),VLOOKUP(A142,IntComp24[],23,FALSE),VLOOKUP(A142,IntComp[],23,FALSE))))</f>
        <v/>
      </c>
    </row>
    <row r="143" spans="1:15">
      <c r="A143" s="147" t="s">
        <v>239</v>
      </c>
      <c r="B143" s="144">
        <f>VLOOKUP(A143,Data[],2,FALSE)</f>
        <v>0</v>
      </c>
      <c r="C143" s="144" t="s">
        <v>106</v>
      </c>
      <c r="D143" s="9" t="str">
        <f>VLOOKUP(A143,Data[],52,FALSE)</f>
        <v>FEDERAL</v>
      </c>
      <c r="E143" s="9">
        <f>VLOOKUP(IntAll[[#This Row],[DEVELOPMENT]],Data[],62,FALSE)</f>
        <v>0</v>
      </c>
      <c r="F143" s="9" t="str">
        <f ca="1">VLOOKUP(A143,Data[],4,FALSE)</f>
        <v/>
      </c>
      <c r="G143" s="9">
        <f>VLOOKUP(IntAll[[#This Row],[DEVELOPMENT]],EHDAll[[DEVELOPMENT]:['# Units]],6,FALSE)</f>
        <v>0</v>
      </c>
      <c r="H143" s="143" t="str">
        <f ca="1">IF(IntAll[[#This Row],[STATUS]]="","",IF(OR(F143="2019-2020",F143="2021-2025"),"",IF(ISNUMBER(SEARCH("LLC",D143)),VLOOKUP(A143,IntComp24[],21,FALSE),VLOOKUP(A143,IntComp[],21,FALSE))))</f>
        <v/>
      </c>
      <c r="I143" s="143" t="str">
        <f ca="1">IF(IntAll[[#This Row],[STATUS]]="","",IF(IF(OR(F143="2019-2020",F143="2021-2025"),"",IF(ISNUMBER(SEARCH("LLC",D143)),VLOOKUP(A143,IntComp24[],16,FALSE),VLOOKUP(A143,IntComp[],16,FALSE)))=0,"",IF(OR(F143="2019-2020",F143="2021-2025"),"",IF(ISNUMBER(SEARCH("LLC",D143)),VLOOKUP(A143,IntComp24[],16,FALSE),VLOOKUP(A143,IntComp[],16,FALSE)))))</f>
        <v/>
      </c>
      <c r="J143" s="143" t="str">
        <f ca="1">IF(IF(OR(F143="2019-2020",F143="2021-2025"),"",IF(ISNUMBER(SEARCH("LLC",D143)),VLOOKUP(A143,IntComp24[],17,FALSE),VLOOKUP(A143,IntComp[],17,FALSE)))=0,"",IF(OR(F143="2019-2020",F143="2021-2025"),"",IF(ISNUMBER(SEARCH("LLC",D143)),VLOOKUP(A143,IntComp24[],17,FALSE),VLOOKUP(A143,IntComp[],17,FALSE))))</f>
        <v/>
      </c>
      <c r="K143" s="151"/>
      <c r="L143" s="151">
        <f ca="1">IF(OR(F143="2019-2020",F143="2021-2025"),"",IF(ISNUMBER(SEARCH("LLC",D143)),VLOOKUP(A143,IntComp24[],18,FALSE),VLOOKUP(A143,IntComp[],18,FALSE)))</f>
        <v>0</v>
      </c>
      <c r="M143" s="143"/>
      <c r="N143" s="143" t="str">
        <f ca="1">IF(IF(OR(F143="2019-2020",F143="2021-2025"),"",IF(ISNUMBER(SEARCH("LLC",D143)),VLOOKUP(A143,IntComp24[],20,FALSE),VLOOKUP(A143,IntComp[],20,FALSE)))=0,"",IF(OR(F143="2019-2020",F143="2021-2025"),"",IF(ISNUMBER(SEARCH("LLC",D143)),VLOOKUP(A143,IntComp24[],20,FALSE),VLOOKUP(A143,IntComp[],20,FALSE))))</f>
        <v/>
      </c>
      <c r="O143" s="152" t="str">
        <f ca="1">IF(IF(OR(F143="2019-2020",F143="2021-2025"),"",IF(ISNUMBER(SEARCH("LLC",D143)),VLOOKUP(A143,IntComp24[],23,FALSE),VLOOKUP(A143,IntComp[],23,FALSE)))=0,"",IF(OR(F143="2019-2020",F143="2021-2025"),"",IF(ISNUMBER(SEARCH("LLC",D143)),VLOOKUP(A143,IntComp24[],23,FALSE),VLOOKUP(A143,IntComp[],23,FALSE))))</f>
        <v/>
      </c>
    </row>
    <row r="144" spans="1:15">
      <c r="A144" s="147" t="s">
        <v>240</v>
      </c>
      <c r="B144" s="144">
        <f>VLOOKUP(A144,Data[],2,FALSE)</f>
        <v>0</v>
      </c>
      <c r="C144" s="144" t="s">
        <v>106</v>
      </c>
      <c r="D144" s="9" t="str">
        <f>VLOOKUP(A144,Data[],52,FALSE)</f>
        <v>FEDERAL</v>
      </c>
      <c r="E144" s="9">
        <f>VLOOKUP(IntAll[[#This Row],[DEVELOPMENT]],Data[],62,FALSE)</f>
        <v>0</v>
      </c>
      <c r="F144" s="9" t="str">
        <f ca="1">VLOOKUP(A144,Data[],4,FALSE)</f>
        <v/>
      </c>
      <c r="G144" s="9">
        <f>VLOOKUP(IntAll[[#This Row],[DEVELOPMENT]],EHDAll[[DEVELOPMENT]:['# Units]],6,FALSE)</f>
        <v>0</v>
      </c>
      <c r="H144" s="143" t="str">
        <f ca="1">IF(IntAll[[#This Row],[STATUS]]="","",IF(OR(F144="2019-2020",F144="2021-2025"),"",IF(ISNUMBER(SEARCH("LLC",D144)),VLOOKUP(A144,IntComp24[],21,FALSE),VLOOKUP(A144,IntComp[],21,FALSE))))</f>
        <v/>
      </c>
      <c r="I144" s="143" t="str">
        <f ca="1">IF(IntAll[[#This Row],[STATUS]]="","",IF(IF(OR(F144="2019-2020",F144="2021-2025"),"",IF(ISNUMBER(SEARCH("LLC",D144)),VLOOKUP(A144,IntComp24[],16,FALSE),VLOOKUP(A144,IntComp[],16,FALSE)))=0,"",IF(OR(F144="2019-2020",F144="2021-2025"),"",IF(ISNUMBER(SEARCH("LLC",D144)),VLOOKUP(A144,IntComp24[],16,FALSE),VLOOKUP(A144,IntComp[],16,FALSE)))))</f>
        <v/>
      </c>
      <c r="J144" s="143" t="str">
        <f ca="1">IF(IF(OR(F144="2019-2020",F144="2021-2025"),"",IF(ISNUMBER(SEARCH("LLC",D144)),VLOOKUP(A144,IntComp24[],17,FALSE),VLOOKUP(A144,IntComp[],17,FALSE)))=0,"",IF(OR(F144="2019-2020",F144="2021-2025"),"",IF(ISNUMBER(SEARCH("LLC",D144)),VLOOKUP(A144,IntComp24[],17,FALSE),VLOOKUP(A144,IntComp[],17,FALSE))))</f>
        <v/>
      </c>
      <c r="K144" s="151"/>
      <c r="L144" s="151">
        <f ca="1">IF(OR(F144="2019-2020",F144="2021-2025"),"",IF(ISNUMBER(SEARCH("LLC",D144)),VLOOKUP(A144,IntComp24[],18,FALSE),VLOOKUP(A144,IntComp[],18,FALSE)))</f>
        <v>0</v>
      </c>
      <c r="M144" s="143"/>
      <c r="N144" s="143" t="str">
        <f ca="1">IF(IF(OR(F144="2019-2020",F144="2021-2025"),"",IF(ISNUMBER(SEARCH("LLC",D144)),VLOOKUP(A144,IntComp24[],20,FALSE),VLOOKUP(A144,IntComp[],20,FALSE)))=0,"",IF(OR(F144="2019-2020",F144="2021-2025"),"",IF(ISNUMBER(SEARCH("LLC",D144)),VLOOKUP(A144,IntComp24[],20,FALSE),VLOOKUP(A144,IntComp[],20,FALSE))))</f>
        <v/>
      </c>
      <c r="O144" s="152" t="str">
        <f ca="1">IF(IF(OR(F144="2019-2020",F144="2021-2025"),"",IF(ISNUMBER(SEARCH("LLC",D144)),VLOOKUP(A144,IntComp24[],23,FALSE),VLOOKUP(A144,IntComp[],23,FALSE)))=0,"",IF(OR(F144="2019-2020",F144="2021-2025"),"",IF(ISNUMBER(SEARCH("LLC",D144)),VLOOKUP(A144,IntComp24[],23,FALSE),VLOOKUP(A144,IntComp[],23,FALSE))))</f>
        <v/>
      </c>
    </row>
    <row r="145" spans="1:15">
      <c r="A145" s="147" t="s">
        <v>320</v>
      </c>
      <c r="B145" s="144">
        <f>VLOOKUP(A145,Data[],2,FALSE)</f>
        <v>0</v>
      </c>
      <c r="C145" s="144" t="s">
        <v>106</v>
      </c>
      <c r="D145" s="9" t="str">
        <f>VLOOKUP(A145,Data[],52,FALSE)</f>
        <v>FEDERAL</v>
      </c>
      <c r="E145" s="9">
        <f>VLOOKUP(IntAll[[#This Row],[DEVELOPMENT]],Data[],62,FALSE)</f>
        <v>0</v>
      </c>
      <c r="F145" s="9" t="str">
        <f ca="1">VLOOKUP(A145,Data[],4,FALSE)</f>
        <v/>
      </c>
      <c r="G145" s="9">
        <f>VLOOKUP(IntAll[[#This Row],[DEVELOPMENT]],EHDAll[[DEVELOPMENT]:['# Units]],6,FALSE)</f>
        <v>0</v>
      </c>
      <c r="H145" s="143" t="str">
        <f ca="1">IF(IntAll[[#This Row],[STATUS]]="","",IF(OR(F145="2019-2020",F145="2021-2025"),"",IF(ISNUMBER(SEARCH("LLC",D145)),VLOOKUP(A145,IntComp24[],21,FALSE),VLOOKUP(A145,IntComp[],21,FALSE))))</f>
        <v/>
      </c>
      <c r="I145" s="143" t="str">
        <f ca="1">IF(IntAll[[#This Row],[STATUS]]="","",IF(IF(OR(F145="2019-2020",F145="2021-2025"),"",IF(ISNUMBER(SEARCH("LLC",D145)),VLOOKUP(A145,IntComp24[],16,FALSE),VLOOKUP(A145,IntComp[],16,FALSE)))=0,"",IF(OR(F145="2019-2020",F145="2021-2025"),"",IF(ISNUMBER(SEARCH("LLC",D145)),VLOOKUP(A145,IntComp24[],16,FALSE),VLOOKUP(A145,IntComp[],16,FALSE)))))</f>
        <v/>
      </c>
      <c r="J145" s="143" t="str">
        <f ca="1">IF(IF(OR(F145="2019-2020",F145="2021-2025"),"",IF(ISNUMBER(SEARCH("LLC",D145)),VLOOKUP(A145,IntComp24[],17,FALSE),VLOOKUP(A145,IntComp[],17,FALSE)))=0,"",IF(OR(F145="2019-2020",F145="2021-2025"),"",IF(ISNUMBER(SEARCH("LLC",D145)),VLOOKUP(A145,IntComp24[],17,FALSE),VLOOKUP(A145,IntComp[],17,FALSE))))</f>
        <v/>
      </c>
      <c r="K145" s="151"/>
      <c r="L145" s="151">
        <f ca="1">IF(OR(F145="2019-2020",F145="2021-2025"),"",IF(ISNUMBER(SEARCH("LLC",D145)),VLOOKUP(A145,IntComp24[],18,FALSE),VLOOKUP(A145,IntComp[],18,FALSE)))</f>
        <v>0</v>
      </c>
      <c r="M145" s="143"/>
      <c r="N145" s="143" t="str">
        <f ca="1">IF(IF(OR(F145="2019-2020",F145="2021-2025"),"",IF(ISNUMBER(SEARCH("LLC",D145)),VLOOKUP(A145,IntComp24[],20,FALSE),VLOOKUP(A145,IntComp[],20,FALSE)))=0,"",IF(OR(F145="2019-2020",F145="2021-2025"),"",IF(ISNUMBER(SEARCH("LLC",D145)),VLOOKUP(A145,IntComp24[],20,FALSE),VLOOKUP(A145,IntComp[],20,FALSE))))</f>
        <v/>
      </c>
      <c r="O145" s="152" t="str">
        <f ca="1">IF(IF(OR(F145="2019-2020",F145="2021-2025"),"",IF(ISNUMBER(SEARCH("LLC",D145)),VLOOKUP(A145,IntComp24[],23,FALSE),VLOOKUP(A145,IntComp[],23,FALSE)))=0,"",IF(OR(F145="2019-2020",F145="2021-2025"),"",IF(ISNUMBER(SEARCH("LLC",D145)),VLOOKUP(A145,IntComp24[],23,FALSE),VLOOKUP(A145,IntComp[],23,FALSE))))</f>
        <v/>
      </c>
    </row>
    <row r="146" spans="1:15">
      <c r="A146" s="147" t="s">
        <v>321</v>
      </c>
      <c r="B146" s="144">
        <f>VLOOKUP(A146,Data[],2,FALSE)</f>
        <v>0</v>
      </c>
      <c r="C146" s="144" t="s">
        <v>106</v>
      </c>
      <c r="D146" s="9" t="str">
        <f>VLOOKUP(A146,Data[],52,FALSE)</f>
        <v>FEDERAL</v>
      </c>
      <c r="E146" s="9">
        <f>VLOOKUP(IntAll[[#This Row],[DEVELOPMENT]],Data[],62,FALSE)</f>
        <v>0</v>
      </c>
      <c r="F146" s="9" t="str">
        <f ca="1">VLOOKUP(A146,Data[],4,FALSE)</f>
        <v/>
      </c>
      <c r="G146" s="9">
        <f>VLOOKUP(IntAll[[#This Row],[DEVELOPMENT]],EHDAll[[DEVELOPMENT]:['# Units]],6,FALSE)</f>
        <v>0</v>
      </c>
      <c r="H146" s="143" t="str">
        <f ca="1">IF(IntAll[[#This Row],[STATUS]]="","",IF(OR(F146="2019-2020",F146="2021-2025"),"",IF(ISNUMBER(SEARCH("LLC",D146)),VLOOKUP(A146,IntComp24[],21,FALSE),VLOOKUP(A146,IntComp[],21,FALSE))))</f>
        <v/>
      </c>
      <c r="I146" s="143" t="str">
        <f ca="1">IF(IntAll[[#This Row],[STATUS]]="","",IF(IF(OR(F146="2019-2020",F146="2021-2025"),"",IF(ISNUMBER(SEARCH("LLC",D146)),VLOOKUP(A146,IntComp24[],16,FALSE),VLOOKUP(A146,IntComp[],16,FALSE)))=0,"",IF(OR(F146="2019-2020",F146="2021-2025"),"",IF(ISNUMBER(SEARCH("LLC",D146)),VLOOKUP(A146,IntComp24[],16,FALSE),VLOOKUP(A146,IntComp[],16,FALSE)))))</f>
        <v/>
      </c>
      <c r="J146" s="143" t="str">
        <f ca="1">IF(IF(OR(F146="2019-2020",F146="2021-2025"),"",IF(ISNUMBER(SEARCH("LLC",D146)),VLOOKUP(A146,IntComp24[],17,FALSE),VLOOKUP(A146,IntComp[],17,FALSE)))=0,"",IF(OR(F146="2019-2020",F146="2021-2025"),"",IF(ISNUMBER(SEARCH("LLC",D146)),VLOOKUP(A146,IntComp24[],17,FALSE),VLOOKUP(A146,IntComp[],17,FALSE))))</f>
        <v/>
      </c>
      <c r="K146" s="151"/>
      <c r="L146" s="151">
        <f ca="1">IF(OR(F146="2019-2020",F146="2021-2025"),"",IF(ISNUMBER(SEARCH("LLC",D146)),VLOOKUP(A146,IntComp24[],18,FALSE),VLOOKUP(A146,IntComp[],18,FALSE)))</f>
        <v>0</v>
      </c>
      <c r="M146" s="143"/>
      <c r="N146" s="143" t="str">
        <f ca="1">IF(IF(OR(F146="2019-2020",F146="2021-2025"),"",IF(ISNUMBER(SEARCH("LLC",D146)),VLOOKUP(A146,IntComp24[],20,FALSE),VLOOKUP(A146,IntComp[],20,FALSE)))=0,"",IF(OR(F146="2019-2020",F146="2021-2025"),"",IF(ISNUMBER(SEARCH("LLC",D146)),VLOOKUP(A146,IntComp24[],20,FALSE),VLOOKUP(A146,IntComp[],20,FALSE))))</f>
        <v/>
      </c>
      <c r="O146" s="152" t="str">
        <f ca="1">IF(IF(OR(F146="2019-2020",F146="2021-2025"),"",IF(ISNUMBER(SEARCH("LLC",D146)),VLOOKUP(A146,IntComp24[],23,FALSE),VLOOKUP(A146,IntComp[],23,FALSE)))=0,"",IF(OR(F146="2019-2020",F146="2021-2025"),"",IF(ISNUMBER(SEARCH("LLC",D146)),VLOOKUP(A146,IntComp24[],23,FALSE),VLOOKUP(A146,IntComp[],23,FALSE))))</f>
        <v/>
      </c>
    </row>
    <row r="147" spans="1:15">
      <c r="A147" s="147" t="s">
        <v>322</v>
      </c>
      <c r="B147" s="144">
        <f>VLOOKUP(A147,Data[],2,FALSE)</f>
        <v>0</v>
      </c>
      <c r="C147" s="144" t="s">
        <v>106</v>
      </c>
      <c r="D147" s="9" t="str">
        <f>VLOOKUP(A147,Data[],52,FALSE)</f>
        <v>FEDERAL</v>
      </c>
      <c r="E147" s="9">
        <f>VLOOKUP(IntAll[[#This Row],[DEVELOPMENT]],Data[],62,FALSE)</f>
        <v>0</v>
      </c>
      <c r="F147" s="9" t="str">
        <f ca="1">VLOOKUP(A147,Data[],4,FALSE)</f>
        <v/>
      </c>
      <c r="G147" s="9">
        <f>VLOOKUP(IntAll[[#This Row],[DEVELOPMENT]],EHDAll[[DEVELOPMENT]:['# Units]],6,FALSE)</f>
        <v>0</v>
      </c>
      <c r="H147" s="143" t="str">
        <f ca="1">IF(IntAll[[#This Row],[STATUS]]="","",IF(OR(F147="2019-2020",F147="2021-2025"),"",IF(ISNUMBER(SEARCH("LLC",D147)),VLOOKUP(A147,IntComp24[],21,FALSE),VLOOKUP(A147,IntComp[],21,FALSE))))</f>
        <v/>
      </c>
      <c r="I147" s="143" t="str">
        <f ca="1">IF(IntAll[[#This Row],[STATUS]]="","",IF(IF(OR(F147="2019-2020",F147="2021-2025"),"",IF(ISNUMBER(SEARCH("LLC",D147)),VLOOKUP(A147,IntComp24[],16,FALSE),VLOOKUP(A147,IntComp[],16,FALSE)))=0,"",IF(OR(F147="2019-2020",F147="2021-2025"),"",IF(ISNUMBER(SEARCH("LLC",D147)),VLOOKUP(A147,IntComp24[],16,FALSE),VLOOKUP(A147,IntComp[],16,FALSE)))))</f>
        <v/>
      </c>
      <c r="J147" s="143" t="str">
        <f ca="1">IF(IF(OR(F147="2019-2020",F147="2021-2025"),"",IF(ISNUMBER(SEARCH("LLC",D147)),VLOOKUP(A147,IntComp24[],17,FALSE),VLOOKUP(A147,IntComp[],17,FALSE)))=0,"",IF(OR(F147="2019-2020",F147="2021-2025"),"",IF(ISNUMBER(SEARCH("LLC",D147)),VLOOKUP(A147,IntComp24[],17,FALSE),VLOOKUP(A147,IntComp[],17,FALSE))))</f>
        <v/>
      </c>
      <c r="K147" s="151"/>
      <c r="L147" s="151">
        <f ca="1">IF(OR(F147="2019-2020",F147="2021-2025"),"",IF(ISNUMBER(SEARCH("LLC",D147)),VLOOKUP(A147,IntComp24[],18,FALSE),VLOOKUP(A147,IntComp[],18,FALSE)))</f>
        <v>0</v>
      </c>
      <c r="M147" s="143"/>
      <c r="N147" s="143" t="str">
        <f ca="1">IF(IF(OR(F147="2019-2020",F147="2021-2025"),"",IF(ISNUMBER(SEARCH("LLC",D147)),VLOOKUP(A147,IntComp24[],20,FALSE),VLOOKUP(A147,IntComp[],20,FALSE)))=0,"",IF(OR(F147="2019-2020",F147="2021-2025"),"",IF(ISNUMBER(SEARCH("LLC",D147)),VLOOKUP(A147,IntComp24[],20,FALSE),VLOOKUP(A147,IntComp[],20,FALSE))))</f>
        <v/>
      </c>
      <c r="O147" s="152" t="str">
        <f ca="1">IF(IF(OR(F147="2019-2020",F147="2021-2025"),"",IF(ISNUMBER(SEARCH("LLC",D147)),VLOOKUP(A147,IntComp24[],23,FALSE),VLOOKUP(A147,IntComp[],23,FALSE)))=0,"",IF(OR(F147="2019-2020",F147="2021-2025"),"",IF(ISNUMBER(SEARCH("LLC",D147)),VLOOKUP(A147,IntComp24[],23,FALSE),VLOOKUP(A147,IntComp[],23,FALSE))))</f>
        <v/>
      </c>
    </row>
    <row r="148" spans="1:15">
      <c r="A148" s="147" t="s">
        <v>241</v>
      </c>
      <c r="B148" s="144">
        <f>VLOOKUP(A148,Data[],2,FALSE)</f>
        <v>0</v>
      </c>
      <c r="C148" s="144" t="s">
        <v>106</v>
      </c>
      <c r="D148" s="9" t="str">
        <f>VLOOKUP(A148,Data[],52,FALSE)</f>
        <v>FEDERAL</v>
      </c>
      <c r="E148" s="9">
        <f>VLOOKUP(IntAll[[#This Row],[DEVELOPMENT]],Data[],62,FALSE)</f>
        <v>0</v>
      </c>
      <c r="F148" s="9" t="str">
        <f ca="1">VLOOKUP(A148,Data[],4,FALSE)</f>
        <v/>
      </c>
      <c r="G148" s="9">
        <f>VLOOKUP(IntAll[[#This Row],[DEVELOPMENT]],EHDAll[[DEVELOPMENT]:['# Units]],6,FALSE)</f>
        <v>0</v>
      </c>
      <c r="H148" s="143" t="str">
        <f ca="1">IF(IntAll[[#This Row],[STATUS]]="","",IF(OR(F148="2019-2020",F148="2021-2025"),"",IF(ISNUMBER(SEARCH("LLC",D148)),VLOOKUP(A148,IntComp24[],21,FALSE),VLOOKUP(A148,IntComp[],21,FALSE))))</f>
        <v/>
      </c>
      <c r="I148" s="143" t="str">
        <f ca="1">IF(IntAll[[#This Row],[STATUS]]="","",IF(IF(OR(F148="2019-2020",F148="2021-2025"),"",IF(ISNUMBER(SEARCH("LLC",D148)),VLOOKUP(A148,IntComp24[],16,FALSE),VLOOKUP(A148,IntComp[],16,FALSE)))=0,"",IF(OR(F148="2019-2020",F148="2021-2025"),"",IF(ISNUMBER(SEARCH("LLC",D148)),VLOOKUP(A148,IntComp24[],16,FALSE),VLOOKUP(A148,IntComp[],16,FALSE)))))</f>
        <v/>
      </c>
      <c r="J148" s="143" t="str">
        <f ca="1">IF(IF(OR(F148="2019-2020",F148="2021-2025"),"",IF(ISNUMBER(SEARCH("LLC",D148)),VLOOKUP(A148,IntComp24[],17,FALSE),VLOOKUP(A148,IntComp[],17,FALSE)))=0,"",IF(OR(F148="2019-2020",F148="2021-2025"),"",IF(ISNUMBER(SEARCH("LLC",D148)),VLOOKUP(A148,IntComp24[],17,FALSE),VLOOKUP(A148,IntComp[],17,FALSE))))</f>
        <v/>
      </c>
      <c r="K148" s="151"/>
      <c r="L148" s="151">
        <f ca="1">IF(OR(F148="2019-2020",F148="2021-2025"),"",IF(ISNUMBER(SEARCH("LLC",D148)),VLOOKUP(A148,IntComp24[],18,FALSE),VLOOKUP(A148,IntComp[],18,FALSE)))</f>
        <v>0</v>
      </c>
      <c r="M148" s="143"/>
      <c r="N148" s="143" t="str">
        <f ca="1">IF(IF(OR(F148="2019-2020",F148="2021-2025"),"",IF(ISNUMBER(SEARCH("LLC",D148)),VLOOKUP(A148,IntComp24[],20,FALSE),VLOOKUP(A148,IntComp[],20,FALSE)))=0,"",IF(OR(F148="2019-2020",F148="2021-2025"),"",IF(ISNUMBER(SEARCH("LLC",D148)),VLOOKUP(A148,IntComp24[],20,FALSE),VLOOKUP(A148,IntComp[],20,FALSE))))</f>
        <v/>
      </c>
      <c r="O148" s="152" t="str">
        <f ca="1">IF(IF(OR(F148="2019-2020",F148="2021-2025"),"",IF(ISNUMBER(SEARCH("LLC",D148)),VLOOKUP(A148,IntComp24[],23,FALSE),VLOOKUP(A148,IntComp[],23,FALSE)))=0,"",IF(OR(F148="2019-2020",F148="2021-2025"),"",IF(ISNUMBER(SEARCH("LLC",D148)),VLOOKUP(A148,IntComp24[],23,FALSE),VLOOKUP(A148,IntComp[],23,FALSE))))</f>
        <v/>
      </c>
    </row>
    <row r="149" spans="1:15">
      <c r="A149" s="147" t="s">
        <v>323</v>
      </c>
      <c r="B149" s="144">
        <f>VLOOKUP(A149,Data[],2,FALSE)</f>
        <v>0</v>
      </c>
      <c r="C149" s="144" t="s">
        <v>106</v>
      </c>
      <c r="D149" s="9" t="str">
        <f>VLOOKUP(A149,Data[],52,FALSE)</f>
        <v>FEDERAL</v>
      </c>
      <c r="E149" s="9">
        <f>VLOOKUP(IntAll[[#This Row],[DEVELOPMENT]],Data[],62,FALSE)</f>
        <v>0</v>
      </c>
      <c r="F149" s="9" t="str">
        <f ca="1">VLOOKUP(A149,Data[],4,FALSE)</f>
        <v/>
      </c>
      <c r="G149" s="9">
        <f>VLOOKUP(IntAll[[#This Row],[DEVELOPMENT]],EHDAll[[DEVELOPMENT]:['# Units]],6,FALSE)</f>
        <v>0</v>
      </c>
      <c r="H149" s="143" t="str">
        <f ca="1">IF(IntAll[[#This Row],[STATUS]]="","",IF(OR(F149="2019-2020",F149="2021-2025"),"",IF(ISNUMBER(SEARCH("LLC",D149)),VLOOKUP(A149,IntComp24[],21,FALSE),VLOOKUP(A149,IntComp[],21,FALSE))))</f>
        <v/>
      </c>
      <c r="I149" s="143" t="str">
        <f ca="1">IF(IntAll[[#This Row],[STATUS]]="","",IF(IF(OR(F149="2019-2020",F149="2021-2025"),"",IF(ISNUMBER(SEARCH("LLC",D149)),VLOOKUP(A149,IntComp24[],16,FALSE),VLOOKUP(A149,IntComp[],16,FALSE)))=0,"",IF(OR(F149="2019-2020",F149="2021-2025"),"",IF(ISNUMBER(SEARCH("LLC",D149)),VLOOKUP(A149,IntComp24[],16,FALSE),VLOOKUP(A149,IntComp[],16,FALSE)))))</f>
        <v/>
      </c>
      <c r="J149" s="143" t="str">
        <f ca="1">IF(IF(OR(F149="2019-2020",F149="2021-2025"),"",IF(ISNUMBER(SEARCH("LLC",D149)),VLOOKUP(A149,IntComp24[],17,FALSE),VLOOKUP(A149,IntComp[],17,FALSE)))=0,"",IF(OR(F149="2019-2020",F149="2021-2025"),"",IF(ISNUMBER(SEARCH("LLC",D149)),VLOOKUP(A149,IntComp24[],17,FALSE),VLOOKUP(A149,IntComp[],17,FALSE))))</f>
        <v/>
      </c>
      <c r="K149" s="151"/>
      <c r="L149" s="151">
        <f ca="1">IF(OR(F149="2019-2020",F149="2021-2025"),"",IF(ISNUMBER(SEARCH("LLC",D149)),VLOOKUP(A149,IntComp24[],18,FALSE),VLOOKUP(A149,IntComp[],18,FALSE)))</f>
        <v>0</v>
      </c>
      <c r="M149" s="143"/>
      <c r="N149" s="143" t="str">
        <f ca="1">IF(IF(OR(F149="2019-2020",F149="2021-2025"),"",IF(ISNUMBER(SEARCH("LLC",D149)),VLOOKUP(A149,IntComp24[],20,FALSE),VLOOKUP(A149,IntComp[],20,FALSE)))=0,"",IF(OR(F149="2019-2020",F149="2021-2025"),"",IF(ISNUMBER(SEARCH("LLC",D149)),VLOOKUP(A149,IntComp24[],20,FALSE),VLOOKUP(A149,IntComp[],20,FALSE))))</f>
        <v/>
      </c>
      <c r="O149" s="152" t="str">
        <f ca="1">IF(IF(OR(F149="2019-2020",F149="2021-2025"),"",IF(ISNUMBER(SEARCH("LLC",D149)),VLOOKUP(A149,IntComp24[],23,FALSE),VLOOKUP(A149,IntComp[],23,FALSE)))=0,"",IF(OR(F149="2019-2020",F149="2021-2025"),"",IF(ISNUMBER(SEARCH("LLC",D149)),VLOOKUP(A149,IntComp24[],23,FALSE),VLOOKUP(A149,IntComp[],23,FALSE))))</f>
        <v/>
      </c>
    </row>
    <row r="150" spans="1:15">
      <c r="A150" s="147" t="s">
        <v>204</v>
      </c>
      <c r="B150" s="144" t="str">
        <f>VLOOKUP(A150,Data[],2,FALSE)</f>
        <v>BRONX</v>
      </c>
      <c r="C150" s="144" t="s">
        <v>106</v>
      </c>
      <c r="D150" s="9" t="str">
        <f>VLOOKUP(A150,Data[],52,FALSE)</f>
        <v>FEDERAL</v>
      </c>
      <c r="E150" s="9">
        <f>VLOOKUP(IntAll[[#This Row],[DEVELOPMENT]],Data[],62,FALSE)</f>
        <v>3</v>
      </c>
      <c r="F150" s="9" t="str">
        <f ca="1">VLOOKUP(A150,Data[],4,FALSE)</f>
        <v>2026+</v>
      </c>
      <c r="G150" s="9">
        <f>VLOOKUP(IntAll[[#This Row],[DEVELOPMENT]],EHDAll[[DEVELOPMENT]:['# Units]],6,FALSE)</f>
        <v>30</v>
      </c>
      <c r="H150" s="143" t="str">
        <f ca="1">IF(IntAll[[#This Row],[STATUS]]="","",IF(OR(F150="2019-2020",F150="2021-2025"),"",IF(ISNUMBER(SEARCH("LLC",D150)),VLOOKUP(A150,IntComp24[],21,FALSE),VLOOKUP(A150,IntComp[],21,FALSE))))</f>
        <v/>
      </c>
      <c r="I150" s="143" t="str">
        <f ca="1">IF(IntAll[[#This Row],[STATUS]]="","",IF(IF(OR(F150="2019-2020",F150="2021-2025"),"",IF(ISNUMBER(SEARCH("LLC",D150)),VLOOKUP(A150,IntComp24[],16,FALSE),VLOOKUP(A150,IntComp[],16,FALSE)))=0,"",IF(OR(F150="2019-2020",F150="2021-2025"),"",IF(ISNUMBER(SEARCH("LLC",D150)),VLOOKUP(A150,IntComp24[],16,FALSE),VLOOKUP(A150,IntComp[],16,FALSE)))))</f>
        <v/>
      </c>
      <c r="J150" s="143" t="str">
        <f ca="1">IF(IF(OR(F150="2019-2020",F150="2021-2025"),"",IF(ISNUMBER(SEARCH("LLC",D150)),VLOOKUP(A150,IntComp24[],17,FALSE),VLOOKUP(A150,IntComp[],17,FALSE)))=0,"",IF(OR(F150="2019-2020",F150="2021-2025"),"",IF(ISNUMBER(SEARCH("LLC",D150)),VLOOKUP(A150,IntComp24[],17,FALSE),VLOOKUP(A150,IntComp[],17,FALSE))))</f>
        <v/>
      </c>
      <c r="K150" s="151"/>
      <c r="L150" s="151">
        <f ca="1">IF(OR(F150="2019-2020",F150="2021-2025"),"",IF(ISNUMBER(SEARCH("LLC",D150)),VLOOKUP(A150,IntComp24[],18,FALSE),VLOOKUP(A150,IntComp[],18,FALSE)))</f>
        <v>1211280</v>
      </c>
      <c r="M150" s="143"/>
      <c r="N150" s="143" t="str">
        <f ca="1">IF(IF(OR(F150="2019-2020",F150="2021-2025"),"",IF(ISNUMBER(SEARCH("LLC",D150)),VLOOKUP(A150,IntComp24[],20,FALSE),VLOOKUP(A150,IntComp[],20,FALSE)))=0,"",IF(OR(F150="2019-2020",F150="2021-2025"),"",IF(ISNUMBER(SEARCH("LLC",D150)),VLOOKUP(A150,IntComp24[],20,FALSE),VLOOKUP(A150,IntComp[],20,FALSE))))</f>
        <v/>
      </c>
      <c r="O150" s="152" t="str">
        <f ca="1">IF(IF(OR(F150="2019-2020",F150="2021-2025"),"",IF(ISNUMBER(SEARCH("LLC",D150)),VLOOKUP(A150,IntComp24[],23,FALSE),VLOOKUP(A150,IntComp[],23,FALSE)))=0,"",IF(OR(F150="2019-2020",F150="2021-2025"),"",IF(ISNUMBER(SEARCH("LLC",D150)),VLOOKUP(A150,IntComp24[],23,FALSE),VLOOKUP(A150,IntComp[],23,FALSE))))</f>
        <v/>
      </c>
    </row>
    <row r="151" spans="1:15">
      <c r="A151" s="147" t="s">
        <v>276</v>
      </c>
      <c r="B151" s="144" t="str">
        <f>VLOOKUP(A151,Data[],2,FALSE)</f>
        <v>BRONX</v>
      </c>
      <c r="C151" s="144" t="s">
        <v>106</v>
      </c>
      <c r="D151" s="9" t="str">
        <f>VLOOKUP(A151,Data[],52,FALSE)</f>
        <v>FEDERAL</v>
      </c>
      <c r="E151" s="9">
        <f>VLOOKUP(IntAll[[#This Row],[DEVELOPMENT]],Data[],62,FALSE)</f>
        <v>8</v>
      </c>
      <c r="F151" s="9" t="str">
        <f ca="1">VLOOKUP(A151,Data[],4,FALSE)</f>
        <v/>
      </c>
      <c r="G151" s="9">
        <f>VLOOKUP(IntAll[[#This Row],[DEVELOPMENT]],EHDAll[[DEVELOPMENT]:['# Units]],6,FALSE)</f>
        <v>2</v>
      </c>
      <c r="H151" s="143" t="str">
        <f ca="1">IF(IntAll[[#This Row],[STATUS]]="","",IF(OR(F151="2019-2020",F151="2021-2025"),"",IF(ISNUMBER(SEARCH("LLC",D151)),VLOOKUP(A151,IntComp24[],21,FALSE),VLOOKUP(A151,IntComp[],21,FALSE))))</f>
        <v/>
      </c>
      <c r="I151" s="143" t="str">
        <f ca="1">IF(IntAll[[#This Row],[STATUS]]="","",IF(IF(OR(F151="2019-2020",F151="2021-2025"),"",IF(ISNUMBER(SEARCH("LLC",D151)),VLOOKUP(A151,IntComp24[],16,FALSE),VLOOKUP(A151,IntComp[],16,FALSE)))=0,"",IF(OR(F151="2019-2020",F151="2021-2025"),"",IF(ISNUMBER(SEARCH("LLC",D151)),VLOOKUP(A151,IntComp24[],16,FALSE),VLOOKUP(A151,IntComp[],16,FALSE)))))</f>
        <v/>
      </c>
      <c r="J151" s="143" t="str">
        <f ca="1">IF(IF(OR(F151="2019-2020",F151="2021-2025"),"",IF(ISNUMBER(SEARCH("LLC",D151)),VLOOKUP(A151,IntComp24[],17,FALSE),VLOOKUP(A151,IntComp[],17,FALSE)))=0,"",IF(OR(F151="2019-2020",F151="2021-2025"),"",IF(ISNUMBER(SEARCH("LLC",D151)),VLOOKUP(A151,IntComp24[],17,FALSE),VLOOKUP(A151,IntComp[],17,FALSE))))</f>
        <v/>
      </c>
      <c r="K151" s="151"/>
      <c r="L151" s="151">
        <f ca="1">IF(OR(F151="2019-2020",F151="2021-2025"),"",IF(ISNUMBER(SEARCH("LLC",D151)),VLOOKUP(A151,IntComp24[],18,FALSE),VLOOKUP(A151,IntComp[],18,FALSE)))</f>
        <v>161504</v>
      </c>
      <c r="M151" s="143"/>
      <c r="N151" s="143" t="str">
        <f ca="1">IF(IF(OR(F151="2019-2020",F151="2021-2025"),"",IF(ISNUMBER(SEARCH("LLC",D151)),VLOOKUP(A151,IntComp24[],20,FALSE),VLOOKUP(A151,IntComp[],20,FALSE)))=0,"",IF(OR(F151="2019-2020",F151="2021-2025"),"",IF(ISNUMBER(SEARCH("LLC",D151)),VLOOKUP(A151,IntComp24[],20,FALSE),VLOOKUP(A151,IntComp[],20,FALSE))))</f>
        <v/>
      </c>
      <c r="O151" s="152" t="str">
        <f ca="1">IF(IF(OR(F151="2019-2020",F151="2021-2025"),"",IF(ISNUMBER(SEARCH("LLC",D151)),VLOOKUP(A151,IntComp24[],23,FALSE),VLOOKUP(A151,IntComp[],23,FALSE)))=0,"",IF(OR(F151="2019-2020",F151="2021-2025"),"",IF(ISNUMBER(SEARCH("LLC",D151)),VLOOKUP(A151,IntComp24[],23,FALSE),VLOOKUP(A151,IntComp[],23,FALSE))))</f>
        <v/>
      </c>
    </row>
    <row r="152" spans="1:15">
      <c r="A152" s="147" t="s">
        <v>79</v>
      </c>
      <c r="B152" s="144" t="str">
        <f>VLOOKUP(A152,Data[],2,FALSE)</f>
        <v>MANHATTAN</v>
      </c>
      <c r="C152" s="144" t="s">
        <v>106</v>
      </c>
      <c r="D152" s="9" t="str">
        <f>VLOOKUP(A152,Data[],52,FALSE)</f>
        <v>FEDERAL</v>
      </c>
      <c r="E152" s="9">
        <f>VLOOKUP(IntAll[[#This Row],[DEVELOPMENT]],Data[],62,FALSE)</f>
        <v>12</v>
      </c>
      <c r="F152" s="9" t="str">
        <f ca="1">VLOOKUP(A152,Data[],4,FALSE)</f>
        <v>2020-2021</v>
      </c>
      <c r="G152" s="9">
        <f>VLOOKUP(IntAll[[#This Row],[DEVELOPMENT]],EHDAll[[DEVELOPMENT]:['# Units]],6,FALSE)</f>
        <v>1</v>
      </c>
      <c r="H152" s="143" t="str">
        <f ca="1">IF(IntAll[[#This Row],[STATUS]]="","",IF(OR(F152="2019-2020",F152="2021-2025"),"",IF(ISNUMBER(SEARCH("LLC",D152)),VLOOKUP(A152,IntComp24[],21,FALSE),VLOOKUP(A152,IntComp[],21,FALSE))))</f>
        <v/>
      </c>
      <c r="I152" s="143" t="str">
        <f ca="1">IF(IntAll[[#This Row],[STATUS]]="","",IF(IF(OR(F152="2019-2020",F152="2021-2025"),"",IF(ISNUMBER(SEARCH("LLC",D152)),VLOOKUP(A152,IntComp24[],16,FALSE),VLOOKUP(A152,IntComp[],16,FALSE)))=0,"",IF(OR(F152="2019-2020",F152="2021-2025"),"",IF(ISNUMBER(SEARCH("LLC",D152)),VLOOKUP(A152,IntComp24[],16,FALSE),VLOOKUP(A152,IntComp[],16,FALSE)))))</f>
        <v/>
      </c>
      <c r="J152" s="143" t="str">
        <f ca="1">IF(IF(OR(F152="2019-2020",F152="2021-2025"),"",IF(ISNUMBER(SEARCH("LLC",D152)),VLOOKUP(A152,IntComp24[],17,FALSE),VLOOKUP(A152,IntComp[],17,FALSE)))=0,"",IF(OR(F152="2019-2020",F152="2021-2025"),"",IF(ISNUMBER(SEARCH("LLC",D152)),VLOOKUP(A152,IntComp24[],17,FALSE),VLOOKUP(A152,IntComp[],17,FALSE))))</f>
        <v/>
      </c>
      <c r="K152" s="151"/>
      <c r="L152" s="151">
        <f ca="1">IF(OR(F152="2019-2020",F152="2021-2025"),"",IF(ISNUMBER(SEARCH("LLC",D152)),VLOOKUP(A152,IntComp24[],18,FALSE),VLOOKUP(A152,IntComp[],18,FALSE)))</f>
        <v>0</v>
      </c>
      <c r="M152" s="143"/>
      <c r="N152" s="143" t="str">
        <f ca="1">IF(IF(OR(F152="2019-2020",F152="2021-2025"),"",IF(ISNUMBER(SEARCH("LLC",D152)),VLOOKUP(A152,IntComp24[],20,FALSE),VLOOKUP(A152,IntComp[],20,FALSE)))=0,"",IF(OR(F152="2019-2020",F152="2021-2025"),"",IF(ISNUMBER(SEARCH("LLC",D152)),VLOOKUP(A152,IntComp24[],20,FALSE),VLOOKUP(A152,IntComp[],20,FALSE))))</f>
        <v/>
      </c>
      <c r="O152" s="152" t="str">
        <f ca="1">IF(IF(OR(F152="2019-2020",F152="2021-2025"),"",IF(ISNUMBER(SEARCH("LLC",D152)),VLOOKUP(A152,IntComp24[],23,FALSE),VLOOKUP(A152,IntComp[],23,FALSE)))=0,"",IF(OR(F152="2019-2020",F152="2021-2025"),"",IF(ISNUMBER(SEARCH("LLC",D152)),VLOOKUP(A152,IntComp24[],23,FALSE),VLOOKUP(A152,IntComp[],23,FALSE))))</f>
        <v/>
      </c>
    </row>
    <row r="153" spans="1:15">
      <c r="A153" s="147" t="s">
        <v>111</v>
      </c>
      <c r="B153" s="144" t="str">
        <f>VLOOKUP(A153,Data[],2,FALSE)</f>
        <v>MANHATTAN</v>
      </c>
      <c r="C153" s="144" t="s">
        <v>106</v>
      </c>
      <c r="D153" s="9" t="str">
        <f>VLOOKUP(A153,Data[],52,FALSE)</f>
        <v>FEDERAL</v>
      </c>
      <c r="E153" s="9">
        <f>VLOOKUP(IntAll[[#This Row],[DEVELOPMENT]],Data[],62,FALSE)</f>
        <v>4</v>
      </c>
      <c r="F153" s="9" t="str">
        <f ca="1">VLOOKUP(A153,Data[],4,FALSE)</f>
        <v/>
      </c>
      <c r="G153" s="9">
        <f>VLOOKUP(IntAll[[#This Row],[DEVELOPMENT]],EHDAll[[DEVELOPMENT]:['# Units]],6,FALSE)</f>
        <v>19</v>
      </c>
      <c r="H153" s="143" t="str">
        <f ca="1">IF(IntAll[[#This Row],[STATUS]]="","",IF(OR(F153="2019-2020",F153="2021-2025"),"",IF(ISNUMBER(SEARCH("LLC",D153)),VLOOKUP(A153,IntComp24[],21,FALSE),VLOOKUP(A153,IntComp[],21,FALSE))))</f>
        <v/>
      </c>
      <c r="I153" s="143" t="str">
        <f ca="1">IF(IntAll[[#This Row],[STATUS]]="","",IF(IF(OR(F153="2019-2020",F153="2021-2025"),"",IF(ISNUMBER(SEARCH("LLC",D153)),VLOOKUP(A153,IntComp24[],16,FALSE),VLOOKUP(A153,IntComp[],16,FALSE)))=0,"",IF(OR(F153="2019-2020",F153="2021-2025"),"",IF(ISNUMBER(SEARCH("LLC",D153)),VLOOKUP(A153,IntComp24[],16,FALSE),VLOOKUP(A153,IntComp[],16,FALSE)))))</f>
        <v/>
      </c>
      <c r="J153" s="143" t="str">
        <f ca="1">IF(IF(OR(F153="2019-2020",F153="2021-2025"),"",IF(ISNUMBER(SEARCH("LLC",D153)),VLOOKUP(A153,IntComp24[],17,FALSE),VLOOKUP(A153,IntComp[],17,FALSE)))=0,"",IF(OR(F153="2019-2020",F153="2021-2025"),"",IF(ISNUMBER(SEARCH("LLC",D153)),VLOOKUP(A153,IntComp24[],17,FALSE),VLOOKUP(A153,IntComp[],17,FALSE))))</f>
        <v/>
      </c>
      <c r="K153" s="151"/>
      <c r="L153" s="151">
        <f ca="1">IF(OR(F153="2019-2020",F153="2021-2025"),"",IF(ISNUMBER(SEARCH("LLC",D153)),VLOOKUP(A153,IntComp24[],18,FALSE),VLOOKUP(A153,IntComp[],18,FALSE)))</f>
        <v>1240615.6875</v>
      </c>
      <c r="M153" s="143"/>
      <c r="N153" s="143" t="str">
        <f ca="1">IF(IF(OR(F153="2019-2020",F153="2021-2025"),"",IF(ISNUMBER(SEARCH("LLC",D153)),VLOOKUP(A153,IntComp24[],20,FALSE),VLOOKUP(A153,IntComp[],20,FALSE)))=0,"",IF(OR(F153="2019-2020",F153="2021-2025"),"",IF(ISNUMBER(SEARCH("LLC",D153)),VLOOKUP(A153,IntComp24[],20,FALSE),VLOOKUP(A153,IntComp[],20,FALSE))))</f>
        <v/>
      </c>
      <c r="O153" s="152" t="str">
        <f ca="1">IF(IF(OR(F153="2019-2020",F153="2021-2025"),"",IF(ISNUMBER(SEARCH("LLC",D153)),VLOOKUP(A153,IntComp24[],23,FALSE),VLOOKUP(A153,IntComp[],23,FALSE)))=0,"",IF(OR(F153="2019-2020",F153="2021-2025"),"",IF(ISNUMBER(SEARCH("LLC",D153)),VLOOKUP(A153,IntComp24[],23,FALSE),VLOOKUP(A153,IntComp[],23,FALSE))))</f>
        <v/>
      </c>
    </row>
    <row r="154" spans="1:15">
      <c r="A154" s="147" t="s">
        <v>324</v>
      </c>
      <c r="B154" s="144" t="str">
        <f>VLOOKUP(A154,Data[],2,FALSE)</f>
        <v>BROOKLYN</v>
      </c>
      <c r="C154" s="144" t="s">
        <v>106</v>
      </c>
      <c r="D154" s="9" t="str">
        <f>VLOOKUP(A154,Data[],52,FALSE)</f>
        <v>FEDERAL</v>
      </c>
      <c r="E154" s="9">
        <f>VLOOKUP(IntAll[[#This Row],[DEVELOPMENT]],Data[],62,FALSE)</f>
        <v>16</v>
      </c>
      <c r="F154" s="9" t="str">
        <f ca="1">VLOOKUP(A154,Data[],4,FALSE)</f>
        <v/>
      </c>
      <c r="G154" s="9">
        <f>VLOOKUP(IntAll[[#This Row],[DEVELOPMENT]],EHDAll[[DEVELOPMENT]:['# Units]],6,FALSE)</f>
        <v>5</v>
      </c>
      <c r="H154" s="143" t="str">
        <f ca="1">IF(IntAll[[#This Row],[STATUS]]="","",IF(OR(F154="2019-2020",F154="2021-2025"),"",IF(ISNUMBER(SEARCH("LLC",D154)),VLOOKUP(A154,IntComp24[],21,FALSE),VLOOKUP(A154,IntComp[],21,FALSE))))</f>
        <v/>
      </c>
      <c r="I154" s="143" t="str">
        <f ca="1">IF(IntAll[[#This Row],[STATUS]]="","",IF(IF(OR(F154="2019-2020",F154="2021-2025"),"",IF(ISNUMBER(SEARCH("LLC",D154)),VLOOKUP(A154,IntComp24[],16,FALSE),VLOOKUP(A154,IntComp[],16,FALSE)))=0,"",IF(OR(F154="2019-2020",F154="2021-2025"),"",IF(ISNUMBER(SEARCH("LLC",D154)),VLOOKUP(A154,IntComp24[],16,FALSE),VLOOKUP(A154,IntComp[],16,FALSE)))))</f>
        <v/>
      </c>
      <c r="J154" s="143" t="str">
        <f ca="1">IF(IF(OR(F154="2019-2020",F154="2021-2025"),"",IF(ISNUMBER(SEARCH("LLC",D154)),VLOOKUP(A154,IntComp24[],17,FALSE),VLOOKUP(A154,IntComp[],17,FALSE)))=0,"",IF(OR(F154="2019-2020",F154="2021-2025"),"",IF(ISNUMBER(SEARCH("LLC",D154)),VLOOKUP(A154,IntComp24[],17,FALSE),VLOOKUP(A154,IntComp[],17,FALSE))))</f>
        <v/>
      </c>
      <c r="K154" s="151"/>
      <c r="L154" s="151">
        <f ca="1">IF(OR(F154="2019-2020",F154="2021-2025"),"",IF(ISNUMBER(SEARCH("LLC",D154)),VLOOKUP(A154,IntComp24[],18,FALSE),VLOOKUP(A154,IntComp[],18,FALSE)))</f>
        <v>392719.68750000006</v>
      </c>
      <c r="M154" s="143"/>
      <c r="N154" s="143" t="str">
        <f ca="1">IF(IF(OR(F154="2019-2020",F154="2021-2025"),"",IF(ISNUMBER(SEARCH("LLC",D154)),VLOOKUP(A154,IntComp24[],20,FALSE),VLOOKUP(A154,IntComp[],20,FALSE)))=0,"",IF(OR(F154="2019-2020",F154="2021-2025"),"",IF(ISNUMBER(SEARCH("LLC",D154)),VLOOKUP(A154,IntComp24[],20,FALSE),VLOOKUP(A154,IntComp[],20,FALSE))))</f>
        <v/>
      </c>
      <c r="O154" s="152" t="str">
        <f ca="1">IF(IF(OR(F154="2019-2020",F154="2021-2025"),"",IF(ISNUMBER(SEARCH("LLC",D154)),VLOOKUP(A154,IntComp24[],23,FALSE),VLOOKUP(A154,IntComp[],23,FALSE)))=0,"",IF(OR(F154="2019-2020",F154="2021-2025"),"",IF(ISNUMBER(SEARCH("LLC",D154)),VLOOKUP(A154,IntComp24[],23,FALSE),VLOOKUP(A154,IntComp[],23,FALSE))))</f>
        <v/>
      </c>
    </row>
    <row r="155" spans="1:15">
      <c r="A155" s="147" t="s">
        <v>243</v>
      </c>
      <c r="B155" s="144" t="str">
        <f>VLOOKUP(A155,Data[],2,FALSE)</f>
        <v>BRONX</v>
      </c>
      <c r="C155" s="144" t="s">
        <v>106</v>
      </c>
      <c r="D155" s="9" t="str">
        <f>VLOOKUP(A155,Data[],52,FALSE)</f>
        <v>FEDERAL</v>
      </c>
      <c r="E155" s="9">
        <f>VLOOKUP(IntAll[[#This Row],[DEVELOPMENT]],Data[],62,FALSE)</f>
        <v>10</v>
      </c>
      <c r="F155" s="9" t="str">
        <f ca="1">VLOOKUP(A155,Data[],4,FALSE)</f>
        <v>2026+</v>
      </c>
      <c r="G155" s="9">
        <f>VLOOKUP(IntAll[[#This Row],[DEVELOPMENT]],EHDAll[[DEVELOPMENT]:['# Units]],6,FALSE)</f>
        <v>1</v>
      </c>
      <c r="H155" s="143" t="str">
        <f ca="1">IF(IntAll[[#This Row],[STATUS]]="","",IF(OR(F155="2019-2020",F155="2021-2025"),"",IF(ISNUMBER(SEARCH("LLC",D155)),VLOOKUP(A155,IntComp24[],21,FALSE),VLOOKUP(A155,IntComp[],21,FALSE))))</f>
        <v/>
      </c>
      <c r="I155" s="143" t="str">
        <f ca="1">IF(IntAll[[#This Row],[STATUS]]="","",IF(IF(OR(F155="2019-2020",F155="2021-2025"),"",IF(ISNUMBER(SEARCH("LLC",D155)),VLOOKUP(A155,IntComp24[],16,FALSE),VLOOKUP(A155,IntComp[],16,FALSE)))=0,"",IF(OR(F155="2019-2020",F155="2021-2025"),"",IF(ISNUMBER(SEARCH("LLC",D155)),VLOOKUP(A155,IntComp24[],16,FALSE),VLOOKUP(A155,IntComp[],16,FALSE)))))</f>
        <v/>
      </c>
      <c r="J155" s="143" t="str">
        <f ca="1">IF(IF(OR(F155="2019-2020",F155="2021-2025"),"",IF(ISNUMBER(SEARCH("LLC",D155)),VLOOKUP(A155,IntComp24[],17,FALSE),VLOOKUP(A155,IntComp[],17,FALSE)))=0,"",IF(OR(F155="2019-2020",F155="2021-2025"),"",IF(ISNUMBER(SEARCH("LLC",D155)),VLOOKUP(A155,IntComp24[],17,FALSE),VLOOKUP(A155,IntComp[],17,FALSE))))</f>
        <v/>
      </c>
      <c r="K155" s="151"/>
      <c r="L155" s="151">
        <f ca="1">IF(OR(F155="2019-2020",F155="2021-2025"),"",IF(ISNUMBER(SEARCH("LLC",D155)),VLOOKUP(A155,IntComp24[],18,FALSE),VLOOKUP(A155,IntComp[],18,FALSE)))</f>
        <v>71919.750000000015</v>
      </c>
      <c r="M155" s="143"/>
      <c r="N155" s="143" t="str">
        <f ca="1">IF(IF(OR(F155="2019-2020",F155="2021-2025"),"",IF(ISNUMBER(SEARCH("LLC",D155)),VLOOKUP(A155,IntComp24[],20,FALSE),VLOOKUP(A155,IntComp[],20,FALSE)))=0,"",IF(OR(F155="2019-2020",F155="2021-2025"),"",IF(ISNUMBER(SEARCH("LLC",D155)),VLOOKUP(A155,IntComp24[],20,FALSE),VLOOKUP(A155,IntComp[],20,FALSE))))</f>
        <v/>
      </c>
      <c r="O155" s="152" t="str">
        <f ca="1">IF(IF(OR(F155="2019-2020",F155="2021-2025"),"",IF(ISNUMBER(SEARCH("LLC",D155)),VLOOKUP(A155,IntComp24[],23,FALSE),VLOOKUP(A155,IntComp[],23,FALSE)))=0,"",IF(OR(F155="2019-2020",F155="2021-2025"),"",IF(ISNUMBER(SEARCH("LLC",D155)),VLOOKUP(A155,IntComp24[],23,FALSE),VLOOKUP(A155,IntComp[],23,FALSE))))</f>
        <v/>
      </c>
    </row>
    <row r="156" spans="1:15">
      <c r="A156" s="147" t="s">
        <v>205</v>
      </c>
      <c r="B156" s="144" t="str">
        <f>VLOOKUP(A156,Data[],2,FALSE)</f>
        <v>BROOKLYN</v>
      </c>
      <c r="C156" s="144" t="s">
        <v>106</v>
      </c>
      <c r="D156" s="9" t="str">
        <f>VLOOKUP(A156,Data[],52,FALSE)</f>
        <v>FEDERAL</v>
      </c>
      <c r="E156" s="9">
        <f>VLOOKUP(IntAll[[#This Row],[DEVELOPMENT]],Data[],62,FALSE)</f>
        <v>16</v>
      </c>
      <c r="F156" s="9" t="str">
        <f ca="1">VLOOKUP(A156,Data[],4,FALSE)</f>
        <v/>
      </c>
      <c r="G156" s="9">
        <f>VLOOKUP(IntAll[[#This Row],[DEVELOPMENT]],EHDAll[[DEVELOPMENT]:['# Units]],6,FALSE)</f>
        <v>5</v>
      </c>
      <c r="H156" s="143" t="str">
        <f ca="1">IF(IntAll[[#This Row],[STATUS]]="","",IF(OR(F156="2019-2020",F156="2021-2025"),"",IF(ISNUMBER(SEARCH("LLC",D156)),VLOOKUP(A156,IntComp24[],21,FALSE),VLOOKUP(A156,IntComp[],21,FALSE))))</f>
        <v/>
      </c>
      <c r="I156" s="143" t="str">
        <f ca="1">IF(IntAll[[#This Row],[STATUS]]="","",IF(IF(OR(F156="2019-2020",F156="2021-2025"),"",IF(ISNUMBER(SEARCH("LLC",D156)),VLOOKUP(A156,IntComp24[],16,FALSE),VLOOKUP(A156,IntComp[],16,FALSE)))=0,"",IF(OR(F156="2019-2020",F156="2021-2025"),"",IF(ISNUMBER(SEARCH("LLC",D156)),VLOOKUP(A156,IntComp24[],16,FALSE),VLOOKUP(A156,IntComp[],16,FALSE)))))</f>
        <v/>
      </c>
      <c r="J156" s="143" t="str">
        <f ca="1">IF(IF(OR(F156="2019-2020",F156="2021-2025"),"",IF(ISNUMBER(SEARCH("LLC",D156)),VLOOKUP(A156,IntComp24[],17,FALSE),VLOOKUP(A156,IntComp[],17,FALSE)))=0,"",IF(OR(F156="2019-2020",F156="2021-2025"),"",IF(ISNUMBER(SEARCH("LLC",D156)),VLOOKUP(A156,IntComp24[],17,FALSE),VLOOKUP(A156,IntComp[],17,FALSE))))</f>
        <v/>
      </c>
      <c r="K156" s="151"/>
      <c r="L156" s="151">
        <f ca="1">IF(OR(F156="2019-2020",F156="2021-2025"),"",IF(ISNUMBER(SEARCH("LLC",D156)),VLOOKUP(A156,IntComp24[],18,FALSE),VLOOKUP(A156,IntComp[],18,FALSE)))</f>
        <v>381679.375</v>
      </c>
      <c r="M156" s="143"/>
      <c r="N156" s="143" t="str">
        <f ca="1">IF(IF(OR(F156="2019-2020",F156="2021-2025"),"",IF(ISNUMBER(SEARCH("LLC",D156)),VLOOKUP(A156,IntComp24[],20,FALSE),VLOOKUP(A156,IntComp[],20,FALSE)))=0,"",IF(OR(F156="2019-2020",F156="2021-2025"),"",IF(ISNUMBER(SEARCH("LLC",D156)),VLOOKUP(A156,IntComp24[],20,FALSE),VLOOKUP(A156,IntComp[],20,FALSE))))</f>
        <v/>
      </c>
      <c r="O156" s="152" t="str">
        <f ca="1">IF(IF(OR(F156="2019-2020",F156="2021-2025"),"",IF(ISNUMBER(SEARCH("LLC",D156)),VLOOKUP(A156,IntComp24[],23,FALSE),VLOOKUP(A156,IntComp[],23,FALSE)))=0,"",IF(OR(F156="2019-2020",F156="2021-2025"),"",IF(ISNUMBER(SEARCH("LLC",D156)),VLOOKUP(A156,IntComp24[],23,FALSE),VLOOKUP(A156,IntComp[],23,FALSE))))</f>
        <v/>
      </c>
    </row>
    <row r="157" spans="1:15">
      <c r="A157" s="147" t="s">
        <v>325</v>
      </c>
      <c r="B157" s="144" t="str">
        <f>VLOOKUP(A157,Data[],2,FALSE)</f>
        <v>BROOKLYN</v>
      </c>
      <c r="C157" s="144" t="s">
        <v>106</v>
      </c>
      <c r="D157" s="9" t="str">
        <f>VLOOKUP(A157,Data[],52,FALSE)</f>
        <v>FEDERAL</v>
      </c>
      <c r="E157" s="9">
        <f>VLOOKUP(IntAll[[#This Row],[DEVELOPMENT]],Data[],62,FALSE)</f>
        <v>18</v>
      </c>
      <c r="F157" s="9" t="str">
        <f ca="1">VLOOKUP(A157,Data[],4,FALSE)</f>
        <v>2026+</v>
      </c>
      <c r="G157" s="9">
        <f>VLOOKUP(IntAll[[#This Row],[DEVELOPMENT]],EHDAll[[DEVELOPMENT]:['# Units]],6,FALSE)</f>
        <v>40</v>
      </c>
      <c r="H157" s="143" t="str">
        <f ca="1">IF(IntAll[[#This Row],[STATUS]]="","",IF(OR(F157="2019-2020",F157="2021-2025"),"",IF(ISNUMBER(SEARCH("LLC",D157)),VLOOKUP(A157,IntComp24[],21,FALSE),VLOOKUP(A157,IntComp[],21,FALSE))))</f>
        <v/>
      </c>
      <c r="I157" s="143" t="str">
        <f ca="1">IF(IntAll[[#This Row],[STATUS]]="","",IF(IF(OR(F157="2019-2020",F157="2021-2025"),"",IF(ISNUMBER(SEARCH("LLC",D157)),VLOOKUP(A157,IntComp24[],16,FALSE),VLOOKUP(A157,IntComp[],16,FALSE)))=0,"",IF(OR(F157="2019-2020",F157="2021-2025"),"",IF(ISNUMBER(SEARCH("LLC",D157)),VLOOKUP(A157,IntComp24[],16,FALSE),VLOOKUP(A157,IntComp[],16,FALSE)))))</f>
        <v/>
      </c>
      <c r="J157" s="143" t="str">
        <f ca="1">IF(IF(OR(F157="2019-2020",F157="2021-2025"),"",IF(ISNUMBER(SEARCH("LLC",D157)),VLOOKUP(A157,IntComp24[],17,FALSE),VLOOKUP(A157,IntComp[],17,FALSE)))=0,"",IF(OR(F157="2019-2020",F157="2021-2025"),"",IF(ISNUMBER(SEARCH("LLC",D157)),VLOOKUP(A157,IntComp24[],17,FALSE),VLOOKUP(A157,IntComp[],17,FALSE))))</f>
        <v/>
      </c>
      <c r="K157" s="151"/>
      <c r="L157" s="151">
        <f ca="1">IF(OR(F157="2019-2020",F157="2021-2025"),"",IF(ISNUMBER(SEARCH("LLC",D157)),VLOOKUP(A157,IntComp24[],18,FALSE),VLOOKUP(A157,IntComp[],18,FALSE)))</f>
        <v>2700145</v>
      </c>
      <c r="M157" s="143"/>
      <c r="N157" s="143" t="str">
        <f ca="1">IF(IF(OR(F157="2019-2020",F157="2021-2025"),"",IF(ISNUMBER(SEARCH("LLC",D157)),VLOOKUP(A157,IntComp24[],20,FALSE),VLOOKUP(A157,IntComp[],20,FALSE)))=0,"",IF(OR(F157="2019-2020",F157="2021-2025"),"",IF(ISNUMBER(SEARCH("LLC",D157)),VLOOKUP(A157,IntComp24[],20,FALSE),VLOOKUP(A157,IntComp[],20,FALSE))))</f>
        <v/>
      </c>
      <c r="O157" s="152" t="str">
        <f ca="1">IF(IF(OR(F157="2019-2020",F157="2021-2025"),"",IF(ISNUMBER(SEARCH("LLC",D157)),VLOOKUP(A157,IntComp24[],23,FALSE),VLOOKUP(A157,IntComp[],23,FALSE)))=0,"",IF(OR(F157="2019-2020",F157="2021-2025"),"",IF(ISNUMBER(SEARCH("LLC",D157)),VLOOKUP(A157,IntComp24[],23,FALSE),VLOOKUP(A157,IntComp[],23,FALSE))))</f>
        <v/>
      </c>
    </row>
    <row r="158" spans="1:15">
      <c r="A158" s="147" t="s">
        <v>326</v>
      </c>
      <c r="B158" s="144" t="str">
        <f>VLOOKUP(A158,Data[],2,FALSE)</f>
        <v>BROOKLYN</v>
      </c>
      <c r="C158" s="144" t="s">
        <v>106</v>
      </c>
      <c r="D158" s="9" t="str">
        <f>VLOOKUP(A158,Data[],52,FALSE)</f>
        <v>FEDERAL</v>
      </c>
      <c r="E158" s="9">
        <f>VLOOKUP(IntAll[[#This Row],[DEVELOPMENT]],Data[],62,FALSE)</f>
        <v>6</v>
      </c>
      <c r="F158" s="9" t="str">
        <f ca="1">VLOOKUP(A158,Data[],4,FALSE)</f>
        <v>2026+</v>
      </c>
      <c r="G158" s="9">
        <f>VLOOKUP(IntAll[[#This Row],[DEVELOPMENT]],EHDAll[[DEVELOPMENT]:['# Units]],6,FALSE)</f>
        <v>24</v>
      </c>
      <c r="H158" s="143" t="str">
        <f ca="1">IF(IntAll[[#This Row],[STATUS]]="","",IF(OR(F158="2019-2020",F158="2021-2025"),"",IF(ISNUMBER(SEARCH("LLC",D158)),VLOOKUP(A158,IntComp24[],21,FALSE),VLOOKUP(A158,IntComp[],21,FALSE))))</f>
        <v/>
      </c>
      <c r="I158" s="143" t="str">
        <f ca="1">IF(IntAll[[#This Row],[STATUS]]="","",IF(IF(OR(F158="2019-2020",F158="2021-2025"),"",IF(ISNUMBER(SEARCH("LLC",D158)),VLOOKUP(A158,IntComp24[],16,FALSE),VLOOKUP(A158,IntComp[],16,FALSE)))=0,"",IF(OR(F158="2019-2020",F158="2021-2025"),"",IF(ISNUMBER(SEARCH("LLC",D158)),VLOOKUP(A158,IntComp24[],16,FALSE),VLOOKUP(A158,IntComp[],16,FALSE)))))</f>
        <v/>
      </c>
      <c r="J158" s="143" t="str">
        <f ca="1">IF(IF(OR(F158="2019-2020",F158="2021-2025"),"",IF(ISNUMBER(SEARCH("LLC",D158)),VLOOKUP(A158,IntComp24[],17,FALSE),VLOOKUP(A158,IntComp[],17,FALSE)))=0,"",IF(OR(F158="2019-2020",F158="2021-2025"),"",IF(ISNUMBER(SEARCH("LLC",D158)),VLOOKUP(A158,IntComp24[],17,FALSE),VLOOKUP(A158,IntComp[],17,FALSE))))</f>
        <v/>
      </c>
      <c r="K158" s="151"/>
      <c r="L158" s="151">
        <f ca="1">IF(OR(F158="2019-2020",F158="2021-2025"),"",IF(ISNUMBER(SEARCH("LLC",D158)),VLOOKUP(A158,IntComp24[],18,FALSE),VLOOKUP(A158,IntComp[],18,FALSE)))</f>
        <v>1938048</v>
      </c>
      <c r="M158" s="143"/>
      <c r="N158" s="143" t="str">
        <f ca="1">IF(IF(OR(F158="2019-2020",F158="2021-2025"),"",IF(ISNUMBER(SEARCH("LLC",D158)),VLOOKUP(A158,IntComp24[],20,FALSE),VLOOKUP(A158,IntComp[],20,FALSE)))=0,"",IF(OR(F158="2019-2020",F158="2021-2025"),"",IF(ISNUMBER(SEARCH("LLC",D158)),VLOOKUP(A158,IntComp24[],20,FALSE),VLOOKUP(A158,IntComp[],20,FALSE))))</f>
        <v/>
      </c>
      <c r="O158" s="152" t="str">
        <f ca="1">IF(IF(OR(F158="2019-2020",F158="2021-2025"),"",IF(ISNUMBER(SEARCH("LLC",D158)),VLOOKUP(A158,IntComp24[],23,FALSE),VLOOKUP(A158,IntComp[],23,FALSE)))=0,"",IF(OR(F158="2019-2020",F158="2021-2025"),"",IF(ISNUMBER(SEARCH("LLC",D158)),VLOOKUP(A158,IntComp24[],23,FALSE),VLOOKUP(A158,IntComp[],23,FALSE))))</f>
        <v/>
      </c>
    </row>
    <row r="159" spans="1:15">
      <c r="A159" s="147" t="s">
        <v>80</v>
      </c>
      <c r="B159" s="144" t="str">
        <f>VLOOKUP(A159,Data[],2,FALSE)</f>
        <v>MANHATTAN</v>
      </c>
      <c r="C159" s="144" t="s">
        <v>106</v>
      </c>
      <c r="D159" s="9" t="str">
        <f>VLOOKUP(A159,Data[],52,FALSE)</f>
        <v>FEDERAL</v>
      </c>
      <c r="E159" s="9">
        <f>VLOOKUP(IntAll[[#This Row],[DEVELOPMENT]],Data[],62,FALSE)</f>
        <v>10</v>
      </c>
      <c r="F159" s="9" t="str">
        <f ca="1">VLOOKUP(A159,Data[],4,FALSE)</f>
        <v>2020-2021</v>
      </c>
      <c r="G159" s="9">
        <f>VLOOKUP(IntAll[[#This Row],[DEVELOPMENT]],EHDAll[[DEVELOPMENT]:['# Units]],6,FALSE)</f>
        <v>1</v>
      </c>
      <c r="H159" s="143" t="str">
        <f ca="1">IF(IntAll[[#This Row],[STATUS]]="","",IF(OR(F159="2019-2020",F159="2021-2025"),"",IF(ISNUMBER(SEARCH("LLC",D159)),VLOOKUP(A159,IntComp24[],21,FALSE),VLOOKUP(A159,IntComp[],21,FALSE))))</f>
        <v/>
      </c>
      <c r="I159" s="143" t="str">
        <f ca="1">IF(IntAll[[#This Row],[STATUS]]="","",IF(IF(OR(F159="2019-2020",F159="2021-2025"),"",IF(ISNUMBER(SEARCH("LLC",D159)),VLOOKUP(A159,IntComp24[],16,FALSE),VLOOKUP(A159,IntComp[],16,FALSE)))=0,"",IF(OR(F159="2019-2020",F159="2021-2025"),"",IF(ISNUMBER(SEARCH("LLC",D159)),VLOOKUP(A159,IntComp24[],16,FALSE),VLOOKUP(A159,IntComp[],16,FALSE)))))</f>
        <v/>
      </c>
      <c r="J159" s="143" t="str">
        <f ca="1">IF(IF(OR(F159="2019-2020",F159="2021-2025"),"",IF(ISNUMBER(SEARCH("LLC",D159)),VLOOKUP(A159,IntComp24[],17,FALSE),VLOOKUP(A159,IntComp[],17,FALSE)))=0,"",IF(OR(F159="2019-2020",F159="2021-2025"),"",IF(ISNUMBER(SEARCH("LLC",D159)),VLOOKUP(A159,IntComp24[],17,FALSE),VLOOKUP(A159,IntComp[],17,FALSE))))</f>
        <v/>
      </c>
      <c r="K159" s="151"/>
      <c r="L159" s="151">
        <f ca="1">IF(OR(F159="2019-2020",F159="2021-2025"),"",IF(ISNUMBER(SEARCH("LLC",D159)),VLOOKUP(A159,IntComp24[],18,FALSE),VLOOKUP(A159,IntComp[],18,FALSE)))</f>
        <v>0</v>
      </c>
      <c r="M159" s="143"/>
      <c r="N159" s="143" t="str">
        <f ca="1">IF(IF(OR(F159="2019-2020",F159="2021-2025"),"",IF(ISNUMBER(SEARCH("LLC",D159)),VLOOKUP(A159,IntComp24[],20,FALSE),VLOOKUP(A159,IntComp[],20,FALSE)))=0,"",IF(OR(F159="2019-2020",F159="2021-2025"),"",IF(ISNUMBER(SEARCH("LLC",D159)),VLOOKUP(A159,IntComp24[],20,FALSE),VLOOKUP(A159,IntComp[],20,FALSE))))</f>
        <v/>
      </c>
      <c r="O159" s="152" t="str">
        <f ca="1">IF(IF(OR(F159="2019-2020",F159="2021-2025"),"",IF(ISNUMBER(SEARCH("LLC",D159)),VLOOKUP(A159,IntComp24[],23,FALSE),VLOOKUP(A159,IntComp[],23,FALSE)))=0,"",IF(OR(F159="2019-2020",F159="2021-2025"),"",IF(ISNUMBER(SEARCH("LLC",D159)),VLOOKUP(A159,IntComp24[],23,FALSE),VLOOKUP(A159,IntComp[],23,FALSE))))</f>
        <v/>
      </c>
    </row>
    <row r="160" spans="1:15">
      <c r="A160" s="147" t="s">
        <v>81</v>
      </c>
      <c r="B160" s="144" t="str">
        <f>VLOOKUP(A160,Data[],2,FALSE)</f>
        <v>MANHATTAN</v>
      </c>
      <c r="C160" s="144" t="s">
        <v>106</v>
      </c>
      <c r="D160" s="9" t="str">
        <f>VLOOKUP(A160,Data[],52,FALSE)</f>
        <v>FEDERAL</v>
      </c>
      <c r="E160" s="9">
        <f>VLOOKUP(IntAll[[#This Row],[DEVELOPMENT]],Data[],62,FALSE)</f>
        <v>9</v>
      </c>
      <c r="F160" s="9" t="str">
        <f ca="1">VLOOKUP(A160,Data[],4,FALSE)</f>
        <v>2026+</v>
      </c>
      <c r="G160" s="9">
        <f>VLOOKUP(IntAll[[#This Row],[DEVELOPMENT]],EHDAll[[DEVELOPMENT]:['# Units]],6,FALSE)</f>
        <v>9</v>
      </c>
      <c r="H160" s="143" t="str">
        <f ca="1">IF(IntAll[[#This Row],[STATUS]]="","",IF(OR(F160="2019-2020",F160="2021-2025"),"",IF(ISNUMBER(SEARCH("LLC",D160)),VLOOKUP(A160,IntComp24[],21,FALSE),VLOOKUP(A160,IntComp[],21,FALSE))))</f>
        <v/>
      </c>
      <c r="I160" s="143" t="str">
        <f ca="1">IF(IntAll[[#This Row],[STATUS]]="","",IF(IF(OR(F160="2019-2020",F160="2021-2025"),"",IF(ISNUMBER(SEARCH("LLC",D160)),VLOOKUP(A160,IntComp24[],16,FALSE),VLOOKUP(A160,IntComp[],16,FALSE)))=0,"",IF(OR(F160="2019-2020",F160="2021-2025"),"",IF(ISNUMBER(SEARCH("LLC",D160)),VLOOKUP(A160,IntComp24[],16,FALSE),VLOOKUP(A160,IntComp[],16,FALSE)))))</f>
        <v/>
      </c>
      <c r="J160" s="143" t="str">
        <f ca="1">IF(IF(OR(F160="2019-2020",F160="2021-2025"),"",IF(ISNUMBER(SEARCH("LLC",D160)),VLOOKUP(A160,IntComp24[],17,FALSE),VLOOKUP(A160,IntComp[],17,FALSE)))=0,"",IF(OR(F160="2019-2020",F160="2021-2025"),"",IF(ISNUMBER(SEARCH("LLC",D160)),VLOOKUP(A160,IntComp24[],17,FALSE),VLOOKUP(A160,IntComp[],17,FALSE))))</f>
        <v/>
      </c>
      <c r="K160" s="151"/>
      <c r="L160" s="151">
        <f ca="1">IF(OR(F160="2019-2020",F160="2021-2025"),"",IF(ISNUMBER(SEARCH("LLC",D160)),VLOOKUP(A160,IntComp24[],18,FALSE),VLOOKUP(A160,IntComp[],18,FALSE)))</f>
        <v>0</v>
      </c>
      <c r="M160" s="143"/>
      <c r="N160" s="143" t="str">
        <f ca="1">IF(IF(OR(F160="2019-2020",F160="2021-2025"),"",IF(ISNUMBER(SEARCH("LLC",D160)),VLOOKUP(A160,IntComp24[],20,FALSE),VLOOKUP(A160,IntComp[],20,FALSE)))=0,"",IF(OR(F160="2019-2020",F160="2021-2025"),"",IF(ISNUMBER(SEARCH("LLC",D160)),VLOOKUP(A160,IntComp24[],20,FALSE),VLOOKUP(A160,IntComp[],20,FALSE))))</f>
        <v/>
      </c>
      <c r="O160" s="152" t="str">
        <f ca="1">IF(IF(OR(F160="2019-2020",F160="2021-2025"),"",IF(ISNUMBER(SEARCH("LLC",D160)),VLOOKUP(A160,IntComp24[],23,FALSE),VLOOKUP(A160,IntComp[],23,FALSE)))=0,"",IF(OR(F160="2019-2020",F160="2021-2025"),"",IF(ISNUMBER(SEARCH("LLC",D160)),VLOOKUP(A160,IntComp24[],23,FALSE),VLOOKUP(A160,IntComp[],23,FALSE))))</f>
        <v/>
      </c>
    </row>
    <row r="161" spans="1:15">
      <c r="A161" s="147" t="s">
        <v>327</v>
      </c>
      <c r="B161" s="144" t="str">
        <f>VLOOKUP(A161,Data[],2,FALSE)</f>
        <v>BROOKLYN</v>
      </c>
      <c r="C161" s="144" t="s">
        <v>106</v>
      </c>
      <c r="D161" s="9" t="str">
        <f>VLOOKUP(A161,Data[],52,FALSE)</f>
        <v>FEDERAL</v>
      </c>
      <c r="E161" s="9">
        <f>VLOOKUP(IntAll[[#This Row],[DEVELOPMENT]],Data[],62,FALSE)</f>
        <v>13</v>
      </c>
      <c r="F161" s="9" t="str">
        <f ca="1">VLOOKUP(A161,Data[],4,FALSE)</f>
        <v>2026+</v>
      </c>
      <c r="G161" s="9">
        <f>VLOOKUP(IntAll[[#This Row],[DEVELOPMENT]],EHDAll[[DEVELOPMENT]:['# Units]],6,FALSE)</f>
        <v>15</v>
      </c>
      <c r="H161" s="143" t="str">
        <f ca="1">IF(IntAll[[#This Row],[STATUS]]="","",IF(OR(F161="2019-2020",F161="2021-2025"),"",IF(ISNUMBER(SEARCH("LLC",D161)),VLOOKUP(A161,IntComp24[],21,FALSE),VLOOKUP(A161,IntComp[],21,FALSE))))</f>
        <v/>
      </c>
      <c r="I161" s="143" t="str">
        <f ca="1">IF(IntAll[[#This Row],[STATUS]]="","",IF(IF(OR(F161="2019-2020",F161="2021-2025"),"",IF(ISNUMBER(SEARCH("LLC",D161)),VLOOKUP(A161,IntComp24[],16,FALSE),VLOOKUP(A161,IntComp[],16,FALSE)))=0,"",IF(OR(F161="2019-2020",F161="2021-2025"),"",IF(ISNUMBER(SEARCH("LLC",D161)),VLOOKUP(A161,IntComp24[],16,FALSE),VLOOKUP(A161,IntComp[],16,FALSE)))))</f>
        <v/>
      </c>
      <c r="J161" s="143" t="str">
        <f ca="1">IF(IF(OR(F161="2019-2020",F161="2021-2025"),"",IF(ISNUMBER(SEARCH("LLC",D161)),VLOOKUP(A161,IntComp24[],17,FALSE),VLOOKUP(A161,IntComp[],17,FALSE)))=0,"",IF(OR(F161="2019-2020",F161="2021-2025"),"",IF(ISNUMBER(SEARCH("LLC",D161)),VLOOKUP(A161,IntComp24[],17,FALSE),VLOOKUP(A161,IntComp[],17,FALSE))))</f>
        <v/>
      </c>
      <c r="K161" s="151"/>
      <c r="L161" s="151">
        <f ca="1">IF(OR(F161="2019-2020",F161="2021-2025"),"",IF(ISNUMBER(SEARCH("LLC",D161)),VLOOKUP(A161,IntComp24[],18,FALSE),VLOOKUP(A161,IntComp[],18,FALSE)))</f>
        <v>1012554.3750000001</v>
      </c>
      <c r="M161" s="143"/>
      <c r="N161" s="143" t="str">
        <f ca="1">IF(IF(OR(F161="2019-2020",F161="2021-2025"),"",IF(ISNUMBER(SEARCH("LLC",D161)),VLOOKUP(A161,IntComp24[],20,FALSE),VLOOKUP(A161,IntComp[],20,FALSE)))=0,"",IF(OR(F161="2019-2020",F161="2021-2025"),"",IF(ISNUMBER(SEARCH("LLC",D161)),VLOOKUP(A161,IntComp24[],20,FALSE),VLOOKUP(A161,IntComp[],20,FALSE))))</f>
        <v/>
      </c>
      <c r="O161" s="152" t="str">
        <f ca="1">IF(IF(OR(F161="2019-2020",F161="2021-2025"),"",IF(ISNUMBER(SEARCH("LLC",D161)),VLOOKUP(A161,IntComp24[],23,FALSE),VLOOKUP(A161,IntComp[],23,FALSE)))=0,"",IF(OR(F161="2019-2020",F161="2021-2025"),"",IF(ISNUMBER(SEARCH("LLC",D161)),VLOOKUP(A161,IntComp24[],23,FALSE),VLOOKUP(A161,IntComp[],23,FALSE))))</f>
        <v/>
      </c>
    </row>
    <row r="162" spans="1:15">
      <c r="A162" s="147" t="s">
        <v>328</v>
      </c>
      <c r="B162" s="144" t="str">
        <f>VLOOKUP(A162,Data[],2,FALSE)</f>
        <v>BRONX</v>
      </c>
      <c r="C162" s="144" t="s">
        <v>106</v>
      </c>
      <c r="D162" s="9" t="str">
        <f>VLOOKUP(A162,Data[],52,FALSE)</f>
        <v>FEDERAL</v>
      </c>
      <c r="E162" s="9">
        <f>VLOOKUP(IntAll[[#This Row],[DEVELOPMENT]],Data[],62,FALSE)</f>
        <v>12</v>
      </c>
      <c r="F162" s="9" t="str">
        <f ca="1">VLOOKUP(A162,Data[],4,FALSE)</f>
        <v/>
      </c>
      <c r="G162" s="9">
        <f>VLOOKUP(IntAll[[#This Row],[DEVELOPMENT]],EHDAll[[DEVELOPMENT]:['# Units]],6,FALSE)</f>
        <v>6</v>
      </c>
      <c r="H162" s="143" t="str">
        <f ca="1">IF(IntAll[[#This Row],[STATUS]]="","",IF(OR(F162="2019-2020",F162="2021-2025"),"",IF(ISNUMBER(SEARCH("LLC",D162)),VLOOKUP(A162,IntComp24[],21,FALSE),VLOOKUP(A162,IntComp[],21,FALSE))))</f>
        <v/>
      </c>
      <c r="I162" s="143" t="str">
        <f ca="1">IF(IntAll[[#This Row],[STATUS]]="","",IF(IF(OR(F162="2019-2020",F162="2021-2025"),"",IF(ISNUMBER(SEARCH("LLC",D162)),VLOOKUP(A162,IntComp24[],16,FALSE),VLOOKUP(A162,IntComp[],16,FALSE)))=0,"",IF(OR(F162="2019-2020",F162="2021-2025"),"",IF(ISNUMBER(SEARCH("LLC",D162)),VLOOKUP(A162,IntComp24[],16,FALSE),VLOOKUP(A162,IntComp[],16,FALSE)))))</f>
        <v/>
      </c>
      <c r="J162" s="143" t="str">
        <f ca="1">IF(IF(OR(F162="2019-2020",F162="2021-2025"),"",IF(ISNUMBER(SEARCH("LLC",D162)),VLOOKUP(A162,IntComp24[],17,FALSE),VLOOKUP(A162,IntComp[],17,FALSE)))=0,"",IF(OR(F162="2019-2020",F162="2021-2025"),"",IF(ISNUMBER(SEARCH("LLC",D162)),VLOOKUP(A162,IntComp24[],17,FALSE),VLOOKUP(A162,IntComp[],17,FALSE))))</f>
        <v/>
      </c>
      <c r="K162" s="151"/>
      <c r="L162" s="151">
        <f ca="1">IF(OR(F162="2019-2020",F162="2021-2025"),"",IF(ISNUMBER(SEARCH("LLC",D162)),VLOOKUP(A162,IntComp24[],18,FALSE),VLOOKUP(A162,IntComp[],18,FALSE)))</f>
        <v>484512</v>
      </c>
      <c r="M162" s="143"/>
      <c r="N162" s="143" t="str">
        <f ca="1">IF(IF(OR(F162="2019-2020",F162="2021-2025"),"",IF(ISNUMBER(SEARCH("LLC",D162)),VLOOKUP(A162,IntComp24[],20,FALSE),VLOOKUP(A162,IntComp[],20,FALSE)))=0,"",IF(OR(F162="2019-2020",F162="2021-2025"),"",IF(ISNUMBER(SEARCH("LLC",D162)),VLOOKUP(A162,IntComp24[],20,FALSE),VLOOKUP(A162,IntComp[],20,FALSE))))</f>
        <v/>
      </c>
      <c r="O162" s="152" t="str">
        <f ca="1">IF(IF(OR(F162="2019-2020",F162="2021-2025"),"",IF(ISNUMBER(SEARCH("LLC",D162)),VLOOKUP(A162,IntComp24[],23,FALSE),VLOOKUP(A162,IntComp[],23,FALSE)))=0,"",IF(OR(F162="2019-2020",F162="2021-2025"),"",IF(ISNUMBER(SEARCH("LLC",D162)),VLOOKUP(A162,IntComp24[],23,FALSE),VLOOKUP(A162,IntComp[],23,FALSE))))</f>
        <v/>
      </c>
    </row>
    <row r="163" spans="1:15">
      <c r="A163" s="147" t="s">
        <v>329</v>
      </c>
      <c r="B163" s="144" t="str">
        <f>VLOOKUP(A163,Data[],2,FALSE)</f>
        <v>BROOKLYN</v>
      </c>
      <c r="C163" s="144" t="s">
        <v>106</v>
      </c>
      <c r="D163" s="9" t="str">
        <f>VLOOKUP(A163,Data[],52,FALSE)</f>
        <v>FEDERAL</v>
      </c>
      <c r="E163" s="9">
        <f>VLOOKUP(IntAll[[#This Row],[DEVELOPMENT]],Data[],62,FALSE)</f>
        <v>13</v>
      </c>
      <c r="F163" s="9" t="str">
        <f ca="1">VLOOKUP(A163,Data[],4,FALSE)</f>
        <v/>
      </c>
      <c r="G163" s="9">
        <f>VLOOKUP(IntAll[[#This Row],[DEVELOPMENT]],EHDAll[[DEVELOPMENT]:['# Units]],6,FALSE)</f>
        <v>3</v>
      </c>
      <c r="H163" s="143" t="str">
        <f ca="1">IF(IntAll[[#This Row],[STATUS]]="","",IF(OR(F163="2019-2020",F163="2021-2025"),"",IF(ISNUMBER(SEARCH("LLC",D163)),VLOOKUP(A163,IntComp24[],21,FALSE),VLOOKUP(A163,IntComp[],21,FALSE))))</f>
        <v/>
      </c>
      <c r="I163" s="143" t="str">
        <f ca="1">IF(IntAll[[#This Row],[STATUS]]="","",IF(IF(OR(F163="2019-2020",F163="2021-2025"),"",IF(ISNUMBER(SEARCH("LLC",D163)),VLOOKUP(A163,IntComp24[],16,FALSE),VLOOKUP(A163,IntComp[],16,FALSE)))=0,"",IF(OR(F163="2019-2020",F163="2021-2025"),"",IF(ISNUMBER(SEARCH("LLC",D163)),VLOOKUP(A163,IntComp24[],16,FALSE),VLOOKUP(A163,IntComp[],16,FALSE)))))</f>
        <v/>
      </c>
      <c r="J163" s="143" t="str">
        <f ca="1">IF(IF(OR(F163="2019-2020",F163="2021-2025"),"",IF(ISNUMBER(SEARCH("LLC",D163)),VLOOKUP(A163,IntComp24[],17,FALSE),VLOOKUP(A163,IntComp[],17,FALSE)))=0,"",IF(OR(F163="2019-2020",F163="2021-2025"),"",IF(ISNUMBER(SEARCH("LLC",D163)),VLOOKUP(A163,IntComp24[],17,FALSE),VLOOKUP(A163,IntComp[],17,FALSE))))</f>
        <v/>
      </c>
      <c r="K163" s="151"/>
      <c r="L163" s="151">
        <f ca="1">IF(OR(F163="2019-2020",F163="2021-2025"),"",IF(ISNUMBER(SEARCH("LLC",D163)),VLOOKUP(A163,IntComp24[],18,FALSE),VLOOKUP(A163,IntComp[],18,FALSE)))</f>
        <v>202510.875</v>
      </c>
      <c r="M163" s="143"/>
      <c r="N163" s="143" t="str">
        <f ca="1">IF(IF(OR(F163="2019-2020",F163="2021-2025"),"",IF(ISNUMBER(SEARCH("LLC",D163)),VLOOKUP(A163,IntComp24[],20,FALSE),VLOOKUP(A163,IntComp[],20,FALSE)))=0,"",IF(OR(F163="2019-2020",F163="2021-2025"),"",IF(ISNUMBER(SEARCH("LLC",D163)),VLOOKUP(A163,IntComp24[],20,FALSE),VLOOKUP(A163,IntComp[],20,FALSE))))</f>
        <v/>
      </c>
      <c r="O163" s="152" t="str">
        <f ca="1">IF(IF(OR(F163="2019-2020",F163="2021-2025"),"",IF(ISNUMBER(SEARCH("LLC",D163)),VLOOKUP(A163,IntComp24[],23,FALSE),VLOOKUP(A163,IntComp[],23,FALSE)))=0,"",IF(OR(F163="2019-2020",F163="2021-2025"),"",IF(ISNUMBER(SEARCH("LLC",D163)),VLOOKUP(A163,IntComp24[],23,FALSE),VLOOKUP(A163,IntComp[],23,FALSE))))</f>
        <v/>
      </c>
    </row>
    <row r="164" spans="1:15">
      <c r="A164" s="147" t="s">
        <v>244</v>
      </c>
      <c r="B164" s="144" t="str">
        <f>VLOOKUP(A164,Data[],2,FALSE)</f>
        <v>QUEENS</v>
      </c>
      <c r="C164" s="144" t="s">
        <v>106</v>
      </c>
      <c r="D164" s="9" t="str">
        <f>VLOOKUP(A164,Data[],52,FALSE)</f>
        <v>FEDERAL</v>
      </c>
      <c r="E164" s="9">
        <f>VLOOKUP(IntAll[[#This Row],[DEVELOPMENT]],Data[],62,FALSE)</f>
        <v>14</v>
      </c>
      <c r="F164" s="9" t="str">
        <f ca="1">VLOOKUP(A164,Data[],4,FALSE)</f>
        <v>2026+</v>
      </c>
      <c r="G164" s="9">
        <f>VLOOKUP(IntAll[[#This Row],[DEVELOPMENT]],EHDAll[[DEVELOPMENT]:['# Units]],6,FALSE)</f>
        <v>14</v>
      </c>
      <c r="H164" s="143" t="str">
        <f ca="1">IF(IntAll[[#This Row],[STATUS]]="","",IF(OR(F164="2019-2020",F164="2021-2025"),"",IF(ISNUMBER(SEARCH("LLC",D164)),VLOOKUP(A164,IntComp24[],21,FALSE),VLOOKUP(A164,IntComp[],21,FALSE))))</f>
        <v/>
      </c>
      <c r="I164" s="143" t="str">
        <f ca="1">IF(IntAll[[#This Row],[STATUS]]="","",IF(IF(OR(F164="2019-2020",F164="2021-2025"),"",IF(ISNUMBER(SEARCH("LLC",D164)),VLOOKUP(A164,IntComp24[],16,FALSE),VLOOKUP(A164,IntComp[],16,FALSE)))=0,"",IF(OR(F164="2019-2020",F164="2021-2025"),"",IF(ISNUMBER(SEARCH("LLC",D164)),VLOOKUP(A164,IntComp24[],16,FALSE),VLOOKUP(A164,IntComp[],16,FALSE)))))</f>
        <v/>
      </c>
      <c r="J164" s="143" t="str">
        <f ca="1">IF(IF(OR(F164="2019-2020",F164="2021-2025"),"",IF(ISNUMBER(SEARCH("LLC",D164)),VLOOKUP(A164,IntComp24[],17,FALSE),VLOOKUP(A164,IntComp[],17,FALSE)))=0,"",IF(OR(F164="2019-2020",F164="2021-2025"),"",IF(ISNUMBER(SEARCH("LLC",D164)),VLOOKUP(A164,IntComp24[],17,FALSE),VLOOKUP(A164,IntComp[],17,FALSE))))</f>
        <v/>
      </c>
      <c r="K164" s="151"/>
      <c r="L164" s="151">
        <f ca="1">IF(OR(F164="2019-2020",F164="2021-2025"),"",IF(ISNUMBER(SEARCH("LLC",D164)),VLOOKUP(A164,IntComp24[],18,FALSE),VLOOKUP(A164,IntComp[],18,FALSE)))</f>
        <v>1099615.125</v>
      </c>
      <c r="M164" s="143"/>
      <c r="N164" s="143" t="str">
        <f ca="1">IF(IF(OR(F164="2019-2020",F164="2021-2025"),"",IF(ISNUMBER(SEARCH("LLC",D164)),VLOOKUP(A164,IntComp24[],20,FALSE),VLOOKUP(A164,IntComp[],20,FALSE)))=0,"",IF(OR(F164="2019-2020",F164="2021-2025"),"",IF(ISNUMBER(SEARCH("LLC",D164)),VLOOKUP(A164,IntComp24[],20,FALSE),VLOOKUP(A164,IntComp[],20,FALSE))))</f>
        <v/>
      </c>
      <c r="O164" s="152" t="str">
        <f ca="1">IF(IF(OR(F164="2019-2020",F164="2021-2025"),"",IF(ISNUMBER(SEARCH("LLC",D164)),VLOOKUP(A164,IntComp24[],23,FALSE),VLOOKUP(A164,IntComp[],23,FALSE)))=0,"",IF(OR(F164="2019-2020",F164="2021-2025"),"",IF(ISNUMBER(SEARCH("LLC",D164)),VLOOKUP(A164,IntComp24[],23,FALSE),VLOOKUP(A164,IntComp[],23,FALSE))))</f>
        <v/>
      </c>
    </row>
    <row r="165" spans="1:15">
      <c r="A165" s="147" t="s">
        <v>117</v>
      </c>
      <c r="B165" s="144" t="str">
        <f>VLOOKUP(A165,Data[],2,FALSE)</f>
        <v>MANHATTAN</v>
      </c>
      <c r="C165" s="144" t="s">
        <v>106</v>
      </c>
      <c r="D165" s="9" t="str">
        <f>VLOOKUP(A165,Data[],52,FALSE)</f>
        <v>FEDERAL</v>
      </c>
      <c r="E165" s="9">
        <f>VLOOKUP(IntAll[[#This Row],[DEVELOPMENT]],Data[],62,FALSE)</f>
        <v>10</v>
      </c>
      <c r="F165" s="9" t="str">
        <f ca="1">VLOOKUP(A165,Data[],4,FALSE)</f>
        <v>2020-2021</v>
      </c>
      <c r="G165" s="9">
        <f>VLOOKUP(IntAll[[#This Row],[DEVELOPMENT]],EHDAll[[DEVELOPMENT]:['# Units]],6,FALSE)</f>
        <v>47</v>
      </c>
      <c r="H165" s="143" t="str">
        <f ca="1">IF(IntAll[[#This Row],[STATUS]]="","",IF(OR(F165="2019-2020",F165="2021-2025"),"",IF(ISNUMBER(SEARCH("LLC",D165)),VLOOKUP(A165,IntComp24[],21,FALSE),VLOOKUP(A165,IntComp[],21,FALSE))))</f>
        <v/>
      </c>
      <c r="I165" s="143" t="str">
        <f ca="1">IF(IntAll[[#This Row],[STATUS]]="","",IF(IF(OR(F165="2019-2020",F165="2021-2025"),"",IF(ISNUMBER(SEARCH("LLC",D165)),VLOOKUP(A165,IntComp24[],16,FALSE),VLOOKUP(A165,IntComp[],16,FALSE)))=0,"",IF(OR(F165="2019-2020",F165="2021-2025"),"",IF(ISNUMBER(SEARCH("LLC",D165)),VLOOKUP(A165,IntComp24[],16,FALSE),VLOOKUP(A165,IntComp[],16,FALSE)))))</f>
        <v/>
      </c>
      <c r="J165" s="143" t="str">
        <f ca="1">IF(IF(OR(F165="2019-2020",F165="2021-2025"),"",IF(ISNUMBER(SEARCH("LLC",D165)),VLOOKUP(A165,IntComp24[],17,FALSE),VLOOKUP(A165,IntComp[],17,FALSE)))=0,"",IF(OR(F165="2019-2020",F165="2021-2025"),"",IF(ISNUMBER(SEARCH("LLC",D165)),VLOOKUP(A165,IntComp24[],17,FALSE),VLOOKUP(A165,IntComp[],17,FALSE))))</f>
        <v/>
      </c>
      <c r="K165" s="151"/>
      <c r="L165" s="151">
        <f ca="1">IF(OR(F165="2019-2020",F165="2021-2025"),"",IF(ISNUMBER(SEARCH("LLC",D165)),VLOOKUP(A165,IntComp24[],18,FALSE),VLOOKUP(A165,IntComp[],18,FALSE)))</f>
        <v>0</v>
      </c>
      <c r="M165" s="143"/>
      <c r="N165" s="143" t="str">
        <f ca="1">IF(IF(OR(F165="2019-2020",F165="2021-2025"),"",IF(ISNUMBER(SEARCH("LLC",D165)),VLOOKUP(A165,IntComp24[],20,FALSE),VLOOKUP(A165,IntComp[],20,FALSE)))=0,"",IF(OR(F165="2019-2020",F165="2021-2025"),"",IF(ISNUMBER(SEARCH("LLC",D165)),VLOOKUP(A165,IntComp24[],20,FALSE),VLOOKUP(A165,IntComp[],20,FALSE))))</f>
        <v/>
      </c>
      <c r="O165" s="152" t="str">
        <f ca="1">IF(IF(OR(F165="2019-2020",F165="2021-2025"),"",IF(ISNUMBER(SEARCH("LLC",D165)),VLOOKUP(A165,IntComp24[],23,FALSE),VLOOKUP(A165,IntComp[],23,FALSE)))=0,"",IF(OR(F165="2019-2020",F165="2021-2025"),"",IF(ISNUMBER(SEARCH("LLC",D165)),VLOOKUP(A165,IntComp24[],23,FALSE),VLOOKUP(A165,IntComp[],23,FALSE))))</f>
        <v/>
      </c>
    </row>
    <row r="166" spans="1:15">
      <c r="A166" s="147" t="s">
        <v>82</v>
      </c>
      <c r="B166" s="144" t="str">
        <f>VLOOKUP(A166,Data[],2,FALSE)</f>
        <v>MANHATTAN</v>
      </c>
      <c r="C166" s="144" t="s">
        <v>106</v>
      </c>
      <c r="D166" s="9" t="str">
        <f>VLOOKUP(A166,Data[],52,FALSE)</f>
        <v>FEDERAL</v>
      </c>
      <c r="E166" s="9">
        <f>VLOOKUP(IntAll[[#This Row],[DEVELOPMENT]],Data[],62,FALSE)</f>
        <v>10</v>
      </c>
      <c r="F166" s="9" t="str">
        <f ca="1">VLOOKUP(A166,Data[],4,FALSE)</f>
        <v>2020-2021</v>
      </c>
      <c r="G166" s="9">
        <f>VLOOKUP(IntAll[[#This Row],[DEVELOPMENT]],EHDAll[[DEVELOPMENT]:['# Units]],6,FALSE)</f>
        <v>1</v>
      </c>
      <c r="H166" s="143" t="str">
        <f ca="1">IF(IntAll[[#This Row],[STATUS]]="","",IF(OR(F166="2019-2020",F166="2021-2025"),"",IF(ISNUMBER(SEARCH("LLC",D166)),VLOOKUP(A166,IntComp24[],21,FALSE),VLOOKUP(A166,IntComp[],21,FALSE))))</f>
        <v/>
      </c>
      <c r="I166" s="143" t="str">
        <f ca="1">IF(IntAll[[#This Row],[STATUS]]="","",IF(IF(OR(F166="2019-2020",F166="2021-2025"),"",IF(ISNUMBER(SEARCH("LLC",D166)),VLOOKUP(A166,IntComp24[],16,FALSE),VLOOKUP(A166,IntComp[],16,FALSE)))=0,"",IF(OR(F166="2019-2020",F166="2021-2025"),"",IF(ISNUMBER(SEARCH("LLC",D166)),VLOOKUP(A166,IntComp24[],16,FALSE),VLOOKUP(A166,IntComp[],16,FALSE)))))</f>
        <v/>
      </c>
      <c r="J166" s="143" t="str">
        <f ca="1">IF(IF(OR(F166="2019-2020",F166="2021-2025"),"",IF(ISNUMBER(SEARCH("LLC",D166)),VLOOKUP(A166,IntComp24[],17,FALSE),VLOOKUP(A166,IntComp[],17,FALSE)))=0,"",IF(OR(F166="2019-2020",F166="2021-2025"),"",IF(ISNUMBER(SEARCH("LLC",D166)),VLOOKUP(A166,IntComp24[],17,FALSE),VLOOKUP(A166,IntComp[],17,FALSE))))</f>
        <v/>
      </c>
      <c r="K166" s="151"/>
      <c r="L166" s="151">
        <f ca="1">IF(OR(F166="2019-2020",F166="2021-2025"),"",IF(ISNUMBER(SEARCH("LLC",D166)),VLOOKUP(A166,IntComp24[],18,FALSE),VLOOKUP(A166,IntComp[],18,FALSE)))</f>
        <v>0</v>
      </c>
      <c r="M166" s="143"/>
      <c r="N166" s="143" t="str">
        <f ca="1">IF(IF(OR(F166="2019-2020",F166="2021-2025"),"",IF(ISNUMBER(SEARCH("LLC",D166)),VLOOKUP(A166,IntComp24[],20,FALSE),VLOOKUP(A166,IntComp[],20,FALSE)))=0,"",IF(OR(F166="2019-2020",F166="2021-2025"),"",IF(ISNUMBER(SEARCH("LLC",D166)),VLOOKUP(A166,IntComp24[],20,FALSE),VLOOKUP(A166,IntComp[],20,FALSE))))</f>
        <v/>
      </c>
      <c r="O166" s="152" t="str">
        <f ca="1">IF(IF(OR(F166="2019-2020",F166="2021-2025"),"",IF(ISNUMBER(SEARCH("LLC",D166)),VLOOKUP(A166,IntComp24[],23,FALSE),VLOOKUP(A166,IntComp[],23,FALSE)))=0,"",IF(OR(F166="2019-2020",F166="2021-2025"),"",IF(ISNUMBER(SEARCH("LLC",D166)),VLOOKUP(A166,IntComp24[],23,FALSE),VLOOKUP(A166,IntComp[],23,FALSE))))</f>
        <v/>
      </c>
    </row>
    <row r="167" spans="1:15">
      <c r="A167" s="147" t="s">
        <v>330</v>
      </c>
      <c r="B167" s="144" t="str">
        <f>VLOOKUP(A167,Data[],2,FALSE)</f>
        <v>BRONX</v>
      </c>
      <c r="C167" s="144" t="s">
        <v>106</v>
      </c>
      <c r="D167" s="9" t="str">
        <f>VLOOKUP(A167,Data[],52,FALSE)</f>
        <v>FEDERAL</v>
      </c>
      <c r="E167" s="9">
        <f>VLOOKUP(IntAll[[#This Row],[DEVELOPMENT]],Data[],62,FALSE)</f>
        <v>5</v>
      </c>
      <c r="F167" s="9" t="str">
        <f ca="1">VLOOKUP(A167,Data[],4,FALSE)</f>
        <v/>
      </c>
      <c r="G167" s="9">
        <f>VLOOKUP(IntAll[[#This Row],[DEVELOPMENT]],EHDAll[[DEVELOPMENT]:['# Units]],6,FALSE)</f>
        <v>1</v>
      </c>
      <c r="H167" s="143" t="str">
        <f ca="1">IF(IntAll[[#This Row],[STATUS]]="","",IF(OR(F167="2019-2020",F167="2021-2025"),"",IF(ISNUMBER(SEARCH("LLC",D167)),VLOOKUP(A167,IntComp24[],21,FALSE),VLOOKUP(A167,IntComp[],21,FALSE))))</f>
        <v/>
      </c>
      <c r="I167" s="143" t="str">
        <f ca="1">IF(IntAll[[#This Row],[STATUS]]="","",IF(IF(OR(F167="2019-2020",F167="2021-2025"),"",IF(ISNUMBER(SEARCH("LLC",D167)),VLOOKUP(A167,IntComp24[],16,FALSE),VLOOKUP(A167,IntComp[],16,FALSE)))=0,"",IF(OR(F167="2019-2020",F167="2021-2025"),"",IF(ISNUMBER(SEARCH("LLC",D167)),VLOOKUP(A167,IntComp24[],16,FALSE),VLOOKUP(A167,IntComp[],16,FALSE)))))</f>
        <v/>
      </c>
      <c r="J167" s="143" t="str">
        <f ca="1">IF(IF(OR(F167="2019-2020",F167="2021-2025"),"",IF(ISNUMBER(SEARCH("LLC",D167)),VLOOKUP(A167,IntComp24[],17,FALSE),VLOOKUP(A167,IntComp[],17,FALSE)))=0,"",IF(OR(F167="2019-2020",F167="2021-2025"),"",IF(ISNUMBER(SEARCH("LLC",D167)),VLOOKUP(A167,IntComp24[],17,FALSE),VLOOKUP(A167,IntComp[],17,FALSE))))</f>
        <v/>
      </c>
      <c r="K167" s="151"/>
      <c r="L167" s="151">
        <f ca="1">IF(OR(F167="2019-2020",F167="2021-2025"),"",IF(ISNUMBER(SEARCH("LLC",D167)),VLOOKUP(A167,IntComp24[],18,FALSE),VLOOKUP(A167,IntComp[],18,FALSE)))</f>
        <v>0</v>
      </c>
      <c r="M167" s="143"/>
      <c r="N167" s="143" t="str">
        <f ca="1">IF(IF(OR(F167="2019-2020",F167="2021-2025"),"",IF(ISNUMBER(SEARCH("LLC",D167)),VLOOKUP(A167,IntComp24[],20,FALSE),VLOOKUP(A167,IntComp[],20,FALSE)))=0,"",IF(OR(F167="2019-2020",F167="2021-2025"),"",IF(ISNUMBER(SEARCH("LLC",D167)),VLOOKUP(A167,IntComp24[],20,FALSE),VLOOKUP(A167,IntComp[],20,FALSE))))</f>
        <v/>
      </c>
      <c r="O167" s="152" t="str">
        <f ca="1">IF(IF(OR(F167="2019-2020",F167="2021-2025"),"",IF(ISNUMBER(SEARCH("LLC",D167)),VLOOKUP(A167,IntComp24[],23,FALSE),VLOOKUP(A167,IntComp[],23,FALSE)))=0,"",IF(OR(F167="2019-2020",F167="2021-2025"),"",IF(ISNUMBER(SEARCH("LLC",D167)),VLOOKUP(A167,IntComp24[],23,FALSE),VLOOKUP(A167,IntComp[],23,FALSE))))</f>
        <v/>
      </c>
    </row>
    <row r="168" spans="1:15">
      <c r="A168" s="147" t="s">
        <v>331</v>
      </c>
      <c r="B168" s="144" t="str">
        <f>VLOOKUP(A168,Data[],2,FALSE)</f>
        <v>BRONX</v>
      </c>
      <c r="C168" s="144" t="s">
        <v>106</v>
      </c>
      <c r="D168" s="9" t="str">
        <f>VLOOKUP(A168,Data[],52,FALSE)</f>
        <v>FEDERAL</v>
      </c>
      <c r="E168" s="9">
        <f>VLOOKUP(IntAll[[#This Row],[DEVELOPMENT]],Data[],62,FALSE)</f>
        <v>5</v>
      </c>
      <c r="F168" s="9" t="str">
        <f ca="1">VLOOKUP(A168,Data[],4,FALSE)</f>
        <v/>
      </c>
      <c r="G168" s="9">
        <f>VLOOKUP(IntAll[[#This Row],[DEVELOPMENT]],EHDAll[[DEVELOPMENT]:['# Units]],6,FALSE)</f>
        <v>4</v>
      </c>
      <c r="H168" s="143" t="str">
        <f ca="1">IF(IntAll[[#This Row],[STATUS]]="","",IF(OR(F168="2019-2020",F168="2021-2025"),"",IF(ISNUMBER(SEARCH("LLC",D168)),VLOOKUP(A168,IntComp24[],21,FALSE),VLOOKUP(A168,IntComp[],21,FALSE))))</f>
        <v/>
      </c>
      <c r="I168" s="143" t="str">
        <f ca="1">IF(IntAll[[#This Row],[STATUS]]="","",IF(IF(OR(F168="2019-2020",F168="2021-2025"),"",IF(ISNUMBER(SEARCH("LLC",D168)),VLOOKUP(A168,IntComp24[],16,FALSE),VLOOKUP(A168,IntComp[],16,FALSE)))=0,"",IF(OR(F168="2019-2020",F168="2021-2025"),"",IF(ISNUMBER(SEARCH("LLC",D168)),VLOOKUP(A168,IntComp24[],16,FALSE),VLOOKUP(A168,IntComp[],16,FALSE)))))</f>
        <v/>
      </c>
      <c r="J168" s="143" t="str">
        <f ca="1">IF(IF(OR(F168="2019-2020",F168="2021-2025"),"",IF(ISNUMBER(SEARCH("LLC",D168)),VLOOKUP(A168,IntComp24[],17,FALSE),VLOOKUP(A168,IntComp[],17,FALSE)))=0,"",IF(OR(F168="2019-2020",F168="2021-2025"),"",IF(ISNUMBER(SEARCH("LLC",D168)),VLOOKUP(A168,IntComp24[],17,FALSE),VLOOKUP(A168,IntComp[],17,FALSE))))</f>
        <v/>
      </c>
      <c r="K168" s="151"/>
      <c r="L168" s="151">
        <f ca="1">IF(OR(F168="2019-2020",F168="2021-2025"),"",IF(ISNUMBER(SEARCH("LLC",D168)),VLOOKUP(A168,IntComp24[],18,FALSE),VLOOKUP(A168,IntComp[],18,FALSE)))</f>
        <v>0</v>
      </c>
      <c r="M168" s="143"/>
      <c r="N168" s="143" t="str">
        <f ca="1">IF(IF(OR(F168="2019-2020",F168="2021-2025"),"",IF(ISNUMBER(SEARCH("LLC",D168)),VLOOKUP(A168,IntComp24[],20,FALSE),VLOOKUP(A168,IntComp[],20,FALSE)))=0,"",IF(OR(F168="2019-2020",F168="2021-2025"),"",IF(ISNUMBER(SEARCH("LLC",D168)),VLOOKUP(A168,IntComp24[],20,FALSE),VLOOKUP(A168,IntComp[],20,FALSE))))</f>
        <v/>
      </c>
      <c r="O168" s="152" t="str">
        <f ca="1">IF(IF(OR(F168="2019-2020",F168="2021-2025"),"",IF(ISNUMBER(SEARCH("LLC",D168)),VLOOKUP(A168,IntComp24[],23,FALSE),VLOOKUP(A168,IntComp[],23,FALSE)))=0,"",IF(OR(F168="2019-2020",F168="2021-2025"),"",IF(ISNUMBER(SEARCH("LLC",D168)),VLOOKUP(A168,IntComp24[],23,FALSE),VLOOKUP(A168,IntComp[],23,FALSE))))</f>
        <v/>
      </c>
    </row>
    <row r="169" spans="1:15">
      <c r="A169" s="147" t="s">
        <v>285</v>
      </c>
      <c r="B169" s="144" t="str">
        <f>VLOOKUP(A169,Data[],2,FALSE)</f>
        <v>BRONX</v>
      </c>
      <c r="C169" s="144" t="s">
        <v>106</v>
      </c>
      <c r="D169" s="9" t="str">
        <f>VLOOKUP(A169,Data[],52,FALSE)</f>
        <v>FEDERAL</v>
      </c>
      <c r="E169" s="9">
        <f>VLOOKUP(IntAll[[#This Row],[DEVELOPMENT]],Data[],62,FALSE)</f>
        <v>3</v>
      </c>
      <c r="F169" s="9" t="str">
        <f ca="1">VLOOKUP(A169,Data[],4,FALSE)</f>
        <v/>
      </c>
      <c r="G169" s="9">
        <f>VLOOKUP(IntAll[[#This Row],[DEVELOPMENT]],EHDAll[[DEVELOPMENT]:['# Units]],6,FALSE)</f>
        <v>1</v>
      </c>
      <c r="H169" s="143" t="str">
        <f ca="1">IF(IntAll[[#This Row],[STATUS]]="","",IF(OR(F169="2019-2020",F169="2021-2025"),"",IF(ISNUMBER(SEARCH("LLC",D169)),VLOOKUP(A169,IntComp24[],21,FALSE),VLOOKUP(A169,IntComp[],21,FALSE))))</f>
        <v/>
      </c>
      <c r="I169" s="143" t="str">
        <f ca="1">IF(IntAll[[#This Row],[STATUS]]="","",IF(IF(OR(F169="2019-2020",F169="2021-2025"),"",IF(ISNUMBER(SEARCH("LLC",D169)),VLOOKUP(A169,IntComp24[],16,FALSE),VLOOKUP(A169,IntComp[],16,FALSE)))=0,"",IF(OR(F169="2019-2020",F169="2021-2025"),"",IF(ISNUMBER(SEARCH("LLC",D169)),VLOOKUP(A169,IntComp24[],16,FALSE),VLOOKUP(A169,IntComp[],16,FALSE)))))</f>
        <v/>
      </c>
      <c r="J169" s="143" t="str">
        <f ca="1">IF(IF(OR(F169="2019-2020",F169="2021-2025"),"",IF(ISNUMBER(SEARCH("LLC",D169)),VLOOKUP(A169,IntComp24[],17,FALSE),VLOOKUP(A169,IntComp[],17,FALSE)))=0,"",IF(OR(F169="2019-2020",F169="2021-2025"),"",IF(ISNUMBER(SEARCH("LLC",D169)),VLOOKUP(A169,IntComp24[],17,FALSE),VLOOKUP(A169,IntComp[],17,FALSE))))</f>
        <v/>
      </c>
      <c r="K169" s="151"/>
      <c r="L169" s="151">
        <f ca="1">IF(OR(F169="2019-2020",F169="2021-2025"),"",IF(ISNUMBER(SEARCH("LLC",D169)),VLOOKUP(A169,IntComp24[],18,FALSE),VLOOKUP(A169,IntComp[],18,FALSE)))</f>
        <v>0</v>
      </c>
      <c r="M169" s="143"/>
      <c r="N169" s="143" t="str">
        <f ca="1">IF(IF(OR(F169="2019-2020",F169="2021-2025"),"",IF(ISNUMBER(SEARCH("LLC",D169)),VLOOKUP(A169,IntComp24[],20,FALSE),VLOOKUP(A169,IntComp[],20,FALSE)))=0,"",IF(OR(F169="2019-2020",F169="2021-2025"),"",IF(ISNUMBER(SEARCH("LLC",D169)),VLOOKUP(A169,IntComp24[],20,FALSE),VLOOKUP(A169,IntComp[],20,FALSE))))</f>
        <v/>
      </c>
      <c r="O169" s="152" t="str">
        <f ca="1">IF(IF(OR(F169="2019-2020",F169="2021-2025"),"",IF(ISNUMBER(SEARCH("LLC",D169)),VLOOKUP(A169,IntComp24[],23,FALSE),VLOOKUP(A169,IntComp[],23,FALSE)))=0,"",IF(OR(F169="2019-2020",F169="2021-2025"),"",IF(ISNUMBER(SEARCH("LLC",D169)),VLOOKUP(A169,IntComp24[],23,FALSE),VLOOKUP(A169,IntComp[],23,FALSE))))</f>
        <v/>
      </c>
    </row>
    <row r="170" spans="1:15">
      <c r="A170" s="147" t="s">
        <v>333</v>
      </c>
      <c r="B170" s="144" t="str">
        <f>VLOOKUP(A170,Data[],2,FALSE)</f>
        <v>MANHATTAN</v>
      </c>
      <c r="C170" s="144" t="s">
        <v>106</v>
      </c>
      <c r="D170" s="9" t="str">
        <f>VLOOKUP(A170,Data[],52,FALSE)</f>
        <v>FEDERAL</v>
      </c>
      <c r="E170" s="9">
        <f>VLOOKUP(IntAll[[#This Row],[DEVELOPMENT]],Data[],62,FALSE)</f>
        <v>8</v>
      </c>
      <c r="F170" s="9" t="str">
        <f ca="1">VLOOKUP(A170,Data[],4,FALSE)</f>
        <v/>
      </c>
      <c r="G170" s="9">
        <f>VLOOKUP(IntAll[[#This Row],[DEVELOPMENT]],EHDAll[[DEVELOPMENT]:['# Units]],6,FALSE)</f>
        <v>2</v>
      </c>
      <c r="H170" s="143" t="str">
        <f ca="1">IF(IntAll[[#This Row],[STATUS]]="","",IF(OR(F170="2019-2020",F170="2021-2025"),"",IF(ISNUMBER(SEARCH("LLC",D170)),VLOOKUP(A170,IntComp24[],21,FALSE),VLOOKUP(A170,IntComp[],21,FALSE))))</f>
        <v/>
      </c>
      <c r="I170" s="143" t="str">
        <f ca="1">IF(IntAll[[#This Row],[STATUS]]="","",IF(IF(OR(F170="2019-2020",F170="2021-2025"),"",IF(ISNUMBER(SEARCH("LLC",D170)),VLOOKUP(A170,IntComp24[],16,FALSE),VLOOKUP(A170,IntComp[],16,FALSE)))=0,"",IF(OR(F170="2019-2020",F170="2021-2025"),"",IF(ISNUMBER(SEARCH("LLC",D170)),VLOOKUP(A170,IntComp24[],16,FALSE),VLOOKUP(A170,IntComp[],16,FALSE)))))</f>
        <v/>
      </c>
      <c r="J170" s="143" t="str">
        <f ca="1">IF(IF(OR(F170="2019-2020",F170="2021-2025"),"",IF(ISNUMBER(SEARCH("LLC",D170)),VLOOKUP(A170,IntComp24[],17,FALSE),VLOOKUP(A170,IntComp[],17,FALSE)))=0,"",IF(OR(F170="2019-2020",F170="2021-2025"),"",IF(ISNUMBER(SEARCH("LLC",D170)),VLOOKUP(A170,IntComp24[],17,FALSE),VLOOKUP(A170,IntComp[],17,FALSE))))</f>
        <v/>
      </c>
      <c r="K170" s="151"/>
      <c r="L170" s="151">
        <f ca="1">IF(OR(F170="2019-2020",F170="2021-2025"),"",IF(ISNUMBER(SEARCH("LLC",D170)),VLOOKUP(A170,IntComp24[],18,FALSE),VLOOKUP(A170,IntComp[],18,FALSE)))</f>
        <v>152671.75</v>
      </c>
      <c r="M170" s="143"/>
      <c r="N170" s="143" t="str">
        <f ca="1">IF(IF(OR(F170="2019-2020",F170="2021-2025"),"",IF(ISNUMBER(SEARCH("LLC",D170)),VLOOKUP(A170,IntComp24[],20,FALSE),VLOOKUP(A170,IntComp[],20,FALSE)))=0,"",IF(OR(F170="2019-2020",F170="2021-2025"),"",IF(ISNUMBER(SEARCH("LLC",D170)),VLOOKUP(A170,IntComp24[],20,FALSE),VLOOKUP(A170,IntComp[],20,FALSE))))</f>
        <v/>
      </c>
      <c r="O170" s="152" t="str">
        <f ca="1">IF(IF(OR(F170="2019-2020",F170="2021-2025"),"",IF(ISNUMBER(SEARCH("LLC",D170)),VLOOKUP(A170,IntComp24[],23,FALSE),VLOOKUP(A170,IntComp[],23,FALSE)))=0,"",IF(OR(F170="2019-2020",F170="2021-2025"),"",IF(ISNUMBER(SEARCH("LLC",D170)),VLOOKUP(A170,IntComp24[],23,FALSE),VLOOKUP(A170,IntComp[],23,FALSE))))</f>
        <v/>
      </c>
    </row>
    <row r="171" spans="1:15">
      <c r="A171" s="147" t="s">
        <v>206</v>
      </c>
      <c r="B171" s="144" t="str">
        <f>VLOOKUP(A171,Data[],2,FALSE)</f>
        <v>BROOKLYN</v>
      </c>
      <c r="C171" s="144" t="s">
        <v>106</v>
      </c>
      <c r="D171" s="9" t="str">
        <f>VLOOKUP(A171,Data[],52,FALSE)</f>
        <v>FEDERAL</v>
      </c>
      <c r="E171" s="9">
        <f>VLOOKUP(IntAll[[#This Row],[DEVELOPMENT]],Data[],62,FALSE)</f>
        <v>16</v>
      </c>
      <c r="F171" s="9" t="str">
        <f ca="1">VLOOKUP(A171,Data[],4,FALSE)</f>
        <v>2026+</v>
      </c>
      <c r="G171" s="9">
        <f>VLOOKUP(IntAll[[#This Row],[DEVELOPMENT]],EHDAll[[DEVELOPMENT]:['# Units]],6,FALSE)</f>
        <v>16</v>
      </c>
      <c r="H171" s="143" t="str">
        <f ca="1">IF(IntAll[[#This Row],[STATUS]]="","",IF(OR(F171="2019-2020",F171="2021-2025"),"",IF(ISNUMBER(SEARCH("LLC",D171)),VLOOKUP(A171,IntComp24[],21,FALSE),VLOOKUP(A171,IntComp[],21,FALSE))))</f>
        <v/>
      </c>
      <c r="I171" s="143" t="str">
        <f ca="1">IF(IntAll[[#This Row],[STATUS]]="","",IF(IF(OR(F171="2019-2020",F171="2021-2025"),"",IF(ISNUMBER(SEARCH("LLC",D171)),VLOOKUP(A171,IntComp24[],16,FALSE),VLOOKUP(A171,IntComp[],16,FALSE)))=0,"",IF(OR(F171="2019-2020",F171="2021-2025"),"",IF(ISNUMBER(SEARCH("LLC",D171)),VLOOKUP(A171,IntComp24[],16,FALSE),VLOOKUP(A171,IntComp[],16,FALSE)))))</f>
        <v/>
      </c>
      <c r="J171" s="143" t="str">
        <f ca="1">IF(IF(OR(F171="2019-2020",F171="2021-2025"),"",IF(ISNUMBER(SEARCH("LLC",D171)),VLOOKUP(A171,IntComp24[],17,FALSE),VLOOKUP(A171,IntComp[],17,FALSE)))=0,"",IF(OR(F171="2019-2020",F171="2021-2025"),"",IF(ISNUMBER(SEARCH("LLC",D171)),VLOOKUP(A171,IntComp24[],17,FALSE),VLOOKUP(A171,IntComp[],17,FALSE))))</f>
        <v/>
      </c>
      <c r="K171" s="151"/>
      <c r="L171" s="151">
        <f ca="1">IF(OR(F171="2019-2020",F171="2021-2025"),"",IF(ISNUMBER(SEARCH("LLC",D171)),VLOOKUP(A171,IntComp24[],18,FALSE),VLOOKUP(A171,IntComp[],18,FALSE)))</f>
        <v>1256703</v>
      </c>
      <c r="M171" s="143"/>
      <c r="N171" s="143" t="str">
        <f ca="1">IF(IF(OR(F171="2019-2020",F171="2021-2025"),"",IF(ISNUMBER(SEARCH("LLC",D171)),VLOOKUP(A171,IntComp24[],20,FALSE),VLOOKUP(A171,IntComp[],20,FALSE)))=0,"",IF(OR(F171="2019-2020",F171="2021-2025"),"",IF(ISNUMBER(SEARCH("LLC",D171)),VLOOKUP(A171,IntComp24[],20,FALSE),VLOOKUP(A171,IntComp[],20,FALSE))))</f>
        <v/>
      </c>
      <c r="O171" s="152" t="str">
        <f ca="1">IF(IF(OR(F171="2019-2020",F171="2021-2025"),"",IF(ISNUMBER(SEARCH("LLC",D171)),VLOOKUP(A171,IntComp24[],23,FALSE),VLOOKUP(A171,IntComp[],23,FALSE)))=0,"",IF(OR(F171="2019-2020",F171="2021-2025"),"",IF(ISNUMBER(SEARCH("LLC",D171)),VLOOKUP(A171,IntComp24[],23,FALSE),VLOOKUP(A171,IntComp[],23,FALSE))))</f>
        <v/>
      </c>
    </row>
    <row r="172" spans="1:15">
      <c r="A172" s="147" t="s">
        <v>245</v>
      </c>
      <c r="B172" s="144" t="str">
        <f>VLOOKUP(A172,Data[],2,FALSE)</f>
        <v>BROOKLYN</v>
      </c>
      <c r="C172" s="144" t="s">
        <v>106</v>
      </c>
      <c r="D172" s="9" t="str">
        <f>VLOOKUP(A172,Data[],52,FALSE)</f>
        <v>FEDERAL</v>
      </c>
      <c r="E172" s="9">
        <f>VLOOKUP(IntAll[[#This Row],[DEVELOPMENT]],Data[],62,FALSE)</f>
        <v>16</v>
      </c>
      <c r="F172" s="9" t="str">
        <f ca="1">VLOOKUP(A172,Data[],4,FALSE)</f>
        <v>2022-2025</v>
      </c>
      <c r="G172" s="9">
        <f>VLOOKUP(IntAll[[#This Row],[DEVELOPMENT]],EHDAll[[DEVELOPMENT]:['# Units]],6,FALSE)</f>
        <v>0</v>
      </c>
      <c r="H172" s="143" t="str">
        <f ca="1">IF(IntAll[[#This Row],[STATUS]]="","",IF(OR(F172="2019-2020",F172="2021-2025"),"",IF(ISNUMBER(SEARCH("LLC",D172)),VLOOKUP(A172,IntComp24[],21,FALSE),VLOOKUP(A172,IntComp[],21,FALSE))))</f>
        <v/>
      </c>
      <c r="I172" s="143" t="str">
        <f ca="1">IF(IntAll[[#This Row],[STATUS]]="","",IF(IF(OR(F172="2019-2020",F172="2021-2025"),"",IF(ISNUMBER(SEARCH("LLC",D172)),VLOOKUP(A172,IntComp24[],16,FALSE),VLOOKUP(A172,IntComp[],16,FALSE)))=0,"",IF(OR(F172="2019-2020",F172="2021-2025"),"",IF(ISNUMBER(SEARCH("LLC",D172)),VLOOKUP(A172,IntComp24[],16,FALSE),VLOOKUP(A172,IntComp[],16,FALSE)))))</f>
        <v/>
      </c>
      <c r="J172" s="143" t="str">
        <f ca="1">IF(IF(OR(F172="2019-2020",F172="2021-2025"),"",IF(ISNUMBER(SEARCH("LLC",D172)),VLOOKUP(A172,IntComp24[],17,FALSE),VLOOKUP(A172,IntComp[],17,FALSE)))=0,"",IF(OR(F172="2019-2020",F172="2021-2025"),"",IF(ISNUMBER(SEARCH("LLC",D172)),VLOOKUP(A172,IntComp24[],17,FALSE),VLOOKUP(A172,IntComp[],17,FALSE))))</f>
        <v/>
      </c>
      <c r="K172" s="151"/>
      <c r="L172" s="151">
        <f ca="1">IF(OR(F172="2019-2020",F172="2021-2025"),"",IF(ISNUMBER(SEARCH("LLC",D172)),VLOOKUP(A172,IntComp24[],18,FALSE),VLOOKUP(A172,IntComp[],18,FALSE)))</f>
        <v>0</v>
      </c>
      <c r="M172" s="143"/>
      <c r="N172" s="143" t="str">
        <f ca="1">IF(IF(OR(F172="2019-2020",F172="2021-2025"),"",IF(ISNUMBER(SEARCH("LLC",D172)),VLOOKUP(A172,IntComp24[],20,FALSE),VLOOKUP(A172,IntComp[],20,FALSE)))=0,"",IF(OR(F172="2019-2020",F172="2021-2025"),"",IF(ISNUMBER(SEARCH("LLC",D172)),VLOOKUP(A172,IntComp24[],20,FALSE),VLOOKUP(A172,IntComp[],20,FALSE))))</f>
        <v/>
      </c>
      <c r="O172" s="152" t="str">
        <f ca="1">IF(IF(OR(F172="2019-2020",F172="2021-2025"),"",IF(ISNUMBER(SEARCH("LLC",D172)),VLOOKUP(A172,IntComp24[],23,FALSE),VLOOKUP(A172,IntComp[],23,FALSE)))=0,"",IF(OR(F172="2019-2020",F172="2021-2025"),"",IF(ISNUMBER(SEARCH("LLC",D172)),VLOOKUP(A172,IntComp24[],23,FALSE),VLOOKUP(A172,IntComp[],23,FALSE))))</f>
        <v/>
      </c>
    </row>
    <row r="173" spans="1:15">
      <c r="A173" s="147" t="s">
        <v>246</v>
      </c>
      <c r="B173" s="144" t="str">
        <f>VLOOKUP(A173,Data[],2,FALSE)</f>
        <v>BROOKLYN</v>
      </c>
      <c r="C173" s="144" t="s">
        <v>106</v>
      </c>
      <c r="D173" s="9" t="str">
        <f>VLOOKUP(A173,Data[],52,FALSE)</f>
        <v>FEDERAL</v>
      </c>
      <c r="E173" s="9">
        <f>VLOOKUP(IntAll[[#This Row],[DEVELOPMENT]],Data[],62,FALSE)</f>
        <v>16</v>
      </c>
      <c r="F173" s="9" t="str">
        <f ca="1">VLOOKUP(A173,Data[],4,FALSE)</f>
        <v>2022-2025</v>
      </c>
      <c r="G173" s="9">
        <f>VLOOKUP(IntAll[[#This Row],[DEVELOPMENT]],EHDAll[[DEVELOPMENT]:['# Units]],6,FALSE)</f>
        <v>0</v>
      </c>
      <c r="H173" s="143" t="str">
        <f ca="1">IF(IntAll[[#This Row],[STATUS]]="","",IF(OR(F173="2019-2020",F173="2021-2025"),"",IF(ISNUMBER(SEARCH("LLC",D173)),VLOOKUP(A173,IntComp24[],21,FALSE),VLOOKUP(A173,IntComp[],21,FALSE))))</f>
        <v/>
      </c>
      <c r="I173" s="143" t="str">
        <f ca="1">IF(IntAll[[#This Row],[STATUS]]="","",IF(IF(OR(F173="2019-2020",F173="2021-2025"),"",IF(ISNUMBER(SEARCH("LLC",D173)),VLOOKUP(A173,IntComp24[],16,FALSE),VLOOKUP(A173,IntComp[],16,FALSE)))=0,"",IF(OR(F173="2019-2020",F173="2021-2025"),"",IF(ISNUMBER(SEARCH("LLC",D173)),VLOOKUP(A173,IntComp24[],16,FALSE),VLOOKUP(A173,IntComp[],16,FALSE)))))</f>
        <v/>
      </c>
      <c r="J173" s="143" t="str">
        <f ca="1">IF(IF(OR(F173="2019-2020",F173="2021-2025"),"",IF(ISNUMBER(SEARCH("LLC",D173)),VLOOKUP(A173,IntComp24[],17,FALSE),VLOOKUP(A173,IntComp[],17,FALSE)))=0,"",IF(OR(F173="2019-2020",F173="2021-2025"),"",IF(ISNUMBER(SEARCH("LLC",D173)),VLOOKUP(A173,IntComp24[],17,FALSE),VLOOKUP(A173,IntComp[],17,FALSE))))</f>
        <v/>
      </c>
      <c r="K173" s="151"/>
      <c r="L173" s="151">
        <f ca="1">IF(OR(F173="2019-2020",F173="2021-2025"),"",IF(ISNUMBER(SEARCH("LLC",D173)),VLOOKUP(A173,IntComp24[],18,FALSE),VLOOKUP(A173,IntComp[],18,FALSE)))</f>
        <v>0</v>
      </c>
      <c r="M173" s="143"/>
      <c r="N173" s="143" t="str">
        <f ca="1">IF(IF(OR(F173="2019-2020",F173="2021-2025"),"",IF(ISNUMBER(SEARCH("LLC",D173)),VLOOKUP(A173,IntComp24[],20,FALSE),VLOOKUP(A173,IntComp[],20,FALSE)))=0,"",IF(OR(F173="2019-2020",F173="2021-2025"),"",IF(ISNUMBER(SEARCH("LLC",D173)),VLOOKUP(A173,IntComp24[],20,FALSE),VLOOKUP(A173,IntComp[],20,FALSE))))</f>
        <v/>
      </c>
      <c r="O173" s="152" t="str">
        <f ca="1">IF(IF(OR(F173="2019-2020",F173="2021-2025"),"",IF(ISNUMBER(SEARCH("LLC",D173)),VLOOKUP(A173,IntComp24[],23,FALSE),VLOOKUP(A173,IntComp[],23,FALSE)))=0,"",IF(OR(F173="2019-2020",F173="2021-2025"),"",IF(ISNUMBER(SEARCH("LLC",D173)),VLOOKUP(A173,IntComp24[],23,FALSE),VLOOKUP(A173,IntComp[],23,FALSE))))</f>
        <v/>
      </c>
    </row>
    <row r="174" spans="1:15">
      <c r="A174" s="147" t="s">
        <v>334</v>
      </c>
      <c r="B174" s="144" t="str">
        <f>VLOOKUP(A174,Data[],2,FALSE)</f>
        <v>BROOKLYN</v>
      </c>
      <c r="C174" s="144" t="s">
        <v>106</v>
      </c>
      <c r="D174" s="9" t="str">
        <f>VLOOKUP(A174,Data[],52,FALSE)</f>
        <v>FEDERAL</v>
      </c>
      <c r="E174" s="9">
        <f>VLOOKUP(IntAll[[#This Row],[DEVELOPMENT]],Data[],62,FALSE)</f>
        <v>16</v>
      </c>
      <c r="F174" s="9" t="str">
        <f ca="1">VLOOKUP(A174,Data[],4,FALSE)</f>
        <v/>
      </c>
      <c r="G174" s="9">
        <f>VLOOKUP(IntAll[[#This Row],[DEVELOPMENT]],EHDAll[[DEVELOPMENT]:['# Units]],6,FALSE)</f>
        <v>3</v>
      </c>
      <c r="H174" s="143" t="str">
        <f ca="1">IF(IntAll[[#This Row],[STATUS]]="","",IF(OR(F174="2019-2020",F174="2021-2025"),"",IF(ISNUMBER(SEARCH("LLC",D174)),VLOOKUP(A174,IntComp24[],21,FALSE),VLOOKUP(A174,IntComp[],21,FALSE))))</f>
        <v/>
      </c>
      <c r="I174" s="143" t="str">
        <f ca="1">IF(IntAll[[#This Row],[STATUS]]="","",IF(IF(OR(F174="2019-2020",F174="2021-2025"),"",IF(ISNUMBER(SEARCH("LLC",D174)),VLOOKUP(A174,IntComp24[],16,FALSE),VLOOKUP(A174,IntComp[],16,FALSE)))=0,"",IF(OR(F174="2019-2020",F174="2021-2025"),"",IF(ISNUMBER(SEARCH("LLC",D174)),VLOOKUP(A174,IntComp24[],16,FALSE),VLOOKUP(A174,IntComp[],16,FALSE)))))</f>
        <v/>
      </c>
      <c r="J174" s="143" t="str">
        <f ca="1">IF(IF(OR(F174="2019-2020",F174="2021-2025"),"",IF(ISNUMBER(SEARCH("LLC",D174)),VLOOKUP(A174,IntComp24[],17,FALSE),VLOOKUP(A174,IntComp[],17,FALSE)))=0,"",IF(OR(F174="2019-2020",F174="2021-2025"),"",IF(ISNUMBER(SEARCH("LLC",D174)),VLOOKUP(A174,IntComp24[],17,FALSE),VLOOKUP(A174,IntComp[],17,FALSE))))</f>
        <v/>
      </c>
      <c r="K174" s="151"/>
      <c r="L174" s="151">
        <f ca="1">IF(OR(F174="2019-2020",F174="2021-2025"),"",IF(ISNUMBER(SEARCH("LLC",D174)),VLOOKUP(A174,IntComp24[],18,FALSE),VLOOKUP(A174,IntComp[],18,FALSE)))</f>
        <v>202510.875</v>
      </c>
      <c r="M174" s="143"/>
      <c r="N174" s="143" t="str">
        <f ca="1">IF(IF(OR(F174="2019-2020",F174="2021-2025"),"",IF(ISNUMBER(SEARCH("LLC",D174)),VLOOKUP(A174,IntComp24[],20,FALSE),VLOOKUP(A174,IntComp[],20,FALSE)))=0,"",IF(OR(F174="2019-2020",F174="2021-2025"),"",IF(ISNUMBER(SEARCH("LLC",D174)),VLOOKUP(A174,IntComp24[],20,FALSE),VLOOKUP(A174,IntComp[],20,FALSE))))</f>
        <v/>
      </c>
      <c r="O174" s="152" t="str">
        <f ca="1">IF(IF(OR(F174="2019-2020",F174="2021-2025"),"",IF(ISNUMBER(SEARCH("LLC",D174)),VLOOKUP(A174,IntComp24[],23,FALSE),VLOOKUP(A174,IntComp[],23,FALSE)))=0,"",IF(OR(F174="2019-2020",F174="2021-2025"),"",IF(ISNUMBER(SEARCH("LLC",D174)),VLOOKUP(A174,IntComp24[],23,FALSE),VLOOKUP(A174,IntComp[],23,FALSE))))</f>
        <v/>
      </c>
    </row>
    <row r="175" spans="1:15">
      <c r="A175" s="147" t="s">
        <v>286</v>
      </c>
      <c r="B175" s="144" t="str">
        <f>VLOOKUP(A175,Data[],2,FALSE)</f>
        <v>BRONX</v>
      </c>
      <c r="C175" s="144" t="s">
        <v>106</v>
      </c>
      <c r="D175" s="9" t="str">
        <f>VLOOKUP(A175,Data[],52,FALSE)</f>
        <v>FEDERAL</v>
      </c>
      <c r="E175" s="9">
        <f>VLOOKUP(IntAll[[#This Row],[DEVELOPMENT]],Data[],62,FALSE)</f>
        <v>2</v>
      </c>
      <c r="F175" s="9" t="str">
        <f ca="1">VLOOKUP(A175,Data[],4,FALSE)</f>
        <v/>
      </c>
      <c r="G175" s="9">
        <f>VLOOKUP(IntAll[[#This Row],[DEVELOPMENT]],EHDAll[[DEVELOPMENT]:['# Units]],6,FALSE)</f>
        <v>1</v>
      </c>
      <c r="H175" s="143" t="str">
        <f ca="1">IF(IntAll[[#This Row],[STATUS]]="","",IF(OR(F175="2019-2020",F175="2021-2025"),"",IF(ISNUMBER(SEARCH("LLC",D175)),VLOOKUP(A175,IntComp24[],21,FALSE),VLOOKUP(A175,IntComp[],21,FALSE))))</f>
        <v/>
      </c>
      <c r="I175" s="143" t="str">
        <f ca="1">IF(IntAll[[#This Row],[STATUS]]="","",IF(IF(OR(F175="2019-2020",F175="2021-2025"),"",IF(ISNUMBER(SEARCH("LLC",D175)),VLOOKUP(A175,IntComp24[],16,FALSE),VLOOKUP(A175,IntComp[],16,FALSE)))=0,"",IF(OR(F175="2019-2020",F175="2021-2025"),"",IF(ISNUMBER(SEARCH("LLC",D175)),VLOOKUP(A175,IntComp24[],16,FALSE),VLOOKUP(A175,IntComp[],16,FALSE)))))</f>
        <v/>
      </c>
      <c r="J175" s="143" t="str">
        <f ca="1">IF(IF(OR(F175="2019-2020",F175="2021-2025"),"",IF(ISNUMBER(SEARCH("LLC",D175)),VLOOKUP(A175,IntComp24[],17,FALSE),VLOOKUP(A175,IntComp[],17,FALSE)))=0,"",IF(OR(F175="2019-2020",F175="2021-2025"),"",IF(ISNUMBER(SEARCH("LLC",D175)),VLOOKUP(A175,IntComp24[],17,FALSE),VLOOKUP(A175,IntComp[],17,FALSE))))</f>
        <v/>
      </c>
      <c r="K175" s="151"/>
      <c r="L175" s="151">
        <f ca="1">IF(OR(F175="2019-2020",F175="2021-2025"),"",IF(ISNUMBER(SEARCH("LLC",D175)),VLOOKUP(A175,IntComp24[],18,FALSE),VLOOKUP(A175,IntComp[],18,FALSE)))</f>
        <v>0</v>
      </c>
      <c r="M175" s="143"/>
      <c r="N175" s="143" t="str">
        <f ca="1">IF(IF(OR(F175="2019-2020",F175="2021-2025"),"",IF(ISNUMBER(SEARCH("LLC",D175)),VLOOKUP(A175,IntComp24[],20,FALSE),VLOOKUP(A175,IntComp[],20,FALSE)))=0,"",IF(OR(F175="2019-2020",F175="2021-2025"),"",IF(ISNUMBER(SEARCH("LLC",D175)),VLOOKUP(A175,IntComp24[],20,FALSE),VLOOKUP(A175,IntComp[],20,FALSE))))</f>
        <v/>
      </c>
      <c r="O175" s="152" t="str">
        <f ca="1">IF(IF(OR(F175="2019-2020",F175="2021-2025"),"",IF(ISNUMBER(SEARCH("LLC",D175)),VLOOKUP(A175,IntComp24[],23,FALSE),VLOOKUP(A175,IntComp[],23,FALSE)))=0,"",IF(OR(F175="2019-2020",F175="2021-2025"),"",IF(ISNUMBER(SEARCH("LLC",D175)),VLOOKUP(A175,IntComp24[],23,FALSE),VLOOKUP(A175,IntComp[],23,FALSE))))</f>
        <v/>
      </c>
    </row>
    <row r="176" spans="1:15">
      <c r="A176" s="147" t="s">
        <v>335</v>
      </c>
      <c r="B176" s="144" t="str">
        <f>VLOOKUP(A176,Data[],2,FALSE)</f>
        <v>BROOKLYN</v>
      </c>
      <c r="C176" s="144" t="s">
        <v>106</v>
      </c>
      <c r="D176" s="9" t="str">
        <f>VLOOKUP(A176,Data[],52,FALSE)</f>
        <v>MIXED FINANCE/LLC2</v>
      </c>
      <c r="E176" s="9">
        <f>VLOOKUP(IntAll[[#This Row],[DEVELOPMENT]],Data[],62,FALSE)</f>
        <v>1</v>
      </c>
      <c r="F176" s="9">
        <f ca="1">VLOOKUP(A176,Data[],4,FALSE)</f>
        <v>2019</v>
      </c>
      <c r="G176" s="9">
        <f>VLOOKUP(IntAll[[#This Row],[DEVELOPMENT]],EHDAll[[DEVELOPMENT]:['# Units]],6,FALSE)</f>
        <v>6</v>
      </c>
      <c r="H176" s="143" t="str">
        <f ca="1">IF(IntAll[[#This Row],[STATUS]]="","",IF(OR(F176="2019-2020",F176="2021-2025"),"",IF(ISNUMBER(SEARCH("LLC",D176)),VLOOKUP(A176,IntComp24[],21,FALSE),VLOOKUP(A176,IntComp[],21,FALSE))))</f>
        <v/>
      </c>
      <c r="I176" s="143" t="str">
        <f ca="1">IF(IntAll[[#This Row],[STATUS]]="","",IF(IF(OR(F176="2019-2020",F176="2021-2025"),"",IF(ISNUMBER(SEARCH("LLC",D176)),VLOOKUP(A176,IntComp24[],16,FALSE),VLOOKUP(A176,IntComp[],16,FALSE)))=0,"",IF(OR(F176="2019-2020",F176="2021-2025"),"",IF(ISNUMBER(SEARCH("LLC",D176)),VLOOKUP(A176,IntComp24[],16,FALSE),VLOOKUP(A176,IntComp[],16,FALSE)))))</f>
        <v/>
      </c>
      <c r="J176" s="143" t="str">
        <f ca="1">IF(IF(OR(F176="2019-2020",F176="2021-2025"),"",IF(ISNUMBER(SEARCH("LLC",D176)),VLOOKUP(A176,IntComp24[],17,FALSE),VLOOKUP(A176,IntComp[],17,FALSE)))=0,"",IF(OR(F176="2019-2020",F176="2021-2025"),"",IF(ISNUMBER(SEARCH("LLC",D176)),VLOOKUP(A176,IntComp24[],17,FALSE),VLOOKUP(A176,IntComp[],17,FALSE))))</f>
        <v/>
      </c>
      <c r="K176" s="151"/>
      <c r="L176" s="151">
        <f ca="1">IF(OR(F176="2019-2020",F176="2021-2025"),"",IF(ISNUMBER(SEARCH("LLC",D176)),VLOOKUP(A176,IntComp24[],18,FALSE),VLOOKUP(A176,IntComp[],18,FALSE)))</f>
        <v>0</v>
      </c>
      <c r="M176" s="143"/>
      <c r="N176" s="143" t="str">
        <f ca="1">IF(IF(OR(F176="2019-2020",F176="2021-2025"),"",IF(ISNUMBER(SEARCH("LLC",D176)),VLOOKUP(A176,IntComp24[],20,FALSE),VLOOKUP(A176,IntComp[],20,FALSE)))=0,"",IF(OR(F176="2019-2020",F176="2021-2025"),"",IF(ISNUMBER(SEARCH("LLC",D176)),VLOOKUP(A176,IntComp24[],20,FALSE),VLOOKUP(A176,IntComp[],20,FALSE))))</f>
        <v/>
      </c>
      <c r="O176" s="152" t="str">
        <f ca="1">IF(IF(OR(F176="2019-2020",F176="2021-2025"),"",IF(ISNUMBER(SEARCH("LLC",D176)),VLOOKUP(A176,IntComp24[],23,FALSE),VLOOKUP(A176,IntComp[],23,FALSE)))=0,"",IF(OR(F176="2019-2020",F176="2021-2025"),"",IF(ISNUMBER(SEARCH("LLC",D176)),VLOOKUP(A176,IntComp24[],23,FALSE),VLOOKUP(A176,IntComp[],23,FALSE))))</f>
        <v/>
      </c>
    </row>
    <row r="177" spans="1:15">
      <c r="A177" s="147" t="s">
        <v>207</v>
      </c>
      <c r="B177" s="144" t="str">
        <f>VLOOKUP(A177,Data[],2,FALSE)</f>
        <v>BROOKLYN</v>
      </c>
      <c r="C177" s="144" t="s">
        <v>106</v>
      </c>
      <c r="D177" s="9" t="str">
        <f>VLOOKUP(A177,Data[],52,FALSE)</f>
        <v>FEDERAL</v>
      </c>
      <c r="E177" s="9">
        <f>VLOOKUP(IntAll[[#This Row],[DEVELOPMENT]],Data[],62,FALSE)</f>
        <v>2</v>
      </c>
      <c r="F177" s="9" t="str">
        <f ca="1">VLOOKUP(A177,Data[],4,FALSE)</f>
        <v/>
      </c>
      <c r="G177" s="9">
        <f>VLOOKUP(IntAll[[#This Row],[DEVELOPMENT]],EHDAll[[DEVELOPMENT]:['# Units]],6,FALSE)</f>
        <v>45</v>
      </c>
      <c r="H177" s="143" t="str">
        <f ca="1">IF(IntAll[[#This Row],[STATUS]]="","",IF(OR(F177="2019-2020",F177="2021-2025"),"",IF(ISNUMBER(SEARCH("LLC",D177)),VLOOKUP(A177,IntComp24[],21,FALSE),VLOOKUP(A177,IntComp[],21,FALSE))))</f>
        <v/>
      </c>
      <c r="I177" s="143" t="str">
        <f ca="1">IF(IntAll[[#This Row],[STATUS]]="","",IF(IF(OR(F177="2019-2020",F177="2021-2025"),"",IF(ISNUMBER(SEARCH("LLC",D177)),VLOOKUP(A177,IntComp24[],16,FALSE),VLOOKUP(A177,IntComp[],16,FALSE)))=0,"",IF(OR(F177="2019-2020",F177="2021-2025"),"",IF(ISNUMBER(SEARCH("LLC",D177)),VLOOKUP(A177,IntComp24[],16,FALSE),VLOOKUP(A177,IntComp[],16,FALSE)))))</f>
        <v/>
      </c>
      <c r="J177" s="143" t="str">
        <f ca="1">IF(IF(OR(F177="2019-2020",F177="2021-2025"),"",IF(ISNUMBER(SEARCH("LLC",D177)),VLOOKUP(A177,IntComp24[],17,FALSE),VLOOKUP(A177,IntComp[],17,FALSE)))=0,"",IF(OR(F177="2019-2020",F177="2021-2025"),"",IF(ISNUMBER(SEARCH("LLC",D177)),VLOOKUP(A177,IntComp24[],17,FALSE),VLOOKUP(A177,IntComp[],17,FALSE))))</f>
        <v/>
      </c>
      <c r="K177" s="151"/>
      <c r="L177" s="151">
        <f ca="1">IF(OR(F177="2019-2020",F177="2021-2025"),"",IF(ISNUMBER(SEARCH("LLC",D177)),VLOOKUP(A177,IntComp24[],18,FALSE),VLOOKUP(A177,IntComp[],18,FALSE)))</f>
        <v>3335751.5625</v>
      </c>
      <c r="M177" s="143"/>
      <c r="N177" s="143" t="str">
        <f ca="1">IF(IF(OR(F177="2019-2020",F177="2021-2025"),"",IF(ISNUMBER(SEARCH("LLC",D177)),VLOOKUP(A177,IntComp24[],20,FALSE),VLOOKUP(A177,IntComp[],20,FALSE)))=0,"",IF(OR(F177="2019-2020",F177="2021-2025"),"",IF(ISNUMBER(SEARCH("LLC",D177)),VLOOKUP(A177,IntComp24[],20,FALSE),VLOOKUP(A177,IntComp[],20,FALSE))))</f>
        <v/>
      </c>
      <c r="O177" s="152" t="str">
        <f ca="1">IF(IF(OR(F177="2019-2020",F177="2021-2025"),"",IF(ISNUMBER(SEARCH("LLC",D177)),VLOOKUP(A177,IntComp24[],23,FALSE),VLOOKUP(A177,IntComp[],23,FALSE)))=0,"",IF(OR(F177="2019-2020",F177="2021-2025"),"",IF(ISNUMBER(SEARCH("LLC",D177)),VLOOKUP(A177,IntComp24[],23,FALSE),VLOOKUP(A177,IntComp[],23,FALSE))))</f>
        <v/>
      </c>
    </row>
    <row r="178" spans="1:15">
      <c r="A178" s="147" t="s">
        <v>336</v>
      </c>
      <c r="B178" s="144" t="str">
        <f>VLOOKUP(A178,Data[],2,FALSE)</f>
        <v>QUEENS</v>
      </c>
      <c r="C178" s="144" t="s">
        <v>106</v>
      </c>
      <c r="D178" s="9" t="str">
        <f>VLOOKUP(A178,Data[],52,FALSE)</f>
        <v>FEDERAL</v>
      </c>
      <c r="E178" s="9">
        <f>VLOOKUP(IntAll[[#This Row],[DEVELOPMENT]],Data[],62,FALSE)</f>
        <v>12</v>
      </c>
      <c r="F178" s="9" t="str">
        <f ca="1">VLOOKUP(A178,Data[],4,FALSE)</f>
        <v/>
      </c>
      <c r="G178" s="9">
        <f>VLOOKUP(IntAll[[#This Row],[DEVELOPMENT]],EHDAll[[DEVELOPMENT]:['# Units]],6,FALSE)</f>
        <v>1</v>
      </c>
      <c r="H178" s="143" t="str">
        <f ca="1">IF(IntAll[[#This Row],[STATUS]]="","",IF(OR(F178="2019-2020",F178="2021-2025"),"",IF(ISNUMBER(SEARCH("LLC",D178)),VLOOKUP(A178,IntComp24[],21,FALSE),VLOOKUP(A178,IntComp[],21,FALSE))))</f>
        <v/>
      </c>
      <c r="I178" s="143" t="str">
        <f ca="1">IF(IntAll[[#This Row],[STATUS]]="","",IF(IF(OR(F178="2019-2020",F178="2021-2025"),"",IF(ISNUMBER(SEARCH("LLC",D178)),VLOOKUP(A178,IntComp24[],16,FALSE),VLOOKUP(A178,IntComp[],16,FALSE)))=0,"",IF(OR(F178="2019-2020",F178="2021-2025"),"",IF(ISNUMBER(SEARCH("LLC",D178)),VLOOKUP(A178,IntComp24[],16,FALSE),VLOOKUP(A178,IntComp[],16,FALSE)))))</f>
        <v/>
      </c>
      <c r="J178" s="143" t="str">
        <f ca="1">IF(IF(OR(F178="2019-2020",F178="2021-2025"),"",IF(ISNUMBER(SEARCH("LLC",D178)),VLOOKUP(A178,IntComp24[],17,FALSE),VLOOKUP(A178,IntComp[],17,FALSE)))=0,"",IF(OR(F178="2019-2020",F178="2021-2025"),"",IF(ISNUMBER(SEARCH("LLC",D178)),VLOOKUP(A178,IntComp24[],17,FALSE),VLOOKUP(A178,IntComp[],17,FALSE))))</f>
        <v/>
      </c>
      <c r="K178" s="151"/>
      <c r="L178" s="151">
        <f ca="1">IF(OR(F178="2019-2020",F178="2021-2025"),"",IF(ISNUMBER(SEARCH("LLC",D178)),VLOOKUP(A178,IntComp24[],18,FALSE),VLOOKUP(A178,IntComp[],18,FALSE)))</f>
        <v>65295.562499999993</v>
      </c>
      <c r="M178" s="143"/>
      <c r="N178" s="143" t="str">
        <f ca="1">IF(IF(OR(F178="2019-2020",F178="2021-2025"),"",IF(ISNUMBER(SEARCH("LLC",D178)),VLOOKUP(A178,IntComp24[],20,FALSE),VLOOKUP(A178,IntComp[],20,FALSE)))=0,"",IF(OR(F178="2019-2020",F178="2021-2025"),"",IF(ISNUMBER(SEARCH("LLC",D178)),VLOOKUP(A178,IntComp24[],20,FALSE),VLOOKUP(A178,IntComp[],20,FALSE))))</f>
        <v/>
      </c>
      <c r="O178" s="152" t="str">
        <f ca="1">IF(IF(OR(F178="2019-2020",F178="2021-2025"),"",IF(ISNUMBER(SEARCH("LLC",D178)),VLOOKUP(A178,IntComp24[],23,FALSE),VLOOKUP(A178,IntComp[],23,FALSE)))=0,"",IF(OR(F178="2019-2020",F178="2021-2025"),"",IF(ISNUMBER(SEARCH("LLC",D178)),VLOOKUP(A178,IntComp24[],23,FALSE),VLOOKUP(A178,IntComp[],23,FALSE))))</f>
        <v/>
      </c>
    </row>
    <row r="179" spans="1:15">
      <c r="A179" s="147" t="s">
        <v>337</v>
      </c>
      <c r="B179" s="144" t="str">
        <f>VLOOKUP(A179,Data[],2,FALSE)</f>
        <v>MANHATTAN</v>
      </c>
      <c r="C179" s="144" t="s">
        <v>106</v>
      </c>
      <c r="D179" s="9" t="str">
        <f>VLOOKUP(A179,Data[],52,FALSE)</f>
        <v>FEDERAL</v>
      </c>
      <c r="E179" s="9">
        <f>VLOOKUP(IntAll[[#This Row],[DEVELOPMENT]],Data[],62,FALSE)</f>
        <v>8</v>
      </c>
      <c r="F179" s="9" t="str">
        <f ca="1">VLOOKUP(A179,Data[],4,FALSE)</f>
        <v/>
      </c>
      <c r="G179" s="9">
        <f>VLOOKUP(IntAll[[#This Row],[DEVELOPMENT]],EHDAll[[DEVELOPMENT]:['# Units]],6,FALSE)</f>
        <v>3</v>
      </c>
      <c r="H179" s="143" t="str">
        <f ca="1">IF(IntAll[[#This Row],[STATUS]]="","",IF(OR(F179="2019-2020",F179="2021-2025"),"",IF(ISNUMBER(SEARCH("LLC",D179)),VLOOKUP(A179,IntComp24[],21,FALSE),VLOOKUP(A179,IntComp[],21,FALSE))))</f>
        <v/>
      </c>
      <c r="I179" s="143" t="str">
        <f ca="1">IF(IntAll[[#This Row],[STATUS]]="","",IF(IF(OR(F179="2019-2020",F179="2021-2025"),"",IF(ISNUMBER(SEARCH("LLC",D179)),VLOOKUP(A179,IntComp24[],16,FALSE),VLOOKUP(A179,IntComp[],16,FALSE)))=0,"",IF(OR(F179="2019-2020",F179="2021-2025"),"",IF(ISNUMBER(SEARCH("LLC",D179)),VLOOKUP(A179,IntComp24[],16,FALSE),VLOOKUP(A179,IntComp[],16,FALSE)))))</f>
        <v/>
      </c>
      <c r="J179" s="143" t="str">
        <f ca="1">IF(IF(OR(F179="2019-2020",F179="2021-2025"),"",IF(ISNUMBER(SEARCH("LLC",D179)),VLOOKUP(A179,IntComp24[],17,FALSE),VLOOKUP(A179,IntComp[],17,FALSE)))=0,"",IF(OR(F179="2019-2020",F179="2021-2025"),"",IF(ISNUMBER(SEARCH("LLC",D179)),VLOOKUP(A179,IntComp24[],17,FALSE),VLOOKUP(A179,IntComp[],17,FALSE))))</f>
        <v/>
      </c>
      <c r="K179" s="151"/>
      <c r="L179" s="151">
        <f ca="1">IF(OR(F179="2019-2020",F179="2021-2025"),"",IF(ISNUMBER(SEARCH("LLC",D179)),VLOOKUP(A179,IntComp24[],18,FALSE),VLOOKUP(A179,IntComp[],18,FALSE)))</f>
        <v>229007.625</v>
      </c>
      <c r="M179" s="143"/>
      <c r="N179" s="143" t="str">
        <f ca="1">IF(IF(OR(F179="2019-2020",F179="2021-2025"),"",IF(ISNUMBER(SEARCH("LLC",D179)),VLOOKUP(A179,IntComp24[],20,FALSE),VLOOKUP(A179,IntComp[],20,FALSE)))=0,"",IF(OR(F179="2019-2020",F179="2021-2025"),"",IF(ISNUMBER(SEARCH("LLC",D179)),VLOOKUP(A179,IntComp24[],20,FALSE),VLOOKUP(A179,IntComp[],20,FALSE))))</f>
        <v/>
      </c>
      <c r="O179" s="152" t="str">
        <f ca="1">IF(IF(OR(F179="2019-2020",F179="2021-2025"),"",IF(ISNUMBER(SEARCH("LLC",D179)),VLOOKUP(A179,IntComp24[],23,FALSE),VLOOKUP(A179,IntComp[],23,FALSE)))=0,"",IF(OR(F179="2019-2020",F179="2021-2025"),"",IF(ISNUMBER(SEARCH("LLC",D179)),VLOOKUP(A179,IntComp24[],23,FALSE),VLOOKUP(A179,IntComp[],23,FALSE))))</f>
        <v/>
      </c>
    </row>
    <row r="180" spans="1:15">
      <c r="A180" s="148" t="s">
        <v>35</v>
      </c>
      <c r="B180" s="144" t="str">
        <f>VLOOKUP(A180,Data[],2,FALSE)</f>
        <v>BRONX</v>
      </c>
      <c r="C180" s="144" t="s">
        <v>106</v>
      </c>
      <c r="D180" s="9" t="str">
        <f>VLOOKUP(A180,Data[],52,FALSE)</f>
        <v>FEDERAL</v>
      </c>
      <c r="E180" s="9">
        <f>VLOOKUP(IntAll[[#This Row],[DEVELOPMENT]],Data[],62,FALSE)</f>
        <v>1</v>
      </c>
      <c r="F180" s="9" t="str">
        <f ca="1">VLOOKUP(A180,Data[],4,FALSE)</f>
        <v/>
      </c>
      <c r="G180" s="9">
        <f>VLOOKUP(IntAll[[#This Row],[DEVELOPMENT]],EHDAll[[DEVELOPMENT]:['# Units]],6,FALSE)</f>
        <v>7</v>
      </c>
      <c r="H180" s="143" t="str">
        <f ca="1">IF(IntAll[[#This Row],[STATUS]]="","",IF(OR(F180="2019-2020",F180="2021-2025"),"",IF(ISNUMBER(SEARCH("LLC",D180)),VLOOKUP(A180,IntComp24[],21,FALSE),VLOOKUP(A180,IntComp[],21,FALSE))))</f>
        <v/>
      </c>
      <c r="I180" s="143" t="str">
        <f ca="1">IF(IntAll[[#This Row],[STATUS]]="","",IF(IF(OR(F180="2019-2020",F180="2021-2025"),"",IF(ISNUMBER(SEARCH("LLC",D180)),VLOOKUP(A180,IntComp24[],16,FALSE),VLOOKUP(A180,IntComp[],16,FALSE)))=0,"",IF(OR(F180="2019-2020",F180="2021-2025"),"",IF(ISNUMBER(SEARCH("LLC",D180)),VLOOKUP(A180,IntComp24[],16,FALSE),VLOOKUP(A180,IntComp[],16,FALSE)))))</f>
        <v/>
      </c>
      <c r="J180" s="143" t="str">
        <f ca="1">IF(IF(OR(F180="2019-2020",F180="2021-2025"),"",IF(ISNUMBER(SEARCH("LLC",D180)),VLOOKUP(A180,IntComp24[],17,FALSE),VLOOKUP(A180,IntComp[],17,FALSE)))=0,"",IF(OR(F180="2019-2020",F180="2021-2025"),"",IF(ISNUMBER(SEARCH("LLC",D180)),VLOOKUP(A180,IntComp24[],17,FALSE),VLOOKUP(A180,IntComp[],17,FALSE))))</f>
        <v/>
      </c>
      <c r="K180" s="151"/>
      <c r="L180" s="151">
        <f ca="1">IF(OR(F180="2019-2020",F180="2021-2025"),"",IF(ISNUMBER(SEARCH("LLC",D180)),VLOOKUP(A180,IntComp24[],18,FALSE),VLOOKUP(A180,IntComp[],18,FALSE)))</f>
        <v>503438.25000000006</v>
      </c>
      <c r="M180" s="143"/>
      <c r="N180" s="143" t="str">
        <f ca="1">IF(IF(OR(F180="2019-2020",F180="2021-2025"),"",IF(ISNUMBER(SEARCH("LLC",D180)),VLOOKUP(A180,IntComp24[],20,FALSE),VLOOKUP(A180,IntComp[],20,FALSE)))=0,"",IF(OR(F180="2019-2020",F180="2021-2025"),"",IF(ISNUMBER(SEARCH("LLC",D180)),VLOOKUP(A180,IntComp24[],20,FALSE),VLOOKUP(A180,IntComp[],20,FALSE))))</f>
        <v/>
      </c>
      <c r="O180" s="152" t="str">
        <f ca="1">IF(IF(OR(F180="2019-2020",F180="2021-2025"),"",IF(ISNUMBER(SEARCH("LLC",D180)),VLOOKUP(A180,IntComp24[],23,FALSE),VLOOKUP(A180,IntComp[],23,FALSE)))=0,"",IF(OR(F180="2019-2020",F180="2021-2025"),"",IF(ISNUMBER(SEARCH("LLC",D180)),VLOOKUP(A180,IntComp24[],23,FALSE),VLOOKUP(A180,IntComp[],23,FALSE))))</f>
        <v/>
      </c>
    </row>
    <row r="181" spans="1:15">
      <c r="A181" s="147" t="s">
        <v>112</v>
      </c>
      <c r="B181" s="144" t="str">
        <f>VLOOKUP(A181,Data[],2,FALSE)</f>
        <v>MANHATTAN</v>
      </c>
      <c r="C181" s="144" t="s">
        <v>106</v>
      </c>
      <c r="D181" s="9" t="str">
        <f>VLOOKUP(A181,Data[],52,FALSE)</f>
        <v>FEDERAL</v>
      </c>
      <c r="E181" s="9">
        <f>VLOOKUP(IntAll[[#This Row],[DEVELOPMENT]],Data[],62,FALSE)</f>
        <v>11</v>
      </c>
      <c r="F181" s="9" t="str">
        <f ca="1">VLOOKUP(A181,Data[],4,FALSE)</f>
        <v>2026+</v>
      </c>
      <c r="G181" s="9">
        <f>VLOOKUP(IntAll[[#This Row],[DEVELOPMENT]],EHDAll[[DEVELOPMENT]:['# Units]],6,FALSE)</f>
        <v>34</v>
      </c>
      <c r="H181" s="143" t="str">
        <f ca="1">IF(IntAll[[#This Row],[STATUS]]="","",IF(OR(F181="2019-2020",F181="2021-2025"),"",IF(ISNUMBER(SEARCH("LLC",D181)),VLOOKUP(A181,IntComp24[],21,FALSE),VLOOKUP(A181,IntComp[],21,FALSE))))</f>
        <v/>
      </c>
      <c r="I181" s="143" t="str">
        <f ca="1">IF(IntAll[[#This Row],[STATUS]]="","",IF(IF(OR(F181="2019-2020",F181="2021-2025"),"",IF(ISNUMBER(SEARCH("LLC",D181)),VLOOKUP(A181,IntComp24[],16,FALSE),VLOOKUP(A181,IntComp[],16,FALSE)))=0,"",IF(OR(F181="2019-2020",F181="2021-2025"),"",IF(ISNUMBER(SEARCH("LLC",D181)),VLOOKUP(A181,IntComp24[],16,FALSE),VLOOKUP(A181,IntComp[],16,FALSE)))))</f>
        <v/>
      </c>
      <c r="J181" s="143" t="str">
        <f ca="1">IF(IF(OR(F181="2019-2020",F181="2021-2025"),"",IF(ISNUMBER(SEARCH("LLC",D181)),VLOOKUP(A181,IntComp24[],17,FALSE),VLOOKUP(A181,IntComp[],17,FALSE)))=0,"",IF(OR(F181="2019-2020",F181="2021-2025"),"",IF(ISNUMBER(SEARCH("LLC",D181)),VLOOKUP(A181,IntComp24[],17,FALSE),VLOOKUP(A181,IntComp[],17,FALSE))))</f>
        <v/>
      </c>
      <c r="K181" s="151"/>
      <c r="L181" s="151">
        <f ca="1">IF(OR(F181="2019-2020",F181="2021-2025"),"",IF(ISNUMBER(SEARCH("LLC",D181)),VLOOKUP(A181,IntComp24[],18,FALSE),VLOOKUP(A181,IntComp[],18,FALSE)))</f>
        <v>2370197.375</v>
      </c>
      <c r="M181" s="143"/>
      <c r="N181" s="143" t="str">
        <f ca="1">IF(IF(OR(F181="2019-2020",F181="2021-2025"),"",IF(ISNUMBER(SEARCH("LLC",D181)),VLOOKUP(A181,IntComp24[],20,FALSE),VLOOKUP(A181,IntComp[],20,FALSE)))=0,"",IF(OR(F181="2019-2020",F181="2021-2025"),"",IF(ISNUMBER(SEARCH("LLC",D181)),VLOOKUP(A181,IntComp24[],20,FALSE),VLOOKUP(A181,IntComp[],20,FALSE))))</f>
        <v/>
      </c>
      <c r="O181" s="152" t="str">
        <f ca="1">IF(IF(OR(F181="2019-2020",F181="2021-2025"),"",IF(ISNUMBER(SEARCH("LLC",D181)),VLOOKUP(A181,IntComp24[],23,FALSE),VLOOKUP(A181,IntComp[],23,FALSE)))=0,"",IF(OR(F181="2019-2020",F181="2021-2025"),"",IF(ISNUMBER(SEARCH("LLC",D181)),VLOOKUP(A181,IntComp24[],23,FALSE),VLOOKUP(A181,IntComp[],23,FALSE))))</f>
        <v>OMB request sent</v>
      </c>
    </row>
    <row r="182" spans="1:15">
      <c r="A182" s="147" t="s">
        <v>84</v>
      </c>
      <c r="B182" s="144" t="str">
        <f>VLOOKUP(A182,Data[],2,FALSE)</f>
        <v>BROOKLYN</v>
      </c>
      <c r="C182" s="144" t="s">
        <v>106</v>
      </c>
      <c r="D182" s="9" t="str">
        <f>VLOOKUP(A182,Data[],52,FALSE)</f>
        <v>FEDERAL</v>
      </c>
      <c r="E182" s="9" t="str">
        <f>VLOOKUP(IntAll[[#This Row],[DEVELOPMENT]],Data[],62,FALSE)</f>
        <v>8, 16</v>
      </c>
      <c r="F182" s="9" t="str">
        <f ca="1">VLOOKUP(A182,Data[],4,FALSE)</f>
        <v/>
      </c>
      <c r="G182" s="9">
        <f>VLOOKUP(IntAll[[#This Row],[DEVELOPMENT]],EHDAll[[DEVELOPMENT]:['# Units]],6,FALSE)</f>
        <v>35</v>
      </c>
      <c r="H182" s="143" t="str">
        <f ca="1">IF(IntAll[[#This Row],[STATUS]]="","",IF(OR(F182="2019-2020",F182="2021-2025"),"",IF(ISNUMBER(SEARCH("LLC",D182)),VLOOKUP(A182,IntComp24[],21,FALSE),VLOOKUP(A182,IntComp[],21,FALSE))))</f>
        <v/>
      </c>
      <c r="I182" s="143" t="str">
        <f ca="1">IF(IntAll[[#This Row],[STATUS]]="","",IF(IF(OR(F182="2019-2020",F182="2021-2025"),"",IF(ISNUMBER(SEARCH("LLC",D182)),VLOOKUP(A182,IntComp24[],16,FALSE),VLOOKUP(A182,IntComp[],16,FALSE)))=0,"",IF(OR(F182="2019-2020",F182="2021-2025"),"",IF(ISNUMBER(SEARCH("LLC",D182)),VLOOKUP(A182,IntComp24[],16,FALSE),VLOOKUP(A182,IntComp[],16,FALSE)))))</f>
        <v/>
      </c>
      <c r="J182" s="143" t="str">
        <f ca="1">IF(IF(OR(F182="2019-2020",F182="2021-2025"),"",IF(ISNUMBER(SEARCH("LLC",D182)),VLOOKUP(A182,IntComp24[],17,FALSE),VLOOKUP(A182,IntComp[],17,FALSE)))=0,"",IF(OR(F182="2019-2020",F182="2021-2025"),"",IF(ISNUMBER(SEARCH("LLC",D182)),VLOOKUP(A182,IntComp24[],17,FALSE),VLOOKUP(A182,IntComp[],17,FALSE))))</f>
        <v/>
      </c>
      <c r="K182" s="151"/>
      <c r="L182" s="151">
        <f ca="1">IF(OR(F182="2019-2020",F182="2021-2025"),"",IF(ISNUMBER(SEARCH("LLC",D182)),VLOOKUP(A182,IntComp24[],18,FALSE),VLOOKUP(A182,IntComp[],18,FALSE)))</f>
        <v>2439909.0625</v>
      </c>
      <c r="M182" s="143"/>
      <c r="N182" s="143" t="str">
        <f ca="1">IF(IF(OR(F182="2019-2020",F182="2021-2025"),"",IF(ISNUMBER(SEARCH("LLC",D182)),VLOOKUP(A182,IntComp24[],20,FALSE),VLOOKUP(A182,IntComp[],20,FALSE)))=0,"",IF(OR(F182="2019-2020",F182="2021-2025"),"",IF(ISNUMBER(SEARCH("LLC",D182)),VLOOKUP(A182,IntComp24[],20,FALSE),VLOOKUP(A182,IntComp[],20,FALSE))))</f>
        <v/>
      </c>
      <c r="O182" s="152" t="str">
        <f ca="1">IF(IF(OR(F182="2019-2020",F182="2021-2025"),"",IF(ISNUMBER(SEARCH("LLC",D182)),VLOOKUP(A182,IntComp24[],23,FALSE),VLOOKUP(A182,IntComp[],23,FALSE)))=0,"",IF(OR(F182="2019-2020",F182="2021-2025"),"",IF(ISNUMBER(SEARCH("LLC",D182)),VLOOKUP(A182,IntComp24[],23,FALSE),VLOOKUP(A182,IntComp[],23,FALSE))))</f>
        <v/>
      </c>
    </row>
    <row r="183" spans="1:15">
      <c r="A183" s="147" t="s">
        <v>191</v>
      </c>
      <c r="B183" s="144" t="str">
        <f>VLOOKUP(A183,Data[],2,FALSE)</f>
        <v>BROOKLYN</v>
      </c>
      <c r="C183" s="144" t="s">
        <v>106</v>
      </c>
      <c r="D183" s="9" t="str">
        <f>VLOOKUP(A183,Data[],52,FALSE)</f>
        <v>FEDERAL</v>
      </c>
      <c r="E183" s="9">
        <f>VLOOKUP(IntAll[[#This Row],[DEVELOPMENT]],Data[],62,FALSE)</f>
        <v>8</v>
      </c>
      <c r="F183" s="9" t="str">
        <f ca="1">VLOOKUP(A183,Data[],4,FALSE)</f>
        <v/>
      </c>
      <c r="G183" s="9">
        <f>VLOOKUP(IntAll[[#This Row],[DEVELOPMENT]],EHDAll[[DEVELOPMENT]:['# Units]],6,FALSE)</f>
        <v>1</v>
      </c>
      <c r="H183" s="143" t="str">
        <f ca="1">IF(IntAll[[#This Row],[STATUS]]="","",IF(OR(F183="2019-2020",F183="2021-2025"),"",IF(ISNUMBER(SEARCH("LLC",D183)),VLOOKUP(A183,IntComp24[],21,FALSE),VLOOKUP(A183,IntComp[],21,FALSE))))</f>
        <v/>
      </c>
      <c r="I183" s="143" t="str">
        <f ca="1">IF(IntAll[[#This Row],[STATUS]]="","",IF(IF(OR(F183="2019-2020",F183="2021-2025"),"",IF(ISNUMBER(SEARCH("LLC",D183)),VLOOKUP(A183,IntComp24[],16,FALSE),VLOOKUP(A183,IntComp[],16,FALSE)))=0,"",IF(OR(F183="2019-2020",F183="2021-2025"),"",IF(ISNUMBER(SEARCH("LLC",D183)),VLOOKUP(A183,IntComp24[],16,FALSE),VLOOKUP(A183,IntComp[],16,FALSE)))))</f>
        <v/>
      </c>
      <c r="J183" s="143" t="str">
        <f ca="1">IF(IF(OR(F183="2019-2020",F183="2021-2025"),"",IF(ISNUMBER(SEARCH("LLC",D183)),VLOOKUP(A183,IntComp24[],17,FALSE),VLOOKUP(A183,IntComp[],17,FALSE)))=0,"",IF(OR(F183="2019-2020",F183="2021-2025"),"",IF(ISNUMBER(SEARCH("LLC",D183)),VLOOKUP(A183,IntComp24[],17,FALSE),VLOOKUP(A183,IntComp[],17,FALSE))))</f>
        <v/>
      </c>
      <c r="K183" s="151"/>
      <c r="L183" s="151">
        <f ca="1">IF(OR(F183="2019-2020",F183="2021-2025"),"",IF(ISNUMBER(SEARCH("LLC",D183)),VLOOKUP(A183,IntComp24[],18,FALSE),VLOOKUP(A183,IntComp[],18,FALSE)))</f>
        <v>76335.875</v>
      </c>
      <c r="M183" s="143"/>
      <c r="N183" s="143" t="str">
        <f ca="1">IF(IF(OR(F183="2019-2020",F183="2021-2025"),"",IF(ISNUMBER(SEARCH("LLC",D183)),VLOOKUP(A183,IntComp24[],20,FALSE),VLOOKUP(A183,IntComp[],20,FALSE)))=0,"",IF(OR(F183="2019-2020",F183="2021-2025"),"",IF(ISNUMBER(SEARCH("LLC",D183)),VLOOKUP(A183,IntComp24[],20,FALSE),VLOOKUP(A183,IntComp[],20,FALSE))))</f>
        <v/>
      </c>
      <c r="O183" s="152" t="str">
        <f ca="1">IF(IF(OR(F183="2019-2020",F183="2021-2025"),"",IF(ISNUMBER(SEARCH("LLC",D183)),VLOOKUP(A183,IntComp24[],23,FALSE),VLOOKUP(A183,IntComp[],23,FALSE)))=0,"",IF(OR(F183="2019-2020",F183="2021-2025"),"",IF(ISNUMBER(SEARCH("LLC",D183)),VLOOKUP(A183,IntComp24[],23,FALSE),VLOOKUP(A183,IntComp[],23,FALSE))))</f>
        <v/>
      </c>
    </row>
    <row r="184" spans="1:15">
      <c r="A184" s="147" t="s">
        <v>338</v>
      </c>
      <c r="B184" s="144" t="str">
        <f>VLOOKUP(A184,Data[],2,FALSE)</f>
        <v>QUEENS</v>
      </c>
      <c r="C184" s="144" t="s">
        <v>106</v>
      </c>
      <c r="D184" s="9" t="str">
        <f>VLOOKUP(A184,Data[],52,FALSE)</f>
        <v>FEDERAL</v>
      </c>
      <c r="E184" s="9">
        <f>VLOOKUP(IntAll[[#This Row],[DEVELOPMENT]],Data[],62,FALSE)</f>
        <v>7</v>
      </c>
      <c r="F184" s="9" t="str">
        <f ca="1">VLOOKUP(A184,Data[],4,FALSE)</f>
        <v/>
      </c>
      <c r="G184" s="9">
        <f>VLOOKUP(IntAll[[#This Row],[DEVELOPMENT]],EHDAll[[DEVELOPMENT]:['# Units]],6,FALSE)</f>
        <v>4</v>
      </c>
      <c r="H184" s="143" t="str">
        <f ca="1">IF(IntAll[[#This Row],[STATUS]]="","",IF(OR(F184="2019-2020",F184="2021-2025"),"",IF(ISNUMBER(SEARCH("LLC",D184)),VLOOKUP(A184,IntComp24[],21,FALSE),VLOOKUP(A184,IntComp[],21,FALSE))))</f>
        <v/>
      </c>
      <c r="I184" s="143" t="str">
        <f ca="1">IF(IntAll[[#This Row],[STATUS]]="","",IF(IF(OR(F184="2019-2020",F184="2021-2025"),"",IF(ISNUMBER(SEARCH("LLC",D184)),VLOOKUP(A184,IntComp24[],16,FALSE),VLOOKUP(A184,IntComp[],16,FALSE)))=0,"",IF(OR(F184="2019-2020",F184="2021-2025"),"",IF(ISNUMBER(SEARCH("LLC",D184)),VLOOKUP(A184,IntComp24[],16,FALSE),VLOOKUP(A184,IntComp[],16,FALSE)))))</f>
        <v/>
      </c>
      <c r="J184" s="143" t="str">
        <f ca="1">IF(IF(OR(F184="2019-2020",F184="2021-2025"),"",IF(ISNUMBER(SEARCH("LLC",D184)),VLOOKUP(A184,IntComp24[],17,FALSE),VLOOKUP(A184,IntComp[],17,FALSE)))=0,"",IF(OR(F184="2019-2020",F184="2021-2025"),"",IF(ISNUMBER(SEARCH("LLC",D184)),VLOOKUP(A184,IntComp24[],17,FALSE),VLOOKUP(A184,IntComp[],17,FALSE))))</f>
        <v/>
      </c>
      <c r="K184" s="151"/>
      <c r="L184" s="151">
        <f ca="1">IF(OR(F184="2019-2020",F184="2021-2025"),"",IF(ISNUMBER(SEARCH("LLC",D184)),VLOOKUP(A184,IntComp24[],18,FALSE),VLOOKUP(A184,IntComp[],18,FALSE)))</f>
        <v>323008</v>
      </c>
      <c r="M184" s="143"/>
      <c r="N184" s="143" t="str">
        <f ca="1">IF(IF(OR(F184="2019-2020",F184="2021-2025"),"",IF(ISNUMBER(SEARCH("LLC",D184)),VLOOKUP(A184,IntComp24[],20,FALSE),VLOOKUP(A184,IntComp[],20,FALSE)))=0,"",IF(OR(F184="2019-2020",F184="2021-2025"),"",IF(ISNUMBER(SEARCH("LLC",D184)),VLOOKUP(A184,IntComp24[],20,FALSE),VLOOKUP(A184,IntComp[],20,FALSE))))</f>
        <v/>
      </c>
      <c r="O184" s="152" t="str">
        <f ca="1">IF(IF(OR(F184="2019-2020",F184="2021-2025"),"",IF(ISNUMBER(SEARCH("LLC",D184)),VLOOKUP(A184,IntComp24[],23,FALSE),VLOOKUP(A184,IntComp[],23,FALSE)))=0,"",IF(OR(F184="2019-2020",F184="2021-2025"),"",IF(ISNUMBER(SEARCH("LLC",D184)),VLOOKUP(A184,IntComp24[],23,FALSE),VLOOKUP(A184,IntComp[],23,FALSE))))</f>
        <v/>
      </c>
    </row>
    <row r="185" spans="1:15">
      <c r="A185" s="147" t="s">
        <v>339</v>
      </c>
      <c r="B185" s="144" t="str">
        <f>VLOOKUP(A185,Data[],2,FALSE)</f>
        <v>QUEENS</v>
      </c>
      <c r="C185" s="144" t="s">
        <v>106</v>
      </c>
      <c r="D185" s="9" t="str">
        <f>VLOOKUP(A185,Data[],52,FALSE)</f>
        <v>FEDERAL</v>
      </c>
      <c r="E185" s="9">
        <f>VLOOKUP(IntAll[[#This Row],[DEVELOPMENT]],Data[],62,FALSE)</f>
        <v>7</v>
      </c>
      <c r="F185" s="9" t="str">
        <f ca="1">VLOOKUP(A185,Data[],4,FALSE)</f>
        <v/>
      </c>
      <c r="G185" s="9">
        <f>VLOOKUP(IntAll[[#This Row],[DEVELOPMENT]],EHDAll[[DEVELOPMENT]:['# Units]],6,FALSE)</f>
        <v>1</v>
      </c>
      <c r="H185" s="143" t="str">
        <f ca="1">IF(IntAll[[#This Row],[STATUS]]="","",IF(OR(F185="2019-2020",F185="2021-2025"),"",IF(ISNUMBER(SEARCH("LLC",D185)),VLOOKUP(A185,IntComp24[],21,FALSE),VLOOKUP(A185,IntComp[],21,FALSE))))</f>
        <v/>
      </c>
      <c r="I185" s="143" t="str">
        <f ca="1">IF(IntAll[[#This Row],[STATUS]]="","",IF(IF(OR(F185="2019-2020",F185="2021-2025"),"",IF(ISNUMBER(SEARCH("LLC",D185)),VLOOKUP(A185,IntComp24[],16,FALSE),VLOOKUP(A185,IntComp[],16,FALSE)))=0,"",IF(OR(F185="2019-2020",F185="2021-2025"),"",IF(ISNUMBER(SEARCH("LLC",D185)),VLOOKUP(A185,IntComp24[],16,FALSE),VLOOKUP(A185,IntComp[],16,FALSE)))))</f>
        <v/>
      </c>
      <c r="J185" s="143" t="str">
        <f ca="1">IF(IF(OR(F185="2019-2020",F185="2021-2025"),"",IF(ISNUMBER(SEARCH("LLC",D185)),VLOOKUP(A185,IntComp24[],17,FALSE),VLOOKUP(A185,IntComp[],17,FALSE)))=0,"",IF(OR(F185="2019-2020",F185="2021-2025"),"",IF(ISNUMBER(SEARCH("LLC",D185)),VLOOKUP(A185,IntComp24[],17,FALSE),VLOOKUP(A185,IntComp[],17,FALSE))))</f>
        <v/>
      </c>
      <c r="K185" s="151"/>
      <c r="L185" s="151">
        <f ca="1">IF(OR(F185="2019-2020",F185="2021-2025"),"",IF(ISNUMBER(SEARCH("LLC",D185)),VLOOKUP(A185,IntComp24[],18,FALSE),VLOOKUP(A185,IntComp[],18,FALSE)))</f>
        <v>80752</v>
      </c>
      <c r="M185" s="143"/>
      <c r="N185" s="143" t="str">
        <f ca="1">IF(IF(OR(F185="2019-2020",F185="2021-2025"),"",IF(ISNUMBER(SEARCH("LLC",D185)),VLOOKUP(A185,IntComp24[],20,FALSE),VLOOKUP(A185,IntComp[],20,FALSE)))=0,"",IF(OR(F185="2019-2020",F185="2021-2025"),"",IF(ISNUMBER(SEARCH("LLC",D185)),VLOOKUP(A185,IntComp24[],20,FALSE),VLOOKUP(A185,IntComp[],20,FALSE))))</f>
        <v/>
      </c>
      <c r="O185" s="152" t="str">
        <f ca="1">IF(IF(OR(F185="2019-2020",F185="2021-2025"),"",IF(ISNUMBER(SEARCH("LLC",D185)),VLOOKUP(A185,IntComp24[],23,FALSE),VLOOKUP(A185,IntComp[],23,FALSE)))=0,"",IF(OR(F185="2019-2020",F185="2021-2025"),"",IF(ISNUMBER(SEARCH("LLC",D185)),VLOOKUP(A185,IntComp24[],23,FALSE),VLOOKUP(A185,IntComp[],23,FALSE))))</f>
        <v/>
      </c>
    </row>
    <row r="186" spans="1:15">
      <c r="A186" s="147" t="s">
        <v>146</v>
      </c>
      <c r="B186" s="144" t="str">
        <f>VLOOKUP(A186,Data[],2,FALSE)</f>
        <v>MANHATTAN</v>
      </c>
      <c r="C186" s="144" t="s">
        <v>106</v>
      </c>
      <c r="D186" s="9" t="str">
        <f>VLOOKUP(A186,Data[],52,FALSE)</f>
        <v>FEDERAL</v>
      </c>
      <c r="E186" s="9">
        <f>VLOOKUP(IntAll[[#This Row],[DEVELOPMENT]],Data[],62,FALSE)</f>
        <v>11</v>
      </c>
      <c r="F186" s="9" t="str">
        <f ca="1">VLOOKUP(A186,Data[],4,FALSE)</f>
        <v/>
      </c>
      <c r="G186" s="9">
        <f>VLOOKUP(IntAll[[#This Row],[DEVELOPMENT]],EHDAll[[DEVELOPMENT]:['# Units]],6,FALSE)</f>
        <v>4</v>
      </c>
      <c r="H186" s="143" t="str">
        <f ca="1">IF(IntAll[[#This Row],[STATUS]]="","",IF(OR(F186="2019-2020",F186="2021-2025"),"",IF(ISNUMBER(SEARCH("LLC",D186)),VLOOKUP(A186,IntComp24[],21,FALSE),VLOOKUP(A186,IntComp[],21,FALSE))))</f>
        <v/>
      </c>
      <c r="I186" s="143" t="str">
        <f ca="1">IF(IntAll[[#This Row],[STATUS]]="","",IF(IF(OR(F186="2019-2020",F186="2021-2025"),"",IF(ISNUMBER(SEARCH("LLC",D186)),VLOOKUP(A186,IntComp24[],16,FALSE),VLOOKUP(A186,IntComp[],16,FALSE)))=0,"",IF(OR(F186="2019-2020",F186="2021-2025"),"",IF(ISNUMBER(SEARCH("LLC",D186)),VLOOKUP(A186,IntComp24[],16,FALSE),VLOOKUP(A186,IntComp[],16,FALSE)))))</f>
        <v/>
      </c>
      <c r="J186" s="143" t="str">
        <f ca="1">IF(IF(OR(F186="2019-2020",F186="2021-2025"),"",IF(ISNUMBER(SEARCH("LLC",D186)),VLOOKUP(A186,IntComp24[],17,FALSE),VLOOKUP(A186,IntComp[],17,FALSE)))=0,"",IF(OR(F186="2019-2020",F186="2021-2025"),"",IF(ISNUMBER(SEARCH("LLC",D186)),VLOOKUP(A186,IntComp24[],17,FALSE),VLOOKUP(A186,IntComp[],17,FALSE))))</f>
        <v/>
      </c>
      <c r="K186" s="151"/>
      <c r="L186" s="151">
        <f ca="1">IF(OR(F186="2019-2020",F186="2021-2025"),"",IF(ISNUMBER(SEARCH("LLC",D186)),VLOOKUP(A186,IntComp24[],18,FALSE),VLOOKUP(A186,IntComp[],18,FALSE)))</f>
        <v>305343.5</v>
      </c>
      <c r="M186" s="143"/>
      <c r="N186" s="143" t="str">
        <f ca="1">IF(IF(OR(F186="2019-2020",F186="2021-2025"),"",IF(ISNUMBER(SEARCH("LLC",D186)),VLOOKUP(A186,IntComp24[],20,FALSE),VLOOKUP(A186,IntComp[],20,FALSE)))=0,"",IF(OR(F186="2019-2020",F186="2021-2025"),"",IF(ISNUMBER(SEARCH("LLC",D186)),VLOOKUP(A186,IntComp24[],20,FALSE),VLOOKUP(A186,IntComp[],20,FALSE))))</f>
        <v/>
      </c>
      <c r="O186" s="152" t="str">
        <f ca="1">IF(IF(OR(F186="2019-2020",F186="2021-2025"),"",IF(ISNUMBER(SEARCH("LLC",D186)),VLOOKUP(A186,IntComp24[],23,FALSE),VLOOKUP(A186,IntComp[],23,FALSE)))=0,"",IF(OR(F186="2019-2020",F186="2021-2025"),"",IF(ISNUMBER(SEARCH("LLC",D186)),VLOOKUP(A186,IntComp24[],23,FALSE),VLOOKUP(A186,IntComp[],23,FALSE))))</f>
        <v/>
      </c>
    </row>
    <row r="187" spans="1:15">
      <c r="A187" s="147" t="s">
        <v>340</v>
      </c>
      <c r="B187" s="144" t="str">
        <f>VLOOKUP(A187,Data[],2,FALSE)</f>
        <v>BROOKLYN</v>
      </c>
      <c r="C187" s="144" t="s">
        <v>106</v>
      </c>
      <c r="D187" s="9" t="str">
        <f>VLOOKUP(A187,Data[],52,FALSE)</f>
        <v>FEDERAL</v>
      </c>
      <c r="E187" s="9">
        <f>VLOOKUP(IntAll[[#This Row],[DEVELOPMENT]],Data[],62,FALSE)</f>
        <v>17</v>
      </c>
      <c r="F187" s="9" t="str">
        <f ca="1">VLOOKUP(A187,Data[],4,FALSE)</f>
        <v>2020-2021</v>
      </c>
      <c r="G187" s="9">
        <f>VLOOKUP(IntAll[[#This Row],[DEVELOPMENT]],EHDAll[[DEVELOPMENT]:['# Units]],6,FALSE)</f>
        <v>3</v>
      </c>
      <c r="H187" s="143" t="str">
        <f ca="1">IF(IntAll[[#This Row],[STATUS]]="","",IF(OR(F187="2019-2020",F187="2021-2025"),"",IF(ISNUMBER(SEARCH("LLC",D187)),VLOOKUP(A187,IntComp24[],21,FALSE),VLOOKUP(A187,IntComp[],21,FALSE))))</f>
        <v/>
      </c>
      <c r="I187" s="143" t="str">
        <f ca="1">IF(IntAll[[#This Row],[STATUS]]="","",IF(IF(OR(F187="2019-2020",F187="2021-2025"),"",IF(ISNUMBER(SEARCH("LLC",D187)),VLOOKUP(A187,IntComp24[],16,FALSE),VLOOKUP(A187,IntComp[],16,FALSE)))=0,"",IF(OR(F187="2019-2020",F187="2021-2025"),"",IF(ISNUMBER(SEARCH("LLC",D187)),VLOOKUP(A187,IntComp24[],16,FALSE),VLOOKUP(A187,IntComp[],16,FALSE)))))</f>
        <v/>
      </c>
      <c r="J187" s="143" t="str">
        <f ca="1">IF(IF(OR(F187="2019-2020",F187="2021-2025"),"",IF(ISNUMBER(SEARCH("LLC",D187)),VLOOKUP(A187,IntComp24[],17,FALSE),VLOOKUP(A187,IntComp[],17,FALSE)))=0,"",IF(OR(F187="2019-2020",F187="2021-2025"),"",IF(ISNUMBER(SEARCH("LLC",D187)),VLOOKUP(A187,IntComp24[],17,FALSE),VLOOKUP(A187,IntComp[],17,FALSE))))</f>
        <v/>
      </c>
      <c r="K187" s="151"/>
      <c r="L187" s="151">
        <f ca="1">IF(OR(F187="2019-2020",F187="2021-2025"),"",IF(ISNUMBER(SEARCH("LLC",D187)),VLOOKUP(A187,IntComp24[],18,FALSE),VLOOKUP(A187,IntComp[],18,FALSE)))</f>
        <v>0</v>
      </c>
      <c r="M187" s="143"/>
      <c r="N187" s="143" t="str">
        <f ca="1">IF(IF(OR(F187="2019-2020",F187="2021-2025"),"",IF(ISNUMBER(SEARCH("LLC",D187)),VLOOKUP(A187,IntComp24[],20,FALSE),VLOOKUP(A187,IntComp[],20,FALSE)))=0,"",IF(OR(F187="2019-2020",F187="2021-2025"),"",IF(ISNUMBER(SEARCH("LLC",D187)),VLOOKUP(A187,IntComp24[],20,FALSE),VLOOKUP(A187,IntComp[],20,FALSE))))</f>
        <v/>
      </c>
      <c r="O187" s="152" t="str">
        <f ca="1">IF(IF(OR(F187="2019-2020",F187="2021-2025"),"",IF(ISNUMBER(SEARCH("LLC",D187)),VLOOKUP(A187,IntComp24[],23,FALSE),VLOOKUP(A187,IntComp[],23,FALSE)))=0,"",IF(OR(F187="2019-2020",F187="2021-2025"),"",IF(ISNUMBER(SEARCH("LLC",D187)),VLOOKUP(A187,IntComp24[],23,FALSE),VLOOKUP(A187,IntComp[],23,FALSE))))</f>
        <v/>
      </c>
    </row>
    <row r="188" spans="1:15">
      <c r="A188" s="147" t="s">
        <v>125</v>
      </c>
      <c r="B188" s="144" t="str">
        <f>VLOOKUP(A188,Data[],2,FALSE)</f>
        <v>MANHATTAN</v>
      </c>
      <c r="C188" s="144" t="s">
        <v>106</v>
      </c>
      <c r="D188" s="9" t="str">
        <f>VLOOKUP(A188,Data[],52,FALSE)</f>
        <v>FEDERAL</v>
      </c>
      <c r="E188" s="9">
        <f>VLOOKUP(IntAll[[#This Row],[DEVELOPMENT]],Data[],62,FALSE)</f>
        <v>11</v>
      </c>
      <c r="F188" s="9" t="str">
        <f ca="1">VLOOKUP(A188,Data[],4,FALSE)</f>
        <v>2022-2025</v>
      </c>
      <c r="G188" s="9">
        <f>VLOOKUP(IntAll[[#This Row],[DEVELOPMENT]],EHDAll[[DEVELOPMENT]:['# Units]],6,FALSE)</f>
        <v>4</v>
      </c>
      <c r="H188" s="143" t="str">
        <f ca="1">IF(IntAll[[#This Row],[STATUS]]="","",IF(OR(F188="2019-2020",F188="2021-2025"),"",IF(ISNUMBER(SEARCH("LLC",D188)),VLOOKUP(A188,IntComp24[],21,FALSE),VLOOKUP(A188,IntComp[],21,FALSE))))</f>
        <v/>
      </c>
      <c r="I188" s="143" t="str">
        <f ca="1">IF(IntAll[[#This Row],[STATUS]]="","",IF(IF(OR(F188="2019-2020",F188="2021-2025"),"",IF(ISNUMBER(SEARCH("LLC",D188)),VLOOKUP(A188,IntComp24[],16,FALSE),VLOOKUP(A188,IntComp[],16,FALSE)))=0,"",IF(OR(F188="2019-2020",F188="2021-2025"),"",IF(ISNUMBER(SEARCH("LLC",D188)),VLOOKUP(A188,IntComp24[],16,FALSE),VLOOKUP(A188,IntComp[],16,FALSE)))))</f>
        <v/>
      </c>
      <c r="J188" s="143" t="str">
        <f ca="1">IF(IF(OR(F188="2019-2020",F188="2021-2025"),"",IF(ISNUMBER(SEARCH("LLC",D188)),VLOOKUP(A188,IntComp24[],17,FALSE),VLOOKUP(A188,IntComp[],17,FALSE)))=0,"",IF(OR(F188="2019-2020",F188="2021-2025"),"",IF(ISNUMBER(SEARCH("LLC",D188)),VLOOKUP(A188,IntComp24[],17,FALSE),VLOOKUP(A188,IntComp[],17,FALSE))))</f>
        <v/>
      </c>
      <c r="K188" s="151"/>
      <c r="L188" s="151">
        <f ca="1">IF(OR(F188="2019-2020",F188="2021-2025"),"",IF(ISNUMBER(SEARCH("LLC",D188)),VLOOKUP(A188,IntComp24[],18,FALSE),VLOOKUP(A188,IntComp[],18,FALSE)))</f>
        <v>0</v>
      </c>
      <c r="M188" s="143"/>
      <c r="N188" s="143" t="str">
        <f ca="1">IF(IF(OR(F188="2019-2020",F188="2021-2025"),"",IF(ISNUMBER(SEARCH("LLC",D188)),VLOOKUP(A188,IntComp24[],20,FALSE),VLOOKUP(A188,IntComp[],20,FALSE)))=0,"",IF(OR(F188="2019-2020",F188="2021-2025"),"",IF(ISNUMBER(SEARCH("LLC",D188)),VLOOKUP(A188,IntComp24[],20,FALSE),VLOOKUP(A188,IntComp[],20,FALSE))))</f>
        <v/>
      </c>
      <c r="O188" s="152" t="str">
        <f ca="1">IF(IF(OR(F188="2019-2020",F188="2021-2025"),"",IF(ISNUMBER(SEARCH("LLC",D188)),VLOOKUP(A188,IntComp24[],23,FALSE),VLOOKUP(A188,IntComp[],23,FALSE)))=0,"",IF(OR(F188="2019-2020",F188="2021-2025"),"",IF(ISNUMBER(SEARCH("LLC",D188)),VLOOKUP(A188,IntComp24[],23,FALSE),VLOOKUP(A188,IntComp[],23,FALSE))))</f>
        <v/>
      </c>
    </row>
    <row r="189" spans="1:15">
      <c r="A189" s="147" t="s">
        <v>113</v>
      </c>
      <c r="B189" s="144" t="str">
        <f>VLOOKUP(A189,Data[],2,FALSE)</f>
        <v>MANHATTAN</v>
      </c>
      <c r="C189" s="144" t="s">
        <v>106</v>
      </c>
      <c r="D189" s="9" t="str">
        <f>VLOOKUP(A189,Data[],52,FALSE)</f>
        <v>FEDERAL</v>
      </c>
      <c r="E189" s="9">
        <f>VLOOKUP(IntAll[[#This Row],[DEVELOPMENT]],Data[],62,FALSE)</f>
        <v>11</v>
      </c>
      <c r="F189" s="9" t="str">
        <f ca="1">VLOOKUP(A189,Data[],4,FALSE)</f>
        <v>2026+</v>
      </c>
      <c r="G189" s="9">
        <f>VLOOKUP(IntAll[[#This Row],[DEVELOPMENT]],EHDAll[[DEVELOPMENT]:['# Units]],6,FALSE)</f>
        <v>20</v>
      </c>
      <c r="H189" s="143" t="str">
        <f ca="1">IF(IntAll[[#This Row],[STATUS]]="","",IF(OR(F189="2019-2020",F189="2021-2025"),"",IF(ISNUMBER(SEARCH("LLC",D189)),VLOOKUP(A189,IntComp24[],21,FALSE),VLOOKUP(A189,IntComp[],21,FALSE))))</f>
        <v/>
      </c>
      <c r="I189" s="143" t="str">
        <f ca="1">IF(IntAll[[#This Row],[STATUS]]="","",IF(IF(OR(F189="2019-2020",F189="2021-2025"),"",IF(ISNUMBER(SEARCH("LLC",D189)),VLOOKUP(A189,IntComp24[],16,FALSE),VLOOKUP(A189,IntComp[],16,FALSE)))=0,"",IF(OR(F189="2019-2020",F189="2021-2025"),"",IF(ISNUMBER(SEARCH("LLC",D189)),VLOOKUP(A189,IntComp24[],16,FALSE),VLOOKUP(A189,IntComp[],16,FALSE)))))</f>
        <v/>
      </c>
      <c r="J189" s="143" t="str">
        <f ca="1">IF(IF(OR(F189="2019-2020",F189="2021-2025"),"",IF(ISNUMBER(SEARCH("LLC",D189)),VLOOKUP(A189,IntComp24[],17,FALSE),VLOOKUP(A189,IntComp[],17,FALSE)))=0,"",IF(OR(F189="2019-2020",F189="2021-2025"),"",IF(ISNUMBER(SEARCH("LLC",D189)),VLOOKUP(A189,IntComp24[],17,FALSE),VLOOKUP(A189,IntComp[],17,FALSE))))</f>
        <v/>
      </c>
      <c r="K189" s="151"/>
      <c r="L189" s="151">
        <f ca="1">IF(OR(F189="2019-2020",F189="2021-2025"),"",IF(ISNUMBER(SEARCH("LLC",D189)),VLOOKUP(A189,IntComp24[],18,FALSE),VLOOKUP(A189,IntComp[],18,FALSE)))</f>
        <v>1350072.5</v>
      </c>
      <c r="M189" s="143"/>
      <c r="N189" s="143" t="str">
        <f ca="1">IF(IF(OR(F189="2019-2020",F189="2021-2025"),"",IF(ISNUMBER(SEARCH("LLC",D189)),VLOOKUP(A189,IntComp24[],20,FALSE),VLOOKUP(A189,IntComp[],20,FALSE)))=0,"",IF(OR(F189="2019-2020",F189="2021-2025"),"",IF(ISNUMBER(SEARCH("LLC",D189)),VLOOKUP(A189,IntComp24[],20,FALSE),VLOOKUP(A189,IntComp[],20,FALSE))))</f>
        <v/>
      </c>
      <c r="O189" s="152" t="str">
        <f ca="1">IF(IF(OR(F189="2019-2020",F189="2021-2025"),"",IF(ISNUMBER(SEARCH("LLC",D189)),VLOOKUP(A189,IntComp24[],23,FALSE),VLOOKUP(A189,IntComp[],23,FALSE)))=0,"",IF(OR(F189="2019-2020",F189="2021-2025"),"",IF(ISNUMBER(SEARCH("LLC",D189)),VLOOKUP(A189,IntComp24[],23,FALSE),VLOOKUP(A189,IntComp[],23,FALSE))))</f>
        <v>OMB request sent</v>
      </c>
    </row>
    <row r="190" spans="1:15">
      <c r="A190" s="147" t="s">
        <v>341</v>
      </c>
      <c r="B190" s="144" t="str">
        <f>VLOOKUP(A190,Data[],2,FALSE)</f>
        <v>BROOKLYN</v>
      </c>
      <c r="C190" s="144" t="s">
        <v>106</v>
      </c>
      <c r="D190" s="9" t="str">
        <f>VLOOKUP(A190,Data[],52,FALSE)</f>
        <v>MIXED FINANCE/LLC2</v>
      </c>
      <c r="E190" s="9">
        <f>VLOOKUP(IntAll[[#This Row],[DEVELOPMENT]],Data[],62,FALSE)</f>
        <v>5</v>
      </c>
      <c r="F190" s="9" t="str">
        <f ca="1">VLOOKUP(A190,Data[],4,FALSE)</f>
        <v>2020-2021</v>
      </c>
      <c r="G190" s="9">
        <f>VLOOKUP(IntAll[[#This Row],[DEVELOPMENT]],EHDAll[[DEVELOPMENT]:['# Units]],6,FALSE)</f>
        <v>19</v>
      </c>
      <c r="H190" s="143" t="str">
        <f ca="1">IF(IntAll[[#This Row],[STATUS]]="","",IF(OR(F190="2019-2020",F190="2021-2025"),"",IF(ISNUMBER(SEARCH("LLC",D190)),VLOOKUP(A190,IntComp24[],21,FALSE),VLOOKUP(A190,IntComp[],21,FALSE))))</f>
        <v/>
      </c>
      <c r="I190" s="143" t="str">
        <f ca="1">IF(IntAll[[#This Row],[STATUS]]="","",IF(IF(OR(F190="2019-2020",F190="2021-2025"),"",IF(ISNUMBER(SEARCH("LLC",D190)),VLOOKUP(A190,IntComp24[],16,FALSE),VLOOKUP(A190,IntComp[],16,FALSE)))=0,"",IF(OR(F190="2019-2020",F190="2021-2025"),"",IF(ISNUMBER(SEARCH("LLC",D190)),VLOOKUP(A190,IntComp24[],16,FALSE),VLOOKUP(A190,IntComp[],16,FALSE)))))</f>
        <v/>
      </c>
      <c r="J190" s="143" t="str">
        <f ca="1">IF(IF(OR(F190="2019-2020",F190="2021-2025"),"",IF(ISNUMBER(SEARCH("LLC",D190)),VLOOKUP(A190,IntComp24[],17,FALSE),VLOOKUP(A190,IntComp[],17,FALSE)))=0,"",IF(OR(F190="2019-2020",F190="2021-2025"),"",IF(ISNUMBER(SEARCH("LLC",D190)),VLOOKUP(A190,IntComp24[],17,FALSE),VLOOKUP(A190,IntComp[],17,FALSE))))</f>
        <v/>
      </c>
      <c r="K190" s="151"/>
      <c r="L190" s="151">
        <f ca="1">IF(OR(F190="2019-2020",F190="2021-2025"),"",IF(ISNUMBER(SEARCH("LLC",D190)),VLOOKUP(A190,IntComp24[],18,FALSE),VLOOKUP(A190,IntComp[],18,FALSE)))</f>
        <v>0</v>
      </c>
      <c r="M190" s="143"/>
      <c r="N190" s="143" t="str">
        <f ca="1">IF(IF(OR(F190="2019-2020",F190="2021-2025"),"",IF(ISNUMBER(SEARCH("LLC",D190)),VLOOKUP(A190,IntComp24[],20,FALSE),VLOOKUP(A190,IntComp[],20,FALSE)))=0,"",IF(OR(F190="2019-2020",F190="2021-2025"),"",IF(ISNUMBER(SEARCH("LLC",D190)),VLOOKUP(A190,IntComp24[],20,FALSE),VLOOKUP(A190,IntComp[],20,FALSE))))</f>
        <v/>
      </c>
      <c r="O190" s="152" t="str">
        <f ca="1">IF(IF(OR(F190="2019-2020",F190="2021-2025"),"",IF(ISNUMBER(SEARCH("LLC",D190)),VLOOKUP(A190,IntComp24[],23,FALSE),VLOOKUP(A190,IntComp[],23,FALSE)))=0,"",IF(OR(F190="2019-2020",F190="2021-2025"),"",IF(ISNUMBER(SEARCH("LLC",D190)),VLOOKUP(A190,IntComp24[],23,FALSE),VLOOKUP(A190,IntComp[],23,FALSE))))</f>
        <v/>
      </c>
    </row>
    <row r="191" spans="1:15">
      <c r="A191" s="147" t="s">
        <v>287</v>
      </c>
      <c r="B191" s="144" t="str">
        <f>VLOOKUP(A191,Data[],2,FALSE)</f>
        <v>BRONX</v>
      </c>
      <c r="C191" s="144" t="s">
        <v>106</v>
      </c>
      <c r="D191" s="9" t="str">
        <f>VLOOKUP(A191,Data[],52,FALSE)</f>
        <v>FEDERAL</v>
      </c>
      <c r="E191" s="9">
        <f>VLOOKUP(IntAll[[#This Row],[DEVELOPMENT]],Data[],62,FALSE)</f>
        <v>2</v>
      </c>
      <c r="F191" s="9" t="str">
        <f ca="1">VLOOKUP(A191,Data[],4,FALSE)</f>
        <v/>
      </c>
      <c r="G191" s="9">
        <f>VLOOKUP(IntAll[[#This Row],[DEVELOPMENT]],EHDAll[[DEVELOPMENT]:['# Units]],6,FALSE)</f>
        <v>5</v>
      </c>
      <c r="H191" s="143" t="str">
        <f ca="1">IF(IntAll[[#This Row],[STATUS]]="","",IF(OR(F191="2019-2020",F191="2021-2025"),"",IF(ISNUMBER(SEARCH("LLC",D191)),VLOOKUP(A191,IntComp24[],21,FALSE),VLOOKUP(A191,IntComp[],21,FALSE))))</f>
        <v/>
      </c>
      <c r="I191" s="143" t="str">
        <f ca="1">IF(IntAll[[#This Row],[STATUS]]="","",IF(IF(OR(F191="2019-2020",F191="2021-2025"),"",IF(ISNUMBER(SEARCH("LLC",D191)),VLOOKUP(A191,IntComp24[],16,FALSE),VLOOKUP(A191,IntComp[],16,FALSE)))=0,"",IF(OR(F191="2019-2020",F191="2021-2025"),"",IF(ISNUMBER(SEARCH("LLC",D191)),VLOOKUP(A191,IntComp24[],16,FALSE),VLOOKUP(A191,IntComp[],16,FALSE)))))</f>
        <v/>
      </c>
      <c r="J191" s="143" t="str">
        <f ca="1">IF(IF(OR(F191="2019-2020",F191="2021-2025"),"",IF(ISNUMBER(SEARCH("LLC",D191)),VLOOKUP(A191,IntComp24[],17,FALSE),VLOOKUP(A191,IntComp[],17,FALSE)))=0,"",IF(OR(F191="2019-2020",F191="2021-2025"),"",IF(ISNUMBER(SEARCH("LLC",D191)),VLOOKUP(A191,IntComp24[],17,FALSE),VLOOKUP(A191,IntComp[],17,FALSE))))</f>
        <v/>
      </c>
      <c r="K191" s="151"/>
      <c r="L191" s="151">
        <f ca="1">IF(OR(F191="2019-2020",F191="2021-2025"),"",IF(ISNUMBER(SEARCH("LLC",D191)),VLOOKUP(A191,IntComp24[],18,FALSE),VLOOKUP(A191,IntComp[],18,FALSE)))</f>
        <v>0</v>
      </c>
      <c r="M191" s="143"/>
      <c r="N191" s="143" t="str">
        <f ca="1">IF(IF(OR(F191="2019-2020",F191="2021-2025"),"",IF(ISNUMBER(SEARCH("LLC",D191)),VLOOKUP(A191,IntComp24[],20,FALSE),VLOOKUP(A191,IntComp[],20,FALSE)))=0,"",IF(OR(F191="2019-2020",F191="2021-2025"),"",IF(ISNUMBER(SEARCH("LLC",D191)),VLOOKUP(A191,IntComp24[],20,FALSE),VLOOKUP(A191,IntComp[],20,FALSE))))</f>
        <v/>
      </c>
      <c r="O191" s="152" t="str">
        <f ca="1">IF(IF(OR(F191="2019-2020",F191="2021-2025"),"",IF(ISNUMBER(SEARCH("LLC",D191)),VLOOKUP(A191,IntComp24[],23,FALSE),VLOOKUP(A191,IntComp[],23,FALSE)))=0,"",IF(OR(F191="2019-2020",F191="2021-2025"),"",IF(ISNUMBER(SEARCH("LLC",D191)),VLOOKUP(A191,IntComp24[],23,FALSE),VLOOKUP(A191,IntComp[],23,FALSE))))</f>
        <v/>
      </c>
    </row>
    <row r="192" spans="1:15">
      <c r="A192" s="147" t="s">
        <v>192</v>
      </c>
      <c r="B192" s="144" t="str">
        <f>VLOOKUP(A192,Data[],2,FALSE)</f>
        <v>BROOKLYN</v>
      </c>
      <c r="C192" s="144" t="s">
        <v>106</v>
      </c>
      <c r="D192" s="9" t="str">
        <f>VLOOKUP(A192,Data[],52,FALSE)</f>
        <v>FEDERAL</v>
      </c>
      <c r="E192" s="9">
        <f>VLOOKUP(IntAll[[#This Row],[DEVELOPMENT]],Data[],62,FALSE)</f>
        <v>16</v>
      </c>
      <c r="F192" s="9" t="str">
        <f ca="1">VLOOKUP(A192,Data[],4,FALSE)</f>
        <v/>
      </c>
      <c r="G192" s="9">
        <f>VLOOKUP(IntAll[[#This Row],[DEVELOPMENT]],EHDAll[[DEVELOPMENT]:['# Units]],6,FALSE)</f>
        <v>4</v>
      </c>
      <c r="H192" s="143" t="str">
        <f ca="1">IF(IntAll[[#This Row],[STATUS]]="","",IF(OR(F192="2019-2020",F192="2021-2025"),"",IF(ISNUMBER(SEARCH("LLC",D192)),VLOOKUP(A192,IntComp24[],21,FALSE),VLOOKUP(A192,IntComp[],21,FALSE))))</f>
        <v/>
      </c>
      <c r="I192" s="143" t="str">
        <f ca="1">IF(IntAll[[#This Row],[STATUS]]="","",IF(IF(OR(F192="2019-2020",F192="2021-2025"),"",IF(ISNUMBER(SEARCH("LLC",D192)),VLOOKUP(A192,IntComp24[],16,FALSE),VLOOKUP(A192,IntComp[],16,FALSE)))=0,"",IF(OR(F192="2019-2020",F192="2021-2025"),"",IF(ISNUMBER(SEARCH("LLC",D192)),VLOOKUP(A192,IntComp24[],16,FALSE),VLOOKUP(A192,IntComp[],16,FALSE)))))</f>
        <v/>
      </c>
      <c r="J192" s="143" t="str">
        <f ca="1">IF(IF(OR(F192="2019-2020",F192="2021-2025"),"",IF(ISNUMBER(SEARCH("LLC",D192)),VLOOKUP(A192,IntComp24[],17,FALSE),VLOOKUP(A192,IntComp[],17,FALSE)))=0,"",IF(OR(F192="2019-2020",F192="2021-2025"),"",IF(ISNUMBER(SEARCH("LLC",D192)),VLOOKUP(A192,IntComp24[],17,FALSE),VLOOKUP(A192,IntComp[],17,FALSE))))</f>
        <v/>
      </c>
      <c r="K192" s="151"/>
      <c r="L192" s="151">
        <f ca="1">IF(OR(F192="2019-2020",F192="2021-2025"),"",IF(ISNUMBER(SEARCH("LLC",D192)),VLOOKUP(A192,IntComp24[],18,FALSE),VLOOKUP(A192,IntComp[],18,FALSE)))</f>
        <v>305343.5</v>
      </c>
      <c r="M192" s="143"/>
      <c r="N192" s="143" t="str">
        <f ca="1">IF(IF(OR(F192="2019-2020",F192="2021-2025"),"",IF(ISNUMBER(SEARCH("LLC",D192)),VLOOKUP(A192,IntComp24[],20,FALSE),VLOOKUP(A192,IntComp[],20,FALSE)))=0,"",IF(OR(F192="2019-2020",F192="2021-2025"),"",IF(ISNUMBER(SEARCH("LLC",D192)),VLOOKUP(A192,IntComp24[],20,FALSE),VLOOKUP(A192,IntComp[],20,FALSE))))</f>
        <v/>
      </c>
      <c r="O192" s="152" t="str">
        <f ca="1">IF(IF(OR(F192="2019-2020",F192="2021-2025"),"",IF(ISNUMBER(SEARCH("LLC",D192)),VLOOKUP(A192,IntComp24[],23,FALSE),VLOOKUP(A192,IntComp[],23,FALSE)))=0,"",IF(OR(F192="2019-2020",F192="2021-2025"),"",IF(ISNUMBER(SEARCH("LLC",D192)),VLOOKUP(A192,IntComp24[],23,FALSE),VLOOKUP(A192,IntComp[],23,FALSE))))</f>
        <v/>
      </c>
    </row>
    <row r="193" spans="1:15">
      <c r="A193" s="148" t="s">
        <v>247</v>
      </c>
      <c r="B193" s="144" t="str">
        <f>VLOOKUP(A193,Data[],2,FALSE)</f>
        <v>MANHATTAN</v>
      </c>
      <c r="C193" s="144" t="s">
        <v>106</v>
      </c>
      <c r="D193" s="9" t="str">
        <f>VLOOKUP(A193,Data[],52,FALSE)</f>
        <v>FEDERAL</v>
      </c>
      <c r="E193" s="9">
        <f>VLOOKUP(IntAll[[#This Row],[DEVELOPMENT]],Data[],62,FALSE)</f>
        <v>3</v>
      </c>
      <c r="F193" s="9" t="str">
        <f ca="1">VLOOKUP(A193,Data[],4,FALSE)</f>
        <v/>
      </c>
      <c r="G193" s="9">
        <f>VLOOKUP(IntAll[[#This Row],[DEVELOPMENT]],EHDAll[[DEVELOPMENT]:['# Units]],6,FALSE)</f>
        <v>0</v>
      </c>
      <c r="H193" s="143" t="str">
        <f ca="1">IF(IntAll[[#This Row],[STATUS]]="","",IF(OR(F193="2019-2020",F193="2021-2025"),"",IF(ISNUMBER(SEARCH("LLC",D193)),VLOOKUP(A193,IntComp24[],21,FALSE),VLOOKUP(A193,IntComp[],21,FALSE))))</f>
        <v/>
      </c>
      <c r="I193" s="143" t="str">
        <f ca="1">IF(IntAll[[#This Row],[STATUS]]="","",IF(IF(OR(F193="2019-2020",F193="2021-2025"),"",IF(ISNUMBER(SEARCH("LLC",D193)),VLOOKUP(A193,IntComp24[],16,FALSE),VLOOKUP(A193,IntComp[],16,FALSE)))=0,"",IF(OR(F193="2019-2020",F193="2021-2025"),"",IF(ISNUMBER(SEARCH("LLC",D193)),VLOOKUP(A193,IntComp24[],16,FALSE),VLOOKUP(A193,IntComp[],16,FALSE)))))</f>
        <v/>
      </c>
      <c r="J193" s="143" t="str">
        <f ca="1">IF(IF(OR(F193="2019-2020",F193="2021-2025"),"",IF(ISNUMBER(SEARCH("LLC",D193)),VLOOKUP(A193,IntComp24[],17,FALSE),VLOOKUP(A193,IntComp[],17,FALSE)))=0,"",IF(OR(F193="2019-2020",F193="2021-2025"),"",IF(ISNUMBER(SEARCH("LLC",D193)),VLOOKUP(A193,IntComp24[],17,FALSE),VLOOKUP(A193,IntComp[],17,FALSE))))</f>
        <v/>
      </c>
      <c r="K193" s="151"/>
      <c r="L193" s="151">
        <f ca="1">IF(OR(F193="2019-2020",F193="2021-2025"),"",IF(ISNUMBER(SEARCH("LLC",D193)),VLOOKUP(A193,IntComp24[],18,FALSE),VLOOKUP(A193,IntComp[],18,FALSE)))</f>
        <v>0</v>
      </c>
      <c r="M193" s="143"/>
      <c r="N193" s="143" t="str">
        <f ca="1">IF(IF(OR(F193="2019-2020",F193="2021-2025"),"",IF(ISNUMBER(SEARCH("LLC",D193)),VLOOKUP(A193,IntComp24[],20,FALSE),VLOOKUP(A193,IntComp[],20,FALSE)))=0,"",IF(OR(F193="2019-2020",F193="2021-2025"),"",IF(ISNUMBER(SEARCH("LLC",D193)),VLOOKUP(A193,IntComp24[],20,FALSE),VLOOKUP(A193,IntComp[],20,FALSE))))</f>
        <v/>
      </c>
      <c r="O193" s="152" t="str">
        <f ca="1">IF(IF(OR(F193="2019-2020",F193="2021-2025"),"",IF(ISNUMBER(SEARCH("LLC",D193)),VLOOKUP(A193,IntComp24[],23,FALSE),VLOOKUP(A193,IntComp[],23,FALSE)))=0,"",IF(OR(F193="2019-2020",F193="2021-2025"),"",IF(ISNUMBER(SEARCH("LLC",D193)),VLOOKUP(A193,IntComp24[],23,FALSE),VLOOKUP(A193,IntComp[],23,FALSE))))</f>
        <v/>
      </c>
    </row>
    <row r="194" spans="1:15">
      <c r="A194" s="147" t="s">
        <v>122</v>
      </c>
      <c r="B194" s="144" t="str">
        <f>VLOOKUP(A194,Data[],2,FALSE)</f>
        <v>MANHATTAN</v>
      </c>
      <c r="C194" s="144" t="s">
        <v>106</v>
      </c>
      <c r="D194" s="9" t="str">
        <f>VLOOKUP(A194,Data[],52,FALSE)</f>
        <v>MIXED FINANCE/LLC1</v>
      </c>
      <c r="E194" s="9">
        <f>VLOOKUP(IntAll[[#This Row],[DEVELOPMENT]],Data[],62,FALSE)</f>
        <v>9</v>
      </c>
      <c r="F194" s="9" t="str">
        <f ca="1">VLOOKUP(A194,Data[],4,FALSE)</f>
        <v>2026+</v>
      </c>
      <c r="G194" s="9">
        <f>VLOOKUP(IntAll[[#This Row],[DEVELOPMENT]],EHDAll[[DEVELOPMENT]:['# Units]],6,FALSE)</f>
        <v>6</v>
      </c>
      <c r="H194" s="143" t="str">
        <f ca="1">IF(IntAll[[#This Row],[STATUS]]="","",IF(OR(F194="2019-2020",F194="2021-2025"),"",IF(ISNUMBER(SEARCH("LLC",D194)),VLOOKUP(A194,IntComp24[],21,FALSE),VLOOKUP(A194,IntComp[],21,FALSE))))</f>
        <v/>
      </c>
      <c r="I194" s="143" t="str">
        <f ca="1">IF(IntAll[[#This Row],[STATUS]]="","",IF(IF(OR(F194="2019-2020",F194="2021-2025"),"",IF(ISNUMBER(SEARCH("LLC",D194)),VLOOKUP(A194,IntComp24[],16,FALSE),VLOOKUP(A194,IntComp[],16,FALSE)))=0,"",IF(OR(F194="2019-2020",F194="2021-2025"),"",IF(ISNUMBER(SEARCH("LLC",D194)),VLOOKUP(A194,IntComp24[],16,FALSE),VLOOKUP(A194,IntComp[],16,FALSE)))))</f>
        <v/>
      </c>
      <c r="J194" s="143" t="str">
        <f ca="1">IF(IF(OR(F194="2019-2020",F194="2021-2025"),"",IF(ISNUMBER(SEARCH("LLC",D194)),VLOOKUP(A194,IntComp24[],17,FALSE),VLOOKUP(A194,IntComp[],17,FALSE)))=0,"",IF(OR(F194="2019-2020",F194="2021-2025"),"",IF(ISNUMBER(SEARCH("LLC",D194)),VLOOKUP(A194,IntComp24[],17,FALSE),VLOOKUP(A194,IntComp[],17,FALSE))))</f>
        <v/>
      </c>
      <c r="K194" s="151"/>
      <c r="L194" s="151">
        <f ca="1">IF(OR(F194="2019-2020",F194="2021-2025"),"",IF(ISNUMBER(SEARCH("LLC",D194)),VLOOKUP(A194,IntComp24[],18,FALSE),VLOOKUP(A194,IntComp[],18,FALSE)))</f>
        <v>405021.75</v>
      </c>
      <c r="M194" s="143"/>
      <c r="N194" s="143" t="str">
        <f ca="1">IF(IF(OR(F194="2019-2020",F194="2021-2025"),"",IF(ISNUMBER(SEARCH("LLC",D194)),VLOOKUP(A194,IntComp24[],20,FALSE),VLOOKUP(A194,IntComp[],20,FALSE)))=0,"",IF(OR(F194="2019-2020",F194="2021-2025"),"",IF(ISNUMBER(SEARCH("LLC",D194)),VLOOKUP(A194,IntComp24[],20,FALSE),VLOOKUP(A194,IntComp[],20,FALSE))))</f>
        <v/>
      </c>
      <c r="O194" s="152" t="str">
        <f ca="1">IF(IF(OR(F194="2019-2020",F194="2021-2025"),"",IF(ISNUMBER(SEARCH("LLC",D194)),VLOOKUP(A194,IntComp24[],23,FALSE),VLOOKUP(A194,IntComp[],23,FALSE)))=0,"",IF(OR(F194="2019-2020",F194="2021-2025"),"",IF(ISNUMBER(SEARCH("LLC",D194)),VLOOKUP(A194,IntComp24[],23,FALSE),VLOOKUP(A194,IntComp[],23,FALSE))))</f>
        <v/>
      </c>
    </row>
    <row r="195" spans="1:15">
      <c r="A195" s="147" t="s">
        <v>87</v>
      </c>
      <c r="B195" s="144" t="str">
        <f>VLOOKUP(A195,Data[],2,FALSE)</f>
        <v>MANHATTAN</v>
      </c>
      <c r="C195" s="144" t="s">
        <v>106</v>
      </c>
      <c r="D195" s="9" t="str">
        <f>VLOOKUP(A195,Data[],52,FALSE)</f>
        <v>FEDERAL</v>
      </c>
      <c r="E195" s="9">
        <f>VLOOKUP(IntAll[[#This Row],[DEVELOPMENT]],Data[],62,FALSE)</f>
        <v>9</v>
      </c>
      <c r="F195" s="9" t="str">
        <f ca="1">VLOOKUP(A195,Data[],4,FALSE)</f>
        <v>2020-2021</v>
      </c>
      <c r="G195" s="9">
        <f>VLOOKUP(IntAll[[#This Row],[DEVELOPMENT]],EHDAll[[DEVELOPMENT]:['# Units]],6,FALSE)</f>
        <v>1</v>
      </c>
      <c r="H195" s="143" t="str">
        <f ca="1">IF(IntAll[[#This Row],[STATUS]]="","",IF(OR(F195="2019-2020",F195="2021-2025"),"",IF(ISNUMBER(SEARCH("LLC",D195)),VLOOKUP(A195,IntComp24[],21,FALSE),VLOOKUP(A195,IntComp[],21,FALSE))))</f>
        <v/>
      </c>
      <c r="I195" s="143" t="str">
        <f ca="1">IF(IntAll[[#This Row],[STATUS]]="","",IF(IF(OR(F195="2019-2020",F195="2021-2025"),"",IF(ISNUMBER(SEARCH("LLC",D195)),VLOOKUP(A195,IntComp24[],16,FALSE),VLOOKUP(A195,IntComp[],16,FALSE)))=0,"",IF(OR(F195="2019-2020",F195="2021-2025"),"",IF(ISNUMBER(SEARCH("LLC",D195)),VLOOKUP(A195,IntComp24[],16,FALSE),VLOOKUP(A195,IntComp[],16,FALSE)))))</f>
        <v/>
      </c>
      <c r="J195" s="143" t="str">
        <f ca="1">IF(IF(OR(F195="2019-2020",F195="2021-2025"),"",IF(ISNUMBER(SEARCH("LLC",D195)),VLOOKUP(A195,IntComp24[],17,FALSE),VLOOKUP(A195,IntComp[],17,FALSE)))=0,"",IF(OR(F195="2019-2020",F195="2021-2025"),"",IF(ISNUMBER(SEARCH("LLC",D195)),VLOOKUP(A195,IntComp24[],17,FALSE),VLOOKUP(A195,IntComp[],17,FALSE))))</f>
        <v/>
      </c>
      <c r="K195" s="151"/>
      <c r="L195" s="151">
        <f ca="1">IF(OR(F195="2019-2020",F195="2021-2025"),"",IF(ISNUMBER(SEARCH("LLC",D195)),VLOOKUP(A195,IntComp24[],18,FALSE),VLOOKUP(A195,IntComp[],18,FALSE)))</f>
        <v>0</v>
      </c>
      <c r="M195" s="143"/>
      <c r="N195" s="143" t="str">
        <f ca="1">IF(IF(OR(F195="2019-2020",F195="2021-2025"),"",IF(ISNUMBER(SEARCH("LLC",D195)),VLOOKUP(A195,IntComp24[],20,FALSE),VLOOKUP(A195,IntComp[],20,FALSE)))=0,"",IF(OR(F195="2019-2020",F195="2021-2025"),"",IF(ISNUMBER(SEARCH("LLC",D195)),VLOOKUP(A195,IntComp24[],20,FALSE),VLOOKUP(A195,IntComp[],20,FALSE))))</f>
        <v/>
      </c>
      <c r="O195" s="152" t="str">
        <f ca="1">IF(IF(OR(F195="2019-2020",F195="2021-2025"),"",IF(ISNUMBER(SEARCH("LLC",D195)),VLOOKUP(A195,IntComp24[],23,FALSE),VLOOKUP(A195,IntComp[],23,FALSE)))=0,"",IF(OR(F195="2019-2020",F195="2021-2025"),"",IF(ISNUMBER(SEARCH("LLC",D195)),VLOOKUP(A195,IntComp24[],23,FALSE),VLOOKUP(A195,IntComp[],23,FALSE))))</f>
        <v/>
      </c>
    </row>
    <row r="196" spans="1:15">
      <c r="A196" s="147" t="s">
        <v>88</v>
      </c>
      <c r="B196" s="144" t="str">
        <f>VLOOKUP(A196,Data[],2,FALSE)</f>
        <v>MANHATTAN</v>
      </c>
      <c r="C196" s="144" t="s">
        <v>106</v>
      </c>
      <c r="D196" s="9" t="str">
        <f>VLOOKUP(A196,Data[],52,FALSE)</f>
        <v>FEDERAL</v>
      </c>
      <c r="E196" s="9">
        <f>VLOOKUP(IntAll[[#This Row],[DEVELOPMENT]],Data[],62,FALSE)</f>
        <v>9</v>
      </c>
      <c r="F196" s="9" t="str">
        <f ca="1">VLOOKUP(A196,Data[],4,FALSE)</f>
        <v>2020-2021</v>
      </c>
      <c r="G196" s="9">
        <f>VLOOKUP(IntAll[[#This Row],[DEVELOPMENT]],EHDAll[[DEVELOPMENT]:['# Units]],6,FALSE)</f>
        <v>1</v>
      </c>
      <c r="H196" s="143" t="str">
        <f ca="1">IF(IntAll[[#This Row],[STATUS]]="","",IF(OR(F196="2019-2020",F196="2021-2025"),"",IF(ISNUMBER(SEARCH("LLC",D196)),VLOOKUP(A196,IntComp24[],21,FALSE),VLOOKUP(A196,IntComp[],21,FALSE))))</f>
        <v/>
      </c>
      <c r="I196" s="143" t="str">
        <f ca="1">IF(IntAll[[#This Row],[STATUS]]="","",IF(IF(OR(F196="2019-2020",F196="2021-2025"),"",IF(ISNUMBER(SEARCH("LLC",D196)),VLOOKUP(A196,IntComp24[],16,FALSE),VLOOKUP(A196,IntComp[],16,FALSE)))=0,"",IF(OR(F196="2019-2020",F196="2021-2025"),"",IF(ISNUMBER(SEARCH("LLC",D196)),VLOOKUP(A196,IntComp24[],16,FALSE),VLOOKUP(A196,IntComp[],16,FALSE)))))</f>
        <v/>
      </c>
      <c r="J196" s="143" t="str">
        <f ca="1">IF(IF(OR(F196="2019-2020",F196="2021-2025"),"",IF(ISNUMBER(SEARCH("LLC",D196)),VLOOKUP(A196,IntComp24[],17,FALSE),VLOOKUP(A196,IntComp[],17,FALSE)))=0,"",IF(OR(F196="2019-2020",F196="2021-2025"),"",IF(ISNUMBER(SEARCH("LLC",D196)),VLOOKUP(A196,IntComp24[],17,FALSE),VLOOKUP(A196,IntComp[],17,FALSE))))</f>
        <v/>
      </c>
      <c r="K196" s="151"/>
      <c r="L196" s="151">
        <f ca="1">IF(OR(F196="2019-2020",F196="2021-2025"),"",IF(ISNUMBER(SEARCH("LLC",D196)),VLOOKUP(A196,IntComp24[],18,FALSE),VLOOKUP(A196,IntComp[],18,FALSE)))</f>
        <v>0</v>
      </c>
      <c r="M196" s="143"/>
      <c r="N196" s="143" t="str">
        <f ca="1">IF(IF(OR(F196="2019-2020",F196="2021-2025"),"",IF(ISNUMBER(SEARCH("LLC",D196)),VLOOKUP(A196,IntComp24[],20,FALSE),VLOOKUP(A196,IntComp[],20,FALSE)))=0,"",IF(OR(F196="2019-2020",F196="2021-2025"),"",IF(ISNUMBER(SEARCH("LLC",D196)),VLOOKUP(A196,IntComp24[],20,FALSE),VLOOKUP(A196,IntComp[],20,FALSE))))</f>
        <v/>
      </c>
      <c r="O196" s="152" t="str">
        <f ca="1">IF(IF(OR(F196="2019-2020",F196="2021-2025"),"",IF(ISNUMBER(SEARCH("LLC",D196)),VLOOKUP(A196,IntComp24[],23,FALSE),VLOOKUP(A196,IntComp[],23,FALSE)))=0,"",IF(OR(F196="2019-2020",F196="2021-2025"),"",IF(ISNUMBER(SEARCH("LLC",D196)),VLOOKUP(A196,IntComp24[],23,FALSE),VLOOKUP(A196,IntComp[],23,FALSE))))</f>
        <v/>
      </c>
    </row>
    <row r="197" spans="1:15">
      <c r="A197" s="147" t="s">
        <v>342</v>
      </c>
      <c r="B197" s="144" t="str">
        <f>VLOOKUP(A197,Data[],2,FALSE)</f>
        <v>BRONX</v>
      </c>
      <c r="C197" s="144" t="s">
        <v>106</v>
      </c>
      <c r="D197" s="9" t="str">
        <f>VLOOKUP(A197,Data[],52,FALSE)</f>
        <v>MIXED FINANCE/LLC1</v>
      </c>
      <c r="E197" s="9">
        <f>VLOOKUP(IntAll[[#This Row],[DEVELOPMENT]],Data[],62,FALSE)</f>
        <v>8</v>
      </c>
      <c r="F197" s="9" t="str">
        <f ca="1">VLOOKUP(A197,Data[],4,FALSE)</f>
        <v/>
      </c>
      <c r="G197" s="9">
        <f>VLOOKUP(IntAll[[#This Row],[DEVELOPMENT]],EHDAll[[DEVELOPMENT]:['# Units]],6,FALSE)</f>
        <v>11</v>
      </c>
      <c r="H197" s="143" t="str">
        <f ca="1">IF(IntAll[[#This Row],[STATUS]]="","",IF(OR(F197="2019-2020",F197="2021-2025"),"",IF(ISNUMBER(SEARCH("LLC",D197)),VLOOKUP(A197,IntComp24[],21,FALSE),VLOOKUP(A197,IntComp[],21,FALSE))))</f>
        <v/>
      </c>
      <c r="I197" s="143" t="str">
        <f ca="1">IF(IntAll[[#This Row],[STATUS]]="","",IF(IF(OR(F197="2019-2020",F197="2021-2025"),"",IF(ISNUMBER(SEARCH("LLC",D197)),VLOOKUP(A197,IntComp24[],16,FALSE),VLOOKUP(A197,IntComp[],16,FALSE)))=0,"",IF(OR(F197="2019-2020",F197="2021-2025"),"",IF(ISNUMBER(SEARCH("LLC",D197)),VLOOKUP(A197,IntComp24[],16,FALSE),VLOOKUP(A197,IntComp[],16,FALSE)))))</f>
        <v/>
      </c>
      <c r="J197" s="143" t="str">
        <f ca="1">IF(IF(OR(F197="2019-2020",F197="2021-2025"),"",IF(ISNUMBER(SEARCH("LLC",D197)),VLOOKUP(A197,IntComp24[],17,FALSE),VLOOKUP(A197,IntComp[],17,FALSE)))=0,"",IF(OR(F197="2019-2020",F197="2021-2025"),"",IF(ISNUMBER(SEARCH("LLC",D197)),VLOOKUP(A197,IntComp24[],17,FALSE),VLOOKUP(A197,IntComp[],17,FALSE))))</f>
        <v/>
      </c>
      <c r="K197" s="151"/>
      <c r="L197" s="151">
        <f ca="1">IF(OR(F197="2019-2020",F197="2021-2025"),"",IF(ISNUMBER(SEARCH("LLC",D197)),VLOOKUP(A197,IntComp24[],18,FALSE),VLOOKUP(A197,IntComp[],18,FALSE)))</f>
        <v>742539.875</v>
      </c>
      <c r="M197" s="143"/>
      <c r="N197" s="143" t="str">
        <f ca="1">IF(IF(OR(F197="2019-2020",F197="2021-2025"),"",IF(ISNUMBER(SEARCH("LLC",D197)),VLOOKUP(A197,IntComp24[],20,FALSE),VLOOKUP(A197,IntComp[],20,FALSE)))=0,"",IF(OR(F197="2019-2020",F197="2021-2025"),"",IF(ISNUMBER(SEARCH("LLC",D197)),VLOOKUP(A197,IntComp24[],20,FALSE),VLOOKUP(A197,IntComp[],20,FALSE))))</f>
        <v/>
      </c>
      <c r="O197" s="152" t="str">
        <f ca="1">IF(IF(OR(F197="2019-2020",F197="2021-2025"),"",IF(ISNUMBER(SEARCH("LLC",D197)),VLOOKUP(A197,IntComp24[],23,FALSE),VLOOKUP(A197,IntComp[],23,FALSE)))=0,"",IF(OR(F197="2019-2020",F197="2021-2025"),"",IF(ISNUMBER(SEARCH("LLC",D197)),VLOOKUP(A197,IntComp24[],23,FALSE),VLOOKUP(A197,IntComp[],23,FALSE))))</f>
        <v/>
      </c>
    </row>
    <row r="198" spans="1:15">
      <c r="A198" s="148" t="s">
        <v>38</v>
      </c>
      <c r="B198" s="144" t="str">
        <f>VLOOKUP(A198,Data[],2,FALSE)</f>
        <v>BROOKLYN</v>
      </c>
      <c r="C198" s="144" t="s">
        <v>106</v>
      </c>
      <c r="D198" s="9" t="str">
        <f>VLOOKUP(A198,Data[],52,FALSE)</f>
        <v>FEDERAL</v>
      </c>
      <c r="E198" s="9">
        <f>VLOOKUP(IntAll[[#This Row],[DEVELOPMENT]],Data[],62,FALSE)</f>
        <v>3</v>
      </c>
      <c r="F198" s="9" t="str">
        <f ca="1">VLOOKUP(A198,Data[],4,FALSE)</f>
        <v>2026+</v>
      </c>
      <c r="G198" s="9">
        <f>VLOOKUP(IntAll[[#This Row],[DEVELOPMENT]],EHDAll[[DEVELOPMENT]:['# Units]],6,FALSE)</f>
        <v>70</v>
      </c>
      <c r="H198" s="143" t="str">
        <f ca="1">IF(IntAll[[#This Row],[STATUS]]="","",IF(OR(F198="2019-2020",F198="2021-2025"),"",IF(ISNUMBER(SEARCH("LLC",D198)),VLOOKUP(A198,IntComp24[],21,FALSE),VLOOKUP(A198,IntComp[],21,FALSE))))</f>
        <v/>
      </c>
      <c r="I198" s="143" t="str">
        <f ca="1">IF(IntAll[[#This Row],[STATUS]]="","",IF(IF(OR(F198="2019-2020",F198="2021-2025"),"",IF(ISNUMBER(SEARCH("LLC",D198)),VLOOKUP(A198,IntComp24[],16,FALSE),VLOOKUP(A198,IntComp[],16,FALSE)))=0,"",IF(OR(F198="2019-2020",F198="2021-2025"),"",IF(ISNUMBER(SEARCH("LLC",D198)),VLOOKUP(A198,IntComp24[],16,FALSE),VLOOKUP(A198,IntComp[],16,FALSE)))))</f>
        <v/>
      </c>
      <c r="J198" s="143" t="str">
        <f ca="1">IF(IF(OR(F198="2019-2020",F198="2021-2025"),"",IF(ISNUMBER(SEARCH("LLC",D198)),VLOOKUP(A198,IntComp24[],17,FALSE),VLOOKUP(A198,IntComp[],17,FALSE)))=0,"",IF(OR(F198="2019-2020",F198="2021-2025"),"",IF(ISNUMBER(SEARCH("LLC",D198)),VLOOKUP(A198,IntComp24[],17,FALSE),VLOOKUP(A198,IntComp[],17,FALSE))))</f>
        <v/>
      </c>
      <c r="K198" s="151"/>
      <c r="L198" s="151">
        <f ca="1">IF(OR(F198="2019-2020",F198="2021-2025"),"",IF(ISNUMBER(SEARCH("LLC",D198)),VLOOKUP(A198,IntComp24[],18,FALSE),VLOOKUP(A198,IntComp[],18,FALSE)))</f>
        <v>4879818.125</v>
      </c>
      <c r="M198" s="143"/>
      <c r="N198" s="143" t="str">
        <f ca="1">IF(IF(OR(F198="2019-2020",F198="2021-2025"),"",IF(ISNUMBER(SEARCH("LLC",D198)),VLOOKUP(A198,IntComp24[],20,FALSE),VLOOKUP(A198,IntComp[],20,FALSE)))=0,"",IF(OR(F198="2019-2020",F198="2021-2025"),"",IF(ISNUMBER(SEARCH("LLC",D198)),VLOOKUP(A198,IntComp24[],20,FALSE),VLOOKUP(A198,IntComp[],20,FALSE))))</f>
        <v/>
      </c>
      <c r="O198" s="152" t="str">
        <f ca="1">IF(IF(OR(F198="2019-2020",F198="2021-2025"),"",IF(ISNUMBER(SEARCH("LLC",D198)),VLOOKUP(A198,IntComp24[],23,FALSE),VLOOKUP(A198,IntComp[],23,FALSE)))=0,"",IF(OR(F198="2019-2020",F198="2021-2025"),"",IF(ISNUMBER(SEARCH("LLC",D198)),VLOOKUP(A198,IntComp24[],23,FALSE),VLOOKUP(A198,IntComp[],23,FALSE))))</f>
        <v/>
      </c>
    </row>
    <row r="199" spans="1:15">
      <c r="A199" s="148" t="s">
        <v>343</v>
      </c>
      <c r="B199" s="144" t="str">
        <f>VLOOKUP(A199,Data[],2,FALSE)</f>
        <v>BROOKLYN</v>
      </c>
      <c r="C199" s="144" t="s">
        <v>106</v>
      </c>
      <c r="D199" s="9" t="str">
        <f>VLOOKUP(A199,Data[],52,FALSE)</f>
        <v>FEDERAL</v>
      </c>
      <c r="E199" s="9">
        <f>VLOOKUP(IntAll[[#This Row],[DEVELOPMENT]],Data[],62,FALSE)</f>
        <v>3</v>
      </c>
      <c r="F199" s="9">
        <f ca="1">VLOOKUP(A199,Data[],4,FALSE)</f>
        <v>2019</v>
      </c>
      <c r="G199" s="9">
        <f>VLOOKUP(IntAll[[#This Row],[DEVELOPMENT]],EHDAll[[DEVELOPMENT]:['# Units]],6,FALSE)</f>
        <v>0</v>
      </c>
      <c r="H199" s="143" t="str">
        <f ca="1">IF(IntAll[[#This Row],[STATUS]]="","",IF(OR(F199="2019-2020",F199="2021-2025"),"",IF(ISNUMBER(SEARCH("LLC",D199)),VLOOKUP(A199,IntComp24[],21,FALSE),VLOOKUP(A199,IntComp[],21,FALSE))))</f>
        <v/>
      </c>
      <c r="I199" s="143" t="str">
        <f ca="1">IF(IntAll[[#This Row],[STATUS]]="","",IF(IF(OR(F199="2019-2020",F199="2021-2025"),"",IF(ISNUMBER(SEARCH("LLC",D199)),VLOOKUP(A199,IntComp24[],16,FALSE),VLOOKUP(A199,IntComp[],16,FALSE)))=0,"",IF(OR(F199="2019-2020",F199="2021-2025"),"",IF(ISNUMBER(SEARCH("LLC",D199)),VLOOKUP(A199,IntComp24[],16,FALSE),VLOOKUP(A199,IntComp[],16,FALSE)))))</f>
        <v/>
      </c>
      <c r="J199" s="143" t="str">
        <f ca="1">IF(IF(OR(F199="2019-2020",F199="2021-2025"),"",IF(ISNUMBER(SEARCH("LLC",D199)),VLOOKUP(A199,IntComp24[],17,FALSE),VLOOKUP(A199,IntComp[],17,FALSE)))=0,"",IF(OR(F199="2019-2020",F199="2021-2025"),"",IF(ISNUMBER(SEARCH("LLC",D199)),VLOOKUP(A199,IntComp24[],17,FALSE),VLOOKUP(A199,IntComp[],17,FALSE))))</f>
        <v/>
      </c>
      <c r="K199" s="151"/>
      <c r="L199" s="151">
        <f ca="1">IF(OR(F199="2019-2020",F199="2021-2025"),"",IF(ISNUMBER(SEARCH("LLC",D199)),VLOOKUP(A199,IntComp24[],18,FALSE),VLOOKUP(A199,IntComp[],18,FALSE)))</f>
        <v>0</v>
      </c>
      <c r="M199" s="143"/>
      <c r="N199" s="143" t="str">
        <f ca="1">IF(IF(OR(F199="2019-2020",F199="2021-2025"),"",IF(ISNUMBER(SEARCH("LLC",D199)),VLOOKUP(A199,IntComp24[],20,FALSE),VLOOKUP(A199,IntComp[],20,FALSE)))=0,"",IF(OR(F199="2019-2020",F199="2021-2025"),"",IF(ISNUMBER(SEARCH("LLC",D199)),VLOOKUP(A199,IntComp24[],20,FALSE),VLOOKUP(A199,IntComp[],20,FALSE))))</f>
        <v/>
      </c>
      <c r="O199" s="152" t="str">
        <f ca="1">IF(IF(OR(F199="2019-2020",F199="2021-2025"),"",IF(ISNUMBER(SEARCH("LLC",D199)),VLOOKUP(A199,IntComp24[],23,FALSE),VLOOKUP(A199,IntComp[],23,FALSE)))=0,"",IF(OR(F199="2019-2020",F199="2021-2025"),"",IF(ISNUMBER(SEARCH("LLC",D199)),VLOOKUP(A199,IntComp24[],23,FALSE),VLOOKUP(A199,IntComp[],23,FALSE))))</f>
        <v/>
      </c>
    </row>
    <row r="200" spans="1:15">
      <c r="A200" s="147" t="s">
        <v>248</v>
      </c>
      <c r="B200" s="144" t="str">
        <f>VLOOKUP(A200,Data[],2,FALSE)</f>
        <v>BROOKLYN</v>
      </c>
      <c r="C200" s="144" t="s">
        <v>106</v>
      </c>
      <c r="D200" s="9" t="str">
        <f>VLOOKUP(A200,Data[],52,FALSE)</f>
        <v>FEDERAL</v>
      </c>
      <c r="E200" s="9">
        <f>VLOOKUP(IntAll[[#This Row],[DEVELOPMENT]],Data[],62,FALSE)</f>
        <v>3</v>
      </c>
      <c r="F200" s="9">
        <f ca="1">VLOOKUP(A200,Data[],4,FALSE)</f>
        <v>2019</v>
      </c>
      <c r="G200" s="9">
        <f>VLOOKUP(IntAll[[#This Row],[DEVELOPMENT]],EHDAll[[DEVELOPMENT]:['# Units]],6,FALSE)</f>
        <v>0</v>
      </c>
      <c r="H200" s="143" t="str">
        <f ca="1">IF(IntAll[[#This Row],[STATUS]]="","",IF(OR(F200="2019-2020",F200="2021-2025"),"",IF(ISNUMBER(SEARCH("LLC",D200)),VLOOKUP(A200,IntComp24[],21,FALSE),VLOOKUP(A200,IntComp[],21,FALSE))))</f>
        <v/>
      </c>
      <c r="I200" s="143" t="str">
        <f ca="1">IF(IntAll[[#This Row],[STATUS]]="","",IF(IF(OR(F200="2019-2020",F200="2021-2025"),"",IF(ISNUMBER(SEARCH("LLC",D200)),VLOOKUP(A200,IntComp24[],16,FALSE),VLOOKUP(A200,IntComp[],16,FALSE)))=0,"",IF(OR(F200="2019-2020",F200="2021-2025"),"",IF(ISNUMBER(SEARCH("LLC",D200)),VLOOKUP(A200,IntComp24[],16,FALSE),VLOOKUP(A200,IntComp[],16,FALSE)))))</f>
        <v/>
      </c>
      <c r="J200" s="143" t="str">
        <f ca="1">IF(IF(OR(F200="2019-2020",F200="2021-2025"),"",IF(ISNUMBER(SEARCH("LLC",D200)),VLOOKUP(A200,IntComp24[],17,FALSE),VLOOKUP(A200,IntComp[],17,FALSE)))=0,"",IF(OR(F200="2019-2020",F200="2021-2025"),"",IF(ISNUMBER(SEARCH("LLC",D200)),VLOOKUP(A200,IntComp24[],17,FALSE),VLOOKUP(A200,IntComp[],17,FALSE))))</f>
        <v/>
      </c>
      <c r="K200" s="151"/>
      <c r="L200" s="151">
        <f ca="1">IF(OR(F200="2019-2020",F200="2021-2025"),"",IF(ISNUMBER(SEARCH("LLC",D200)),VLOOKUP(A200,IntComp24[],18,FALSE),VLOOKUP(A200,IntComp[],18,FALSE)))</f>
        <v>0</v>
      </c>
      <c r="M200" s="143"/>
      <c r="N200" s="143" t="str">
        <f ca="1">IF(IF(OR(F200="2019-2020",F200="2021-2025"),"",IF(ISNUMBER(SEARCH("LLC",D200)),VLOOKUP(A200,IntComp24[],20,FALSE),VLOOKUP(A200,IntComp[],20,FALSE)))=0,"",IF(OR(F200="2019-2020",F200="2021-2025"),"",IF(ISNUMBER(SEARCH("LLC",D200)),VLOOKUP(A200,IntComp24[],20,FALSE),VLOOKUP(A200,IntComp[],20,FALSE))))</f>
        <v/>
      </c>
      <c r="O200" s="152" t="str">
        <f ca="1">IF(IF(OR(F200="2019-2020",F200="2021-2025"),"",IF(ISNUMBER(SEARCH("LLC",D200)),VLOOKUP(A200,IntComp24[],23,FALSE),VLOOKUP(A200,IntComp[],23,FALSE)))=0,"",IF(OR(F200="2019-2020",F200="2021-2025"),"",IF(ISNUMBER(SEARCH("LLC",D200)),VLOOKUP(A200,IntComp24[],23,FALSE),VLOOKUP(A200,IntComp[],23,FALSE))))</f>
        <v/>
      </c>
    </row>
    <row r="201" spans="1:15">
      <c r="A201" s="147" t="s">
        <v>344</v>
      </c>
      <c r="B201" s="144" t="str">
        <f>VLOOKUP(A201,Data[],2,FALSE)</f>
        <v>STATEN ISLAND</v>
      </c>
      <c r="C201" s="144" t="s">
        <v>106</v>
      </c>
      <c r="D201" s="9" t="str">
        <f>VLOOKUP(A201,Data[],52,FALSE)</f>
        <v>FEDERAL</v>
      </c>
      <c r="E201" s="9">
        <f>VLOOKUP(IntAll[[#This Row],[DEVELOPMENT]],Data[],62,FALSE)</f>
        <v>1</v>
      </c>
      <c r="F201" s="9" t="str">
        <f ca="1">VLOOKUP(A201,Data[],4,FALSE)</f>
        <v>2026+</v>
      </c>
      <c r="G201" s="9">
        <f>VLOOKUP(IntAll[[#This Row],[DEVELOPMENT]],EHDAll[[DEVELOPMENT]:['# Units]],6,FALSE)</f>
        <v>32</v>
      </c>
      <c r="H201" s="143" t="str">
        <f ca="1">IF(IntAll[[#This Row],[STATUS]]="","",IF(OR(F201="2019-2020",F201="2021-2025"),"",IF(ISNUMBER(SEARCH("LLC",D201)),VLOOKUP(A201,IntComp24[],21,FALSE),VLOOKUP(A201,IntComp[],21,FALSE))))</f>
        <v/>
      </c>
      <c r="I201" s="143" t="str">
        <f ca="1">IF(IntAll[[#This Row],[STATUS]]="","",IF(IF(OR(F201="2019-2020",F201="2021-2025"),"",IF(ISNUMBER(SEARCH("LLC",D201)),VLOOKUP(A201,IntComp24[],16,FALSE),VLOOKUP(A201,IntComp[],16,FALSE)))=0,"",IF(OR(F201="2019-2020",F201="2021-2025"),"",IF(ISNUMBER(SEARCH("LLC",D201)),VLOOKUP(A201,IntComp24[],16,FALSE),VLOOKUP(A201,IntComp[],16,FALSE)))))</f>
        <v/>
      </c>
      <c r="J201" s="143" t="str">
        <f ca="1">IF(IF(OR(F201="2019-2020",F201="2021-2025"),"",IF(ISNUMBER(SEARCH("LLC",D201)),VLOOKUP(A201,IntComp24[],17,FALSE),VLOOKUP(A201,IntComp[],17,FALSE)))=0,"",IF(OR(F201="2019-2020",F201="2021-2025"),"",IF(ISNUMBER(SEARCH("LLC",D201)),VLOOKUP(A201,IntComp24[],17,FALSE),VLOOKUP(A201,IntComp[],17,FALSE))))</f>
        <v/>
      </c>
      <c r="K201" s="151"/>
      <c r="L201" s="151">
        <f ca="1">IF(OR(F201="2019-2020",F201="2021-2025"),"",IF(ISNUMBER(SEARCH("LLC",D201)),VLOOKUP(A201,IntComp24[],18,FALSE),VLOOKUP(A201,IntComp[],18,FALSE)))</f>
        <v>2513406</v>
      </c>
      <c r="M201" s="143"/>
      <c r="N201" s="143" t="str">
        <f ca="1">IF(IF(OR(F201="2019-2020",F201="2021-2025"),"",IF(ISNUMBER(SEARCH("LLC",D201)),VLOOKUP(A201,IntComp24[],20,FALSE),VLOOKUP(A201,IntComp[],20,FALSE)))=0,"",IF(OR(F201="2019-2020",F201="2021-2025"),"",IF(ISNUMBER(SEARCH("LLC",D201)),VLOOKUP(A201,IntComp24[],20,FALSE),VLOOKUP(A201,IntComp[],20,FALSE))))</f>
        <v/>
      </c>
      <c r="O201" s="152" t="str">
        <f ca="1">IF(IF(OR(F201="2019-2020",F201="2021-2025"),"",IF(ISNUMBER(SEARCH("LLC",D201)),VLOOKUP(A201,IntComp24[],23,FALSE),VLOOKUP(A201,IntComp[],23,FALSE)))=0,"",IF(OR(F201="2019-2020",F201="2021-2025"),"",IF(ISNUMBER(SEARCH("LLC",D201)),VLOOKUP(A201,IntComp24[],23,FALSE),VLOOKUP(A201,IntComp[],23,FALSE))))</f>
        <v/>
      </c>
    </row>
    <row r="202" spans="1:15">
      <c r="A202" s="147" t="s">
        <v>193</v>
      </c>
      <c r="B202" s="144" t="str">
        <f>VLOOKUP(A202,Data[],2,FALSE)</f>
        <v>BROOKLYN</v>
      </c>
      <c r="C202" s="144" t="s">
        <v>106</v>
      </c>
      <c r="D202" s="9" t="str">
        <f>VLOOKUP(A202,Data[],52,FALSE)</f>
        <v>MIXED FINANCE/LLC1</v>
      </c>
      <c r="E202" s="9">
        <f>VLOOKUP(IntAll[[#This Row],[DEVELOPMENT]],Data[],62,FALSE)</f>
        <v>13</v>
      </c>
      <c r="F202" s="9" t="str">
        <f ca="1">VLOOKUP(A202,Data[],4,FALSE)</f>
        <v>2026+</v>
      </c>
      <c r="G202" s="9">
        <f>VLOOKUP(IntAll[[#This Row],[DEVELOPMENT]],EHDAll[[DEVELOPMENT]:['# Units]],6,FALSE)</f>
        <v>28</v>
      </c>
      <c r="H202" s="143" t="str">
        <f ca="1">IF(IntAll[[#This Row],[STATUS]]="","",IF(OR(F202="2019-2020",F202="2021-2025"),"",IF(ISNUMBER(SEARCH("LLC",D202)),VLOOKUP(A202,IntComp24[],21,FALSE),VLOOKUP(A202,IntComp[],21,FALSE))))</f>
        <v/>
      </c>
      <c r="I202" s="143" t="str">
        <f ca="1">IF(IntAll[[#This Row],[STATUS]]="","",IF(IF(OR(F202="2019-2020",F202="2021-2025"),"",IF(ISNUMBER(SEARCH("LLC",D202)),VLOOKUP(A202,IntComp24[],16,FALSE),VLOOKUP(A202,IntComp[],16,FALSE)))=0,"",IF(OR(F202="2019-2020",F202="2021-2025"),"",IF(ISNUMBER(SEARCH("LLC",D202)),VLOOKUP(A202,IntComp24[],16,FALSE),VLOOKUP(A202,IntComp[],16,FALSE)))))</f>
        <v/>
      </c>
      <c r="J202" s="143" t="str">
        <f ca="1">IF(IF(OR(F202="2019-2020",F202="2021-2025"),"",IF(ISNUMBER(SEARCH("LLC",D202)),VLOOKUP(A202,IntComp24[],17,FALSE),VLOOKUP(A202,IntComp[],17,FALSE)))=0,"",IF(OR(F202="2019-2020",F202="2021-2025"),"",IF(ISNUMBER(SEARCH("LLC",D202)),VLOOKUP(A202,IntComp24[],17,FALSE),VLOOKUP(A202,IntComp[],17,FALSE))))</f>
        <v/>
      </c>
      <c r="K202" s="151"/>
      <c r="L202" s="151">
        <f ca="1">IF(OR(F202="2019-2020",F202="2021-2025"),"",IF(ISNUMBER(SEARCH("LLC",D202)),VLOOKUP(A202,IntComp24[],18,FALSE),VLOOKUP(A202,IntComp[],18,FALSE)))</f>
        <v>1951927.25</v>
      </c>
      <c r="M202" s="143"/>
      <c r="N202" s="143" t="str">
        <f ca="1">IF(IF(OR(F202="2019-2020",F202="2021-2025"),"",IF(ISNUMBER(SEARCH("LLC",D202)),VLOOKUP(A202,IntComp24[],20,FALSE),VLOOKUP(A202,IntComp[],20,FALSE)))=0,"",IF(OR(F202="2019-2020",F202="2021-2025"),"",IF(ISNUMBER(SEARCH("LLC",D202)),VLOOKUP(A202,IntComp24[],20,FALSE),VLOOKUP(A202,IntComp[],20,FALSE))))</f>
        <v/>
      </c>
      <c r="O202" s="152" t="str">
        <f ca="1">IF(IF(OR(F202="2019-2020",F202="2021-2025"),"",IF(ISNUMBER(SEARCH("LLC",D202)),VLOOKUP(A202,IntComp24[],23,FALSE),VLOOKUP(A202,IntComp[],23,FALSE)))=0,"",IF(OR(F202="2019-2020",F202="2021-2025"),"",IF(ISNUMBER(SEARCH("LLC",D202)),VLOOKUP(A202,IntComp24[],23,FALSE),VLOOKUP(A202,IntComp[],23,FALSE))))</f>
        <v/>
      </c>
    </row>
    <row r="203" spans="1:15">
      <c r="A203" s="147" t="s">
        <v>89</v>
      </c>
      <c r="B203" s="144" t="str">
        <f>VLOOKUP(A203,Data[],2,FALSE)</f>
        <v>MANHATTAN</v>
      </c>
      <c r="C203" s="144" t="s">
        <v>106</v>
      </c>
      <c r="D203" s="9" t="str">
        <f>VLOOKUP(A203,Data[],52,FALSE)</f>
        <v>FEDERAL</v>
      </c>
      <c r="E203" s="9">
        <f>VLOOKUP(IntAll[[#This Row],[DEVELOPMENT]],Data[],62,FALSE)</f>
        <v>12</v>
      </c>
      <c r="F203" s="9" t="str">
        <f ca="1">VLOOKUP(A203,Data[],4,FALSE)</f>
        <v>2020-2021</v>
      </c>
      <c r="G203" s="9">
        <f>VLOOKUP(IntAll[[#This Row],[DEVELOPMENT]],EHDAll[[DEVELOPMENT]:['# Units]],6,FALSE)</f>
        <v>1</v>
      </c>
      <c r="H203" s="143" t="str">
        <f ca="1">IF(IntAll[[#This Row],[STATUS]]="","",IF(OR(F203="2019-2020",F203="2021-2025"),"",IF(ISNUMBER(SEARCH("LLC",D203)),VLOOKUP(A203,IntComp24[],21,FALSE),VLOOKUP(A203,IntComp[],21,FALSE))))</f>
        <v/>
      </c>
      <c r="I203" s="143" t="str">
        <f ca="1">IF(IntAll[[#This Row],[STATUS]]="","",IF(IF(OR(F203="2019-2020",F203="2021-2025"),"",IF(ISNUMBER(SEARCH("LLC",D203)),VLOOKUP(A203,IntComp24[],16,FALSE),VLOOKUP(A203,IntComp[],16,FALSE)))=0,"",IF(OR(F203="2019-2020",F203="2021-2025"),"",IF(ISNUMBER(SEARCH("LLC",D203)),VLOOKUP(A203,IntComp24[],16,FALSE),VLOOKUP(A203,IntComp[],16,FALSE)))))</f>
        <v/>
      </c>
      <c r="J203" s="143" t="str">
        <f ca="1">IF(IF(OR(F203="2019-2020",F203="2021-2025"),"",IF(ISNUMBER(SEARCH("LLC",D203)),VLOOKUP(A203,IntComp24[],17,FALSE),VLOOKUP(A203,IntComp[],17,FALSE)))=0,"",IF(OR(F203="2019-2020",F203="2021-2025"),"",IF(ISNUMBER(SEARCH("LLC",D203)),VLOOKUP(A203,IntComp24[],17,FALSE),VLOOKUP(A203,IntComp[],17,FALSE))))</f>
        <v/>
      </c>
      <c r="K203" s="151"/>
      <c r="L203" s="151">
        <f ca="1">IF(OR(F203="2019-2020",F203="2021-2025"),"",IF(ISNUMBER(SEARCH("LLC",D203)),VLOOKUP(A203,IntComp24[],18,FALSE),VLOOKUP(A203,IntComp[],18,FALSE)))</f>
        <v>0</v>
      </c>
      <c r="M203" s="143"/>
      <c r="N203" s="143" t="str">
        <f ca="1">IF(IF(OR(F203="2019-2020",F203="2021-2025"),"",IF(ISNUMBER(SEARCH("LLC",D203)),VLOOKUP(A203,IntComp24[],20,FALSE),VLOOKUP(A203,IntComp[],20,FALSE)))=0,"",IF(OR(F203="2019-2020",F203="2021-2025"),"",IF(ISNUMBER(SEARCH("LLC",D203)),VLOOKUP(A203,IntComp24[],20,FALSE),VLOOKUP(A203,IntComp[],20,FALSE))))</f>
        <v/>
      </c>
      <c r="O203" s="152" t="str">
        <f ca="1">IF(IF(OR(F203="2019-2020",F203="2021-2025"),"",IF(ISNUMBER(SEARCH("LLC",D203)),VLOOKUP(A203,IntComp24[],23,FALSE),VLOOKUP(A203,IntComp[],23,FALSE)))=0,"",IF(OR(F203="2019-2020",F203="2021-2025"),"",IF(ISNUMBER(SEARCH("LLC",D203)),VLOOKUP(A203,IntComp24[],23,FALSE),VLOOKUP(A203,IntComp[],23,FALSE))))</f>
        <v/>
      </c>
    </row>
    <row r="204" spans="1:15">
      <c r="A204" s="147" t="s">
        <v>222</v>
      </c>
      <c r="B204" s="144" t="str">
        <f>VLOOKUP(A204,Data[],2,FALSE)</f>
        <v>BRONX</v>
      </c>
      <c r="C204" s="144" t="s">
        <v>106</v>
      </c>
      <c r="D204" s="9" t="str">
        <f>VLOOKUP(A204,Data[],52,FALSE)</f>
        <v>FEDERAL</v>
      </c>
      <c r="E204" s="9">
        <f>VLOOKUP(IntAll[[#This Row],[DEVELOPMENT]],Data[],62,FALSE)</f>
        <v>3</v>
      </c>
      <c r="F204" s="9" t="str">
        <f ca="1">VLOOKUP(A204,Data[],4,FALSE)</f>
        <v>2026+</v>
      </c>
      <c r="G204" s="9">
        <f>VLOOKUP(IntAll[[#This Row],[DEVELOPMENT]],EHDAll[[DEVELOPMENT]:['# Units]],6,FALSE)</f>
        <v>5</v>
      </c>
      <c r="H204" s="143" t="str">
        <f ca="1">IF(IntAll[[#This Row],[STATUS]]="","",IF(OR(F204="2019-2020",F204="2021-2025"),"",IF(ISNUMBER(SEARCH("LLC",D204)),VLOOKUP(A204,IntComp24[],21,FALSE),VLOOKUP(A204,IntComp[],21,FALSE))))</f>
        <v/>
      </c>
      <c r="I204" s="143" t="str">
        <f ca="1">IF(IntAll[[#This Row],[STATUS]]="","",IF(IF(OR(F204="2019-2020",F204="2021-2025"),"",IF(ISNUMBER(SEARCH("LLC",D204)),VLOOKUP(A204,IntComp24[],16,FALSE),VLOOKUP(A204,IntComp[],16,FALSE)))=0,"",IF(OR(F204="2019-2020",F204="2021-2025"),"",IF(ISNUMBER(SEARCH("LLC",D204)),VLOOKUP(A204,IntComp24[],16,FALSE),VLOOKUP(A204,IntComp[],16,FALSE)))))</f>
        <v/>
      </c>
      <c r="J204" s="143" t="str">
        <f ca="1">IF(IF(OR(F204="2019-2020",F204="2021-2025"),"",IF(ISNUMBER(SEARCH("LLC",D204)),VLOOKUP(A204,IntComp24[],17,FALSE),VLOOKUP(A204,IntComp[],17,FALSE)))=0,"",IF(OR(F204="2019-2020",F204="2021-2025"),"",IF(ISNUMBER(SEARCH("LLC",D204)),VLOOKUP(A204,IntComp24[],17,FALSE),VLOOKUP(A204,IntComp[],17,FALSE))))</f>
        <v/>
      </c>
      <c r="K204" s="151"/>
      <c r="L204" s="151">
        <f ca="1">IF(OR(F204="2019-2020",F204="2021-2025"),"",IF(ISNUMBER(SEARCH("LLC",D204)),VLOOKUP(A204,IntComp24[],18,FALSE),VLOOKUP(A204,IntComp[],18,FALSE)))</f>
        <v>403760</v>
      </c>
      <c r="M204" s="143"/>
      <c r="N204" s="143" t="str">
        <f ca="1">IF(IF(OR(F204="2019-2020",F204="2021-2025"),"",IF(ISNUMBER(SEARCH("LLC",D204)),VLOOKUP(A204,IntComp24[],20,FALSE),VLOOKUP(A204,IntComp[],20,FALSE)))=0,"",IF(OR(F204="2019-2020",F204="2021-2025"),"",IF(ISNUMBER(SEARCH("LLC",D204)),VLOOKUP(A204,IntComp24[],20,FALSE),VLOOKUP(A204,IntComp[],20,FALSE))))</f>
        <v/>
      </c>
      <c r="O204" s="152" t="str">
        <f ca="1">IF(IF(OR(F204="2019-2020",F204="2021-2025"),"",IF(ISNUMBER(SEARCH("LLC",D204)),VLOOKUP(A204,IntComp24[],23,FALSE),VLOOKUP(A204,IntComp[],23,FALSE)))=0,"",IF(OR(F204="2019-2020",F204="2021-2025"),"",IF(ISNUMBER(SEARCH("LLC",D204)),VLOOKUP(A204,IntComp24[],23,FALSE),VLOOKUP(A204,IntComp[],23,FALSE))))</f>
        <v/>
      </c>
    </row>
    <row r="205" spans="1:15">
      <c r="A205" s="148" t="s">
        <v>39</v>
      </c>
      <c r="B205" s="144" t="str">
        <f>VLOOKUP(A205,Data[],2,FALSE)</f>
        <v>BRONX</v>
      </c>
      <c r="C205" s="144" t="s">
        <v>106</v>
      </c>
      <c r="D205" s="9" t="str">
        <f>VLOOKUP(A205,Data[],52,FALSE)</f>
        <v>FEDERAL</v>
      </c>
      <c r="E205" s="9">
        <f>VLOOKUP(IntAll[[#This Row],[DEVELOPMENT]],Data[],62,FALSE)</f>
        <v>1</v>
      </c>
      <c r="F205" s="9" t="str">
        <f ca="1">VLOOKUP(A205,Data[],4,FALSE)</f>
        <v>2022-2025</v>
      </c>
      <c r="G205" s="9">
        <f>VLOOKUP(IntAll[[#This Row],[DEVELOPMENT]],EHDAll[[DEVELOPMENT]:['# Units]],6,FALSE)</f>
        <v>8</v>
      </c>
      <c r="H205" s="143" t="str">
        <f ca="1">IF(IntAll[[#This Row],[STATUS]]="","",IF(OR(F205="2019-2020",F205="2021-2025"),"",IF(ISNUMBER(SEARCH("LLC",D205)),VLOOKUP(A205,IntComp24[],21,FALSE),VLOOKUP(A205,IntComp[],21,FALSE))))</f>
        <v/>
      </c>
      <c r="I205" s="143" t="str">
        <f ca="1">IF(IntAll[[#This Row],[STATUS]]="","",IF(IF(OR(F205="2019-2020",F205="2021-2025"),"",IF(ISNUMBER(SEARCH("LLC",D205)),VLOOKUP(A205,IntComp24[],16,FALSE),VLOOKUP(A205,IntComp[],16,FALSE)))=0,"",IF(OR(F205="2019-2020",F205="2021-2025"),"",IF(ISNUMBER(SEARCH("LLC",D205)),VLOOKUP(A205,IntComp24[],16,FALSE),VLOOKUP(A205,IntComp[],16,FALSE)))))</f>
        <v/>
      </c>
      <c r="J205" s="143" t="str">
        <f ca="1">IF(IF(OR(F205="2019-2020",F205="2021-2025"),"",IF(ISNUMBER(SEARCH("LLC",D205)),VLOOKUP(A205,IntComp24[],17,FALSE),VLOOKUP(A205,IntComp[],17,FALSE)))=0,"",IF(OR(F205="2019-2020",F205="2021-2025"),"",IF(ISNUMBER(SEARCH("LLC",D205)),VLOOKUP(A205,IntComp24[],17,FALSE),VLOOKUP(A205,IntComp[],17,FALSE))))</f>
        <v/>
      </c>
      <c r="K205" s="151"/>
      <c r="L205" s="151">
        <f ca="1">IF(OR(F205="2019-2020",F205="2021-2025"),"",IF(ISNUMBER(SEARCH("LLC",D205)),VLOOKUP(A205,IntComp24[],18,FALSE),VLOOKUP(A205,IntComp[],18,FALSE)))</f>
        <v>0</v>
      </c>
      <c r="M205" s="143"/>
      <c r="N205" s="143" t="str">
        <f ca="1">IF(IF(OR(F205="2019-2020",F205="2021-2025"),"",IF(ISNUMBER(SEARCH("LLC",D205)),VLOOKUP(A205,IntComp24[],20,FALSE),VLOOKUP(A205,IntComp[],20,FALSE)))=0,"",IF(OR(F205="2019-2020",F205="2021-2025"),"",IF(ISNUMBER(SEARCH("LLC",D205)),VLOOKUP(A205,IntComp24[],20,FALSE),VLOOKUP(A205,IntComp[],20,FALSE))))</f>
        <v/>
      </c>
      <c r="O205" s="152" t="str">
        <f ca="1">IF(IF(OR(F205="2019-2020",F205="2021-2025"),"",IF(ISNUMBER(SEARCH("LLC",D205)),VLOOKUP(A205,IntComp24[],23,FALSE),VLOOKUP(A205,IntComp[],23,FALSE)))=0,"",IF(OR(F205="2019-2020",F205="2021-2025"),"",IF(ISNUMBER(SEARCH("LLC",D205)),VLOOKUP(A205,IntComp24[],23,FALSE),VLOOKUP(A205,IntComp[],23,FALSE))))</f>
        <v/>
      </c>
    </row>
    <row r="206" spans="1:15">
      <c r="A206" s="147" t="s">
        <v>90</v>
      </c>
      <c r="B206" s="144" t="str">
        <f>VLOOKUP(A206,Data[],2,FALSE)</f>
        <v>MANHATTAN</v>
      </c>
      <c r="C206" s="144" t="s">
        <v>106</v>
      </c>
      <c r="D206" s="9" t="str">
        <f>VLOOKUP(A206,Data[],52,FALSE)</f>
        <v>FEDERAL</v>
      </c>
      <c r="E206" s="9">
        <f>VLOOKUP(IntAll[[#This Row],[DEVELOPMENT]],Data[],62,FALSE)</f>
        <v>11</v>
      </c>
      <c r="F206" s="9" t="str">
        <f ca="1">VLOOKUP(A206,Data[],4,FALSE)</f>
        <v>2026+</v>
      </c>
      <c r="G206" s="9">
        <f>VLOOKUP(IntAll[[#This Row],[DEVELOPMENT]],EHDAll[[DEVELOPMENT]:['# Units]],6,FALSE)</f>
        <v>3</v>
      </c>
      <c r="H206" s="143" t="str">
        <f ca="1">IF(IntAll[[#This Row],[STATUS]]="","",IF(OR(F206="2019-2020",F206="2021-2025"),"",IF(ISNUMBER(SEARCH("LLC",D206)),VLOOKUP(A206,IntComp24[],21,FALSE),VLOOKUP(A206,IntComp[],21,FALSE))))</f>
        <v/>
      </c>
      <c r="I206" s="143" t="str">
        <f ca="1">IF(IntAll[[#This Row],[STATUS]]="","",IF(IF(OR(F206="2019-2020",F206="2021-2025"),"",IF(ISNUMBER(SEARCH("LLC",D206)),VLOOKUP(A206,IntComp24[],16,FALSE),VLOOKUP(A206,IntComp[],16,FALSE)))=0,"",IF(OR(F206="2019-2020",F206="2021-2025"),"",IF(ISNUMBER(SEARCH("LLC",D206)),VLOOKUP(A206,IntComp24[],16,FALSE),VLOOKUP(A206,IntComp[],16,FALSE)))))</f>
        <v/>
      </c>
      <c r="J206" s="143" t="str">
        <f ca="1">IF(IF(OR(F206="2019-2020",F206="2021-2025"),"",IF(ISNUMBER(SEARCH("LLC",D206)),VLOOKUP(A206,IntComp24[],17,FALSE),VLOOKUP(A206,IntComp[],17,FALSE)))=0,"",IF(OR(F206="2019-2020",F206="2021-2025"),"",IF(ISNUMBER(SEARCH("LLC",D206)),VLOOKUP(A206,IntComp24[],17,FALSE),VLOOKUP(A206,IntComp[],17,FALSE))))</f>
        <v/>
      </c>
      <c r="K206" s="151"/>
      <c r="L206" s="151">
        <f ca="1">IF(OR(F206="2019-2020",F206="2021-2025"),"",IF(ISNUMBER(SEARCH("LLC",D206)),VLOOKUP(A206,IntComp24[],18,FALSE),VLOOKUP(A206,IntComp[],18,FALSE)))</f>
        <v>195886.68749999997</v>
      </c>
      <c r="M206" s="143"/>
      <c r="N206" s="143" t="str">
        <f ca="1">IF(IF(OR(F206="2019-2020",F206="2021-2025"),"",IF(ISNUMBER(SEARCH("LLC",D206)),VLOOKUP(A206,IntComp24[],20,FALSE),VLOOKUP(A206,IntComp[],20,FALSE)))=0,"",IF(OR(F206="2019-2020",F206="2021-2025"),"",IF(ISNUMBER(SEARCH("LLC",D206)),VLOOKUP(A206,IntComp24[],20,FALSE),VLOOKUP(A206,IntComp[],20,FALSE))))</f>
        <v/>
      </c>
      <c r="O206" s="152" t="str">
        <f ca="1">IF(IF(OR(F206="2019-2020",F206="2021-2025"),"",IF(ISNUMBER(SEARCH("LLC",D206)),VLOOKUP(A206,IntComp24[],23,FALSE),VLOOKUP(A206,IntComp[],23,FALSE)))=0,"",IF(OR(F206="2019-2020",F206="2021-2025"),"",IF(ISNUMBER(SEARCH("LLC",D206)),VLOOKUP(A206,IntComp24[],23,FALSE),VLOOKUP(A206,IntComp[],23,FALSE))))</f>
        <v/>
      </c>
    </row>
    <row r="207" spans="1:15">
      <c r="A207" s="147" t="s">
        <v>267</v>
      </c>
      <c r="B207" s="144" t="str">
        <f>VLOOKUP(A207,Data[],2,FALSE)</f>
        <v>BRONX</v>
      </c>
      <c r="C207" s="144" t="s">
        <v>106</v>
      </c>
      <c r="D207" s="9" t="str">
        <f>VLOOKUP(A207,Data[],52,FALSE)</f>
        <v>FEDERAL</v>
      </c>
      <c r="E207" s="9">
        <f>VLOOKUP(IntAll[[#This Row],[DEVELOPMENT]],Data[],62,FALSE)</f>
        <v>1</v>
      </c>
      <c r="F207" s="9" t="str">
        <f ca="1">VLOOKUP(A207,Data[],4,FALSE)</f>
        <v/>
      </c>
      <c r="G207" s="9">
        <f>VLOOKUP(IntAll[[#This Row],[DEVELOPMENT]],EHDAll[[DEVELOPMENT]:['# Units]],6,FALSE)</f>
        <v>12</v>
      </c>
      <c r="H207" s="143" t="str">
        <f ca="1">IF(IntAll[[#This Row],[STATUS]]="","",IF(OR(F207="2019-2020",F207="2021-2025"),"",IF(ISNUMBER(SEARCH("LLC",D207)),VLOOKUP(A207,IntComp24[],21,FALSE),VLOOKUP(A207,IntComp[],21,FALSE))))</f>
        <v/>
      </c>
      <c r="I207" s="143" t="str">
        <f ca="1">IF(IntAll[[#This Row],[STATUS]]="","",IF(IF(OR(F207="2019-2020",F207="2021-2025"),"",IF(ISNUMBER(SEARCH("LLC",D207)),VLOOKUP(A207,IntComp24[],16,FALSE),VLOOKUP(A207,IntComp[],16,FALSE)))=0,"",IF(OR(F207="2019-2020",F207="2021-2025"),"",IF(ISNUMBER(SEARCH("LLC",D207)),VLOOKUP(A207,IntComp24[],16,FALSE),VLOOKUP(A207,IntComp[],16,FALSE)))))</f>
        <v/>
      </c>
      <c r="J207" s="143" t="str">
        <f ca="1">IF(IF(OR(F207="2019-2020",F207="2021-2025"),"",IF(ISNUMBER(SEARCH("LLC",D207)),VLOOKUP(A207,IntComp24[],17,FALSE),VLOOKUP(A207,IntComp[],17,FALSE)))=0,"",IF(OR(F207="2019-2020",F207="2021-2025"),"",IF(ISNUMBER(SEARCH("LLC",D207)),VLOOKUP(A207,IntComp24[],17,FALSE),VLOOKUP(A207,IntComp[],17,FALSE))))</f>
        <v/>
      </c>
      <c r="K207" s="151"/>
      <c r="L207" s="151">
        <f ca="1">IF(OR(F207="2019-2020",F207="2021-2025"),"",IF(ISNUMBER(SEARCH("LLC",D207)),VLOOKUP(A207,IntComp24[],18,FALSE),VLOOKUP(A207,IntComp[],18,FALSE)))</f>
        <v>916030.5</v>
      </c>
      <c r="M207" s="143"/>
      <c r="N207" s="143" t="str">
        <f ca="1">IF(IF(OR(F207="2019-2020",F207="2021-2025"),"",IF(ISNUMBER(SEARCH("LLC",D207)),VLOOKUP(A207,IntComp24[],20,FALSE),VLOOKUP(A207,IntComp[],20,FALSE)))=0,"",IF(OR(F207="2019-2020",F207="2021-2025"),"",IF(ISNUMBER(SEARCH("LLC",D207)),VLOOKUP(A207,IntComp24[],20,FALSE),VLOOKUP(A207,IntComp[],20,FALSE))))</f>
        <v/>
      </c>
      <c r="O207" s="152" t="str">
        <f ca="1">IF(IF(OR(F207="2019-2020",F207="2021-2025"),"",IF(ISNUMBER(SEARCH("LLC",D207)),VLOOKUP(A207,IntComp24[],23,FALSE),VLOOKUP(A207,IntComp[],23,FALSE)))=0,"",IF(OR(F207="2019-2020",F207="2021-2025"),"",IF(ISNUMBER(SEARCH("LLC",D207)),VLOOKUP(A207,IntComp24[],23,FALSE),VLOOKUP(A207,IntComp[],23,FALSE))))</f>
        <v/>
      </c>
    </row>
    <row r="208" spans="1:15">
      <c r="A208" s="147" t="s">
        <v>277</v>
      </c>
      <c r="B208" s="144" t="str">
        <f>VLOOKUP(A208,Data[],2,FALSE)</f>
        <v>BRONX</v>
      </c>
      <c r="C208" s="144" t="s">
        <v>106</v>
      </c>
      <c r="D208" s="9" t="str">
        <f>VLOOKUP(A208,Data[],52,FALSE)</f>
        <v>FEDERAL</v>
      </c>
      <c r="E208" s="9">
        <f>VLOOKUP(IntAll[[#This Row],[DEVELOPMENT]],Data[],62,FALSE)</f>
        <v>1</v>
      </c>
      <c r="F208" s="9" t="str">
        <f ca="1">VLOOKUP(A208,Data[],4,FALSE)</f>
        <v/>
      </c>
      <c r="G208" s="9">
        <f>VLOOKUP(IntAll[[#This Row],[DEVELOPMENT]],EHDAll[[DEVELOPMENT]:['# Units]],6,FALSE)</f>
        <v>1</v>
      </c>
      <c r="H208" s="143" t="str">
        <f ca="1">IF(IntAll[[#This Row],[STATUS]]="","",IF(OR(F208="2019-2020",F208="2021-2025"),"",IF(ISNUMBER(SEARCH("LLC",D208)),VLOOKUP(A208,IntComp24[],21,FALSE),VLOOKUP(A208,IntComp[],21,FALSE))))</f>
        <v/>
      </c>
      <c r="I208" s="143" t="str">
        <f ca="1">IF(IntAll[[#This Row],[STATUS]]="","",IF(IF(OR(F208="2019-2020",F208="2021-2025"),"",IF(ISNUMBER(SEARCH("LLC",D208)),VLOOKUP(A208,IntComp24[],16,FALSE),VLOOKUP(A208,IntComp[],16,FALSE)))=0,"",IF(OR(F208="2019-2020",F208="2021-2025"),"",IF(ISNUMBER(SEARCH("LLC",D208)),VLOOKUP(A208,IntComp24[],16,FALSE),VLOOKUP(A208,IntComp[],16,FALSE)))))</f>
        <v/>
      </c>
      <c r="J208" s="143" t="str">
        <f ca="1">IF(IF(OR(F208="2019-2020",F208="2021-2025"),"",IF(ISNUMBER(SEARCH("LLC",D208)),VLOOKUP(A208,IntComp24[],17,FALSE),VLOOKUP(A208,IntComp[],17,FALSE)))=0,"",IF(OR(F208="2019-2020",F208="2021-2025"),"",IF(ISNUMBER(SEARCH("LLC",D208)),VLOOKUP(A208,IntComp24[],17,FALSE),VLOOKUP(A208,IntComp[],17,FALSE))))</f>
        <v/>
      </c>
      <c r="K208" s="151"/>
      <c r="L208" s="151">
        <f ca="1">IF(OR(F208="2019-2020",F208="2021-2025"),"",IF(ISNUMBER(SEARCH("LLC",D208)),VLOOKUP(A208,IntComp24[],18,FALSE),VLOOKUP(A208,IntComp[],18,FALSE)))</f>
        <v>67503.625</v>
      </c>
      <c r="M208" s="143"/>
      <c r="N208" s="143" t="str">
        <f ca="1">IF(IF(OR(F208="2019-2020",F208="2021-2025"),"",IF(ISNUMBER(SEARCH("LLC",D208)),VLOOKUP(A208,IntComp24[],20,FALSE),VLOOKUP(A208,IntComp[],20,FALSE)))=0,"",IF(OR(F208="2019-2020",F208="2021-2025"),"",IF(ISNUMBER(SEARCH("LLC",D208)),VLOOKUP(A208,IntComp24[],20,FALSE),VLOOKUP(A208,IntComp[],20,FALSE))))</f>
        <v/>
      </c>
      <c r="O208" s="152" t="str">
        <f ca="1">IF(IF(OR(F208="2019-2020",F208="2021-2025"),"",IF(ISNUMBER(SEARCH("LLC",D208)),VLOOKUP(A208,IntComp24[],23,FALSE),VLOOKUP(A208,IntComp[],23,FALSE)))=0,"",IF(OR(F208="2019-2020",F208="2021-2025"),"",IF(ISNUMBER(SEARCH("LLC",D208)),VLOOKUP(A208,IntComp24[],23,FALSE),VLOOKUP(A208,IntComp[],23,FALSE))))</f>
        <v/>
      </c>
    </row>
    <row r="209" spans="1:15">
      <c r="A209" s="147" t="s">
        <v>223</v>
      </c>
      <c r="B209" s="144" t="str">
        <f>VLOOKUP(A209,Data[],2,FALSE)</f>
        <v>BRONX</v>
      </c>
      <c r="C209" s="144" t="s">
        <v>106</v>
      </c>
      <c r="D209" s="9" t="str">
        <f>VLOOKUP(A209,Data[],52,FALSE)</f>
        <v>FEDERAL</v>
      </c>
      <c r="E209" s="9">
        <f>VLOOKUP(IntAll[[#This Row],[DEVELOPMENT]],Data[],62,FALSE)</f>
        <v>1</v>
      </c>
      <c r="F209" s="9" t="str">
        <f ca="1">VLOOKUP(A209,Data[],4,FALSE)</f>
        <v>2026+</v>
      </c>
      <c r="G209" s="9">
        <f>VLOOKUP(IntAll[[#This Row],[DEVELOPMENT]],EHDAll[[DEVELOPMENT]:['# Units]],6,FALSE)</f>
        <v>10</v>
      </c>
      <c r="H209" s="143" t="str">
        <f ca="1">IF(IntAll[[#This Row],[STATUS]]="","",IF(OR(F209="2019-2020",F209="2021-2025"),"",IF(ISNUMBER(SEARCH("LLC",D209)),VLOOKUP(A209,IntComp24[],21,FALSE),VLOOKUP(A209,IntComp[],21,FALSE))))</f>
        <v/>
      </c>
      <c r="I209" s="143" t="str">
        <f ca="1">IF(IntAll[[#This Row],[STATUS]]="","",IF(IF(OR(F209="2019-2020",F209="2021-2025"),"",IF(ISNUMBER(SEARCH("LLC",D209)),VLOOKUP(A209,IntComp24[],16,FALSE),VLOOKUP(A209,IntComp[],16,FALSE)))=0,"",IF(OR(F209="2019-2020",F209="2021-2025"),"",IF(ISNUMBER(SEARCH("LLC",D209)),VLOOKUP(A209,IntComp24[],16,FALSE),VLOOKUP(A209,IntComp[],16,FALSE)))))</f>
        <v/>
      </c>
      <c r="J209" s="143" t="str">
        <f ca="1">IF(IF(OR(F209="2019-2020",F209="2021-2025"),"",IF(ISNUMBER(SEARCH("LLC",D209)),VLOOKUP(A209,IntComp24[],17,FALSE),VLOOKUP(A209,IntComp[],17,FALSE)))=0,"",IF(OR(F209="2019-2020",F209="2021-2025"),"",IF(ISNUMBER(SEARCH("LLC",D209)),VLOOKUP(A209,IntComp24[],17,FALSE),VLOOKUP(A209,IntComp[],17,FALSE))))</f>
        <v/>
      </c>
      <c r="K209" s="151"/>
      <c r="L209" s="151">
        <f ca="1">IF(OR(F209="2019-2020",F209="2021-2025"),"",IF(ISNUMBER(SEARCH("LLC",D209)),VLOOKUP(A209,IntComp24[],18,FALSE),VLOOKUP(A209,IntComp[],18,FALSE)))</f>
        <v>675036.25</v>
      </c>
      <c r="M209" s="143"/>
      <c r="N209" s="143" t="str">
        <f ca="1">IF(IF(OR(F209="2019-2020",F209="2021-2025"),"",IF(ISNUMBER(SEARCH("LLC",D209)),VLOOKUP(A209,IntComp24[],20,FALSE),VLOOKUP(A209,IntComp[],20,FALSE)))=0,"",IF(OR(F209="2019-2020",F209="2021-2025"),"",IF(ISNUMBER(SEARCH("LLC",D209)),VLOOKUP(A209,IntComp24[],20,FALSE),VLOOKUP(A209,IntComp[],20,FALSE))))</f>
        <v/>
      </c>
      <c r="O209" s="152" t="str">
        <f ca="1">IF(IF(OR(F209="2019-2020",F209="2021-2025"),"",IF(ISNUMBER(SEARCH("LLC",D209)),VLOOKUP(A209,IntComp24[],23,FALSE),VLOOKUP(A209,IntComp[],23,FALSE)))=0,"",IF(OR(F209="2019-2020",F209="2021-2025"),"",IF(ISNUMBER(SEARCH("LLC",D209)),VLOOKUP(A209,IntComp24[],23,FALSE),VLOOKUP(A209,IntComp[],23,FALSE))))</f>
        <v/>
      </c>
    </row>
    <row r="210" spans="1:15">
      <c r="A210" s="147" t="s">
        <v>114</v>
      </c>
      <c r="B210" s="144" t="str">
        <f>VLOOKUP(A210,Data[],2,FALSE)</f>
        <v>BRONX</v>
      </c>
      <c r="C210" s="144" t="s">
        <v>106</v>
      </c>
      <c r="D210" s="9" t="str">
        <f>VLOOKUP(A210,Data[],52,FALSE)</f>
        <v>FEDERAL</v>
      </c>
      <c r="E210" s="9">
        <f>VLOOKUP(IntAll[[#This Row],[DEVELOPMENT]],Data[],62,FALSE)</f>
        <v>9</v>
      </c>
      <c r="F210" s="9" t="str">
        <f ca="1">VLOOKUP(A210,Data[],4,FALSE)</f>
        <v>2026+</v>
      </c>
      <c r="G210" s="9">
        <f>VLOOKUP(IntAll[[#This Row],[DEVELOPMENT]],EHDAll[[DEVELOPMENT]:['# Units]],6,FALSE)</f>
        <v>18</v>
      </c>
      <c r="H210" s="143" t="str">
        <f ca="1">IF(IntAll[[#This Row],[STATUS]]="","",IF(OR(F210="2019-2020",F210="2021-2025"),"",IF(ISNUMBER(SEARCH("LLC",D210)),VLOOKUP(A210,IntComp24[],21,FALSE),VLOOKUP(A210,IntComp[],21,FALSE))))</f>
        <v/>
      </c>
      <c r="I210" s="143" t="str">
        <f ca="1">IF(IntAll[[#This Row],[STATUS]]="","",IF(IF(OR(F210="2019-2020",F210="2021-2025"),"",IF(ISNUMBER(SEARCH("LLC",D210)),VLOOKUP(A210,IntComp24[],16,FALSE),VLOOKUP(A210,IntComp[],16,FALSE)))=0,"",IF(OR(F210="2019-2020",F210="2021-2025"),"",IF(ISNUMBER(SEARCH("LLC",D210)),VLOOKUP(A210,IntComp24[],16,FALSE),VLOOKUP(A210,IntComp[],16,FALSE)))))</f>
        <v/>
      </c>
      <c r="J210" s="143" t="str">
        <f ca="1">IF(IF(OR(F210="2019-2020",F210="2021-2025"),"",IF(ISNUMBER(SEARCH("LLC",D210)),VLOOKUP(A210,IntComp24[],17,FALSE),VLOOKUP(A210,IntComp[],17,FALSE)))=0,"",IF(OR(F210="2019-2020",F210="2021-2025"),"",IF(ISNUMBER(SEARCH("LLC",D210)),VLOOKUP(A210,IntComp24[],17,FALSE),VLOOKUP(A210,IntComp[],17,FALSE))))</f>
        <v/>
      </c>
      <c r="K210" s="151"/>
      <c r="L210" s="151">
        <f ca="1">IF(OR(F210="2019-2020",F210="2021-2025"),"",IF(ISNUMBER(SEARCH("LLC",D210)),VLOOKUP(A210,IntComp24[],18,FALSE),VLOOKUP(A210,IntComp[],18,FALSE)))</f>
        <v>1175320.125</v>
      </c>
      <c r="M210" s="143"/>
      <c r="N210" s="143" t="str">
        <f ca="1">IF(IF(OR(F210="2019-2020",F210="2021-2025"),"",IF(ISNUMBER(SEARCH("LLC",D210)),VLOOKUP(A210,IntComp24[],20,FALSE),VLOOKUP(A210,IntComp[],20,FALSE)))=0,"",IF(OR(F210="2019-2020",F210="2021-2025"),"",IF(ISNUMBER(SEARCH("LLC",D210)),VLOOKUP(A210,IntComp24[],20,FALSE),VLOOKUP(A210,IntComp[],20,FALSE))))</f>
        <v/>
      </c>
      <c r="O210" s="152" t="str">
        <f ca="1">IF(IF(OR(F210="2019-2020",F210="2021-2025"),"",IF(ISNUMBER(SEARCH("LLC",D210)),VLOOKUP(A210,IntComp24[],23,FALSE),VLOOKUP(A210,IntComp[],23,FALSE)))=0,"",IF(OR(F210="2019-2020",F210="2021-2025"),"",IF(ISNUMBER(SEARCH("LLC",D210)),VLOOKUP(A210,IntComp24[],23,FALSE),VLOOKUP(A210,IntComp[],23,FALSE))))</f>
        <v/>
      </c>
    </row>
    <row r="211" spans="1:15">
      <c r="A211" s="147" t="s">
        <v>91</v>
      </c>
      <c r="B211" s="144" t="str">
        <f>VLOOKUP(A211,Data[],2,FALSE)</f>
        <v>BRONX</v>
      </c>
      <c r="C211" s="144" t="s">
        <v>106</v>
      </c>
      <c r="D211" s="9" t="str">
        <f>VLOOKUP(A211,Data[],52,FALSE)</f>
        <v>FEDERAL</v>
      </c>
      <c r="E211" s="9">
        <f>VLOOKUP(IntAll[[#This Row],[DEVELOPMENT]],Data[],62,FALSE)</f>
        <v>1</v>
      </c>
      <c r="F211" s="9" t="str">
        <f ca="1">VLOOKUP(A211,Data[],4,FALSE)</f>
        <v>2026+</v>
      </c>
      <c r="G211" s="9">
        <f>VLOOKUP(IntAll[[#This Row],[DEVELOPMENT]],EHDAll[[DEVELOPMENT]:['# Units]],6,FALSE)</f>
        <v>4</v>
      </c>
      <c r="H211" s="143" t="str">
        <f ca="1">IF(IntAll[[#This Row],[STATUS]]="","",IF(OR(F211="2019-2020",F211="2021-2025"),"",IF(ISNUMBER(SEARCH("LLC",D211)),VLOOKUP(A211,IntComp24[],21,FALSE),VLOOKUP(A211,IntComp[],21,FALSE))))</f>
        <v/>
      </c>
      <c r="I211" s="143" t="str">
        <f ca="1">IF(IntAll[[#This Row],[STATUS]]="","",IF(IF(OR(F211="2019-2020",F211="2021-2025"),"",IF(ISNUMBER(SEARCH("LLC",D211)),VLOOKUP(A211,IntComp24[],16,FALSE),VLOOKUP(A211,IntComp[],16,FALSE)))=0,"",IF(OR(F211="2019-2020",F211="2021-2025"),"",IF(ISNUMBER(SEARCH("LLC",D211)),VLOOKUP(A211,IntComp24[],16,FALSE),VLOOKUP(A211,IntComp[],16,FALSE)))))</f>
        <v/>
      </c>
      <c r="J211" s="143" t="str">
        <f ca="1">IF(IF(OR(F211="2019-2020",F211="2021-2025"),"",IF(ISNUMBER(SEARCH("LLC",D211)),VLOOKUP(A211,IntComp24[],17,FALSE),VLOOKUP(A211,IntComp[],17,FALSE)))=0,"",IF(OR(F211="2019-2020",F211="2021-2025"),"",IF(ISNUMBER(SEARCH("LLC",D211)),VLOOKUP(A211,IntComp24[],17,FALSE),VLOOKUP(A211,IntComp[],17,FALSE))))</f>
        <v/>
      </c>
      <c r="K211" s="151"/>
      <c r="L211" s="151">
        <f ca="1">IF(OR(F211="2019-2020",F211="2021-2025"),"",IF(ISNUMBER(SEARCH("LLC",D211)),VLOOKUP(A211,IntComp24[],18,FALSE),VLOOKUP(A211,IntComp[],18,FALSE)))</f>
        <v>278846.75</v>
      </c>
      <c r="M211" s="143"/>
      <c r="N211" s="143" t="str">
        <f ca="1">IF(IF(OR(F211="2019-2020",F211="2021-2025"),"",IF(ISNUMBER(SEARCH("LLC",D211)),VLOOKUP(A211,IntComp24[],20,FALSE),VLOOKUP(A211,IntComp[],20,FALSE)))=0,"",IF(OR(F211="2019-2020",F211="2021-2025"),"",IF(ISNUMBER(SEARCH("LLC",D211)),VLOOKUP(A211,IntComp24[],20,FALSE),VLOOKUP(A211,IntComp[],20,FALSE))))</f>
        <v/>
      </c>
      <c r="O211" s="152" t="str">
        <f ca="1">IF(IF(OR(F211="2019-2020",F211="2021-2025"),"",IF(ISNUMBER(SEARCH("LLC",D211)),VLOOKUP(A211,IntComp24[],23,FALSE),VLOOKUP(A211,IntComp[],23,FALSE)))=0,"",IF(OR(F211="2019-2020",F211="2021-2025"),"",IF(ISNUMBER(SEARCH("LLC",D211)),VLOOKUP(A211,IntComp24[],23,FALSE),VLOOKUP(A211,IntComp[],23,FALSE))))</f>
        <v/>
      </c>
    </row>
    <row r="212" spans="1:15">
      <c r="A212" s="147" t="s">
        <v>92</v>
      </c>
      <c r="B212" s="144" t="str">
        <f>VLOOKUP(A212,Data[],2,FALSE)</f>
        <v>MANHATTAN</v>
      </c>
      <c r="C212" s="144" t="s">
        <v>106</v>
      </c>
      <c r="D212" s="9" t="str">
        <f>VLOOKUP(A212,Data[],52,FALSE)</f>
        <v>FEDERAL</v>
      </c>
      <c r="E212" s="9">
        <f>VLOOKUP(IntAll[[#This Row],[DEVELOPMENT]],Data[],62,FALSE)</f>
        <v>11</v>
      </c>
      <c r="F212" s="9" t="str">
        <f ca="1">VLOOKUP(A212,Data[],4,FALSE)</f>
        <v/>
      </c>
      <c r="G212" s="9">
        <f>VLOOKUP(IntAll[[#This Row],[DEVELOPMENT]],EHDAll[[DEVELOPMENT]:['# Units]],6,FALSE)</f>
        <v>1</v>
      </c>
      <c r="H212" s="143" t="str">
        <f ca="1">IF(IntAll[[#This Row],[STATUS]]="","",IF(OR(F212="2019-2020",F212="2021-2025"),"",IF(ISNUMBER(SEARCH("LLC",D212)),VLOOKUP(A212,IntComp24[],21,FALSE),VLOOKUP(A212,IntComp[],21,FALSE))))</f>
        <v/>
      </c>
      <c r="I212" s="143" t="str">
        <f ca="1">IF(IntAll[[#This Row],[STATUS]]="","",IF(IF(OR(F212="2019-2020",F212="2021-2025"),"",IF(ISNUMBER(SEARCH("LLC",D212)),VLOOKUP(A212,IntComp24[],16,FALSE),VLOOKUP(A212,IntComp[],16,FALSE)))=0,"",IF(OR(F212="2019-2020",F212="2021-2025"),"",IF(ISNUMBER(SEARCH("LLC",D212)),VLOOKUP(A212,IntComp24[],16,FALSE),VLOOKUP(A212,IntComp[],16,FALSE)))))</f>
        <v/>
      </c>
      <c r="J212" s="143" t="str">
        <f ca="1">IF(IF(OR(F212="2019-2020",F212="2021-2025"),"",IF(ISNUMBER(SEARCH("LLC",D212)),VLOOKUP(A212,IntComp24[],17,FALSE),VLOOKUP(A212,IntComp[],17,FALSE)))=0,"",IF(OR(F212="2019-2020",F212="2021-2025"),"",IF(ISNUMBER(SEARCH("LLC",D212)),VLOOKUP(A212,IntComp24[],17,FALSE),VLOOKUP(A212,IntComp[],17,FALSE))))</f>
        <v/>
      </c>
      <c r="K212" s="151"/>
      <c r="L212" s="151">
        <f ca="1">IF(OR(F212="2019-2020",F212="2021-2025"),"",IF(ISNUMBER(SEARCH("LLC",D212)),VLOOKUP(A212,IntComp24[],18,FALSE),VLOOKUP(A212,IntComp[],18,FALSE)))</f>
        <v>65295.562499999993</v>
      </c>
      <c r="M212" s="143"/>
      <c r="N212" s="143" t="str">
        <f ca="1">IF(IF(OR(F212="2019-2020",F212="2021-2025"),"",IF(ISNUMBER(SEARCH("LLC",D212)),VLOOKUP(A212,IntComp24[],20,FALSE),VLOOKUP(A212,IntComp[],20,FALSE)))=0,"",IF(OR(F212="2019-2020",F212="2021-2025"),"",IF(ISNUMBER(SEARCH("LLC",D212)),VLOOKUP(A212,IntComp24[],20,FALSE),VLOOKUP(A212,IntComp[],20,FALSE))))</f>
        <v/>
      </c>
      <c r="O212" s="152" t="str">
        <f ca="1">IF(IF(OR(F212="2019-2020",F212="2021-2025"),"",IF(ISNUMBER(SEARCH("LLC",D212)),VLOOKUP(A212,IntComp24[],23,FALSE),VLOOKUP(A212,IntComp[],23,FALSE)))=0,"",IF(OR(F212="2019-2020",F212="2021-2025"),"",IF(ISNUMBER(SEARCH("LLC",D212)),VLOOKUP(A212,IntComp24[],23,FALSE),VLOOKUP(A212,IntComp[],23,FALSE))))</f>
        <v>OMB request sent</v>
      </c>
    </row>
    <row r="213" spans="1:15">
      <c r="A213" s="148" t="s">
        <v>147</v>
      </c>
      <c r="B213" s="144" t="str">
        <f>VLOOKUP(A213,Data[],2,FALSE)</f>
        <v>BRONX</v>
      </c>
      <c r="C213" s="144" t="s">
        <v>106</v>
      </c>
      <c r="D213" s="9" t="str">
        <f>VLOOKUP(A213,Data[],52,FALSE)</f>
        <v>FEDERAL</v>
      </c>
      <c r="E213" s="9">
        <f>VLOOKUP(IntAll[[#This Row],[DEVELOPMENT]],Data[],62,FALSE)</f>
        <v>3</v>
      </c>
      <c r="F213" s="9" t="str">
        <f ca="1">VLOOKUP(A213,Data[],4,FALSE)</f>
        <v/>
      </c>
      <c r="G213" s="9">
        <f>VLOOKUP(IntAll[[#This Row],[DEVELOPMENT]],EHDAll[[DEVELOPMENT]:['# Units]],6,FALSE)</f>
        <v>2</v>
      </c>
      <c r="H213" s="143" t="str">
        <f ca="1">IF(IntAll[[#This Row],[STATUS]]="","",IF(OR(F213="2019-2020",F213="2021-2025"),"",IF(ISNUMBER(SEARCH("LLC",D213)),VLOOKUP(A213,IntComp24[],21,FALSE),VLOOKUP(A213,IntComp[],21,FALSE))))</f>
        <v/>
      </c>
      <c r="I213" s="143" t="str">
        <f ca="1">IF(IntAll[[#This Row],[STATUS]]="","",IF(IF(OR(F213="2019-2020",F213="2021-2025"),"",IF(ISNUMBER(SEARCH("LLC",D213)),VLOOKUP(A213,IntComp24[],16,FALSE),VLOOKUP(A213,IntComp[],16,FALSE)))=0,"",IF(OR(F213="2019-2020",F213="2021-2025"),"",IF(ISNUMBER(SEARCH("LLC",D213)),VLOOKUP(A213,IntComp24[],16,FALSE),VLOOKUP(A213,IntComp[],16,FALSE)))))</f>
        <v/>
      </c>
      <c r="J213" s="143" t="str">
        <f ca="1">IF(IF(OR(F213="2019-2020",F213="2021-2025"),"",IF(ISNUMBER(SEARCH("LLC",D213)),VLOOKUP(A213,IntComp24[],17,FALSE),VLOOKUP(A213,IntComp[],17,FALSE)))=0,"",IF(OR(F213="2019-2020",F213="2021-2025"),"",IF(ISNUMBER(SEARCH("LLC",D213)),VLOOKUP(A213,IntComp24[],17,FALSE),VLOOKUP(A213,IntComp[],17,FALSE))))</f>
        <v/>
      </c>
      <c r="K213" s="151"/>
      <c r="L213" s="151">
        <f ca="1">IF(OR(F213="2019-2020",F213="2021-2025"),"",IF(ISNUMBER(SEARCH("LLC",D213)),VLOOKUP(A213,IntComp24[],18,FALSE),VLOOKUP(A213,IntComp[],18,FALSE)))</f>
        <v>161504</v>
      </c>
      <c r="M213" s="143"/>
      <c r="N213" s="143" t="str">
        <f ca="1">IF(IF(OR(F213="2019-2020",F213="2021-2025"),"",IF(ISNUMBER(SEARCH("LLC",D213)),VLOOKUP(A213,IntComp24[],20,FALSE),VLOOKUP(A213,IntComp[],20,FALSE)))=0,"",IF(OR(F213="2019-2020",F213="2021-2025"),"",IF(ISNUMBER(SEARCH("LLC",D213)),VLOOKUP(A213,IntComp24[],20,FALSE),VLOOKUP(A213,IntComp[],20,FALSE))))</f>
        <v/>
      </c>
      <c r="O213" s="152" t="str">
        <f ca="1">IF(IF(OR(F213="2019-2020",F213="2021-2025"),"",IF(ISNUMBER(SEARCH("LLC",D213)),VLOOKUP(A213,IntComp24[],23,FALSE),VLOOKUP(A213,IntComp[],23,FALSE)))=0,"",IF(OR(F213="2019-2020",F213="2021-2025"),"",IF(ISNUMBER(SEARCH("LLC",D213)),VLOOKUP(A213,IntComp24[],23,FALSE),VLOOKUP(A213,IntComp[],23,FALSE))))</f>
        <v/>
      </c>
    </row>
    <row r="214" spans="1:15">
      <c r="A214" s="147" t="s">
        <v>346</v>
      </c>
      <c r="B214" s="144" t="str">
        <f>VLOOKUP(A214,Data[],2,FALSE)</f>
        <v>BRONX</v>
      </c>
      <c r="C214" s="144" t="s">
        <v>106</v>
      </c>
      <c r="D214" s="9" t="str">
        <f>VLOOKUP(A214,Data[],52,FALSE)</f>
        <v>FEDERAL</v>
      </c>
      <c r="E214" s="9">
        <f>VLOOKUP(IntAll[[#This Row],[DEVELOPMENT]],Data[],62,FALSE)</f>
        <v>1</v>
      </c>
      <c r="F214" s="9" t="str">
        <f ca="1">VLOOKUP(A214,Data[],4,FALSE)</f>
        <v>2026+</v>
      </c>
      <c r="G214" s="9">
        <f>VLOOKUP(IntAll[[#This Row],[DEVELOPMENT]],EHDAll[[DEVELOPMENT]:['# Units]],6,FALSE)</f>
        <v>8</v>
      </c>
      <c r="H214" s="143" t="str">
        <f ca="1">IF(IntAll[[#This Row],[STATUS]]="","",IF(OR(F214="2019-2020",F214="2021-2025"),"",IF(ISNUMBER(SEARCH("LLC",D214)),VLOOKUP(A214,IntComp24[],21,FALSE),VLOOKUP(A214,IntComp[],21,FALSE))))</f>
        <v/>
      </c>
      <c r="I214" s="143" t="str">
        <f ca="1">IF(IntAll[[#This Row],[STATUS]]="","",IF(IF(OR(F214="2019-2020",F214="2021-2025"),"",IF(ISNUMBER(SEARCH("LLC",D214)),VLOOKUP(A214,IntComp24[],16,FALSE),VLOOKUP(A214,IntComp[],16,FALSE)))=0,"",IF(OR(F214="2019-2020",F214="2021-2025"),"",IF(ISNUMBER(SEARCH("LLC",D214)),VLOOKUP(A214,IntComp24[],16,FALSE),VLOOKUP(A214,IntComp[],16,FALSE)))))</f>
        <v/>
      </c>
      <c r="J214" s="143" t="str">
        <f ca="1">IF(IF(OR(F214="2019-2020",F214="2021-2025"),"",IF(ISNUMBER(SEARCH("LLC",D214)),VLOOKUP(A214,IntComp24[],17,FALSE),VLOOKUP(A214,IntComp[],17,FALSE)))=0,"",IF(OR(F214="2019-2020",F214="2021-2025"),"",IF(ISNUMBER(SEARCH("LLC",D214)),VLOOKUP(A214,IntComp24[],17,FALSE),VLOOKUP(A214,IntComp[],17,FALSE))))</f>
        <v/>
      </c>
      <c r="K214" s="151"/>
      <c r="L214" s="151">
        <f ca="1">IF(OR(F214="2019-2020",F214="2021-2025"),"",IF(ISNUMBER(SEARCH("LLC",D214)),VLOOKUP(A214,IntComp24[],18,FALSE),VLOOKUP(A214,IntComp[],18,FALSE)))</f>
        <v>646016</v>
      </c>
      <c r="M214" s="143"/>
      <c r="N214" s="143" t="str">
        <f ca="1">IF(IF(OR(F214="2019-2020",F214="2021-2025"),"",IF(ISNUMBER(SEARCH("LLC",D214)),VLOOKUP(A214,IntComp24[],20,FALSE),VLOOKUP(A214,IntComp[],20,FALSE)))=0,"",IF(OR(F214="2019-2020",F214="2021-2025"),"",IF(ISNUMBER(SEARCH("LLC",D214)),VLOOKUP(A214,IntComp24[],20,FALSE),VLOOKUP(A214,IntComp[],20,FALSE))))</f>
        <v/>
      </c>
      <c r="O214" s="152" t="str">
        <f ca="1">IF(IF(OR(F214="2019-2020",F214="2021-2025"),"",IF(ISNUMBER(SEARCH("LLC",D214)),VLOOKUP(A214,IntComp24[],23,FALSE),VLOOKUP(A214,IntComp[],23,FALSE)))=0,"",IF(OR(F214="2019-2020",F214="2021-2025"),"",IF(ISNUMBER(SEARCH("LLC",D214)),VLOOKUP(A214,IntComp24[],23,FALSE),VLOOKUP(A214,IntComp[],23,FALSE))))</f>
        <v/>
      </c>
    </row>
    <row r="215" spans="1:15">
      <c r="A215" s="147" t="s">
        <v>347</v>
      </c>
      <c r="B215" s="144" t="str">
        <f>VLOOKUP(A215,Data[],2,FALSE)</f>
        <v>STATEN ISLAND</v>
      </c>
      <c r="C215" s="144" t="s">
        <v>106</v>
      </c>
      <c r="D215" s="9" t="str">
        <f>VLOOKUP(A215,Data[],52,FALSE)</f>
        <v>FEDERAL</v>
      </c>
      <c r="E215" s="9">
        <f>VLOOKUP(IntAll[[#This Row],[DEVELOPMENT]],Data[],62,FALSE)</f>
        <v>1</v>
      </c>
      <c r="F215" s="9" t="str">
        <f ca="1">VLOOKUP(A215,Data[],4,FALSE)</f>
        <v/>
      </c>
      <c r="G215" s="9">
        <f>VLOOKUP(IntAll[[#This Row],[DEVELOPMENT]],EHDAll[[DEVELOPMENT]:['# Units]],6,FALSE)</f>
        <v>1</v>
      </c>
      <c r="H215" s="143" t="str">
        <f ca="1">IF(IntAll[[#This Row],[STATUS]]="","",IF(OR(F215="2019-2020",F215="2021-2025"),"",IF(ISNUMBER(SEARCH("LLC",D215)),VLOOKUP(A215,IntComp24[],21,FALSE),VLOOKUP(A215,IntComp[],21,FALSE))))</f>
        <v/>
      </c>
      <c r="I215" s="143" t="str">
        <f ca="1">IF(IntAll[[#This Row],[STATUS]]="","",IF(IF(OR(F215="2019-2020",F215="2021-2025"),"",IF(ISNUMBER(SEARCH("LLC",D215)),VLOOKUP(A215,IntComp24[],16,FALSE),VLOOKUP(A215,IntComp[],16,FALSE)))=0,"",IF(OR(F215="2019-2020",F215="2021-2025"),"",IF(ISNUMBER(SEARCH("LLC",D215)),VLOOKUP(A215,IntComp24[],16,FALSE),VLOOKUP(A215,IntComp[],16,FALSE)))))</f>
        <v/>
      </c>
      <c r="J215" s="143" t="str">
        <f ca="1">IF(IF(OR(F215="2019-2020",F215="2021-2025"),"",IF(ISNUMBER(SEARCH("LLC",D215)),VLOOKUP(A215,IntComp24[],17,FALSE),VLOOKUP(A215,IntComp[],17,FALSE)))=0,"",IF(OR(F215="2019-2020",F215="2021-2025"),"",IF(ISNUMBER(SEARCH("LLC",D215)),VLOOKUP(A215,IntComp24[],17,FALSE),VLOOKUP(A215,IntComp[],17,FALSE))))</f>
        <v/>
      </c>
      <c r="K215" s="151"/>
      <c r="L215" s="151">
        <f ca="1">IF(OR(F215="2019-2020",F215="2021-2025"),"",IF(ISNUMBER(SEARCH("LLC",D215)),VLOOKUP(A215,IntComp24[],18,FALSE),VLOOKUP(A215,IntComp[],18,FALSE)))</f>
        <v>74127.8125</v>
      </c>
      <c r="M215" s="143"/>
      <c r="N215" s="143" t="str">
        <f ca="1">IF(IF(OR(F215="2019-2020",F215="2021-2025"),"",IF(ISNUMBER(SEARCH("LLC",D215)),VLOOKUP(A215,IntComp24[],20,FALSE),VLOOKUP(A215,IntComp[],20,FALSE)))=0,"",IF(OR(F215="2019-2020",F215="2021-2025"),"",IF(ISNUMBER(SEARCH("LLC",D215)),VLOOKUP(A215,IntComp24[],20,FALSE),VLOOKUP(A215,IntComp[],20,FALSE))))</f>
        <v/>
      </c>
      <c r="O215" s="152" t="str">
        <f ca="1">IF(IF(OR(F215="2019-2020",F215="2021-2025"),"",IF(ISNUMBER(SEARCH("LLC",D215)),VLOOKUP(A215,IntComp24[],23,FALSE),VLOOKUP(A215,IntComp[],23,FALSE)))=0,"",IF(OR(F215="2019-2020",F215="2021-2025"),"",IF(ISNUMBER(SEARCH("LLC",D215)),VLOOKUP(A215,IntComp24[],23,FALSE),VLOOKUP(A215,IntComp[],23,FALSE))))</f>
        <v/>
      </c>
    </row>
    <row r="216" spans="1:15">
      <c r="A216" s="147" t="s">
        <v>209</v>
      </c>
      <c r="B216" s="144" t="str">
        <f>VLOOKUP(A216,Data[],2,FALSE)</f>
        <v>BROOKLYN</v>
      </c>
      <c r="C216" s="144" t="s">
        <v>106</v>
      </c>
      <c r="D216" s="9" t="str">
        <f>VLOOKUP(A216,Data[],52,FALSE)</f>
        <v>FEDERAL</v>
      </c>
      <c r="E216" s="9">
        <f>VLOOKUP(IntAll[[#This Row],[DEVELOPMENT]],Data[],62,FALSE)</f>
        <v>15</v>
      </c>
      <c r="F216" s="9" t="str">
        <f ca="1">VLOOKUP(A216,Data[],4,FALSE)</f>
        <v>2026+</v>
      </c>
      <c r="G216" s="9">
        <f>VLOOKUP(IntAll[[#This Row],[DEVELOPMENT]],EHDAll[[DEVELOPMENT]:['# Units]],6,FALSE)</f>
        <v>32</v>
      </c>
      <c r="H216" s="143" t="str">
        <f ca="1">IF(IntAll[[#This Row],[STATUS]]="","",IF(OR(F216="2019-2020",F216="2021-2025"),"",IF(ISNUMBER(SEARCH("LLC",D216)),VLOOKUP(A216,IntComp24[],21,FALSE),VLOOKUP(A216,IntComp[],21,FALSE))))</f>
        <v/>
      </c>
      <c r="I216" s="143" t="str">
        <f ca="1">IF(IntAll[[#This Row],[STATUS]]="","",IF(IF(OR(F216="2019-2020",F216="2021-2025"),"",IF(ISNUMBER(SEARCH("LLC",D216)),VLOOKUP(A216,IntComp24[],16,FALSE),VLOOKUP(A216,IntComp[],16,FALSE)))=0,"",IF(OR(F216="2019-2020",F216="2021-2025"),"",IF(ISNUMBER(SEARCH("LLC",D216)),VLOOKUP(A216,IntComp24[],16,FALSE),VLOOKUP(A216,IntComp[],16,FALSE)))))</f>
        <v/>
      </c>
      <c r="J216" s="143" t="str">
        <f ca="1">IF(IF(OR(F216="2019-2020",F216="2021-2025"),"",IF(ISNUMBER(SEARCH("LLC",D216)),VLOOKUP(A216,IntComp24[],17,FALSE),VLOOKUP(A216,IntComp[],17,FALSE)))=0,"",IF(OR(F216="2019-2020",F216="2021-2025"),"",IF(ISNUMBER(SEARCH("LLC",D216)),VLOOKUP(A216,IntComp24[],17,FALSE),VLOOKUP(A216,IntComp[],17,FALSE))))</f>
        <v/>
      </c>
      <c r="K216" s="151"/>
      <c r="L216" s="151">
        <f ca="1">IF(OR(F216="2019-2020",F216="2021-2025"),"",IF(ISNUMBER(SEARCH("LLC",D216)),VLOOKUP(A216,IntComp24[],18,FALSE),VLOOKUP(A216,IntComp[],18,FALSE)))</f>
        <v>2513406</v>
      </c>
      <c r="M216" s="143"/>
      <c r="N216" s="143" t="str">
        <f ca="1">IF(IF(OR(F216="2019-2020",F216="2021-2025"),"",IF(ISNUMBER(SEARCH("LLC",D216)),VLOOKUP(A216,IntComp24[],20,FALSE),VLOOKUP(A216,IntComp[],20,FALSE)))=0,"",IF(OR(F216="2019-2020",F216="2021-2025"),"",IF(ISNUMBER(SEARCH("LLC",D216)),VLOOKUP(A216,IntComp24[],20,FALSE),VLOOKUP(A216,IntComp[],20,FALSE))))</f>
        <v/>
      </c>
      <c r="O216" s="152" t="str">
        <f ca="1">IF(IF(OR(F216="2019-2020",F216="2021-2025"),"",IF(ISNUMBER(SEARCH("LLC",D216)),VLOOKUP(A216,IntComp24[],23,FALSE),VLOOKUP(A216,IntComp[],23,FALSE)))=0,"",IF(OR(F216="2019-2020",F216="2021-2025"),"",IF(ISNUMBER(SEARCH("LLC",D216)),VLOOKUP(A216,IntComp24[],23,FALSE),VLOOKUP(A216,IntComp[],23,FALSE))))</f>
        <v/>
      </c>
    </row>
    <row r="217" spans="1:15">
      <c r="A217" s="147" t="s">
        <v>351</v>
      </c>
      <c r="B217" s="144" t="str">
        <f>VLOOKUP(A217,Data[],2,FALSE)</f>
        <v>BROOKLYN</v>
      </c>
      <c r="C217" s="144" t="s">
        <v>106</v>
      </c>
      <c r="D217" s="9" t="str">
        <f>VLOOKUP(A217,Data[],52,FALSE)</f>
        <v>FEDERAL</v>
      </c>
      <c r="E217" s="9">
        <f>VLOOKUP(IntAll[[#This Row],[DEVELOPMENT]],Data[],62,FALSE)</f>
        <v>13</v>
      </c>
      <c r="F217" s="9" t="str">
        <f ca="1">VLOOKUP(A217,Data[],4,FALSE)</f>
        <v>2026+</v>
      </c>
      <c r="G217" s="9">
        <f>VLOOKUP(IntAll[[#This Row],[DEVELOPMENT]],EHDAll[[DEVELOPMENT]:['# Units]],6,FALSE)</f>
        <v>6</v>
      </c>
      <c r="H217" s="143" t="str">
        <f ca="1">IF(IntAll[[#This Row],[STATUS]]="","",IF(OR(F217="2019-2020",F217="2021-2025"),"",IF(ISNUMBER(SEARCH("LLC",D217)),VLOOKUP(A217,IntComp24[],21,FALSE),VLOOKUP(A217,IntComp[],21,FALSE))))</f>
        <v/>
      </c>
      <c r="I217" s="143" t="str">
        <f ca="1">IF(IntAll[[#This Row],[STATUS]]="","",IF(IF(OR(F217="2019-2020",F217="2021-2025"),"",IF(ISNUMBER(SEARCH("LLC",D217)),VLOOKUP(A217,IntComp24[],16,FALSE),VLOOKUP(A217,IntComp[],16,FALSE)))=0,"",IF(OR(F217="2019-2020",F217="2021-2025"),"",IF(ISNUMBER(SEARCH("LLC",D217)),VLOOKUP(A217,IntComp24[],16,FALSE),VLOOKUP(A217,IntComp[],16,FALSE)))))</f>
        <v/>
      </c>
      <c r="J217" s="143" t="str">
        <f ca="1">IF(IF(OR(F217="2019-2020",F217="2021-2025"),"",IF(ISNUMBER(SEARCH("LLC",D217)),VLOOKUP(A217,IntComp24[],17,FALSE),VLOOKUP(A217,IntComp[],17,FALSE)))=0,"",IF(OR(F217="2019-2020",F217="2021-2025"),"",IF(ISNUMBER(SEARCH("LLC",D217)),VLOOKUP(A217,IntComp24[],17,FALSE),VLOOKUP(A217,IntComp[],17,FALSE))))</f>
        <v/>
      </c>
      <c r="K217" s="151"/>
      <c r="L217" s="151">
        <f ca="1">IF(OR(F217="2019-2020",F217="2021-2025"),"",IF(ISNUMBER(SEARCH("LLC",D217)),VLOOKUP(A217,IntComp24[],18,FALSE),VLOOKUP(A217,IntComp[],18,FALSE)))</f>
        <v>484512</v>
      </c>
      <c r="M217" s="143"/>
      <c r="N217" s="143" t="str">
        <f ca="1">IF(IF(OR(F217="2019-2020",F217="2021-2025"),"",IF(ISNUMBER(SEARCH("LLC",D217)),VLOOKUP(A217,IntComp24[],20,FALSE),VLOOKUP(A217,IntComp[],20,FALSE)))=0,"",IF(OR(F217="2019-2020",F217="2021-2025"),"",IF(ISNUMBER(SEARCH("LLC",D217)),VLOOKUP(A217,IntComp24[],20,FALSE),VLOOKUP(A217,IntComp[],20,FALSE))))</f>
        <v/>
      </c>
      <c r="O217" s="152" t="str">
        <f ca="1">IF(IF(OR(F217="2019-2020",F217="2021-2025"),"",IF(ISNUMBER(SEARCH("LLC",D217)),VLOOKUP(A217,IntComp24[],23,FALSE),VLOOKUP(A217,IntComp[],23,FALSE)))=0,"",IF(OR(F217="2019-2020",F217="2021-2025"),"",IF(ISNUMBER(SEARCH("LLC",D217)),VLOOKUP(A217,IntComp24[],23,FALSE),VLOOKUP(A217,IntComp[],23,FALSE))))</f>
        <v/>
      </c>
    </row>
    <row r="218" spans="1:15">
      <c r="A218" s="147" t="s">
        <v>348</v>
      </c>
      <c r="B218" s="144" t="str">
        <f>VLOOKUP(A218,Data[],2,FALSE)</f>
        <v>QUEENS</v>
      </c>
      <c r="C218" s="144" t="s">
        <v>106</v>
      </c>
      <c r="D218" s="9" t="str">
        <f>VLOOKUP(A218,Data[],52,FALSE)</f>
        <v>FEDERAL</v>
      </c>
      <c r="E218" s="9">
        <f>VLOOKUP(IntAll[[#This Row],[DEVELOPMENT]],Data[],62,FALSE)</f>
        <v>14</v>
      </c>
      <c r="F218" s="9" t="str">
        <f ca="1">VLOOKUP(A218,Data[],4,FALSE)</f>
        <v>2026+</v>
      </c>
      <c r="G218" s="9">
        <f>VLOOKUP(IntAll[[#This Row],[DEVELOPMENT]],EHDAll[[DEVELOPMENT]:['# Units]],6,FALSE)</f>
        <v>14</v>
      </c>
      <c r="H218" s="143" t="str">
        <f ca="1">IF(IntAll[[#This Row],[STATUS]]="","",IF(OR(F218="2019-2020",F218="2021-2025"),"",IF(ISNUMBER(SEARCH("LLC",D218)),VLOOKUP(A218,IntComp24[],21,FALSE),VLOOKUP(A218,IntComp[],21,FALSE))))</f>
        <v/>
      </c>
      <c r="I218" s="143" t="str">
        <f ca="1">IF(IntAll[[#This Row],[STATUS]]="","",IF(IF(OR(F218="2019-2020",F218="2021-2025"),"",IF(ISNUMBER(SEARCH("LLC",D218)),VLOOKUP(A218,IntComp24[],16,FALSE),VLOOKUP(A218,IntComp[],16,FALSE)))=0,"",IF(OR(F218="2019-2020",F218="2021-2025"),"",IF(ISNUMBER(SEARCH("LLC",D218)),VLOOKUP(A218,IntComp24[],16,FALSE),VLOOKUP(A218,IntComp[],16,FALSE)))))</f>
        <v/>
      </c>
      <c r="J218" s="143" t="str">
        <f ca="1">IF(IF(OR(F218="2019-2020",F218="2021-2025"),"",IF(ISNUMBER(SEARCH("LLC",D218)),VLOOKUP(A218,IntComp24[],17,FALSE),VLOOKUP(A218,IntComp[],17,FALSE)))=0,"",IF(OR(F218="2019-2020",F218="2021-2025"),"",IF(ISNUMBER(SEARCH("LLC",D218)),VLOOKUP(A218,IntComp24[],17,FALSE),VLOOKUP(A218,IntComp[],17,FALSE))))</f>
        <v/>
      </c>
      <c r="K218" s="151"/>
      <c r="L218" s="151">
        <f ca="1">IF(OR(F218="2019-2020",F218="2021-2025"),"",IF(ISNUMBER(SEARCH("LLC",D218)),VLOOKUP(A218,IntComp24[],18,FALSE),VLOOKUP(A218,IntComp[],18,FALSE)))</f>
        <v>1068702.25</v>
      </c>
      <c r="M218" s="143"/>
      <c r="N218" s="143" t="str">
        <f ca="1">IF(IF(OR(F218="2019-2020",F218="2021-2025"),"",IF(ISNUMBER(SEARCH("LLC",D218)),VLOOKUP(A218,IntComp24[],20,FALSE),VLOOKUP(A218,IntComp[],20,FALSE)))=0,"",IF(OR(F218="2019-2020",F218="2021-2025"),"",IF(ISNUMBER(SEARCH("LLC",D218)),VLOOKUP(A218,IntComp24[],20,FALSE),VLOOKUP(A218,IntComp[],20,FALSE))))</f>
        <v/>
      </c>
      <c r="O218" s="152" t="str">
        <f ca="1">IF(IF(OR(F218="2019-2020",F218="2021-2025"),"",IF(ISNUMBER(SEARCH("LLC",D218)),VLOOKUP(A218,IntComp24[],23,FALSE),VLOOKUP(A218,IntComp[],23,FALSE)))=0,"",IF(OR(F218="2019-2020",F218="2021-2025"),"",IF(ISNUMBER(SEARCH("LLC",D218)),VLOOKUP(A218,IntComp24[],23,FALSE),VLOOKUP(A218,IntComp[],23,FALSE))))</f>
        <v/>
      </c>
    </row>
    <row r="219" spans="1:15">
      <c r="A219" s="147" t="s">
        <v>349</v>
      </c>
      <c r="B219" s="144" t="str">
        <f>VLOOKUP(A219,Data[],2,FALSE)</f>
        <v>BROOKLYN</v>
      </c>
      <c r="C219" s="144" t="s">
        <v>106</v>
      </c>
      <c r="D219" s="9" t="str">
        <f>VLOOKUP(A219,Data[],52,FALSE)</f>
        <v>FEDERAL</v>
      </c>
      <c r="E219" s="9">
        <f>VLOOKUP(IntAll[[#This Row],[DEVELOPMENT]],Data[],62,FALSE)</f>
        <v>16</v>
      </c>
      <c r="F219" s="9" t="str">
        <f ca="1">VLOOKUP(A219,Data[],4,FALSE)</f>
        <v/>
      </c>
      <c r="G219" s="9">
        <f>VLOOKUP(IntAll[[#This Row],[DEVELOPMENT]],EHDAll[[DEVELOPMENT]:['# Units]],6,FALSE)</f>
        <v>3</v>
      </c>
      <c r="H219" s="143" t="str">
        <f ca="1">IF(IntAll[[#This Row],[STATUS]]="","",IF(OR(F219="2019-2020",F219="2021-2025"),"",IF(ISNUMBER(SEARCH("LLC",D219)),VLOOKUP(A219,IntComp24[],21,FALSE),VLOOKUP(A219,IntComp[],21,FALSE))))</f>
        <v/>
      </c>
      <c r="I219" s="143" t="str">
        <f ca="1">IF(IntAll[[#This Row],[STATUS]]="","",IF(IF(OR(F219="2019-2020",F219="2021-2025"),"",IF(ISNUMBER(SEARCH("LLC",D219)),VLOOKUP(A219,IntComp24[],16,FALSE),VLOOKUP(A219,IntComp[],16,FALSE)))=0,"",IF(OR(F219="2019-2020",F219="2021-2025"),"",IF(ISNUMBER(SEARCH("LLC",D219)),VLOOKUP(A219,IntComp24[],16,FALSE),VLOOKUP(A219,IntComp[],16,FALSE)))))</f>
        <v/>
      </c>
      <c r="J219" s="143" t="str">
        <f ca="1">IF(IF(OR(F219="2019-2020",F219="2021-2025"),"",IF(ISNUMBER(SEARCH("LLC",D219)),VLOOKUP(A219,IntComp24[],17,FALSE),VLOOKUP(A219,IntComp[],17,FALSE)))=0,"",IF(OR(F219="2019-2020",F219="2021-2025"),"",IF(ISNUMBER(SEARCH("LLC",D219)),VLOOKUP(A219,IntComp24[],17,FALSE),VLOOKUP(A219,IntComp[],17,FALSE))))</f>
        <v/>
      </c>
      <c r="K219" s="151"/>
      <c r="L219" s="151">
        <f ca="1">IF(OR(F219="2019-2020",F219="2021-2025"),"",IF(ISNUMBER(SEARCH("LLC",D219)),VLOOKUP(A219,IntComp24[],18,FALSE),VLOOKUP(A219,IntComp[],18,FALSE)))</f>
        <v>235631.81250000003</v>
      </c>
      <c r="M219" s="143"/>
      <c r="N219" s="143" t="str">
        <f ca="1">IF(IF(OR(F219="2019-2020",F219="2021-2025"),"",IF(ISNUMBER(SEARCH("LLC",D219)),VLOOKUP(A219,IntComp24[],20,FALSE),VLOOKUP(A219,IntComp[],20,FALSE)))=0,"",IF(OR(F219="2019-2020",F219="2021-2025"),"",IF(ISNUMBER(SEARCH("LLC",D219)),VLOOKUP(A219,IntComp24[],20,FALSE),VLOOKUP(A219,IntComp[],20,FALSE))))</f>
        <v/>
      </c>
      <c r="O219" s="152" t="str">
        <f ca="1">IF(IF(OR(F219="2019-2020",F219="2021-2025"),"",IF(ISNUMBER(SEARCH("LLC",D219)),VLOOKUP(A219,IntComp24[],23,FALSE),VLOOKUP(A219,IntComp[],23,FALSE)))=0,"",IF(OR(F219="2019-2020",F219="2021-2025"),"",IF(ISNUMBER(SEARCH("LLC",D219)),VLOOKUP(A219,IntComp24[],23,FALSE),VLOOKUP(A219,IntComp[],23,FALSE))))</f>
        <v/>
      </c>
    </row>
    <row r="220" spans="1:15">
      <c r="A220" s="147" t="s">
        <v>350</v>
      </c>
      <c r="B220" s="144" t="str">
        <f>VLOOKUP(A220,Data[],2,FALSE)</f>
        <v>BROOKLYN</v>
      </c>
      <c r="C220" s="144" t="s">
        <v>106</v>
      </c>
      <c r="D220" s="9" t="str">
        <f>VLOOKUP(A220,Data[],52,FALSE)</f>
        <v>FEDERAL</v>
      </c>
      <c r="E220" s="9">
        <f>VLOOKUP(IntAll[[#This Row],[DEVELOPMENT]],Data[],62,FALSE)</f>
        <v>16</v>
      </c>
      <c r="F220" s="9" t="str">
        <f ca="1">VLOOKUP(A220,Data[],4,FALSE)</f>
        <v>2022-2025</v>
      </c>
      <c r="G220" s="9">
        <f>VLOOKUP(IntAll[[#This Row],[DEVELOPMENT]],EHDAll[[DEVELOPMENT]:['# Units]],6,FALSE)</f>
        <v>6</v>
      </c>
      <c r="H220" s="143" t="str">
        <f ca="1">IF(IntAll[[#This Row],[STATUS]]="","",IF(OR(F220="2019-2020",F220="2021-2025"),"",IF(ISNUMBER(SEARCH("LLC",D220)),VLOOKUP(A220,IntComp24[],21,FALSE),VLOOKUP(A220,IntComp[],21,FALSE))))</f>
        <v/>
      </c>
      <c r="I220" s="143" t="str">
        <f ca="1">IF(IntAll[[#This Row],[STATUS]]="","",IF(IF(OR(F220="2019-2020",F220="2021-2025"),"",IF(ISNUMBER(SEARCH("LLC",D220)),VLOOKUP(A220,IntComp24[],16,FALSE),VLOOKUP(A220,IntComp[],16,FALSE)))=0,"",IF(OR(F220="2019-2020",F220="2021-2025"),"",IF(ISNUMBER(SEARCH("LLC",D220)),VLOOKUP(A220,IntComp24[],16,FALSE),VLOOKUP(A220,IntComp[],16,FALSE)))))</f>
        <v/>
      </c>
      <c r="J220" s="143" t="str">
        <f ca="1">IF(IF(OR(F220="2019-2020",F220="2021-2025"),"",IF(ISNUMBER(SEARCH("LLC",D220)),VLOOKUP(A220,IntComp24[],17,FALSE),VLOOKUP(A220,IntComp[],17,FALSE)))=0,"",IF(OR(F220="2019-2020",F220="2021-2025"),"",IF(ISNUMBER(SEARCH("LLC",D220)),VLOOKUP(A220,IntComp24[],17,FALSE),VLOOKUP(A220,IntComp[],17,FALSE))))</f>
        <v/>
      </c>
      <c r="K220" s="151"/>
      <c r="L220" s="151">
        <f ca="1">IF(OR(F220="2019-2020",F220="2021-2025"),"",IF(ISNUMBER(SEARCH("LLC",D220)),VLOOKUP(A220,IntComp24[],18,FALSE),VLOOKUP(A220,IntComp[],18,FALSE)))</f>
        <v>0</v>
      </c>
      <c r="M220" s="143"/>
      <c r="N220" s="143" t="str">
        <f ca="1">IF(IF(OR(F220="2019-2020",F220="2021-2025"),"",IF(ISNUMBER(SEARCH("LLC",D220)),VLOOKUP(A220,IntComp24[],20,FALSE),VLOOKUP(A220,IntComp[],20,FALSE)))=0,"",IF(OR(F220="2019-2020",F220="2021-2025"),"",IF(ISNUMBER(SEARCH("LLC",D220)),VLOOKUP(A220,IntComp24[],20,FALSE),VLOOKUP(A220,IntComp[],20,FALSE))))</f>
        <v/>
      </c>
      <c r="O220" s="152" t="str">
        <f ca="1">IF(IF(OR(F220="2019-2020",F220="2021-2025"),"",IF(ISNUMBER(SEARCH("LLC",D220)),VLOOKUP(A220,IntComp24[],23,FALSE),VLOOKUP(A220,IntComp[],23,FALSE)))=0,"",IF(OR(F220="2019-2020",F220="2021-2025"),"",IF(ISNUMBER(SEARCH("LLC",D220)),VLOOKUP(A220,IntComp24[],23,FALSE),VLOOKUP(A220,IntComp[],23,FALSE))))</f>
        <v/>
      </c>
    </row>
    <row r="221" spans="1:15">
      <c r="A221" s="147" t="s">
        <v>93</v>
      </c>
      <c r="B221" s="144" t="str">
        <f>VLOOKUP(A221,Data[],2,FALSE)</f>
        <v>MANHATTAN</v>
      </c>
      <c r="C221" s="144" t="s">
        <v>106</v>
      </c>
      <c r="D221" s="9" t="str">
        <f>VLOOKUP(A221,Data[],52,FALSE)</f>
        <v>FEDERAL</v>
      </c>
      <c r="E221" s="9">
        <f>VLOOKUP(IntAll[[#This Row],[DEVELOPMENT]],Data[],62,FALSE)</f>
        <v>11</v>
      </c>
      <c r="F221" s="9" t="str">
        <f ca="1">VLOOKUP(A221,Data[],4,FALSE)</f>
        <v>2020-2021</v>
      </c>
      <c r="G221" s="9">
        <f>VLOOKUP(IntAll[[#This Row],[DEVELOPMENT]],EHDAll[[DEVELOPMENT]:['# Units]],6,FALSE)</f>
        <v>2</v>
      </c>
      <c r="H221" s="143" t="str">
        <f ca="1">IF(IntAll[[#This Row],[STATUS]]="","",IF(OR(F221="2019-2020",F221="2021-2025"),"",IF(ISNUMBER(SEARCH("LLC",D221)),VLOOKUP(A221,IntComp24[],21,FALSE),VLOOKUP(A221,IntComp[],21,FALSE))))</f>
        <v/>
      </c>
      <c r="I221" s="143" t="str">
        <f ca="1">IF(IntAll[[#This Row],[STATUS]]="","",IF(IF(OR(F221="2019-2020",F221="2021-2025"),"",IF(ISNUMBER(SEARCH("LLC",D221)),VLOOKUP(A221,IntComp24[],16,FALSE),VLOOKUP(A221,IntComp[],16,FALSE)))=0,"",IF(OR(F221="2019-2020",F221="2021-2025"),"",IF(ISNUMBER(SEARCH("LLC",D221)),VLOOKUP(A221,IntComp24[],16,FALSE),VLOOKUP(A221,IntComp[],16,FALSE)))))</f>
        <v/>
      </c>
      <c r="J221" s="143" t="str">
        <f ca="1">IF(IF(OR(F221="2019-2020",F221="2021-2025"),"",IF(ISNUMBER(SEARCH("LLC",D221)),VLOOKUP(A221,IntComp24[],17,FALSE),VLOOKUP(A221,IntComp[],17,FALSE)))=0,"",IF(OR(F221="2019-2020",F221="2021-2025"),"",IF(ISNUMBER(SEARCH("LLC",D221)),VLOOKUP(A221,IntComp24[],17,FALSE),VLOOKUP(A221,IntComp[],17,FALSE))))</f>
        <v/>
      </c>
      <c r="K221" s="151"/>
      <c r="L221" s="151">
        <f ca="1">IF(OR(F221="2019-2020",F221="2021-2025"),"",IF(ISNUMBER(SEARCH("LLC",D221)),VLOOKUP(A221,IntComp24[],18,FALSE),VLOOKUP(A221,IntComp[],18,FALSE)))</f>
        <v>0</v>
      </c>
      <c r="M221" s="143"/>
      <c r="N221" s="143" t="str">
        <f ca="1">IF(IF(OR(F221="2019-2020",F221="2021-2025"),"",IF(ISNUMBER(SEARCH("LLC",D221)),VLOOKUP(A221,IntComp24[],20,FALSE),VLOOKUP(A221,IntComp[],20,FALSE)))=0,"",IF(OR(F221="2019-2020",F221="2021-2025"),"",IF(ISNUMBER(SEARCH("LLC",D221)),VLOOKUP(A221,IntComp24[],20,FALSE),VLOOKUP(A221,IntComp[],20,FALSE))))</f>
        <v/>
      </c>
      <c r="O221" s="152" t="str">
        <f ca="1">IF(IF(OR(F221="2019-2020",F221="2021-2025"),"",IF(ISNUMBER(SEARCH("LLC",D221)),VLOOKUP(A221,IntComp24[],23,FALSE),VLOOKUP(A221,IntComp[],23,FALSE)))=0,"",IF(OR(F221="2019-2020",F221="2021-2025"),"",IF(ISNUMBER(SEARCH("LLC",D221)),VLOOKUP(A221,IntComp24[],23,FALSE),VLOOKUP(A221,IntComp[],23,FALSE))))</f>
        <v/>
      </c>
    </row>
    <row r="222" spans="1:15">
      <c r="A222" s="147" t="s">
        <v>352</v>
      </c>
      <c r="B222" s="144" t="str">
        <f>VLOOKUP(A222,Data[],2,FALSE)</f>
        <v>BROOKLYN</v>
      </c>
      <c r="C222" s="144" t="s">
        <v>106</v>
      </c>
      <c r="D222" s="9" t="str">
        <f>VLOOKUP(A222,Data[],52,FALSE)</f>
        <v>FEDERAL</v>
      </c>
      <c r="E222" s="9">
        <f>VLOOKUP(IntAll[[#This Row],[DEVELOPMENT]],Data[],62,FALSE)</f>
        <v>8</v>
      </c>
      <c r="F222" s="9" t="str">
        <f ca="1">VLOOKUP(A222,Data[],4,FALSE)</f>
        <v>2022-2025</v>
      </c>
      <c r="G222" s="9">
        <f>VLOOKUP(IntAll[[#This Row],[DEVELOPMENT]],EHDAll[[DEVELOPMENT]:['# Units]],6,FALSE)</f>
        <v>7</v>
      </c>
      <c r="H222" s="143" t="str">
        <f ca="1">IF(IntAll[[#This Row],[STATUS]]="","",IF(OR(F222="2019-2020",F222="2021-2025"),"",IF(ISNUMBER(SEARCH("LLC",D222)),VLOOKUP(A222,IntComp24[],21,FALSE),VLOOKUP(A222,IntComp[],21,FALSE))))</f>
        <v/>
      </c>
      <c r="I222" s="143" t="str">
        <f ca="1">IF(IntAll[[#This Row],[STATUS]]="","",IF(IF(OR(F222="2019-2020",F222="2021-2025"),"",IF(ISNUMBER(SEARCH("LLC",D222)),VLOOKUP(A222,IntComp24[],16,FALSE),VLOOKUP(A222,IntComp[],16,FALSE)))=0,"",IF(OR(F222="2019-2020",F222="2021-2025"),"",IF(ISNUMBER(SEARCH("LLC",D222)),VLOOKUP(A222,IntComp24[],16,FALSE),VLOOKUP(A222,IntComp[],16,FALSE)))))</f>
        <v/>
      </c>
      <c r="J222" s="143" t="str">
        <f ca="1">IF(IF(OR(F222="2019-2020",F222="2021-2025"),"",IF(ISNUMBER(SEARCH("LLC",D222)),VLOOKUP(A222,IntComp24[],17,FALSE),VLOOKUP(A222,IntComp[],17,FALSE)))=0,"",IF(OR(F222="2019-2020",F222="2021-2025"),"",IF(ISNUMBER(SEARCH("LLC",D222)),VLOOKUP(A222,IntComp24[],17,FALSE),VLOOKUP(A222,IntComp[],17,FALSE))))</f>
        <v/>
      </c>
      <c r="K222" s="151"/>
      <c r="L222" s="151">
        <f ca="1">IF(OR(F222="2019-2020",F222="2021-2025"),"",IF(ISNUMBER(SEARCH("LLC",D222)),VLOOKUP(A222,IntComp24[],18,FALSE),VLOOKUP(A222,IntComp[],18,FALSE)))</f>
        <v>0</v>
      </c>
      <c r="M222" s="143"/>
      <c r="N222" s="143" t="str">
        <f ca="1">IF(IF(OR(F222="2019-2020",F222="2021-2025"),"",IF(ISNUMBER(SEARCH("LLC",D222)),VLOOKUP(A222,IntComp24[],20,FALSE),VLOOKUP(A222,IntComp[],20,FALSE)))=0,"",IF(OR(F222="2019-2020",F222="2021-2025"),"",IF(ISNUMBER(SEARCH("LLC",D222)),VLOOKUP(A222,IntComp24[],20,FALSE),VLOOKUP(A222,IntComp[],20,FALSE))))</f>
        <v/>
      </c>
      <c r="O222" s="152" t="str">
        <f ca="1">IF(IF(OR(F222="2019-2020",F222="2021-2025"),"",IF(ISNUMBER(SEARCH("LLC",D222)),VLOOKUP(A222,IntComp24[],23,FALSE),VLOOKUP(A222,IntComp[],23,FALSE)))=0,"",IF(OR(F222="2019-2020",F222="2021-2025"),"",IF(ISNUMBER(SEARCH("LLC",D222)),VLOOKUP(A222,IntComp24[],23,FALSE),VLOOKUP(A222,IntComp[],23,FALSE))))</f>
        <v/>
      </c>
    </row>
    <row r="223" spans="1:15">
      <c r="A223" s="147" t="s">
        <v>353</v>
      </c>
      <c r="B223" s="144" t="str">
        <f>VLOOKUP(A223,Data[],2,FALSE)</f>
        <v>BRONX</v>
      </c>
      <c r="C223" s="144" t="s">
        <v>106</v>
      </c>
      <c r="D223" s="9" t="str">
        <f>VLOOKUP(A223,Data[],52,FALSE)</f>
        <v>FEDERAL</v>
      </c>
      <c r="E223" s="9">
        <f>VLOOKUP(IntAll[[#This Row],[DEVELOPMENT]],Data[],62,FALSE)</f>
        <v>11</v>
      </c>
      <c r="F223" s="9" t="str">
        <f ca="1">VLOOKUP(A223,Data[],4,FALSE)</f>
        <v>2026+</v>
      </c>
      <c r="G223" s="9">
        <f>VLOOKUP(IntAll[[#This Row],[DEVELOPMENT]],EHDAll[[DEVELOPMENT]:['# Units]],6,FALSE)</f>
        <v>20</v>
      </c>
      <c r="H223" s="143" t="str">
        <f ca="1">IF(IntAll[[#This Row],[STATUS]]="","",IF(OR(F223="2019-2020",F223="2021-2025"),"",IF(ISNUMBER(SEARCH("LLC",D223)),VLOOKUP(A223,IntComp24[],21,FALSE),VLOOKUP(A223,IntComp[],21,FALSE))))</f>
        <v/>
      </c>
      <c r="I223" s="143" t="str">
        <f ca="1">IF(IntAll[[#This Row],[STATUS]]="","",IF(IF(OR(F223="2019-2020",F223="2021-2025"),"",IF(ISNUMBER(SEARCH("LLC",D223)),VLOOKUP(A223,IntComp24[],16,FALSE),VLOOKUP(A223,IntComp[],16,FALSE)))=0,"",IF(OR(F223="2019-2020",F223="2021-2025"),"",IF(ISNUMBER(SEARCH("LLC",D223)),VLOOKUP(A223,IntComp24[],16,FALSE),VLOOKUP(A223,IntComp[],16,FALSE)))))</f>
        <v/>
      </c>
      <c r="J223" s="143" t="str">
        <f ca="1">IF(IF(OR(F223="2019-2020",F223="2021-2025"),"",IF(ISNUMBER(SEARCH("LLC",D223)),VLOOKUP(A223,IntComp24[],17,FALSE),VLOOKUP(A223,IntComp[],17,FALSE)))=0,"",IF(OR(F223="2019-2020",F223="2021-2025"),"",IF(ISNUMBER(SEARCH("LLC",D223)),VLOOKUP(A223,IntComp24[],17,FALSE),VLOOKUP(A223,IntComp[],17,FALSE))))</f>
        <v/>
      </c>
      <c r="K223" s="151"/>
      <c r="L223" s="151">
        <f ca="1">IF(OR(F223="2019-2020",F223="2021-2025"),"",IF(ISNUMBER(SEARCH("LLC",D223)),VLOOKUP(A223,IntComp24[],18,FALSE),VLOOKUP(A223,IntComp[],18,FALSE)))</f>
        <v>1438395.0000000002</v>
      </c>
      <c r="M223" s="143"/>
      <c r="N223" s="143" t="str">
        <f ca="1">IF(IF(OR(F223="2019-2020",F223="2021-2025"),"",IF(ISNUMBER(SEARCH("LLC",D223)),VLOOKUP(A223,IntComp24[],20,FALSE),VLOOKUP(A223,IntComp[],20,FALSE)))=0,"",IF(OR(F223="2019-2020",F223="2021-2025"),"",IF(ISNUMBER(SEARCH("LLC",D223)),VLOOKUP(A223,IntComp24[],20,FALSE),VLOOKUP(A223,IntComp[],20,FALSE))))</f>
        <v/>
      </c>
      <c r="O223" s="152" t="str">
        <f ca="1">IF(IF(OR(F223="2019-2020",F223="2021-2025"),"",IF(ISNUMBER(SEARCH("LLC",D223)),VLOOKUP(A223,IntComp24[],23,FALSE),VLOOKUP(A223,IntComp[],23,FALSE)))=0,"",IF(OR(F223="2019-2020",F223="2021-2025"),"",IF(ISNUMBER(SEARCH("LLC",D223)),VLOOKUP(A223,IntComp24[],23,FALSE),VLOOKUP(A223,IntComp[],23,FALSE))))</f>
        <v/>
      </c>
    </row>
    <row r="224" spans="1:15">
      <c r="A224" s="147" t="s">
        <v>132</v>
      </c>
      <c r="B224" s="144" t="str">
        <f>VLOOKUP(A224,Data[],2,FALSE)</f>
        <v>BRONX</v>
      </c>
      <c r="C224" s="144" t="s">
        <v>106</v>
      </c>
      <c r="D224" s="9" t="str">
        <f>VLOOKUP(A224,Data[],52,FALSE)</f>
        <v>FEDERAL</v>
      </c>
      <c r="E224" s="9">
        <f>VLOOKUP(IntAll[[#This Row],[DEVELOPMENT]],Data[],62,FALSE)</f>
        <v>1</v>
      </c>
      <c r="F224" s="9" t="str">
        <f ca="1">VLOOKUP(A224,Data[],4,FALSE)</f>
        <v>2022-2025</v>
      </c>
      <c r="G224" s="9">
        <f>VLOOKUP(IntAll[[#This Row],[DEVELOPMENT]],EHDAll[[DEVELOPMENT]:['# Units]],6,FALSE)</f>
        <v>25</v>
      </c>
      <c r="H224" s="143" t="str">
        <f ca="1">IF(IntAll[[#This Row],[STATUS]]="","",IF(OR(F224="2019-2020",F224="2021-2025"),"",IF(ISNUMBER(SEARCH("LLC",D224)),VLOOKUP(A224,IntComp24[],21,FALSE),VLOOKUP(A224,IntComp[],21,FALSE))))</f>
        <v/>
      </c>
      <c r="I224" s="143" t="str">
        <f ca="1">IF(IntAll[[#This Row],[STATUS]]="","",IF(IF(OR(F224="2019-2020",F224="2021-2025"),"",IF(ISNUMBER(SEARCH("LLC",D224)),VLOOKUP(A224,IntComp24[],16,FALSE),VLOOKUP(A224,IntComp[],16,FALSE)))=0,"",IF(OR(F224="2019-2020",F224="2021-2025"),"",IF(ISNUMBER(SEARCH("LLC",D224)),VLOOKUP(A224,IntComp24[],16,FALSE),VLOOKUP(A224,IntComp[],16,FALSE)))))</f>
        <v/>
      </c>
      <c r="J224" s="143" t="str">
        <f ca="1">IF(IF(OR(F224="2019-2020",F224="2021-2025"),"",IF(ISNUMBER(SEARCH("LLC",D224)),VLOOKUP(A224,IntComp24[],17,FALSE),VLOOKUP(A224,IntComp[],17,FALSE)))=0,"",IF(OR(F224="2019-2020",F224="2021-2025"),"",IF(ISNUMBER(SEARCH("LLC",D224)),VLOOKUP(A224,IntComp24[],17,FALSE),VLOOKUP(A224,IntComp[],17,FALSE))))</f>
        <v/>
      </c>
      <c r="K224" s="151"/>
      <c r="L224" s="151">
        <f ca="1">IF(OR(F224="2019-2020",F224="2021-2025"),"",IF(ISNUMBER(SEARCH("LLC",D224)),VLOOKUP(A224,IntComp24[],18,FALSE),VLOOKUP(A224,IntComp[],18,FALSE)))</f>
        <v>0</v>
      </c>
      <c r="M224" s="143"/>
      <c r="N224" s="143" t="str">
        <f ca="1">IF(IF(OR(F224="2019-2020",F224="2021-2025"),"",IF(ISNUMBER(SEARCH("LLC",D224)),VLOOKUP(A224,IntComp24[],20,FALSE),VLOOKUP(A224,IntComp[],20,FALSE)))=0,"",IF(OR(F224="2019-2020",F224="2021-2025"),"",IF(ISNUMBER(SEARCH("LLC",D224)),VLOOKUP(A224,IntComp24[],20,FALSE),VLOOKUP(A224,IntComp[],20,FALSE))))</f>
        <v/>
      </c>
      <c r="O224" s="152" t="str">
        <f ca="1">IF(IF(OR(F224="2019-2020",F224="2021-2025"),"",IF(ISNUMBER(SEARCH("LLC",D224)),VLOOKUP(A224,IntComp24[],23,FALSE),VLOOKUP(A224,IntComp[],23,FALSE)))=0,"",IF(OR(F224="2019-2020",F224="2021-2025"),"",IF(ISNUMBER(SEARCH("LLC",D224)),VLOOKUP(A224,IntComp24[],23,FALSE),VLOOKUP(A224,IntComp[],23,FALSE))))</f>
        <v/>
      </c>
    </row>
    <row r="225" spans="1:15">
      <c r="A225" s="147" t="s">
        <v>210</v>
      </c>
      <c r="B225" s="144" t="str">
        <f>VLOOKUP(A225,Data[],2,FALSE)</f>
        <v>BRONX</v>
      </c>
      <c r="C225" s="144" t="s">
        <v>106</v>
      </c>
      <c r="D225" s="9" t="str">
        <f>VLOOKUP(A225,Data[],52,FALSE)</f>
        <v>FEDERAL</v>
      </c>
      <c r="E225" s="9">
        <f>VLOOKUP(IntAll[[#This Row],[DEVELOPMENT]],Data[],62,FALSE)</f>
        <v>11</v>
      </c>
      <c r="F225" s="9" t="str">
        <f ca="1">VLOOKUP(A225,Data[],4,FALSE)</f>
        <v>2022-2025</v>
      </c>
      <c r="G225" s="9">
        <f>VLOOKUP(IntAll[[#This Row],[DEVELOPMENT]],EHDAll[[DEVELOPMENT]:['# Units]],6,FALSE)</f>
        <v>38</v>
      </c>
      <c r="H225" s="143" t="str">
        <f ca="1">IF(IntAll[[#This Row],[STATUS]]="","",IF(OR(F225="2019-2020",F225="2021-2025"),"",IF(ISNUMBER(SEARCH("LLC",D225)),VLOOKUP(A225,IntComp24[],21,FALSE),VLOOKUP(A225,IntComp[],21,FALSE))))</f>
        <v/>
      </c>
      <c r="I225" s="143" t="str">
        <f ca="1">IF(IntAll[[#This Row],[STATUS]]="","",IF(IF(OR(F225="2019-2020",F225="2021-2025"),"",IF(ISNUMBER(SEARCH("LLC",D225)),VLOOKUP(A225,IntComp24[],16,FALSE),VLOOKUP(A225,IntComp[],16,FALSE)))=0,"",IF(OR(F225="2019-2020",F225="2021-2025"),"",IF(ISNUMBER(SEARCH("LLC",D225)),VLOOKUP(A225,IntComp24[],16,FALSE),VLOOKUP(A225,IntComp[],16,FALSE)))))</f>
        <v/>
      </c>
      <c r="J225" s="143" t="str">
        <f ca="1">IF(IF(OR(F225="2019-2020",F225="2021-2025"),"",IF(ISNUMBER(SEARCH("LLC",D225)),VLOOKUP(A225,IntComp24[],17,FALSE),VLOOKUP(A225,IntComp[],17,FALSE)))=0,"",IF(OR(F225="2019-2020",F225="2021-2025"),"",IF(ISNUMBER(SEARCH("LLC",D225)),VLOOKUP(A225,IntComp24[],17,FALSE),VLOOKUP(A225,IntComp[],17,FALSE))))</f>
        <v/>
      </c>
      <c r="K225" s="151"/>
      <c r="L225" s="151">
        <f ca="1">IF(OR(F225="2019-2020",F225="2021-2025"),"",IF(ISNUMBER(SEARCH("LLC",D225)),VLOOKUP(A225,IntComp24[],18,FALSE),VLOOKUP(A225,IntComp[],18,FALSE)))</f>
        <v>0</v>
      </c>
      <c r="M225" s="143"/>
      <c r="N225" s="143" t="str">
        <f ca="1">IF(IF(OR(F225="2019-2020",F225="2021-2025"),"",IF(ISNUMBER(SEARCH("LLC",D225)),VLOOKUP(A225,IntComp24[],20,FALSE),VLOOKUP(A225,IntComp[],20,FALSE)))=0,"",IF(OR(F225="2019-2020",F225="2021-2025"),"",IF(ISNUMBER(SEARCH("LLC",D225)),VLOOKUP(A225,IntComp24[],20,FALSE),VLOOKUP(A225,IntComp[],20,FALSE))))</f>
        <v/>
      </c>
      <c r="O225" s="152" t="str">
        <f ca="1">IF(IF(OR(F225="2019-2020",F225="2021-2025"),"",IF(ISNUMBER(SEARCH("LLC",D225)),VLOOKUP(A225,IntComp24[],23,FALSE),VLOOKUP(A225,IntComp[],23,FALSE)))=0,"",IF(OR(F225="2019-2020",F225="2021-2025"),"",IF(ISNUMBER(SEARCH("LLC",D225)),VLOOKUP(A225,IntComp24[],23,FALSE),VLOOKUP(A225,IntComp[],23,FALSE))))</f>
        <v/>
      </c>
    </row>
    <row r="226" spans="1:15">
      <c r="A226" s="147" t="s">
        <v>354</v>
      </c>
      <c r="B226" s="144" t="str">
        <f>VLOOKUP(A226,Data[],2,FALSE)</f>
        <v>BROOKLYN</v>
      </c>
      <c r="C226" s="144" t="s">
        <v>106</v>
      </c>
      <c r="D226" s="9" t="str">
        <f>VLOOKUP(A226,Data[],52,FALSE)</f>
        <v>FEDERAL</v>
      </c>
      <c r="E226" s="9">
        <f>VLOOKUP(IntAll[[#This Row],[DEVELOPMENT]],Data[],62,FALSE)</f>
        <v>5</v>
      </c>
      <c r="F226" s="9" t="str">
        <f ca="1">VLOOKUP(A226,Data[],4,FALSE)</f>
        <v/>
      </c>
      <c r="G226" s="9">
        <f>VLOOKUP(IntAll[[#This Row],[DEVELOPMENT]],EHDAll[[DEVELOPMENT]:['# Units]],6,FALSE)</f>
        <v>3</v>
      </c>
      <c r="H226" s="143" t="str">
        <f ca="1">IF(IntAll[[#This Row],[STATUS]]="","",IF(OR(F226="2019-2020",F226="2021-2025"),"",IF(ISNUMBER(SEARCH("LLC",D226)),VLOOKUP(A226,IntComp24[],21,FALSE),VLOOKUP(A226,IntComp[],21,FALSE))))</f>
        <v/>
      </c>
      <c r="I226" s="143" t="str">
        <f ca="1">IF(IntAll[[#This Row],[STATUS]]="","",IF(IF(OR(F226="2019-2020",F226="2021-2025"),"",IF(ISNUMBER(SEARCH("LLC",D226)),VLOOKUP(A226,IntComp24[],16,FALSE),VLOOKUP(A226,IntComp[],16,FALSE)))=0,"",IF(OR(F226="2019-2020",F226="2021-2025"),"",IF(ISNUMBER(SEARCH("LLC",D226)),VLOOKUP(A226,IntComp24[],16,FALSE),VLOOKUP(A226,IntComp[],16,FALSE)))))</f>
        <v/>
      </c>
      <c r="J226" s="143" t="str">
        <f ca="1">IF(IF(OR(F226="2019-2020",F226="2021-2025"),"",IF(ISNUMBER(SEARCH("LLC",D226)),VLOOKUP(A226,IntComp24[],17,FALSE),VLOOKUP(A226,IntComp[],17,FALSE)))=0,"",IF(OR(F226="2019-2020",F226="2021-2025"),"",IF(ISNUMBER(SEARCH("LLC",D226)),VLOOKUP(A226,IntComp24[],17,FALSE),VLOOKUP(A226,IntComp[],17,FALSE))))</f>
        <v/>
      </c>
      <c r="K226" s="151"/>
      <c r="L226" s="151">
        <f ca="1">IF(OR(F226="2019-2020",F226="2021-2025"),"",IF(ISNUMBER(SEARCH("LLC",D226)),VLOOKUP(A226,IntComp24[],18,FALSE),VLOOKUP(A226,IntComp[],18,FALSE)))</f>
        <v>195886.68749999997</v>
      </c>
      <c r="M226" s="143"/>
      <c r="N226" s="143" t="str">
        <f ca="1">IF(IF(OR(F226="2019-2020",F226="2021-2025"),"",IF(ISNUMBER(SEARCH("LLC",D226)),VLOOKUP(A226,IntComp24[],20,FALSE),VLOOKUP(A226,IntComp[],20,FALSE)))=0,"",IF(OR(F226="2019-2020",F226="2021-2025"),"",IF(ISNUMBER(SEARCH("LLC",D226)),VLOOKUP(A226,IntComp24[],20,FALSE),VLOOKUP(A226,IntComp[],20,FALSE))))</f>
        <v/>
      </c>
      <c r="O226" s="152" t="str">
        <f ca="1">IF(IF(OR(F226="2019-2020",F226="2021-2025"),"",IF(ISNUMBER(SEARCH("LLC",D226)),VLOOKUP(A226,IntComp24[],23,FALSE),VLOOKUP(A226,IntComp[],23,FALSE)))=0,"",IF(OR(F226="2019-2020",F226="2021-2025"),"",IF(ISNUMBER(SEARCH("LLC",D226)),VLOOKUP(A226,IntComp24[],23,FALSE),VLOOKUP(A226,IntComp[],23,FALSE))))</f>
        <v/>
      </c>
    </row>
    <row r="227" spans="1:15">
      <c r="A227" s="147" t="s">
        <v>133</v>
      </c>
      <c r="B227" s="144" t="str">
        <f>VLOOKUP(A227,Data[],2,FALSE)</f>
        <v>MANHATTAN</v>
      </c>
      <c r="C227" s="144" t="s">
        <v>106</v>
      </c>
      <c r="D227" s="9" t="str">
        <f>VLOOKUP(A227,Data[],52,FALSE)</f>
        <v>FEDERAL</v>
      </c>
      <c r="E227" s="9">
        <f>VLOOKUP(IntAll[[#This Row],[DEVELOPMENT]],Data[],62,FALSE)</f>
        <v>10</v>
      </c>
      <c r="F227" s="9" t="str">
        <f ca="1">VLOOKUP(A227,Data[],4,FALSE)</f>
        <v/>
      </c>
      <c r="G227" s="9">
        <f>VLOOKUP(IntAll[[#This Row],[DEVELOPMENT]],EHDAll[[DEVELOPMENT]:['# Units]],6,FALSE)</f>
        <v>8</v>
      </c>
      <c r="H227" s="143" t="str">
        <f ca="1">IF(IntAll[[#This Row],[STATUS]]="","",IF(OR(F227="2019-2020",F227="2021-2025"),"",IF(ISNUMBER(SEARCH("LLC",D227)),VLOOKUP(A227,IntComp24[],21,FALSE),VLOOKUP(A227,IntComp[],21,FALSE))))</f>
        <v/>
      </c>
      <c r="I227" s="143" t="str">
        <f ca="1">IF(IntAll[[#This Row],[STATUS]]="","",IF(IF(OR(F227="2019-2020",F227="2021-2025"),"",IF(ISNUMBER(SEARCH("LLC",D227)),VLOOKUP(A227,IntComp24[],16,FALSE),VLOOKUP(A227,IntComp[],16,FALSE)))=0,"",IF(OR(F227="2019-2020",F227="2021-2025"),"",IF(ISNUMBER(SEARCH("LLC",D227)),VLOOKUP(A227,IntComp24[],16,FALSE),VLOOKUP(A227,IntComp[],16,FALSE)))))</f>
        <v/>
      </c>
      <c r="J227" s="143" t="str">
        <f ca="1">IF(IF(OR(F227="2019-2020",F227="2021-2025"),"",IF(ISNUMBER(SEARCH("LLC",D227)),VLOOKUP(A227,IntComp24[],17,FALSE),VLOOKUP(A227,IntComp[],17,FALSE)))=0,"",IF(OR(F227="2019-2020",F227="2021-2025"),"",IF(ISNUMBER(SEARCH("LLC",D227)),VLOOKUP(A227,IntComp24[],17,FALSE),VLOOKUP(A227,IntComp[],17,FALSE))))</f>
        <v/>
      </c>
      <c r="K227" s="151"/>
      <c r="L227" s="151">
        <f ca="1">IF(OR(F227="2019-2020",F227="2021-2025"),"",IF(ISNUMBER(SEARCH("LLC",D227)),VLOOKUP(A227,IntComp24[],18,FALSE),VLOOKUP(A227,IntComp[],18,FALSE)))</f>
        <v>0</v>
      </c>
      <c r="M227" s="143"/>
      <c r="N227" s="143" t="str">
        <f ca="1">IF(IF(OR(F227="2019-2020",F227="2021-2025"),"",IF(ISNUMBER(SEARCH("LLC",D227)),VLOOKUP(A227,IntComp24[],20,FALSE),VLOOKUP(A227,IntComp[],20,FALSE)))=0,"",IF(OR(F227="2019-2020",F227="2021-2025"),"",IF(ISNUMBER(SEARCH("LLC",D227)),VLOOKUP(A227,IntComp24[],20,FALSE),VLOOKUP(A227,IntComp[],20,FALSE))))</f>
        <v/>
      </c>
      <c r="O227" s="152" t="str">
        <f ca="1">IF(IF(OR(F227="2019-2020",F227="2021-2025"),"",IF(ISNUMBER(SEARCH("LLC",D227)),VLOOKUP(A227,IntComp24[],23,FALSE),VLOOKUP(A227,IntComp[],23,FALSE)))=0,"",IF(OR(F227="2019-2020",F227="2021-2025"),"",IF(ISNUMBER(SEARCH("LLC",D227)),VLOOKUP(A227,IntComp24[],23,FALSE),VLOOKUP(A227,IntComp[],23,FALSE))))</f>
        <v/>
      </c>
    </row>
    <row r="228" spans="1:15">
      <c r="A228" s="147" t="s">
        <v>211</v>
      </c>
      <c r="B228" s="144" t="str">
        <f>VLOOKUP(A228,Data[],2,FALSE)</f>
        <v>QUEENS</v>
      </c>
      <c r="C228" s="144" t="s">
        <v>106</v>
      </c>
      <c r="D228" s="9" t="str">
        <f>VLOOKUP(A228,Data[],52,FALSE)</f>
        <v>FEDERAL</v>
      </c>
      <c r="E228" s="9">
        <f>VLOOKUP(IntAll[[#This Row],[DEVELOPMENT]],Data[],62,FALSE)</f>
        <v>8</v>
      </c>
      <c r="F228" s="9" t="str">
        <f ca="1">VLOOKUP(A228,Data[],4,FALSE)</f>
        <v>2026+</v>
      </c>
      <c r="G228" s="9">
        <f>VLOOKUP(IntAll[[#This Row],[DEVELOPMENT]],EHDAll[[DEVELOPMENT]:['# Units]],6,FALSE)</f>
        <v>121</v>
      </c>
      <c r="H228" s="143" t="str">
        <f ca="1">IF(IntAll[[#This Row],[STATUS]]="","",IF(OR(F228="2019-2020",F228="2021-2025"),"",IF(ISNUMBER(SEARCH("LLC",D228)),VLOOKUP(A228,IntComp24[],21,FALSE),VLOOKUP(A228,IntComp[],21,FALSE))))</f>
        <v/>
      </c>
      <c r="I228" s="143" t="str">
        <f ca="1">IF(IntAll[[#This Row],[STATUS]]="","",IF(IF(OR(F228="2019-2020",F228="2021-2025"),"",IF(ISNUMBER(SEARCH("LLC",D228)),VLOOKUP(A228,IntComp24[],16,FALSE),VLOOKUP(A228,IntComp[],16,FALSE)))=0,"",IF(OR(F228="2019-2020",F228="2021-2025"),"",IF(ISNUMBER(SEARCH("LLC",D228)),VLOOKUP(A228,IntComp24[],16,FALSE),VLOOKUP(A228,IntComp[],16,FALSE)))))</f>
        <v/>
      </c>
      <c r="J228" s="143" t="str">
        <f ca="1">IF(IF(OR(F228="2019-2020",F228="2021-2025"),"",IF(ISNUMBER(SEARCH("LLC",D228)),VLOOKUP(A228,IntComp24[],17,FALSE),VLOOKUP(A228,IntComp[],17,FALSE)))=0,"",IF(OR(F228="2019-2020",F228="2021-2025"),"",IF(ISNUMBER(SEARCH("LLC",D228)),VLOOKUP(A228,IntComp24[],17,FALSE),VLOOKUP(A228,IntComp[],17,FALSE))))</f>
        <v/>
      </c>
      <c r="K228" s="151"/>
      <c r="L228" s="151">
        <f ca="1">IF(OR(F228="2019-2020",F228="2021-2025"),"",IF(ISNUMBER(SEARCH("LLC",D228)),VLOOKUP(A228,IntComp24[],18,FALSE),VLOOKUP(A228,IntComp[],18,FALSE)))</f>
        <v>8969465.3125</v>
      </c>
      <c r="M228" s="143"/>
      <c r="N228" s="143" t="str">
        <f ca="1">IF(IF(OR(F228="2019-2020",F228="2021-2025"),"",IF(ISNUMBER(SEARCH("LLC",D228)),VLOOKUP(A228,IntComp24[],20,FALSE),VLOOKUP(A228,IntComp[],20,FALSE)))=0,"",IF(OR(F228="2019-2020",F228="2021-2025"),"",IF(ISNUMBER(SEARCH("LLC",D228)),VLOOKUP(A228,IntComp24[],20,FALSE),VLOOKUP(A228,IntComp[],20,FALSE))))</f>
        <v/>
      </c>
      <c r="O228" s="152" t="str">
        <f ca="1">IF(IF(OR(F228="2019-2020",F228="2021-2025"),"",IF(ISNUMBER(SEARCH("LLC",D228)),VLOOKUP(A228,IntComp24[],23,FALSE),VLOOKUP(A228,IntComp[],23,FALSE)))=0,"",IF(OR(F228="2019-2020",F228="2021-2025"),"",IF(ISNUMBER(SEARCH("LLC",D228)),VLOOKUP(A228,IntComp24[],23,FALSE),VLOOKUP(A228,IntComp[],23,FALSE))))</f>
        <v/>
      </c>
    </row>
    <row r="229" spans="1:15">
      <c r="A229" s="147" t="s">
        <v>94</v>
      </c>
      <c r="B229" s="144" t="str">
        <f>VLOOKUP(A229,Data[],2,FALSE)</f>
        <v>MANHATTAN</v>
      </c>
      <c r="C229" s="144" t="s">
        <v>106</v>
      </c>
      <c r="D229" s="9" t="str">
        <f>VLOOKUP(A229,Data[],52,FALSE)</f>
        <v>FEDERAL</v>
      </c>
      <c r="E229" s="9">
        <f>VLOOKUP(IntAll[[#This Row],[DEVELOPMENT]],Data[],62,FALSE)</f>
        <v>10</v>
      </c>
      <c r="F229" s="9" t="str">
        <f ca="1">VLOOKUP(A229,Data[],4,FALSE)</f>
        <v>2020-2021</v>
      </c>
      <c r="G229" s="9">
        <f>VLOOKUP(IntAll[[#This Row],[DEVELOPMENT]],EHDAll[[DEVELOPMENT]:['# Units]],6,FALSE)</f>
        <v>1</v>
      </c>
      <c r="H229" s="143" t="str">
        <f ca="1">IF(IntAll[[#This Row],[STATUS]]="","",IF(OR(F229="2019-2020",F229="2021-2025"),"",IF(ISNUMBER(SEARCH("LLC",D229)),VLOOKUP(A229,IntComp24[],21,FALSE),VLOOKUP(A229,IntComp[],21,FALSE))))</f>
        <v/>
      </c>
      <c r="I229" s="143" t="str">
        <f ca="1">IF(IntAll[[#This Row],[STATUS]]="","",IF(IF(OR(F229="2019-2020",F229="2021-2025"),"",IF(ISNUMBER(SEARCH("LLC",D229)),VLOOKUP(A229,IntComp24[],16,FALSE),VLOOKUP(A229,IntComp[],16,FALSE)))=0,"",IF(OR(F229="2019-2020",F229="2021-2025"),"",IF(ISNUMBER(SEARCH("LLC",D229)),VLOOKUP(A229,IntComp24[],16,FALSE),VLOOKUP(A229,IntComp[],16,FALSE)))))</f>
        <v/>
      </c>
      <c r="J229" s="143" t="str">
        <f ca="1">IF(IF(OR(F229="2019-2020",F229="2021-2025"),"",IF(ISNUMBER(SEARCH("LLC",D229)),VLOOKUP(A229,IntComp24[],17,FALSE),VLOOKUP(A229,IntComp[],17,FALSE)))=0,"",IF(OR(F229="2019-2020",F229="2021-2025"),"",IF(ISNUMBER(SEARCH("LLC",D229)),VLOOKUP(A229,IntComp24[],17,FALSE),VLOOKUP(A229,IntComp[],17,FALSE))))</f>
        <v/>
      </c>
      <c r="K229" s="151"/>
      <c r="L229" s="151">
        <f ca="1">IF(OR(F229="2019-2020",F229="2021-2025"),"",IF(ISNUMBER(SEARCH("LLC",D229)),VLOOKUP(A229,IntComp24[],18,FALSE),VLOOKUP(A229,IntComp[],18,FALSE)))</f>
        <v>0</v>
      </c>
      <c r="M229" s="143"/>
      <c r="N229" s="143" t="str">
        <f ca="1">IF(IF(OR(F229="2019-2020",F229="2021-2025"),"",IF(ISNUMBER(SEARCH("LLC",D229)),VLOOKUP(A229,IntComp24[],20,FALSE),VLOOKUP(A229,IntComp[],20,FALSE)))=0,"",IF(OR(F229="2019-2020",F229="2021-2025"),"",IF(ISNUMBER(SEARCH("LLC",D229)),VLOOKUP(A229,IntComp24[],20,FALSE),VLOOKUP(A229,IntComp[],20,FALSE))))</f>
        <v/>
      </c>
      <c r="O229" s="152" t="str">
        <f ca="1">IF(IF(OR(F229="2019-2020",F229="2021-2025"),"",IF(ISNUMBER(SEARCH("LLC",D229)),VLOOKUP(A229,IntComp24[],23,FALSE),VLOOKUP(A229,IntComp[],23,FALSE)))=0,"",IF(OR(F229="2019-2020",F229="2021-2025"),"",IF(ISNUMBER(SEARCH("LLC",D229)),VLOOKUP(A229,IntComp24[],23,FALSE),VLOOKUP(A229,IntComp[],23,FALSE))))</f>
        <v/>
      </c>
    </row>
    <row r="230" spans="1:15">
      <c r="A230" s="147" t="s">
        <v>134</v>
      </c>
      <c r="B230" s="144" t="str">
        <f>VLOOKUP(A230,Data[],2,FALSE)</f>
        <v>QUEENS</v>
      </c>
      <c r="C230" s="144" t="s">
        <v>106</v>
      </c>
      <c r="D230" s="9" t="str">
        <f>VLOOKUP(A230,Data[],52,FALSE)</f>
        <v>FEDERAL</v>
      </c>
      <c r="E230" s="9">
        <f>VLOOKUP(IntAll[[#This Row],[DEVELOPMENT]],Data[],62,FALSE)</f>
        <v>1</v>
      </c>
      <c r="F230" s="9" t="str">
        <f ca="1">VLOOKUP(A230,Data[],4,FALSE)</f>
        <v>2026+</v>
      </c>
      <c r="G230" s="9">
        <f>VLOOKUP(IntAll[[#This Row],[DEVELOPMENT]],EHDAll[[DEVELOPMENT]:['# Units]],6,FALSE)</f>
        <v>47</v>
      </c>
      <c r="H230" s="143" t="str">
        <f ca="1">IF(IntAll[[#This Row],[STATUS]]="","",IF(OR(F230="2019-2020",F230="2021-2025"),"",IF(ISNUMBER(SEARCH("LLC",D230)),VLOOKUP(A230,IntComp24[],21,FALSE),VLOOKUP(A230,IntComp[],21,FALSE))))</f>
        <v/>
      </c>
      <c r="I230" s="143" t="str">
        <f ca="1">IF(IntAll[[#This Row],[STATUS]]="","",IF(IF(OR(F230="2019-2020",F230="2021-2025"),"",IF(ISNUMBER(SEARCH("LLC",D230)),VLOOKUP(A230,IntComp24[],16,FALSE),VLOOKUP(A230,IntComp[],16,FALSE)))=0,"",IF(OR(F230="2019-2020",F230="2021-2025"),"",IF(ISNUMBER(SEARCH("LLC",D230)),VLOOKUP(A230,IntComp24[],16,FALSE),VLOOKUP(A230,IntComp[],16,FALSE)))))</f>
        <v/>
      </c>
      <c r="J230" s="143" t="str">
        <f ca="1">IF(IF(OR(F230="2019-2020",F230="2021-2025"),"",IF(ISNUMBER(SEARCH("LLC",D230)),VLOOKUP(A230,IntComp24[],17,FALSE),VLOOKUP(A230,IntComp[],17,FALSE)))=0,"",IF(OR(F230="2019-2020",F230="2021-2025"),"",IF(ISNUMBER(SEARCH("LLC",D230)),VLOOKUP(A230,IntComp24[],17,FALSE),VLOOKUP(A230,IntComp[],17,FALSE))))</f>
        <v/>
      </c>
      <c r="K230" s="151"/>
      <c r="L230" s="151">
        <f ca="1">IF(OR(F230="2019-2020",F230="2021-2025"),"",IF(ISNUMBER(SEARCH("LLC",D230)),VLOOKUP(A230,IntComp24[],18,FALSE),VLOOKUP(A230,IntComp[],18,FALSE)))</f>
        <v>3380228.2500000005</v>
      </c>
      <c r="M230" s="143"/>
      <c r="N230" s="143" t="str">
        <f ca="1">IF(IF(OR(F230="2019-2020",F230="2021-2025"),"",IF(ISNUMBER(SEARCH("LLC",D230)),VLOOKUP(A230,IntComp24[],20,FALSE),VLOOKUP(A230,IntComp[],20,FALSE)))=0,"",IF(OR(F230="2019-2020",F230="2021-2025"),"",IF(ISNUMBER(SEARCH("LLC",D230)),VLOOKUP(A230,IntComp24[],20,FALSE),VLOOKUP(A230,IntComp[],20,FALSE))))</f>
        <v/>
      </c>
      <c r="O230" s="152" t="str">
        <f ca="1">IF(IF(OR(F230="2019-2020",F230="2021-2025"),"",IF(ISNUMBER(SEARCH("LLC",D230)),VLOOKUP(A230,IntComp24[],23,FALSE),VLOOKUP(A230,IntComp[],23,FALSE)))=0,"",IF(OR(F230="2019-2020",F230="2021-2025"),"",IF(ISNUMBER(SEARCH("LLC",D230)),VLOOKUP(A230,IntComp24[],23,FALSE),VLOOKUP(A230,IntComp[],23,FALSE))))</f>
        <v/>
      </c>
    </row>
    <row r="231" spans="1:15">
      <c r="A231" s="147" t="s">
        <v>135</v>
      </c>
      <c r="B231" s="144" t="str">
        <f>VLOOKUP(A231,Data[],2,FALSE)</f>
        <v>QUEENS</v>
      </c>
      <c r="C231" s="144" t="s">
        <v>106</v>
      </c>
      <c r="D231" s="9" t="str">
        <f>VLOOKUP(A231,Data[],52,FALSE)</f>
        <v>FEDERAL</v>
      </c>
      <c r="E231" s="9">
        <f>VLOOKUP(IntAll[[#This Row],[DEVELOPMENT]],Data[],62,FALSE)</f>
        <v>1</v>
      </c>
      <c r="F231" s="9" t="str">
        <f ca="1">VLOOKUP(A231,Data[],4,FALSE)</f>
        <v>2026+</v>
      </c>
      <c r="G231" s="9">
        <f>VLOOKUP(IntAll[[#This Row],[DEVELOPMENT]],EHDAll[[DEVELOPMENT]:['# Units]],6,FALSE)</f>
        <v>49</v>
      </c>
      <c r="H231" s="143" t="str">
        <f ca="1">IF(IntAll[[#This Row],[STATUS]]="","",IF(OR(F231="2019-2020",F231="2021-2025"),"",IF(ISNUMBER(SEARCH("LLC",D231)),VLOOKUP(A231,IntComp24[],21,FALSE),VLOOKUP(A231,IntComp[],21,FALSE))))</f>
        <v/>
      </c>
      <c r="I231" s="143" t="str">
        <f ca="1">IF(IntAll[[#This Row],[STATUS]]="","",IF(IF(OR(F231="2019-2020",F231="2021-2025"),"",IF(ISNUMBER(SEARCH("LLC",D231)),VLOOKUP(A231,IntComp24[],16,FALSE),VLOOKUP(A231,IntComp[],16,FALSE)))=0,"",IF(OR(F231="2019-2020",F231="2021-2025"),"",IF(ISNUMBER(SEARCH("LLC",D231)),VLOOKUP(A231,IntComp24[],16,FALSE),VLOOKUP(A231,IntComp[],16,FALSE)))))</f>
        <v/>
      </c>
      <c r="J231" s="143" t="str">
        <f ca="1">IF(IF(OR(F231="2019-2020",F231="2021-2025"),"",IF(ISNUMBER(SEARCH("LLC",D231)),VLOOKUP(A231,IntComp24[],17,FALSE),VLOOKUP(A231,IntComp[],17,FALSE)))=0,"",IF(OR(F231="2019-2020",F231="2021-2025"),"",IF(ISNUMBER(SEARCH("LLC",D231)),VLOOKUP(A231,IntComp24[],17,FALSE),VLOOKUP(A231,IntComp[],17,FALSE))))</f>
        <v/>
      </c>
      <c r="K231" s="151"/>
      <c r="L231" s="151">
        <f ca="1">IF(OR(F231="2019-2020",F231="2021-2025"),"",IF(ISNUMBER(SEARCH("LLC",D231)),VLOOKUP(A231,IntComp24[],18,FALSE),VLOOKUP(A231,IntComp[],18,FALSE)))</f>
        <v>3524067.7500000005</v>
      </c>
      <c r="M231" s="143"/>
      <c r="N231" s="143" t="str">
        <f ca="1">IF(IF(OR(F231="2019-2020",F231="2021-2025"),"",IF(ISNUMBER(SEARCH("LLC",D231)),VLOOKUP(A231,IntComp24[],20,FALSE),VLOOKUP(A231,IntComp[],20,FALSE)))=0,"",IF(OR(F231="2019-2020",F231="2021-2025"),"",IF(ISNUMBER(SEARCH("LLC",D231)),VLOOKUP(A231,IntComp24[],20,FALSE),VLOOKUP(A231,IntComp[],20,FALSE))))</f>
        <v/>
      </c>
      <c r="O231" s="152" t="str">
        <f ca="1">IF(IF(OR(F231="2019-2020",F231="2021-2025"),"",IF(ISNUMBER(SEARCH("LLC",D231)),VLOOKUP(A231,IntComp24[],23,FALSE),VLOOKUP(A231,IntComp[],23,FALSE)))=0,"",IF(OR(F231="2019-2020",F231="2021-2025"),"",IF(ISNUMBER(SEARCH("LLC",D231)),VLOOKUP(A231,IntComp24[],23,FALSE),VLOOKUP(A231,IntComp[],23,FALSE))))</f>
        <v/>
      </c>
    </row>
    <row r="232" spans="1:15">
      <c r="A232" s="147" t="s">
        <v>355</v>
      </c>
      <c r="B232" s="144" t="str">
        <f>VLOOKUP(A232,Data[],2,FALSE)</f>
        <v>BROOKLYN</v>
      </c>
      <c r="C232" s="144" t="s">
        <v>106</v>
      </c>
      <c r="D232" s="9" t="str">
        <f>VLOOKUP(A232,Data[],52,FALSE)</f>
        <v>FEDERAL</v>
      </c>
      <c r="E232" s="9">
        <f>VLOOKUP(IntAll[[#This Row],[DEVELOPMENT]],Data[],62,FALSE)</f>
        <v>16</v>
      </c>
      <c r="F232" s="9" t="str">
        <f ca="1">VLOOKUP(A232,Data[],4,FALSE)</f>
        <v>2020-2021</v>
      </c>
      <c r="G232" s="9">
        <f>VLOOKUP(IntAll[[#This Row],[DEVELOPMENT]],EHDAll[[DEVELOPMENT]:['# Units]],6,FALSE)</f>
        <v>5</v>
      </c>
      <c r="H232" s="143" t="str">
        <f ca="1">IF(IntAll[[#This Row],[STATUS]]="","",IF(OR(F232="2019-2020",F232="2021-2025"),"",IF(ISNUMBER(SEARCH("LLC",D232)),VLOOKUP(A232,IntComp24[],21,FALSE),VLOOKUP(A232,IntComp[],21,FALSE))))</f>
        <v/>
      </c>
      <c r="I232" s="143" t="str">
        <f ca="1">IF(IntAll[[#This Row],[STATUS]]="","",IF(IF(OR(F232="2019-2020",F232="2021-2025"),"",IF(ISNUMBER(SEARCH("LLC",D232)),VLOOKUP(A232,IntComp24[],16,FALSE),VLOOKUP(A232,IntComp[],16,FALSE)))=0,"",IF(OR(F232="2019-2020",F232="2021-2025"),"",IF(ISNUMBER(SEARCH("LLC",D232)),VLOOKUP(A232,IntComp24[],16,FALSE),VLOOKUP(A232,IntComp[],16,FALSE)))))</f>
        <v/>
      </c>
      <c r="J232" s="143" t="str">
        <f ca="1">IF(IF(OR(F232="2019-2020",F232="2021-2025"),"",IF(ISNUMBER(SEARCH("LLC",D232)),VLOOKUP(A232,IntComp24[],17,FALSE),VLOOKUP(A232,IntComp[],17,FALSE)))=0,"",IF(OR(F232="2019-2020",F232="2021-2025"),"",IF(ISNUMBER(SEARCH("LLC",D232)),VLOOKUP(A232,IntComp24[],17,FALSE),VLOOKUP(A232,IntComp[],17,FALSE))))</f>
        <v/>
      </c>
      <c r="K232" s="151"/>
      <c r="L232" s="151">
        <f ca="1">IF(OR(F232="2019-2020",F232="2021-2025"),"",IF(ISNUMBER(SEARCH("LLC",D232)),VLOOKUP(A232,IntComp24[],18,FALSE),VLOOKUP(A232,IntComp[],18,FALSE)))</f>
        <v>0</v>
      </c>
      <c r="M232" s="143"/>
      <c r="N232" s="143" t="str">
        <f ca="1">IF(IF(OR(F232="2019-2020",F232="2021-2025"),"",IF(ISNUMBER(SEARCH("LLC",D232)),VLOOKUP(A232,IntComp24[],20,FALSE),VLOOKUP(A232,IntComp[],20,FALSE)))=0,"",IF(OR(F232="2019-2020",F232="2021-2025"),"",IF(ISNUMBER(SEARCH("LLC",D232)),VLOOKUP(A232,IntComp24[],20,FALSE),VLOOKUP(A232,IntComp[],20,FALSE))))</f>
        <v/>
      </c>
      <c r="O232" s="152" t="str">
        <f ca="1">IF(IF(OR(F232="2019-2020",F232="2021-2025"),"",IF(ISNUMBER(SEARCH("LLC",D232)),VLOOKUP(A232,IntComp24[],23,FALSE),VLOOKUP(A232,IntComp[],23,FALSE)))=0,"",IF(OR(F232="2019-2020",F232="2021-2025"),"",IF(ISNUMBER(SEARCH("LLC",D232)),VLOOKUP(A232,IntComp24[],23,FALSE),VLOOKUP(A232,IntComp[],23,FALSE))))</f>
        <v/>
      </c>
    </row>
    <row r="233" spans="1:15">
      <c r="A233" s="147" t="s">
        <v>268</v>
      </c>
      <c r="B233" s="144" t="str">
        <f>VLOOKUP(A233,Data[],2,FALSE)</f>
        <v>BRONX</v>
      </c>
      <c r="C233" s="144" t="s">
        <v>106</v>
      </c>
      <c r="D233" s="9" t="str">
        <f>VLOOKUP(A233,Data[],52,FALSE)</f>
        <v>FEDERAL</v>
      </c>
      <c r="E233" s="9">
        <f>VLOOKUP(IntAll[[#This Row],[DEVELOPMENT]],Data[],62,FALSE)</f>
        <v>10</v>
      </c>
      <c r="F233" s="9" t="str">
        <f ca="1">VLOOKUP(A233,Data[],4,FALSE)</f>
        <v>2020-2021</v>
      </c>
      <c r="G233" s="9">
        <f>VLOOKUP(IntAll[[#This Row],[DEVELOPMENT]],EHDAll[[DEVELOPMENT]:['# Units]],6,FALSE)</f>
        <v>3</v>
      </c>
      <c r="H233" s="143" t="str">
        <f ca="1">IF(IntAll[[#This Row],[STATUS]]="","",IF(OR(F233="2019-2020",F233="2021-2025"),"",IF(ISNUMBER(SEARCH("LLC",D233)),VLOOKUP(A233,IntComp24[],21,FALSE),VLOOKUP(A233,IntComp[],21,FALSE))))</f>
        <v/>
      </c>
      <c r="I233" s="143" t="str">
        <f ca="1">IF(IntAll[[#This Row],[STATUS]]="","",IF(IF(OR(F233="2019-2020",F233="2021-2025"),"",IF(ISNUMBER(SEARCH("LLC",D233)),VLOOKUP(A233,IntComp24[],16,FALSE),VLOOKUP(A233,IntComp[],16,FALSE)))=0,"",IF(OR(F233="2019-2020",F233="2021-2025"),"",IF(ISNUMBER(SEARCH("LLC",D233)),VLOOKUP(A233,IntComp24[],16,FALSE),VLOOKUP(A233,IntComp[],16,FALSE)))))</f>
        <v/>
      </c>
      <c r="J233" s="143" t="str">
        <f ca="1">IF(IF(OR(F233="2019-2020",F233="2021-2025"),"",IF(ISNUMBER(SEARCH("LLC",D233)),VLOOKUP(A233,IntComp24[],17,FALSE),VLOOKUP(A233,IntComp[],17,FALSE)))=0,"",IF(OR(F233="2019-2020",F233="2021-2025"),"",IF(ISNUMBER(SEARCH("LLC",D233)),VLOOKUP(A233,IntComp24[],17,FALSE),VLOOKUP(A233,IntComp[],17,FALSE))))</f>
        <v/>
      </c>
      <c r="K233" s="151"/>
      <c r="L233" s="151">
        <f ca="1">IF(OR(F233="2019-2020",F233="2021-2025"),"",IF(ISNUMBER(SEARCH("LLC",D233)),VLOOKUP(A233,IntComp24[],18,FALSE),VLOOKUP(A233,IntComp[],18,FALSE)))</f>
        <v>0</v>
      </c>
      <c r="M233" s="143"/>
      <c r="N233" s="143" t="str">
        <f ca="1">IF(IF(OR(F233="2019-2020",F233="2021-2025"),"",IF(ISNUMBER(SEARCH("LLC",D233)),VLOOKUP(A233,IntComp24[],20,FALSE),VLOOKUP(A233,IntComp[],20,FALSE)))=0,"",IF(OR(F233="2019-2020",F233="2021-2025"),"",IF(ISNUMBER(SEARCH("LLC",D233)),VLOOKUP(A233,IntComp24[],20,FALSE),VLOOKUP(A233,IntComp[],20,FALSE))))</f>
        <v/>
      </c>
      <c r="O233" s="152" t="str">
        <f ca="1">IF(IF(OR(F233="2019-2020",F233="2021-2025"),"",IF(ISNUMBER(SEARCH("LLC",D233)),VLOOKUP(A233,IntComp24[],23,FALSE),VLOOKUP(A233,IntComp[],23,FALSE)))=0,"",IF(OR(F233="2019-2020",F233="2021-2025"),"",IF(ISNUMBER(SEARCH("LLC",D233)),VLOOKUP(A233,IntComp24[],23,FALSE),VLOOKUP(A233,IntComp[],23,FALSE))))</f>
        <v/>
      </c>
    </row>
    <row r="234" spans="1:15">
      <c r="A234" s="147" t="s">
        <v>115</v>
      </c>
      <c r="B234" s="144" t="str">
        <f>VLOOKUP(A234,Data[],2,FALSE)</f>
        <v>MANHATTAN</v>
      </c>
      <c r="C234" s="144" t="s">
        <v>106</v>
      </c>
      <c r="D234" s="9" t="str">
        <f>VLOOKUP(A234,Data[],52,FALSE)</f>
        <v>FEDERAL</v>
      </c>
      <c r="E234" s="9">
        <f>VLOOKUP(IntAll[[#This Row],[DEVELOPMENT]],Data[],62,FALSE)</f>
        <v>10</v>
      </c>
      <c r="F234" s="9" t="str">
        <f ca="1">VLOOKUP(A234,Data[],4,FALSE)</f>
        <v/>
      </c>
      <c r="G234" s="9">
        <f>VLOOKUP(IntAll[[#This Row],[DEVELOPMENT]],EHDAll[[DEVELOPMENT]:['# Units]],6,FALSE)</f>
        <v>9</v>
      </c>
      <c r="H234" s="143" t="str">
        <f ca="1">IF(IntAll[[#This Row],[STATUS]]="","",IF(OR(F234="2019-2020",F234="2021-2025"),"",IF(ISNUMBER(SEARCH("LLC",D234)),VLOOKUP(A234,IntComp24[],21,FALSE),VLOOKUP(A234,IntComp[],21,FALSE))))</f>
        <v/>
      </c>
      <c r="I234" s="143" t="str">
        <f ca="1">IF(IntAll[[#This Row],[STATUS]]="","",IF(IF(OR(F234="2019-2020",F234="2021-2025"),"",IF(ISNUMBER(SEARCH("LLC",D234)),VLOOKUP(A234,IntComp24[],16,FALSE),VLOOKUP(A234,IntComp[],16,FALSE)))=0,"",IF(OR(F234="2019-2020",F234="2021-2025"),"",IF(ISNUMBER(SEARCH("LLC",D234)),VLOOKUP(A234,IntComp24[],16,FALSE),VLOOKUP(A234,IntComp[],16,FALSE)))))</f>
        <v/>
      </c>
      <c r="J234" s="143" t="str">
        <f ca="1">IF(IF(OR(F234="2019-2020",F234="2021-2025"),"",IF(ISNUMBER(SEARCH("LLC",D234)),VLOOKUP(A234,IntComp24[],17,FALSE),VLOOKUP(A234,IntComp[],17,FALSE)))=0,"",IF(OR(F234="2019-2020",F234="2021-2025"),"",IF(ISNUMBER(SEARCH("LLC",D234)),VLOOKUP(A234,IntComp24[],17,FALSE),VLOOKUP(A234,IntComp[],17,FALSE))))</f>
        <v/>
      </c>
      <c r="K234" s="151"/>
      <c r="L234" s="151">
        <f ca="1">IF(OR(F234="2019-2020",F234="2021-2025"),"",IF(ISNUMBER(SEARCH("LLC",D234)),VLOOKUP(A234,IntComp24[],18,FALSE),VLOOKUP(A234,IntComp[],18,FALSE)))</f>
        <v>587660.0625</v>
      </c>
      <c r="M234" s="143"/>
      <c r="N234" s="143" t="str">
        <f ca="1">IF(IF(OR(F234="2019-2020",F234="2021-2025"),"",IF(ISNUMBER(SEARCH("LLC",D234)),VLOOKUP(A234,IntComp24[],20,FALSE),VLOOKUP(A234,IntComp[],20,FALSE)))=0,"",IF(OR(F234="2019-2020",F234="2021-2025"),"",IF(ISNUMBER(SEARCH("LLC",D234)),VLOOKUP(A234,IntComp24[],20,FALSE),VLOOKUP(A234,IntComp[],20,FALSE))))</f>
        <v/>
      </c>
      <c r="O234" s="152" t="str">
        <f ca="1">IF(IF(OR(F234="2019-2020",F234="2021-2025"),"",IF(ISNUMBER(SEARCH("LLC",D234)),VLOOKUP(A234,IntComp24[],23,FALSE),VLOOKUP(A234,IntComp[],23,FALSE)))=0,"",IF(OR(F234="2019-2020",F234="2021-2025"),"",IF(ISNUMBER(SEARCH("LLC",D234)),VLOOKUP(A234,IntComp24[],23,FALSE),VLOOKUP(A234,IntComp[],23,FALSE))))</f>
        <v/>
      </c>
    </row>
    <row r="235" spans="1:15">
      <c r="A235" s="147" t="s">
        <v>212</v>
      </c>
      <c r="B235" s="144" t="str">
        <f>VLOOKUP(A235,Data[],2,FALSE)</f>
        <v>QUEENS</v>
      </c>
      <c r="C235" s="144" t="s">
        <v>106</v>
      </c>
      <c r="D235" s="9" t="str">
        <f>VLOOKUP(A235,Data[],52,FALSE)</f>
        <v>FEDERAL</v>
      </c>
      <c r="E235" s="9">
        <f>VLOOKUP(IntAll[[#This Row],[DEVELOPMENT]],Data[],62,FALSE)</f>
        <v>1</v>
      </c>
      <c r="F235" s="9" t="str">
        <f ca="1">VLOOKUP(A235,Data[],4,FALSE)</f>
        <v/>
      </c>
      <c r="G235" s="9">
        <f>VLOOKUP(IntAll[[#This Row],[DEVELOPMENT]],EHDAll[[DEVELOPMENT]:['# Units]],6,FALSE)</f>
        <v>45</v>
      </c>
      <c r="H235" s="143" t="str">
        <f ca="1">IF(IntAll[[#This Row],[STATUS]]="","",IF(OR(F235="2019-2020",F235="2021-2025"),"",IF(ISNUMBER(SEARCH("LLC",D235)),VLOOKUP(A235,IntComp24[],21,FALSE),VLOOKUP(A235,IntComp[],21,FALSE))))</f>
        <v/>
      </c>
      <c r="I235" s="143" t="str">
        <f ca="1">IF(IntAll[[#This Row],[STATUS]]="","",IF(IF(OR(F235="2019-2020",F235="2021-2025"),"",IF(ISNUMBER(SEARCH("LLC",D235)),VLOOKUP(A235,IntComp24[],16,FALSE),VLOOKUP(A235,IntComp[],16,FALSE)))=0,"",IF(OR(F235="2019-2020",F235="2021-2025"),"",IF(ISNUMBER(SEARCH("LLC",D235)),VLOOKUP(A235,IntComp24[],16,FALSE),VLOOKUP(A235,IntComp[],16,FALSE)))))</f>
        <v/>
      </c>
      <c r="J235" s="143" t="str">
        <f ca="1">IF(IF(OR(F235="2019-2020",F235="2021-2025"),"",IF(ISNUMBER(SEARCH("LLC",D235)),VLOOKUP(A235,IntComp24[],17,FALSE),VLOOKUP(A235,IntComp[],17,FALSE)))=0,"",IF(OR(F235="2019-2020",F235="2021-2025"),"",IF(ISNUMBER(SEARCH("LLC",D235)),VLOOKUP(A235,IntComp24[],17,FALSE),VLOOKUP(A235,IntComp[],17,FALSE))))</f>
        <v/>
      </c>
      <c r="K235" s="151"/>
      <c r="L235" s="151">
        <f ca="1">IF(OR(F235="2019-2020",F235="2021-2025"),"",IF(ISNUMBER(SEARCH("LLC",D235)),VLOOKUP(A235,IntComp24[],18,FALSE),VLOOKUP(A235,IntComp[],18,FALSE)))</f>
        <v>2938300.3125</v>
      </c>
      <c r="M235" s="143"/>
      <c r="N235" s="143" t="str">
        <f ca="1">IF(IF(OR(F235="2019-2020",F235="2021-2025"),"",IF(ISNUMBER(SEARCH("LLC",D235)),VLOOKUP(A235,IntComp24[],20,FALSE),VLOOKUP(A235,IntComp[],20,FALSE)))=0,"",IF(OR(F235="2019-2020",F235="2021-2025"),"",IF(ISNUMBER(SEARCH("LLC",D235)),VLOOKUP(A235,IntComp24[],20,FALSE),VLOOKUP(A235,IntComp[],20,FALSE))))</f>
        <v/>
      </c>
      <c r="O235" s="152" t="str">
        <f ca="1">IF(IF(OR(F235="2019-2020",F235="2021-2025"),"",IF(ISNUMBER(SEARCH("LLC",D235)),VLOOKUP(A235,IntComp24[],23,FALSE),VLOOKUP(A235,IntComp[],23,FALSE)))=0,"",IF(OR(F235="2019-2020",F235="2021-2025"),"",IF(ISNUMBER(SEARCH("LLC",D235)),VLOOKUP(A235,IntComp24[],23,FALSE),VLOOKUP(A235,IntComp[],23,FALSE))))</f>
        <v/>
      </c>
    </row>
    <row r="236" spans="1:15">
      <c r="A236" s="147" t="s">
        <v>213</v>
      </c>
      <c r="B236" s="144" t="str">
        <f>VLOOKUP(A236,Data[],2,FALSE)</f>
        <v>BROOKLYN</v>
      </c>
      <c r="C236" s="144" t="s">
        <v>106</v>
      </c>
      <c r="D236" s="9" t="str">
        <f>VLOOKUP(A236,Data[],52,FALSE)</f>
        <v>FEDERAL</v>
      </c>
      <c r="E236" s="9">
        <f>VLOOKUP(IntAll[[#This Row],[DEVELOPMENT]],Data[],62,FALSE)</f>
        <v>6</v>
      </c>
      <c r="F236" s="9" t="str">
        <f ca="1">VLOOKUP(A236,Data[],4,FALSE)</f>
        <v>2022-2025</v>
      </c>
      <c r="G236" s="9">
        <f>VLOOKUP(IntAll[[#This Row],[DEVELOPMENT]],EHDAll[[DEVELOPMENT]:['# Units]],6,FALSE)</f>
        <v>47</v>
      </c>
      <c r="H236" s="143" t="str">
        <f ca="1">IF(IntAll[[#This Row],[STATUS]]="","",IF(OR(F236="2019-2020",F236="2021-2025"),"",IF(ISNUMBER(SEARCH("LLC",D236)),VLOOKUP(A236,IntComp24[],21,FALSE),VLOOKUP(A236,IntComp[],21,FALSE))))</f>
        <v/>
      </c>
      <c r="I236" s="143" t="str">
        <f ca="1">IF(IntAll[[#This Row],[STATUS]]="","",IF(IF(OR(F236="2019-2020",F236="2021-2025"),"",IF(ISNUMBER(SEARCH("LLC",D236)),VLOOKUP(A236,IntComp24[],16,FALSE),VLOOKUP(A236,IntComp[],16,FALSE)))=0,"",IF(OR(F236="2019-2020",F236="2021-2025"),"",IF(ISNUMBER(SEARCH("LLC",D236)),VLOOKUP(A236,IntComp24[],16,FALSE),VLOOKUP(A236,IntComp[],16,FALSE)))))</f>
        <v/>
      </c>
      <c r="J236" s="143" t="str">
        <f ca="1">IF(IF(OR(F236="2019-2020",F236="2021-2025"),"",IF(ISNUMBER(SEARCH("LLC",D236)),VLOOKUP(A236,IntComp24[],17,FALSE),VLOOKUP(A236,IntComp[],17,FALSE)))=0,"",IF(OR(F236="2019-2020",F236="2021-2025"),"",IF(ISNUMBER(SEARCH("LLC",D236)),VLOOKUP(A236,IntComp24[],17,FALSE),VLOOKUP(A236,IntComp[],17,FALSE))))</f>
        <v/>
      </c>
      <c r="K236" s="151"/>
      <c r="L236" s="151">
        <f ca="1">IF(OR(F236="2019-2020",F236="2021-2025"),"",IF(ISNUMBER(SEARCH("LLC",D236)),VLOOKUP(A236,IntComp24[],18,FALSE),VLOOKUP(A236,IntComp[],18,FALSE)))</f>
        <v>0</v>
      </c>
      <c r="M236" s="143"/>
      <c r="N236" s="143" t="str">
        <f ca="1">IF(IF(OR(F236="2019-2020",F236="2021-2025"),"",IF(ISNUMBER(SEARCH("LLC",D236)),VLOOKUP(A236,IntComp24[],20,FALSE),VLOOKUP(A236,IntComp[],20,FALSE)))=0,"",IF(OR(F236="2019-2020",F236="2021-2025"),"",IF(ISNUMBER(SEARCH("LLC",D236)),VLOOKUP(A236,IntComp24[],20,FALSE),VLOOKUP(A236,IntComp[],20,FALSE))))</f>
        <v/>
      </c>
      <c r="O236" s="152" t="str">
        <f ca="1">IF(IF(OR(F236="2019-2020",F236="2021-2025"),"",IF(ISNUMBER(SEARCH("LLC",D236)),VLOOKUP(A236,IntComp24[],23,FALSE),VLOOKUP(A236,IntComp[],23,FALSE)))=0,"",IF(OR(F236="2019-2020",F236="2021-2025"),"",IF(ISNUMBER(SEARCH("LLC",D236)),VLOOKUP(A236,IntComp24[],23,FALSE),VLOOKUP(A236,IntComp[],23,FALSE))))</f>
        <v/>
      </c>
    </row>
    <row r="237" spans="1:15">
      <c r="A237" s="147" t="s">
        <v>214</v>
      </c>
      <c r="B237" s="144" t="str">
        <f>VLOOKUP(A237,Data[],2,FALSE)</f>
        <v>BROOKLYN</v>
      </c>
      <c r="C237" s="144" t="s">
        <v>106</v>
      </c>
      <c r="D237" s="9" t="str">
        <f>VLOOKUP(A237,Data[],52,FALSE)</f>
        <v>FEDERAL</v>
      </c>
      <c r="E237" s="9">
        <f>VLOOKUP(IntAll[[#This Row],[DEVELOPMENT]],Data[],62,FALSE)</f>
        <v>6</v>
      </c>
      <c r="F237" s="9" t="str">
        <f ca="1">VLOOKUP(A237,Data[],4,FALSE)</f>
        <v>2022-2025</v>
      </c>
      <c r="G237" s="9">
        <f>VLOOKUP(IntAll[[#This Row],[DEVELOPMENT]],EHDAll[[DEVELOPMENT]:['# Units]],6,FALSE)</f>
        <v>49</v>
      </c>
      <c r="H237" s="143" t="str">
        <f ca="1">IF(IntAll[[#This Row],[STATUS]]="","",IF(OR(F237="2019-2020",F237="2021-2025"),"",IF(ISNUMBER(SEARCH("LLC",D237)),VLOOKUP(A237,IntComp24[],21,FALSE),VLOOKUP(A237,IntComp[],21,FALSE))))</f>
        <v/>
      </c>
      <c r="I237" s="143" t="str">
        <f ca="1">IF(IntAll[[#This Row],[STATUS]]="","",IF(IF(OR(F237="2019-2020",F237="2021-2025"),"",IF(ISNUMBER(SEARCH("LLC",D237)),VLOOKUP(A237,IntComp24[],16,FALSE),VLOOKUP(A237,IntComp[],16,FALSE)))=0,"",IF(OR(F237="2019-2020",F237="2021-2025"),"",IF(ISNUMBER(SEARCH("LLC",D237)),VLOOKUP(A237,IntComp24[],16,FALSE),VLOOKUP(A237,IntComp[],16,FALSE)))))</f>
        <v/>
      </c>
      <c r="J237" s="143" t="str">
        <f ca="1">IF(IF(OR(F237="2019-2020",F237="2021-2025"),"",IF(ISNUMBER(SEARCH("LLC",D237)),VLOOKUP(A237,IntComp24[],17,FALSE),VLOOKUP(A237,IntComp[],17,FALSE)))=0,"",IF(OR(F237="2019-2020",F237="2021-2025"),"",IF(ISNUMBER(SEARCH("LLC",D237)),VLOOKUP(A237,IntComp24[],17,FALSE),VLOOKUP(A237,IntComp[],17,FALSE))))</f>
        <v/>
      </c>
      <c r="K237" s="151"/>
      <c r="L237" s="151">
        <f ca="1">IF(OR(F237="2019-2020",F237="2021-2025"),"",IF(ISNUMBER(SEARCH("LLC",D237)),VLOOKUP(A237,IntComp24[],18,FALSE),VLOOKUP(A237,IntComp[],18,FALSE)))</f>
        <v>0</v>
      </c>
      <c r="M237" s="143"/>
      <c r="N237" s="143" t="str">
        <f ca="1">IF(IF(OR(F237="2019-2020",F237="2021-2025"),"",IF(ISNUMBER(SEARCH("LLC",D237)),VLOOKUP(A237,IntComp24[],20,FALSE),VLOOKUP(A237,IntComp[],20,FALSE)))=0,"",IF(OR(F237="2019-2020",F237="2021-2025"),"",IF(ISNUMBER(SEARCH("LLC",D237)),VLOOKUP(A237,IntComp24[],20,FALSE),VLOOKUP(A237,IntComp[],20,FALSE))))</f>
        <v/>
      </c>
      <c r="O237" s="152" t="str">
        <f ca="1">IF(IF(OR(F237="2019-2020",F237="2021-2025"),"",IF(ISNUMBER(SEARCH("LLC",D237)),VLOOKUP(A237,IntComp24[],23,FALSE),VLOOKUP(A237,IntComp[],23,FALSE)))=0,"",IF(OR(F237="2019-2020",F237="2021-2025"),"",IF(ISNUMBER(SEARCH("LLC",D237)),VLOOKUP(A237,IntComp24[],23,FALSE),VLOOKUP(A237,IntComp[],23,FALSE))))</f>
        <v/>
      </c>
    </row>
    <row r="238" spans="1:15">
      <c r="A238" s="147" t="s">
        <v>194</v>
      </c>
      <c r="B238" s="144" t="str">
        <f>VLOOKUP(A238,Data[],2,FALSE)</f>
        <v>QUEENS</v>
      </c>
      <c r="C238" s="144" t="s">
        <v>106</v>
      </c>
      <c r="D238" s="9" t="str">
        <f>VLOOKUP(A238,Data[],52,FALSE)</f>
        <v>FEDERAL</v>
      </c>
      <c r="E238" s="9">
        <f>VLOOKUP(IntAll[[#This Row],[DEVELOPMENT]],Data[],62,FALSE)</f>
        <v>14</v>
      </c>
      <c r="F238" s="9" t="str">
        <f ca="1">VLOOKUP(A238,Data[],4,FALSE)</f>
        <v>2020-2021</v>
      </c>
      <c r="G238" s="9">
        <f>VLOOKUP(IntAll[[#This Row],[DEVELOPMENT]],EHDAll[[DEVELOPMENT]:['# Units]],6,FALSE)</f>
        <v>16</v>
      </c>
      <c r="H238" s="143" t="str">
        <f ca="1">IF(IntAll[[#This Row],[STATUS]]="","",IF(OR(F238="2019-2020",F238="2021-2025"),"",IF(ISNUMBER(SEARCH("LLC",D238)),VLOOKUP(A238,IntComp24[],21,FALSE),VLOOKUP(A238,IntComp[],21,FALSE))))</f>
        <v/>
      </c>
      <c r="I238" s="143" t="str">
        <f ca="1">IF(IntAll[[#This Row],[STATUS]]="","",IF(IF(OR(F238="2019-2020",F238="2021-2025"),"",IF(ISNUMBER(SEARCH("LLC",D238)),VLOOKUP(A238,IntComp24[],16,FALSE),VLOOKUP(A238,IntComp[],16,FALSE)))=0,"",IF(OR(F238="2019-2020",F238="2021-2025"),"",IF(ISNUMBER(SEARCH("LLC",D238)),VLOOKUP(A238,IntComp24[],16,FALSE),VLOOKUP(A238,IntComp[],16,FALSE)))))</f>
        <v/>
      </c>
      <c r="J238" s="143" t="str">
        <f ca="1">IF(IF(OR(F238="2019-2020",F238="2021-2025"),"",IF(ISNUMBER(SEARCH("LLC",D238)),VLOOKUP(A238,IntComp24[],17,FALSE),VLOOKUP(A238,IntComp[],17,FALSE)))=0,"",IF(OR(F238="2019-2020",F238="2021-2025"),"",IF(ISNUMBER(SEARCH("LLC",D238)),VLOOKUP(A238,IntComp24[],17,FALSE),VLOOKUP(A238,IntComp[],17,FALSE))))</f>
        <v/>
      </c>
      <c r="K238" s="151"/>
      <c r="L238" s="151">
        <f ca="1">IF(OR(F238="2019-2020",F238="2021-2025"),"",IF(ISNUMBER(SEARCH("LLC",D238)),VLOOKUP(A238,IntComp24[],18,FALSE),VLOOKUP(A238,IntComp[],18,FALSE)))</f>
        <v>0</v>
      </c>
      <c r="M238" s="143"/>
      <c r="N238" s="143" t="str">
        <f ca="1">IF(IF(OR(F238="2019-2020",F238="2021-2025"),"",IF(ISNUMBER(SEARCH("LLC",D238)),VLOOKUP(A238,IntComp24[],20,FALSE),VLOOKUP(A238,IntComp[],20,FALSE)))=0,"",IF(OR(F238="2019-2020",F238="2021-2025"),"",IF(ISNUMBER(SEARCH("LLC",D238)),VLOOKUP(A238,IntComp24[],20,FALSE),VLOOKUP(A238,IntComp[],20,FALSE))))</f>
        <v/>
      </c>
      <c r="O238" s="152" t="str">
        <f ca="1">IF(IF(OR(F238="2019-2020",F238="2021-2025"),"",IF(ISNUMBER(SEARCH("LLC",D238)),VLOOKUP(A238,IntComp24[],23,FALSE),VLOOKUP(A238,IntComp[],23,FALSE)))=0,"",IF(OR(F238="2019-2020",F238="2021-2025"),"",IF(ISNUMBER(SEARCH("LLC",D238)),VLOOKUP(A238,IntComp24[],23,FALSE),VLOOKUP(A238,IntComp[],23,FALSE))))</f>
        <v/>
      </c>
    </row>
    <row r="239" spans="1:15">
      <c r="A239" s="147" t="s">
        <v>215</v>
      </c>
      <c r="B239" s="144" t="str">
        <f>VLOOKUP(A239,Data[],2,FALSE)</f>
        <v>QUEENS</v>
      </c>
      <c r="C239" s="144" t="s">
        <v>106</v>
      </c>
      <c r="D239" s="9" t="str">
        <f>VLOOKUP(A239,Data[],52,FALSE)</f>
        <v>FEDERAL</v>
      </c>
      <c r="E239" s="9">
        <f>VLOOKUP(IntAll[[#This Row],[DEVELOPMENT]],Data[],62,FALSE)</f>
        <v>7</v>
      </c>
      <c r="F239" s="9" t="str">
        <f ca="1">VLOOKUP(A239,Data[],4,FALSE)</f>
        <v/>
      </c>
      <c r="G239" s="9">
        <f>VLOOKUP(IntAll[[#This Row],[DEVELOPMENT]],EHDAll[[DEVELOPMENT]:['# Units]],6,FALSE)</f>
        <v>0</v>
      </c>
      <c r="H239" s="143" t="str">
        <f ca="1">IF(IntAll[[#This Row],[STATUS]]="","",IF(OR(F239="2019-2020",F239="2021-2025"),"",IF(ISNUMBER(SEARCH("LLC",D239)),VLOOKUP(A239,IntComp24[],21,FALSE),VLOOKUP(A239,IntComp[],21,FALSE))))</f>
        <v/>
      </c>
      <c r="I239" s="143" t="str">
        <f ca="1">IF(IntAll[[#This Row],[STATUS]]="","",IF(IF(OR(F239="2019-2020",F239="2021-2025"),"",IF(ISNUMBER(SEARCH("LLC",D239)),VLOOKUP(A239,IntComp24[],16,FALSE),VLOOKUP(A239,IntComp[],16,FALSE)))=0,"",IF(OR(F239="2019-2020",F239="2021-2025"),"",IF(ISNUMBER(SEARCH("LLC",D239)),VLOOKUP(A239,IntComp24[],16,FALSE),VLOOKUP(A239,IntComp[],16,FALSE)))))</f>
        <v/>
      </c>
      <c r="J239" s="143" t="str">
        <f ca="1">IF(IF(OR(F239="2019-2020",F239="2021-2025"),"",IF(ISNUMBER(SEARCH("LLC",D239)),VLOOKUP(A239,IntComp24[],17,FALSE),VLOOKUP(A239,IntComp[],17,FALSE)))=0,"",IF(OR(F239="2019-2020",F239="2021-2025"),"",IF(ISNUMBER(SEARCH("LLC",D239)),VLOOKUP(A239,IntComp24[],17,FALSE),VLOOKUP(A239,IntComp[],17,FALSE))))</f>
        <v/>
      </c>
      <c r="K239" s="151"/>
      <c r="L239" s="151">
        <f ca="1">IF(OR(F239="2019-2020",F239="2021-2025"),"",IF(ISNUMBER(SEARCH("LLC",D239)),VLOOKUP(A239,IntComp24[],18,FALSE),VLOOKUP(A239,IntComp[],18,FALSE)))</f>
        <v>0</v>
      </c>
      <c r="M239" s="143"/>
      <c r="N239" s="143" t="str">
        <f ca="1">IF(IF(OR(F239="2019-2020",F239="2021-2025"),"",IF(ISNUMBER(SEARCH("LLC",D239)),VLOOKUP(A239,IntComp24[],20,FALSE),VLOOKUP(A239,IntComp[],20,FALSE)))=0,"",IF(OR(F239="2019-2020",F239="2021-2025"),"",IF(ISNUMBER(SEARCH("LLC",D239)),VLOOKUP(A239,IntComp24[],20,FALSE),VLOOKUP(A239,IntComp[],20,FALSE))))</f>
        <v/>
      </c>
      <c r="O239" s="152" t="str">
        <f ca="1">IF(IF(OR(F239="2019-2020",F239="2021-2025"),"",IF(ISNUMBER(SEARCH("LLC",D239)),VLOOKUP(A239,IntComp24[],23,FALSE),VLOOKUP(A239,IntComp[],23,FALSE)))=0,"",IF(OR(F239="2019-2020",F239="2021-2025"),"",IF(ISNUMBER(SEARCH("LLC",D239)),VLOOKUP(A239,IntComp24[],23,FALSE),VLOOKUP(A239,IntComp[],23,FALSE))))</f>
        <v/>
      </c>
    </row>
    <row r="240" spans="1:15">
      <c r="A240" s="147" t="s">
        <v>251</v>
      </c>
      <c r="B240" s="144" t="str">
        <f>VLOOKUP(A240,Data[],2,FALSE)</f>
        <v>MANHATTAN</v>
      </c>
      <c r="C240" s="144" t="s">
        <v>106</v>
      </c>
      <c r="D240" s="9" t="str">
        <f>VLOOKUP(A240,Data[],52,FALSE)</f>
        <v>FEDERAL</v>
      </c>
      <c r="E240" s="9">
        <f>VLOOKUP(IntAll[[#This Row],[DEVELOPMENT]],Data[],62,FALSE)</f>
        <v>10</v>
      </c>
      <c r="F240" s="9" t="str">
        <f ca="1">VLOOKUP(A240,Data[],4,FALSE)</f>
        <v/>
      </c>
      <c r="G240" s="9">
        <f>VLOOKUP(IntAll[[#This Row],[DEVELOPMENT]],EHDAll[[DEVELOPMENT]:['# Units]],6,FALSE)</f>
        <v>4</v>
      </c>
      <c r="H240" s="143" t="str">
        <f ca="1">IF(IntAll[[#This Row],[STATUS]]="","",IF(OR(F240="2019-2020",F240="2021-2025"),"",IF(ISNUMBER(SEARCH("LLC",D240)),VLOOKUP(A240,IntComp24[],21,FALSE),VLOOKUP(A240,IntComp[],21,FALSE))))</f>
        <v/>
      </c>
      <c r="I240" s="143" t="str">
        <f ca="1">IF(IntAll[[#This Row],[STATUS]]="","",IF(IF(OR(F240="2019-2020",F240="2021-2025"),"",IF(ISNUMBER(SEARCH("LLC",D240)),VLOOKUP(A240,IntComp24[],16,FALSE),VLOOKUP(A240,IntComp[],16,FALSE)))=0,"",IF(OR(F240="2019-2020",F240="2021-2025"),"",IF(ISNUMBER(SEARCH("LLC",D240)),VLOOKUP(A240,IntComp24[],16,FALSE),VLOOKUP(A240,IntComp[],16,FALSE)))))</f>
        <v/>
      </c>
      <c r="J240" s="143" t="str">
        <f ca="1">IF(IF(OR(F240="2019-2020",F240="2021-2025"),"",IF(ISNUMBER(SEARCH("LLC",D240)),VLOOKUP(A240,IntComp24[],17,FALSE),VLOOKUP(A240,IntComp[],17,FALSE)))=0,"",IF(OR(F240="2019-2020",F240="2021-2025"),"",IF(ISNUMBER(SEARCH("LLC",D240)),VLOOKUP(A240,IntComp24[],17,FALSE),VLOOKUP(A240,IntComp[],17,FALSE))))</f>
        <v/>
      </c>
      <c r="K240" s="151"/>
      <c r="L240" s="151">
        <f ca="1">IF(OR(F240="2019-2020",F240="2021-2025"),"",IF(ISNUMBER(SEARCH("LLC",D240)),VLOOKUP(A240,IntComp24[],18,FALSE),VLOOKUP(A240,IntComp[],18,FALSE)))</f>
        <v>0</v>
      </c>
      <c r="M240" s="143"/>
      <c r="N240" s="143" t="str">
        <f ca="1">IF(IF(OR(F240="2019-2020",F240="2021-2025"),"",IF(ISNUMBER(SEARCH("LLC",D240)),VLOOKUP(A240,IntComp24[],20,FALSE),VLOOKUP(A240,IntComp[],20,FALSE)))=0,"",IF(OR(F240="2019-2020",F240="2021-2025"),"",IF(ISNUMBER(SEARCH("LLC",D240)),VLOOKUP(A240,IntComp24[],20,FALSE),VLOOKUP(A240,IntComp[],20,FALSE))))</f>
        <v/>
      </c>
      <c r="O240" s="152" t="str">
        <f ca="1">IF(IF(OR(F240="2019-2020",F240="2021-2025"),"",IF(ISNUMBER(SEARCH("LLC",D240)),VLOOKUP(A240,IntComp24[],23,FALSE),VLOOKUP(A240,IntComp[],23,FALSE)))=0,"",IF(OR(F240="2019-2020",F240="2021-2025"),"",IF(ISNUMBER(SEARCH("LLC",D240)),VLOOKUP(A240,IntComp24[],23,FALSE),VLOOKUP(A240,IntComp[],23,FALSE))))</f>
        <v/>
      </c>
    </row>
    <row r="241" spans="1:15">
      <c r="A241" s="147" t="s">
        <v>252</v>
      </c>
      <c r="B241" s="144" t="str">
        <f>VLOOKUP(A241,Data[],2,FALSE)</f>
        <v>MANHATTAN</v>
      </c>
      <c r="C241" s="144" t="s">
        <v>106</v>
      </c>
      <c r="D241" s="9" t="str">
        <f>VLOOKUP(A241,Data[],52,FALSE)</f>
        <v>FEDERAL</v>
      </c>
      <c r="E241" s="9">
        <f>VLOOKUP(IntAll[[#This Row],[DEVELOPMENT]],Data[],62,FALSE)</f>
        <v>7</v>
      </c>
      <c r="F241" s="9" t="str">
        <f ca="1">VLOOKUP(A241,Data[],4,FALSE)</f>
        <v/>
      </c>
      <c r="G241" s="9">
        <f>VLOOKUP(IntAll[[#This Row],[DEVELOPMENT]],EHDAll[[DEVELOPMENT]:['# Units]],6,FALSE)</f>
        <v>1</v>
      </c>
      <c r="H241" s="143" t="str">
        <f ca="1">IF(IntAll[[#This Row],[STATUS]]="","",IF(OR(F241="2019-2020",F241="2021-2025"),"",IF(ISNUMBER(SEARCH("LLC",D241)),VLOOKUP(A241,IntComp24[],21,FALSE),VLOOKUP(A241,IntComp[],21,FALSE))))</f>
        <v/>
      </c>
      <c r="I241" s="143" t="str">
        <f ca="1">IF(IntAll[[#This Row],[STATUS]]="","",IF(IF(OR(F241="2019-2020",F241="2021-2025"),"",IF(ISNUMBER(SEARCH("LLC",D241)),VLOOKUP(A241,IntComp24[],16,FALSE),VLOOKUP(A241,IntComp[],16,FALSE)))=0,"",IF(OR(F241="2019-2020",F241="2021-2025"),"",IF(ISNUMBER(SEARCH("LLC",D241)),VLOOKUP(A241,IntComp24[],16,FALSE),VLOOKUP(A241,IntComp[],16,FALSE)))))</f>
        <v/>
      </c>
      <c r="J241" s="143" t="str">
        <f ca="1">IF(IF(OR(F241="2019-2020",F241="2021-2025"),"",IF(ISNUMBER(SEARCH("LLC",D241)),VLOOKUP(A241,IntComp24[],17,FALSE),VLOOKUP(A241,IntComp[],17,FALSE)))=0,"",IF(OR(F241="2019-2020",F241="2021-2025"),"",IF(ISNUMBER(SEARCH("LLC",D241)),VLOOKUP(A241,IntComp24[],17,FALSE),VLOOKUP(A241,IntComp[],17,FALSE))))</f>
        <v/>
      </c>
      <c r="K241" s="151"/>
      <c r="L241" s="151">
        <f ca="1">IF(OR(F241="2019-2020",F241="2021-2025"),"",IF(ISNUMBER(SEARCH("LLC",D241)),VLOOKUP(A241,IntComp24[],18,FALSE),VLOOKUP(A241,IntComp[],18,FALSE)))</f>
        <v>76335.875</v>
      </c>
      <c r="M241" s="143"/>
      <c r="N241" s="143" t="str">
        <f ca="1">IF(IF(OR(F241="2019-2020",F241="2021-2025"),"",IF(ISNUMBER(SEARCH("LLC",D241)),VLOOKUP(A241,IntComp24[],20,FALSE),VLOOKUP(A241,IntComp[],20,FALSE)))=0,"",IF(OR(F241="2019-2020",F241="2021-2025"),"",IF(ISNUMBER(SEARCH("LLC",D241)),VLOOKUP(A241,IntComp24[],20,FALSE),VLOOKUP(A241,IntComp[],20,FALSE))))</f>
        <v/>
      </c>
      <c r="O241" s="152" t="str">
        <f ca="1">IF(IF(OR(F241="2019-2020",F241="2021-2025"),"",IF(ISNUMBER(SEARCH("LLC",D241)),VLOOKUP(A241,IntComp24[],23,FALSE),VLOOKUP(A241,IntComp[],23,FALSE)))=0,"",IF(OR(F241="2019-2020",F241="2021-2025"),"",IF(ISNUMBER(SEARCH("LLC",D241)),VLOOKUP(A241,IntComp24[],23,FALSE),VLOOKUP(A241,IntComp[],23,FALSE))))</f>
        <v/>
      </c>
    </row>
    <row r="242" spans="1:15">
      <c r="A242" s="147" t="s">
        <v>356</v>
      </c>
      <c r="B242" s="144" t="str">
        <f>VLOOKUP(A242,Data[],2,FALSE)</f>
        <v>BROOKLYN</v>
      </c>
      <c r="C242" s="144" t="s">
        <v>106</v>
      </c>
      <c r="D242" s="9" t="str">
        <f>VLOOKUP(A242,Data[],52,FALSE)</f>
        <v>FEDERAL</v>
      </c>
      <c r="E242" s="9">
        <f>VLOOKUP(IntAll[[#This Row],[DEVELOPMENT]],Data[],62,FALSE)</f>
        <v>9</v>
      </c>
      <c r="F242" s="9" t="str">
        <f ca="1">VLOOKUP(A242,Data[],4,FALSE)</f>
        <v>2020-2021</v>
      </c>
      <c r="G242" s="9">
        <f>VLOOKUP(IntAll[[#This Row],[DEVELOPMENT]],EHDAll[[DEVELOPMENT]:['# Units]],6,FALSE)</f>
        <v>1</v>
      </c>
      <c r="H242" s="143" t="str">
        <f ca="1">IF(IntAll[[#This Row],[STATUS]]="","",IF(OR(F242="2019-2020",F242="2021-2025"),"",IF(ISNUMBER(SEARCH("LLC",D242)),VLOOKUP(A242,IntComp24[],21,FALSE),VLOOKUP(A242,IntComp[],21,FALSE))))</f>
        <v/>
      </c>
      <c r="I242" s="143" t="str">
        <f ca="1">IF(IntAll[[#This Row],[STATUS]]="","",IF(IF(OR(F242="2019-2020",F242="2021-2025"),"",IF(ISNUMBER(SEARCH("LLC",D242)),VLOOKUP(A242,IntComp24[],16,FALSE),VLOOKUP(A242,IntComp[],16,FALSE)))=0,"",IF(OR(F242="2019-2020",F242="2021-2025"),"",IF(ISNUMBER(SEARCH("LLC",D242)),VLOOKUP(A242,IntComp24[],16,FALSE),VLOOKUP(A242,IntComp[],16,FALSE)))))</f>
        <v/>
      </c>
      <c r="J242" s="143" t="str">
        <f ca="1">IF(IF(OR(F242="2019-2020",F242="2021-2025"),"",IF(ISNUMBER(SEARCH("LLC",D242)),VLOOKUP(A242,IntComp24[],17,FALSE),VLOOKUP(A242,IntComp[],17,FALSE)))=0,"",IF(OR(F242="2019-2020",F242="2021-2025"),"",IF(ISNUMBER(SEARCH("LLC",D242)),VLOOKUP(A242,IntComp24[],17,FALSE),VLOOKUP(A242,IntComp[],17,FALSE))))</f>
        <v/>
      </c>
      <c r="K242" s="151"/>
      <c r="L242" s="151">
        <f ca="1">IF(OR(F242="2019-2020",F242="2021-2025"),"",IF(ISNUMBER(SEARCH("LLC",D242)),VLOOKUP(A242,IntComp24[],18,FALSE),VLOOKUP(A242,IntComp[],18,FALSE)))</f>
        <v>0</v>
      </c>
      <c r="M242" s="143"/>
      <c r="N242" s="143" t="str">
        <f ca="1">IF(IF(OR(F242="2019-2020",F242="2021-2025"),"",IF(ISNUMBER(SEARCH("LLC",D242)),VLOOKUP(A242,IntComp24[],20,FALSE),VLOOKUP(A242,IntComp[],20,FALSE)))=0,"",IF(OR(F242="2019-2020",F242="2021-2025"),"",IF(ISNUMBER(SEARCH("LLC",D242)),VLOOKUP(A242,IntComp24[],20,FALSE),VLOOKUP(A242,IntComp[],20,FALSE))))</f>
        <v/>
      </c>
      <c r="O242" s="152" t="str">
        <f ca="1">IF(IF(OR(F242="2019-2020",F242="2021-2025"),"",IF(ISNUMBER(SEARCH("LLC",D242)),VLOOKUP(A242,IntComp24[],23,FALSE),VLOOKUP(A242,IntComp[],23,FALSE)))=0,"",IF(OR(F242="2019-2020",F242="2021-2025"),"",IF(ISNUMBER(SEARCH("LLC",D242)),VLOOKUP(A242,IntComp24[],23,FALSE),VLOOKUP(A242,IntComp[],23,FALSE))))</f>
        <v/>
      </c>
    </row>
    <row r="243" spans="1:15">
      <c r="A243" s="147" t="s">
        <v>357</v>
      </c>
      <c r="B243" s="144" t="str">
        <f>VLOOKUP(A243,Data[],2,FALSE)</f>
        <v>STATEN ISLAND</v>
      </c>
      <c r="C243" s="144" t="s">
        <v>106</v>
      </c>
      <c r="D243" s="9" t="str">
        <f>VLOOKUP(A243,Data[],52,FALSE)</f>
        <v>FEDERAL</v>
      </c>
      <c r="E243" s="9">
        <f>VLOOKUP(IntAll[[#This Row],[DEVELOPMENT]],Data[],62,FALSE)</f>
        <v>1</v>
      </c>
      <c r="F243" s="9" t="str">
        <f ca="1">VLOOKUP(A243,Data[],4,FALSE)</f>
        <v/>
      </c>
      <c r="G243" s="9">
        <f>VLOOKUP(IntAll[[#This Row],[DEVELOPMENT]],EHDAll[[DEVELOPMENT]:['# Units]],6,FALSE)</f>
        <v>6</v>
      </c>
      <c r="H243" s="143" t="str">
        <f ca="1">IF(IntAll[[#This Row],[STATUS]]="","",IF(OR(F243="2019-2020",F243="2021-2025"),"",IF(ISNUMBER(SEARCH("LLC",D243)),VLOOKUP(A243,IntComp24[],21,FALSE),VLOOKUP(A243,IntComp[],21,FALSE))))</f>
        <v/>
      </c>
      <c r="I243" s="143" t="str">
        <f ca="1">IF(IntAll[[#This Row],[STATUS]]="","",IF(IF(OR(F243="2019-2020",F243="2021-2025"),"",IF(ISNUMBER(SEARCH("LLC",D243)),VLOOKUP(A243,IntComp24[],16,FALSE),VLOOKUP(A243,IntComp[],16,FALSE)))=0,"",IF(OR(F243="2019-2020",F243="2021-2025"),"",IF(ISNUMBER(SEARCH("LLC",D243)),VLOOKUP(A243,IntComp24[],16,FALSE),VLOOKUP(A243,IntComp[],16,FALSE)))))</f>
        <v/>
      </c>
      <c r="J243" s="143" t="str">
        <f ca="1">IF(IF(OR(F243="2019-2020",F243="2021-2025"),"",IF(ISNUMBER(SEARCH("LLC",D243)),VLOOKUP(A243,IntComp24[],17,FALSE),VLOOKUP(A243,IntComp[],17,FALSE)))=0,"",IF(OR(F243="2019-2020",F243="2021-2025"),"",IF(ISNUMBER(SEARCH("LLC",D243)),VLOOKUP(A243,IntComp24[],17,FALSE),VLOOKUP(A243,IntComp[],17,FALSE))))</f>
        <v/>
      </c>
      <c r="K243" s="151"/>
      <c r="L243" s="151">
        <f ca="1">IF(OR(F243="2019-2020",F243="2021-2025"),"",IF(ISNUMBER(SEARCH("LLC",D243)),VLOOKUP(A243,IntComp24[],18,FALSE),VLOOKUP(A243,IntComp[],18,FALSE)))</f>
        <v>484512</v>
      </c>
      <c r="M243" s="143"/>
      <c r="N243" s="143" t="str">
        <f ca="1">IF(IF(OR(F243="2019-2020",F243="2021-2025"),"",IF(ISNUMBER(SEARCH("LLC",D243)),VLOOKUP(A243,IntComp24[],20,FALSE),VLOOKUP(A243,IntComp[],20,FALSE)))=0,"",IF(OR(F243="2019-2020",F243="2021-2025"),"",IF(ISNUMBER(SEARCH("LLC",D243)),VLOOKUP(A243,IntComp24[],20,FALSE),VLOOKUP(A243,IntComp[],20,FALSE))))</f>
        <v/>
      </c>
      <c r="O243" s="152" t="str">
        <f ca="1">IF(IF(OR(F243="2019-2020",F243="2021-2025"),"",IF(ISNUMBER(SEARCH("LLC",D243)),VLOOKUP(A243,IntComp24[],23,FALSE),VLOOKUP(A243,IntComp[],23,FALSE)))=0,"",IF(OR(F243="2019-2020",F243="2021-2025"),"",IF(ISNUMBER(SEARCH("LLC",D243)),VLOOKUP(A243,IntComp24[],23,FALSE),VLOOKUP(A243,IntComp[],23,FALSE))))</f>
        <v/>
      </c>
    </row>
    <row r="244" spans="1:15">
      <c r="A244" s="147" t="s">
        <v>216</v>
      </c>
      <c r="B244" s="144" t="str">
        <f>VLOOKUP(A244,Data[],2,FALSE)</f>
        <v>BROOKLYN</v>
      </c>
      <c r="C244" s="144" t="s">
        <v>106</v>
      </c>
      <c r="D244" s="9" t="str">
        <f>VLOOKUP(A244,Data[],52,FALSE)</f>
        <v>FEDERAL</v>
      </c>
      <c r="E244" s="9">
        <f>VLOOKUP(IntAll[[#This Row],[DEVELOPMENT]],Data[],62,FALSE)</f>
        <v>17</v>
      </c>
      <c r="F244" s="9" t="str">
        <f ca="1">VLOOKUP(A244,Data[],4,FALSE)</f>
        <v>2020-2021</v>
      </c>
      <c r="G244" s="9">
        <f>VLOOKUP(IntAll[[#This Row],[DEVELOPMENT]],EHDAll[[DEVELOPMENT]:['# Units]],6,FALSE)</f>
        <v>1</v>
      </c>
      <c r="H244" s="143" t="str">
        <f ca="1">IF(IntAll[[#This Row],[STATUS]]="","",IF(OR(F244="2019-2020",F244="2021-2025"),"",IF(ISNUMBER(SEARCH("LLC",D244)),VLOOKUP(A244,IntComp24[],21,FALSE),VLOOKUP(A244,IntComp[],21,FALSE))))</f>
        <v/>
      </c>
      <c r="I244" s="143" t="str">
        <f ca="1">IF(IntAll[[#This Row],[STATUS]]="","",IF(IF(OR(F244="2019-2020",F244="2021-2025"),"",IF(ISNUMBER(SEARCH("LLC",D244)),VLOOKUP(A244,IntComp24[],16,FALSE),VLOOKUP(A244,IntComp[],16,FALSE)))=0,"",IF(OR(F244="2019-2020",F244="2021-2025"),"",IF(ISNUMBER(SEARCH("LLC",D244)),VLOOKUP(A244,IntComp24[],16,FALSE),VLOOKUP(A244,IntComp[],16,FALSE)))))</f>
        <v/>
      </c>
      <c r="J244" s="143" t="str">
        <f ca="1">IF(IF(OR(F244="2019-2020",F244="2021-2025"),"",IF(ISNUMBER(SEARCH("LLC",D244)),VLOOKUP(A244,IntComp24[],17,FALSE),VLOOKUP(A244,IntComp[],17,FALSE)))=0,"",IF(OR(F244="2019-2020",F244="2021-2025"),"",IF(ISNUMBER(SEARCH("LLC",D244)),VLOOKUP(A244,IntComp24[],17,FALSE),VLOOKUP(A244,IntComp[],17,FALSE))))</f>
        <v/>
      </c>
      <c r="K244" s="151"/>
      <c r="L244" s="151">
        <f ca="1">IF(OR(F244="2019-2020",F244="2021-2025"),"",IF(ISNUMBER(SEARCH("LLC",D244)),VLOOKUP(A244,IntComp24[],18,FALSE),VLOOKUP(A244,IntComp[],18,FALSE)))</f>
        <v>0</v>
      </c>
      <c r="M244" s="143"/>
      <c r="N244" s="143" t="str">
        <f ca="1">IF(IF(OR(F244="2019-2020",F244="2021-2025"),"",IF(ISNUMBER(SEARCH("LLC",D244)),VLOOKUP(A244,IntComp24[],20,FALSE),VLOOKUP(A244,IntComp[],20,FALSE)))=0,"",IF(OR(F244="2019-2020",F244="2021-2025"),"",IF(ISNUMBER(SEARCH("LLC",D244)),VLOOKUP(A244,IntComp24[],20,FALSE),VLOOKUP(A244,IntComp[],20,FALSE))))</f>
        <v/>
      </c>
      <c r="O244" s="152" t="str">
        <f ca="1">IF(IF(OR(F244="2019-2020",F244="2021-2025"),"",IF(ISNUMBER(SEARCH("LLC",D244)),VLOOKUP(A244,IntComp24[],23,FALSE),VLOOKUP(A244,IntComp[],23,FALSE)))=0,"",IF(OR(F244="2019-2020",F244="2021-2025"),"",IF(ISNUMBER(SEARCH("LLC",D244)),VLOOKUP(A244,IntComp24[],23,FALSE),VLOOKUP(A244,IntComp[],23,FALSE))))</f>
        <v/>
      </c>
    </row>
    <row r="245" spans="1:15">
      <c r="A245" s="147" t="s">
        <v>253</v>
      </c>
      <c r="B245" s="144" t="str">
        <f>VLOOKUP(A245,Data[],2,FALSE)</f>
        <v>BRONX</v>
      </c>
      <c r="C245" s="144" t="s">
        <v>106</v>
      </c>
      <c r="D245" s="9" t="str">
        <f>VLOOKUP(A245,Data[],52,FALSE)</f>
        <v>FEDERAL</v>
      </c>
      <c r="E245" s="9">
        <f>VLOOKUP(IntAll[[#This Row],[DEVELOPMENT]],Data[],62,FALSE)</f>
        <v>9</v>
      </c>
      <c r="F245" s="9" t="str">
        <f ca="1">VLOOKUP(A245,Data[],4,FALSE)</f>
        <v>2022-2025</v>
      </c>
      <c r="G245" s="9">
        <f>VLOOKUP(IntAll[[#This Row],[DEVELOPMENT]],EHDAll[[DEVELOPMENT]:['# Units]],6,FALSE)</f>
        <v>7</v>
      </c>
      <c r="H245" s="143" t="str">
        <f ca="1">IF(IntAll[[#This Row],[STATUS]]="","",IF(OR(F245="2019-2020",F245="2021-2025"),"",IF(ISNUMBER(SEARCH("LLC",D245)),VLOOKUP(A245,IntComp24[],21,FALSE),VLOOKUP(A245,IntComp[],21,FALSE))))</f>
        <v/>
      </c>
      <c r="I245" s="143" t="str">
        <f ca="1">IF(IntAll[[#This Row],[STATUS]]="","",IF(IF(OR(F245="2019-2020",F245="2021-2025"),"",IF(ISNUMBER(SEARCH("LLC",D245)),VLOOKUP(A245,IntComp24[],16,FALSE),VLOOKUP(A245,IntComp[],16,FALSE)))=0,"",IF(OR(F245="2019-2020",F245="2021-2025"),"",IF(ISNUMBER(SEARCH("LLC",D245)),VLOOKUP(A245,IntComp24[],16,FALSE),VLOOKUP(A245,IntComp[],16,FALSE)))))</f>
        <v/>
      </c>
      <c r="J245" s="143" t="str">
        <f ca="1">IF(IF(OR(F245="2019-2020",F245="2021-2025"),"",IF(ISNUMBER(SEARCH("LLC",D245)),VLOOKUP(A245,IntComp24[],17,FALSE),VLOOKUP(A245,IntComp[],17,FALSE)))=0,"",IF(OR(F245="2019-2020",F245="2021-2025"),"",IF(ISNUMBER(SEARCH("LLC",D245)),VLOOKUP(A245,IntComp24[],17,FALSE),VLOOKUP(A245,IntComp[],17,FALSE))))</f>
        <v/>
      </c>
      <c r="K245" s="151"/>
      <c r="L245" s="151">
        <f ca="1">IF(OR(F245="2019-2020",F245="2021-2025"),"",IF(ISNUMBER(SEARCH("LLC",D245)),VLOOKUP(A245,IntComp24[],18,FALSE),VLOOKUP(A245,IntComp[],18,FALSE)))</f>
        <v>0</v>
      </c>
      <c r="M245" s="143"/>
      <c r="N245" s="143" t="str">
        <f ca="1">IF(IF(OR(F245="2019-2020",F245="2021-2025"),"",IF(ISNUMBER(SEARCH("LLC",D245)),VLOOKUP(A245,IntComp24[],20,FALSE),VLOOKUP(A245,IntComp[],20,FALSE)))=0,"",IF(OR(F245="2019-2020",F245="2021-2025"),"",IF(ISNUMBER(SEARCH("LLC",D245)),VLOOKUP(A245,IntComp24[],20,FALSE),VLOOKUP(A245,IntComp[],20,FALSE))))</f>
        <v/>
      </c>
      <c r="O245" s="152" t="str">
        <f ca="1">IF(IF(OR(F245="2019-2020",F245="2021-2025"),"",IF(ISNUMBER(SEARCH("LLC",D245)),VLOOKUP(A245,IntComp24[],23,FALSE),VLOOKUP(A245,IntComp[],23,FALSE)))=0,"",IF(OR(F245="2019-2020",F245="2021-2025"),"",IF(ISNUMBER(SEARCH("LLC",D245)),VLOOKUP(A245,IntComp24[],23,FALSE),VLOOKUP(A245,IntComp[],23,FALSE))))</f>
        <v/>
      </c>
    </row>
    <row r="246" spans="1:15">
      <c r="A246" s="147" t="s">
        <v>123</v>
      </c>
      <c r="B246" s="144" t="str">
        <f>VLOOKUP(A246,Data[],2,FALSE)</f>
        <v>BRONX</v>
      </c>
      <c r="C246" s="144" t="s">
        <v>106</v>
      </c>
      <c r="D246" s="9" t="str">
        <f>VLOOKUP(A246,Data[],52,FALSE)</f>
        <v>MIXED FINANCE/LLC1</v>
      </c>
      <c r="E246" s="9">
        <f>VLOOKUP(IntAll[[#This Row],[DEVELOPMENT]],Data[],62,FALSE)</f>
        <v>1</v>
      </c>
      <c r="F246" s="9" t="str">
        <f ca="1">VLOOKUP(A246,Data[],4,FALSE)</f>
        <v>2026+</v>
      </c>
      <c r="G246" s="9">
        <f>VLOOKUP(IntAll[[#This Row],[DEVELOPMENT]],EHDAll[[DEVELOPMENT]:['# Units]],6,FALSE)</f>
        <v>6</v>
      </c>
      <c r="H246" s="143" t="str">
        <f ca="1">IF(IntAll[[#This Row],[STATUS]]="","",IF(OR(F246="2019-2020",F246="2021-2025"),"",IF(ISNUMBER(SEARCH("LLC",D246)),VLOOKUP(A246,IntComp24[],21,FALSE),VLOOKUP(A246,IntComp[],21,FALSE))))</f>
        <v/>
      </c>
      <c r="I246" s="143" t="str">
        <f ca="1">IF(IntAll[[#This Row],[STATUS]]="","",IF(IF(OR(F246="2019-2020",F246="2021-2025"),"",IF(ISNUMBER(SEARCH("LLC",D246)),VLOOKUP(A246,IntComp24[],16,FALSE),VLOOKUP(A246,IntComp[],16,FALSE)))=0,"",IF(OR(F246="2019-2020",F246="2021-2025"),"",IF(ISNUMBER(SEARCH("LLC",D246)),VLOOKUP(A246,IntComp24[],16,FALSE),VLOOKUP(A246,IntComp[],16,FALSE)))))</f>
        <v/>
      </c>
      <c r="J246" s="143" t="str">
        <f ca="1">IF(IF(OR(F246="2019-2020",F246="2021-2025"),"",IF(ISNUMBER(SEARCH("LLC",D246)),VLOOKUP(A246,IntComp24[],17,FALSE),VLOOKUP(A246,IntComp[],17,FALSE)))=0,"",IF(OR(F246="2019-2020",F246="2021-2025"),"",IF(ISNUMBER(SEARCH("LLC",D246)),VLOOKUP(A246,IntComp24[],17,FALSE),VLOOKUP(A246,IntComp[],17,FALSE))))</f>
        <v/>
      </c>
      <c r="K246" s="151"/>
      <c r="L246" s="151">
        <f ca="1">IF(OR(F246="2019-2020",F246="2021-2025"),"",IF(ISNUMBER(SEARCH("LLC",D246)),VLOOKUP(A246,IntComp24[],18,FALSE),VLOOKUP(A246,IntComp[],18,FALSE)))</f>
        <v>431518.50000000006</v>
      </c>
      <c r="M246" s="143"/>
      <c r="N246" s="143" t="str">
        <f ca="1">IF(IF(OR(F246="2019-2020",F246="2021-2025"),"",IF(ISNUMBER(SEARCH("LLC",D246)),VLOOKUP(A246,IntComp24[],20,FALSE),VLOOKUP(A246,IntComp[],20,FALSE)))=0,"",IF(OR(F246="2019-2020",F246="2021-2025"),"",IF(ISNUMBER(SEARCH("LLC",D246)),VLOOKUP(A246,IntComp24[],20,FALSE),VLOOKUP(A246,IntComp[],20,FALSE))))</f>
        <v/>
      </c>
      <c r="O246" s="152" t="str">
        <f ca="1">IF(IF(OR(F246="2019-2020",F246="2021-2025"),"",IF(ISNUMBER(SEARCH("LLC",D246)),VLOOKUP(A246,IntComp24[],23,FALSE),VLOOKUP(A246,IntComp[],23,FALSE)))=0,"",IF(OR(F246="2019-2020",F246="2021-2025"),"",IF(ISNUMBER(SEARCH("LLC",D246)),VLOOKUP(A246,IntComp24[],23,FALSE),VLOOKUP(A246,IntComp[],23,FALSE))))</f>
        <v/>
      </c>
    </row>
    <row r="247" spans="1:15">
      <c r="A247" s="147" t="s">
        <v>136</v>
      </c>
      <c r="B247" s="144" t="str">
        <f>VLOOKUP(A247,Data[],2,FALSE)</f>
        <v>MANHATTAN</v>
      </c>
      <c r="C247" s="144" t="s">
        <v>106</v>
      </c>
      <c r="D247" s="9" t="str">
        <f>VLOOKUP(A247,Data[],52,FALSE)</f>
        <v>FEDERAL</v>
      </c>
      <c r="E247" s="9">
        <f>VLOOKUP(IntAll[[#This Row],[DEVELOPMENT]],Data[],62,FALSE)</f>
        <v>10</v>
      </c>
      <c r="F247" s="9" t="str">
        <f ca="1">VLOOKUP(A247,Data[],4,FALSE)</f>
        <v>2026+</v>
      </c>
      <c r="G247" s="9">
        <f>VLOOKUP(IntAll[[#This Row],[DEVELOPMENT]],EHDAll[[DEVELOPMENT]:['# Units]],6,FALSE)</f>
        <v>14</v>
      </c>
      <c r="H247" s="143" t="str">
        <f ca="1">IF(IntAll[[#This Row],[STATUS]]="","",IF(OR(F247="2019-2020",F247="2021-2025"),"",IF(ISNUMBER(SEARCH("LLC",D247)),VLOOKUP(A247,IntComp24[],21,FALSE),VLOOKUP(A247,IntComp[],21,FALSE))))</f>
        <v/>
      </c>
      <c r="I247" s="143" t="str">
        <f ca="1">IF(IntAll[[#This Row],[STATUS]]="","",IF(IF(OR(F247="2019-2020",F247="2021-2025"),"",IF(ISNUMBER(SEARCH("LLC",D247)),VLOOKUP(A247,IntComp24[],16,FALSE),VLOOKUP(A247,IntComp[],16,FALSE)))=0,"",IF(OR(F247="2019-2020",F247="2021-2025"),"",IF(ISNUMBER(SEARCH("LLC",D247)),VLOOKUP(A247,IntComp24[],16,FALSE),VLOOKUP(A247,IntComp[],16,FALSE)))))</f>
        <v/>
      </c>
      <c r="J247" s="143" t="str">
        <f ca="1">IF(IF(OR(F247="2019-2020",F247="2021-2025"),"",IF(ISNUMBER(SEARCH("LLC",D247)),VLOOKUP(A247,IntComp24[],17,FALSE),VLOOKUP(A247,IntComp[],17,FALSE)))=0,"",IF(OR(F247="2019-2020",F247="2021-2025"),"",IF(ISNUMBER(SEARCH("LLC",D247)),VLOOKUP(A247,IntComp24[],17,FALSE),VLOOKUP(A247,IntComp[],17,FALSE))))</f>
        <v/>
      </c>
      <c r="K247" s="151"/>
      <c r="L247" s="151">
        <f ca="1">IF(OR(F247="2019-2020",F247="2021-2025"),"",IF(ISNUMBER(SEARCH("LLC",D247)),VLOOKUP(A247,IntComp24[],18,FALSE),VLOOKUP(A247,IntComp[],18,FALSE)))</f>
        <v>914137.87499999988</v>
      </c>
      <c r="M247" s="143"/>
      <c r="N247" s="143" t="str">
        <f ca="1">IF(IF(OR(F247="2019-2020",F247="2021-2025"),"",IF(ISNUMBER(SEARCH("LLC",D247)),VLOOKUP(A247,IntComp24[],20,FALSE),VLOOKUP(A247,IntComp[],20,FALSE)))=0,"",IF(OR(F247="2019-2020",F247="2021-2025"),"",IF(ISNUMBER(SEARCH("LLC",D247)),VLOOKUP(A247,IntComp24[],20,FALSE),VLOOKUP(A247,IntComp[],20,FALSE))))</f>
        <v/>
      </c>
      <c r="O247" s="152" t="str">
        <f ca="1">IF(IF(OR(F247="2019-2020",F247="2021-2025"),"",IF(ISNUMBER(SEARCH("LLC",D247)),VLOOKUP(A247,IntComp24[],23,FALSE),VLOOKUP(A247,IntComp[],23,FALSE)))=0,"",IF(OR(F247="2019-2020",F247="2021-2025"),"",IF(ISNUMBER(SEARCH("LLC",D247)),VLOOKUP(A247,IntComp24[],23,FALSE),VLOOKUP(A247,IntComp[],23,FALSE))))</f>
        <v/>
      </c>
    </row>
    <row r="248" spans="1:15">
      <c r="A248" s="147" t="s">
        <v>95</v>
      </c>
      <c r="B248" s="144" t="str">
        <f>VLOOKUP(A248,Data[],2,FALSE)</f>
        <v>MANHATTAN</v>
      </c>
      <c r="C248" s="144" t="s">
        <v>106</v>
      </c>
      <c r="D248" s="9" t="str">
        <f>VLOOKUP(A248,Data[],52,FALSE)</f>
        <v>MIXED FINANCE/LLC1</v>
      </c>
      <c r="E248" s="9">
        <f>VLOOKUP(IntAll[[#This Row],[DEVELOPMENT]],Data[],62,FALSE)</f>
        <v>10</v>
      </c>
      <c r="F248" s="9" t="str">
        <f ca="1">VLOOKUP(A248,Data[],4,FALSE)</f>
        <v>2020-2021</v>
      </c>
      <c r="G248" s="9">
        <f>VLOOKUP(IntAll[[#This Row],[DEVELOPMENT]],EHDAll[[DEVELOPMENT]:['# Units]],6,FALSE)</f>
        <v>40</v>
      </c>
      <c r="H248" s="143" t="str">
        <f ca="1">IF(IntAll[[#This Row],[STATUS]]="","",IF(OR(F248="2019-2020",F248="2021-2025"),"",IF(ISNUMBER(SEARCH("LLC",D248)),VLOOKUP(A248,IntComp24[],21,FALSE),VLOOKUP(A248,IntComp[],21,FALSE))))</f>
        <v/>
      </c>
      <c r="I248" s="143" t="str">
        <f ca="1">IF(IntAll[[#This Row],[STATUS]]="","",IF(IF(OR(F248="2019-2020",F248="2021-2025"),"",IF(ISNUMBER(SEARCH("LLC",D248)),VLOOKUP(A248,IntComp24[],16,FALSE),VLOOKUP(A248,IntComp[],16,FALSE)))=0,"",IF(OR(F248="2019-2020",F248="2021-2025"),"",IF(ISNUMBER(SEARCH("LLC",D248)),VLOOKUP(A248,IntComp24[],16,FALSE),VLOOKUP(A248,IntComp[],16,FALSE)))))</f>
        <v/>
      </c>
      <c r="J248" s="143" t="str">
        <f ca="1">IF(IF(OR(F248="2019-2020",F248="2021-2025"),"",IF(ISNUMBER(SEARCH("LLC",D248)),VLOOKUP(A248,IntComp24[],17,FALSE),VLOOKUP(A248,IntComp[],17,FALSE)))=0,"",IF(OR(F248="2019-2020",F248="2021-2025"),"",IF(ISNUMBER(SEARCH("LLC",D248)),VLOOKUP(A248,IntComp24[],17,FALSE),VLOOKUP(A248,IntComp[],17,FALSE))))</f>
        <v/>
      </c>
      <c r="K248" s="151"/>
      <c r="L248" s="151">
        <f ca="1">IF(OR(F248="2019-2020",F248="2021-2025"),"",IF(ISNUMBER(SEARCH("LLC",D248)),VLOOKUP(A248,IntComp24[],18,FALSE),VLOOKUP(A248,IntComp[],18,FALSE)))</f>
        <v>0</v>
      </c>
      <c r="M248" s="143"/>
      <c r="N248" s="143" t="str">
        <f ca="1">IF(IF(OR(F248="2019-2020",F248="2021-2025"),"",IF(ISNUMBER(SEARCH("LLC",D248)),VLOOKUP(A248,IntComp24[],20,FALSE),VLOOKUP(A248,IntComp[],20,FALSE)))=0,"",IF(OR(F248="2019-2020",F248="2021-2025"),"",IF(ISNUMBER(SEARCH("LLC",D248)),VLOOKUP(A248,IntComp24[],20,FALSE),VLOOKUP(A248,IntComp[],20,FALSE))))</f>
        <v/>
      </c>
      <c r="O248" s="152" t="str">
        <f ca="1">IF(IF(OR(F248="2019-2020",F248="2021-2025"),"",IF(ISNUMBER(SEARCH("LLC",D248)),VLOOKUP(A248,IntComp24[],23,FALSE),VLOOKUP(A248,IntComp[],23,FALSE)))=0,"",IF(OR(F248="2019-2020",F248="2021-2025"),"",IF(ISNUMBER(SEARCH("LLC",D248)),VLOOKUP(A248,IntComp24[],23,FALSE),VLOOKUP(A248,IntComp[],23,FALSE))))</f>
        <v>OMB request sent</v>
      </c>
    </row>
    <row r="249" spans="1:15">
      <c r="A249" s="147" t="s">
        <v>358</v>
      </c>
      <c r="B249" s="144" t="str">
        <f>VLOOKUP(A249,Data[],2,FALSE)</f>
        <v>MANHATTAN</v>
      </c>
      <c r="C249" s="144" t="s">
        <v>106</v>
      </c>
      <c r="D249" s="9" t="str">
        <f>VLOOKUP(A249,Data[],52,FALSE)</f>
        <v>MHOP</v>
      </c>
      <c r="E249" s="9">
        <f>VLOOKUP(IntAll[[#This Row],[DEVELOPMENT]],Data[],62,FALSE)</f>
        <v>10</v>
      </c>
      <c r="F249" s="9" t="str">
        <f ca="1">VLOOKUP(A249,Data[],4,FALSE)</f>
        <v>2020-2021</v>
      </c>
      <c r="G249" s="9">
        <f>VLOOKUP(IntAll[[#This Row],[DEVELOPMENT]],EHDAll[[DEVELOPMENT]:['# Units]],6,FALSE)</f>
        <v>1</v>
      </c>
      <c r="H249" s="143" t="str">
        <f ca="1">IF(IntAll[[#This Row],[STATUS]]="","",IF(OR(F249="2019-2020",F249="2021-2025"),"",IF(ISNUMBER(SEARCH("LLC",D249)),VLOOKUP(A249,IntComp24[],21,FALSE),VLOOKUP(A249,IntComp[],21,FALSE))))</f>
        <v/>
      </c>
      <c r="I249" s="143" t="str">
        <f ca="1">IF(IntAll[[#This Row],[STATUS]]="","",IF(IF(OR(F249="2019-2020",F249="2021-2025"),"",IF(ISNUMBER(SEARCH("LLC",D249)),VLOOKUP(A249,IntComp24[],16,FALSE),VLOOKUP(A249,IntComp[],16,FALSE)))=0,"",IF(OR(F249="2019-2020",F249="2021-2025"),"",IF(ISNUMBER(SEARCH("LLC",D249)),VLOOKUP(A249,IntComp24[],16,FALSE),VLOOKUP(A249,IntComp[],16,FALSE)))))</f>
        <v/>
      </c>
      <c r="J249" s="143" t="str">
        <f ca="1">IF(IF(OR(F249="2019-2020",F249="2021-2025"),"",IF(ISNUMBER(SEARCH("LLC",D249)),VLOOKUP(A249,IntComp24[],17,FALSE),VLOOKUP(A249,IntComp[],17,FALSE)))=0,"",IF(OR(F249="2019-2020",F249="2021-2025"),"",IF(ISNUMBER(SEARCH("LLC",D249)),VLOOKUP(A249,IntComp24[],17,FALSE),VLOOKUP(A249,IntComp[],17,FALSE))))</f>
        <v/>
      </c>
      <c r="K249" s="151"/>
      <c r="L249" s="151">
        <f ca="1">IF(OR(F249="2019-2020",F249="2021-2025"),"",IF(ISNUMBER(SEARCH("LLC",D249)),VLOOKUP(A249,IntComp24[],18,FALSE),VLOOKUP(A249,IntComp[],18,FALSE)))</f>
        <v>0</v>
      </c>
      <c r="M249" s="143"/>
      <c r="N249" s="143" t="str">
        <f ca="1">IF(IF(OR(F249="2019-2020",F249="2021-2025"),"",IF(ISNUMBER(SEARCH("LLC",D249)),VLOOKUP(A249,IntComp24[],20,FALSE),VLOOKUP(A249,IntComp[],20,FALSE)))=0,"",IF(OR(F249="2019-2020",F249="2021-2025"),"",IF(ISNUMBER(SEARCH("LLC",D249)),VLOOKUP(A249,IntComp24[],20,FALSE),VLOOKUP(A249,IntComp[],20,FALSE))))</f>
        <v/>
      </c>
      <c r="O249" s="152" t="str">
        <f ca="1">IF(IF(OR(F249="2019-2020",F249="2021-2025"),"",IF(ISNUMBER(SEARCH("LLC",D249)),VLOOKUP(A249,IntComp24[],23,FALSE),VLOOKUP(A249,IntComp[],23,FALSE)))=0,"",IF(OR(F249="2019-2020",F249="2021-2025"),"",IF(ISNUMBER(SEARCH("LLC",D249)),VLOOKUP(A249,IntComp24[],23,FALSE),VLOOKUP(A249,IntComp[],23,FALSE))))</f>
        <v/>
      </c>
    </row>
    <row r="250" spans="1:15">
      <c r="A250" s="147" t="s">
        <v>359</v>
      </c>
      <c r="B250" s="144" t="str">
        <f>VLOOKUP(A250,Data[],2,FALSE)</f>
        <v>MANHATTAN</v>
      </c>
      <c r="C250" s="144" t="s">
        <v>106</v>
      </c>
      <c r="D250" s="9" t="str">
        <f>VLOOKUP(A250,Data[],52,FALSE)</f>
        <v>MHOP</v>
      </c>
      <c r="E250" s="9">
        <f>VLOOKUP(IntAll[[#This Row],[DEVELOPMENT]],Data[],62,FALSE)</f>
        <v>10</v>
      </c>
      <c r="F250" s="9" t="str">
        <f ca="1">VLOOKUP(A250,Data[],4,FALSE)</f>
        <v>2020-2021</v>
      </c>
      <c r="G250" s="9">
        <f>VLOOKUP(IntAll[[#This Row],[DEVELOPMENT]],EHDAll[[DEVELOPMENT]:['# Units]],6,FALSE)</f>
        <v>0</v>
      </c>
      <c r="H250" s="143" t="str">
        <f ca="1">IF(IntAll[[#This Row],[STATUS]]="","",IF(OR(F250="2019-2020",F250="2021-2025"),"",IF(ISNUMBER(SEARCH("LLC",D250)),VLOOKUP(A250,IntComp24[],21,FALSE),VLOOKUP(A250,IntComp[],21,FALSE))))</f>
        <v/>
      </c>
      <c r="I250" s="143" t="str">
        <f ca="1">IF(IntAll[[#This Row],[STATUS]]="","",IF(IF(OR(F250="2019-2020",F250="2021-2025"),"",IF(ISNUMBER(SEARCH("LLC",D250)),VLOOKUP(A250,IntComp24[],16,FALSE),VLOOKUP(A250,IntComp[],16,FALSE)))=0,"",IF(OR(F250="2019-2020",F250="2021-2025"),"",IF(ISNUMBER(SEARCH("LLC",D250)),VLOOKUP(A250,IntComp24[],16,FALSE),VLOOKUP(A250,IntComp[],16,FALSE)))))</f>
        <v/>
      </c>
      <c r="J250" s="143" t="str">
        <f ca="1">IF(IF(OR(F250="2019-2020",F250="2021-2025"),"",IF(ISNUMBER(SEARCH("LLC",D250)),VLOOKUP(A250,IntComp24[],17,FALSE),VLOOKUP(A250,IntComp[],17,FALSE)))=0,"",IF(OR(F250="2019-2020",F250="2021-2025"),"",IF(ISNUMBER(SEARCH("LLC",D250)),VLOOKUP(A250,IntComp24[],17,FALSE),VLOOKUP(A250,IntComp[],17,FALSE))))</f>
        <v/>
      </c>
      <c r="K250" s="151"/>
      <c r="L250" s="151">
        <f ca="1">IF(OR(F250="2019-2020",F250="2021-2025"),"",IF(ISNUMBER(SEARCH("LLC",D250)),VLOOKUP(A250,IntComp24[],18,FALSE),VLOOKUP(A250,IntComp[],18,FALSE)))</f>
        <v>0</v>
      </c>
      <c r="M250" s="143"/>
      <c r="N250" s="143" t="str">
        <f ca="1">IF(IF(OR(F250="2019-2020",F250="2021-2025"),"",IF(ISNUMBER(SEARCH("LLC",D250)),VLOOKUP(A250,IntComp24[],20,FALSE),VLOOKUP(A250,IntComp[],20,FALSE)))=0,"",IF(OR(F250="2019-2020",F250="2021-2025"),"",IF(ISNUMBER(SEARCH("LLC",D250)),VLOOKUP(A250,IntComp24[],20,FALSE),VLOOKUP(A250,IntComp[],20,FALSE))))</f>
        <v/>
      </c>
      <c r="O250" s="152" t="str">
        <f ca="1">IF(IF(OR(F250="2019-2020",F250="2021-2025"),"",IF(ISNUMBER(SEARCH("LLC",D250)),VLOOKUP(A250,IntComp24[],23,FALSE),VLOOKUP(A250,IntComp[],23,FALSE)))=0,"",IF(OR(F250="2019-2020",F250="2021-2025"),"",IF(ISNUMBER(SEARCH("LLC",D250)),VLOOKUP(A250,IntComp24[],23,FALSE),VLOOKUP(A250,IntComp[],23,FALSE))))</f>
        <v/>
      </c>
    </row>
    <row r="251" spans="1:15">
      <c r="A251" s="147" t="s">
        <v>360</v>
      </c>
      <c r="B251" s="144" t="str">
        <f>VLOOKUP(A251,Data[],2,FALSE)</f>
        <v>MANHATTAN</v>
      </c>
      <c r="C251" s="144" t="s">
        <v>106</v>
      </c>
      <c r="D251" s="9" t="str">
        <f>VLOOKUP(A251,Data[],52,FALSE)</f>
        <v>MHOP</v>
      </c>
      <c r="E251" s="9">
        <f>VLOOKUP(IntAll[[#This Row],[DEVELOPMENT]],Data[],62,FALSE)</f>
        <v>10</v>
      </c>
      <c r="F251" s="9" t="str">
        <f ca="1">VLOOKUP(A251,Data[],4,FALSE)</f>
        <v>2020-2021</v>
      </c>
      <c r="G251" s="9">
        <f>VLOOKUP(IntAll[[#This Row],[DEVELOPMENT]],EHDAll[[DEVELOPMENT]:['# Units]],6,FALSE)</f>
        <v>1</v>
      </c>
      <c r="H251" s="143" t="str">
        <f ca="1">IF(IntAll[[#This Row],[STATUS]]="","",IF(OR(F251="2019-2020",F251="2021-2025"),"",IF(ISNUMBER(SEARCH("LLC",D251)),VLOOKUP(A251,IntComp24[],21,FALSE),VLOOKUP(A251,IntComp[],21,FALSE))))</f>
        <v/>
      </c>
      <c r="I251" s="143" t="str">
        <f ca="1">IF(IntAll[[#This Row],[STATUS]]="","",IF(IF(OR(F251="2019-2020",F251="2021-2025"),"",IF(ISNUMBER(SEARCH("LLC",D251)),VLOOKUP(A251,IntComp24[],16,FALSE),VLOOKUP(A251,IntComp[],16,FALSE)))=0,"",IF(OR(F251="2019-2020",F251="2021-2025"),"",IF(ISNUMBER(SEARCH("LLC",D251)),VLOOKUP(A251,IntComp24[],16,FALSE),VLOOKUP(A251,IntComp[],16,FALSE)))))</f>
        <v/>
      </c>
      <c r="J251" s="143" t="str">
        <f ca="1">IF(IF(OR(F251="2019-2020",F251="2021-2025"),"",IF(ISNUMBER(SEARCH("LLC",D251)),VLOOKUP(A251,IntComp24[],17,FALSE),VLOOKUP(A251,IntComp[],17,FALSE)))=0,"",IF(OR(F251="2019-2020",F251="2021-2025"),"",IF(ISNUMBER(SEARCH("LLC",D251)),VLOOKUP(A251,IntComp24[],17,FALSE),VLOOKUP(A251,IntComp[],17,FALSE))))</f>
        <v/>
      </c>
      <c r="K251" s="151"/>
      <c r="L251" s="151">
        <f ca="1">IF(OR(F251="2019-2020",F251="2021-2025"),"",IF(ISNUMBER(SEARCH("LLC",D251)),VLOOKUP(A251,IntComp24[],18,FALSE),VLOOKUP(A251,IntComp[],18,FALSE)))</f>
        <v>0</v>
      </c>
      <c r="M251" s="143"/>
      <c r="N251" s="143" t="str">
        <f ca="1">IF(IF(OR(F251="2019-2020",F251="2021-2025"),"",IF(ISNUMBER(SEARCH("LLC",D251)),VLOOKUP(A251,IntComp24[],20,FALSE),VLOOKUP(A251,IntComp[],20,FALSE)))=0,"",IF(OR(F251="2019-2020",F251="2021-2025"),"",IF(ISNUMBER(SEARCH("LLC",D251)),VLOOKUP(A251,IntComp24[],20,FALSE),VLOOKUP(A251,IntComp[],20,FALSE))))</f>
        <v/>
      </c>
      <c r="O251" s="152" t="str">
        <f ca="1">IF(IF(OR(F251="2019-2020",F251="2021-2025"),"",IF(ISNUMBER(SEARCH("LLC",D251)),VLOOKUP(A251,IntComp24[],23,FALSE),VLOOKUP(A251,IntComp[],23,FALSE)))=0,"",IF(OR(F251="2019-2020",F251="2021-2025"),"",IF(ISNUMBER(SEARCH("LLC",D251)),VLOOKUP(A251,IntComp24[],23,FALSE),VLOOKUP(A251,IntComp[],23,FALSE))))</f>
        <v/>
      </c>
    </row>
    <row r="252" spans="1:15">
      <c r="A252" s="147" t="s">
        <v>254</v>
      </c>
      <c r="B252" s="144" t="str">
        <f>VLOOKUP(A252,Data[],2,FALSE)</f>
        <v>BROOKLYN</v>
      </c>
      <c r="C252" s="144" t="s">
        <v>106</v>
      </c>
      <c r="D252" s="9" t="str">
        <f>VLOOKUP(A252,Data[],52,FALSE)</f>
        <v>FEDERAL</v>
      </c>
      <c r="E252" s="9">
        <f>VLOOKUP(IntAll[[#This Row],[DEVELOPMENT]],Data[],62,FALSE)</f>
        <v>16</v>
      </c>
      <c r="F252" s="9" t="str">
        <f ca="1">VLOOKUP(A252,Data[],4,FALSE)</f>
        <v/>
      </c>
      <c r="G252" s="9">
        <f>VLOOKUP(IntAll[[#This Row],[DEVELOPMENT]],EHDAll[[DEVELOPMENT]:['# Units]],6,FALSE)</f>
        <v>1</v>
      </c>
      <c r="H252" s="143" t="str">
        <f ca="1">IF(IntAll[[#This Row],[STATUS]]="","",IF(OR(F252="2019-2020",F252="2021-2025"),"",IF(ISNUMBER(SEARCH("LLC",D252)),VLOOKUP(A252,IntComp24[],21,FALSE),VLOOKUP(A252,IntComp[],21,FALSE))))</f>
        <v/>
      </c>
      <c r="I252" s="143" t="str">
        <f ca="1">IF(IntAll[[#This Row],[STATUS]]="","",IF(IF(OR(F252="2019-2020",F252="2021-2025"),"",IF(ISNUMBER(SEARCH("LLC",D252)),VLOOKUP(A252,IntComp24[],16,FALSE),VLOOKUP(A252,IntComp[],16,FALSE)))=0,"",IF(OR(F252="2019-2020",F252="2021-2025"),"",IF(ISNUMBER(SEARCH("LLC",D252)),VLOOKUP(A252,IntComp24[],16,FALSE),VLOOKUP(A252,IntComp[],16,FALSE)))))</f>
        <v/>
      </c>
      <c r="J252" s="143" t="str">
        <f ca="1">IF(IF(OR(F252="2019-2020",F252="2021-2025"),"",IF(ISNUMBER(SEARCH("LLC",D252)),VLOOKUP(A252,IntComp24[],17,FALSE),VLOOKUP(A252,IntComp[],17,FALSE)))=0,"",IF(OR(F252="2019-2020",F252="2021-2025"),"",IF(ISNUMBER(SEARCH("LLC",D252)),VLOOKUP(A252,IntComp24[],17,FALSE),VLOOKUP(A252,IntComp[],17,FALSE))))</f>
        <v/>
      </c>
      <c r="K252" s="151"/>
      <c r="L252" s="151">
        <f ca="1">IF(OR(F252="2019-2020",F252="2021-2025"),"",IF(ISNUMBER(SEARCH("LLC",D252)),VLOOKUP(A252,IntComp24[],18,FALSE),VLOOKUP(A252,IntComp[],18,FALSE)))</f>
        <v>76335.875</v>
      </c>
      <c r="M252" s="143"/>
      <c r="N252" s="143" t="str">
        <f ca="1">IF(IF(OR(F252="2019-2020",F252="2021-2025"),"",IF(ISNUMBER(SEARCH("LLC",D252)),VLOOKUP(A252,IntComp24[],20,FALSE),VLOOKUP(A252,IntComp[],20,FALSE)))=0,"",IF(OR(F252="2019-2020",F252="2021-2025"),"",IF(ISNUMBER(SEARCH("LLC",D252)),VLOOKUP(A252,IntComp24[],20,FALSE),VLOOKUP(A252,IntComp[],20,FALSE))))</f>
        <v/>
      </c>
      <c r="O252" s="152" t="str">
        <f ca="1">IF(IF(OR(F252="2019-2020",F252="2021-2025"),"",IF(ISNUMBER(SEARCH("LLC",D252)),VLOOKUP(A252,IntComp24[],23,FALSE),VLOOKUP(A252,IntComp[],23,FALSE)))=0,"",IF(OR(F252="2019-2020",F252="2021-2025"),"",IF(ISNUMBER(SEARCH("LLC",D252)),VLOOKUP(A252,IntComp24[],23,FALSE),VLOOKUP(A252,IntComp[],23,FALSE))))</f>
        <v/>
      </c>
    </row>
    <row r="253" spans="1:15">
      <c r="A253" s="147" t="s">
        <v>361</v>
      </c>
      <c r="B253" s="144" t="str">
        <f>VLOOKUP(A253,Data[],2,FALSE)</f>
        <v>BRONX</v>
      </c>
      <c r="C253" s="144" t="s">
        <v>106</v>
      </c>
      <c r="D253" s="9" t="str">
        <f>VLOOKUP(A253,Data[],52,FALSE)</f>
        <v>FEDERAL</v>
      </c>
      <c r="E253" s="9">
        <f>VLOOKUP(IntAll[[#This Row],[DEVELOPMENT]],Data[],62,FALSE)</f>
        <v>5</v>
      </c>
      <c r="F253" s="9" t="str">
        <f ca="1">VLOOKUP(A253,Data[],4,FALSE)</f>
        <v/>
      </c>
      <c r="G253" s="9">
        <f>VLOOKUP(IntAll[[#This Row],[DEVELOPMENT]],EHDAll[[DEVELOPMENT]:['# Units]],6,FALSE)</f>
        <v>7</v>
      </c>
      <c r="H253" s="143" t="str">
        <f ca="1">IF(IntAll[[#This Row],[STATUS]]="","",IF(OR(F253="2019-2020",F253="2021-2025"),"",IF(ISNUMBER(SEARCH("LLC",D253)),VLOOKUP(A253,IntComp24[],21,FALSE),VLOOKUP(A253,IntComp[],21,FALSE))))</f>
        <v/>
      </c>
      <c r="I253" s="143" t="str">
        <f ca="1">IF(IntAll[[#This Row],[STATUS]]="","",IF(IF(OR(F253="2019-2020",F253="2021-2025"),"",IF(ISNUMBER(SEARCH("LLC",D253)),VLOOKUP(A253,IntComp24[],16,FALSE),VLOOKUP(A253,IntComp[],16,FALSE)))=0,"",IF(OR(F253="2019-2020",F253="2021-2025"),"",IF(ISNUMBER(SEARCH("LLC",D253)),VLOOKUP(A253,IntComp24[],16,FALSE),VLOOKUP(A253,IntComp[],16,FALSE)))))</f>
        <v/>
      </c>
      <c r="J253" s="143" t="str">
        <f ca="1">IF(IF(OR(F253="2019-2020",F253="2021-2025"),"",IF(ISNUMBER(SEARCH("LLC",D253)),VLOOKUP(A253,IntComp24[],17,FALSE),VLOOKUP(A253,IntComp[],17,FALSE)))=0,"",IF(OR(F253="2019-2020",F253="2021-2025"),"",IF(ISNUMBER(SEARCH("LLC",D253)),VLOOKUP(A253,IntComp24[],17,FALSE),VLOOKUP(A253,IntComp[],17,FALSE))))</f>
        <v/>
      </c>
      <c r="K253" s="151"/>
      <c r="L253" s="151">
        <f ca="1">IF(OR(F253="2019-2020",F253="2021-2025"),"",IF(ISNUMBER(SEARCH("LLC",D253)),VLOOKUP(A253,IntComp24[],18,FALSE),VLOOKUP(A253,IntComp[],18,FALSE)))</f>
        <v>549807.5625</v>
      </c>
      <c r="M253" s="143"/>
      <c r="N253" s="143" t="str">
        <f ca="1">IF(IF(OR(F253="2019-2020",F253="2021-2025"),"",IF(ISNUMBER(SEARCH("LLC",D253)),VLOOKUP(A253,IntComp24[],20,FALSE),VLOOKUP(A253,IntComp[],20,FALSE)))=0,"",IF(OR(F253="2019-2020",F253="2021-2025"),"",IF(ISNUMBER(SEARCH("LLC",D253)),VLOOKUP(A253,IntComp24[],20,FALSE),VLOOKUP(A253,IntComp[],20,FALSE))))</f>
        <v/>
      </c>
      <c r="O253" s="152" t="str">
        <f ca="1">IF(IF(OR(F253="2019-2020",F253="2021-2025"),"",IF(ISNUMBER(SEARCH("LLC",D253)),VLOOKUP(A253,IntComp24[],23,FALSE),VLOOKUP(A253,IntComp[],23,FALSE)))=0,"",IF(OR(F253="2019-2020",F253="2021-2025"),"",IF(ISNUMBER(SEARCH("LLC",D253)),VLOOKUP(A253,IntComp24[],23,FALSE),VLOOKUP(A253,IntComp[],23,FALSE))))</f>
        <v/>
      </c>
    </row>
    <row r="254" spans="1:15">
      <c r="A254" s="147" t="s">
        <v>196</v>
      </c>
      <c r="B254" s="144" t="str">
        <f>VLOOKUP(A254,Data[],2,FALSE)</f>
        <v>BROOKLYN</v>
      </c>
      <c r="C254" s="144" t="s">
        <v>106</v>
      </c>
      <c r="D254" s="9" t="str">
        <f>VLOOKUP(A254,Data[],52,FALSE)</f>
        <v>FEDERAL</v>
      </c>
      <c r="E254" s="9">
        <f>VLOOKUP(IntAll[[#This Row],[DEVELOPMENT]],Data[],62,FALSE)</f>
        <v>15</v>
      </c>
      <c r="F254" s="9" t="str">
        <f ca="1">VLOOKUP(A254,Data[],4,FALSE)</f>
        <v>2026+</v>
      </c>
      <c r="G254" s="9">
        <f>VLOOKUP(IntAll[[#This Row],[DEVELOPMENT]],EHDAll[[DEVELOPMENT]:['# Units]],6,FALSE)</f>
        <v>36</v>
      </c>
      <c r="H254" s="143" t="str">
        <f ca="1">IF(IntAll[[#This Row],[STATUS]]="","",IF(OR(F254="2019-2020",F254="2021-2025"),"",IF(ISNUMBER(SEARCH("LLC",D254)),VLOOKUP(A254,IntComp24[],21,FALSE),VLOOKUP(A254,IntComp[],21,FALSE))))</f>
        <v/>
      </c>
      <c r="I254" s="143" t="str">
        <f ca="1">IF(IntAll[[#This Row],[STATUS]]="","",IF(IF(OR(F254="2019-2020",F254="2021-2025"),"",IF(ISNUMBER(SEARCH("LLC",D254)),VLOOKUP(A254,IntComp24[],16,FALSE),VLOOKUP(A254,IntComp[],16,FALSE)))=0,"",IF(OR(F254="2019-2020",F254="2021-2025"),"",IF(ISNUMBER(SEARCH("LLC",D254)),VLOOKUP(A254,IntComp24[],16,FALSE),VLOOKUP(A254,IntComp[],16,FALSE)))))</f>
        <v/>
      </c>
      <c r="J254" s="143" t="str">
        <f ca="1">IF(IF(OR(F254="2019-2020",F254="2021-2025"),"",IF(ISNUMBER(SEARCH("LLC",D254)),VLOOKUP(A254,IntComp24[],17,FALSE),VLOOKUP(A254,IntComp[],17,FALSE)))=0,"",IF(OR(F254="2019-2020",F254="2021-2025"),"",IF(ISNUMBER(SEARCH("LLC",D254)),VLOOKUP(A254,IntComp24[],17,FALSE),VLOOKUP(A254,IntComp[],17,FALSE))))</f>
        <v/>
      </c>
      <c r="K254" s="151"/>
      <c r="L254" s="151">
        <f ca="1">IF(OR(F254="2019-2020",F254="2021-2025"),"",IF(ISNUMBER(SEARCH("LLC",D254)),VLOOKUP(A254,IntComp24[],18,FALSE),VLOOKUP(A254,IntComp[],18,FALSE)))</f>
        <v>2827581.7500000005</v>
      </c>
      <c r="M254" s="143"/>
      <c r="N254" s="143" t="str">
        <f ca="1">IF(IF(OR(F254="2019-2020",F254="2021-2025"),"",IF(ISNUMBER(SEARCH("LLC",D254)),VLOOKUP(A254,IntComp24[],20,FALSE),VLOOKUP(A254,IntComp[],20,FALSE)))=0,"",IF(OR(F254="2019-2020",F254="2021-2025"),"",IF(ISNUMBER(SEARCH("LLC",D254)),VLOOKUP(A254,IntComp24[],20,FALSE),VLOOKUP(A254,IntComp[],20,FALSE))))</f>
        <v/>
      </c>
      <c r="O254" s="152" t="str">
        <f ca="1">IF(IF(OR(F254="2019-2020",F254="2021-2025"),"",IF(ISNUMBER(SEARCH("LLC",D254)),VLOOKUP(A254,IntComp24[],23,FALSE),VLOOKUP(A254,IntComp[],23,FALSE)))=0,"",IF(OR(F254="2019-2020",F254="2021-2025"),"",IF(ISNUMBER(SEARCH("LLC",D254)),VLOOKUP(A254,IntComp24[],23,FALSE),VLOOKUP(A254,IntComp[],23,FALSE))))</f>
        <v/>
      </c>
    </row>
    <row r="255" spans="1:15">
      <c r="A255" s="147" t="s">
        <v>362</v>
      </c>
      <c r="B255" s="144" t="str">
        <f>VLOOKUP(A255,Data[],2,FALSE)</f>
        <v>QUEENS</v>
      </c>
      <c r="C255" s="144" t="s">
        <v>106</v>
      </c>
      <c r="D255" s="9" t="str">
        <f>VLOOKUP(A255,Data[],52,FALSE)</f>
        <v>FEDERAL</v>
      </c>
      <c r="E255" s="9">
        <f>VLOOKUP(IntAll[[#This Row],[DEVELOPMENT]],Data[],62,FALSE)</f>
        <v>12</v>
      </c>
      <c r="F255" s="9" t="str">
        <f ca="1">VLOOKUP(A255,Data[],4,FALSE)</f>
        <v/>
      </c>
      <c r="G255" s="9">
        <f>VLOOKUP(IntAll[[#This Row],[DEVELOPMENT]],EHDAll[[DEVELOPMENT]:['# Units]],6,FALSE)</f>
        <v>1</v>
      </c>
      <c r="H255" s="143" t="str">
        <f ca="1">IF(IntAll[[#This Row],[STATUS]]="","",IF(OR(F255="2019-2020",F255="2021-2025"),"",IF(ISNUMBER(SEARCH("LLC",D255)),VLOOKUP(A255,IntComp24[],21,FALSE),VLOOKUP(A255,IntComp[],21,FALSE))))</f>
        <v/>
      </c>
      <c r="I255" s="143" t="str">
        <f ca="1">IF(IntAll[[#This Row],[STATUS]]="","",IF(IF(OR(F255="2019-2020",F255="2021-2025"),"",IF(ISNUMBER(SEARCH("LLC",D255)),VLOOKUP(A255,IntComp24[],16,FALSE),VLOOKUP(A255,IntComp[],16,FALSE)))=0,"",IF(OR(F255="2019-2020",F255="2021-2025"),"",IF(ISNUMBER(SEARCH("LLC",D255)),VLOOKUP(A255,IntComp24[],16,FALSE),VLOOKUP(A255,IntComp[],16,FALSE)))))</f>
        <v/>
      </c>
      <c r="J255" s="143" t="str">
        <f ca="1">IF(IF(OR(F255="2019-2020",F255="2021-2025"),"",IF(ISNUMBER(SEARCH("LLC",D255)),VLOOKUP(A255,IntComp24[],17,FALSE),VLOOKUP(A255,IntComp[],17,FALSE)))=0,"",IF(OR(F255="2019-2020",F255="2021-2025"),"",IF(ISNUMBER(SEARCH("LLC",D255)),VLOOKUP(A255,IntComp24[],17,FALSE),VLOOKUP(A255,IntComp[],17,FALSE))))</f>
        <v/>
      </c>
      <c r="K255" s="151"/>
      <c r="L255" s="151">
        <f ca="1">IF(OR(F255="2019-2020",F255="2021-2025"),"",IF(ISNUMBER(SEARCH("LLC",D255)),VLOOKUP(A255,IntComp24[],18,FALSE),VLOOKUP(A255,IntComp[],18,FALSE)))</f>
        <v>67503.625</v>
      </c>
      <c r="M255" s="143"/>
      <c r="N255" s="143" t="str">
        <f ca="1">IF(IF(OR(F255="2019-2020",F255="2021-2025"),"",IF(ISNUMBER(SEARCH("LLC",D255)),VLOOKUP(A255,IntComp24[],20,FALSE),VLOOKUP(A255,IntComp[],20,FALSE)))=0,"",IF(OR(F255="2019-2020",F255="2021-2025"),"",IF(ISNUMBER(SEARCH("LLC",D255)),VLOOKUP(A255,IntComp24[],20,FALSE),VLOOKUP(A255,IntComp[],20,FALSE))))</f>
        <v/>
      </c>
      <c r="O255" s="152" t="str">
        <f ca="1">IF(IF(OR(F255="2019-2020",F255="2021-2025"),"",IF(ISNUMBER(SEARCH("LLC",D255)),VLOOKUP(A255,IntComp24[],23,FALSE),VLOOKUP(A255,IntComp[],23,FALSE)))=0,"",IF(OR(F255="2019-2020",F255="2021-2025"),"",IF(ISNUMBER(SEARCH("LLC",D255)),VLOOKUP(A255,IntComp24[],23,FALSE),VLOOKUP(A255,IntComp[],23,FALSE))))</f>
        <v/>
      </c>
    </row>
    <row r="256" spans="1:15">
      <c r="A256" s="147" t="s">
        <v>197</v>
      </c>
      <c r="B256" s="144" t="str">
        <f>VLOOKUP(A256,Data[],2,FALSE)</f>
        <v>BRONX</v>
      </c>
      <c r="C256" s="144" t="s">
        <v>106</v>
      </c>
      <c r="D256" s="9" t="str">
        <f>VLOOKUP(A256,Data[],52,FALSE)</f>
        <v>FEDERAL</v>
      </c>
      <c r="E256" s="9">
        <f>VLOOKUP(IntAll[[#This Row],[DEVELOPMENT]],Data[],62,FALSE)</f>
        <v>9</v>
      </c>
      <c r="F256" s="9" t="str">
        <f ca="1">VLOOKUP(A256,Data[],4,FALSE)</f>
        <v>2026+</v>
      </c>
      <c r="G256" s="9">
        <f>VLOOKUP(IntAll[[#This Row],[DEVELOPMENT]],EHDAll[[DEVELOPMENT]:['# Units]],6,FALSE)</f>
        <v>28</v>
      </c>
      <c r="H256" s="143" t="str">
        <f ca="1">IF(IntAll[[#This Row],[STATUS]]="","",IF(OR(F256="2019-2020",F256="2021-2025"),"",IF(ISNUMBER(SEARCH("LLC",D256)),VLOOKUP(A256,IntComp24[],21,FALSE),VLOOKUP(A256,IntComp[],21,FALSE))))</f>
        <v/>
      </c>
      <c r="I256" s="143" t="str">
        <f ca="1">IF(IntAll[[#This Row],[STATUS]]="","",IF(IF(OR(F256="2019-2020",F256="2021-2025"),"",IF(ISNUMBER(SEARCH("LLC",D256)),VLOOKUP(A256,IntComp24[],16,FALSE),VLOOKUP(A256,IntComp[],16,FALSE)))=0,"",IF(OR(F256="2019-2020",F256="2021-2025"),"",IF(ISNUMBER(SEARCH("LLC",D256)),VLOOKUP(A256,IntComp24[],16,FALSE),VLOOKUP(A256,IntComp[],16,FALSE)))))</f>
        <v/>
      </c>
      <c r="J256" s="143" t="str">
        <f ca="1">IF(IF(OR(F256="2019-2020",F256="2021-2025"),"",IF(ISNUMBER(SEARCH("LLC",D256)),VLOOKUP(A256,IntComp24[],17,FALSE),VLOOKUP(A256,IntComp[],17,FALSE)))=0,"",IF(OR(F256="2019-2020",F256="2021-2025"),"",IF(ISNUMBER(SEARCH("LLC",D256)),VLOOKUP(A256,IntComp24[],17,FALSE),VLOOKUP(A256,IntComp[],17,FALSE))))</f>
        <v/>
      </c>
      <c r="K256" s="151"/>
      <c r="L256" s="151">
        <f ca="1">IF(OR(F256="2019-2020",F256="2021-2025"),"",IF(ISNUMBER(SEARCH("LLC",D256)),VLOOKUP(A256,IntComp24[],18,FALSE),VLOOKUP(A256,IntComp[],18,FALSE)))</f>
        <v>2075578.75</v>
      </c>
      <c r="M256" s="143"/>
      <c r="N256" s="143" t="str">
        <f ca="1">IF(IF(OR(F256="2019-2020",F256="2021-2025"),"",IF(ISNUMBER(SEARCH("LLC",D256)),VLOOKUP(A256,IntComp24[],20,FALSE),VLOOKUP(A256,IntComp[],20,FALSE)))=0,"",IF(OR(F256="2019-2020",F256="2021-2025"),"",IF(ISNUMBER(SEARCH("LLC",D256)),VLOOKUP(A256,IntComp24[],20,FALSE),VLOOKUP(A256,IntComp[],20,FALSE))))</f>
        <v/>
      </c>
      <c r="O256" s="152" t="str">
        <f ca="1">IF(IF(OR(F256="2019-2020",F256="2021-2025"),"",IF(ISNUMBER(SEARCH("LLC",D256)),VLOOKUP(A256,IntComp24[],23,FALSE),VLOOKUP(A256,IntComp[],23,FALSE)))=0,"",IF(OR(F256="2019-2020",F256="2021-2025"),"",IF(ISNUMBER(SEARCH("LLC",D256)),VLOOKUP(A256,IntComp24[],23,FALSE),VLOOKUP(A256,IntComp[],23,FALSE))))</f>
        <v/>
      </c>
    </row>
    <row r="257" spans="1:15">
      <c r="A257" s="147" t="s">
        <v>363</v>
      </c>
      <c r="B257" s="144" t="str">
        <f>VLOOKUP(A257,Data[],2,FALSE)</f>
        <v>BRONX</v>
      </c>
      <c r="C257" s="144" t="s">
        <v>106</v>
      </c>
      <c r="D257" s="9" t="str">
        <f>VLOOKUP(A257,Data[],52,FALSE)</f>
        <v>FEDERAL</v>
      </c>
      <c r="E257" s="9">
        <f>VLOOKUP(IntAll[[#This Row],[DEVELOPMENT]],Data[],62,FALSE)</f>
        <v>9</v>
      </c>
      <c r="F257" s="9" t="str">
        <f ca="1">VLOOKUP(A257,Data[],4,FALSE)</f>
        <v>2022-2025</v>
      </c>
      <c r="G257" s="9">
        <f>VLOOKUP(IntAll[[#This Row],[DEVELOPMENT]],EHDAll[[DEVELOPMENT]:['# Units]],6,FALSE)</f>
        <v>26</v>
      </c>
      <c r="H257" s="143" t="str">
        <f ca="1">IF(IntAll[[#This Row],[STATUS]]="","",IF(OR(F257="2019-2020",F257="2021-2025"),"",IF(ISNUMBER(SEARCH("LLC",D257)),VLOOKUP(A257,IntComp24[],21,FALSE),VLOOKUP(A257,IntComp[],21,FALSE))))</f>
        <v/>
      </c>
      <c r="I257" s="143" t="str">
        <f ca="1">IF(IntAll[[#This Row],[STATUS]]="","",IF(IF(OR(F257="2019-2020",F257="2021-2025"),"",IF(ISNUMBER(SEARCH("LLC",D257)),VLOOKUP(A257,IntComp24[],16,FALSE),VLOOKUP(A257,IntComp[],16,FALSE)))=0,"",IF(OR(F257="2019-2020",F257="2021-2025"),"",IF(ISNUMBER(SEARCH("LLC",D257)),VLOOKUP(A257,IntComp24[],16,FALSE),VLOOKUP(A257,IntComp[],16,FALSE)))))</f>
        <v/>
      </c>
      <c r="J257" s="143" t="str">
        <f ca="1">IF(IF(OR(F257="2019-2020",F257="2021-2025"),"",IF(ISNUMBER(SEARCH("LLC",D257)),VLOOKUP(A257,IntComp24[],17,FALSE),VLOOKUP(A257,IntComp[],17,FALSE)))=0,"",IF(OR(F257="2019-2020",F257="2021-2025"),"",IF(ISNUMBER(SEARCH("LLC",D257)),VLOOKUP(A257,IntComp24[],17,FALSE),VLOOKUP(A257,IntComp[],17,FALSE))))</f>
        <v/>
      </c>
      <c r="K257" s="151"/>
      <c r="L257" s="151">
        <f ca="1">IF(OR(F257="2019-2020",F257="2021-2025"),"",IF(ISNUMBER(SEARCH("LLC",D257)),VLOOKUP(A257,IntComp24[],18,FALSE),VLOOKUP(A257,IntComp[],18,FALSE)))</f>
        <v>0</v>
      </c>
      <c r="M257" s="143"/>
      <c r="N257" s="143" t="str">
        <f ca="1">IF(IF(OR(F257="2019-2020",F257="2021-2025"),"",IF(ISNUMBER(SEARCH("LLC",D257)),VLOOKUP(A257,IntComp24[],20,FALSE),VLOOKUP(A257,IntComp[],20,FALSE)))=0,"",IF(OR(F257="2019-2020",F257="2021-2025"),"",IF(ISNUMBER(SEARCH("LLC",D257)),VLOOKUP(A257,IntComp24[],20,FALSE),VLOOKUP(A257,IntComp[],20,FALSE))))</f>
        <v/>
      </c>
      <c r="O257" s="152" t="str">
        <f ca="1">IF(IF(OR(F257="2019-2020",F257="2021-2025"),"",IF(ISNUMBER(SEARCH("LLC",D257)),VLOOKUP(A257,IntComp24[],23,FALSE),VLOOKUP(A257,IntComp[],23,FALSE)))=0,"",IF(OR(F257="2019-2020",F257="2021-2025"),"",IF(ISNUMBER(SEARCH("LLC",D257)),VLOOKUP(A257,IntComp24[],23,FALSE),VLOOKUP(A257,IntComp[],23,FALSE))))</f>
        <v/>
      </c>
    </row>
    <row r="258" spans="1:15">
      <c r="A258" s="147" t="s">
        <v>255</v>
      </c>
      <c r="B258" s="144" t="str">
        <f>VLOOKUP(A258,Data[],2,FALSE)</f>
        <v>STATEN ISLAND</v>
      </c>
      <c r="C258" s="144" t="s">
        <v>106</v>
      </c>
      <c r="D258" s="9" t="str">
        <f>VLOOKUP(A258,Data[],52,FALSE)</f>
        <v>FEDERAL</v>
      </c>
      <c r="E258" s="9">
        <f>VLOOKUP(IntAll[[#This Row],[DEVELOPMENT]],Data[],62,FALSE)</f>
        <v>2</v>
      </c>
      <c r="F258" s="9" t="str">
        <f ca="1">VLOOKUP(A258,Data[],4,FALSE)</f>
        <v/>
      </c>
      <c r="G258" s="9">
        <f>VLOOKUP(IntAll[[#This Row],[DEVELOPMENT]],EHDAll[[DEVELOPMENT]:['# Units]],6,FALSE)</f>
        <v>15</v>
      </c>
      <c r="H258" s="143" t="str">
        <f ca="1">IF(IntAll[[#This Row],[STATUS]]="","",IF(OR(F258="2019-2020",F258="2021-2025"),"",IF(ISNUMBER(SEARCH("LLC",D258)),VLOOKUP(A258,IntComp24[],21,FALSE),VLOOKUP(A258,IntComp[],21,FALSE))))</f>
        <v/>
      </c>
      <c r="I258" s="143" t="str">
        <f ca="1">IF(IntAll[[#This Row],[STATUS]]="","",IF(IF(OR(F258="2019-2020",F258="2021-2025"),"",IF(ISNUMBER(SEARCH("LLC",D258)),VLOOKUP(A258,IntComp24[],16,FALSE),VLOOKUP(A258,IntComp[],16,FALSE)))=0,"",IF(OR(F258="2019-2020",F258="2021-2025"),"",IF(ISNUMBER(SEARCH("LLC",D258)),VLOOKUP(A258,IntComp24[],16,FALSE),VLOOKUP(A258,IntComp[],16,FALSE)))))</f>
        <v/>
      </c>
      <c r="J258" s="143" t="str">
        <f ca="1">IF(IF(OR(F258="2019-2020",F258="2021-2025"),"",IF(ISNUMBER(SEARCH("LLC",D258)),VLOOKUP(A258,IntComp24[],17,FALSE),VLOOKUP(A258,IntComp[],17,FALSE)))=0,"",IF(OR(F258="2019-2020",F258="2021-2025"),"",IF(ISNUMBER(SEARCH("LLC",D258)),VLOOKUP(A258,IntComp24[],17,FALSE),VLOOKUP(A258,IntComp[],17,FALSE))))</f>
        <v/>
      </c>
      <c r="K258" s="151"/>
      <c r="L258" s="151">
        <f ca="1">IF(OR(F258="2019-2020",F258="2021-2025"),"",IF(ISNUMBER(SEARCH("LLC",D258)),VLOOKUP(A258,IntComp24[],18,FALSE),VLOOKUP(A258,IntComp[],18,FALSE)))</f>
        <v>1145038.125</v>
      </c>
      <c r="M258" s="143"/>
      <c r="N258" s="143" t="str">
        <f ca="1">IF(IF(OR(F258="2019-2020",F258="2021-2025"),"",IF(ISNUMBER(SEARCH("LLC",D258)),VLOOKUP(A258,IntComp24[],20,FALSE),VLOOKUP(A258,IntComp[],20,FALSE)))=0,"",IF(OR(F258="2019-2020",F258="2021-2025"),"",IF(ISNUMBER(SEARCH("LLC",D258)),VLOOKUP(A258,IntComp24[],20,FALSE),VLOOKUP(A258,IntComp[],20,FALSE))))</f>
        <v/>
      </c>
      <c r="O258" s="152" t="str">
        <f ca="1">IF(IF(OR(F258="2019-2020",F258="2021-2025"),"",IF(ISNUMBER(SEARCH("LLC",D258)),VLOOKUP(A258,IntComp24[],23,FALSE),VLOOKUP(A258,IntComp[],23,FALSE)))=0,"",IF(OR(F258="2019-2020",F258="2021-2025"),"",IF(ISNUMBER(SEARCH("LLC",D258)),VLOOKUP(A258,IntComp24[],23,FALSE),VLOOKUP(A258,IntComp[],23,FALSE))))</f>
        <v/>
      </c>
    </row>
    <row r="259" spans="1:15">
      <c r="A259" s="147" t="s">
        <v>96</v>
      </c>
      <c r="B259" s="144" t="str">
        <f>VLOOKUP(A259,Data[],2,FALSE)</f>
        <v>BRONX</v>
      </c>
      <c r="C259" s="144" t="s">
        <v>106</v>
      </c>
      <c r="D259" s="9" t="str">
        <f>VLOOKUP(A259,Data[],52,FALSE)</f>
        <v>FEDERAL</v>
      </c>
      <c r="E259" s="9">
        <f>VLOOKUP(IntAll[[#This Row],[DEVELOPMENT]],Data[],62,FALSE)</f>
        <v>1</v>
      </c>
      <c r="F259" s="9" t="str">
        <f ca="1">VLOOKUP(A259,Data[],4,FALSE)</f>
        <v>2026+</v>
      </c>
      <c r="G259" s="9">
        <f>VLOOKUP(IntAll[[#This Row],[DEVELOPMENT]],EHDAll[[DEVELOPMENT]:['# Units]],6,FALSE)</f>
        <v>0</v>
      </c>
      <c r="H259" s="143" t="str">
        <f ca="1">IF(IntAll[[#This Row],[STATUS]]="","",IF(OR(F259="2019-2020",F259="2021-2025"),"",IF(ISNUMBER(SEARCH("LLC",D259)),VLOOKUP(A259,IntComp24[],21,FALSE),VLOOKUP(A259,IntComp[],21,FALSE))))</f>
        <v/>
      </c>
      <c r="I259" s="143" t="str">
        <f ca="1">IF(IntAll[[#This Row],[STATUS]]="","",IF(IF(OR(F259="2019-2020",F259="2021-2025"),"",IF(ISNUMBER(SEARCH("LLC",D259)),VLOOKUP(A259,IntComp24[],16,FALSE),VLOOKUP(A259,IntComp[],16,FALSE)))=0,"",IF(OR(F259="2019-2020",F259="2021-2025"),"",IF(ISNUMBER(SEARCH("LLC",D259)),VLOOKUP(A259,IntComp24[],16,FALSE),VLOOKUP(A259,IntComp[],16,FALSE)))))</f>
        <v/>
      </c>
      <c r="J259" s="143" t="str">
        <f ca="1">IF(IF(OR(F259="2019-2020",F259="2021-2025"),"",IF(ISNUMBER(SEARCH("LLC",D259)),VLOOKUP(A259,IntComp24[],17,FALSE),VLOOKUP(A259,IntComp[],17,FALSE)))=0,"",IF(OR(F259="2019-2020",F259="2021-2025"),"",IF(ISNUMBER(SEARCH("LLC",D259)),VLOOKUP(A259,IntComp24[],17,FALSE),VLOOKUP(A259,IntComp[],17,FALSE))))</f>
        <v/>
      </c>
      <c r="K259" s="151"/>
      <c r="L259" s="151">
        <f ca="1">IF(OR(F259="2019-2020",F259="2021-2025"),"",IF(ISNUMBER(SEARCH("LLC",D259)),VLOOKUP(A259,IntComp24[],18,FALSE),VLOOKUP(A259,IntComp[],18,FALSE)))</f>
        <v>0</v>
      </c>
      <c r="M259" s="143"/>
      <c r="N259" s="143" t="str">
        <f ca="1">IF(IF(OR(F259="2019-2020",F259="2021-2025"),"",IF(ISNUMBER(SEARCH("LLC",D259)),VLOOKUP(A259,IntComp24[],20,FALSE),VLOOKUP(A259,IntComp[],20,FALSE)))=0,"",IF(OR(F259="2019-2020",F259="2021-2025"),"",IF(ISNUMBER(SEARCH("LLC",D259)),VLOOKUP(A259,IntComp24[],20,FALSE),VLOOKUP(A259,IntComp[],20,FALSE))))</f>
        <v/>
      </c>
      <c r="O259" s="152" t="str">
        <f ca="1">IF(IF(OR(F259="2019-2020",F259="2021-2025"),"",IF(ISNUMBER(SEARCH("LLC",D259)),VLOOKUP(A259,IntComp24[],23,FALSE),VLOOKUP(A259,IntComp[],23,FALSE)))=0,"",IF(OR(F259="2019-2020",F259="2021-2025"),"",IF(ISNUMBER(SEARCH("LLC",D259)),VLOOKUP(A259,IntComp24[],23,FALSE),VLOOKUP(A259,IntComp[],23,FALSE))))</f>
        <v/>
      </c>
    </row>
    <row r="260" spans="1:15">
      <c r="A260" s="147" t="s">
        <v>224</v>
      </c>
      <c r="B260" s="144" t="str">
        <f>VLOOKUP(A260,Data[],2,FALSE)</f>
        <v>QUEENS</v>
      </c>
      <c r="C260" s="144" t="s">
        <v>106</v>
      </c>
      <c r="D260" s="9" t="str">
        <f>VLOOKUP(A260,Data[],52,FALSE)</f>
        <v>FEDERAL</v>
      </c>
      <c r="E260" s="9">
        <f>VLOOKUP(IntAll[[#This Row],[DEVELOPMENT]],Data[],62,FALSE)</f>
        <v>12</v>
      </c>
      <c r="F260" s="9" t="str">
        <f ca="1">VLOOKUP(A260,Data[],4,FALSE)</f>
        <v>2026+</v>
      </c>
      <c r="G260" s="9">
        <f>VLOOKUP(IntAll[[#This Row],[DEVELOPMENT]],EHDAll[[DEVELOPMENT]:['# Units]],6,FALSE)</f>
        <v>33</v>
      </c>
      <c r="H260" s="143" t="str">
        <f ca="1">IF(IntAll[[#This Row],[STATUS]]="","",IF(OR(F260="2019-2020",F260="2021-2025"),"",IF(ISNUMBER(SEARCH("LLC",D260)),VLOOKUP(A260,IntComp24[],21,FALSE),VLOOKUP(A260,IntComp[],21,FALSE))))</f>
        <v/>
      </c>
      <c r="I260" s="143" t="str">
        <f ca="1">IF(IntAll[[#This Row],[STATUS]]="","",IF(IF(OR(F260="2019-2020",F260="2021-2025"),"",IF(ISNUMBER(SEARCH("LLC",D260)),VLOOKUP(A260,IntComp24[],16,FALSE),VLOOKUP(A260,IntComp[],16,FALSE)))=0,"",IF(OR(F260="2019-2020",F260="2021-2025"),"",IF(ISNUMBER(SEARCH("LLC",D260)),VLOOKUP(A260,IntComp24[],16,FALSE),VLOOKUP(A260,IntComp[],16,FALSE)))))</f>
        <v/>
      </c>
      <c r="J260" s="143" t="str">
        <f ca="1">IF(IF(OR(F260="2019-2020",F260="2021-2025"),"",IF(ISNUMBER(SEARCH("LLC",D260)),VLOOKUP(A260,IntComp24[],17,FALSE),VLOOKUP(A260,IntComp[],17,FALSE)))=0,"",IF(OR(F260="2019-2020",F260="2021-2025"),"",IF(ISNUMBER(SEARCH("LLC",D260)),VLOOKUP(A260,IntComp24[],17,FALSE),VLOOKUP(A260,IntComp[],17,FALSE))))</f>
        <v/>
      </c>
      <c r="K260" s="151"/>
      <c r="L260" s="151">
        <f ca="1">IF(OR(F260="2019-2020",F260="2021-2025"),"",IF(ISNUMBER(SEARCH("LLC",D260)),VLOOKUP(A260,IntComp24[],18,FALSE),VLOOKUP(A260,IntComp[],18,FALSE)))</f>
        <v>2154753.5625</v>
      </c>
      <c r="M260" s="143"/>
      <c r="N260" s="143" t="str">
        <f ca="1">IF(IF(OR(F260="2019-2020",F260="2021-2025"),"",IF(ISNUMBER(SEARCH("LLC",D260)),VLOOKUP(A260,IntComp24[],20,FALSE),VLOOKUP(A260,IntComp[],20,FALSE)))=0,"",IF(OR(F260="2019-2020",F260="2021-2025"),"",IF(ISNUMBER(SEARCH("LLC",D260)),VLOOKUP(A260,IntComp24[],20,FALSE),VLOOKUP(A260,IntComp[],20,FALSE))))</f>
        <v/>
      </c>
      <c r="O260" s="152" t="str">
        <f ca="1">IF(IF(OR(F260="2019-2020",F260="2021-2025"),"",IF(ISNUMBER(SEARCH("LLC",D260)),VLOOKUP(A260,IntComp24[],23,FALSE),VLOOKUP(A260,IntComp[],23,FALSE)))=0,"",IF(OR(F260="2019-2020",F260="2021-2025"),"",IF(ISNUMBER(SEARCH("LLC",D260)),VLOOKUP(A260,IntComp24[],23,FALSE),VLOOKUP(A260,IntComp[],23,FALSE))))</f>
        <v/>
      </c>
    </row>
    <row r="261" spans="1:15">
      <c r="A261" s="147" t="s">
        <v>269</v>
      </c>
      <c r="B261" s="144" t="str">
        <f>VLOOKUP(A261,Data[],2,FALSE)</f>
        <v>QUEENS</v>
      </c>
      <c r="C261" s="144" t="s">
        <v>106</v>
      </c>
      <c r="D261" s="9" t="str">
        <f>VLOOKUP(A261,Data[],52,FALSE)</f>
        <v>FEDERAL</v>
      </c>
      <c r="E261" s="9">
        <f>VLOOKUP(IntAll[[#This Row],[DEVELOPMENT]],Data[],62,FALSE)</f>
        <v>12</v>
      </c>
      <c r="F261" s="9" t="str">
        <f ca="1">VLOOKUP(A261,Data[],4,FALSE)</f>
        <v>2026+</v>
      </c>
      <c r="G261" s="9">
        <f>VLOOKUP(IntAll[[#This Row],[DEVELOPMENT]],EHDAll[[DEVELOPMENT]:['# Units]],6,FALSE)</f>
        <v>27</v>
      </c>
      <c r="H261" s="143" t="str">
        <f ca="1">IF(IntAll[[#This Row],[STATUS]]="","",IF(OR(F261="2019-2020",F261="2021-2025"),"",IF(ISNUMBER(SEARCH("LLC",D261)),VLOOKUP(A261,IntComp24[],21,FALSE),VLOOKUP(A261,IntComp[],21,FALSE))))</f>
        <v/>
      </c>
      <c r="I261" s="143" t="str">
        <f ca="1">IF(IntAll[[#This Row],[STATUS]]="","",IF(IF(OR(F261="2019-2020",F261="2021-2025"),"",IF(ISNUMBER(SEARCH("LLC",D261)),VLOOKUP(A261,IntComp24[],16,FALSE),VLOOKUP(A261,IntComp[],16,FALSE)))=0,"",IF(OR(F261="2019-2020",F261="2021-2025"),"",IF(ISNUMBER(SEARCH("LLC",D261)),VLOOKUP(A261,IntComp24[],16,FALSE),VLOOKUP(A261,IntComp[],16,FALSE)))))</f>
        <v/>
      </c>
      <c r="J261" s="143" t="str">
        <f ca="1">IF(IF(OR(F261="2019-2020",F261="2021-2025"),"",IF(ISNUMBER(SEARCH("LLC",D261)),VLOOKUP(A261,IntComp24[],17,FALSE),VLOOKUP(A261,IntComp[],17,FALSE)))=0,"",IF(OR(F261="2019-2020",F261="2021-2025"),"",IF(ISNUMBER(SEARCH("LLC",D261)),VLOOKUP(A261,IntComp24[],17,FALSE),VLOOKUP(A261,IntComp[],17,FALSE))))</f>
        <v/>
      </c>
      <c r="K261" s="151"/>
      <c r="L261" s="151">
        <f ca="1">IF(OR(F261="2019-2020",F261="2021-2025"),"",IF(ISNUMBER(SEARCH("LLC",D261)),VLOOKUP(A261,IntComp24[],18,FALSE),VLOOKUP(A261,IntComp[],18,FALSE)))</f>
        <v>1822597.875</v>
      </c>
      <c r="M261" s="143"/>
      <c r="N261" s="143" t="str">
        <f ca="1">IF(IF(OR(F261="2019-2020",F261="2021-2025"),"",IF(ISNUMBER(SEARCH("LLC",D261)),VLOOKUP(A261,IntComp24[],20,FALSE),VLOOKUP(A261,IntComp[],20,FALSE)))=0,"",IF(OR(F261="2019-2020",F261="2021-2025"),"",IF(ISNUMBER(SEARCH("LLC",D261)),VLOOKUP(A261,IntComp24[],20,FALSE),VLOOKUP(A261,IntComp[],20,FALSE))))</f>
        <v/>
      </c>
      <c r="O261" s="152" t="str">
        <f ca="1">IF(IF(OR(F261="2019-2020",F261="2021-2025"),"",IF(ISNUMBER(SEARCH("LLC",D261)),VLOOKUP(A261,IntComp24[],23,FALSE),VLOOKUP(A261,IntComp[],23,FALSE)))=0,"",IF(OR(F261="2019-2020",F261="2021-2025"),"",IF(ISNUMBER(SEARCH("LLC",D261)),VLOOKUP(A261,IntComp24[],23,FALSE),VLOOKUP(A261,IntComp[],23,FALSE))))</f>
        <v/>
      </c>
    </row>
    <row r="262" spans="1:15">
      <c r="A262" s="147" t="s">
        <v>364</v>
      </c>
      <c r="B262" s="144" t="str">
        <f>VLOOKUP(A262,Data[],2,FALSE)</f>
        <v>MANHATTAN</v>
      </c>
      <c r="C262" s="144" t="s">
        <v>106</v>
      </c>
      <c r="D262" s="9" t="str">
        <f>VLOOKUP(A262,Data[],52,FALSE)</f>
        <v>FEDERAL</v>
      </c>
      <c r="E262" s="9">
        <f>VLOOKUP(IntAll[[#This Row],[DEVELOPMENT]],Data[],62,FALSE)</f>
        <v>3</v>
      </c>
      <c r="F262" s="9" t="str">
        <f ca="1">VLOOKUP(A262,Data[],4,FALSE)</f>
        <v/>
      </c>
      <c r="G262" s="9">
        <f>VLOOKUP(IntAll[[#This Row],[DEVELOPMENT]],EHDAll[[DEVELOPMENT]:['# Units]],6,FALSE)</f>
        <v>1</v>
      </c>
      <c r="H262" s="143" t="str">
        <f ca="1">IF(IntAll[[#This Row],[STATUS]]="","",IF(OR(F262="2019-2020",F262="2021-2025"),"",IF(ISNUMBER(SEARCH("LLC",D262)),VLOOKUP(A262,IntComp24[],21,FALSE),VLOOKUP(A262,IntComp[],21,FALSE))))</f>
        <v/>
      </c>
      <c r="I262" s="143" t="str">
        <f ca="1">IF(IntAll[[#This Row],[STATUS]]="","",IF(IF(OR(F262="2019-2020",F262="2021-2025"),"",IF(ISNUMBER(SEARCH("LLC",D262)),VLOOKUP(A262,IntComp24[],16,FALSE),VLOOKUP(A262,IntComp[],16,FALSE)))=0,"",IF(OR(F262="2019-2020",F262="2021-2025"),"",IF(ISNUMBER(SEARCH("LLC",D262)),VLOOKUP(A262,IntComp24[],16,FALSE),VLOOKUP(A262,IntComp[],16,FALSE)))))</f>
        <v/>
      </c>
      <c r="J262" s="143" t="str">
        <f ca="1">IF(IF(OR(F262="2019-2020",F262="2021-2025"),"",IF(ISNUMBER(SEARCH("LLC",D262)),VLOOKUP(A262,IntComp24[],17,FALSE),VLOOKUP(A262,IntComp[],17,FALSE)))=0,"",IF(OR(F262="2019-2020",F262="2021-2025"),"",IF(ISNUMBER(SEARCH("LLC",D262)),VLOOKUP(A262,IntComp24[],17,FALSE),VLOOKUP(A262,IntComp[],17,FALSE))))</f>
        <v/>
      </c>
      <c r="K262" s="151"/>
      <c r="L262" s="151">
        <f ca="1">IF(OR(F262="2019-2020",F262="2021-2025"),"",IF(ISNUMBER(SEARCH("LLC",D262)),VLOOKUP(A262,IntComp24[],18,FALSE),VLOOKUP(A262,IntComp[],18,FALSE)))</f>
        <v>0</v>
      </c>
      <c r="M262" s="143"/>
      <c r="N262" s="143" t="str">
        <f ca="1">IF(IF(OR(F262="2019-2020",F262="2021-2025"),"",IF(ISNUMBER(SEARCH("LLC",D262)),VLOOKUP(A262,IntComp24[],20,FALSE),VLOOKUP(A262,IntComp[],20,FALSE)))=0,"",IF(OR(F262="2019-2020",F262="2021-2025"),"",IF(ISNUMBER(SEARCH("LLC",D262)),VLOOKUP(A262,IntComp24[],20,FALSE),VLOOKUP(A262,IntComp[],20,FALSE))))</f>
        <v/>
      </c>
      <c r="O262" s="152" t="str">
        <f ca="1">IF(IF(OR(F262="2019-2020",F262="2021-2025"),"",IF(ISNUMBER(SEARCH("LLC",D262)),VLOOKUP(A262,IntComp24[],23,FALSE),VLOOKUP(A262,IntComp[],23,FALSE)))=0,"",IF(OR(F262="2019-2020",F262="2021-2025"),"",IF(ISNUMBER(SEARCH("LLC",D262)),VLOOKUP(A262,IntComp24[],23,FALSE),VLOOKUP(A262,IntComp[],23,FALSE))))</f>
        <v/>
      </c>
    </row>
    <row r="263" spans="1:15">
      <c r="A263" s="147" t="s">
        <v>365</v>
      </c>
      <c r="B263" s="144" t="str">
        <f>VLOOKUP(A263,Data[],2,FALSE)</f>
        <v>STATEN ISLAND</v>
      </c>
      <c r="C263" s="144" t="s">
        <v>106</v>
      </c>
      <c r="D263" s="9" t="str">
        <f>VLOOKUP(A263,Data[],52,FALSE)</f>
        <v>MIXED FINANCE/LLC1</v>
      </c>
      <c r="E263" s="9">
        <f>VLOOKUP(IntAll[[#This Row],[DEVELOPMENT]],Data[],62,FALSE)</f>
        <v>1</v>
      </c>
      <c r="F263" s="9" t="str">
        <f ca="1">VLOOKUP(A263,Data[],4,FALSE)</f>
        <v/>
      </c>
      <c r="G263" s="9">
        <f>VLOOKUP(IntAll[[#This Row],[DEVELOPMENT]],EHDAll[[DEVELOPMENT]:['# Units]],6,FALSE)</f>
        <v>12</v>
      </c>
      <c r="H263" s="143" t="str">
        <f ca="1">IF(IntAll[[#This Row],[STATUS]]="","",IF(OR(F263="2019-2020",F263="2021-2025"),"",IF(ISNUMBER(SEARCH("LLC",D263)),VLOOKUP(A263,IntComp24[],21,FALSE),VLOOKUP(A263,IntComp[],21,FALSE))))</f>
        <v/>
      </c>
      <c r="I263" s="143" t="str">
        <f ca="1">IF(IntAll[[#This Row],[STATUS]]="","",IF(IF(OR(F263="2019-2020",F263="2021-2025"),"",IF(ISNUMBER(SEARCH("LLC",D263)),VLOOKUP(A263,IntComp24[],16,FALSE),VLOOKUP(A263,IntComp[],16,FALSE)))=0,"",IF(OR(F263="2019-2020",F263="2021-2025"),"",IF(ISNUMBER(SEARCH("LLC",D263)),VLOOKUP(A263,IntComp24[],16,FALSE),VLOOKUP(A263,IntComp[],16,FALSE)))))</f>
        <v/>
      </c>
      <c r="J263" s="143" t="str">
        <f ca="1">IF(IF(OR(F263="2019-2020",F263="2021-2025"),"",IF(ISNUMBER(SEARCH("LLC",D263)),VLOOKUP(A263,IntComp24[],17,FALSE),VLOOKUP(A263,IntComp[],17,FALSE)))=0,"",IF(OR(F263="2019-2020",F263="2021-2025"),"",IF(ISNUMBER(SEARCH("LLC",D263)),VLOOKUP(A263,IntComp24[],17,FALSE),VLOOKUP(A263,IntComp[],17,FALSE))))</f>
        <v/>
      </c>
      <c r="K263" s="151"/>
      <c r="L263" s="151">
        <f ca="1">IF(OR(F263="2019-2020",F263="2021-2025"),"",IF(ISNUMBER(SEARCH("LLC",D263)),VLOOKUP(A263,IntComp24[],18,FALSE),VLOOKUP(A263,IntComp[],18,FALSE)))</f>
        <v>863037.00000000012</v>
      </c>
      <c r="M263" s="143"/>
      <c r="N263" s="143" t="str">
        <f ca="1">IF(IF(OR(F263="2019-2020",F263="2021-2025"),"",IF(ISNUMBER(SEARCH("LLC",D263)),VLOOKUP(A263,IntComp24[],20,FALSE),VLOOKUP(A263,IntComp[],20,FALSE)))=0,"",IF(OR(F263="2019-2020",F263="2021-2025"),"",IF(ISNUMBER(SEARCH("LLC",D263)),VLOOKUP(A263,IntComp24[],20,FALSE),VLOOKUP(A263,IntComp[],20,FALSE))))</f>
        <v/>
      </c>
      <c r="O263" s="152" t="str">
        <f ca="1">IF(IF(OR(F263="2019-2020",F263="2021-2025"),"",IF(ISNUMBER(SEARCH("LLC",D263)),VLOOKUP(A263,IntComp24[],23,FALSE),VLOOKUP(A263,IntComp[],23,FALSE)))=0,"",IF(OR(F263="2019-2020",F263="2021-2025"),"",IF(ISNUMBER(SEARCH("LLC",D263)),VLOOKUP(A263,IntComp24[],23,FALSE),VLOOKUP(A263,IntComp[],23,FALSE))))</f>
        <v/>
      </c>
    </row>
    <row r="264" spans="1:15">
      <c r="A264" s="147" t="s">
        <v>97</v>
      </c>
      <c r="B264" s="144" t="str">
        <f>VLOOKUP(A264,Data[],2,FALSE)</f>
        <v>BRONX</v>
      </c>
      <c r="C264" s="144" t="s">
        <v>106</v>
      </c>
      <c r="D264" s="9" t="str">
        <f>VLOOKUP(A264,Data[],52,FALSE)</f>
        <v>FEDERAL</v>
      </c>
      <c r="E264" s="9">
        <f>VLOOKUP(IntAll[[#This Row],[DEVELOPMENT]],Data[],62,FALSE)</f>
        <v>2</v>
      </c>
      <c r="F264" s="9" t="str">
        <f ca="1">VLOOKUP(A264,Data[],4,FALSE)</f>
        <v>2026+</v>
      </c>
      <c r="G264" s="9">
        <f>VLOOKUP(IntAll[[#This Row],[DEVELOPMENT]],EHDAll[[DEVELOPMENT]:['# Units]],6,FALSE)</f>
        <v>0</v>
      </c>
      <c r="H264" s="143" t="str">
        <f ca="1">IF(IntAll[[#This Row],[STATUS]]="","",IF(OR(F264="2019-2020",F264="2021-2025"),"",IF(ISNUMBER(SEARCH("LLC",D264)),VLOOKUP(A264,IntComp24[],21,FALSE),VLOOKUP(A264,IntComp[],21,FALSE))))</f>
        <v/>
      </c>
      <c r="I264" s="143" t="str">
        <f ca="1">IF(IntAll[[#This Row],[STATUS]]="","",IF(IF(OR(F264="2019-2020",F264="2021-2025"),"",IF(ISNUMBER(SEARCH("LLC",D264)),VLOOKUP(A264,IntComp24[],16,FALSE),VLOOKUP(A264,IntComp[],16,FALSE)))=0,"",IF(OR(F264="2019-2020",F264="2021-2025"),"",IF(ISNUMBER(SEARCH("LLC",D264)),VLOOKUP(A264,IntComp24[],16,FALSE),VLOOKUP(A264,IntComp[],16,FALSE)))))</f>
        <v/>
      </c>
      <c r="J264" s="143" t="str">
        <f ca="1">IF(IF(OR(F264="2019-2020",F264="2021-2025"),"",IF(ISNUMBER(SEARCH("LLC",D264)),VLOOKUP(A264,IntComp24[],17,FALSE),VLOOKUP(A264,IntComp[],17,FALSE)))=0,"",IF(OR(F264="2019-2020",F264="2021-2025"),"",IF(ISNUMBER(SEARCH("LLC",D264)),VLOOKUP(A264,IntComp24[],17,FALSE),VLOOKUP(A264,IntComp[],17,FALSE))))</f>
        <v/>
      </c>
      <c r="K264" s="151"/>
      <c r="L264" s="151">
        <f ca="1">IF(OR(F264="2019-2020",F264="2021-2025"),"",IF(ISNUMBER(SEARCH("LLC",D264)),VLOOKUP(A264,IntComp24[],18,FALSE),VLOOKUP(A264,IntComp[],18,FALSE)))</f>
        <v>0</v>
      </c>
      <c r="M264" s="143"/>
      <c r="N264" s="143" t="str">
        <f ca="1">IF(IF(OR(F264="2019-2020",F264="2021-2025"),"",IF(ISNUMBER(SEARCH("LLC",D264)),VLOOKUP(A264,IntComp24[],20,FALSE),VLOOKUP(A264,IntComp[],20,FALSE)))=0,"",IF(OR(F264="2019-2020",F264="2021-2025"),"",IF(ISNUMBER(SEARCH("LLC",D264)),VLOOKUP(A264,IntComp24[],20,FALSE),VLOOKUP(A264,IntComp[],20,FALSE))))</f>
        <v/>
      </c>
      <c r="O264" s="152" t="str">
        <f ca="1">IF(IF(OR(F264="2019-2020",F264="2021-2025"),"",IF(ISNUMBER(SEARCH("LLC",D264)),VLOOKUP(A264,IntComp24[],23,FALSE),VLOOKUP(A264,IntComp[],23,FALSE)))=0,"",IF(OR(F264="2019-2020",F264="2021-2025"),"",IF(ISNUMBER(SEARCH("LLC",D264)),VLOOKUP(A264,IntComp24[],23,FALSE),VLOOKUP(A264,IntComp[],23,FALSE))))</f>
        <v/>
      </c>
    </row>
    <row r="265" spans="1:15">
      <c r="A265" s="147" t="s">
        <v>366</v>
      </c>
      <c r="B265" s="144" t="str">
        <f>VLOOKUP(A265,Data[],2,FALSE)</f>
        <v>BROOKLYN</v>
      </c>
      <c r="C265" s="144" t="s">
        <v>106</v>
      </c>
      <c r="D265" s="9" t="str">
        <f>VLOOKUP(A265,Data[],52,FALSE)</f>
        <v>FEDERAL</v>
      </c>
      <c r="E265" s="9">
        <f>VLOOKUP(IntAll[[#This Row],[DEVELOPMENT]],Data[],62,FALSE)</f>
        <v>8</v>
      </c>
      <c r="F265" s="9" t="str">
        <f ca="1">VLOOKUP(A265,Data[],4,FALSE)</f>
        <v>2022-2025</v>
      </c>
      <c r="G265" s="9">
        <f>VLOOKUP(IntAll[[#This Row],[DEVELOPMENT]],EHDAll[[DEVELOPMENT]:['# Units]],6,FALSE)</f>
        <v>5</v>
      </c>
      <c r="H265" s="143" t="str">
        <f ca="1">IF(IntAll[[#This Row],[STATUS]]="","",IF(OR(F265="2019-2020",F265="2021-2025"),"",IF(ISNUMBER(SEARCH("LLC",D265)),VLOOKUP(A265,IntComp24[],21,FALSE),VLOOKUP(A265,IntComp[],21,FALSE))))</f>
        <v/>
      </c>
      <c r="I265" s="143" t="str">
        <f ca="1">IF(IntAll[[#This Row],[STATUS]]="","",IF(IF(OR(F265="2019-2020",F265="2021-2025"),"",IF(ISNUMBER(SEARCH("LLC",D265)),VLOOKUP(A265,IntComp24[],16,FALSE),VLOOKUP(A265,IntComp[],16,FALSE)))=0,"",IF(OR(F265="2019-2020",F265="2021-2025"),"",IF(ISNUMBER(SEARCH("LLC",D265)),VLOOKUP(A265,IntComp24[],16,FALSE),VLOOKUP(A265,IntComp[],16,FALSE)))))</f>
        <v/>
      </c>
      <c r="J265" s="143" t="str">
        <f ca="1">IF(IF(OR(F265="2019-2020",F265="2021-2025"),"",IF(ISNUMBER(SEARCH("LLC",D265)),VLOOKUP(A265,IntComp24[],17,FALSE),VLOOKUP(A265,IntComp[],17,FALSE)))=0,"",IF(OR(F265="2019-2020",F265="2021-2025"),"",IF(ISNUMBER(SEARCH("LLC",D265)),VLOOKUP(A265,IntComp24[],17,FALSE),VLOOKUP(A265,IntComp[],17,FALSE))))</f>
        <v/>
      </c>
      <c r="K265" s="151"/>
      <c r="L265" s="151">
        <f ca="1">IF(OR(F265="2019-2020",F265="2021-2025"),"",IF(ISNUMBER(SEARCH("LLC",D265)),VLOOKUP(A265,IntComp24[],18,FALSE),VLOOKUP(A265,IntComp[],18,FALSE)))</f>
        <v>0</v>
      </c>
      <c r="M265" s="143"/>
      <c r="N265" s="143" t="str">
        <f ca="1">IF(IF(OR(F265="2019-2020",F265="2021-2025"),"",IF(ISNUMBER(SEARCH("LLC",D265)),VLOOKUP(A265,IntComp24[],20,FALSE),VLOOKUP(A265,IntComp[],20,FALSE)))=0,"",IF(OR(F265="2019-2020",F265="2021-2025"),"",IF(ISNUMBER(SEARCH("LLC",D265)),VLOOKUP(A265,IntComp24[],20,FALSE),VLOOKUP(A265,IntComp[],20,FALSE))))</f>
        <v/>
      </c>
      <c r="O265" s="152" t="str">
        <f ca="1">IF(IF(OR(F265="2019-2020",F265="2021-2025"),"",IF(ISNUMBER(SEARCH("LLC",D265)),VLOOKUP(A265,IntComp24[],23,FALSE),VLOOKUP(A265,IntComp[],23,FALSE)))=0,"",IF(OR(F265="2019-2020",F265="2021-2025"),"",IF(ISNUMBER(SEARCH("LLC",D265)),VLOOKUP(A265,IntComp24[],23,FALSE),VLOOKUP(A265,IntComp[],23,FALSE))))</f>
        <v/>
      </c>
    </row>
    <row r="266" spans="1:15">
      <c r="A266" s="147" t="s">
        <v>256</v>
      </c>
      <c r="B266" s="144" t="str">
        <f>VLOOKUP(A266,Data[],2,FALSE)</f>
        <v>BROOKLYN</v>
      </c>
      <c r="C266" s="144" t="s">
        <v>106</v>
      </c>
      <c r="D266" s="9" t="str">
        <f>VLOOKUP(A266,Data[],52,FALSE)</f>
        <v>FEDERAL</v>
      </c>
      <c r="E266" s="9">
        <f>VLOOKUP(IntAll[[#This Row],[DEVELOPMENT]],Data[],62,FALSE)</f>
        <v>8</v>
      </c>
      <c r="F266" s="9" t="str">
        <f ca="1">VLOOKUP(A266,Data[],4,FALSE)</f>
        <v>2022-2025</v>
      </c>
      <c r="G266" s="9">
        <f>VLOOKUP(IntAll[[#This Row],[DEVELOPMENT]],EHDAll[[DEVELOPMENT]:['# Units]],6,FALSE)</f>
        <v>7</v>
      </c>
      <c r="H266" s="143" t="str">
        <f ca="1">IF(IntAll[[#This Row],[STATUS]]="","",IF(OR(F266="2019-2020",F266="2021-2025"),"",IF(ISNUMBER(SEARCH("LLC",D266)),VLOOKUP(A266,IntComp24[],21,FALSE),VLOOKUP(A266,IntComp[],21,FALSE))))</f>
        <v/>
      </c>
      <c r="I266" s="143" t="str">
        <f ca="1">IF(IntAll[[#This Row],[STATUS]]="","",IF(IF(OR(F266="2019-2020",F266="2021-2025"),"",IF(ISNUMBER(SEARCH("LLC",D266)),VLOOKUP(A266,IntComp24[],16,FALSE),VLOOKUP(A266,IntComp[],16,FALSE)))=0,"",IF(OR(F266="2019-2020",F266="2021-2025"),"",IF(ISNUMBER(SEARCH("LLC",D266)),VLOOKUP(A266,IntComp24[],16,FALSE),VLOOKUP(A266,IntComp[],16,FALSE)))))</f>
        <v/>
      </c>
      <c r="J266" s="143" t="str">
        <f ca="1">IF(IF(OR(F266="2019-2020",F266="2021-2025"),"",IF(ISNUMBER(SEARCH("LLC",D266)),VLOOKUP(A266,IntComp24[],17,FALSE),VLOOKUP(A266,IntComp[],17,FALSE)))=0,"",IF(OR(F266="2019-2020",F266="2021-2025"),"",IF(ISNUMBER(SEARCH("LLC",D266)),VLOOKUP(A266,IntComp24[],17,FALSE),VLOOKUP(A266,IntComp[],17,FALSE))))</f>
        <v/>
      </c>
      <c r="K266" s="151"/>
      <c r="L266" s="151">
        <f ca="1">IF(OR(F266="2019-2020",F266="2021-2025"),"",IF(ISNUMBER(SEARCH("LLC",D266)),VLOOKUP(A266,IntComp24[],18,FALSE),VLOOKUP(A266,IntComp[],18,FALSE)))</f>
        <v>0</v>
      </c>
      <c r="M266" s="143"/>
      <c r="N266" s="143" t="str">
        <f ca="1">IF(IF(OR(F266="2019-2020",F266="2021-2025"),"",IF(ISNUMBER(SEARCH("LLC",D266)),VLOOKUP(A266,IntComp24[],20,FALSE),VLOOKUP(A266,IntComp[],20,FALSE)))=0,"",IF(OR(F266="2019-2020",F266="2021-2025"),"",IF(ISNUMBER(SEARCH("LLC",D266)),VLOOKUP(A266,IntComp24[],20,FALSE),VLOOKUP(A266,IntComp[],20,FALSE))))</f>
        <v/>
      </c>
      <c r="O266" s="152" t="str">
        <f ca="1">IF(IF(OR(F266="2019-2020",F266="2021-2025"),"",IF(ISNUMBER(SEARCH("LLC",D266)),VLOOKUP(A266,IntComp24[],23,FALSE),VLOOKUP(A266,IntComp[],23,FALSE)))=0,"",IF(OR(F266="2019-2020",F266="2021-2025"),"",IF(ISNUMBER(SEARCH("LLC",D266)),VLOOKUP(A266,IntComp24[],23,FALSE),VLOOKUP(A266,IntComp[],23,FALSE))))</f>
        <v/>
      </c>
    </row>
    <row r="267" spans="1:15">
      <c r="A267" s="147" t="s">
        <v>198</v>
      </c>
      <c r="B267" s="144" t="str">
        <f>VLOOKUP(A267,Data[],2,FALSE)</f>
        <v>MANHATTAN</v>
      </c>
      <c r="C267" s="144" t="s">
        <v>106</v>
      </c>
      <c r="D267" s="9" t="str">
        <f>VLOOKUP(A267,Data[],52,FALSE)</f>
        <v>FEDERAL</v>
      </c>
      <c r="E267" s="9">
        <f>VLOOKUP(IntAll[[#This Row],[DEVELOPMENT]],Data[],62,FALSE)</f>
        <v>6</v>
      </c>
      <c r="F267" s="9" t="str">
        <f ca="1">VLOOKUP(A267,Data[],4,FALSE)</f>
        <v/>
      </c>
      <c r="G267" s="9">
        <f>VLOOKUP(IntAll[[#This Row],[DEVELOPMENT]],EHDAll[[DEVELOPMENT]:['# Units]],6,FALSE)</f>
        <v>2</v>
      </c>
      <c r="H267" s="143" t="str">
        <f ca="1">IF(IntAll[[#This Row],[STATUS]]="","",IF(OR(F267="2019-2020",F267="2021-2025"),"",IF(ISNUMBER(SEARCH("LLC",D267)),VLOOKUP(A267,IntComp24[],21,FALSE),VLOOKUP(A267,IntComp[],21,FALSE))))</f>
        <v/>
      </c>
      <c r="I267" s="143" t="str">
        <f ca="1">IF(IntAll[[#This Row],[STATUS]]="","",IF(IF(OR(F267="2019-2020",F267="2021-2025"),"",IF(ISNUMBER(SEARCH("LLC",D267)),VLOOKUP(A267,IntComp24[],16,FALSE),VLOOKUP(A267,IntComp[],16,FALSE)))=0,"",IF(OR(F267="2019-2020",F267="2021-2025"),"",IF(ISNUMBER(SEARCH("LLC",D267)),VLOOKUP(A267,IntComp24[],16,FALSE),VLOOKUP(A267,IntComp[],16,FALSE)))))</f>
        <v/>
      </c>
      <c r="J267" s="143" t="str">
        <f ca="1">IF(IF(OR(F267="2019-2020",F267="2021-2025"),"",IF(ISNUMBER(SEARCH("LLC",D267)),VLOOKUP(A267,IntComp24[],17,FALSE),VLOOKUP(A267,IntComp[],17,FALSE)))=0,"",IF(OR(F267="2019-2020",F267="2021-2025"),"",IF(ISNUMBER(SEARCH("LLC",D267)),VLOOKUP(A267,IntComp24[],17,FALSE),VLOOKUP(A267,IntComp[],17,FALSE))))</f>
        <v/>
      </c>
      <c r="K267" s="151"/>
      <c r="L267" s="151">
        <f ca="1">IF(OR(F267="2019-2020",F267="2021-2025"),"",IF(ISNUMBER(SEARCH("LLC",D267)),VLOOKUP(A267,IntComp24[],18,FALSE),VLOOKUP(A267,IntComp[],18,FALSE)))</f>
        <v>135007.25</v>
      </c>
      <c r="M267" s="143"/>
      <c r="N267" s="143" t="str">
        <f ca="1">IF(IF(OR(F267="2019-2020",F267="2021-2025"),"",IF(ISNUMBER(SEARCH("LLC",D267)),VLOOKUP(A267,IntComp24[],20,FALSE),VLOOKUP(A267,IntComp[],20,FALSE)))=0,"",IF(OR(F267="2019-2020",F267="2021-2025"),"",IF(ISNUMBER(SEARCH("LLC",D267)),VLOOKUP(A267,IntComp24[],20,FALSE),VLOOKUP(A267,IntComp[],20,FALSE))))</f>
        <v/>
      </c>
      <c r="O267" s="152" t="str">
        <f ca="1">IF(IF(OR(F267="2019-2020",F267="2021-2025"),"",IF(ISNUMBER(SEARCH("LLC",D267)),VLOOKUP(A267,IntComp24[],23,FALSE),VLOOKUP(A267,IntComp[],23,FALSE)))=0,"",IF(OR(F267="2019-2020",F267="2021-2025"),"",IF(ISNUMBER(SEARCH("LLC",D267)),VLOOKUP(A267,IntComp24[],23,FALSE),VLOOKUP(A267,IntComp[],23,FALSE))))</f>
        <v>funded $100k citycap, asking for $200k in FY21</v>
      </c>
    </row>
    <row r="268" spans="1:15">
      <c r="A268" s="148" t="s">
        <v>257</v>
      </c>
      <c r="B268" s="144" t="str">
        <f>VLOOKUP(A268,Data[],2,FALSE)</f>
        <v>BROOKLYN</v>
      </c>
      <c r="C268" s="144" t="s">
        <v>106</v>
      </c>
      <c r="D268" s="9" t="str">
        <f>VLOOKUP(A268,Data[],52,FALSE)</f>
        <v>FEDERAL</v>
      </c>
      <c r="E268" s="9">
        <f>VLOOKUP(IntAll[[#This Row],[DEVELOPMENT]],Data[],62,FALSE)</f>
        <v>3</v>
      </c>
      <c r="F268" s="9" t="str">
        <f ca="1">VLOOKUP(A268,Data[],4,FALSE)</f>
        <v>2026+</v>
      </c>
      <c r="G268" s="9">
        <f>VLOOKUP(IntAll[[#This Row],[DEVELOPMENT]],EHDAll[[DEVELOPMENT]:['# Units]],6,FALSE)</f>
        <v>11</v>
      </c>
      <c r="H268" s="143" t="str">
        <f ca="1">IF(IntAll[[#This Row],[STATUS]]="","",IF(OR(F268="2019-2020",F268="2021-2025"),"",IF(ISNUMBER(SEARCH("LLC",D268)),VLOOKUP(A268,IntComp24[],21,FALSE),VLOOKUP(A268,IntComp[],21,FALSE))))</f>
        <v/>
      </c>
      <c r="I268" s="143" t="str">
        <f ca="1">IF(IntAll[[#This Row],[STATUS]]="","",IF(IF(OR(F268="2019-2020",F268="2021-2025"),"",IF(ISNUMBER(SEARCH("LLC",D268)),VLOOKUP(A268,IntComp24[],16,FALSE),VLOOKUP(A268,IntComp[],16,FALSE)))=0,"",IF(OR(F268="2019-2020",F268="2021-2025"),"",IF(ISNUMBER(SEARCH("LLC",D268)),VLOOKUP(A268,IntComp24[],16,FALSE),VLOOKUP(A268,IntComp[],16,FALSE)))))</f>
        <v/>
      </c>
      <c r="J268" s="143" t="str">
        <f ca="1">IF(IF(OR(F268="2019-2020",F268="2021-2025"),"",IF(ISNUMBER(SEARCH("LLC",D268)),VLOOKUP(A268,IntComp24[],17,FALSE),VLOOKUP(A268,IntComp[],17,FALSE)))=0,"",IF(OR(F268="2019-2020",F268="2021-2025"),"",IF(ISNUMBER(SEARCH("LLC",D268)),VLOOKUP(A268,IntComp24[],17,FALSE),VLOOKUP(A268,IntComp[],17,FALSE))))</f>
        <v/>
      </c>
      <c r="K268" s="151"/>
      <c r="L268" s="151">
        <f ca="1">IF(OR(F268="2019-2020",F268="2021-2025"),"",IF(ISNUMBER(SEARCH("LLC",D268)),VLOOKUP(A268,IntComp24[],18,FALSE),VLOOKUP(A268,IntComp[],18,FALSE)))</f>
        <v>791117.25000000012</v>
      </c>
      <c r="M268" s="143"/>
      <c r="N268" s="143" t="str">
        <f ca="1">IF(IF(OR(F268="2019-2020",F268="2021-2025"),"",IF(ISNUMBER(SEARCH("LLC",D268)),VLOOKUP(A268,IntComp24[],20,FALSE),VLOOKUP(A268,IntComp[],20,FALSE)))=0,"",IF(OR(F268="2019-2020",F268="2021-2025"),"",IF(ISNUMBER(SEARCH("LLC",D268)),VLOOKUP(A268,IntComp24[],20,FALSE),VLOOKUP(A268,IntComp[],20,FALSE))))</f>
        <v/>
      </c>
      <c r="O268" s="152" t="str">
        <f ca="1">IF(IF(OR(F268="2019-2020",F268="2021-2025"),"",IF(ISNUMBER(SEARCH("LLC",D268)),VLOOKUP(A268,IntComp24[],23,FALSE),VLOOKUP(A268,IntComp[],23,FALSE)))=0,"",IF(OR(F268="2019-2020",F268="2021-2025"),"",IF(ISNUMBER(SEARCH("LLC",D268)),VLOOKUP(A268,IntComp24[],23,FALSE),VLOOKUP(A268,IntComp[],23,FALSE))))</f>
        <v/>
      </c>
    </row>
    <row r="269" spans="1:15">
      <c r="A269" s="147" t="s">
        <v>367</v>
      </c>
      <c r="B269" s="144" t="str">
        <f>VLOOKUP(A269,Data[],2,FALSE)</f>
        <v>BROOKLYN</v>
      </c>
      <c r="C269" s="144" t="s">
        <v>106</v>
      </c>
      <c r="D269" s="9" t="str">
        <f>VLOOKUP(A269,Data[],52,FALSE)</f>
        <v>FEDERAL</v>
      </c>
      <c r="E269" s="9">
        <f>VLOOKUP(IntAll[[#This Row],[DEVELOPMENT]],Data[],62,FALSE)</f>
        <v>13</v>
      </c>
      <c r="F269" s="9" t="str">
        <f ca="1">VLOOKUP(A269,Data[],4,FALSE)</f>
        <v/>
      </c>
      <c r="G269" s="9">
        <f>VLOOKUP(IntAll[[#This Row],[DEVELOPMENT]],EHDAll[[DEVELOPMENT]:['# Units]],6,FALSE)</f>
        <v>5</v>
      </c>
      <c r="H269" s="143" t="str">
        <f ca="1">IF(IntAll[[#This Row],[STATUS]]="","",IF(OR(F269="2019-2020",F269="2021-2025"),"",IF(ISNUMBER(SEARCH("LLC",D269)),VLOOKUP(A269,IntComp24[],21,FALSE),VLOOKUP(A269,IntComp[],21,FALSE))))</f>
        <v/>
      </c>
      <c r="I269" s="143" t="str">
        <f ca="1">IF(IntAll[[#This Row],[STATUS]]="","",IF(IF(OR(F269="2019-2020",F269="2021-2025"),"",IF(ISNUMBER(SEARCH("LLC",D269)),VLOOKUP(A269,IntComp24[],16,FALSE),VLOOKUP(A269,IntComp[],16,FALSE)))=0,"",IF(OR(F269="2019-2020",F269="2021-2025"),"",IF(ISNUMBER(SEARCH("LLC",D269)),VLOOKUP(A269,IntComp24[],16,FALSE),VLOOKUP(A269,IntComp[],16,FALSE)))))</f>
        <v/>
      </c>
      <c r="J269" s="143" t="str">
        <f ca="1">IF(IF(OR(F269="2019-2020",F269="2021-2025"),"",IF(ISNUMBER(SEARCH("LLC",D269)),VLOOKUP(A269,IntComp24[],17,FALSE),VLOOKUP(A269,IntComp[],17,FALSE)))=0,"",IF(OR(F269="2019-2020",F269="2021-2025"),"",IF(ISNUMBER(SEARCH("LLC",D269)),VLOOKUP(A269,IntComp24[],17,FALSE),VLOOKUP(A269,IntComp[],17,FALSE))))</f>
        <v/>
      </c>
      <c r="K269" s="151"/>
      <c r="L269" s="151">
        <f ca="1">IF(OR(F269="2019-2020",F269="2021-2025"),"",IF(ISNUMBER(SEARCH("LLC",D269)),VLOOKUP(A269,IntComp24[],18,FALSE),VLOOKUP(A269,IntComp[],18,FALSE)))</f>
        <v>381679.375</v>
      </c>
      <c r="M269" s="143"/>
      <c r="N269" s="143" t="str">
        <f ca="1">IF(IF(OR(F269="2019-2020",F269="2021-2025"),"",IF(ISNUMBER(SEARCH("LLC",D269)),VLOOKUP(A269,IntComp24[],20,FALSE),VLOOKUP(A269,IntComp[],20,FALSE)))=0,"",IF(OR(F269="2019-2020",F269="2021-2025"),"",IF(ISNUMBER(SEARCH("LLC",D269)),VLOOKUP(A269,IntComp24[],20,FALSE),VLOOKUP(A269,IntComp[],20,FALSE))))</f>
        <v/>
      </c>
      <c r="O269" s="152" t="str">
        <f ca="1">IF(IF(OR(F269="2019-2020",F269="2021-2025"),"",IF(ISNUMBER(SEARCH("LLC",D269)),VLOOKUP(A269,IntComp24[],23,FALSE),VLOOKUP(A269,IntComp[],23,FALSE)))=0,"",IF(OR(F269="2019-2020",F269="2021-2025"),"",IF(ISNUMBER(SEARCH("LLC",D269)),VLOOKUP(A269,IntComp24[],23,FALSE),VLOOKUP(A269,IntComp[],23,FALSE))))</f>
        <v/>
      </c>
    </row>
    <row r="270" spans="1:15">
      <c r="A270" s="147" t="s">
        <v>368</v>
      </c>
      <c r="B270" s="144" t="str">
        <f>VLOOKUP(A270,Data[],2,FALSE)</f>
        <v>BROOKLYN</v>
      </c>
      <c r="C270" s="144" t="s">
        <v>106</v>
      </c>
      <c r="D270" s="9" t="str">
        <f>VLOOKUP(A270,Data[],52,FALSE)</f>
        <v>FEDERAL</v>
      </c>
      <c r="E270" s="9">
        <f>VLOOKUP(IntAll[[#This Row],[DEVELOPMENT]],Data[],62,FALSE)</f>
        <v>16</v>
      </c>
      <c r="F270" s="9" t="str">
        <f ca="1">VLOOKUP(A270,Data[],4,FALSE)</f>
        <v>2020-2021</v>
      </c>
      <c r="G270" s="9">
        <f>VLOOKUP(IntAll[[#This Row],[DEVELOPMENT]],EHDAll[[DEVELOPMENT]:['# Units]],6,FALSE)</f>
        <v>6</v>
      </c>
      <c r="H270" s="143" t="str">
        <f ca="1">IF(IntAll[[#This Row],[STATUS]]="","",IF(OR(F270="2019-2020",F270="2021-2025"),"",IF(ISNUMBER(SEARCH("LLC",D270)),VLOOKUP(A270,IntComp24[],21,FALSE),VLOOKUP(A270,IntComp[],21,FALSE))))</f>
        <v/>
      </c>
      <c r="I270" s="143" t="str">
        <f ca="1">IF(IntAll[[#This Row],[STATUS]]="","",IF(IF(OR(F270="2019-2020",F270="2021-2025"),"",IF(ISNUMBER(SEARCH("LLC",D270)),VLOOKUP(A270,IntComp24[],16,FALSE),VLOOKUP(A270,IntComp[],16,FALSE)))=0,"",IF(OR(F270="2019-2020",F270="2021-2025"),"",IF(ISNUMBER(SEARCH("LLC",D270)),VLOOKUP(A270,IntComp24[],16,FALSE),VLOOKUP(A270,IntComp[],16,FALSE)))))</f>
        <v/>
      </c>
      <c r="J270" s="143" t="str">
        <f ca="1">IF(IF(OR(F270="2019-2020",F270="2021-2025"),"",IF(ISNUMBER(SEARCH("LLC",D270)),VLOOKUP(A270,IntComp24[],17,FALSE),VLOOKUP(A270,IntComp[],17,FALSE)))=0,"",IF(OR(F270="2019-2020",F270="2021-2025"),"",IF(ISNUMBER(SEARCH("LLC",D270)),VLOOKUP(A270,IntComp24[],17,FALSE),VLOOKUP(A270,IntComp[],17,FALSE))))</f>
        <v/>
      </c>
      <c r="K270" s="151"/>
      <c r="L270" s="151">
        <f ca="1">IF(OR(F270="2019-2020",F270="2021-2025"),"",IF(ISNUMBER(SEARCH("LLC",D270)),VLOOKUP(A270,IntComp24[],18,FALSE),VLOOKUP(A270,IntComp[],18,FALSE)))</f>
        <v>0</v>
      </c>
      <c r="M270" s="143"/>
      <c r="N270" s="143" t="str">
        <f ca="1">IF(IF(OR(F270="2019-2020",F270="2021-2025"),"",IF(ISNUMBER(SEARCH("LLC",D270)),VLOOKUP(A270,IntComp24[],20,FALSE),VLOOKUP(A270,IntComp[],20,FALSE)))=0,"",IF(OR(F270="2019-2020",F270="2021-2025"),"",IF(ISNUMBER(SEARCH("LLC",D270)),VLOOKUP(A270,IntComp24[],20,FALSE),VLOOKUP(A270,IntComp[],20,FALSE))))</f>
        <v/>
      </c>
      <c r="O270" s="152" t="str">
        <f ca="1">IF(IF(OR(F270="2019-2020",F270="2021-2025"),"",IF(ISNUMBER(SEARCH("LLC",D270)),VLOOKUP(A270,IntComp24[],23,FALSE),VLOOKUP(A270,IntComp[],23,FALSE)))=0,"",IF(OR(F270="2019-2020",F270="2021-2025"),"",IF(ISNUMBER(SEARCH("LLC",D270)),VLOOKUP(A270,IntComp24[],23,FALSE),VLOOKUP(A270,IntComp[],23,FALSE))))</f>
        <v/>
      </c>
    </row>
    <row r="271" spans="1:15">
      <c r="A271" s="147" t="s">
        <v>128</v>
      </c>
      <c r="B271" s="144" t="str">
        <f>VLOOKUP(A271,Data[],2,FALSE)</f>
        <v>MANHATTAN</v>
      </c>
      <c r="C271" s="144" t="s">
        <v>106</v>
      </c>
      <c r="D271" s="9" t="str">
        <f>VLOOKUP(A271,Data[],52,FALSE)</f>
        <v>FEDERAL</v>
      </c>
      <c r="E271" s="9">
        <f>VLOOKUP(IntAll[[#This Row],[DEVELOPMENT]],Data[],62,FALSE)</f>
        <v>11</v>
      </c>
      <c r="F271" s="9" t="str">
        <f ca="1">VLOOKUP(A271,Data[],4,FALSE)</f>
        <v>2026+</v>
      </c>
      <c r="G271" s="9">
        <f>VLOOKUP(IntAll[[#This Row],[DEVELOPMENT]],EHDAll[[DEVELOPMENT]:['# Units]],6,FALSE)</f>
        <v>18</v>
      </c>
      <c r="H271" s="143" t="str">
        <f ca="1">IF(IntAll[[#This Row],[STATUS]]="","",IF(OR(F271="2019-2020",F271="2021-2025"),"",IF(ISNUMBER(SEARCH("LLC",D271)),VLOOKUP(A271,IntComp24[],21,FALSE),VLOOKUP(A271,IntComp[],21,FALSE))))</f>
        <v/>
      </c>
      <c r="I271" s="143" t="str">
        <f ca="1">IF(IntAll[[#This Row],[STATUS]]="","",IF(IF(OR(F271="2019-2020",F271="2021-2025"),"",IF(ISNUMBER(SEARCH("LLC",D271)),VLOOKUP(A271,IntComp24[],16,FALSE),VLOOKUP(A271,IntComp[],16,FALSE)))=0,"",IF(OR(F271="2019-2020",F271="2021-2025"),"",IF(ISNUMBER(SEARCH("LLC",D271)),VLOOKUP(A271,IntComp24[],16,FALSE),VLOOKUP(A271,IntComp[],16,FALSE)))))</f>
        <v/>
      </c>
      <c r="J271" s="143" t="str">
        <f ca="1">IF(IF(OR(F271="2019-2020",F271="2021-2025"),"",IF(ISNUMBER(SEARCH("LLC",D271)),VLOOKUP(A271,IntComp24[],17,FALSE),VLOOKUP(A271,IntComp[],17,FALSE)))=0,"",IF(OR(F271="2019-2020",F271="2021-2025"),"",IF(ISNUMBER(SEARCH("LLC",D271)),VLOOKUP(A271,IntComp24[],17,FALSE),VLOOKUP(A271,IntComp[],17,FALSE))))</f>
        <v/>
      </c>
      <c r="K271" s="151"/>
      <c r="L271" s="151">
        <f ca="1">IF(OR(F271="2019-2020",F271="2021-2025"),"",IF(ISNUMBER(SEARCH("LLC",D271)),VLOOKUP(A271,IntComp24[],18,FALSE),VLOOKUP(A271,IntComp[],18,FALSE)))</f>
        <v>1254810.375</v>
      </c>
      <c r="M271" s="143"/>
      <c r="N271" s="143" t="str">
        <f ca="1">IF(IF(OR(F271="2019-2020",F271="2021-2025"),"",IF(ISNUMBER(SEARCH("LLC",D271)),VLOOKUP(A271,IntComp24[],20,FALSE),VLOOKUP(A271,IntComp[],20,FALSE)))=0,"",IF(OR(F271="2019-2020",F271="2021-2025"),"",IF(ISNUMBER(SEARCH("LLC",D271)),VLOOKUP(A271,IntComp24[],20,FALSE),VLOOKUP(A271,IntComp[],20,FALSE))))</f>
        <v/>
      </c>
      <c r="O271" s="152" t="str">
        <f ca="1">IF(IF(OR(F271="2019-2020",F271="2021-2025"),"",IF(ISNUMBER(SEARCH("LLC",D271)),VLOOKUP(A271,IntComp24[],23,FALSE),VLOOKUP(A271,IntComp[],23,FALSE)))=0,"",IF(OR(F271="2019-2020",F271="2021-2025"),"",IF(ISNUMBER(SEARCH("LLC",D271)),VLOOKUP(A271,IntComp24[],23,FALSE),VLOOKUP(A271,IntComp[],23,FALSE))))</f>
        <v>OMB request sent</v>
      </c>
    </row>
    <row r="272" spans="1:15">
      <c r="A272" s="147" t="s">
        <v>369</v>
      </c>
      <c r="B272" s="144" t="str">
        <f>VLOOKUP(A272,Data[],2,FALSE)</f>
        <v>BROOKLYN</v>
      </c>
      <c r="C272" s="144" t="s">
        <v>106</v>
      </c>
      <c r="D272" s="9" t="str">
        <f>VLOOKUP(A272,Data[],52,FALSE)</f>
        <v>FEDERAL</v>
      </c>
      <c r="E272" s="9">
        <f>VLOOKUP(IntAll[[#This Row],[DEVELOPMENT]],Data[],62,FALSE)</f>
        <v>16</v>
      </c>
      <c r="F272" s="9" t="str">
        <f ca="1">VLOOKUP(A272,Data[],4,FALSE)</f>
        <v>2020-2021</v>
      </c>
      <c r="G272" s="9">
        <f>VLOOKUP(IntAll[[#This Row],[DEVELOPMENT]],EHDAll[[DEVELOPMENT]:['# Units]],6,FALSE)</f>
        <v>8</v>
      </c>
      <c r="H272" s="143" t="str">
        <f ca="1">IF(IntAll[[#This Row],[STATUS]]="","",IF(OR(F272="2019-2020",F272="2021-2025"),"",IF(ISNUMBER(SEARCH("LLC",D272)),VLOOKUP(A272,IntComp24[],21,FALSE),VLOOKUP(A272,IntComp[],21,FALSE))))</f>
        <v/>
      </c>
      <c r="I272" s="143" t="str">
        <f ca="1">IF(IntAll[[#This Row],[STATUS]]="","",IF(IF(OR(F272="2019-2020",F272="2021-2025"),"",IF(ISNUMBER(SEARCH("LLC",D272)),VLOOKUP(A272,IntComp24[],16,FALSE),VLOOKUP(A272,IntComp[],16,FALSE)))=0,"",IF(OR(F272="2019-2020",F272="2021-2025"),"",IF(ISNUMBER(SEARCH("LLC",D272)),VLOOKUP(A272,IntComp24[],16,FALSE),VLOOKUP(A272,IntComp[],16,FALSE)))))</f>
        <v/>
      </c>
      <c r="J272" s="143" t="str">
        <f ca="1">IF(IF(OR(F272="2019-2020",F272="2021-2025"),"",IF(ISNUMBER(SEARCH("LLC",D272)),VLOOKUP(A272,IntComp24[],17,FALSE),VLOOKUP(A272,IntComp[],17,FALSE)))=0,"",IF(OR(F272="2019-2020",F272="2021-2025"),"",IF(ISNUMBER(SEARCH("LLC",D272)),VLOOKUP(A272,IntComp24[],17,FALSE),VLOOKUP(A272,IntComp[],17,FALSE))))</f>
        <v/>
      </c>
      <c r="K272" s="151"/>
      <c r="L272" s="151">
        <f ca="1">IF(OR(F272="2019-2020",F272="2021-2025"),"",IF(ISNUMBER(SEARCH("LLC",D272)),VLOOKUP(A272,IntComp24[],18,FALSE),VLOOKUP(A272,IntComp[],18,FALSE)))</f>
        <v>0</v>
      </c>
      <c r="M272" s="143"/>
      <c r="N272" s="143" t="str">
        <f ca="1">IF(IF(OR(F272="2019-2020",F272="2021-2025"),"",IF(ISNUMBER(SEARCH("LLC",D272)),VLOOKUP(A272,IntComp24[],20,FALSE),VLOOKUP(A272,IntComp[],20,FALSE)))=0,"",IF(OR(F272="2019-2020",F272="2021-2025"),"",IF(ISNUMBER(SEARCH("LLC",D272)),VLOOKUP(A272,IntComp24[],20,FALSE),VLOOKUP(A272,IntComp[],20,FALSE))))</f>
        <v/>
      </c>
      <c r="O272" s="152" t="str">
        <f ca="1">IF(IF(OR(F272="2019-2020",F272="2021-2025"),"",IF(ISNUMBER(SEARCH("LLC",D272)),VLOOKUP(A272,IntComp24[],23,FALSE),VLOOKUP(A272,IntComp[],23,FALSE)))=0,"",IF(OR(F272="2019-2020",F272="2021-2025"),"",IF(ISNUMBER(SEARCH("LLC",D272)),VLOOKUP(A272,IntComp24[],23,FALSE),VLOOKUP(A272,IntComp[],23,FALSE))))</f>
        <v/>
      </c>
    </row>
    <row r="273" spans="1:15">
      <c r="A273" s="147" t="s">
        <v>370</v>
      </c>
      <c r="B273" s="144" t="str">
        <f>VLOOKUP(A273,Data[],2,FALSE)</f>
        <v>BROOKLYN</v>
      </c>
      <c r="C273" s="144" t="s">
        <v>106</v>
      </c>
      <c r="D273" s="9" t="str">
        <f>VLOOKUP(A273,Data[],52,FALSE)</f>
        <v>FEDERAL</v>
      </c>
      <c r="E273" s="9">
        <f>VLOOKUP(IntAll[[#This Row],[DEVELOPMENT]],Data[],62,FALSE)</f>
        <v>1</v>
      </c>
      <c r="F273" s="9" t="str">
        <f ca="1">VLOOKUP(A273,Data[],4,FALSE)</f>
        <v/>
      </c>
      <c r="G273" s="9">
        <f>VLOOKUP(IntAll[[#This Row],[DEVELOPMENT]],EHDAll[[DEVELOPMENT]:['# Units]],6,FALSE)</f>
        <v>5</v>
      </c>
      <c r="H273" s="143" t="str">
        <f ca="1">IF(IntAll[[#This Row],[STATUS]]="","",IF(OR(F273="2019-2020",F273="2021-2025"),"",IF(ISNUMBER(SEARCH("LLC",D273)),VLOOKUP(A273,IntComp24[],21,FALSE),VLOOKUP(A273,IntComp[],21,FALSE))))</f>
        <v/>
      </c>
      <c r="I273" s="143" t="str">
        <f ca="1">IF(IntAll[[#This Row],[STATUS]]="","",IF(IF(OR(F273="2019-2020",F273="2021-2025"),"",IF(ISNUMBER(SEARCH("LLC",D273)),VLOOKUP(A273,IntComp24[],16,FALSE),VLOOKUP(A273,IntComp[],16,FALSE)))=0,"",IF(OR(F273="2019-2020",F273="2021-2025"),"",IF(ISNUMBER(SEARCH("LLC",D273)),VLOOKUP(A273,IntComp24[],16,FALSE),VLOOKUP(A273,IntComp[],16,FALSE)))))</f>
        <v/>
      </c>
      <c r="J273" s="143" t="str">
        <f ca="1">IF(IF(OR(F273="2019-2020",F273="2021-2025"),"",IF(ISNUMBER(SEARCH("LLC",D273)),VLOOKUP(A273,IntComp24[],17,FALSE),VLOOKUP(A273,IntComp[],17,FALSE)))=0,"",IF(OR(F273="2019-2020",F273="2021-2025"),"",IF(ISNUMBER(SEARCH("LLC",D273)),VLOOKUP(A273,IntComp24[],17,FALSE),VLOOKUP(A273,IntComp[],17,FALSE))))</f>
        <v/>
      </c>
      <c r="K273" s="151"/>
      <c r="L273" s="151">
        <f ca="1">IF(OR(F273="2019-2020",F273="2021-2025"),"",IF(ISNUMBER(SEARCH("LLC",D273)),VLOOKUP(A273,IntComp24[],18,FALSE),VLOOKUP(A273,IntComp[],18,FALSE)))</f>
        <v>370639.0625</v>
      </c>
      <c r="M273" s="143"/>
      <c r="N273" s="143" t="str">
        <f ca="1">IF(IF(OR(F273="2019-2020",F273="2021-2025"),"",IF(ISNUMBER(SEARCH("LLC",D273)),VLOOKUP(A273,IntComp24[],20,FALSE),VLOOKUP(A273,IntComp[],20,FALSE)))=0,"",IF(OR(F273="2019-2020",F273="2021-2025"),"",IF(ISNUMBER(SEARCH("LLC",D273)),VLOOKUP(A273,IntComp24[],20,FALSE),VLOOKUP(A273,IntComp[],20,FALSE))))</f>
        <v/>
      </c>
      <c r="O273" s="152" t="str">
        <f ca="1">IF(IF(OR(F273="2019-2020",F273="2021-2025"),"",IF(ISNUMBER(SEARCH("LLC",D273)),VLOOKUP(A273,IntComp24[],23,FALSE),VLOOKUP(A273,IntComp[],23,FALSE)))=0,"",IF(OR(F273="2019-2020",F273="2021-2025"),"",IF(ISNUMBER(SEARCH("LLC",D273)),VLOOKUP(A273,IntComp24[],23,FALSE),VLOOKUP(A273,IntComp[],23,FALSE))))</f>
        <v/>
      </c>
    </row>
    <row r="274" spans="1:15">
      <c r="A274" s="148" t="s">
        <v>149</v>
      </c>
      <c r="B274" s="144" t="str">
        <f>VLOOKUP(A274,Data[],2,FALSE)</f>
        <v>BRONX</v>
      </c>
      <c r="C274" s="144" t="s">
        <v>106</v>
      </c>
      <c r="D274" s="9" t="str">
        <f>VLOOKUP(A274,Data[],52,FALSE)</f>
        <v>FEDERAL</v>
      </c>
      <c r="E274" s="9">
        <f>VLOOKUP(IntAll[[#This Row],[DEVELOPMENT]],Data[],62,FALSE)</f>
        <v>4</v>
      </c>
      <c r="F274" s="9" t="str">
        <f ca="1">VLOOKUP(A274,Data[],4,FALSE)</f>
        <v>2022-2025</v>
      </c>
      <c r="G274" s="9">
        <f>VLOOKUP(IntAll[[#This Row],[DEVELOPMENT]],EHDAll[[DEVELOPMENT]:['# Units]],6,FALSE)</f>
        <v>2</v>
      </c>
      <c r="H274" s="143" t="str">
        <f ca="1">IF(IntAll[[#This Row],[STATUS]]="","",IF(OR(F274="2019-2020",F274="2021-2025"),"",IF(ISNUMBER(SEARCH("LLC",D274)),VLOOKUP(A274,IntComp24[],21,FALSE),VLOOKUP(A274,IntComp[],21,FALSE))))</f>
        <v/>
      </c>
      <c r="I274" s="143" t="str">
        <f ca="1">IF(IntAll[[#This Row],[STATUS]]="","",IF(IF(OR(F274="2019-2020",F274="2021-2025"),"",IF(ISNUMBER(SEARCH("LLC",D274)),VLOOKUP(A274,IntComp24[],16,FALSE),VLOOKUP(A274,IntComp[],16,FALSE)))=0,"",IF(OR(F274="2019-2020",F274="2021-2025"),"",IF(ISNUMBER(SEARCH("LLC",D274)),VLOOKUP(A274,IntComp24[],16,FALSE),VLOOKUP(A274,IntComp[],16,FALSE)))))</f>
        <v/>
      </c>
      <c r="J274" s="143" t="str">
        <f ca="1">IF(IF(OR(F274="2019-2020",F274="2021-2025"),"",IF(ISNUMBER(SEARCH("LLC",D274)),VLOOKUP(A274,IntComp24[],17,FALSE),VLOOKUP(A274,IntComp[],17,FALSE)))=0,"",IF(OR(F274="2019-2020",F274="2021-2025"),"",IF(ISNUMBER(SEARCH("LLC",D274)),VLOOKUP(A274,IntComp24[],17,FALSE),VLOOKUP(A274,IntComp[],17,FALSE))))</f>
        <v/>
      </c>
      <c r="K274" s="151"/>
      <c r="L274" s="151">
        <f ca="1">IF(OR(F274="2019-2020",F274="2021-2025"),"",IF(ISNUMBER(SEARCH("LLC",D274)),VLOOKUP(A274,IntComp24[],18,FALSE),VLOOKUP(A274,IntComp[],18,FALSE)))</f>
        <v>0</v>
      </c>
      <c r="M274" s="143"/>
      <c r="N274" s="143" t="str">
        <f ca="1">IF(IF(OR(F274="2019-2020",F274="2021-2025"),"",IF(ISNUMBER(SEARCH("LLC",D274)),VLOOKUP(A274,IntComp24[],20,FALSE),VLOOKUP(A274,IntComp[],20,FALSE)))=0,"",IF(OR(F274="2019-2020",F274="2021-2025"),"",IF(ISNUMBER(SEARCH("LLC",D274)),VLOOKUP(A274,IntComp24[],20,FALSE),VLOOKUP(A274,IntComp[],20,FALSE))))</f>
        <v/>
      </c>
      <c r="O274" s="152" t="str">
        <f ca="1">IF(IF(OR(F274="2019-2020",F274="2021-2025"),"",IF(ISNUMBER(SEARCH("LLC",D274)),VLOOKUP(A274,IntComp24[],23,FALSE),VLOOKUP(A274,IntComp[],23,FALSE)))=0,"",IF(OR(F274="2019-2020",F274="2021-2025"),"",IF(ISNUMBER(SEARCH("LLC",D274)),VLOOKUP(A274,IntComp24[],23,FALSE),VLOOKUP(A274,IntComp[],23,FALSE))))</f>
        <v/>
      </c>
    </row>
    <row r="275" spans="1:15">
      <c r="A275" s="147" t="s">
        <v>371</v>
      </c>
      <c r="B275" s="144" t="str">
        <f>VLOOKUP(A275,Data[],2,FALSE)</f>
        <v>MANHATTAN</v>
      </c>
      <c r="C275" s="144" t="s">
        <v>106</v>
      </c>
      <c r="D275" s="9" t="str">
        <f>VLOOKUP(A275,Data[],52,FALSE)</f>
        <v>FEDERAL</v>
      </c>
      <c r="E275" s="9">
        <f>VLOOKUP(IntAll[[#This Row],[DEVELOPMENT]],Data[],62,FALSE)</f>
        <v>7</v>
      </c>
      <c r="F275" s="9" t="str">
        <f ca="1">VLOOKUP(A275,Data[],4,FALSE)</f>
        <v/>
      </c>
      <c r="G275" s="9">
        <f>VLOOKUP(IntAll[[#This Row],[DEVELOPMENT]],EHDAll[[DEVELOPMENT]:['# Units]],6,FALSE)</f>
        <v>1</v>
      </c>
      <c r="H275" s="143" t="str">
        <f ca="1">IF(IntAll[[#This Row],[STATUS]]="","",IF(OR(F275="2019-2020",F275="2021-2025"),"",IF(ISNUMBER(SEARCH("LLC",D275)),VLOOKUP(A275,IntComp24[],21,FALSE),VLOOKUP(A275,IntComp[],21,FALSE))))</f>
        <v/>
      </c>
      <c r="I275" s="143" t="str">
        <f ca="1">IF(IntAll[[#This Row],[STATUS]]="","",IF(IF(OR(F275="2019-2020",F275="2021-2025"),"",IF(ISNUMBER(SEARCH("LLC",D275)),VLOOKUP(A275,IntComp24[],16,FALSE),VLOOKUP(A275,IntComp[],16,FALSE)))=0,"",IF(OR(F275="2019-2020",F275="2021-2025"),"",IF(ISNUMBER(SEARCH("LLC",D275)),VLOOKUP(A275,IntComp24[],16,FALSE),VLOOKUP(A275,IntComp[],16,FALSE)))))</f>
        <v/>
      </c>
      <c r="J275" s="143" t="str">
        <f ca="1">IF(IF(OR(F275="2019-2020",F275="2021-2025"),"",IF(ISNUMBER(SEARCH("LLC",D275)),VLOOKUP(A275,IntComp24[],17,FALSE),VLOOKUP(A275,IntComp[],17,FALSE)))=0,"",IF(OR(F275="2019-2020",F275="2021-2025"),"",IF(ISNUMBER(SEARCH("LLC",D275)),VLOOKUP(A275,IntComp24[],17,FALSE),VLOOKUP(A275,IntComp[],17,FALSE))))</f>
        <v/>
      </c>
      <c r="K275" s="151"/>
      <c r="L275" s="151">
        <f ca="1">IF(OR(F275="2019-2020",F275="2021-2025"),"",IF(ISNUMBER(SEARCH("LLC",D275)),VLOOKUP(A275,IntComp24[],18,FALSE),VLOOKUP(A275,IntComp[],18,FALSE)))</f>
        <v>0</v>
      </c>
      <c r="M275" s="143"/>
      <c r="N275" s="143" t="str">
        <f ca="1">IF(IF(OR(F275="2019-2020",F275="2021-2025"),"",IF(ISNUMBER(SEARCH("LLC",D275)),VLOOKUP(A275,IntComp24[],20,FALSE),VLOOKUP(A275,IntComp[],20,FALSE)))=0,"",IF(OR(F275="2019-2020",F275="2021-2025"),"",IF(ISNUMBER(SEARCH("LLC",D275)),VLOOKUP(A275,IntComp24[],20,FALSE),VLOOKUP(A275,IntComp[],20,FALSE))))</f>
        <v/>
      </c>
      <c r="O275" s="152" t="str">
        <f ca="1">IF(IF(OR(F275="2019-2020",F275="2021-2025"),"",IF(ISNUMBER(SEARCH("LLC",D275)),VLOOKUP(A275,IntComp24[],23,FALSE),VLOOKUP(A275,IntComp[],23,FALSE)))=0,"",IF(OR(F275="2019-2020",F275="2021-2025"),"",IF(ISNUMBER(SEARCH("LLC",D275)),VLOOKUP(A275,IntComp24[],23,FALSE),VLOOKUP(A275,IntComp[],23,FALSE))))</f>
        <v/>
      </c>
    </row>
    <row r="276" spans="1:15">
      <c r="A276" s="147" t="s">
        <v>217</v>
      </c>
      <c r="B276" s="144" t="str">
        <f>VLOOKUP(A276,Data[],2,FALSE)</f>
        <v>BRONX</v>
      </c>
      <c r="C276" s="144" t="s">
        <v>106</v>
      </c>
      <c r="D276" s="9" t="str">
        <f>VLOOKUP(A276,Data[],52,FALSE)</f>
        <v>FEDERAL</v>
      </c>
      <c r="E276" s="9">
        <f>VLOOKUP(IntAll[[#This Row],[DEVELOPMENT]],Data[],62,FALSE)</f>
        <v>10</v>
      </c>
      <c r="F276" s="9" t="str">
        <f ca="1">VLOOKUP(A276,Data[],4,FALSE)</f>
        <v>2020-2021</v>
      </c>
      <c r="G276" s="9">
        <f>VLOOKUP(IntAll[[#This Row],[DEVELOPMENT]],EHDAll[[DEVELOPMENT]:['# Units]],6,FALSE)</f>
        <v>62</v>
      </c>
      <c r="H276" s="143" t="str">
        <f ca="1">IF(IntAll[[#This Row],[STATUS]]="","",IF(OR(F276="2019-2020",F276="2021-2025"),"",IF(ISNUMBER(SEARCH("LLC",D276)),VLOOKUP(A276,IntComp24[],21,FALSE),VLOOKUP(A276,IntComp[],21,FALSE))))</f>
        <v/>
      </c>
      <c r="I276" s="143" t="str">
        <f ca="1">IF(IntAll[[#This Row],[STATUS]]="","",IF(IF(OR(F276="2019-2020",F276="2021-2025"),"",IF(ISNUMBER(SEARCH("LLC",D276)),VLOOKUP(A276,IntComp24[],16,FALSE),VLOOKUP(A276,IntComp[],16,FALSE)))=0,"",IF(OR(F276="2019-2020",F276="2021-2025"),"",IF(ISNUMBER(SEARCH("LLC",D276)),VLOOKUP(A276,IntComp24[],16,FALSE),VLOOKUP(A276,IntComp[],16,FALSE)))))</f>
        <v/>
      </c>
      <c r="J276" s="143" t="str">
        <f ca="1">IF(IF(OR(F276="2019-2020",F276="2021-2025"),"",IF(ISNUMBER(SEARCH("LLC",D276)),VLOOKUP(A276,IntComp24[],17,FALSE),VLOOKUP(A276,IntComp[],17,FALSE)))=0,"",IF(OR(F276="2019-2020",F276="2021-2025"),"",IF(ISNUMBER(SEARCH("LLC",D276)),VLOOKUP(A276,IntComp24[],17,FALSE),VLOOKUP(A276,IntComp[],17,FALSE))))</f>
        <v/>
      </c>
      <c r="K276" s="151"/>
      <c r="L276" s="151">
        <f ca="1">IF(OR(F276="2019-2020",F276="2021-2025"),"",IF(ISNUMBER(SEARCH("LLC",D276)),VLOOKUP(A276,IntComp24[],18,FALSE),VLOOKUP(A276,IntComp[],18,FALSE)))</f>
        <v>0</v>
      </c>
      <c r="M276" s="143"/>
      <c r="N276" s="143" t="str">
        <f ca="1">IF(IF(OR(F276="2019-2020",F276="2021-2025"),"",IF(ISNUMBER(SEARCH("LLC",D276)),VLOOKUP(A276,IntComp24[],20,FALSE),VLOOKUP(A276,IntComp[],20,FALSE)))=0,"",IF(OR(F276="2019-2020",F276="2021-2025"),"",IF(ISNUMBER(SEARCH("LLC",D276)),VLOOKUP(A276,IntComp24[],20,FALSE),VLOOKUP(A276,IntComp[],20,FALSE))))</f>
        <v/>
      </c>
      <c r="O276" s="152" t="str">
        <f ca="1">IF(IF(OR(F276="2019-2020",F276="2021-2025"),"",IF(ISNUMBER(SEARCH("LLC",D276)),VLOOKUP(A276,IntComp24[],23,FALSE),VLOOKUP(A276,IntComp[],23,FALSE)))=0,"",IF(OR(F276="2019-2020",F276="2021-2025"),"",IF(ISNUMBER(SEARCH("LLC",D276)),VLOOKUP(A276,IntComp24[],23,FALSE),VLOOKUP(A276,IntComp[],23,FALSE))))</f>
        <v/>
      </c>
    </row>
    <row r="277" spans="1:15">
      <c r="A277" s="147" t="s">
        <v>225</v>
      </c>
      <c r="B277" s="144" t="str">
        <f>VLOOKUP(A277,Data[],2,FALSE)</f>
        <v>BRONX</v>
      </c>
      <c r="C277" s="144" t="s">
        <v>106</v>
      </c>
      <c r="D277" s="9" t="str">
        <f>VLOOKUP(A277,Data[],52,FALSE)</f>
        <v>FEDERAL</v>
      </c>
      <c r="E277" s="9">
        <f>VLOOKUP(IntAll[[#This Row],[DEVELOPMENT]],Data[],62,FALSE)</f>
        <v>10</v>
      </c>
      <c r="F277" s="9" t="str">
        <f ca="1">VLOOKUP(A277,Data[],4,FALSE)</f>
        <v>2020-2021</v>
      </c>
      <c r="G277" s="9">
        <f>VLOOKUP(IntAll[[#This Row],[DEVELOPMENT]],EHDAll[[DEVELOPMENT]:['# Units]],6,FALSE)</f>
        <v>4</v>
      </c>
      <c r="H277" s="143" t="str">
        <f ca="1">IF(IntAll[[#This Row],[STATUS]]="","",IF(OR(F277="2019-2020",F277="2021-2025"),"",IF(ISNUMBER(SEARCH("LLC",D277)),VLOOKUP(A277,IntComp24[],21,FALSE),VLOOKUP(A277,IntComp[],21,FALSE))))</f>
        <v/>
      </c>
      <c r="I277" s="143" t="str">
        <f ca="1">IF(IntAll[[#This Row],[STATUS]]="","",IF(IF(OR(F277="2019-2020",F277="2021-2025"),"",IF(ISNUMBER(SEARCH("LLC",D277)),VLOOKUP(A277,IntComp24[],16,FALSE),VLOOKUP(A277,IntComp[],16,FALSE)))=0,"",IF(OR(F277="2019-2020",F277="2021-2025"),"",IF(ISNUMBER(SEARCH("LLC",D277)),VLOOKUP(A277,IntComp24[],16,FALSE),VLOOKUP(A277,IntComp[],16,FALSE)))))</f>
        <v/>
      </c>
      <c r="J277" s="143" t="str">
        <f ca="1">IF(IF(OR(F277="2019-2020",F277="2021-2025"),"",IF(ISNUMBER(SEARCH("LLC",D277)),VLOOKUP(A277,IntComp24[],17,FALSE),VLOOKUP(A277,IntComp[],17,FALSE)))=0,"",IF(OR(F277="2019-2020",F277="2021-2025"),"",IF(ISNUMBER(SEARCH("LLC",D277)),VLOOKUP(A277,IntComp24[],17,FALSE),VLOOKUP(A277,IntComp[],17,FALSE))))</f>
        <v/>
      </c>
      <c r="K277" s="151"/>
      <c r="L277" s="151">
        <f ca="1">IF(OR(F277="2019-2020",F277="2021-2025"),"",IF(ISNUMBER(SEARCH("LLC",D277)),VLOOKUP(A277,IntComp24[],18,FALSE),VLOOKUP(A277,IntComp[],18,FALSE)))</f>
        <v>0</v>
      </c>
      <c r="M277" s="143"/>
      <c r="N277" s="143" t="str">
        <f ca="1">IF(IF(OR(F277="2019-2020",F277="2021-2025"),"",IF(ISNUMBER(SEARCH("LLC",D277)),VLOOKUP(A277,IntComp24[],20,FALSE),VLOOKUP(A277,IntComp[],20,FALSE)))=0,"",IF(OR(F277="2019-2020",F277="2021-2025"),"",IF(ISNUMBER(SEARCH("LLC",D277)),VLOOKUP(A277,IntComp24[],20,FALSE),VLOOKUP(A277,IntComp[],20,FALSE))))</f>
        <v/>
      </c>
      <c r="O277" s="152" t="str">
        <f ca="1">IF(IF(OR(F277="2019-2020",F277="2021-2025"),"",IF(ISNUMBER(SEARCH("LLC",D277)),VLOOKUP(A277,IntComp24[],23,FALSE),VLOOKUP(A277,IntComp[],23,FALSE)))=0,"",IF(OR(F277="2019-2020",F277="2021-2025"),"",IF(ISNUMBER(SEARCH("LLC",D277)),VLOOKUP(A277,IntComp24[],23,FALSE),VLOOKUP(A277,IntComp[],23,FALSE))))</f>
        <v/>
      </c>
    </row>
    <row r="278" spans="1:15">
      <c r="A278" s="147" t="s">
        <v>270</v>
      </c>
      <c r="B278" s="144" t="str">
        <f>VLOOKUP(A278,Data[],2,FALSE)</f>
        <v>BROOKLYN</v>
      </c>
      <c r="C278" s="144" t="s">
        <v>106</v>
      </c>
      <c r="D278" s="9" t="str">
        <f>VLOOKUP(A278,Data[],52,FALSE)</f>
        <v>FEDERAL</v>
      </c>
      <c r="E278" s="9">
        <f>VLOOKUP(IntAll[[#This Row],[DEVELOPMENT]],Data[],62,FALSE)</f>
        <v>16</v>
      </c>
      <c r="F278" s="9" t="str">
        <f ca="1">VLOOKUP(A278,Data[],4,FALSE)</f>
        <v/>
      </c>
      <c r="G278" s="9">
        <f>VLOOKUP(IntAll[[#This Row],[DEVELOPMENT]],EHDAll[[DEVELOPMENT]:['# Units]],6,FALSE)</f>
        <v>8</v>
      </c>
      <c r="H278" s="143" t="str">
        <f ca="1">IF(IntAll[[#This Row],[STATUS]]="","",IF(OR(F278="2019-2020",F278="2021-2025"),"",IF(ISNUMBER(SEARCH("LLC",D278)),VLOOKUP(A278,IntComp24[],21,FALSE),VLOOKUP(A278,IntComp[],21,FALSE))))</f>
        <v/>
      </c>
      <c r="I278" s="143" t="str">
        <f ca="1">IF(IntAll[[#This Row],[STATUS]]="","",IF(IF(OR(F278="2019-2020",F278="2021-2025"),"",IF(ISNUMBER(SEARCH("LLC",D278)),VLOOKUP(A278,IntComp24[],16,FALSE),VLOOKUP(A278,IntComp[],16,FALSE)))=0,"",IF(OR(F278="2019-2020",F278="2021-2025"),"",IF(ISNUMBER(SEARCH("LLC",D278)),VLOOKUP(A278,IntComp24[],16,FALSE),VLOOKUP(A278,IntComp[],16,FALSE)))))</f>
        <v/>
      </c>
      <c r="J278" s="143" t="str">
        <f ca="1">IF(IF(OR(F278="2019-2020",F278="2021-2025"),"",IF(ISNUMBER(SEARCH("LLC",D278)),VLOOKUP(A278,IntComp24[],17,FALSE),VLOOKUP(A278,IntComp[],17,FALSE)))=0,"",IF(OR(F278="2019-2020",F278="2021-2025"),"",IF(ISNUMBER(SEARCH("LLC",D278)),VLOOKUP(A278,IntComp24[],17,FALSE),VLOOKUP(A278,IntComp[],17,FALSE))))</f>
        <v/>
      </c>
      <c r="K278" s="151"/>
      <c r="L278" s="151">
        <f ca="1">IF(OR(F278="2019-2020",F278="2021-2025"),"",IF(ISNUMBER(SEARCH("LLC",D278)),VLOOKUP(A278,IntComp24[],18,FALSE),VLOOKUP(A278,IntComp[],18,FALSE)))</f>
        <v>628351.5</v>
      </c>
      <c r="M278" s="143"/>
      <c r="N278" s="143" t="str">
        <f ca="1">IF(IF(OR(F278="2019-2020",F278="2021-2025"),"",IF(ISNUMBER(SEARCH("LLC",D278)),VLOOKUP(A278,IntComp24[],20,FALSE),VLOOKUP(A278,IntComp[],20,FALSE)))=0,"",IF(OR(F278="2019-2020",F278="2021-2025"),"",IF(ISNUMBER(SEARCH("LLC",D278)),VLOOKUP(A278,IntComp24[],20,FALSE),VLOOKUP(A278,IntComp[],20,FALSE))))</f>
        <v/>
      </c>
      <c r="O278" s="152" t="str">
        <f ca="1">IF(IF(OR(F278="2019-2020",F278="2021-2025"),"",IF(ISNUMBER(SEARCH("LLC",D278)),VLOOKUP(A278,IntComp24[],23,FALSE),VLOOKUP(A278,IntComp[],23,FALSE)))=0,"",IF(OR(F278="2019-2020",F278="2021-2025"),"",IF(ISNUMBER(SEARCH("LLC",D278)),VLOOKUP(A278,IntComp24[],23,FALSE),VLOOKUP(A278,IntComp[],23,FALSE))))</f>
        <v/>
      </c>
    </row>
    <row r="279" spans="1:15">
      <c r="A279" s="147" t="s">
        <v>288</v>
      </c>
      <c r="B279" s="144" t="str">
        <f>VLOOKUP(A279,Data[],2,FALSE)</f>
        <v>STATEN ISLAND</v>
      </c>
      <c r="C279" s="144" t="s">
        <v>106</v>
      </c>
      <c r="D279" s="9" t="str">
        <f>VLOOKUP(A279,Data[],52,FALSE)</f>
        <v>FEDERAL</v>
      </c>
      <c r="E279" s="9">
        <f>VLOOKUP(IntAll[[#This Row],[DEVELOPMENT]],Data[],62,FALSE)</f>
        <v>2</v>
      </c>
      <c r="F279" s="9" t="str">
        <f ca="1">VLOOKUP(A279,Data[],4,FALSE)</f>
        <v/>
      </c>
      <c r="G279" s="9">
        <f>VLOOKUP(IntAll[[#This Row],[DEVELOPMENT]],EHDAll[[DEVELOPMENT]:['# Units]],6,FALSE)</f>
        <v>14</v>
      </c>
      <c r="H279" s="143" t="str">
        <f ca="1">IF(IntAll[[#This Row],[STATUS]]="","",IF(OR(F279="2019-2020",F279="2021-2025"),"",IF(ISNUMBER(SEARCH("LLC",D279)),VLOOKUP(A279,IntComp24[],21,FALSE),VLOOKUP(A279,IntComp[],21,FALSE))))</f>
        <v/>
      </c>
      <c r="I279" s="143" t="str">
        <f ca="1">IF(IntAll[[#This Row],[STATUS]]="","",IF(IF(OR(F279="2019-2020",F279="2021-2025"),"",IF(ISNUMBER(SEARCH("LLC",D279)),VLOOKUP(A279,IntComp24[],16,FALSE),VLOOKUP(A279,IntComp[],16,FALSE)))=0,"",IF(OR(F279="2019-2020",F279="2021-2025"),"",IF(ISNUMBER(SEARCH("LLC",D279)),VLOOKUP(A279,IntComp24[],16,FALSE),VLOOKUP(A279,IntComp[],16,FALSE)))))</f>
        <v/>
      </c>
      <c r="J279" s="143" t="str">
        <f ca="1">IF(IF(OR(F279="2019-2020",F279="2021-2025"),"",IF(ISNUMBER(SEARCH("LLC",D279)),VLOOKUP(A279,IntComp24[],17,FALSE),VLOOKUP(A279,IntComp[],17,FALSE)))=0,"",IF(OR(F279="2019-2020",F279="2021-2025"),"",IF(ISNUMBER(SEARCH("LLC",D279)),VLOOKUP(A279,IntComp24[],17,FALSE),VLOOKUP(A279,IntComp[],17,FALSE))))</f>
        <v/>
      </c>
      <c r="K279" s="151"/>
      <c r="L279" s="151">
        <f ca="1">IF(OR(F279="2019-2020",F279="2021-2025"),"",IF(ISNUMBER(SEARCH("LLC",D279)),VLOOKUP(A279,IntComp24[],18,FALSE),VLOOKUP(A279,IntComp[],18,FALSE)))</f>
        <v>1099615.125</v>
      </c>
      <c r="M279" s="143"/>
      <c r="N279" s="143" t="str">
        <f ca="1">IF(IF(OR(F279="2019-2020",F279="2021-2025"),"",IF(ISNUMBER(SEARCH("LLC",D279)),VLOOKUP(A279,IntComp24[],20,FALSE),VLOOKUP(A279,IntComp[],20,FALSE)))=0,"",IF(OR(F279="2019-2020",F279="2021-2025"),"",IF(ISNUMBER(SEARCH("LLC",D279)),VLOOKUP(A279,IntComp24[],20,FALSE),VLOOKUP(A279,IntComp[],20,FALSE))))</f>
        <v/>
      </c>
      <c r="O279" s="152" t="str">
        <f ca="1">IF(IF(OR(F279="2019-2020",F279="2021-2025"),"",IF(ISNUMBER(SEARCH("LLC",D279)),VLOOKUP(A279,IntComp24[],23,FALSE),VLOOKUP(A279,IntComp[],23,FALSE)))=0,"",IF(OR(F279="2019-2020",F279="2021-2025"),"",IF(ISNUMBER(SEARCH("LLC",D279)),VLOOKUP(A279,IntComp24[],23,FALSE),VLOOKUP(A279,IntComp[],23,FALSE))))</f>
        <v/>
      </c>
    </row>
    <row r="280" spans="1:15">
      <c r="A280" s="147" t="s">
        <v>99</v>
      </c>
      <c r="B280" s="144" t="str">
        <f>VLOOKUP(A280,Data[],2,FALSE)</f>
        <v>BRONX</v>
      </c>
      <c r="C280" s="144" t="s">
        <v>106</v>
      </c>
      <c r="D280" s="9" t="str">
        <f>VLOOKUP(A280,Data[],52,FALSE)</f>
        <v>FEDERAL</v>
      </c>
      <c r="E280" s="9">
        <f>VLOOKUP(IntAll[[#This Row],[DEVELOPMENT]],Data[],62,FALSE)</f>
        <v>3</v>
      </c>
      <c r="F280" s="9" t="str">
        <f ca="1">VLOOKUP(A280,Data[],4,FALSE)</f>
        <v>2026+</v>
      </c>
      <c r="G280" s="9">
        <f>VLOOKUP(IntAll[[#This Row],[DEVELOPMENT]],EHDAll[[DEVELOPMENT]:['# Units]],6,FALSE)</f>
        <v>0</v>
      </c>
      <c r="H280" s="143" t="str">
        <f ca="1">IF(IntAll[[#This Row],[STATUS]]="","",IF(OR(F280="2019-2020",F280="2021-2025"),"",IF(ISNUMBER(SEARCH("LLC",D280)),VLOOKUP(A280,IntComp24[],21,FALSE),VLOOKUP(A280,IntComp[],21,FALSE))))</f>
        <v/>
      </c>
      <c r="I280" s="143" t="str">
        <f ca="1">IF(IntAll[[#This Row],[STATUS]]="","",IF(IF(OR(F280="2019-2020",F280="2021-2025"),"",IF(ISNUMBER(SEARCH("LLC",D280)),VLOOKUP(A280,IntComp24[],16,FALSE),VLOOKUP(A280,IntComp[],16,FALSE)))=0,"",IF(OR(F280="2019-2020",F280="2021-2025"),"",IF(ISNUMBER(SEARCH("LLC",D280)),VLOOKUP(A280,IntComp24[],16,FALSE),VLOOKUP(A280,IntComp[],16,FALSE)))))</f>
        <v/>
      </c>
      <c r="J280" s="143" t="str">
        <f ca="1">IF(IF(OR(F280="2019-2020",F280="2021-2025"),"",IF(ISNUMBER(SEARCH("LLC",D280)),VLOOKUP(A280,IntComp24[],17,FALSE),VLOOKUP(A280,IntComp[],17,FALSE)))=0,"",IF(OR(F280="2019-2020",F280="2021-2025"),"",IF(ISNUMBER(SEARCH("LLC",D280)),VLOOKUP(A280,IntComp24[],17,FALSE),VLOOKUP(A280,IntComp[],17,FALSE))))</f>
        <v/>
      </c>
      <c r="K280" s="151"/>
      <c r="L280" s="151">
        <f ca="1">IF(OR(F280="2019-2020",F280="2021-2025"),"",IF(ISNUMBER(SEARCH("LLC",D280)),VLOOKUP(A280,IntComp24[],18,FALSE),VLOOKUP(A280,IntComp[],18,FALSE)))</f>
        <v>0</v>
      </c>
      <c r="M280" s="143"/>
      <c r="N280" s="143" t="str">
        <f ca="1">IF(IF(OR(F280="2019-2020",F280="2021-2025"),"",IF(ISNUMBER(SEARCH("LLC",D280)),VLOOKUP(A280,IntComp24[],20,FALSE),VLOOKUP(A280,IntComp[],20,FALSE)))=0,"",IF(OR(F280="2019-2020",F280="2021-2025"),"",IF(ISNUMBER(SEARCH("LLC",D280)),VLOOKUP(A280,IntComp24[],20,FALSE),VLOOKUP(A280,IntComp[],20,FALSE))))</f>
        <v/>
      </c>
      <c r="O280" s="152" t="str">
        <f ca="1">IF(IF(OR(F280="2019-2020",F280="2021-2025"),"",IF(ISNUMBER(SEARCH("LLC",D280)),VLOOKUP(A280,IntComp24[],23,FALSE),VLOOKUP(A280,IntComp[],23,FALSE)))=0,"",IF(OR(F280="2019-2020",F280="2021-2025"),"",IF(ISNUMBER(SEARCH("LLC",D280)),VLOOKUP(A280,IntComp24[],23,FALSE),VLOOKUP(A280,IntComp[],23,FALSE))))</f>
        <v/>
      </c>
    </row>
    <row r="281" spans="1:15">
      <c r="A281" s="147" t="s">
        <v>218</v>
      </c>
      <c r="B281" s="144" t="str">
        <f>VLOOKUP(A281,Data[],2,FALSE)</f>
        <v>BROOKLYN</v>
      </c>
      <c r="C281" s="144" t="s">
        <v>106</v>
      </c>
      <c r="D281" s="9" t="str">
        <f>VLOOKUP(A281,Data[],52,FALSE)</f>
        <v>FEDERAL</v>
      </c>
      <c r="E281" s="9">
        <f>VLOOKUP(IntAll[[#This Row],[DEVELOPMENT]],Data[],62,FALSE)</f>
        <v>5</v>
      </c>
      <c r="F281" s="9" t="str">
        <f ca="1">VLOOKUP(A281,Data[],4,FALSE)</f>
        <v>2026+</v>
      </c>
      <c r="G281" s="9">
        <f>VLOOKUP(IntAll[[#This Row],[DEVELOPMENT]],EHDAll[[DEVELOPMENT]:['# Units]],6,FALSE)</f>
        <v>5</v>
      </c>
      <c r="H281" s="143" t="str">
        <f ca="1">IF(IntAll[[#This Row],[STATUS]]="","",IF(OR(F281="2019-2020",F281="2021-2025"),"",IF(ISNUMBER(SEARCH("LLC",D281)),VLOOKUP(A281,IntComp24[],21,FALSE),VLOOKUP(A281,IntComp[],21,FALSE))))</f>
        <v/>
      </c>
      <c r="I281" s="143" t="str">
        <f ca="1">IF(IntAll[[#This Row],[STATUS]]="","",IF(IF(OR(F281="2019-2020",F281="2021-2025"),"",IF(ISNUMBER(SEARCH("LLC",D281)),VLOOKUP(A281,IntComp24[],16,FALSE),VLOOKUP(A281,IntComp[],16,FALSE)))=0,"",IF(OR(F281="2019-2020",F281="2021-2025"),"",IF(ISNUMBER(SEARCH("LLC",D281)),VLOOKUP(A281,IntComp24[],16,FALSE),VLOOKUP(A281,IntComp[],16,FALSE)))))</f>
        <v/>
      </c>
      <c r="J281" s="143" t="str">
        <f ca="1">IF(IF(OR(F281="2019-2020",F281="2021-2025"),"",IF(ISNUMBER(SEARCH("LLC",D281)),VLOOKUP(A281,IntComp24[],17,FALSE),VLOOKUP(A281,IntComp[],17,FALSE)))=0,"",IF(OR(F281="2019-2020",F281="2021-2025"),"",IF(ISNUMBER(SEARCH("LLC",D281)),VLOOKUP(A281,IntComp24[],17,FALSE),VLOOKUP(A281,IntComp[],17,FALSE))))</f>
        <v/>
      </c>
      <c r="K281" s="151"/>
      <c r="L281" s="151">
        <f ca="1">IF(OR(F281="2019-2020",F281="2021-2025"),"",IF(ISNUMBER(SEARCH("LLC",D281)),VLOOKUP(A281,IntComp24[],18,FALSE),VLOOKUP(A281,IntComp[],18,FALSE)))</f>
        <v>305343.5</v>
      </c>
      <c r="M281" s="143"/>
      <c r="N281" s="143" t="str">
        <f ca="1">IF(IF(OR(F281="2019-2020",F281="2021-2025"),"",IF(ISNUMBER(SEARCH("LLC",D281)),VLOOKUP(A281,IntComp24[],20,FALSE),VLOOKUP(A281,IntComp[],20,FALSE)))=0,"",IF(OR(F281="2019-2020",F281="2021-2025"),"",IF(ISNUMBER(SEARCH("LLC",D281)),VLOOKUP(A281,IntComp24[],20,FALSE),VLOOKUP(A281,IntComp[],20,FALSE))))</f>
        <v/>
      </c>
      <c r="O281" s="152" t="str">
        <f ca="1">IF(IF(OR(F281="2019-2020",F281="2021-2025"),"",IF(ISNUMBER(SEARCH("LLC",D281)),VLOOKUP(A281,IntComp24[],23,FALSE),VLOOKUP(A281,IntComp[],23,FALSE)))=0,"",IF(OR(F281="2019-2020",F281="2021-2025"),"",IF(ISNUMBER(SEARCH("LLC",D281)),VLOOKUP(A281,IntComp24[],23,FALSE),VLOOKUP(A281,IntComp[],23,FALSE))))</f>
        <v/>
      </c>
    </row>
    <row r="282" spans="1:15">
      <c r="A282" s="147" t="s">
        <v>219</v>
      </c>
      <c r="B282" s="144" t="str">
        <f>VLOOKUP(A282,Data[],2,FALSE)</f>
        <v>BROOKLYN</v>
      </c>
      <c r="C282" s="144" t="s">
        <v>106</v>
      </c>
      <c r="D282" s="9" t="str">
        <f>VLOOKUP(A282,Data[],52,FALSE)</f>
        <v>FEDERAL</v>
      </c>
      <c r="E282" s="9">
        <f>VLOOKUP(IntAll[[#This Row],[DEVELOPMENT]],Data[],62,FALSE)</f>
        <v>5</v>
      </c>
      <c r="F282" s="9" t="str">
        <f ca="1">VLOOKUP(A282,Data[],4,FALSE)</f>
        <v>2026+</v>
      </c>
      <c r="G282" s="9">
        <f>VLOOKUP(IntAll[[#This Row],[DEVELOPMENT]],EHDAll[[DEVELOPMENT]:['# Units]],6,FALSE)</f>
        <v>12</v>
      </c>
      <c r="H282" s="143" t="str">
        <f ca="1">IF(IntAll[[#This Row],[STATUS]]="","",IF(OR(F282="2019-2020",F282="2021-2025"),"",IF(ISNUMBER(SEARCH("LLC",D282)),VLOOKUP(A282,IntComp24[],21,FALSE),VLOOKUP(A282,IntComp[],21,FALSE))))</f>
        <v/>
      </c>
      <c r="I282" s="143" t="str">
        <f ca="1">IF(IntAll[[#This Row],[STATUS]]="","",IF(IF(OR(F282="2019-2020",F282="2021-2025"),"",IF(ISNUMBER(SEARCH("LLC",D282)),VLOOKUP(A282,IntComp24[],16,FALSE),VLOOKUP(A282,IntComp[],16,FALSE)))=0,"",IF(OR(F282="2019-2020",F282="2021-2025"),"",IF(ISNUMBER(SEARCH("LLC",D282)),VLOOKUP(A282,IntComp24[],16,FALSE),VLOOKUP(A282,IntComp[],16,FALSE)))))</f>
        <v/>
      </c>
      <c r="J282" s="143" t="str">
        <f ca="1">IF(IF(OR(F282="2019-2020",F282="2021-2025"),"",IF(ISNUMBER(SEARCH("LLC",D282)),VLOOKUP(A282,IntComp24[],17,FALSE),VLOOKUP(A282,IntComp[],17,FALSE)))=0,"",IF(OR(F282="2019-2020",F282="2021-2025"),"",IF(ISNUMBER(SEARCH("LLC",D282)),VLOOKUP(A282,IntComp24[],17,FALSE),VLOOKUP(A282,IntComp[],17,FALSE))))</f>
        <v/>
      </c>
      <c r="K282" s="151"/>
      <c r="L282" s="151">
        <f ca="1">IF(OR(F282="2019-2020",F282="2021-2025"),"",IF(ISNUMBER(SEARCH("LLC",D282)),VLOOKUP(A282,IntComp24[],18,FALSE),VLOOKUP(A282,IntComp[],18,FALSE)))</f>
        <v>992366.375</v>
      </c>
      <c r="M282" s="143"/>
      <c r="N282" s="143" t="str">
        <f ca="1">IF(IF(OR(F282="2019-2020",F282="2021-2025"),"",IF(ISNUMBER(SEARCH("LLC",D282)),VLOOKUP(A282,IntComp24[],20,FALSE),VLOOKUP(A282,IntComp[],20,FALSE)))=0,"",IF(OR(F282="2019-2020",F282="2021-2025"),"",IF(ISNUMBER(SEARCH("LLC",D282)),VLOOKUP(A282,IntComp24[],20,FALSE),VLOOKUP(A282,IntComp[],20,FALSE))))</f>
        <v/>
      </c>
      <c r="O282" s="152" t="str">
        <f ca="1">IF(IF(OR(F282="2019-2020",F282="2021-2025"),"",IF(ISNUMBER(SEARCH("LLC",D282)),VLOOKUP(A282,IntComp24[],23,FALSE),VLOOKUP(A282,IntComp[],23,FALSE)))=0,"",IF(OR(F282="2019-2020",F282="2021-2025"),"",IF(ISNUMBER(SEARCH("LLC",D282)),VLOOKUP(A282,IntComp24[],23,FALSE),VLOOKUP(A282,IntComp[],23,FALSE))))</f>
        <v/>
      </c>
    </row>
    <row r="283" spans="1:15">
      <c r="A283" s="147" t="s">
        <v>372</v>
      </c>
      <c r="B283" s="144" t="str">
        <f>VLOOKUP(A283,Data[],2,FALSE)</f>
        <v>BRONX</v>
      </c>
      <c r="C283" s="144" t="s">
        <v>106</v>
      </c>
      <c r="D283" s="9" t="str">
        <f>VLOOKUP(A283,Data[],52,FALSE)</f>
        <v>FEDERAL</v>
      </c>
      <c r="E283" s="9">
        <f>VLOOKUP(IntAll[[#This Row],[DEVELOPMENT]],Data[],62,FALSE)</f>
        <v>5</v>
      </c>
      <c r="F283" s="9" t="str">
        <f ca="1">VLOOKUP(A283,Data[],4,FALSE)</f>
        <v/>
      </c>
      <c r="G283" s="9">
        <f>VLOOKUP(IntAll[[#This Row],[DEVELOPMENT]],EHDAll[[DEVELOPMENT]:['# Units]],6,FALSE)</f>
        <v>5</v>
      </c>
      <c r="H283" s="143" t="str">
        <f ca="1">IF(IntAll[[#This Row],[STATUS]]="","",IF(OR(F283="2019-2020",F283="2021-2025"),"",IF(ISNUMBER(SEARCH("LLC",D283)),VLOOKUP(A283,IntComp24[],21,FALSE),VLOOKUP(A283,IntComp[],21,FALSE))))</f>
        <v/>
      </c>
      <c r="I283" s="143" t="str">
        <f ca="1">IF(IntAll[[#This Row],[STATUS]]="","",IF(IF(OR(F283="2019-2020",F283="2021-2025"),"",IF(ISNUMBER(SEARCH("LLC",D283)),VLOOKUP(A283,IntComp24[],16,FALSE),VLOOKUP(A283,IntComp[],16,FALSE)))=0,"",IF(OR(F283="2019-2020",F283="2021-2025"),"",IF(ISNUMBER(SEARCH("LLC",D283)),VLOOKUP(A283,IntComp24[],16,FALSE),VLOOKUP(A283,IntComp[],16,FALSE)))))</f>
        <v/>
      </c>
      <c r="J283" s="143" t="str">
        <f ca="1">IF(IF(OR(F283="2019-2020",F283="2021-2025"),"",IF(ISNUMBER(SEARCH("LLC",D283)),VLOOKUP(A283,IntComp24[],17,FALSE),VLOOKUP(A283,IntComp[],17,FALSE)))=0,"",IF(OR(F283="2019-2020",F283="2021-2025"),"",IF(ISNUMBER(SEARCH("LLC",D283)),VLOOKUP(A283,IntComp24[],17,FALSE),VLOOKUP(A283,IntComp[],17,FALSE))))</f>
        <v/>
      </c>
      <c r="K283" s="151"/>
      <c r="L283" s="151">
        <f ca="1">IF(OR(F283="2019-2020",F283="2021-2025"),"",IF(ISNUMBER(SEARCH("LLC",D283)),VLOOKUP(A283,IntComp24[],18,FALSE),VLOOKUP(A283,IntComp[],18,FALSE)))</f>
        <v>0</v>
      </c>
      <c r="M283" s="143"/>
      <c r="N283" s="143" t="str">
        <f ca="1">IF(IF(OR(F283="2019-2020",F283="2021-2025"),"",IF(ISNUMBER(SEARCH("LLC",D283)),VLOOKUP(A283,IntComp24[],20,FALSE),VLOOKUP(A283,IntComp[],20,FALSE)))=0,"",IF(OR(F283="2019-2020",F283="2021-2025"),"",IF(ISNUMBER(SEARCH("LLC",D283)),VLOOKUP(A283,IntComp24[],20,FALSE),VLOOKUP(A283,IntComp[],20,FALSE))))</f>
        <v/>
      </c>
      <c r="O283" s="152" t="str">
        <f ca="1">IF(IF(OR(F283="2019-2020",F283="2021-2025"),"",IF(ISNUMBER(SEARCH("LLC",D283)),VLOOKUP(A283,IntComp24[],23,FALSE),VLOOKUP(A283,IntComp[],23,FALSE)))=0,"",IF(OR(F283="2019-2020",F283="2021-2025"),"",IF(ISNUMBER(SEARCH("LLC",D283)),VLOOKUP(A283,IntComp24[],23,FALSE),VLOOKUP(A283,IntComp[],23,FALSE))))</f>
        <v/>
      </c>
    </row>
    <row r="284" spans="1:15">
      <c r="A284" s="147" t="s">
        <v>126</v>
      </c>
      <c r="B284" s="144" t="str">
        <f>VLOOKUP(A284,Data[],2,FALSE)</f>
        <v>MANHATTAN</v>
      </c>
      <c r="C284" s="144" t="s">
        <v>106</v>
      </c>
      <c r="D284" s="9" t="str">
        <f>VLOOKUP(A284,Data[],52,FALSE)</f>
        <v>FEDERAL</v>
      </c>
      <c r="E284" s="9">
        <f>VLOOKUP(IntAll[[#This Row],[DEVELOPMENT]],Data[],62,FALSE)</f>
        <v>11</v>
      </c>
      <c r="F284" s="9" t="str">
        <f ca="1">VLOOKUP(A284,Data[],4,FALSE)</f>
        <v/>
      </c>
      <c r="G284" s="9">
        <f>VLOOKUP(IntAll[[#This Row],[DEVELOPMENT]],EHDAll[[DEVELOPMENT]:['# Units]],6,FALSE)</f>
        <v>1</v>
      </c>
      <c r="H284" s="143" t="str">
        <f ca="1">IF(IntAll[[#This Row],[STATUS]]="","",IF(OR(F284="2019-2020",F284="2021-2025"),"",IF(ISNUMBER(SEARCH("LLC",D284)),VLOOKUP(A284,IntComp24[],21,FALSE),VLOOKUP(A284,IntComp[],21,FALSE))))</f>
        <v/>
      </c>
      <c r="I284" s="143" t="str">
        <f ca="1">IF(IntAll[[#This Row],[STATUS]]="","",IF(IF(OR(F284="2019-2020",F284="2021-2025"),"",IF(ISNUMBER(SEARCH("LLC",D284)),VLOOKUP(A284,IntComp24[],16,FALSE),VLOOKUP(A284,IntComp[],16,FALSE)))=0,"",IF(OR(F284="2019-2020",F284="2021-2025"),"",IF(ISNUMBER(SEARCH("LLC",D284)),VLOOKUP(A284,IntComp24[],16,FALSE),VLOOKUP(A284,IntComp[],16,FALSE)))))</f>
        <v/>
      </c>
      <c r="J284" s="143" t="str">
        <f ca="1">IF(IF(OR(F284="2019-2020",F284="2021-2025"),"",IF(ISNUMBER(SEARCH("LLC",D284)),VLOOKUP(A284,IntComp24[],17,FALSE),VLOOKUP(A284,IntComp[],17,FALSE)))=0,"",IF(OR(F284="2019-2020",F284="2021-2025"),"",IF(ISNUMBER(SEARCH("LLC",D284)),VLOOKUP(A284,IntComp24[],17,FALSE),VLOOKUP(A284,IntComp[],17,FALSE))))</f>
        <v/>
      </c>
      <c r="K284" s="151"/>
      <c r="L284" s="151">
        <f ca="1">IF(OR(F284="2019-2020",F284="2021-2025"),"",IF(ISNUMBER(SEARCH("LLC",D284)),VLOOKUP(A284,IntComp24[],18,FALSE),VLOOKUP(A284,IntComp[],18,FALSE)))</f>
        <v>71919.750000000015</v>
      </c>
      <c r="M284" s="143"/>
      <c r="N284" s="143" t="str">
        <f ca="1">IF(IF(OR(F284="2019-2020",F284="2021-2025"),"",IF(ISNUMBER(SEARCH("LLC",D284)),VLOOKUP(A284,IntComp24[],20,FALSE),VLOOKUP(A284,IntComp[],20,FALSE)))=0,"",IF(OR(F284="2019-2020",F284="2021-2025"),"",IF(ISNUMBER(SEARCH("LLC",D284)),VLOOKUP(A284,IntComp24[],20,FALSE),VLOOKUP(A284,IntComp[],20,FALSE))))</f>
        <v/>
      </c>
      <c r="O284" s="152" t="str">
        <f ca="1">IF(IF(OR(F284="2019-2020",F284="2021-2025"),"",IF(ISNUMBER(SEARCH("LLC",D284)),VLOOKUP(A284,IntComp24[],23,FALSE),VLOOKUP(A284,IntComp[],23,FALSE)))=0,"",IF(OR(F284="2019-2020",F284="2021-2025"),"",IF(ISNUMBER(SEARCH("LLC",D284)),VLOOKUP(A284,IntComp24[],23,FALSE),VLOOKUP(A284,IntComp[],23,FALSE))))</f>
        <v/>
      </c>
    </row>
    <row r="285" spans="1:15">
      <c r="A285" s="147" t="s">
        <v>100</v>
      </c>
      <c r="B285" s="144" t="str">
        <f>VLOOKUP(A285,Data[],2,FALSE)</f>
        <v>MANHATTAN</v>
      </c>
      <c r="C285" s="144" t="s">
        <v>106</v>
      </c>
      <c r="D285" s="9" t="str">
        <f>VLOOKUP(A285,Data[],52,FALSE)</f>
        <v>FEDERAL</v>
      </c>
      <c r="E285" s="9">
        <f>VLOOKUP(IntAll[[#This Row],[DEVELOPMENT]],Data[],62,FALSE)</f>
        <v>11</v>
      </c>
      <c r="F285" s="9" t="str">
        <f ca="1">VLOOKUP(A285,Data[],4,FALSE)</f>
        <v/>
      </c>
      <c r="G285" s="9">
        <f>VLOOKUP(IntAll[[#This Row],[DEVELOPMENT]],EHDAll[[DEVELOPMENT]:['# Units]],6,FALSE)</f>
        <v>6</v>
      </c>
      <c r="H285" s="143" t="str">
        <f ca="1">IF(IntAll[[#This Row],[STATUS]]="","",IF(OR(F285="2019-2020",F285="2021-2025"),"",IF(ISNUMBER(SEARCH("LLC",D285)),VLOOKUP(A285,IntComp24[],21,FALSE),VLOOKUP(A285,IntComp[],21,FALSE))))</f>
        <v/>
      </c>
      <c r="I285" s="143" t="str">
        <f ca="1">IF(IntAll[[#This Row],[STATUS]]="","",IF(IF(OR(F285="2019-2020",F285="2021-2025"),"",IF(ISNUMBER(SEARCH("LLC",D285)),VLOOKUP(A285,IntComp24[],16,FALSE),VLOOKUP(A285,IntComp[],16,FALSE)))=0,"",IF(OR(F285="2019-2020",F285="2021-2025"),"",IF(ISNUMBER(SEARCH("LLC",D285)),VLOOKUP(A285,IntComp24[],16,FALSE),VLOOKUP(A285,IntComp[],16,FALSE)))))</f>
        <v/>
      </c>
      <c r="J285" s="143" t="str">
        <f ca="1">IF(IF(OR(F285="2019-2020",F285="2021-2025"),"",IF(ISNUMBER(SEARCH("LLC",D285)),VLOOKUP(A285,IntComp24[],17,FALSE),VLOOKUP(A285,IntComp[],17,FALSE)))=0,"",IF(OR(F285="2019-2020",F285="2021-2025"),"",IF(ISNUMBER(SEARCH("LLC",D285)),VLOOKUP(A285,IntComp24[],17,FALSE),VLOOKUP(A285,IntComp[],17,FALSE))))</f>
        <v/>
      </c>
      <c r="K285" s="151"/>
      <c r="L285" s="151">
        <f ca="1">IF(OR(F285="2019-2020",F285="2021-2025"),"",IF(ISNUMBER(SEARCH("LLC",D285)),VLOOKUP(A285,IntComp24[],18,FALSE),VLOOKUP(A285,IntComp[],18,FALSE)))</f>
        <v>76335.875</v>
      </c>
      <c r="M285" s="143"/>
      <c r="N285" s="143" t="str">
        <f ca="1">IF(IF(OR(F285="2019-2020",F285="2021-2025"),"",IF(ISNUMBER(SEARCH("LLC",D285)),VLOOKUP(A285,IntComp24[],20,FALSE),VLOOKUP(A285,IntComp[],20,FALSE)))=0,"",IF(OR(F285="2019-2020",F285="2021-2025"),"",IF(ISNUMBER(SEARCH("LLC",D285)),VLOOKUP(A285,IntComp24[],20,FALSE),VLOOKUP(A285,IntComp[],20,FALSE))))</f>
        <v/>
      </c>
      <c r="O285" s="152" t="str">
        <f ca="1">IF(IF(OR(F285="2019-2020",F285="2021-2025"),"",IF(ISNUMBER(SEARCH("LLC",D285)),VLOOKUP(A285,IntComp24[],23,FALSE),VLOOKUP(A285,IntComp[],23,FALSE)))=0,"",IF(OR(F285="2019-2020",F285="2021-2025"),"",IF(ISNUMBER(SEARCH("LLC",D285)),VLOOKUP(A285,IntComp24[],23,FALSE),VLOOKUP(A285,IntComp[],23,FALSE))))</f>
        <v/>
      </c>
    </row>
    <row r="286" spans="1:15">
      <c r="A286" s="147" t="s">
        <v>373</v>
      </c>
      <c r="B286" s="144" t="str">
        <f>VLOOKUP(A286,Data[],2,FALSE)</f>
        <v>BROOKLYN</v>
      </c>
      <c r="C286" s="144" t="s">
        <v>106</v>
      </c>
      <c r="D286" s="9" t="str">
        <f>VLOOKUP(A286,Data[],52,FALSE)</f>
        <v>FEDERAL</v>
      </c>
      <c r="E286" s="9">
        <f>VLOOKUP(IntAll[[#This Row],[DEVELOPMENT]],Data[],62,FALSE)</f>
        <v>16</v>
      </c>
      <c r="F286" s="9" t="str">
        <f ca="1">VLOOKUP(A286,Data[],4,FALSE)</f>
        <v>2022-2025</v>
      </c>
      <c r="G286" s="9">
        <f>VLOOKUP(IntAll[[#This Row],[DEVELOPMENT]],EHDAll[[DEVELOPMENT]:['# Units]],6,FALSE)</f>
        <v>31</v>
      </c>
      <c r="H286" s="143" t="str">
        <f ca="1">IF(IntAll[[#This Row],[STATUS]]="","",IF(OR(F286="2019-2020",F286="2021-2025"),"",IF(ISNUMBER(SEARCH("LLC",D286)),VLOOKUP(A286,IntComp24[],21,FALSE),VLOOKUP(A286,IntComp[],21,FALSE))))</f>
        <v/>
      </c>
      <c r="I286" s="143" t="str">
        <f ca="1">IF(IntAll[[#This Row],[STATUS]]="","",IF(IF(OR(F286="2019-2020",F286="2021-2025"),"",IF(ISNUMBER(SEARCH("LLC",D286)),VLOOKUP(A286,IntComp24[],16,FALSE),VLOOKUP(A286,IntComp[],16,FALSE)))=0,"",IF(OR(F286="2019-2020",F286="2021-2025"),"",IF(ISNUMBER(SEARCH("LLC",D286)),VLOOKUP(A286,IntComp24[],16,FALSE),VLOOKUP(A286,IntComp[],16,FALSE)))))</f>
        <v/>
      </c>
      <c r="J286" s="143" t="str">
        <f ca="1">IF(IF(OR(F286="2019-2020",F286="2021-2025"),"",IF(ISNUMBER(SEARCH("LLC",D286)),VLOOKUP(A286,IntComp24[],17,FALSE),VLOOKUP(A286,IntComp[],17,FALSE)))=0,"",IF(OR(F286="2019-2020",F286="2021-2025"),"",IF(ISNUMBER(SEARCH("LLC",D286)),VLOOKUP(A286,IntComp24[],17,FALSE),VLOOKUP(A286,IntComp[],17,FALSE))))</f>
        <v/>
      </c>
      <c r="K286" s="151"/>
      <c r="L286" s="151">
        <f ca="1">IF(OR(F286="2019-2020",F286="2021-2025"),"",IF(ISNUMBER(SEARCH("LLC",D286)),VLOOKUP(A286,IntComp24[],18,FALSE),VLOOKUP(A286,IntComp[],18,FALSE)))</f>
        <v>0</v>
      </c>
      <c r="M286" s="143"/>
      <c r="N286" s="143" t="str">
        <f ca="1">IF(IF(OR(F286="2019-2020",F286="2021-2025"),"",IF(ISNUMBER(SEARCH("LLC",D286)),VLOOKUP(A286,IntComp24[],20,FALSE),VLOOKUP(A286,IntComp[],20,FALSE)))=0,"",IF(OR(F286="2019-2020",F286="2021-2025"),"",IF(ISNUMBER(SEARCH("LLC",D286)),VLOOKUP(A286,IntComp24[],20,FALSE),VLOOKUP(A286,IntComp[],20,FALSE))))</f>
        <v/>
      </c>
      <c r="O286" s="152" t="str">
        <f ca="1">IF(IF(OR(F286="2019-2020",F286="2021-2025"),"",IF(ISNUMBER(SEARCH("LLC",D286)),VLOOKUP(A286,IntComp24[],23,FALSE),VLOOKUP(A286,IntComp[],23,FALSE)))=0,"",IF(OR(F286="2019-2020",F286="2021-2025"),"",IF(ISNUMBER(SEARCH("LLC",D286)),VLOOKUP(A286,IntComp24[],23,FALSE),VLOOKUP(A286,IntComp[],23,FALSE))))</f>
        <v>maybe being done by CPD PM</v>
      </c>
    </row>
    <row r="287" spans="1:15">
      <c r="A287" s="147" t="s">
        <v>374</v>
      </c>
      <c r="B287" s="144" t="str">
        <f>VLOOKUP(A287,Data[],2,FALSE)</f>
        <v>BROOKLYN</v>
      </c>
      <c r="C287" s="144" t="s">
        <v>106</v>
      </c>
      <c r="D287" s="9" t="str">
        <f>VLOOKUP(A287,Data[],52,FALSE)</f>
        <v>FEDERAL</v>
      </c>
      <c r="E287" s="9">
        <f>VLOOKUP(IntAll[[#This Row],[DEVELOPMENT]],Data[],62,FALSE)</f>
        <v>16</v>
      </c>
      <c r="F287" s="9" t="str">
        <f ca="1">VLOOKUP(A287,Data[],4,FALSE)</f>
        <v/>
      </c>
      <c r="G287" s="9">
        <f>VLOOKUP(IntAll[[#This Row],[DEVELOPMENT]],EHDAll[[DEVELOPMENT]:['# Units]],6,FALSE)</f>
        <v>1</v>
      </c>
      <c r="H287" s="143" t="str">
        <f ca="1">IF(IntAll[[#This Row],[STATUS]]="","",IF(OR(F287="2019-2020",F287="2021-2025"),"",IF(ISNUMBER(SEARCH("LLC",D287)),VLOOKUP(A287,IntComp24[],21,FALSE),VLOOKUP(A287,IntComp[],21,FALSE))))</f>
        <v/>
      </c>
      <c r="I287" s="143" t="str">
        <f ca="1">IF(IntAll[[#This Row],[STATUS]]="","",IF(IF(OR(F287="2019-2020",F287="2021-2025"),"",IF(ISNUMBER(SEARCH("LLC",D287)),VLOOKUP(A287,IntComp24[],16,FALSE),VLOOKUP(A287,IntComp[],16,FALSE)))=0,"",IF(OR(F287="2019-2020",F287="2021-2025"),"",IF(ISNUMBER(SEARCH("LLC",D287)),VLOOKUP(A287,IntComp24[],16,FALSE),VLOOKUP(A287,IntComp[],16,FALSE)))))</f>
        <v/>
      </c>
      <c r="J287" s="143" t="str">
        <f ca="1">IF(IF(OR(F287="2019-2020",F287="2021-2025"),"",IF(ISNUMBER(SEARCH("LLC",D287)),VLOOKUP(A287,IntComp24[],17,FALSE),VLOOKUP(A287,IntComp[],17,FALSE)))=0,"",IF(OR(F287="2019-2020",F287="2021-2025"),"",IF(ISNUMBER(SEARCH("LLC",D287)),VLOOKUP(A287,IntComp24[],17,FALSE),VLOOKUP(A287,IntComp[],17,FALSE))))</f>
        <v/>
      </c>
      <c r="K287" s="151"/>
      <c r="L287" s="151">
        <f ca="1">IF(OR(F287="2019-2020",F287="2021-2025"),"",IF(ISNUMBER(SEARCH("LLC",D287)),VLOOKUP(A287,IntComp24[],18,FALSE),VLOOKUP(A287,IntComp[],18,FALSE)))</f>
        <v>78543.9375</v>
      </c>
      <c r="M287" s="143"/>
      <c r="N287" s="143" t="str">
        <f ca="1">IF(IF(OR(F287="2019-2020",F287="2021-2025"),"",IF(ISNUMBER(SEARCH("LLC",D287)),VLOOKUP(A287,IntComp24[],20,FALSE),VLOOKUP(A287,IntComp[],20,FALSE)))=0,"",IF(OR(F287="2019-2020",F287="2021-2025"),"",IF(ISNUMBER(SEARCH("LLC",D287)),VLOOKUP(A287,IntComp24[],20,FALSE),VLOOKUP(A287,IntComp[],20,FALSE))))</f>
        <v/>
      </c>
      <c r="O287" s="152" t="str">
        <f ca="1">IF(IF(OR(F287="2019-2020",F287="2021-2025"),"",IF(ISNUMBER(SEARCH("LLC",D287)),VLOOKUP(A287,IntComp24[],23,FALSE),VLOOKUP(A287,IntComp[],23,FALSE)))=0,"",IF(OR(F287="2019-2020",F287="2021-2025"),"",IF(ISNUMBER(SEARCH("LLC",D287)),VLOOKUP(A287,IntComp24[],23,FALSE),VLOOKUP(A287,IntComp[],23,FALSE))))</f>
        <v>maybe being done by CPD PM</v>
      </c>
    </row>
    <row r="288" spans="1:15">
      <c r="A288" s="147" t="s">
        <v>375</v>
      </c>
      <c r="B288" s="144" t="str">
        <f>VLOOKUP(A288,Data[],2,FALSE)</f>
        <v>BROOKLYN</v>
      </c>
      <c r="C288" s="144" t="s">
        <v>106</v>
      </c>
      <c r="D288" s="9" t="str">
        <f>VLOOKUP(A288,Data[],52,FALSE)</f>
        <v>FEDERAL</v>
      </c>
      <c r="E288" s="9">
        <f>VLOOKUP(IntAll[[#This Row],[DEVELOPMENT]],Data[],62,FALSE)</f>
        <v>5</v>
      </c>
      <c r="F288" s="9" t="str">
        <f ca="1">VLOOKUP(A288,Data[],4,FALSE)</f>
        <v/>
      </c>
      <c r="G288" s="9">
        <f>VLOOKUP(IntAll[[#This Row],[DEVELOPMENT]],EHDAll[[DEVELOPMENT]:['# Units]],6,FALSE)</f>
        <v>2</v>
      </c>
      <c r="H288" s="143" t="str">
        <f ca="1">IF(IntAll[[#This Row],[STATUS]]="","",IF(OR(F288="2019-2020",F288="2021-2025"),"",IF(ISNUMBER(SEARCH("LLC",D288)),VLOOKUP(A288,IntComp24[],21,FALSE),VLOOKUP(A288,IntComp[],21,FALSE))))</f>
        <v/>
      </c>
      <c r="I288" s="143" t="str">
        <f ca="1">IF(IntAll[[#This Row],[STATUS]]="","",IF(IF(OR(F288="2019-2020",F288="2021-2025"),"",IF(ISNUMBER(SEARCH("LLC",D288)),VLOOKUP(A288,IntComp24[],16,FALSE),VLOOKUP(A288,IntComp[],16,FALSE)))=0,"",IF(OR(F288="2019-2020",F288="2021-2025"),"",IF(ISNUMBER(SEARCH("LLC",D288)),VLOOKUP(A288,IntComp24[],16,FALSE),VLOOKUP(A288,IntComp[],16,FALSE)))))</f>
        <v/>
      </c>
      <c r="J288" s="143" t="str">
        <f ca="1">IF(IF(OR(F288="2019-2020",F288="2021-2025"),"",IF(ISNUMBER(SEARCH("LLC",D288)),VLOOKUP(A288,IntComp24[],17,FALSE),VLOOKUP(A288,IntComp[],17,FALSE)))=0,"",IF(OR(F288="2019-2020",F288="2021-2025"),"",IF(ISNUMBER(SEARCH("LLC",D288)),VLOOKUP(A288,IntComp24[],17,FALSE),VLOOKUP(A288,IntComp[],17,FALSE))))</f>
        <v/>
      </c>
      <c r="K288" s="151"/>
      <c r="L288" s="151">
        <f ca="1">IF(OR(F288="2019-2020",F288="2021-2025"),"",IF(ISNUMBER(SEARCH("LLC",D288)),VLOOKUP(A288,IntComp24[],18,FALSE),VLOOKUP(A288,IntComp[],18,FALSE)))</f>
        <v>148255.625</v>
      </c>
      <c r="M288" s="143"/>
      <c r="N288" s="143" t="str">
        <f ca="1">IF(IF(OR(F288="2019-2020",F288="2021-2025"),"",IF(ISNUMBER(SEARCH("LLC",D288)),VLOOKUP(A288,IntComp24[],20,FALSE),VLOOKUP(A288,IntComp[],20,FALSE)))=0,"",IF(OR(F288="2019-2020",F288="2021-2025"),"",IF(ISNUMBER(SEARCH("LLC",D288)),VLOOKUP(A288,IntComp24[],20,FALSE),VLOOKUP(A288,IntComp[],20,FALSE))))</f>
        <v/>
      </c>
      <c r="O288" s="152" t="str">
        <f ca="1">IF(IF(OR(F288="2019-2020",F288="2021-2025"),"",IF(ISNUMBER(SEARCH("LLC",D288)),VLOOKUP(A288,IntComp24[],23,FALSE),VLOOKUP(A288,IntComp[],23,FALSE)))=0,"",IF(OR(F288="2019-2020",F288="2021-2025"),"",IF(ISNUMBER(SEARCH("LLC",D288)),VLOOKUP(A288,IntComp24[],23,FALSE),VLOOKUP(A288,IntComp[],23,FALSE))))</f>
        <v/>
      </c>
    </row>
    <row r="289" spans="1:15">
      <c r="A289" s="147" t="s">
        <v>127</v>
      </c>
      <c r="B289" s="144" t="str">
        <f>VLOOKUP(A289,Data[],2,FALSE)</f>
        <v>MANHATTAN</v>
      </c>
      <c r="C289" s="144" t="s">
        <v>106</v>
      </c>
      <c r="D289" s="9" t="str">
        <f>VLOOKUP(A289,Data[],52,FALSE)</f>
        <v>FEDERAL</v>
      </c>
      <c r="E289" s="9">
        <f>VLOOKUP(IntAll[[#This Row],[DEVELOPMENT]],Data[],62,FALSE)</f>
        <v>11</v>
      </c>
      <c r="F289" s="9" t="str">
        <f ca="1">VLOOKUP(A289,Data[],4,FALSE)</f>
        <v>2026+</v>
      </c>
      <c r="G289" s="9">
        <f>VLOOKUP(IntAll[[#This Row],[DEVELOPMENT]],EHDAll[[DEVELOPMENT]:['# Units]],6,FALSE)</f>
        <v>22</v>
      </c>
      <c r="H289" s="143" t="str">
        <f ca="1">IF(IntAll[[#This Row],[STATUS]]="","",IF(OR(F289="2019-2020",F289="2021-2025"),"",IF(ISNUMBER(SEARCH("LLC",D289)),VLOOKUP(A289,IntComp24[],21,FALSE),VLOOKUP(A289,IntComp[],21,FALSE))))</f>
        <v/>
      </c>
      <c r="I289" s="143" t="str">
        <f ca="1">IF(IntAll[[#This Row],[STATUS]]="","",IF(IF(OR(F289="2019-2020",F289="2021-2025"),"",IF(ISNUMBER(SEARCH("LLC",D289)),VLOOKUP(A289,IntComp24[],16,FALSE),VLOOKUP(A289,IntComp[],16,FALSE)))=0,"",IF(OR(F289="2019-2020",F289="2021-2025"),"",IF(ISNUMBER(SEARCH("LLC",D289)),VLOOKUP(A289,IntComp24[],16,FALSE),VLOOKUP(A289,IntComp[],16,FALSE)))))</f>
        <v/>
      </c>
      <c r="J289" s="143" t="str">
        <f ca="1">IF(IF(OR(F289="2019-2020",F289="2021-2025"),"",IF(ISNUMBER(SEARCH("LLC",D289)),VLOOKUP(A289,IntComp24[],17,FALSE),VLOOKUP(A289,IntComp[],17,FALSE)))=0,"",IF(OR(F289="2019-2020",F289="2021-2025"),"",IF(ISNUMBER(SEARCH("LLC",D289)),VLOOKUP(A289,IntComp24[],17,FALSE),VLOOKUP(A289,IntComp[],17,FALSE))))</f>
        <v/>
      </c>
      <c r="K289" s="151"/>
      <c r="L289" s="151">
        <f ca="1">IF(OR(F289="2019-2020",F289="2021-2025"),"",IF(ISNUMBER(SEARCH("LLC",D289)),VLOOKUP(A289,IntComp24[],18,FALSE),VLOOKUP(A289,IntComp[],18,FALSE)))</f>
        <v>1582234.5000000002</v>
      </c>
      <c r="M289" s="143"/>
      <c r="N289" s="143" t="str">
        <f ca="1">IF(IF(OR(F289="2019-2020",F289="2021-2025"),"",IF(ISNUMBER(SEARCH("LLC",D289)),VLOOKUP(A289,IntComp24[],20,FALSE),VLOOKUP(A289,IntComp[],20,FALSE)))=0,"",IF(OR(F289="2019-2020",F289="2021-2025"),"",IF(ISNUMBER(SEARCH("LLC",D289)),VLOOKUP(A289,IntComp24[],20,FALSE),VLOOKUP(A289,IntComp[],20,FALSE))))</f>
        <v/>
      </c>
      <c r="O289" s="152" t="str">
        <f ca="1">IF(IF(OR(F289="2019-2020",F289="2021-2025"),"",IF(ISNUMBER(SEARCH("LLC",D289)),VLOOKUP(A289,IntComp24[],23,FALSE),VLOOKUP(A289,IntComp[],23,FALSE)))=0,"",IF(OR(F289="2019-2020",F289="2021-2025"),"",IF(ISNUMBER(SEARCH("LLC",D289)),VLOOKUP(A289,IntComp24[],23,FALSE),VLOOKUP(A289,IntComp[],23,FALSE))))</f>
        <v/>
      </c>
    </row>
    <row r="290" spans="1:15">
      <c r="A290" s="147" t="s">
        <v>137</v>
      </c>
      <c r="B290" s="144" t="str">
        <f>VLOOKUP(A290,Data[],2,FALSE)</f>
        <v>MANHATTAN</v>
      </c>
      <c r="C290" s="144" t="s">
        <v>106</v>
      </c>
      <c r="D290" s="9" t="str">
        <f>VLOOKUP(A290,Data[],52,FALSE)</f>
        <v>FEDERAL</v>
      </c>
      <c r="E290" s="9">
        <f>VLOOKUP(IntAll[[#This Row],[DEVELOPMENT]],Data[],62,FALSE)</f>
        <v>11</v>
      </c>
      <c r="F290" s="9" t="str">
        <f ca="1">VLOOKUP(A290,Data[],4,FALSE)</f>
        <v>2022-2025</v>
      </c>
      <c r="G290" s="9">
        <f>VLOOKUP(IntAll[[#This Row],[DEVELOPMENT]],EHDAll[[DEVELOPMENT]:['# Units]],6,FALSE)</f>
        <v>14</v>
      </c>
      <c r="H290" s="143" t="str">
        <f ca="1">IF(IntAll[[#This Row],[STATUS]]="","",IF(OR(F290="2019-2020",F290="2021-2025"),"",IF(ISNUMBER(SEARCH("LLC",D290)),VLOOKUP(A290,IntComp24[],21,FALSE),VLOOKUP(A290,IntComp[],21,FALSE))))</f>
        <v/>
      </c>
      <c r="I290" s="143" t="str">
        <f ca="1">IF(IntAll[[#This Row],[STATUS]]="","",IF(IF(OR(F290="2019-2020",F290="2021-2025"),"",IF(ISNUMBER(SEARCH("LLC",D290)),VLOOKUP(A290,IntComp24[],16,FALSE),VLOOKUP(A290,IntComp[],16,FALSE)))=0,"",IF(OR(F290="2019-2020",F290="2021-2025"),"",IF(ISNUMBER(SEARCH("LLC",D290)),VLOOKUP(A290,IntComp24[],16,FALSE),VLOOKUP(A290,IntComp[],16,FALSE)))))</f>
        <v/>
      </c>
      <c r="J290" s="143" t="str">
        <f ca="1">IF(IF(OR(F290="2019-2020",F290="2021-2025"),"",IF(ISNUMBER(SEARCH("LLC",D290)),VLOOKUP(A290,IntComp24[],17,FALSE),VLOOKUP(A290,IntComp[],17,FALSE)))=0,"",IF(OR(F290="2019-2020",F290="2021-2025"),"",IF(ISNUMBER(SEARCH("LLC",D290)),VLOOKUP(A290,IntComp24[],17,FALSE),VLOOKUP(A290,IntComp[],17,FALSE))))</f>
        <v/>
      </c>
      <c r="K290" s="151"/>
      <c r="L290" s="151">
        <f ca="1">IF(OR(F290="2019-2020",F290="2021-2025"),"",IF(ISNUMBER(SEARCH("LLC",D290)),VLOOKUP(A290,IntComp24[],18,FALSE),VLOOKUP(A290,IntComp[],18,FALSE)))</f>
        <v>0</v>
      </c>
      <c r="M290" s="143"/>
      <c r="N290" s="143" t="str">
        <f ca="1">IF(IF(OR(F290="2019-2020",F290="2021-2025"),"",IF(ISNUMBER(SEARCH("LLC",D290)),VLOOKUP(A290,IntComp24[],20,FALSE),VLOOKUP(A290,IntComp[],20,FALSE)))=0,"",IF(OR(F290="2019-2020",F290="2021-2025"),"",IF(ISNUMBER(SEARCH("LLC",D290)),VLOOKUP(A290,IntComp24[],20,FALSE),VLOOKUP(A290,IntComp[],20,FALSE))))</f>
        <v/>
      </c>
      <c r="O290" s="152" t="str">
        <f ca="1">IF(IF(OR(F290="2019-2020",F290="2021-2025"),"",IF(ISNUMBER(SEARCH("LLC",D290)),VLOOKUP(A290,IntComp24[],23,FALSE),VLOOKUP(A290,IntComp[],23,FALSE)))=0,"",IF(OR(F290="2019-2020",F290="2021-2025"),"",IF(ISNUMBER(SEARCH("LLC",D290)),VLOOKUP(A290,IntComp24[],23,FALSE),VLOOKUP(A290,IntComp[],23,FALSE))))</f>
        <v/>
      </c>
    </row>
    <row r="291" spans="1:15">
      <c r="A291" s="147" t="s">
        <v>376</v>
      </c>
      <c r="B291" s="144" t="str">
        <f>VLOOKUP(A291,Data[],2,FALSE)</f>
        <v>MANHATTAN</v>
      </c>
      <c r="C291" s="144" t="s">
        <v>106</v>
      </c>
      <c r="D291" s="9" t="str">
        <f>VLOOKUP(A291,Data[],52,FALSE)</f>
        <v>FEDERAL</v>
      </c>
      <c r="E291" s="9">
        <f>VLOOKUP(IntAll[[#This Row],[DEVELOPMENT]],Data[],62,FALSE)</f>
        <v>12</v>
      </c>
      <c r="F291" s="9" t="str">
        <f ca="1">VLOOKUP(A291,Data[],4,FALSE)</f>
        <v>2020-2021</v>
      </c>
      <c r="G291" s="9">
        <f>VLOOKUP(IntAll[[#This Row],[DEVELOPMENT]],EHDAll[[DEVELOPMENT]:['# Units]],6,FALSE)</f>
        <v>7</v>
      </c>
      <c r="H291" s="143" t="str">
        <f ca="1">IF(IntAll[[#This Row],[STATUS]]="","",IF(OR(F291="2019-2020",F291="2021-2025"),"",IF(ISNUMBER(SEARCH("LLC",D291)),VLOOKUP(A291,IntComp24[],21,FALSE),VLOOKUP(A291,IntComp[],21,FALSE))))</f>
        <v/>
      </c>
      <c r="I291" s="143" t="str">
        <f ca="1">IF(IntAll[[#This Row],[STATUS]]="","",IF(IF(OR(F291="2019-2020",F291="2021-2025"),"",IF(ISNUMBER(SEARCH("LLC",D291)),VLOOKUP(A291,IntComp24[],16,FALSE),VLOOKUP(A291,IntComp[],16,FALSE)))=0,"",IF(OR(F291="2019-2020",F291="2021-2025"),"",IF(ISNUMBER(SEARCH("LLC",D291)),VLOOKUP(A291,IntComp24[],16,FALSE),VLOOKUP(A291,IntComp[],16,FALSE)))))</f>
        <v/>
      </c>
      <c r="J291" s="143" t="str">
        <f ca="1">IF(IF(OR(F291="2019-2020",F291="2021-2025"),"",IF(ISNUMBER(SEARCH("LLC",D291)),VLOOKUP(A291,IntComp24[],17,FALSE),VLOOKUP(A291,IntComp[],17,FALSE)))=0,"",IF(OR(F291="2019-2020",F291="2021-2025"),"",IF(ISNUMBER(SEARCH("LLC",D291)),VLOOKUP(A291,IntComp24[],17,FALSE),VLOOKUP(A291,IntComp[],17,FALSE))))</f>
        <v/>
      </c>
      <c r="K291" s="151"/>
      <c r="L291" s="151">
        <f ca="1">IF(OR(F291="2019-2020",F291="2021-2025"),"",IF(ISNUMBER(SEARCH("LLC",D291)),VLOOKUP(A291,IntComp24[],18,FALSE),VLOOKUP(A291,IntComp[],18,FALSE)))</f>
        <v>0</v>
      </c>
      <c r="M291" s="143"/>
      <c r="N291" s="143" t="str">
        <f ca="1">IF(IF(OR(F291="2019-2020",F291="2021-2025"),"",IF(ISNUMBER(SEARCH("LLC",D291)),VLOOKUP(A291,IntComp24[],20,FALSE),VLOOKUP(A291,IntComp[],20,FALSE)))=0,"",IF(OR(F291="2019-2020",F291="2021-2025"),"",IF(ISNUMBER(SEARCH("LLC",D291)),VLOOKUP(A291,IntComp24[],20,FALSE),VLOOKUP(A291,IntComp[],20,FALSE))))</f>
        <v/>
      </c>
      <c r="O291" s="152" t="str">
        <f ca="1">IF(IF(OR(F291="2019-2020",F291="2021-2025"),"",IF(ISNUMBER(SEARCH("LLC",D291)),VLOOKUP(A291,IntComp24[],23,FALSE),VLOOKUP(A291,IntComp[],23,FALSE)))=0,"",IF(OR(F291="2019-2020",F291="2021-2025"),"",IF(ISNUMBER(SEARCH("LLC",D291)),VLOOKUP(A291,IntComp24[],23,FALSE),VLOOKUP(A291,IntComp[],23,FALSE))))</f>
        <v/>
      </c>
    </row>
    <row r="292" spans="1:15">
      <c r="A292" s="147" t="s">
        <v>377</v>
      </c>
      <c r="B292" s="144" t="str">
        <f>VLOOKUP(A292,Data[],2,FALSE)</f>
        <v>MANHATTAN</v>
      </c>
      <c r="C292" s="144" t="s">
        <v>106</v>
      </c>
      <c r="D292" s="9" t="str">
        <f>VLOOKUP(A292,Data[],52,FALSE)</f>
        <v>FEDERAL</v>
      </c>
      <c r="E292" s="9">
        <f>VLOOKUP(IntAll[[#This Row],[DEVELOPMENT]],Data[],62,FALSE)</f>
        <v>12</v>
      </c>
      <c r="F292" s="9" t="str">
        <f ca="1">VLOOKUP(A292,Data[],4,FALSE)</f>
        <v/>
      </c>
      <c r="G292" s="9">
        <f>VLOOKUP(IntAll[[#This Row],[DEVELOPMENT]],EHDAll[[DEVELOPMENT]:['# Units]],6,FALSE)</f>
        <v>3</v>
      </c>
      <c r="H292" s="143" t="str">
        <f ca="1">IF(IntAll[[#This Row],[STATUS]]="","",IF(OR(F292="2019-2020",F292="2021-2025"),"",IF(ISNUMBER(SEARCH("LLC",D292)),VLOOKUP(A292,IntComp24[],21,FALSE),VLOOKUP(A292,IntComp[],21,FALSE))))</f>
        <v/>
      </c>
      <c r="I292" s="143" t="str">
        <f ca="1">IF(IntAll[[#This Row],[STATUS]]="","",IF(IF(OR(F292="2019-2020",F292="2021-2025"),"",IF(ISNUMBER(SEARCH("LLC",D292)),VLOOKUP(A292,IntComp24[],16,FALSE),VLOOKUP(A292,IntComp[],16,FALSE)))=0,"",IF(OR(F292="2019-2020",F292="2021-2025"),"",IF(ISNUMBER(SEARCH("LLC",D292)),VLOOKUP(A292,IntComp24[],16,FALSE),VLOOKUP(A292,IntComp[],16,FALSE)))))</f>
        <v/>
      </c>
      <c r="J292" s="143" t="str">
        <f ca="1">IF(IF(OR(F292="2019-2020",F292="2021-2025"),"",IF(ISNUMBER(SEARCH("LLC",D292)),VLOOKUP(A292,IntComp24[],17,FALSE),VLOOKUP(A292,IntComp[],17,FALSE)))=0,"",IF(OR(F292="2019-2020",F292="2021-2025"),"",IF(ISNUMBER(SEARCH("LLC",D292)),VLOOKUP(A292,IntComp24[],17,FALSE),VLOOKUP(A292,IntComp[],17,FALSE))))</f>
        <v/>
      </c>
      <c r="K292" s="151"/>
      <c r="L292" s="151">
        <f ca="1">IF(OR(F292="2019-2020",F292="2021-2025"),"",IF(ISNUMBER(SEARCH("LLC",D292)),VLOOKUP(A292,IntComp24[],18,FALSE),VLOOKUP(A292,IntComp[],18,FALSE)))</f>
        <v>0</v>
      </c>
      <c r="M292" s="143"/>
      <c r="N292" s="143" t="str">
        <f ca="1">IF(IF(OR(F292="2019-2020",F292="2021-2025"),"",IF(ISNUMBER(SEARCH("LLC",D292)),VLOOKUP(A292,IntComp24[],20,FALSE),VLOOKUP(A292,IntComp[],20,FALSE)))=0,"",IF(OR(F292="2019-2020",F292="2021-2025"),"",IF(ISNUMBER(SEARCH("LLC",D292)),VLOOKUP(A292,IntComp24[],20,FALSE),VLOOKUP(A292,IntComp[],20,FALSE))))</f>
        <v/>
      </c>
      <c r="O292" s="152" t="str">
        <f ca="1">IF(IF(OR(F292="2019-2020",F292="2021-2025"),"",IF(ISNUMBER(SEARCH("LLC",D292)),VLOOKUP(A292,IntComp24[],23,FALSE),VLOOKUP(A292,IntComp[],23,FALSE)))=0,"",IF(OR(F292="2019-2020",F292="2021-2025"),"",IF(ISNUMBER(SEARCH("LLC",D292)),VLOOKUP(A292,IntComp24[],23,FALSE),VLOOKUP(A292,IntComp[],23,FALSE))))</f>
        <v/>
      </c>
    </row>
    <row r="293" spans="1:15">
      <c r="A293" s="147" t="s">
        <v>378</v>
      </c>
      <c r="B293" s="144" t="str">
        <f>VLOOKUP(A293,Data[],2,FALSE)</f>
        <v>MANHATTAN</v>
      </c>
      <c r="C293" s="144" t="s">
        <v>106</v>
      </c>
      <c r="D293" s="9" t="str">
        <f>VLOOKUP(A293,Data[],52,FALSE)</f>
        <v>FEDERAL</v>
      </c>
      <c r="E293" s="9">
        <f>VLOOKUP(IntAll[[#This Row],[DEVELOPMENT]],Data[],62,FALSE)</f>
        <v>12</v>
      </c>
      <c r="F293" s="9" t="str">
        <f ca="1">VLOOKUP(A293,Data[],4,FALSE)</f>
        <v/>
      </c>
      <c r="G293" s="9">
        <f>VLOOKUP(IntAll[[#This Row],[DEVELOPMENT]],EHDAll[[DEVELOPMENT]:['# Units]],6,FALSE)</f>
        <v>1</v>
      </c>
      <c r="H293" s="143" t="str">
        <f ca="1">IF(IntAll[[#This Row],[STATUS]]="","",IF(OR(F293="2019-2020",F293="2021-2025"),"",IF(ISNUMBER(SEARCH("LLC",D293)),VLOOKUP(A293,IntComp24[],21,FALSE),VLOOKUP(A293,IntComp[],21,FALSE))))</f>
        <v/>
      </c>
      <c r="I293" s="143" t="str">
        <f ca="1">IF(IntAll[[#This Row],[STATUS]]="","",IF(IF(OR(F293="2019-2020",F293="2021-2025"),"",IF(ISNUMBER(SEARCH("LLC",D293)),VLOOKUP(A293,IntComp24[],16,FALSE),VLOOKUP(A293,IntComp[],16,FALSE)))=0,"",IF(OR(F293="2019-2020",F293="2021-2025"),"",IF(ISNUMBER(SEARCH("LLC",D293)),VLOOKUP(A293,IntComp24[],16,FALSE),VLOOKUP(A293,IntComp[],16,FALSE)))))</f>
        <v/>
      </c>
      <c r="J293" s="143" t="str">
        <f ca="1">IF(IF(OR(F293="2019-2020",F293="2021-2025"),"",IF(ISNUMBER(SEARCH("LLC",D293)),VLOOKUP(A293,IntComp24[],17,FALSE),VLOOKUP(A293,IntComp[],17,FALSE)))=0,"",IF(OR(F293="2019-2020",F293="2021-2025"),"",IF(ISNUMBER(SEARCH("LLC",D293)),VLOOKUP(A293,IntComp24[],17,FALSE),VLOOKUP(A293,IntComp[],17,FALSE))))</f>
        <v/>
      </c>
      <c r="K293" s="151"/>
      <c r="L293" s="151">
        <f ca="1">IF(OR(F293="2019-2020",F293="2021-2025"),"",IF(ISNUMBER(SEARCH("LLC",D293)),VLOOKUP(A293,IntComp24[],18,FALSE),VLOOKUP(A293,IntComp[],18,FALSE)))</f>
        <v>0</v>
      </c>
      <c r="M293" s="143"/>
      <c r="N293" s="143" t="str">
        <f ca="1">IF(IF(OR(F293="2019-2020",F293="2021-2025"),"",IF(ISNUMBER(SEARCH("LLC",D293)),VLOOKUP(A293,IntComp24[],20,FALSE),VLOOKUP(A293,IntComp[],20,FALSE)))=0,"",IF(OR(F293="2019-2020",F293="2021-2025"),"",IF(ISNUMBER(SEARCH("LLC",D293)),VLOOKUP(A293,IntComp24[],20,FALSE),VLOOKUP(A293,IntComp[],20,FALSE))))</f>
        <v/>
      </c>
      <c r="O293" s="152" t="str">
        <f ca="1">IF(IF(OR(F293="2019-2020",F293="2021-2025"),"",IF(ISNUMBER(SEARCH("LLC",D293)),VLOOKUP(A293,IntComp24[],23,FALSE),VLOOKUP(A293,IntComp[],23,FALSE)))=0,"",IF(OR(F293="2019-2020",F293="2021-2025"),"",IF(ISNUMBER(SEARCH("LLC",D293)),VLOOKUP(A293,IntComp24[],23,FALSE),VLOOKUP(A293,IntComp[],23,FALSE))))</f>
        <v/>
      </c>
    </row>
    <row r="294" spans="1:15">
      <c r="A294" s="147" t="s">
        <v>259</v>
      </c>
      <c r="B294" s="144" t="str">
        <f>VLOOKUP(A294,Data[],2,FALSE)</f>
        <v>MANHATTAN</v>
      </c>
      <c r="C294" s="144" t="s">
        <v>106</v>
      </c>
      <c r="D294" s="9" t="str">
        <f>VLOOKUP(A294,Data[],52,FALSE)</f>
        <v>FEDERAL</v>
      </c>
      <c r="E294" s="9">
        <f>VLOOKUP(IntAll[[#This Row],[DEVELOPMENT]],Data[],62,FALSE)</f>
        <v>12</v>
      </c>
      <c r="F294" s="9" t="str">
        <f ca="1">VLOOKUP(A294,Data[],4,FALSE)</f>
        <v>2020-2021</v>
      </c>
      <c r="G294" s="9">
        <f>VLOOKUP(IntAll[[#This Row],[DEVELOPMENT]],EHDAll[[DEVELOPMENT]:['# Units]],6,FALSE)</f>
        <v>2</v>
      </c>
      <c r="H294" s="143" t="str">
        <f ca="1">IF(IntAll[[#This Row],[STATUS]]="","",IF(OR(F294="2019-2020",F294="2021-2025"),"",IF(ISNUMBER(SEARCH("LLC",D294)),VLOOKUP(A294,IntComp24[],21,FALSE),VLOOKUP(A294,IntComp[],21,FALSE))))</f>
        <v/>
      </c>
      <c r="I294" s="143" t="str">
        <f ca="1">IF(IntAll[[#This Row],[STATUS]]="","",IF(IF(OR(F294="2019-2020",F294="2021-2025"),"",IF(ISNUMBER(SEARCH("LLC",D294)),VLOOKUP(A294,IntComp24[],16,FALSE),VLOOKUP(A294,IntComp[],16,FALSE)))=0,"",IF(OR(F294="2019-2020",F294="2021-2025"),"",IF(ISNUMBER(SEARCH("LLC",D294)),VLOOKUP(A294,IntComp24[],16,FALSE),VLOOKUP(A294,IntComp[],16,FALSE)))))</f>
        <v/>
      </c>
      <c r="J294" s="143" t="str">
        <f ca="1">IF(IF(OR(F294="2019-2020",F294="2021-2025"),"",IF(ISNUMBER(SEARCH("LLC",D294)),VLOOKUP(A294,IntComp24[],17,FALSE),VLOOKUP(A294,IntComp[],17,FALSE)))=0,"",IF(OR(F294="2019-2020",F294="2021-2025"),"",IF(ISNUMBER(SEARCH("LLC",D294)),VLOOKUP(A294,IntComp24[],17,FALSE),VLOOKUP(A294,IntComp[],17,FALSE))))</f>
        <v/>
      </c>
      <c r="K294" s="151"/>
      <c r="L294" s="151">
        <f ca="1">IF(OR(F294="2019-2020",F294="2021-2025"),"",IF(ISNUMBER(SEARCH("LLC",D294)),VLOOKUP(A294,IntComp24[],18,FALSE),VLOOKUP(A294,IntComp[],18,FALSE)))</f>
        <v>0</v>
      </c>
      <c r="M294" s="143"/>
      <c r="N294" s="143" t="str">
        <f ca="1">IF(IF(OR(F294="2019-2020",F294="2021-2025"),"",IF(ISNUMBER(SEARCH("LLC",D294)),VLOOKUP(A294,IntComp24[],20,FALSE),VLOOKUP(A294,IntComp[],20,FALSE)))=0,"",IF(OR(F294="2019-2020",F294="2021-2025"),"",IF(ISNUMBER(SEARCH("LLC",D294)),VLOOKUP(A294,IntComp24[],20,FALSE),VLOOKUP(A294,IntComp[],20,FALSE))))</f>
        <v/>
      </c>
      <c r="O294" s="152" t="str">
        <f ca="1">IF(IF(OR(F294="2019-2020",F294="2021-2025"),"",IF(ISNUMBER(SEARCH("LLC",D294)),VLOOKUP(A294,IntComp24[],23,FALSE),VLOOKUP(A294,IntComp[],23,FALSE)))=0,"",IF(OR(F294="2019-2020",F294="2021-2025"),"",IF(ISNUMBER(SEARCH("LLC",D294)),VLOOKUP(A294,IntComp24[],23,FALSE),VLOOKUP(A294,IntComp[],23,FALSE))))</f>
        <v/>
      </c>
    </row>
    <row r="295" spans="1:15">
      <c r="A295" s="147" t="s">
        <v>379</v>
      </c>
      <c r="B295" s="144" t="str">
        <f>VLOOKUP(A295,Data[],2,FALSE)</f>
        <v>MANHATTAN</v>
      </c>
      <c r="C295" s="144" t="s">
        <v>106</v>
      </c>
      <c r="D295" s="9" t="str">
        <f>VLOOKUP(A295,Data[],52,FALSE)</f>
        <v>FEDERAL</v>
      </c>
      <c r="E295" s="9">
        <f>VLOOKUP(IntAll[[#This Row],[DEVELOPMENT]],Data[],62,FALSE)</f>
        <v>12</v>
      </c>
      <c r="F295" s="9" t="str">
        <f ca="1">VLOOKUP(A295,Data[],4,FALSE)</f>
        <v>2020-2021</v>
      </c>
      <c r="G295" s="9">
        <f>VLOOKUP(IntAll[[#This Row],[DEVELOPMENT]],EHDAll[[DEVELOPMENT]:['# Units]],6,FALSE)</f>
        <v>2</v>
      </c>
      <c r="H295" s="143" t="str">
        <f ca="1">IF(IntAll[[#This Row],[STATUS]]="","",IF(OR(F295="2019-2020",F295="2021-2025"),"",IF(ISNUMBER(SEARCH("LLC",D295)),VLOOKUP(A295,IntComp24[],21,FALSE),VLOOKUP(A295,IntComp[],21,FALSE))))</f>
        <v/>
      </c>
      <c r="I295" s="143" t="str">
        <f ca="1">IF(IntAll[[#This Row],[STATUS]]="","",IF(IF(OR(F295="2019-2020",F295="2021-2025"),"",IF(ISNUMBER(SEARCH("LLC",D295)),VLOOKUP(A295,IntComp24[],16,FALSE),VLOOKUP(A295,IntComp[],16,FALSE)))=0,"",IF(OR(F295="2019-2020",F295="2021-2025"),"",IF(ISNUMBER(SEARCH("LLC",D295)),VLOOKUP(A295,IntComp24[],16,FALSE),VLOOKUP(A295,IntComp[],16,FALSE)))))</f>
        <v/>
      </c>
      <c r="J295" s="143" t="str">
        <f ca="1">IF(IF(OR(F295="2019-2020",F295="2021-2025"),"",IF(ISNUMBER(SEARCH("LLC",D295)),VLOOKUP(A295,IntComp24[],17,FALSE),VLOOKUP(A295,IntComp[],17,FALSE)))=0,"",IF(OR(F295="2019-2020",F295="2021-2025"),"",IF(ISNUMBER(SEARCH("LLC",D295)),VLOOKUP(A295,IntComp24[],17,FALSE),VLOOKUP(A295,IntComp[],17,FALSE))))</f>
        <v/>
      </c>
      <c r="K295" s="151"/>
      <c r="L295" s="151">
        <f ca="1">IF(OR(F295="2019-2020",F295="2021-2025"),"",IF(ISNUMBER(SEARCH("LLC",D295)),VLOOKUP(A295,IntComp24[],18,FALSE),VLOOKUP(A295,IntComp[],18,FALSE)))</f>
        <v>0</v>
      </c>
      <c r="M295" s="143"/>
      <c r="N295" s="143" t="str">
        <f ca="1">IF(IF(OR(F295="2019-2020",F295="2021-2025"),"",IF(ISNUMBER(SEARCH("LLC",D295)),VLOOKUP(A295,IntComp24[],20,FALSE),VLOOKUP(A295,IntComp[],20,FALSE)))=0,"",IF(OR(F295="2019-2020",F295="2021-2025"),"",IF(ISNUMBER(SEARCH("LLC",D295)),VLOOKUP(A295,IntComp24[],20,FALSE),VLOOKUP(A295,IntComp[],20,FALSE))))</f>
        <v/>
      </c>
      <c r="O295" s="152" t="str">
        <f ca="1">IF(IF(OR(F295="2019-2020",F295="2021-2025"),"",IF(ISNUMBER(SEARCH("LLC",D295)),VLOOKUP(A295,IntComp24[],23,FALSE),VLOOKUP(A295,IntComp[],23,FALSE)))=0,"",IF(OR(F295="2019-2020",F295="2021-2025"),"",IF(ISNUMBER(SEARCH("LLC",D295)),VLOOKUP(A295,IntComp24[],23,FALSE),VLOOKUP(A295,IntComp[],23,FALSE))))</f>
        <v/>
      </c>
    </row>
    <row r="296" spans="1:15">
      <c r="A296" s="147" t="s">
        <v>220</v>
      </c>
      <c r="B296" s="144" t="str">
        <f>VLOOKUP(A296,Data[],2,FALSE)</f>
        <v>BROOKLYN</v>
      </c>
      <c r="C296" s="144" t="s">
        <v>106</v>
      </c>
      <c r="D296" s="9" t="str">
        <f>VLOOKUP(A296,Data[],52,FALSE)</f>
        <v>FEDERAL</v>
      </c>
      <c r="E296" s="9">
        <f>VLOOKUP(IntAll[[#This Row],[DEVELOPMENT]],Data[],62,FALSE)</f>
        <v>8</v>
      </c>
      <c r="F296" s="9">
        <f ca="1">VLOOKUP(A296,Data[],4,FALSE)</f>
        <v>2019</v>
      </c>
      <c r="G296" s="9">
        <f>VLOOKUP(IntAll[[#This Row],[DEVELOPMENT]],EHDAll[[DEVELOPMENT]:['# Units]],6,FALSE)</f>
        <v>0</v>
      </c>
      <c r="H296" s="143" t="str">
        <f ca="1">IF(IntAll[[#This Row],[STATUS]]="","",IF(OR(F296="2019-2020",F296="2021-2025"),"",IF(ISNUMBER(SEARCH("LLC",D296)),VLOOKUP(A296,IntComp24[],21,FALSE),VLOOKUP(A296,IntComp[],21,FALSE))))</f>
        <v/>
      </c>
      <c r="I296" s="143" t="str">
        <f ca="1">IF(IntAll[[#This Row],[STATUS]]="","",IF(IF(OR(F296="2019-2020",F296="2021-2025"),"",IF(ISNUMBER(SEARCH("LLC",D296)),VLOOKUP(A296,IntComp24[],16,FALSE),VLOOKUP(A296,IntComp[],16,FALSE)))=0,"",IF(OR(F296="2019-2020",F296="2021-2025"),"",IF(ISNUMBER(SEARCH("LLC",D296)),VLOOKUP(A296,IntComp24[],16,FALSE),VLOOKUP(A296,IntComp[],16,FALSE)))))</f>
        <v/>
      </c>
      <c r="J296" s="143" t="str">
        <f ca="1">IF(IF(OR(F296="2019-2020",F296="2021-2025"),"",IF(ISNUMBER(SEARCH("LLC",D296)),VLOOKUP(A296,IntComp24[],17,FALSE),VLOOKUP(A296,IntComp[],17,FALSE)))=0,"",IF(OR(F296="2019-2020",F296="2021-2025"),"",IF(ISNUMBER(SEARCH("LLC",D296)),VLOOKUP(A296,IntComp24[],17,FALSE),VLOOKUP(A296,IntComp[],17,FALSE))))</f>
        <v/>
      </c>
      <c r="K296" s="151"/>
      <c r="L296" s="151">
        <f ca="1">IF(OR(F296="2019-2020",F296="2021-2025"),"",IF(ISNUMBER(SEARCH("LLC",D296)),VLOOKUP(A296,IntComp24[],18,FALSE),VLOOKUP(A296,IntComp[],18,FALSE)))</f>
        <v>0</v>
      </c>
      <c r="M296" s="143"/>
      <c r="N296" s="143" t="str">
        <f ca="1">IF(IF(OR(F296="2019-2020",F296="2021-2025"),"",IF(ISNUMBER(SEARCH("LLC",D296)),VLOOKUP(A296,IntComp24[],20,FALSE),VLOOKUP(A296,IntComp[],20,FALSE)))=0,"",IF(OR(F296="2019-2020",F296="2021-2025"),"",IF(ISNUMBER(SEARCH("LLC",D296)),VLOOKUP(A296,IntComp24[],20,FALSE),VLOOKUP(A296,IntComp[],20,FALSE))))</f>
        <v/>
      </c>
      <c r="O296" s="152" t="str">
        <f ca="1">IF(IF(OR(F296="2019-2020",F296="2021-2025"),"",IF(ISNUMBER(SEARCH("LLC",D296)),VLOOKUP(A296,IntComp24[],23,FALSE),VLOOKUP(A296,IntComp[],23,FALSE)))=0,"",IF(OR(F296="2019-2020",F296="2021-2025"),"",IF(ISNUMBER(SEARCH("LLC",D296)),VLOOKUP(A296,IntComp24[],23,FALSE),VLOOKUP(A296,IntComp[],23,FALSE))))</f>
        <v/>
      </c>
    </row>
    <row r="297" spans="1:15">
      <c r="A297" s="147" t="s">
        <v>380</v>
      </c>
      <c r="B297" s="144" t="str">
        <f>VLOOKUP(A297,Data[],2,FALSE)</f>
        <v>STATEN ISLAND</v>
      </c>
      <c r="C297" s="144" t="s">
        <v>106</v>
      </c>
      <c r="D297" s="9" t="str">
        <f>VLOOKUP(A297,Data[],52,FALSE)</f>
        <v>FEDERAL</v>
      </c>
      <c r="E297" s="9">
        <f>VLOOKUP(IntAll[[#This Row],[DEVELOPMENT]],Data[],62,FALSE)</f>
        <v>1</v>
      </c>
      <c r="F297" s="9" t="str">
        <f ca="1">VLOOKUP(A297,Data[],4,FALSE)</f>
        <v/>
      </c>
      <c r="G297" s="9">
        <f>VLOOKUP(IntAll[[#This Row],[DEVELOPMENT]],EHDAll[[DEVELOPMENT]:['# Units]],6,FALSE)</f>
        <v>8</v>
      </c>
      <c r="H297" s="143" t="str">
        <f ca="1">IF(IntAll[[#This Row],[STATUS]]="","",IF(OR(F297="2019-2020",F297="2021-2025"),"",IF(ISNUMBER(SEARCH("LLC",D297)),VLOOKUP(A297,IntComp24[],21,FALSE),VLOOKUP(A297,IntComp[],21,FALSE))))</f>
        <v/>
      </c>
      <c r="I297" s="143" t="str">
        <f ca="1">IF(IntAll[[#This Row],[STATUS]]="","",IF(IF(OR(F297="2019-2020",F297="2021-2025"),"",IF(ISNUMBER(SEARCH("LLC",D297)),VLOOKUP(A297,IntComp24[],16,FALSE),VLOOKUP(A297,IntComp[],16,FALSE)))=0,"",IF(OR(F297="2019-2020",F297="2021-2025"),"",IF(ISNUMBER(SEARCH("LLC",D297)),VLOOKUP(A297,IntComp24[],16,FALSE),VLOOKUP(A297,IntComp[],16,FALSE)))))</f>
        <v/>
      </c>
      <c r="J297" s="143" t="str">
        <f ca="1">IF(IF(OR(F297="2019-2020",F297="2021-2025"),"",IF(ISNUMBER(SEARCH("LLC",D297)),VLOOKUP(A297,IntComp24[],17,FALSE),VLOOKUP(A297,IntComp[],17,FALSE)))=0,"",IF(OR(F297="2019-2020",F297="2021-2025"),"",IF(ISNUMBER(SEARCH("LLC",D297)),VLOOKUP(A297,IntComp24[],17,FALSE),VLOOKUP(A297,IntComp[],17,FALSE))))</f>
        <v/>
      </c>
      <c r="K297" s="151"/>
      <c r="L297" s="151">
        <f ca="1">IF(OR(F297="2019-2020",F297="2021-2025"),"",IF(ISNUMBER(SEARCH("LLC",D297)),VLOOKUP(A297,IntComp24[],18,FALSE),VLOOKUP(A297,IntComp[],18,FALSE)))</f>
        <v>522364.49999999994</v>
      </c>
      <c r="M297" s="143"/>
      <c r="N297" s="143" t="str">
        <f ca="1">IF(IF(OR(F297="2019-2020",F297="2021-2025"),"",IF(ISNUMBER(SEARCH("LLC",D297)),VLOOKUP(A297,IntComp24[],20,FALSE),VLOOKUP(A297,IntComp[],20,FALSE)))=0,"",IF(OR(F297="2019-2020",F297="2021-2025"),"",IF(ISNUMBER(SEARCH("LLC",D297)),VLOOKUP(A297,IntComp24[],20,FALSE),VLOOKUP(A297,IntComp[],20,FALSE))))</f>
        <v/>
      </c>
      <c r="O297" s="152" t="str">
        <f ca="1">IF(IF(OR(F297="2019-2020",F297="2021-2025"),"",IF(ISNUMBER(SEARCH("LLC",D297)),VLOOKUP(A297,IntComp24[],23,FALSE),VLOOKUP(A297,IntComp[],23,FALSE)))=0,"",IF(OR(F297="2019-2020",F297="2021-2025"),"",IF(ISNUMBER(SEARCH("LLC",D297)),VLOOKUP(A297,IntComp24[],23,FALSE),VLOOKUP(A297,IntComp[],23,FALSE))))</f>
        <v/>
      </c>
    </row>
    <row r="298" spans="1:15">
      <c r="A298" s="147" t="s">
        <v>381</v>
      </c>
      <c r="B298" s="144" t="str">
        <f>VLOOKUP(A298,Data[],2,FALSE)</f>
        <v>STATEN ISLAND</v>
      </c>
      <c r="C298" s="144" t="s">
        <v>106</v>
      </c>
      <c r="D298" s="9" t="str">
        <f>VLOOKUP(A298,Data[],52,FALSE)</f>
        <v>FEDERAL</v>
      </c>
      <c r="E298" s="9">
        <f>VLOOKUP(IntAll[[#This Row],[DEVELOPMENT]],Data[],62,FALSE)</f>
        <v>1</v>
      </c>
      <c r="F298" s="9" t="str">
        <f ca="1">VLOOKUP(A298,Data[],4,FALSE)</f>
        <v/>
      </c>
      <c r="G298" s="9">
        <f>VLOOKUP(IntAll[[#This Row],[DEVELOPMENT]],EHDAll[[DEVELOPMENT]:['# Units]],6,FALSE)</f>
        <v>0</v>
      </c>
      <c r="H298" s="143" t="str">
        <f ca="1">IF(IntAll[[#This Row],[STATUS]]="","",IF(OR(F298="2019-2020",F298="2021-2025"),"",IF(ISNUMBER(SEARCH("LLC",D298)),VLOOKUP(A298,IntComp24[],21,FALSE),VLOOKUP(A298,IntComp[],21,FALSE))))</f>
        <v/>
      </c>
      <c r="I298" s="143" t="str">
        <f ca="1">IF(IntAll[[#This Row],[STATUS]]="","",IF(IF(OR(F298="2019-2020",F298="2021-2025"),"",IF(ISNUMBER(SEARCH("LLC",D298)),VLOOKUP(A298,IntComp24[],16,FALSE),VLOOKUP(A298,IntComp[],16,FALSE)))=0,"",IF(OR(F298="2019-2020",F298="2021-2025"),"",IF(ISNUMBER(SEARCH("LLC",D298)),VLOOKUP(A298,IntComp24[],16,FALSE),VLOOKUP(A298,IntComp[],16,FALSE)))))</f>
        <v/>
      </c>
      <c r="J298" s="143" t="str">
        <f ca="1">IF(IF(OR(F298="2019-2020",F298="2021-2025"),"",IF(ISNUMBER(SEARCH("LLC",D298)),VLOOKUP(A298,IntComp24[],17,FALSE),VLOOKUP(A298,IntComp[],17,FALSE)))=0,"",IF(OR(F298="2019-2020",F298="2021-2025"),"",IF(ISNUMBER(SEARCH("LLC",D298)),VLOOKUP(A298,IntComp24[],17,FALSE),VLOOKUP(A298,IntComp[],17,FALSE))))</f>
        <v/>
      </c>
      <c r="K298" s="151"/>
      <c r="L298" s="151">
        <f ca="1">IF(OR(F298="2019-2020",F298="2021-2025"),"",IF(ISNUMBER(SEARCH("LLC",D298)),VLOOKUP(A298,IntComp24[],18,FALSE),VLOOKUP(A298,IntComp[],18,FALSE)))</f>
        <v>0</v>
      </c>
      <c r="M298" s="143"/>
      <c r="N298" s="143" t="str">
        <f ca="1">IF(IF(OR(F298="2019-2020",F298="2021-2025"),"",IF(ISNUMBER(SEARCH("LLC",D298)),VLOOKUP(A298,IntComp24[],20,FALSE),VLOOKUP(A298,IntComp[],20,FALSE)))=0,"",IF(OR(F298="2019-2020",F298="2021-2025"),"",IF(ISNUMBER(SEARCH("LLC",D298)),VLOOKUP(A298,IntComp24[],20,FALSE),VLOOKUP(A298,IntComp[],20,FALSE))))</f>
        <v/>
      </c>
      <c r="O298" s="152" t="str">
        <f ca="1">IF(IF(OR(F298="2019-2020",F298="2021-2025"),"",IF(ISNUMBER(SEARCH("LLC",D298)),VLOOKUP(A298,IntComp24[],23,FALSE),VLOOKUP(A298,IntComp[],23,FALSE)))=0,"",IF(OR(F298="2019-2020",F298="2021-2025"),"",IF(ISNUMBER(SEARCH("LLC",D298)),VLOOKUP(A298,IntComp24[],23,FALSE),VLOOKUP(A298,IntComp[],23,FALSE))))</f>
        <v/>
      </c>
    </row>
    <row r="299" spans="1:15">
      <c r="A299" s="147" t="s">
        <v>289</v>
      </c>
      <c r="B299" s="144" t="str">
        <f>VLOOKUP(A299,Data[],2,FALSE)</f>
        <v>BRONX</v>
      </c>
      <c r="C299" s="144" t="s">
        <v>106</v>
      </c>
      <c r="D299" s="9" t="str">
        <f>VLOOKUP(A299,Data[],52,FALSE)</f>
        <v>FEDERAL</v>
      </c>
      <c r="E299" s="9" t="str">
        <f>VLOOKUP(IntAll[[#This Row],[DEVELOPMENT]],Data[],62,FALSE)</f>
        <v>2, 3</v>
      </c>
      <c r="F299" s="9" t="str">
        <f ca="1">VLOOKUP(A299,Data[],4,FALSE)</f>
        <v/>
      </c>
      <c r="G299" s="9">
        <f>VLOOKUP(IntAll[[#This Row],[DEVELOPMENT]],EHDAll[[DEVELOPMENT]:['# Units]],6,FALSE)</f>
        <v>7</v>
      </c>
      <c r="H299" s="143" t="str">
        <f ca="1">IF(IntAll[[#This Row],[STATUS]]="","",IF(OR(F299="2019-2020",F299="2021-2025"),"",IF(ISNUMBER(SEARCH("LLC",D299)),VLOOKUP(A299,IntComp24[],21,FALSE),VLOOKUP(A299,IntComp[],21,FALSE))))</f>
        <v/>
      </c>
      <c r="I299" s="143" t="str">
        <f ca="1">IF(IntAll[[#This Row],[STATUS]]="","",IF(IF(OR(F299="2019-2020",F299="2021-2025"),"",IF(ISNUMBER(SEARCH("LLC",D299)),VLOOKUP(A299,IntComp24[],16,FALSE),VLOOKUP(A299,IntComp[],16,FALSE)))=0,"",IF(OR(F299="2019-2020",F299="2021-2025"),"",IF(ISNUMBER(SEARCH("LLC",D299)),VLOOKUP(A299,IntComp24[],16,FALSE),VLOOKUP(A299,IntComp[],16,FALSE)))))</f>
        <v/>
      </c>
      <c r="J299" s="143" t="str">
        <f ca="1">IF(IF(OR(F299="2019-2020",F299="2021-2025"),"",IF(ISNUMBER(SEARCH("LLC",D299)),VLOOKUP(A299,IntComp24[],17,FALSE),VLOOKUP(A299,IntComp[],17,FALSE)))=0,"",IF(OR(F299="2019-2020",F299="2021-2025"),"",IF(ISNUMBER(SEARCH("LLC",D299)),VLOOKUP(A299,IntComp24[],17,FALSE),VLOOKUP(A299,IntComp[],17,FALSE))))</f>
        <v/>
      </c>
      <c r="K299" s="151"/>
      <c r="L299" s="151">
        <f ca="1">IF(OR(F299="2019-2020",F299="2021-2025"),"",IF(ISNUMBER(SEARCH("LLC",D299)),VLOOKUP(A299,IntComp24[],18,FALSE),VLOOKUP(A299,IntComp[],18,FALSE)))</f>
        <v>0</v>
      </c>
      <c r="M299" s="143"/>
      <c r="N299" s="143" t="str">
        <f ca="1">IF(IF(OR(F299="2019-2020",F299="2021-2025"),"",IF(ISNUMBER(SEARCH("LLC",D299)),VLOOKUP(A299,IntComp24[],20,FALSE),VLOOKUP(A299,IntComp[],20,FALSE)))=0,"",IF(OR(F299="2019-2020",F299="2021-2025"),"",IF(ISNUMBER(SEARCH("LLC",D299)),VLOOKUP(A299,IntComp24[],20,FALSE),VLOOKUP(A299,IntComp[],20,FALSE))))</f>
        <v/>
      </c>
      <c r="O299" s="152" t="str">
        <f ca="1">IF(IF(OR(F299="2019-2020",F299="2021-2025"),"",IF(ISNUMBER(SEARCH("LLC",D299)),VLOOKUP(A299,IntComp24[],23,FALSE),VLOOKUP(A299,IntComp[],23,FALSE)))=0,"",IF(OR(F299="2019-2020",F299="2021-2025"),"",IF(ISNUMBER(SEARCH("LLC",D299)),VLOOKUP(A299,IntComp24[],23,FALSE),VLOOKUP(A299,IntComp[],23,FALSE))))</f>
        <v/>
      </c>
    </row>
    <row r="300" spans="1:15">
      <c r="A300" s="147" t="s">
        <v>290</v>
      </c>
      <c r="B300" s="144" t="str">
        <f>VLOOKUP(A300,Data[],2,FALSE)</f>
        <v>BRONX</v>
      </c>
      <c r="C300" s="144" t="s">
        <v>106</v>
      </c>
      <c r="D300" s="9" t="str">
        <f>VLOOKUP(A300,Data[],52,FALSE)</f>
        <v>FEDERAL</v>
      </c>
      <c r="E300" s="9">
        <f>VLOOKUP(IntAll[[#This Row],[DEVELOPMENT]],Data[],62,FALSE)</f>
        <v>3</v>
      </c>
      <c r="F300" s="9" t="str">
        <f ca="1">VLOOKUP(A300,Data[],4,FALSE)</f>
        <v/>
      </c>
      <c r="G300" s="9">
        <f>VLOOKUP(IntAll[[#This Row],[DEVELOPMENT]],EHDAll[[DEVELOPMENT]:['# Units]],6,FALSE)</f>
        <v>1</v>
      </c>
      <c r="H300" s="143" t="str">
        <f ca="1">IF(IntAll[[#This Row],[STATUS]]="","",IF(OR(F300="2019-2020",F300="2021-2025"),"",IF(ISNUMBER(SEARCH("LLC",D300)),VLOOKUP(A300,IntComp24[],21,FALSE),VLOOKUP(A300,IntComp[],21,FALSE))))</f>
        <v/>
      </c>
      <c r="I300" s="143" t="str">
        <f ca="1">IF(IntAll[[#This Row],[STATUS]]="","",IF(IF(OR(F300="2019-2020",F300="2021-2025"),"",IF(ISNUMBER(SEARCH("LLC",D300)),VLOOKUP(A300,IntComp24[],16,FALSE),VLOOKUP(A300,IntComp[],16,FALSE)))=0,"",IF(OR(F300="2019-2020",F300="2021-2025"),"",IF(ISNUMBER(SEARCH("LLC",D300)),VLOOKUP(A300,IntComp24[],16,FALSE),VLOOKUP(A300,IntComp[],16,FALSE)))))</f>
        <v/>
      </c>
      <c r="J300" s="143" t="str">
        <f ca="1">IF(IF(OR(F300="2019-2020",F300="2021-2025"),"",IF(ISNUMBER(SEARCH("LLC",D300)),VLOOKUP(A300,IntComp24[],17,FALSE),VLOOKUP(A300,IntComp[],17,FALSE)))=0,"",IF(OR(F300="2019-2020",F300="2021-2025"),"",IF(ISNUMBER(SEARCH("LLC",D300)),VLOOKUP(A300,IntComp24[],17,FALSE),VLOOKUP(A300,IntComp[],17,FALSE))))</f>
        <v/>
      </c>
      <c r="K300" s="151"/>
      <c r="L300" s="151">
        <f ca="1">IF(OR(F300="2019-2020",F300="2021-2025"),"",IF(ISNUMBER(SEARCH("LLC",D300)),VLOOKUP(A300,IntComp24[],18,FALSE),VLOOKUP(A300,IntComp[],18,FALSE)))</f>
        <v>0</v>
      </c>
      <c r="M300" s="143"/>
      <c r="N300" s="143" t="str">
        <f ca="1">IF(IF(OR(F300="2019-2020",F300="2021-2025"),"",IF(ISNUMBER(SEARCH("LLC",D300)),VLOOKUP(A300,IntComp24[],20,FALSE),VLOOKUP(A300,IntComp[],20,FALSE)))=0,"",IF(OR(F300="2019-2020",F300="2021-2025"),"",IF(ISNUMBER(SEARCH("LLC",D300)),VLOOKUP(A300,IntComp24[],20,FALSE),VLOOKUP(A300,IntComp[],20,FALSE))))</f>
        <v/>
      </c>
      <c r="O300" s="152" t="str">
        <f ca="1">IF(IF(OR(F300="2019-2020",F300="2021-2025"),"",IF(ISNUMBER(SEARCH("LLC",D300)),VLOOKUP(A300,IntComp24[],23,FALSE),VLOOKUP(A300,IntComp[],23,FALSE)))=0,"",IF(OR(F300="2019-2020",F300="2021-2025"),"",IF(ISNUMBER(SEARCH("LLC",D300)),VLOOKUP(A300,IntComp24[],23,FALSE),VLOOKUP(A300,IntComp[],23,FALSE))))</f>
        <v/>
      </c>
    </row>
    <row r="301" spans="1:15">
      <c r="A301" s="147" t="s">
        <v>383</v>
      </c>
      <c r="B301" s="144" t="str">
        <f>VLOOKUP(A301,Data[],2,FALSE)</f>
        <v>BROOKLYN</v>
      </c>
      <c r="C301" s="144" t="s">
        <v>106</v>
      </c>
      <c r="D301" s="9" t="str">
        <f>VLOOKUP(A301,Data[],52,FALSE)</f>
        <v>FEDERAL</v>
      </c>
      <c r="E301" s="9">
        <f>VLOOKUP(IntAll[[#This Row],[DEVELOPMENT]],Data[],62,FALSE)</f>
        <v>2</v>
      </c>
      <c r="F301" s="9" t="str">
        <f ca="1">VLOOKUP(A301,Data[],4,FALSE)</f>
        <v/>
      </c>
      <c r="G301" s="9">
        <f>VLOOKUP(IntAll[[#This Row],[DEVELOPMENT]],EHDAll[[DEVELOPMENT]:['# Units]],6,FALSE)</f>
        <v>32</v>
      </c>
      <c r="H301" s="143" t="str">
        <f ca="1">IF(IntAll[[#This Row],[STATUS]]="","",IF(OR(F301="2019-2020",F301="2021-2025"),"",IF(ISNUMBER(SEARCH("LLC",D301)),VLOOKUP(A301,IntComp24[],21,FALSE),VLOOKUP(A301,IntComp[],21,FALSE))))</f>
        <v/>
      </c>
      <c r="I301" s="143" t="str">
        <f ca="1">IF(IntAll[[#This Row],[STATUS]]="","",IF(IF(OR(F301="2019-2020",F301="2021-2025"),"",IF(ISNUMBER(SEARCH("LLC",D301)),VLOOKUP(A301,IntComp24[],16,FALSE),VLOOKUP(A301,IntComp[],16,FALSE)))=0,"",IF(OR(F301="2019-2020",F301="2021-2025"),"",IF(ISNUMBER(SEARCH("LLC",D301)),VLOOKUP(A301,IntComp24[],16,FALSE),VLOOKUP(A301,IntComp[],16,FALSE)))))</f>
        <v/>
      </c>
      <c r="J301" s="143" t="str">
        <f ca="1">IF(IF(OR(F301="2019-2020",F301="2021-2025"),"",IF(ISNUMBER(SEARCH("LLC",D301)),VLOOKUP(A301,IntComp24[],17,FALSE),VLOOKUP(A301,IntComp[],17,FALSE)))=0,"",IF(OR(F301="2019-2020",F301="2021-2025"),"",IF(ISNUMBER(SEARCH("LLC",D301)),VLOOKUP(A301,IntComp24[],17,FALSE),VLOOKUP(A301,IntComp[],17,FALSE))))</f>
        <v/>
      </c>
      <c r="K301" s="151"/>
      <c r="L301" s="151">
        <f ca="1">IF(OR(F301="2019-2020",F301="2021-2025"),"",IF(ISNUMBER(SEARCH("LLC",D301)),VLOOKUP(A301,IntComp24[],18,FALSE),VLOOKUP(A301,IntComp[],18,FALSE)))</f>
        <v>2584064</v>
      </c>
      <c r="M301" s="143"/>
      <c r="N301" s="143" t="str">
        <f ca="1">IF(IF(OR(F301="2019-2020",F301="2021-2025"),"",IF(ISNUMBER(SEARCH("LLC",D301)),VLOOKUP(A301,IntComp24[],20,FALSE),VLOOKUP(A301,IntComp[],20,FALSE)))=0,"",IF(OR(F301="2019-2020",F301="2021-2025"),"",IF(ISNUMBER(SEARCH("LLC",D301)),VLOOKUP(A301,IntComp24[],20,FALSE),VLOOKUP(A301,IntComp[],20,FALSE))))</f>
        <v/>
      </c>
      <c r="O301" s="152" t="str">
        <f ca="1">IF(IF(OR(F301="2019-2020",F301="2021-2025"),"",IF(ISNUMBER(SEARCH("LLC",D301)),VLOOKUP(A301,IntComp24[],23,FALSE),VLOOKUP(A301,IntComp[],23,FALSE)))=0,"",IF(OR(F301="2019-2020",F301="2021-2025"),"",IF(ISNUMBER(SEARCH("LLC",D301)),VLOOKUP(A301,IntComp24[],23,FALSE),VLOOKUP(A301,IntComp[],23,FALSE))))</f>
        <v/>
      </c>
    </row>
    <row r="302" spans="1:15">
      <c r="A302" s="147" t="s">
        <v>384</v>
      </c>
      <c r="B302" s="144" t="str">
        <f>VLOOKUP(A302,Data[],2,FALSE)</f>
        <v>BROOKLYN</v>
      </c>
      <c r="C302" s="144" t="s">
        <v>106</v>
      </c>
      <c r="D302" s="9" t="str">
        <f>VLOOKUP(A302,Data[],52,FALSE)</f>
        <v>MIXED FINANCE/LLC2</v>
      </c>
      <c r="E302" s="9">
        <f>VLOOKUP(IntAll[[#This Row],[DEVELOPMENT]],Data[],62,FALSE)</f>
        <v>1</v>
      </c>
      <c r="F302" s="9">
        <f ca="1">VLOOKUP(A302,Data[],4,FALSE)</f>
        <v>2019</v>
      </c>
      <c r="G302" s="9">
        <f>VLOOKUP(IntAll[[#This Row],[DEVELOPMENT]],EHDAll[[DEVELOPMENT]:['# Units]],6,FALSE)</f>
        <v>5</v>
      </c>
      <c r="H302" s="143" t="str">
        <f ca="1">IF(IntAll[[#This Row],[STATUS]]="","",IF(OR(F302="2019-2020",F302="2021-2025"),"",IF(ISNUMBER(SEARCH("LLC",D302)),VLOOKUP(A302,IntComp24[],21,FALSE),VLOOKUP(A302,IntComp[],21,FALSE))))</f>
        <v/>
      </c>
      <c r="I302" s="143" t="str">
        <f ca="1">IF(IntAll[[#This Row],[STATUS]]="","",IF(IF(OR(F302="2019-2020",F302="2021-2025"),"",IF(ISNUMBER(SEARCH("LLC",D302)),VLOOKUP(A302,IntComp24[],16,FALSE),VLOOKUP(A302,IntComp[],16,FALSE)))=0,"",IF(OR(F302="2019-2020",F302="2021-2025"),"",IF(ISNUMBER(SEARCH("LLC",D302)),VLOOKUP(A302,IntComp24[],16,FALSE),VLOOKUP(A302,IntComp[],16,FALSE)))))</f>
        <v/>
      </c>
      <c r="J302" s="143" t="str">
        <f ca="1">IF(IF(OR(F302="2019-2020",F302="2021-2025"),"",IF(ISNUMBER(SEARCH("LLC",D302)),VLOOKUP(A302,IntComp24[],17,FALSE),VLOOKUP(A302,IntComp[],17,FALSE)))=0,"",IF(OR(F302="2019-2020",F302="2021-2025"),"",IF(ISNUMBER(SEARCH("LLC",D302)),VLOOKUP(A302,IntComp24[],17,FALSE),VLOOKUP(A302,IntComp[],17,FALSE))))</f>
        <v/>
      </c>
      <c r="K302" s="151"/>
      <c r="L302" s="151">
        <f ca="1">IF(OR(F302="2019-2020",F302="2021-2025"),"",IF(ISNUMBER(SEARCH("LLC",D302)),VLOOKUP(A302,IntComp24[],18,FALSE),VLOOKUP(A302,IntComp[],18,FALSE)))</f>
        <v>0</v>
      </c>
      <c r="M302" s="143"/>
      <c r="N302" s="143" t="str">
        <f ca="1">IF(IF(OR(F302="2019-2020",F302="2021-2025"),"",IF(ISNUMBER(SEARCH("LLC",D302)),VLOOKUP(A302,IntComp24[],20,FALSE),VLOOKUP(A302,IntComp[],20,FALSE)))=0,"",IF(OR(F302="2019-2020",F302="2021-2025"),"",IF(ISNUMBER(SEARCH("LLC",D302)),VLOOKUP(A302,IntComp24[],20,FALSE),VLOOKUP(A302,IntComp[],20,FALSE))))</f>
        <v/>
      </c>
      <c r="O302" s="152" t="str">
        <f ca="1">IF(IF(OR(F302="2019-2020",F302="2021-2025"),"",IF(ISNUMBER(SEARCH("LLC",D302)),VLOOKUP(A302,IntComp24[],23,FALSE),VLOOKUP(A302,IntComp[],23,FALSE)))=0,"",IF(OR(F302="2019-2020",F302="2021-2025"),"",IF(ISNUMBER(SEARCH("LLC",D302)),VLOOKUP(A302,IntComp24[],23,FALSE),VLOOKUP(A302,IntComp[],23,FALSE))))</f>
        <v/>
      </c>
    </row>
    <row r="303" spans="1:15">
      <c r="A303" s="147" t="s">
        <v>385</v>
      </c>
      <c r="B303" s="144" t="str">
        <f>VLOOKUP(A303,Data[],2,FALSE)</f>
        <v>BROOKLYN</v>
      </c>
      <c r="C303" s="144" t="s">
        <v>106</v>
      </c>
      <c r="D303" s="9" t="str">
        <f>VLOOKUP(A303,Data[],52,FALSE)</f>
        <v>FEDERAL</v>
      </c>
      <c r="E303" s="9">
        <f>VLOOKUP(IntAll[[#This Row],[DEVELOPMENT]],Data[],62,FALSE)</f>
        <v>1</v>
      </c>
      <c r="F303" s="9" t="str">
        <f ca="1">VLOOKUP(A303,Data[],4,FALSE)</f>
        <v>2020-2021</v>
      </c>
      <c r="G303" s="9">
        <f>VLOOKUP(IntAll[[#This Row],[DEVELOPMENT]],EHDAll[[DEVELOPMENT]:['# Units]],6,FALSE)</f>
        <v>136</v>
      </c>
      <c r="H303" s="143" t="str">
        <f ca="1">IF(IntAll[[#This Row],[STATUS]]="","",IF(OR(F303="2019-2020",F303="2021-2025"),"",IF(ISNUMBER(SEARCH("LLC",D303)),VLOOKUP(A303,IntComp24[],21,FALSE),VLOOKUP(A303,IntComp[],21,FALSE))))</f>
        <v/>
      </c>
      <c r="I303" s="143" t="str">
        <f ca="1">IF(IntAll[[#This Row],[STATUS]]="","",IF(IF(OR(F303="2019-2020",F303="2021-2025"),"",IF(ISNUMBER(SEARCH("LLC",D303)),VLOOKUP(A303,IntComp24[],16,FALSE),VLOOKUP(A303,IntComp[],16,FALSE)))=0,"",IF(OR(F303="2019-2020",F303="2021-2025"),"",IF(ISNUMBER(SEARCH("LLC",D303)),VLOOKUP(A303,IntComp24[],16,FALSE),VLOOKUP(A303,IntComp[],16,FALSE)))))</f>
        <v/>
      </c>
      <c r="J303" s="143" t="str">
        <f ca="1">IF(IF(OR(F303="2019-2020",F303="2021-2025"),"",IF(ISNUMBER(SEARCH("LLC",D303)),VLOOKUP(A303,IntComp24[],17,FALSE),VLOOKUP(A303,IntComp[],17,FALSE)))=0,"",IF(OR(F303="2019-2020",F303="2021-2025"),"",IF(ISNUMBER(SEARCH("LLC",D303)),VLOOKUP(A303,IntComp24[],17,FALSE),VLOOKUP(A303,IntComp[],17,FALSE))))</f>
        <v/>
      </c>
      <c r="K303" s="151"/>
      <c r="L303" s="151">
        <f ca="1">IF(OR(F303="2019-2020",F303="2021-2025"),"",IF(ISNUMBER(SEARCH("LLC",D303)),VLOOKUP(A303,IntComp24[],18,FALSE),VLOOKUP(A303,IntComp[],18,FALSE)))</f>
        <v>0</v>
      </c>
      <c r="M303" s="143"/>
      <c r="N303" s="143" t="str">
        <f ca="1">IF(IF(OR(F303="2019-2020",F303="2021-2025"),"",IF(ISNUMBER(SEARCH("LLC",D303)),VLOOKUP(A303,IntComp24[],20,FALSE),VLOOKUP(A303,IntComp[],20,FALSE)))=0,"",IF(OR(F303="2019-2020",F303="2021-2025"),"",IF(ISNUMBER(SEARCH("LLC",D303)),VLOOKUP(A303,IntComp24[],20,FALSE),VLOOKUP(A303,IntComp[],20,FALSE))))</f>
        <v/>
      </c>
      <c r="O303" s="152" t="str">
        <f ca="1">IF(IF(OR(F303="2019-2020",F303="2021-2025"),"",IF(ISNUMBER(SEARCH("LLC",D303)),VLOOKUP(A303,IntComp24[],23,FALSE),VLOOKUP(A303,IntComp[],23,FALSE)))=0,"",IF(OR(F303="2019-2020",F303="2021-2025"),"",IF(ISNUMBER(SEARCH("LLC",D303)),VLOOKUP(A303,IntComp24[],23,FALSE),VLOOKUP(A303,IntComp[],23,FALSE))))</f>
        <v/>
      </c>
    </row>
    <row r="304" spans="1:15">
      <c r="A304" s="147" t="s">
        <v>116</v>
      </c>
      <c r="B304" s="144" t="str">
        <f>VLOOKUP(A304,Data[],2,FALSE)</f>
        <v>MANHATTAN</v>
      </c>
      <c r="C304" s="144" t="s">
        <v>106</v>
      </c>
      <c r="D304" s="9" t="str">
        <f>VLOOKUP(A304,Data[],52,FALSE)</f>
        <v>FEDERAL</v>
      </c>
      <c r="E304" s="9">
        <f>VLOOKUP(IntAll[[#This Row],[DEVELOPMENT]],Data[],62,FALSE)</f>
        <v>11</v>
      </c>
      <c r="F304" s="9" t="str">
        <f ca="1">VLOOKUP(A304,Data[],4,FALSE)</f>
        <v>2026+</v>
      </c>
      <c r="G304" s="9">
        <f>VLOOKUP(IntAll[[#This Row],[DEVELOPMENT]],EHDAll[[DEVELOPMENT]:['# Units]],6,FALSE)</f>
        <v>3</v>
      </c>
      <c r="H304" s="143" t="str">
        <f ca="1">IF(IntAll[[#This Row],[STATUS]]="","",IF(OR(F304="2019-2020",F304="2021-2025"),"",IF(ISNUMBER(SEARCH("LLC",D304)),VLOOKUP(A304,IntComp24[],21,FALSE),VLOOKUP(A304,IntComp[],21,FALSE))))</f>
        <v/>
      </c>
      <c r="I304" s="143" t="str">
        <f ca="1">IF(IntAll[[#This Row],[STATUS]]="","",IF(IF(OR(F304="2019-2020",F304="2021-2025"),"",IF(ISNUMBER(SEARCH("LLC",D304)),VLOOKUP(A304,IntComp24[],16,FALSE),VLOOKUP(A304,IntComp[],16,FALSE)))=0,"",IF(OR(F304="2019-2020",F304="2021-2025"),"",IF(ISNUMBER(SEARCH("LLC",D304)),VLOOKUP(A304,IntComp24[],16,FALSE),VLOOKUP(A304,IntComp[],16,FALSE)))))</f>
        <v/>
      </c>
      <c r="J304" s="143" t="str">
        <f ca="1">IF(IF(OR(F304="2019-2020",F304="2021-2025"),"",IF(ISNUMBER(SEARCH("LLC",D304)),VLOOKUP(A304,IntComp24[],17,FALSE),VLOOKUP(A304,IntComp[],17,FALSE)))=0,"",IF(OR(F304="2019-2020",F304="2021-2025"),"",IF(ISNUMBER(SEARCH("LLC",D304)),VLOOKUP(A304,IntComp24[],17,FALSE),VLOOKUP(A304,IntComp[],17,FALSE))))</f>
        <v/>
      </c>
      <c r="K304" s="151"/>
      <c r="L304" s="151">
        <f ca="1">IF(OR(F304="2019-2020",F304="2021-2025"),"",IF(ISNUMBER(SEARCH("LLC",D304)),VLOOKUP(A304,IntComp24[],18,FALSE),VLOOKUP(A304,IntComp[],18,FALSE)))</f>
        <v>215759.25000000003</v>
      </c>
      <c r="M304" s="143"/>
      <c r="N304" s="143" t="str">
        <f ca="1">IF(IF(OR(F304="2019-2020",F304="2021-2025"),"",IF(ISNUMBER(SEARCH("LLC",D304)),VLOOKUP(A304,IntComp24[],20,FALSE),VLOOKUP(A304,IntComp[],20,FALSE)))=0,"",IF(OR(F304="2019-2020",F304="2021-2025"),"",IF(ISNUMBER(SEARCH("LLC",D304)),VLOOKUP(A304,IntComp24[],20,FALSE),VLOOKUP(A304,IntComp[],20,FALSE))))</f>
        <v/>
      </c>
      <c r="O304" s="152" t="str">
        <f ca="1">IF(IF(OR(F304="2019-2020",F304="2021-2025"),"",IF(ISNUMBER(SEARCH("LLC",D304)),VLOOKUP(A304,IntComp24[],23,FALSE),VLOOKUP(A304,IntComp[],23,FALSE)))=0,"",IF(OR(F304="2019-2020",F304="2021-2025"),"",IF(ISNUMBER(SEARCH("LLC",D304)),VLOOKUP(A304,IntComp24[],23,FALSE),VLOOKUP(A304,IntComp[],23,FALSE))))</f>
        <v/>
      </c>
    </row>
    <row r="305" spans="1:15">
      <c r="A305" s="147" t="s">
        <v>386</v>
      </c>
      <c r="B305" s="144" t="str">
        <f>VLOOKUP(A305,Data[],2,FALSE)</f>
        <v>MANHATTAN</v>
      </c>
      <c r="C305" s="144" t="s">
        <v>106</v>
      </c>
      <c r="D305" s="9" t="str">
        <f>VLOOKUP(A305,Data[],52,FALSE)</f>
        <v>MIXED FINANCE/LLC2</v>
      </c>
      <c r="E305" s="9">
        <f>VLOOKUP(IntAll[[#This Row],[DEVELOPMENT]],Data[],62,FALSE)</f>
        <v>7</v>
      </c>
      <c r="F305" s="9" t="str">
        <f ca="1">VLOOKUP(A305,Data[],4,FALSE)</f>
        <v>2020-2021</v>
      </c>
      <c r="G305" s="9">
        <f>VLOOKUP(IntAll[[#This Row],[DEVELOPMENT]],EHDAll[[DEVELOPMENT]:['# Units]],6,FALSE)</f>
        <v>4</v>
      </c>
      <c r="H305" s="143" t="str">
        <f ca="1">IF(IntAll[[#This Row],[STATUS]]="","",IF(OR(F305="2019-2020",F305="2021-2025"),"",IF(ISNUMBER(SEARCH("LLC",D305)),VLOOKUP(A305,IntComp24[],21,FALSE),VLOOKUP(A305,IntComp[],21,FALSE))))</f>
        <v/>
      </c>
      <c r="I305" s="143" t="str">
        <f ca="1">IF(IntAll[[#This Row],[STATUS]]="","",IF(IF(OR(F305="2019-2020",F305="2021-2025"),"",IF(ISNUMBER(SEARCH("LLC",D305)),VLOOKUP(A305,IntComp24[],16,FALSE),VLOOKUP(A305,IntComp[],16,FALSE)))=0,"",IF(OR(F305="2019-2020",F305="2021-2025"),"",IF(ISNUMBER(SEARCH("LLC",D305)),VLOOKUP(A305,IntComp24[],16,FALSE),VLOOKUP(A305,IntComp[],16,FALSE)))))</f>
        <v/>
      </c>
      <c r="J305" s="143" t="str">
        <f ca="1">IF(IF(OR(F305="2019-2020",F305="2021-2025"),"",IF(ISNUMBER(SEARCH("LLC",D305)),VLOOKUP(A305,IntComp24[],17,FALSE),VLOOKUP(A305,IntComp[],17,FALSE)))=0,"",IF(OR(F305="2019-2020",F305="2021-2025"),"",IF(ISNUMBER(SEARCH("LLC",D305)),VLOOKUP(A305,IntComp24[],17,FALSE),VLOOKUP(A305,IntComp[],17,FALSE))))</f>
        <v/>
      </c>
      <c r="K305" s="151"/>
      <c r="L305" s="151">
        <f ca="1">IF(OR(F305="2019-2020",F305="2021-2025"),"",IF(ISNUMBER(SEARCH("LLC",D305)),VLOOKUP(A305,IntComp24[],18,FALSE),VLOOKUP(A305,IntComp[],18,FALSE)))</f>
        <v>0</v>
      </c>
      <c r="M305" s="143"/>
      <c r="N305" s="143" t="str">
        <f ca="1">IF(IF(OR(F305="2019-2020",F305="2021-2025"),"",IF(ISNUMBER(SEARCH("LLC",D305)),VLOOKUP(A305,IntComp24[],20,FALSE),VLOOKUP(A305,IntComp[],20,FALSE)))=0,"",IF(OR(F305="2019-2020",F305="2021-2025"),"",IF(ISNUMBER(SEARCH("LLC",D305)),VLOOKUP(A305,IntComp24[],20,FALSE),VLOOKUP(A305,IntComp[],20,FALSE))))</f>
        <v/>
      </c>
      <c r="O305" s="152" t="str">
        <f ca="1">IF(IF(OR(F305="2019-2020",F305="2021-2025"),"",IF(ISNUMBER(SEARCH("LLC",D305)),VLOOKUP(A305,IntComp24[],23,FALSE),VLOOKUP(A305,IntComp[],23,FALSE)))=0,"",IF(OR(F305="2019-2020",F305="2021-2025"),"",IF(ISNUMBER(SEARCH("LLC",D305)),VLOOKUP(A305,IntComp24[],23,FALSE),VLOOKUP(A305,IntComp[],23,FALSE))))</f>
        <v/>
      </c>
    </row>
    <row r="306" spans="1:15">
      <c r="A306" s="147" t="s">
        <v>271</v>
      </c>
      <c r="B306" s="144" t="str">
        <f>VLOOKUP(A306,Data[],2,FALSE)</f>
        <v>QUEENS</v>
      </c>
      <c r="C306" s="144" t="s">
        <v>106</v>
      </c>
      <c r="D306" s="9" t="str">
        <f>VLOOKUP(A306,Data[],52,FALSE)</f>
        <v>FEDERAL</v>
      </c>
      <c r="E306" s="9">
        <f>VLOOKUP(IntAll[[#This Row],[DEVELOPMENT]],Data[],62,FALSE)</f>
        <v>1</v>
      </c>
      <c r="F306" s="9" t="str">
        <f ca="1">VLOOKUP(A306,Data[],4,FALSE)</f>
        <v/>
      </c>
      <c r="G306" s="9">
        <f>VLOOKUP(IntAll[[#This Row],[DEVELOPMENT]],EHDAll[[DEVELOPMENT]:['# Units]],6,FALSE)</f>
        <v>55</v>
      </c>
      <c r="H306" s="143" t="str">
        <f ca="1">IF(IntAll[[#This Row],[STATUS]]="","",IF(OR(F306="2019-2020",F306="2021-2025"),"",IF(ISNUMBER(SEARCH("LLC",D306)),VLOOKUP(A306,IntComp24[],21,FALSE),VLOOKUP(A306,IntComp[],21,FALSE))))</f>
        <v/>
      </c>
      <c r="I306" s="143" t="str">
        <f ca="1">IF(IntAll[[#This Row],[STATUS]]="","",IF(IF(OR(F306="2019-2020",F306="2021-2025"),"",IF(ISNUMBER(SEARCH("LLC",D306)),VLOOKUP(A306,IntComp24[],16,FALSE),VLOOKUP(A306,IntComp[],16,FALSE)))=0,"",IF(OR(F306="2019-2020",F306="2021-2025"),"",IF(ISNUMBER(SEARCH("LLC",D306)),VLOOKUP(A306,IntComp24[],16,FALSE),VLOOKUP(A306,IntComp[],16,FALSE)))))</f>
        <v/>
      </c>
      <c r="J306" s="143" t="str">
        <f ca="1">IF(IF(OR(F306="2019-2020",F306="2021-2025"),"",IF(ISNUMBER(SEARCH("LLC",D306)),VLOOKUP(A306,IntComp24[],17,FALSE),VLOOKUP(A306,IntComp[],17,FALSE)))=0,"",IF(OR(F306="2019-2020",F306="2021-2025"),"",IF(ISNUMBER(SEARCH("LLC",D306)),VLOOKUP(A306,IntComp24[],17,FALSE),VLOOKUP(A306,IntComp[],17,FALSE))))</f>
        <v/>
      </c>
      <c r="K306" s="151"/>
      <c r="L306" s="151">
        <f ca="1">IF(OR(F306="2019-2020",F306="2021-2025"),"",IF(ISNUMBER(SEARCH("LLC",D306)),VLOOKUP(A306,IntComp24[],18,FALSE),VLOOKUP(A306,IntComp[],18,FALSE)))</f>
        <v>4198473.125</v>
      </c>
      <c r="M306" s="143"/>
      <c r="N306" s="143" t="str">
        <f ca="1">IF(IF(OR(F306="2019-2020",F306="2021-2025"),"",IF(ISNUMBER(SEARCH("LLC",D306)),VLOOKUP(A306,IntComp24[],20,FALSE),VLOOKUP(A306,IntComp[],20,FALSE)))=0,"",IF(OR(F306="2019-2020",F306="2021-2025"),"",IF(ISNUMBER(SEARCH("LLC",D306)),VLOOKUP(A306,IntComp24[],20,FALSE),VLOOKUP(A306,IntComp[],20,FALSE))))</f>
        <v/>
      </c>
      <c r="O306" s="152" t="str">
        <f ca="1">IF(IF(OR(F306="2019-2020",F306="2021-2025"),"",IF(ISNUMBER(SEARCH("LLC",D306)),VLOOKUP(A306,IntComp24[],23,FALSE),VLOOKUP(A306,IntComp[],23,FALSE)))=0,"",IF(OR(F306="2019-2020",F306="2021-2025"),"",IF(ISNUMBER(SEARCH("LLC",D306)),VLOOKUP(A306,IntComp24[],23,FALSE),VLOOKUP(A306,IntComp[],23,FALSE))))</f>
        <v/>
      </c>
    </row>
    <row r="307" spans="1:15">
      <c r="A307" s="147" t="s">
        <v>387</v>
      </c>
      <c r="B307" s="144" t="str">
        <f>VLOOKUP(A307,Data[],2,FALSE)</f>
        <v>BROOKLYN</v>
      </c>
      <c r="C307" s="144" t="s">
        <v>106</v>
      </c>
      <c r="D307" s="9" t="str">
        <f>VLOOKUP(A307,Data[],52,FALSE)</f>
        <v>FEDERAL</v>
      </c>
      <c r="E307" s="9">
        <f>VLOOKUP(IntAll[[#This Row],[DEVELOPMENT]],Data[],62,FALSE)</f>
        <v>16</v>
      </c>
      <c r="F307" s="9" t="str">
        <f ca="1">VLOOKUP(A307,Data[],4,FALSE)</f>
        <v/>
      </c>
      <c r="G307" s="9">
        <f>VLOOKUP(IntAll[[#This Row],[DEVELOPMENT]],EHDAll[[DEVELOPMENT]:['# Units]],6,FALSE)</f>
        <v>3</v>
      </c>
      <c r="H307" s="143" t="str">
        <f ca="1">IF(IntAll[[#This Row],[STATUS]]="","",IF(OR(F307="2019-2020",F307="2021-2025"),"",IF(ISNUMBER(SEARCH("LLC",D307)),VLOOKUP(A307,IntComp24[],21,FALSE),VLOOKUP(A307,IntComp[],21,FALSE))))</f>
        <v/>
      </c>
      <c r="I307" s="143" t="str">
        <f ca="1">IF(IntAll[[#This Row],[STATUS]]="","",IF(IF(OR(F307="2019-2020",F307="2021-2025"),"",IF(ISNUMBER(SEARCH("LLC",D307)),VLOOKUP(A307,IntComp24[],16,FALSE),VLOOKUP(A307,IntComp[],16,FALSE)))=0,"",IF(OR(F307="2019-2020",F307="2021-2025"),"",IF(ISNUMBER(SEARCH("LLC",D307)),VLOOKUP(A307,IntComp24[],16,FALSE),VLOOKUP(A307,IntComp[],16,FALSE)))))</f>
        <v/>
      </c>
      <c r="J307" s="143" t="str">
        <f ca="1">IF(IF(OR(F307="2019-2020",F307="2021-2025"),"",IF(ISNUMBER(SEARCH("LLC",D307)),VLOOKUP(A307,IntComp24[],17,FALSE),VLOOKUP(A307,IntComp[],17,FALSE)))=0,"",IF(OR(F307="2019-2020",F307="2021-2025"),"",IF(ISNUMBER(SEARCH("LLC",D307)),VLOOKUP(A307,IntComp24[],17,FALSE),VLOOKUP(A307,IntComp[],17,FALSE))))</f>
        <v/>
      </c>
      <c r="K307" s="151"/>
      <c r="L307" s="151">
        <f ca="1">IF(OR(F307="2019-2020",F307="2021-2025"),"",IF(ISNUMBER(SEARCH("LLC",D307)),VLOOKUP(A307,IntComp24[],18,FALSE),VLOOKUP(A307,IntComp[],18,FALSE)))</f>
        <v>229007.625</v>
      </c>
      <c r="M307" s="143"/>
      <c r="N307" s="143" t="str">
        <f ca="1">IF(IF(OR(F307="2019-2020",F307="2021-2025"),"",IF(ISNUMBER(SEARCH("LLC",D307)),VLOOKUP(A307,IntComp24[],20,FALSE),VLOOKUP(A307,IntComp[],20,FALSE)))=0,"",IF(OR(F307="2019-2020",F307="2021-2025"),"",IF(ISNUMBER(SEARCH("LLC",D307)),VLOOKUP(A307,IntComp24[],20,FALSE),VLOOKUP(A307,IntComp[],20,FALSE))))</f>
        <v/>
      </c>
      <c r="O307" s="152" t="str">
        <f ca="1">IF(IF(OR(F307="2019-2020",F307="2021-2025"),"",IF(ISNUMBER(SEARCH("LLC",D307)),VLOOKUP(A307,IntComp24[],23,FALSE),VLOOKUP(A307,IntComp[],23,FALSE)))=0,"",IF(OR(F307="2019-2020",F307="2021-2025"),"",IF(ISNUMBER(SEARCH("LLC",D307)),VLOOKUP(A307,IntComp24[],23,FALSE),VLOOKUP(A307,IntComp[],23,FALSE))))</f>
        <v/>
      </c>
    </row>
    <row r="308" spans="1:15">
      <c r="A308" s="147" t="s">
        <v>388</v>
      </c>
      <c r="B308" s="144" t="str">
        <f>VLOOKUP(A308,Data[],2,FALSE)</f>
        <v>MANHATTAN</v>
      </c>
      <c r="C308" s="144" t="s">
        <v>106</v>
      </c>
      <c r="D308" s="9" t="str">
        <f>VLOOKUP(A308,Data[],52,FALSE)</f>
        <v>FEDERAL</v>
      </c>
      <c r="E308" s="9">
        <f>VLOOKUP(IntAll[[#This Row],[DEVELOPMENT]],Data[],62,FALSE)</f>
        <v>7</v>
      </c>
      <c r="F308" s="9" t="str">
        <f ca="1">VLOOKUP(A308,Data[],4,FALSE)</f>
        <v/>
      </c>
      <c r="G308" s="9">
        <f>VLOOKUP(IntAll[[#This Row],[DEVELOPMENT]],EHDAll[[DEVELOPMENT]:['# Units]],6,FALSE)</f>
        <v>0</v>
      </c>
      <c r="H308" s="143" t="str">
        <f ca="1">IF(IntAll[[#This Row],[STATUS]]="","",IF(OR(F308="2019-2020",F308="2021-2025"),"",IF(ISNUMBER(SEARCH("LLC",D308)),VLOOKUP(A308,IntComp24[],21,FALSE),VLOOKUP(A308,IntComp[],21,FALSE))))</f>
        <v/>
      </c>
      <c r="I308" s="143" t="str">
        <f ca="1">IF(IntAll[[#This Row],[STATUS]]="","",IF(IF(OR(F308="2019-2020",F308="2021-2025"),"",IF(ISNUMBER(SEARCH("LLC",D308)),VLOOKUP(A308,IntComp24[],16,FALSE),VLOOKUP(A308,IntComp[],16,FALSE)))=0,"",IF(OR(F308="2019-2020",F308="2021-2025"),"",IF(ISNUMBER(SEARCH("LLC",D308)),VLOOKUP(A308,IntComp24[],16,FALSE),VLOOKUP(A308,IntComp[],16,FALSE)))))</f>
        <v/>
      </c>
      <c r="J308" s="143" t="str">
        <f ca="1">IF(IF(OR(F308="2019-2020",F308="2021-2025"),"",IF(ISNUMBER(SEARCH("LLC",D308)),VLOOKUP(A308,IntComp24[],17,FALSE),VLOOKUP(A308,IntComp[],17,FALSE)))=0,"",IF(OR(F308="2019-2020",F308="2021-2025"),"",IF(ISNUMBER(SEARCH("LLC",D308)),VLOOKUP(A308,IntComp24[],17,FALSE),VLOOKUP(A308,IntComp[],17,FALSE))))</f>
        <v/>
      </c>
      <c r="K308" s="151"/>
      <c r="L308" s="151">
        <f ca="1">IF(OR(F308="2019-2020",F308="2021-2025"),"",IF(ISNUMBER(SEARCH("LLC",D308)),VLOOKUP(A308,IntComp24[],18,FALSE),VLOOKUP(A308,IntComp[],18,FALSE)))</f>
        <v>0</v>
      </c>
      <c r="M308" s="143"/>
      <c r="N308" s="143" t="str">
        <f ca="1">IF(IF(OR(F308="2019-2020",F308="2021-2025"),"",IF(ISNUMBER(SEARCH("LLC",D308)),VLOOKUP(A308,IntComp24[],20,FALSE),VLOOKUP(A308,IntComp[],20,FALSE)))=0,"",IF(OR(F308="2019-2020",F308="2021-2025"),"",IF(ISNUMBER(SEARCH("LLC",D308)),VLOOKUP(A308,IntComp24[],20,FALSE),VLOOKUP(A308,IntComp[],20,FALSE))))</f>
        <v/>
      </c>
      <c r="O308" s="152" t="str">
        <f ca="1">IF(IF(OR(F308="2019-2020",F308="2021-2025"),"",IF(ISNUMBER(SEARCH("LLC",D308)),VLOOKUP(A308,IntComp24[],23,FALSE),VLOOKUP(A308,IntComp[],23,FALSE)))=0,"",IF(OR(F308="2019-2020",F308="2021-2025"),"",IF(ISNUMBER(SEARCH("LLC",D308)),VLOOKUP(A308,IntComp24[],23,FALSE),VLOOKUP(A308,IntComp[],23,FALSE))))</f>
        <v/>
      </c>
    </row>
    <row r="309" spans="1:15">
      <c r="A309" s="147" t="s">
        <v>389</v>
      </c>
      <c r="B309" s="144" t="str">
        <f>VLOOKUP(A309,Data[],2,FALSE)</f>
        <v>MANHATTAN</v>
      </c>
      <c r="C309" s="144" t="s">
        <v>106</v>
      </c>
      <c r="D309" s="9" t="str">
        <f>VLOOKUP(A309,Data[],52,FALSE)</f>
        <v>FEDERAL</v>
      </c>
      <c r="E309" s="9">
        <f>VLOOKUP(IntAll[[#This Row],[DEVELOPMENT]],Data[],62,FALSE)</f>
        <v>7</v>
      </c>
      <c r="F309" s="9" t="str">
        <f ca="1">VLOOKUP(A309,Data[],4,FALSE)</f>
        <v/>
      </c>
      <c r="G309" s="9">
        <f>VLOOKUP(IntAll[[#This Row],[DEVELOPMENT]],EHDAll[[DEVELOPMENT]:['# Units]],6,FALSE)</f>
        <v>1</v>
      </c>
      <c r="H309" s="143" t="str">
        <f ca="1">IF(IntAll[[#This Row],[STATUS]]="","",IF(OR(F309="2019-2020",F309="2021-2025"),"",IF(ISNUMBER(SEARCH("LLC",D309)),VLOOKUP(A309,IntComp24[],21,FALSE),VLOOKUP(A309,IntComp[],21,FALSE))))</f>
        <v/>
      </c>
      <c r="I309" s="143" t="str">
        <f ca="1">IF(IntAll[[#This Row],[STATUS]]="","",IF(IF(OR(F309="2019-2020",F309="2021-2025"),"",IF(ISNUMBER(SEARCH("LLC",D309)),VLOOKUP(A309,IntComp24[],16,FALSE),VLOOKUP(A309,IntComp[],16,FALSE)))=0,"",IF(OR(F309="2019-2020",F309="2021-2025"),"",IF(ISNUMBER(SEARCH("LLC",D309)),VLOOKUP(A309,IntComp24[],16,FALSE),VLOOKUP(A309,IntComp[],16,FALSE)))))</f>
        <v/>
      </c>
      <c r="J309" s="143" t="str">
        <f ca="1">IF(IF(OR(F309="2019-2020",F309="2021-2025"),"",IF(ISNUMBER(SEARCH("LLC",D309)),VLOOKUP(A309,IntComp24[],17,FALSE),VLOOKUP(A309,IntComp[],17,FALSE)))=0,"",IF(OR(F309="2019-2020",F309="2021-2025"),"",IF(ISNUMBER(SEARCH("LLC",D309)),VLOOKUP(A309,IntComp24[],17,FALSE),VLOOKUP(A309,IntComp[],17,FALSE))))</f>
        <v/>
      </c>
      <c r="K309" s="151"/>
      <c r="L309" s="151">
        <f ca="1">IF(OR(F309="2019-2020",F309="2021-2025"),"",IF(ISNUMBER(SEARCH("LLC",D309)),VLOOKUP(A309,IntComp24[],18,FALSE),VLOOKUP(A309,IntComp[],18,FALSE)))</f>
        <v>65295.562499999993</v>
      </c>
      <c r="M309" s="143"/>
      <c r="N309" s="143" t="str">
        <f ca="1">IF(IF(OR(F309="2019-2020",F309="2021-2025"),"",IF(ISNUMBER(SEARCH("LLC",D309)),VLOOKUP(A309,IntComp24[],20,FALSE),VLOOKUP(A309,IntComp[],20,FALSE)))=0,"",IF(OR(F309="2019-2020",F309="2021-2025"),"",IF(ISNUMBER(SEARCH("LLC",D309)),VLOOKUP(A309,IntComp24[],20,FALSE),VLOOKUP(A309,IntComp[],20,FALSE))))</f>
        <v/>
      </c>
      <c r="O309" s="152" t="str">
        <f ca="1">IF(IF(OR(F309="2019-2020",F309="2021-2025"),"",IF(ISNUMBER(SEARCH("LLC",D309)),VLOOKUP(A309,IntComp24[],23,FALSE),VLOOKUP(A309,IntComp[],23,FALSE)))=0,"",IF(OR(F309="2019-2020",F309="2021-2025"),"",IF(ISNUMBER(SEARCH("LLC",D309)),VLOOKUP(A309,IntComp24[],23,FALSE),VLOOKUP(A309,IntComp[],23,FALSE))))</f>
        <v/>
      </c>
    </row>
    <row r="310" spans="1:15">
      <c r="A310" s="147" t="s">
        <v>390</v>
      </c>
      <c r="B310" s="144" t="str">
        <f>VLOOKUP(A310,Data[],2,FALSE)</f>
        <v>MANHATTAN</v>
      </c>
      <c r="C310" s="144" t="s">
        <v>106</v>
      </c>
      <c r="D310" s="9" t="str">
        <f>VLOOKUP(A310,Data[],52,FALSE)</f>
        <v>FEDERAL</v>
      </c>
      <c r="E310" s="9">
        <f>VLOOKUP(IntAll[[#This Row],[DEVELOPMENT]],Data[],62,FALSE)</f>
        <v>7</v>
      </c>
      <c r="F310" s="9" t="str">
        <f ca="1">VLOOKUP(A310,Data[],4,FALSE)</f>
        <v/>
      </c>
      <c r="G310" s="9">
        <f>VLOOKUP(IntAll[[#This Row],[DEVELOPMENT]],EHDAll[[DEVELOPMENT]:['# Units]],6,FALSE)</f>
        <v>2</v>
      </c>
      <c r="H310" s="143" t="str">
        <f ca="1">IF(IntAll[[#This Row],[STATUS]]="","",IF(OR(F310="2019-2020",F310="2021-2025"),"",IF(ISNUMBER(SEARCH("LLC",D310)),VLOOKUP(A310,IntComp24[],21,FALSE),VLOOKUP(A310,IntComp[],21,FALSE))))</f>
        <v/>
      </c>
      <c r="I310" s="143" t="str">
        <f ca="1">IF(IntAll[[#This Row],[STATUS]]="","",IF(IF(OR(F310="2019-2020",F310="2021-2025"),"",IF(ISNUMBER(SEARCH("LLC",D310)),VLOOKUP(A310,IntComp24[],16,FALSE),VLOOKUP(A310,IntComp[],16,FALSE)))=0,"",IF(OR(F310="2019-2020",F310="2021-2025"),"",IF(ISNUMBER(SEARCH("LLC",D310)),VLOOKUP(A310,IntComp24[],16,FALSE),VLOOKUP(A310,IntComp[],16,FALSE)))))</f>
        <v/>
      </c>
      <c r="J310" s="143" t="str">
        <f ca="1">IF(IF(OR(F310="2019-2020",F310="2021-2025"),"",IF(ISNUMBER(SEARCH("LLC",D310)),VLOOKUP(A310,IntComp24[],17,FALSE),VLOOKUP(A310,IntComp[],17,FALSE)))=0,"",IF(OR(F310="2019-2020",F310="2021-2025"),"",IF(ISNUMBER(SEARCH("LLC",D310)),VLOOKUP(A310,IntComp24[],17,FALSE),VLOOKUP(A310,IntComp[],17,FALSE))))</f>
        <v/>
      </c>
      <c r="K310" s="151"/>
      <c r="L310" s="151">
        <f ca="1">IF(OR(F310="2019-2020",F310="2021-2025"),"",IF(ISNUMBER(SEARCH("LLC",D310)),VLOOKUP(A310,IntComp24[],18,FALSE),VLOOKUP(A310,IntComp[],18,FALSE)))</f>
        <v>65295.562499999993</v>
      </c>
      <c r="M310" s="143"/>
      <c r="N310" s="143" t="str">
        <f ca="1">IF(IF(OR(F310="2019-2020",F310="2021-2025"),"",IF(ISNUMBER(SEARCH("LLC",D310)),VLOOKUP(A310,IntComp24[],20,FALSE),VLOOKUP(A310,IntComp[],20,FALSE)))=0,"",IF(OR(F310="2019-2020",F310="2021-2025"),"",IF(ISNUMBER(SEARCH("LLC",D310)),VLOOKUP(A310,IntComp24[],20,FALSE),VLOOKUP(A310,IntComp[],20,FALSE))))</f>
        <v/>
      </c>
      <c r="O310" s="152" t="str">
        <f ca="1">IF(IF(OR(F310="2019-2020",F310="2021-2025"),"",IF(ISNUMBER(SEARCH("LLC",D310)),VLOOKUP(A310,IntComp24[],23,FALSE),VLOOKUP(A310,IntComp[],23,FALSE)))=0,"",IF(OR(F310="2019-2020",F310="2021-2025"),"",IF(ISNUMBER(SEARCH("LLC",D310)),VLOOKUP(A310,IntComp24[],23,FALSE),VLOOKUP(A310,IntComp[],23,FALSE))))</f>
        <v/>
      </c>
    </row>
    <row r="311" spans="1:15">
      <c r="A311" s="147" t="s">
        <v>391</v>
      </c>
      <c r="B311" s="144" t="str">
        <f>VLOOKUP(A311,Data[],2,FALSE)</f>
        <v>MANHATTAN</v>
      </c>
      <c r="C311" s="144" t="s">
        <v>106</v>
      </c>
      <c r="D311" s="9" t="str">
        <f>VLOOKUP(A311,Data[],52,FALSE)</f>
        <v>FEDERAL</v>
      </c>
      <c r="E311" s="9">
        <f>VLOOKUP(IntAll[[#This Row],[DEVELOPMENT]],Data[],62,FALSE)</f>
        <v>7</v>
      </c>
      <c r="F311" s="9" t="str">
        <f ca="1">VLOOKUP(A311,Data[],4,FALSE)</f>
        <v/>
      </c>
      <c r="G311" s="9">
        <f>VLOOKUP(IntAll[[#This Row],[DEVELOPMENT]],EHDAll[[DEVELOPMENT]:['# Units]],6,FALSE)</f>
        <v>2</v>
      </c>
      <c r="H311" s="143" t="str">
        <f ca="1">IF(IntAll[[#This Row],[STATUS]]="","",IF(OR(F311="2019-2020",F311="2021-2025"),"",IF(ISNUMBER(SEARCH("LLC",D311)),VLOOKUP(A311,IntComp24[],21,FALSE),VLOOKUP(A311,IntComp[],21,FALSE))))</f>
        <v/>
      </c>
      <c r="I311" s="143" t="str">
        <f ca="1">IF(IntAll[[#This Row],[STATUS]]="","",IF(IF(OR(F311="2019-2020",F311="2021-2025"),"",IF(ISNUMBER(SEARCH("LLC",D311)),VLOOKUP(A311,IntComp24[],16,FALSE),VLOOKUP(A311,IntComp[],16,FALSE)))=0,"",IF(OR(F311="2019-2020",F311="2021-2025"),"",IF(ISNUMBER(SEARCH("LLC",D311)),VLOOKUP(A311,IntComp24[],16,FALSE),VLOOKUP(A311,IntComp[],16,FALSE)))))</f>
        <v/>
      </c>
      <c r="J311" s="143" t="str">
        <f ca="1">IF(IF(OR(F311="2019-2020",F311="2021-2025"),"",IF(ISNUMBER(SEARCH("LLC",D311)),VLOOKUP(A311,IntComp24[],17,FALSE),VLOOKUP(A311,IntComp[],17,FALSE)))=0,"",IF(OR(F311="2019-2020",F311="2021-2025"),"",IF(ISNUMBER(SEARCH("LLC",D311)),VLOOKUP(A311,IntComp24[],17,FALSE),VLOOKUP(A311,IntComp[],17,FALSE))))</f>
        <v/>
      </c>
      <c r="K311" s="151"/>
      <c r="L311" s="151">
        <f ca="1">IF(OR(F311="2019-2020",F311="2021-2025"),"",IF(ISNUMBER(SEARCH("LLC",D311)),VLOOKUP(A311,IntComp24[],18,FALSE),VLOOKUP(A311,IntComp[],18,FALSE)))</f>
        <v>65295.562499999993</v>
      </c>
      <c r="M311" s="143"/>
      <c r="N311" s="143" t="str">
        <f ca="1">IF(IF(OR(F311="2019-2020",F311="2021-2025"),"",IF(ISNUMBER(SEARCH("LLC",D311)),VLOOKUP(A311,IntComp24[],20,FALSE),VLOOKUP(A311,IntComp[],20,FALSE)))=0,"",IF(OR(F311="2019-2020",F311="2021-2025"),"",IF(ISNUMBER(SEARCH("LLC",D311)),VLOOKUP(A311,IntComp24[],20,FALSE),VLOOKUP(A311,IntComp[],20,FALSE))))</f>
        <v/>
      </c>
      <c r="O311" s="152" t="str">
        <f ca="1">IF(IF(OR(F311="2019-2020",F311="2021-2025"),"",IF(ISNUMBER(SEARCH("LLC",D311)),VLOOKUP(A311,IntComp24[],23,FALSE),VLOOKUP(A311,IntComp[],23,FALSE)))=0,"",IF(OR(F311="2019-2020",F311="2021-2025"),"",IF(ISNUMBER(SEARCH("LLC",D311)),VLOOKUP(A311,IntComp24[],23,FALSE),VLOOKUP(A311,IntComp[],23,FALSE))))</f>
        <v/>
      </c>
    </row>
    <row r="312" spans="1:15">
      <c r="A312" s="147" t="s">
        <v>260</v>
      </c>
      <c r="B312" s="144" t="str">
        <f>VLOOKUP(A312,Data[],2,FALSE)</f>
        <v>BROOKLYN</v>
      </c>
      <c r="C312" s="144" t="s">
        <v>106</v>
      </c>
      <c r="D312" s="9" t="str">
        <f>VLOOKUP(A312,Data[],52,FALSE)</f>
        <v>FEDERAL</v>
      </c>
      <c r="E312" s="9">
        <f>VLOOKUP(IntAll[[#This Row],[DEVELOPMENT]],Data[],62,FALSE)</f>
        <v>6</v>
      </c>
      <c r="F312" s="9" t="str">
        <f ca="1">VLOOKUP(A312,Data[],4,FALSE)</f>
        <v/>
      </c>
      <c r="G312" s="9">
        <f>VLOOKUP(IntAll[[#This Row],[DEVELOPMENT]],EHDAll[[DEVELOPMENT]:['# Units]],6,FALSE)</f>
        <v>3</v>
      </c>
      <c r="H312" s="143" t="str">
        <f ca="1">IF(IntAll[[#This Row],[STATUS]]="","",IF(OR(F312="2019-2020",F312="2021-2025"),"",IF(ISNUMBER(SEARCH("LLC",D312)),VLOOKUP(A312,IntComp24[],21,FALSE),VLOOKUP(A312,IntComp[],21,FALSE))))</f>
        <v/>
      </c>
      <c r="I312" s="143" t="str">
        <f ca="1">IF(IntAll[[#This Row],[STATUS]]="","",IF(IF(OR(F312="2019-2020",F312="2021-2025"),"",IF(ISNUMBER(SEARCH("LLC",D312)),VLOOKUP(A312,IntComp24[],16,FALSE),VLOOKUP(A312,IntComp[],16,FALSE)))=0,"",IF(OR(F312="2019-2020",F312="2021-2025"),"",IF(ISNUMBER(SEARCH("LLC",D312)),VLOOKUP(A312,IntComp24[],16,FALSE),VLOOKUP(A312,IntComp[],16,FALSE)))))</f>
        <v/>
      </c>
      <c r="J312" s="143" t="str">
        <f ca="1">IF(IF(OR(F312="2019-2020",F312="2021-2025"),"",IF(ISNUMBER(SEARCH("LLC",D312)),VLOOKUP(A312,IntComp24[],17,FALSE),VLOOKUP(A312,IntComp[],17,FALSE)))=0,"",IF(OR(F312="2019-2020",F312="2021-2025"),"",IF(ISNUMBER(SEARCH("LLC",D312)),VLOOKUP(A312,IntComp24[],17,FALSE),VLOOKUP(A312,IntComp[],17,FALSE))))</f>
        <v/>
      </c>
      <c r="K312" s="151"/>
      <c r="L312" s="151">
        <f ca="1">IF(OR(F312="2019-2020",F312="2021-2025"),"",IF(ISNUMBER(SEARCH("LLC",D312)),VLOOKUP(A312,IntComp24[],18,FALSE),VLOOKUP(A312,IntComp[],18,FALSE)))</f>
        <v>195886.68749999997</v>
      </c>
      <c r="M312" s="143"/>
      <c r="N312" s="143" t="str">
        <f ca="1">IF(IF(OR(F312="2019-2020",F312="2021-2025"),"",IF(ISNUMBER(SEARCH("LLC",D312)),VLOOKUP(A312,IntComp24[],20,FALSE),VLOOKUP(A312,IntComp[],20,FALSE)))=0,"",IF(OR(F312="2019-2020",F312="2021-2025"),"",IF(ISNUMBER(SEARCH("LLC",D312)),VLOOKUP(A312,IntComp24[],20,FALSE),VLOOKUP(A312,IntComp[],20,FALSE))))</f>
        <v/>
      </c>
      <c r="O312" s="152" t="str">
        <f ca="1">IF(IF(OR(F312="2019-2020",F312="2021-2025"),"",IF(ISNUMBER(SEARCH("LLC",D312)),VLOOKUP(A312,IntComp24[],23,FALSE),VLOOKUP(A312,IntComp[],23,FALSE)))=0,"",IF(OR(F312="2019-2020",F312="2021-2025"),"",IF(ISNUMBER(SEARCH("LLC",D312)),VLOOKUP(A312,IntComp24[],23,FALSE),VLOOKUP(A312,IntComp[],23,FALSE))))</f>
        <v/>
      </c>
    </row>
    <row r="313" spans="1:15">
      <c r="A313" s="237" t="s">
        <v>258</v>
      </c>
      <c r="B313" s="154" t="str">
        <f>VLOOKUP(A313,Data[],2,FALSE)</f>
        <v>BROOKLYN</v>
      </c>
      <c r="C313" s="144" t="s">
        <v>106</v>
      </c>
      <c r="D313" s="24" t="str">
        <f>VLOOKUP(A313,Data[],52,FALSE)</f>
        <v>FEDERAL</v>
      </c>
      <c r="E313" s="24">
        <f>VLOOKUP(IntAll[[#This Row],[DEVELOPMENT]],Data[],62,FALSE)</f>
        <v>3</v>
      </c>
      <c r="F313" s="24" t="str">
        <f ca="1">VLOOKUP(A313,Data[],4,FALSE)</f>
        <v>2026+</v>
      </c>
      <c r="G313" s="24">
        <f>VLOOKUP(IntAll[[#This Row],[DEVELOPMENT]],EHDAll[[DEVELOPMENT]:['# Units]],6,FALSE)</f>
        <v>1</v>
      </c>
      <c r="H313" s="143" t="e">
        <f ca="1">IF(IntAll[[#This Row],[STATUS]]="","",IF(OR(F313="2019-2020",F313="2021-2025"),"",IF(ISNUMBER(SEARCH("LLC",D313)),VLOOKUP(A313,IntComp24[],21,FALSE),VLOOKUP(A313,IntComp[],21,FALSE))))</f>
        <v>#N/A</v>
      </c>
      <c r="I313" s="143" t="e">
        <f ca="1">IF(IntAll[[#This Row],[STATUS]]="","",IF(IF(OR(F313="2019-2020",F313="2021-2025"),"",IF(ISNUMBER(SEARCH("LLC",D313)),VLOOKUP(A313,IntComp24[],16,FALSE),VLOOKUP(A313,IntComp[],16,FALSE)))=0,"",IF(OR(F313="2019-2020",F313="2021-2025"),"",IF(ISNUMBER(SEARCH("LLC",D313)),VLOOKUP(A313,IntComp24[],16,FALSE),VLOOKUP(A313,IntComp[],16,FALSE)))))</f>
        <v>#N/A</v>
      </c>
      <c r="J313" s="143" t="e">
        <f ca="1">IF(IF(OR(F313="2019-2020",F313="2021-2025"),"",IF(ISNUMBER(SEARCH("LLC",D313)),VLOOKUP(A313,IntComp24[],17,FALSE),VLOOKUP(A313,IntComp[],17,FALSE)))=0,"",IF(OR(F313="2019-2020",F313="2021-2025"),"",IF(ISNUMBER(SEARCH("LLC",D313)),VLOOKUP(A313,IntComp24[],17,FALSE),VLOOKUP(A313,IntComp[],17,FALSE))))</f>
        <v>#N/A</v>
      </c>
      <c r="K313" s="151"/>
      <c r="L313" s="151" t="e">
        <f ca="1">IF(OR(F313="2019-2020",F313="2021-2025"),"",IF(ISNUMBER(SEARCH("LLC",D313)),VLOOKUP(A313,IntComp24[],18,FALSE),VLOOKUP(A313,IntComp[],18,FALSE)))</f>
        <v>#N/A</v>
      </c>
      <c r="M313" s="155" t="s">
        <v>447</v>
      </c>
      <c r="N313" s="143" t="str">
        <f ca="1">IF(IF(OR(F313="2019-2020",F313="2021-2025"),"",IF(ISNUMBER(SEARCH("LLC",D313)),VLOOKUP(A313,IntComp24[],20,FALSE),VLOOKUP(A313,IntComp[],20,FALSE)))=0,"",IF(OR(F313="2019-2020",F313="2021-2025"),"",IF(ISNUMBER(SEARCH("LLC",D313)),VLOOKUP(A313,IntComp24[],20,FALSE),VLOOKUP(A313,IntComp[],20,FALSE))))</f>
        <v>CPD PM Team</v>
      </c>
      <c r="O313" s="157" t="str">
        <f ca="1">IF(IF(OR(F313="2019-2020",F313="2021-2025"),"",IF(ISNUMBER(SEARCH("LLC",D313)),VLOOKUP(A313,IntComp24[],23,FALSE),VLOOKUP(A313,IntComp[],23,FALSE)))=0,"",IF(OR(F313="2019-2020",F313="2021-2025"),"",IF(ISNUMBER(SEARCH("LLC",D313)),VLOOKUP(A313,IntComp24[],23,FALSE),VLOOKUP(A313,IntComp[],23,FALSE))))</f>
        <v/>
      </c>
    </row>
    <row r="317" spans="1:15">
      <c r="I317"/>
    </row>
  </sheetData>
  <conditionalFormatting sqref="B3:B313 A2:C2 H2:O2">
    <cfRule type="containsErrors" dxfId="505" priority="5">
      <formula>ISERROR(A2)</formula>
    </cfRule>
  </conditionalFormatting>
  <conditionalFormatting sqref="C3:C313">
    <cfRule type="containsErrors" dxfId="504" priority="3">
      <formula>ISERROR(C3)</formula>
    </cfRule>
  </conditionalFormatting>
  <conditionalFormatting sqref="A3:A313">
    <cfRule type="containsErrors" dxfId="503" priority="4">
      <formula>ISERROR(A3)</formula>
    </cfRule>
  </conditionalFormatting>
  <conditionalFormatting sqref="A3:A313">
    <cfRule type="duplicateValues" dxfId="502" priority="6"/>
  </conditionalFormatting>
  <conditionalFormatting sqref="D2:G2">
    <cfRule type="containsErrors" dxfId="501" priority="2">
      <formula>ISERROR(D2)</formula>
    </cfRule>
  </conditionalFormatting>
  <conditionalFormatting sqref="D3:G313">
    <cfRule type="containsErrors" dxfId="500" priority="1">
      <formula>ISERROR(D3)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R313"/>
  <sheetViews>
    <sheetView zoomScale="85" zoomScaleNormal="85" workbookViewId="0">
      <pane xSplit="1" ySplit="2" topLeftCell="J159" activePane="bottomRight" state="frozen"/>
      <selection pane="bottomRight" activeCell="A174" sqref="A174:XFD174"/>
      <selection pane="bottomLeft" activeCell="A3" sqref="A3"/>
      <selection pane="topRight" activeCell="B1" sqref="B1"/>
    </sheetView>
  </sheetViews>
  <sheetFormatPr defaultColWidth="9.140625" defaultRowHeight="14.45"/>
  <cols>
    <col min="1" max="1" width="57" style="44" bestFit="1" customWidth="1"/>
    <col min="2" max="2" width="14.7109375" style="44" bestFit="1" customWidth="1"/>
    <col min="3" max="3" width="18.7109375" style="44" bestFit="1" customWidth="1"/>
    <col min="4" max="4" width="20" style="44" bestFit="1" customWidth="1"/>
    <col min="5" max="5" width="13.28515625" style="44" bestFit="1" customWidth="1"/>
    <col min="6" max="6" width="12.42578125" style="44" bestFit="1" customWidth="1"/>
    <col min="7" max="7" width="12.42578125" style="44" customWidth="1"/>
    <col min="8" max="8" width="23.7109375" style="44" bestFit="1" customWidth="1"/>
    <col min="9" max="9" width="20" style="44" bestFit="1" customWidth="1"/>
    <col min="10" max="10" width="23.42578125" style="44" bestFit="1" customWidth="1"/>
    <col min="11" max="11" width="19.7109375" style="44" bestFit="1" customWidth="1"/>
    <col min="12" max="12" width="12.7109375" style="44" bestFit="1" customWidth="1"/>
    <col min="13" max="13" width="17.7109375" style="145" bestFit="1" customWidth="1"/>
    <col min="14" max="14" width="17.42578125" style="145" bestFit="1" customWidth="1"/>
    <col min="15" max="15" width="18.140625" style="145" bestFit="1" customWidth="1"/>
    <col min="16" max="16" width="19.7109375" style="44" bestFit="1" customWidth="1"/>
    <col min="17" max="17" width="28.42578125" style="44" bestFit="1" customWidth="1"/>
    <col min="18" max="16384" width="9.140625" style="44"/>
  </cols>
  <sheetData>
    <row r="1" spans="1:18">
      <c r="O1" s="145">
        <f ca="1">SUM(YardsAll[TOTAL ESTIMATE])</f>
        <v>459631326.85598391</v>
      </c>
    </row>
    <row r="2" spans="1:18" s="146" customFormat="1">
      <c r="A2" s="149" t="s">
        <v>7</v>
      </c>
      <c r="B2" s="133" t="s">
        <v>5</v>
      </c>
      <c r="C2" s="133" t="s">
        <v>11</v>
      </c>
      <c r="D2" s="133" t="s">
        <v>156</v>
      </c>
      <c r="E2" s="133" t="s">
        <v>453</v>
      </c>
      <c r="F2" s="133" t="s">
        <v>10</v>
      </c>
      <c r="G2" s="133" t="s">
        <v>455</v>
      </c>
      <c r="H2" s="133" t="s">
        <v>456</v>
      </c>
      <c r="I2" s="133" t="s">
        <v>457</v>
      </c>
      <c r="J2" s="133" t="s">
        <v>458</v>
      </c>
      <c r="K2" s="133" t="s">
        <v>459</v>
      </c>
      <c r="L2" s="133" t="s">
        <v>19</v>
      </c>
      <c r="M2" s="134" t="s">
        <v>460</v>
      </c>
      <c r="N2" s="134" t="s">
        <v>461</v>
      </c>
      <c r="O2" s="134" t="s">
        <v>462</v>
      </c>
      <c r="P2" s="133" t="s">
        <v>12</v>
      </c>
      <c r="Q2" s="133" t="s">
        <v>450</v>
      </c>
      <c r="R2" s="150" t="s">
        <v>451</v>
      </c>
    </row>
    <row r="3" spans="1:18">
      <c r="A3" s="148" t="s">
        <v>58</v>
      </c>
      <c r="B3" s="144" t="str">
        <f>VLOOKUP(A3,Data[],2,FALSE)</f>
        <v>MANHATTAN</v>
      </c>
      <c r="C3" s="144" t="str">
        <f ca="1">IF(OR(F3="2019-2020",F3="2021-2025"),"",IF(ISNUMBER(SEARCH("LLC",D3)),VLOOKUP(A3,Yards25[],3,FALSE),VLOOKUP(A3,Yards[],3,FALSE)))</f>
        <v>New Waste Yard v5</v>
      </c>
      <c r="D3" s="9" t="str">
        <f>VLOOKUP(A3,Data[],52,FALSE)</f>
        <v>FEDERAL</v>
      </c>
      <c r="E3" s="9">
        <f>VLOOKUP(YardsAll[[#This Row],[DEVELOPMENT]],Data[],62,FALSE)</f>
        <v>3</v>
      </c>
      <c r="F3" s="9" t="str">
        <f ca="1">VLOOKUP(A3,Data[],4,FALSE)</f>
        <v/>
      </c>
      <c r="G3" s="9">
        <f ca="1">IF(OR(YardsAll[[#This Row],[RAD/PACT]]="2019-2020",YardsAll[[#This Row],[RAD/PACT]]="2021-2025"),"",IF(ISNUMBER(SEARCH("1",C3)),2,IF(ISNUMBER(SEARCH("2",C3)),1,IF(ISNUMBER(SEARCH("3",C3)),3,IF(ISNUMBER(SEARCH("4",C3)),4,IF(ISNUMBER(SEARCH("5",C3)),5,IF(ISNUMBER(SEARCH("6",C3)),6,IF(ISNUMBER(SEARCH("7",C3)),7,IF(ISNUMBER(SEARCH("8",C3)),8,0)))))))))</f>
        <v>5</v>
      </c>
      <c r="H3" s="143">
        <f ca="1">IF(YardsAll[[#This Row],[STATUS]]="","",IF(OR(F3="2019-2020",F3="2021-2025"),"",IF(ISNUMBER(SEARCH("LLC",D3)),VLOOKUP(A3,Yards25[],28,FALSE),VLOOKUP(A3,Yards[],28,FALSE))))</f>
        <v>2019</v>
      </c>
      <c r="I3" s="143">
        <f ca="1">IF(YardsAll[[#This Row],[STATUS]]="","",IF(OR(F3="2019-2020",F3="2021-2025"),"",IF(ISNUMBER(SEARCH("LLC",D3)),VLOOKUP(A3,Yards25[],17,FALSE),VLOOKUP(A3,Yards[],17,FALSE))))</f>
        <v>2020</v>
      </c>
      <c r="J3" s="143">
        <f ca="1">IF(YardsAll[[#This Row],[STATUS]]="","",IF(OR(F3="2019-2020",F3="2021-2025"),"",IF(ISNUMBER(SEARCH("LLC",D3)),VLOOKUP(A3,Yards25[],29,FALSE),VLOOKUP(A3,Yards[],29,FALSE))))</f>
        <v>2020</v>
      </c>
      <c r="K3" s="143">
        <f ca="1">IF(YardsAll[[#This Row],[STATUS]]="","",IF(OR(F3="2019-2020",F3="2021-2025"),"",IF(ISNUMBER(SEARCH("LLC",D3)),VLOOKUP(A3,Yards25[],19,FALSE),VLOOKUP(A3,Yards[],19,FALSE))))</f>
        <v>2021</v>
      </c>
      <c r="L3" s="143" t="str">
        <f ca="1">IF(IF(OR(F3="2019-2020",F3="2021-2025"),"",IF(ISNUMBER(SEARCH("LLC",D3)),VLOOKUP(A3,Yards25[],20,FALSE),VLOOKUP(A3,Yards[],20,FALSE)))=0,"",IF(OR(F3="2019-2020",F3="2021-2025"),"",IF(ISNUMBER(SEARCH("LLC",D3)),VLOOKUP(A3,Yards25[],20,FALSE),VLOOKUP(A3,Yards[],20,FALSE))))</f>
        <v>IN PROGRESS</v>
      </c>
      <c r="M3" s="151">
        <f ca="1">IF(OR(F3="2019-2020",F3="2021-2025"),"",IF(ISNUMBER(SEARCH("LLC",D3)),VLOOKUP(A3,Yards25[],21,FALSE),VLOOKUP(A3,Yards[],21,FALSE)))</f>
        <v>0</v>
      </c>
      <c r="N3" s="151">
        <f ca="1">IF(OR(F3="2019-2020",F3="2021-2025"),"",IF(ISNUMBER(SEARCH("LLC",D3)),VLOOKUP(A3,Yards25[],22,FALSE),VLOOKUP(A3,Yards[],22,FALSE)))</f>
        <v>0</v>
      </c>
      <c r="O3" s="151">
        <f ca="1">SUM(YardsAll[[#This Row],[DSGN ESTIMATE]:[CONS ESTIMATE]])</f>
        <v>0</v>
      </c>
      <c r="P3" s="143" t="s">
        <v>447</v>
      </c>
      <c r="Q3" s="143" t="str">
        <f ca="1">IF(OR(F3="2019-2020",F3="2021-2025"),"",IF(ISNUMBER(SEARCH("LLC",D3)),VLOOKUP(A3,Yards25[],25,FALSE),VLOOKUP(A3,Yards[],25,FALSE)))</f>
        <v>CPD PROJECT MANAGEMENT</v>
      </c>
      <c r="R3" s="152"/>
    </row>
    <row r="4" spans="1:18">
      <c r="A4" s="148" t="s">
        <v>26</v>
      </c>
      <c r="B4" s="144" t="str">
        <f>VLOOKUP(A4,Data[],2,FALSE)</f>
        <v>BROOKLYN</v>
      </c>
      <c r="C4" s="144" t="str">
        <f ca="1">IF(OR(F4="2019-2020",F4="2021-2025"),"",IF(ISNUMBER(SEARCH("LLC",D4)),VLOOKUP(A4,Yards25[],3,FALSE),VLOOKUP(A4,Yards[],3,FALSE)))</f>
        <v>New Waste Yard v3</v>
      </c>
      <c r="D4" s="9" t="str">
        <f>VLOOKUP(A4,Data[],52,FALSE)</f>
        <v>MIXED FINANCE/LLC1</v>
      </c>
      <c r="E4" s="9">
        <f>VLOOKUP(YardsAll[[#This Row],[DEVELOPMENT]],Data[],62,FALSE)</f>
        <v>1</v>
      </c>
      <c r="F4" s="9" t="str">
        <f ca="1">VLOOKUP(A4,Data[],4,FALSE)</f>
        <v/>
      </c>
      <c r="G4" s="9">
        <f ca="1">IF(OR(YardsAll[[#This Row],[RAD/PACT]]="2019-2020",YardsAll[[#This Row],[RAD/PACT]]="2021-2025"),"",IF(ISNUMBER(SEARCH("1",C4)),2,IF(ISNUMBER(SEARCH("2",C4)),1,IF(ISNUMBER(SEARCH("3",C4)),3,IF(ISNUMBER(SEARCH("4",C4)),4,IF(ISNUMBER(SEARCH("5",C4)),5,IF(ISNUMBER(SEARCH("6",C4)),6,IF(ISNUMBER(SEARCH("7",C4)),7,IF(ISNUMBER(SEARCH("8",C4)),8,0)))))))))</f>
        <v>3</v>
      </c>
      <c r="H4" s="143">
        <f ca="1">IF(YardsAll[[#This Row],[STATUS]]="","",IF(OR(F4="2019-2020",F4="2021-2025"),"",IF(ISNUMBER(SEARCH("LLC",D4)),VLOOKUP(A4,Yards25[],28,FALSE),VLOOKUP(A4,Yards[],28,FALSE))))</f>
        <v>2019</v>
      </c>
      <c r="I4" s="143">
        <f ca="1">IF(YardsAll[[#This Row],[STATUS]]="","",IF(OR(F4="2019-2020",F4="2021-2025"),"",IF(ISNUMBER(SEARCH("LLC",D4)),VLOOKUP(A4,Yards25[],17,FALSE),VLOOKUP(A4,Yards[],17,FALSE))))</f>
        <v>2020</v>
      </c>
      <c r="J4" s="143">
        <f ca="1">IF(YardsAll[[#This Row],[STATUS]]="","",IF(OR(F4="2019-2020",F4="2021-2025"),"",IF(ISNUMBER(SEARCH("LLC",D4)),VLOOKUP(A4,Yards25[],29,FALSE),VLOOKUP(A4,Yards[],29,FALSE))))</f>
        <v>2020</v>
      </c>
      <c r="K4" s="143">
        <f ca="1">IF(YardsAll[[#This Row],[STATUS]]="","",IF(OR(F4="2019-2020",F4="2021-2025"),"",IF(ISNUMBER(SEARCH("LLC",D4)),VLOOKUP(A4,Yards25[],19,FALSE),VLOOKUP(A4,Yards[],19,FALSE))))</f>
        <v>2021</v>
      </c>
      <c r="L4" s="143" t="str">
        <f ca="1">IF(IF(OR(F4="2019-2020",F4="2021-2025"),"",IF(ISNUMBER(SEARCH("LLC",D4)),VLOOKUP(A4,Yards25[],20,FALSE),VLOOKUP(A4,Yards[],20,FALSE)))=0,"",IF(OR(F4="2019-2020",F4="2021-2025"),"",IF(ISNUMBER(SEARCH("LLC",D4)),VLOOKUP(A4,Yards25[],20,FALSE),VLOOKUP(A4,Yards[],20,FALSE))))</f>
        <v>IN PROGRESS</v>
      </c>
      <c r="M4" s="151">
        <f ca="1">IF(OR(F4="2019-2020",F4="2021-2025"),"",IF(ISNUMBER(SEARCH("LLC",D4)),VLOOKUP(A4,Yards25[],21,FALSE),VLOOKUP(A4,Yards[],21,FALSE)))</f>
        <v>4008</v>
      </c>
      <c r="N4" s="151">
        <f ca="1">IF(OR(F4="2019-2020",F4="2021-2025"),"",IF(ISNUMBER(SEARCH("LLC",D4)),VLOOKUP(A4,Yards25[],22,FALSE),VLOOKUP(A4,Yards[],22,FALSE)))</f>
        <v>36072</v>
      </c>
      <c r="O4" s="151">
        <f ca="1">SUM(YardsAll[[#This Row],[DSGN ESTIMATE]:[CONS ESTIMATE]])</f>
        <v>40080</v>
      </c>
      <c r="P4" s="143" t="s">
        <v>447</v>
      </c>
      <c r="Q4" s="143" t="str">
        <f ca="1">IF(OR(F4="2019-2020",F4="2021-2025"),"",IF(ISNUMBER(SEARCH("LLC",D4)),VLOOKUP(A4,Yards25[],25,FALSE),VLOOKUP(A4,Yards[],25,FALSE)))</f>
        <v>CPD PROJECT MANAGEMENT</v>
      </c>
      <c r="R4" s="152"/>
    </row>
    <row r="5" spans="1:18">
      <c r="A5" s="148" t="s">
        <v>31</v>
      </c>
      <c r="B5" s="144" t="str">
        <f>VLOOKUP(A5,Data[],2,FALSE)</f>
        <v>BRONX</v>
      </c>
      <c r="C5" s="144" t="str">
        <f ca="1">IF(OR(F5="2019-2020",F5="2021-2025"),"",IF(ISNUMBER(SEARCH("LLC",D5)),VLOOKUP(A5,Yards25[],3,FALSE),VLOOKUP(A5,Yards[],3,FALSE)))</f>
        <v>New Waste Yard v2</v>
      </c>
      <c r="D5" s="9" t="str">
        <f>VLOOKUP(A5,Data[],52,FALSE)</f>
        <v>FEDERAL</v>
      </c>
      <c r="E5" s="9">
        <f>VLOOKUP(YardsAll[[#This Row],[DEVELOPMENT]],Data[],62,FALSE)</f>
        <v>3</v>
      </c>
      <c r="F5" s="9" t="str">
        <f ca="1">VLOOKUP(A5,Data[],4,FALSE)</f>
        <v/>
      </c>
      <c r="G5" s="9">
        <f ca="1">IF(OR(YardsAll[[#This Row],[RAD/PACT]]="2019-2020",YardsAll[[#This Row],[RAD/PACT]]="2021-2025"),"",IF(ISNUMBER(SEARCH("1",C5)),2,IF(ISNUMBER(SEARCH("2",C5)),1,IF(ISNUMBER(SEARCH("3",C5)),3,IF(ISNUMBER(SEARCH("4",C5)),4,IF(ISNUMBER(SEARCH("5",C5)),5,IF(ISNUMBER(SEARCH("6",C5)),6,IF(ISNUMBER(SEARCH("7",C5)),7,IF(ISNUMBER(SEARCH("8",C5)),8,0)))))))))</f>
        <v>1</v>
      </c>
      <c r="H5" s="143">
        <f ca="1">IF(YardsAll[[#This Row],[STATUS]]="","",IF(OR(F5="2019-2020",F5="2021-2025"),"",IF(ISNUMBER(SEARCH("LLC",D5)),VLOOKUP(A5,Yards25[],28,FALSE),VLOOKUP(A5,Yards[],28,FALSE))))</f>
        <v>2019</v>
      </c>
      <c r="I5" s="143">
        <f ca="1">IF(YardsAll[[#This Row],[STATUS]]="","",IF(OR(F5="2019-2020",F5="2021-2025"),"",IF(ISNUMBER(SEARCH("LLC",D5)),VLOOKUP(A5,Yards25[],17,FALSE),VLOOKUP(A5,Yards[],17,FALSE))))</f>
        <v>2020</v>
      </c>
      <c r="J5" s="143">
        <f ca="1">IF(YardsAll[[#This Row],[STATUS]]="","",IF(OR(F5="2019-2020",F5="2021-2025"),"",IF(ISNUMBER(SEARCH("LLC",D5)),VLOOKUP(A5,Yards25[],29,FALSE),VLOOKUP(A5,Yards[],29,FALSE))))</f>
        <v>2020</v>
      </c>
      <c r="K5" s="143">
        <f ca="1">IF(YardsAll[[#This Row],[STATUS]]="","",IF(OR(F5="2019-2020",F5="2021-2025"),"",IF(ISNUMBER(SEARCH("LLC",D5)),VLOOKUP(A5,Yards25[],19,FALSE),VLOOKUP(A5,Yards[],19,FALSE))))</f>
        <v>2021</v>
      </c>
      <c r="L5" s="143" t="str">
        <f ca="1">IF(IF(OR(F5="2019-2020",F5="2021-2025"),"",IF(ISNUMBER(SEARCH("LLC",D5)),VLOOKUP(A5,Yards25[],20,FALSE),VLOOKUP(A5,Yards[],20,FALSE)))=0,"",IF(OR(F5="2019-2020",F5="2021-2025"),"",IF(ISNUMBER(SEARCH("LLC",D5)),VLOOKUP(A5,Yards25[],20,FALSE),VLOOKUP(A5,Yards[],20,FALSE))))</f>
        <v>IN PROGRESS</v>
      </c>
      <c r="M5" s="151">
        <f ca="1">IF(OR(F5="2019-2020",F5="2021-2025"),"",IF(ISNUMBER(SEARCH("LLC",D5)),VLOOKUP(A5,Yards25[],21,FALSE),VLOOKUP(A5,Yards[],21,FALSE)))</f>
        <v>0</v>
      </c>
      <c r="N5" s="151">
        <f ca="1">IF(OR(F5="2019-2020",F5="2021-2025"),"",IF(ISNUMBER(SEARCH("LLC",D5)),VLOOKUP(A5,Yards25[],22,FALSE),VLOOKUP(A5,Yards[],22,FALSE)))</f>
        <v>0</v>
      </c>
      <c r="O5" s="151">
        <f ca="1">SUM(YardsAll[[#This Row],[DSGN ESTIMATE]:[CONS ESTIMATE]])</f>
        <v>0</v>
      </c>
      <c r="P5" s="143" t="s">
        <v>447</v>
      </c>
      <c r="Q5" s="143" t="str">
        <f ca="1">IF(OR(F5="2019-2020",F5="2021-2025"),"",IF(ISNUMBER(SEARCH("LLC",D5)),VLOOKUP(A5,Yards25[],25,FALSE),VLOOKUP(A5,Yards[],25,FALSE)))</f>
        <v>CPD PROJECT MANAGEMENT</v>
      </c>
      <c r="R5" s="152"/>
    </row>
    <row r="6" spans="1:18">
      <c r="A6" s="148" t="s">
        <v>61</v>
      </c>
      <c r="B6" s="144" t="str">
        <f>VLOOKUP(A6,Data[],2,FALSE)</f>
        <v>MANHATTAN</v>
      </c>
      <c r="C6" s="144" t="str">
        <f ca="1">IF(OR(F6="2019-2020",F6="2021-2025"),"",IF(ISNUMBER(SEARCH("LLC",D6)),VLOOKUP(A6,Yards25[],3,FALSE),VLOOKUP(A6,Yards[],3,FALSE)))</f>
        <v>New Waste Yard v2</v>
      </c>
      <c r="D6" s="9" t="str">
        <f>VLOOKUP(A6,Data[],52,FALSE)</f>
        <v>FEDERAL</v>
      </c>
      <c r="E6" s="9">
        <f>VLOOKUP(YardsAll[[#This Row],[DEVELOPMENT]],Data[],62,FALSE)</f>
        <v>3</v>
      </c>
      <c r="F6" s="9" t="str">
        <f ca="1">VLOOKUP(A6,Data[],4,FALSE)</f>
        <v/>
      </c>
      <c r="G6" s="9">
        <f ca="1">IF(OR(YardsAll[[#This Row],[RAD/PACT]]="2019-2020",YardsAll[[#This Row],[RAD/PACT]]="2021-2025"),"",IF(ISNUMBER(SEARCH("1",C6)),2,IF(ISNUMBER(SEARCH("2",C6)),1,IF(ISNUMBER(SEARCH("3",C6)),3,IF(ISNUMBER(SEARCH("4",C6)),4,IF(ISNUMBER(SEARCH("5",C6)),5,IF(ISNUMBER(SEARCH("6",C6)),6,IF(ISNUMBER(SEARCH("7",C6)),7,IF(ISNUMBER(SEARCH("8",C6)),8,0)))))))))</f>
        <v>1</v>
      </c>
      <c r="H6" s="143">
        <f ca="1">IF(YardsAll[[#This Row],[STATUS]]="","",IF(OR(F6="2019-2020",F6="2021-2025"),"",IF(ISNUMBER(SEARCH("LLC",D6)),VLOOKUP(A6,Yards25[],28,FALSE),VLOOKUP(A6,Yards[],28,FALSE))))</f>
        <v>2023</v>
      </c>
      <c r="I6" s="143">
        <f ca="1">IF(YardsAll[[#This Row],[STATUS]]="","",IF(OR(F6="2019-2020",F6="2021-2025"),"",IF(ISNUMBER(SEARCH("LLC",D6)),VLOOKUP(A6,Yards25[],17,FALSE),VLOOKUP(A6,Yards[],17,FALSE))))</f>
        <v>0</v>
      </c>
      <c r="J6" s="143">
        <f ca="1">IF(YardsAll[[#This Row],[STATUS]]="","",IF(OR(F6="2019-2020",F6="2021-2025"),"",IF(ISNUMBER(SEARCH("LLC",D6)),VLOOKUP(A6,Yards25[],29,FALSE),VLOOKUP(A6,Yards[],29,FALSE))))</f>
        <v>2024</v>
      </c>
      <c r="K6" s="143" t="str">
        <f ca="1">IF(YardsAll[[#This Row],[STATUS]]="","",IF(OR(F6="2019-2020",F6="2021-2025"),"",IF(ISNUMBER(SEARCH("LLC",D6)),VLOOKUP(A6,Yards25[],19,FALSE),VLOOKUP(A6,Yards[],19,FALSE))))</f>
        <v/>
      </c>
      <c r="L6" s="143" t="str">
        <f ca="1">IF(IF(OR(F6="2019-2020",F6="2021-2025"),"",IF(ISNUMBER(SEARCH("LLC",D6)),VLOOKUP(A6,Yards25[],20,FALSE),VLOOKUP(A6,Yards[],20,FALSE)))=0,"",IF(OR(F6="2019-2020",F6="2021-2025"),"",IF(ISNUMBER(SEARCH("LLC",D6)),VLOOKUP(A6,Yards25[],20,FALSE),VLOOKUP(A6,Yards[],20,FALSE))))</f>
        <v>COMPLETED</v>
      </c>
      <c r="M6" s="151">
        <f ca="1">IF(OR(F6="2019-2020",F6="2021-2025"),"",IF(ISNUMBER(SEARCH("LLC",D6)),VLOOKUP(A6,Yards25[],21,FALSE),VLOOKUP(A6,Yards[],21,FALSE)))</f>
        <v>155298.07909380004</v>
      </c>
      <c r="N6" s="151">
        <f ca="1">IF(OR(F6="2019-2020",F6="2021-2025"),"",IF(ISNUMBER(SEARCH("LLC",D6)),VLOOKUP(A6,Yards25[],22,FALSE),VLOOKUP(A6,Yards[],22,FALSE)))</f>
        <v>1397682.7118442003</v>
      </c>
      <c r="O6" s="151">
        <f ca="1">SUM(YardsAll[[#This Row],[DSGN ESTIMATE]:[CONS ESTIMATE]])</f>
        <v>1552980.7909380002</v>
      </c>
      <c r="P6" s="143" t="s">
        <v>447</v>
      </c>
      <c r="Q6" s="143" t="str">
        <f ca="1">IF(OR(F6="2019-2020",F6="2021-2025"),"",IF(ISNUMBER(SEARCH("LLC",D6)),VLOOKUP(A6,Yards25[],25,FALSE),VLOOKUP(A6,Yards[],25,FALSE)))</f>
        <v>CPD PROJECT MANAGEMENT</v>
      </c>
      <c r="R6" s="152"/>
    </row>
    <row r="7" spans="1:18">
      <c r="A7" s="148" t="s">
        <v>44</v>
      </c>
      <c r="B7" s="144" t="str">
        <f>VLOOKUP(A7,Data[],2,FALSE)</f>
        <v>MANHATTAN</v>
      </c>
      <c r="C7" s="144" t="str">
        <f ca="1">IF(OR(F7="2019-2020",F7="2021-2025"),"",IF(ISNUMBER(SEARCH("LLC",D7)),VLOOKUP(A7,Yards25[],3,FALSE),VLOOKUP(A7,Yards[],3,FALSE)))</f>
        <v>New Waste Yard v2</v>
      </c>
      <c r="D7" s="9" t="str">
        <f>VLOOKUP(A7,Data[],52,FALSE)</f>
        <v>FEDERAL</v>
      </c>
      <c r="E7" s="9">
        <f>VLOOKUP(YardsAll[[#This Row],[DEVELOPMENT]],Data[],62,FALSE)</f>
        <v>3</v>
      </c>
      <c r="F7" s="9" t="str">
        <f ca="1">VLOOKUP(A7,Data[],4,FALSE)</f>
        <v/>
      </c>
      <c r="G7" s="9">
        <f ca="1">IF(OR(YardsAll[[#This Row],[RAD/PACT]]="2019-2020",YardsAll[[#This Row],[RAD/PACT]]="2021-2025"),"",IF(ISNUMBER(SEARCH("1",C7)),2,IF(ISNUMBER(SEARCH("2",C7)),1,IF(ISNUMBER(SEARCH("3",C7)),3,IF(ISNUMBER(SEARCH("4",C7)),4,IF(ISNUMBER(SEARCH("5",C7)),5,IF(ISNUMBER(SEARCH("6",C7)),6,IF(ISNUMBER(SEARCH("7",C7)),7,IF(ISNUMBER(SEARCH("8",C7)),8,0)))))))))</f>
        <v>1</v>
      </c>
      <c r="H7" s="143">
        <f ca="1">IF(YardsAll[[#This Row],[STATUS]]="","",IF(OR(F7="2019-2020",F7="2021-2025"),"",IF(ISNUMBER(SEARCH("LLC",D7)),VLOOKUP(A7,Yards25[],28,FALSE),VLOOKUP(A7,Yards[],28,FALSE))))</f>
        <v>2023</v>
      </c>
      <c r="I7" s="143">
        <f ca="1">IF(YardsAll[[#This Row],[STATUS]]="","",IF(OR(F7="2019-2020",F7="2021-2025"),"",IF(ISNUMBER(SEARCH("LLC",D7)),VLOOKUP(A7,Yards25[],17,FALSE),VLOOKUP(A7,Yards[],17,FALSE))))</f>
        <v>0</v>
      </c>
      <c r="J7" s="143">
        <f ca="1">IF(YardsAll[[#This Row],[STATUS]]="","",IF(OR(F7="2019-2020",F7="2021-2025"),"",IF(ISNUMBER(SEARCH("LLC",D7)),VLOOKUP(A7,Yards25[],29,FALSE),VLOOKUP(A7,Yards[],29,FALSE))))</f>
        <v>2024</v>
      </c>
      <c r="K7" s="143">
        <f ca="1">IF(YardsAll[[#This Row],[STATUS]]="","",IF(OR(F7="2019-2020",F7="2021-2025"),"",IF(ISNUMBER(SEARCH("LLC",D7)),VLOOKUP(A7,Yards25[],19,FALSE),VLOOKUP(A7,Yards[],19,FALSE))))</f>
        <v>1</v>
      </c>
      <c r="L7" s="143" t="str">
        <f ca="1">IF(IF(OR(F7="2019-2020",F7="2021-2025"),"",IF(ISNUMBER(SEARCH("LLC",D7)),VLOOKUP(A7,Yards25[],20,FALSE),VLOOKUP(A7,Yards[],20,FALSE)))=0,"",IF(OR(F7="2019-2020",F7="2021-2025"),"",IF(ISNUMBER(SEARCH("LLC",D7)),VLOOKUP(A7,Yards25[],20,FALSE),VLOOKUP(A7,Yards[],20,FALSE))))</f>
        <v>IN PROGRESS</v>
      </c>
      <c r="M7" s="151">
        <f ca="1">IF(OR(F7="2019-2020",F7="2021-2025"),"",IF(ISNUMBER(SEARCH("LLC",D7)),VLOOKUP(A7,Yards25[],21,FALSE),VLOOKUP(A7,Yards[],21,FALSE)))</f>
        <v>155298.07909380004</v>
      </c>
      <c r="N7" s="151">
        <f ca="1">IF(OR(F7="2019-2020",F7="2021-2025"),"",IF(ISNUMBER(SEARCH("LLC",D7)),VLOOKUP(A7,Yards25[],22,FALSE),VLOOKUP(A7,Yards[],22,FALSE)))</f>
        <v>1397682.7118442003</v>
      </c>
      <c r="O7" s="151">
        <f ca="1">SUM(YardsAll[[#This Row],[DSGN ESTIMATE]:[CONS ESTIMATE]])</f>
        <v>1552980.7909380002</v>
      </c>
      <c r="P7" s="143" t="s">
        <v>447</v>
      </c>
      <c r="Q7" s="143" t="str">
        <f ca="1">IF(OR(F7="2019-2020",F7="2021-2025"),"",IF(ISNUMBER(SEARCH("LLC",D7)),VLOOKUP(A7,Yards25[],25,FALSE),VLOOKUP(A7,Yards[],25,FALSE)))</f>
        <v>CPD PROJECT MANAGEMENT</v>
      </c>
      <c r="R7" s="152"/>
    </row>
    <row r="8" spans="1:18">
      <c r="A8" s="148" t="s">
        <v>66</v>
      </c>
      <c r="B8" s="144" t="str">
        <f>VLOOKUP(A8,Data[],2,FALSE)</f>
        <v>MANHATTAN</v>
      </c>
      <c r="C8" s="144" t="str">
        <f ca="1">IF(OR(F8="2019-2020",F8="2021-2025"),"",IF(ISNUMBER(SEARCH("LLC",D8)),VLOOKUP(A8,Yards25[],3,FALSE),VLOOKUP(A8,Yards[],3,FALSE)))</f>
        <v>New Waste Yard v4</v>
      </c>
      <c r="D8" s="9" t="str">
        <f>VLOOKUP(A8,Data[],52,FALSE)</f>
        <v>FEDERAL</v>
      </c>
      <c r="E8" s="9">
        <f>VLOOKUP(YardsAll[[#This Row],[DEVELOPMENT]],Data[],62,FALSE)</f>
        <v>3</v>
      </c>
      <c r="F8" s="9" t="str">
        <f ca="1">VLOOKUP(A8,Data[],4,FALSE)</f>
        <v/>
      </c>
      <c r="G8" s="9">
        <f ca="1">IF(OR(YardsAll[[#This Row],[RAD/PACT]]="2019-2020",YardsAll[[#This Row],[RAD/PACT]]="2021-2025"),"",IF(ISNUMBER(SEARCH("1",C8)),2,IF(ISNUMBER(SEARCH("2",C8)),1,IF(ISNUMBER(SEARCH("3",C8)),3,IF(ISNUMBER(SEARCH("4",C8)),4,IF(ISNUMBER(SEARCH("5",C8)),5,IF(ISNUMBER(SEARCH("6",C8)),6,IF(ISNUMBER(SEARCH("7",C8)),7,IF(ISNUMBER(SEARCH("8",C8)),8,0)))))))))</f>
        <v>4</v>
      </c>
      <c r="H8" s="143">
        <f ca="1">IF(YardsAll[[#This Row],[STATUS]]="","",IF(OR(F8="2019-2020",F8="2021-2025"),"",IF(ISNUMBER(SEARCH("LLC",D8)),VLOOKUP(A8,Yards25[],28,FALSE),VLOOKUP(A8,Yards[],28,FALSE))))</f>
        <v>2019</v>
      </c>
      <c r="I8" s="143">
        <f ca="1">IF(YardsAll[[#This Row],[STATUS]]="","",IF(OR(F8="2019-2020",F8="2021-2025"),"",IF(ISNUMBER(SEARCH("LLC",D8)),VLOOKUP(A8,Yards25[],17,FALSE),VLOOKUP(A8,Yards[],17,FALSE))))</f>
        <v>2020</v>
      </c>
      <c r="J8" s="143">
        <f ca="1">IF(YardsAll[[#This Row],[STATUS]]="","",IF(OR(F8="2019-2020",F8="2021-2025"),"",IF(ISNUMBER(SEARCH("LLC",D8)),VLOOKUP(A8,Yards25[],29,FALSE),VLOOKUP(A8,Yards[],29,FALSE))))</f>
        <v>2020</v>
      </c>
      <c r="K8" s="143">
        <f ca="1">IF(YardsAll[[#This Row],[STATUS]]="","",IF(OR(F8="2019-2020",F8="2021-2025"),"",IF(ISNUMBER(SEARCH("LLC",D8)),VLOOKUP(A8,Yards25[],19,FALSE),VLOOKUP(A8,Yards[],19,FALSE))))</f>
        <v>2021</v>
      </c>
      <c r="L8" s="143" t="str">
        <f ca="1">IF(IF(OR(F8="2019-2020",F8="2021-2025"),"",IF(ISNUMBER(SEARCH("LLC",D8)),VLOOKUP(A8,Yards25[],20,FALSE),VLOOKUP(A8,Yards[],20,FALSE)))=0,"",IF(OR(F8="2019-2020",F8="2021-2025"),"",IF(ISNUMBER(SEARCH("LLC",D8)),VLOOKUP(A8,Yards25[],20,FALSE),VLOOKUP(A8,Yards[],20,FALSE))))</f>
        <v>IN PROGRESS</v>
      </c>
      <c r="M8" s="151">
        <f ca="1">IF(OR(F8="2019-2020",F8="2021-2025"),"",IF(ISNUMBER(SEARCH("LLC",D8)),VLOOKUP(A8,Yards25[],21,FALSE),VLOOKUP(A8,Yards[],21,FALSE)))</f>
        <v>0</v>
      </c>
      <c r="N8" s="151">
        <f ca="1">IF(OR(F8="2019-2020",F8="2021-2025"),"",IF(ISNUMBER(SEARCH("LLC",D8)),VLOOKUP(A8,Yards25[],22,FALSE),VLOOKUP(A8,Yards[],22,FALSE)))</f>
        <v>0</v>
      </c>
      <c r="O8" s="151">
        <f ca="1">SUM(YardsAll[[#This Row],[DSGN ESTIMATE]:[CONS ESTIMATE]])</f>
        <v>0</v>
      </c>
      <c r="P8" s="143" t="s">
        <v>447</v>
      </c>
      <c r="Q8" s="143" t="str">
        <f ca="1">IF(OR(F8="2019-2020",F8="2021-2025"),"",IF(ISNUMBER(SEARCH("LLC",D8)),VLOOKUP(A8,Yards25[],25,FALSE),VLOOKUP(A8,Yards[],25,FALSE)))</f>
        <v>CPD PROJECT MANAGEMENT</v>
      </c>
      <c r="R8" s="152"/>
    </row>
    <row r="9" spans="1:18">
      <c r="A9" s="148" t="s">
        <v>38</v>
      </c>
      <c r="B9" s="144" t="str">
        <f>VLOOKUP(A9,Data[],2,FALSE)</f>
        <v>BROOKLYN</v>
      </c>
      <c r="C9" s="144" t="str">
        <f ca="1">IF(OR(F9="2019-2020",F9="2021-2025"),"",IF(ISNUMBER(SEARCH("LLC",D9)),VLOOKUP(A9,Yards25[],3,FALSE),VLOOKUP(A9,Yards[],3,FALSE)))</f>
        <v>New Waste Yard v2</v>
      </c>
      <c r="D9" s="9" t="str">
        <f>VLOOKUP(A9,Data[],52,FALSE)</f>
        <v>FEDERAL</v>
      </c>
      <c r="E9" s="9">
        <f>VLOOKUP(YardsAll[[#This Row],[DEVELOPMENT]],Data[],62,FALSE)</f>
        <v>3</v>
      </c>
      <c r="F9" s="9" t="str">
        <f ca="1">VLOOKUP(A9,Data[],4,FALSE)</f>
        <v>2026+</v>
      </c>
      <c r="G9" s="9">
        <f ca="1">IF(OR(YardsAll[[#This Row],[RAD/PACT]]="2019-2020",YardsAll[[#This Row],[RAD/PACT]]="2021-2025"),"",IF(ISNUMBER(SEARCH("1",C9)),2,IF(ISNUMBER(SEARCH("2",C9)),1,IF(ISNUMBER(SEARCH("3",C9)),3,IF(ISNUMBER(SEARCH("4",C9)),4,IF(ISNUMBER(SEARCH("5",C9)),5,IF(ISNUMBER(SEARCH("6",C9)),6,IF(ISNUMBER(SEARCH("7",C9)),7,IF(ISNUMBER(SEARCH("8",C9)),8,0)))))))))</f>
        <v>1</v>
      </c>
      <c r="H9" s="143" t="str">
        <f ca="1">IF(YardsAll[[#This Row],[STATUS]]="","",IF(OR(F9="2019-2020",F9="2021-2025"),"",IF(ISNUMBER(SEARCH("LLC",D9)),VLOOKUP(A9,Yards25[],28,FALSE),VLOOKUP(A9,Yards[],28,FALSE))))</f>
        <v/>
      </c>
      <c r="I9" s="143" t="str">
        <f ca="1">IF(YardsAll[[#This Row],[STATUS]]="","",IF(OR(F9="2019-2020",F9="2021-2025"),"",IF(ISNUMBER(SEARCH("LLC",D9)),VLOOKUP(A9,Yards25[],17,FALSE),VLOOKUP(A9,Yards[],17,FALSE))))</f>
        <v/>
      </c>
      <c r="J9" s="143" t="str">
        <f ca="1">IF(YardsAll[[#This Row],[STATUS]]="","",IF(OR(F9="2019-2020",F9="2021-2025"),"",IF(ISNUMBER(SEARCH("LLC",D9)),VLOOKUP(A9,Yards25[],29,FALSE),VLOOKUP(A9,Yards[],29,FALSE))))</f>
        <v/>
      </c>
      <c r="K9" s="143" t="str">
        <f ca="1">IF(YardsAll[[#This Row],[STATUS]]="","",IF(OR(F9="2019-2020",F9="2021-2025"),"",IF(ISNUMBER(SEARCH("LLC",D9)),VLOOKUP(A9,Yards25[],19,FALSE),VLOOKUP(A9,Yards[],19,FALSE))))</f>
        <v/>
      </c>
      <c r="L9" s="143" t="str">
        <f ca="1">IF(IF(OR(F9="2019-2020",F9="2021-2025"),"",IF(ISNUMBER(SEARCH("LLC",D9)),VLOOKUP(A9,Yards25[],20,FALSE),VLOOKUP(A9,Yards[],20,FALSE)))=0,"",IF(OR(F9="2019-2020",F9="2021-2025"),"",IF(ISNUMBER(SEARCH("LLC",D9)),VLOOKUP(A9,Yards25[],20,FALSE),VLOOKUP(A9,Yards[],20,FALSE))))</f>
        <v/>
      </c>
      <c r="M9" s="151">
        <f ca="1">IF(OR(F9="2019-2020",F9="2021-2025"),"",IF(ISNUMBER(SEARCH("LLC",D9)),VLOOKUP(A9,Yards25[],21,FALSE),VLOOKUP(A9,Yards[],21,FALSE)))</f>
        <v>140994.30865095003</v>
      </c>
      <c r="N9" s="151">
        <f ca="1">IF(OR(F9="2019-2020",F9="2021-2025"),"",IF(ISNUMBER(SEARCH("LLC",D9)),VLOOKUP(A9,Yards25[],22,FALSE),VLOOKUP(A9,Yards[],22,FALSE)))</f>
        <v>1268948.7778585502</v>
      </c>
      <c r="O9" s="151">
        <f ca="1">SUM(YardsAll[[#This Row],[DSGN ESTIMATE]:[CONS ESTIMATE]])</f>
        <v>1409943.0865095002</v>
      </c>
      <c r="P9" s="143" t="s">
        <v>447</v>
      </c>
      <c r="Q9" s="143">
        <f ca="1">IF(OR(F9="2019-2020",F9="2021-2025"),"",IF(ISNUMBER(SEARCH("LLC",D9)),VLOOKUP(A9,Yards25[],25,FALSE),VLOOKUP(A9,Yards[],25,FALSE)))</f>
        <v>0</v>
      </c>
      <c r="R9" s="152"/>
    </row>
    <row r="10" spans="1:18">
      <c r="A10" s="148" t="s">
        <v>55</v>
      </c>
      <c r="B10" s="144" t="str">
        <f>VLOOKUP(A10,Data[],2,FALSE)</f>
        <v>MANHATTAN</v>
      </c>
      <c r="C10" s="144" t="str">
        <f ca="1">IF(OR(F10="2019-2020",F10="2021-2025"),"",IF(ISNUMBER(SEARCH("LLC",D10)),VLOOKUP(A10,Yards25[],3,FALSE),VLOOKUP(A10,Yards[],3,FALSE)))</f>
        <v>New Waste Yard v2</v>
      </c>
      <c r="D10" s="9" t="str">
        <f>VLOOKUP(A10,Data[],52,FALSE)</f>
        <v>FEDERAL</v>
      </c>
      <c r="E10" s="9">
        <f>VLOOKUP(YardsAll[[#This Row],[DEVELOPMENT]],Data[],62,FALSE)</f>
        <v>3</v>
      </c>
      <c r="F10" s="9" t="str">
        <f ca="1">VLOOKUP(A10,Data[],4,FALSE)</f>
        <v/>
      </c>
      <c r="G10" s="9">
        <f ca="1">IF(OR(YardsAll[[#This Row],[RAD/PACT]]="2019-2020",YardsAll[[#This Row],[RAD/PACT]]="2021-2025"),"",IF(ISNUMBER(SEARCH("1",C10)),2,IF(ISNUMBER(SEARCH("2",C10)),1,IF(ISNUMBER(SEARCH("3",C10)),3,IF(ISNUMBER(SEARCH("4",C10)),4,IF(ISNUMBER(SEARCH("5",C10)),5,IF(ISNUMBER(SEARCH("6",C10)),6,IF(ISNUMBER(SEARCH("7",C10)),7,IF(ISNUMBER(SEARCH("8",C10)),8,0)))))))))</f>
        <v>1</v>
      </c>
      <c r="H10" s="143" t="str">
        <f ca="1">IF(YardsAll[[#This Row],[STATUS]]="","",IF(OR(F10="2019-2020",F10="2021-2025"),"",IF(ISNUMBER(SEARCH("LLC",D10)),VLOOKUP(A10,Yards25[],28,FALSE),VLOOKUP(A10,Yards[],28,FALSE))))</f>
        <v/>
      </c>
      <c r="I10" s="143" t="str">
        <f ca="1">IF(YardsAll[[#This Row],[STATUS]]="","",IF(OR(F10="2019-2020",F10="2021-2025"),"",IF(ISNUMBER(SEARCH("LLC",D10)),VLOOKUP(A10,Yards25[],17,FALSE),VLOOKUP(A10,Yards[],17,FALSE))))</f>
        <v/>
      </c>
      <c r="J10" s="143" t="str">
        <f ca="1">IF(YardsAll[[#This Row],[STATUS]]="","",IF(OR(F10="2019-2020",F10="2021-2025"),"",IF(ISNUMBER(SEARCH("LLC",D10)),VLOOKUP(A10,Yards25[],29,FALSE),VLOOKUP(A10,Yards[],29,FALSE))))</f>
        <v/>
      </c>
      <c r="K10" s="143" t="str">
        <f ca="1">IF(YardsAll[[#This Row],[STATUS]]="","",IF(OR(F10="2019-2020",F10="2021-2025"),"",IF(ISNUMBER(SEARCH("LLC",D10)),VLOOKUP(A10,Yards25[],19,FALSE),VLOOKUP(A10,Yards[],19,FALSE))))</f>
        <v/>
      </c>
      <c r="L10" s="143" t="str">
        <f ca="1">IF(IF(OR(F10="2019-2020",F10="2021-2025"),"",IF(ISNUMBER(SEARCH("LLC",D10)),VLOOKUP(A10,Yards25[],20,FALSE),VLOOKUP(A10,Yards[],20,FALSE)))=0,"",IF(OR(F10="2019-2020",F10="2021-2025"),"",IF(ISNUMBER(SEARCH("LLC",D10)),VLOOKUP(A10,Yards25[],20,FALSE),VLOOKUP(A10,Yards[],20,FALSE))))</f>
        <v/>
      </c>
      <c r="M10" s="151">
        <f ca="1">IF(OR(F10="2019-2020",F10="2021-2025"),"",IF(ISNUMBER(SEARCH("LLC",D10)),VLOOKUP(A10,Yards25[],21,FALSE),VLOOKUP(A10,Yards[],21,FALSE)))</f>
        <v>145762.23213190003</v>
      </c>
      <c r="N10" s="151">
        <f ca="1">IF(OR(F10="2019-2020",F10="2021-2025"),"",IF(ISNUMBER(SEARCH("LLC",D10)),VLOOKUP(A10,Yards25[],22,FALSE),VLOOKUP(A10,Yards[],22,FALSE)))</f>
        <v>1311860.0891871003</v>
      </c>
      <c r="O10" s="151">
        <f ca="1">SUM(YardsAll[[#This Row],[DSGN ESTIMATE]:[CONS ESTIMATE]])</f>
        <v>1457622.3213190003</v>
      </c>
      <c r="P10" s="143" t="s">
        <v>447</v>
      </c>
      <c r="Q10" s="143">
        <f ca="1">IF(OR(F10="2019-2020",F10="2021-2025"),"",IF(ISNUMBER(SEARCH("LLC",D10)),VLOOKUP(A10,Yards25[],25,FALSE),VLOOKUP(A10,Yards[],25,FALSE)))</f>
        <v>0</v>
      </c>
      <c r="R10" s="152"/>
    </row>
    <row r="11" spans="1:18">
      <c r="A11" s="147" t="s">
        <v>291</v>
      </c>
      <c r="B11" s="144" t="str">
        <f>VLOOKUP(A11,Data[],2,FALSE)</f>
        <v>BRONX</v>
      </c>
      <c r="C11" s="144" t="str">
        <f ca="1">IF(OR(F11="2019-2020",F11="2021-2025"),"",IF(ISNUMBER(SEARCH("LLC",D11)),VLOOKUP(A11,Yards25[],3,FALSE),VLOOKUP(A11,Yards[],3,FALSE)))</f>
        <v>New Waste Yard v1</v>
      </c>
      <c r="D11" s="9" t="str">
        <f>VLOOKUP(A11,Data[],52,FALSE)</f>
        <v>FEDERAL</v>
      </c>
      <c r="E11" s="9">
        <f>VLOOKUP(YardsAll[[#This Row],[DEVELOPMENT]],Data[],62,FALSE)</f>
        <v>6</v>
      </c>
      <c r="F11" s="9" t="str">
        <f ca="1">VLOOKUP(A11,Data[],4,FALSE)</f>
        <v/>
      </c>
      <c r="G11" s="9">
        <f ca="1">IF(OR(YardsAll[[#This Row],[RAD/PACT]]="2019-2020",YardsAll[[#This Row],[RAD/PACT]]="2021-2025"),"",IF(ISNUMBER(SEARCH("1",C11)),2,IF(ISNUMBER(SEARCH("2",C11)),1,IF(ISNUMBER(SEARCH("3",C11)),3,IF(ISNUMBER(SEARCH("4",C11)),4,IF(ISNUMBER(SEARCH("5",C11)),5,IF(ISNUMBER(SEARCH("6",C11)),6,IF(ISNUMBER(SEARCH("7",C11)),7,IF(ISNUMBER(SEARCH("8",C11)),8,0)))))))))</f>
        <v>2</v>
      </c>
      <c r="H11" s="143" t="str">
        <f ca="1">IF(YardsAll[[#This Row],[STATUS]]="","",IF(OR(F11="2019-2020",F11="2021-2025"),"",IF(ISNUMBER(SEARCH("LLC",D11)),VLOOKUP(A11,Yards25[],28,FALSE),VLOOKUP(A11,Yards[],28,FALSE))))</f>
        <v/>
      </c>
      <c r="I11" s="143" t="str">
        <f ca="1">IF(YardsAll[[#This Row],[STATUS]]="","",IF(OR(F11="2019-2020",F11="2021-2025"),"",IF(ISNUMBER(SEARCH("LLC",D11)),VLOOKUP(A11,Yards25[],17,FALSE),VLOOKUP(A11,Yards[],17,FALSE))))</f>
        <v/>
      </c>
      <c r="J11" s="143" t="str">
        <f ca="1">IF(YardsAll[[#This Row],[STATUS]]="","",IF(OR(F11="2019-2020",F11="2021-2025"),"",IF(ISNUMBER(SEARCH("LLC",D11)),VLOOKUP(A11,Yards25[],29,FALSE),VLOOKUP(A11,Yards[],29,FALSE))))</f>
        <v/>
      </c>
      <c r="K11" s="143" t="str">
        <f ca="1">IF(YardsAll[[#This Row],[STATUS]]="","",IF(OR(F11="2019-2020",F11="2021-2025"),"",IF(ISNUMBER(SEARCH("LLC",D11)),VLOOKUP(A11,Yards25[],19,FALSE),VLOOKUP(A11,Yards[],19,FALSE))))</f>
        <v/>
      </c>
      <c r="L11" s="143" t="str">
        <f ca="1">IF(IF(OR(F11="2019-2020",F11="2021-2025"),"",IF(ISNUMBER(SEARCH("LLC",D11)),VLOOKUP(A11,Yards25[],20,FALSE),VLOOKUP(A11,Yards[],20,FALSE)))=0,"",IF(OR(F11="2019-2020",F11="2021-2025"),"",IF(ISNUMBER(SEARCH("LLC",D11)),VLOOKUP(A11,Yards25[],20,FALSE),VLOOKUP(A11,Yards[],20,FALSE))))</f>
        <v/>
      </c>
      <c r="M11" s="151">
        <f ca="1">IF(OR(F11="2019-2020",F11="2021-2025"),"",IF(ISNUMBER(SEARCH("LLC",D11)),VLOOKUP(A11,Yards25[],21,FALSE),VLOOKUP(A11,Yards[],21,FALSE)))</f>
        <v>231365.85651200006</v>
      </c>
      <c r="N11" s="151">
        <f ca="1">IF(OR(F11="2019-2020",F11="2021-2025"),"",IF(ISNUMBER(SEARCH("LLC",D11)),VLOOKUP(A11,Yards25[],22,FALSE),VLOOKUP(A11,Yards[],22,FALSE)))</f>
        <v>2082292.7086080003</v>
      </c>
      <c r="O11" s="151">
        <f ca="1">SUM(YardsAll[[#This Row],[DSGN ESTIMATE]:[CONS ESTIMATE]])</f>
        <v>2313658.5651200004</v>
      </c>
      <c r="P11" s="143"/>
      <c r="Q11" s="143">
        <f ca="1">IF(OR(F11="2019-2020",F11="2021-2025"),"",IF(ISNUMBER(SEARCH("LLC",D11)),VLOOKUP(A11,Yards25[],25,FALSE),VLOOKUP(A11,Yards[],25,FALSE)))</f>
        <v>0</v>
      </c>
      <c r="R11" s="152"/>
    </row>
    <row r="12" spans="1:18">
      <c r="A12" s="147" t="s">
        <v>292</v>
      </c>
      <c r="B12" s="144" t="str">
        <f>VLOOKUP(A12,Data[],2,FALSE)</f>
        <v>BROOKLYN</v>
      </c>
      <c r="C12" s="144" t="str">
        <f ca="1">IF(OR(F12="2019-2020",F12="2021-2025"),"",IF(ISNUMBER(SEARCH("LLC",D12)),VLOOKUP(A12,Yards25[],3,FALSE),VLOOKUP(A12,Yards[],3,FALSE)))</f>
        <v>New Waste Yard v1</v>
      </c>
      <c r="D12" s="9" t="str">
        <f>VLOOKUP(A12,Data[],52,FALSE)</f>
        <v>FEDERAL</v>
      </c>
      <c r="E12" s="9">
        <f>VLOOKUP(YardsAll[[#This Row],[DEVELOPMENT]],Data[],62,FALSE)</f>
        <v>16</v>
      </c>
      <c r="F12" s="9" t="str">
        <f ca="1">VLOOKUP(A12,Data[],4,FALSE)</f>
        <v>2020-2021</v>
      </c>
      <c r="G12" s="9">
        <f ca="1">IF(OR(YardsAll[[#This Row],[RAD/PACT]]="2019-2020",YardsAll[[#This Row],[RAD/PACT]]="2021-2025"),"",IF(ISNUMBER(SEARCH("1",C12)),2,IF(ISNUMBER(SEARCH("2",C12)),1,IF(ISNUMBER(SEARCH("3",C12)),3,IF(ISNUMBER(SEARCH("4",C12)),4,IF(ISNUMBER(SEARCH("5",C12)),5,IF(ISNUMBER(SEARCH("6",C12)),6,IF(ISNUMBER(SEARCH("7",C12)),7,IF(ISNUMBER(SEARCH("8",C12)),8,0)))))))))</f>
        <v>2</v>
      </c>
      <c r="H12" s="143" t="str">
        <f ca="1">IF(YardsAll[[#This Row],[STATUS]]="","",IF(OR(F12="2019-2020",F12="2021-2025"),"",IF(ISNUMBER(SEARCH("LLC",D12)),VLOOKUP(A12,Yards25[],28,FALSE),VLOOKUP(A12,Yards[],28,FALSE))))</f>
        <v/>
      </c>
      <c r="I12" s="143" t="str">
        <f ca="1">IF(YardsAll[[#This Row],[STATUS]]="","",IF(OR(F12="2019-2020",F12="2021-2025"),"",IF(ISNUMBER(SEARCH("LLC",D12)),VLOOKUP(A12,Yards25[],17,FALSE),VLOOKUP(A12,Yards[],17,FALSE))))</f>
        <v/>
      </c>
      <c r="J12" s="143" t="str">
        <f ca="1">IF(YardsAll[[#This Row],[STATUS]]="","",IF(OR(F12="2019-2020",F12="2021-2025"),"",IF(ISNUMBER(SEARCH("LLC",D12)),VLOOKUP(A12,Yards25[],29,FALSE),VLOOKUP(A12,Yards[],29,FALSE))))</f>
        <v/>
      </c>
      <c r="K12" s="143" t="str">
        <f ca="1">IF(YardsAll[[#This Row],[STATUS]]="","",IF(OR(F12="2019-2020",F12="2021-2025"),"",IF(ISNUMBER(SEARCH("LLC",D12)),VLOOKUP(A12,Yards25[],19,FALSE),VLOOKUP(A12,Yards[],19,FALSE))))</f>
        <v/>
      </c>
      <c r="L12" s="143" t="str">
        <f ca="1">IF(IF(OR(F12="2019-2020",F12="2021-2025"),"",IF(ISNUMBER(SEARCH("LLC",D12)),VLOOKUP(A12,Yards25[],20,FALSE),VLOOKUP(A12,Yards[],20,FALSE)))=0,"",IF(OR(F12="2019-2020",F12="2021-2025"),"",IF(ISNUMBER(SEARCH("LLC",D12)),VLOOKUP(A12,Yards25[],20,FALSE),VLOOKUP(A12,Yards[],20,FALSE))))</f>
        <v/>
      </c>
      <c r="M12" s="151">
        <f ca="1">IF(OR(F12="2019-2020",F12="2021-2025"),"",IF(ISNUMBER(SEARCH("LLC",D12)),VLOOKUP(A12,Yards25[],21,FALSE),VLOOKUP(A12,Yards[],21,FALSE)))</f>
        <v>0</v>
      </c>
      <c r="N12" s="151">
        <f ca="1">IF(OR(F12="2019-2020",F12="2021-2025"),"",IF(ISNUMBER(SEARCH("LLC",D12)),VLOOKUP(A12,Yards25[],22,FALSE),VLOOKUP(A12,Yards[],22,FALSE)))</f>
        <v>0</v>
      </c>
      <c r="O12" s="151">
        <f ca="1">SUM(YardsAll[[#This Row],[DSGN ESTIMATE]:[CONS ESTIMATE]])</f>
        <v>0</v>
      </c>
      <c r="P12" s="143"/>
      <c r="Q12" s="143">
        <f ca="1">IF(OR(F12="2019-2020",F12="2021-2025"),"",IF(ISNUMBER(SEARCH("LLC",D12)),VLOOKUP(A12,Yards25[],25,FALSE),VLOOKUP(A12,Yards[],25,FALSE)))</f>
        <v>0</v>
      </c>
      <c r="R12" s="152"/>
    </row>
    <row r="13" spans="1:18">
      <c r="A13" s="147" t="s">
        <v>293</v>
      </c>
      <c r="B13" s="144" t="str">
        <f>VLOOKUP(A13,Data[],2,FALSE)</f>
        <v>BRONX</v>
      </c>
      <c r="C13" s="144" t="str">
        <f ca="1">IF(OR(F13="2019-2020",F13="2021-2025"),"",IF(ISNUMBER(SEARCH("LLC",D13)),VLOOKUP(A13,Yards25[],3,FALSE),VLOOKUP(A13,Yards[],3,FALSE)))</f>
        <v>New Waste Yard v1</v>
      </c>
      <c r="D13" s="9" t="str">
        <f>VLOOKUP(A13,Data[],52,FALSE)</f>
        <v>FEDERAL</v>
      </c>
      <c r="E13" s="9">
        <f>VLOOKUP(YardsAll[[#This Row],[DEVELOPMENT]],Data[],62,FALSE)</f>
        <v>3</v>
      </c>
      <c r="F13" s="9" t="str">
        <f ca="1">VLOOKUP(A13,Data[],4,FALSE)</f>
        <v>2022-2025</v>
      </c>
      <c r="G13" s="9">
        <f ca="1">IF(OR(YardsAll[[#This Row],[RAD/PACT]]="2019-2020",YardsAll[[#This Row],[RAD/PACT]]="2021-2025"),"",IF(ISNUMBER(SEARCH("1",C13)),2,IF(ISNUMBER(SEARCH("2",C13)),1,IF(ISNUMBER(SEARCH("3",C13)),3,IF(ISNUMBER(SEARCH("4",C13)),4,IF(ISNUMBER(SEARCH("5",C13)),5,IF(ISNUMBER(SEARCH("6",C13)),6,IF(ISNUMBER(SEARCH("7",C13)),7,IF(ISNUMBER(SEARCH("8",C13)),8,0)))))))))</f>
        <v>2</v>
      </c>
      <c r="H13" s="143" t="str">
        <f ca="1">IF(YardsAll[[#This Row],[STATUS]]="","",IF(OR(F13="2019-2020",F13="2021-2025"),"",IF(ISNUMBER(SEARCH("LLC",D13)),VLOOKUP(A13,Yards25[],28,FALSE),VLOOKUP(A13,Yards[],28,FALSE))))</f>
        <v/>
      </c>
      <c r="I13" s="143" t="str">
        <f ca="1">IF(YardsAll[[#This Row],[STATUS]]="","",IF(OR(F13="2019-2020",F13="2021-2025"),"",IF(ISNUMBER(SEARCH("LLC",D13)),VLOOKUP(A13,Yards25[],17,FALSE),VLOOKUP(A13,Yards[],17,FALSE))))</f>
        <v/>
      </c>
      <c r="J13" s="143" t="str">
        <f ca="1">IF(YardsAll[[#This Row],[STATUS]]="","",IF(OR(F13="2019-2020",F13="2021-2025"),"",IF(ISNUMBER(SEARCH("LLC",D13)),VLOOKUP(A13,Yards25[],29,FALSE),VLOOKUP(A13,Yards[],29,FALSE))))</f>
        <v/>
      </c>
      <c r="K13" s="143" t="str">
        <f ca="1">IF(YardsAll[[#This Row],[STATUS]]="","",IF(OR(F13="2019-2020",F13="2021-2025"),"",IF(ISNUMBER(SEARCH("LLC",D13)),VLOOKUP(A13,Yards25[],19,FALSE),VLOOKUP(A13,Yards[],19,FALSE))))</f>
        <v/>
      </c>
      <c r="L13" s="143" t="str">
        <f ca="1">IF(IF(OR(F13="2019-2020",F13="2021-2025"),"",IF(ISNUMBER(SEARCH("LLC",D13)),VLOOKUP(A13,Yards25[],20,FALSE),VLOOKUP(A13,Yards[],20,FALSE)))=0,"",IF(OR(F13="2019-2020",F13="2021-2025"),"",IF(ISNUMBER(SEARCH("LLC",D13)),VLOOKUP(A13,Yards25[],20,FALSE),VLOOKUP(A13,Yards[],20,FALSE))))</f>
        <v/>
      </c>
      <c r="M13" s="151">
        <f ca="1">IF(OR(F13="2019-2020",F13="2021-2025"),"",IF(ISNUMBER(SEARCH("LLC",D13)),VLOOKUP(A13,Yards25[],21,FALSE),VLOOKUP(A13,Yards[],21,FALSE)))</f>
        <v>0</v>
      </c>
      <c r="N13" s="151">
        <f ca="1">IF(OR(F13="2019-2020",F13="2021-2025"),"",IF(ISNUMBER(SEARCH("LLC",D13)),VLOOKUP(A13,Yards25[],22,FALSE),VLOOKUP(A13,Yards[],22,FALSE)))</f>
        <v>0</v>
      </c>
      <c r="O13" s="151">
        <f ca="1">SUM(YardsAll[[#This Row],[DSGN ESTIMATE]:[CONS ESTIMATE]])</f>
        <v>0</v>
      </c>
      <c r="P13" s="143"/>
      <c r="Q13" s="143">
        <f ca="1">IF(OR(F13="2019-2020",F13="2021-2025"),"",IF(ISNUMBER(SEARCH("LLC",D13)),VLOOKUP(A13,Yards25[],25,FALSE),VLOOKUP(A13,Yards[],25,FALSE)))</f>
        <v>0</v>
      </c>
      <c r="R13" s="152"/>
    </row>
    <row r="14" spans="1:18">
      <c r="A14" s="147" t="s">
        <v>67</v>
      </c>
      <c r="B14" s="144" t="str">
        <f>VLOOKUP(A14,Data[],2,FALSE)</f>
        <v>MANHATTAN</v>
      </c>
      <c r="C14" s="144" t="str">
        <f ca="1">IF(OR(F14="2019-2020",F14="2021-2025"),"",IF(ISNUMBER(SEARCH("LLC",D14)),VLOOKUP(A14,Yards25[],3,FALSE),VLOOKUP(A14,Yards[],3,FALSE)))</f>
        <v>New Waste Yard v1</v>
      </c>
      <c r="D14" s="9" t="str">
        <f>VLOOKUP(A14,Data[],52,FALSE)</f>
        <v>FEDERAL</v>
      </c>
      <c r="E14" s="9">
        <f>VLOOKUP(YardsAll[[#This Row],[DEVELOPMENT]],Data[],62,FALSE)</f>
        <v>10</v>
      </c>
      <c r="F14" s="9" t="str">
        <f ca="1">VLOOKUP(A14,Data[],4,FALSE)</f>
        <v>2026+</v>
      </c>
      <c r="G14" s="9">
        <f ca="1">IF(OR(YardsAll[[#This Row],[RAD/PACT]]="2019-2020",YardsAll[[#This Row],[RAD/PACT]]="2021-2025"),"",IF(ISNUMBER(SEARCH("1",C14)),2,IF(ISNUMBER(SEARCH("2",C14)),1,IF(ISNUMBER(SEARCH("3",C14)),3,IF(ISNUMBER(SEARCH("4",C14)),4,IF(ISNUMBER(SEARCH("5",C14)),5,IF(ISNUMBER(SEARCH("6",C14)),6,IF(ISNUMBER(SEARCH("7",C14)),7,IF(ISNUMBER(SEARCH("8",C14)),8,0)))))))))</f>
        <v>2</v>
      </c>
      <c r="H14" s="143" t="str">
        <f ca="1">IF(YardsAll[[#This Row],[STATUS]]="","",IF(OR(F14="2019-2020",F14="2021-2025"),"",IF(ISNUMBER(SEARCH("LLC",D14)),VLOOKUP(A14,Yards25[],28,FALSE),VLOOKUP(A14,Yards[],28,FALSE))))</f>
        <v/>
      </c>
      <c r="I14" s="143" t="str">
        <f ca="1">IF(YardsAll[[#This Row],[STATUS]]="","",IF(OR(F14="2019-2020",F14="2021-2025"),"",IF(ISNUMBER(SEARCH("LLC",D14)),VLOOKUP(A14,Yards25[],17,FALSE),VLOOKUP(A14,Yards[],17,FALSE))))</f>
        <v/>
      </c>
      <c r="J14" s="143" t="str">
        <f ca="1">IF(YardsAll[[#This Row],[STATUS]]="","",IF(OR(F14="2019-2020",F14="2021-2025"),"",IF(ISNUMBER(SEARCH("LLC",D14)),VLOOKUP(A14,Yards25[],29,FALSE),VLOOKUP(A14,Yards[],29,FALSE))))</f>
        <v/>
      </c>
      <c r="K14" s="143" t="str">
        <f ca="1">IF(YardsAll[[#This Row],[STATUS]]="","",IF(OR(F14="2019-2020",F14="2021-2025"),"",IF(ISNUMBER(SEARCH("LLC",D14)),VLOOKUP(A14,Yards25[],19,FALSE),VLOOKUP(A14,Yards[],19,FALSE))))</f>
        <v/>
      </c>
      <c r="L14" s="143" t="str">
        <f ca="1">IF(IF(OR(F14="2019-2020",F14="2021-2025"),"",IF(ISNUMBER(SEARCH("LLC",D14)),VLOOKUP(A14,Yards25[],20,FALSE),VLOOKUP(A14,Yards[],20,FALSE)))=0,"",IF(OR(F14="2019-2020",F14="2021-2025"),"",IF(ISNUMBER(SEARCH("LLC",D14)),VLOOKUP(A14,Yards25[],20,FALSE),VLOOKUP(A14,Yards[],20,FALSE))))</f>
        <v/>
      </c>
      <c r="M14" s="151">
        <f ca="1">IF(OR(F14="2019-2020",F14="2021-2025"),"",IF(ISNUMBER(SEARCH("LLC",D14)),VLOOKUP(A14,Yards25[],21,FALSE),VLOOKUP(A14,Yards[],21,FALSE)))</f>
        <v>231365.85651200006</v>
      </c>
      <c r="N14" s="151">
        <f ca="1">IF(OR(F14="2019-2020",F14="2021-2025"),"",IF(ISNUMBER(SEARCH("LLC",D14)),VLOOKUP(A14,Yards25[],22,FALSE),VLOOKUP(A14,Yards[],22,FALSE)))</f>
        <v>2082292.7086080003</v>
      </c>
      <c r="O14" s="151">
        <f ca="1">SUM(YardsAll[[#This Row],[DSGN ESTIMATE]:[CONS ESTIMATE]])</f>
        <v>2313658.5651200004</v>
      </c>
      <c r="P14" s="143"/>
      <c r="Q14" s="143">
        <f ca="1">IF(OR(F14="2019-2020",F14="2021-2025"),"",IF(ISNUMBER(SEARCH("LLC",D14)),VLOOKUP(A14,Yards25[],25,FALSE),VLOOKUP(A14,Yards[],25,FALSE)))</f>
        <v>0</v>
      </c>
      <c r="R14" s="152"/>
    </row>
    <row r="15" spans="1:18">
      <c r="A15" s="147" t="s">
        <v>227</v>
      </c>
      <c r="B15" s="144" t="str">
        <f>VLOOKUP(A15,Data[],2,FALSE)</f>
        <v>BRONX</v>
      </c>
      <c r="C15" s="144" t="str">
        <f ca="1">IF(OR(F15="2019-2020",F15="2021-2025"),"",IF(ISNUMBER(SEARCH("LLC",D15)),VLOOKUP(A15,Yards25[],3,FALSE),VLOOKUP(A15,Yards[],3,FALSE)))</f>
        <v>New Waste Yard v1</v>
      </c>
      <c r="D15" s="9" t="str">
        <f>VLOOKUP(A15,Data[],52,FALSE)</f>
        <v>FEDERAL</v>
      </c>
      <c r="E15" s="9">
        <f>VLOOKUP(YardsAll[[#This Row],[DEVELOPMENT]],Data[],62,FALSE)</f>
        <v>9</v>
      </c>
      <c r="F15" s="9" t="str">
        <f ca="1">VLOOKUP(A15,Data[],4,FALSE)</f>
        <v>2026+</v>
      </c>
      <c r="G15" s="9">
        <f ca="1">IF(OR(YardsAll[[#This Row],[RAD/PACT]]="2019-2020",YardsAll[[#This Row],[RAD/PACT]]="2021-2025"),"",IF(ISNUMBER(SEARCH("1",C15)),2,IF(ISNUMBER(SEARCH("2",C15)),1,IF(ISNUMBER(SEARCH("3",C15)),3,IF(ISNUMBER(SEARCH("4",C15)),4,IF(ISNUMBER(SEARCH("5",C15)),5,IF(ISNUMBER(SEARCH("6",C15)),6,IF(ISNUMBER(SEARCH("7",C15)),7,IF(ISNUMBER(SEARCH("8",C15)),8,0)))))))))</f>
        <v>2</v>
      </c>
      <c r="H15" s="143" t="str">
        <f ca="1">IF(YardsAll[[#This Row],[STATUS]]="","",IF(OR(F15="2019-2020",F15="2021-2025"),"",IF(ISNUMBER(SEARCH("LLC",D15)),VLOOKUP(A15,Yards25[],28,FALSE),VLOOKUP(A15,Yards[],28,FALSE))))</f>
        <v/>
      </c>
      <c r="I15" s="143" t="str">
        <f ca="1">IF(YardsAll[[#This Row],[STATUS]]="","",IF(OR(F15="2019-2020",F15="2021-2025"),"",IF(ISNUMBER(SEARCH("LLC",D15)),VLOOKUP(A15,Yards25[],17,FALSE),VLOOKUP(A15,Yards[],17,FALSE))))</f>
        <v/>
      </c>
      <c r="J15" s="143" t="str">
        <f ca="1">IF(YardsAll[[#This Row],[STATUS]]="","",IF(OR(F15="2019-2020",F15="2021-2025"),"",IF(ISNUMBER(SEARCH("LLC",D15)),VLOOKUP(A15,Yards25[],29,FALSE),VLOOKUP(A15,Yards[],29,FALSE))))</f>
        <v/>
      </c>
      <c r="K15" s="143" t="str">
        <f ca="1">IF(YardsAll[[#This Row],[STATUS]]="","",IF(OR(F15="2019-2020",F15="2021-2025"),"",IF(ISNUMBER(SEARCH("LLC",D15)),VLOOKUP(A15,Yards25[],19,FALSE),VLOOKUP(A15,Yards[],19,FALSE))))</f>
        <v/>
      </c>
      <c r="L15" s="143" t="str">
        <f ca="1">IF(IF(OR(F15="2019-2020",F15="2021-2025"),"",IF(ISNUMBER(SEARCH("LLC",D15)),VLOOKUP(A15,Yards25[],20,FALSE),VLOOKUP(A15,Yards[],20,FALSE)))=0,"",IF(OR(F15="2019-2020",F15="2021-2025"),"",IF(ISNUMBER(SEARCH("LLC",D15)),VLOOKUP(A15,Yards25[],20,FALSE),VLOOKUP(A15,Yards[],20,FALSE))))</f>
        <v/>
      </c>
      <c r="M15" s="151">
        <f ca="1">IF(OR(F15="2019-2020",F15="2021-2025"),"",IF(ISNUMBER(SEARCH("LLC",D15)),VLOOKUP(A15,Yards25[],21,FALSE),VLOOKUP(A15,Yards[],21,FALSE)))</f>
        <v>212386.62609500007</v>
      </c>
      <c r="N15" s="151">
        <f ca="1">IF(OR(F15="2019-2020",F15="2021-2025"),"",IF(ISNUMBER(SEARCH("LLC",D15)),VLOOKUP(A15,Yards25[],22,FALSE),VLOOKUP(A15,Yards[],22,FALSE)))</f>
        <v>1911479.6348550003</v>
      </c>
      <c r="O15" s="151">
        <f ca="1">SUM(YardsAll[[#This Row],[DSGN ESTIMATE]:[CONS ESTIMATE]])</f>
        <v>2123866.2609500005</v>
      </c>
      <c r="P15" s="143"/>
      <c r="Q15" s="143">
        <f ca="1">IF(OR(F15="2019-2020",F15="2021-2025"),"",IF(ISNUMBER(SEARCH("LLC",D15)),VLOOKUP(A15,Yards25[],25,FALSE),VLOOKUP(A15,Yards[],25,FALSE)))</f>
        <v>0</v>
      </c>
      <c r="R15" s="152"/>
    </row>
    <row r="16" spans="1:18">
      <c r="A16" s="147" t="s">
        <v>229</v>
      </c>
      <c r="B16" s="144" t="str">
        <f>VLOOKUP(A16,Data[],2,FALSE)</f>
        <v>MANHATTAN</v>
      </c>
      <c r="C16" s="144" t="str">
        <f ca="1">IF(OR(F16="2019-2020",F16="2021-2025"),"",IF(ISNUMBER(SEARCH("LLC",D16)),VLOOKUP(A16,Yards25[],3,FALSE),VLOOKUP(A16,Yards[],3,FALSE)))</f>
        <v>New Waste Yard v1</v>
      </c>
      <c r="D16" s="9" t="str">
        <f>VLOOKUP(A16,Data[],52,FALSE)</f>
        <v>FEDERAL</v>
      </c>
      <c r="E16" s="9">
        <f>VLOOKUP(YardsAll[[#This Row],[DEVELOPMENT]],Data[],62,FALSE)</f>
        <v>7</v>
      </c>
      <c r="F16" s="9" t="str">
        <f ca="1">VLOOKUP(A16,Data[],4,FALSE)</f>
        <v/>
      </c>
      <c r="G16" s="9">
        <f ca="1">IF(OR(YardsAll[[#This Row],[RAD/PACT]]="2019-2020",YardsAll[[#This Row],[RAD/PACT]]="2021-2025"),"",IF(ISNUMBER(SEARCH("1",C16)),2,IF(ISNUMBER(SEARCH("2",C16)),1,IF(ISNUMBER(SEARCH("3",C16)),3,IF(ISNUMBER(SEARCH("4",C16)),4,IF(ISNUMBER(SEARCH("5",C16)),5,IF(ISNUMBER(SEARCH("6",C16)),6,IF(ISNUMBER(SEARCH("7",C16)),7,IF(ISNUMBER(SEARCH("8",C16)),8,0)))))))))</f>
        <v>2</v>
      </c>
      <c r="H16" s="143" t="str">
        <f ca="1">IF(YardsAll[[#This Row],[STATUS]]="","",IF(OR(F16="2019-2020",F16="2021-2025"),"",IF(ISNUMBER(SEARCH("LLC",D16)),VLOOKUP(A16,Yards25[],28,FALSE),VLOOKUP(A16,Yards[],28,FALSE))))</f>
        <v/>
      </c>
      <c r="I16" s="143" t="str">
        <f ca="1">IF(YardsAll[[#This Row],[STATUS]]="","",IF(OR(F16="2019-2020",F16="2021-2025"),"",IF(ISNUMBER(SEARCH("LLC",D16)),VLOOKUP(A16,Yards25[],17,FALSE),VLOOKUP(A16,Yards[],17,FALSE))))</f>
        <v/>
      </c>
      <c r="J16" s="143" t="str">
        <f ca="1">IF(YardsAll[[#This Row],[STATUS]]="","",IF(OR(F16="2019-2020",F16="2021-2025"),"",IF(ISNUMBER(SEARCH("LLC",D16)),VLOOKUP(A16,Yards25[],29,FALSE),VLOOKUP(A16,Yards[],29,FALSE))))</f>
        <v/>
      </c>
      <c r="K16" s="143" t="str">
        <f ca="1">IF(YardsAll[[#This Row],[STATUS]]="","",IF(OR(F16="2019-2020",F16="2021-2025"),"",IF(ISNUMBER(SEARCH("LLC",D16)),VLOOKUP(A16,Yards25[],19,FALSE),VLOOKUP(A16,Yards[],19,FALSE))))</f>
        <v/>
      </c>
      <c r="L16" s="143" t="str">
        <f ca="1">IF(IF(OR(F16="2019-2020",F16="2021-2025"),"",IF(ISNUMBER(SEARCH("LLC",D16)),VLOOKUP(A16,Yards25[],20,FALSE),VLOOKUP(A16,Yards[],20,FALSE)))=0,"",IF(OR(F16="2019-2020",F16="2021-2025"),"",IF(ISNUMBER(SEARCH("LLC",D16)),VLOOKUP(A16,Yards25[],20,FALSE),VLOOKUP(A16,Yards[],20,FALSE))))</f>
        <v/>
      </c>
      <c r="M16" s="151">
        <f ca="1">IF(OR(F16="2019-2020",F16="2021-2025"),"",IF(ISNUMBER(SEARCH("LLC",D16)),VLOOKUP(A16,Yards25[],21,FALSE),VLOOKUP(A16,Yards[],21,FALSE)))</f>
        <v>199733.80581700004</v>
      </c>
      <c r="N16" s="151">
        <f ca="1">IF(OR(F16="2019-2020",F16="2021-2025"),"",IF(ISNUMBER(SEARCH("LLC",D16)),VLOOKUP(A16,Yards25[],22,FALSE),VLOOKUP(A16,Yards[],22,FALSE)))</f>
        <v>1797604.2523530002</v>
      </c>
      <c r="O16" s="151">
        <f ca="1">SUM(YardsAll[[#This Row],[DSGN ESTIMATE]:[CONS ESTIMATE]])</f>
        <v>1997338.0581700003</v>
      </c>
      <c r="P16" s="143"/>
      <c r="Q16" s="143">
        <f ca="1">IF(OR(F16="2019-2020",F16="2021-2025"),"",IF(ISNUMBER(SEARCH("LLC",D16)),VLOOKUP(A16,Yards25[],25,FALSE),VLOOKUP(A16,Yards[],25,FALSE)))</f>
        <v>0</v>
      </c>
      <c r="R16" s="152"/>
    </row>
    <row r="17" spans="1:18">
      <c r="A17" s="148" t="s">
        <v>118</v>
      </c>
      <c r="B17" s="144" t="str">
        <f>VLOOKUP(A17,Data[],2,FALSE)</f>
        <v>BROOKLYN</v>
      </c>
      <c r="C17" s="144" t="str">
        <f ca="1">IF(OR(F17="2019-2020",F17="2021-2025"),"",IF(ISNUMBER(SEARCH("LLC",D17)),VLOOKUP(A17,Yards25[],3,FALSE),VLOOKUP(A17,Yards[],3,FALSE)))</f>
        <v>New Waste Yard v1</v>
      </c>
      <c r="D17" s="9" t="str">
        <f>VLOOKUP(A17,Data[],52,FALSE)</f>
        <v>FEDERAL</v>
      </c>
      <c r="E17" s="9">
        <f>VLOOKUP(YardsAll[[#This Row],[DEVELOPMENT]],Data[],62,FALSE)</f>
        <v>3</v>
      </c>
      <c r="F17" s="9" t="str">
        <f ca="1">VLOOKUP(A17,Data[],4,FALSE)</f>
        <v/>
      </c>
      <c r="G17" s="9">
        <f ca="1">IF(OR(YardsAll[[#This Row],[RAD/PACT]]="2019-2020",YardsAll[[#This Row],[RAD/PACT]]="2021-2025"),"",IF(ISNUMBER(SEARCH("1",C17)),2,IF(ISNUMBER(SEARCH("2",C17)),1,IF(ISNUMBER(SEARCH("3",C17)),3,IF(ISNUMBER(SEARCH("4",C17)),4,IF(ISNUMBER(SEARCH("5",C17)),5,IF(ISNUMBER(SEARCH("6",C17)),6,IF(ISNUMBER(SEARCH("7",C17)),7,IF(ISNUMBER(SEARCH("8",C17)),8,0)))))))))</f>
        <v>2</v>
      </c>
      <c r="H17" s="143" t="str">
        <f ca="1">IF(YardsAll[[#This Row],[STATUS]]="","",IF(OR(F17="2019-2020",F17="2021-2025"),"",IF(ISNUMBER(SEARCH("LLC",D17)),VLOOKUP(A17,Yards25[],28,FALSE),VLOOKUP(A17,Yards[],28,FALSE))))</f>
        <v/>
      </c>
      <c r="I17" s="143" t="str">
        <f ca="1">IF(YardsAll[[#This Row],[STATUS]]="","",IF(OR(F17="2019-2020",F17="2021-2025"),"",IF(ISNUMBER(SEARCH("LLC",D17)),VLOOKUP(A17,Yards25[],17,FALSE),VLOOKUP(A17,Yards[],17,FALSE))))</f>
        <v/>
      </c>
      <c r="J17" s="143" t="str">
        <f ca="1">IF(YardsAll[[#This Row],[STATUS]]="","",IF(OR(F17="2019-2020",F17="2021-2025"),"",IF(ISNUMBER(SEARCH("LLC",D17)),VLOOKUP(A17,Yards25[],29,FALSE),VLOOKUP(A17,Yards[],29,FALSE))))</f>
        <v/>
      </c>
      <c r="K17" s="143" t="str">
        <f ca="1">IF(YardsAll[[#This Row],[STATUS]]="","",IF(OR(F17="2019-2020",F17="2021-2025"),"",IF(ISNUMBER(SEARCH("LLC",D17)),VLOOKUP(A17,Yards25[],19,FALSE),VLOOKUP(A17,Yards[],19,FALSE))))</f>
        <v/>
      </c>
      <c r="L17" s="143" t="str">
        <f ca="1">IF(IF(OR(F17="2019-2020",F17="2021-2025"),"",IF(ISNUMBER(SEARCH("LLC",D17)),VLOOKUP(A17,Yards25[],20,FALSE),VLOOKUP(A17,Yards[],20,FALSE)))=0,"",IF(OR(F17="2019-2020",F17="2021-2025"),"",IF(ISNUMBER(SEARCH("LLC",D17)),VLOOKUP(A17,Yards25[],20,FALSE),VLOOKUP(A17,Yards[],20,FALSE))))</f>
        <v/>
      </c>
      <c r="M17" s="151">
        <f ca="1">IF(OR(F17="2019-2020",F17="2021-2025"),"",IF(ISNUMBER(SEARCH("LLC",D17)),VLOOKUP(A17,Yards25[],21,FALSE),VLOOKUP(A17,Yards[],21,FALSE)))</f>
        <v>187080.98553900004</v>
      </c>
      <c r="N17" s="151">
        <f ca="1">IF(OR(F17="2019-2020",F17="2021-2025"),"",IF(ISNUMBER(SEARCH("LLC",D17)),VLOOKUP(A17,Yards25[],22,FALSE),VLOOKUP(A17,Yards[],22,FALSE)))</f>
        <v>1683728.8698510004</v>
      </c>
      <c r="O17" s="151">
        <f ca="1">SUM(YardsAll[[#This Row],[DSGN ESTIMATE]:[CONS ESTIMATE]])</f>
        <v>1870809.8553900004</v>
      </c>
      <c r="P17" s="143"/>
      <c r="Q17" s="143">
        <f ca="1">IF(OR(F17="2019-2020",F17="2021-2025"),"",IF(ISNUMBER(SEARCH("LLC",D17)),VLOOKUP(A17,Yards25[],25,FALSE),VLOOKUP(A17,Yards[],25,FALSE)))</f>
        <v>0</v>
      </c>
      <c r="R17" s="152"/>
    </row>
    <row r="18" spans="1:18">
      <c r="A18" s="147" t="s">
        <v>69</v>
      </c>
      <c r="B18" s="144" t="str">
        <f>VLOOKUP(A18,Data[],2,FALSE)</f>
        <v>MANHATTAN</v>
      </c>
      <c r="C18" s="144" t="str">
        <f ca="1">IF(OR(F18="2019-2020",F18="2021-2025"),"",IF(ISNUMBER(SEARCH("LLC",D18)),VLOOKUP(A18,Yards25[],3,FALSE),VLOOKUP(A18,Yards[],3,FALSE)))</f>
        <v>New Waste Yard v1</v>
      </c>
      <c r="D18" s="9" t="str">
        <f>VLOOKUP(A18,Data[],52,FALSE)</f>
        <v>FEDERAL</v>
      </c>
      <c r="E18" s="9">
        <f>VLOOKUP(YardsAll[[#This Row],[DEVELOPMENT]],Data[],62,FALSE)</f>
        <v>11</v>
      </c>
      <c r="F18" s="9" t="str">
        <f ca="1">VLOOKUP(A18,Data[],4,FALSE)</f>
        <v>2020-2021</v>
      </c>
      <c r="G18" s="9">
        <f ca="1">IF(OR(YardsAll[[#This Row],[RAD/PACT]]="2019-2020",YardsAll[[#This Row],[RAD/PACT]]="2021-2025"),"",IF(ISNUMBER(SEARCH("1",C18)),2,IF(ISNUMBER(SEARCH("2",C18)),1,IF(ISNUMBER(SEARCH("3",C18)),3,IF(ISNUMBER(SEARCH("4",C18)),4,IF(ISNUMBER(SEARCH("5",C18)),5,IF(ISNUMBER(SEARCH("6",C18)),6,IF(ISNUMBER(SEARCH("7",C18)),7,IF(ISNUMBER(SEARCH("8",C18)),8,0)))))))))</f>
        <v>2</v>
      </c>
      <c r="H18" s="143" t="str">
        <f ca="1">IF(YardsAll[[#This Row],[STATUS]]="","",IF(OR(F18="2019-2020",F18="2021-2025"),"",IF(ISNUMBER(SEARCH("LLC",D18)),VLOOKUP(A18,Yards25[],28,FALSE),VLOOKUP(A18,Yards[],28,FALSE))))</f>
        <v/>
      </c>
      <c r="I18" s="143" t="str">
        <f ca="1">IF(YardsAll[[#This Row],[STATUS]]="","",IF(OR(F18="2019-2020",F18="2021-2025"),"",IF(ISNUMBER(SEARCH("LLC",D18)),VLOOKUP(A18,Yards25[],17,FALSE),VLOOKUP(A18,Yards[],17,FALSE))))</f>
        <v/>
      </c>
      <c r="J18" s="143" t="str">
        <f ca="1">IF(YardsAll[[#This Row],[STATUS]]="","",IF(OR(F18="2019-2020",F18="2021-2025"),"",IF(ISNUMBER(SEARCH("LLC",D18)),VLOOKUP(A18,Yards25[],29,FALSE),VLOOKUP(A18,Yards[],29,FALSE))))</f>
        <v/>
      </c>
      <c r="K18" s="143" t="str">
        <f ca="1">IF(YardsAll[[#This Row],[STATUS]]="","",IF(OR(F18="2019-2020",F18="2021-2025"),"",IF(ISNUMBER(SEARCH("LLC",D18)),VLOOKUP(A18,Yards25[],19,FALSE),VLOOKUP(A18,Yards[],19,FALSE))))</f>
        <v/>
      </c>
      <c r="L18" s="143" t="str">
        <f ca="1">IF(IF(OR(F18="2019-2020",F18="2021-2025"),"",IF(ISNUMBER(SEARCH("LLC",D18)),VLOOKUP(A18,Yards25[],20,FALSE),VLOOKUP(A18,Yards[],20,FALSE)))=0,"",IF(OR(F18="2019-2020",F18="2021-2025"),"",IF(ISNUMBER(SEARCH("LLC",D18)),VLOOKUP(A18,Yards25[],20,FALSE),VLOOKUP(A18,Yards[],20,FALSE))))</f>
        <v/>
      </c>
      <c r="M18" s="151">
        <f ca="1">IF(OR(F18="2019-2020",F18="2021-2025"),"",IF(ISNUMBER(SEARCH("LLC",D18)),VLOOKUP(A18,Yards25[],21,FALSE),VLOOKUP(A18,Yards[],21,FALSE)))</f>
        <v>0</v>
      </c>
      <c r="N18" s="151">
        <f ca="1">IF(OR(F18="2019-2020",F18="2021-2025"),"",IF(ISNUMBER(SEARCH("LLC",D18)),VLOOKUP(A18,Yards25[],22,FALSE),VLOOKUP(A18,Yards[],22,FALSE)))</f>
        <v>0</v>
      </c>
      <c r="O18" s="151">
        <f ca="1">SUM(YardsAll[[#This Row],[DSGN ESTIMATE]:[CONS ESTIMATE]])</f>
        <v>0</v>
      </c>
      <c r="P18" s="143"/>
      <c r="Q18" s="143">
        <f ca="1">IF(OR(F18="2019-2020",F18="2021-2025"),"",IF(ISNUMBER(SEARCH("LLC",D18)),VLOOKUP(A18,Yards25[],25,FALSE),VLOOKUP(A18,Yards[],25,FALSE)))</f>
        <v>0</v>
      </c>
      <c r="R18" s="152"/>
    </row>
    <row r="19" spans="1:18">
      <c r="A19" s="147" t="s">
        <v>282</v>
      </c>
      <c r="B19" s="144" t="str">
        <f>VLOOKUP(A19,Data[],2,FALSE)</f>
        <v>MANHATTAN</v>
      </c>
      <c r="C19" s="144" t="str">
        <f ca="1">IF(OR(F19="2019-2020",F19="2021-2025"),"",IF(ISNUMBER(SEARCH("LLC",D19)),VLOOKUP(A19,Yards25[],3,FALSE),VLOOKUP(A19,Yards[],3,FALSE)))</f>
        <v>New Waste Yard v1</v>
      </c>
      <c r="D19" s="9" t="str">
        <f>VLOOKUP(A19,Data[],52,FALSE)</f>
        <v>MIXED FINANCE/LLC2</v>
      </c>
      <c r="E19" s="9">
        <f>VLOOKUP(YardsAll[[#This Row],[DEVELOPMENT]],Data[],62,FALSE)</f>
        <v>6</v>
      </c>
      <c r="F19" s="9" t="str">
        <f ca="1">VLOOKUP(A19,Data[],4,FALSE)</f>
        <v>2020-2021</v>
      </c>
      <c r="G19" s="9">
        <f ca="1">IF(OR(YardsAll[[#This Row],[RAD/PACT]]="2019-2020",YardsAll[[#This Row],[RAD/PACT]]="2021-2025"),"",IF(ISNUMBER(SEARCH("1",C19)),2,IF(ISNUMBER(SEARCH("2",C19)),1,IF(ISNUMBER(SEARCH("3",C19)),3,IF(ISNUMBER(SEARCH("4",C19)),4,IF(ISNUMBER(SEARCH("5",C19)),5,IF(ISNUMBER(SEARCH("6",C19)),6,IF(ISNUMBER(SEARCH("7",C19)),7,IF(ISNUMBER(SEARCH("8",C19)),8,0)))))))))</f>
        <v>2</v>
      </c>
      <c r="H19" s="143" t="str">
        <f ca="1">IF(YardsAll[[#This Row],[STATUS]]="","",IF(OR(F19="2019-2020",F19="2021-2025"),"",IF(ISNUMBER(SEARCH("LLC",D19)),VLOOKUP(A19,Yards25[],28,FALSE),VLOOKUP(A19,Yards[],28,FALSE))))</f>
        <v/>
      </c>
      <c r="I19" s="143" t="str">
        <f ca="1">IF(YardsAll[[#This Row],[STATUS]]="","",IF(OR(F19="2019-2020",F19="2021-2025"),"",IF(ISNUMBER(SEARCH("LLC",D19)),VLOOKUP(A19,Yards25[],17,FALSE),VLOOKUP(A19,Yards[],17,FALSE))))</f>
        <v/>
      </c>
      <c r="J19" s="143" t="str">
        <f ca="1">IF(YardsAll[[#This Row],[STATUS]]="","",IF(OR(F19="2019-2020",F19="2021-2025"),"",IF(ISNUMBER(SEARCH("LLC",D19)),VLOOKUP(A19,Yards25[],29,FALSE),VLOOKUP(A19,Yards[],29,FALSE))))</f>
        <v/>
      </c>
      <c r="K19" s="143" t="str">
        <f ca="1">IF(YardsAll[[#This Row],[STATUS]]="","",IF(OR(F19="2019-2020",F19="2021-2025"),"",IF(ISNUMBER(SEARCH("LLC",D19)),VLOOKUP(A19,Yards25[],19,FALSE),VLOOKUP(A19,Yards[],19,FALSE))))</f>
        <v/>
      </c>
      <c r="L19" s="143" t="str">
        <f ca="1">IF(IF(OR(F19="2019-2020",F19="2021-2025"),"",IF(ISNUMBER(SEARCH("LLC",D19)),VLOOKUP(A19,Yards25[],20,FALSE),VLOOKUP(A19,Yards[],20,FALSE)))=0,"",IF(OR(F19="2019-2020",F19="2021-2025"),"",IF(ISNUMBER(SEARCH("LLC",D19)),VLOOKUP(A19,Yards25[],20,FALSE),VLOOKUP(A19,Yards[],20,FALSE))))</f>
        <v/>
      </c>
      <c r="M19" s="151">
        <f ca="1">IF(OR(F19="2019-2020",F19="2021-2025"),"",IF(ISNUMBER(SEARCH("LLC",D19)),VLOOKUP(A19,Yards25[],21,FALSE),VLOOKUP(A19,Yards[],21,FALSE)))</f>
        <v>0</v>
      </c>
      <c r="N19" s="151">
        <f ca="1">IF(OR(F19="2019-2020",F19="2021-2025"),"",IF(ISNUMBER(SEARCH("LLC",D19)),VLOOKUP(A19,Yards25[],22,FALSE),VLOOKUP(A19,Yards[],22,FALSE)))</f>
        <v>0</v>
      </c>
      <c r="O19" s="151">
        <f ca="1">SUM(YardsAll[[#This Row],[DSGN ESTIMATE]:[CONS ESTIMATE]])</f>
        <v>0</v>
      </c>
      <c r="P19" s="143"/>
      <c r="Q19" s="143">
        <f ca="1">IF(OR(F19="2019-2020",F19="2021-2025"),"",IF(ISNUMBER(SEARCH("LLC",D19)),VLOOKUP(A19,Yards25[],25,FALSE),VLOOKUP(A19,Yards[],25,FALSE)))</f>
        <v>0</v>
      </c>
      <c r="R19" s="152"/>
    </row>
    <row r="20" spans="1:18">
      <c r="A20" s="148" t="s">
        <v>57</v>
      </c>
      <c r="B20" s="144" t="str">
        <f>VLOOKUP(A20,Data[],2,FALSE)</f>
        <v>MANHATTAN</v>
      </c>
      <c r="C20" s="144" t="str">
        <f ca="1">IF(OR(F20="2019-2020",F20="2021-2025"),"",IF(ISNUMBER(SEARCH("LLC",D20)),VLOOKUP(A20,Yards25[],3,FALSE),VLOOKUP(A20,Yards[],3,FALSE)))</f>
        <v>New Waste Yard v1</v>
      </c>
      <c r="D20" s="9" t="str">
        <f>VLOOKUP(A20,Data[],52,FALSE)</f>
        <v>FEDERAL</v>
      </c>
      <c r="E20" s="9">
        <f>VLOOKUP(YardsAll[[#This Row],[DEVELOPMENT]],Data[],62,FALSE)</f>
        <v>3</v>
      </c>
      <c r="F20" s="9" t="str">
        <f ca="1">VLOOKUP(A20,Data[],4,FALSE)</f>
        <v/>
      </c>
      <c r="G20" s="9">
        <f ca="1">IF(OR(YardsAll[[#This Row],[RAD/PACT]]="2019-2020",YardsAll[[#This Row],[RAD/PACT]]="2021-2025"),"",IF(ISNUMBER(SEARCH("1",C20)),2,IF(ISNUMBER(SEARCH("2",C20)),1,IF(ISNUMBER(SEARCH("3",C20)),3,IF(ISNUMBER(SEARCH("4",C20)),4,IF(ISNUMBER(SEARCH("5",C20)),5,IF(ISNUMBER(SEARCH("6",C20)),6,IF(ISNUMBER(SEARCH("7",C20)),7,IF(ISNUMBER(SEARCH("8",C20)),8,0)))))))))</f>
        <v>2</v>
      </c>
      <c r="H20" s="143" t="str">
        <f ca="1">IF(YardsAll[[#This Row],[STATUS]]="","",IF(OR(F20="2019-2020",F20="2021-2025"),"",IF(ISNUMBER(SEARCH("LLC",D20)),VLOOKUP(A20,Yards25[],28,FALSE),VLOOKUP(A20,Yards[],28,FALSE))))</f>
        <v/>
      </c>
      <c r="I20" s="143" t="str">
        <f ca="1">IF(YardsAll[[#This Row],[STATUS]]="","",IF(OR(F20="2019-2020",F20="2021-2025"),"",IF(ISNUMBER(SEARCH("LLC",D20)),VLOOKUP(A20,Yards25[],17,FALSE),VLOOKUP(A20,Yards[],17,FALSE))))</f>
        <v/>
      </c>
      <c r="J20" s="143" t="str">
        <f ca="1">IF(YardsAll[[#This Row],[STATUS]]="","",IF(OR(F20="2019-2020",F20="2021-2025"),"",IF(ISNUMBER(SEARCH("LLC",D20)),VLOOKUP(A20,Yards25[],29,FALSE),VLOOKUP(A20,Yards[],29,FALSE))))</f>
        <v/>
      </c>
      <c r="K20" s="143" t="str">
        <f ca="1">IF(YardsAll[[#This Row],[STATUS]]="","",IF(OR(F20="2019-2020",F20="2021-2025"),"",IF(ISNUMBER(SEARCH("LLC",D20)),VLOOKUP(A20,Yards25[],19,FALSE),VLOOKUP(A20,Yards[],19,FALSE))))</f>
        <v/>
      </c>
      <c r="L20" s="143" t="str">
        <f ca="1">IF(IF(OR(F20="2019-2020",F20="2021-2025"),"",IF(ISNUMBER(SEARCH("LLC",D20)),VLOOKUP(A20,Yards25[],20,FALSE),VLOOKUP(A20,Yards[],20,FALSE)))=0,"",IF(OR(F20="2019-2020",F20="2021-2025"),"",IF(ISNUMBER(SEARCH("LLC",D20)),VLOOKUP(A20,Yards25[],20,FALSE),VLOOKUP(A20,Yards[],20,FALSE))))</f>
        <v/>
      </c>
      <c r="M20" s="151">
        <f ca="1">IF(OR(F20="2019-2020",F20="2021-2025"),"",IF(ISNUMBER(SEARCH("LLC",D20)),VLOOKUP(A20,Yards25[],21,FALSE),VLOOKUP(A20,Yards[],21,FALSE)))</f>
        <v>212386.62609500007</v>
      </c>
      <c r="N20" s="151">
        <f ca="1">IF(OR(F20="2019-2020",F20="2021-2025"),"",IF(ISNUMBER(SEARCH("LLC",D20)),VLOOKUP(A20,Yards25[],22,FALSE),VLOOKUP(A20,Yards[],22,FALSE)))</f>
        <v>1911479.6348550003</v>
      </c>
      <c r="O20" s="151">
        <f ca="1">SUM(YardsAll[[#This Row],[DSGN ESTIMATE]:[CONS ESTIMATE]])</f>
        <v>2123866.2609500005</v>
      </c>
      <c r="P20" s="143"/>
      <c r="Q20" s="143">
        <f ca="1">IF(OR(F20="2019-2020",F20="2021-2025"),"",IF(ISNUMBER(SEARCH("LLC",D20)),VLOOKUP(A20,Yards25[],25,FALSE),VLOOKUP(A20,Yards[],25,FALSE)))</f>
        <v>0</v>
      </c>
      <c r="R20" s="152"/>
    </row>
    <row r="21" spans="1:18">
      <c r="A21" s="147" t="s">
        <v>294</v>
      </c>
      <c r="B21" s="144" t="str">
        <f>VLOOKUP(A21,Data[],2,FALSE)</f>
        <v>BROOKLYN</v>
      </c>
      <c r="C21" s="144" t="str">
        <f ca="1">IF(OR(F21="2019-2020",F21="2021-2025"),"",IF(ISNUMBER(SEARCH("LLC",D21)),VLOOKUP(A21,Yards25[],3,FALSE),VLOOKUP(A21,Yards[],3,FALSE)))</f>
        <v>New Waste Yard v1</v>
      </c>
      <c r="D21" s="9" t="str">
        <f>VLOOKUP(A21,Data[],52,FALSE)</f>
        <v>FEDERAL</v>
      </c>
      <c r="E21" s="9">
        <f>VLOOKUP(YardsAll[[#This Row],[DEVELOPMENT]],Data[],62,FALSE)</f>
        <v>6</v>
      </c>
      <c r="F21" s="9">
        <f ca="1">VLOOKUP(A21,Data[],4,FALSE)</f>
        <v>2019</v>
      </c>
      <c r="G21" s="9">
        <f ca="1">IF(OR(YardsAll[[#This Row],[RAD/PACT]]="2019-2020",YardsAll[[#This Row],[RAD/PACT]]="2021-2025"),"",IF(ISNUMBER(SEARCH("1",C21)),2,IF(ISNUMBER(SEARCH("2",C21)),1,IF(ISNUMBER(SEARCH("3",C21)),3,IF(ISNUMBER(SEARCH("4",C21)),4,IF(ISNUMBER(SEARCH("5",C21)),5,IF(ISNUMBER(SEARCH("6",C21)),6,IF(ISNUMBER(SEARCH("7",C21)),7,IF(ISNUMBER(SEARCH("8",C21)),8,0)))))))))</f>
        <v>2</v>
      </c>
      <c r="H21" s="143" t="str">
        <f ca="1">IF(YardsAll[[#This Row],[STATUS]]="","",IF(OR(F21="2019-2020",F21="2021-2025"),"",IF(ISNUMBER(SEARCH("LLC",D21)),VLOOKUP(A21,Yards25[],28,FALSE),VLOOKUP(A21,Yards[],28,FALSE))))</f>
        <v/>
      </c>
      <c r="I21" s="143" t="str">
        <f ca="1">IF(YardsAll[[#This Row],[STATUS]]="","",IF(OR(F21="2019-2020",F21="2021-2025"),"",IF(ISNUMBER(SEARCH("LLC",D21)),VLOOKUP(A21,Yards25[],17,FALSE),VLOOKUP(A21,Yards[],17,FALSE))))</f>
        <v/>
      </c>
      <c r="J21" s="143" t="str">
        <f ca="1">IF(YardsAll[[#This Row],[STATUS]]="","",IF(OR(F21="2019-2020",F21="2021-2025"),"",IF(ISNUMBER(SEARCH("LLC",D21)),VLOOKUP(A21,Yards25[],29,FALSE),VLOOKUP(A21,Yards[],29,FALSE))))</f>
        <v/>
      </c>
      <c r="K21" s="143" t="str">
        <f ca="1">IF(YardsAll[[#This Row],[STATUS]]="","",IF(OR(F21="2019-2020",F21="2021-2025"),"",IF(ISNUMBER(SEARCH("LLC",D21)),VLOOKUP(A21,Yards25[],19,FALSE),VLOOKUP(A21,Yards[],19,FALSE))))</f>
        <v/>
      </c>
      <c r="L21" s="143" t="str">
        <f ca="1">IF(IF(OR(F21="2019-2020",F21="2021-2025"),"",IF(ISNUMBER(SEARCH("LLC",D21)),VLOOKUP(A21,Yards25[],20,FALSE),VLOOKUP(A21,Yards[],20,FALSE)))=0,"",IF(OR(F21="2019-2020",F21="2021-2025"),"",IF(ISNUMBER(SEARCH("LLC",D21)),VLOOKUP(A21,Yards25[],20,FALSE),VLOOKUP(A21,Yards[],20,FALSE))))</f>
        <v/>
      </c>
      <c r="M21" s="151">
        <f ca="1">IF(OR(F21="2019-2020",F21="2021-2025"),"",IF(ISNUMBER(SEARCH("LLC",D21)),VLOOKUP(A21,Yards25[],21,FALSE),VLOOKUP(A21,Yards[],21,FALSE)))</f>
        <v>0</v>
      </c>
      <c r="N21" s="151">
        <f ca="1">IF(OR(F21="2019-2020",F21="2021-2025"),"",IF(ISNUMBER(SEARCH("LLC",D21)),VLOOKUP(A21,Yards25[],22,FALSE),VLOOKUP(A21,Yards[],22,FALSE)))</f>
        <v>0</v>
      </c>
      <c r="O21" s="151">
        <f ca="1">SUM(YardsAll[[#This Row],[DSGN ESTIMATE]:[CONS ESTIMATE]])</f>
        <v>0</v>
      </c>
      <c r="P21" s="143"/>
      <c r="Q21" s="143">
        <f ca="1">IF(OR(F21="2019-2020",F21="2021-2025"),"",IF(ISNUMBER(SEARCH("LLC",D21)),VLOOKUP(A21,Yards25[],25,FALSE),VLOOKUP(A21,Yards[],25,FALSE)))</f>
        <v>0</v>
      </c>
      <c r="R21" s="152"/>
    </row>
    <row r="22" spans="1:18">
      <c r="A22" s="147" t="s">
        <v>295</v>
      </c>
      <c r="B22" s="144" t="str">
        <f>VLOOKUP(A22,Data[],2,FALSE)</f>
        <v>MANHATTAN</v>
      </c>
      <c r="C22" s="144" t="str">
        <f ca="1">IF(OR(F22="2019-2020",F22="2021-2025"),"",IF(ISNUMBER(SEARCH("LLC",D22)),VLOOKUP(A22,Yards25[],3,FALSE),VLOOKUP(A22,Yards[],3,FALSE)))</f>
        <v>New Waste Yard v1</v>
      </c>
      <c r="D22" s="9" t="str">
        <f>VLOOKUP(A22,Data[],52,FALSE)</f>
        <v>FEDERAL</v>
      </c>
      <c r="E22" s="9">
        <f>VLOOKUP(YardsAll[[#This Row],[DEVELOPMENT]],Data[],62,FALSE)</f>
        <v>7</v>
      </c>
      <c r="F22" s="9" t="str">
        <f ca="1">VLOOKUP(A22,Data[],4,FALSE)</f>
        <v/>
      </c>
      <c r="G22" s="9">
        <f ca="1">IF(OR(YardsAll[[#This Row],[RAD/PACT]]="2019-2020",YardsAll[[#This Row],[RAD/PACT]]="2021-2025"),"",IF(ISNUMBER(SEARCH("1",C22)),2,IF(ISNUMBER(SEARCH("2",C22)),1,IF(ISNUMBER(SEARCH("3",C22)),3,IF(ISNUMBER(SEARCH("4",C22)),4,IF(ISNUMBER(SEARCH("5",C22)),5,IF(ISNUMBER(SEARCH("6",C22)),6,IF(ISNUMBER(SEARCH("7",C22)),7,IF(ISNUMBER(SEARCH("8",C22)),8,0)))))))))</f>
        <v>2</v>
      </c>
      <c r="H22" s="143" t="str">
        <f ca="1">IF(YardsAll[[#This Row],[STATUS]]="","",IF(OR(F22="2019-2020",F22="2021-2025"),"",IF(ISNUMBER(SEARCH("LLC",D22)),VLOOKUP(A22,Yards25[],28,FALSE),VLOOKUP(A22,Yards[],28,FALSE))))</f>
        <v/>
      </c>
      <c r="I22" s="143" t="str">
        <f ca="1">IF(YardsAll[[#This Row],[STATUS]]="","",IF(OR(F22="2019-2020",F22="2021-2025"),"",IF(ISNUMBER(SEARCH("LLC",D22)),VLOOKUP(A22,Yards25[],17,FALSE),VLOOKUP(A22,Yards[],17,FALSE))))</f>
        <v/>
      </c>
      <c r="J22" s="143" t="str">
        <f ca="1">IF(YardsAll[[#This Row],[STATUS]]="","",IF(OR(F22="2019-2020",F22="2021-2025"),"",IF(ISNUMBER(SEARCH("LLC",D22)),VLOOKUP(A22,Yards25[],29,FALSE),VLOOKUP(A22,Yards[],29,FALSE))))</f>
        <v/>
      </c>
      <c r="K22" s="143" t="str">
        <f ca="1">IF(YardsAll[[#This Row],[STATUS]]="","",IF(OR(F22="2019-2020",F22="2021-2025"),"",IF(ISNUMBER(SEARCH("LLC",D22)),VLOOKUP(A22,Yards25[],19,FALSE),VLOOKUP(A22,Yards[],19,FALSE))))</f>
        <v/>
      </c>
      <c r="L22" s="143" t="str">
        <f ca="1">IF(IF(OR(F22="2019-2020",F22="2021-2025"),"",IF(ISNUMBER(SEARCH("LLC",D22)),VLOOKUP(A22,Yards25[],20,FALSE),VLOOKUP(A22,Yards[],20,FALSE)))=0,"",IF(OR(F22="2019-2020",F22="2021-2025"),"",IF(ISNUMBER(SEARCH("LLC",D22)),VLOOKUP(A22,Yards25[],20,FALSE),VLOOKUP(A22,Yards[],20,FALSE))))</f>
        <v/>
      </c>
      <c r="M22" s="151">
        <f ca="1">IF(OR(F22="2019-2020",F22="2021-2025"),"",IF(ISNUMBER(SEARCH("LLC",D22)),VLOOKUP(A22,Yards25[],21,FALSE),VLOOKUP(A22,Yards[],21,FALSE)))</f>
        <v>218713.03623400006</v>
      </c>
      <c r="N22" s="151">
        <f ca="1">IF(OR(F22="2019-2020",F22="2021-2025"),"",IF(ISNUMBER(SEARCH("LLC",D22)),VLOOKUP(A22,Yards25[],22,FALSE),VLOOKUP(A22,Yards[],22,FALSE)))</f>
        <v>1968417.3261060005</v>
      </c>
      <c r="O22" s="151">
        <f ca="1">SUM(YardsAll[[#This Row],[DSGN ESTIMATE]:[CONS ESTIMATE]])</f>
        <v>2187130.3623400005</v>
      </c>
      <c r="P22" s="143"/>
      <c r="Q22" s="143">
        <f ca="1">IF(OR(F22="2019-2020",F22="2021-2025"),"",IF(ISNUMBER(SEARCH("LLC",D22)),VLOOKUP(A22,Yards25[],25,FALSE),VLOOKUP(A22,Yards[],25,FALSE)))</f>
        <v>0</v>
      </c>
      <c r="R22" s="152"/>
    </row>
    <row r="23" spans="1:18">
      <c r="A23" s="147" t="s">
        <v>278</v>
      </c>
      <c r="B23" s="144" t="str">
        <f>VLOOKUP(A23,Data[],2,FALSE)</f>
        <v>BRONX</v>
      </c>
      <c r="C23" s="144" t="str">
        <f ca="1">IF(OR(F23="2019-2020",F23="2021-2025"),"",IF(ISNUMBER(SEARCH("LLC",D23)),VLOOKUP(A23,Yards25[],3,FALSE),VLOOKUP(A23,Yards[],3,FALSE)))</f>
        <v>New Waste Yard v3</v>
      </c>
      <c r="D23" s="9" t="str">
        <f>VLOOKUP(A23,Data[],52,FALSE)</f>
        <v>FEDERAL</v>
      </c>
      <c r="E23" s="9">
        <f>VLOOKUP(YardsAll[[#This Row],[DEVELOPMENT]],Data[],62,FALSE)</f>
        <v>1</v>
      </c>
      <c r="F23" s="9" t="str">
        <f ca="1">VLOOKUP(A23,Data[],4,FALSE)</f>
        <v/>
      </c>
      <c r="G23" s="9">
        <f ca="1">IF(OR(YardsAll[[#This Row],[RAD/PACT]]="2019-2020",YardsAll[[#This Row],[RAD/PACT]]="2021-2025"),"",IF(ISNUMBER(SEARCH("1",C23)),2,IF(ISNUMBER(SEARCH("2",C23)),1,IF(ISNUMBER(SEARCH("3",C23)),3,IF(ISNUMBER(SEARCH("4",C23)),4,IF(ISNUMBER(SEARCH("5",C23)),5,IF(ISNUMBER(SEARCH("6",C23)),6,IF(ISNUMBER(SEARCH("7",C23)),7,IF(ISNUMBER(SEARCH("8",C23)),8,0)))))))))</f>
        <v>3</v>
      </c>
      <c r="H23" s="143" t="str">
        <f ca="1">IF(YardsAll[[#This Row],[STATUS]]="","",IF(OR(F23="2019-2020",F23="2021-2025"),"",IF(ISNUMBER(SEARCH("LLC",D23)),VLOOKUP(A23,Yards25[],28,FALSE),VLOOKUP(A23,Yards[],28,FALSE))))</f>
        <v/>
      </c>
      <c r="I23" s="143" t="str">
        <f ca="1">IF(YardsAll[[#This Row],[STATUS]]="","",IF(OR(F23="2019-2020",F23="2021-2025"),"",IF(ISNUMBER(SEARCH("LLC",D23)),VLOOKUP(A23,Yards25[],17,FALSE),VLOOKUP(A23,Yards[],17,FALSE))))</f>
        <v/>
      </c>
      <c r="J23" s="143" t="str">
        <f ca="1">IF(YardsAll[[#This Row],[STATUS]]="","",IF(OR(F23="2019-2020",F23="2021-2025"),"",IF(ISNUMBER(SEARCH("LLC",D23)),VLOOKUP(A23,Yards25[],29,FALSE),VLOOKUP(A23,Yards[],29,FALSE))))</f>
        <v/>
      </c>
      <c r="K23" s="143" t="str">
        <f ca="1">IF(YardsAll[[#This Row],[STATUS]]="","",IF(OR(F23="2019-2020",F23="2021-2025"),"",IF(ISNUMBER(SEARCH("LLC",D23)),VLOOKUP(A23,Yards25[],19,FALSE),VLOOKUP(A23,Yards[],19,FALSE))))</f>
        <v/>
      </c>
      <c r="L23" s="143" t="str">
        <f ca="1">IF(IF(OR(F23="2019-2020",F23="2021-2025"),"",IF(ISNUMBER(SEARCH("LLC",D23)),VLOOKUP(A23,Yards25[],20,FALSE),VLOOKUP(A23,Yards[],20,FALSE)))=0,"",IF(OR(F23="2019-2020",F23="2021-2025"),"",IF(ISNUMBER(SEARCH("LLC",D23)),VLOOKUP(A23,Yards25[],20,FALSE),VLOOKUP(A23,Yards[],20,FALSE))))</f>
        <v/>
      </c>
      <c r="M23" s="151">
        <f ca="1">IF(OR(F23="2019-2020",F23="2021-2025"),"",IF(ISNUMBER(SEARCH("LLC",D23)),VLOOKUP(A23,Yards25[],21,FALSE),VLOOKUP(A23,Yards[],21,FALSE)))</f>
        <v>223257.39527325006</v>
      </c>
      <c r="N23" s="151">
        <f ca="1">IF(OR(F23="2019-2020",F23="2021-2025"),"",IF(ISNUMBER(SEARCH("LLC",D23)),VLOOKUP(A23,Yards25[],22,FALSE),VLOOKUP(A23,Yards[],22,FALSE)))</f>
        <v>2009316.5574592506</v>
      </c>
      <c r="O23" s="151">
        <f ca="1">SUM(YardsAll[[#This Row],[DSGN ESTIMATE]:[CONS ESTIMATE]])</f>
        <v>2232573.9527325006</v>
      </c>
      <c r="P23" s="143"/>
      <c r="Q23" s="143">
        <f ca="1">IF(OR(F23="2019-2020",F23="2021-2025"),"",IF(ISNUMBER(SEARCH("LLC",D23)),VLOOKUP(A23,Yards25[],25,FALSE),VLOOKUP(A23,Yards[],25,FALSE)))</f>
        <v>0</v>
      </c>
      <c r="R23" s="152"/>
    </row>
    <row r="24" spans="1:18">
      <c r="A24" s="147" t="s">
        <v>296</v>
      </c>
      <c r="B24" s="144" t="str">
        <f>VLOOKUP(A24,Data[],2,FALSE)</f>
        <v>BROOKLYN</v>
      </c>
      <c r="C24" s="144" t="str">
        <f ca="1">IF(OR(F24="2019-2020",F24="2021-2025"),"",IF(ISNUMBER(SEARCH("LLC",D24)),VLOOKUP(A24,Yards25[],3,FALSE),VLOOKUP(A24,Yards[],3,FALSE)))</f>
        <v>New Waste Yard v4</v>
      </c>
      <c r="D24" s="9" t="str">
        <f>VLOOKUP(A24,Data[],52,FALSE)</f>
        <v>FEDERAL</v>
      </c>
      <c r="E24" s="9">
        <f>VLOOKUP(YardsAll[[#This Row],[DEVELOPMENT]],Data[],62,FALSE)</f>
        <v>8</v>
      </c>
      <c r="F24" s="9" t="str">
        <f ca="1">VLOOKUP(A24,Data[],4,FALSE)</f>
        <v>2022-2025</v>
      </c>
      <c r="G24" s="9">
        <f ca="1">IF(OR(YardsAll[[#This Row],[RAD/PACT]]="2019-2020",YardsAll[[#This Row],[RAD/PACT]]="2021-2025"),"",IF(ISNUMBER(SEARCH("1",C24)),2,IF(ISNUMBER(SEARCH("2",C24)),1,IF(ISNUMBER(SEARCH("3",C24)),3,IF(ISNUMBER(SEARCH("4",C24)),4,IF(ISNUMBER(SEARCH("5",C24)),5,IF(ISNUMBER(SEARCH("6",C24)),6,IF(ISNUMBER(SEARCH("7",C24)),7,IF(ISNUMBER(SEARCH("8",C24)),8,0)))))))))</f>
        <v>4</v>
      </c>
      <c r="H24" s="143" t="str">
        <f ca="1">IF(YardsAll[[#This Row],[STATUS]]="","",IF(OR(F24="2019-2020",F24="2021-2025"),"",IF(ISNUMBER(SEARCH("LLC",D24)),VLOOKUP(A24,Yards25[],28,FALSE),VLOOKUP(A24,Yards[],28,FALSE))))</f>
        <v/>
      </c>
      <c r="I24" s="143" t="str">
        <f ca="1">IF(YardsAll[[#This Row],[STATUS]]="","",IF(OR(F24="2019-2020",F24="2021-2025"),"",IF(ISNUMBER(SEARCH("LLC",D24)),VLOOKUP(A24,Yards25[],17,FALSE),VLOOKUP(A24,Yards[],17,FALSE))))</f>
        <v/>
      </c>
      <c r="J24" s="143" t="str">
        <f ca="1">IF(YardsAll[[#This Row],[STATUS]]="","",IF(OR(F24="2019-2020",F24="2021-2025"),"",IF(ISNUMBER(SEARCH("LLC",D24)),VLOOKUP(A24,Yards25[],29,FALSE),VLOOKUP(A24,Yards[],29,FALSE))))</f>
        <v/>
      </c>
      <c r="K24" s="143" t="str">
        <f ca="1">IF(YardsAll[[#This Row],[STATUS]]="","",IF(OR(F24="2019-2020",F24="2021-2025"),"",IF(ISNUMBER(SEARCH("LLC",D24)),VLOOKUP(A24,Yards25[],19,FALSE),VLOOKUP(A24,Yards[],19,FALSE))))</f>
        <v/>
      </c>
      <c r="L24" s="143" t="str">
        <f ca="1">IF(IF(OR(F24="2019-2020",F24="2021-2025"),"",IF(ISNUMBER(SEARCH("LLC",D24)),VLOOKUP(A24,Yards25[],20,FALSE),VLOOKUP(A24,Yards[],20,FALSE)))=0,"",IF(OR(F24="2019-2020",F24="2021-2025"),"",IF(ISNUMBER(SEARCH("LLC",D24)),VLOOKUP(A24,Yards25[],20,FALSE),VLOOKUP(A24,Yards[],20,FALSE))))</f>
        <v/>
      </c>
      <c r="M24" s="151">
        <f ca="1">IF(OR(F24="2019-2020",F24="2021-2025"),"",IF(ISNUMBER(SEARCH("LLC",D24)),VLOOKUP(A24,Yards25[],21,FALSE),VLOOKUP(A24,Yards[],21,FALSE)))</f>
        <v>0</v>
      </c>
      <c r="N24" s="151">
        <f ca="1">IF(OR(F24="2019-2020",F24="2021-2025"),"",IF(ISNUMBER(SEARCH("LLC",D24)),VLOOKUP(A24,Yards25[],22,FALSE),VLOOKUP(A24,Yards[],22,FALSE)))</f>
        <v>0</v>
      </c>
      <c r="O24" s="151">
        <f ca="1">SUM(YardsAll[[#This Row],[DSGN ESTIMATE]:[CONS ESTIMATE]])</f>
        <v>0</v>
      </c>
      <c r="P24" s="143"/>
      <c r="Q24" s="143">
        <f ca="1">IF(OR(F24="2019-2020",F24="2021-2025"),"",IF(ISNUMBER(SEARCH("LLC",D24)),VLOOKUP(A24,Yards25[],25,FALSE),VLOOKUP(A24,Yards[],25,FALSE)))</f>
        <v>0</v>
      </c>
      <c r="R24" s="152"/>
    </row>
    <row r="25" spans="1:18">
      <c r="A25" s="147" t="s">
        <v>297</v>
      </c>
      <c r="B25" s="144" t="str">
        <f>VLOOKUP(A25,Data[],2,FALSE)</f>
        <v>BROOKLYN</v>
      </c>
      <c r="C25" s="144" t="str">
        <f ca="1">IF(OR(F25="2019-2020",F25="2021-2025"),"",IF(ISNUMBER(SEARCH("LLC",D25)),VLOOKUP(A25,Yards25[],3,FALSE),VLOOKUP(A25,Yards[],3,FALSE)))</f>
        <v>New Waste Yard v1</v>
      </c>
      <c r="D25" s="9" t="str">
        <f>VLOOKUP(A25,Data[],52,FALSE)</f>
        <v>FEDERAL</v>
      </c>
      <c r="E25" s="9">
        <f>VLOOKUP(YardsAll[[#This Row],[DEVELOPMENT]],Data[],62,FALSE)</f>
        <v>8</v>
      </c>
      <c r="F25" s="9" t="str">
        <f ca="1">VLOOKUP(A25,Data[],4,FALSE)</f>
        <v>2022-2025</v>
      </c>
      <c r="G25" s="9">
        <f ca="1">IF(OR(YardsAll[[#This Row],[RAD/PACT]]="2019-2020",YardsAll[[#This Row],[RAD/PACT]]="2021-2025"),"",IF(ISNUMBER(SEARCH("1",C25)),2,IF(ISNUMBER(SEARCH("2",C25)),1,IF(ISNUMBER(SEARCH("3",C25)),3,IF(ISNUMBER(SEARCH("4",C25)),4,IF(ISNUMBER(SEARCH("5",C25)),5,IF(ISNUMBER(SEARCH("6",C25)),6,IF(ISNUMBER(SEARCH("7",C25)),7,IF(ISNUMBER(SEARCH("8",C25)),8,0)))))))))</f>
        <v>2</v>
      </c>
      <c r="H25" s="143" t="str">
        <f ca="1">IF(YardsAll[[#This Row],[STATUS]]="","",IF(OR(F25="2019-2020",F25="2021-2025"),"",IF(ISNUMBER(SEARCH("LLC",D25)),VLOOKUP(A25,Yards25[],28,FALSE),VLOOKUP(A25,Yards[],28,FALSE))))</f>
        <v/>
      </c>
      <c r="I25" s="143" t="str">
        <f ca="1">IF(YardsAll[[#This Row],[STATUS]]="","",IF(OR(F25="2019-2020",F25="2021-2025"),"",IF(ISNUMBER(SEARCH("LLC",D25)),VLOOKUP(A25,Yards25[],17,FALSE),VLOOKUP(A25,Yards[],17,FALSE))))</f>
        <v/>
      </c>
      <c r="J25" s="143" t="str">
        <f ca="1">IF(YardsAll[[#This Row],[STATUS]]="","",IF(OR(F25="2019-2020",F25="2021-2025"),"",IF(ISNUMBER(SEARCH("LLC",D25)),VLOOKUP(A25,Yards25[],29,FALSE),VLOOKUP(A25,Yards[],29,FALSE))))</f>
        <v/>
      </c>
      <c r="K25" s="143" t="str">
        <f ca="1">IF(YardsAll[[#This Row],[STATUS]]="","",IF(OR(F25="2019-2020",F25="2021-2025"),"",IF(ISNUMBER(SEARCH("LLC",D25)),VLOOKUP(A25,Yards25[],19,FALSE),VLOOKUP(A25,Yards[],19,FALSE))))</f>
        <v/>
      </c>
      <c r="L25" s="143" t="str">
        <f ca="1">IF(IF(OR(F25="2019-2020",F25="2021-2025"),"",IF(ISNUMBER(SEARCH("LLC",D25)),VLOOKUP(A25,Yards25[],20,FALSE),VLOOKUP(A25,Yards[],20,FALSE)))=0,"",IF(OR(F25="2019-2020",F25="2021-2025"),"",IF(ISNUMBER(SEARCH("LLC",D25)),VLOOKUP(A25,Yards25[],20,FALSE),VLOOKUP(A25,Yards[],20,FALSE))))</f>
        <v/>
      </c>
      <c r="M25" s="151">
        <f ca="1">IF(OR(F25="2019-2020",F25="2021-2025"),"",IF(ISNUMBER(SEARCH("LLC",D25)),VLOOKUP(A25,Yards25[],21,FALSE),VLOOKUP(A25,Yards[],21,FALSE)))</f>
        <v>0</v>
      </c>
      <c r="N25" s="151">
        <f ca="1">IF(OR(F25="2019-2020",F25="2021-2025"),"",IF(ISNUMBER(SEARCH("LLC",D25)),VLOOKUP(A25,Yards25[],22,FALSE),VLOOKUP(A25,Yards[],22,FALSE)))</f>
        <v>0</v>
      </c>
      <c r="O25" s="151">
        <f ca="1">SUM(YardsAll[[#This Row],[DSGN ESTIMATE]:[CONS ESTIMATE]])</f>
        <v>0</v>
      </c>
      <c r="P25" s="143"/>
      <c r="Q25" s="143">
        <f ca="1">IF(OR(F25="2019-2020",F25="2021-2025"),"",IF(ISNUMBER(SEARCH("LLC",D25)),VLOOKUP(A25,Yards25[],25,FALSE),VLOOKUP(A25,Yards[],25,FALSE)))</f>
        <v>0</v>
      </c>
      <c r="R25" s="152"/>
    </row>
    <row r="26" spans="1:18">
      <c r="A26" s="147" t="s">
        <v>261</v>
      </c>
      <c r="B26" s="144" t="str">
        <f>VLOOKUP(A26,Data[],2,FALSE)</f>
        <v>MANHATTAN</v>
      </c>
      <c r="C26" s="144" t="str">
        <f ca="1">IF(OR(F26="2019-2020",F26="2021-2025"),"",IF(ISNUMBER(SEARCH("LLC",D26)),VLOOKUP(A26,Yards25[],3,FALSE),VLOOKUP(A26,Yards[],3,FALSE)))</f>
        <v>New Waste Yard v4</v>
      </c>
      <c r="D26" s="9" t="str">
        <f>VLOOKUP(A26,Data[],52,FALSE)</f>
        <v>FEDERAL</v>
      </c>
      <c r="E26" s="9">
        <f>VLOOKUP(YardsAll[[#This Row],[DEVELOPMENT]],Data[],62,FALSE)</f>
        <v>7</v>
      </c>
      <c r="F26" s="9" t="str">
        <f ca="1">VLOOKUP(A26,Data[],4,FALSE)</f>
        <v/>
      </c>
      <c r="G26" s="9">
        <f ca="1">IF(OR(YardsAll[[#This Row],[RAD/PACT]]="2019-2020",YardsAll[[#This Row],[RAD/PACT]]="2021-2025"),"",IF(ISNUMBER(SEARCH("1",C26)),2,IF(ISNUMBER(SEARCH("2",C26)),1,IF(ISNUMBER(SEARCH("3",C26)),3,IF(ISNUMBER(SEARCH("4",C26)),4,IF(ISNUMBER(SEARCH("5",C26)),5,IF(ISNUMBER(SEARCH("6",C26)),6,IF(ISNUMBER(SEARCH("7",C26)),7,IF(ISNUMBER(SEARCH("8",C26)),8,0)))))))))</f>
        <v>4</v>
      </c>
      <c r="H26" s="143" t="str">
        <f ca="1">IF(YardsAll[[#This Row],[STATUS]]="","",IF(OR(F26="2019-2020",F26="2021-2025"),"",IF(ISNUMBER(SEARCH("LLC",D26)),VLOOKUP(A26,Yards25[],28,FALSE),VLOOKUP(A26,Yards[],28,FALSE))))</f>
        <v/>
      </c>
      <c r="I26" s="143" t="str">
        <f ca="1">IF(YardsAll[[#This Row],[STATUS]]="","",IF(OR(F26="2019-2020",F26="2021-2025"),"",IF(ISNUMBER(SEARCH("LLC",D26)),VLOOKUP(A26,Yards25[],17,FALSE),VLOOKUP(A26,Yards[],17,FALSE))))</f>
        <v/>
      </c>
      <c r="J26" s="143" t="str">
        <f ca="1">IF(YardsAll[[#This Row],[STATUS]]="","",IF(OR(F26="2019-2020",F26="2021-2025"),"",IF(ISNUMBER(SEARCH("LLC",D26)),VLOOKUP(A26,Yards25[],29,FALSE),VLOOKUP(A26,Yards[],29,FALSE))))</f>
        <v/>
      </c>
      <c r="K26" s="143" t="str">
        <f ca="1">IF(YardsAll[[#This Row],[STATUS]]="","",IF(OR(F26="2019-2020",F26="2021-2025"),"",IF(ISNUMBER(SEARCH("LLC",D26)),VLOOKUP(A26,Yards25[],19,FALSE),VLOOKUP(A26,Yards[],19,FALSE))))</f>
        <v/>
      </c>
      <c r="L26" s="143" t="str">
        <f ca="1">IF(IF(OR(F26="2019-2020",F26="2021-2025"),"",IF(ISNUMBER(SEARCH("LLC",D26)),VLOOKUP(A26,Yards25[],20,FALSE),VLOOKUP(A26,Yards[],20,FALSE)))=0,"",IF(OR(F26="2019-2020",F26="2021-2025"),"",IF(ISNUMBER(SEARCH("LLC",D26)),VLOOKUP(A26,Yards25[],20,FALSE),VLOOKUP(A26,Yards[],20,FALSE))))</f>
        <v/>
      </c>
      <c r="M26" s="151">
        <f ca="1">IF(OR(F26="2019-2020",F26="2021-2025"),"",IF(ISNUMBER(SEARCH("LLC",D26)),VLOOKUP(A26,Yards25[],21,FALSE),VLOOKUP(A26,Yards[],21,FALSE)))</f>
        <v>267844.30517460004</v>
      </c>
      <c r="N26" s="151">
        <f ca="1">IF(OR(F26="2019-2020",F26="2021-2025"),"",IF(ISNUMBER(SEARCH("LLC",D26)),VLOOKUP(A26,Yards25[],22,FALSE),VLOOKUP(A26,Yards[],22,FALSE)))</f>
        <v>2410598.7465714007</v>
      </c>
      <c r="O26" s="151">
        <f ca="1">SUM(YardsAll[[#This Row],[DSGN ESTIMATE]:[CONS ESTIMATE]])</f>
        <v>2678443.0517460005</v>
      </c>
      <c r="P26" s="143"/>
      <c r="Q26" s="143">
        <f ca="1">IF(OR(F26="2019-2020",F26="2021-2025"),"",IF(ISNUMBER(SEARCH("LLC",D26)),VLOOKUP(A26,Yards25[],25,FALSE),VLOOKUP(A26,Yards[],25,FALSE)))</f>
        <v>0</v>
      </c>
      <c r="R26" s="152"/>
    </row>
    <row r="27" spans="1:18">
      <c r="A27" s="147" t="s">
        <v>262</v>
      </c>
      <c r="B27" s="144" t="str">
        <f>VLOOKUP(A27,Data[],2,FALSE)</f>
        <v>MANHATTAN</v>
      </c>
      <c r="C27" s="144" t="str">
        <f ca="1">IF(OR(F27="2019-2020",F27="2021-2025"),"",IF(ISNUMBER(SEARCH("LLC",D27)),VLOOKUP(A27,Yards25[],3,FALSE),VLOOKUP(A27,Yards[],3,FALSE)))</f>
        <v>New Waste Yard v1</v>
      </c>
      <c r="D27" s="9" t="str">
        <f>VLOOKUP(A27,Data[],52,FALSE)</f>
        <v>MIXED FINANCE/LLC1</v>
      </c>
      <c r="E27" s="9">
        <f>VLOOKUP(YardsAll[[#This Row],[DEVELOPMENT]],Data[],62,FALSE)</f>
        <v>7</v>
      </c>
      <c r="F27" s="9" t="str">
        <f ca="1">VLOOKUP(A27,Data[],4,FALSE)</f>
        <v/>
      </c>
      <c r="G27" s="9">
        <f ca="1">IF(OR(YardsAll[[#This Row],[RAD/PACT]]="2019-2020",YardsAll[[#This Row],[RAD/PACT]]="2021-2025"),"",IF(ISNUMBER(SEARCH("1",C27)),2,IF(ISNUMBER(SEARCH("2",C27)),1,IF(ISNUMBER(SEARCH("3",C27)),3,IF(ISNUMBER(SEARCH("4",C27)),4,IF(ISNUMBER(SEARCH("5",C27)),5,IF(ISNUMBER(SEARCH("6",C27)),6,IF(ISNUMBER(SEARCH("7",C27)),7,IF(ISNUMBER(SEARCH("8",C27)),8,0)))))))))</f>
        <v>2</v>
      </c>
      <c r="H27" s="143" t="str">
        <f ca="1">IF(YardsAll[[#This Row],[STATUS]]="","",IF(OR(F27="2019-2020",F27="2021-2025"),"",IF(ISNUMBER(SEARCH("LLC",D27)),VLOOKUP(A27,Yards25[],28,FALSE),VLOOKUP(A27,Yards[],28,FALSE))))</f>
        <v/>
      </c>
      <c r="I27" s="143" t="str">
        <f ca="1">IF(YardsAll[[#This Row],[STATUS]]="","",IF(OR(F27="2019-2020",F27="2021-2025"),"",IF(ISNUMBER(SEARCH("LLC",D27)),VLOOKUP(A27,Yards25[],17,FALSE),VLOOKUP(A27,Yards[],17,FALSE))))</f>
        <v/>
      </c>
      <c r="J27" s="143" t="str">
        <f ca="1">IF(YardsAll[[#This Row],[STATUS]]="","",IF(OR(F27="2019-2020",F27="2021-2025"),"",IF(ISNUMBER(SEARCH("LLC",D27)),VLOOKUP(A27,Yards25[],29,FALSE),VLOOKUP(A27,Yards[],29,FALSE))))</f>
        <v/>
      </c>
      <c r="K27" s="143" t="str">
        <f ca="1">IF(YardsAll[[#This Row],[STATUS]]="","",IF(OR(F27="2019-2020",F27="2021-2025"),"",IF(ISNUMBER(SEARCH("LLC",D27)),VLOOKUP(A27,Yards25[],19,FALSE),VLOOKUP(A27,Yards[],19,FALSE))))</f>
        <v/>
      </c>
      <c r="L27" s="143" t="str">
        <f ca="1">IF(IF(OR(F27="2019-2020",F27="2021-2025"),"",IF(ISNUMBER(SEARCH("LLC",D27)),VLOOKUP(A27,Yards25[],20,FALSE),VLOOKUP(A27,Yards[],20,FALSE)))=0,"",IF(OR(F27="2019-2020",F27="2021-2025"),"",IF(ISNUMBER(SEARCH("LLC",D27)),VLOOKUP(A27,Yards25[],20,FALSE),VLOOKUP(A27,Yards[],20,FALSE))))</f>
        <v/>
      </c>
      <c r="M27" s="151">
        <f ca="1">IF(OR(F27="2019-2020",F27="2021-2025"),"",IF(ISNUMBER(SEARCH("LLC",D27)),VLOOKUP(A27,Yards25[],21,FALSE),VLOOKUP(A27,Yards[],21,FALSE)))</f>
        <v>212386.62609500007</v>
      </c>
      <c r="N27" s="151">
        <f ca="1">IF(OR(F27="2019-2020",F27="2021-2025"),"",IF(ISNUMBER(SEARCH("LLC",D27)),VLOOKUP(A27,Yards25[],22,FALSE),VLOOKUP(A27,Yards[],22,FALSE)))</f>
        <v>1911479.6348550003</v>
      </c>
      <c r="O27" s="151">
        <f ca="1">SUM(YardsAll[[#This Row],[DSGN ESTIMATE]:[CONS ESTIMATE]])</f>
        <v>2123866.2609500005</v>
      </c>
      <c r="P27" s="143"/>
      <c r="Q27" s="143">
        <f ca="1">IF(OR(F27="2019-2020",F27="2021-2025"),"",IF(ISNUMBER(SEARCH("LLC",D27)),VLOOKUP(A27,Yards25[],25,FALSE),VLOOKUP(A27,Yards[],25,FALSE)))</f>
        <v>0</v>
      </c>
      <c r="R27" s="152"/>
    </row>
    <row r="28" spans="1:18">
      <c r="A28" s="148" t="s">
        <v>298</v>
      </c>
      <c r="B28" s="144" t="str">
        <f>VLOOKUP(A28,Data[],2,FALSE)</f>
        <v>BROOKLYN</v>
      </c>
      <c r="C28" s="144" t="str">
        <f ca="1">IF(OR(F28="2019-2020",F28="2021-2025"),"",IF(ISNUMBER(SEARCH("LLC",D28)),VLOOKUP(A28,Yards25[],3,FALSE),VLOOKUP(A28,Yards[],3,FALSE)))</f>
        <v>New Waste Yard v1</v>
      </c>
      <c r="D28" s="9" t="str">
        <f>VLOOKUP(A28,Data[],52,FALSE)</f>
        <v>FEDERAL</v>
      </c>
      <c r="E28" s="9">
        <f>VLOOKUP(YardsAll[[#This Row],[DEVELOPMENT]],Data[],62,FALSE)</f>
        <v>3</v>
      </c>
      <c r="F28" s="9">
        <f ca="1">VLOOKUP(A28,Data[],4,FALSE)</f>
        <v>2019</v>
      </c>
      <c r="G28" s="9">
        <f ca="1">IF(OR(YardsAll[[#This Row],[RAD/PACT]]="2019-2020",YardsAll[[#This Row],[RAD/PACT]]="2021-2025"),"",IF(ISNUMBER(SEARCH("1",C28)),2,IF(ISNUMBER(SEARCH("2",C28)),1,IF(ISNUMBER(SEARCH("3",C28)),3,IF(ISNUMBER(SEARCH("4",C28)),4,IF(ISNUMBER(SEARCH("5",C28)),5,IF(ISNUMBER(SEARCH("6",C28)),6,IF(ISNUMBER(SEARCH("7",C28)),7,IF(ISNUMBER(SEARCH("8",C28)),8,0)))))))))</f>
        <v>2</v>
      </c>
      <c r="H28" s="143" t="str">
        <f ca="1">IF(YardsAll[[#This Row],[STATUS]]="","",IF(OR(F28="2019-2020",F28="2021-2025"),"",IF(ISNUMBER(SEARCH("LLC",D28)),VLOOKUP(A28,Yards25[],28,FALSE),VLOOKUP(A28,Yards[],28,FALSE))))</f>
        <v/>
      </c>
      <c r="I28" s="143" t="str">
        <f ca="1">IF(YardsAll[[#This Row],[STATUS]]="","",IF(OR(F28="2019-2020",F28="2021-2025"),"",IF(ISNUMBER(SEARCH("LLC",D28)),VLOOKUP(A28,Yards25[],17,FALSE),VLOOKUP(A28,Yards[],17,FALSE))))</f>
        <v/>
      </c>
      <c r="J28" s="143" t="str">
        <f ca="1">IF(YardsAll[[#This Row],[STATUS]]="","",IF(OR(F28="2019-2020",F28="2021-2025"),"",IF(ISNUMBER(SEARCH("LLC",D28)),VLOOKUP(A28,Yards25[],29,FALSE),VLOOKUP(A28,Yards[],29,FALSE))))</f>
        <v/>
      </c>
      <c r="K28" s="143" t="str">
        <f ca="1">IF(YardsAll[[#This Row],[STATUS]]="","",IF(OR(F28="2019-2020",F28="2021-2025"),"",IF(ISNUMBER(SEARCH("LLC",D28)),VLOOKUP(A28,Yards25[],19,FALSE),VLOOKUP(A28,Yards[],19,FALSE))))</f>
        <v/>
      </c>
      <c r="L28" s="143" t="str">
        <f ca="1">IF(IF(OR(F28="2019-2020",F28="2021-2025"),"",IF(ISNUMBER(SEARCH("LLC",D28)),VLOOKUP(A28,Yards25[],20,FALSE),VLOOKUP(A28,Yards[],20,FALSE)))=0,"",IF(OR(F28="2019-2020",F28="2021-2025"),"",IF(ISNUMBER(SEARCH("LLC",D28)),VLOOKUP(A28,Yards25[],20,FALSE),VLOOKUP(A28,Yards[],20,FALSE))))</f>
        <v/>
      </c>
      <c r="M28" s="151">
        <f ca="1">IF(OR(F28="2019-2020",F28="2021-2025"),"",IF(ISNUMBER(SEARCH("LLC",D28)),VLOOKUP(A28,Yards25[],21,FALSE),VLOOKUP(A28,Yards[],21,FALSE)))</f>
        <v>0</v>
      </c>
      <c r="N28" s="151">
        <f ca="1">IF(OR(F28="2019-2020",F28="2021-2025"),"",IF(ISNUMBER(SEARCH("LLC",D28)),VLOOKUP(A28,Yards25[],22,FALSE),VLOOKUP(A28,Yards[],22,FALSE)))</f>
        <v>0</v>
      </c>
      <c r="O28" s="151">
        <f ca="1">SUM(YardsAll[[#This Row],[DSGN ESTIMATE]:[CONS ESTIMATE]])</f>
        <v>0</v>
      </c>
      <c r="P28" s="143"/>
      <c r="Q28" s="143">
        <f ca="1">IF(OR(F28="2019-2020",F28="2021-2025"),"",IF(ISNUMBER(SEARCH("LLC",D28)),VLOOKUP(A28,Yards25[],25,FALSE),VLOOKUP(A28,Yards[],25,FALSE)))</f>
        <v>0</v>
      </c>
      <c r="R28" s="152"/>
    </row>
    <row r="29" spans="1:18">
      <c r="A29" s="148" t="s">
        <v>230</v>
      </c>
      <c r="B29" s="144" t="str">
        <f>VLOOKUP(A29,Data[],2,FALSE)</f>
        <v>BROOKLYN</v>
      </c>
      <c r="C29" s="144" t="str">
        <f ca="1">IF(OR(F29="2019-2020",F29="2021-2025"),"",IF(ISNUMBER(SEARCH("LLC",D29)),VLOOKUP(A29,Yards25[],3,FALSE),VLOOKUP(A29,Yards[],3,FALSE)))</f>
        <v>New Waste Yard v1</v>
      </c>
      <c r="D29" s="9" t="str">
        <f>VLOOKUP(A29,Data[],52,FALSE)</f>
        <v>FEDERAL</v>
      </c>
      <c r="E29" s="9">
        <f>VLOOKUP(YardsAll[[#This Row],[DEVELOPMENT]],Data[],62,FALSE)</f>
        <v>3</v>
      </c>
      <c r="F29" s="9">
        <f ca="1">VLOOKUP(A29,Data[],4,FALSE)</f>
        <v>2019</v>
      </c>
      <c r="G29" s="9">
        <f ca="1">IF(OR(YardsAll[[#This Row],[RAD/PACT]]="2019-2020",YardsAll[[#This Row],[RAD/PACT]]="2021-2025"),"",IF(ISNUMBER(SEARCH("1",C29)),2,IF(ISNUMBER(SEARCH("2",C29)),1,IF(ISNUMBER(SEARCH("3",C29)),3,IF(ISNUMBER(SEARCH("4",C29)),4,IF(ISNUMBER(SEARCH("5",C29)),5,IF(ISNUMBER(SEARCH("6",C29)),6,IF(ISNUMBER(SEARCH("7",C29)),7,IF(ISNUMBER(SEARCH("8",C29)),8,0)))))))))</f>
        <v>2</v>
      </c>
      <c r="H29" s="143" t="str">
        <f ca="1">IF(YardsAll[[#This Row],[STATUS]]="","",IF(OR(F29="2019-2020",F29="2021-2025"),"",IF(ISNUMBER(SEARCH("LLC",D29)),VLOOKUP(A29,Yards25[],28,FALSE),VLOOKUP(A29,Yards[],28,FALSE))))</f>
        <v/>
      </c>
      <c r="I29" s="143" t="str">
        <f ca="1">IF(YardsAll[[#This Row],[STATUS]]="","",IF(OR(F29="2019-2020",F29="2021-2025"),"",IF(ISNUMBER(SEARCH("LLC",D29)),VLOOKUP(A29,Yards25[],17,FALSE),VLOOKUP(A29,Yards[],17,FALSE))))</f>
        <v/>
      </c>
      <c r="J29" s="143" t="str">
        <f ca="1">IF(YardsAll[[#This Row],[STATUS]]="","",IF(OR(F29="2019-2020",F29="2021-2025"),"",IF(ISNUMBER(SEARCH("LLC",D29)),VLOOKUP(A29,Yards25[],29,FALSE),VLOOKUP(A29,Yards[],29,FALSE))))</f>
        <v/>
      </c>
      <c r="K29" s="143" t="str">
        <f ca="1">IF(YardsAll[[#This Row],[STATUS]]="","",IF(OR(F29="2019-2020",F29="2021-2025"),"",IF(ISNUMBER(SEARCH("LLC",D29)),VLOOKUP(A29,Yards25[],19,FALSE),VLOOKUP(A29,Yards[],19,FALSE))))</f>
        <v/>
      </c>
      <c r="L29" s="143" t="str">
        <f ca="1">IF(IF(OR(F29="2019-2020",F29="2021-2025"),"",IF(ISNUMBER(SEARCH("LLC",D29)),VLOOKUP(A29,Yards25[],20,FALSE),VLOOKUP(A29,Yards[],20,FALSE)))=0,"",IF(OR(F29="2019-2020",F29="2021-2025"),"",IF(ISNUMBER(SEARCH("LLC",D29)),VLOOKUP(A29,Yards25[],20,FALSE),VLOOKUP(A29,Yards[],20,FALSE))))</f>
        <v/>
      </c>
      <c r="M29" s="151">
        <f ca="1">IF(OR(F29="2019-2020",F29="2021-2025"),"",IF(ISNUMBER(SEARCH("LLC",D29)),VLOOKUP(A29,Yards25[],21,FALSE),VLOOKUP(A29,Yards[],21,FALSE)))</f>
        <v>0</v>
      </c>
      <c r="N29" s="151">
        <f ca="1">IF(OR(F29="2019-2020",F29="2021-2025"),"",IF(ISNUMBER(SEARCH("LLC",D29)),VLOOKUP(A29,Yards25[],22,FALSE),VLOOKUP(A29,Yards[],22,FALSE)))</f>
        <v>0</v>
      </c>
      <c r="O29" s="151">
        <f ca="1">SUM(YardsAll[[#This Row],[DSGN ESTIMATE]:[CONS ESTIMATE]])</f>
        <v>0</v>
      </c>
      <c r="P29" s="143"/>
      <c r="Q29" s="143">
        <f ca="1">IF(OR(F29="2019-2020",F29="2021-2025"),"",IF(ISNUMBER(SEARCH("LLC",D29)),VLOOKUP(A29,Yards25[],25,FALSE),VLOOKUP(A29,Yards[],25,FALSE)))</f>
        <v>0</v>
      </c>
      <c r="R29" s="152"/>
    </row>
    <row r="30" spans="1:18">
      <c r="A30" s="147" t="s">
        <v>272</v>
      </c>
      <c r="B30" s="144" t="str">
        <f>VLOOKUP(A30,Data[],2,FALSE)</f>
        <v>QUEENS</v>
      </c>
      <c r="C30" s="144" t="str">
        <f ca="1">IF(OR(F30="2019-2020",F30="2021-2025"),"",IF(ISNUMBER(SEARCH("LLC",D30)),VLOOKUP(A30,Yards25[],3,FALSE),VLOOKUP(A30,Yards[],3,FALSE)))</f>
        <v>New Waste Yard v4</v>
      </c>
      <c r="D30" s="9" t="str">
        <f>VLOOKUP(A30,Data[],52,FALSE)</f>
        <v>FEDERAL</v>
      </c>
      <c r="E30" s="9">
        <f>VLOOKUP(YardsAll[[#This Row],[DEVELOPMENT]],Data[],62,FALSE)</f>
        <v>1</v>
      </c>
      <c r="F30" s="9" t="str">
        <f ca="1">VLOOKUP(A30,Data[],4,FALSE)</f>
        <v>2022-2025</v>
      </c>
      <c r="G30" s="9">
        <f ca="1">IF(OR(YardsAll[[#This Row],[RAD/PACT]]="2019-2020",YardsAll[[#This Row],[RAD/PACT]]="2021-2025"),"",IF(ISNUMBER(SEARCH("1",C30)),2,IF(ISNUMBER(SEARCH("2",C30)),1,IF(ISNUMBER(SEARCH("3",C30)),3,IF(ISNUMBER(SEARCH("4",C30)),4,IF(ISNUMBER(SEARCH("5",C30)),5,IF(ISNUMBER(SEARCH("6",C30)),6,IF(ISNUMBER(SEARCH("7",C30)),7,IF(ISNUMBER(SEARCH("8",C30)),8,0)))))))))</f>
        <v>4</v>
      </c>
      <c r="H30" s="143" t="str">
        <f ca="1">IF(YardsAll[[#This Row],[STATUS]]="","",IF(OR(F30="2019-2020",F30="2021-2025"),"",IF(ISNUMBER(SEARCH("LLC",D30)),VLOOKUP(A30,Yards25[],28,FALSE),VLOOKUP(A30,Yards[],28,FALSE))))</f>
        <v/>
      </c>
      <c r="I30" s="143" t="str">
        <f ca="1">IF(YardsAll[[#This Row],[STATUS]]="","",IF(OR(F30="2019-2020",F30="2021-2025"),"",IF(ISNUMBER(SEARCH("LLC",D30)),VLOOKUP(A30,Yards25[],17,FALSE),VLOOKUP(A30,Yards[],17,FALSE))))</f>
        <v/>
      </c>
      <c r="J30" s="143" t="str">
        <f ca="1">IF(YardsAll[[#This Row],[STATUS]]="","",IF(OR(F30="2019-2020",F30="2021-2025"),"",IF(ISNUMBER(SEARCH("LLC",D30)),VLOOKUP(A30,Yards25[],29,FALSE),VLOOKUP(A30,Yards[],29,FALSE))))</f>
        <v/>
      </c>
      <c r="K30" s="143" t="str">
        <f ca="1">IF(YardsAll[[#This Row],[STATUS]]="","",IF(OR(F30="2019-2020",F30="2021-2025"),"",IF(ISNUMBER(SEARCH("LLC",D30)),VLOOKUP(A30,Yards25[],19,FALSE),VLOOKUP(A30,Yards[],19,FALSE))))</f>
        <v/>
      </c>
      <c r="L30" s="143" t="str">
        <f ca="1">IF(IF(OR(F30="2019-2020",F30="2021-2025"),"",IF(ISNUMBER(SEARCH("LLC",D30)),VLOOKUP(A30,Yards25[],20,FALSE),VLOOKUP(A30,Yards[],20,FALSE)))=0,"",IF(OR(F30="2019-2020",F30="2021-2025"),"",IF(ISNUMBER(SEARCH("LLC",D30)),VLOOKUP(A30,Yards25[],20,FALSE),VLOOKUP(A30,Yards[],20,FALSE))))</f>
        <v/>
      </c>
      <c r="M30" s="151">
        <f ca="1">IF(OR(F30="2019-2020",F30="2021-2025"),"",IF(ISNUMBER(SEARCH("LLC",D30)),VLOOKUP(A30,Yards25[],21,FALSE),VLOOKUP(A30,Yards[],21,FALSE)))</f>
        <v>0</v>
      </c>
      <c r="N30" s="151">
        <f ca="1">IF(OR(F30="2019-2020",F30="2021-2025"),"",IF(ISNUMBER(SEARCH("LLC",D30)),VLOOKUP(A30,Yards25[],22,FALSE),VLOOKUP(A30,Yards[],22,FALSE)))</f>
        <v>0</v>
      </c>
      <c r="O30" s="151">
        <f ca="1">SUM(YardsAll[[#This Row],[DSGN ESTIMATE]:[CONS ESTIMATE]])</f>
        <v>0</v>
      </c>
      <c r="P30" s="143"/>
      <c r="Q30" s="143">
        <f ca="1">IF(OR(F30="2019-2020",F30="2021-2025"),"",IF(ISNUMBER(SEARCH("LLC",D30)),VLOOKUP(A30,Yards25[],25,FALSE),VLOOKUP(A30,Yards[],25,FALSE)))</f>
        <v>0</v>
      </c>
      <c r="R30" s="152"/>
    </row>
    <row r="31" spans="1:18">
      <c r="A31" s="147" t="s">
        <v>299</v>
      </c>
      <c r="B31" s="144" t="str">
        <f>VLOOKUP(A31,Data[],2,FALSE)</f>
        <v>BROOKLYN</v>
      </c>
      <c r="C31" s="144" t="str">
        <f ca="1">IF(OR(F31="2019-2020",F31="2021-2025"),"",IF(ISNUMBER(SEARCH("LLC",D31)),VLOOKUP(A31,Yards25[],3,FALSE),VLOOKUP(A31,Yards[],3,FALSE)))</f>
        <v>New Waste Yard v1</v>
      </c>
      <c r="D31" s="9" t="str">
        <f>VLOOKUP(A31,Data[],52,FALSE)</f>
        <v>FEDERAL</v>
      </c>
      <c r="E31" s="9">
        <f>VLOOKUP(YardsAll[[#This Row],[DEVELOPMENT]],Data[],62,FALSE)</f>
        <v>2</v>
      </c>
      <c r="F31" s="9" t="str">
        <f ca="1">VLOOKUP(A31,Data[],4,FALSE)</f>
        <v/>
      </c>
      <c r="G31" s="9">
        <f ca="1">IF(OR(YardsAll[[#This Row],[RAD/PACT]]="2019-2020",YardsAll[[#This Row],[RAD/PACT]]="2021-2025"),"",IF(ISNUMBER(SEARCH("1",C31)),2,IF(ISNUMBER(SEARCH("2",C31)),1,IF(ISNUMBER(SEARCH("3",C31)),3,IF(ISNUMBER(SEARCH("4",C31)),4,IF(ISNUMBER(SEARCH("5",C31)),5,IF(ISNUMBER(SEARCH("6",C31)),6,IF(ISNUMBER(SEARCH("7",C31)),7,IF(ISNUMBER(SEARCH("8",C31)),8,0)))))))))</f>
        <v>2</v>
      </c>
      <c r="H31" s="143" t="str">
        <f ca="1">IF(YardsAll[[#This Row],[STATUS]]="","",IF(OR(F31="2019-2020",F31="2021-2025"),"",IF(ISNUMBER(SEARCH("LLC",D31)),VLOOKUP(A31,Yards25[],28,FALSE),VLOOKUP(A31,Yards[],28,FALSE))))</f>
        <v/>
      </c>
      <c r="I31" s="143" t="str">
        <f ca="1">IF(YardsAll[[#This Row],[STATUS]]="","",IF(OR(F31="2019-2020",F31="2021-2025"),"",IF(ISNUMBER(SEARCH("LLC",D31)),VLOOKUP(A31,Yards25[],17,FALSE),VLOOKUP(A31,Yards[],17,FALSE))))</f>
        <v/>
      </c>
      <c r="J31" s="143" t="str">
        <f ca="1">IF(YardsAll[[#This Row],[STATUS]]="","",IF(OR(F31="2019-2020",F31="2021-2025"),"",IF(ISNUMBER(SEARCH("LLC",D31)),VLOOKUP(A31,Yards25[],29,FALSE),VLOOKUP(A31,Yards[],29,FALSE))))</f>
        <v/>
      </c>
      <c r="K31" s="143" t="str">
        <f ca="1">IF(YardsAll[[#This Row],[STATUS]]="","",IF(OR(F31="2019-2020",F31="2021-2025"),"",IF(ISNUMBER(SEARCH("LLC",D31)),VLOOKUP(A31,Yards25[],19,FALSE),VLOOKUP(A31,Yards[],19,FALSE))))</f>
        <v/>
      </c>
      <c r="L31" s="143" t="str">
        <f ca="1">IF(IF(OR(F31="2019-2020",F31="2021-2025"),"",IF(ISNUMBER(SEARCH("LLC",D31)),VLOOKUP(A31,Yards25[],20,FALSE),VLOOKUP(A31,Yards[],20,FALSE)))=0,"",IF(OR(F31="2019-2020",F31="2021-2025"),"",IF(ISNUMBER(SEARCH("LLC",D31)),VLOOKUP(A31,Yards25[],20,FALSE),VLOOKUP(A31,Yards[],20,FALSE))))</f>
        <v/>
      </c>
      <c r="M31" s="151">
        <f ca="1">IF(OR(F31="2019-2020",F31="2021-2025"),"",IF(ISNUMBER(SEARCH("LLC",D31)),VLOOKUP(A31,Yards25[],21,FALSE),VLOOKUP(A31,Yards[],21,FALSE)))</f>
        <v>231365.85651200006</v>
      </c>
      <c r="N31" s="151">
        <f ca="1">IF(OR(F31="2019-2020",F31="2021-2025"),"",IF(ISNUMBER(SEARCH("LLC",D31)),VLOOKUP(A31,Yards25[],22,FALSE),VLOOKUP(A31,Yards[],22,FALSE)))</f>
        <v>2082292.7086080003</v>
      </c>
      <c r="O31" s="151">
        <f ca="1">SUM(YardsAll[[#This Row],[DSGN ESTIMATE]:[CONS ESTIMATE]])</f>
        <v>2313658.5651200004</v>
      </c>
      <c r="P31" s="143"/>
      <c r="Q31" s="143">
        <f ca="1">IF(OR(F31="2019-2020",F31="2021-2025"),"",IF(ISNUMBER(SEARCH("LLC",D31)),VLOOKUP(A31,Yards25[],25,FALSE),VLOOKUP(A31,Yards[],25,FALSE)))</f>
        <v>0</v>
      </c>
      <c r="R31" s="152"/>
    </row>
    <row r="32" spans="1:18">
      <c r="A32" s="147" t="s">
        <v>70</v>
      </c>
      <c r="B32" s="144" t="str">
        <f>VLOOKUP(A32,Data[],2,FALSE)</f>
        <v>MANHATTAN</v>
      </c>
      <c r="C32" s="144" t="str">
        <f ca="1">IF(OR(F32="2019-2020",F32="2021-2025"),"",IF(ISNUMBER(SEARCH("LLC",D32)),VLOOKUP(A32,Yards25[],3,FALSE),VLOOKUP(A32,Yards[],3,FALSE)))</f>
        <v>New Waste Yard v1</v>
      </c>
      <c r="D32" s="9" t="str">
        <f>VLOOKUP(A32,Data[],52,FALSE)</f>
        <v>FEDERAL</v>
      </c>
      <c r="E32" s="9">
        <f>VLOOKUP(YardsAll[[#This Row],[DEVELOPMENT]],Data[],62,FALSE)</f>
        <v>9</v>
      </c>
      <c r="F32" s="9" t="str">
        <f ca="1">VLOOKUP(A32,Data[],4,FALSE)</f>
        <v>2020-2021</v>
      </c>
      <c r="G32" s="9">
        <f ca="1">IF(OR(YardsAll[[#This Row],[RAD/PACT]]="2019-2020",YardsAll[[#This Row],[RAD/PACT]]="2021-2025"),"",IF(ISNUMBER(SEARCH("1",C32)),2,IF(ISNUMBER(SEARCH("2",C32)),1,IF(ISNUMBER(SEARCH("3",C32)),3,IF(ISNUMBER(SEARCH("4",C32)),4,IF(ISNUMBER(SEARCH("5",C32)),5,IF(ISNUMBER(SEARCH("6",C32)),6,IF(ISNUMBER(SEARCH("7",C32)),7,IF(ISNUMBER(SEARCH("8",C32)),8,0)))))))))</f>
        <v>2</v>
      </c>
      <c r="H32" s="143" t="str">
        <f ca="1">IF(YardsAll[[#This Row],[STATUS]]="","",IF(OR(F32="2019-2020",F32="2021-2025"),"",IF(ISNUMBER(SEARCH("LLC",D32)),VLOOKUP(A32,Yards25[],28,FALSE),VLOOKUP(A32,Yards[],28,FALSE))))</f>
        <v/>
      </c>
      <c r="I32" s="143" t="str">
        <f ca="1">IF(YardsAll[[#This Row],[STATUS]]="","",IF(OR(F32="2019-2020",F32="2021-2025"),"",IF(ISNUMBER(SEARCH("LLC",D32)),VLOOKUP(A32,Yards25[],17,FALSE),VLOOKUP(A32,Yards[],17,FALSE))))</f>
        <v/>
      </c>
      <c r="J32" s="143" t="str">
        <f ca="1">IF(YardsAll[[#This Row],[STATUS]]="","",IF(OR(F32="2019-2020",F32="2021-2025"),"",IF(ISNUMBER(SEARCH("LLC",D32)),VLOOKUP(A32,Yards25[],29,FALSE),VLOOKUP(A32,Yards[],29,FALSE))))</f>
        <v/>
      </c>
      <c r="K32" s="143" t="str">
        <f ca="1">IF(YardsAll[[#This Row],[STATUS]]="","",IF(OR(F32="2019-2020",F32="2021-2025"),"",IF(ISNUMBER(SEARCH("LLC",D32)),VLOOKUP(A32,Yards25[],19,FALSE),VLOOKUP(A32,Yards[],19,FALSE))))</f>
        <v/>
      </c>
      <c r="L32" s="143" t="str">
        <f ca="1">IF(IF(OR(F32="2019-2020",F32="2021-2025"),"",IF(ISNUMBER(SEARCH("LLC",D32)),VLOOKUP(A32,Yards25[],20,FALSE),VLOOKUP(A32,Yards[],20,FALSE)))=0,"",IF(OR(F32="2019-2020",F32="2021-2025"),"",IF(ISNUMBER(SEARCH("LLC",D32)),VLOOKUP(A32,Yards25[],20,FALSE),VLOOKUP(A32,Yards[],20,FALSE))))</f>
        <v/>
      </c>
      <c r="M32" s="151">
        <f ca="1">IF(OR(F32="2019-2020",F32="2021-2025"),"",IF(ISNUMBER(SEARCH("LLC",D32)),VLOOKUP(A32,Yards25[],21,FALSE),VLOOKUP(A32,Yards[],21,FALSE)))</f>
        <v>0</v>
      </c>
      <c r="N32" s="151">
        <f ca="1">IF(OR(F32="2019-2020",F32="2021-2025"),"",IF(ISNUMBER(SEARCH("LLC",D32)),VLOOKUP(A32,Yards25[],22,FALSE),VLOOKUP(A32,Yards[],22,FALSE)))</f>
        <v>0</v>
      </c>
      <c r="O32" s="151">
        <f ca="1">SUM(YardsAll[[#This Row],[DSGN ESTIMATE]:[CONS ESTIMATE]])</f>
        <v>0</v>
      </c>
      <c r="P32" s="143"/>
      <c r="Q32" s="143">
        <f ca="1">IF(OR(F32="2019-2020",F32="2021-2025"),"",IF(ISNUMBER(SEARCH("LLC",D32)),VLOOKUP(A32,Yards25[],25,FALSE),VLOOKUP(A32,Yards[],25,FALSE)))</f>
        <v>0</v>
      </c>
      <c r="R32" s="152"/>
    </row>
    <row r="33" spans="1:18">
      <c r="A33" s="147" t="s">
        <v>273</v>
      </c>
      <c r="B33" s="144" t="str">
        <f>VLOOKUP(A33,Data[],2,FALSE)</f>
        <v>BRONX</v>
      </c>
      <c r="C33" s="144" t="str">
        <f ca="1">IF(OR(F33="2019-2020",F33="2021-2025"),"",IF(ISNUMBER(SEARCH("LLC",D33)),VLOOKUP(A33,Yards25[],3,FALSE),VLOOKUP(A33,Yards[],3,FALSE)))</f>
        <v>New Waste Yard v1</v>
      </c>
      <c r="D33" s="9" t="str">
        <f>VLOOKUP(A33,Data[],52,FALSE)</f>
        <v>FEDERAL</v>
      </c>
      <c r="E33" s="9">
        <f>VLOOKUP(YardsAll[[#This Row],[DEVELOPMENT]],Data[],62,FALSE)</f>
        <v>7</v>
      </c>
      <c r="F33" s="9" t="str">
        <f ca="1">VLOOKUP(A33,Data[],4,FALSE)</f>
        <v/>
      </c>
      <c r="G33" s="9">
        <f ca="1">IF(OR(YardsAll[[#This Row],[RAD/PACT]]="2019-2020",YardsAll[[#This Row],[RAD/PACT]]="2021-2025"),"",IF(ISNUMBER(SEARCH("1",C33)),2,IF(ISNUMBER(SEARCH("2",C33)),1,IF(ISNUMBER(SEARCH("3",C33)),3,IF(ISNUMBER(SEARCH("4",C33)),4,IF(ISNUMBER(SEARCH("5",C33)),5,IF(ISNUMBER(SEARCH("6",C33)),6,IF(ISNUMBER(SEARCH("7",C33)),7,IF(ISNUMBER(SEARCH("8",C33)),8,0)))))))))</f>
        <v>2</v>
      </c>
      <c r="H33" s="143" t="str">
        <f ca="1">IF(YardsAll[[#This Row],[STATUS]]="","",IF(OR(F33="2019-2020",F33="2021-2025"),"",IF(ISNUMBER(SEARCH("LLC",D33)),VLOOKUP(A33,Yards25[],28,FALSE),VLOOKUP(A33,Yards[],28,FALSE))))</f>
        <v/>
      </c>
      <c r="I33" s="143" t="str">
        <f ca="1">IF(YardsAll[[#This Row],[STATUS]]="","",IF(OR(F33="2019-2020",F33="2021-2025"),"",IF(ISNUMBER(SEARCH("LLC",D33)),VLOOKUP(A33,Yards25[],17,FALSE),VLOOKUP(A33,Yards[],17,FALSE))))</f>
        <v/>
      </c>
      <c r="J33" s="143" t="str">
        <f ca="1">IF(YardsAll[[#This Row],[STATUS]]="","",IF(OR(F33="2019-2020",F33="2021-2025"),"",IF(ISNUMBER(SEARCH("LLC",D33)),VLOOKUP(A33,Yards25[],29,FALSE),VLOOKUP(A33,Yards[],29,FALSE))))</f>
        <v/>
      </c>
      <c r="K33" s="143" t="str">
        <f ca="1">IF(YardsAll[[#This Row],[STATUS]]="","",IF(OR(F33="2019-2020",F33="2021-2025"),"",IF(ISNUMBER(SEARCH("LLC",D33)),VLOOKUP(A33,Yards25[],19,FALSE),VLOOKUP(A33,Yards[],19,FALSE))))</f>
        <v/>
      </c>
      <c r="L33" s="143" t="str">
        <f ca="1">IF(IF(OR(F33="2019-2020",F33="2021-2025"),"",IF(ISNUMBER(SEARCH("LLC",D33)),VLOOKUP(A33,Yards25[],20,FALSE),VLOOKUP(A33,Yards[],20,FALSE)))=0,"",IF(OR(F33="2019-2020",F33="2021-2025"),"",IF(ISNUMBER(SEARCH("LLC",D33)),VLOOKUP(A33,Yards25[],20,FALSE),VLOOKUP(A33,Yards[],20,FALSE))))</f>
        <v/>
      </c>
      <c r="M33" s="151">
        <f ca="1">IF(OR(F33="2019-2020",F33="2021-2025"),"",IF(ISNUMBER(SEARCH("LLC",D33)),VLOOKUP(A33,Yards25[],21,FALSE),VLOOKUP(A33,Yards[],21,FALSE)))</f>
        <v>212386.62609500007</v>
      </c>
      <c r="N33" s="151">
        <f ca="1">IF(OR(F33="2019-2020",F33="2021-2025"),"",IF(ISNUMBER(SEARCH("LLC",D33)),VLOOKUP(A33,Yards25[],22,FALSE),VLOOKUP(A33,Yards[],22,FALSE)))</f>
        <v>1911479.6348550003</v>
      </c>
      <c r="O33" s="151">
        <f ca="1">SUM(YardsAll[[#This Row],[DSGN ESTIMATE]:[CONS ESTIMATE]])</f>
        <v>2123866.2609500005</v>
      </c>
      <c r="P33" s="143"/>
      <c r="Q33" s="143">
        <f ca="1">IF(OR(F33="2019-2020",F33="2021-2025"),"",IF(ISNUMBER(SEARCH("LLC",D33)),VLOOKUP(A33,Yards25[],25,FALSE),VLOOKUP(A33,Yards[],25,FALSE)))</f>
        <v>0</v>
      </c>
      <c r="R33" s="152"/>
    </row>
    <row r="34" spans="1:18">
      <c r="A34" s="147" t="s">
        <v>300</v>
      </c>
      <c r="B34" s="144" t="str">
        <f>VLOOKUP(A34,Data[],2,FALSE)</f>
        <v>QUEENS</v>
      </c>
      <c r="C34" s="144" t="str">
        <f ca="1">IF(OR(F34="2019-2020",F34="2021-2025"),"",IF(ISNUMBER(SEARCH("LLC",D34)),VLOOKUP(A34,Yards25[],3,FALSE),VLOOKUP(A34,Yards[],3,FALSE)))</f>
        <v>New Waste Yard v3</v>
      </c>
      <c r="D34" s="9" t="str">
        <f>VLOOKUP(A34,Data[],52,FALSE)</f>
        <v>FEDERAL</v>
      </c>
      <c r="E34" s="9">
        <f>VLOOKUP(YardsAll[[#This Row],[DEVELOPMENT]],Data[],62,FALSE)</f>
        <v>12</v>
      </c>
      <c r="F34" s="9" t="str">
        <f ca="1">VLOOKUP(A34,Data[],4,FALSE)</f>
        <v/>
      </c>
      <c r="G34" s="9">
        <f ca="1">IF(OR(YardsAll[[#This Row],[RAD/PACT]]="2019-2020",YardsAll[[#This Row],[RAD/PACT]]="2021-2025"),"",IF(ISNUMBER(SEARCH("1",C34)),2,IF(ISNUMBER(SEARCH("2",C34)),1,IF(ISNUMBER(SEARCH("3",C34)),3,IF(ISNUMBER(SEARCH("4",C34)),4,IF(ISNUMBER(SEARCH("5",C34)),5,IF(ISNUMBER(SEARCH("6",C34)),6,IF(ISNUMBER(SEARCH("7",C34)),7,IF(ISNUMBER(SEARCH("8",C34)),8,0)))))))))</f>
        <v>3</v>
      </c>
      <c r="H34" s="143" t="str">
        <f ca="1">IF(YardsAll[[#This Row],[STATUS]]="","",IF(OR(F34="2019-2020",F34="2021-2025"),"",IF(ISNUMBER(SEARCH("LLC",D34)),VLOOKUP(A34,Yards25[],28,FALSE),VLOOKUP(A34,Yards[],28,FALSE))))</f>
        <v/>
      </c>
      <c r="I34" s="143" t="str">
        <f ca="1">IF(YardsAll[[#This Row],[STATUS]]="","",IF(OR(F34="2019-2020",F34="2021-2025"),"",IF(ISNUMBER(SEARCH("LLC",D34)),VLOOKUP(A34,Yards25[],17,FALSE),VLOOKUP(A34,Yards[],17,FALSE))))</f>
        <v/>
      </c>
      <c r="J34" s="143" t="str">
        <f ca="1">IF(YardsAll[[#This Row],[STATUS]]="","",IF(OR(F34="2019-2020",F34="2021-2025"),"",IF(ISNUMBER(SEARCH("LLC",D34)),VLOOKUP(A34,Yards25[],29,FALSE),VLOOKUP(A34,Yards[],29,FALSE))))</f>
        <v/>
      </c>
      <c r="K34" s="143" t="str">
        <f ca="1">IF(YardsAll[[#This Row],[STATUS]]="","",IF(OR(F34="2019-2020",F34="2021-2025"),"",IF(ISNUMBER(SEARCH("LLC",D34)),VLOOKUP(A34,Yards25[],19,FALSE),VLOOKUP(A34,Yards[],19,FALSE))))</f>
        <v/>
      </c>
      <c r="L34" s="143" t="str">
        <f ca="1">IF(IF(OR(F34="2019-2020",F34="2021-2025"),"",IF(ISNUMBER(SEARCH("LLC",D34)),VLOOKUP(A34,Yards25[],20,FALSE),VLOOKUP(A34,Yards[],20,FALSE)))=0,"",IF(OR(F34="2019-2020",F34="2021-2025"),"",IF(ISNUMBER(SEARCH("LLC",D34)),VLOOKUP(A34,Yards25[],20,FALSE),VLOOKUP(A34,Yards[],20,FALSE))))</f>
        <v/>
      </c>
      <c r="M34" s="151">
        <f ca="1">IF(OR(F34="2019-2020",F34="2021-2025"),"",IF(ISNUMBER(SEARCH("LLC",D34)),VLOOKUP(A34,Yards25[],21,FALSE),VLOOKUP(A34,Yards[],21,FALSE)))</f>
        <v>244471.89889650006</v>
      </c>
      <c r="N34" s="151">
        <f ca="1">IF(OR(F34="2019-2020",F34="2021-2025"),"",IF(ISNUMBER(SEARCH("LLC",D34)),VLOOKUP(A34,Yards25[],22,FALSE),VLOOKUP(A34,Yards[],22,FALSE)))</f>
        <v>2200247.0900685005</v>
      </c>
      <c r="O34" s="151">
        <f ca="1">SUM(YardsAll[[#This Row],[DSGN ESTIMATE]:[CONS ESTIMATE]])</f>
        <v>2444718.9889650005</v>
      </c>
      <c r="P34" s="143"/>
      <c r="Q34" s="143">
        <f ca="1">IF(OR(F34="2019-2020",F34="2021-2025"),"",IF(ISNUMBER(SEARCH("LLC",D34)),VLOOKUP(A34,Yards25[],25,FALSE),VLOOKUP(A34,Yards[],25,FALSE)))</f>
        <v>0</v>
      </c>
      <c r="R34" s="152"/>
    </row>
    <row r="35" spans="1:18">
      <c r="A35" s="148" t="s">
        <v>48</v>
      </c>
      <c r="B35" s="144" t="str">
        <f>VLOOKUP(A35,Data[],2,FALSE)</f>
        <v>MANHATTAN</v>
      </c>
      <c r="C35" s="144" t="str">
        <f ca="1">IF(OR(F35="2019-2020",F35="2021-2025"),"",IF(ISNUMBER(SEARCH("LLC",D35)),VLOOKUP(A35,Yards25[],3,FALSE),VLOOKUP(A35,Yards[],3,FALSE)))</f>
        <v>New Waste Yard v1</v>
      </c>
      <c r="D35" s="9" t="str">
        <f>VLOOKUP(A35,Data[],52,FALSE)</f>
        <v>FEDERAL</v>
      </c>
      <c r="E35" s="9">
        <f>VLOOKUP(YardsAll[[#This Row],[DEVELOPMENT]],Data[],62,FALSE)</f>
        <v>3</v>
      </c>
      <c r="F35" s="9" t="str">
        <f ca="1">VLOOKUP(A35,Data[],4,FALSE)</f>
        <v/>
      </c>
      <c r="G35" s="9">
        <f ca="1">IF(OR(YardsAll[[#This Row],[RAD/PACT]]="2019-2020",YardsAll[[#This Row],[RAD/PACT]]="2021-2025"),"",IF(ISNUMBER(SEARCH("1",C35)),2,IF(ISNUMBER(SEARCH("2",C35)),1,IF(ISNUMBER(SEARCH("3",C35)),3,IF(ISNUMBER(SEARCH("4",C35)),4,IF(ISNUMBER(SEARCH("5",C35)),5,IF(ISNUMBER(SEARCH("6",C35)),6,IF(ISNUMBER(SEARCH("7",C35)),7,IF(ISNUMBER(SEARCH("8",C35)),8,0)))))))))</f>
        <v>2</v>
      </c>
      <c r="H35" s="143" t="str">
        <f ca="1">IF(YardsAll[[#This Row],[STATUS]]="","",IF(OR(F35="2019-2020",F35="2021-2025"),"",IF(ISNUMBER(SEARCH("LLC",D35)),VLOOKUP(A35,Yards25[],28,FALSE),VLOOKUP(A35,Yards[],28,FALSE))))</f>
        <v/>
      </c>
      <c r="I35" s="143" t="str">
        <f ca="1">IF(YardsAll[[#This Row],[STATUS]]="","",IF(OR(F35="2019-2020",F35="2021-2025"),"",IF(ISNUMBER(SEARCH("LLC",D35)),VLOOKUP(A35,Yards25[],17,FALSE),VLOOKUP(A35,Yards[],17,FALSE))))</f>
        <v/>
      </c>
      <c r="J35" s="143" t="str">
        <f ca="1">IF(YardsAll[[#This Row],[STATUS]]="","",IF(OR(F35="2019-2020",F35="2021-2025"),"",IF(ISNUMBER(SEARCH("LLC",D35)),VLOOKUP(A35,Yards25[],29,FALSE),VLOOKUP(A35,Yards[],29,FALSE))))</f>
        <v/>
      </c>
      <c r="K35" s="143" t="str">
        <f ca="1">IF(YardsAll[[#This Row],[STATUS]]="","",IF(OR(F35="2019-2020",F35="2021-2025"),"",IF(ISNUMBER(SEARCH("LLC",D35)),VLOOKUP(A35,Yards25[],19,FALSE),VLOOKUP(A35,Yards[],19,FALSE))))</f>
        <v/>
      </c>
      <c r="L35" s="143" t="str">
        <f ca="1">IF(IF(OR(F35="2019-2020",F35="2021-2025"),"",IF(ISNUMBER(SEARCH("LLC",D35)),VLOOKUP(A35,Yards25[],20,FALSE),VLOOKUP(A35,Yards[],20,FALSE)))=0,"",IF(OR(F35="2019-2020",F35="2021-2025"),"",IF(ISNUMBER(SEARCH("LLC",D35)),VLOOKUP(A35,Yards25[],20,FALSE),VLOOKUP(A35,Yards[],20,FALSE))))</f>
        <v/>
      </c>
      <c r="M35" s="151">
        <f ca="1">IF(OR(F35="2019-2020",F35="2021-2025"),"",IF(ISNUMBER(SEARCH("LLC",D35)),VLOOKUP(A35,Yards25[],21,FALSE),VLOOKUP(A35,Yards[],21,FALSE)))</f>
        <v>218713.03623400006</v>
      </c>
      <c r="N35" s="151">
        <f ca="1">IF(OR(F35="2019-2020",F35="2021-2025"),"",IF(ISNUMBER(SEARCH("LLC",D35)),VLOOKUP(A35,Yards25[],22,FALSE),VLOOKUP(A35,Yards[],22,FALSE)))</f>
        <v>1968417.3261060005</v>
      </c>
      <c r="O35" s="151">
        <f ca="1">SUM(YardsAll[[#This Row],[DSGN ESTIMATE]:[CONS ESTIMATE]])</f>
        <v>2187130.3623400005</v>
      </c>
      <c r="P35" s="143"/>
      <c r="Q35" s="143">
        <f ca="1">IF(OR(F35="2019-2020",F35="2021-2025"),"",IF(ISNUMBER(SEARCH("LLC",D35)),VLOOKUP(A35,Yards25[],25,FALSE),VLOOKUP(A35,Yards[],25,FALSE)))</f>
        <v>0</v>
      </c>
      <c r="R35" s="152"/>
    </row>
    <row r="36" spans="1:18">
      <c r="A36" s="147" t="s">
        <v>231</v>
      </c>
      <c r="B36" s="144" t="str">
        <f>VLOOKUP(A36,Data[],2,FALSE)</f>
        <v>BROOKLYN</v>
      </c>
      <c r="C36" s="144" t="str">
        <f ca="1">IF(OR(F36="2019-2020",F36="2021-2025"),"",IF(ISNUMBER(SEARCH("LLC",D36)),VLOOKUP(A36,Yards25[],3,FALSE),VLOOKUP(A36,Yards[],3,FALSE)))</f>
        <v>New Waste Yard v5</v>
      </c>
      <c r="D36" s="9" t="str">
        <f>VLOOKUP(A36,Data[],52,FALSE)</f>
        <v>MIXED FINANCE/LLC1</v>
      </c>
      <c r="E36" s="9">
        <f>VLOOKUP(YardsAll[[#This Row],[DEVELOPMENT]],Data[],62,FALSE)</f>
        <v>18</v>
      </c>
      <c r="F36" s="9" t="str">
        <f ca="1">VLOOKUP(A36,Data[],4,FALSE)</f>
        <v>2026+</v>
      </c>
      <c r="G36" s="9">
        <f ca="1">IF(OR(YardsAll[[#This Row],[RAD/PACT]]="2019-2020",YardsAll[[#This Row],[RAD/PACT]]="2021-2025"),"",IF(ISNUMBER(SEARCH("1",C36)),2,IF(ISNUMBER(SEARCH("2",C36)),1,IF(ISNUMBER(SEARCH("3",C36)),3,IF(ISNUMBER(SEARCH("4",C36)),4,IF(ISNUMBER(SEARCH("5",C36)),5,IF(ISNUMBER(SEARCH("6",C36)),6,IF(ISNUMBER(SEARCH("7",C36)),7,IF(ISNUMBER(SEARCH("8",C36)),8,0)))))))))</f>
        <v>5</v>
      </c>
      <c r="H36" s="143" t="str">
        <f ca="1">IF(YardsAll[[#This Row],[STATUS]]="","",IF(OR(F36="2019-2020",F36="2021-2025"),"",IF(ISNUMBER(SEARCH("LLC",D36)),VLOOKUP(A36,Yards25[],28,FALSE),VLOOKUP(A36,Yards[],28,FALSE))))</f>
        <v/>
      </c>
      <c r="I36" s="143" t="str">
        <f ca="1">IF(YardsAll[[#This Row],[STATUS]]="","",IF(OR(F36="2019-2020",F36="2021-2025"),"",IF(ISNUMBER(SEARCH("LLC",D36)),VLOOKUP(A36,Yards25[],17,FALSE),VLOOKUP(A36,Yards[],17,FALSE))))</f>
        <v/>
      </c>
      <c r="J36" s="143" t="str">
        <f ca="1">IF(YardsAll[[#This Row],[STATUS]]="","",IF(OR(F36="2019-2020",F36="2021-2025"),"",IF(ISNUMBER(SEARCH("LLC",D36)),VLOOKUP(A36,Yards25[],29,FALSE),VLOOKUP(A36,Yards[],29,FALSE))))</f>
        <v/>
      </c>
      <c r="K36" s="143" t="str">
        <f ca="1">IF(YardsAll[[#This Row],[STATUS]]="","",IF(OR(F36="2019-2020",F36="2021-2025"),"",IF(ISNUMBER(SEARCH("LLC",D36)),VLOOKUP(A36,Yards25[],19,FALSE),VLOOKUP(A36,Yards[],19,FALSE))))</f>
        <v/>
      </c>
      <c r="L36" s="143" t="str">
        <f ca="1">IF(IF(OR(F36="2019-2020",F36="2021-2025"),"",IF(ISNUMBER(SEARCH("LLC",D36)),VLOOKUP(A36,Yards25[],20,FALSE),VLOOKUP(A36,Yards[],20,FALSE)))=0,"",IF(OR(F36="2019-2020",F36="2021-2025"),"",IF(ISNUMBER(SEARCH("LLC",D36)),VLOOKUP(A36,Yards25[],20,FALSE),VLOOKUP(A36,Yards[],20,FALSE))))</f>
        <v/>
      </c>
      <c r="M36" s="151">
        <f ca="1">IF(OR(F36="2019-2020",F36="2021-2025"),"",IF(ISNUMBER(SEARCH("LLC",D36)),VLOOKUP(A36,Yards25[],21,FALSE),VLOOKUP(A36,Yards[],21,FALSE)))</f>
        <v>314734.79280274996</v>
      </c>
      <c r="N36" s="151">
        <f ca="1">IF(OR(F36="2019-2020",F36="2021-2025"),"",IF(ISNUMBER(SEARCH("LLC",D36)),VLOOKUP(A36,Yards25[],22,FALSE),VLOOKUP(A36,Yards[],22,FALSE)))</f>
        <v>2832613.1352247493</v>
      </c>
      <c r="O36" s="151">
        <f ca="1">SUM(YardsAll[[#This Row],[DSGN ESTIMATE]:[CONS ESTIMATE]])</f>
        <v>3147347.9280274995</v>
      </c>
      <c r="P36" s="143"/>
      <c r="Q36" s="143">
        <f ca="1">IF(OR(F36="2019-2020",F36="2021-2025"),"",IF(ISNUMBER(SEARCH("LLC",D36)),VLOOKUP(A36,Yards25[],25,FALSE),VLOOKUP(A36,Yards[],25,FALSE)))</f>
        <v>0</v>
      </c>
      <c r="R36" s="152"/>
    </row>
    <row r="37" spans="1:18">
      <c r="A37" s="147" t="s">
        <v>301</v>
      </c>
      <c r="B37" s="144" t="str">
        <f>VLOOKUP(A37,Data[],2,FALSE)</f>
        <v>QUEENS</v>
      </c>
      <c r="C37" s="144" t="str">
        <f ca="1">IF(OR(F37="2019-2020",F37="2021-2025"),"",IF(ISNUMBER(SEARCH("LLC",D37)),VLOOKUP(A37,Yards25[],3,FALSE),VLOOKUP(A37,Yards[],3,FALSE)))</f>
        <v>New Waste Yard v2</v>
      </c>
      <c r="D37" s="9" t="str">
        <f>VLOOKUP(A37,Data[],52,FALSE)</f>
        <v>FEDERAL</v>
      </c>
      <c r="E37" s="9">
        <f>VLOOKUP(YardsAll[[#This Row],[DEVELOPMENT]],Data[],62,FALSE)</f>
        <v>14</v>
      </c>
      <c r="F37" s="9" t="str">
        <f ca="1">VLOOKUP(A37,Data[],4,FALSE)</f>
        <v>2026+</v>
      </c>
      <c r="G37" s="9">
        <f ca="1">IF(OR(YardsAll[[#This Row],[RAD/PACT]]="2019-2020",YardsAll[[#This Row],[RAD/PACT]]="2021-2025"),"",IF(ISNUMBER(SEARCH("1",C37)),2,IF(ISNUMBER(SEARCH("2",C37)),1,IF(ISNUMBER(SEARCH("3",C37)),3,IF(ISNUMBER(SEARCH("4",C37)),4,IF(ISNUMBER(SEARCH("5",C37)),5,IF(ISNUMBER(SEARCH("6",C37)),6,IF(ISNUMBER(SEARCH("7",C37)),7,IF(ISNUMBER(SEARCH("8",C37)),8,0)))))))))</f>
        <v>1</v>
      </c>
      <c r="H37" s="143" t="str">
        <f ca="1">IF(YardsAll[[#This Row],[STATUS]]="","",IF(OR(F37="2019-2020",F37="2021-2025"),"",IF(ISNUMBER(SEARCH("LLC",D37)),VLOOKUP(A37,Yards25[],28,FALSE),VLOOKUP(A37,Yards[],28,FALSE))))</f>
        <v/>
      </c>
      <c r="I37" s="143" t="str">
        <f ca="1">IF(YardsAll[[#This Row],[STATUS]]="","",IF(OR(F37="2019-2020",F37="2021-2025"),"",IF(ISNUMBER(SEARCH("LLC",D37)),VLOOKUP(A37,Yards25[],17,FALSE),VLOOKUP(A37,Yards[],17,FALSE))))</f>
        <v/>
      </c>
      <c r="J37" s="143" t="str">
        <f ca="1">IF(YardsAll[[#This Row],[STATUS]]="","",IF(OR(F37="2019-2020",F37="2021-2025"),"",IF(ISNUMBER(SEARCH("LLC",D37)),VLOOKUP(A37,Yards25[],29,FALSE),VLOOKUP(A37,Yards[],29,FALSE))))</f>
        <v/>
      </c>
      <c r="K37" s="143" t="str">
        <f ca="1">IF(YardsAll[[#This Row],[STATUS]]="","",IF(OR(F37="2019-2020",F37="2021-2025"),"",IF(ISNUMBER(SEARCH("LLC",D37)),VLOOKUP(A37,Yards25[],19,FALSE),VLOOKUP(A37,Yards[],19,FALSE))))</f>
        <v/>
      </c>
      <c r="L37" s="143" t="str">
        <f ca="1">IF(IF(OR(F37="2019-2020",F37="2021-2025"),"",IF(ISNUMBER(SEARCH("LLC",D37)),VLOOKUP(A37,Yards25[],20,FALSE),VLOOKUP(A37,Yards[],20,FALSE)))=0,"",IF(OR(F37="2019-2020",F37="2021-2025"),"",IF(ISNUMBER(SEARCH("LLC",D37)),VLOOKUP(A37,Yards25[],20,FALSE),VLOOKUP(A37,Yards[],20,FALSE))))</f>
        <v/>
      </c>
      <c r="M37" s="151">
        <f ca="1">IF(OR(F37="2019-2020",F37="2021-2025"),"",IF(ISNUMBER(SEARCH("LLC",D37)),VLOOKUP(A37,Yards25[],21,FALSE),VLOOKUP(A37,Yards[],21,FALSE)))</f>
        <v>179137.69649855004</v>
      </c>
      <c r="N37" s="151">
        <f ca="1">IF(OR(F37="2019-2020",F37="2021-2025"),"",IF(ISNUMBER(SEARCH("LLC",D37)),VLOOKUP(A37,Yards25[],22,FALSE),VLOOKUP(A37,Yards[],22,FALSE)))</f>
        <v>1612239.2684869503</v>
      </c>
      <c r="O37" s="151">
        <f ca="1">SUM(YardsAll[[#This Row],[DSGN ESTIMATE]:[CONS ESTIMATE]])</f>
        <v>1791376.9649855003</v>
      </c>
      <c r="P37" s="143"/>
      <c r="Q37" s="143">
        <f ca="1">IF(OR(F37="2019-2020",F37="2021-2025"),"",IF(ISNUMBER(SEARCH("LLC",D37)),VLOOKUP(A37,Yards25[],25,FALSE),VLOOKUP(A37,Yards[],25,FALSE)))</f>
        <v>0</v>
      </c>
      <c r="R37" s="152"/>
    </row>
    <row r="38" spans="1:18">
      <c r="A38" s="148" t="s">
        <v>142</v>
      </c>
      <c r="B38" s="144" t="str">
        <f>VLOOKUP(A38,Data[],2,FALSE)</f>
        <v>BROOKLYN</v>
      </c>
      <c r="C38" s="144" t="str">
        <f ca="1">IF(OR(F38="2019-2020",F38="2021-2025"),"",IF(ISNUMBER(SEARCH("LLC",D38)),VLOOKUP(A38,Yards25[],3,FALSE),VLOOKUP(A38,Yards[],3,FALSE)))</f>
        <v>New Waste Yard v1</v>
      </c>
      <c r="D38" s="9" t="str">
        <f>VLOOKUP(A38,Data[],52,FALSE)</f>
        <v>FEDERAL</v>
      </c>
      <c r="E38" s="9">
        <f>VLOOKUP(YardsAll[[#This Row],[DEVELOPMENT]],Data[],62,FALSE)</f>
        <v>3</v>
      </c>
      <c r="F38" s="9" t="str">
        <f ca="1">VLOOKUP(A38,Data[],4,FALSE)</f>
        <v/>
      </c>
      <c r="G38" s="9">
        <f ca="1">IF(OR(YardsAll[[#This Row],[RAD/PACT]]="2019-2020",YardsAll[[#This Row],[RAD/PACT]]="2021-2025"),"",IF(ISNUMBER(SEARCH("1",C38)),2,IF(ISNUMBER(SEARCH("2",C38)),1,IF(ISNUMBER(SEARCH("3",C38)),3,IF(ISNUMBER(SEARCH("4",C38)),4,IF(ISNUMBER(SEARCH("5",C38)),5,IF(ISNUMBER(SEARCH("6",C38)),6,IF(ISNUMBER(SEARCH("7",C38)),7,IF(ISNUMBER(SEARCH("8",C38)),8,0)))))))))</f>
        <v>2</v>
      </c>
      <c r="H38" s="143" t="str">
        <f ca="1">IF(YardsAll[[#This Row],[STATUS]]="","",IF(OR(F38="2019-2020",F38="2021-2025"),"",IF(ISNUMBER(SEARCH("LLC",D38)),VLOOKUP(A38,Yards25[],28,FALSE),VLOOKUP(A38,Yards[],28,FALSE))))</f>
        <v/>
      </c>
      <c r="I38" s="143" t="str">
        <f ca="1">IF(YardsAll[[#This Row],[STATUS]]="","",IF(OR(F38="2019-2020",F38="2021-2025"),"",IF(ISNUMBER(SEARCH("LLC",D38)),VLOOKUP(A38,Yards25[],17,FALSE),VLOOKUP(A38,Yards[],17,FALSE))))</f>
        <v/>
      </c>
      <c r="J38" s="143" t="str">
        <f ca="1">IF(YardsAll[[#This Row],[STATUS]]="","",IF(OR(F38="2019-2020",F38="2021-2025"),"",IF(ISNUMBER(SEARCH("LLC",D38)),VLOOKUP(A38,Yards25[],29,FALSE),VLOOKUP(A38,Yards[],29,FALSE))))</f>
        <v/>
      </c>
      <c r="K38" s="143" t="str">
        <f ca="1">IF(YardsAll[[#This Row],[STATUS]]="","",IF(OR(F38="2019-2020",F38="2021-2025"),"",IF(ISNUMBER(SEARCH("LLC",D38)),VLOOKUP(A38,Yards25[],19,FALSE),VLOOKUP(A38,Yards[],19,FALSE))))</f>
        <v/>
      </c>
      <c r="L38" s="143" t="str">
        <f ca="1">IF(IF(OR(F38="2019-2020",F38="2021-2025"),"",IF(ISNUMBER(SEARCH("LLC",D38)),VLOOKUP(A38,Yards25[],20,FALSE),VLOOKUP(A38,Yards[],20,FALSE)))=0,"",IF(OR(F38="2019-2020",F38="2021-2025"),"",IF(ISNUMBER(SEARCH("LLC",D38)),VLOOKUP(A38,Yards25[],20,FALSE),VLOOKUP(A38,Yards[],20,FALSE))))</f>
        <v/>
      </c>
      <c r="M38" s="151">
        <f ca="1">IF(OR(F38="2019-2020",F38="2021-2025"),"",IF(ISNUMBER(SEARCH("LLC",D38)),VLOOKUP(A38,Yards25[],21,FALSE),VLOOKUP(A38,Yards[],21,FALSE)))</f>
        <v>193407.39567800006</v>
      </c>
      <c r="N38" s="151">
        <f ca="1">IF(OR(F38="2019-2020",F38="2021-2025"),"",IF(ISNUMBER(SEARCH("LLC",D38)),VLOOKUP(A38,Yards25[],22,FALSE),VLOOKUP(A38,Yards[],22,FALSE)))</f>
        <v>1740666.5611020005</v>
      </c>
      <c r="O38" s="151">
        <f ca="1">SUM(YardsAll[[#This Row],[DSGN ESTIMATE]:[CONS ESTIMATE]])</f>
        <v>1934073.9567800006</v>
      </c>
      <c r="P38" s="143"/>
      <c r="Q38" s="143">
        <f ca="1">IF(OR(F38="2019-2020",F38="2021-2025"),"",IF(ISNUMBER(SEARCH("LLC",D38)),VLOOKUP(A38,Yards25[],25,FALSE),VLOOKUP(A38,Yards[],25,FALSE)))</f>
        <v>0</v>
      </c>
      <c r="R38" s="152"/>
    </row>
    <row r="39" spans="1:18">
      <c r="A39" s="147" t="s">
        <v>302</v>
      </c>
      <c r="B39" s="144" t="str">
        <f>VLOOKUP(A39,Data[],2,FALSE)</f>
        <v>BROOKLYN</v>
      </c>
      <c r="C39" s="144" t="str">
        <f ca="1">IF(OR(F39="2019-2020",F39="2021-2025"),"",IF(ISNUMBER(SEARCH("LLC",D39)),VLOOKUP(A39,Yards25[],3,FALSE),VLOOKUP(A39,Yards[],3,FALSE)))</f>
        <v>New Waste Yard v1</v>
      </c>
      <c r="D39" s="9" t="str">
        <f>VLOOKUP(A39,Data[],52,FALSE)</f>
        <v>FEDERAL</v>
      </c>
      <c r="E39" s="9">
        <f>VLOOKUP(YardsAll[[#This Row],[DEVELOPMENT]],Data[],62,FALSE)</f>
        <v>5</v>
      </c>
      <c r="F39" s="9" t="str">
        <f ca="1">VLOOKUP(A39,Data[],4,FALSE)</f>
        <v/>
      </c>
      <c r="G39" s="9">
        <f ca="1">IF(OR(YardsAll[[#This Row],[RAD/PACT]]="2019-2020",YardsAll[[#This Row],[RAD/PACT]]="2021-2025"),"",IF(ISNUMBER(SEARCH("1",C39)),2,IF(ISNUMBER(SEARCH("2",C39)),1,IF(ISNUMBER(SEARCH("3",C39)),3,IF(ISNUMBER(SEARCH("4",C39)),4,IF(ISNUMBER(SEARCH("5",C39)),5,IF(ISNUMBER(SEARCH("6",C39)),6,IF(ISNUMBER(SEARCH("7",C39)),7,IF(ISNUMBER(SEARCH("8",C39)),8,0)))))))))</f>
        <v>2</v>
      </c>
      <c r="H39" s="143" t="str">
        <f ca="1">IF(YardsAll[[#This Row],[STATUS]]="","",IF(OR(F39="2019-2020",F39="2021-2025"),"",IF(ISNUMBER(SEARCH("LLC",D39)),VLOOKUP(A39,Yards25[],28,FALSE),VLOOKUP(A39,Yards[],28,FALSE))))</f>
        <v/>
      </c>
      <c r="I39" s="143" t="str">
        <f ca="1">IF(YardsAll[[#This Row],[STATUS]]="","",IF(OR(F39="2019-2020",F39="2021-2025"),"",IF(ISNUMBER(SEARCH("LLC",D39)),VLOOKUP(A39,Yards25[],17,FALSE),VLOOKUP(A39,Yards[],17,FALSE))))</f>
        <v/>
      </c>
      <c r="J39" s="143" t="str">
        <f ca="1">IF(YardsAll[[#This Row],[STATUS]]="","",IF(OR(F39="2019-2020",F39="2021-2025"),"",IF(ISNUMBER(SEARCH("LLC",D39)),VLOOKUP(A39,Yards25[],29,FALSE),VLOOKUP(A39,Yards[],29,FALSE))))</f>
        <v/>
      </c>
      <c r="K39" s="143" t="str">
        <f ca="1">IF(YardsAll[[#This Row],[STATUS]]="","",IF(OR(F39="2019-2020",F39="2021-2025"),"",IF(ISNUMBER(SEARCH("LLC",D39)),VLOOKUP(A39,Yards25[],19,FALSE),VLOOKUP(A39,Yards[],19,FALSE))))</f>
        <v/>
      </c>
      <c r="L39" s="143" t="str">
        <f ca="1">IF(IF(OR(F39="2019-2020",F39="2021-2025"),"",IF(ISNUMBER(SEARCH("LLC",D39)),VLOOKUP(A39,Yards25[],20,FALSE),VLOOKUP(A39,Yards[],20,FALSE)))=0,"",IF(OR(F39="2019-2020",F39="2021-2025"),"",IF(ISNUMBER(SEARCH("LLC",D39)),VLOOKUP(A39,Yards25[],20,FALSE),VLOOKUP(A39,Yards[],20,FALSE))))</f>
        <v/>
      </c>
      <c r="M39" s="151">
        <f ca="1">IF(OR(F39="2019-2020",F39="2021-2025"),"",IF(ISNUMBER(SEARCH("LLC",D39)),VLOOKUP(A39,Yards25[],21,FALSE),VLOOKUP(A39,Yards[],21,FALSE)))</f>
        <v>237692.26665100004</v>
      </c>
      <c r="N39" s="151">
        <f ca="1">IF(OR(F39="2019-2020",F39="2021-2025"),"",IF(ISNUMBER(SEARCH("LLC",D39)),VLOOKUP(A39,Yards25[],22,FALSE),VLOOKUP(A39,Yards[],22,FALSE)))</f>
        <v>2139230.3998590005</v>
      </c>
      <c r="O39" s="151">
        <f ca="1">SUM(YardsAll[[#This Row],[DSGN ESTIMATE]:[CONS ESTIMATE]])</f>
        <v>2376922.6665100004</v>
      </c>
      <c r="P39" s="143"/>
      <c r="Q39" s="143">
        <f ca="1">IF(OR(F39="2019-2020",F39="2021-2025"),"",IF(ISNUMBER(SEARCH("LLC",D39)),VLOOKUP(A39,Yards25[],25,FALSE),VLOOKUP(A39,Yards[],25,FALSE)))</f>
        <v>0</v>
      </c>
      <c r="R39" s="152"/>
    </row>
    <row r="40" spans="1:18">
      <c r="A40" s="147" t="s">
        <v>232</v>
      </c>
      <c r="B40" s="144" t="str">
        <f>VLOOKUP(A40,Data[],2,FALSE)</f>
        <v>STATEN ISLAND</v>
      </c>
      <c r="C40" s="144" t="str">
        <f ca="1">IF(OR(F40="2019-2020",F40="2021-2025"),"",IF(ISNUMBER(SEARCH("LLC",D40)),VLOOKUP(A40,Yards25[],3,FALSE),VLOOKUP(A40,Yards[],3,FALSE)))</f>
        <v>New Waste Yard v1</v>
      </c>
      <c r="D40" s="9" t="str">
        <f>VLOOKUP(A40,Data[],52,FALSE)</f>
        <v>FEDERAL</v>
      </c>
      <c r="E40" s="9">
        <f>VLOOKUP(YardsAll[[#This Row],[DEVELOPMENT]],Data[],62,FALSE)</f>
        <v>2</v>
      </c>
      <c r="F40" s="9" t="str">
        <f ca="1">VLOOKUP(A40,Data[],4,FALSE)</f>
        <v/>
      </c>
      <c r="G40" s="9">
        <f ca="1">IF(OR(YardsAll[[#This Row],[RAD/PACT]]="2019-2020",YardsAll[[#This Row],[RAD/PACT]]="2021-2025"),"",IF(ISNUMBER(SEARCH("1",C40)),2,IF(ISNUMBER(SEARCH("2",C40)),1,IF(ISNUMBER(SEARCH("3",C40)),3,IF(ISNUMBER(SEARCH("4",C40)),4,IF(ISNUMBER(SEARCH("5",C40)),5,IF(ISNUMBER(SEARCH("6",C40)),6,IF(ISNUMBER(SEARCH("7",C40)),7,IF(ISNUMBER(SEARCH("8",C40)),8,0)))))))))</f>
        <v>2</v>
      </c>
      <c r="H40" s="143" t="str">
        <f ca="1">IF(YardsAll[[#This Row],[STATUS]]="","",IF(OR(F40="2019-2020",F40="2021-2025"),"",IF(ISNUMBER(SEARCH("LLC",D40)),VLOOKUP(A40,Yards25[],28,FALSE),VLOOKUP(A40,Yards[],28,FALSE))))</f>
        <v/>
      </c>
      <c r="I40" s="143" t="str">
        <f ca="1">IF(YardsAll[[#This Row],[STATUS]]="","",IF(OR(F40="2019-2020",F40="2021-2025"),"",IF(ISNUMBER(SEARCH("LLC",D40)),VLOOKUP(A40,Yards25[],17,FALSE),VLOOKUP(A40,Yards[],17,FALSE))))</f>
        <v/>
      </c>
      <c r="J40" s="143" t="str">
        <f ca="1">IF(YardsAll[[#This Row],[STATUS]]="","",IF(OR(F40="2019-2020",F40="2021-2025"),"",IF(ISNUMBER(SEARCH("LLC",D40)),VLOOKUP(A40,Yards25[],29,FALSE),VLOOKUP(A40,Yards[],29,FALSE))))</f>
        <v/>
      </c>
      <c r="K40" s="143" t="str">
        <f ca="1">IF(YardsAll[[#This Row],[STATUS]]="","",IF(OR(F40="2019-2020",F40="2021-2025"),"",IF(ISNUMBER(SEARCH("LLC",D40)),VLOOKUP(A40,Yards25[],19,FALSE),VLOOKUP(A40,Yards[],19,FALSE))))</f>
        <v/>
      </c>
      <c r="L40" s="143" t="str">
        <f ca="1">IF(IF(OR(F40="2019-2020",F40="2021-2025"),"",IF(ISNUMBER(SEARCH("LLC",D40)),VLOOKUP(A40,Yards25[],20,FALSE),VLOOKUP(A40,Yards[],20,FALSE)))=0,"",IF(OR(F40="2019-2020",F40="2021-2025"),"",IF(ISNUMBER(SEARCH("LLC",D40)),VLOOKUP(A40,Yards25[],20,FALSE),VLOOKUP(A40,Yards[],20,FALSE))))</f>
        <v/>
      </c>
      <c r="M40" s="151">
        <f ca="1">IF(OR(F40="2019-2020",F40="2021-2025"),"",IF(ISNUMBER(SEARCH("LLC",D40)),VLOOKUP(A40,Yards25[],21,FALSE),VLOOKUP(A40,Yards[],21,FALSE)))</f>
        <v>199733.80581700004</v>
      </c>
      <c r="N40" s="151">
        <f ca="1">IF(OR(F40="2019-2020",F40="2021-2025"),"",IF(ISNUMBER(SEARCH("LLC",D40)),VLOOKUP(A40,Yards25[],22,FALSE),VLOOKUP(A40,Yards[],22,FALSE)))</f>
        <v>1797604.2523530002</v>
      </c>
      <c r="O40" s="151">
        <f ca="1">SUM(YardsAll[[#This Row],[DSGN ESTIMATE]:[CONS ESTIMATE]])</f>
        <v>1997338.0581700003</v>
      </c>
      <c r="P40" s="143"/>
      <c r="Q40" s="143">
        <f ca="1">IF(OR(F40="2019-2020",F40="2021-2025"),"",IF(ISNUMBER(SEARCH("LLC",D40)),VLOOKUP(A40,Yards25[],25,FALSE),VLOOKUP(A40,Yards[],25,FALSE)))</f>
        <v>0</v>
      </c>
      <c r="R40" s="152"/>
    </row>
    <row r="41" spans="1:18">
      <c r="A41" s="147" t="s">
        <v>303</v>
      </c>
      <c r="B41" s="144" t="str">
        <f>VLOOKUP(A41,Data[],2,FALSE)</f>
        <v>BROOKLYN</v>
      </c>
      <c r="C41" s="144" t="str">
        <f ca="1">IF(OR(F41="2019-2020",F41="2021-2025"),"",IF(ISNUMBER(SEARCH("LLC",D41)),VLOOKUP(A41,Yards25[],3,FALSE),VLOOKUP(A41,Yards[],3,FALSE)))</f>
        <v>New Waste Yard v1</v>
      </c>
      <c r="D41" s="9" t="str">
        <f>VLOOKUP(A41,Data[],52,FALSE)</f>
        <v>FEDERAL</v>
      </c>
      <c r="E41" s="9">
        <f>VLOOKUP(YardsAll[[#This Row],[DEVELOPMENT]],Data[],62,FALSE)</f>
        <v>1</v>
      </c>
      <c r="F41" s="9">
        <f ca="1">VLOOKUP(A41,Data[],4,FALSE)</f>
        <v>2019</v>
      </c>
      <c r="G41" s="9">
        <f ca="1">IF(OR(YardsAll[[#This Row],[RAD/PACT]]="2019-2020",YardsAll[[#This Row],[RAD/PACT]]="2021-2025"),"",IF(ISNUMBER(SEARCH("1",C41)),2,IF(ISNUMBER(SEARCH("2",C41)),1,IF(ISNUMBER(SEARCH("3",C41)),3,IF(ISNUMBER(SEARCH("4",C41)),4,IF(ISNUMBER(SEARCH("5",C41)),5,IF(ISNUMBER(SEARCH("6",C41)),6,IF(ISNUMBER(SEARCH("7",C41)),7,IF(ISNUMBER(SEARCH("8",C41)),8,0)))))))))</f>
        <v>2</v>
      </c>
      <c r="H41" s="143" t="str">
        <f ca="1">IF(YardsAll[[#This Row],[STATUS]]="","",IF(OR(F41="2019-2020",F41="2021-2025"),"",IF(ISNUMBER(SEARCH("LLC",D41)),VLOOKUP(A41,Yards25[],28,FALSE),VLOOKUP(A41,Yards[],28,FALSE))))</f>
        <v/>
      </c>
      <c r="I41" s="143" t="str">
        <f ca="1">IF(YardsAll[[#This Row],[STATUS]]="","",IF(OR(F41="2019-2020",F41="2021-2025"),"",IF(ISNUMBER(SEARCH("LLC",D41)),VLOOKUP(A41,Yards25[],17,FALSE),VLOOKUP(A41,Yards[],17,FALSE))))</f>
        <v/>
      </c>
      <c r="J41" s="143" t="str">
        <f ca="1">IF(YardsAll[[#This Row],[STATUS]]="","",IF(OR(F41="2019-2020",F41="2021-2025"),"",IF(ISNUMBER(SEARCH("LLC",D41)),VLOOKUP(A41,Yards25[],29,FALSE),VLOOKUP(A41,Yards[],29,FALSE))))</f>
        <v/>
      </c>
      <c r="K41" s="143" t="str">
        <f ca="1">IF(YardsAll[[#This Row],[STATUS]]="","",IF(OR(F41="2019-2020",F41="2021-2025"),"",IF(ISNUMBER(SEARCH("LLC",D41)),VLOOKUP(A41,Yards25[],19,FALSE),VLOOKUP(A41,Yards[],19,FALSE))))</f>
        <v/>
      </c>
      <c r="L41" s="143" t="str">
        <f ca="1">IF(IF(OR(F41="2019-2020",F41="2021-2025"),"",IF(ISNUMBER(SEARCH("LLC",D41)),VLOOKUP(A41,Yards25[],20,FALSE),VLOOKUP(A41,Yards[],20,FALSE)))=0,"",IF(OR(F41="2019-2020",F41="2021-2025"),"",IF(ISNUMBER(SEARCH("LLC",D41)),VLOOKUP(A41,Yards25[],20,FALSE),VLOOKUP(A41,Yards[],20,FALSE))))</f>
        <v/>
      </c>
      <c r="M41" s="151">
        <f ca="1">IF(OR(F41="2019-2020",F41="2021-2025"),"",IF(ISNUMBER(SEARCH("LLC",D41)),VLOOKUP(A41,Yards25[],21,FALSE),VLOOKUP(A41,Yards[],21,FALSE)))</f>
        <v>0</v>
      </c>
      <c r="N41" s="151">
        <f ca="1">IF(OR(F41="2019-2020",F41="2021-2025"),"",IF(ISNUMBER(SEARCH("LLC",D41)),VLOOKUP(A41,Yards25[],22,FALSE),VLOOKUP(A41,Yards[],22,FALSE)))</f>
        <v>0</v>
      </c>
      <c r="O41" s="151">
        <f ca="1">SUM(YardsAll[[#This Row],[DSGN ESTIMATE]:[CONS ESTIMATE]])</f>
        <v>0</v>
      </c>
      <c r="P41" s="143"/>
      <c r="Q41" s="143">
        <f ca="1">IF(OR(F41="2019-2020",F41="2021-2025"),"",IF(ISNUMBER(SEARCH("LLC",D41)),VLOOKUP(A41,Yards25[],25,FALSE),VLOOKUP(A41,Yards[],25,FALSE)))</f>
        <v>0</v>
      </c>
      <c r="R41" s="152"/>
    </row>
    <row r="42" spans="1:18">
      <c r="A42" s="147" t="s">
        <v>71</v>
      </c>
      <c r="B42" s="144" t="str">
        <f>VLOOKUP(A42,Data[],2,FALSE)</f>
        <v>MANHATTAN</v>
      </c>
      <c r="C42" s="144" t="str">
        <f ca="1">IF(OR(F42="2019-2020",F42="2021-2025"),"",IF(ISNUMBER(SEARCH("LLC",D42)),VLOOKUP(A42,Yards25[],3,FALSE),VLOOKUP(A42,Yards[],3,FALSE)))</f>
        <v>New Waste Yard v1</v>
      </c>
      <c r="D42" s="9" t="str">
        <f>VLOOKUP(A42,Data[],52,FALSE)</f>
        <v>FEDERAL</v>
      </c>
      <c r="E42" s="9">
        <f>VLOOKUP(YardsAll[[#This Row],[DEVELOPMENT]],Data[],62,FALSE)</f>
        <v>12</v>
      </c>
      <c r="F42" s="9" t="str">
        <f ca="1">VLOOKUP(A42,Data[],4,FALSE)</f>
        <v>2020-2021</v>
      </c>
      <c r="G42" s="9">
        <f ca="1">IF(OR(YardsAll[[#This Row],[RAD/PACT]]="2019-2020",YardsAll[[#This Row],[RAD/PACT]]="2021-2025"),"",IF(ISNUMBER(SEARCH("1",C42)),2,IF(ISNUMBER(SEARCH("2",C42)),1,IF(ISNUMBER(SEARCH("3",C42)),3,IF(ISNUMBER(SEARCH("4",C42)),4,IF(ISNUMBER(SEARCH("5",C42)),5,IF(ISNUMBER(SEARCH("6",C42)),6,IF(ISNUMBER(SEARCH("7",C42)),7,IF(ISNUMBER(SEARCH("8",C42)),8,0)))))))))</f>
        <v>2</v>
      </c>
      <c r="H42" s="143" t="str">
        <f ca="1">IF(YardsAll[[#This Row],[STATUS]]="","",IF(OR(F42="2019-2020",F42="2021-2025"),"",IF(ISNUMBER(SEARCH("LLC",D42)),VLOOKUP(A42,Yards25[],28,FALSE),VLOOKUP(A42,Yards[],28,FALSE))))</f>
        <v/>
      </c>
      <c r="I42" s="143" t="str">
        <f ca="1">IF(YardsAll[[#This Row],[STATUS]]="","",IF(OR(F42="2019-2020",F42="2021-2025"),"",IF(ISNUMBER(SEARCH("LLC",D42)),VLOOKUP(A42,Yards25[],17,FALSE),VLOOKUP(A42,Yards[],17,FALSE))))</f>
        <v/>
      </c>
      <c r="J42" s="143" t="str">
        <f ca="1">IF(YardsAll[[#This Row],[STATUS]]="","",IF(OR(F42="2019-2020",F42="2021-2025"),"",IF(ISNUMBER(SEARCH("LLC",D42)),VLOOKUP(A42,Yards25[],29,FALSE),VLOOKUP(A42,Yards[],29,FALSE))))</f>
        <v/>
      </c>
      <c r="K42" s="143" t="str">
        <f ca="1">IF(YardsAll[[#This Row],[STATUS]]="","",IF(OR(F42="2019-2020",F42="2021-2025"),"",IF(ISNUMBER(SEARCH("LLC",D42)),VLOOKUP(A42,Yards25[],19,FALSE),VLOOKUP(A42,Yards[],19,FALSE))))</f>
        <v/>
      </c>
      <c r="L42" s="143" t="str">
        <f ca="1">IF(IF(OR(F42="2019-2020",F42="2021-2025"),"",IF(ISNUMBER(SEARCH("LLC",D42)),VLOOKUP(A42,Yards25[],20,FALSE),VLOOKUP(A42,Yards[],20,FALSE)))=0,"",IF(OR(F42="2019-2020",F42="2021-2025"),"",IF(ISNUMBER(SEARCH("LLC",D42)),VLOOKUP(A42,Yards25[],20,FALSE),VLOOKUP(A42,Yards[],20,FALSE))))</f>
        <v/>
      </c>
      <c r="M42" s="151">
        <f ca="1">IF(OR(F42="2019-2020",F42="2021-2025"),"",IF(ISNUMBER(SEARCH("LLC",D42)),VLOOKUP(A42,Yards25[],21,FALSE),VLOOKUP(A42,Yards[],21,FALSE)))</f>
        <v>0</v>
      </c>
      <c r="N42" s="151">
        <f ca="1">IF(OR(F42="2019-2020",F42="2021-2025"),"",IF(ISNUMBER(SEARCH("LLC",D42)),VLOOKUP(A42,Yards25[],22,FALSE),VLOOKUP(A42,Yards[],22,FALSE)))</f>
        <v>0</v>
      </c>
      <c r="O42" s="151">
        <f ca="1">SUM(YardsAll[[#This Row],[DSGN ESTIMATE]:[CONS ESTIMATE]])</f>
        <v>0</v>
      </c>
      <c r="P42" s="143"/>
      <c r="Q42" s="143">
        <f ca="1">IF(OR(F42="2019-2020",F42="2021-2025"),"",IF(ISNUMBER(SEARCH("LLC",D42)),VLOOKUP(A42,Yards25[],25,FALSE),VLOOKUP(A42,Yards[],25,FALSE)))</f>
        <v>0</v>
      </c>
      <c r="R42" s="152"/>
    </row>
    <row r="43" spans="1:18">
      <c r="A43" s="147" t="s">
        <v>233</v>
      </c>
      <c r="B43" s="144" t="str">
        <f>VLOOKUP(A43,Data[],2,FALSE)</f>
        <v>QUEENS</v>
      </c>
      <c r="C43" s="144" t="str">
        <f ca="1">IF(OR(F43="2019-2020",F43="2021-2025"),"",IF(ISNUMBER(SEARCH("LLC",D43)),VLOOKUP(A43,Yards25[],3,FALSE),VLOOKUP(A43,Yards[],3,FALSE)))</f>
        <v>New Waste Yard v1</v>
      </c>
      <c r="D43" s="9" t="str">
        <f>VLOOKUP(A43,Data[],52,FALSE)</f>
        <v>FEDERAL</v>
      </c>
      <c r="E43" s="9">
        <f>VLOOKUP(YardsAll[[#This Row],[DEVELOPMENT]],Data[],62,FALSE)</f>
        <v>7</v>
      </c>
      <c r="F43" s="9" t="str">
        <f ca="1">VLOOKUP(A43,Data[],4,FALSE)</f>
        <v/>
      </c>
      <c r="G43" s="9">
        <f ca="1">IF(OR(YardsAll[[#This Row],[RAD/PACT]]="2019-2020",YardsAll[[#This Row],[RAD/PACT]]="2021-2025"),"",IF(ISNUMBER(SEARCH("1",C43)),2,IF(ISNUMBER(SEARCH("2",C43)),1,IF(ISNUMBER(SEARCH("3",C43)),3,IF(ISNUMBER(SEARCH("4",C43)),4,IF(ISNUMBER(SEARCH("5",C43)),5,IF(ISNUMBER(SEARCH("6",C43)),6,IF(ISNUMBER(SEARCH("7",C43)),7,IF(ISNUMBER(SEARCH("8",C43)),8,0)))))))))</f>
        <v>2</v>
      </c>
      <c r="H43" s="143" t="str">
        <f ca="1">IF(YardsAll[[#This Row],[STATUS]]="","",IF(OR(F43="2019-2020",F43="2021-2025"),"",IF(ISNUMBER(SEARCH("LLC",D43)),VLOOKUP(A43,Yards25[],28,FALSE),VLOOKUP(A43,Yards[],28,FALSE))))</f>
        <v/>
      </c>
      <c r="I43" s="143" t="str">
        <f ca="1">IF(YardsAll[[#This Row],[STATUS]]="","",IF(OR(F43="2019-2020",F43="2021-2025"),"",IF(ISNUMBER(SEARCH("LLC",D43)),VLOOKUP(A43,Yards25[],17,FALSE),VLOOKUP(A43,Yards[],17,FALSE))))</f>
        <v/>
      </c>
      <c r="J43" s="143" t="str">
        <f ca="1">IF(YardsAll[[#This Row],[STATUS]]="","",IF(OR(F43="2019-2020",F43="2021-2025"),"",IF(ISNUMBER(SEARCH("LLC",D43)),VLOOKUP(A43,Yards25[],29,FALSE),VLOOKUP(A43,Yards[],29,FALSE))))</f>
        <v/>
      </c>
      <c r="K43" s="143" t="str">
        <f ca="1">IF(YardsAll[[#This Row],[STATUS]]="","",IF(OR(F43="2019-2020",F43="2021-2025"),"",IF(ISNUMBER(SEARCH("LLC",D43)),VLOOKUP(A43,Yards25[],19,FALSE),VLOOKUP(A43,Yards[],19,FALSE))))</f>
        <v/>
      </c>
      <c r="L43" s="143" t="str">
        <f ca="1">IF(IF(OR(F43="2019-2020",F43="2021-2025"),"",IF(ISNUMBER(SEARCH("LLC",D43)),VLOOKUP(A43,Yards25[],20,FALSE),VLOOKUP(A43,Yards[],20,FALSE)))=0,"",IF(OR(F43="2019-2020",F43="2021-2025"),"",IF(ISNUMBER(SEARCH("LLC",D43)),VLOOKUP(A43,Yards25[],20,FALSE),VLOOKUP(A43,Yards[],20,FALSE))))</f>
        <v/>
      </c>
      <c r="M43" s="151">
        <f ca="1">IF(OR(F43="2019-2020",F43="2021-2025"),"",IF(ISNUMBER(SEARCH("LLC",D43)),VLOOKUP(A43,Yards25[],21,FALSE),VLOOKUP(A43,Yards[],21,FALSE)))</f>
        <v>212386.62609500007</v>
      </c>
      <c r="N43" s="151">
        <f ca="1">IF(OR(F43="2019-2020",F43="2021-2025"),"",IF(ISNUMBER(SEARCH("LLC",D43)),VLOOKUP(A43,Yards25[],22,FALSE),VLOOKUP(A43,Yards[],22,FALSE)))</f>
        <v>1911479.6348550003</v>
      </c>
      <c r="O43" s="151">
        <f ca="1">SUM(YardsAll[[#This Row],[DSGN ESTIMATE]:[CONS ESTIMATE]])</f>
        <v>2123866.2609500005</v>
      </c>
      <c r="P43" s="143"/>
      <c r="Q43" s="143">
        <f ca="1">IF(OR(F43="2019-2020",F43="2021-2025"),"",IF(ISNUMBER(SEARCH("LLC",D43)),VLOOKUP(A43,Yards25[],25,FALSE),VLOOKUP(A43,Yards[],25,FALSE)))</f>
        <v>0</v>
      </c>
      <c r="R43" s="152"/>
    </row>
    <row r="44" spans="1:18">
      <c r="A44" s="147" t="s">
        <v>119</v>
      </c>
      <c r="B44" s="144" t="str">
        <f>VLOOKUP(A44,Data[],2,FALSE)</f>
        <v>BROOKLYN</v>
      </c>
      <c r="C44" s="144" t="str">
        <f ca="1">IF(OR(F44="2019-2020",F44="2021-2025"),"",IF(ISNUMBER(SEARCH("LLC",D44)),VLOOKUP(A44,Yards25[],3,FALSE),VLOOKUP(A44,Yards[],3,FALSE)))</f>
        <v>New Waste Yard v3</v>
      </c>
      <c r="D44" s="9" t="str">
        <f>VLOOKUP(A44,Data[],52,FALSE)</f>
        <v>FEDERAL</v>
      </c>
      <c r="E44" s="9">
        <f>VLOOKUP(YardsAll[[#This Row],[DEVELOPMENT]],Data[],62,FALSE)</f>
        <v>1</v>
      </c>
      <c r="F44" s="9" t="str">
        <f ca="1">VLOOKUP(A44,Data[],4,FALSE)</f>
        <v>2026+</v>
      </c>
      <c r="G44" s="9">
        <f ca="1">IF(OR(YardsAll[[#This Row],[RAD/PACT]]="2019-2020",YardsAll[[#This Row],[RAD/PACT]]="2021-2025"),"",IF(ISNUMBER(SEARCH("1",C44)),2,IF(ISNUMBER(SEARCH("2",C44)),1,IF(ISNUMBER(SEARCH("3",C44)),3,IF(ISNUMBER(SEARCH("4",C44)),4,IF(ISNUMBER(SEARCH("5",C44)),5,IF(ISNUMBER(SEARCH("6",C44)),6,IF(ISNUMBER(SEARCH("7",C44)),7,IF(ISNUMBER(SEARCH("8",C44)),8,0)))))))))</f>
        <v>3</v>
      </c>
      <c r="H44" s="143" t="str">
        <f ca="1">IF(YardsAll[[#This Row],[STATUS]]="","",IF(OR(F44="2019-2020",F44="2021-2025"),"",IF(ISNUMBER(SEARCH("LLC",D44)),VLOOKUP(A44,Yards25[],28,FALSE),VLOOKUP(A44,Yards[],28,FALSE))))</f>
        <v/>
      </c>
      <c r="I44" s="143" t="str">
        <f ca="1">IF(YardsAll[[#This Row],[STATUS]]="","",IF(OR(F44="2019-2020",F44="2021-2025"),"",IF(ISNUMBER(SEARCH("LLC",D44)),VLOOKUP(A44,Yards25[],17,FALSE),VLOOKUP(A44,Yards[],17,FALSE))))</f>
        <v/>
      </c>
      <c r="J44" s="143" t="str">
        <f ca="1">IF(YardsAll[[#This Row],[STATUS]]="","",IF(OR(F44="2019-2020",F44="2021-2025"),"",IF(ISNUMBER(SEARCH("LLC",D44)),VLOOKUP(A44,Yards25[],29,FALSE),VLOOKUP(A44,Yards[],29,FALSE))))</f>
        <v/>
      </c>
      <c r="K44" s="143" t="str">
        <f ca="1">IF(YardsAll[[#This Row],[STATUS]]="","",IF(OR(F44="2019-2020",F44="2021-2025"),"",IF(ISNUMBER(SEARCH("LLC",D44)),VLOOKUP(A44,Yards25[],19,FALSE),VLOOKUP(A44,Yards[],19,FALSE))))</f>
        <v/>
      </c>
      <c r="L44" s="143" t="str">
        <f ca="1">IF(IF(OR(F44="2019-2020",F44="2021-2025"),"",IF(ISNUMBER(SEARCH("LLC",D44)),VLOOKUP(A44,Yards25[],20,FALSE),VLOOKUP(A44,Yards[],20,FALSE)))=0,"",IF(OR(F44="2019-2020",F44="2021-2025"),"",IF(ISNUMBER(SEARCH("LLC",D44)),VLOOKUP(A44,Yards25[],20,FALSE),VLOOKUP(A44,Yards[],20,FALSE))))</f>
        <v/>
      </c>
      <c r="M44" s="151">
        <f ca="1">IF(OR(F44="2019-2020",F44="2021-2025"),"",IF(ISNUMBER(SEARCH("LLC",D44)),VLOOKUP(A44,Yards25[],21,FALSE),VLOOKUP(A44,Yards[],21,FALSE)))</f>
        <v>216185.89406550006</v>
      </c>
      <c r="N44" s="151">
        <f ca="1">IF(OR(F44="2019-2020",F44="2021-2025"),"",IF(ISNUMBER(SEARCH("LLC",D44)),VLOOKUP(A44,Yards25[],22,FALSE),VLOOKUP(A44,Yards[],22,FALSE)))</f>
        <v>1945673.0465895005</v>
      </c>
      <c r="O44" s="151">
        <f ca="1">SUM(YardsAll[[#This Row],[DSGN ESTIMATE]:[CONS ESTIMATE]])</f>
        <v>2161858.9406550005</v>
      </c>
      <c r="P44" s="143"/>
      <c r="Q44" s="143">
        <f ca="1">IF(OR(F44="2019-2020",F44="2021-2025"),"",IF(ISNUMBER(SEARCH("LLC",D44)),VLOOKUP(A44,Yards25[],25,FALSE),VLOOKUP(A44,Yards[],25,FALSE)))</f>
        <v>0</v>
      </c>
      <c r="R44" s="152"/>
    </row>
    <row r="45" spans="1:18">
      <c r="A45" s="147" t="s">
        <v>72</v>
      </c>
      <c r="B45" s="144" t="str">
        <f>VLOOKUP(A45,Data[],2,FALSE)</f>
        <v>BROOKLYN</v>
      </c>
      <c r="C45" s="144" t="str">
        <f ca="1">IF(OR(F45="2019-2020",F45="2021-2025"),"",IF(ISNUMBER(SEARCH("LLC",D45)),VLOOKUP(A45,Yards25[],3,FALSE),VLOOKUP(A45,Yards[],3,FALSE)))</f>
        <v>New Waste Yard v1</v>
      </c>
      <c r="D45" s="9" t="str">
        <f>VLOOKUP(A45,Data[],52,FALSE)</f>
        <v>FEDERAL</v>
      </c>
      <c r="E45" s="9">
        <f>VLOOKUP(YardsAll[[#This Row],[DEVELOPMENT]],Data[],62,FALSE)</f>
        <v>1</v>
      </c>
      <c r="F45" s="9" t="str">
        <f ca="1">VLOOKUP(A45,Data[],4,FALSE)</f>
        <v>2026+</v>
      </c>
      <c r="G45" s="9">
        <f ca="1">IF(OR(YardsAll[[#This Row],[RAD/PACT]]="2019-2020",YardsAll[[#This Row],[RAD/PACT]]="2021-2025"),"",IF(ISNUMBER(SEARCH("1",C45)),2,IF(ISNUMBER(SEARCH("2",C45)),1,IF(ISNUMBER(SEARCH("3",C45)),3,IF(ISNUMBER(SEARCH("4",C45)),4,IF(ISNUMBER(SEARCH("5",C45)),5,IF(ISNUMBER(SEARCH("6",C45)),6,IF(ISNUMBER(SEARCH("7",C45)),7,IF(ISNUMBER(SEARCH("8",C45)),8,0)))))))))</f>
        <v>2</v>
      </c>
      <c r="H45" s="143" t="str">
        <f ca="1">IF(YardsAll[[#This Row],[STATUS]]="","",IF(OR(F45="2019-2020",F45="2021-2025"),"",IF(ISNUMBER(SEARCH("LLC",D45)),VLOOKUP(A45,Yards25[],28,FALSE),VLOOKUP(A45,Yards[],28,FALSE))))</f>
        <v/>
      </c>
      <c r="I45" s="143" t="str">
        <f ca="1">IF(YardsAll[[#This Row],[STATUS]]="","",IF(OR(F45="2019-2020",F45="2021-2025"),"",IF(ISNUMBER(SEARCH("LLC",D45)),VLOOKUP(A45,Yards25[],17,FALSE),VLOOKUP(A45,Yards[],17,FALSE))))</f>
        <v/>
      </c>
      <c r="J45" s="143" t="str">
        <f ca="1">IF(YardsAll[[#This Row],[STATUS]]="","",IF(OR(F45="2019-2020",F45="2021-2025"),"",IF(ISNUMBER(SEARCH("LLC",D45)),VLOOKUP(A45,Yards25[],29,FALSE),VLOOKUP(A45,Yards[],29,FALSE))))</f>
        <v/>
      </c>
      <c r="K45" s="143" t="str">
        <f ca="1">IF(YardsAll[[#This Row],[STATUS]]="","",IF(OR(F45="2019-2020",F45="2021-2025"),"",IF(ISNUMBER(SEARCH("LLC",D45)),VLOOKUP(A45,Yards25[],19,FALSE),VLOOKUP(A45,Yards[],19,FALSE))))</f>
        <v/>
      </c>
      <c r="L45" s="143" t="str">
        <f ca="1">IF(IF(OR(F45="2019-2020",F45="2021-2025"),"",IF(ISNUMBER(SEARCH("LLC",D45)),VLOOKUP(A45,Yards25[],20,FALSE),VLOOKUP(A45,Yards[],20,FALSE)))=0,"",IF(OR(F45="2019-2020",F45="2021-2025"),"",IF(ISNUMBER(SEARCH("LLC",D45)),VLOOKUP(A45,Yards25[],20,FALSE),VLOOKUP(A45,Yards[],20,FALSE))))</f>
        <v/>
      </c>
      <c r="M45" s="151">
        <f ca="1">IF(OR(F45="2019-2020",F45="2021-2025"),"",IF(ISNUMBER(SEARCH("LLC",D45)),VLOOKUP(A45,Yards25[],21,FALSE),VLOOKUP(A45,Yards[],21,FALSE)))</f>
        <v>206060.21595600009</v>
      </c>
      <c r="N45" s="151">
        <f ca="1">IF(OR(F45="2019-2020",F45="2021-2025"),"",IF(ISNUMBER(SEARCH("LLC",D45)),VLOOKUP(A45,Yards25[],22,FALSE),VLOOKUP(A45,Yards[],22,FALSE)))</f>
        <v>1854541.9436040006</v>
      </c>
      <c r="O45" s="151">
        <f ca="1">SUM(YardsAll[[#This Row],[DSGN ESTIMATE]:[CONS ESTIMATE]])</f>
        <v>2060602.1595600008</v>
      </c>
      <c r="P45" s="143"/>
      <c r="Q45" s="143">
        <f ca="1">IF(OR(F45="2019-2020",F45="2021-2025"),"",IF(ISNUMBER(SEARCH("LLC",D45)),VLOOKUP(A45,Yards25[],25,FALSE),VLOOKUP(A45,Yards[],25,FALSE)))</f>
        <v>0</v>
      </c>
      <c r="R45" s="152"/>
    </row>
    <row r="46" spans="1:18">
      <c r="A46" s="147" t="s">
        <v>234</v>
      </c>
      <c r="B46" s="144" t="str">
        <f>VLOOKUP(A46,Data[],2,FALSE)</f>
        <v>BRONX</v>
      </c>
      <c r="C46" s="144" t="str">
        <f ca="1">IF(OR(F46="2019-2020",F46="2021-2025"),"",IF(ISNUMBER(SEARCH("LLC",D46)),VLOOKUP(A46,Yards25[],3,FALSE),VLOOKUP(A46,Yards[],3,FALSE)))</f>
        <v>New Waste Yard v1</v>
      </c>
      <c r="D46" s="9" t="str">
        <f>VLOOKUP(A46,Data[],52,FALSE)</f>
        <v>FEDERAL</v>
      </c>
      <c r="E46" s="9">
        <f>VLOOKUP(YardsAll[[#This Row],[DEVELOPMENT]],Data[],62,FALSE)</f>
        <v>11</v>
      </c>
      <c r="F46" s="9" t="str">
        <f ca="1">VLOOKUP(A46,Data[],4,FALSE)</f>
        <v>2022-2025</v>
      </c>
      <c r="G46" s="9">
        <f ca="1">IF(OR(YardsAll[[#This Row],[RAD/PACT]]="2019-2020",YardsAll[[#This Row],[RAD/PACT]]="2021-2025"),"",IF(ISNUMBER(SEARCH("1",C46)),2,IF(ISNUMBER(SEARCH("2",C46)),1,IF(ISNUMBER(SEARCH("3",C46)),3,IF(ISNUMBER(SEARCH("4",C46)),4,IF(ISNUMBER(SEARCH("5",C46)),5,IF(ISNUMBER(SEARCH("6",C46)),6,IF(ISNUMBER(SEARCH("7",C46)),7,IF(ISNUMBER(SEARCH("8",C46)),8,0)))))))))</f>
        <v>2</v>
      </c>
      <c r="H46" s="143" t="str">
        <f ca="1">IF(YardsAll[[#This Row],[STATUS]]="","",IF(OR(F46="2019-2020",F46="2021-2025"),"",IF(ISNUMBER(SEARCH("LLC",D46)),VLOOKUP(A46,Yards25[],28,FALSE),VLOOKUP(A46,Yards[],28,FALSE))))</f>
        <v/>
      </c>
      <c r="I46" s="143" t="str">
        <f ca="1">IF(YardsAll[[#This Row],[STATUS]]="","",IF(OR(F46="2019-2020",F46="2021-2025"),"",IF(ISNUMBER(SEARCH("LLC",D46)),VLOOKUP(A46,Yards25[],17,FALSE),VLOOKUP(A46,Yards[],17,FALSE))))</f>
        <v/>
      </c>
      <c r="J46" s="143" t="str">
        <f ca="1">IF(YardsAll[[#This Row],[STATUS]]="","",IF(OR(F46="2019-2020",F46="2021-2025"),"",IF(ISNUMBER(SEARCH("LLC",D46)),VLOOKUP(A46,Yards25[],29,FALSE),VLOOKUP(A46,Yards[],29,FALSE))))</f>
        <v/>
      </c>
      <c r="K46" s="143" t="str">
        <f ca="1">IF(YardsAll[[#This Row],[STATUS]]="","",IF(OR(F46="2019-2020",F46="2021-2025"),"",IF(ISNUMBER(SEARCH("LLC",D46)),VLOOKUP(A46,Yards25[],19,FALSE),VLOOKUP(A46,Yards[],19,FALSE))))</f>
        <v/>
      </c>
      <c r="L46" s="143" t="str">
        <f ca="1">IF(IF(OR(F46="2019-2020",F46="2021-2025"),"",IF(ISNUMBER(SEARCH("LLC",D46)),VLOOKUP(A46,Yards25[],20,FALSE),VLOOKUP(A46,Yards[],20,FALSE)))=0,"",IF(OR(F46="2019-2020",F46="2021-2025"),"",IF(ISNUMBER(SEARCH("LLC",D46)),VLOOKUP(A46,Yards25[],20,FALSE),VLOOKUP(A46,Yards[],20,FALSE))))</f>
        <v/>
      </c>
      <c r="M46" s="151">
        <f ca="1">IF(OR(F46="2019-2020",F46="2021-2025"),"",IF(ISNUMBER(SEARCH("LLC",D46)),VLOOKUP(A46,Yards25[],21,FALSE),VLOOKUP(A46,Yards[],21,FALSE)))</f>
        <v>0</v>
      </c>
      <c r="N46" s="151">
        <f ca="1">IF(OR(F46="2019-2020",F46="2021-2025"),"",IF(ISNUMBER(SEARCH("LLC",D46)),VLOOKUP(A46,Yards25[],22,FALSE),VLOOKUP(A46,Yards[],22,FALSE)))</f>
        <v>0</v>
      </c>
      <c r="O46" s="151">
        <f ca="1">SUM(YardsAll[[#This Row],[DSGN ESTIMATE]:[CONS ESTIMATE]])</f>
        <v>0</v>
      </c>
      <c r="P46" s="143"/>
      <c r="Q46" s="143">
        <f ca="1">IF(OR(F46="2019-2020",F46="2021-2025"),"",IF(ISNUMBER(SEARCH("LLC",D46)),VLOOKUP(A46,Yards25[],25,FALSE),VLOOKUP(A46,Yards[],25,FALSE)))</f>
        <v>0</v>
      </c>
      <c r="R46" s="152"/>
    </row>
    <row r="47" spans="1:18">
      <c r="A47" s="147" t="s">
        <v>304</v>
      </c>
      <c r="B47" s="144" t="str">
        <f>VLOOKUP(A47,Data[],2,FALSE)</f>
        <v>BRONX</v>
      </c>
      <c r="C47" s="144" t="str">
        <f ca="1">IF(OR(F47="2019-2020",F47="2021-2025"),"",IF(ISNUMBER(SEARCH("LLC",D47)),VLOOKUP(A47,Yards25[],3,FALSE),VLOOKUP(A47,Yards[],3,FALSE)))</f>
        <v>New Waste Yard v3</v>
      </c>
      <c r="D47" s="9" t="str">
        <f>VLOOKUP(A47,Data[],52,FALSE)</f>
        <v>FEDERAL</v>
      </c>
      <c r="E47" s="9">
        <f>VLOOKUP(YardsAll[[#This Row],[DEVELOPMENT]],Data[],62,FALSE)</f>
        <v>12</v>
      </c>
      <c r="F47" s="9" t="str">
        <f ca="1">VLOOKUP(A47,Data[],4,FALSE)</f>
        <v/>
      </c>
      <c r="G47" s="9">
        <f ca="1">IF(OR(YardsAll[[#This Row],[RAD/PACT]]="2019-2020",YardsAll[[#This Row],[RAD/PACT]]="2021-2025"),"",IF(ISNUMBER(SEARCH("1",C47)),2,IF(ISNUMBER(SEARCH("2",C47)),1,IF(ISNUMBER(SEARCH("3",C47)),3,IF(ISNUMBER(SEARCH("4",C47)),4,IF(ISNUMBER(SEARCH("5",C47)),5,IF(ISNUMBER(SEARCH("6",C47)),6,IF(ISNUMBER(SEARCH("7",C47)),7,IF(ISNUMBER(SEARCH("8",C47)),8,0)))))))))</f>
        <v>3</v>
      </c>
      <c r="H47" s="143" t="str">
        <f ca="1">IF(YardsAll[[#This Row],[STATUS]]="","",IF(OR(F47="2019-2020",F47="2021-2025"),"",IF(ISNUMBER(SEARCH("LLC",D47)),VLOOKUP(A47,Yards25[],28,FALSE),VLOOKUP(A47,Yards[],28,FALSE))))</f>
        <v/>
      </c>
      <c r="I47" s="143" t="str">
        <f ca="1">IF(YardsAll[[#This Row],[STATUS]]="","",IF(OR(F47="2019-2020",F47="2021-2025"),"",IF(ISNUMBER(SEARCH("LLC",D47)),VLOOKUP(A47,Yards25[],17,FALSE),VLOOKUP(A47,Yards[],17,FALSE))))</f>
        <v/>
      </c>
      <c r="J47" s="143" t="str">
        <f ca="1">IF(YardsAll[[#This Row],[STATUS]]="","",IF(OR(F47="2019-2020",F47="2021-2025"),"",IF(ISNUMBER(SEARCH("LLC",D47)),VLOOKUP(A47,Yards25[],29,FALSE),VLOOKUP(A47,Yards[],29,FALSE))))</f>
        <v/>
      </c>
      <c r="K47" s="143" t="str">
        <f ca="1">IF(YardsAll[[#This Row],[STATUS]]="","",IF(OR(F47="2019-2020",F47="2021-2025"),"",IF(ISNUMBER(SEARCH("LLC",D47)),VLOOKUP(A47,Yards25[],19,FALSE),VLOOKUP(A47,Yards[],19,FALSE))))</f>
        <v/>
      </c>
      <c r="L47" s="143" t="str">
        <f ca="1">IF(IF(OR(F47="2019-2020",F47="2021-2025"),"",IF(ISNUMBER(SEARCH("LLC",D47)),VLOOKUP(A47,Yards25[],20,FALSE),VLOOKUP(A47,Yards[],20,FALSE)))=0,"",IF(OR(F47="2019-2020",F47="2021-2025"),"",IF(ISNUMBER(SEARCH("LLC",D47)),VLOOKUP(A47,Yards25[],20,FALSE),VLOOKUP(A47,Yards[],20,FALSE))))</f>
        <v/>
      </c>
      <c r="M47" s="151">
        <f ca="1">IF(OR(F47="2019-2020",F47="2021-2025"),"",IF(ISNUMBER(SEARCH("LLC",D47)),VLOOKUP(A47,Yards25[],21,FALSE),VLOOKUP(A47,Yards[],21,FALSE)))</f>
        <v>258614.90131200009</v>
      </c>
      <c r="N47" s="151">
        <f ca="1">IF(OR(F47="2019-2020",F47="2021-2025"),"",IF(ISNUMBER(SEARCH("LLC",D47)),VLOOKUP(A47,Yards25[],22,FALSE),VLOOKUP(A47,Yards[],22,FALSE)))</f>
        <v>2327534.1118080006</v>
      </c>
      <c r="O47" s="151">
        <f ca="1">SUM(YardsAll[[#This Row],[DSGN ESTIMATE]:[CONS ESTIMATE]])</f>
        <v>2586149.0131200007</v>
      </c>
      <c r="P47" s="143"/>
      <c r="Q47" s="143">
        <f ca="1">IF(OR(F47="2019-2020",F47="2021-2025"),"",IF(ISNUMBER(SEARCH("LLC",D47)),VLOOKUP(A47,Yards25[],25,FALSE),VLOOKUP(A47,Yards[],25,FALSE)))</f>
        <v>0</v>
      </c>
      <c r="R47" s="152"/>
    </row>
    <row r="48" spans="1:18">
      <c r="A48" s="147" t="s">
        <v>226</v>
      </c>
      <c r="B48" s="144" t="str">
        <f>VLOOKUP(A48,Data[],2,FALSE)</f>
        <v>BROOKLYN</v>
      </c>
      <c r="C48" s="144" t="str">
        <f ca="1">IF(OR(F48="2019-2020",F48="2021-2025"),"",IF(ISNUMBER(SEARCH("LLC",D48)),VLOOKUP(A48,Yards25[],3,FALSE),VLOOKUP(A48,Yards[],3,FALSE)))</f>
        <v>New Waste Yard v1</v>
      </c>
      <c r="D48" s="9" t="str">
        <f>VLOOKUP(A48,Data[],52,FALSE)</f>
        <v>MIXED FINANCE/LLC2</v>
      </c>
      <c r="E48" s="9">
        <f>VLOOKUP(YardsAll[[#This Row],[DEVELOPMENT]],Data[],62,FALSE)</f>
        <v>5</v>
      </c>
      <c r="F48" s="9" t="str">
        <f ca="1">VLOOKUP(A48,Data[],4,FALSE)</f>
        <v>2020-2021</v>
      </c>
      <c r="G48" s="9">
        <f ca="1">IF(OR(YardsAll[[#This Row],[RAD/PACT]]="2019-2020",YardsAll[[#This Row],[RAD/PACT]]="2021-2025"),"",IF(ISNUMBER(SEARCH("1",C48)),2,IF(ISNUMBER(SEARCH("2",C48)),1,IF(ISNUMBER(SEARCH("3",C48)),3,IF(ISNUMBER(SEARCH("4",C48)),4,IF(ISNUMBER(SEARCH("5",C48)),5,IF(ISNUMBER(SEARCH("6",C48)),6,IF(ISNUMBER(SEARCH("7",C48)),7,IF(ISNUMBER(SEARCH("8",C48)),8,0)))))))))</f>
        <v>2</v>
      </c>
      <c r="H48" s="143" t="str">
        <f ca="1">IF(YardsAll[[#This Row],[STATUS]]="","",IF(OR(F48="2019-2020",F48="2021-2025"),"",IF(ISNUMBER(SEARCH("LLC",D48)),VLOOKUP(A48,Yards25[],28,FALSE),VLOOKUP(A48,Yards[],28,FALSE))))</f>
        <v/>
      </c>
      <c r="I48" s="143" t="str">
        <f ca="1">IF(YardsAll[[#This Row],[STATUS]]="","",IF(OR(F48="2019-2020",F48="2021-2025"),"",IF(ISNUMBER(SEARCH("LLC",D48)),VLOOKUP(A48,Yards25[],17,FALSE),VLOOKUP(A48,Yards[],17,FALSE))))</f>
        <v/>
      </c>
      <c r="J48" s="143" t="str">
        <f ca="1">IF(YardsAll[[#This Row],[STATUS]]="","",IF(OR(F48="2019-2020",F48="2021-2025"),"",IF(ISNUMBER(SEARCH("LLC",D48)),VLOOKUP(A48,Yards25[],29,FALSE),VLOOKUP(A48,Yards[],29,FALSE))))</f>
        <v/>
      </c>
      <c r="K48" s="143" t="str">
        <f ca="1">IF(YardsAll[[#This Row],[STATUS]]="","",IF(OR(F48="2019-2020",F48="2021-2025"),"",IF(ISNUMBER(SEARCH("LLC",D48)),VLOOKUP(A48,Yards25[],19,FALSE),VLOOKUP(A48,Yards[],19,FALSE))))</f>
        <v/>
      </c>
      <c r="L48" s="143" t="str">
        <f ca="1">IF(IF(OR(F48="2019-2020",F48="2021-2025"),"",IF(ISNUMBER(SEARCH("LLC",D48)),VLOOKUP(A48,Yards25[],20,FALSE),VLOOKUP(A48,Yards[],20,FALSE)))=0,"",IF(OR(F48="2019-2020",F48="2021-2025"),"",IF(ISNUMBER(SEARCH("LLC",D48)),VLOOKUP(A48,Yards25[],20,FALSE),VLOOKUP(A48,Yards[],20,FALSE))))</f>
        <v/>
      </c>
      <c r="M48" s="151">
        <f ca="1">IF(OR(F48="2019-2020",F48="2021-2025"),"",IF(ISNUMBER(SEARCH("LLC",D48)),VLOOKUP(A48,Yards25[],21,FALSE),VLOOKUP(A48,Yards[],21,FALSE)))</f>
        <v>0</v>
      </c>
      <c r="N48" s="151">
        <f ca="1">IF(OR(F48="2019-2020",F48="2021-2025"),"",IF(ISNUMBER(SEARCH("LLC",D48)),VLOOKUP(A48,Yards25[],22,FALSE),VLOOKUP(A48,Yards[],22,FALSE)))</f>
        <v>0</v>
      </c>
      <c r="O48" s="151">
        <f ca="1">SUM(YardsAll[[#This Row],[DSGN ESTIMATE]:[CONS ESTIMATE]])</f>
        <v>0</v>
      </c>
      <c r="P48" s="143"/>
      <c r="Q48" s="143">
        <f ca="1">IF(OR(F48="2019-2020",F48="2021-2025"),"",IF(ISNUMBER(SEARCH("LLC",D48)),VLOOKUP(A48,Yards25[],25,FALSE),VLOOKUP(A48,Yards[],25,FALSE)))</f>
        <v>0</v>
      </c>
      <c r="R48" s="152"/>
    </row>
    <row r="49" spans="1:18">
      <c r="A49" s="147" t="s">
        <v>187</v>
      </c>
      <c r="B49" s="144" t="str">
        <f>VLOOKUP(A49,Data[],2,FALSE)</f>
        <v>BRONX</v>
      </c>
      <c r="C49" s="144" t="str">
        <f ca="1">IF(OR(F49="2019-2020",F49="2021-2025"),"",IF(ISNUMBER(SEARCH("LLC",D49)),VLOOKUP(A49,Yards25[],3,FALSE),VLOOKUP(A49,Yards[],3,FALSE)))</f>
        <v>New Waste Yard v1</v>
      </c>
      <c r="D49" s="9" t="str">
        <f>VLOOKUP(A49,Data[],52,FALSE)</f>
        <v>FEDERAL</v>
      </c>
      <c r="E49" s="9">
        <f>VLOOKUP(YardsAll[[#This Row],[DEVELOPMENT]],Data[],62,FALSE)</f>
        <v>9</v>
      </c>
      <c r="F49" s="9" t="str">
        <f ca="1">VLOOKUP(A49,Data[],4,FALSE)</f>
        <v/>
      </c>
      <c r="G49" s="9">
        <f ca="1">IF(OR(YardsAll[[#This Row],[RAD/PACT]]="2019-2020",YardsAll[[#This Row],[RAD/PACT]]="2021-2025"),"",IF(ISNUMBER(SEARCH("1",C49)),2,IF(ISNUMBER(SEARCH("2",C49)),1,IF(ISNUMBER(SEARCH("3",C49)),3,IF(ISNUMBER(SEARCH("4",C49)),4,IF(ISNUMBER(SEARCH("5",C49)),5,IF(ISNUMBER(SEARCH("6",C49)),6,IF(ISNUMBER(SEARCH("7",C49)),7,IF(ISNUMBER(SEARCH("8",C49)),8,0)))))))))</f>
        <v>2</v>
      </c>
      <c r="H49" s="143" t="str">
        <f ca="1">IF(YardsAll[[#This Row],[STATUS]]="","",IF(OR(F49="2019-2020",F49="2021-2025"),"",IF(ISNUMBER(SEARCH("LLC",D49)),VLOOKUP(A49,Yards25[],28,FALSE),VLOOKUP(A49,Yards[],28,FALSE))))</f>
        <v/>
      </c>
      <c r="I49" s="143" t="str">
        <f ca="1">IF(YardsAll[[#This Row],[STATUS]]="","",IF(OR(F49="2019-2020",F49="2021-2025"),"",IF(ISNUMBER(SEARCH("LLC",D49)),VLOOKUP(A49,Yards25[],17,FALSE),VLOOKUP(A49,Yards[],17,FALSE))))</f>
        <v/>
      </c>
      <c r="J49" s="143" t="str">
        <f ca="1">IF(YardsAll[[#This Row],[STATUS]]="","",IF(OR(F49="2019-2020",F49="2021-2025"),"",IF(ISNUMBER(SEARCH("LLC",D49)),VLOOKUP(A49,Yards25[],29,FALSE),VLOOKUP(A49,Yards[],29,FALSE))))</f>
        <v/>
      </c>
      <c r="K49" s="143" t="str">
        <f ca="1">IF(YardsAll[[#This Row],[STATUS]]="","",IF(OR(F49="2019-2020",F49="2021-2025"),"",IF(ISNUMBER(SEARCH("LLC",D49)),VLOOKUP(A49,Yards25[],19,FALSE),VLOOKUP(A49,Yards[],19,FALSE))))</f>
        <v/>
      </c>
      <c r="L49" s="143" t="str">
        <f ca="1">IF(IF(OR(F49="2019-2020",F49="2021-2025"),"",IF(ISNUMBER(SEARCH("LLC",D49)),VLOOKUP(A49,Yards25[],20,FALSE),VLOOKUP(A49,Yards[],20,FALSE)))=0,"",IF(OR(F49="2019-2020",F49="2021-2025"),"",IF(ISNUMBER(SEARCH("LLC",D49)),VLOOKUP(A49,Yards25[],20,FALSE),VLOOKUP(A49,Yards[],20,FALSE))))</f>
        <v/>
      </c>
      <c r="M49" s="151">
        <f ca="1">IF(OR(F49="2019-2020",F49="2021-2025"),"",IF(ISNUMBER(SEARCH("LLC",D49)),VLOOKUP(A49,Yards25[],21,FALSE),VLOOKUP(A49,Yards[],21,FALSE)))</f>
        <v>193407.39567800006</v>
      </c>
      <c r="N49" s="151">
        <f ca="1">IF(OR(F49="2019-2020",F49="2021-2025"),"",IF(ISNUMBER(SEARCH("LLC",D49)),VLOOKUP(A49,Yards25[],22,FALSE),VLOOKUP(A49,Yards[],22,FALSE)))</f>
        <v>1740666.5611020005</v>
      </c>
      <c r="O49" s="151">
        <f ca="1">SUM(YardsAll[[#This Row],[DSGN ESTIMATE]:[CONS ESTIMATE]])</f>
        <v>1934073.9567800006</v>
      </c>
      <c r="P49" s="143"/>
      <c r="Q49" s="143">
        <f ca="1">IF(OR(F49="2019-2020",F49="2021-2025"),"",IF(ISNUMBER(SEARCH("LLC",D49)),VLOOKUP(A49,Yards25[],25,FALSE),VLOOKUP(A49,Yards[],25,FALSE)))</f>
        <v>0</v>
      </c>
      <c r="R49" s="152"/>
    </row>
    <row r="50" spans="1:18">
      <c r="A50" s="148" t="s">
        <v>59</v>
      </c>
      <c r="B50" s="144" t="str">
        <f>VLOOKUP(A50,Data[],2,FALSE)</f>
        <v>MANHATTAN</v>
      </c>
      <c r="C50" s="144" t="str">
        <f ca="1">IF(OR(F50="2019-2020",F50="2021-2025"),"",IF(ISNUMBER(SEARCH("LLC",D50)),VLOOKUP(A50,Yards25[],3,FALSE),VLOOKUP(A50,Yards[],3,FALSE)))</f>
        <v>New Waste Yard v1</v>
      </c>
      <c r="D50" s="9" t="str">
        <f>VLOOKUP(A50,Data[],52,FALSE)</f>
        <v>FEDERAL</v>
      </c>
      <c r="E50" s="9">
        <f>VLOOKUP(YardsAll[[#This Row],[DEVELOPMENT]],Data[],62,FALSE)</f>
        <v>3</v>
      </c>
      <c r="F50" s="9" t="str">
        <f ca="1">VLOOKUP(A50,Data[],4,FALSE)</f>
        <v>2026+</v>
      </c>
      <c r="G50" s="9">
        <f ca="1">IF(OR(YardsAll[[#This Row],[RAD/PACT]]="2019-2020",YardsAll[[#This Row],[RAD/PACT]]="2021-2025"),"",IF(ISNUMBER(SEARCH("1",C50)),2,IF(ISNUMBER(SEARCH("2",C50)),1,IF(ISNUMBER(SEARCH("3",C50)),3,IF(ISNUMBER(SEARCH("4",C50)),4,IF(ISNUMBER(SEARCH("5",C50)),5,IF(ISNUMBER(SEARCH("6",C50)),6,IF(ISNUMBER(SEARCH("7",C50)),7,IF(ISNUMBER(SEARCH("8",C50)),8,0)))))))))</f>
        <v>2</v>
      </c>
      <c r="H50" s="143" t="str">
        <f ca="1">IF(YardsAll[[#This Row],[STATUS]]="","",IF(OR(F50="2019-2020",F50="2021-2025"),"",IF(ISNUMBER(SEARCH("LLC",D50)),VLOOKUP(A50,Yards25[],28,FALSE),VLOOKUP(A50,Yards[],28,FALSE))))</f>
        <v/>
      </c>
      <c r="I50" s="143" t="str">
        <f ca="1">IF(YardsAll[[#This Row],[STATUS]]="","",IF(OR(F50="2019-2020",F50="2021-2025"),"",IF(ISNUMBER(SEARCH("LLC",D50)),VLOOKUP(A50,Yards25[],17,FALSE),VLOOKUP(A50,Yards[],17,FALSE))))</f>
        <v/>
      </c>
      <c r="J50" s="143" t="str">
        <f ca="1">IF(YardsAll[[#This Row],[STATUS]]="","",IF(OR(F50="2019-2020",F50="2021-2025"),"",IF(ISNUMBER(SEARCH("LLC",D50)),VLOOKUP(A50,Yards25[],29,FALSE),VLOOKUP(A50,Yards[],29,FALSE))))</f>
        <v/>
      </c>
      <c r="K50" s="143" t="str">
        <f ca="1">IF(YardsAll[[#This Row],[STATUS]]="","",IF(OR(F50="2019-2020",F50="2021-2025"),"",IF(ISNUMBER(SEARCH("LLC",D50)),VLOOKUP(A50,Yards25[],19,FALSE),VLOOKUP(A50,Yards[],19,FALSE))))</f>
        <v/>
      </c>
      <c r="L50" s="143" t="str">
        <f ca="1">IF(IF(OR(F50="2019-2020",F50="2021-2025"),"",IF(ISNUMBER(SEARCH("LLC",D50)),VLOOKUP(A50,Yards25[],20,FALSE),VLOOKUP(A50,Yards[],20,FALSE)))=0,"",IF(OR(F50="2019-2020",F50="2021-2025"),"",IF(ISNUMBER(SEARCH("LLC",D50)),VLOOKUP(A50,Yards25[],20,FALSE),VLOOKUP(A50,Yards[],20,FALSE))))</f>
        <v/>
      </c>
      <c r="M50" s="151">
        <f ca="1">IF(OR(F50="2019-2020",F50="2021-2025"),"",IF(ISNUMBER(SEARCH("LLC",D50)),VLOOKUP(A50,Yards25[],21,FALSE),VLOOKUP(A50,Yards[],21,FALSE)))</f>
        <v>225039.4463730001</v>
      </c>
      <c r="N50" s="151">
        <f ca="1">IF(OR(F50="2019-2020",F50="2021-2025"),"",IF(ISNUMBER(SEARCH("LLC",D50)),VLOOKUP(A50,Yards25[],22,FALSE),VLOOKUP(A50,Yards[],22,FALSE)))</f>
        <v>2025355.0173570008</v>
      </c>
      <c r="O50" s="151">
        <f ca="1">SUM(YardsAll[[#This Row],[DSGN ESTIMATE]:[CONS ESTIMATE]])</f>
        <v>2250394.4637300009</v>
      </c>
      <c r="P50" s="143"/>
      <c r="Q50" s="143">
        <f ca="1">IF(OR(F50="2019-2020",F50="2021-2025"),"",IF(ISNUMBER(SEARCH("LLC",D50)),VLOOKUP(A50,Yards25[],25,FALSE),VLOOKUP(A50,Yards[],25,FALSE)))</f>
        <v>0</v>
      </c>
      <c r="R50" s="152"/>
    </row>
    <row r="51" spans="1:18">
      <c r="A51" s="147" t="s">
        <v>188</v>
      </c>
      <c r="B51" s="144" t="str">
        <f>VLOOKUP(A51,Data[],2,FALSE)</f>
        <v>BROOKLYN</v>
      </c>
      <c r="C51" s="144" t="str">
        <f ca="1">IF(OR(F51="2019-2020",F51="2021-2025"),"",IF(ISNUMBER(SEARCH("LLC",D51)),VLOOKUP(A51,Yards25[],3,FALSE),VLOOKUP(A51,Yards[],3,FALSE)))</f>
        <v>New Waste Yard v5</v>
      </c>
      <c r="D51" s="9" t="str">
        <f>VLOOKUP(A51,Data[],52,FALSE)</f>
        <v>FEDERAL</v>
      </c>
      <c r="E51" s="9">
        <f>VLOOKUP(YardsAll[[#This Row],[DEVELOPMENT]],Data[],62,FALSE)</f>
        <v>18</v>
      </c>
      <c r="F51" s="9" t="str">
        <f ca="1">VLOOKUP(A51,Data[],4,FALSE)</f>
        <v>2020-2021</v>
      </c>
      <c r="G51" s="9">
        <f ca="1">IF(OR(YardsAll[[#This Row],[RAD/PACT]]="2019-2020",YardsAll[[#This Row],[RAD/PACT]]="2021-2025"),"",IF(ISNUMBER(SEARCH("1",C51)),2,IF(ISNUMBER(SEARCH("2",C51)),1,IF(ISNUMBER(SEARCH("3",C51)),3,IF(ISNUMBER(SEARCH("4",C51)),4,IF(ISNUMBER(SEARCH("5",C51)),5,IF(ISNUMBER(SEARCH("6",C51)),6,IF(ISNUMBER(SEARCH("7",C51)),7,IF(ISNUMBER(SEARCH("8",C51)),8,0)))))))))</f>
        <v>5</v>
      </c>
      <c r="H51" s="143" t="str">
        <f ca="1">IF(YardsAll[[#This Row],[STATUS]]="","",IF(OR(F51="2019-2020",F51="2021-2025"),"",IF(ISNUMBER(SEARCH("LLC",D51)),VLOOKUP(A51,Yards25[],28,FALSE),VLOOKUP(A51,Yards[],28,FALSE))))</f>
        <v/>
      </c>
      <c r="I51" s="143" t="str">
        <f ca="1">IF(YardsAll[[#This Row],[STATUS]]="","",IF(OR(F51="2019-2020",F51="2021-2025"),"",IF(ISNUMBER(SEARCH("LLC",D51)),VLOOKUP(A51,Yards25[],17,FALSE),VLOOKUP(A51,Yards[],17,FALSE))))</f>
        <v/>
      </c>
      <c r="J51" s="143" t="str">
        <f ca="1">IF(YardsAll[[#This Row],[STATUS]]="","",IF(OR(F51="2019-2020",F51="2021-2025"),"",IF(ISNUMBER(SEARCH("LLC",D51)),VLOOKUP(A51,Yards25[],29,FALSE),VLOOKUP(A51,Yards[],29,FALSE))))</f>
        <v/>
      </c>
      <c r="K51" s="143" t="str">
        <f ca="1">IF(YardsAll[[#This Row],[STATUS]]="","",IF(OR(F51="2019-2020",F51="2021-2025"),"",IF(ISNUMBER(SEARCH("LLC",D51)),VLOOKUP(A51,Yards25[],19,FALSE),VLOOKUP(A51,Yards[],19,FALSE))))</f>
        <v/>
      </c>
      <c r="L51" s="143" t="str">
        <f ca="1">IF(IF(OR(F51="2019-2020",F51="2021-2025"),"",IF(ISNUMBER(SEARCH("LLC",D51)),VLOOKUP(A51,Yards25[],20,FALSE),VLOOKUP(A51,Yards[],20,FALSE)))=0,"",IF(OR(F51="2019-2020",F51="2021-2025"),"",IF(ISNUMBER(SEARCH("LLC",D51)),VLOOKUP(A51,Yards25[],20,FALSE),VLOOKUP(A51,Yards[],20,FALSE))))</f>
        <v/>
      </c>
      <c r="M51" s="151">
        <f ca="1">IF(OR(F51="2019-2020",F51="2021-2025"),"",IF(ISNUMBER(SEARCH("LLC",D51)),VLOOKUP(A51,Yards25[],21,FALSE),VLOOKUP(A51,Yards[],21,FALSE)))</f>
        <v>0</v>
      </c>
      <c r="N51" s="151">
        <f ca="1">IF(OR(F51="2019-2020",F51="2021-2025"),"",IF(ISNUMBER(SEARCH("LLC",D51)),VLOOKUP(A51,Yards25[],22,FALSE),VLOOKUP(A51,Yards[],22,FALSE)))</f>
        <v>0</v>
      </c>
      <c r="O51" s="151">
        <f ca="1">SUM(YardsAll[[#This Row],[DSGN ESTIMATE]:[CONS ESTIMATE]])</f>
        <v>0</v>
      </c>
      <c r="P51" s="143"/>
      <c r="Q51" s="143">
        <f ca="1">IF(OR(F51="2019-2020",F51="2021-2025"),"",IF(ISNUMBER(SEARCH("LLC",D51)),VLOOKUP(A51,Yards25[],25,FALSE),VLOOKUP(A51,Yards[],25,FALSE)))</f>
        <v>0</v>
      </c>
      <c r="R51" s="152"/>
    </row>
    <row r="52" spans="1:18">
      <c r="A52" s="147" t="s">
        <v>199</v>
      </c>
      <c r="B52" s="144" t="str">
        <f>VLOOKUP(A52,Data[],2,FALSE)</f>
        <v>BROOKLYN</v>
      </c>
      <c r="C52" s="144" t="str">
        <f ca="1">IF(OR(F52="2019-2020",F52="2021-2025"),"",IF(ISNUMBER(SEARCH("LLC",D52)),VLOOKUP(A52,Yards25[],3,FALSE),VLOOKUP(A52,Yards[],3,FALSE)))</f>
        <v>New Waste Yard v3</v>
      </c>
      <c r="D52" s="9" t="str">
        <f>VLOOKUP(A52,Data[],52,FALSE)</f>
        <v>FEDERAL</v>
      </c>
      <c r="E52" s="9">
        <f>VLOOKUP(YardsAll[[#This Row],[DEVELOPMENT]],Data[],62,FALSE)</f>
        <v>3</v>
      </c>
      <c r="F52" s="9" t="str">
        <f ca="1">VLOOKUP(A52,Data[],4,FALSE)</f>
        <v>2026+</v>
      </c>
      <c r="G52" s="9">
        <f ca="1">IF(OR(YardsAll[[#This Row],[RAD/PACT]]="2019-2020",YardsAll[[#This Row],[RAD/PACT]]="2021-2025"),"",IF(ISNUMBER(SEARCH("1",C52)),2,IF(ISNUMBER(SEARCH("2",C52)),1,IF(ISNUMBER(SEARCH("3",C52)),3,IF(ISNUMBER(SEARCH("4",C52)),4,IF(ISNUMBER(SEARCH("5",C52)),5,IF(ISNUMBER(SEARCH("6",C52)),6,IF(ISNUMBER(SEARCH("7",C52)),7,IF(ISNUMBER(SEARCH("8",C52)),8,0)))))))))</f>
        <v>3</v>
      </c>
      <c r="H52" s="143" t="str">
        <f ca="1">IF(YardsAll[[#This Row],[STATUS]]="","",IF(OR(F52="2019-2020",F52="2021-2025"),"",IF(ISNUMBER(SEARCH("LLC",D52)),VLOOKUP(A52,Yards25[],28,FALSE),VLOOKUP(A52,Yards[],28,FALSE))))</f>
        <v/>
      </c>
      <c r="I52" s="143" t="str">
        <f ca="1">IF(YardsAll[[#This Row],[STATUS]]="","",IF(OR(F52="2019-2020",F52="2021-2025"),"",IF(ISNUMBER(SEARCH("LLC",D52)),VLOOKUP(A52,Yards25[],17,FALSE),VLOOKUP(A52,Yards[],17,FALSE))))</f>
        <v/>
      </c>
      <c r="J52" s="143" t="str">
        <f ca="1">IF(YardsAll[[#This Row],[STATUS]]="","",IF(OR(F52="2019-2020",F52="2021-2025"),"",IF(ISNUMBER(SEARCH("LLC",D52)),VLOOKUP(A52,Yards25[],29,FALSE),VLOOKUP(A52,Yards[],29,FALSE))))</f>
        <v/>
      </c>
      <c r="K52" s="143" t="str">
        <f ca="1">IF(YardsAll[[#This Row],[STATUS]]="","",IF(OR(F52="2019-2020",F52="2021-2025"),"",IF(ISNUMBER(SEARCH("LLC",D52)),VLOOKUP(A52,Yards25[],19,FALSE),VLOOKUP(A52,Yards[],19,FALSE))))</f>
        <v/>
      </c>
      <c r="L52" s="143" t="str">
        <f ca="1">IF(IF(OR(F52="2019-2020",F52="2021-2025"),"",IF(ISNUMBER(SEARCH("LLC",D52)),VLOOKUP(A52,Yards25[],20,FALSE),VLOOKUP(A52,Yards[],20,FALSE)))=0,"",IF(OR(F52="2019-2020",F52="2021-2025"),"",IF(ISNUMBER(SEARCH("LLC",D52)),VLOOKUP(A52,Yards25[],20,FALSE),VLOOKUP(A52,Yards[],20,FALSE))))</f>
        <v/>
      </c>
      <c r="M52" s="151">
        <f ca="1">IF(OR(F52="2019-2020",F52="2021-2025"),"",IF(ISNUMBER(SEARCH("LLC",D52)),VLOOKUP(A52,Yards25[],21,FALSE),VLOOKUP(A52,Yards[],21,FALSE)))</f>
        <v>216185.89406550006</v>
      </c>
      <c r="N52" s="151">
        <f ca="1">IF(OR(F52="2019-2020",F52="2021-2025"),"",IF(ISNUMBER(SEARCH("LLC",D52)),VLOOKUP(A52,Yards25[],22,FALSE),VLOOKUP(A52,Yards[],22,FALSE)))</f>
        <v>1945673.0465895005</v>
      </c>
      <c r="O52" s="151">
        <f ca="1">SUM(YardsAll[[#This Row],[DSGN ESTIMATE]:[CONS ESTIMATE]])</f>
        <v>2161858.9406550005</v>
      </c>
      <c r="P52" s="143"/>
      <c r="Q52" s="143">
        <f ca="1">IF(OR(F52="2019-2020",F52="2021-2025"),"",IF(ISNUMBER(SEARCH("LLC",D52)),VLOOKUP(A52,Yards25[],25,FALSE),VLOOKUP(A52,Yards[],25,FALSE)))</f>
        <v>0</v>
      </c>
      <c r="R52" s="152"/>
    </row>
    <row r="53" spans="1:18">
      <c r="A53" s="147" t="s">
        <v>73</v>
      </c>
      <c r="B53" s="144" t="str">
        <f>VLOOKUP(A53,Data[],2,FALSE)</f>
        <v>BRONX</v>
      </c>
      <c r="C53" s="144" t="str">
        <f ca="1">IF(OR(F53="2019-2020",F53="2021-2025"),"",IF(ISNUMBER(SEARCH("LLC",D53)),VLOOKUP(A53,Yards25[],3,FALSE),VLOOKUP(A53,Yards[],3,FALSE)))</f>
        <v>New Waste Yard v4</v>
      </c>
      <c r="D53" s="9" t="str">
        <f>VLOOKUP(A53,Data[],52,FALSE)</f>
        <v>FEDERAL</v>
      </c>
      <c r="E53" s="9">
        <f>VLOOKUP(YardsAll[[#This Row],[DEVELOPMENT]],Data[],62,FALSE)</f>
        <v>9</v>
      </c>
      <c r="F53" s="9" t="str">
        <f ca="1">VLOOKUP(A53,Data[],4,FALSE)</f>
        <v/>
      </c>
      <c r="G53" s="9">
        <f ca="1">IF(OR(YardsAll[[#This Row],[RAD/PACT]]="2019-2020",YardsAll[[#This Row],[RAD/PACT]]="2021-2025"),"",IF(ISNUMBER(SEARCH("1",C53)),2,IF(ISNUMBER(SEARCH("2",C53)),1,IF(ISNUMBER(SEARCH("3",C53)),3,IF(ISNUMBER(SEARCH("4",C53)),4,IF(ISNUMBER(SEARCH("5",C53)),5,IF(ISNUMBER(SEARCH("6",C53)),6,IF(ISNUMBER(SEARCH("7",C53)),7,IF(ISNUMBER(SEARCH("8",C53)),8,0)))))))))</f>
        <v>4</v>
      </c>
      <c r="H53" s="143" t="str">
        <f ca="1">IF(YardsAll[[#This Row],[STATUS]]="","",IF(OR(F53="2019-2020",F53="2021-2025"),"",IF(ISNUMBER(SEARCH("LLC",D53)),VLOOKUP(A53,Yards25[],28,FALSE),VLOOKUP(A53,Yards[],28,FALSE))))</f>
        <v/>
      </c>
      <c r="I53" s="143" t="str">
        <f ca="1">IF(YardsAll[[#This Row],[STATUS]]="","",IF(OR(F53="2019-2020",F53="2021-2025"),"",IF(ISNUMBER(SEARCH("LLC",D53)),VLOOKUP(A53,Yards25[],17,FALSE),VLOOKUP(A53,Yards[],17,FALSE))))</f>
        <v/>
      </c>
      <c r="J53" s="143" t="str">
        <f ca="1">IF(YardsAll[[#This Row],[STATUS]]="","",IF(OR(F53="2019-2020",F53="2021-2025"),"",IF(ISNUMBER(SEARCH("LLC",D53)),VLOOKUP(A53,Yards25[],29,FALSE),VLOOKUP(A53,Yards[],29,FALSE))))</f>
        <v/>
      </c>
      <c r="K53" s="143" t="str">
        <f ca="1">IF(YardsAll[[#This Row],[STATUS]]="","",IF(OR(F53="2019-2020",F53="2021-2025"),"",IF(ISNUMBER(SEARCH("LLC",D53)),VLOOKUP(A53,Yards25[],19,FALSE),VLOOKUP(A53,Yards[],19,FALSE))))</f>
        <v/>
      </c>
      <c r="L53" s="143" t="str">
        <f ca="1">IF(IF(OR(F53="2019-2020",F53="2021-2025"),"",IF(ISNUMBER(SEARCH("LLC",D53)),VLOOKUP(A53,Yards25[],20,FALSE),VLOOKUP(A53,Yards[],20,FALSE)))=0,"",IF(OR(F53="2019-2020",F53="2021-2025"),"",IF(ISNUMBER(SEARCH("LLC",D53)),VLOOKUP(A53,Yards25[],20,FALSE),VLOOKUP(A53,Yards[],20,FALSE))))</f>
        <v/>
      </c>
      <c r="M53" s="151">
        <f ca="1">IF(OR(F53="2019-2020",F53="2021-2025"),"",IF(ISNUMBER(SEARCH("LLC",D53)),VLOOKUP(A53,Yards25[],21,FALSE),VLOOKUP(A53,Yards[],21,FALSE)))</f>
        <v>259621.01510345002</v>
      </c>
      <c r="N53" s="151">
        <f ca="1">IF(OR(F53="2019-2020",F53="2021-2025"),"",IF(ISNUMBER(SEARCH("LLC",D53)),VLOOKUP(A53,Yards25[],22,FALSE),VLOOKUP(A53,Yards[],22,FALSE)))</f>
        <v>2336589.1359310499</v>
      </c>
      <c r="O53" s="151">
        <f ca="1">SUM(YardsAll[[#This Row],[DSGN ESTIMATE]:[CONS ESTIMATE]])</f>
        <v>2596210.1510345</v>
      </c>
      <c r="P53" s="143"/>
      <c r="Q53" s="143">
        <f ca="1">IF(OR(F53="2019-2020",F53="2021-2025"),"",IF(ISNUMBER(SEARCH("LLC",D53)),VLOOKUP(A53,Yards25[],25,FALSE),VLOOKUP(A53,Yards[],25,FALSE)))</f>
        <v>0</v>
      </c>
      <c r="R53" s="152"/>
    </row>
    <row r="54" spans="1:18">
      <c r="A54" s="147" t="s">
        <v>189</v>
      </c>
      <c r="B54" s="144" t="str">
        <f>VLOOKUP(A54,Data[],2,FALSE)</f>
        <v>BRONX</v>
      </c>
      <c r="C54" s="144" t="str">
        <f ca="1">IF(OR(F54="2019-2020",F54="2021-2025"),"",IF(ISNUMBER(SEARCH("LLC",D54)),VLOOKUP(A54,Yards25[],3,FALSE),VLOOKUP(A54,Yards[],3,FALSE)))</f>
        <v>New Waste Yard v1</v>
      </c>
      <c r="D54" s="9" t="str">
        <f>VLOOKUP(A54,Data[],52,FALSE)</f>
        <v>FEDERAL</v>
      </c>
      <c r="E54" s="9">
        <f>VLOOKUP(YardsAll[[#This Row],[DEVELOPMENT]],Data[],62,FALSE)</f>
        <v>9</v>
      </c>
      <c r="F54" s="9" t="str">
        <f ca="1">VLOOKUP(A54,Data[],4,FALSE)</f>
        <v/>
      </c>
      <c r="G54" s="9">
        <f ca="1">IF(OR(YardsAll[[#This Row],[RAD/PACT]]="2019-2020",YardsAll[[#This Row],[RAD/PACT]]="2021-2025"),"",IF(ISNUMBER(SEARCH("1",C54)),2,IF(ISNUMBER(SEARCH("2",C54)),1,IF(ISNUMBER(SEARCH("3",C54)),3,IF(ISNUMBER(SEARCH("4",C54)),4,IF(ISNUMBER(SEARCH("5",C54)),5,IF(ISNUMBER(SEARCH("6",C54)),6,IF(ISNUMBER(SEARCH("7",C54)),7,IF(ISNUMBER(SEARCH("8",C54)),8,0)))))))))</f>
        <v>2</v>
      </c>
      <c r="H54" s="143" t="str">
        <f ca="1">IF(YardsAll[[#This Row],[STATUS]]="","",IF(OR(F54="2019-2020",F54="2021-2025"),"",IF(ISNUMBER(SEARCH("LLC",D54)),VLOOKUP(A54,Yards25[],28,FALSE),VLOOKUP(A54,Yards[],28,FALSE))))</f>
        <v/>
      </c>
      <c r="I54" s="143" t="str">
        <f ca="1">IF(YardsAll[[#This Row],[STATUS]]="","",IF(OR(F54="2019-2020",F54="2021-2025"),"",IF(ISNUMBER(SEARCH("LLC",D54)),VLOOKUP(A54,Yards25[],17,FALSE),VLOOKUP(A54,Yards[],17,FALSE))))</f>
        <v/>
      </c>
      <c r="J54" s="143" t="str">
        <f ca="1">IF(YardsAll[[#This Row],[STATUS]]="","",IF(OR(F54="2019-2020",F54="2021-2025"),"",IF(ISNUMBER(SEARCH("LLC",D54)),VLOOKUP(A54,Yards25[],29,FALSE),VLOOKUP(A54,Yards[],29,FALSE))))</f>
        <v/>
      </c>
      <c r="K54" s="143" t="str">
        <f ca="1">IF(YardsAll[[#This Row],[STATUS]]="","",IF(OR(F54="2019-2020",F54="2021-2025"),"",IF(ISNUMBER(SEARCH("LLC",D54)),VLOOKUP(A54,Yards25[],19,FALSE),VLOOKUP(A54,Yards[],19,FALSE))))</f>
        <v/>
      </c>
      <c r="L54" s="143" t="str">
        <f ca="1">IF(IF(OR(F54="2019-2020",F54="2021-2025"),"",IF(ISNUMBER(SEARCH("LLC",D54)),VLOOKUP(A54,Yards25[],20,FALSE),VLOOKUP(A54,Yards[],20,FALSE)))=0,"",IF(OR(F54="2019-2020",F54="2021-2025"),"",IF(ISNUMBER(SEARCH("LLC",D54)),VLOOKUP(A54,Yards25[],20,FALSE),VLOOKUP(A54,Yards[],20,FALSE))))</f>
        <v/>
      </c>
      <c r="M54" s="151">
        <f ca="1">IF(OR(F54="2019-2020",F54="2021-2025"),"",IF(ISNUMBER(SEARCH("LLC",D54)),VLOOKUP(A54,Yards25[],21,FALSE),VLOOKUP(A54,Yards[],21,FALSE)))</f>
        <v>199733.80581700004</v>
      </c>
      <c r="N54" s="151">
        <f ca="1">IF(OR(F54="2019-2020",F54="2021-2025"),"",IF(ISNUMBER(SEARCH("LLC",D54)),VLOOKUP(A54,Yards25[],22,FALSE),VLOOKUP(A54,Yards[],22,FALSE)))</f>
        <v>1797604.2523530002</v>
      </c>
      <c r="O54" s="151">
        <f ca="1">SUM(YardsAll[[#This Row],[DSGN ESTIMATE]:[CONS ESTIMATE]])</f>
        <v>1997338.0581700003</v>
      </c>
      <c r="P54" s="143"/>
      <c r="Q54" s="143">
        <f ca="1">IF(OR(F54="2019-2020",F54="2021-2025"),"",IF(ISNUMBER(SEARCH("LLC",D54)),VLOOKUP(A54,Yards25[],25,FALSE),VLOOKUP(A54,Yards[],25,FALSE)))</f>
        <v>0</v>
      </c>
      <c r="R54" s="152"/>
    </row>
    <row r="55" spans="1:18">
      <c r="A55" s="147" t="s">
        <v>305</v>
      </c>
      <c r="B55" s="144" t="str">
        <f>VLOOKUP(A55,Data[],2,FALSE)</f>
        <v>BROOKLYN</v>
      </c>
      <c r="C55" s="144" t="str">
        <f ca="1">IF(OR(F55="2019-2020",F55="2021-2025"),"",IF(ISNUMBER(SEARCH("LLC",D55)),VLOOKUP(A55,Yards25[],3,FALSE),VLOOKUP(A55,Yards[],3,FALSE)))</f>
        <v>New Waste Yard v1</v>
      </c>
      <c r="D55" s="9" t="str">
        <f>VLOOKUP(A55,Data[],52,FALSE)</f>
        <v>FEDERAL</v>
      </c>
      <c r="E55" s="9">
        <f>VLOOKUP(YardsAll[[#This Row],[DEVELOPMENT]],Data[],62,FALSE)</f>
        <v>16</v>
      </c>
      <c r="F55" s="9" t="str">
        <f ca="1">VLOOKUP(A55,Data[],4,FALSE)</f>
        <v/>
      </c>
      <c r="G55" s="9">
        <f ca="1">IF(OR(YardsAll[[#This Row],[RAD/PACT]]="2019-2020",YardsAll[[#This Row],[RAD/PACT]]="2021-2025"),"",IF(ISNUMBER(SEARCH("1",C55)),2,IF(ISNUMBER(SEARCH("2",C55)),1,IF(ISNUMBER(SEARCH("3",C55)),3,IF(ISNUMBER(SEARCH("4",C55)),4,IF(ISNUMBER(SEARCH("5",C55)),5,IF(ISNUMBER(SEARCH("6",C55)),6,IF(ISNUMBER(SEARCH("7",C55)),7,IF(ISNUMBER(SEARCH("8",C55)),8,0)))))))))</f>
        <v>2</v>
      </c>
      <c r="H55" s="143" t="str">
        <f ca="1">IF(YardsAll[[#This Row],[STATUS]]="","",IF(OR(F55="2019-2020",F55="2021-2025"),"",IF(ISNUMBER(SEARCH("LLC",D55)),VLOOKUP(A55,Yards25[],28,FALSE),VLOOKUP(A55,Yards[],28,FALSE))))</f>
        <v/>
      </c>
      <c r="I55" s="143" t="str">
        <f ca="1">IF(YardsAll[[#This Row],[STATUS]]="","",IF(OR(F55="2019-2020",F55="2021-2025"),"",IF(ISNUMBER(SEARCH("LLC",D55)),VLOOKUP(A55,Yards25[],17,FALSE),VLOOKUP(A55,Yards[],17,FALSE))))</f>
        <v/>
      </c>
      <c r="J55" s="143" t="str">
        <f ca="1">IF(YardsAll[[#This Row],[STATUS]]="","",IF(OR(F55="2019-2020",F55="2021-2025"),"",IF(ISNUMBER(SEARCH("LLC",D55)),VLOOKUP(A55,Yards25[],29,FALSE),VLOOKUP(A55,Yards[],29,FALSE))))</f>
        <v/>
      </c>
      <c r="K55" s="143" t="str">
        <f ca="1">IF(YardsAll[[#This Row],[STATUS]]="","",IF(OR(F55="2019-2020",F55="2021-2025"),"",IF(ISNUMBER(SEARCH("LLC",D55)),VLOOKUP(A55,Yards25[],19,FALSE),VLOOKUP(A55,Yards[],19,FALSE))))</f>
        <v/>
      </c>
      <c r="L55" s="143" t="str">
        <f ca="1">IF(IF(OR(F55="2019-2020",F55="2021-2025"),"",IF(ISNUMBER(SEARCH("LLC",D55)),VLOOKUP(A55,Yards25[],20,FALSE),VLOOKUP(A55,Yards[],20,FALSE)))=0,"",IF(OR(F55="2019-2020",F55="2021-2025"),"",IF(ISNUMBER(SEARCH("LLC",D55)),VLOOKUP(A55,Yards25[],20,FALSE),VLOOKUP(A55,Yards[],20,FALSE))))</f>
        <v/>
      </c>
      <c r="M55" s="151">
        <f ca="1">IF(OR(F55="2019-2020",F55="2021-2025"),"",IF(ISNUMBER(SEARCH("LLC",D55)),VLOOKUP(A55,Yards25[],21,FALSE),VLOOKUP(A55,Yards[],21,FALSE)))</f>
        <v>237692.26665100004</v>
      </c>
      <c r="N55" s="151">
        <f ca="1">IF(OR(F55="2019-2020",F55="2021-2025"),"",IF(ISNUMBER(SEARCH("LLC",D55)),VLOOKUP(A55,Yards25[],22,FALSE),VLOOKUP(A55,Yards[],22,FALSE)))</f>
        <v>2139230.3998590005</v>
      </c>
      <c r="O55" s="151">
        <f ca="1">SUM(YardsAll[[#This Row],[DSGN ESTIMATE]:[CONS ESTIMATE]])</f>
        <v>2376922.6665100004</v>
      </c>
      <c r="P55" s="143"/>
      <c r="Q55" s="143">
        <f ca="1">IF(OR(F55="2019-2020",F55="2021-2025"),"",IF(ISNUMBER(SEARCH("LLC",D55)),VLOOKUP(A55,Yards25[],25,FALSE),VLOOKUP(A55,Yards[],25,FALSE)))</f>
        <v>0</v>
      </c>
      <c r="R55" s="152"/>
    </row>
    <row r="56" spans="1:18">
      <c r="A56" s="147" t="s">
        <v>392</v>
      </c>
      <c r="B56" s="144" t="str">
        <f>VLOOKUP(A56,Data[],2,FALSE)</f>
        <v>BROOKLYN</v>
      </c>
      <c r="C56" s="144" t="str">
        <f ca="1">IF(OR(F56="2019-2020",F56="2021-2025"),"",IF(ISNUMBER(SEARCH("LLC",D56)),VLOOKUP(A56,Yards25[],3,FALSE),VLOOKUP(A56,Yards[],3,FALSE)))</f>
        <v>New Waste Yard v4</v>
      </c>
      <c r="D56" s="9" t="str">
        <f>VLOOKUP(A56,Data[],52,FALSE)</f>
        <v>FEDERAL</v>
      </c>
      <c r="E56" s="9">
        <f>VLOOKUP(YardsAll[[#This Row],[DEVELOPMENT]],Data[],62,FALSE)</f>
        <v>16</v>
      </c>
      <c r="F56" s="9" t="str">
        <f ca="1">VLOOKUP(A56,Data[],4,FALSE)</f>
        <v>2026+</v>
      </c>
      <c r="G56" s="9">
        <f ca="1">IF(OR(YardsAll[[#This Row],[RAD/PACT]]="2019-2020",YardsAll[[#This Row],[RAD/PACT]]="2021-2025"),"",IF(ISNUMBER(SEARCH("1",C56)),2,IF(ISNUMBER(SEARCH("2",C56)),1,IF(ISNUMBER(SEARCH("3",C56)),3,IF(ISNUMBER(SEARCH("4",C56)),4,IF(ISNUMBER(SEARCH("5",C56)),5,IF(ISNUMBER(SEARCH("6",C56)),6,IF(ISNUMBER(SEARCH("7",C56)),7,IF(ISNUMBER(SEARCH("8",C56)),8,0)))))))))</f>
        <v>4</v>
      </c>
      <c r="H56" s="143" t="str">
        <f ca="1">IF(YardsAll[[#This Row],[STATUS]]="","",IF(OR(F56="2019-2020",F56="2021-2025"),"",IF(ISNUMBER(SEARCH("LLC",D56)),VLOOKUP(A56,Yards25[],28,FALSE),VLOOKUP(A56,Yards[],28,FALSE))))</f>
        <v/>
      </c>
      <c r="I56" s="143" t="str">
        <f ca="1">IF(YardsAll[[#This Row],[STATUS]]="","",IF(OR(F56="2019-2020",F56="2021-2025"),"",IF(ISNUMBER(SEARCH("LLC",D56)),VLOOKUP(A56,Yards25[],17,FALSE),VLOOKUP(A56,Yards[],17,FALSE))))</f>
        <v/>
      </c>
      <c r="J56" s="143" t="str">
        <f ca="1">IF(YardsAll[[#This Row],[STATUS]]="","",IF(OR(F56="2019-2020",F56="2021-2025"),"",IF(ISNUMBER(SEARCH("LLC",D56)),VLOOKUP(A56,Yards25[],29,FALSE),VLOOKUP(A56,Yards[],29,FALSE))))</f>
        <v/>
      </c>
      <c r="K56" s="143" t="str">
        <f ca="1">IF(YardsAll[[#This Row],[STATUS]]="","",IF(OR(F56="2019-2020",F56="2021-2025"),"",IF(ISNUMBER(SEARCH("LLC",D56)),VLOOKUP(A56,Yards25[],19,FALSE),VLOOKUP(A56,Yards[],19,FALSE))))</f>
        <v/>
      </c>
      <c r="L56" s="143" t="str">
        <f ca="1">IF(IF(OR(F56="2019-2020",F56="2021-2025"),"",IF(ISNUMBER(SEARCH("LLC",D56)),VLOOKUP(A56,Yards25[],20,FALSE),VLOOKUP(A56,Yards[],20,FALSE)))=0,"",IF(OR(F56="2019-2020",F56="2021-2025"),"",IF(ISNUMBER(SEARCH("LLC",D56)),VLOOKUP(A56,Yards25[],20,FALSE),VLOOKUP(A56,Yards[],20,FALSE))))</f>
        <v/>
      </c>
      <c r="M56" s="151">
        <f ca="1">IF(OR(F56="2019-2020",F56="2021-2025"),"",IF(ISNUMBER(SEARCH("LLC",D56)),VLOOKUP(A56,Yards25[],21,FALSE),VLOOKUP(A56,Yards[],21,FALSE)))</f>
        <v>308960.75553035003</v>
      </c>
      <c r="N56" s="151">
        <f ca="1">IF(OR(F56="2019-2020",F56="2021-2025"),"",IF(ISNUMBER(SEARCH("LLC",D56)),VLOOKUP(A56,Yards25[],22,FALSE),VLOOKUP(A56,Yards[],22,FALSE)))</f>
        <v>2780646.7997731501</v>
      </c>
      <c r="O56" s="151">
        <f ca="1">SUM(YardsAll[[#This Row],[DSGN ESTIMATE]:[CONS ESTIMATE]])</f>
        <v>3089607.5553035</v>
      </c>
      <c r="P56" s="143"/>
      <c r="Q56" s="143">
        <f ca="1">IF(OR(F56="2019-2020",F56="2021-2025"),"",IF(ISNUMBER(SEARCH("LLC",D56)),VLOOKUP(A56,Yards25[],25,FALSE),VLOOKUP(A56,Yards[],25,FALSE)))</f>
        <v>0</v>
      </c>
      <c r="R56" s="152"/>
    </row>
    <row r="57" spans="1:18">
      <c r="A57" s="147" t="s">
        <v>283</v>
      </c>
      <c r="B57" s="144" t="str">
        <f>VLOOKUP(A57,Data[],2,FALSE)</f>
        <v>BRONX</v>
      </c>
      <c r="C57" s="144" t="str">
        <f ca="1">IF(OR(F57="2019-2020",F57="2021-2025"),"",IF(ISNUMBER(SEARCH("LLC",D57)),VLOOKUP(A57,Yards25[],3,FALSE),VLOOKUP(A57,Yards[],3,FALSE)))</f>
        <v>New Waste Yard v1</v>
      </c>
      <c r="D57" s="9" t="str">
        <f>VLOOKUP(A57,Data[],52,FALSE)</f>
        <v>FEDERAL</v>
      </c>
      <c r="E57" s="9">
        <f>VLOOKUP(YardsAll[[#This Row],[DEVELOPMENT]],Data[],62,FALSE)</f>
        <v>3</v>
      </c>
      <c r="F57" s="9" t="str">
        <f ca="1">VLOOKUP(A57,Data[],4,FALSE)</f>
        <v/>
      </c>
      <c r="G57" s="9">
        <f ca="1">IF(OR(YardsAll[[#This Row],[RAD/PACT]]="2019-2020",YardsAll[[#This Row],[RAD/PACT]]="2021-2025"),"",IF(ISNUMBER(SEARCH("1",C57)),2,IF(ISNUMBER(SEARCH("2",C57)),1,IF(ISNUMBER(SEARCH("3",C57)),3,IF(ISNUMBER(SEARCH("4",C57)),4,IF(ISNUMBER(SEARCH("5",C57)),5,IF(ISNUMBER(SEARCH("6",C57)),6,IF(ISNUMBER(SEARCH("7",C57)),7,IF(ISNUMBER(SEARCH("8",C57)),8,0)))))))))</f>
        <v>2</v>
      </c>
      <c r="H57" s="143" t="str">
        <f ca="1">IF(YardsAll[[#This Row],[STATUS]]="","",IF(OR(F57="2019-2020",F57="2021-2025"),"",IF(ISNUMBER(SEARCH("LLC",D57)),VLOOKUP(A57,Yards25[],28,FALSE),VLOOKUP(A57,Yards[],28,FALSE))))</f>
        <v/>
      </c>
      <c r="I57" s="143" t="str">
        <f ca="1">IF(YardsAll[[#This Row],[STATUS]]="","",IF(OR(F57="2019-2020",F57="2021-2025"),"",IF(ISNUMBER(SEARCH("LLC",D57)),VLOOKUP(A57,Yards25[],17,FALSE),VLOOKUP(A57,Yards[],17,FALSE))))</f>
        <v/>
      </c>
      <c r="J57" s="143" t="str">
        <f ca="1">IF(YardsAll[[#This Row],[STATUS]]="","",IF(OR(F57="2019-2020",F57="2021-2025"),"",IF(ISNUMBER(SEARCH("LLC",D57)),VLOOKUP(A57,Yards25[],29,FALSE),VLOOKUP(A57,Yards[],29,FALSE))))</f>
        <v/>
      </c>
      <c r="K57" s="143" t="str">
        <f ca="1">IF(YardsAll[[#This Row],[STATUS]]="","",IF(OR(F57="2019-2020",F57="2021-2025"),"",IF(ISNUMBER(SEARCH("LLC",D57)),VLOOKUP(A57,Yards25[],19,FALSE),VLOOKUP(A57,Yards[],19,FALSE))))</f>
        <v/>
      </c>
      <c r="L57" s="143" t="str">
        <f ca="1">IF(IF(OR(F57="2019-2020",F57="2021-2025"),"",IF(ISNUMBER(SEARCH("LLC",D57)),VLOOKUP(A57,Yards25[],20,FALSE),VLOOKUP(A57,Yards[],20,FALSE)))=0,"",IF(OR(F57="2019-2020",F57="2021-2025"),"",IF(ISNUMBER(SEARCH("LLC",D57)),VLOOKUP(A57,Yards25[],20,FALSE),VLOOKUP(A57,Yards[],20,FALSE))))</f>
        <v/>
      </c>
      <c r="M57" s="151">
        <f ca="1">IF(OR(F57="2019-2020",F57="2021-2025"),"",IF(ISNUMBER(SEARCH("LLC",D57)),VLOOKUP(A57,Yards25[],21,FALSE),VLOOKUP(A57,Yards[],21,FALSE)))</f>
        <v>218713.03623400006</v>
      </c>
      <c r="N57" s="151">
        <f ca="1">IF(OR(F57="2019-2020",F57="2021-2025"),"",IF(ISNUMBER(SEARCH("LLC",D57)),VLOOKUP(A57,Yards25[],22,FALSE),VLOOKUP(A57,Yards[],22,FALSE)))</f>
        <v>1968417.3261060005</v>
      </c>
      <c r="O57" s="151">
        <f ca="1">SUM(YardsAll[[#This Row],[DSGN ESTIMATE]:[CONS ESTIMATE]])</f>
        <v>2187130.3623400005</v>
      </c>
      <c r="P57" s="143"/>
      <c r="Q57" s="143">
        <f ca="1">IF(OR(F57="2019-2020",F57="2021-2025"),"",IF(ISNUMBER(SEARCH("LLC",D57)),VLOOKUP(A57,Yards25[],25,FALSE),VLOOKUP(A57,Yards[],25,FALSE)))</f>
        <v>0</v>
      </c>
      <c r="R57" s="152"/>
    </row>
    <row r="58" spans="1:18">
      <c r="A58" s="148" t="s">
        <v>60</v>
      </c>
      <c r="B58" s="144" t="str">
        <f>VLOOKUP(A58,Data[],2,FALSE)</f>
        <v>MANHATTAN</v>
      </c>
      <c r="C58" s="144" t="str">
        <f ca="1">IF(OR(F58="2019-2020",F58="2021-2025"),"",IF(ISNUMBER(SEARCH("LLC",D58)),VLOOKUP(A58,Yards25[],3,FALSE),VLOOKUP(A58,Yards[],3,FALSE)))</f>
        <v>New Waste Yard v1</v>
      </c>
      <c r="D58" s="9" t="str">
        <f>VLOOKUP(A58,Data[],52,FALSE)</f>
        <v>FEDERAL</v>
      </c>
      <c r="E58" s="9">
        <f>VLOOKUP(YardsAll[[#This Row],[DEVELOPMENT]],Data[],62,FALSE)</f>
        <v>3</v>
      </c>
      <c r="F58" s="9" t="str">
        <f ca="1">VLOOKUP(A58,Data[],4,FALSE)</f>
        <v>2026+</v>
      </c>
      <c r="G58" s="9">
        <f ca="1">IF(OR(YardsAll[[#This Row],[RAD/PACT]]="2019-2020",YardsAll[[#This Row],[RAD/PACT]]="2021-2025"),"",IF(ISNUMBER(SEARCH("1",C58)),2,IF(ISNUMBER(SEARCH("2",C58)),1,IF(ISNUMBER(SEARCH("3",C58)),3,IF(ISNUMBER(SEARCH("4",C58)),4,IF(ISNUMBER(SEARCH("5",C58)),5,IF(ISNUMBER(SEARCH("6",C58)),6,IF(ISNUMBER(SEARCH("7",C58)),7,IF(ISNUMBER(SEARCH("8",C58)),8,0)))))))))</f>
        <v>2</v>
      </c>
      <c r="H58" s="143" t="str">
        <f ca="1">IF(YardsAll[[#This Row],[STATUS]]="","",IF(OR(F58="2019-2020",F58="2021-2025"),"",IF(ISNUMBER(SEARCH("LLC",D58)),VLOOKUP(A58,Yards25[],28,FALSE),VLOOKUP(A58,Yards[],28,FALSE))))</f>
        <v/>
      </c>
      <c r="I58" s="143" t="str">
        <f ca="1">IF(YardsAll[[#This Row],[STATUS]]="","",IF(OR(F58="2019-2020",F58="2021-2025"),"",IF(ISNUMBER(SEARCH("LLC",D58)),VLOOKUP(A58,Yards25[],17,FALSE),VLOOKUP(A58,Yards[],17,FALSE))))</f>
        <v/>
      </c>
      <c r="J58" s="143" t="str">
        <f ca="1">IF(YardsAll[[#This Row],[STATUS]]="","",IF(OR(F58="2019-2020",F58="2021-2025"),"",IF(ISNUMBER(SEARCH("LLC",D58)),VLOOKUP(A58,Yards25[],29,FALSE),VLOOKUP(A58,Yards[],29,FALSE))))</f>
        <v/>
      </c>
      <c r="K58" s="143" t="str">
        <f ca="1">IF(YardsAll[[#This Row],[STATUS]]="","",IF(OR(F58="2019-2020",F58="2021-2025"),"",IF(ISNUMBER(SEARCH("LLC",D58)),VLOOKUP(A58,Yards25[],19,FALSE),VLOOKUP(A58,Yards[],19,FALSE))))</f>
        <v/>
      </c>
      <c r="L58" s="143" t="str">
        <f ca="1">IF(IF(OR(F58="2019-2020",F58="2021-2025"),"",IF(ISNUMBER(SEARCH("LLC",D58)),VLOOKUP(A58,Yards25[],20,FALSE),VLOOKUP(A58,Yards[],20,FALSE)))=0,"",IF(OR(F58="2019-2020",F58="2021-2025"),"",IF(ISNUMBER(SEARCH("LLC",D58)),VLOOKUP(A58,Yards25[],20,FALSE),VLOOKUP(A58,Yards[],20,FALSE))))</f>
        <v/>
      </c>
      <c r="M58" s="151">
        <f ca="1">IF(OR(F58="2019-2020",F58="2021-2025"),"",IF(ISNUMBER(SEARCH("LLC",D58)),VLOOKUP(A58,Yards25[],21,FALSE),VLOOKUP(A58,Yards[],21,FALSE)))</f>
        <v>225039.4463730001</v>
      </c>
      <c r="N58" s="151">
        <f ca="1">IF(OR(F58="2019-2020",F58="2021-2025"),"",IF(ISNUMBER(SEARCH("LLC",D58)),VLOOKUP(A58,Yards25[],22,FALSE),VLOOKUP(A58,Yards[],22,FALSE)))</f>
        <v>2025355.0173570008</v>
      </c>
      <c r="O58" s="151">
        <f ca="1">SUM(YardsAll[[#This Row],[DSGN ESTIMATE]:[CONS ESTIMATE]])</f>
        <v>2250394.4637300009</v>
      </c>
      <c r="P58" s="143"/>
      <c r="Q58" s="143">
        <f ca="1">IF(OR(F58="2019-2020",F58="2021-2025"),"",IF(ISNUMBER(SEARCH("LLC",D58)),VLOOKUP(A58,Yards25[],25,FALSE),VLOOKUP(A58,Yards[],25,FALSE)))</f>
        <v>0</v>
      </c>
      <c r="R58" s="152"/>
    </row>
    <row r="59" spans="1:18">
      <c r="A59" s="147" t="s">
        <v>306</v>
      </c>
      <c r="B59" s="144" t="str">
        <f>VLOOKUP(A59,Data[],2,FALSE)</f>
        <v>BROOKLYN</v>
      </c>
      <c r="C59" s="144" t="str">
        <f ca="1">IF(OR(F59="2019-2020",F59="2021-2025"),"",IF(ISNUMBER(SEARCH("LLC",D59)),VLOOKUP(A59,Yards25[],3,FALSE),VLOOKUP(A59,Yards[],3,FALSE)))</f>
        <v>New Waste Yard v3</v>
      </c>
      <c r="D59" s="9" t="str">
        <f>VLOOKUP(A59,Data[],52,FALSE)</f>
        <v>FEDERAL</v>
      </c>
      <c r="E59" s="9">
        <f>VLOOKUP(YardsAll[[#This Row],[DEVELOPMENT]],Data[],62,FALSE)</f>
        <v>13</v>
      </c>
      <c r="F59" s="9" t="str">
        <f ca="1">VLOOKUP(A59,Data[],4,FALSE)</f>
        <v/>
      </c>
      <c r="G59" s="9">
        <f ca="1">IF(OR(YardsAll[[#This Row],[RAD/PACT]]="2019-2020",YardsAll[[#This Row],[RAD/PACT]]="2021-2025"),"",IF(ISNUMBER(SEARCH("1",C59)),2,IF(ISNUMBER(SEARCH("2",C59)),1,IF(ISNUMBER(SEARCH("3",C59)),3,IF(ISNUMBER(SEARCH("4",C59)),4,IF(ISNUMBER(SEARCH("5",C59)),5,IF(ISNUMBER(SEARCH("6",C59)),6,IF(ISNUMBER(SEARCH("7",C59)),7,IF(ISNUMBER(SEARCH("8",C59)),8,0)))))))))</f>
        <v>3</v>
      </c>
      <c r="H59" s="143" t="str">
        <f ca="1">IF(YardsAll[[#This Row],[STATUS]]="","",IF(OR(F59="2019-2020",F59="2021-2025"),"",IF(ISNUMBER(SEARCH("LLC",D59)),VLOOKUP(A59,Yards25[],28,FALSE),VLOOKUP(A59,Yards[],28,FALSE))))</f>
        <v/>
      </c>
      <c r="I59" s="143" t="str">
        <f ca="1">IF(YardsAll[[#This Row],[STATUS]]="","",IF(OR(F59="2019-2020",F59="2021-2025"),"",IF(ISNUMBER(SEARCH("LLC",D59)),VLOOKUP(A59,Yards25[],17,FALSE),VLOOKUP(A59,Yards[],17,FALSE))))</f>
        <v/>
      </c>
      <c r="J59" s="143" t="str">
        <f ca="1">IF(YardsAll[[#This Row],[STATUS]]="","",IF(OR(F59="2019-2020",F59="2021-2025"),"",IF(ISNUMBER(SEARCH("LLC",D59)),VLOOKUP(A59,Yards25[],29,FALSE),VLOOKUP(A59,Yards[],29,FALSE))))</f>
        <v/>
      </c>
      <c r="K59" s="143" t="str">
        <f ca="1">IF(YardsAll[[#This Row],[STATUS]]="","",IF(OR(F59="2019-2020",F59="2021-2025"),"",IF(ISNUMBER(SEARCH("LLC",D59)),VLOOKUP(A59,Yards25[],19,FALSE),VLOOKUP(A59,Yards[],19,FALSE))))</f>
        <v/>
      </c>
      <c r="L59" s="143" t="str">
        <f ca="1">IF(IF(OR(F59="2019-2020",F59="2021-2025"),"",IF(ISNUMBER(SEARCH("LLC",D59)),VLOOKUP(A59,Yards25[],20,FALSE),VLOOKUP(A59,Yards[],20,FALSE)))=0,"",IF(OR(F59="2019-2020",F59="2021-2025"),"",IF(ISNUMBER(SEARCH("LLC",D59)),VLOOKUP(A59,Yards25[],20,FALSE),VLOOKUP(A59,Yards[],20,FALSE))))</f>
        <v/>
      </c>
      <c r="M59" s="151">
        <f ca="1">IF(OR(F59="2019-2020",F59="2021-2025"),"",IF(ISNUMBER(SEARCH("LLC",D59)),VLOOKUP(A59,Yards25[],21,FALSE),VLOOKUP(A59,Yards[],21,FALSE)))</f>
        <v>265686.40251975006</v>
      </c>
      <c r="N59" s="151">
        <f ca="1">IF(OR(F59="2019-2020",F59="2021-2025"),"",IF(ISNUMBER(SEARCH("LLC",D59)),VLOOKUP(A59,Yards25[],22,FALSE),VLOOKUP(A59,Yards[],22,FALSE)))</f>
        <v>2391177.6226777504</v>
      </c>
      <c r="O59" s="151">
        <f ca="1">SUM(YardsAll[[#This Row],[DSGN ESTIMATE]:[CONS ESTIMATE]])</f>
        <v>2656864.0251975004</v>
      </c>
      <c r="P59" s="143"/>
      <c r="Q59" s="143">
        <f ca="1">IF(OR(F59="2019-2020",F59="2021-2025"),"",IF(ISNUMBER(SEARCH("LLC",D59)),VLOOKUP(A59,Yards25[],25,FALSE),VLOOKUP(A59,Yards[],25,FALSE)))</f>
        <v>0</v>
      </c>
      <c r="R59" s="152"/>
    </row>
    <row r="60" spans="1:18">
      <c r="A60" s="147" t="s">
        <v>307</v>
      </c>
      <c r="B60" s="144" t="str">
        <f>VLOOKUP(A60,Data[],2,FALSE)</f>
        <v>QUEENS</v>
      </c>
      <c r="C60" s="144" t="str">
        <f ca="1">IF(OR(F60="2019-2020",F60="2021-2025"),"",IF(ISNUMBER(SEARCH("LLC",D60)),VLOOKUP(A60,Yards25[],3,FALSE),VLOOKUP(A60,Yards[],3,FALSE)))</f>
        <v>New Waste Yard v1</v>
      </c>
      <c r="D60" s="9" t="str">
        <f>VLOOKUP(A60,Data[],52,FALSE)</f>
        <v>FEDERAL</v>
      </c>
      <c r="E60" s="9">
        <f>VLOOKUP(YardsAll[[#This Row],[DEVELOPMENT]],Data[],62,FALSE)</f>
        <v>14</v>
      </c>
      <c r="F60" s="9" t="str">
        <f ca="1">VLOOKUP(A60,Data[],4,FALSE)</f>
        <v>2026+</v>
      </c>
      <c r="G60" s="9">
        <f ca="1">IF(OR(YardsAll[[#This Row],[RAD/PACT]]="2019-2020",YardsAll[[#This Row],[RAD/PACT]]="2021-2025"),"",IF(ISNUMBER(SEARCH("1",C60)),2,IF(ISNUMBER(SEARCH("2",C60)),1,IF(ISNUMBER(SEARCH("3",C60)),3,IF(ISNUMBER(SEARCH("4",C60)),4,IF(ISNUMBER(SEARCH("5",C60)),5,IF(ISNUMBER(SEARCH("6",C60)),6,IF(ISNUMBER(SEARCH("7",C60)),7,IF(ISNUMBER(SEARCH("8",C60)),8,0)))))))))</f>
        <v>2</v>
      </c>
      <c r="H60" s="143" t="str">
        <f ca="1">IF(YardsAll[[#This Row],[STATUS]]="","",IF(OR(F60="2019-2020",F60="2021-2025"),"",IF(ISNUMBER(SEARCH("LLC",D60)),VLOOKUP(A60,Yards25[],28,FALSE),VLOOKUP(A60,Yards[],28,FALSE))))</f>
        <v/>
      </c>
      <c r="I60" s="143" t="str">
        <f ca="1">IF(YardsAll[[#This Row],[STATUS]]="","",IF(OR(F60="2019-2020",F60="2021-2025"),"",IF(ISNUMBER(SEARCH("LLC",D60)),VLOOKUP(A60,Yards25[],17,FALSE),VLOOKUP(A60,Yards[],17,FALSE))))</f>
        <v/>
      </c>
      <c r="J60" s="143" t="str">
        <f ca="1">IF(YardsAll[[#This Row],[STATUS]]="","",IF(OR(F60="2019-2020",F60="2021-2025"),"",IF(ISNUMBER(SEARCH("LLC",D60)),VLOOKUP(A60,Yards25[],29,FALSE),VLOOKUP(A60,Yards[],29,FALSE))))</f>
        <v/>
      </c>
      <c r="K60" s="143" t="str">
        <f ca="1">IF(YardsAll[[#This Row],[STATUS]]="","",IF(OR(F60="2019-2020",F60="2021-2025"),"",IF(ISNUMBER(SEARCH("LLC",D60)),VLOOKUP(A60,Yards25[],19,FALSE),VLOOKUP(A60,Yards[],19,FALSE))))</f>
        <v/>
      </c>
      <c r="L60" s="143" t="str">
        <f ca="1">IF(IF(OR(F60="2019-2020",F60="2021-2025"),"",IF(ISNUMBER(SEARCH("LLC",D60)),VLOOKUP(A60,Yards25[],20,FALSE),VLOOKUP(A60,Yards[],20,FALSE)))=0,"",IF(OR(F60="2019-2020",F60="2021-2025"),"",IF(ISNUMBER(SEARCH("LLC",D60)),VLOOKUP(A60,Yards25[],20,FALSE),VLOOKUP(A60,Yards[],20,FALSE))))</f>
        <v/>
      </c>
      <c r="M60" s="151">
        <f ca="1">IF(OR(F60="2019-2020",F60="2021-2025"),"",IF(ISNUMBER(SEARCH("LLC",D60)),VLOOKUP(A60,Yards25[],21,FALSE),VLOOKUP(A60,Yards[],21,FALSE)))</f>
        <v>237692.26665100004</v>
      </c>
      <c r="N60" s="151">
        <f ca="1">IF(OR(F60="2019-2020",F60="2021-2025"),"",IF(ISNUMBER(SEARCH("LLC",D60)),VLOOKUP(A60,Yards25[],22,FALSE),VLOOKUP(A60,Yards[],22,FALSE)))</f>
        <v>2139230.3998590005</v>
      </c>
      <c r="O60" s="151">
        <f ca="1">SUM(YardsAll[[#This Row],[DSGN ESTIMATE]:[CONS ESTIMATE]])</f>
        <v>2376922.6665100004</v>
      </c>
      <c r="P60" s="143"/>
      <c r="Q60" s="143">
        <f ca="1">IF(OR(F60="2019-2020",F60="2021-2025"),"",IF(ISNUMBER(SEARCH("LLC",D60)),VLOOKUP(A60,Yards25[],25,FALSE),VLOOKUP(A60,Yards[],25,FALSE)))</f>
        <v>0</v>
      </c>
      <c r="R60" s="152"/>
    </row>
    <row r="61" spans="1:18">
      <c r="A61" s="147" t="s">
        <v>120</v>
      </c>
      <c r="B61" s="144" t="str">
        <f>VLOOKUP(A61,Data[],2,FALSE)</f>
        <v>MANHATTAN</v>
      </c>
      <c r="C61" s="144" t="str">
        <f ca="1">IF(OR(F61="2019-2020",F61="2021-2025"),"",IF(ISNUMBER(SEARCH("LLC",D61)),VLOOKUP(A61,Yards25[],3,FALSE),VLOOKUP(A61,Yards[],3,FALSE)))</f>
        <v>New Waste Yard v4</v>
      </c>
      <c r="D61" s="9" t="str">
        <f>VLOOKUP(A61,Data[],52,FALSE)</f>
        <v>FEDERAL</v>
      </c>
      <c r="E61" s="9">
        <f>VLOOKUP(YardsAll[[#This Row],[DEVELOPMENT]],Data[],62,FALSE)</f>
        <v>11</v>
      </c>
      <c r="F61" s="9" t="str">
        <f ca="1">VLOOKUP(A61,Data[],4,FALSE)</f>
        <v>2026+</v>
      </c>
      <c r="G61" s="9">
        <f ca="1">IF(OR(YardsAll[[#This Row],[RAD/PACT]]="2019-2020",YardsAll[[#This Row],[RAD/PACT]]="2021-2025"),"",IF(ISNUMBER(SEARCH("1",C61)),2,IF(ISNUMBER(SEARCH("2",C61)),1,IF(ISNUMBER(SEARCH("3",C61)),3,IF(ISNUMBER(SEARCH("4",C61)),4,IF(ISNUMBER(SEARCH("5",C61)),5,IF(ISNUMBER(SEARCH("6",C61)),6,IF(ISNUMBER(SEARCH("7",C61)),7,IF(ISNUMBER(SEARCH("8",C61)),8,0)))))))))</f>
        <v>4</v>
      </c>
      <c r="H61" s="143" t="str">
        <f ca="1">IF(YardsAll[[#This Row],[STATUS]]="","",IF(OR(F61="2019-2020",F61="2021-2025"),"",IF(ISNUMBER(SEARCH("LLC",D61)),VLOOKUP(A61,Yards25[],28,FALSE),VLOOKUP(A61,Yards[],28,FALSE))))</f>
        <v/>
      </c>
      <c r="I61" s="143" t="str">
        <f ca="1">IF(YardsAll[[#This Row],[STATUS]]="","",IF(OR(F61="2019-2020",F61="2021-2025"),"",IF(ISNUMBER(SEARCH("LLC",D61)),VLOOKUP(A61,Yards25[],17,FALSE),VLOOKUP(A61,Yards[],17,FALSE))))</f>
        <v/>
      </c>
      <c r="J61" s="143" t="str">
        <f ca="1">IF(YardsAll[[#This Row],[STATUS]]="","",IF(OR(F61="2019-2020",F61="2021-2025"),"",IF(ISNUMBER(SEARCH("LLC",D61)),VLOOKUP(A61,Yards25[],29,FALSE),VLOOKUP(A61,Yards[],29,FALSE))))</f>
        <v/>
      </c>
      <c r="K61" s="143" t="str">
        <f ca="1">IF(YardsAll[[#This Row],[STATUS]]="","",IF(OR(F61="2019-2020",F61="2021-2025"),"",IF(ISNUMBER(SEARCH("LLC",D61)),VLOOKUP(A61,Yards25[],19,FALSE),VLOOKUP(A61,Yards[],19,FALSE))))</f>
        <v/>
      </c>
      <c r="L61" s="143" t="str">
        <f ca="1">IF(IF(OR(F61="2019-2020",F61="2021-2025"),"",IF(ISNUMBER(SEARCH("LLC",D61)),VLOOKUP(A61,Yards25[],20,FALSE),VLOOKUP(A61,Yards[],20,FALSE)))=0,"",IF(OR(F61="2019-2020",F61="2021-2025"),"",IF(ISNUMBER(SEARCH("LLC",D61)),VLOOKUP(A61,Yards25[],20,FALSE),VLOOKUP(A61,Yards[],20,FALSE))))</f>
        <v/>
      </c>
      <c r="M61" s="151">
        <f ca="1">IF(OR(F61="2019-2020",F61="2021-2025"),"",IF(ISNUMBER(SEARCH("LLC",D61)),VLOOKUP(A61,Yards25[],21,FALSE),VLOOKUP(A61,Yards[],21,FALSE)))</f>
        <v>284290.88531690004</v>
      </c>
      <c r="N61" s="151">
        <f ca="1">IF(OR(F61="2019-2020",F61="2021-2025"),"",IF(ISNUMBER(SEARCH("LLC",D61)),VLOOKUP(A61,Yards25[],22,FALSE),VLOOKUP(A61,Yards[],22,FALSE)))</f>
        <v>2558617.9678521003</v>
      </c>
      <c r="O61" s="151">
        <f ca="1">SUM(YardsAll[[#This Row],[DSGN ESTIMATE]:[CONS ESTIMATE]])</f>
        <v>2842908.8531690002</v>
      </c>
      <c r="P61" s="143"/>
      <c r="Q61" s="143">
        <f ca="1">IF(OR(F61="2019-2020",F61="2021-2025"),"",IF(ISNUMBER(SEARCH("LLC",D61)),VLOOKUP(A61,Yards25[],25,FALSE),VLOOKUP(A61,Yards[],25,FALSE)))</f>
        <v>0</v>
      </c>
      <c r="R61" s="152"/>
    </row>
    <row r="62" spans="1:18">
      <c r="A62" s="147" t="s">
        <v>308</v>
      </c>
      <c r="B62" s="144" t="str">
        <f>VLOOKUP(A62,Data[],2,FALSE)</f>
        <v>STATEN ISLAND</v>
      </c>
      <c r="C62" s="144" t="str">
        <f ca="1">IF(OR(F62="2019-2020",F62="2021-2025"),"",IF(ISNUMBER(SEARCH("LLC",D62)),VLOOKUP(A62,Yards25[],3,FALSE),VLOOKUP(A62,Yards[],3,FALSE)))</f>
        <v>New Waste Yard v1</v>
      </c>
      <c r="D62" s="9" t="str">
        <f>VLOOKUP(A62,Data[],52,FALSE)</f>
        <v>FEDERAL</v>
      </c>
      <c r="E62" s="9">
        <f>VLOOKUP(YardsAll[[#This Row],[DEVELOPMENT]],Data[],62,FALSE)</f>
        <v>1</v>
      </c>
      <c r="F62" s="9" t="str">
        <f ca="1">VLOOKUP(A62,Data[],4,FALSE)</f>
        <v/>
      </c>
      <c r="G62" s="9">
        <f ca="1">IF(OR(YardsAll[[#This Row],[RAD/PACT]]="2019-2020",YardsAll[[#This Row],[RAD/PACT]]="2021-2025"),"",IF(ISNUMBER(SEARCH("1",C62)),2,IF(ISNUMBER(SEARCH("2",C62)),1,IF(ISNUMBER(SEARCH("3",C62)),3,IF(ISNUMBER(SEARCH("4",C62)),4,IF(ISNUMBER(SEARCH("5",C62)),5,IF(ISNUMBER(SEARCH("6",C62)),6,IF(ISNUMBER(SEARCH("7",C62)),7,IF(ISNUMBER(SEARCH("8",C62)),8,0)))))))))</f>
        <v>2</v>
      </c>
      <c r="H62" s="143" t="str">
        <f ca="1">IF(YardsAll[[#This Row],[STATUS]]="","",IF(OR(F62="2019-2020",F62="2021-2025"),"",IF(ISNUMBER(SEARCH("LLC",D62)),VLOOKUP(A62,Yards25[],28,FALSE),VLOOKUP(A62,Yards[],28,FALSE))))</f>
        <v/>
      </c>
      <c r="I62" s="143" t="str">
        <f ca="1">IF(YardsAll[[#This Row],[STATUS]]="","",IF(OR(F62="2019-2020",F62="2021-2025"),"",IF(ISNUMBER(SEARCH("LLC",D62)),VLOOKUP(A62,Yards25[],17,FALSE),VLOOKUP(A62,Yards[],17,FALSE))))</f>
        <v/>
      </c>
      <c r="J62" s="143" t="str">
        <f ca="1">IF(YardsAll[[#This Row],[STATUS]]="","",IF(OR(F62="2019-2020",F62="2021-2025"),"",IF(ISNUMBER(SEARCH("LLC",D62)),VLOOKUP(A62,Yards25[],29,FALSE),VLOOKUP(A62,Yards[],29,FALSE))))</f>
        <v/>
      </c>
      <c r="K62" s="143" t="str">
        <f ca="1">IF(YardsAll[[#This Row],[STATUS]]="","",IF(OR(F62="2019-2020",F62="2021-2025"),"",IF(ISNUMBER(SEARCH("LLC",D62)),VLOOKUP(A62,Yards25[],19,FALSE),VLOOKUP(A62,Yards[],19,FALSE))))</f>
        <v/>
      </c>
      <c r="L62" s="143" t="str">
        <f ca="1">IF(IF(OR(F62="2019-2020",F62="2021-2025"),"",IF(ISNUMBER(SEARCH("LLC",D62)),VLOOKUP(A62,Yards25[],20,FALSE),VLOOKUP(A62,Yards[],20,FALSE)))=0,"",IF(OR(F62="2019-2020",F62="2021-2025"),"",IF(ISNUMBER(SEARCH("LLC",D62)),VLOOKUP(A62,Yards25[],20,FALSE),VLOOKUP(A62,Yards[],20,FALSE))))</f>
        <v/>
      </c>
      <c r="M62" s="151">
        <f ca="1">IF(OR(F62="2019-2020",F62="2021-2025"),"",IF(ISNUMBER(SEARCH("LLC",D62)),VLOOKUP(A62,Yards25[],21,FALSE),VLOOKUP(A62,Yards[],21,FALSE)))</f>
        <v>237692.26665100004</v>
      </c>
      <c r="N62" s="151">
        <f ca="1">IF(OR(F62="2019-2020",F62="2021-2025"),"",IF(ISNUMBER(SEARCH("LLC",D62)),VLOOKUP(A62,Yards25[],22,FALSE),VLOOKUP(A62,Yards[],22,FALSE)))</f>
        <v>2139230.3998590005</v>
      </c>
      <c r="O62" s="151">
        <f ca="1">SUM(YardsAll[[#This Row],[DSGN ESTIMATE]:[CONS ESTIMATE]])</f>
        <v>2376922.6665100004</v>
      </c>
      <c r="P62" s="143"/>
      <c r="Q62" s="143">
        <f ca="1">IF(OR(F62="2019-2020",F62="2021-2025"),"",IF(ISNUMBER(SEARCH("LLC",D62)),VLOOKUP(A62,Yards25[],25,FALSE),VLOOKUP(A62,Yards[],25,FALSE)))</f>
        <v>0</v>
      </c>
      <c r="R62" s="152"/>
    </row>
    <row r="63" spans="1:18">
      <c r="A63" s="147" t="s">
        <v>200</v>
      </c>
      <c r="B63" s="144" t="str">
        <f>VLOOKUP(A63,Data[],2,FALSE)</f>
        <v>BRONX</v>
      </c>
      <c r="C63" s="144" t="str">
        <f ca="1">IF(OR(F63="2019-2020",F63="2021-2025"),"",IF(ISNUMBER(SEARCH("LLC",D63)),VLOOKUP(A63,Yards25[],3,FALSE),VLOOKUP(A63,Yards[],3,FALSE)))</f>
        <v>New Waste Yard v2</v>
      </c>
      <c r="D63" s="9" t="str">
        <f>VLOOKUP(A63,Data[],52,FALSE)</f>
        <v>MIXED FINANCE/LLC1</v>
      </c>
      <c r="E63" s="9">
        <f>VLOOKUP(YardsAll[[#This Row],[DEVELOPMENT]],Data[],62,FALSE)</f>
        <v>9</v>
      </c>
      <c r="F63" s="9" t="str">
        <f ca="1">VLOOKUP(A63,Data[],4,FALSE)</f>
        <v/>
      </c>
      <c r="G63" s="9">
        <f ca="1">IF(OR(YardsAll[[#This Row],[RAD/PACT]]="2019-2020",YardsAll[[#This Row],[RAD/PACT]]="2021-2025"),"",IF(ISNUMBER(SEARCH("1",C63)),2,IF(ISNUMBER(SEARCH("2",C63)),1,IF(ISNUMBER(SEARCH("3",C63)),3,IF(ISNUMBER(SEARCH("4",C63)),4,IF(ISNUMBER(SEARCH("5",C63)),5,IF(ISNUMBER(SEARCH("6",C63)),6,IF(ISNUMBER(SEARCH("7",C63)),7,IF(ISNUMBER(SEARCH("8",C63)),8,0)))))))))</f>
        <v>1</v>
      </c>
      <c r="H63" s="143" t="str">
        <f ca="1">IF(YardsAll[[#This Row],[STATUS]]="","",IF(OR(F63="2019-2020",F63="2021-2025"),"",IF(ISNUMBER(SEARCH("LLC",D63)),VLOOKUP(A63,Yards25[],28,FALSE),VLOOKUP(A63,Yards[],28,FALSE))))</f>
        <v/>
      </c>
      <c r="I63" s="143" t="str">
        <f ca="1">IF(YardsAll[[#This Row],[STATUS]]="","",IF(OR(F63="2019-2020",F63="2021-2025"),"",IF(ISNUMBER(SEARCH("LLC",D63)),VLOOKUP(A63,Yards25[],17,FALSE),VLOOKUP(A63,Yards[],17,FALSE))))</f>
        <v/>
      </c>
      <c r="J63" s="143" t="str">
        <f ca="1">IF(YardsAll[[#This Row],[STATUS]]="","",IF(OR(F63="2019-2020",F63="2021-2025"),"",IF(ISNUMBER(SEARCH("LLC",D63)),VLOOKUP(A63,Yards25[],29,FALSE),VLOOKUP(A63,Yards[],29,FALSE))))</f>
        <v/>
      </c>
      <c r="K63" s="143" t="str">
        <f ca="1">IF(YardsAll[[#This Row],[STATUS]]="","",IF(OR(F63="2019-2020",F63="2021-2025"),"",IF(ISNUMBER(SEARCH("LLC",D63)),VLOOKUP(A63,Yards25[],19,FALSE),VLOOKUP(A63,Yards[],19,FALSE))))</f>
        <v/>
      </c>
      <c r="L63" s="143" t="str">
        <f ca="1">IF(IF(OR(F63="2019-2020",F63="2021-2025"),"",IF(ISNUMBER(SEARCH("LLC",D63)),VLOOKUP(A63,Yards25[],20,FALSE),VLOOKUP(A63,Yards[],20,FALSE)))=0,"",IF(OR(F63="2019-2020",F63="2021-2025"),"",IF(ISNUMBER(SEARCH("LLC",D63)),VLOOKUP(A63,Yards25[],20,FALSE),VLOOKUP(A63,Yards[],20,FALSE))))</f>
        <v/>
      </c>
      <c r="M63" s="151">
        <f ca="1">IF(OR(F63="2019-2020",F63="2021-2025"),"",IF(ISNUMBER(SEARCH("LLC",D63)),VLOOKUP(A63,Yards25[],21,FALSE),VLOOKUP(A63,Yards[],21,FALSE)))</f>
        <v>150530.15561285004</v>
      </c>
      <c r="N63" s="151">
        <f ca="1">IF(OR(F63="2019-2020",F63="2021-2025"),"",IF(ISNUMBER(SEARCH("LLC",D63)),VLOOKUP(A63,Yards25[],22,FALSE),VLOOKUP(A63,Yards[],22,FALSE)))</f>
        <v>1354771.4005156502</v>
      </c>
      <c r="O63" s="151">
        <f ca="1">SUM(YardsAll[[#This Row],[DSGN ESTIMATE]:[CONS ESTIMATE]])</f>
        <v>1505301.5561285003</v>
      </c>
      <c r="P63" s="143"/>
      <c r="Q63" s="143">
        <f ca="1">IF(OR(F63="2019-2020",F63="2021-2025"),"",IF(ISNUMBER(SEARCH("LLC",D63)),VLOOKUP(A63,Yards25[],25,FALSE),VLOOKUP(A63,Yards[],25,FALSE)))</f>
        <v>0</v>
      </c>
      <c r="R63" s="152"/>
    </row>
    <row r="64" spans="1:18">
      <c r="A64" s="147" t="s">
        <v>309</v>
      </c>
      <c r="B64" s="144" t="str">
        <f>VLOOKUP(A64,Data[],2,FALSE)</f>
        <v>MANHATTAN</v>
      </c>
      <c r="C64" s="144" t="str">
        <f ca="1">IF(OR(F64="2019-2020",F64="2021-2025"),"",IF(ISNUMBER(SEARCH("LLC",D64)),VLOOKUP(A64,Yards25[],3,FALSE),VLOOKUP(A64,Yards[],3,FALSE)))</f>
        <v>New Waste Yard v2</v>
      </c>
      <c r="D64" s="9" t="str">
        <f>VLOOKUP(A64,Data[],52,FALSE)</f>
        <v>MIXED FINANCE/LLC1</v>
      </c>
      <c r="E64" s="9">
        <f>VLOOKUP(YardsAll[[#This Row],[DEVELOPMENT]],Data[],62,FALSE)</f>
        <v>4</v>
      </c>
      <c r="F64" s="9" t="str">
        <f ca="1">VLOOKUP(A64,Data[],4,FALSE)</f>
        <v/>
      </c>
      <c r="G64" s="9">
        <f ca="1">IF(OR(YardsAll[[#This Row],[RAD/PACT]]="2019-2020",YardsAll[[#This Row],[RAD/PACT]]="2021-2025"),"",IF(ISNUMBER(SEARCH("1",C64)),2,IF(ISNUMBER(SEARCH("2",C64)),1,IF(ISNUMBER(SEARCH("3",C64)),3,IF(ISNUMBER(SEARCH("4",C64)),4,IF(ISNUMBER(SEARCH("5",C64)),5,IF(ISNUMBER(SEARCH("6",C64)),6,IF(ISNUMBER(SEARCH("7",C64)),7,IF(ISNUMBER(SEARCH("8",C64)),8,0)))))))))</f>
        <v>1</v>
      </c>
      <c r="H64" s="143" t="str">
        <f ca="1">IF(YardsAll[[#This Row],[STATUS]]="","",IF(OR(F64="2019-2020",F64="2021-2025"),"",IF(ISNUMBER(SEARCH("LLC",D64)),VLOOKUP(A64,Yards25[],28,FALSE),VLOOKUP(A64,Yards[],28,FALSE))))</f>
        <v/>
      </c>
      <c r="I64" s="143" t="str">
        <f ca="1">IF(YardsAll[[#This Row],[STATUS]]="","",IF(OR(F64="2019-2020",F64="2021-2025"),"",IF(ISNUMBER(SEARCH("LLC",D64)),VLOOKUP(A64,Yards25[],17,FALSE),VLOOKUP(A64,Yards[],17,FALSE))))</f>
        <v/>
      </c>
      <c r="J64" s="143" t="str">
        <f ca="1">IF(YardsAll[[#This Row],[STATUS]]="","",IF(OR(F64="2019-2020",F64="2021-2025"),"",IF(ISNUMBER(SEARCH("LLC",D64)),VLOOKUP(A64,Yards25[],29,FALSE),VLOOKUP(A64,Yards[],29,FALSE))))</f>
        <v/>
      </c>
      <c r="K64" s="143" t="str">
        <f ca="1">IF(YardsAll[[#This Row],[STATUS]]="","",IF(OR(F64="2019-2020",F64="2021-2025"),"",IF(ISNUMBER(SEARCH("LLC",D64)),VLOOKUP(A64,Yards25[],19,FALSE),VLOOKUP(A64,Yards[],19,FALSE))))</f>
        <v/>
      </c>
      <c r="L64" s="143" t="str">
        <f ca="1">IF(IF(OR(F64="2019-2020",F64="2021-2025"),"",IF(ISNUMBER(SEARCH("LLC",D64)),VLOOKUP(A64,Yards25[],20,FALSE),VLOOKUP(A64,Yards[],20,FALSE)))=0,"",IF(OR(F64="2019-2020",F64="2021-2025"),"",IF(ISNUMBER(SEARCH("LLC",D64)),VLOOKUP(A64,Yards25[],20,FALSE),VLOOKUP(A64,Yards[],20,FALSE))))</f>
        <v/>
      </c>
      <c r="M64" s="151">
        <f ca="1">IF(OR(F64="2019-2020",F64="2021-2025"),"",IF(ISNUMBER(SEARCH("LLC",D64)),VLOOKUP(A64,Yards25[],21,FALSE),VLOOKUP(A64,Yards[],21,FALSE)))</f>
        <v>169601.84953665006</v>
      </c>
      <c r="N64" s="151">
        <f ca="1">IF(OR(F64="2019-2020",F64="2021-2025"),"",IF(ISNUMBER(SEARCH("LLC",D64)),VLOOKUP(A64,Yards25[],22,FALSE),VLOOKUP(A64,Yards[],22,FALSE)))</f>
        <v>1526416.6458298503</v>
      </c>
      <c r="O64" s="151">
        <f ca="1">SUM(YardsAll[[#This Row],[DSGN ESTIMATE]:[CONS ESTIMATE]])</f>
        <v>1696018.4953665005</v>
      </c>
      <c r="P64" s="143"/>
      <c r="Q64" s="143">
        <f ca="1">IF(OR(F64="2019-2020",F64="2021-2025"),"",IF(ISNUMBER(SEARCH("LLC",D64)),VLOOKUP(A64,Yards25[],25,FALSE),VLOOKUP(A64,Yards[],25,FALSE)))</f>
        <v>0</v>
      </c>
      <c r="R64" s="152"/>
    </row>
    <row r="65" spans="1:18">
      <c r="A65" s="147" t="s">
        <v>274</v>
      </c>
      <c r="B65" s="144" t="str">
        <f>VLOOKUP(A65,Data[],2,FALSE)</f>
        <v>MANHATTAN</v>
      </c>
      <c r="C65" s="144" t="str">
        <f ca="1">IF(OR(F65="2019-2020",F65="2021-2025"),"",IF(ISNUMBER(SEARCH("LLC",D65)),VLOOKUP(A65,Yards25[],3,FALSE),VLOOKUP(A65,Yards[],3,FALSE)))</f>
        <v>New Waste Yard v1</v>
      </c>
      <c r="D65" s="9" t="str">
        <f>VLOOKUP(A65,Data[],52,FALSE)</f>
        <v>FEDERAL</v>
      </c>
      <c r="E65" s="9">
        <f>VLOOKUP(YardsAll[[#This Row],[DEVELOPMENT]],Data[],62,FALSE)</f>
        <v>4</v>
      </c>
      <c r="F65" s="9" t="str">
        <f ca="1">VLOOKUP(A65,Data[],4,FALSE)</f>
        <v/>
      </c>
      <c r="G65" s="9">
        <f ca="1">IF(OR(YardsAll[[#This Row],[RAD/PACT]]="2019-2020",YardsAll[[#This Row],[RAD/PACT]]="2021-2025"),"",IF(ISNUMBER(SEARCH("1",C65)),2,IF(ISNUMBER(SEARCH("2",C65)),1,IF(ISNUMBER(SEARCH("3",C65)),3,IF(ISNUMBER(SEARCH("4",C65)),4,IF(ISNUMBER(SEARCH("5",C65)),5,IF(ISNUMBER(SEARCH("6",C65)),6,IF(ISNUMBER(SEARCH("7",C65)),7,IF(ISNUMBER(SEARCH("8",C65)),8,0)))))))))</f>
        <v>2</v>
      </c>
      <c r="H65" s="143" t="str">
        <f ca="1">IF(YardsAll[[#This Row],[STATUS]]="","",IF(OR(F65="2019-2020",F65="2021-2025"),"",IF(ISNUMBER(SEARCH("LLC",D65)),VLOOKUP(A65,Yards25[],28,FALSE),VLOOKUP(A65,Yards[],28,FALSE))))</f>
        <v/>
      </c>
      <c r="I65" s="143" t="str">
        <f ca="1">IF(YardsAll[[#This Row],[STATUS]]="","",IF(OR(F65="2019-2020",F65="2021-2025"),"",IF(ISNUMBER(SEARCH("LLC",D65)),VLOOKUP(A65,Yards25[],17,FALSE),VLOOKUP(A65,Yards[],17,FALSE))))</f>
        <v/>
      </c>
      <c r="J65" s="143" t="str">
        <f ca="1">IF(YardsAll[[#This Row],[STATUS]]="","",IF(OR(F65="2019-2020",F65="2021-2025"),"",IF(ISNUMBER(SEARCH("LLC",D65)),VLOOKUP(A65,Yards25[],29,FALSE),VLOOKUP(A65,Yards[],29,FALSE))))</f>
        <v/>
      </c>
      <c r="K65" s="143" t="str">
        <f ca="1">IF(YardsAll[[#This Row],[STATUS]]="","",IF(OR(F65="2019-2020",F65="2021-2025"),"",IF(ISNUMBER(SEARCH("LLC",D65)),VLOOKUP(A65,Yards25[],19,FALSE),VLOOKUP(A65,Yards[],19,FALSE))))</f>
        <v/>
      </c>
      <c r="L65" s="143" t="str">
        <f ca="1">IF(IF(OR(F65="2019-2020",F65="2021-2025"),"",IF(ISNUMBER(SEARCH("LLC",D65)),VLOOKUP(A65,Yards25[],20,FALSE),VLOOKUP(A65,Yards[],20,FALSE)))=0,"",IF(OR(F65="2019-2020",F65="2021-2025"),"",IF(ISNUMBER(SEARCH("LLC",D65)),VLOOKUP(A65,Yards25[],20,FALSE),VLOOKUP(A65,Yards[],20,FALSE))))</f>
        <v/>
      </c>
      <c r="M65" s="151">
        <f ca="1">IF(OR(F65="2019-2020",F65="2021-2025"),"",IF(ISNUMBER(SEARCH("LLC",D65)),VLOOKUP(A65,Yards25[],21,FALSE),VLOOKUP(A65,Yards[],21,FALSE)))</f>
        <v>212386.62609500007</v>
      </c>
      <c r="N65" s="151">
        <f ca="1">IF(OR(F65="2019-2020",F65="2021-2025"),"",IF(ISNUMBER(SEARCH("LLC",D65)),VLOOKUP(A65,Yards25[],22,FALSE),VLOOKUP(A65,Yards[],22,FALSE)))</f>
        <v>1911479.6348550003</v>
      </c>
      <c r="O65" s="151">
        <f ca="1">SUM(YardsAll[[#This Row],[DSGN ESTIMATE]:[CONS ESTIMATE]])</f>
        <v>2123866.2609500005</v>
      </c>
      <c r="P65" s="143"/>
      <c r="Q65" s="143">
        <f ca="1">IF(OR(F65="2019-2020",F65="2021-2025"),"",IF(ISNUMBER(SEARCH("LLC",D65)),VLOOKUP(A65,Yards25[],25,FALSE),VLOOKUP(A65,Yards[],25,FALSE)))</f>
        <v>0</v>
      </c>
      <c r="R65" s="152"/>
    </row>
    <row r="66" spans="1:18">
      <c r="A66" s="147" t="s">
        <v>124</v>
      </c>
      <c r="B66" s="144" t="str">
        <f>VLOOKUP(A66,Data[],2,FALSE)</f>
        <v>BRONX</v>
      </c>
      <c r="C66" s="144" t="str">
        <f ca="1">IF(OR(F66="2019-2020",F66="2021-2025"),"",IF(ISNUMBER(SEARCH("LLC",D66)),VLOOKUP(A66,Yards25[],3,FALSE),VLOOKUP(A66,Yards[],3,FALSE)))</f>
        <v>New Waste Yard v1</v>
      </c>
      <c r="D66" s="9" t="str">
        <f>VLOOKUP(A66,Data[],52,FALSE)</f>
        <v>FEDERAL</v>
      </c>
      <c r="E66" s="9">
        <f>VLOOKUP(YardsAll[[#This Row],[DEVELOPMENT]],Data[],62,FALSE)</f>
        <v>3</v>
      </c>
      <c r="F66" s="9" t="str">
        <f ca="1">VLOOKUP(A66,Data[],4,FALSE)</f>
        <v>2026+</v>
      </c>
      <c r="G66" s="9">
        <f ca="1">IF(OR(YardsAll[[#This Row],[RAD/PACT]]="2019-2020",YardsAll[[#This Row],[RAD/PACT]]="2021-2025"),"",IF(ISNUMBER(SEARCH("1",C66)),2,IF(ISNUMBER(SEARCH("2",C66)),1,IF(ISNUMBER(SEARCH("3",C66)),3,IF(ISNUMBER(SEARCH("4",C66)),4,IF(ISNUMBER(SEARCH("5",C66)),5,IF(ISNUMBER(SEARCH("6",C66)),6,IF(ISNUMBER(SEARCH("7",C66)),7,IF(ISNUMBER(SEARCH("8",C66)),8,0)))))))))</f>
        <v>2</v>
      </c>
      <c r="H66" s="143" t="str">
        <f ca="1">IF(YardsAll[[#This Row],[STATUS]]="","",IF(OR(F66="2019-2020",F66="2021-2025"),"",IF(ISNUMBER(SEARCH("LLC",D66)),VLOOKUP(A66,Yards25[],28,FALSE),VLOOKUP(A66,Yards[],28,FALSE))))</f>
        <v/>
      </c>
      <c r="I66" s="143" t="str">
        <f ca="1">IF(YardsAll[[#This Row],[STATUS]]="","",IF(OR(F66="2019-2020",F66="2021-2025"),"",IF(ISNUMBER(SEARCH("LLC",D66)),VLOOKUP(A66,Yards25[],17,FALSE),VLOOKUP(A66,Yards[],17,FALSE))))</f>
        <v/>
      </c>
      <c r="J66" s="143" t="str">
        <f ca="1">IF(YardsAll[[#This Row],[STATUS]]="","",IF(OR(F66="2019-2020",F66="2021-2025"),"",IF(ISNUMBER(SEARCH("LLC",D66)),VLOOKUP(A66,Yards25[],29,FALSE),VLOOKUP(A66,Yards[],29,FALSE))))</f>
        <v/>
      </c>
      <c r="K66" s="143" t="str">
        <f ca="1">IF(YardsAll[[#This Row],[STATUS]]="","",IF(OR(F66="2019-2020",F66="2021-2025"),"",IF(ISNUMBER(SEARCH("LLC",D66)),VLOOKUP(A66,Yards25[],19,FALSE),VLOOKUP(A66,Yards[],19,FALSE))))</f>
        <v/>
      </c>
      <c r="L66" s="143" t="str">
        <f ca="1">IF(IF(OR(F66="2019-2020",F66="2021-2025"),"",IF(ISNUMBER(SEARCH("LLC",D66)),VLOOKUP(A66,Yards25[],20,FALSE),VLOOKUP(A66,Yards[],20,FALSE)))=0,"",IF(OR(F66="2019-2020",F66="2021-2025"),"",IF(ISNUMBER(SEARCH("LLC",D66)),VLOOKUP(A66,Yards25[],20,FALSE),VLOOKUP(A66,Yards[],20,FALSE))))</f>
        <v/>
      </c>
      <c r="M66" s="151">
        <f ca="1">IF(OR(F66="2019-2020",F66="2021-2025"),"",IF(ISNUMBER(SEARCH("LLC",D66)),VLOOKUP(A66,Yards25[],21,FALSE),VLOOKUP(A66,Yards[],21,FALSE)))</f>
        <v>212386.62609500007</v>
      </c>
      <c r="N66" s="151">
        <f ca="1">IF(OR(F66="2019-2020",F66="2021-2025"),"",IF(ISNUMBER(SEARCH("LLC",D66)),VLOOKUP(A66,Yards25[],22,FALSE),VLOOKUP(A66,Yards[],22,FALSE)))</f>
        <v>1911479.6348550003</v>
      </c>
      <c r="O66" s="151">
        <f ca="1">SUM(YardsAll[[#This Row],[DSGN ESTIMATE]:[CONS ESTIMATE]])</f>
        <v>2123866.2609500005</v>
      </c>
      <c r="P66" s="143"/>
      <c r="Q66" s="143">
        <f ca="1">IF(OR(F66="2019-2020",F66="2021-2025"),"",IF(ISNUMBER(SEARCH("LLC",D66)),VLOOKUP(A66,Yards25[],25,FALSE),VLOOKUP(A66,Yards[],25,FALSE)))</f>
        <v>0</v>
      </c>
      <c r="R66" s="152"/>
    </row>
    <row r="67" spans="1:18">
      <c r="A67" s="148" t="s">
        <v>143</v>
      </c>
      <c r="B67" s="144" t="str">
        <f>VLOOKUP(A67,Data[],2,FALSE)</f>
        <v>BRONX</v>
      </c>
      <c r="C67" s="144" t="str">
        <f ca="1">IF(OR(F67="2019-2020",F67="2021-2025"),"",IF(ISNUMBER(SEARCH("LLC",D67)),VLOOKUP(A67,Yards25[],3,FALSE),VLOOKUP(A67,Yards[],3,FALSE)))</f>
        <v>New Waste Yard v1</v>
      </c>
      <c r="D67" s="9" t="str">
        <f>VLOOKUP(A67,Data[],52,FALSE)</f>
        <v>FEDERAL</v>
      </c>
      <c r="E67" s="9">
        <f>VLOOKUP(YardsAll[[#This Row],[DEVELOPMENT]],Data[],62,FALSE)</f>
        <v>4</v>
      </c>
      <c r="F67" s="9" t="str">
        <f ca="1">VLOOKUP(A67,Data[],4,FALSE)</f>
        <v>2022-2025</v>
      </c>
      <c r="G67" s="9">
        <f ca="1">IF(OR(YardsAll[[#This Row],[RAD/PACT]]="2019-2020",YardsAll[[#This Row],[RAD/PACT]]="2021-2025"),"",IF(ISNUMBER(SEARCH("1",C67)),2,IF(ISNUMBER(SEARCH("2",C67)),1,IF(ISNUMBER(SEARCH("3",C67)),3,IF(ISNUMBER(SEARCH("4",C67)),4,IF(ISNUMBER(SEARCH("5",C67)),5,IF(ISNUMBER(SEARCH("6",C67)),6,IF(ISNUMBER(SEARCH("7",C67)),7,IF(ISNUMBER(SEARCH("8",C67)),8,0)))))))))</f>
        <v>2</v>
      </c>
      <c r="H67" s="143" t="str">
        <f ca="1">IF(YardsAll[[#This Row],[STATUS]]="","",IF(OR(F67="2019-2020",F67="2021-2025"),"",IF(ISNUMBER(SEARCH("LLC",D67)),VLOOKUP(A67,Yards25[],28,FALSE),VLOOKUP(A67,Yards[],28,FALSE))))</f>
        <v/>
      </c>
      <c r="I67" s="143" t="str">
        <f ca="1">IF(YardsAll[[#This Row],[STATUS]]="","",IF(OR(F67="2019-2020",F67="2021-2025"),"",IF(ISNUMBER(SEARCH("LLC",D67)),VLOOKUP(A67,Yards25[],17,FALSE),VLOOKUP(A67,Yards[],17,FALSE))))</f>
        <v/>
      </c>
      <c r="J67" s="143" t="str">
        <f ca="1">IF(YardsAll[[#This Row],[STATUS]]="","",IF(OR(F67="2019-2020",F67="2021-2025"),"",IF(ISNUMBER(SEARCH("LLC",D67)),VLOOKUP(A67,Yards25[],29,FALSE),VLOOKUP(A67,Yards[],29,FALSE))))</f>
        <v/>
      </c>
      <c r="K67" s="143" t="str">
        <f ca="1">IF(YardsAll[[#This Row],[STATUS]]="","",IF(OR(F67="2019-2020",F67="2021-2025"),"",IF(ISNUMBER(SEARCH("LLC",D67)),VLOOKUP(A67,Yards25[],19,FALSE),VLOOKUP(A67,Yards[],19,FALSE))))</f>
        <v/>
      </c>
      <c r="L67" s="143" t="str">
        <f ca="1">IF(IF(OR(F67="2019-2020",F67="2021-2025"),"",IF(ISNUMBER(SEARCH("LLC",D67)),VLOOKUP(A67,Yards25[],20,FALSE),VLOOKUP(A67,Yards[],20,FALSE)))=0,"",IF(OR(F67="2019-2020",F67="2021-2025"),"",IF(ISNUMBER(SEARCH("LLC",D67)),VLOOKUP(A67,Yards25[],20,FALSE),VLOOKUP(A67,Yards[],20,FALSE))))</f>
        <v/>
      </c>
      <c r="M67" s="151">
        <f ca="1">IF(OR(F67="2019-2020",F67="2021-2025"),"",IF(ISNUMBER(SEARCH("LLC",D67)),VLOOKUP(A67,Yards25[],21,FALSE),VLOOKUP(A67,Yards[],21,FALSE)))</f>
        <v>0</v>
      </c>
      <c r="N67" s="151">
        <f ca="1">IF(OR(F67="2019-2020",F67="2021-2025"),"",IF(ISNUMBER(SEARCH("LLC",D67)),VLOOKUP(A67,Yards25[],22,FALSE),VLOOKUP(A67,Yards[],22,FALSE)))</f>
        <v>0</v>
      </c>
      <c r="O67" s="151">
        <f ca="1">SUM(YardsAll[[#This Row],[DSGN ESTIMATE]:[CONS ESTIMATE]])</f>
        <v>0</v>
      </c>
      <c r="P67" s="143"/>
      <c r="Q67" s="143">
        <f ca="1">IF(OR(F67="2019-2020",F67="2021-2025"),"",IF(ISNUMBER(SEARCH("LLC",D67)),VLOOKUP(A67,Yards25[],25,FALSE),VLOOKUP(A67,Yards[],25,FALSE)))</f>
        <v>0</v>
      </c>
      <c r="R67" s="152"/>
    </row>
    <row r="68" spans="1:18">
      <c r="A68" s="148" t="s">
        <v>32</v>
      </c>
      <c r="B68" s="144" t="str">
        <f>VLOOKUP(A68,Data[],2,FALSE)</f>
        <v>BRONX</v>
      </c>
      <c r="C68" s="144" t="str">
        <f ca="1">IF(OR(F68="2019-2020",F68="2021-2025"),"",IF(ISNUMBER(SEARCH("LLC",D68)),VLOOKUP(A68,Yards25[],3,FALSE),VLOOKUP(A68,Yards[],3,FALSE)))</f>
        <v>New Waste Yard v1</v>
      </c>
      <c r="D68" s="9" t="str">
        <f>VLOOKUP(A68,Data[],52,FALSE)</f>
        <v>FEDERAL</v>
      </c>
      <c r="E68" s="9">
        <f>VLOOKUP(YardsAll[[#This Row],[DEVELOPMENT]],Data[],62,FALSE)</f>
        <v>4</v>
      </c>
      <c r="F68" s="9" t="str">
        <f ca="1">VLOOKUP(A68,Data[],4,FALSE)</f>
        <v>2022-2025</v>
      </c>
      <c r="G68" s="9">
        <f ca="1">IF(OR(YardsAll[[#This Row],[RAD/PACT]]="2019-2020",YardsAll[[#This Row],[RAD/PACT]]="2021-2025"),"",IF(ISNUMBER(SEARCH("1",C68)),2,IF(ISNUMBER(SEARCH("2",C68)),1,IF(ISNUMBER(SEARCH("3",C68)),3,IF(ISNUMBER(SEARCH("4",C68)),4,IF(ISNUMBER(SEARCH("5",C68)),5,IF(ISNUMBER(SEARCH("6",C68)),6,IF(ISNUMBER(SEARCH("7",C68)),7,IF(ISNUMBER(SEARCH("8",C68)),8,0)))))))))</f>
        <v>2</v>
      </c>
      <c r="H68" s="143" t="str">
        <f ca="1">IF(YardsAll[[#This Row],[STATUS]]="","",IF(OR(F68="2019-2020",F68="2021-2025"),"",IF(ISNUMBER(SEARCH("LLC",D68)),VLOOKUP(A68,Yards25[],28,FALSE),VLOOKUP(A68,Yards[],28,FALSE))))</f>
        <v/>
      </c>
      <c r="I68" s="143" t="str">
        <f ca="1">IF(YardsAll[[#This Row],[STATUS]]="","",IF(OR(F68="2019-2020",F68="2021-2025"),"",IF(ISNUMBER(SEARCH("LLC",D68)),VLOOKUP(A68,Yards25[],17,FALSE),VLOOKUP(A68,Yards[],17,FALSE))))</f>
        <v/>
      </c>
      <c r="J68" s="143" t="str">
        <f ca="1">IF(YardsAll[[#This Row],[STATUS]]="","",IF(OR(F68="2019-2020",F68="2021-2025"),"",IF(ISNUMBER(SEARCH("LLC",D68)),VLOOKUP(A68,Yards25[],29,FALSE),VLOOKUP(A68,Yards[],29,FALSE))))</f>
        <v/>
      </c>
      <c r="K68" s="143" t="str">
        <f ca="1">IF(YardsAll[[#This Row],[STATUS]]="","",IF(OR(F68="2019-2020",F68="2021-2025"),"",IF(ISNUMBER(SEARCH("LLC",D68)),VLOOKUP(A68,Yards25[],19,FALSE),VLOOKUP(A68,Yards[],19,FALSE))))</f>
        <v/>
      </c>
      <c r="L68" s="143" t="str">
        <f ca="1">IF(IF(OR(F68="2019-2020",F68="2021-2025"),"",IF(ISNUMBER(SEARCH("LLC",D68)),VLOOKUP(A68,Yards25[],20,FALSE),VLOOKUP(A68,Yards[],20,FALSE)))=0,"",IF(OR(F68="2019-2020",F68="2021-2025"),"",IF(ISNUMBER(SEARCH("LLC",D68)),VLOOKUP(A68,Yards25[],20,FALSE),VLOOKUP(A68,Yards[],20,FALSE))))</f>
        <v/>
      </c>
      <c r="M68" s="151">
        <f ca="1">IF(OR(F68="2019-2020",F68="2021-2025"),"",IF(ISNUMBER(SEARCH("LLC",D68)),VLOOKUP(A68,Yards25[],21,FALSE),VLOOKUP(A68,Yards[],21,FALSE)))</f>
        <v>0</v>
      </c>
      <c r="N68" s="151">
        <f ca="1">IF(OR(F68="2019-2020",F68="2021-2025"),"",IF(ISNUMBER(SEARCH("LLC",D68)),VLOOKUP(A68,Yards25[],22,FALSE),VLOOKUP(A68,Yards[],22,FALSE)))</f>
        <v>0</v>
      </c>
      <c r="O68" s="151">
        <f ca="1">SUM(YardsAll[[#This Row],[DSGN ESTIMATE]:[CONS ESTIMATE]])</f>
        <v>0</v>
      </c>
      <c r="P68" s="143"/>
      <c r="Q68" s="143">
        <f ca="1">IF(OR(F68="2019-2020",F68="2021-2025"),"",IF(ISNUMBER(SEARCH("LLC",D68)),VLOOKUP(A68,Yards25[],25,FALSE),VLOOKUP(A68,Yards[],25,FALSE)))</f>
        <v>0</v>
      </c>
      <c r="R68" s="152"/>
    </row>
    <row r="69" spans="1:18">
      <c r="A69" s="148" t="s">
        <v>34</v>
      </c>
      <c r="B69" s="144" t="str">
        <f>VLOOKUP(A69,Data[],2,FALSE)</f>
        <v>BRONX</v>
      </c>
      <c r="C69" s="144" t="str">
        <f ca="1">IF(OR(F69="2019-2020",F69="2021-2025"),"",IF(ISNUMBER(SEARCH("LLC",D69)),VLOOKUP(A69,Yards25[],3,FALSE),VLOOKUP(A69,Yards[],3,FALSE)))</f>
        <v>New Waste Yard v1</v>
      </c>
      <c r="D69" s="9" t="str">
        <f>VLOOKUP(A69,Data[],52,FALSE)</f>
        <v>FEDERAL</v>
      </c>
      <c r="E69" s="9">
        <f>VLOOKUP(YardsAll[[#This Row],[DEVELOPMENT]],Data[],62,FALSE)</f>
        <v>4</v>
      </c>
      <c r="F69" s="9" t="str">
        <f ca="1">VLOOKUP(A69,Data[],4,FALSE)</f>
        <v>2022-2025</v>
      </c>
      <c r="G69" s="9">
        <f ca="1">IF(OR(YardsAll[[#This Row],[RAD/PACT]]="2019-2020",YardsAll[[#This Row],[RAD/PACT]]="2021-2025"),"",IF(ISNUMBER(SEARCH("1",C69)),2,IF(ISNUMBER(SEARCH("2",C69)),1,IF(ISNUMBER(SEARCH("3",C69)),3,IF(ISNUMBER(SEARCH("4",C69)),4,IF(ISNUMBER(SEARCH("5",C69)),5,IF(ISNUMBER(SEARCH("6",C69)),6,IF(ISNUMBER(SEARCH("7",C69)),7,IF(ISNUMBER(SEARCH("8",C69)),8,0)))))))))</f>
        <v>2</v>
      </c>
      <c r="H69" s="143" t="str">
        <f ca="1">IF(YardsAll[[#This Row],[STATUS]]="","",IF(OR(F69="2019-2020",F69="2021-2025"),"",IF(ISNUMBER(SEARCH("LLC",D69)),VLOOKUP(A69,Yards25[],28,FALSE),VLOOKUP(A69,Yards[],28,FALSE))))</f>
        <v/>
      </c>
      <c r="I69" s="143" t="str">
        <f ca="1">IF(YardsAll[[#This Row],[STATUS]]="","",IF(OR(F69="2019-2020",F69="2021-2025"),"",IF(ISNUMBER(SEARCH("LLC",D69)),VLOOKUP(A69,Yards25[],17,FALSE),VLOOKUP(A69,Yards[],17,FALSE))))</f>
        <v/>
      </c>
      <c r="J69" s="143" t="str">
        <f ca="1">IF(YardsAll[[#This Row],[STATUS]]="","",IF(OR(F69="2019-2020",F69="2021-2025"),"",IF(ISNUMBER(SEARCH("LLC",D69)),VLOOKUP(A69,Yards25[],29,FALSE),VLOOKUP(A69,Yards[],29,FALSE))))</f>
        <v/>
      </c>
      <c r="K69" s="143" t="str">
        <f ca="1">IF(YardsAll[[#This Row],[STATUS]]="","",IF(OR(F69="2019-2020",F69="2021-2025"),"",IF(ISNUMBER(SEARCH("LLC",D69)),VLOOKUP(A69,Yards25[],19,FALSE),VLOOKUP(A69,Yards[],19,FALSE))))</f>
        <v/>
      </c>
      <c r="L69" s="143" t="str">
        <f ca="1">IF(IF(OR(F69="2019-2020",F69="2021-2025"),"",IF(ISNUMBER(SEARCH("LLC",D69)),VLOOKUP(A69,Yards25[],20,FALSE),VLOOKUP(A69,Yards[],20,FALSE)))=0,"",IF(OR(F69="2019-2020",F69="2021-2025"),"",IF(ISNUMBER(SEARCH("LLC",D69)),VLOOKUP(A69,Yards25[],20,FALSE),VLOOKUP(A69,Yards[],20,FALSE))))</f>
        <v/>
      </c>
      <c r="M69" s="151">
        <f ca="1">IF(OR(F69="2019-2020",F69="2021-2025"),"",IF(ISNUMBER(SEARCH("LLC",D69)),VLOOKUP(A69,Yards25[],21,FALSE),VLOOKUP(A69,Yards[],21,FALSE)))</f>
        <v>0</v>
      </c>
      <c r="N69" s="151">
        <f ca="1">IF(OR(F69="2019-2020",F69="2021-2025"),"",IF(ISNUMBER(SEARCH("LLC",D69)),VLOOKUP(A69,Yards25[],22,FALSE),VLOOKUP(A69,Yards[],22,FALSE)))</f>
        <v>0</v>
      </c>
      <c r="O69" s="151">
        <f ca="1">SUM(YardsAll[[#This Row],[DSGN ESTIMATE]:[CONS ESTIMATE]])</f>
        <v>0</v>
      </c>
      <c r="P69" s="143"/>
      <c r="Q69" s="143">
        <f ca="1">IF(OR(F69="2019-2020",F69="2021-2025"),"",IF(ISNUMBER(SEARCH("LLC",D69)),VLOOKUP(A69,Yards25[],25,FALSE),VLOOKUP(A69,Yards[],25,FALSE)))</f>
        <v>0</v>
      </c>
      <c r="R69" s="152"/>
    </row>
    <row r="70" spans="1:18">
      <c r="A70" s="148" t="s">
        <v>144</v>
      </c>
      <c r="B70" s="144" t="str">
        <f>VLOOKUP(A70,Data[],2,FALSE)</f>
        <v>BRONX</v>
      </c>
      <c r="C70" s="144" t="str">
        <f ca="1">IF(OR(F70="2019-2020",F70="2021-2025"),"",IF(ISNUMBER(SEARCH("LLC",D70)),VLOOKUP(A70,Yards25[],3,FALSE),VLOOKUP(A70,Yards[],3,FALSE)))</f>
        <v>New Waste Yard v1</v>
      </c>
      <c r="D70" s="9" t="str">
        <f>VLOOKUP(A70,Data[],52,FALSE)</f>
        <v>FEDERAL</v>
      </c>
      <c r="E70" s="9">
        <f>VLOOKUP(YardsAll[[#This Row],[DEVELOPMENT]],Data[],62,FALSE)</f>
        <v>4</v>
      </c>
      <c r="F70" s="9" t="str">
        <f ca="1">VLOOKUP(A70,Data[],4,FALSE)</f>
        <v>2022-2025</v>
      </c>
      <c r="G70" s="9">
        <f ca="1">IF(OR(YardsAll[[#This Row],[RAD/PACT]]="2019-2020",YardsAll[[#This Row],[RAD/PACT]]="2021-2025"),"",IF(ISNUMBER(SEARCH("1",C70)),2,IF(ISNUMBER(SEARCH("2",C70)),1,IF(ISNUMBER(SEARCH("3",C70)),3,IF(ISNUMBER(SEARCH("4",C70)),4,IF(ISNUMBER(SEARCH("5",C70)),5,IF(ISNUMBER(SEARCH("6",C70)),6,IF(ISNUMBER(SEARCH("7",C70)),7,IF(ISNUMBER(SEARCH("8",C70)),8,0)))))))))</f>
        <v>2</v>
      </c>
      <c r="H70" s="143" t="str">
        <f ca="1">IF(YardsAll[[#This Row],[STATUS]]="","",IF(OR(F70="2019-2020",F70="2021-2025"),"",IF(ISNUMBER(SEARCH("LLC",D70)),VLOOKUP(A70,Yards25[],28,FALSE),VLOOKUP(A70,Yards[],28,FALSE))))</f>
        <v/>
      </c>
      <c r="I70" s="143" t="str">
        <f ca="1">IF(YardsAll[[#This Row],[STATUS]]="","",IF(OR(F70="2019-2020",F70="2021-2025"),"",IF(ISNUMBER(SEARCH("LLC",D70)),VLOOKUP(A70,Yards25[],17,FALSE),VLOOKUP(A70,Yards[],17,FALSE))))</f>
        <v/>
      </c>
      <c r="J70" s="143" t="str">
        <f ca="1">IF(YardsAll[[#This Row],[STATUS]]="","",IF(OR(F70="2019-2020",F70="2021-2025"),"",IF(ISNUMBER(SEARCH("LLC",D70)),VLOOKUP(A70,Yards25[],29,FALSE),VLOOKUP(A70,Yards[],29,FALSE))))</f>
        <v/>
      </c>
      <c r="K70" s="143" t="str">
        <f ca="1">IF(YardsAll[[#This Row],[STATUS]]="","",IF(OR(F70="2019-2020",F70="2021-2025"),"",IF(ISNUMBER(SEARCH("LLC",D70)),VLOOKUP(A70,Yards25[],19,FALSE),VLOOKUP(A70,Yards[],19,FALSE))))</f>
        <v/>
      </c>
      <c r="L70" s="143" t="str">
        <f ca="1">IF(IF(OR(F70="2019-2020",F70="2021-2025"),"",IF(ISNUMBER(SEARCH("LLC",D70)),VLOOKUP(A70,Yards25[],20,FALSE),VLOOKUP(A70,Yards[],20,FALSE)))=0,"",IF(OR(F70="2019-2020",F70="2021-2025"),"",IF(ISNUMBER(SEARCH("LLC",D70)),VLOOKUP(A70,Yards25[],20,FALSE),VLOOKUP(A70,Yards[],20,FALSE))))</f>
        <v/>
      </c>
      <c r="M70" s="151">
        <f ca="1">IF(OR(F70="2019-2020",F70="2021-2025"),"",IF(ISNUMBER(SEARCH("LLC",D70)),VLOOKUP(A70,Yards25[],21,FALSE),VLOOKUP(A70,Yards[],21,FALSE)))</f>
        <v>0</v>
      </c>
      <c r="N70" s="151">
        <f ca="1">IF(OR(F70="2019-2020",F70="2021-2025"),"",IF(ISNUMBER(SEARCH("LLC",D70)),VLOOKUP(A70,Yards25[],22,FALSE),VLOOKUP(A70,Yards[],22,FALSE)))</f>
        <v>0</v>
      </c>
      <c r="O70" s="151">
        <f ca="1">SUM(YardsAll[[#This Row],[DSGN ESTIMATE]:[CONS ESTIMATE]])</f>
        <v>0</v>
      </c>
      <c r="P70" s="143"/>
      <c r="Q70" s="143">
        <f ca="1">IF(OR(F70="2019-2020",F70="2021-2025"),"",IF(ISNUMBER(SEARCH("LLC",D70)),VLOOKUP(A70,Yards25[],25,FALSE),VLOOKUP(A70,Yards[],25,FALSE)))</f>
        <v>0</v>
      </c>
      <c r="R70" s="152"/>
    </row>
    <row r="71" spans="1:18">
      <c r="A71" s="147" t="s">
        <v>310</v>
      </c>
      <c r="B71" s="144" t="str">
        <f>VLOOKUP(A71,Data[],2,FALSE)</f>
        <v>BRONX</v>
      </c>
      <c r="C71" s="144" t="str">
        <f ca="1">IF(OR(F71="2019-2020",F71="2021-2025"),"",IF(ISNUMBER(SEARCH("LLC",D71)),VLOOKUP(A71,Yards25[],3,FALSE),VLOOKUP(A71,Yards[],3,FALSE)))</f>
        <v>New Waste Yard v1</v>
      </c>
      <c r="D71" s="9" t="str">
        <f>VLOOKUP(A71,Data[],52,FALSE)</f>
        <v>FEDERAL</v>
      </c>
      <c r="E71" s="9">
        <f>VLOOKUP(YardsAll[[#This Row],[DEVELOPMENT]],Data[],62,FALSE)</f>
        <v>9</v>
      </c>
      <c r="F71" s="9" t="str">
        <f ca="1">VLOOKUP(A71,Data[],4,FALSE)</f>
        <v>2022-2025</v>
      </c>
      <c r="G71" s="9">
        <f ca="1">IF(OR(YardsAll[[#This Row],[RAD/PACT]]="2019-2020",YardsAll[[#This Row],[RAD/PACT]]="2021-2025"),"",IF(ISNUMBER(SEARCH("1",C71)),2,IF(ISNUMBER(SEARCH("2",C71)),1,IF(ISNUMBER(SEARCH("3",C71)),3,IF(ISNUMBER(SEARCH("4",C71)),4,IF(ISNUMBER(SEARCH("5",C71)),5,IF(ISNUMBER(SEARCH("6",C71)),6,IF(ISNUMBER(SEARCH("7",C71)),7,IF(ISNUMBER(SEARCH("8",C71)),8,0)))))))))</f>
        <v>2</v>
      </c>
      <c r="H71" s="143" t="str">
        <f ca="1">IF(YardsAll[[#This Row],[STATUS]]="","",IF(OR(F71="2019-2020",F71="2021-2025"),"",IF(ISNUMBER(SEARCH("LLC",D71)),VLOOKUP(A71,Yards25[],28,FALSE),VLOOKUP(A71,Yards[],28,FALSE))))</f>
        <v/>
      </c>
      <c r="I71" s="143" t="str">
        <f ca="1">IF(YardsAll[[#This Row],[STATUS]]="","",IF(OR(F71="2019-2020",F71="2021-2025"),"",IF(ISNUMBER(SEARCH("LLC",D71)),VLOOKUP(A71,Yards25[],17,FALSE),VLOOKUP(A71,Yards[],17,FALSE))))</f>
        <v/>
      </c>
      <c r="J71" s="143" t="str">
        <f ca="1">IF(YardsAll[[#This Row],[STATUS]]="","",IF(OR(F71="2019-2020",F71="2021-2025"),"",IF(ISNUMBER(SEARCH("LLC",D71)),VLOOKUP(A71,Yards25[],29,FALSE),VLOOKUP(A71,Yards[],29,FALSE))))</f>
        <v/>
      </c>
      <c r="K71" s="143" t="str">
        <f ca="1">IF(YardsAll[[#This Row],[STATUS]]="","",IF(OR(F71="2019-2020",F71="2021-2025"),"",IF(ISNUMBER(SEARCH("LLC",D71)),VLOOKUP(A71,Yards25[],19,FALSE),VLOOKUP(A71,Yards[],19,FALSE))))</f>
        <v/>
      </c>
      <c r="L71" s="143" t="str">
        <f ca="1">IF(IF(OR(F71="2019-2020",F71="2021-2025"),"",IF(ISNUMBER(SEARCH("LLC",D71)),VLOOKUP(A71,Yards25[],20,FALSE),VLOOKUP(A71,Yards[],20,FALSE)))=0,"",IF(OR(F71="2019-2020",F71="2021-2025"),"",IF(ISNUMBER(SEARCH("LLC",D71)),VLOOKUP(A71,Yards25[],20,FALSE),VLOOKUP(A71,Yards[],20,FALSE))))</f>
        <v/>
      </c>
      <c r="M71" s="151">
        <f ca="1">IF(OR(F71="2019-2020",F71="2021-2025"),"",IF(ISNUMBER(SEARCH("LLC",D71)),VLOOKUP(A71,Yards25[],21,FALSE),VLOOKUP(A71,Yards[],21,FALSE)))</f>
        <v>0</v>
      </c>
      <c r="N71" s="151">
        <f ca="1">IF(OR(F71="2019-2020",F71="2021-2025"),"",IF(ISNUMBER(SEARCH("LLC",D71)),VLOOKUP(A71,Yards25[],22,FALSE),VLOOKUP(A71,Yards[],22,FALSE)))</f>
        <v>0</v>
      </c>
      <c r="O71" s="151">
        <f ca="1">SUM(YardsAll[[#This Row],[DSGN ESTIMATE]:[CONS ESTIMATE]])</f>
        <v>0</v>
      </c>
      <c r="P71" s="143"/>
      <c r="Q71" s="143">
        <f ca="1">IF(OR(F71="2019-2020",F71="2021-2025"),"",IF(ISNUMBER(SEARCH("LLC",D71)),VLOOKUP(A71,Yards25[],25,FALSE),VLOOKUP(A71,Yards[],25,FALSE)))</f>
        <v>0</v>
      </c>
      <c r="R71" s="152"/>
    </row>
    <row r="72" spans="1:18">
      <c r="A72" s="147" t="s">
        <v>129</v>
      </c>
      <c r="B72" s="144" t="str">
        <f>VLOOKUP(A72,Data[],2,FALSE)</f>
        <v>MANHATTAN</v>
      </c>
      <c r="C72" s="144" t="str">
        <f ca="1">IF(OR(F72="2019-2020",F72="2021-2025"),"",IF(ISNUMBER(SEARCH("LLC",D72)),VLOOKUP(A72,Yards25[],3,FALSE),VLOOKUP(A72,Yards[],3,FALSE)))</f>
        <v>New Waste Yard v2</v>
      </c>
      <c r="D72" s="9" t="str">
        <f>VLOOKUP(A72,Data[],52,FALSE)</f>
        <v>FEDERAL</v>
      </c>
      <c r="E72" s="9">
        <f>VLOOKUP(YardsAll[[#This Row],[DEVELOPMENT]],Data[],62,FALSE)</f>
        <v>11</v>
      </c>
      <c r="F72" s="9" t="str">
        <f ca="1">VLOOKUP(A72,Data[],4,FALSE)</f>
        <v/>
      </c>
      <c r="G72" s="9">
        <f ca="1">IF(OR(YardsAll[[#This Row],[RAD/PACT]]="2019-2020",YardsAll[[#This Row],[RAD/PACT]]="2021-2025"),"",IF(ISNUMBER(SEARCH("1",C72)),2,IF(ISNUMBER(SEARCH("2",C72)),1,IF(ISNUMBER(SEARCH("3",C72)),3,IF(ISNUMBER(SEARCH("4",C72)),4,IF(ISNUMBER(SEARCH("5",C72)),5,IF(ISNUMBER(SEARCH("6",C72)),6,IF(ISNUMBER(SEARCH("7",C72)),7,IF(ISNUMBER(SEARCH("8",C72)),8,0)))))))))</f>
        <v>1</v>
      </c>
      <c r="H72" s="143" t="str">
        <f ca="1">IF(YardsAll[[#This Row],[STATUS]]="","",IF(OR(F72="2019-2020",F72="2021-2025"),"",IF(ISNUMBER(SEARCH("LLC",D72)),VLOOKUP(A72,Yards25[],28,FALSE),VLOOKUP(A72,Yards[],28,FALSE))))</f>
        <v/>
      </c>
      <c r="I72" s="143" t="str">
        <f ca="1">IF(YardsAll[[#This Row],[STATUS]]="","",IF(OR(F72="2019-2020",F72="2021-2025"),"",IF(ISNUMBER(SEARCH("LLC",D72)),VLOOKUP(A72,Yards25[],17,FALSE),VLOOKUP(A72,Yards[],17,FALSE))))</f>
        <v/>
      </c>
      <c r="J72" s="143" t="str">
        <f ca="1">IF(YardsAll[[#This Row],[STATUS]]="","",IF(OR(F72="2019-2020",F72="2021-2025"),"",IF(ISNUMBER(SEARCH("LLC",D72)),VLOOKUP(A72,Yards25[],29,FALSE),VLOOKUP(A72,Yards[],29,FALSE))))</f>
        <v/>
      </c>
      <c r="K72" s="143" t="str">
        <f ca="1">IF(YardsAll[[#This Row],[STATUS]]="","",IF(OR(F72="2019-2020",F72="2021-2025"),"",IF(ISNUMBER(SEARCH("LLC",D72)),VLOOKUP(A72,Yards25[],19,FALSE),VLOOKUP(A72,Yards[],19,FALSE))))</f>
        <v/>
      </c>
      <c r="L72" s="143" t="str">
        <f ca="1">IF(IF(OR(F72="2019-2020",F72="2021-2025"),"",IF(ISNUMBER(SEARCH("LLC",D72)),VLOOKUP(A72,Yards25[],20,FALSE),VLOOKUP(A72,Yards[],20,FALSE)))=0,"",IF(OR(F72="2019-2020",F72="2021-2025"),"",IF(ISNUMBER(SEARCH("LLC",D72)),VLOOKUP(A72,Yards25[],20,FALSE),VLOOKUP(A72,Yards[],20,FALSE))))</f>
        <v/>
      </c>
      <c r="M72" s="151">
        <f ca="1">IF(OR(F72="2019-2020",F72="2021-2025"),"",IF(ISNUMBER(SEARCH("LLC",D72)),VLOOKUP(A72,Yards25[],21,FALSE),VLOOKUP(A72,Yards[],21,FALSE)))</f>
        <v>164833.92605570005</v>
      </c>
      <c r="N72" s="151">
        <f ca="1">IF(OR(F72="2019-2020",F72="2021-2025"),"",IF(ISNUMBER(SEARCH("LLC",D72)),VLOOKUP(A72,Yards25[],22,FALSE),VLOOKUP(A72,Yards[],22,FALSE)))</f>
        <v>1483505.3345013002</v>
      </c>
      <c r="O72" s="151">
        <f ca="1">SUM(YardsAll[[#This Row],[DSGN ESTIMATE]:[CONS ESTIMATE]])</f>
        <v>1648339.2605570003</v>
      </c>
      <c r="P72" s="143"/>
      <c r="Q72" s="143">
        <f ca="1">IF(OR(F72="2019-2020",F72="2021-2025"),"",IF(ISNUMBER(SEARCH("LLC",D72)),VLOOKUP(A72,Yards25[],25,FALSE),VLOOKUP(A72,Yards[],25,FALSE)))</f>
        <v>0</v>
      </c>
      <c r="R72" s="152"/>
    </row>
    <row r="73" spans="1:18">
      <c r="A73" s="148" t="s">
        <v>145</v>
      </c>
      <c r="B73" s="144" t="str">
        <f>VLOOKUP(A73,Data[],2,FALSE)</f>
        <v>BRONX</v>
      </c>
      <c r="C73" s="144" t="str">
        <f ca="1">IF(OR(F73="2019-2020",F73="2021-2025"),"",IF(ISNUMBER(SEARCH("LLC",D73)),VLOOKUP(A73,Yards25[],3,FALSE),VLOOKUP(A73,Yards[],3,FALSE)))</f>
        <v>New Waste Yard v1</v>
      </c>
      <c r="D73" s="9" t="str">
        <f>VLOOKUP(A73,Data[],52,FALSE)</f>
        <v>FEDERAL</v>
      </c>
      <c r="E73" s="9">
        <f>VLOOKUP(YardsAll[[#This Row],[DEVELOPMENT]],Data[],62,FALSE)</f>
        <v>4</v>
      </c>
      <c r="F73" s="9" t="str">
        <f ca="1">VLOOKUP(A73,Data[],4,FALSE)</f>
        <v>2022-2025</v>
      </c>
      <c r="G73" s="9">
        <f ca="1">IF(OR(YardsAll[[#This Row],[RAD/PACT]]="2019-2020",YardsAll[[#This Row],[RAD/PACT]]="2021-2025"),"",IF(ISNUMBER(SEARCH("1",C73)),2,IF(ISNUMBER(SEARCH("2",C73)),1,IF(ISNUMBER(SEARCH("3",C73)),3,IF(ISNUMBER(SEARCH("4",C73)),4,IF(ISNUMBER(SEARCH("5",C73)),5,IF(ISNUMBER(SEARCH("6",C73)),6,IF(ISNUMBER(SEARCH("7",C73)),7,IF(ISNUMBER(SEARCH("8",C73)),8,0)))))))))</f>
        <v>2</v>
      </c>
      <c r="H73" s="143" t="str">
        <f ca="1">IF(YardsAll[[#This Row],[STATUS]]="","",IF(OR(F73="2019-2020",F73="2021-2025"),"",IF(ISNUMBER(SEARCH("LLC",D73)),VLOOKUP(A73,Yards25[],28,FALSE),VLOOKUP(A73,Yards[],28,FALSE))))</f>
        <v/>
      </c>
      <c r="I73" s="143" t="str">
        <f ca="1">IF(YardsAll[[#This Row],[STATUS]]="","",IF(OR(F73="2019-2020",F73="2021-2025"),"",IF(ISNUMBER(SEARCH("LLC",D73)),VLOOKUP(A73,Yards25[],17,FALSE),VLOOKUP(A73,Yards[],17,FALSE))))</f>
        <v/>
      </c>
      <c r="J73" s="143" t="str">
        <f ca="1">IF(YardsAll[[#This Row],[STATUS]]="","",IF(OR(F73="2019-2020",F73="2021-2025"),"",IF(ISNUMBER(SEARCH("LLC",D73)),VLOOKUP(A73,Yards25[],29,FALSE),VLOOKUP(A73,Yards[],29,FALSE))))</f>
        <v/>
      </c>
      <c r="K73" s="143" t="str">
        <f ca="1">IF(YardsAll[[#This Row],[STATUS]]="","",IF(OR(F73="2019-2020",F73="2021-2025"),"",IF(ISNUMBER(SEARCH("LLC",D73)),VLOOKUP(A73,Yards25[],19,FALSE),VLOOKUP(A73,Yards[],19,FALSE))))</f>
        <v/>
      </c>
      <c r="L73" s="143" t="str">
        <f ca="1">IF(IF(OR(F73="2019-2020",F73="2021-2025"),"",IF(ISNUMBER(SEARCH("LLC",D73)),VLOOKUP(A73,Yards25[],20,FALSE),VLOOKUP(A73,Yards[],20,FALSE)))=0,"",IF(OR(F73="2019-2020",F73="2021-2025"),"",IF(ISNUMBER(SEARCH("LLC",D73)),VLOOKUP(A73,Yards25[],20,FALSE),VLOOKUP(A73,Yards[],20,FALSE))))</f>
        <v/>
      </c>
      <c r="M73" s="151">
        <f ca="1">IF(OR(F73="2019-2020",F73="2021-2025"),"",IF(ISNUMBER(SEARCH("LLC",D73)),VLOOKUP(A73,Yards25[],21,FALSE),VLOOKUP(A73,Yards[],21,FALSE)))</f>
        <v>0</v>
      </c>
      <c r="N73" s="151">
        <f ca="1">IF(OR(F73="2019-2020",F73="2021-2025"),"",IF(ISNUMBER(SEARCH("LLC",D73)),VLOOKUP(A73,Yards25[],22,FALSE),VLOOKUP(A73,Yards[],22,FALSE)))</f>
        <v>0</v>
      </c>
      <c r="O73" s="151">
        <f ca="1">SUM(YardsAll[[#This Row],[DSGN ESTIMATE]:[CONS ESTIMATE]])</f>
        <v>0</v>
      </c>
      <c r="P73" s="143"/>
      <c r="Q73" s="143">
        <f ca="1">IF(OR(F73="2019-2020",F73="2021-2025"),"",IF(ISNUMBER(SEARCH("LLC",D73)),VLOOKUP(A73,Yards25[],25,FALSE),VLOOKUP(A73,Yards[],25,FALSE)))</f>
        <v>0</v>
      </c>
      <c r="R73" s="152"/>
    </row>
    <row r="74" spans="1:18">
      <c r="A74" s="147" t="s">
        <v>235</v>
      </c>
      <c r="B74" s="144" t="str">
        <f>VLOOKUP(A74,Data[],2,FALSE)</f>
        <v>BROOKLYN</v>
      </c>
      <c r="C74" s="144" t="str">
        <f ca="1">IF(OR(F74="2019-2020",F74="2021-2025"),"",IF(ISNUMBER(SEARCH("LLC",D74)),VLOOKUP(A74,Yards25[],3,FALSE),VLOOKUP(A74,Yards[],3,FALSE)))</f>
        <v>New Waste Yard v1</v>
      </c>
      <c r="D74" s="9" t="str">
        <f>VLOOKUP(A74,Data[],52,FALSE)</f>
        <v>FEDERAL</v>
      </c>
      <c r="E74" s="9">
        <f>VLOOKUP(YardsAll[[#This Row],[DEVELOPMENT]],Data[],62,FALSE)</f>
        <v>13</v>
      </c>
      <c r="F74" s="9" t="str">
        <f ca="1">VLOOKUP(A74,Data[],4,FALSE)</f>
        <v/>
      </c>
      <c r="G74" s="9">
        <f ca="1">IF(OR(YardsAll[[#This Row],[RAD/PACT]]="2019-2020",YardsAll[[#This Row],[RAD/PACT]]="2021-2025"),"",IF(ISNUMBER(SEARCH("1",C74)),2,IF(ISNUMBER(SEARCH("2",C74)),1,IF(ISNUMBER(SEARCH("3",C74)),3,IF(ISNUMBER(SEARCH("4",C74)),4,IF(ISNUMBER(SEARCH("5",C74)),5,IF(ISNUMBER(SEARCH("6",C74)),6,IF(ISNUMBER(SEARCH("7",C74)),7,IF(ISNUMBER(SEARCH("8",C74)),8,0)))))))))</f>
        <v>2</v>
      </c>
      <c r="H74" s="143" t="str">
        <f ca="1">IF(YardsAll[[#This Row],[STATUS]]="","",IF(OR(F74="2019-2020",F74="2021-2025"),"",IF(ISNUMBER(SEARCH("LLC",D74)),VLOOKUP(A74,Yards25[],28,FALSE),VLOOKUP(A74,Yards[],28,FALSE))))</f>
        <v/>
      </c>
      <c r="I74" s="143" t="str">
        <f ca="1">IF(YardsAll[[#This Row],[STATUS]]="","",IF(OR(F74="2019-2020",F74="2021-2025"),"",IF(ISNUMBER(SEARCH("LLC",D74)),VLOOKUP(A74,Yards25[],17,FALSE),VLOOKUP(A74,Yards[],17,FALSE))))</f>
        <v/>
      </c>
      <c r="J74" s="143" t="str">
        <f ca="1">IF(YardsAll[[#This Row],[STATUS]]="","",IF(OR(F74="2019-2020",F74="2021-2025"),"",IF(ISNUMBER(SEARCH("LLC",D74)),VLOOKUP(A74,Yards25[],29,FALSE),VLOOKUP(A74,Yards[],29,FALSE))))</f>
        <v/>
      </c>
      <c r="K74" s="143" t="str">
        <f ca="1">IF(YardsAll[[#This Row],[STATUS]]="","",IF(OR(F74="2019-2020",F74="2021-2025"),"",IF(ISNUMBER(SEARCH("LLC",D74)),VLOOKUP(A74,Yards25[],19,FALSE),VLOOKUP(A74,Yards[],19,FALSE))))</f>
        <v/>
      </c>
      <c r="L74" s="143" t="str">
        <f ca="1">IF(IF(OR(F74="2019-2020",F74="2021-2025"),"",IF(ISNUMBER(SEARCH("LLC",D74)),VLOOKUP(A74,Yards25[],20,FALSE),VLOOKUP(A74,Yards[],20,FALSE)))=0,"",IF(OR(F74="2019-2020",F74="2021-2025"),"",IF(ISNUMBER(SEARCH("LLC",D74)),VLOOKUP(A74,Yards25[],20,FALSE),VLOOKUP(A74,Yards[],20,FALSE))))</f>
        <v/>
      </c>
      <c r="M74" s="151">
        <f ca="1">IF(OR(F74="2019-2020",F74="2021-2025"),"",IF(ISNUMBER(SEARCH("LLC",D74)),VLOOKUP(A74,Yards25[],21,FALSE),VLOOKUP(A74,Yards[],21,FALSE)))</f>
        <v>206060.21595600009</v>
      </c>
      <c r="N74" s="151">
        <f ca="1">IF(OR(F74="2019-2020",F74="2021-2025"),"",IF(ISNUMBER(SEARCH("LLC",D74)),VLOOKUP(A74,Yards25[],22,FALSE),VLOOKUP(A74,Yards[],22,FALSE)))</f>
        <v>1854541.9436040006</v>
      </c>
      <c r="O74" s="151">
        <f ca="1">SUM(YardsAll[[#This Row],[DSGN ESTIMATE]:[CONS ESTIMATE]])</f>
        <v>2060602.1595600008</v>
      </c>
      <c r="P74" s="143"/>
      <c r="Q74" s="143">
        <f ca="1">IF(OR(F74="2019-2020",F74="2021-2025"),"",IF(ISNUMBER(SEARCH("LLC",D74)),VLOOKUP(A74,Yards25[],25,FALSE),VLOOKUP(A74,Yards[],25,FALSE)))</f>
        <v>0</v>
      </c>
      <c r="R74" s="152"/>
    </row>
    <row r="75" spans="1:18">
      <c r="A75" s="147" t="s">
        <v>311</v>
      </c>
      <c r="B75" s="144" t="str">
        <f>VLOOKUP(A75,Data[],2,FALSE)</f>
        <v>BROOKLYN</v>
      </c>
      <c r="C75" s="144" t="str">
        <f ca="1">IF(OR(F75="2019-2020",F75="2021-2025"),"",IF(ISNUMBER(SEARCH("LLC",D75)),VLOOKUP(A75,Yards25[],3,FALSE),VLOOKUP(A75,Yards[],3,FALSE)))</f>
        <v>New Waste Yard v1</v>
      </c>
      <c r="D75" s="9" t="str">
        <f>VLOOKUP(A75,Data[],52,FALSE)</f>
        <v>FEDERAL</v>
      </c>
      <c r="E75" s="9">
        <f>VLOOKUP(YardsAll[[#This Row],[DEVELOPMENT]],Data[],62,FALSE)</f>
        <v>13</v>
      </c>
      <c r="F75" s="9" t="str">
        <f ca="1">VLOOKUP(A75,Data[],4,FALSE)</f>
        <v/>
      </c>
      <c r="G75" s="9">
        <f ca="1">IF(OR(YardsAll[[#This Row],[RAD/PACT]]="2019-2020",YardsAll[[#This Row],[RAD/PACT]]="2021-2025"),"",IF(ISNUMBER(SEARCH("1",C75)),2,IF(ISNUMBER(SEARCH("2",C75)),1,IF(ISNUMBER(SEARCH("3",C75)),3,IF(ISNUMBER(SEARCH("4",C75)),4,IF(ISNUMBER(SEARCH("5",C75)),5,IF(ISNUMBER(SEARCH("6",C75)),6,IF(ISNUMBER(SEARCH("7",C75)),7,IF(ISNUMBER(SEARCH("8",C75)),8,0)))))))))</f>
        <v>2</v>
      </c>
      <c r="H75" s="143" t="str">
        <f ca="1">IF(YardsAll[[#This Row],[STATUS]]="","",IF(OR(F75="2019-2020",F75="2021-2025"),"",IF(ISNUMBER(SEARCH("LLC",D75)),VLOOKUP(A75,Yards25[],28,FALSE),VLOOKUP(A75,Yards[],28,FALSE))))</f>
        <v/>
      </c>
      <c r="I75" s="143" t="str">
        <f ca="1">IF(YardsAll[[#This Row],[STATUS]]="","",IF(OR(F75="2019-2020",F75="2021-2025"),"",IF(ISNUMBER(SEARCH("LLC",D75)),VLOOKUP(A75,Yards25[],17,FALSE),VLOOKUP(A75,Yards[],17,FALSE))))</f>
        <v/>
      </c>
      <c r="J75" s="143" t="str">
        <f ca="1">IF(YardsAll[[#This Row],[STATUS]]="","",IF(OR(F75="2019-2020",F75="2021-2025"),"",IF(ISNUMBER(SEARCH("LLC",D75)),VLOOKUP(A75,Yards25[],29,FALSE),VLOOKUP(A75,Yards[],29,FALSE))))</f>
        <v/>
      </c>
      <c r="K75" s="143" t="str">
        <f ca="1">IF(YardsAll[[#This Row],[STATUS]]="","",IF(OR(F75="2019-2020",F75="2021-2025"),"",IF(ISNUMBER(SEARCH("LLC",D75)),VLOOKUP(A75,Yards25[],19,FALSE),VLOOKUP(A75,Yards[],19,FALSE))))</f>
        <v/>
      </c>
      <c r="L75" s="143" t="str">
        <f ca="1">IF(IF(OR(F75="2019-2020",F75="2021-2025"),"",IF(ISNUMBER(SEARCH("LLC",D75)),VLOOKUP(A75,Yards25[],20,FALSE),VLOOKUP(A75,Yards[],20,FALSE)))=0,"",IF(OR(F75="2019-2020",F75="2021-2025"),"",IF(ISNUMBER(SEARCH("LLC",D75)),VLOOKUP(A75,Yards25[],20,FALSE),VLOOKUP(A75,Yards[],20,FALSE))))</f>
        <v/>
      </c>
      <c r="M75" s="151">
        <f ca="1">IF(OR(F75="2019-2020",F75="2021-2025"),"",IF(ISNUMBER(SEARCH("LLC",D75)),VLOOKUP(A75,Yards25[],21,FALSE),VLOOKUP(A75,Yards[],21,FALSE)))</f>
        <v>218713.03623400006</v>
      </c>
      <c r="N75" s="151">
        <f ca="1">IF(OR(F75="2019-2020",F75="2021-2025"),"",IF(ISNUMBER(SEARCH("LLC",D75)),VLOOKUP(A75,Yards25[],22,FALSE),VLOOKUP(A75,Yards[],22,FALSE)))</f>
        <v>1968417.3261060005</v>
      </c>
      <c r="O75" s="151">
        <f ca="1">SUM(YardsAll[[#This Row],[DSGN ESTIMATE]:[CONS ESTIMATE]])</f>
        <v>2187130.3623400005</v>
      </c>
      <c r="P75" s="143"/>
      <c r="Q75" s="143">
        <f ca="1">IF(OR(F75="2019-2020",F75="2021-2025"),"",IF(ISNUMBER(SEARCH("LLC",D75)),VLOOKUP(A75,Yards25[],25,FALSE),VLOOKUP(A75,Yards[],25,FALSE)))</f>
        <v>0</v>
      </c>
      <c r="R75" s="152"/>
    </row>
    <row r="76" spans="1:18">
      <c r="A76" s="147" t="s">
        <v>236</v>
      </c>
      <c r="B76" s="144" t="str">
        <f>VLOOKUP(A76,Data[],2,FALSE)</f>
        <v>BROOKLYN</v>
      </c>
      <c r="C76" s="144" t="str">
        <f ca="1">IF(OR(F76="2019-2020",F76="2021-2025"),"",IF(ISNUMBER(SEARCH("LLC",D76)),VLOOKUP(A76,Yards25[],3,FALSE),VLOOKUP(A76,Yards[],3,FALSE)))</f>
        <v>New Waste Yard v1</v>
      </c>
      <c r="D76" s="9" t="str">
        <f>VLOOKUP(A76,Data[],52,FALSE)</f>
        <v>FEDERAL</v>
      </c>
      <c r="E76" s="9">
        <f>VLOOKUP(YardsAll[[#This Row],[DEVELOPMENT]],Data[],62,FALSE)</f>
        <v>13</v>
      </c>
      <c r="F76" s="9" t="str">
        <f ca="1">VLOOKUP(A76,Data[],4,FALSE)</f>
        <v>2026+</v>
      </c>
      <c r="G76" s="9">
        <f ca="1">IF(OR(YardsAll[[#This Row],[RAD/PACT]]="2019-2020",YardsAll[[#This Row],[RAD/PACT]]="2021-2025"),"",IF(ISNUMBER(SEARCH("1",C76)),2,IF(ISNUMBER(SEARCH("2",C76)),1,IF(ISNUMBER(SEARCH("3",C76)),3,IF(ISNUMBER(SEARCH("4",C76)),4,IF(ISNUMBER(SEARCH("5",C76)),5,IF(ISNUMBER(SEARCH("6",C76)),6,IF(ISNUMBER(SEARCH("7",C76)),7,IF(ISNUMBER(SEARCH("8",C76)),8,0)))))))))</f>
        <v>2</v>
      </c>
      <c r="H76" s="143" t="str">
        <f ca="1">IF(YardsAll[[#This Row],[STATUS]]="","",IF(OR(F76="2019-2020",F76="2021-2025"),"",IF(ISNUMBER(SEARCH("LLC",D76)),VLOOKUP(A76,Yards25[],28,FALSE),VLOOKUP(A76,Yards[],28,FALSE))))</f>
        <v/>
      </c>
      <c r="I76" s="143" t="str">
        <f ca="1">IF(YardsAll[[#This Row],[STATUS]]="","",IF(OR(F76="2019-2020",F76="2021-2025"),"",IF(ISNUMBER(SEARCH("LLC",D76)),VLOOKUP(A76,Yards25[],17,FALSE),VLOOKUP(A76,Yards[],17,FALSE))))</f>
        <v/>
      </c>
      <c r="J76" s="143" t="str">
        <f ca="1">IF(YardsAll[[#This Row],[STATUS]]="","",IF(OR(F76="2019-2020",F76="2021-2025"),"",IF(ISNUMBER(SEARCH("LLC",D76)),VLOOKUP(A76,Yards25[],29,FALSE),VLOOKUP(A76,Yards[],29,FALSE))))</f>
        <v/>
      </c>
      <c r="K76" s="143" t="str">
        <f ca="1">IF(YardsAll[[#This Row],[STATUS]]="","",IF(OR(F76="2019-2020",F76="2021-2025"),"",IF(ISNUMBER(SEARCH("LLC",D76)),VLOOKUP(A76,Yards25[],19,FALSE),VLOOKUP(A76,Yards[],19,FALSE))))</f>
        <v/>
      </c>
      <c r="L76" s="143" t="str">
        <f ca="1">IF(IF(OR(F76="2019-2020",F76="2021-2025"),"",IF(ISNUMBER(SEARCH("LLC",D76)),VLOOKUP(A76,Yards25[],20,FALSE),VLOOKUP(A76,Yards[],20,FALSE)))=0,"",IF(OR(F76="2019-2020",F76="2021-2025"),"",IF(ISNUMBER(SEARCH("LLC",D76)),VLOOKUP(A76,Yards25[],20,FALSE),VLOOKUP(A76,Yards[],20,FALSE))))</f>
        <v/>
      </c>
      <c r="M76" s="151">
        <f ca="1">IF(OR(F76="2019-2020",F76="2021-2025"),"",IF(ISNUMBER(SEARCH("LLC",D76)),VLOOKUP(A76,Yards25[],21,FALSE),VLOOKUP(A76,Yards[],21,FALSE)))</f>
        <v>212386.62609500007</v>
      </c>
      <c r="N76" s="151">
        <f ca="1">IF(OR(F76="2019-2020",F76="2021-2025"),"",IF(ISNUMBER(SEARCH("LLC",D76)),VLOOKUP(A76,Yards25[],22,FALSE),VLOOKUP(A76,Yards[],22,FALSE)))</f>
        <v>1911479.6348550003</v>
      </c>
      <c r="O76" s="151">
        <f ca="1">SUM(YardsAll[[#This Row],[DSGN ESTIMATE]:[CONS ESTIMATE]])</f>
        <v>2123866.2609500005</v>
      </c>
      <c r="P76" s="143"/>
      <c r="Q76" s="143">
        <f ca="1">IF(OR(F76="2019-2020",F76="2021-2025"),"",IF(ISNUMBER(SEARCH("LLC",D76)),VLOOKUP(A76,Yards25[],25,FALSE),VLOOKUP(A76,Yards[],25,FALSE)))</f>
        <v>0</v>
      </c>
      <c r="R76" s="152"/>
    </row>
    <row r="77" spans="1:18">
      <c r="A77" s="147" t="s">
        <v>312</v>
      </c>
      <c r="B77" s="144" t="str">
        <f>VLOOKUP(A77,Data[],2,FALSE)</f>
        <v>BROOKLYN</v>
      </c>
      <c r="C77" s="144" t="str">
        <f ca="1">IF(OR(F77="2019-2020",F77="2021-2025"),"",IF(ISNUMBER(SEARCH("LLC",D77)),VLOOKUP(A77,Yards25[],3,FALSE),VLOOKUP(A77,Yards[],3,FALSE)))</f>
        <v>New Waste Yard v1</v>
      </c>
      <c r="D77" s="9" t="str">
        <f>VLOOKUP(A77,Data[],52,FALSE)</f>
        <v>FEDERAL</v>
      </c>
      <c r="E77" s="9">
        <f>VLOOKUP(YardsAll[[#This Row],[DEVELOPMENT]],Data[],62,FALSE)</f>
        <v>13</v>
      </c>
      <c r="F77" s="9" t="str">
        <f ca="1">VLOOKUP(A77,Data[],4,FALSE)</f>
        <v/>
      </c>
      <c r="G77" s="9">
        <f ca="1">IF(OR(YardsAll[[#This Row],[RAD/PACT]]="2019-2020",YardsAll[[#This Row],[RAD/PACT]]="2021-2025"),"",IF(ISNUMBER(SEARCH("1",C77)),2,IF(ISNUMBER(SEARCH("2",C77)),1,IF(ISNUMBER(SEARCH("3",C77)),3,IF(ISNUMBER(SEARCH("4",C77)),4,IF(ISNUMBER(SEARCH("5",C77)),5,IF(ISNUMBER(SEARCH("6",C77)),6,IF(ISNUMBER(SEARCH("7",C77)),7,IF(ISNUMBER(SEARCH("8",C77)),8,0)))))))))</f>
        <v>2</v>
      </c>
      <c r="H77" s="143" t="str">
        <f ca="1">IF(YardsAll[[#This Row],[STATUS]]="","",IF(OR(F77="2019-2020",F77="2021-2025"),"",IF(ISNUMBER(SEARCH("LLC",D77)),VLOOKUP(A77,Yards25[],28,FALSE),VLOOKUP(A77,Yards[],28,FALSE))))</f>
        <v/>
      </c>
      <c r="I77" s="143" t="str">
        <f ca="1">IF(YardsAll[[#This Row],[STATUS]]="","",IF(OR(F77="2019-2020",F77="2021-2025"),"",IF(ISNUMBER(SEARCH("LLC",D77)),VLOOKUP(A77,Yards25[],17,FALSE),VLOOKUP(A77,Yards[],17,FALSE))))</f>
        <v/>
      </c>
      <c r="J77" s="143" t="str">
        <f ca="1">IF(YardsAll[[#This Row],[STATUS]]="","",IF(OR(F77="2019-2020",F77="2021-2025"),"",IF(ISNUMBER(SEARCH("LLC",D77)),VLOOKUP(A77,Yards25[],29,FALSE),VLOOKUP(A77,Yards[],29,FALSE))))</f>
        <v/>
      </c>
      <c r="K77" s="143" t="str">
        <f ca="1">IF(YardsAll[[#This Row],[STATUS]]="","",IF(OR(F77="2019-2020",F77="2021-2025"),"",IF(ISNUMBER(SEARCH("LLC",D77)),VLOOKUP(A77,Yards25[],19,FALSE),VLOOKUP(A77,Yards[],19,FALSE))))</f>
        <v/>
      </c>
      <c r="L77" s="143" t="str">
        <f ca="1">IF(IF(OR(F77="2019-2020",F77="2021-2025"),"",IF(ISNUMBER(SEARCH("LLC",D77)),VLOOKUP(A77,Yards25[],20,FALSE),VLOOKUP(A77,Yards[],20,FALSE)))=0,"",IF(OR(F77="2019-2020",F77="2021-2025"),"",IF(ISNUMBER(SEARCH("LLC",D77)),VLOOKUP(A77,Yards25[],20,FALSE),VLOOKUP(A77,Yards[],20,FALSE))))</f>
        <v/>
      </c>
      <c r="M77" s="151">
        <f ca="1">IF(OR(F77="2019-2020",F77="2021-2025"),"",IF(ISNUMBER(SEARCH("LLC",D77)),VLOOKUP(A77,Yards25[],21,FALSE),VLOOKUP(A77,Yards[],21,FALSE)))</f>
        <v>231365.85651200006</v>
      </c>
      <c r="N77" s="151">
        <f ca="1">IF(OR(F77="2019-2020",F77="2021-2025"),"",IF(ISNUMBER(SEARCH("LLC",D77)),VLOOKUP(A77,Yards25[],22,FALSE),VLOOKUP(A77,Yards[],22,FALSE)))</f>
        <v>2082292.7086080003</v>
      </c>
      <c r="O77" s="151">
        <f ca="1">SUM(YardsAll[[#This Row],[DSGN ESTIMATE]:[CONS ESTIMATE]])</f>
        <v>2313658.5651200004</v>
      </c>
      <c r="P77" s="143"/>
      <c r="Q77" s="143">
        <f ca="1">IF(OR(F77="2019-2020",F77="2021-2025"),"",IF(ISNUMBER(SEARCH("LLC",D77)),VLOOKUP(A77,Yards25[],25,FALSE),VLOOKUP(A77,Yards[],25,FALSE)))</f>
        <v>0</v>
      </c>
      <c r="R77" s="152"/>
    </row>
    <row r="78" spans="1:18">
      <c r="A78" s="147" t="s">
        <v>313</v>
      </c>
      <c r="B78" s="144" t="str">
        <f>VLOOKUP(A78,Data[],2,FALSE)</f>
        <v>QUEENS</v>
      </c>
      <c r="C78" s="144" t="str">
        <f ca="1">IF(OR(F78="2019-2020",F78="2021-2025"),"",IF(ISNUMBER(SEARCH("LLC",D78)),VLOOKUP(A78,Yards25[],3,FALSE),VLOOKUP(A78,Yards[],3,FALSE)))</f>
        <v>New Waste Yard v1</v>
      </c>
      <c r="D78" s="9" t="str">
        <f>VLOOKUP(A78,Data[],52,FALSE)</f>
        <v>FEDERAL</v>
      </c>
      <c r="E78" s="9">
        <f>VLOOKUP(YardsAll[[#This Row],[DEVELOPMENT]],Data[],62,FALSE)</f>
        <v>12</v>
      </c>
      <c r="F78" s="9" t="str">
        <f ca="1">VLOOKUP(A78,Data[],4,FALSE)</f>
        <v/>
      </c>
      <c r="G78" s="9">
        <f ca="1">IF(OR(YardsAll[[#This Row],[RAD/PACT]]="2019-2020",YardsAll[[#This Row],[RAD/PACT]]="2021-2025"),"",IF(ISNUMBER(SEARCH("1",C78)),2,IF(ISNUMBER(SEARCH("2",C78)),1,IF(ISNUMBER(SEARCH("3",C78)),3,IF(ISNUMBER(SEARCH("4",C78)),4,IF(ISNUMBER(SEARCH("5",C78)),5,IF(ISNUMBER(SEARCH("6",C78)),6,IF(ISNUMBER(SEARCH("7",C78)),7,IF(ISNUMBER(SEARCH("8",C78)),8,0)))))))))</f>
        <v>2</v>
      </c>
      <c r="H78" s="143" t="str">
        <f ca="1">IF(YardsAll[[#This Row],[STATUS]]="","",IF(OR(F78="2019-2020",F78="2021-2025"),"",IF(ISNUMBER(SEARCH("LLC",D78)),VLOOKUP(A78,Yards25[],28,FALSE),VLOOKUP(A78,Yards[],28,FALSE))))</f>
        <v/>
      </c>
      <c r="I78" s="143" t="str">
        <f ca="1">IF(YardsAll[[#This Row],[STATUS]]="","",IF(OR(F78="2019-2020",F78="2021-2025"),"",IF(ISNUMBER(SEARCH("LLC",D78)),VLOOKUP(A78,Yards25[],17,FALSE),VLOOKUP(A78,Yards[],17,FALSE))))</f>
        <v/>
      </c>
      <c r="J78" s="143" t="str">
        <f ca="1">IF(YardsAll[[#This Row],[STATUS]]="","",IF(OR(F78="2019-2020",F78="2021-2025"),"",IF(ISNUMBER(SEARCH("LLC",D78)),VLOOKUP(A78,Yards25[],29,FALSE),VLOOKUP(A78,Yards[],29,FALSE))))</f>
        <v/>
      </c>
      <c r="K78" s="143" t="str">
        <f ca="1">IF(YardsAll[[#This Row],[STATUS]]="","",IF(OR(F78="2019-2020",F78="2021-2025"),"",IF(ISNUMBER(SEARCH("LLC",D78)),VLOOKUP(A78,Yards25[],19,FALSE),VLOOKUP(A78,Yards[],19,FALSE))))</f>
        <v/>
      </c>
      <c r="L78" s="143" t="str">
        <f ca="1">IF(IF(OR(F78="2019-2020",F78="2021-2025"),"",IF(ISNUMBER(SEARCH("LLC",D78)),VLOOKUP(A78,Yards25[],20,FALSE),VLOOKUP(A78,Yards[],20,FALSE)))=0,"",IF(OR(F78="2019-2020",F78="2021-2025"),"",IF(ISNUMBER(SEARCH("LLC",D78)),VLOOKUP(A78,Yards25[],20,FALSE),VLOOKUP(A78,Yards[],20,FALSE))))</f>
        <v/>
      </c>
      <c r="M78" s="151">
        <f ca="1">IF(OR(F78="2019-2020",F78="2021-2025"),"",IF(ISNUMBER(SEARCH("LLC",D78)),VLOOKUP(A78,Yards25[],21,FALSE),VLOOKUP(A78,Yards[],21,FALSE)))</f>
        <v>225039.4463730001</v>
      </c>
      <c r="N78" s="151">
        <f ca="1">IF(OR(F78="2019-2020",F78="2021-2025"),"",IF(ISNUMBER(SEARCH("LLC",D78)),VLOOKUP(A78,Yards25[],22,FALSE),VLOOKUP(A78,Yards[],22,FALSE)))</f>
        <v>2025355.0173570008</v>
      </c>
      <c r="O78" s="151">
        <f ca="1">SUM(YardsAll[[#This Row],[DSGN ESTIMATE]:[CONS ESTIMATE]])</f>
        <v>2250394.4637300009</v>
      </c>
      <c r="P78" s="143"/>
      <c r="Q78" s="143">
        <f ca="1">IF(OR(F78="2019-2020",F78="2021-2025"),"",IF(ISNUMBER(SEARCH("LLC",D78)),VLOOKUP(A78,Yards25[],25,FALSE),VLOOKUP(A78,Yards[],25,FALSE)))</f>
        <v>0</v>
      </c>
      <c r="R78" s="152"/>
    </row>
    <row r="79" spans="1:18">
      <c r="A79" s="147" t="s">
        <v>190</v>
      </c>
      <c r="B79" s="144" t="str">
        <f>VLOOKUP(A79,Data[],2,FALSE)</f>
        <v>BROOKLYN</v>
      </c>
      <c r="C79" s="144" t="str">
        <f ca="1">IF(OR(F79="2019-2020",F79="2021-2025"),"",IF(ISNUMBER(SEARCH("LLC",D79)),VLOOKUP(A79,Yards25[],3,FALSE),VLOOKUP(A79,Yards[],3,FALSE)))</f>
        <v>New Waste Yard v3</v>
      </c>
      <c r="D79" s="9" t="str">
        <f>VLOOKUP(A79,Data[],52,FALSE)</f>
        <v>FEDERAL</v>
      </c>
      <c r="E79" s="9">
        <f>VLOOKUP(YardsAll[[#This Row],[DEVELOPMENT]],Data[],62,FALSE)</f>
        <v>1</v>
      </c>
      <c r="F79" s="9" t="str">
        <f ca="1">VLOOKUP(A79,Data[],4,FALSE)</f>
        <v>2026+</v>
      </c>
      <c r="G79" s="9">
        <f ca="1">IF(OR(YardsAll[[#This Row],[RAD/PACT]]="2019-2020",YardsAll[[#This Row],[RAD/PACT]]="2021-2025"),"",IF(ISNUMBER(SEARCH("1",C79)),2,IF(ISNUMBER(SEARCH("2",C79)),1,IF(ISNUMBER(SEARCH("3",C79)),3,IF(ISNUMBER(SEARCH("4",C79)),4,IF(ISNUMBER(SEARCH("5",C79)),5,IF(ISNUMBER(SEARCH("6",C79)),6,IF(ISNUMBER(SEARCH("7",C79)),7,IF(ISNUMBER(SEARCH("8",C79)),8,0)))))))))</f>
        <v>3</v>
      </c>
      <c r="H79" s="143" t="str">
        <f ca="1">IF(YardsAll[[#This Row],[STATUS]]="","",IF(OR(F79="2019-2020",F79="2021-2025"),"",IF(ISNUMBER(SEARCH("LLC",D79)),VLOOKUP(A79,Yards25[],28,FALSE),VLOOKUP(A79,Yards[],28,FALSE))))</f>
        <v/>
      </c>
      <c r="I79" s="143" t="str">
        <f ca="1">IF(YardsAll[[#This Row],[STATUS]]="","",IF(OR(F79="2019-2020",F79="2021-2025"),"",IF(ISNUMBER(SEARCH("LLC",D79)),VLOOKUP(A79,Yards25[],17,FALSE),VLOOKUP(A79,Yards[],17,FALSE))))</f>
        <v/>
      </c>
      <c r="J79" s="143" t="str">
        <f ca="1">IF(YardsAll[[#This Row],[STATUS]]="","",IF(OR(F79="2019-2020",F79="2021-2025"),"",IF(ISNUMBER(SEARCH("LLC",D79)),VLOOKUP(A79,Yards25[],29,FALSE),VLOOKUP(A79,Yards[],29,FALSE))))</f>
        <v/>
      </c>
      <c r="K79" s="143" t="str">
        <f ca="1">IF(YardsAll[[#This Row],[STATUS]]="","",IF(OR(F79="2019-2020",F79="2021-2025"),"",IF(ISNUMBER(SEARCH("LLC",D79)),VLOOKUP(A79,Yards25[],19,FALSE),VLOOKUP(A79,Yards[],19,FALSE))))</f>
        <v/>
      </c>
      <c r="L79" s="143" t="str">
        <f ca="1">IF(IF(OR(F79="2019-2020",F79="2021-2025"),"",IF(ISNUMBER(SEARCH("LLC",D79)),VLOOKUP(A79,Yards25[],20,FALSE),VLOOKUP(A79,Yards[],20,FALSE)))=0,"",IF(OR(F79="2019-2020",F79="2021-2025"),"",IF(ISNUMBER(SEARCH("LLC",D79)),VLOOKUP(A79,Yards25[],20,FALSE),VLOOKUP(A79,Yards[],20,FALSE))))</f>
        <v/>
      </c>
      <c r="M79" s="151">
        <f ca="1">IF(OR(F79="2019-2020",F79="2021-2025"),"",IF(ISNUMBER(SEARCH("LLC",D79)),VLOOKUP(A79,Yards25[],21,FALSE),VLOOKUP(A79,Yards[],21,FALSE)))</f>
        <v>216185.89406550006</v>
      </c>
      <c r="N79" s="151">
        <f ca="1">IF(OR(F79="2019-2020",F79="2021-2025"),"",IF(ISNUMBER(SEARCH("LLC",D79)),VLOOKUP(A79,Yards25[],22,FALSE),VLOOKUP(A79,Yards[],22,FALSE)))</f>
        <v>1945673.0465895005</v>
      </c>
      <c r="O79" s="151">
        <f ca="1">SUM(YardsAll[[#This Row],[DSGN ESTIMATE]:[CONS ESTIMATE]])</f>
        <v>2161858.9406550005</v>
      </c>
      <c r="P79" s="143"/>
      <c r="Q79" s="143">
        <f ca="1">IF(OR(F79="2019-2020",F79="2021-2025"),"",IF(ISNUMBER(SEARCH("LLC",D79)),VLOOKUP(A79,Yards25[],25,FALSE),VLOOKUP(A79,Yards[],25,FALSE)))</f>
        <v>0</v>
      </c>
      <c r="R79" s="152"/>
    </row>
    <row r="80" spans="1:18">
      <c r="A80" s="147" t="s">
        <v>74</v>
      </c>
      <c r="B80" s="144" t="str">
        <f>VLOOKUP(A80,Data[],2,FALSE)</f>
        <v>MANHATTAN</v>
      </c>
      <c r="C80" s="144" t="str">
        <f ca="1">IF(OR(F80="2019-2020",F80="2021-2025"),"",IF(ISNUMBER(SEARCH("LLC",D80)),VLOOKUP(A80,Yards25[],3,FALSE),VLOOKUP(A80,Yards[],3,FALSE)))</f>
        <v>New Waste Yard v1</v>
      </c>
      <c r="D80" s="9" t="str">
        <f>VLOOKUP(A80,Data[],52,FALSE)</f>
        <v>FEDERAL</v>
      </c>
      <c r="E80" s="9">
        <f>VLOOKUP(YardsAll[[#This Row],[DEVELOPMENT]],Data[],62,FALSE)</f>
        <v>11</v>
      </c>
      <c r="F80" s="9" t="str">
        <f ca="1">VLOOKUP(A80,Data[],4,FALSE)</f>
        <v>2026+</v>
      </c>
      <c r="G80" s="9">
        <f ca="1">IF(OR(YardsAll[[#This Row],[RAD/PACT]]="2019-2020",YardsAll[[#This Row],[RAD/PACT]]="2021-2025"),"",IF(ISNUMBER(SEARCH("1",C80)),2,IF(ISNUMBER(SEARCH("2",C80)),1,IF(ISNUMBER(SEARCH("3",C80)),3,IF(ISNUMBER(SEARCH("4",C80)),4,IF(ISNUMBER(SEARCH("5",C80)),5,IF(ISNUMBER(SEARCH("6",C80)),6,IF(ISNUMBER(SEARCH("7",C80)),7,IF(ISNUMBER(SEARCH("8",C80)),8,0)))))))))</f>
        <v>2</v>
      </c>
      <c r="H80" s="143" t="str">
        <f ca="1">IF(YardsAll[[#This Row],[STATUS]]="","",IF(OR(F80="2019-2020",F80="2021-2025"),"",IF(ISNUMBER(SEARCH("LLC",D80)),VLOOKUP(A80,Yards25[],28,FALSE),VLOOKUP(A80,Yards[],28,FALSE))))</f>
        <v/>
      </c>
      <c r="I80" s="143" t="str">
        <f ca="1">IF(YardsAll[[#This Row],[STATUS]]="","",IF(OR(F80="2019-2020",F80="2021-2025"),"",IF(ISNUMBER(SEARCH("LLC",D80)),VLOOKUP(A80,Yards25[],17,FALSE),VLOOKUP(A80,Yards[],17,FALSE))))</f>
        <v/>
      </c>
      <c r="J80" s="143" t="str">
        <f ca="1">IF(YardsAll[[#This Row],[STATUS]]="","",IF(OR(F80="2019-2020",F80="2021-2025"),"",IF(ISNUMBER(SEARCH("LLC",D80)),VLOOKUP(A80,Yards25[],29,FALSE),VLOOKUP(A80,Yards[],29,FALSE))))</f>
        <v/>
      </c>
      <c r="K80" s="143" t="str">
        <f ca="1">IF(YardsAll[[#This Row],[STATUS]]="","",IF(OR(F80="2019-2020",F80="2021-2025"),"",IF(ISNUMBER(SEARCH("LLC",D80)),VLOOKUP(A80,Yards25[],19,FALSE),VLOOKUP(A80,Yards[],19,FALSE))))</f>
        <v/>
      </c>
      <c r="L80" s="143" t="str">
        <f ca="1">IF(IF(OR(F80="2019-2020",F80="2021-2025"),"",IF(ISNUMBER(SEARCH("LLC",D80)),VLOOKUP(A80,Yards25[],20,FALSE),VLOOKUP(A80,Yards[],20,FALSE)))=0,"",IF(OR(F80="2019-2020",F80="2021-2025"),"",IF(ISNUMBER(SEARCH("LLC",D80)),VLOOKUP(A80,Yards25[],20,FALSE),VLOOKUP(A80,Yards[],20,FALSE))))</f>
        <v/>
      </c>
      <c r="M80" s="151">
        <f ca="1">IF(OR(F80="2019-2020",F80="2021-2025"),"",IF(ISNUMBER(SEARCH("LLC",D80)),VLOOKUP(A80,Yards25[],21,FALSE),VLOOKUP(A80,Yards[],21,FALSE)))</f>
        <v>225039.4463730001</v>
      </c>
      <c r="N80" s="151">
        <f ca="1">IF(OR(F80="2019-2020",F80="2021-2025"),"",IF(ISNUMBER(SEARCH("LLC",D80)),VLOOKUP(A80,Yards25[],22,FALSE),VLOOKUP(A80,Yards[],22,FALSE)))</f>
        <v>2025355.0173570008</v>
      </c>
      <c r="O80" s="151">
        <f ca="1">SUM(YardsAll[[#This Row],[DSGN ESTIMATE]:[CONS ESTIMATE]])</f>
        <v>2250394.4637300009</v>
      </c>
      <c r="P80" s="143"/>
      <c r="Q80" s="143">
        <f ca="1">IF(OR(F80="2019-2020",F80="2021-2025"),"",IF(ISNUMBER(SEARCH("LLC",D80)),VLOOKUP(A80,Yards25[],25,FALSE),VLOOKUP(A80,Yards[],25,FALSE)))</f>
        <v>0</v>
      </c>
      <c r="R80" s="152"/>
    </row>
    <row r="81" spans="1:18">
      <c r="A81" s="147" t="s">
        <v>314</v>
      </c>
      <c r="B81" s="144" t="str">
        <f>VLOOKUP(A81,Data[],2,FALSE)</f>
        <v>BROOKLYN</v>
      </c>
      <c r="C81" s="144" t="str">
        <f ca="1">IF(OR(F81="2019-2020",F81="2021-2025"),"",IF(ISNUMBER(SEARCH("LLC",D81)),VLOOKUP(A81,Yards25[],3,FALSE),VLOOKUP(A81,Yards[],3,FALSE)))</f>
        <v>New Waste Yard v1</v>
      </c>
      <c r="D81" s="9" t="str">
        <f>VLOOKUP(A81,Data[],52,FALSE)</f>
        <v>FEDERAL</v>
      </c>
      <c r="E81" s="9">
        <f>VLOOKUP(YardsAll[[#This Row],[DEVELOPMENT]],Data[],62,FALSE)</f>
        <v>8</v>
      </c>
      <c r="F81" s="9" t="str">
        <f ca="1">VLOOKUP(A81,Data[],4,FALSE)</f>
        <v>2022-2025</v>
      </c>
      <c r="G81" s="9">
        <f ca="1">IF(OR(YardsAll[[#This Row],[RAD/PACT]]="2019-2020",YardsAll[[#This Row],[RAD/PACT]]="2021-2025"),"",IF(ISNUMBER(SEARCH("1",C81)),2,IF(ISNUMBER(SEARCH("2",C81)),1,IF(ISNUMBER(SEARCH("3",C81)),3,IF(ISNUMBER(SEARCH("4",C81)),4,IF(ISNUMBER(SEARCH("5",C81)),5,IF(ISNUMBER(SEARCH("6",C81)),6,IF(ISNUMBER(SEARCH("7",C81)),7,IF(ISNUMBER(SEARCH("8",C81)),8,0)))))))))</f>
        <v>2</v>
      </c>
      <c r="H81" s="143" t="str">
        <f ca="1">IF(YardsAll[[#This Row],[STATUS]]="","",IF(OR(F81="2019-2020",F81="2021-2025"),"",IF(ISNUMBER(SEARCH("LLC",D81)),VLOOKUP(A81,Yards25[],28,FALSE),VLOOKUP(A81,Yards[],28,FALSE))))</f>
        <v/>
      </c>
      <c r="I81" s="143" t="str">
        <f ca="1">IF(YardsAll[[#This Row],[STATUS]]="","",IF(OR(F81="2019-2020",F81="2021-2025"),"",IF(ISNUMBER(SEARCH("LLC",D81)),VLOOKUP(A81,Yards25[],17,FALSE),VLOOKUP(A81,Yards[],17,FALSE))))</f>
        <v/>
      </c>
      <c r="J81" s="143" t="str">
        <f ca="1">IF(YardsAll[[#This Row],[STATUS]]="","",IF(OR(F81="2019-2020",F81="2021-2025"),"",IF(ISNUMBER(SEARCH("LLC",D81)),VLOOKUP(A81,Yards25[],29,FALSE),VLOOKUP(A81,Yards[],29,FALSE))))</f>
        <v/>
      </c>
      <c r="K81" s="143" t="str">
        <f ca="1">IF(YardsAll[[#This Row],[STATUS]]="","",IF(OR(F81="2019-2020",F81="2021-2025"),"",IF(ISNUMBER(SEARCH("LLC",D81)),VLOOKUP(A81,Yards25[],19,FALSE),VLOOKUP(A81,Yards[],19,FALSE))))</f>
        <v/>
      </c>
      <c r="L81" s="143" t="str">
        <f ca="1">IF(IF(OR(F81="2019-2020",F81="2021-2025"),"",IF(ISNUMBER(SEARCH("LLC",D81)),VLOOKUP(A81,Yards25[],20,FALSE),VLOOKUP(A81,Yards[],20,FALSE)))=0,"",IF(OR(F81="2019-2020",F81="2021-2025"),"",IF(ISNUMBER(SEARCH("LLC",D81)),VLOOKUP(A81,Yards25[],20,FALSE),VLOOKUP(A81,Yards[],20,FALSE))))</f>
        <v/>
      </c>
      <c r="M81" s="151">
        <f ca="1">IF(OR(F81="2019-2020",F81="2021-2025"),"",IF(ISNUMBER(SEARCH("LLC",D81)),VLOOKUP(A81,Yards25[],21,FALSE),VLOOKUP(A81,Yards[],21,FALSE)))</f>
        <v>0</v>
      </c>
      <c r="N81" s="151">
        <f ca="1">IF(OR(F81="2019-2020",F81="2021-2025"),"",IF(ISNUMBER(SEARCH("LLC",D81)),VLOOKUP(A81,Yards25[],22,FALSE),VLOOKUP(A81,Yards[],22,FALSE)))</f>
        <v>0</v>
      </c>
      <c r="O81" s="151">
        <f ca="1">SUM(YardsAll[[#This Row],[DSGN ESTIMATE]:[CONS ESTIMATE]])</f>
        <v>0</v>
      </c>
      <c r="P81" s="143"/>
      <c r="Q81" s="143">
        <f ca="1">IF(OR(F81="2019-2020",F81="2021-2025"),"",IF(ISNUMBER(SEARCH("LLC",D81)),VLOOKUP(A81,Yards25[],25,FALSE),VLOOKUP(A81,Yards[],25,FALSE)))</f>
        <v>0</v>
      </c>
      <c r="R81" s="152"/>
    </row>
    <row r="82" spans="1:18">
      <c r="A82" s="147" t="s">
        <v>315</v>
      </c>
      <c r="B82" s="144" t="str">
        <f>VLOOKUP(A82,Data[],2,FALSE)</f>
        <v>BROOKLYN</v>
      </c>
      <c r="C82" s="144" t="str">
        <f ca="1">IF(OR(F82="2019-2020",F82="2021-2025"),"",IF(ISNUMBER(SEARCH("LLC",D82)),VLOOKUP(A82,Yards25[],3,FALSE),VLOOKUP(A82,Yards[],3,FALSE)))</f>
        <v>New Waste Yard v4</v>
      </c>
      <c r="D82" s="9" t="str">
        <f>VLOOKUP(A82,Data[],52,FALSE)</f>
        <v>FEDERAL</v>
      </c>
      <c r="E82" s="9">
        <f>VLOOKUP(YardsAll[[#This Row],[DEVELOPMENT]],Data[],62,FALSE)</f>
        <v>5</v>
      </c>
      <c r="F82" s="9" t="str">
        <f ca="1">VLOOKUP(A82,Data[],4,FALSE)</f>
        <v>2022-2025</v>
      </c>
      <c r="G82" s="9">
        <f ca="1">IF(OR(YardsAll[[#This Row],[RAD/PACT]]="2019-2020",YardsAll[[#This Row],[RAD/PACT]]="2021-2025"),"",IF(ISNUMBER(SEARCH("1",C82)),2,IF(ISNUMBER(SEARCH("2",C82)),1,IF(ISNUMBER(SEARCH("3",C82)),3,IF(ISNUMBER(SEARCH("4",C82)),4,IF(ISNUMBER(SEARCH("5",C82)),5,IF(ISNUMBER(SEARCH("6",C82)),6,IF(ISNUMBER(SEARCH("7",C82)),7,IF(ISNUMBER(SEARCH("8",C82)),8,0)))))))))</f>
        <v>4</v>
      </c>
      <c r="H82" s="143" t="str">
        <f ca="1">IF(YardsAll[[#This Row],[STATUS]]="","",IF(OR(F82="2019-2020",F82="2021-2025"),"",IF(ISNUMBER(SEARCH("LLC",D82)),VLOOKUP(A82,Yards25[],28,FALSE),VLOOKUP(A82,Yards[],28,FALSE))))</f>
        <v/>
      </c>
      <c r="I82" s="143" t="str">
        <f ca="1">IF(YardsAll[[#This Row],[STATUS]]="","",IF(OR(F82="2019-2020",F82="2021-2025"),"",IF(ISNUMBER(SEARCH("LLC",D82)),VLOOKUP(A82,Yards25[],17,FALSE),VLOOKUP(A82,Yards[],17,FALSE))))</f>
        <v/>
      </c>
      <c r="J82" s="143" t="str">
        <f ca="1">IF(YardsAll[[#This Row],[STATUS]]="","",IF(OR(F82="2019-2020",F82="2021-2025"),"",IF(ISNUMBER(SEARCH("LLC",D82)),VLOOKUP(A82,Yards25[],29,FALSE),VLOOKUP(A82,Yards[],29,FALSE))))</f>
        <v/>
      </c>
      <c r="K82" s="143" t="str">
        <f ca="1">IF(YardsAll[[#This Row],[STATUS]]="","",IF(OR(F82="2019-2020",F82="2021-2025"),"",IF(ISNUMBER(SEARCH("LLC",D82)),VLOOKUP(A82,Yards25[],19,FALSE),VLOOKUP(A82,Yards[],19,FALSE))))</f>
        <v/>
      </c>
      <c r="L82" s="143" t="str">
        <f ca="1">IF(IF(OR(F82="2019-2020",F82="2021-2025"),"",IF(ISNUMBER(SEARCH("LLC",D82)),VLOOKUP(A82,Yards25[],20,FALSE),VLOOKUP(A82,Yards[],20,FALSE)))=0,"",IF(OR(F82="2019-2020",F82="2021-2025"),"",IF(ISNUMBER(SEARCH("LLC",D82)),VLOOKUP(A82,Yards25[],20,FALSE),VLOOKUP(A82,Yards[],20,FALSE))))</f>
        <v/>
      </c>
      <c r="M82" s="151">
        <f ca="1">IF(OR(F82="2019-2020",F82="2021-2025"),"",IF(ISNUMBER(SEARCH("LLC",D82)),VLOOKUP(A82,Yards25[],21,FALSE),VLOOKUP(A82,Yards[],21,FALSE)))</f>
        <v>0</v>
      </c>
      <c r="N82" s="151">
        <f ca="1">IF(OR(F82="2019-2020",F82="2021-2025"),"",IF(ISNUMBER(SEARCH("LLC",D82)),VLOOKUP(A82,Yards25[],22,FALSE),VLOOKUP(A82,Yards[],22,FALSE)))</f>
        <v>0</v>
      </c>
      <c r="O82" s="151">
        <f ca="1">SUM(YardsAll[[#This Row],[DSGN ESTIMATE]:[CONS ESTIMATE]])</f>
        <v>0</v>
      </c>
      <c r="P82" s="143"/>
      <c r="Q82" s="143">
        <f ca="1">IF(OR(F82="2019-2020",F82="2021-2025"),"",IF(ISNUMBER(SEARCH("LLC",D82)),VLOOKUP(A82,Yards25[],25,FALSE),VLOOKUP(A82,Yards[],25,FALSE)))</f>
        <v>0</v>
      </c>
      <c r="R82" s="152"/>
    </row>
    <row r="83" spans="1:18">
      <c r="A83" s="147" t="s">
        <v>105</v>
      </c>
      <c r="B83" s="144" t="str">
        <f>VLOOKUP(A83,Data[],2,FALSE)</f>
        <v>BRONX</v>
      </c>
      <c r="C83" s="144" t="str">
        <f ca="1">IF(OR(F83="2019-2020",F83="2021-2025"),"",IF(ISNUMBER(SEARCH("LLC",D83)),VLOOKUP(A83,Yards25[],3,FALSE),VLOOKUP(A83,Yards[],3,FALSE)))</f>
        <v>New Waste Yard v1</v>
      </c>
      <c r="D83" s="9" t="str">
        <f>VLOOKUP(A83,Data[],52,FALSE)</f>
        <v>FEDERAL</v>
      </c>
      <c r="E83" s="9">
        <f>VLOOKUP(YardsAll[[#This Row],[DEVELOPMENT]],Data[],62,FALSE)</f>
        <v>3</v>
      </c>
      <c r="F83" s="9" t="str">
        <f ca="1">VLOOKUP(A83,Data[],4,FALSE)</f>
        <v>2026+</v>
      </c>
      <c r="G83" s="9">
        <f ca="1">IF(OR(YardsAll[[#This Row],[RAD/PACT]]="2019-2020",YardsAll[[#This Row],[RAD/PACT]]="2021-2025"),"",IF(ISNUMBER(SEARCH("1",C83)),2,IF(ISNUMBER(SEARCH("2",C83)),1,IF(ISNUMBER(SEARCH("3",C83)),3,IF(ISNUMBER(SEARCH("4",C83)),4,IF(ISNUMBER(SEARCH("5",C83)),5,IF(ISNUMBER(SEARCH("6",C83)),6,IF(ISNUMBER(SEARCH("7",C83)),7,IF(ISNUMBER(SEARCH("8",C83)),8,0)))))))))</f>
        <v>2</v>
      </c>
      <c r="H83" s="143" t="str">
        <f ca="1">IF(YardsAll[[#This Row],[STATUS]]="","",IF(OR(F83="2019-2020",F83="2021-2025"),"",IF(ISNUMBER(SEARCH("LLC",D83)),VLOOKUP(A83,Yards25[],28,FALSE),VLOOKUP(A83,Yards[],28,FALSE))))</f>
        <v/>
      </c>
      <c r="I83" s="143" t="str">
        <f ca="1">IF(YardsAll[[#This Row],[STATUS]]="","",IF(OR(F83="2019-2020",F83="2021-2025"),"",IF(ISNUMBER(SEARCH("LLC",D83)),VLOOKUP(A83,Yards25[],17,FALSE),VLOOKUP(A83,Yards[],17,FALSE))))</f>
        <v/>
      </c>
      <c r="J83" s="143" t="str">
        <f ca="1">IF(YardsAll[[#This Row],[STATUS]]="","",IF(OR(F83="2019-2020",F83="2021-2025"),"",IF(ISNUMBER(SEARCH("LLC",D83)),VLOOKUP(A83,Yards25[],29,FALSE),VLOOKUP(A83,Yards[],29,FALSE))))</f>
        <v/>
      </c>
      <c r="K83" s="143" t="str">
        <f ca="1">IF(YardsAll[[#This Row],[STATUS]]="","",IF(OR(F83="2019-2020",F83="2021-2025"),"",IF(ISNUMBER(SEARCH("LLC",D83)),VLOOKUP(A83,Yards25[],19,FALSE),VLOOKUP(A83,Yards[],19,FALSE))))</f>
        <v/>
      </c>
      <c r="L83" s="143" t="str">
        <f ca="1">IF(IF(OR(F83="2019-2020",F83="2021-2025"),"",IF(ISNUMBER(SEARCH("LLC",D83)),VLOOKUP(A83,Yards25[],20,FALSE),VLOOKUP(A83,Yards[],20,FALSE)))=0,"",IF(OR(F83="2019-2020",F83="2021-2025"),"",IF(ISNUMBER(SEARCH("LLC",D83)),VLOOKUP(A83,Yards25[],20,FALSE),VLOOKUP(A83,Yards[],20,FALSE))))</f>
        <v/>
      </c>
      <c r="M83" s="151">
        <f ca="1">IF(OR(F83="2019-2020",F83="2021-2025"),"",IF(ISNUMBER(SEARCH("LLC",D83)),VLOOKUP(A83,Yards25[],21,FALSE),VLOOKUP(A83,Yards[],21,FALSE)))</f>
        <v>199733.80581700004</v>
      </c>
      <c r="N83" s="151">
        <f ca="1">IF(OR(F83="2019-2020",F83="2021-2025"),"",IF(ISNUMBER(SEARCH("LLC",D83)),VLOOKUP(A83,Yards25[],22,FALSE),VLOOKUP(A83,Yards[],22,FALSE)))</f>
        <v>1797604.2523530002</v>
      </c>
      <c r="O83" s="151">
        <f ca="1">SUM(YardsAll[[#This Row],[DSGN ESTIMATE]:[CONS ESTIMATE]])</f>
        <v>1997338.0581700003</v>
      </c>
      <c r="P83" s="143"/>
      <c r="Q83" s="143">
        <f ca="1">IF(OR(F83="2019-2020",F83="2021-2025"),"",IF(ISNUMBER(SEARCH("LLC",D83)),VLOOKUP(A83,Yards25[],25,FALSE),VLOOKUP(A83,Yards[],25,FALSE)))</f>
        <v>0</v>
      </c>
      <c r="R83" s="152"/>
    </row>
    <row r="84" spans="1:18">
      <c r="A84" s="147" t="s">
        <v>263</v>
      </c>
      <c r="B84" s="144" t="str">
        <f>VLOOKUP(A84,Data[],2,FALSE)</f>
        <v>MANHATTAN</v>
      </c>
      <c r="C84" s="144" t="str">
        <f ca="1">IF(OR(F84="2019-2020",F84="2021-2025"),"",IF(ISNUMBER(SEARCH("LLC",D84)),VLOOKUP(A84,Yards25[],3,FALSE),VLOOKUP(A84,Yards[],3,FALSE)))</f>
        <v>New Waste Yard v1</v>
      </c>
      <c r="D84" s="9" t="str">
        <f>VLOOKUP(A84,Data[],52,FALSE)</f>
        <v>FEDERAL</v>
      </c>
      <c r="E84" s="9">
        <f>VLOOKUP(YardsAll[[#This Row],[DEVELOPMENT]],Data[],62,FALSE)</f>
        <v>7</v>
      </c>
      <c r="F84" s="9" t="str">
        <f ca="1">VLOOKUP(A84,Data[],4,FALSE)</f>
        <v/>
      </c>
      <c r="G84" s="9">
        <f ca="1">IF(OR(YardsAll[[#This Row],[RAD/PACT]]="2019-2020",YardsAll[[#This Row],[RAD/PACT]]="2021-2025"),"",IF(ISNUMBER(SEARCH("1",C84)),2,IF(ISNUMBER(SEARCH("2",C84)),1,IF(ISNUMBER(SEARCH("3",C84)),3,IF(ISNUMBER(SEARCH("4",C84)),4,IF(ISNUMBER(SEARCH("5",C84)),5,IF(ISNUMBER(SEARCH("6",C84)),6,IF(ISNUMBER(SEARCH("7",C84)),7,IF(ISNUMBER(SEARCH("8",C84)),8,0)))))))))</f>
        <v>2</v>
      </c>
      <c r="H84" s="143" t="str">
        <f ca="1">IF(YardsAll[[#This Row],[STATUS]]="","",IF(OR(F84="2019-2020",F84="2021-2025"),"",IF(ISNUMBER(SEARCH("LLC",D84)),VLOOKUP(A84,Yards25[],28,FALSE),VLOOKUP(A84,Yards[],28,FALSE))))</f>
        <v/>
      </c>
      <c r="I84" s="143" t="str">
        <f ca="1">IF(YardsAll[[#This Row],[STATUS]]="","",IF(OR(F84="2019-2020",F84="2021-2025"),"",IF(ISNUMBER(SEARCH("LLC",D84)),VLOOKUP(A84,Yards25[],17,FALSE),VLOOKUP(A84,Yards[],17,FALSE))))</f>
        <v/>
      </c>
      <c r="J84" s="143" t="str">
        <f ca="1">IF(YardsAll[[#This Row],[STATUS]]="","",IF(OR(F84="2019-2020",F84="2021-2025"),"",IF(ISNUMBER(SEARCH("LLC",D84)),VLOOKUP(A84,Yards25[],29,FALSE),VLOOKUP(A84,Yards[],29,FALSE))))</f>
        <v/>
      </c>
      <c r="K84" s="143" t="str">
        <f ca="1">IF(YardsAll[[#This Row],[STATUS]]="","",IF(OR(F84="2019-2020",F84="2021-2025"),"",IF(ISNUMBER(SEARCH("LLC",D84)),VLOOKUP(A84,Yards25[],19,FALSE),VLOOKUP(A84,Yards[],19,FALSE))))</f>
        <v/>
      </c>
      <c r="L84" s="143" t="str">
        <f ca="1">IF(IF(OR(F84="2019-2020",F84="2021-2025"),"",IF(ISNUMBER(SEARCH("LLC",D84)),VLOOKUP(A84,Yards25[],20,FALSE),VLOOKUP(A84,Yards[],20,FALSE)))=0,"",IF(OR(F84="2019-2020",F84="2021-2025"),"",IF(ISNUMBER(SEARCH("LLC",D84)),VLOOKUP(A84,Yards25[],20,FALSE),VLOOKUP(A84,Yards[],20,FALSE))))</f>
        <v/>
      </c>
      <c r="M84" s="151">
        <f ca="1">IF(OR(F84="2019-2020",F84="2021-2025"),"",IF(ISNUMBER(SEARCH("LLC",D84)),VLOOKUP(A84,Yards25[],21,FALSE),VLOOKUP(A84,Yards[],21,FALSE)))</f>
        <v>199733.80581700004</v>
      </c>
      <c r="N84" s="151">
        <f ca="1">IF(OR(F84="2019-2020",F84="2021-2025"),"",IF(ISNUMBER(SEARCH("LLC",D84)),VLOOKUP(A84,Yards25[],22,FALSE),VLOOKUP(A84,Yards[],22,FALSE)))</f>
        <v>1797604.2523530002</v>
      </c>
      <c r="O84" s="151">
        <f ca="1">SUM(YardsAll[[#This Row],[DSGN ESTIMATE]:[CONS ESTIMATE]])</f>
        <v>1997338.0581700003</v>
      </c>
      <c r="P84" s="143"/>
      <c r="Q84" s="143">
        <f ca="1">IF(OR(F84="2019-2020",F84="2021-2025"),"",IF(ISNUMBER(SEARCH("LLC",D84)),VLOOKUP(A84,Yards25[],25,FALSE),VLOOKUP(A84,Yards[],25,FALSE)))</f>
        <v>0</v>
      </c>
      <c r="R84" s="152"/>
    </row>
    <row r="85" spans="1:18">
      <c r="A85" s="147" t="s">
        <v>75</v>
      </c>
      <c r="B85" s="144" t="str">
        <f>VLOOKUP(A85,Data[],2,FALSE)</f>
        <v>MANHATTAN</v>
      </c>
      <c r="C85" s="144" t="str">
        <f ca="1">IF(OR(F85="2019-2020",F85="2021-2025"),"",IF(ISNUMBER(SEARCH("LLC",D85)),VLOOKUP(A85,Yards25[],3,FALSE),VLOOKUP(A85,Yards[],3,FALSE)))</f>
        <v>New Waste Yard v1</v>
      </c>
      <c r="D85" s="9" t="str">
        <f>VLOOKUP(A85,Data[],52,FALSE)</f>
        <v>FEDERAL</v>
      </c>
      <c r="E85" s="9">
        <f>VLOOKUP(YardsAll[[#This Row],[DEVELOPMENT]],Data[],62,FALSE)</f>
        <v>7</v>
      </c>
      <c r="F85" s="9" t="str">
        <f ca="1">VLOOKUP(A85,Data[],4,FALSE)</f>
        <v/>
      </c>
      <c r="G85" s="9">
        <f ca="1">IF(OR(YardsAll[[#This Row],[RAD/PACT]]="2019-2020",YardsAll[[#This Row],[RAD/PACT]]="2021-2025"),"",IF(ISNUMBER(SEARCH("1",C85)),2,IF(ISNUMBER(SEARCH("2",C85)),1,IF(ISNUMBER(SEARCH("3",C85)),3,IF(ISNUMBER(SEARCH("4",C85)),4,IF(ISNUMBER(SEARCH("5",C85)),5,IF(ISNUMBER(SEARCH("6",C85)),6,IF(ISNUMBER(SEARCH("7",C85)),7,IF(ISNUMBER(SEARCH("8",C85)),8,0)))))))))</f>
        <v>2</v>
      </c>
      <c r="H85" s="143" t="str">
        <f ca="1">IF(YardsAll[[#This Row],[STATUS]]="","",IF(OR(F85="2019-2020",F85="2021-2025"),"",IF(ISNUMBER(SEARCH("LLC",D85)),VLOOKUP(A85,Yards25[],28,FALSE),VLOOKUP(A85,Yards[],28,FALSE))))</f>
        <v/>
      </c>
      <c r="I85" s="143" t="str">
        <f ca="1">IF(YardsAll[[#This Row],[STATUS]]="","",IF(OR(F85="2019-2020",F85="2021-2025"),"",IF(ISNUMBER(SEARCH("LLC",D85)),VLOOKUP(A85,Yards25[],17,FALSE),VLOOKUP(A85,Yards[],17,FALSE))))</f>
        <v/>
      </c>
      <c r="J85" s="143" t="str">
        <f ca="1">IF(YardsAll[[#This Row],[STATUS]]="","",IF(OR(F85="2019-2020",F85="2021-2025"),"",IF(ISNUMBER(SEARCH("LLC",D85)),VLOOKUP(A85,Yards25[],29,FALSE),VLOOKUP(A85,Yards[],29,FALSE))))</f>
        <v/>
      </c>
      <c r="K85" s="143" t="str">
        <f ca="1">IF(YardsAll[[#This Row],[STATUS]]="","",IF(OR(F85="2019-2020",F85="2021-2025"),"",IF(ISNUMBER(SEARCH("LLC",D85)),VLOOKUP(A85,Yards25[],19,FALSE),VLOOKUP(A85,Yards[],19,FALSE))))</f>
        <v/>
      </c>
      <c r="L85" s="143" t="str">
        <f ca="1">IF(IF(OR(F85="2019-2020",F85="2021-2025"),"",IF(ISNUMBER(SEARCH("LLC",D85)),VLOOKUP(A85,Yards25[],20,FALSE),VLOOKUP(A85,Yards[],20,FALSE)))=0,"",IF(OR(F85="2019-2020",F85="2021-2025"),"",IF(ISNUMBER(SEARCH("LLC",D85)),VLOOKUP(A85,Yards25[],20,FALSE),VLOOKUP(A85,Yards[],20,FALSE))))</f>
        <v/>
      </c>
      <c r="M85" s="151">
        <f ca="1">IF(OR(F85="2019-2020",F85="2021-2025"),"",IF(ISNUMBER(SEARCH("LLC",D85)),VLOOKUP(A85,Yards25[],21,FALSE),VLOOKUP(A85,Yards[],21,FALSE)))</f>
        <v>218713.03623400006</v>
      </c>
      <c r="N85" s="151">
        <f ca="1">IF(OR(F85="2019-2020",F85="2021-2025"),"",IF(ISNUMBER(SEARCH("LLC",D85)),VLOOKUP(A85,Yards25[],22,FALSE),VLOOKUP(A85,Yards[],22,FALSE)))</f>
        <v>1968417.3261060005</v>
      </c>
      <c r="O85" s="151">
        <f ca="1">SUM(YardsAll[[#This Row],[DSGN ESTIMATE]:[CONS ESTIMATE]])</f>
        <v>2187130.3623400005</v>
      </c>
      <c r="P85" s="143"/>
      <c r="Q85" s="143">
        <f ca="1">IF(OR(F85="2019-2020",F85="2021-2025"),"",IF(ISNUMBER(SEARCH("LLC",D85)),VLOOKUP(A85,Yards25[],25,FALSE),VLOOKUP(A85,Yards[],25,FALSE)))</f>
        <v>0</v>
      </c>
      <c r="R85" s="152"/>
    </row>
    <row r="86" spans="1:18">
      <c r="A86" s="147" t="s">
        <v>130</v>
      </c>
      <c r="B86" s="144" t="str">
        <f>VLOOKUP(A86,Data[],2,FALSE)</f>
        <v>MANHATTAN</v>
      </c>
      <c r="C86" s="144" t="str">
        <f ca="1">IF(OR(F86="2019-2020",F86="2021-2025"),"",IF(ISNUMBER(SEARCH("LLC",D86)),VLOOKUP(A86,Yards25[],3,FALSE),VLOOKUP(A86,Yards[],3,FALSE)))</f>
        <v>New Waste Yard v2</v>
      </c>
      <c r="D86" s="9" t="str">
        <f>VLOOKUP(A86,Data[],52,FALSE)</f>
        <v>FEDERAL</v>
      </c>
      <c r="E86" s="9">
        <f>VLOOKUP(YardsAll[[#This Row],[DEVELOPMENT]],Data[],62,FALSE)</f>
        <v>7</v>
      </c>
      <c r="F86" s="9" t="str">
        <f ca="1">VLOOKUP(A86,Data[],4,FALSE)</f>
        <v/>
      </c>
      <c r="G86" s="9">
        <f ca="1">IF(OR(YardsAll[[#This Row],[RAD/PACT]]="2019-2020",YardsAll[[#This Row],[RAD/PACT]]="2021-2025"),"",IF(ISNUMBER(SEARCH("1",C86)),2,IF(ISNUMBER(SEARCH("2",C86)),1,IF(ISNUMBER(SEARCH("3",C86)),3,IF(ISNUMBER(SEARCH("4",C86)),4,IF(ISNUMBER(SEARCH("5",C86)),5,IF(ISNUMBER(SEARCH("6",C86)),6,IF(ISNUMBER(SEARCH("7",C86)),7,IF(ISNUMBER(SEARCH("8",C86)),8,0)))))))))</f>
        <v>1</v>
      </c>
      <c r="H86" s="143" t="str">
        <f ca="1">IF(YardsAll[[#This Row],[STATUS]]="","",IF(OR(F86="2019-2020",F86="2021-2025"),"",IF(ISNUMBER(SEARCH("LLC",D86)),VLOOKUP(A86,Yards25[],28,FALSE),VLOOKUP(A86,Yards[],28,FALSE))))</f>
        <v/>
      </c>
      <c r="I86" s="143" t="str">
        <f ca="1">IF(YardsAll[[#This Row],[STATUS]]="","",IF(OR(F86="2019-2020",F86="2021-2025"),"",IF(ISNUMBER(SEARCH("LLC",D86)),VLOOKUP(A86,Yards25[],17,FALSE),VLOOKUP(A86,Yards[],17,FALSE))))</f>
        <v/>
      </c>
      <c r="J86" s="143" t="str">
        <f ca="1">IF(YardsAll[[#This Row],[STATUS]]="","",IF(OR(F86="2019-2020",F86="2021-2025"),"",IF(ISNUMBER(SEARCH("LLC",D86)),VLOOKUP(A86,Yards25[],29,FALSE),VLOOKUP(A86,Yards[],29,FALSE))))</f>
        <v/>
      </c>
      <c r="K86" s="143" t="str">
        <f ca="1">IF(YardsAll[[#This Row],[STATUS]]="","",IF(OR(F86="2019-2020",F86="2021-2025"),"",IF(ISNUMBER(SEARCH("LLC",D86)),VLOOKUP(A86,Yards25[],19,FALSE),VLOOKUP(A86,Yards[],19,FALSE))))</f>
        <v/>
      </c>
      <c r="L86" s="143" t="str">
        <f ca="1">IF(IF(OR(F86="2019-2020",F86="2021-2025"),"",IF(ISNUMBER(SEARCH("LLC",D86)),VLOOKUP(A86,Yards25[],20,FALSE),VLOOKUP(A86,Yards[],20,FALSE)))=0,"",IF(OR(F86="2019-2020",F86="2021-2025"),"",IF(ISNUMBER(SEARCH("LLC",D86)),VLOOKUP(A86,Yards25[],20,FALSE),VLOOKUP(A86,Yards[],20,FALSE))))</f>
        <v/>
      </c>
      <c r="M86" s="151">
        <f ca="1">IF(OR(F86="2019-2020",F86="2021-2025"),"",IF(ISNUMBER(SEARCH("LLC",D86)),VLOOKUP(A86,Yards25[],21,FALSE),VLOOKUP(A86,Yards[],21,FALSE)))</f>
        <v>145762.23213190003</v>
      </c>
      <c r="N86" s="151">
        <f ca="1">IF(OR(F86="2019-2020",F86="2021-2025"),"",IF(ISNUMBER(SEARCH("LLC",D86)),VLOOKUP(A86,Yards25[],22,FALSE),VLOOKUP(A86,Yards[],22,FALSE)))</f>
        <v>1311860.0891871003</v>
      </c>
      <c r="O86" s="151">
        <f ca="1">SUM(YardsAll[[#This Row],[DSGN ESTIMATE]:[CONS ESTIMATE]])</f>
        <v>1457622.3213190003</v>
      </c>
      <c r="P86" s="143"/>
      <c r="Q86" s="143">
        <f ca="1">IF(OR(F86="2019-2020",F86="2021-2025"),"",IF(ISNUMBER(SEARCH("LLC",D86)),VLOOKUP(A86,Yards25[],25,FALSE),VLOOKUP(A86,Yards[],25,FALSE)))</f>
        <v>0</v>
      </c>
      <c r="R86" s="152"/>
    </row>
    <row r="87" spans="1:18">
      <c r="A87" s="147" t="s">
        <v>76</v>
      </c>
      <c r="B87" s="144" t="str">
        <f>VLOOKUP(A87,Data[],2,FALSE)</f>
        <v>MANHATTAN</v>
      </c>
      <c r="C87" s="144" t="str">
        <f ca="1">IF(OR(F87="2019-2020",F87="2021-2025"),"",IF(ISNUMBER(SEARCH("LLC",D87)),VLOOKUP(A87,Yards25[],3,FALSE),VLOOKUP(A87,Yards[],3,FALSE)))</f>
        <v>New Waste Yard v1</v>
      </c>
      <c r="D87" s="9" t="str">
        <f>VLOOKUP(A87,Data[],52,FALSE)</f>
        <v>FEDERAL</v>
      </c>
      <c r="E87" s="9">
        <f>VLOOKUP(YardsAll[[#This Row],[DEVELOPMENT]],Data[],62,FALSE)</f>
        <v>7</v>
      </c>
      <c r="F87" s="9" t="str">
        <f ca="1">VLOOKUP(A87,Data[],4,FALSE)</f>
        <v/>
      </c>
      <c r="G87" s="9">
        <f ca="1">IF(OR(YardsAll[[#This Row],[RAD/PACT]]="2019-2020",YardsAll[[#This Row],[RAD/PACT]]="2021-2025"),"",IF(ISNUMBER(SEARCH("1",C87)),2,IF(ISNUMBER(SEARCH("2",C87)),1,IF(ISNUMBER(SEARCH("3",C87)),3,IF(ISNUMBER(SEARCH("4",C87)),4,IF(ISNUMBER(SEARCH("5",C87)),5,IF(ISNUMBER(SEARCH("6",C87)),6,IF(ISNUMBER(SEARCH("7",C87)),7,IF(ISNUMBER(SEARCH("8",C87)),8,0)))))))))</f>
        <v>2</v>
      </c>
      <c r="H87" s="143" t="str">
        <f ca="1">IF(YardsAll[[#This Row],[STATUS]]="","",IF(OR(F87="2019-2020",F87="2021-2025"),"",IF(ISNUMBER(SEARCH("LLC",D87)),VLOOKUP(A87,Yards25[],28,FALSE),VLOOKUP(A87,Yards[],28,FALSE))))</f>
        <v/>
      </c>
      <c r="I87" s="143" t="str">
        <f ca="1">IF(YardsAll[[#This Row],[STATUS]]="","",IF(OR(F87="2019-2020",F87="2021-2025"),"",IF(ISNUMBER(SEARCH("LLC",D87)),VLOOKUP(A87,Yards25[],17,FALSE),VLOOKUP(A87,Yards[],17,FALSE))))</f>
        <v/>
      </c>
      <c r="J87" s="143" t="str">
        <f ca="1">IF(YardsAll[[#This Row],[STATUS]]="","",IF(OR(F87="2019-2020",F87="2021-2025"),"",IF(ISNUMBER(SEARCH("LLC",D87)),VLOOKUP(A87,Yards25[],29,FALSE),VLOOKUP(A87,Yards[],29,FALSE))))</f>
        <v/>
      </c>
      <c r="K87" s="143" t="str">
        <f ca="1">IF(YardsAll[[#This Row],[STATUS]]="","",IF(OR(F87="2019-2020",F87="2021-2025"),"",IF(ISNUMBER(SEARCH("LLC",D87)),VLOOKUP(A87,Yards25[],19,FALSE),VLOOKUP(A87,Yards[],19,FALSE))))</f>
        <v/>
      </c>
      <c r="L87" s="143" t="str">
        <f ca="1">IF(IF(OR(F87="2019-2020",F87="2021-2025"),"",IF(ISNUMBER(SEARCH("LLC",D87)),VLOOKUP(A87,Yards25[],20,FALSE),VLOOKUP(A87,Yards[],20,FALSE)))=0,"",IF(OR(F87="2019-2020",F87="2021-2025"),"",IF(ISNUMBER(SEARCH("LLC",D87)),VLOOKUP(A87,Yards25[],20,FALSE),VLOOKUP(A87,Yards[],20,FALSE))))</f>
        <v/>
      </c>
      <c r="M87" s="151">
        <f ca="1">IF(OR(F87="2019-2020",F87="2021-2025"),"",IF(ISNUMBER(SEARCH("LLC",D87)),VLOOKUP(A87,Yards25[],21,FALSE),VLOOKUP(A87,Yards[],21,FALSE)))</f>
        <v>225039.4463730001</v>
      </c>
      <c r="N87" s="151">
        <f ca="1">IF(OR(F87="2019-2020",F87="2021-2025"),"",IF(ISNUMBER(SEARCH("LLC",D87)),VLOOKUP(A87,Yards25[],22,FALSE),VLOOKUP(A87,Yards[],22,FALSE)))</f>
        <v>2025355.0173570008</v>
      </c>
      <c r="O87" s="151">
        <f ca="1">SUM(YardsAll[[#This Row],[DSGN ESTIMATE]:[CONS ESTIMATE]])</f>
        <v>2250394.4637300009</v>
      </c>
      <c r="P87" s="143"/>
      <c r="Q87" s="143">
        <f ca="1">IF(OR(F87="2019-2020",F87="2021-2025"),"",IF(ISNUMBER(SEARCH("LLC",D87)),VLOOKUP(A87,Yards25[],25,FALSE),VLOOKUP(A87,Yards[],25,FALSE)))</f>
        <v>0</v>
      </c>
      <c r="R87" s="152"/>
    </row>
    <row r="88" spans="1:18">
      <c r="A88" s="147" t="s">
        <v>77</v>
      </c>
      <c r="B88" s="144" t="str">
        <f>VLOOKUP(A88,Data[],2,FALSE)</f>
        <v>MANHATTAN</v>
      </c>
      <c r="C88" s="144" t="str">
        <f ca="1">IF(OR(F88="2019-2020",F88="2021-2025"),"",IF(ISNUMBER(SEARCH("LLC",D88)),VLOOKUP(A88,Yards25[],3,FALSE),VLOOKUP(A88,Yards[],3,FALSE)))</f>
        <v>New Waste Yard v3</v>
      </c>
      <c r="D88" s="9" t="str">
        <f>VLOOKUP(A88,Data[],52,FALSE)</f>
        <v>MIXED FINANCE/LLC1</v>
      </c>
      <c r="E88" s="9">
        <f>VLOOKUP(YardsAll[[#This Row],[DEVELOPMENT]],Data[],62,FALSE)</f>
        <v>10</v>
      </c>
      <c r="F88" s="9" t="str">
        <f ca="1">VLOOKUP(A88,Data[],4,FALSE)</f>
        <v/>
      </c>
      <c r="G88" s="9">
        <f ca="1">IF(OR(YardsAll[[#This Row],[RAD/PACT]]="2019-2020",YardsAll[[#This Row],[RAD/PACT]]="2021-2025"),"",IF(ISNUMBER(SEARCH("1",C88)),2,IF(ISNUMBER(SEARCH("2",C88)),1,IF(ISNUMBER(SEARCH("3",C88)),3,IF(ISNUMBER(SEARCH("4",C88)),4,IF(ISNUMBER(SEARCH("5",C88)),5,IF(ISNUMBER(SEARCH("6",C88)),6,IF(ISNUMBER(SEARCH("7",C88)),7,IF(ISNUMBER(SEARCH("8",C88)),8,0)))))))))</f>
        <v>3</v>
      </c>
      <c r="H88" s="143" t="str">
        <f ca="1">IF(YardsAll[[#This Row],[STATUS]]="","",IF(OR(F88="2019-2020",F88="2021-2025"),"",IF(ISNUMBER(SEARCH("LLC",D88)),VLOOKUP(A88,Yards25[],28,FALSE),VLOOKUP(A88,Yards[],28,FALSE))))</f>
        <v/>
      </c>
      <c r="I88" s="143" t="str">
        <f ca="1">IF(YardsAll[[#This Row],[STATUS]]="","",IF(OR(F88="2019-2020",F88="2021-2025"),"",IF(ISNUMBER(SEARCH("LLC",D88)),VLOOKUP(A88,Yards25[],17,FALSE),VLOOKUP(A88,Yards[],17,FALSE))))</f>
        <v/>
      </c>
      <c r="J88" s="143" t="str">
        <f ca="1">IF(YardsAll[[#This Row],[STATUS]]="","",IF(OR(F88="2019-2020",F88="2021-2025"),"",IF(ISNUMBER(SEARCH("LLC",D88)),VLOOKUP(A88,Yards25[],29,FALSE),VLOOKUP(A88,Yards[],29,FALSE))))</f>
        <v/>
      </c>
      <c r="K88" s="143" t="str">
        <f ca="1">IF(YardsAll[[#This Row],[STATUS]]="","",IF(OR(F88="2019-2020",F88="2021-2025"),"",IF(ISNUMBER(SEARCH("LLC",D88)),VLOOKUP(A88,Yards25[],19,FALSE),VLOOKUP(A88,Yards[],19,FALSE))))</f>
        <v/>
      </c>
      <c r="L88" s="143" t="str">
        <f ca="1">IF(IF(OR(F88="2019-2020",F88="2021-2025"),"",IF(ISNUMBER(SEARCH("LLC",D88)),VLOOKUP(A88,Yards25[],20,FALSE),VLOOKUP(A88,Yards[],20,FALSE)))=0,"",IF(OR(F88="2019-2020",F88="2021-2025"),"",IF(ISNUMBER(SEARCH("LLC",D88)),VLOOKUP(A88,Yards25[],20,FALSE),VLOOKUP(A88,Yards[],20,FALSE))))</f>
        <v/>
      </c>
      <c r="M88" s="151">
        <f ca="1">IF(OR(F88="2019-2020",F88="2021-2025"),"",IF(ISNUMBER(SEARCH("LLC",D88)),VLOOKUP(A88,Yards25[],21,FALSE),VLOOKUP(A88,Yards[],21,FALSE)))</f>
        <v>237400.39768875009</v>
      </c>
      <c r="N88" s="151">
        <f ca="1">IF(OR(F88="2019-2020",F88="2021-2025"),"",IF(ISNUMBER(SEARCH("LLC",D88)),VLOOKUP(A88,Yards25[],22,FALSE),VLOOKUP(A88,Yards[],22,FALSE)))</f>
        <v>2136603.5791987507</v>
      </c>
      <c r="O88" s="151">
        <f ca="1">SUM(YardsAll[[#This Row],[DSGN ESTIMATE]:[CONS ESTIMATE]])</f>
        <v>2374003.9768875008</v>
      </c>
      <c r="P88" s="143"/>
      <c r="Q88" s="143">
        <f ca="1">IF(OR(F88="2019-2020",F88="2021-2025"),"",IF(ISNUMBER(SEARCH("LLC",D88)),VLOOKUP(A88,Yards25[],25,FALSE),VLOOKUP(A88,Yards[],25,FALSE)))</f>
        <v>0</v>
      </c>
      <c r="R88" s="152"/>
    </row>
    <row r="89" spans="1:18">
      <c r="A89" s="147" t="s">
        <v>279</v>
      </c>
      <c r="B89" s="144" t="str">
        <f>VLOOKUP(A89,Data[],2,FALSE)</f>
        <v>MANHATTAN</v>
      </c>
      <c r="C89" s="144" t="str">
        <f ca="1">IF(OR(F89="2019-2020",F89="2021-2025"),"",IF(ISNUMBER(SEARCH("LLC",D89)),VLOOKUP(A89,Yards25[],3,FALSE),VLOOKUP(A89,Yards[],3,FALSE)))</f>
        <v>New Waste Yard v2</v>
      </c>
      <c r="D89" s="9" t="str">
        <f>VLOOKUP(A89,Data[],52,FALSE)</f>
        <v>FEDERAL</v>
      </c>
      <c r="E89" s="9">
        <f>VLOOKUP(YardsAll[[#This Row],[DEVELOPMENT]],Data[],62,FALSE)</f>
        <v>12</v>
      </c>
      <c r="F89" s="9" t="str">
        <f ca="1">VLOOKUP(A89,Data[],4,FALSE)</f>
        <v/>
      </c>
      <c r="G89" s="9">
        <f ca="1">IF(OR(YardsAll[[#This Row],[RAD/PACT]]="2019-2020",YardsAll[[#This Row],[RAD/PACT]]="2021-2025"),"",IF(ISNUMBER(SEARCH("1",C89)),2,IF(ISNUMBER(SEARCH("2",C89)),1,IF(ISNUMBER(SEARCH("3",C89)),3,IF(ISNUMBER(SEARCH("4",C89)),4,IF(ISNUMBER(SEARCH("5",C89)),5,IF(ISNUMBER(SEARCH("6",C89)),6,IF(ISNUMBER(SEARCH("7",C89)),7,IF(ISNUMBER(SEARCH("8",C89)),8,0)))))))))</f>
        <v>1</v>
      </c>
      <c r="H89" s="143" t="str">
        <f ca="1">IF(YardsAll[[#This Row],[STATUS]]="","",IF(OR(F89="2019-2020",F89="2021-2025"),"",IF(ISNUMBER(SEARCH("LLC",D89)),VLOOKUP(A89,Yards25[],28,FALSE),VLOOKUP(A89,Yards[],28,FALSE))))</f>
        <v/>
      </c>
      <c r="I89" s="143" t="str">
        <f ca="1">IF(YardsAll[[#This Row],[STATUS]]="","",IF(OR(F89="2019-2020",F89="2021-2025"),"",IF(ISNUMBER(SEARCH("LLC",D89)),VLOOKUP(A89,Yards25[],17,FALSE),VLOOKUP(A89,Yards[],17,FALSE))))</f>
        <v/>
      </c>
      <c r="J89" s="143" t="str">
        <f ca="1">IF(YardsAll[[#This Row],[STATUS]]="","",IF(OR(F89="2019-2020",F89="2021-2025"),"",IF(ISNUMBER(SEARCH("LLC",D89)),VLOOKUP(A89,Yards25[],29,FALSE),VLOOKUP(A89,Yards[],29,FALSE))))</f>
        <v/>
      </c>
      <c r="K89" s="143" t="str">
        <f ca="1">IF(YardsAll[[#This Row],[STATUS]]="","",IF(OR(F89="2019-2020",F89="2021-2025"),"",IF(ISNUMBER(SEARCH("LLC",D89)),VLOOKUP(A89,Yards25[],19,FALSE),VLOOKUP(A89,Yards[],19,FALSE))))</f>
        <v/>
      </c>
      <c r="L89" s="143" t="str">
        <f ca="1">IF(IF(OR(F89="2019-2020",F89="2021-2025"),"",IF(ISNUMBER(SEARCH("LLC",D89)),VLOOKUP(A89,Yards25[],20,FALSE),VLOOKUP(A89,Yards[],20,FALSE)))=0,"",IF(OR(F89="2019-2020",F89="2021-2025"),"",IF(ISNUMBER(SEARCH("LLC",D89)),VLOOKUP(A89,Yards25[],20,FALSE),VLOOKUP(A89,Yards[],20,FALSE))))</f>
        <v/>
      </c>
      <c r="M89" s="151">
        <f ca="1">IF(OR(F89="2019-2020",F89="2021-2025"),"",IF(ISNUMBER(SEARCH("LLC",D89)),VLOOKUP(A89,Yards25[],21,FALSE),VLOOKUP(A89,Yards[],21,FALSE)))</f>
        <v>160066.00257475005</v>
      </c>
      <c r="N89" s="151">
        <f ca="1">IF(OR(F89="2019-2020",F89="2021-2025"),"",IF(ISNUMBER(SEARCH("LLC",D89)),VLOOKUP(A89,Yards25[],22,FALSE),VLOOKUP(A89,Yards[],22,FALSE)))</f>
        <v>1440594.0231727504</v>
      </c>
      <c r="O89" s="151">
        <f ca="1">SUM(YardsAll[[#This Row],[DSGN ESTIMATE]:[CONS ESTIMATE]])</f>
        <v>1600660.0257475004</v>
      </c>
      <c r="P89" s="143"/>
      <c r="Q89" s="143">
        <f ca="1">IF(OR(F89="2019-2020",F89="2021-2025"),"",IF(ISNUMBER(SEARCH("LLC",D89)),VLOOKUP(A89,Yards25[],25,FALSE),VLOOKUP(A89,Yards[],25,FALSE)))</f>
        <v>0</v>
      </c>
      <c r="R89" s="152"/>
    </row>
    <row r="90" spans="1:18">
      <c r="A90" s="147" t="s">
        <v>264</v>
      </c>
      <c r="B90" s="144" t="str">
        <f>VLOOKUP(A90,Data[],2,FALSE)</f>
        <v>BRONX</v>
      </c>
      <c r="C90" s="144" t="str">
        <f ca="1">IF(OR(F90="2019-2020",F90="2021-2025"),"",IF(ISNUMBER(SEARCH("LLC",D90)),VLOOKUP(A90,Yards25[],3,FALSE),VLOOKUP(A90,Yards[],3,FALSE)))</f>
        <v>New Waste Yard v1</v>
      </c>
      <c r="D90" s="9" t="str">
        <f>VLOOKUP(A90,Data[],52,FALSE)</f>
        <v>FEDERAL</v>
      </c>
      <c r="E90" s="9">
        <f>VLOOKUP(YardsAll[[#This Row],[DEVELOPMENT]],Data[],62,FALSE)</f>
        <v>3</v>
      </c>
      <c r="F90" s="9" t="str">
        <f ca="1">VLOOKUP(A90,Data[],4,FALSE)</f>
        <v>2026+</v>
      </c>
      <c r="G90" s="9">
        <f ca="1">IF(OR(YardsAll[[#This Row],[RAD/PACT]]="2019-2020",YardsAll[[#This Row],[RAD/PACT]]="2021-2025"),"",IF(ISNUMBER(SEARCH("1",C90)),2,IF(ISNUMBER(SEARCH("2",C90)),1,IF(ISNUMBER(SEARCH("3",C90)),3,IF(ISNUMBER(SEARCH("4",C90)),4,IF(ISNUMBER(SEARCH("5",C90)),5,IF(ISNUMBER(SEARCH("6",C90)),6,IF(ISNUMBER(SEARCH("7",C90)),7,IF(ISNUMBER(SEARCH("8",C90)),8,0)))))))))</f>
        <v>2</v>
      </c>
      <c r="H90" s="143" t="str">
        <f ca="1">IF(YardsAll[[#This Row],[STATUS]]="","",IF(OR(F90="2019-2020",F90="2021-2025"),"",IF(ISNUMBER(SEARCH("LLC",D90)),VLOOKUP(A90,Yards25[],28,FALSE),VLOOKUP(A90,Yards[],28,FALSE))))</f>
        <v/>
      </c>
      <c r="I90" s="143" t="str">
        <f ca="1">IF(YardsAll[[#This Row],[STATUS]]="","",IF(OR(F90="2019-2020",F90="2021-2025"),"",IF(ISNUMBER(SEARCH("LLC",D90)),VLOOKUP(A90,Yards25[],17,FALSE),VLOOKUP(A90,Yards[],17,FALSE))))</f>
        <v/>
      </c>
      <c r="J90" s="143" t="str">
        <f ca="1">IF(YardsAll[[#This Row],[STATUS]]="","",IF(OR(F90="2019-2020",F90="2021-2025"),"",IF(ISNUMBER(SEARCH("LLC",D90)),VLOOKUP(A90,Yards25[],29,FALSE),VLOOKUP(A90,Yards[],29,FALSE))))</f>
        <v/>
      </c>
      <c r="K90" s="143" t="str">
        <f ca="1">IF(YardsAll[[#This Row],[STATUS]]="","",IF(OR(F90="2019-2020",F90="2021-2025"),"",IF(ISNUMBER(SEARCH("LLC",D90)),VLOOKUP(A90,Yards25[],19,FALSE),VLOOKUP(A90,Yards[],19,FALSE))))</f>
        <v/>
      </c>
      <c r="L90" s="143" t="str">
        <f ca="1">IF(IF(OR(F90="2019-2020",F90="2021-2025"),"",IF(ISNUMBER(SEARCH("LLC",D90)),VLOOKUP(A90,Yards25[],20,FALSE),VLOOKUP(A90,Yards[],20,FALSE)))=0,"",IF(OR(F90="2019-2020",F90="2021-2025"),"",IF(ISNUMBER(SEARCH("LLC",D90)),VLOOKUP(A90,Yards25[],20,FALSE),VLOOKUP(A90,Yards[],20,FALSE))))</f>
        <v/>
      </c>
      <c r="M90" s="151">
        <f ca="1">IF(OR(F90="2019-2020",F90="2021-2025"),"",IF(ISNUMBER(SEARCH("LLC",D90)),VLOOKUP(A90,Yards25[],21,FALSE),VLOOKUP(A90,Yards[],21,FALSE)))</f>
        <v>206060.21595600009</v>
      </c>
      <c r="N90" s="151">
        <f ca="1">IF(OR(F90="2019-2020",F90="2021-2025"),"",IF(ISNUMBER(SEARCH("LLC",D90)),VLOOKUP(A90,Yards25[],22,FALSE),VLOOKUP(A90,Yards[],22,FALSE)))</f>
        <v>1854541.9436040006</v>
      </c>
      <c r="O90" s="151">
        <f ca="1">SUM(YardsAll[[#This Row],[DSGN ESTIMATE]:[CONS ESTIMATE]])</f>
        <v>2060602.1595600008</v>
      </c>
      <c r="P90" s="143"/>
      <c r="Q90" s="143">
        <f ca="1">IF(OR(F90="2019-2020",F90="2021-2025"),"",IF(ISNUMBER(SEARCH("LLC",D90)),VLOOKUP(A90,Yards25[],25,FALSE),VLOOKUP(A90,Yards[],25,FALSE)))</f>
        <v>0</v>
      </c>
      <c r="R90" s="152"/>
    </row>
    <row r="91" spans="1:18">
      <c r="A91" s="147" t="s">
        <v>275</v>
      </c>
      <c r="B91" s="144" t="str">
        <f>VLOOKUP(A91,Data[],2,FALSE)</f>
        <v>BRONX</v>
      </c>
      <c r="C91" s="144" t="str">
        <f ca="1">IF(OR(F91="2019-2020",F91="2021-2025"),"",IF(ISNUMBER(SEARCH("LLC",D91)),VLOOKUP(A91,Yards25[],3,FALSE),VLOOKUP(A91,Yards[],3,FALSE)))</f>
        <v>New Waste Yard v1</v>
      </c>
      <c r="D91" s="9" t="str">
        <f>VLOOKUP(A91,Data[],52,FALSE)</f>
        <v>FEDERAL</v>
      </c>
      <c r="E91" s="9">
        <f>VLOOKUP(YardsAll[[#This Row],[DEVELOPMENT]],Data[],62,FALSE)</f>
        <v>1</v>
      </c>
      <c r="F91" s="9" t="str">
        <f ca="1">VLOOKUP(A91,Data[],4,FALSE)</f>
        <v>2022-2025</v>
      </c>
      <c r="G91" s="9">
        <f ca="1">IF(OR(YardsAll[[#This Row],[RAD/PACT]]="2019-2020",YardsAll[[#This Row],[RAD/PACT]]="2021-2025"),"",IF(ISNUMBER(SEARCH("1",C91)),2,IF(ISNUMBER(SEARCH("2",C91)),1,IF(ISNUMBER(SEARCH("3",C91)),3,IF(ISNUMBER(SEARCH("4",C91)),4,IF(ISNUMBER(SEARCH("5",C91)),5,IF(ISNUMBER(SEARCH("6",C91)),6,IF(ISNUMBER(SEARCH("7",C91)),7,IF(ISNUMBER(SEARCH("8",C91)),8,0)))))))))</f>
        <v>2</v>
      </c>
      <c r="H91" s="143" t="str">
        <f ca="1">IF(YardsAll[[#This Row],[STATUS]]="","",IF(OR(F91="2019-2020",F91="2021-2025"),"",IF(ISNUMBER(SEARCH("LLC",D91)),VLOOKUP(A91,Yards25[],28,FALSE),VLOOKUP(A91,Yards[],28,FALSE))))</f>
        <v/>
      </c>
      <c r="I91" s="143" t="str">
        <f ca="1">IF(YardsAll[[#This Row],[STATUS]]="","",IF(OR(F91="2019-2020",F91="2021-2025"),"",IF(ISNUMBER(SEARCH("LLC",D91)),VLOOKUP(A91,Yards25[],17,FALSE),VLOOKUP(A91,Yards[],17,FALSE))))</f>
        <v/>
      </c>
      <c r="J91" s="143" t="str">
        <f ca="1">IF(YardsAll[[#This Row],[STATUS]]="","",IF(OR(F91="2019-2020",F91="2021-2025"),"",IF(ISNUMBER(SEARCH("LLC",D91)),VLOOKUP(A91,Yards25[],29,FALSE),VLOOKUP(A91,Yards[],29,FALSE))))</f>
        <v/>
      </c>
      <c r="K91" s="143" t="str">
        <f ca="1">IF(YardsAll[[#This Row],[STATUS]]="","",IF(OR(F91="2019-2020",F91="2021-2025"),"",IF(ISNUMBER(SEARCH("LLC",D91)),VLOOKUP(A91,Yards25[],19,FALSE),VLOOKUP(A91,Yards[],19,FALSE))))</f>
        <v/>
      </c>
      <c r="L91" s="143" t="str">
        <f ca="1">IF(IF(OR(F91="2019-2020",F91="2021-2025"),"",IF(ISNUMBER(SEARCH("LLC",D91)),VLOOKUP(A91,Yards25[],20,FALSE),VLOOKUP(A91,Yards[],20,FALSE)))=0,"",IF(OR(F91="2019-2020",F91="2021-2025"),"",IF(ISNUMBER(SEARCH("LLC",D91)),VLOOKUP(A91,Yards25[],20,FALSE),VLOOKUP(A91,Yards[],20,FALSE))))</f>
        <v/>
      </c>
      <c r="M91" s="151">
        <f ca="1">IF(OR(F91="2019-2020",F91="2021-2025"),"",IF(ISNUMBER(SEARCH("LLC",D91)),VLOOKUP(A91,Yards25[],21,FALSE),VLOOKUP(A91,Yards[],21,FALSE)))</f>
        <v>0</v>
      </c>
      <c r="N91" s="151">
        <f ca="1">IF(OR(F91="2019-2020",F91="2021-2025"),"",IF(ISNUMBER(SEARCH("LLC",D91)),VLOOKUP(A91,Yards25[],22,FALSE),VLOOKUP(A91,Yards[],22,FALSE)))</f>
        <v>0</v>
      </c>
      <c r="O91" s="151">
        <f ca="1">SUM(YardsAll[[#This Row],[DSGN ESTIMATE]:[CONS ESTIMATE]])</f>
        <v>0</v>
      </c>
      <c r="P91" s="143"/>
      <c r="Q91" s="143">
        <f ca="1">IF(OR(F91="2019-2020",F91="2021-2025"),"",IF(ISNUMBER(SEARCH("LLC",D91)),VLOOKUP(A91,Yards25[],25,FALSE),VLOOKUP(A91,Yards[],25,FALSE)))</f>
        <v>0</v>
      </c>
      <c r="R91" s="152"/>
    </row>
    <row r="92" spans="1:18">
      <c r="A92" s="147" t="s">
        <v>280</v>
      </c>
      <c r="B92" s="144" t="str">
        <f>VLOOKUP(A92,Data[],2,FALSE)</f>
        <v>BRONX</v>
      </c>
      <c r="C92" s="144" t="str">
        <f ca="1">IF(OR(F92="2019-2020",F92="2021-2025"),"",IF(ISNUMBER(SEARCH("LLC",D92)),VLOOKUP(A92,Yards25[],3,FALSE),VLOOKUP(A92,Yards[],3,FALSE)))</f>
        <v>New Waste Yard v1</v>
      </c>
      <c r="D92" s="9" t="str">
        <f>VLOOKUP(A92,Data[],52,FALSE)</f>
        <v>FEDERAL</v>
      </c>
      <c r="E92" s="9">
        <f>VLOOKUP(YardsAll[[#This Row],[DEVELOPMENT]],Data[],62,FALSE)</f>
        <v>2</v>
      </c>
      <c r="F92" s="9" t="str">
        <f ca="1">VLOOKUP(A92,Data[],4,FALSE)</f>
        <v/>
      </c>
      <c r="G92" s="9">
        <f ca="1">IF(OR(YardsAll[[#This Row],[RAD/PACT]]="2019-2020",YardsAll[[#This Row],[RAD/PACT]]="2021-2025"),"",IF(ISNUMBER(SEARCH("1",C92)),2,IF(ISNUMBER(SEARCH("2",C92)),1,IF(ISNUMBER(SEARCH("3",C92)),3,IF(ISNUMBER(SEARCH("4",C92)),4,IF(ISNUMBER(SEARCH("5",C92)),5,IF(ISNUMBER(SEARCH("6",C92)),6,IF(ISNUMBER(SEARCH("7",C92)),7,IF(ISNUMBER(SEARCH("8",C92)),8,0)))))))))</f>
        <v>2</v>
      </c>
      <c r="H92" s="143" t="str">
        <f ca="1">IF(YardsAll[[#This Row],[STATUS]]="","",IF(OR(F92="2019-2020",F92="2021-2025"),"",IF(ISNUMBER(SEARCH("LLC",D92)),VLOOKUP(A92,Yards25[],28,FALSE),VLOOKUP(A92,Yards[],28,FALSE))))</f>
        <v/>
      </c>
      <c r="I92" s="143" t="str">
        <f ca="1">IF(YardsAll[[#This Row],[STATUS]]="","",IF(OR(F92="2019-2020",F92="2021-2025"),"",IF(ISNUMBER(SEARCH("LLC",D92)),VLOOKUP(A92,Yards25[],17,FALSE),VLOOKUP(A92,Yards[],17,FALSE))))</f>
        <v/>
      </c>
      <c r="J92" s="143" t="str">
        <f ca="1">IF(YardsAll[[#This Row],[STATUS]]="","",IF(OR(F92="2019-2020",F92="2021-2025"),"",IF(ISNUMBER(SEARCH("LLC",D92)),VLOOKUP(A92,Yards25[],29,FALSE),VLOOKUP(A92,Yards[],29,FALSE))))</f>
        <v/>
      </c>
      <c r="K92" s="143" t="str">
        <f ca="1">IF(YardsAll[[#This Row],[STATUS]]="","",IF(OR(F92="2019-2020",F92="2021-2025"),"",IF(ISNUMBER(SEARCH("LLC",D92)),VLOOKUP(A92,Yards25[],19,FALSE),VLOOKUP(A92,Yards[],19,FALSE))))</f>
        <v/>
      </c>
      <c r="L92" s="143" t="str">
        <f ca="1">IF(IF(OR(F92="2019-2020",F92="2021-2025"),"",IF(ISNUMBER(SEARCH("LLC",D92)),VLOOKUP(A92,Yards25[],20,FALSE),VLOOKUP(A92,Yards[],20,FALSE)))=0,"",IF(OR(F92="2019-2020",F92="2021-2025"),"",IF(ISNUMBER(SEARCH("LLC",D92)),VLOOKUP(A92,Yards25[],20,FALSE),VLOOKUP(A92,Yards[],20,FALSE))))</f>
        <v/>
      </c>
      <c r="M92" s="151">
        <f ca="1">IF(OR(F92="2019-2020",F92="2021-2025"),"",IF(ISNUMBER(SEARCH("LLC",D92)),VLOOKUP(A92,Yards25[],21,FALSE),VLOOKUP(A92,Yards[],21,FALSE)))</f>
        <v>206060.21595600009</v>
      </c>
      <c r="N92" s="151">
        <f ca="1">IF(OR(F92="2019-2020",F92="2021-2025"),"",IF(ISNUMBER(SEARCH("LLC",D92)),VLOOKUP(A92,Yards25[],22,FALSE),VLOOKUP(A92,Yards[],22,FALSE)))</f>
        <v>1854541.9436040006</v>
      </c>
      <c r="O92" s="151">
        <f ca="1">SUM(YardsAll[[#This Row],[DSGN ESTIMATE]:[CONS ESTIMATE]])</f>
        <v>2060602.1595600008</v>
      </c>
      <c r="P92" s="143"/>
      <c r="Q92" s="143">
        <f ca="1">IF(OR(F92="2019-2020",F92="2021-2025"),"",IF(ISNUMBER(SEARCH("LLC",D92)),VLOOKUP(A92,Yards25[],25,FALSE),VLOOKUP(A92,Yards[],25,FALSE)))</f>
        <v>0</v>
      </c>
      <c r="R92" s="152"/>
    </row>
    <row r="93" spans="1:18">
      <c r="A93" s="147" t="s">
        <v>284</v>
      </c>
      <c r="B93" s="144" t="str">
        <f>VLOOKUP(A93,Data[],2,FALSE)</f>
        <v>BRONX</v>
      </c>
      <c r="C93" s="144" t="str">
        <f ca="1">IF(OR(F93="2019-2020",F93="2021-2025"),"",IF(ISNUMBER(SEARCH("LLC",D93)),VLOOKUP(A93,Yards25[],3,FALSE),VLOOKUP(A93,Yards[],3,FALSE)))</f>
        <v>New Waste Yard v1</v>
      </c>
      <c r="D93" s="9" t="str">
        <f>VLOOKUP(A93,Data[],52,FALSE)</f>
        <v>FEDERAL</v>
      </c>
      <c r="E93" s="9">
        <f>VLOOKUP(YardsAll[[#This Row],[DEVELOPMENT]],Data[],62,FALSE)</f>
        <v>3</v>
      </c>
      <c r="F93" s="9" t="str">
        <f ca="1">VLOOKUP(A93,Data[],4,FALSE)</f>
        <v/>
      </c>
      <c r="G93" s="9">
        <f ca="1">IF(OR(YardsAll[[#This Row],[RAD/PACT]]="2019-2020",YardsAll[[#This Row],[RAD/PACT]]="2021-2025"),"",IF(ISNUMBER(SEARCH("1",C93)),2,IF(ISNUMBER(SEARCH("2",C93)),1,IF(ISNUMBER(SEARCH("3",C93)),3,IF(ISNUMBER(SEARCH("4",C93)),4,IF(ISNUMBER(SEARCH("5",C93)),5,IF(ISNUMBER(SEARCH("6",C93)),6,IF(ISNUMBER(SEARCH("7",C93)),7,IF(ISNUMBER(SEARCH("8",C93)),8,0)))))))))</f>
        <v>2</v>
      </c>
      <c r="H93" s="143" t="str">
        <f ca="1">IF(YardsAll[[#This Row],[STATUS]]="","",IF(OR(F93="2019-2020",F93="2021-2025"),"",IF(ISNUMBER(SEARCH("LLC",D93)),VLOOKUP(A93,Yards25[],28,FALSE),VLOOKUP(A93,Yards[],28,FALSE))))</f>
        <v/>
      </c>
      <c r="I93" s="143" t="str">
        <f ca="1">IF(YardsAll[[#This Row],[STATUS]]="","",IF(OR(F93="2019-2020",F93="2021-2025"),"",IF(ISNUMBER(SEARCH("LLC",D93)),VLOOKUP(A93,Yards25[],17,FALSE),VLOOKUP(A93,Yards[],17,FALSE))))</f>
        <v/>
      </c>
      <c r="J93" s="143" t="str">
        <f ca="1">IF(YardsAll[[#This Row],[STATUS]]="","",IF(OR(F93="2019-2020",F93="2021-2025"),"",IF(ISNUMBER(SEARCH("LLC",D93)),VLOOKUP(A93,Yards25[],29,FALSE),VLOOKUP(A93,Yards[],29,FALSE))))</f>
        <v/>
      </c>
      <c r="K93" s="143" t="str">
        <f ca="1">IF(YardsAll[[#This Row],[STATUS]]="","",IF(OR(F93="2019-2020",F93="2021-2025"),"",IF(ISNUMBER(SEARCH("LLC",D93)),VLOOKUP(A93,Yards25[],19,FALSE),VLOOKUP(A93,Yards[],19,FALSE))))</f>
        <v/>
      </c>
      <c r="L93" s="143" t="str">
        <f ca="1">IF(IF(OR(F93="2019-2020",F93="2021-2025"),"",IF(ISNUMBER(SEARCH("LLC",D93)),VLOOKUP(A93,Yards25[],20,FALSE),VLOOKUP(A93,Yards[],20,FALSE)))=0,"",IF(OR(F93="2019-2020",F93="2021-2025"),"",IF(ISNUMBER(SEARCH("LLC",D93)),VLOOKUP(A93,Yards25[],20,FALSE),VLOOKUP(A93,Yards[],20,FALSE))))</f>
        <v/>
      </c>
      <c r="M93" s="151">
        <f ca="1">IF(OR(F93="2019-2020",F93="2021-2025"),"",IF(ISNUMBER(SEARCH("LLC",D93)),VLOOKUP(A93,Yards25[],21,FALSE),VLOOKUP(A93,Yards[],21,FALSE)))</f>
        <v>0</v>
      </c>
      <c r="N93" s="151">
        <f ca="1">IF(OR(F93="2019-2020",F93="2021-2025"),"",IF(ISNUMBER(SEARCH("LLC",D93)),VLOOKUP(A93,Yards25[],22,FALSE),VLOOKUP(A93,Yards[],22,FALSE)))</f>
        <v>0</v>
      </c>
      <c r="O93" s="151">
        <f ca="1">SUM(YardsAll[[#This Row],[DSGN ESTIMATE]:[CONS ESTIMATE]])</f>
        <v>0</v>
      </c>
      <c r="P93" s="143"/>
      <c r="Q93" s="143">
        <f ca="1">IF(OR(F93="2019-2020",F93="2021-2025"),"",IF(ISNUMBER(SEARCH("LLC",D93)),VLOOKUP(A93,Yards25[],25,FALSE),VLOOKUP(A93,Yards[],25,FALSE)))</f>
        <v>0</v>
      </c>
      <c r="R93" s="152"/>
    </row>
    <row r="94" spans="1:18">
      <c r="A94" s="148" t="s">
        <v>121</v>
      </c>
      <c r="B94" s="144" t="str">
        <f>VLOOKUP(A94,Data[],2,FALSE)</f>
        <v>BRONX</v>
      </c>
      <c r="C94" s="144" t="str">
        <f ca="1">IF(OR(F94="2019-2020",F94="2021-2025"),"",IF(ISNUMBER(SEARCH("LLC",D94)),VLOOKUP(A94,Yards25[],3,FALSE),VLOOKUP(A94,Yards[],3,FALSE)))</f>
        <v>New Waste Yard v1</v>
      </c>
      <c r="D94" s="9" t="str">
        <f>VLOOKUP(A94,Data[],52,FALSE)</f>
        <v>FEDERAL</v>
      </c>
      <c r="E94" s="9">
        <f>VLOOKUP(YardsAll[[#This Row],[DEVELOPMENT]],Data[],62,FALSE)</f>
        <v>6</v>
      </c>
      <c r="F94" s="9" t="str">
        <f ca="1">VLOOKUP(A94,Data[],4,FALSE)</f>
        <v/>
      </c>
      <c r="G94" s="9">
        <f ca="1">IF(OR(YardsAll[[#This Row],[RAD/PACT]]="2019-2020",YardsAll[[#This Row],[RAD/PACT]]="2021-2025"),"",IF(ISNUMBER(SEARCH("1",C94)),2,IF(ISNUMBER(SEARCH("2",C94)),1,IF(ISNUMBER(SEARCH("3",C94)),3,IF(ISNUMBER(SEARCH("4",C94)),4,IF(ISNUMBER(SEARCH("5",C94)),5,IF(ISNUMBER(SEARCH("6",C94)),6,IF(ISNUMBER(SEARCH("7",C94)),7,IF(ISNUMBER(SEARCH("8",C94)),8,0)))))))))</f>
        <v>2</v>
      </c>
      <c r="H94" s="143" t="str">
        <f ca="1">IF(YardsAll[[#This Row],[STATUS]]="","",IF(OR(F94="2019-2020",F94="2021-2025"),"",IF(ISNUMBER(SEARCH("LLC",D94)),VLOOKUP(A94,Yards25[],28,FALSE),VLOOKUP(A94,Yards[],28,FALSE))))</f>
        <v/>
      </c>
      <c r="I94" s="143" t="str">
        <f ca="1">IF(YardsAll[[#This Row],[STATUS]]="","",IF(OR(F94="2019-2020",F94="2021-2025"),"",IF(ISNUMBER(SEARCH("LLC",D94)),VLOOKUP(A94,Yards25[],17,FALSE),VLOOKUP(A94,Yards[],17,FALSE))))</f>
        <v/>
      </c>
      <c r="J94" s="143" t="str">
        <f ca="1">IF(YardsAll[[#This Row],[STATUS]]="","",IF(OR(F94="2019-2020",F94="2021-2025"),"",IF(ISNUMBER(SEARCH("LLC",D94)),VLOOKUP(A94,Yards25[],29,FALSE),VLOOKUP(A94,Yards[],29,FALSE))))</f>
        <v/>
      </c>
      <c r="K94" s="143" t="str">
        <f ca="1">IF(YardsAll[[#This Row],[STATUS]]="","",IF(OR(F94="2019-2020",F94="2021-2025"),"",IF(ISNUMBER(SEARCH("LLC",D94)),VLOOKUP(A94,Yards25[],19,FALSE),VLOOKUP(A94,Yards[],19,FALSE))))</f>
        <v/>
      </c>
      <c r="L94" s="143" t="str">
        <f ca="1">IF(IF(OR(F94="2019-2020",F94="2021-2025"),"",IF(ISNUMBER(SEARCH("LLC",D94)),VLOOKUP(A94,Yards25[],20,FALSE),VLOOKUP(A94,Yards[],20,FALSE)))=0,"",IF(OR(F94="2019-2020",F94="2021-2025"),"",IF(ISNUMBER(SEARCH("LLC",D94)),VLOOKUP(A94,Yards25[],20,FALSE),VLOOKUP(A94,Yards[],20,FALSE))))</f>
        <v/>
      </c>
      <c r="M94" s="151">
        <f ca="1">IF(OR(F94="2019-2020",F94="2021-2025"),"",IF(ISNUMBER(SEARCH("LLC",D94)),VLOOKUP(A94,Yards25[],21,FALSE),VLOOKUP(A94,Yards[],21,FALSE)))</f>
        <v>187080.98553900004</v>
      </c>
      <c r="N94" s="151">
        <f ca="1">IF(OR(F94="2019-2020",F94="2021-2025"),"",IF(ISNUMBER(SEARCH("LLC",D94)),VLOOKUP(A94,Yards25[],22,FALSE),VLOOKUP(A94,Yards[],22,FALSE)))</f>
        <v>1683728.8698510004</v>
      </c>
      <c r="O94" s="151">
        <f ca="1">SUM(YardsAll[[#This Row],[DSGN ESTIMATE]:[CONS ESTIMATE]])</f>
        <v>1870809.8553900004</v>
      </c>
      <c r="P94" s="143"/>
      <c r="Q94" s="143">
        <f ca="1">IF(OR(F94="2019-2020",F94="2021-2025"),"",IF(ISNUMBER(SEARCH("LLC",D94)),VLOOKUP(A94,Yards25[],25,FALSE),VLOOKUP(A94,Yards[],25,FALSE)))</f>
        <v>0</v>
      </c>
      <c r="R94" s="152"/>
    </row>
    <row r="95" spans="1:18">
      <c r="A95" s="147" t="s">
        <v>316</v>
      </c>
      <c r="B95" s="144" t="str">
        <f>VLOOKUP(A95,Data[],2,FALSE)</f>
        <v>BROOKLYN</v>
      </c>
      <c r="C95" s="144" t="str">
        <f ca="1">IF(OR(F95="2019-2020",F95="2021-2025"),"",IF(ISNUMBER(SEARCH("LLC",D95)),VLOOKUP(A95,Yards25[],3,FALSE),VLOOKUP(A95,Yards[],3,FALSE)))</f>
        <v>New Waste Yard v1</v>
      </c>
      <c r="D95" s="9" t="str">
        <f>VLOOKUP(A95,Data[],52,FALSE)</f>
        <v>FEDERAL</v>
      </c>
      <c r="E95" s="9">
        <f>VLOOKUP(YardsAll[[#This Row],[DEVELOPMENT]],Data[],62,FALSE)</f>
        <v>5</v>
      </c>
      <c r="F95" s="9" t="str">
        <f ca="1">VLOOKUP(A95,Data[],4,FALSE)</f>
        <v>2022-2025</v>
      </c>
      <c r="G95" s="9">
        <f ca="1">IF(OR(YardsAll[[#This Row],[RAD/PACT]]="2019-2020",YardsAll[[#This Row],[RAD/PACT]]="2021-2025"),"",IF(ISNUMBER(SEARCH("1",C95)),2,IF(ISNUMBER(SEARCH("2",C95)),1,IF(ISNUMBER(SEARCH("3",C95)),3,IF(ISNUMBER(SEARCH("4",C95)),4,IF(ISNUMBER(SEARCH("5",C95)),5,IF(ISNUMBER(SEARCH("6",C95)),6,IF(ISNUMBER(SEARCH("7",C95)),7,IF(ISNUMBER(SEARCH("8",C95)),8,0)))))))))</f>
        <v>2</v>
      </c>
      <c r="H95" s="143" t="str">
        <f ca="1">IF(YardsAll[[#This Row],[STATUS]]="","",IF(OR(F95="2019-2020",F95="2021-2025"),"",IF(ISNUMBER(SEARCH("LLC",D95)),VLOOKUP(A95,Yards25[],28,FALSE),VLOOKUP(A95,Yards[],28,FALSE))))</f>
        <v/>
      </c>
      <c r="I95" s="143" t="str">
        <f ca="1">IF(YardsAll[[#This Row],[STATUS]]="","",IF(OR(F95="2019-2020",F95="2021-2025"),"",IF(ISNUMBER(SEARCH("LLC",D95)),VLOOKUP(A95,Yards25[],17,FALSE),VLOOKUP(A95,Yards[],17,FALSE))))</f>
        <v/>
      </c>
      <c r="J95" s="143" t="str">
        <f ca="1">IF(YardsAll[[#This Row],[STATUS]]="","",IF(OR(F95="2019-2020",F95="2021-2025"),"",IF(ISNUMBER(SEARCH("LLC",D95)),VLOOKUP(A95,Yards25[],29,FALSE),VLOOKUP(A95,Yards[],29,FALSE))))</f>
        <v/>
      </c>
      <c r="K95" s="143" t="str">
        <f ca="1">IF(YardsAll[[#This Row],[STATUS]]="","",IF(OR(F95="2019-2020",F95="2021-2025"),"",IF(ISNUMBER(SEARCH("LLC",D95)),VLOOKUP(A95,Yards25[],19,FALSE),VLOOKUP(A95,Yards[],19,FALSE))))</f>
        <v/>
      </c>
      <c r="L95" s="143" t="str">
        <f ca="1">IF(IF(OR(F95="2019-2020",F95="2021-2025"),"",IF(ISNUMBER(SEARCH("LLC",D95)),VLOOKUP(A95,Yards25[],20,FALSE),VLOOKUP(A95,Yards[],20,FALSE)))=0,"",IF(OR(F95="2019-2020",F95="2021-2025"),"",IF(ISNUMBER(SEARCH("LLC",D95)),VLOOKUP(A95,Yards25[],20,FALSE),VLOOKUP(A95,Yards[],20,FALSE))))</f>
        <v/>
      </c>
      <c r="M95" s="151">
        <f ca="1">IF(OR(F95="2019-2020",F95="2021-2025"),"",IF(ISNUMBER(SEARCH("LLC",D95)),VLOOKUP(A95,Yards25[],21,FALSE),VLOOKUP(A95,Yards[],21,FALSE)))</f>
        <v>0</v>
      </c>
      <c r="N95" s="151">
        <f ca="1">IF(OR(F95="2019-2020",F95="2021-2025"),"",IF(ISNUMBER(SEARCH("LLC",D95)),VLOOKUP(A95,Yards25[],22,FALSE),VLOOKUP(A95,Yards[],22,FALSE)))</f>
        <v>0</v>
      </c>
      <c r="O95" s="151">
        <f ca="1">SUM(YardsAll[[#This Row],[DSGN ESTIMATE]:[CONS ESTIMATE]])</f>
        <v>0</v>
      </c>
      <c r="P95" s="143"/>
      <c r="Q95" s="143">
        <f ca="1">IF(OR(F95="2019-2020",F95="2021-2025"),"",IF(ISNUMBER(SEARCH("LLC",D95)),VLOOKUP(A95,Yards25[],25,FALSE),VLOOKUP(A95,Yards[],25,FALSE)))</f>
        <v>0</v>
      </c>
      <c r="R95" s="152"/>
    </row>
    <row r="96" spans="1:18">
      <c r="A96" s="147" t="s">
        <v>78</v>
      </c>
      <c r="B96" s="144" t="str">
        <f>VLOOKUP(A96,Data[],2,FALSE)</f>
        <v>MANHATTAN</v>
      </c>
      <c r="C96" s="144" t="str">
        <f ca="1">IF(OR(F96="2019-2020",F96="2021-2025"),"",IF(ISNUMBER(SEARCH("LLC",D96)),VLOOKUP(A96,Yards25[],3,FALSE),VLOOKUP(A96,Yards[],3,FALSE)))</f>
        <v>New Waste Yard v3</v>
      </c>
      <c r="D96" s="9" t="str">
        <f>VLOOKUP(A96,Data[],52,FALSE)</f>
        <v>FEDERAL</v>
      </c>
      <c r="E96" s="9">
        <f>VLOOKUP(YardsAll[[#This Row],[DEVELOPMENT]],Data[],62,FALSE)</f>
        <v>11</v>
      </c>
      <c r="F96" s="9" t="str">
        <f ca="1">VLOOKUP(A96,Data[],4,FALSE)</f>
        <v>2022-2025</v>
      </c>
      <c r="G96" s="9">
        <f ca="1">IF(OR(YardsAll[[#This Row],[RAD/PACT]]="2019-2020",YardsAll[[#This Row],[RAD/PACT]]="2021-2025"),"",IF(ISNUMBER(SEARCH("1",C96)),2,IF(ISNUMBER(SEARCH("2",C96)),1,IF(ISNUMBER(SEARCH("3",C96)),3,IF(ISNUMBER(SEARCH("4",C96)),4,IF(ISNUMBER(SEARCH("5",C96)),5,IF(ISNUMBER(SEARCH("6",C96)),6,IF(ISNUMBER(SEARCH("7",C96)),7,IF(ISNUMBER(SEARCH("8",C96)),8,0)))))))))</f>
        <v>3</v>
      </c>
      <c r="H96" s="143" t="str">
        <f ca="1">IF(YardsAll[[#This Row],[STATUS]]="","",IF(OR(F96="2019-2020",F96="2021-2025"),"",IF(ISNUMBER(SEARCH("LLC",D96)),VLOOKUP(A96,Yards25[],28,FALSE),VLOOKUP(A96,Yards[],28,FALSE))))</f>
        <v/>
      </c>
      <c r="I96" s="143" t="str">
        <f ca="1">IF(YardsAll[[#This Row],[STATUS]]="","",IF(OR(F96="2019-2020",F96="2021-2025"),"",IF(ISNUMBER(SEARCH("LLC",D96)),VLOOKUP(A96,Yards25[],17,FALSE),VLOOKUP(A96,Yards[],17,FALSE))))</f>
        <v/>
      </c>
      <c r="J96" s="143" t="str">
        <f ca="1">IF(YardsAll[[#This Row],[STATUS]]="","",IF(OR(F96="2019-2020",F96="2021-2025"),"",IF(ISNUMBER(SEARCH("LLC",D96)),VLOOKUP(A96,Yards25[],29,FALSE),VLOOKUP(A96,Yards[],29,FALSE))))</f>
        <v/>
      </c>
      <c r="K96" s="143" t="str">
        <f ca="1">IF(YardsAll[[#This Row],[STATUS]]="","",IF(OR(F96="2019-2020",F96="2021-2025"),"",IF(ISNUMBER(SEARCH("LLC",D96)),VLOOKUP(A96,Yards25[],19,FALSE),VLOOKUP(A96,Yards[],19,FALSE))))</f>
        <v/>
      </c>
      <c r="L96" s="143" t="str">
        <f ca="1">IF(IF(OR(F96="2019-2020",F96="2021-2025"),"",IF(ISNUMBER(SEARCH("LLC",D96)),VLOOKUP(A96,Yards25[],20,FALSE),VLOOKUP(A96,Yards[],20,FALSE)))=0,"",IF(OR(F96="2019-2020",F96="2021-2025"),"",IF(ISNUMBER(SEARCH("LLC",D96)),VLOOKUP(A96,Yards25[],20,FALSE),VLOOKUP(A96,Yards[],20,FALSE))))</f>
        <v/>
      </c>
      <c r="M96" s="151">
        <f ca="1">IF(OR(F96="2019-2020",F96="2021-2025"),"",IF(ISNUMBER(SEARCH("LLC",D96)),VLOOKUP(A96,Yards25[],21,FALSE),VLOOKUP(A96,Yards[],21,FALSE)))</f>
        <v>0</v>
      </c>
      <c r="N96" s="151">
        <f ca="1">IF(OR(F96="2019-2020",F96="2021-2025"),"",IF(ISNUMBER(SEARCH("LLC",D96)),VLOOKUP(A96,Yards25[],22,FALSE),VLOOKUP(A96,Yards[],22,FALSE)))</f>
        <v>0</v>
      </c>
      <c r="O96" s="151">
        <f ca="1">SUM(YardsAll[[#This Row],[DSGN ESTIMATE]:[CONS ESTIMATE]])</f>
        <v>0</v>
      </c>
      <c r="P96" s="143"/>
      <c r="Q96" s="143">
        <f ca="1">IF(OR(F96="2019-2020",F96="2021-2025"),"",IF(ISNUMBER(SEARCH("LLC",D96)),VLOOKUP(A96,Yards25[],25,FALSE),VLOOKUP(A96,Yards[],25,FALSE)))</f>
        <v>0</v>
      </c>
      <c r="R96" s="152"/>
    </row>
    <row r="97" spans="1:18">
      <c r="A97" s="147" t="s">
        <v>317</v>
      </c>
      <c r="B97" s="144" t="str">
        <f>VLOOKUP(A97,Data[],2,FALSE)</f>
        <v>BRONX</v>
      </c>
      <c r="C97" s="144" t="str">
        <f ca="1">IF(OR(F97="2019-2020",F97="2021-2025"),"",IF(ISNUMBER(SEARCH("LLC",D97)),VLOOKUP(A97,Yards25[],3,FALSE),VLOOKUP(A97,Yards[],3,FALSE)))</f>
        <v>New Waste Yard v3</v>
      </c>
      <c r="D97" s="9" t="str">
        <f>VLOOKUP(A97,Data[],52,FALSE)</f>
        <v>FEDERAL</v>
      </c>
      <c r="E97" s="9">
        <f>VLOOKUP(YardsAll[[#This Row],[DEVELOPMENT]],Data[],62,FALSE)</f>
        <v>11</v>
      </c>
      <c r="F97" s="9" t="str">
        <f ca="1">VLOOKUP(A97,Data[],4,FALSE)</f>
        <v>2026+</v>
      </c>
      <c r="G97" s="9">
        <f ca="1">IF(OR(YardsAll[[#This Row],[RAD/PACT]]="2019-2020",YardsAll[[#This Row],[RAD/PACT]]="2021-2025"),"",IF(ISNUMBER(SEARCH("1",C97)),2,IF(ISNUMBER(SEARCH("2",C97)),1,IF(ISNUMBER(SEARCH("3",C97)),3,IF(ISNUMBER(SEARCH("4",C97)),4,IF(ISNUMBER(SEARCH("5",C97)),5,IF(ISNUMBER(SEARCH("6",C97)),6,IF(ISNUMBER(SEARCH("7",C97)),7,IF(ISNUMBER(SEARCH("8",C97)),8,0)))))))))</f>
        <v>3</v>
      </c>
      <c r="H97" s="143" t="str">
        <f ca="1">IF(YardsAll[[#This Row],[STATUS]]="","",IF(OR(F97="2019-2020",F97="2021-2025"),"",IF(ISNUMBER(SEARCH("LLC",D97)),VLOOKUP(A97,Yards25[],28,FALSE),VLOOKUP(A97,Yards[],28,FALSE))))</f>
        <v/>
      </c>
      <c r="I97" s="143" t="str">
        <f ca="1">IF(YardsAll[[#This Row],[STATUS]]="","",IF(OR(F97="2019-2020",F97="2021-2025"),"",IF(ISNUMBER(SEARCH("LLC",D97)),VLOOKUP(A97,Yards25[],17,FALSE),VLOOKUP(A97,Yards[],17,FALSE))))</f>
        <v/>
      </c>
      <c r="J97" s="143" t="str">
        <f ca="1">IF(YardsAll[[#This Row],[STATUS]]="","",IF(OR(F97="2019-2020",F97="2021-2025"),"",IF(ISNUMBER(SEARCH("LLC",D97)),VLOOKUP(A97,Yards25[],29,FALSE),VLOOKUP(A97,Yards[],29,FALSE))))</f>
        <v/>
      </c>
      <c r="K97" s="143" t="str">
        <f ca="1">IF(YardsAll[[#This Row],[STATUS]]="","",IF(OR(F97="2019-2020",F97="2021-2025"),"",IF(ISNUMBER(SEARCH("LLC",D97)),VLOOKUP(A97,Yards25[],19,FALSE),VLOOKUP(A97,Yards[],19,FALSE))))</f>
        <v/>
      </c>
      <c r="L97" s="143" t="str">
        <f ca="1">IF(IF(OR(F97="2019-2020",F97="2021-2025"),"",IF(ISNUMBER(SEARCH("LLC",D97)),VLOOKUP(A97,Yards25[],20,FALSE),VLOOKUP(A97,Yards[],20,FALSE)))=0,"",IF(OR(F97="2019-2020",F97="2021-2025"),"",IF(ISNUMBER(SEARCH("LLC",D97)),VLOOKUP(A97,Yards25[],20,FALSE),VLOOKUP(A97,Yards[],20,FALSE))))</f>
        <v/>
      </c>
      <c r="M97" s="151">
        <f ca="1">IF(OR(F97="2019-2020",F97="2021-2025"),"",IF(ISNUMBER(SEARCH("LLC",D97)),VLOOKUP(A97,Yards25[],21,FALSE),VLOOKUP(A97,Yards[],21,FALSE)))</f>
        <v>258614.90131200009</v>
      </c>
      <c r="N97" s="151">
        <f ca="1">IF(OR(F97="2019-2020",F97="2021-2025"),"",IF(ISNUMBER(SEARCH("LLC",D97)),VLOOKUP(A97,Yards25[],22,FALSE),VLOOKUP(A97,Yards[],22,FALSE)))</f>
        <v>2327534.1118080006</v>
      </c>
      <c r="O97" s="151">
        <f ca="1">SUM(YardsAll[[#This Row],[DSGN ESTIMATE]:[CONS ESTIMATE]])</f>
        <v>2586149.0131200007</v>
      </c>
      <c r="P97" s="143"/>
      <c r="Q97" s="143">
        <f ca="1">IF(OR(F97="2019-2020",F97="2021-2025"),"",IF(ISNUMBER(SEARCH("LLC",D97)),VLOOKUP(A97,Yards25[],25,FALSE),VLOOKUP(A97,Yards[],25,FALSE)))</f>
        <v>0</v>
      </c>
      <c r="R97" s="152"/>
    </row>
    <row r="98" spans="1:18">
      <c r="A98" s="147" t="s">
        <v>201</v>
      </c>
      <c r="B98" s="144" t="str">
        <f>VLOOKUP(A98,Data[],2,FALSE)</f>
        <v>BRONX</v>
      </c>
      <c r="C98" s="144" t="str">
        <f ca="1">IF(OR(F98="2019-2020",F98="2021-2025"),"",IF(ISNUMBER(SEARCH("LLC",D98)),VLOOKUP(A98,Yards25[],3,FALSE),VLOOKUP(A98,Yards[],3,FALSE)))</f>
        <v>New Waste Yard v6</v>
      </c>
      <c r="D98" s="9" t="str">
        <f>VLOOKUP(A98,Data[],52,FALSE)</f>
        <v>FEDERAL</v>
      </c>
      <c r="E98" s="9">
        <f>VLOOKUP(YardsAll[[#This Row],[DEVELOPMENT]],Data[],62,FALSE)</f>
        <v>12</v>
      </c>
      <c r="F98" s="9" t="str">
        <f ca="1">VLOOKUP(A98,Data[],4,FALSE)</f>
        <v>2022-2025</v>
      </c>
      <c r="G98" s="9">
        <f ca="1">IF(OR(YardsAll[[#This Row],[RAD/PACT]]="2019-2020",YardsAll[[#This Row],[RAD/PACT]]="2021-2025"),"",IF(ISNUMBER(SEARCH("1",C98)),2,IF(ISNUMBER(SEARCH("2",C98)),1,IF(ISNUMBER(SEARCH("3",C98)),3,IF(ISNUMBER(SEARCH("4",C98)),4,IF(ISNUMBER(SEARCH("5",C98)),5,IF(ISNUMBER(SEARCH("6",C98)),6,IF(ISNUMBER(SEARCH("7",C98)),7,IF(ISNUMBER(SEARCH("8",C98)),8,0)))))))))</f>
        <v>6</v>
      </c>
      <c r="H98" s="143" t="str">
        <f ca="1">IF(YardsAll[[#This Row],[STATUS]]="","",IF(OR(F98="2019-2020",F98="2021-2025"),"",IF(ISNUMBER(SEARCH("LLC",D98)),VLOOKUP(A98,Yards25[],28,FALSE),VLOOKUP(A98,Yards[],28,FALSE))))</f>
        <v/>
      </c>
      <c r="I98" s="143" t="str">
        <f ca="1">IF(YardsAll[[#This Row],[STATUS]]="","",IF(OR(F98="2019-2020",F98="2021-2025"),"",IF(ISNUMBER(SEARCH("LLC",D98)),VLOOKUP(A98,Yards25[],17,FALSE),VLOOKUP(A98,Yards[],17,FALSE))))</f>
        <v/>
      </c>
      <c r="J98" s="143" t="str">
        <f ca="1">IF(YardsAll[[#This Row],[STATUS]]="","",IF(OR(F98="2019-2020",F98="2021-2025"),"",IF(ISNUMBER(SEARCH("LLC",D98)),VLOOKUP(A98,Yards25[],29,FALSE),VLOOKUP(A98,Yards[],29,FALSE))))</f>
        <v/>
      </c>
      <c r="K98" s="143" t="str">
        <f ca="1">IF(YardsAll[[#This Row],[STATUS]]="","",IF(OR(F98="2019-2020",F98="2021-2025"),"",IF(ISNUMBER(SEARCH("LLC",D98)),VLOOKUP(A98,Yards25[],19,FALSE),VLOOKUP(A98,Yards[],19,FALSE))))</f>
        <v/>
      </c>
      <c r="L98" s="143" t="str">
        <f ca="1">IF(IF(OR(F98="2019-2020",F98="2021-2025"),"",IF(ISNUMBER(SEARCH("LLC",D98)),VLOOKUP(A98,Yards25[],20,FALSE),VLOOKUP(A98,Yards[],20,FALSE)))=0,"",IF(OR(F98="2019-2020",F98="2021-2025"),"",IF(ISNUMBER(SEARCH("LLC",D98)),VLOOKUP(A98,Yards25[],20,FALSE),VLOOKUP(A98,Yards[],20,FALSE))))</f>
        <v/>
      </c>
      <c r="M98" s="151">
        <f ca="1">IF(OR(F98="2019-2020",F98="2021-2025"),"",IF(ISNUMBER(SEARCH("LLC",D98)),VLOOKUP(A98,Yards25[],21,FALSE),VLOOKUP(A98,Yards[],21,FALSE)))</f>
        <v>0</v>
      </c>
      <c r="N98" s="151">
        <f ca="1">IF(OR(F98="2019-2020",F98="2021-2025"),"",IF(ISNUMBER(SEARCH("LLC",D98)),VLOOKUP(A98,Yards25[],22,FALSE),VLOOKUP(A98,Yards[],22,FALSE)))</f>
        <v>0</v>
      </c>
      <c r="O98" s="151">
        <f ca="1">SUM(YardsAll[[#This Row],[DSGN ESTIMATE]:[CONS ESTIMATE]])</f>
        <v>0</v>
      </c>
      <c r="P98" s="143"/>
      <c r="Q98" s="143">
        <f ca="1">IF(OR(F98="2019-2020",F98="2021-2025"),"",IF(ISNUMBER(SEARCH("LLC",D98)),VLOOKUP(A98,Yards25[],25,FALSE),VLOOKUP(A98,Yards[],25,FALSE)))</f>
        <v>0</v>
      </c>
      <c r="R98" s="152"/>
    </row>
    <row r="99" spans="1:18">
      <c r="A99" s="147" t="s">
        <v>221</v>
      </c>
      <c r="B99" s="144" t="str">
        <f>VLOOKUP(A99,Data[],2,FALSE)</f>
        <v>MANHATTAN</v>
      </c>
      <c r="C99" s="144" t="str">
        <f ca="1">IF(OR(F99="2019-2020",F99="2021-2025"),"",IF(ISNUMBER(SEARCH("LLC",D99)),VLOOKUP(A99,Yards25[],3,FALSE),VLOOKUP(A99,Yards[],3,FALSE)))</f>
        <v>New Waste Yard v1</v>
      </c>
      <c r="D99" s="9" t="str">
        <f>VLOOKUP(A99,Data[],52,FALSE)</f>
        <v>FEDERAL</v>
      </c>
      <c r="E99" s="9">
        <f>VLOOKUP(YardsAll[[#This Row],[DEVELOPMENT]],Data[],62,FALSE)</f>
        <v>4</v>
      </c>
      <c r="F99" s="9" t="str">
        <f ca="1">VLOOKUP(A99,Data[],4,FALSE)</f>
        <v/>
      </c>
      <c r="G99" s="9">
        <f ca="1">IF(OR(YardsAll[[#This Row],[RAD/PACT]]="2019-2020",YardsAll[[#This Row],[RAD/PACT]]="2021-2025"),"",IF(ISNUMBER(SEARCH("1",C99)),2,IF(ISNUMBER(SEARCH("2",C99)),1,IF(ISNUMBER(SEARCH("3",C99)),3,IF(ISNUMBER(SEARCH("4",C99)),4,IF(ISNUMBER(SEARCH("5",C99)),5,IF(ISNUMBER(SEARCH("6",C99)),6,IF(ISNUMBER(SEARCH("7",C99)),7,IF(ISNUMBER(SEARCH("8",C99)),8,0)))))))))</f>
        <v>2</v>
      </c>
      <c r="H99" s="143" t="str">
        <f ca="1">IF(YardsAll[[#This Row],[STATUS]]="","",IF(OR(F99="2019-2020",F99="2021-2025"),"",IF(ISNUMBER(SEARCH("LLC",D99)),VLOOKUP(A99,Yards25[],28,FALSE),VLOOKUP(A99,Yards[],28,FALSE))))</f>
        <v/>
      </c>
      <c r="I99" s="143" t="str">
        <f ca="1">IF(YardsAll[[#This Row],[STATUS]]="","",IF(OR(F99="2019-2020",F99="2021-2025"),"",IF(ISNUMBER(SEARCH("LLC",D99)),VLOOKUP(A99,Yards25[],17,FALSE),VLOOKUP(A99,Yards[],17,FALSE))))</f>
        <v/>
      </c>
      <c r="J99" s="143" t="str">
        <f ca="1">IF(YardsAll[[#This Row],[STATUS]]="","",IF(OR(F99="2019-2020",F99="2021-2025"),"",IF(ISNUMBER(SEARCH("LLC",D99)),VLOOKUP(A99,Yards25[],29,FALSE),VLOOKUP(A99,Yards[],29,FALSE))))</f>
        <v/>
      </c>
      <c r="K99" s="143" t="str">
        <f ca="1">IF(YardsAll[[#This Row],[STATUS]]="","",IF(OR(F99="2019-2020",F99="2021-2025"),"",IF(ISNUMBER(SEARCH("LLC",D99)),VLOOKUP(A99,Yards25[],19,FALSE),VLOOKUP(A99,Yards[],19,FALSE))))</f>
        <v/>
      </c>
      <c r="L99" s="143" t="str">
        <f ca="1">IF(IF(OR(F99="2019-2020",F99="2021-2025"),"",IF(ISNUMBER(SEARCH("LLC",D99)),VLOOKUP(A99,Yards25[],20,FALSE),VLOOKUP(A99,Yards[],20,FALSE)))=0,"",IF(OR(F99="2019-2020",F99="2021-2025"),"",IF(ISNUMBER(SEARCH("LLC",D99)),VLOOKUP(A99,Yards25[],20,FALSE),VLOOKUP(A99,Yards[],20,FALSE))))</f>
        <v/>
      </c>
      <c r="M99" s="151">
        <f ca="1">IF(OR(F99="2019-2020",F99="2021-2025"),"",IF(ISNUMBER(SEARCH("LLC",D99)),VLOOKUP(A99,Yards25[],21,FALSE),VLOOKUP(A99,Yards[],21,FALSE)))</f>
        <v>193407.39567800006</v>
      </c>
      <c r="N99" s="151">
        <f ca="1">IF(OR(F99="2019-2020",F99="2021-2025"),"",IF(ISNUMBER(SEARCH("LLC",D99)),VLOOKUP(A99,Yards25[],22,FALSE),VLOOKUP(A99,Yards[],22,FALSE)))</f>
        <v>1740666.5611020005</v>
      </c>
      <c r="O99" s="151">
        <f ca="1">SUM(YardsAll[[#This Row],[DSGN ESTIMATE]:[CONS ESTIMATE]])</f>
        <v>1934073.9567800006</v>
      </c>
      <c r="P99" s="143"/>
      <c r="Q99" s="143">
        <f ca="1">IF(OR(F99="2019-2020",F99="2021-2025"),"",IF(ISNUMBER(SEARCH("LLC",D99)),VLOOKUP(A99,Yards25[],25,FALSE),VLOOKUP(A99,Yards[],25,FALSE)))</f>
        <v>0</v>
      </c>
      <c r="R99" s="152"/>
    </row>
    <row r="100" spans="1:18">
      <c r="A100" s="147" t="s">
        <v>202</v>
      </c>
      <c r="B100" s="144" t="str">
        <f>VLOOKUP(A100,Data[],2,FALSE)</f>
        <v>BROOKLYN</v>
      </c>
      <c r="C100" s="144" t="str">
        <f ca="1">IF(OR(F100="2019-2020",F100="2021-2025"),"",IF(ISNUMBER(SEARCH("LLC",D100)),VLOOKUP(A100,Yards25[],3,FALSE),VLOOKUP(A100,Yards[],3,FALSE)))</f>
        <v>New Waste Yard v4</v>
      </c>
      <c r="D100" s="9" t="str">
        <f>VLOOKUP(A100,Data[],52,FALSE)</f>
        <v>FEDERAL</v>
      </c>
      <c r="E100" s="9">
        <f>VLOOKUP(YardsAll[[#This Row],[DEVELOPMENT]],Data[],62,FALSE)</f>
        <v>2</v>
      </c>
      <c r="F100" s="9" t="str">
        <f ca="1">VLOOKUP(A100,Data[],4,FALSE)</f>
        <v>2026+</v>
      </c>
      <c r="G100" s="9">
        <f ca="1">IF(OR(YardsAll[[#This Row],[RAD/PACT]]="2019-2020",YardsAll[[#This Row],[RAD/PACT]]="2021-2025"),"",IF(ISNUMBER(SEARCH("1",C100)),2,IF(ISNUMBER(SEARCH("2",C100)),1,IF(ISNUMBER(SEARCH("3",C100)),3,IF(ISNUMBER(SEARCH("4",C100)),4,IF(ISNUMBER(SEARCH("5",C100)),5,IF(ISNUMBER(SEARCH("6",C100)),6,IF(ISNUMBER(SEARCH("7",C100)),7,IF(ISNUMBER(SEARCH("8",C100)),8,0)))))))))</f>
        <v>4</v>
      </c>
      <c r="H100" s="143" t="str">
        <f ca="1">IF(YardsAll[[#This Row],[STATUS]]="","",IF(OR(F100="2019-2020",F100="2021-2025"),"",IF(ISNUMBER(SEARCH("LLC",D100)),VLOOKUP(A100,Yards25[],28,FALSE),VLOOKUP(A100,Yards[],28,FALSE))))</f>
        <v/>
      </c>
      <c r="I100" s="143" t="str">
        <f ca="1">IF(YardsAll[[#This Row],[STATUS]]="","",IF(OR(F100="2019-2020",F100="2021-2025"),"",IF(ISNUMBER(SEARCH("LLC",D100)),VLOOKUP(A100,Yards25[],17,FALSE),VLOOKUP(A100,Yards[],17,FALSE))))</f>
        <v/>
      </c>
      <c r="J100" s="143" t="str">
        <f ca="1">IF(YardsAll[[#This Row],[STATUS]]="","",IF(OR(F100="2019-2020",F100="2021-2025"),"",IF(ISNUMBER(SEARCH("LLC",D100)),VLOOKUP(A100,Yards25[],29,FALSE),VLOOKUP(A100,Yards[],29,FALSE))))</f>
        <v/>
      </c>
      <c r="K100" s="143" t="str">
        <f ca="1">IF(YardsAll[[#This Row],[STATUS]]="","",IF(OR(F100="2019-2020",F100="2021-2025"),"",IF(ISNUMBER(SEARCH("LLC",D100)),VLOOKUP(A100,Yards25[],19,FALSE),VLOOKUP(A100,Yards[],19,FALSE))))</f>
        <v/>
      </c>
      <c r="L100" s="143" t="str">
        <f ca="1">IF(IF(OR(F100="2019-2020",F100="2021-2025"),"",IF(ISNUMBER(SEARCH("LLC",D100)),VLOOKUP(A100,Yards25[],20,FALSE),VLOOKUP(A100,Yards[],20,FALSE)))=0,"",IF(OR(F100="2019-2020",F100="2021-2025"),"",IF(ISNUMBER(SEARCH("LLC",D100)),VLOOKUP(A100,Yards25[],20,FALSE),VLOOKUP(A100,Yards[],20,FALSE))))</f>
        <v/>
      </c>
      <c r="M100" s="151">
        <f ca="1">IF(OR(F100="2019-2020",F100="2021-2025"),"",IF(ISNUMBER(SEARCH("LLC",D100)),VLOOKUP(A100,Yards25[],21,FALSE),VLOOKUP(A100,Yards[],21,FALSE)))</f>
        <v>251397.72503230005</v>
      </c>
      <c r="N100" s="151">
        <f ca="1">IF(OR(F100="2019-2020",F100="2021-2025"),"",IF(ISNUMBER(SEARCH("LLC",D100)),VLOOKUP(A100,Yards25[],22,FALSE),VLOOKUP(A100,Yards[],22,FALSE)))</f>
        <v>2262579.5252907001</v>
      </c>
      <c r="O100" s="151">
        <f ca="1">SUM(YardsAll[[#This Row],[DSGN ESTIMATE]:[CONS ESTIMATE]])</f>
        <v>2513977.2503230004</v>
      </c>
      <c r="P100" s="143"/>
      <c r="Q100" s="143">
        <f ca="1">IF(OR(F100="2019-2020",F100="2021-2025"),"",IF(ISNUMBER(SEARCH("LLC",D100)),VLOOKUP(A100,Yards25[],25,FALSE),VLOOKUP(A100,Yards[],25,FALSE)))</f>
        <v>0</v>
      </c>
      <c r="R100" s="152"/>
    </row>
    <row r="101" spans="1:18">
      <c r="A101" s="147" t="s">
        <v>318</v>
      </c>
      <c r="B101" s="144" t="str">
        <f>VLOOKUP(A101,Data[],2,FALSE)</f>
        <v>BROOKLYN</v>
      </c>
      <c r="C101" s="144" t="str">
        <f ca="1">IF(OR(F101="2019-2020",F101="2021-2025"),"",IF(ISNUMBER(SEARCH("LLC",D101)),VLOOKUP(A101,Yards25[],3,FALSE),VLOOKUP(A101,Yards[],3,FALSE)))</f>
        <v>New Waste Yard v1</v>
      </c>
      <c r="D101" s="9" t="str">
        <f>VLOOKUP(A101,Data[],52,FALSE)</f>
        <v>FEDERAL</v>
      </c>
      <c r="E101" s="9">
        <f>VLOOKUP(YardsAll[[#This Row],[DEVELOPMENT]],Data[],62,FALSE)</f>
        <v>9</v>
      </c>
      <c r="F101" s="9" t="str">
        <f ca="1">VLOOKUP(A101,Data[],4,FALSE)</f>
        <v>2020-2021</v>
      </c>
      <c r="G101" s="9">
        <f ca="1">IF(OR(YardsAll[[#This Row],[RAD/PACT]]="2019-2020",YardsAll[[#This Row],[RAD/PACT]]="2021-2025"),"",IF(ISNUMBER(SEARCH("1",C101)),2,IF(ISNUMBER(SEARCH("2",C101)),1,IF(ISNUMBER(SEARCH("3",C101)),3,IF(ISNUMBER(SEARCH("4",C101)),4,IF(ISNUMBER(SEARCH("5",C101)),5,IF(ISNUMBER(SEARCH("6",C101)),6,IF(ISNUMBER(SEARCH("7",C101)),7,IF(ISNUMBER(SEARCH("8",C101)),8,0)))))))))</f>
        <v>2</v>
      </c>
      <c r="H101" s="143" t="str">
        <f ca="1">IF(YardsAll[[#This Row],[STATUS]]="","",IF(OR(F101="2019-2020",F101="2021-2025"),"",IF(ISNUMBER(SEARCH("LLC",D101)),VLOOKUP(A101,Yards25[],28,FALSE),VLOOKUP(A101,Yards[],28,FALSE))))</f>
        <v/>
      </c>
      <c r="I101" s="143" t="str">
        <f ca="1">IF(YardsAll[[#This Row],[STATUS]]="","",IF(OR(F101="2019-2020",F101="2021-2025"),"",IF(ISNUMBER(SEARCH("LLC",D101)),VLOOKUP(A101,Yards25[],17,FALSE),VLOOKUP(A101,Yards[],17,FALSE))))</f>
        <v/>
      </c>
      <c r="J101" s="143" t="str">
        <f ca="1">IF(YardsAll[[#This Row],[STATUS]]="","",IF(OR(F101="2019-2020",F101="2021-2025"),"",IF(ISNUMBER(SEARCH("LLC",D101)),VLOOKUP(A101,Yards25[],29,FALSE),VLOOKUP(A101,Yards[],29,FALSE))))</f>
        <v/>
      </c>
      <c r="K101" s="143" t="str">
        <f ca="1">IF(YardsAll[[#This Row],[STATUS]]="","",IF(OR(F101="2019-2020",F101="2021-2025"),"",IF(ISNUMBER(SEARCH("LLC",D101)),VLOOKUP(A101,Yards25[],19,FALSE),VLOOKUP(A101,Yards[],19,FALSE))))</f>
        <v/>
      </c>
      <c r="L101" s="143" t="str">
        <f ca="1">IF(IF(OR(F101="2019-2020",F101="2021-2025"),"",IF(ISNUMBER(SEARCH("LLC",D101)),VLOOKUP(A101,Yards25[],20,FALSE),VLOOKUP(A101,Yards[],20,FALSE)))=0,"",IF(OR(F101="2019-2020",F101="2021-2025"),"",IF(ISNUMBER(SEARCH("LLC",D101)),VLOOKUP(A101,Yards25[],20,FALSE),VLOOKUP(A101,Yards[],20,FALSE))))</f>
        <v/>
      </c>
      <c r="M101" s="151">
        <f ca="1">IF(OR(F101="2019-2020",F101="2021-2025"),"",IF(ISNUMBER(SEARCH("LLC",D101)),VLOOKUP(A101,Yards25[],21,FALSE),VLOOKUP(A101,Yards[],21,FALSE)))</f>
        <v>0</v>
      </c>
      <c r="N101" s="151">
        <f ca="1">IF(OR(F101="2019-2020",F101="2021-2025"),"",IF(ISNUMBER(SEARCH("LLC",D101)),VLOOKUP(A101,Yards25[],22,FALSE),VLOOKUP(A101,Yards[],22,FALSE)))</f>
        <v>0</v>
      </c>
      <c r="O101" s="151">
        <f ca="1">SUM(YardsAll[[#This Row],[DSGN ESTIMATE]:[CONS ESTIMATE]])</f>
        <v>0</v>
      </c>
      <c r="P101" s="143"/>
      <c r="Q101" s="143">
        <f ca="1">IF(OR(F101="2019-2020",F101="2021-2025"),"",IF(ISNUMBER(SEARCH("LLC",D101)),VLOOKUP(A101,Yards25[],25,FALSE),VLOOKUP(A101,Yards[],25,FALSE)))</f>
        <v>0</v>
      </c>
      <c r="R101" s="152"/>
    </row>
    <row r="102" spans="1:18">
      <c r="A102" s="147" t="s">
        <v>319</v>
      </c>
      <c r="B102" s="144">
        <f>VLOOKUP(A102,Data[],2,FALSE)</f>
        <v>0</v>
      </c>
      <c r="C102" s="144" t="str">
        <f ca="1">IF(OR(F102="2019-2020",F102="2021-2025"),"",IF(ISNUMBER(SEARCH("LLC",D102)),VLOOKUP(A102,Yards25[],3,FALSE),VLOOKUP(A102,Yards[],3,FALSE)))</f>
        <v>New Waste Yard v1</v>
      </c>
      <c r="D102" s="9" t="str">
        <f>VLOOKUP(A102,Data[],52,FALSE)</f>
        <v>FEDERAL</v>
      </c>
      <c r="E102" s="9">
        <f>VLOOKUP(YardsAll[[#This Row],[DEVELOPMENT]],Data[],62,FALSE)</f>
        <v>0</v>
      </c>
      <c r="F102" s="9" t="str">
        <f ca="1">VLOOKUP(A102,Data[],4,FALSE)</f>
        <v/>
      </c>
      <c r="G102" s="9">
        <f ca="1">IF(OR(YardsAll[[#This Row],[RAD/PACT]]="2019-2020",YardsAll[[#This Row],[RAD/PACT]]="2021-2025"),"",IF(ISNUMBER(SEARCH("1",C102)),2,IF(ISNUMBER(SEARCH("2",C102)),1,IF(ISNUMBER(SEARCH("3",C102)),3,IF(ISNUMBER(SEARCH("4",C102)),4,IF(ISNUMBER(SEARCH("5",C102)),5,IF(ISNUMBER(SEARCH("6",C102)),6,IF(ISNUMBER(SEARCH("7",C102)),7,IF(ISNUMBER(SEARCH("8",C102)),8,0)))))))))</f>
        <v>2</v>
      </c>
      <c r="H102" s="143" t="str">
        <f ca="1">IF(YardsAll[[#This Row],[STATUS]]="","",IF(OR(F102="2019-2020",F102="2021-2025"),"",IF(ISNUMBER(SEARCH("LLC",D102)),VLOOKUP(A102,Yards25[],28,FALSE),VLOOKUP(A102,Yards[],28,FALSE))))</f>
        <v/>
      </c>
      <c r="I102" s="143" t="str">
        <f ca="1">IF(YardsAll[[#This Row],[STATUS]]="","",IF(OR(F102="2019-2020",F102="2021-2025"),"",IF(ISNUMBER(SEARCH("LLC",D102)),VLOOKUP(A102,Yards25[],17,FALSE),VLOOKUP(A102,Yards[],17,FALSE))))</f>
        <v/>
      </c>
      <c r="J102" s="143" t="str">
        <f ca="1">IF(YardsAll[[#This Row],[STATUS]]="","",IF(OR(F102="2019-2020",F102="2021-2025"),"",IF(ISNUMBER(SEARCH("LLC",D102)),VLOOKUP(A102,Yards25[],29,FALSE),VLOOKUP(A102,Yards[],29,FALSE))))</f>
        <v/>
      </c>
      <c r="K102" s="143" t="str">
        <f ca="1">IF(YardsAll[[#This Row],[STATUS]]="","",IF(OR(F102="2019-2020",F102="2021-2025"),"",IF(ISNUMBER(SEARCH("LLC",D102)),VLOOKUP(A102,Yards25[],19,FALSE),VLOOKUP(A102,Yards[],19,FALSE))))</f>
        <v/>
      </c>
      <c r="L102" s="143" t="str">
        <f ca="1">IF(IF(OR(F102="2019-2020",F102="2021-2025"),"",IF(ISNUMBER(SEARCH("LLC",D102)),VLOOKUP(A102,Yards25[],20,FALSE),VLOOKUP(A102,Yards[],20,FALSE)))=0,"",IF(OR(F102="2019-2020",F102="2021-2025"),"",IF(ISNUMBER(SEARCH("LLC",D102)),VLOOKUP(A102,Yards25[],20,FALSE),VLOOKUP(A102,Yards[],20,FALSE))))</f>
        <v/>
      </c>
      <c r="M102" s="151">
        <f ca="1">IF(OR(F102="2019-2020",F102="2021-2025"),"",IF(ISNUMBER(SEARCH("LLC",D102)),VLOOKUP(A102,Yards25[],21,FALSE),VLOOKUP(A102,Yards[],21,FALSE)))</f>
        <v>0</v>
      </c>
      <c r="N102" s="151">
        <f ca="1">IF(OR(F102="2019-2020",F102="2021-2025"),"",IF(ISNUMBER(SEARCH("LLC",D102)),VLOOKUP(A102,Yards25[],22,FALSE),VLOOKUP(A102,Yards[],22,FALSE)))</f>
        <v>0</v>
      </c>
      <c r="O102" s="151">
        <f ca="1">SUM(YardsAll[[#This Row],[DSGN ESTIMATE]:[CONS ESTIMATE]])</f>
        <v>0</v>
      </c>
      <c r="P102" s="143"/>
      <c r="Q102" s="143">
        <f ca="1">IF(OR(F102="2019-2020",F102="2021-2025"),"",IF(ISNUMBER(SEARCH("LLC",D102)),VLOOKUP(A102,Yards25[],25,FALSE),VLOOKUP(A102,Yards[],25,FALSE)))</f>
        <v>0</v>
      </c>
      <c r="R102" s="152"/>
    </row>
    <row r="103" spans="1:18">
      <c r="A103" s="147" t="s">
        <v>237</v>
      </c>
      <c r="B103" s="144">
        <f>VLOOKUP(A103,Data[],2,FALSE)</f>
        <v>0</v>
      </c>
      <c r="C103" s="144" t="str">
        <f ca="1">IF(OR(F103="2019-2020",F103="2021-2025"),"",IF(ISNUMBER(SEARCH("LLC",D103)),VLOOKUP(A103,Yards25[],3,FALSE),VLOOKUP(A103,Yards[],3,FALSE)))</f>
        <v>New Waste Yard v1</v>
      </c>
      <c r="D103" s="9" t="str">
        <f>VLOOKUP(A103,Data[],52,FALSE)</f>
        <v>FEDERAL</v>
      </c>
      <c r="E103" s="9">
        <f>VLOOKUP(YardsAll[[#This Row],[DEVELOPMENT]],Data[],62,FALSE)</f>
        <v>0</v>
      </c>
      <c r="F103" s="9" t="str">
        <f ca="1">VLOOKUP(A103,Data[],4,FALSE)</f>
        <v/>
      </c>
      <c r="G103" s="9">
        <f ca="1">IF(OR(YardsAll[[#This Row],[RAD/PACT]]="2019-2020",YardsAll[[#This Row],[RAD/PACT]]="2021-2025"),"",IF(ISNUMBER(SEARCH("1",C103)),2,IF(ISNUMBER(SEARCH("2",C103)),1,IF(ISNUMBER(SEARCH("3",C103)),3,IF(ISNUMBER(SEARCH("4",C103)),4,IF(ISNUMBER(SEARCH("5",C103)),5,IF(ISNUMBER(SEARCH("6",C103)),6,IF(ISNUMBER(SEARCH("7",C103)),7,IF(ISNUMBER(SEARCH("8",C103)),8,0)))))))))</f>
        <v>2</v>
      </c>
      <c r="H103" s="143" t="str">
        <f ca="1">IF(YardsAll[[#This Row],[STATUS]]="","",IF(OR(F103="2019-2020",F103="2021-2025"),"",IF(ISNUMBER(SEARCH("LLC",D103)),VLOOKUP(A103,Yards25[],28,FALSE),VLOOKUP(A103,Yards[],28,FALSE))))</f>
        <v/>
      </c>
      <c r="I103" s="143" t="str">
        <f ca="1">IF(YardsAll[[#This Row],[STATUS]]="","",IF(OR(F103="2019-2020",F103="2021-2025"),"",IF(ISNUMBER(SEARCH("LLC",D103)),VLOOKUP(A103,Yards25[],17,FALSE),VLOOKUP(A103,Yards[],17,FALSE))))</f>
        <v/>
      </c>
      <c r="J103" s="143" t="str">
        <f ca="1">IF(YardsAll[[#This Row],[STATUS]]="","",IF(OR(F103="2019-2020",F103="2021-2025"),"",IF(ISNUMBER(SEARCH("LLC",D103)),VLOOKUP(A103,Yards25[],29,FALSE),VLOOKUP(A103,Yards[],29,FALSE))))</f>
        <v/>
      </c>
      <c r="K103" s="143" t="str">
        <f ca="1">IF(YardsAll[[#This Row],[STATUS]]="","",IF(OR(F103="2019-2020",F103="2021-2025"),"",IF(ISNUMBER(SEARCH("LLC",D103)),VLOOKUP(A103,Yards25[],19,FALSE),VLOOKUP(A103,Yards[],19,FALSE))))</f>
        <v/>
      </c>
      <c r="L103" s="143" t="str">
        <f ca="1">IF(IF(OR(F103="2019-2020",F103="2021-2025"),"",IF(ISNUMBER(SEARCH("LLC",D103)),VLOOKUP(A103,Yards25[],20,FALSE),VLOOKUP(A103,Yards[],20,FALSE)))=0,"",IF(OR(F103="2019-2020",F103="2021-2025"),"",IF(ISNUMBER(SEARCH("LLC",D103)),VLOOKUP(A103,Yards25[],20,FALSE),VLOOKUP(A103,Yards[],20,FALSE))))</f>
        <v/>
      </c>
      <c r="M103" s="151">
        <f ca="1">IF(OR(F103="2019-2020",F103="2021-2025"),"",IF(ISNUMBER(SEARCH("LLC",D103)),VLOOKUP(A103,Yards25[],21,FALSE),VLOOKUP(A103,Yards[],21,FALSE)))</f>
        <v>0</v>
      </c>
      <c r="N103" s="151">
        <f ca="1">IF(OR(F103="2019-2020",F103="2021-2025"),"",IF(ISNUMBER(SEARCH("LLC",D103)),VLOOKUP(A103,Yards25[],22,FALSE),VLOOKUP(A103,Yards[],22,FALSE)))</f>
        <v>0</v>
      </c>
      <c r="O103" s="151">
        <f ca="1">SUM(YardsAll[[#This Row],[DSGN ESTIMATE]:[CONS ESTIMATE]])</f>
        <v>0</v>
      </c>
      <c r="P103" s="143"/>
      <c r="Q103" s="143">
        <f ca="1">IF(OR(F103="2019-2020",F103="2021-2025"),"",IF(ISNUMBER(SEARCH("LLC",D103)),VLOOKUP(A103,Yards25[],25,FALSE),VLOOKUP(A103,Yards[],25,FALSE)))</f>
        <v>0</v>
      </c>
      <c r="R103" s="152"/>
    </row>
    <row r="104" spans="1:18">
      <c r="A104" s="147" t="s">
        <v>238</v>
      </c>
      <c r="B104" s="144">
        <f>VLOOKUP(A104,Data[],2,FALSE)</f>
        <v>0</v>
      </c>
      <c r="C104" s="144" t="str">
        <f ca="1">IF(OR(F104="2019-2020",F104="2021-2025"),"",IF(ISNUMBER(SEARCH("LLC",D104)),VLOOKUP(A104,Yards25[],3,FALSE),VLOOKUP(A104,Yards[],3,FALSE)))</f>
        <v>New Waste Yard v1</v>
      </c>
      <c r="D104" s="9" t="str">
        <f>VLOOKUP(A104,Data[],52,FALSE)</f>
        <v>FEDERAL</v>
      </c>
      <c r="E104" s="9">
        <f>VLOOKUP(YardsAll[[#This Row],[DEVELOPMENT]],Data[],62,FALSE)</f>
        <v>0</v>
      </c>
      <c r="F104" s="9" t="str">
        <f ca="1">VLOOKUP(A104,Data[],4,FALSE)</f>
        <v/>
      </c>
      <c r="G104" s="9">
        <f ca="1">IF(OR(YardsAll[[#This Row],[RAD/PACT]]="2019-2020",YardsAll[[#This Row],[RAD/PACT]]="2021-2025"),"",IF(ISNUMBER(SEARCH("1",C104)),2,IF(ISNUMBER(SEARCH("2",C104)),1,IF(ISNUMBER(SEARCH("3",C104)),3,IF(ISNUMBER(SEARCH("4",C104)),4,IF(ISNUMBER(SEARCH("5",C104)),5,IF(ISNUMBER(SEARCH("6",C104)),6,IF(ISNUMBER(SEARCH("7",C104)),7,IF(ISNUMBER(SEARCH("8",C104)),8,0)))))))))</f>
        <v>2</v>
      </c>
      <c r="H104" s="143" t="str">
        <f ca="1">IF(YardsAll[[#This Row],[STATUS]]="","",IF(OR(F104="2019-2020",F104="2021-2025"),"",IF(ISNUMBER(SEARCH("LLC",D104)),VLOOKUP(A104,Yards25[],28,FALSE),VLOOKUP(A104,Yards[],28,FALSE))))</f>
        <v/>
      </c>
      <c r="I104" s="143" t="str">
        <f ca="1">IF(YardsAll[[#This Row],[STATUS]]="","",IF(OR(F104="2019-2020",F104="2021-2025"),"",IF(ISNUMBER(SEARCH("LLC",D104)),VLOOKUP(A104,Yards25[],17,FALSE),VLOOKUP(A104,Yards[],17,FALSE))))</f>
        <v/>
      </c>
      <c r="J104" s="143" t="str">
        <f ca="1">IF(YardsAll[[#This Row],[STATUS]]="","",IF(OR(F104="2019-2020",F104="2021-2025"),"",IF(ISNUMBER(SEARCH("LLC",D104)),VLOOKUP(A104,Yards25[],29,FALSE),VLOOKUP(A104,Yards[],29,FALSE))))</f>
        <v/>
      </c>
      <c r="K104" s="143" t="str">
        <f ca="1">IF(YardsAll[[#This Row],[STATUS]]="","",IF(OR(F104="2019-2020",F104="2021-2025"),"",IF(ISNUMBER(SEARCH("LLC",D104)),VLOOKUP(A104,Yards25[],19,FALSE),VLOOKUP(A104,Yards[],19,FALSE))))</f>
        <v/>
      </c>
      <c r="L104" s="143" t="str">
        <f ca="1">IF(IF(OR(F104="2019-2020",F104="2021-2025"),"",IF(ISNUMBER(SEARCH("LLC",D104)),VLOOKUP(A104,Yards25[],20,FALSE),VLOOKUP(A104,Yards[],20,FALSE)))=0,"",IF(OR(F104="2019-2020",F104="2021-2025"),"",IF(ISNUMBER(SEARCH("LLC",D104)),VLOOKUP(A104,Yards25[],20,FALSE),VLOOKUP(A104,Yards[],20,FALSE))))</f>
        <v/>
      </c>
      <c r="M104" s="151">
        <f ca="1">IF(OR(F104="2019-2020",F104="2021-2025"),"",IF(ISNUMBER(SEARCH("LLC",D104)),VLOOKUP(A104,Yards25[],21,FALSE),VLOOKUP(A104,Yards[],21,FALSE)))</f>
        <v>0</v>
      </c>
      <c r="N104" s="151">
        <f ca="1">IF(OR(F104="2019-2020",F104="2021-2025"),"",IF(ISNUMBER(SEARCH("LLC",D104)),VLOOKUP(A104,Yards25[],22,FALSE),VLOOKUP(A104,Yards[],22,FALSE)))</f>
        <v>0</v>
      </c>
      <c r="O104" s="151">
        <f ca="1">SUM(YardsAll[[#This Row],[DSGN ESTIMATE]:[CONS ESTIMATE]])</f>
        <v>0</v>
      </c>
      <c r="P104" s="143"/>
      <c r="Q104" s="143">
        <f ca="1">IF(OR(F104="2019-2020",F104="2021-2025"),"",IF(ISNUMBER(SEARCH("LLC",D104)),VLOOKUP(A104,Yards25[],25,FALSE),VLOOKUP(A104,Yards[],25,FALSE)))</f>
        <v>0</v>
      </c>
      <c r="R104" s="152"/>
    </row>
    <row r="105" spans="1:18">
      <c r="A105" s="147" t="s">
        <v>239</v>
      </c>
      <c r="B105" s="144">
        <f>VLOOKUP(A105,Data[],2,FALSE)</f>
        <v>0</v>
      </c>
      <c r="C105" s="144" t="str">
        <f ca="1">IF(OR(F105="2019-2020",F105="2021-2025"),"",IF(ISNUMBER(SEARCH("LLC",D105)),VLOOKUP(A105,Yards25[],3,FALSE),VLOOKUP(A105,Yards[],3,FALSE)))</f>
        <v>New Waste Yard v1</v>
      </c>
      <c r="D105" s="9" t="str">
        <f>VLOOKUP(A105,Data[],52,FALSE)</f>
        <v>FEDERAL</v>
      </c>
      <c r="E105" s="9">
        <f>VLOOKUP(YardsAll[[#This Row],[DEVELOPMENT]],Data[],62,FALSE)</f>
        <v>0</v>
      </c>
      <c r="F105" s="9" t="str">
        <f ca="1">VLOOKUP(A105,Data[],4,FALSE)</f>
        <v/>
      </c>
      <c r="G105" s="9">
        <f ca="1">IF(OR(YardsAll[[#This Row],[RAD/PACT]]="2019-2020",YardsAll[[#This Row],[RAD/PACT]]="2021-2025"),"",IF(ISNUMBER(SEARCH("1",C105)),2,IF(ISNUMBER(SEARCH("2",C105)),1,IF(ISNUMBER(SEARCH("3",C105)),3,IF(ISNUMBER(SEARCH("4",C105)),4,IF(ISNUMBER(SEARCH("5",C105)),5,IF(ISNUMBER(SEARCH("6",C105)),6,IF(ISNUMBER(SEARCH("7",C105)),7,IF(ISNUMBER(SEARCH("8",C105)),8,0)))))))))</f>
        <v>2</v>
      </c>
      <c r="H105" s="143" t="str">
        <f ca="1">IF(YardsAll[[#This Row],[STATUS]]="","",IF(OR(F105="2019-2020",F105="2021-2025"),"",IF(ISNUMBER(SEARCH("LLC",D105)),VLOOKUP(A105,Yards25[],28,FALSE),VLOOKUP(A105,Yards[],28,FALSE))))</f>
        <v/>
      </c>
      <c r="I105" s="143" t="str">
        <f ca="1">IF(YardsAll[[#This Row],[STATUS]]="","",IF(OR(F105="2019-2020",F105="2021-2025"),"",IF(ISNUMBER(SEARCH("LLC",D105)),VLOOKUP(A105,Yards25[],17,FALSE),VLOOKUP(A105,Yards[],17,FALSE))))</f>
        <v/>
      </c>
      <c r="J105" s="143" t="str">
        <f ca="1">IF(YardsAll[[#This Row],[STATUS]]="","",IF(OR(F105="2019-2020",F105="2021-2025"),"",IF(ISNUMBER(SEARCH("LLC",D105)),VLOOKUP(A105,Yards25[],29,FALSE),VLOOKUP(A105,Yards[],29,FALSE))))</f>
        <v/>
      </c>
      <c r="K105" s="143" t="str">
        <f ca="1">IF(YardsAll[[#This Row],[STATUS]]="","",IF(OR(F105="2019-2020",F105="2021-2025"),"",IF(ISNUMBER(SEARCH("LLC",D105)),VLOOKUP(A105,Yards25[],19,FALSE),VLOOKUP(A105,Yards[],19,FALSE))))</f>
        <v/>
      </c>
      <c r="L105" s="143" t="str">
        <f ca="1">IF(IF(OR(F105="2019-2020",F105="2021-2025"),"",IF(ISNUMBER(SEARCH("LLC",D105)),VLOOKUP(A105,Yards25[],20,FALSE),VLOOKUP(A105,Yards[],20,FALSE)))=0,"",IF(OR(F105="2019-2020",F105="2021-2025"),"",IF(ISNUMBER(SEARCH("LLC",D105)),VLOOKUP(A105,Yards25[],20,FALSE),VLOOKUP(A105,Yards[],20,FALSE))))</f>
        <v/>
      </c>
      <c r="M105" s="151">
        <f ca="1">IF(OR(F105="2019-2020",F105="2021-2025"),"",IF(ISNUMBER(SEARCH("LLC",D105)),VLOOKUP(A105,Yards25[],21,FALSE),VLOOKUP(A105,Yards[],21,FALSE)))</f>
        <v>0</v>
      </c>
      <c r="N105" s="151">
        <f ca="1">IF(OR(F105="2019-2020",F105="2021-2025"),"",IF(ISNUMBER(SEARCH("LLC",D105)),VLOOKUP(A105,Yards25[],22,FALSE),VLOOKUP(A105,Yards[],22,FALSE)))</f>
        <v>0</v>
      </c>
      <c r="O105" s="151">
        <f ca="1">SUM(YardsAll[[#This Row],[DSGN ESTIMATE]:[CONS ESTIMATE]])</f>
        <v>0</v>
      </c>
      <c r="P105" s="143"/>
      <c r="Q105" s="143">
        <f ca="1">IF(OR(F105="2019-2020",F105="2021-2025"),"",IF(ISNUMBER(SEARCH("LLC",D105)),VLOOKUP(A105,Yards25[],25,FALSE),VLOOKUP(A105,Yards[],25,FALSE)))</f>
        <v>0</v>
      </c>
      <c r="R105" s="152"/>
    </row>
    <row r="106" spans="1:18">
      <c r="A106" s="147" t="s">
        <v>240</v>
      </c>
      <c r="B106" s="144">
        <f>VLOOKUP(A106,Data[],2,FALSE)</f>
        <v>0</v>
      </c>
      <c r="C106" s="144" t="str">
        <f ca="1">IF(OR(F106="2019-2020",F106="2021-2025"),"",IF(ISNUMBER(SEARCH("LLC",D106)),VLOOKUP(A106,Yards25[],3,FALSE),VLOOKUP(A106,Yards[],3,FALSE)))</f>
        <v>New Waste Yard v1</v>
      </c>
      <c r="D106" s="9" t="str">
        <f>VLOOKUP(A106,Data[],52,FALSE)</f>
        <v>FEDERAL</v>
      </c>
      <c r="E106" s="9">
        <f>VLOOKUP(YardsAll[[#This Row],[DEVELOPMENT]],Data[],62,FALSE)</f>
        <v>0</v>
      </c>
      <c r="F106" s="9" t="str">
        <f ca="1">VLOOKUP(A106,Data[],4,FALSE)</f>
        <v/>
      </c>
      <c r="G106" s="9">
        <f ca="1">IF(OR(YardsAll[[#This Row],[RAD/PACT]]="2019-2020",YardsAll[[#This Row],[RAD/PACT]]="2021-2025"),"",IF(ISNUMBER(SEARCH("1",C106)),2,IF(ISNUMBER(SEARCH("2",C106)),1,IF(ISNUMBER(SEARCH("3",C106)),3,IF(ISNUMBER(SEARCH("4",C106)),4,IF(ISNUMBER(SEARCH("5",C106)),5,IF(ISNUMBER(SEARCH("6",C106)),6,IF(ISNUMBER(SEARCH("7",C106)),7,IF(ISNUMBER(SEARCH("8",C106)),8,0)))))))))</f>
        <v>2</v>
      </c>
      <c r="H106" s="143" t="str">
        <f ca="1">IF(YardsAll[[#This Row],[STATUS]]="","",IF(OR(F106="2019-2020",F106="2021-2025"),"",IF(ISNUMBER(SEARCH("LLC",D106)),VLOOKUP(A106,Yards25[],28,FALSE),VLOOKUP(A106,Yards[],28,FALSE))))</f>
        <v/>
      </c>
      <c r="I106" s="143" t="str">
        <f ca="1">IF(YardsAll[[#This Row],[STATUS]]="","",IF(OR(F106="2019-2020",F106="2021-2025"),"",IF(ISNUMBER(SEARCH("LLC",D106)),VLOOKUP(A106,Yards25[],17,FALSE),VLOOKUP(A106,Yards[],17,FALSE))))</f>
        <v/>
      </c>
      <c r="J106" s="143" t="str">
        <f ca="1">IF(YardsAll[[#This Row],[STATUS]]="","",IF(OR(F106="2019-2020",F106="2021-2025"),"",IF(ISNUMBER(SEARCH("LLC",D106)),VLOOKUP(A106,Yards25[],29,FALSE),VLOOKUP(A106,Yards[],29,FALSE))))</f>
        <v/>
      </c>
      <c r="K106" s="143" t="str">
        <f ca="1">IF(YardsAll[[#This Row],[STATUS]]="","",IF(OR(F106="2019-2020",F106="2021-2025"),"",IF(ISNUMBER(SEARCH("LLC",D106)),VLOOKUP(A106,Yards25[],19,FALSE),VLOOKUP(A106,Yards[],19,FALSE))))</f>
        <v/>
      </c>
      <c r="L106" s="143" t="str">
        <f ca="1">IF(IF(OR(F106="2019-2020",F106="2021-2025"),"",IF(ISNUMBER(SEARCH("LLC",D106)),VLOOKUP(A106,Yards25[],20,FALSE),VLOOKUP(A106,Yards[],20,FALSE)))=0,"",IF(OR(F106="2019-2020",F106="2021-2025"),"",IF(ISNUMBER(SEARCH("LLC",D106)),VLOOKUP(A106,Yards25[],20,FALSE),VLOOKUP(A106,Yards[],20,FALSE))))</f>
        <v/>
      </c>
      <c r="M106" s="151">
        <f ca="1">IF(OR(F106="2019-2020",F106="2021-2025"),"",IF(ISNUMBER(SEARCH("LLC",D106)),VLOOKUP(A106,Yards25[],21,FALSE),VLOOKUP(A106,Yards[],21,FALSE)))</f>
        <v>0</v>
      </c>
      <c r="N106" s="151">
        <f ca="1">IF(OR(F106="2019-2020",F106="2021-2025"),"",IF(ISNUMBER(SEARCH("LLC",D106)),VLOOKUP(A106,Yards25[],22,FALSE),VLOOKUP(A106,Yards[],22,FALSE)))</f>
        <v>0</v>
      </c>
      <c r="O106" s="151">
        <f ca="1">SUM(YardsAll[[#This Row],[DSGN ESTIMATE]:[CONS ESTIMATE]])</f>
        <v>0</v>
      </c>
      <c r="P106" s="143"/>
      <c r="Q106" s="143">
        <f ca="1">IF(OR(F106="2019-2020",F106="2021-2025"),"",IF(ISNUMBER(SEARCH("LLC",D106)),VLOOKUP(A106,Yards25[],25,FALSE),VLOOKUP(A106,Yards[],25,FALSE)))</f>
        <v>0</v>
      </c>
      <c r="R106" s="152"/>
    </row>
    <row r="107" spans="1:18">
      <c r="A107" s="147" t="s">
        <v>320</v>
      </c>
      <c r="B107" s="144">
        <f>VLOOKUP(A107,Data[],2,FALSE)</f>
        <v>0</v>
      </c>
      <c r="C107" s="144" t="str">
        <f ca="1">IF(OR(F107="2019-2020",F107="2021-2025"),"",IF(ISNUMBER(SEARCH("LLC",D107)),VLOOKUP(A107,Yards25[],3,FALSE),VLOOKUP(A107,Yards[],3,FALSE)))</f>
        <v>New Waste Yard v1</v>
      </c>
      <c r="D107" s="9" t="str">
        <f>VLOOKUP(A107,Data[],52,FALSE)</f>
        <v>FEDERAL</v>
      </c>
      <c r="E107" s="9">
        <f>VLOOKUP(YardsAll[[#This Row],[DEVELOPMENT]],Data[],62,FALSE)</f>
        <v>0</v>
      </c>
      <c r="F107" s="9" t="str">
        <f ca="1">VLOOKUP(A107,Data[],4,FALSE)</f>
        <v/>
      </c>
      <c r="G107" s="9">
        <f ca="1">IF(OR(YardsAll[[#This Row],[RAD/PACT]]="2019-2020",YardsAll[[#This Row],[RAD/PACT]]="2021-2025"),"",IF(ISNUMBER(SEARCH("1",C107)),2,IF(ISNUMBER(SEARCH("2",C107)),1,IF(ISNUMBER(SEARCH("3",C107)),3,IF(ISNUMBER(SEARCH("4",C107)),4,IF(ISNUMBER(SEARCH("5",C107)),5,IF(ISNUMBER(SEARCH("6",C107)),6,IF(ISNUMBER(SEARCH("7",C107)),7,IF(ISNUMBER(SEARCH("8",C107)),8,0)))))))))</f>
        <v>2</v>
      </c>
      <c r="H107" s="143" t="str">
        <f ca="1">IF(YardsAll[[#This Row],[STATUS]]="","",IF(OR(F107="2019-2020",F107="2021-2025"),"",IF(ISNUMBER(SEARCH("LLC",D107)),VLOOKUP(A107,Yards25[],28,FALSE),VLOOKUP(A107,Yards[],28,FALSE))))</f>
        <v/>
      </c>
      <c r="I107" s="143" t="str">
        <f ca="1">IF(YardsAll[[#This Row],[STATUS]]="","",IF(OR(F107="2019-2020",F107="2021-2025"),"",IF(ISNUMBER(SEARCH("LLC",D107)),VLOOKUP(A107,Yards25[],17,FALSE),VLOOKUP(A107,Yards[],17,FALSE))))</f>
        <v/>
      </c>
      <c r="J107" s="143" t="str">
        <f ca="1">IF(YardsAll[[#This Row],[STATUS]]="","",IF(OR(F107="2019-2020",F107="2021-2025"),"",IF(ISNUMBER(SEARCH("LLC",D107)),VLOOKUP(A107,Yards25[],29,FALSE),VLOOKUP(A107,Yards[],29,FALSE))))</f>
        <v/>
      </c>
      <c r="K107" s="143" t="str">
        <f ca="1">IF(YardsAll[[#This Row],[STATUS]]="","",IF(OR(F107="2019-2020",F107="2021-2025"),"",IF(ISNUMBER(SEARCH("LLC",D107)),VLOOKUP(A107,Yards25[],19,FALSE),VLOOKUP(A107,Yards[],19,FALSE))))</f>
        <v/>
      </c>
      <c r="L107" s="143" t="str">
        <f ca="1">IF(IF(OR(F107="2019-2020",F107="2021-2025"),"",IF(ISNUMBER(SEARCH("LLC",D107)),VLOOKUP(A107,Yards25[],20,FALSE),VLOOKUP(A107,Yards[],20,FALSE)))=0,"",IF(OR(F107="2019-2020",F107="2021-2025"),"",IF(ISNUMBER(SEARCH("LLC",D107)),VLOOKUP(A107,Yards25[],20,FALSE),VLOOKUP(A107,Yards[],20,FALSE))))</f>
        <v/>
      </c>
      <c r="M107" s="151">
        <f ca="1">IF(OR(F107="2019-2020",F107="2021-2025"),"",IF(ISNUMBER(SEARCH("LLC",D107)),VLOOKUP(A107,Yards25[],21,FALSE),VLOOKUP(A107,Yards[],21,FALSE)))</f>
        <v>0</v>
      </c>
      <c r="N107" s="151">
        <f ca="1">IF(OR(F107="2019-2020",F107="2021-2025"),"",IF(ISNUMBER(SEARCH("LLC",D107)),VLOOKUP(A107,Yards25[],22,FALSE),VLOOKUP(A107,Yards[],22,FALSE)))</f>
        <v>0</v>
      </c>
      <c r="O107" s="151">
        <f ca="1">SUM(YardsAll[[#This Row],[DSGN ESTIMATE]:[CONS ESTIMATE]])</f>
        <v>0</v>
      </c>
      <c r="P107" s="143"/>
      <c r="Q107" s="143">
        <f ca="1">IF(OR(F107="2019-2020",F107="2021-2025"),"",IF(ISNUMBER(SEARCH("LLC",D107)),VLOOKUP(A107,Yards25[],25,FALSE),VLOOKUP(A107,Yards[],25,FALSE)))</f>
        <v>0</v>
      </c>
      <c r="R107" s="152"/>
    </row>
    <row r="108" spans="1:18">
      <c r="A108" s="147" t="s">
        <v>321</v>
      </c>
      <c r="B108" s="144">
        <f>VLOOKUP(A108,Data[],2,FALSE)</f>
        <v>0</v>
      </c>
      <c r="C108" s="144" t="str">
        <f ca="1">IF(OR(F108="2019-2020",F108="2021-2025"),"",IF(ISNUMBER(SEARCH("LLC",D108)),VLOOKUP(A108,Yards25[],3,FALSE),VLOOKUP(A108,Yards[],3,FALSE)))</f>
        <v>New Waste Yard v1</v>
      </c>
      <c r="D108" s="9" t="str">
        <f>VLOOKUP(A108,Data[],52,FALSE)</f>
        <v>FEDERAL</v>
      </c>
      <c r="E108" s="9">
        <f>VLOOKUP(YardsAll[[#This Row],[DEVELOPMENT]],Data[],62,FALSE)</f>
        <v>0</v>
      </c>
      <c r="F108" s="9" t="str">
        <f ca="1">VLOOKUP(A108,Data[],4,FALSE)</f>
        <v/>
      </c>
      <c r="G108" s="9">
        <f ca="1">IF(OR(YardsAll[[#This Row],[RAD/PACT]]="2019-2020",YardsAll[[#This Row],[RAD/PACT]]="2021-2025"),"",IF(ISNUMBER(SEARCH("1",C108)),2,IF(ISNUMBER(SEARCH("2",C108)),1,IF(ISNUMBER(SEARCH("3",C108)),3,IF(ISNUMBER(SEARCH("4",C108)),4,IF(ISNUMBER(SEARCH("5",C108)),5,IF(ISNUMBER(SEARCH("6",C108)),6,IF(ISNUMBER(SEARCH("7",C108)),7,IF(ISNUMBER(SEARCH("8",C108)),8,0)))))))))</f>
        <v>2</v>
      </c>
      <c r="H108" s="143" t="str">
        <f ca="1">IF(YardsAll[[#This Row],[STATUS]]="","",IF(OR(F108="2019-2020",F108="2021-2025"),"",IF(ISNUMBER(SEARCH("LLC",D108)),VLOOKUP(A108,Yards25[],28,FALSE),VLOOKUP(A108,Yards[],28,FALSE))))</f>
        <v/>
      </c>
      <c r="I108" s="143" t="str">
        <f ca="1">IF(YardsAll[[#This Row],[STATUS]]="","",IF(OR(F108="2019-2020",F108="2021-2025"),"",IF(ISNUMBER(SEARCH("LLC",D108)),VLOOKUP(A108,Yards25[],17,FALSE),VLOOKUP(A108,Yards[],17,FALSE))))</f>
        <v/>
      </c>
      <c r="J108" s="143" t="str">
        <f ca="1">IF(YardsAll[[#This Row],[STATUS]]="","",IF(OR(F108="2019-2020",F108="2021-2025"),"",IF(ISNUMBER(SEARCH("LLC",D108)),VLOOKUP(A108,Yards25[],29,FALSE),VLOOKUP(A108,Yards[],29,FALSE))))</f>
        <v/>
      </c>
      <c r="K108" s="143" t="str">
        <f ca="1">IF(YardsAll[[#This Row],[STATUS]]="","",IF(OR(F108="2019-2020",F108="2021-2025"),"",IF(ISNUMBER(SEARCH("LLC",D108)),VLOOKUP(A108,Yards25[],19,FALSE),VLOOKUP(A108,Yards[],19,FALSE))))</f>
        <v/>
      </c>
      <c r="L108" s="143" t="str">
        <f ca="1">IF(IF(OR(F108="2019-2020",F108="2021-2025"),"",IF(ISNUMBER(SEARCH("LLC",D108)),VLOOKUP(A108,Yards25[],20,FALSE),VLOOKUP(A108,Yards[],20,FALSE)))=0,"",IF(OR(F108="2019-2020",F108="2021-2025"),"",IF(ISNUMBER(SEARCH("LLC",D108)),VLOOKUP(A108,Yards25[],20,FALSE),VLOOKUP(A108,Yards[],20,FALSE))))</f>
        <v/>
      </c>
      <c r="M108" s="151">
        <f ca="1">IF(OR(F108="2019-2020",F108="2021-2025"),"",IF(ISNUMBER(SEARCH("LLC",D108)),VLOOKUP(A108,Yards25[],21,FALSE),VLOOKUP(A108,Yards[],21,FALSE)))</f>
        <v>0</v>
      </c>
      <c r="N108" s="151">
        <f ca="1">IF(OR(F108="2019-2020",F108="2021-2025"),"",IF(ISNUMBER(SEARCH("LLC",D108)),VLOOKUP(A108,Yards25[],22,FALSE),VLOOKUP(A108,Yards[],22,FALSE)))</f>
        <v>0</v>
      </c>
      <c r="O108" s="151">
        <f ca="1">SUM(YardsAll[[#This Row],[DSGN ESTIMATE]:[CONS ESTIMATE]])</f>
        <v>0</v>
      </c>
      <c r="P108" s="143"/>
      <c r="Q108" s="143">
        <f ca="1">IF(OR(F108="2019-2020",F108="2021-2025"),"",IF(ISNUMBER(SEARCH("LLC",D108)),VLOOKUP(A108,Yards25[],25,FALSE),VLOOKUP(A108,Yards[],25,FALSE)))</f>
        <v>0</v>
      </c>
      <c r="R108" s="152"/>
    </row>
    <row r="109" spans="1:18">
      <c r="A109" s="147" t="s">
        <v>322</v>
      </c>
      <c r="B109" s="144">
        <f>VLOOKUP(A109,Data[],2,FALSE)</f>
        <v>0</v>
      </c>
      <c r="C109" s="144" t="str">
        <f ca="1">IF(OR(F109="2019-2020",F109="2021-2025"),"",IF(ISNUMBER(SEARCH("LLC",D109)),VLOOKUP(A109,Yards25[],3,FALSE),VLOOKUP(A109,Yards[],3,FALSE)))</f>
        <v>New Waste Yard v1</v>
      </c>
      <c r="D109" s="9" t="str">
        <f>VLOOKUP(A109,Data[],52,FALSE)</f>
        <v>FEDERAL</v>
      </c>
      <c r="E109" s="9">
        <f>VLOOKUP(YardsAll[[#This Row],[DEVELOPMENT]],Data[],62,FALSE)</f>
        <v>0</v>
      </c>
      <c r="F109" s="9" t="str">
        <f ca="1">VLOOKUP(A109,Data[],4,FALSE)</f>
        <v/>
      </c>
      <c r="G109" s="9">
        <f ca="1">IF(OR(YardsAll[[#This Row],[RAD/PACT]]="2019-2020",YardsAll[[#This Row],[RAD/PACT]]="2021-2025"),"",IF(ISNUMBER(SEARCH("1",C109)),2,IF(ISNUMBER(SEARCH("2",C109)),1,IF(ISNUMBER(SEARCH("3",C109)),3,IF(ISNUMBER(SEARCH("4",C109)),4,IF(ISNUMBER(SEARCH("5",C109)),5,IF(ISNUMBER(SEARCH("6",C109)),6,IF(ISNUMBER(SEARCH("7",C109)),7,IF(ISNUMBER(SEARCH("8",C109)),8,0)))))))))</f>
        <v>2</v>
      </c>
      <c r="H109" s="143" t="str">
        <f ca="1">IF(YardsAll[[#This Row],[STATUS]]="","",IF(OR(F109="2019-2020",F109="2021-2025"),"",IF(ISNUMBER(SEARCH("LLC",D109)),VLOOKUP(A109,Yards25[],28,FALSE),VLOOKUP(A109,Yards[],28,FALSE))))</f>
        <v/>
      </c>
      <c r="I109" s="143" t="str">
        <f ca="1">IF(YardsAll[[#This Row],[STATUS]]="","",IF(OR(F109="2019-2020",F109="2021-2025"),"",IF(ISNUMBER(SEARCH("LLC",D109)),VLOOKUP(A109,Yards25[],17,FALSE),VLOOKUP(A109,Yards[],17,FALSE))))</f>
        <v/>
      </c>
      <c r="J109" s="143" t="str">
        <f ca="1">IF(YardsAll[[#This Row],[STATUS]]="","",IF(OR(F109="2019-2020",F109="2021-2025"),"",IF(ISNUMBER(SEARCH("LLC",D109)),VLOOKUP(A109,Yards25[],29,FALSE),VLOOKUP(A109,Yards[],29,FALSE))))</f>
        <v/>
      </c>
      <c r="K109" s="143" t="str">
        <f ca="1">IF(YardsAll[[#This Row],[STATUS]]="","",IF(OR(F109="2019-2020",F109="2021-2025"),"",IF(ISNUMBER(SEARCH("LLC",D109)),VLOOKUP(A109,Yards25[],19,FALSE),VLOOKUP(A109,Yards[],19,FALSE))))</f>
        <v/>
      </c>
      <c r="L109" s="143" t="str">
        <f ca="1">IF(IF(OR(F109="2019-2020",F109="2021-2025"),"",IF(ISNUMBER(SEARCH("LLC",D109)),VLOOKUP(A109,Yards25[],20,FALSE),VLOOKUP(A109,Yards[],20,FALSE)))=0,"",IF(OR(F109="2019-2020",F109="2021-2025"),"",IF(ISNUMBER(SEARCH("LLC",D109)),VLOOKUP(A109,Yards25[],20,FALSE),VLOOKUP(A109,Yards[],20,FALSE))))</f>
        <v/>
      </c>
      <c r="M109" s="151">
        <f ca="1">IF(OR(F109="2019-2020",F109="2021-2025"),"",IF(ISNUMBER(SEARCH("LLC",D109)),VLOOKUP(A109,Yards25[],21,FALSE),VLOOKUP(A109,Yards[],21,FALSE)))</f>
        <v>0</v>
      </c>
      <c r="N109" s="151">
        <f ca="1">IF(OR(F109="2019-2020",F109="2021-2025"),"",IF(ISNUMBER(SEARCH("LLC",D109)),VLOOKUP(A109,Yards25[],22,FALSE),VLOOKUP(A109,Yards[],22,FALSE)))</f>
        <v>0</v>
      </c>
      <c r="O109" s="151">
        <f ca="1">SUM(YardsAll[[#This Row],[DSGN ESTIMATE]:[CONS ESTIMATE]])</f>
        <v>0</v>
      </c>
      <c r="P109" s="143"/>
      <c r="Q109" s="143">
        <f ca="1">IF(OR(F109="2019-2020",F109="2021-2025"),"",IF(ISNUMBER(SEARCH("LLC",D109)),VLOOKUP(A109,Yards25[],25,FALSE),VLOOKUP(A109,Yards[],25,FALSE)))</f>
        <v>0</v>
      </c>
      <c r="R109" s="152"/>
    </row>
    <row r="110" spans="1:18">
      <c r="A110" s="147" t="s">
        <v>241</v>
      </c>
      <c r="B110" s="144">
        <f>VLOOKUP(A110,Data[],2,FALSE)</f>
        <v>0</v>
      </c>
      <c r="C110" s="144" t="str">
        <f ca="1">IF(OR(F110="2019-2020",F110="2021-2025"),"",IF(ISNUMBER(SEARCH("LLC",D110)),VLOOKUP(A110,Yards25[],3,FALSE),VLOOKUP(A110,Yards[],3,FALSE)))</f>
        <v>New Waste Yard v1</v>
      </c>
      <c r="D110" s="9" t="str">
        <f>VLOOKUP(A110,Data[],52,FALSE)</f>
        <v>FEDERAL</v>
      </c>
      <c r="E110" s="9">
        <f>VLOOKUP(YardsAll[[#This Row],[DEVELOPMENT]],Data[],62,FALSE)</f>
        <v>0</v>
      </c>
      <c r="F110" s="9" t="str">
        <f ca="1">VLOOKUP(A110,Data[],4,FALSE)</f>
        <v/>
      </c>
      <c r="G110" s="9">
        <f ca="1">IF(OR(YardsAll[[#This Row],[RAD/PACT]]="2019-2020",YardsAll[[#This Row],[RAD/PACT]]="2021-2025"),"",IF(ISNUMBER(SEARCH("1",C110)),2,IF(ISNUMBER(SEARCH("2",C110)),1,IF(ISNUMBER(SEARCH("3",C110)),3,IF(ISNUMBER(SEARCH("4",C110)),4,IF(ISNUMBER(SEARCH("5",C110)),5,IF(ISNUMBER(SEARCH("6",C110)),6,IF(ISNUMBER(SEARCH("7",C110)),7,IF(ISNUMBER(SEARCH("8",C110)),8,0)))))))))</f>
        <v>2</v>
      </c>
      <c r="H110" s="143" t="str">
        <f ca="1">IF(YardsAll[[#This Row],[STATUS]]="","",IF(OR(F110="2019-2020",F110="2021-2025"),"",IF(ISNUMBER(SEARCH("LLC",D110)),VLOOKUP(A110,Yards25[],28,FALSE),VLOOKUP(A110,Yards[],28,FALSE))))</f>
        <v/>
      </c>
      <c r="I110" s="143" t="str">
        <f ca="1">IF(YardsAll[[#This Row],[STATUS]]="","",IF(OR(F110="2019-2020",F110="2021-2025"),"",IF(ISNUMBER(SEARCH("LLC",D110)),VLOOKUP(A110,Yards25[],17,FALSE),VLOOKUP(A110,Yards[],17,FALSE))))</f>
        <v/>
      </c>
      <c r="J110" s="143" t="str">
        <f ca="1">IF(YardsAll[[#This Row],[STATUS]]="","",IF(OR(F110="2019-2020",F110="2021-2025"),"",IF(ISNUMBER(SEARCH("LLC",D110)),VLOOKUP(A110,Yards25[],29,FALSE),VLOOKUP(A110,Yards[],29,FALSE))))</f>
        <v/>
      </c>
      <c r="K110" s="143" t="str">
        <f ca="1">IF(YardsAll[[#This Row],[STATUS]]="","",IF(OR(F110="2019-2020",F110="2021-2025"),"",IF(ISNUMBER(SEARCH("LLC",D110)),VLOOKUP(A110,Yards25[],19,FALSE),VLOOKUP(A110,Yards[],19,FALSE))))</f>
        <v/>
      </c>
      <c r="L110" s="143" t="str">
        <f ca="1">IF(IF(OR(F110="2019-2020",F110="2021-2025"),"",IF(ISNUMBER(SEARCH("LLC",D110)),VLOOKUP(A110,Yards25[],20,FALSE),VLOOKUP(A110,Yards[],20,FALSE)))=0,"",IF(OR(F110="2019-2020",F110="2021-2025"),"",IF(ISNUMBER(SEARCH("LLC",D110)),VLOOKUP(A110,Yards25[],20,FALSE),VLOOKUP(A110,Yards[],20,FALSE))))</f>
        <v/>
      </c>
      <c r="M110" s="151">
        <f ca="1">IF(OR(F110="2019-2020",F110="2021-2025"),"",IF(ISNUMBER(SEARCH("LLC",D110)),VLOOKUP(A110,Yards25[],21,FALSE),VLOOKUP(A110,Yards[],21,FALSE)))</f>
        <v>0</v>
      </c>
      <c r="N110" s="151">
        <f ca="1">IF(OR(F110="2019-2020",F110="2021-2025"),"",IF(ISNUMBER(SEARCH("LLC",D110)),VLOOKUP(A110,Yards25[],22,FALSE),VLOOKUP(A110,Yards[],22,FALSE)))</f>
        <v>0</v>
      </c>
      <c r="O110" s="151">
        <f ca="1">SUM(YardsAll[[#This Row],[DSGN ESTIMATE]:[CONS ESTIMATE]])</f>
        <v>0</v>
      </c>
      <c r="P110" s="143"/>
      <c r="Q110" s="143">
        <f ca="1">IF(OR(F110="2019-2020",F110="2021-2025"),"",IF(ISNUMBER(SEARCH("LLC",D110)),VLOOKUP(A110,Yards25[],25,FALSE),VLOOKUP(A110,Yards[],25,FALSE)))</f>
        <v>0</v>
      </c>
      <c r="R110" s="152"/>
    </row>
    <row r="111" spans="1:18">
      <c r="A111" s="147" t="s">
        <v>323</v>
      </c>
      <c r="B111" s="144">
        <f>VLOOKUP(A111,Data[],2,FALSE)</f>
        <v>0</v>
      </c>
      <c r="C111" s="144" t="str">
        <f ca="1">IF(OR(F111="2019-2020",F111="2021-2025"),"",IF(ISNUMBER(SEARCH("LLC",D111)),VLOOKUP(A111,Yards25[],3,FALSE),VLOOKUP(A111,Yards[],3,FALSE)))</f>
        <v>New Waste Yard v1</v>
      </c>
      <c r="D111" s="9" t="str">
        <f>VLOOKUP(A111,Data[],52,FALSE)</f>
        <v>FEDERAL</v>
      </c>
      <c r="E111" s="9">
        <f>VLOOKUP(YardsAll[[#This Row],[DEVELOPMENT]],Data[],62,FALSE)</f>
        <v>0</v>
      </c>
      <c r="F111" s="9" t="str">
        <f ca="1">VLOOKUP(A111,Data[],4,FALSE)</f>
        <v/>
      </c>
      <c r="G111" s="9">
        <f ca="1">IF(OR(YardsAll[[#This Row],[RAD/PACT]]="2019-2020",YardsAll[[#This Row],[RAD/PACT]]="2021-2025"),"",IF(ISNUMBER(SEARCH("1",C111)),2,IF(ISNUMBER(SEARCH("2",C111)),1,IF(ISNUMBER(SEARCH("3",C111)),3,IF(ISNUMBER(SEARCH("4",C111)),4,IF(ISNUMBER(SEARCH("5",C111)),5,IF(ISNUMBER(SEARCH("6",C111)),6,IF(ISNUMBER(SEARCH("7",C111)),7,IF(ISNUMBER(SEARCH("8",C111)),8,0)))))))))</f>
        <v>2</v>
      </c>
      <c r="H111" s="143" t="str">
        <f ca="1">IF(YardsAll[[#This Row],[STATUS]]="","",IF(OR(F111="2019-2020",F111="2021-2025"),"",IF(ISNUMBER(SEARCH("LLC",D111)),VLOOKUP(A111,Yards25[],28,FALSE),VLOOKUP(A111,Yards[],28,FALSE))))</f>
        <v/>
      </c>
      <c r="I111" s="143" t="str">
        <f ca="1">IF(YardsAll[[#This Row],[STATUS]]="","",IF(OR(F111="2019-2020",F111="2021-2025"),"",IF(ISNUMBER(SEARCH("LLC",D111)),VLOOKUP(A111,Yards25[],17,FALSE),VLOOKUP(A111,Yards[],17,FALSE))))</f>
        <v/>
      </c>
      <c r="J111" s="143" t="str">
        <f ca="1">IF(YardsAll[[#This Row],[STATUS]]="","",IF(OR(F111="2019-2020",F111="2021-2025"),"",IF(ISNUMBER(SEARCH("LLC",D111)),VLOOKUP(A111,Yards25[],29,FALSE),VLOOKUP(A111,Yards[],29,FALSE))))</f>
        <v/>
      </c>
      <c r="K111" s="143" t="str">
        <f ca="1">IF(YardsAll[[#This Row],[STATUS]]="","",IF(OR(F111="2019-2020",F111="2021-2025"),"",IF(ISNUMBER(SEARCH("LLC",D111)),VLOOKUP(A111,Yards25[],19,FALSE),VLOOKUP(A111,Yards[],19,FALSE))))</f>
        <v/>
      </c>
      <c r="L111" s="143" t="str">
        <f ca="1">IF(IF(OR(F111="2019-2020",F111="2021-2025"),"",IF(ISNUMBER(SEARCH("LLC",D111)),VLOOKUP(A111,Yards25[],20,FALSE),VLOOKUP(A111,Yards[],20,FALSE)))=0,"",IF(OR(F111="2019-2020",F111="2021-2025"),"",IF(ISNUMBER(SEARCH("LLC",D111)),VLOOKUP(A111,Yards25[],20,FALSE),VLOOKUP(A111,Yards[],20,FALSE))))</f>
        <v/>
      </c>
      <c r="M111" s="151">
        <f ca="1">IF(OR(F111="2019-2020",F111="2021-2025"),"",IF(ISNUMBER(SEARCH("LLC",D111)),VLOOKUP(A111,Yards25[],21,FALSE),VLOOKUP(A111,Yards[],21,FALSE)))</f>
        <v>0</v>
      </c>
      <c r="N111" s="151">
        <f ca="1">IF(OR(F111="2019-2020",F111="2021-2025"),"",IF(ISNUMBER(SEARCH("LLC",D111)),VLOOKUP(A111,Yards25[],22,FALSE),VLOOKUP(A111,Yards[],22,FALSE)))</f>
        <v>0</v>
      </c>
      <c r="O111" s="151">
        <f ca="1">SUM(YardsAll[[#This Row],[DSGN ESTIMATE]:[CONS ESTIMATE]])</f>
        <v>0</v>
      </c>
      <c r="P111" s="143"/>
      <c r="Q111" s="143">
        <f ca="1">IF(OR(F111="2019-2020",F111="2021-2025"),"",IF(ISNUMBER(SEARCH("LLC",D111)),VLOOKUP(A111,Yards25[],25,FALSE),VLOOKUP(A111,Yards[],25,FALSE)))</f>
        <v>0</v>
      </c>
      <c r="R111" s="152"/>
    </row>
    <row r="112" spans="1:18">
      <c r="A112" s="147" t="s">
        <v>203</v>
      </c>
      <c r="B112" s="144" t="str">
        <f>VLOOKUP(A112,Data[],2,FALSE)</f>
        <v>BROOKLYN</v>
      </c>
      <c r="C112" s="144" t="str">
        <f ca="1">IF(OR(F112="2019-2020",F112="2021-2025"),"",IF(ISNUMBER(SEARCH("LLC",D112)),VLOOKUP(A112,Yards25[],3,FALSE),VLOOKUP(A112,Yards[],3,FALSE)))</f>
        <v>New Waste Yard v1</v>
      </c>
      <c r="D112" s="9" t="str">
        <f>VLOOKUP(A112,Data[],52,FALSE)</f>
        <v>FEDERAL</v>
      </c>
      <c r="E112" s="9">
        <f>VLOOKUP(YardsAll[[#This Row],[DEVELOPMENT]],Data[],62,FALSE)</f>
        <v>5</v>
      </c>
      <c r="F112" s="9" t="str">
        <f ca="1">VLOOKUP(A112,Data[],4,FALSE)</f>
        <v>2026+</v>
      </c>
      <c r="G112" s="9">
        <f ca="1">IF(OR(YardsAll[[#This Row],[RAD/PACT]]="2019-2020",YardsAll[[#This Row],[RAD/PACT]]="2021-2025"),"",IF(ISNUMBER(SEARCH("1",C112)),2,IF(ISNUMBER(SEARCH("2",C112)),1,IF(ISNUMBER(SEARCH("3",C112)),3,IF(ISNUMBER(SEARCH("4",C112)),4,IF(ISNUMBER(SEARCH("5",C112)),5,IF(ISNUMBER(SEARCH("6",C112)),6,IF(ISNUMBER(SEARCH("7",C112)),7,IF(ISNUMBER(SEARCH("8",C112)),8,0)))))))))</f>
        <v>2</v>
      </c>
      <c r="H112" s="143" t="str">
        <f ca="1">IF(YardsAll[[#This Row],[STATUS]]="","",IF(OR(F112="2019-2020",F112="2021-2025"),"",IF(ISNUMBER(SEARCH("LLC",D112)),VLOOKUP(A112,Yards25[],28,FALSE),VLOOKUP(A112,Yards[],28,FALSE))))</f>
        <v/>
      </c>
      <c r="I112" s="143" t="str">
        <f ca="1">IF(YardsAll[[#This Row],[STATUS]]="","",IF(OR(F112="2019-2020",F112="2021-2025"),"",IF(ISNUMBER(SEARCH("LLC",D112)),VLOOKUP(A112,Yards25[],17,FALSE),VLOOKUP(A112,Yards[],17,FALSE))))</f>
        <v/>
      </c>
      <c r="J112" s="143" t="str">
        <f ca="1">IF(YardsAll[[#This Row],[STATUS]]="","",IF(OR(F112="2019-2020",F112="2021-2025"),"",IF(ISNUMBER(SEARCH("LLC",D112)),VLOOKUP(A112,Yards25[],29,FALSE),VLOOKUP(A112,Yards[],29,FALSE))))</f>
        <v/>
      </c>
      <c r="K112" s="143" t="str">
        <f ca="1">IF(YardsAll[[#This Row],[STATUS]]="","",IF(OR(F112="2019-2020",F112="2021-2025"),"",IF(ISNUMBER(SEARCH("LLC",D112)),VLOOKUP(A112,Yards25[],19,FALSE),VLOOKUP(A112,Yards[],19,FALSE))))</f>
        <v/>
      </c>
      <c r="L112" s="143" t="str">
        <f ca="1">IF(IF(OR(F112="2019-2020",F112="2021-2025"),"",IF(ISNUMBER(SEARCH("LLC",D112)),VLOOKUP(A112,Yards25[],20,FALSE),VLOOKUP(A112,Yards[],20,FALSE)))=0,"",IF(OR(F112="2019-2020",F112="2021-2025"),"",IF(ISNUMBER(SEARCH("LLC",D112)),VLOOKUP(A112,Yards25[],20,FALSE),VLOOKUP(A112,Yards[],20,FALSE))))</f>
        <v/>
      </c>
      <c r="M112" s="151">
        <f ca="1">IF(OR(F112="2019-2020",F112="2021-2025"),"",IF(ISNUMBER(SEARCH("LLC",D112)),VLOOKUP(A112,Yards25[],21,FALSE),VLOOKUP(A112,Yards[],21,FALSE)))</f>
        <v>193407.39567800006</v>
      </c>
      <c r="N112" s="151">
        <f ca="1">IF(OR(F112="2019-2020",F112="2021-2025"),"",IF(ISNUMBER(SEARCH("LLC",D112)),VLOOKUP(A112,Yards25[],22,FALSE),VLOOKUP(A112,Yards[],22,FALSE)))</f>
        <v>1740666.5611020005</v>
      </c>
      <c r="O112" s="151">
        <f ca="1">SUM(YardsAll[[#This Row],[DSGN ESTIMATE]:[CONS ESTIMATE]])</f>
        <v>1934073.9567800006</v>
      </c>
      <c r="P112" s="143"/>
      <c r="Q112" s="143">
        <f ca="1">IF(OR(F112="2019-2020",F112="2021-2025"),"",IF(ISNUMBER(SEARCH("LLC",D112)),VLOOKUP(A112,Yards25[],25,FALSE),VLOOKUP(A112,Yards[],25,FALSE)))</f>
        <v>0</v>
      </c>
      <c r="R112" s="152"/>
    </row>
    <row r="113" spans="1:18">
      <c r="A113" s="148" t="s">
        <v>242</v>
      </c>
      <c r="B113" s="144" t="str">
        <f>VLOOKUP(A113,Data[],2,FALSE)</f>
        <v>MANHATTAN</v>
      </c>
      <c r="C113" s="144" t="str">
        <f ca="1">IF(OR(F113="2019-2020",F113="2021-2025"),"",IF(ISNUMBER(SEARCH("LLC",D113)),VLOOKUP(A113,Yards25[],3,FALSE),VLOOKUP(A113,Yards[],3,FALSE)))</f>
        <v>New Waste Yard v1</v>
      </c>
      <c r="D113" s="9" t="str">
        <f>VLOOKUP(A113,Data[],52,FALSE)</f>
        <v>FEDERAL</v>
      </c>
      <c r="E113" s="9">
        <f>VLOOKUP(YardsAll[[#This Row],[DEVELOPMENT]],Data[],62,FALSE)</f>
        <v>3</v>
      </c>
      <c r="F113" s="9" t="str">
        <f ca="1">VLOOKUP(A113,Data[],4,FALSE)</f>
        <v>2026+</v>
      </c>
      <c r="G113" s="9">
        <f ca="1">IF(OR(YardsAll[[#This Row],[RAD/PACT]]="2019-2020",YardsAll[[#This Row],[RAD/PACT]]="2021-2025"),"",IF(ISNUMBER(SEARCH("1",C113)),2,IF(ISNUMBER(SEARCH("2",C113)),1,IF(ISNUMBER(SEARCH("3",C113)),3,IF(ISNUMBER(SEARCH("4",C113)),4,IF(ISNUMBER(SEARCH("5",C113)),5,IF(ISNUMBER(SEARCH("6",C113)),6,IF(ISNUMBER(SEARCH("7",C113)),7,IF(ISNUMBER(SEARCH("8",C113)),8,0)))))))))</f>
        <v>2</v>
      </c>
      <c r="H113" s="143" t="str">
        <f ca="1">IF(YardsAll[[#This Row],[STATUS]]="","",IF(OR(F113="2019-2020",F113="2021-2025"),"",IF(ISNUMBER(SEARCH("LLC",D113)),VLOOKUP(A113,Yards25[],28,FALSE),VLOOKUP(A113,Yards[],28,FALSE))))</f>
        <v/>
      </c>
      <c r="I113" s="143" t="str">
        <f ca="1">IF(YardsAll[[#This Row],[STATUS]]="","",IF(OR(F113="2019-2020",F113="2021-2025"),"",IF(ISNUMBER(SEARCH("LLC",D113)),VLOOKUP(A113,Yards25[],17,FALSE),VLOOKUP(A113,Yards[],17,FALSE))))</f>
        <v/>
      </c>
      <c r="J113" s="143" t="str">
        <f ca="1">IF(YardsAll[[#This Row],[STATUS]]="","",IF(OR(F113="2019-2020",F113="2021-2025"),"",IF(ISNUMBER(SEARCH("LLC",D113)),VLOOKUP(A113,Yards25[],29,FALSE),VLOOKUP(A113,Yards[],29,FALSE))))</f>
        <v/>
      </c>
      <c r="K113" s="143" t="str">
        <f ca="1">IF(YardsAll[[#This Row],[STATUS]]="","",IF(OR(F113="2019-2020",F113="2021-2025"),"",IF(ISNUMBER(SEARCH("LLC",D113)),VLOOKUP(A113,Yards25[],19,FALSE),VLOOKUP(A113,Yards[],19,FALSE))))</f>
        <v/>
      </c>
      <c r="L113" s="143" t="str">
        <f ca="1">IF(IF(OR(F113="2019-2020",F113="2021-2025"),"",IF(ISNUMBER(SEARCH("LLC",D113)),VLOOKUP(A113,Yards25[],20,FALSE),VLOOKUP(A113,Yards[],20,FALSE)))=0,"",IF(OR(F113="2019-2020",F113="2021-2025"),"",IF(ISNUMBER(SEARCH("LLC",D113)),VLOOKUP(A113,Yards25[],20,FALSE),VLOOKUP(A113,Yards[],20,FALSE))))</f>
        <v/>
      </c>
      <c r="M113" s="151">
        <f ca="1">IF(OR(F113="2019-2020",F113="2021-2025"),"",IF(ISNUMBER(SEARCH("LLC",D113)),VLOOKUP(A113,Yards25[],21,FALSE),VLOOKUP(A113,Yards[],21,FALSE)))</f>
        <v>0</v>
      </c>
      <c r="N113" s="151">
        <f ca="1">IF(OR(F113="2019-2020",F113="2021-2025"),"",IF(ISNUMBER(SEARCH("LLC",D113)),VLOOKUP(A113,Yards25[],22,FALSE),VLOOKUP(A113,Yards[],22,FALSE)))</f>
        <v>0</v>
      </c>
      <c r="O113" s="151">
        <f ca="1">SUM(YardsAll[[#This Row],[DSGN ESTIMATE]:[CONS ESTIMATE]])</f>
        <v>0</v>
      </c>
      <c r="P113" s="143"/>
      <c r="Q113" s="143">
        <f ca="1">IF(OR(F113="2019-2020",F113="2021-2025"),"",IF(ISNUMBER(SEARCH("LLC",D113)),VLOOKUP(A113,Yards25[],25,FALSE),VLOOKUP(A113,Yards[],25,FALSE)))</f>
        <v>0</v>
      </c>
      <c r="R113" s="152"/>
    </row>
    <row r="114" spans="1:18">
      <c r="A114" s="147" t="s">
        <v>204</v>
      </c>
      <c r="B114" s="144" t="str">
        <f>VLOOKUP(A114,Data[],2,FALSE)</f>
        <v>BRONX</v>
      </c>
      <c r="C114" s="144" t="str">
        <f ca="1">IF(OR(F114="2019-2020",F114="2021-2025"),"",IF(ISNUMBER(SEARCH("LLC",D114)),VLOOKUP(A114,Yards25[],3,FALSE),VLOOKUP(A114,Yards[],3,FALSE)))</f>
        <v>New Waste Yard v4</v>
      </c>
      <c r="D114" s="9" t="str">
        <f>VLOOKUP(A114,Data[],52,FALSE)</f>
        <v>FEDERAL</v>
      </c>
      <c r="E114" s="9">
        <f>VLOOKUP(YardsAll[[#This Row],[DEVELOPMENT]],Data[],62,FALSE)</f>
        <v>3</v>
      </c>
      <c r="F114" s="9" t="str">
        <f ca="1">VLOOKUP(A114,Data[],4,FALSE)</f>
        <v>2026+</v>
      </c>
      <c r="G114" s="9">
        <f ca="1">IF(OR(YardsAll[[#This Row],[RAD/PACT]]="2019-2020",YardsAll[[#This Row],[RAD/PACT]]="2021-2025"),"",IF(ISNUMBER(SEARCH("1",C114)),2,IF(ISNUMBER(SEARCH("2",C114)),1,IF(ISNUMBER(SEARCH("3",C114)),3,IF(ISNUMBER(SEARCH("4",C114)),4,IF(ISNUMBER(SEARCH("5",C114)),5,IF(ISNUMBER(SEARCH("6",C114)),6,IF(ISNUMBER(SEARCH("7",C114)),7,IF(ISNUMBER(SEARCH("8",C114)),8,0)))))))))</f>
        <v>4</v>
      </c>
      <c r="H114" s="143" t="str">
        <f ca="1">IF(YardsAll[[#This Row],[STATUS]]="","",IF(OR(F114="2019-2020",F114="2021-2025"),"",IF(ISNUMBER(SEARCH("LLC",D114)),VLOOKUP(A114,Yards25[],28,FALSE),VLOOKUP(A114,Yards[],28,FALSE))))</f>
        <v/>
      </c>
      <c r="I114" s="143" t="str">
        <f ca="1">IF(YardsAll[[#This Row],[STATUS]]="","",IF(OR(F114="2019-2020",F114="2021-2025"),"",IF(ISNUMBER(SEARCH("LLC",D114)),VLOOKUP(A114,Yards25[],17,FALSE),VLOOKUP(A114,Yards[],17,FALSE))))</f>
        <v/>
      </c>
      <c r="J114" s="143" t="str">
        <f ca="1">IF(YardsAll[[#This Row],[STATUS]]="","",IF(OR(F114="2019-2020",F114="2021-2025"),"",IF(ISNUMBER(SEARCH("LLC",D114)),VLOOKUP(A114,Yards25[],29,FALSE),VLOOKUP(A114,Yards[],29,FALSE))))</f>
        <v/>
      </c>
      <c r="K114" s="143" t="str">
        <f ca="1">IF(YardsAll[[#This Row],[STATUS]]="","",IF(OR(F114="2019-2020",F114="2021-2025"),"",IF(ISNUMBER(SEARCH("LLC",D114)),VLOOKUP(A114,Yards25[],19,FALSE),VLOOKUP(A114,Yards[],19,FALSE))))</f>
        <v/>
      </c>
      <c r="L114" s="143" t="str">
        <f ca="1">IF(IF(OR(F114="2019-2020",F114="2021-2025"),"",IF(ISNUMBER(SEARCH("LLC",D114)),VLOOKUP(A114,Yards25[],20,FALSE),VLOOKUP(A114,Yards[],20,FALSE)))=0,"",IF(OR(F114="2019-2020",F114="2021-2025"),"",IF(ISNUMBER(SEARCH("LLC",D114)),VLOOKUP(A114,Yards25[],20,FALSE),VLOOKUP(A114,Yards[],20,FALSE))))</f>
        <v/>
      </c>
      <c r="M114" s="151">
        <f ca="1">IF(OR(F114="2019-2020",F114="2021-2025"),"",IF(ISNUMBER(SEARCH("LLC",D114)),VLOOKUP(A114,Yards25[],21,FALSE),VLOOKUP(A114,Yards[],21,FALSE)))</f>
        <v>259621.01510345002</v>
      </c>
      <c r="N114" s="151">
        <f ca="1">IF(OR(F114="2019-2020",F114="2021-2025"),"",IF(ISNUMBER(SEARCH("LLC",D114)),VLOOKUP(A114,Yards25[],22,FALSE),VLOOKUP(A114,Yards[],22,FALSE)))</f>
        <v>2336589.1359310499</v>
      </c>
      <c r="O114" s="151">
        <f ca="1">SUM(YardsAll[[#This Row],[DSGN ESTIMATE]:[CONS ESTIMATE]])</f>
        <v>2596210.1510345</v>
      </c>
      <c r="P114" s="143"/>
      <c r="Q114" s="143">
        <f ca="1">IF(OR(F114="2019-2020",F114="2021-2025"),"",IF(ISNUMBER(SEARCH("LLC",D114)),VLOOKUP(A114,Yards25[],25,FALSE),VLOOKUP(A114,Yards[],25,FALSE)))</f>
        <v>0</v>
      </c>
      <c r="R114" s="152"/>
    </row>
    <row r="115" spans="1:18">
      <c r="A115" s="147" t="s">
        <v>276</v>
      </c>
      <c r="B115" s="144" t="str">
        <f>VLOOKUP(A115,Data[],2,FALSE)</f>
        <v>BRONX</v>
      </c>
      <c r="C115" s="144" t="str">
        <f ca="1">IF(OR(F115="2019-2020",F115="2021-2025"),"",IF(ISNUMBER(SEARCH("LLC",D115)),VLOOKUP(A115,Yards25[],3,FALSE),VLOOKUP(A115,Yards[],3,FALSE)))</f>
        <v>New Waste Yard v1</v>
      </c>
      <c r="D115" s="9" t="str">
        <f>VLOOKUP(A115,Data[],52,FALSE)</f>
        <v>FEDERAL</v>
      </c>
      <c r="E115" s="9">
        <f>VLOOKUP(YardsAll[[#This Row],[DEVELOPMENT]],Data[],62,FALSE)</f>
        <v>8</v>
      </c>
      <c r="F115" s="9" t="str">
        <f ca="1">VLOOKUP(A115,Data[],4,FALSE)</f>
        <v/>
      </c>
      <c r="G115" s="9">
        <f ca="1">IF(OR(YardsAll[[#This Row],[RAD/PACT]]="2019-2020",YardsAll[[#This Row],[RAD/PACT]]="2021-2025"),"",IF(ISNUMBER(SEARCH("1",C115)),2,IF(ISNUMBER(SEARCH("2",C115)),1,IF(ISNUMBER(SEARCH("3",C115)),3,IF(ISNUMBER(SEARCH("4",C115)),4,IF(ISNUMBER(SEARCH("5",C115)),5,IF(ISNUMBER(SEARCH("6",C115)),6,IF(ISNUMBER(SEARCH("7",C115)),7,IF(ISNUMBER(SEARCH("8",C115)),8,0)))))))))</f>
        <v>2</v>
      </c>
      <c r="H115" s="143" t="str">
        <f ca="1">IF(YardsAll[[#This Row],[STATUS]]="","",IF(OR(F115="2019-2020",F115="2021-2025"),"",IF(ISNUMBER(SEARCH("LLC",D115)),VLOOKUP(A115,Yards25[],28,FALSE),VLOOKUP(A115,Yards[],28,FALSE))))</f>
        <v/>
      </c>
      <c r="I115" s="143" t="str">
        <f ca="1">IF(YardsAll[[#This Row],[STATUS]]="","",IF(OR(F115="2019-2020",F115="2021-2025"),"",IF(ISNUMBER(SEARCH("LLC",D115)),VLOOKUP(A115,Yards25[],17,FALSE),VLOOKUP(A115,Yards[],17,FALSE))))</f>
        <v/>
      </c>
      <c r="J115" s="143" t="str">
        <f ca="1">IF(YardsAll[[#This Row],[STATUS]]="","",IF(OR(F115="2019-2020",F115="2021-2025"),"",IF(ISNUMBER(SEARCH("LLC",D115)),VLOOKUP(A115,Yards25[],29,FALSE),VLOOKUP(A115,Yards[],29,FALSE))))</f>
        <v/>
      </c>
      <c r="K115" s="143" t="str">
        <f ca="1">IF(YardsAll[[#This Row],[STATUS]]="","",IF(OR(F115="2019-2020",F115="2021-2025"),"",IF(ISNUMBER(SEARCH("LLC",D115)),VLOOKUP(A115,Yards25[],19,FALSE),VLOOKUP(A115,Yards[],19,FALSE))))</f>
        <v/>
      </c>
      <c r="L115" s="143" t="str">
        <f ca="1">IF(IF(OR(F115="2019-2020",F115="2021-2025"),"",IF(ISNUMBER(SEARCH("LLC",D115)),VLOOKUP(A115,Yards25[],20,FALSE),VLOOKUP(A115,Yards[],20,FALSE)))=0,"",IF(OR(F115="2019-2020",F115="2021-2025"),"",IF(ISNUMBER(SEARCH("LLC",D115)),VLOOKUP(A115,Yards25[],20,FALSE),VLOOKUP(A115,Yards[],20,FALSE))))</f>
        <v/>
      </c>
      <c r="M115" s="151">
        <f ca="1">IF(OR(F115="2019-2020",F115="2021-2025"),"",IF(ISNUMBER(SEARCH("LLC",D115)),VLOOKUP(A115,Yards25[],21,FALSE),VLOOKUP(A115,Yards[],21,FALSE)))</f>
        <v>212386.62609500007</v>
      </c>
      <c r="N115" s="151">
        <f ca="1">IF(OR(F115="2019-2020",F115="2021-2025"),"",IF(ISNUMBER(SEARCH("LLC",D115)),VLOOKUP(A115,Yards25[],22,FALSE),VLOOKUP(A115,Yards[],22,FALSE)))</f>
        <v>1911479.6348550003</v>
      </c>
      <c r="O115" s="151">
        <f ca="1">SUM(YardsAll[[#This Row],[DSGN ESTIMATE]:[CONS ESTIMATE]])</f>
        <v>2123866.2609500005</v>
      </c>
      <c r="P115" s="143"/>
      <c r="Q115" s="143">
        <f ca="1">IF(OR(F115="2019-2020",F115="2021-2025"),"",IF(ISNUMBER(SEARCH("LLC",D115)),VLOOKUP(A115,Yards25[],25,FALSE),VLOOKUP(A115,Yards[],25,FALSE)))</f>
        <v>0</v>
      </c>
      <c r="R115" s="152"/>
    </row>
    <row r="116" spans="1:18">
      <c r="A116" s="147" t="s">
        <v>79</v>
      </c>
      <c r="B116" s="144" t="str">
        <f>VLOOKUP(A116,Data[],2,FALSE)</f>
        <v>MANHATTAN</v>
      </c>
      <c r="C116" s="144" t="str">
        <f ca="1">IF(OR(F116="2019-2020",F116="2021-2025"),"",IF(ISNUMBER(SEARCH("LLC",D116)),VLOOKUP(A116,Yards25[],3,FALSE),VLOOKUP(A116,Yards[],3,FALSE)))</f>
        <v>New Waste Yard v1</v>
      </c>
      <c r="D116" s="9" t="str">
        <f>VLOOKUP(A116,Data[],52,FALSE)</f>
        <v>FEDERAL</v>
      </c>
      <c r="E116" s="9">
        <f>VLOOKUP(YardsAll[[#This Row],[DEVELOPMENT]],Data[],62,FALSE)</f>
        <v>12</v>
      </c>
      <c r="F116" s="9" t="str">
        <f ca="1">VLOOKUP(A116,Data[],4,FALSE)</f>
        <v>2020-2021</v>
      </c>
      <c r="G116" s="9">
        <f ca="1">IF(OR(YardsAll[[#This Row],[RAD/PACT]]="2019-2020",YardsAll[[#This Row],[RAD/PACT]]="2021-2025"),"",IF(ISNUMBER(SEARCH("1",C116)),2,IF(ISNUMBER(SEARCH("2",C116)),1,IF(ISNUMBER(SEARCH("3",C116)),3,IF(ISNUMBER(SEARCH("4",C116)),4,IF(ISNUMBER(SEARCH("5",C116)),5,IF(ISNUMBER(SEARCH("6",C116)),6,IF(ISNUMBER(SEARCH("7",C116)),7,IF(ISNUMBER(SEARCH("8",C116)),8,0)))))))))</f>
        <v>2</v>
      </c>
      <c r="H116" s="143" t="str">
        <f ca="1">IF(YardsAll[[#This Row],[STATUS]]="","",IF(OR(F116="2019-2020",F116="2021-2025"),"",IF(ISNUMBER(SEARCH("LLC",D116)),VLOOKUP(A116,Yards25[],28,FALSE),VLOOKUP(A116,Yards[],28,FALSE))))</f>
        <v/>
      </c>
      <c r="I116" s="143" t="str">
        <f ca="1">IF(YardsAll[[#This Row],[STATUS]]="","",IF(OR(F116="2019-2020",F116="2021-2025"),"",IF(ISNUMBER(SEARCH("LLC",D116)),VLOOKUP(A116,Yards25[],17,FALSE),VLOOKUP(A116,Yards[],17,FALSE))))</f>
        <v/>
      </c>
      <c r="J116" s="143" t="str">
        <f ca="1">IF(YardsAll[[#This Row],[STATUS]]="","",IF(OR(F116="2019-2020",F116="2021-2025"),"",IF(ISNUMBER(SEARCH("LLC",D116)),VLOOKUP(A116,Yards25[],29,FALSE),VLOOKUP(A116,Yards[],29,FALSE))))</f>
        <v/>
      </c>
      <c r="K116" s="143" t="str">
        <f ca="1">IF(YardsAll[[#This Row],[STATUS]]="","",IF(OR(F116="2019-2020",F116="2021-2025"),"",IF(ISNUMBER(SEARCH("LLC",D116)),VLOOKUP(A116,Yards25[],19,FALSE),VLOOKUP(A116,Yards[],19,FALSE))))</f>
        <v/>
      </c>
      <c r="L116" s="143" t="str">
        <f ca="1">IF(IF(OR(F116="2019-2020",F116="2021-2025"),"",IF(ISNUMBER(SEARCH("LLC",D116)),VLOOKUP(A116,Yards25[],20,FALSE),VLOOKUP(A116,Yards[],20,FALSE)))=0,"",IF(OR(F116="2019-2020",F116="2021-2025"),"",IF(ISNUMBER(SEARCH("LLC",D116)),VLOOKUP(A116,Yards25[],20,FALSE),VLOOKUP(A116,Yards[],20,FALSE))))</f>
        <v/>
      </c>
      <c r="M116" s="151">
        <f ca="1">IF(OR(F116="2019-2020",F116="2021-2025"),"",IF(ISNUMBER(SEARCH("LLC",D116)),VLOOKUP(A116,Yards25[],21,FALSE),VLOOKUP(A116,Yards[],21,FALSE)))</f>
        <v>0</v>
      </c>
      <c r="N116" s="151">
        <f ca="1">IF(OR(F116="2019-2020",F116="2021-2025"),"",IF(ISNUMBER(SEARCH("LLC",D116)),VLOOKUP(A116,Yards25[],22,FALSE),VLOOKUP(A116,Yards[],22,FALSE)))</f>
        <v>0</v>
      </c>
      <c r="O116" s="151">
        <f ca="1">SUM(YardsAll[[#This Row],[DSGN ESTIMATE]:[CONS ESTIMATE]])</f>
        <v>0</v>
      </c>
      <c r="P116" s="143"/>
      <c r="Q116" s="143">
        <f ca="1">IF(OR(F116="2019-2020",F116="2021-2025"),"",IF(ISNUMBER(SEARCH("LLC",D116)),VLOOKUP(A116,Yards25[],25,FALSE),VLOOKUP(A116,Yards[],25,FALSE)))</f>
        <v>0</v>
      </c>
      <c r="R116" s="152"/>
    </row>
    <row r="117" spans="1:18">
      <c r="A117" s="147" t="s">
        <v>111</v>
      </c>
      <c r="B117" s="144" t="str">
        <f>VLOOKUP(A117,Data[],2,FALSE)</f>
        <v>MANHATTAN</v>
      </c>
      <c r="C117" s="144" t="str">
        <f ca="1">IF(OR(F117="2019-2020",F117="2021-2025"),"",IF(ISNUMBER(SEARCH("LLC",D117)),VLOOKUP(A117,Yards25[],3,FALSE),VLOOKUP(A117,Yards[],3,FALSE)))</f>
        <v>New Waste Yard v3</v>
      </c>
      <c r="D117" s="9" t="str">
        <f>VLOOKUP(A117,Data[],52,FALSE)</f>
        <v>FEDERAL</v>
      </c>
      <c r="E117" s="9">
        <f>VLOOKUP(YardsAll[[#This Row],[DEVELOPMENT]],Data[],62,FALSE)</f>
        <v>4</v>
      </c>
      <c r="F117" s="9" t="str">
        <f ca="1">VLOOKUP(A117,Data[],4,FALSE)</f>
        <v/>
      </c>
      <c r="G117" s="9">
        <f ca="1">IF(OR(YardsAll[[#This Row],[RAD/PACT]]="2019-2020",YardsAll[[#This Row],[RAD/PACT]]="2021-2025"),"",IF(ISNUMBER(SEARCH("1",C117)),2,IF(ISNUMBER(SEARCH("2",C117)),1,IF(ISNUMBER(SEARCH("3",C117)),3,IF(ISNUMBER(SEARCH("4",C117)),4,IF(ISNUMBER(SEARCH("5",C117)),5,IF(ISNUMBER(SEARCH("6",C117)),6,IF(ISNUMBER(SEARCH("7",C117)),7,IF(ISNUMBER(SEARCH("8",C117)),8,0)))))))))</f>
        <v>3</v>
      </c>
      <c r="H117" s="143" t="str">
        <f ca="1">IF(YardsAll[[#This Row],[STATUS]]="","",IF(OR(F117="2019-2020",F117="2021-2025"),"",IF(ISNUMBER(SEARCH("LLC",D117)),VLOOKUP(A117,Yards25[],28,FALSE),VLOOKUP(A117,Yards[],28,FALSE))))</f>
        <v/>
      </c>
      <c r="I117" s="143" t="str">
        <f ca="1">IF(YardsAll[[#This Row],[STATUS]]="","",IF(OR(F117="2019-2020",F117="2021-2025"),"",IF(ISNUMBER(SEARCH("LLC",D117)),VLOOKUP(A117,Yards25[],17,FALSE),VLOOKUP(A117,Yards[],17,FALSE))))</f>
        <v/>
      </c>
      <c r="J117" s="143" t="str">
        <f ca="1">IF(YardsAll[[#This Row],[STATUS]]="","",IF(OR(F117="2019-2020",F117="2021-2025"),"",IF(ISNUMBER(SEARCH("LLC",D117)),VLOOKUP(A117,Yards25[],29,FALSE),VLOOKUP(A117,Yards[],29,FALSE))))</f>
        <v/>
      </c>
      <c r="K117" s="143" t="str">
        <f ca="1">IF(YardsAll[[#This Row],[STATUS]]="","",IF(OR(F117="2019-2020",F117="2021-2025"),"",IF(ISNUMBER(SEARCH("LLC",D117)),VLOOKUP(A117,Yards25[],19,FALSE),VLOOKUP(A117,Yards[],19,FALSE))))</f>
        <v/>
      </c>
      <c r="L117" s="143" t="str">
        <f ca="1">IF(IF(OR(F117="2019-2020",F117="2021-2025"),"",IF(ISNUMBER(SEARCH("LLC",D117)),VLOOKUP(A117,Yards25[],20,FALSE),VLOOKUP(A117,Yards[],20,FALSE)))=0,"",IF(OR(F117="2019-2020",F117="2021-2025"),"",IF(ISNUMBER(SEARCH("LLC",D117)),VLOOKUP(A117,Yards25[],20,FALSE),VLOOKUP(A117,Yards[],20,FALSE))))</f>
        <v/>
      </c>
      <c r="M117" s="151">
        <f ca="1">IF(OR(F117="2019-2020",F117="2021-2025"),"",IF(ISNUMBER(SEARCH("LLC",D117)),VLOOKUP(A117,Yards25[],21,FALSE),VLOOKUP(A117,Yards[],21,FALSE)))</f>
        <v>237400.39768875009</v>
      </c>
      <c r="N117" s="151">
        <f ca="1">IF(OR(F117="2019-2020",F117="2021-2025"),"",IF(ISNUMBER(SEARCH("LLC",D117)),VLOOKUP(A117,Yards25[],22,FALSE),VLOOKUP(A117,Yards[],22,FALSE)))</f>
        <v>2136603.5791987507</v>
      </c>
      <c r="O117" s="151">
        <f ca="1">SUM(YardsAll[[#This Row],[DSGN ESTIMATE]:[CONS ESTIMATE]])</f>
        <v>2374003.9768875008</v>
      </c>
      <c r="P117" s="143"/>
      <c r="Q117" s="143">
        <f ca="1">IF(OR(F117="2019-2020",F117="2021-2025"),"",IF(ISNUMBER(SEARCH("LLC",D117)),VLOOKUP(A117,Yards25[],25,FALSE),VLOOKUP(A117,Yards[],25,FALSE)))</f>
        <v>0</v>
      </c>
      <c r="R117" s="152"/>
    </row>
    <row r="118" spans="1:18">
      <c r="A118" s="147" t="s">
        <v>324</v>
      </c>
      <c r="B118" s="144" t="str">
        <f>VLOOKUP(A118,Data[],2,FALSE)</f>
        <v>BROOKLYN</v>
      </c>
      <c r="C118" s="144" t="str">
        <f ca="1">IF(OR(F118="2019-2020",F118="2021-2025"),"",IF(ISNUMBER(SEARCH("LLC",D118)),VLOOKUP(A118,Yards25[],3,FALSE),VLOOKUP(A118,Yards[],3,FALSE)))</f>
        <v>New Waste Yard v1</v>
      </c>
      <c r="D118" s="9" t="str">
        <f>VLOOKUP(A118,Data[],52,FALSE)</f>
        <v>FEDERAL</v>
      </c>
      <c r="E118" s="9">
        <f>VLOOKUP(YardsAll[[#This Row],[DEVELOPMENT]],Data[],62,FALSE)</f>
        <v>16</v>
      </c>
      <c r="F118" s="9" t="str">
        <f ca="1">VLOOKUP(A118,Data[],4,FALSE)</f>
        <v/>
      </c>
      <c r="G118" s="9">
        <f ca="1">IF(OR(YardsAll[[#This Row],[RAD/PACT]]="2019-2020",YardsAll[[#This Row],[RAD/PACT]]="2021-2025"),"",IF(ISNUMBER(SEARCH("1",C118)),2,IF(ISNUMBER(SEARCH("2",C118)),1,IF(ISNUMBER(SEARCH("3",C118)),3,IF(ISNUMBER(SEARCH("4",C118)),4,IF(ISNUMBER(SEARCH("5",C118)),5,IF(ISNUMBER(SEARCH("6",C118)),6,IF(ISNUMBER(SEARCH("7",C118)),7,IF(ISNUMBER(SEARCH("8",C118)),8,0)))))))))</f>
        <v>2</v>
      </c>
      <c r="H118" s="143" t="str">
        <f ca="1">IF(YardsAll[[#This Row],[STATUS]]="","",IF(OR(F118="2019-2020",F118="2021-2025"),"",IF(ISNUMBER(SEARCH("LLC",D118)),VLOOKUP(A118,Yards25[],28,FALSE),VLOOKUP(A118,Yards[],28,FALSE))))</f>
        <v/>
      </c>
      <c r="I118" s="143" t="str">
        <f ca="1">IF(YardsAll[[#This Row],[STATUS]]="","",IF(OR(F118="2019-2020",F118="2021-2025"),"",IF(ISNUMBER(SEARCH("LLC",D118)),VLOOKUP(A118,Yards25[],17,FALSE),VLOOKUP(A118,Yards[],17,FALSE))))</f>
        <v/>
      </c>
      <c r="J118" s="143" t="str">
        <f ca="1">IF(YardsAll[[#This Row],[STATUS]]="","",IF(OR(F118="2019-2020",F118="2021-2025"),"",IF(ISNUMBER(SEARCH("LLC",D118)),VLOOKUP(A118,Yards25[],29,FALSE),VLOOKUP(A118,Yards[],29,FALSE))))</f>
        <v/>
      </c>
      <c r="K118" s="143" t="str">
        <f ca="1">IF(YardsAll[[#This Row],[STATUS]]="","",IF(OR(F118="2019-2020",F118="2021-2025"),"",IF(ISNUMBER(SEARCH("LLC",D118)),VLOOKUP(A118,Yards25[],19,FALSE),VLOOKUP(A118,Yards[],19,FALSE))))</f>
        <v/>
      </c>
      <c r="L118" s="143" t="str">
        <f ca="1">IF(IF(OR(F118="2019-2020",F118="2021-2025"),"",IF(ISNUMBER(SEARCH("LLC",D118)),VLOOKUP(A118,Yards25[],20,FALSE),VLOOKUP(A118,Yards[],20,FALSE)))=0,"",IF(OR(F118="2019-2020",F118="2021-2025"),"",IF(ISNUMBER(SEARCH("LLC",D118)),VLOOKUP(A118,Yards25[],20,FALSE),VLOOKUP(A118,Yards[],20,FALSE))))</f>
        <v/>
      </c>
      <c r="M118" s="151">
        <f ca="1">IF(OR(F118="2019-2020",F118="2021-2025"),"",IF(ISNUMBER(SEARCH("LLC",D118)),VLOOKUP(A118,Yards25[],21,FALSE),VLOOKUP(A118,Yards[],21,FALSE)))</f>
        <v>231365.85651200006</v>
      </c>
      <c r="N118" s="151">
        <f ca="1">IF(OR(F118="2019-2020",F118="2021-2025"),"",IF(ISNUMBER(SEARCH("LLC",D118)),VLOOKUP(A118,Yards25[],22,FALSE),VLOOKUP(A118,Yards[],22,FALSE)))</f>
        <v>2082292.7086080003</v>
      </c>
      <c r="O118" s="151">
        <f ca="1">SUM(YardsAll[[#This Row],[DSGN ESTIMATE]:[CONS ESTIMATE]])</f>
        <v>2313658.5651200004</v>
      </c>
      <c r="P118" s="143"/>
      <c r="Q118" s="143">
        <f ca="1">IF(OR(F118="2019-2020",F118="2021-2025"),"",IF(ISNUMBER(SEARCH("LLC",D118)),VLOOKUP(A118,Yards25[],25,FALSE),VLOOKUP(A118,Yards[],25,FALSE)))</f>
        <v>0</v>
      </c>
      <c r="R118" s="152"/>
    </row>
    <row r="119" spans="1:18">
      <c r="A119" s="147" t="s">
        <v>243</v>
      </c>
      <c r="B119" s="144" t="str">
        <f>VLOOKUP(A119,Data[],2,FALSE)</f>
        <v>BRONX</v>
      </c>
      <c r="C119" s="144" t="str">
        <f ca="1">IF(OR(F119="2019-2020",F119="2021-2025"),"",IF(ISNUMBER(SEARCH("LLC",D119)),VLOOKUP(A119,Yards25[],3,FALSE),VLOOKUP(A119,Yards[],3,FALSE)))</f>
        <v>New Waste Yard v1</v>
      </c>
      <c r="D119" s="9" t="str">
        <f>VLOOKUP(A119,Data[],52,FALSE)</f>
        <v>FEDERAL</v>
      </c>
      <c r="E119" s="9">
        <f>VLOOKUP(YardsAll[[#This Row],[DEVELOPMENT]],Data[],62,FALSE)</f>
        <v>10</v>
      </c>
      <c r="F119" s="9" t="str">
        <f ca="1">VLOOKUP(A119,Data[],4,FALSE)</f>
        <v>2026+</v>
      </c>
      <c r="G119" s="9">
        <f ca="1">IF(OR(YardsAll[[#This Row],[RAD/PACT]]="2019-2020",YardsAll[[#This Row],[RAD/PACT]]="2021-2025"),"",IF(ISNUMBER(SEARCH("1",C119)),2,IF(ISNUMBER(SEARCH("2",C119)),1,IF(ISNUMBER(SEARCH("3",C119)),3,IF(ISNUMBER(SEARCH("4",C119)),4,IF(ISNUMBER(SEARCH("5",C119)),5,IF(ISNUMBER(SEARCH("6",C119)),6,IF(ISNUMBER(SEARCH("7",C119)),7,IF(ISNUMBER(SEARCH("8",C119)),8,0)))))))))</f>
        <v>2</v>
      </c>
      <c r="H119" s="143" t="str">
        <f ca="1">IF(YardsAll[[#This Row],[STATUS]]="","",IF(OR(F119="2019-2020",F119="2021-2025"),"",IF(ISNUMBER(SEARCH("LLC",D119)),VLOOKUP(A119,Yards25[],28,FALSE),VLOOKUP(A119,Yards[],28,FALSE))))</f>
        <v/>
      </c>
      <c r="I119" s="143" t="str">
        <f ca="1">IF(YardsAll[[#This Row],[STATUS]]="","",IF(OR(F119="2019-2020",F119="2021-2025"),"",IF(ISNUMBER(SEARCH("LLC",D119)),VLOOKUP(A119,Yards25[],17,FALSE),VLOOKUP(A119,Yards[],17,FALSE))))</f>
        <v/>
      </c>
      <c r="J119" s="143" t="str">
        <f ca="1">IF(YardsAll[[#This Row],[STATUS]]="","",IF(OR(F119="2019-2020",F119="2021-2025"),"",IF(ISNUMBER(SEARCH("LLC",D119)),VLOOKUP(A119,Yards25[],29,FALSE),VLOOKUP(A119,Yards[],29,FALSE))))</f>
        <v/>
      </c>
      <c r="K119" s="143" t="str">
        <f ca="1">IF(YardsAll[[#This Row],[STATUS]]="","",IF(OR(F119="2019-2020",F119="2021-2025"),"",IF(ISNUMBER(SEARCH("LLC",D119)),VLOOKUP(A119,Yards25[],19,FALSE),VLOOKUP(A119,Yards[],19,FALSE))))</f>
        <v/>
      </c>
      <c r="L119" s="143" t="str">
        <f ca="1">IF(IF(OR(F119="2019-2020",F119="2021-2025"),"",IF(ISNUMBER(SEARCH("LLC",D119)),VLOOKUP(A119,Yards25[],20,FALSE),VLOOKUP(A119,Yards[],20,FALSE)))=0,"",IF(OR(F119="2019-2020",F119="2021-2025"),"",IF(ISNUMBER(SEARCH("LLC",D119)),VLOOKUP(A119,Yards25[],20,FALSE),VLOOKUP(A119,Yards[],20,FALSE))))</f>
        <v/>
      </c>
      <c r="M119" s="151">
        <f ca="1">IF(OR(F119="2019-2020",F119="2021-2025"),"",IF(ISNUMBER(SEARCH("LLC",D119)),VLOOKUP(A119,Yards25[],21,FALSE),VLOOKUP(A119,Yards[],21,FALSE)))</f>
        <v>206060.21595600009</v>
      </c>
      <c r="N119" s="151">
        <f ca="1">IF(OR(F119="2019-2020",F119="2021-2025"),"",IF(ISNUMBER(SEARCH("LLC",D119)),VLOOKUP(A119,Yards25[],22,FALSE),VLOOKUP(A119,Yards[],22,FALSE)))</f>
        <v>1854541.9436040006</v>
      </c>
      <c r="O119" s="151">
        <f ca="1">SUM(YardsAll[[#This Row],[DSGN ESTIMATE]:[CONS ESTIMATE]])</f>
        <v>2060602.1595600008</v>
      </c>
      <c r="P119" s="143"/>
      <c r="Q119" s="143">
        <f ca="1">IF(OR(F119="2019-2020",F119="2021-2025"),"",IF(ISNUMBER(SEARCH("LLC",D119)),VLOOKUP(A119,Yards25[],25,FALSE),VLOOKUP(A119,Yards[],25,FALSE)))</f>
        <v>0</v>
      </c>
      <c r="R119" s="152"/>
    </row>
    <row r="120" spans="1:18">
      <c r="A120" s="147" t="s">
        <v>205</v>
      </c>
      <c r="B120" s="144" t="str">
        <f>VLOOKUP(A120,Data[],2,FALSE)</f>
        <v>BROOKLYN</v>
      </c>
      <c r="C120" s="144" t="str">
        <f ca="1">IF(OR(F120="2019-2020",F120="2021-2025"),"",IF(ISNUMBER(SEARCH("LLC",D120)),VLOOKUP(A120,Yards25[],3,FALSE),VLOOKUP(A120,Yards[],3,FALSE)))</f>
        <v>New Waste Yard v1</v>
      </c>
      <c r="D120" s="9" t="str">
        <f>VLOOKUP(A120,Data[],52,FALSE)</f>
        <v>FEDERAL</v>
      </c>
      <c r="E120" s="9">
        <f>VLOOKUP(YardsAll[[#This Row],[DEVELOPMENT]],Data[],62,FALSE)</f>
        <v>16</v>
      </c>
      <c r="F120" s="9" t="str">
        <f ca="1">VLOOKUP(A120,Data[],4,FALSE)</f>
        <v/>
      </c>
      <c r="G120" s="9">
        <f ca="1">IF(OR(YardsAll[[#This Row],[RAD/PACT]]="2019-2020",YardsAll[[#This Row],[RAD/PACT]]="2021-2025"),"",IF(ISNUMBER(SEARCH("1",C120)),2,IF(ISNUMBER(SEARCH("2",C120)),1,IF(ISNUMBER(SEARCH("3",C120)),3,IF(ISNUMBER(SEARCH("4",C120)),4,IF(ISNUMBER(SEARCH("5",C120)),5,IF(ISNUMBER(SEARCH("6",C120)),6,IF(ISNUMBER(SEARCH("7",C120)),7,IF(ISNUMBER(SEARCH("8",C120)),8,0)))))))))</f>
        <v>2</v>
      </c>
      <c r="H120" s="143" t="str">
        <f ca="1">IF(YardsAll[[#This Row],[STATUS]]="","",IF(OR(F120="2019-2020",F120="2021-2025"),"",IF(ISNUMBER(SEARCH("LLC",D120)),VLOOKUP(A120,Yards25[],28,FALSE),VLOOKUP(A120,Yards[],28,FALSE))))</f>
        <v/>
      </c>
      <c r="I120" s="143" t="str">
        <f ca="1">IF(YardsAll[[#This Row],[STATUS]]="","",IF(OR(F120="2019-2020",F120="2021-2025"),"",IF(ISNUMBER(SEARCH("LLC",D120)),VLOOKUP(A120,Yards25[],17,FALSE),VLOOKUP(A120,Yards[],17,FALSE))))</f>
        <v/>
      </c>
      <c r="J120" s="143" t="str">
        <f ca="1">IF(YardsAll[[#This Row],[STATUS]]="","",IF(OR(F120="2019-2020",F120="2021-2025"),"",IF(ISNUMBER(SEARCH("LLC",D120)),VLOOKUP(A120,Yards25[],29,FALSE),VLOOKUP(A120,Yards[],29,FALSE))))</f>
        <v/>
      </c>
      <c r="K120" s="143" t="str">
        <f ca="1">IF(YardsAll[[#This Row],[STATUS]]="","",IF(OR(F120="2019-2020",F120="2021-2025"),"",IF(ISNUMBER(SEARCH("LLC",D120)),VLOOKUP(A120,Yards25[],19,FALSE),VLOOKUP(A120,Yards[],19,FALSE))))</f>
        <v/>
      </c>
      <c r="L120" s="143" t="str">
        <f ca="1">IF(IF(OR(F120="2019-2020",F120="2021-2025"),"",IF(ISNUMBER(SEARCH("LLC",D120)),VLOOKUP(A120,Yards25[],20,FALSE),VLOOKUP(A120,Yards[],20,FALSE)))=0,"",IF(OR(F120="2019-2020",F120="2021-2025"),"",IF(ISNUMBER(SEARCH("LLC",D120)),VLOOKUP(A120,Yards25[],20,FALSE),VLOOKUP(A120,Yards[],20,FALSE))))</f>
        <v/>
      </c>
      <c r="M120" s="151">
        <f ca="1">IF(OR(F120="2019-2020",F120="2021-2025"),"",IF(ISNUMBER(SEARCH("LLC",D120)),VLOOKUP(A120,Yards25[],21,FALSE),VLOOKUP(A120,Yards[],21,FALSE)))</f>
        <v>193407.39567800006</v>
      </c>
      <c r="N120" s="151">
        <f ca="1">IF(OR(F120="2019-2020",F120="2021-2025"),"",IF(ISNUMBER(SEARCH("LLC",D120)),VLOOKUP(A120,Yards25[],22,FALSE),VLOOKUP(A120,Yards[],22,FALSE)))</f>
        <v>1740666.5611020005</v>
      </c>
      <c r="O120" s="151">
        <f ca="1">SUM(YardsAll[[#This Row],[DSGN ESTIMATE]:[CONS ESTIMATE]])</f>
        <v>1934073.9567800006</v>
      </c>
      <c r="P120" s="143"/>
      <c r="Q120" s="143">
        <f ca="1">IF(OR(F120="2019-2020",F120="2021-2025"),"",IF(ISNUMBER(SEARCH("LLC",D120)),VLOOKUP(A120,Yards25[],25,FALSE),VLOOKUP(A120,Yards[],25,FALSE)))</f>
        <v>0</v>
      </c>
      <c r="R120" s="152"/>
    </row>
    <row r="121" spans="1:18">
      <c r="A121" s="147" t="s">
        <v>325</v>
      </c>
      <c r="B121" s="144" t="str">
        <f>VLOOKUP(A121,Data[],2,FALSE)</f>
        <v>BROOKLYN</v>
      </c>
      <c r="C121" s="144" t="str">
        <f ca="1">IF(OR(F121="2019-2020",F121="2021-2025"),"",IF(ISNUMBER(SEARCH("LLC",D121)),VLOOKUP(A121,Yards25[],3,FALSE),VLOOKUP(A121,Yards[],3,FALSE)))</f>
        <v>New Waste Yard v2</v>
      </c>
      <c r="D121" s="9" t="str">
        <f>VLOOKUP(A121,Data[],52,FALSE)</f>
        <v>FEDERAL</v>
      </c>
      <c r="E121" s="9">
        <f>VLOOKUP(YardsAll[[#This Row],[DEVELOPMENT]],Data[],62,FALSE)</f>
        <v>18</v>
      </c>
      <c r="F121" s="9" t="str">
        <f ca="1">VLOOKUP(A121,Data[],4,FALSE)</f>
        <v>2026+</v>
      </c>
      <c r="G121" s="9">
        <f ca="1">IF(OR(YardsAll[[#This Row],[RAD/PACT]]="2019-2020",YardsAll[[#This Row],[RAD/PACT]]="2021-2025"),"",IF(ISNUMBER(SEARCH("1",C121)),2,IF(ISNUMBER(SEARCH("2",C121)),1,IF(ISNUMBER(SEARCH("3",C121)),3,IF(ISNUMBER(SEARCH("4",C121)),4,IF(ISNUMBER(SEARCH("5",C121)),5,IF(ISNUMBER(SEARCH("6",C121)),6,IF(ISNUMBER(SEARCH("7",C121)),7,IF(ISNUMBER(SEARCH("8",C121)),8,0)))))))))</f>
        <v>1</v>
      </c>
      <c r="H121" s="143" t="str">
        <f ca="1">IF(YardsAll[[#This Row],[STATUS]]="","",IF(OR(F121="2019-2020",F121="2021-2025"),"",IF(ISNUMBER(SEARCH("LLC",D121)),VLOOKUP(A121,Yards25[],28,FALSE),VLOOKUP(A121,Yards[],28,FALSE))))</f>
        <v/>
      </c>
      <c r="I121" s="143" t="str">
        <f ca="1">IF(YardsAll[[#This Row],[STATUS]]="","",IF(OR(F121="2019-2020",F121="2021-2025"),"",IF(ISNUMBER(SEARCH("LLC",D121)),VLOOKUP(A121,Yards25[],17,FALSE),VLOOKUP(A121,Yards[],17,FALSE))))</f>
        <v/>
      </c>
      <c r="J121" s="143" t="str">
        <f ca="1">IF(YardsAll[[#This Row],[STATUS]]="","",IF(OR(F121="2019-2020",F121="2021-2025"),"",IF(ISNUMBER(SEARCH("LLC",D121)),VLOOKUP(A121,Yards25[],29,FALSE),VLOOKUP(A121,Yards[],29,FALSE))))</f>
        <v/>
      </c>
      <c r="K121" s="143" t="str">
        <f ca="1">IF(YardsAll[[#This Row],[STATUS]]="","",IF(OR(F121="2019-2020",F121="2021-2025"),"",IF(ISNUMBER(SEARCH("LLC",D121)),VLOOKUP(A121,Yards25[],19,FALSE),VLOOKUP(A121,Yards[],19,FALSE))))</f>
        <v/>
      </c>
      <c r="L121" s="143" t="str">
        <f ca="1">IF(IF(OR(F121="2019-2020",F121="2021-2025"),"",IF(ISNUMBER(SEARCH("LLC",D121)),VLOOKUP(A121,Yards25[],20,FALSE),VLOOKUP(A121,Yards[],20,FALSE)))=0,"",IF(OR(F121="2019-2020",F121="2021-2025"),"",IF(ISNUMBER(SEARCH("LLC",D121)),VLOOKUP(A121,Yards25[],20,FALSE),VLOOKUP(A121,Yards[],20,FALSE))))</f>
        <v/>
      </c>
      <c r="M121" s="151">
        <f ca="1">IF(OR(F121="2019-2020",F121="2021-2025"),"",IF(ISNUMBER(SEARCH("LLC",D121)),VLOOKUP(A121,Yards25[],21,FALSE),VLOOKUP(A121,Yards[],21,FALSE)))</f>
        <v>164833.92605570005</v>
      </c>
      <c r="N121" s="151">
        <f ca="1">IF(OR(F121="2019-2020",F121="2021-2025"),"",IF(ISNUMBER(SEARCH("LLC",D121)),VLOOKUP(A121,Yards25[],22,FALSE),VLOOKUP(A121,Yards[],22,FALSE)))</f>
        <v>1483505.3345013002</v>
      </c>
      <c r="O121" s="151">
        <f ca="1">SUM(YardsAll[[#This Row],[DSGN ESTIMATE]:[CONS ESTIMATE]])</f>
        <v>1648339.2605570003</v>
      </c>
      <c r="P121" s="143"/>
      <c r="Q121" s="143">
        <f ca="1">IF(OR(F121="2019-2020",F121="2021-2025"),"",IF(ISNUMBER(SEARCH("LLC",D121)),VLOOKUP(A121,Yards25[],25,FALSE),VLOOKUP(A121,Yards[],25,FALSE)))</f>
        <v>0</v>
      </c>
      <c r="R121" s="152"/>
    </row>
    <row r="122" spans="1:18">
      <c r="A122" s="147" t="s">
        <v>326</v>
      </c>
      <c r="B122" s="144" t="str">
        <f>VLOOKUP(A122,Data[],2,FALSE)</f>
        <v>BROOKLYN</v>
      </c>
      <c r="C122" s="144" t="str">
        <f ca="1">IF(OR(F122="2019-2020",F122="2021-2025"),"",IF(ISNUMBER(SEARCH("LLC",D122)),VLOOKUP(A122,Yards25[],3,FALSE),VLOOKUP(A122,Yards[],3,FALSE)))</f>
        <v>New Waste Yard v4</v>
      </c>
      <c r="D122" s="9" t="str">
        <f>VLOOKUP(A122,Data[],52,FALSE)</f>
        <v>FEDERAL</v>
      </c>
      <c r="E122" s="9">
        <f>VLOOKUP(YardsAll[[#This Row],[DEVELOPMENT]],Data[],62,FALSE)</f>
        <v>6</v>
      </c>
      <c r="F122" s="9" t="str">
        <f ca="1">VLOOKUP(A122,Data[],4,FALSE)</f>
        <v>2026+</v>
      </c>
      <c r="G122" s="9">
        <f ca="1">IF(OR(YardsAll[[#This Row],[RAD/PACT]]="2019-2020",YardsAll[[#This Row],[RAD/PACT]]="2021-2025"),"",IF(ISNUMBER(SEARCH("1",C122)),2,IF(ISNUMBER(SEARCH("2",C122)),1,IF(ISNUMBER(SEARCH("3",C122)),3,IF(ISNUMBER(SEARCH("4",C122)),4,IF(ISNUMBER(SEARCH("5",C122)),5,IF(ISNUMBER(SEARCH("6",C122)),6,IF(ISNUMBER(SEARCH("7",C122)),7,IF(ISNUMBER(SEARCH("8",C122)),8,0)))))))))</f>
        <v>4</v>
      </c>
      <c r="H122" s="143" t="str">
        <f ca="1">IF(YardsAll[[#This Row],[STATUS]]="","",IF(OR(F122="2019-2020",F122="2021-2025"),"",IF(ISNUMBER(SEARCH("LLC",D122)),VLOOKUP(A122,Yards25[],28,FALSE),VLOOKUP(A122,Yards[],28,FALSE))))</f>
        <v/>
      </c>
      <c r="I122" s="143" t="str">
        <f ca="1">IF(YardsAll[[#This Row],[STATUS]]="","",IF(OR(F122="2019-2020",F122="2021-2025"),"",IF(ISNUMBER(SEARCH("LLC",D122)),VLOOKUP(A122,Yards25[],17,FALSE),VLOOKUP(A122,Yards[],17,FALSE))))</f>
        <v/>
      </c>
      <c r="J122" s="143" t="str">
        <f ca="1">IF(YardsAll[[#This Row],[STATUS]]="","",IF(OR(F122="2019-2020",F122="2021-2025"),"",IF(ISNUMBER(SEARCH("LLC",D122)),VLOOKUP(A122,Yards25[],29,FALSE),VLOOKUP(A122,Yards[],29,FALSE))))</f>
        <v/>
      </c>
      <c r="K122" s="143" t="str">
        <f ca="1">IF(YardsAll[[#This Row],[STATUS]]="","",IF(OR(F122="2019-2020",F122="2021-2025"),"",IF(ISNUMBER(SEARCH("LLC",D122)),VLOOKUP(A122,Yards25[],19,FALSE),VLOOKUP(A122,Yards[],19,FALSE))))</f>
        <v/>
      </c>
      <c r="L122" s="143" t="str">
        <f ca="1">IF(IF(OR(F122="2019-2020",F122="2021-2025"),"",IF(ISNUMBER(SEARCH("LLC",D122)),VLOOKUP(A122,Yards25[],20,FALSE),VLOOKUP(A122,Yards[],20,FALSE)))=0,"",IF(OR(F122="2019-2020",F122="2021-2025"),"",IF(ISNUMBER(SEARCH("LLC",D122)),VLOOKUP(A122,Yards25[],20,FALSE),VLOOKUP(A122,Yards[],20,FALSE))))</f>
        <v/>
      </c>
      <c r="M122" s="151">
        <f ca="1">IF(OR(F122="2019-2020",F122="2021-2025"),"",IF(ISNUMBER(SEARCH("LLC",D122)),VLOOKUP(A122,Yards25[],21,FALSE),VLOOKUP(A122,Yards[],21,FALSE)))</f>
        <v>300737.46545920003</v>
      </c>
      <c r="N122" s="151">
        <f ca="1">IF(OR(F122="2019-2020",F122="2021-2025"),"",IF(ISNUMBER(SEARCH("LLC",D122)),VLOOKUP(A122,Yards25[],22,FALSE),VLOOKUP(A122,Yards[],22,FALSE)))</f>
        <v>2706637.1891328003</v>
      </c>
      <c r="O122" s="151">
        <f ca="1">SUM(YardsAll[[#This Row],[DSGN ESTIMATE]:[CONS ESTIMATE]])</f>
        <v>3007374.6545920004</v>
      </c>
      <c r="P122" s="143"/>
      <c r="Q122" s="143">
        <f ca="1">IF(OR(F122="2019-2020",F122="2021-2025"),"",IF(ISNUMBER(SEARCH("LLC",D122)),VLOOKUP(A122,Yards25[],25,FALSE),VLOOKUP(A122,Yards[],25,FALSE)))</f>
        <v>0</v>
      </c>
      <c r="R122" s="152"/>
    </row>
    <row r="123" spans="1:18">
      <c r="A123" s="147" t="s">
        <v>80</v>
      </c>
      <c r="B123" s="144" t="str">
        <f>VLOOKUP(A123,Data[],2,FALSE)</f>
        <v>MANHATTAN</v>
      </c>
      <c r="C123" s="144" t="str">
        <f ca="1">IF(OR(F123="2019-2020",F123="2021-2025"),"",IF(ISNUMBER(SEARCH("LLC",D123)),VLOOKUP(A123,Yards25[],3,FALSE),VLOOKUP(A123,Yards[],3,FALSE)))</f>
        <v>New Waste Yard v1</v>
      </c>
      <c r="D123" s="9" t="str">
        <f>VLOOKUP(A123,Data[],52,FALSE)</f>
        <v>FEDERAL</v>
      </c>
      <c r="E123" s="9">
        <f>VLOOKUP(YardsAll[[#This Row],[DEVELOPMENT]],Data[],62,FALSE)</f>
        <v>10</v>
      </c>
      <c r="F123" s="9" t="str">
        <f ca="1">VLOOKUP(A123,Data[],4,FALSE)</f>
        <v>2020-2021</v>
      </c>
      <c r="G123" s="9">
        <f ca="1">IF(OR(YardsAll[[#This Row],[RAD/PACT]]="2019-2020",YardsAll[[#This Row],[RAD/PACT]]="2021-2025"),"",IF(ISNUMBER(SEARCH("1",C123)),2,IF(ISNUMBER(SEARCH("2",C123)),1,IF(ISNUMBER(SEARCH("3",C123)),3,IF(ISNUMBER(SEARCH("4",C123)),4,IF(ISNUMBER(SEARCH("5",C123)),5,IF(ISNUMBER(SEARCH("6",C123)),6,IF(ISNUMBER(SEARCH("7",C123)),7,IF(ISNUMBER(SEARCH("8",C123)),8,0)))))))))</f>
        <v>2</v>
      </c>
      <c r="H123" s="143" t="str">
        <f ca="1">IF(YardsAll[[#This Row],[STATUS]]="","",IF(OR(F123="2019-2020",F123="2021-2025"),"",IF(ISNUMBER(SEARCH("LLC",D123)),VLOOKUP(A123,Yards25[],28,FALSE),VLOOKUP(A123,Yards[],28,FALSE))))</f>
        <v/>
      </c>
      <c r="I123" s="143" t="str">
        <f ca="1">IF(YardsAll[[#This Row],[STATUS]]="","",IF(OR(F123="2019-2020",F123="2021-2025"),"",IF(ISNUMBER(SEARCH("LLC",D123)),VLOOKUP(A123,Yards25[],17,FALSE),VLOOKUP(A123,Yards[],17,FALSE))))</f>
        <v/>
      </c>
      <c r="J123" s="143" t="str">
        <f ca="1">IF(YardsAll[[#This Row],[STATUS]]="","",IF(OR(F123="2019-2020",F123="2021-2025"),"",IF(ISNUMBER(SEARCH("LLC",D123)),VLOOKUP(A123,Yards25[],29,FALSE),VLOOKUP(A123,Yards[],29,FALSE))))</f>
        <v/>
      </c>
      <c r="K123" s="143" t="str">
        <f ca="1">IF(YardsAll[[#This Row],[STATUS]]="","",IF(OR(F123="2019-2020",F123="2021-2025"),"",IF(ISNUMBER(SEARCH("LLC",D123)),VLOOKUP(A123,Yards25[],19,FALSE),VLOOKUP(A123,Yards[],19,FALSE))))</f>
        <v/>
      </c>
      <c r="L123" s="143" t="str">
        <f ca="1">IF(IF(OR(F123="2019-2020",F123="2021-2025"),"",IF(ISNUMBER(SEARCH("LLC",D123)),VLOOKUP(A123,Yards25[],20,FALSE),VLOOKUP(A123,Yards[],20,FALSE)))=0,"",IF(OR(F123="2019-2020",F123="2021-2025"),"",IF(ISNUMBER(SEARCH("LLC",D123)),VLOOKUP(A123,Yards25[],20,FALSE),VLOOKUP(A123,Yards[],20,FALSE))))</f>
        <v/>
      </c>
      <c r="M123" s="151">
        <f ca="1">IF(OR(F123="2019-2020",F123="2021-2025"),"",IF(ISNUMBER(SEARCH("LLC",D123)),VLOOKUP(A123,Yards25[],21,FALSE),VLOOKUP(A123,Yards[],21,FALSE)))</f>
        <v>0</v>
      </c>
      <c r="N123" s="151">
        <f ca="1">IF(OR(F123="2019-2020",F123="2021-2025"),"",IF(ISNUMBER(SEARCH("LLC",D123)),VLOOKUP(A123,Yards25[],22,FALSE),VLOOKUP(A123,Yards[],22,FALSE)))</f>
        <v>0</v>
      </c>
      <c r="O123" s="151">
        <f ca="1">SUM(YardsAll[[#This Row],[DSGN ESTIMATE]:[CONS ESTIMATE]])</f>
        <v>0</v>
      </c>
      <c r="P123" s="143"/>
      <c r="Q123" s="143">
        <f ca="1">IF(OR(F123="2019-2020",F123="2021-2025"),"",IF(ISNUMBER(SEARCH("LLC",D123)),VLOOKUP(A123,Yards25[],25,FALSE),VLOOKUP(A123,Yards[],25,FALSE)))</f>
        <v>0</v>
      </c>
      <c r="R123" s="152"/>
    </row>
    <row r="124" spans="1:18">
      <c r="A124" s="147" t="s">
        <v>81</v>
      </c>
      <c r="B124" s="144" t="str">
        <f>VLOOKUP(A124,Data[],2,FALSE)</f>
        <v>MANHATTAN</v>
      </c>
      <c r="C124" s="144" t="str">
        <f ca="1">IF(OR(F124="2019-2020",F124="2021-2025"),"",IF(ISNUMBER(SEARCH("LLC",D124)),VLOOKUP(A124,Yards25[],3,FALSE),VLOOKUP(A124,Yards[],3,FALSE)))</f>
        <v>New Waste Yard v5</v>
      </c>
      <c r="D124" s="9" t="str">
        <f>VLOOKUP(A124,Data[],52,FALSE)</f>
        <v>FEDERAL</v>
      </c>
      <c r="E124" s="9">
        <f>VLOOKUP(YardsAll[[#This Row],[DEVELOPMENT]],Data[],62,FALSE)</f>
        <v>9</v>
      </c>
      <c r="F124" s="9" t="str">
        <f ca="1">VLOOKUP(A124,Data[],4,FALSE)</f>
        <v>2026+</v>
      </c>
      <c r="G124" s="9">
        <f ca="1">IF(OR(YardsAll[[#This Row],[RAD/PACT]]="2019-2020",YardsAll[[#This Row],[RAD/PACT]]="2021-2025"),"",IF(ISNUMBER(SEARCH("1",C124)),2,IF(ISNUMBER(SEARCH("2",C124)),1,IF(ISNUMBER(SEARCH("3",C124)),3,IF(ISNUMBER(SEARCH("4",C124)),4,IF(ISNUMBER(SEARCH("5",C124)),5,IF(ISNUMBER(SEARCH("6",C124)),6,IF(ISNUMBER(SEARCH("7",C124)),7,IF(ISNUMBER(SEARCH("8",C124)),8,0)))))))))</f>
        <v>5</v>
      </c>
      <c r="H124" s="143" t="str">
        <f ca="1">IF(YardsAll[[#This Row],[STATUS]]="","",IF(OR(F124="2019-2020",F124="2021-2025"),"",IF(ISNUMBER(SEARCH("LLC",D124)),VLOOKUP(A124,Yards25[],28,FALSE),VLOOKUP(A124,Yards[],28,FALSE))))</f>
        <v/>
      </c>
      <c r="I124" s="143" t="str">
        <f ca="1">IF(YardsAll[[#This Row],[STATUS]]="","",IF(OR(F124="2019-2020",F124="2021-2025"),"",IF(ISNUMBER(SEARCH("LLC",D124)),VLOOKUP(A124,Yards25[],17,FALSE),VLOOKUP(A124,Yards[],17,FALSE))))</f>
        <v/>
      </c>
      <c r="J124" s="143" t="str">
        <f ca="1">IF(YardsAll[[#This Row],[STATUS]]="","",IF(OR(F124="2019-2020",F124="2021-2025"),"",IF(ISNUMBER(SEARCH("LLC",D124)),VLOOKUP(A124,Yards25[],29,FALSE),VLOOKUP(A124,Yards[],29,FALSE))))</f>
        <v/>
      </c>
      <c r="K124" s="143" t="str">
        <f ca="1">IF(YardsAll[[#This Row],[STATUS]]="","",IF(OR(F124="2019-2020",F124="2021-2025"),"",IF(ISNUMBER(SEARCH("LLC",D124)),VLOOKUP(A124,Yards25[],19,FALSE),VLOOKUP(A124,Yards[],19,FALSE))))</f>
        <v/>
      </c>
      <c r="L124" s="143" t="str">
        <f ca="1">IF(IF(OR(F124="2019-2020",F124="2021-2025"),"",IF(ISNUMBER(SEARCH("LLC",D124)),VLOOKUP(A124,Yards25[],20,FALSE),VLOOKUP(A124,Yards[],20,FALSE)))=0,"",IF(OR(F124="2019-2020",F124="2021-2025"),"",IF(ISNUMBER(SEARCH("LLC",D124)),VLOOKUP(A124,Yards25[],20,FALSE),VLOOKUP(A124,Yards[],20,FALSE))))</f>
        <v/>
      </c>
      <c r="M124" s="151">
        <f ca="1">IF(OR(F124="2019-2020",F124="2021-2025"),"",IF(ISNUMBER(SEARCH("LLC",D124)),VLOOKUP(A124,Yards25[],21,FALSE),VLOOKUP(A124,Yards[],21,FALSE)))</f>
        <v>324109.87173729995</v>
      </c>
      <c r="N124" s="151">
        <f ca="1">IF(OR(F124="2019-2020",F124="2021-2025"),"",IF(ISNUMBER(SEARCH("LLC",D124)),VLOOKUP(A124,Yards25[],22,FALSE),VLOOKUP(A124,Yards[],22,FALSE)))</f>
        <v>2916988.8456356996</v>
      </c>
      <c r="O124" s="151">
        <f ca="1">SUM(YardsAll[[#This Row],[DSGN ESTIMATE]:[CONS ESTIMATE]])</f>
        <v>3241098.7173729995</v>
      </c>
      <c r="P124" s="143"/>
      <c r="Q124" s="143">
        <f ca="1">IF(OR(F124="2019-2020",F124="2021-2025"),"",IF(ISNUMBER(SEARCH("LLC",D124)),VLOOKUP(A124,Yards25[],25,FALSE),VLOOKUP(A124,Yards[],25,FALSE)))</f>
        <v>0</v>
      </c>
      <c r="R124" s="152"/>
    </row>
    <row r="125" spans="1:18">
      <c r="A125" s="147" t="s">
        <v>327</v>
      </c>
      <c r="B125" s="144" t="str">
        <f>VLOOKUP(A125,Data[],2,FALSE)</f>
        <v>BROOKLYN</v>
      </c>
      <c r="C125" s="144" t="str">
        <f ca="1">IF(OR(F125="2019-2020",F125="2021-2025"),"",IF(ISNUMBER(SEARCH("LLC",D125)),VLOOKUP(A125,Yards25[],3,FALSE),VLOOKUP(A125,Yards[],3,FALSE)))</f>
        <v>New Waste Yard v1</v>
      </c>
      <c r="D125" s="9" t="str">
        <f>VLOOKUP(A125,Data[],52,FALSE)</f>
        <v>FEDERAL</v>
      </c>
      <c r="E125" s="9">
        <f>VLOOKUP(YardsAll[[#This Row],[DEVELOPMENT]],Data[],62,FALSE)</f>
        <v>13</v>
      </c>
      <c r="F125" s="9" t="str">
        <f ca="1">VLOOKUP(A125,Data[],4,FALSE)</f>
        <v>2026+</v>
      </c>
      <c r="G125" s="9">
        <f ca="1">IF(OR(YardsAll[[#This Row],[RAD/PACT]]="2019-2020",YardsAll[[#This Row],[RAD/PACT]]="2021-2025"),"",IF(ISNUMBER(SEARCH("1",C125)),2,IF(ISNUMBER(SEARCH("2",C125)),1,IF(ISNUMBER(SEARCH("3",C125)),3,IF(ISNUMBER(SEARCH("4",C125)),4,IF(ISNUMBER(SEARCH("5",C125)),5,IF(ISNUMBER(SEARCH("6",C125)),6,IF(ISNUMBER(SEARCH("7",C125)),7,IF(ISNUMBER(SEARCH("8",C125)),8,0)))))))))</f>
        <v>2</v>
      </c>
      <c r="H125" s="143" t="str">
        <f ca="1">IF(YardsAll[[#This Row],[STATUS]]="","",IF(OR(F125="2019-2020",F125="2021-2025"),"",IF(ISNUMBER(SEARCH("LLC",D125)),VLOOKUP(A125,Yards25[],28,FALSE),VLOOKUP(A125,Yards[],28,FALSE))))</f>
        <v/>
      </c>
      <c r="I125" s="143" t="str">
        <f ca="1">IF(YardsAll[[#This Row],[STATUS]]="","",IF(OR(F125="2019-2020",F125="2021-2025"),"",IF(ISNUMBER(SEARCH("LLC",D125)),VLOOKUP(A125,Yards25[],17,FALSE),VLOOKUP(A125,Yards[],17,FALSE))))</f>
        <v/>
      </c>
      <c r="J125" s="143" t="str">
        <f ca="1">IF(YardsAll[[#This Row],[STATUS]]="","",IF(OR(F125="2019-2020",F125="2021-2025"),"",IF(ISNUMBER(SEARCH("LLC",D125)),VLOOKUP(A125,Yards25[],29,FALSE),VLOOKUP(A125,Yards[],29,FALSE))))</f>
        <v/>
      </c>
      <c r="K125" s="143" t="str">
        <f ca="1">IF(YardsAll[[#This Row],[STATUS]]="","",IF(OR(F125="2019-2020",F125="2021-2025"),"",IF(ISNUMBER(SEARCH("LLC",D125)),VLOOKUP(A125,Yards25[],19,FALSE),VLOOKUP(A125,Yards[],19,FALSE))))</f>
        <v/>
      </c>
      <c r="L125" s="143" t="str">
        <f ca="1">IF(IF(OR(F125="2019-2020",F125="2021-2025"),"",IF(ISNUMBER(SEARCH("LLC",D125)),VLOOKUP(A125,Yards25[],20,FALSE),VLOOKUP(A125,Yards[],20,FALSE)))=0,"",IF(OR(F125="2019-2020",F125="2021-2025"),"",IF(ISNUMBER(SEARCH("LLC",D125)),VLOOKUP(A125,Yards25[],20,FALSE),VLOOKUP(A125,Yards[],20,FALSE))))</f>
        <v/>
      </c>
      <c r="M125" s="151">
        <f ca="1">IF(OR(F125="2019-2020",F125="2021-2025"),"",IF(ISNUMBER(SEARCH("LLC",D125)),VLOOKUP(A125,Yards25[],21,FALSE),VLOOKUP(A125,Yards[],21,FALSE)))</f>
        <v>218713.03623400006</v>
      </c>
      <c r="N125" s="151">
        <f ca="1">IF(OR(F125="2019-2020",F125="2021-2025"),"",IF(ISNUMBER(SEARCH("LLC",D125)),VLOOKUP(A125,Yards25[],22,FALSE),VLOOKUP(A125,Yards[],22,FALSE)))</f>
        <v>1968417.3261060005</v>
      </c>
      <c r="O125" s="151">
        <f ca="1">SUM(YardsAll[[#This Row],[DSGN ESTIMATE]:[CONS ESTIMATE]])</f>
        <v>2187130.3623400005</v>
      </c>
      <c r="P125" s="143"/>
      <c r="Q125" s="143">
        <f ca="1">IF(OR(F125="2019-2020",F125="2021-2025"),"",IF(ISNUMBER(SEARCH("LLC",D125)),VLOOKUP(A125,Yards25[],25,FALSE),VLOOKUP(A125,Yards[],25,FALSE)))</f>
        <v>0</v>
      </c>
      <c r="R125" s="152"/>
    </row>
    <row r="126" spans="1:18">
      <c r="A126" s="147" t="s">
        <v>328</v>
      </c>
      <c r="B126" s="144" t="str">
        <f>VLOOKUP(A126,Data[],2,FALSE)</f>
        <v>BRONX</v>
      </c>
      <c r="C126" s="144" t="str">
        <f ca="1">IF(OR(F126="2019-2020",F126="2021-2025"),"",IF(ISNUMBER(SEARCH("LLC",D126)),VLOOKUP(A126,Yards25[],3,FALSE),VLOOKUP(A126,Yards[],3,FALSE)))</f>
        <v>New Waste Yard v3</v>
      </c>
      <c r="D126" s="9" t="str">
        <f>VLOOKUP(A126,Data[],52,FALSE)</f>
        <v>FEDERAL</v>
      </c>
      <c r="E126" s="9">
        <f>VLOOKUP(YardsAll[[#This Row],[DEVELOPMENT]],Data[],62,FALSE)</f>
        <v>12</v>
      </c>
      <c r="F126" s="9" t="str">
        <f ca="1">VLOOKUP(A126,Data[],4,FALSE)</f>
        <v/>
      </c>
      <c r="G126" s="9">
        <f ca="1">IF(OR(YardsAll[[#This Row],[RAD/PACT]]="2019-2020",YardsAll[[#This Row],[RAD/PACT]]="2021-2025"),"",IF(ISNUMBER(SEARCH("1",C126)),2,IF(ISNUMBER(SEARCH("2",C126)),1,IF(ISNUMBER(SEARCH("3",C126)),3,IF(ISNUMBER(SEARCH("4",C126)),4,IF(ISNUMBER(SEARCH("5",C126)),5,IF(ISNUMBER(SEARCH("6",C126)),6,IF(ISNUMBER(SEARCH("7",C126)),7,IF(ISNUMBER(SEARCH("8",C126)),8,0)))))))))</f>
        <v>3</v>
      </c>
      <c r="H126" s="143" t="str">
        <f ca="1">IF(YardsAll[[#This Row],[STATUS]]="","",IF(OR(F126="2019-2020",F126="2021-2025"),"",IF(ISNUMBER(SEARCH("LLC",D126)),VLOOKUP(A126,Yards25[],28,FALSE),VLOOKUP(A126,Yards[],28,FALSE))))</f>
        <v/>
      </c>
      <c r="I126" s="143" t="str">
        <f ca="1">IF(YardsAll[[#This Row],[STATUS]]="","",IF(OR(F126="2019-2020",F126="2021-2025"),"",IF(ISNUMBER(SEARCH("LLC",D126)),VLOOKUP(A126,Yards25[],17,FALSE),VLOOKUP(A126,Yards[],17,FALSE))))</f>
        <v/>
      </c>
      <c r="J126" s="143" t="str">
        <f ca="1">IF(YardsAll[[#This Row],[STATUS]]="","",IF(OR(F126="2019-2020",F126="2021-2025"),"",IF(ISNUMBER(SEARCH("LLC",D126)),VLOOKUP(A126,Yards25[],29,FALSE),VLOOKUP(A126,Yards[],29,FALSE))))</f>
        <v/>
      </c>
      <c r="K126" s="143" t="str">
        <f ca="1">IF(YardsAll[[#This Row],[STATUS]]="","",IF(OR(F126="2019-2020",F126="2021-2025"),"",IF(ISNUMBER(SEARCH("LLC",D126)),VLOOKUP(A126,Yards25[],19,FALSE),VLOOKUP(A126,Yards[],19,FALSE))))</f>
        <v/>
      </c>
      <c r="L126" s="143" t="str">
        <f ca="1">IF(IF(OR(F126="2019-2020",F126="2021-2025"),"",IF(ISNUMBER(SEARCH("LLC",D126)),VLOOKUP(A126,Yards25[],20,FALSE),VLOOKUP(A126,Yards[],20,FALSE)))=0,"",IF(OR(F126="2019-2020",F126="2021-2025"),"",IF(ISNUMBER(SEARCH("LLC",D126)),VLOOKUP(A126,Yards25[],20,FALSE),VLOOKUP(A126,Yards[],20,FALSE))))</f>
        <v/>
      </c>
      <c r="M126" s="151">
        <f ca="1">IF(OR(F126="2019-2020",F126="2021-2025"),"",IF(ISNUMBER(SEARCH("LLC",D126)),VLOOKUP(A126,Yards25[],21,FALSE),VLOOKUP(A126,Yards[],21,FALSE)))</f>
        <v>265686.40251975006</v>
      </c>
      <c r="N126" s="151">
        <f ca="1">IF(OR(F126="2019-2020",F126="2021-2025"),"",IF(ISNUMBER(SEARCH("LLC",D126)),VLOOKUP(A126,Yards25[],22,FALSE),VLOOKUP(A126,Yards[],22,FALSE)))</f>
        <v>2391177.6226777504</v>
      </c>
      <c r="O126" s="151">
        <f ca="1">SUM(YardsAll[[#This Row],[DSGN ESTIMATE]:[CONS ESTIMATE]])</f>
        <v>2656864.0251975004</v>
      </c>
      <c r="P126" s="143"/>
      <c r="Q126" s="143">
        <f ca="1">IF(OR(F126="2019-2020",F126="2021-2025"),"",IF(ISNUMBER(SEARCH("LLC",D126)),VLOOKUP(A126,Yards25[],25,FALSE),VLOOKUP(A126,Yards[],25,FALSE)))</f>
        <v>0</v>
      </c>
      <c r="R126" s="152"/>
    </row>
    <row r="127" spans="1:18">
      <c r="A127" s="147" t="s">
        <v>329</v>
      </c>
      <c r="B127" s="144" t="str">
        <f>VLOOKUP(A127,Data[],2,FALSE)</f>
        <v>BROOKLYN</v>
      </c>
      <c r="C127" s="144" t="str">
        <f ca="1">IF(OR(F127="2019-2020",F127="2021-2025"),"",IF(ISNUMBER(SEARCH("LLC",D127)),VLOOKUP(A127,Yards25[],3,FALSE),VLOOKUP(A127,Yards[],3,FALSE)))</f>
        <v>New Waste Yard v1</v>
      </c>
      <c r="D127" s="9" t="str">
        <f>VLOOKUP(A127,Data[],52,FALSE)</f>
        <v>FEDERAL</v>
      </c>
      <c r="E127" s="9">
        <f>VLOOKUP(YardsAll[[#This Row],[DEVELOPMENT]],Data[],62,FALSE)</f>
        <v>13</v>
      </c>
      <c r="F127" s="9" t="str">
        <f ca="1">VLOOKUP(A127,Data[],4,FALSE)</f>
        <v/>
      </c>
      <c r="G127" s="9">
        <f ca="1">IF(OR(YardsAll[[#This Row],[RAD/PACT]]="2019-2020",YardsAll[[#This Row],[RAD/PACT]]="2021-2025"),"",IF(ISNUMBER(SEARCH("1",C127)),2,IF(ISNUMBER(SEARCH("2",C127)),1,IF(ISNUMBER(SEARCH("3",C127)),3,IF(ISNUMBER(SEARCH("4",C127)),4,IF(ISNUMBER(SEARCH("5",C127)),5,IF(ISNUMBER(SEARCH("6",C127)),6,IF(ISNUMBER(SEARCH("7",C127)),7,IF(ISNUMBER(SEARCH("8",C127)),8,0)))))))))</f>
        <v>2</v>
      </c>
      <c r="H127" s="143" t="str">
        <f ca="1">IF(YardsAll[[#This Row],[STATUS]]="","",IF(OR(F127="2019-2020",F127="2021-2025"),"",IF(ISNUMBER(SEARCH("LLC",D127)),VLOOKUP(A127,Yards25[],28,FALSE),VLOOKUP(A127,Yards[],28,FALSE))))</f>
        <v/>
      </c>
      <c r="I127" s="143" t="str">
        <f ca="1">IF(YardsAll[[#This Row],[STATUS]]="","",IF(OR(F127="2019-2020",F127="2021-2025"),"",IF(ISNUMBER(SEARCH("LLC",D127)),VLOOKUP(A127,Yards25[],17,FALSE),VLOOKUP(A127,Yards[],17,FALSE))))</f>
        <v/>
      </c>
      <c r="J127" s="143" t="str">
        <f ca="1">IF(YardsAll[[#This Row],[STATUS]]="","",IF(OR(F127="2019-2020",F127="2021-2025"),"",IF(ISNUMBER(SEARCH("LLC",D127)),VLOOKUP(A127,Yards25[],29,FALSE),VLOOKUP(A127,Yards[],29,FALSE))))</f>
        <v/>
      </c>
      <c r="K127" s="143" t="str">
        <f ca="1">IF(YardsAll[[#This Row],[STATUS]]="","",IF(OR(F127="2019-2020",F127="2021-2025"),"",IF(ISNUMBER(SEARCH("LLC",D127)),VLOOKUP(A127,Yards25[],19,FALSE),VLOOKUP(A127,Yards[],19,FALSE))))</f>
        <v/>
      </c>
      <c r="L127" s="143" t="str">
        <f ca="1">IF(IF(OR(F127="2019-2020",F127="2021-2025"),"",IF(ISNUMBER(SEARCH("LLC",D127)),VLOOKUP(A127,Yards25[],20,FALSE),VLOOKUP(A127,Yards[],20,FALSE)))=0,"",IF(OR(F127="2019-2020",F127="2021-2025"),"",IF(ISNUMBER(SEARCH("LLC",D127)),VLOOKUP(A127,Yards25[],20,FALSE),VLOOKUP(A127,Yards[],20,FALSE))))</f>
        <v/>
      </c>
      <c r="M127" s="151">
        <f ca="1">IF(OR(F127="2019-2020",F127="2021-2025"),"",IF(ISNUMBER(SEARCH("LLC",D127)),VLOOKUP(A127,Yards25[],21,FALSE),VLOOKUP(A127,Yards[],21,FALSE)))</f>
        <v>218713.03623400006</v>
      </c>
      <c r="N127" s="151">
        <f ca="1">IF(OR(F127="2019-2020",F127="2021-2025"),"",IF(ISNUMBER(SEARCH("LLC",D127)),VLOOKUP(A127,Yards25[],22,FALSE),VLOOKUP(A127,Yards[],22,FALSE)))</f>
        <v>1968417.3261060005</v>
      </c>
      <c r="O127" s="151">
        <f ca="1">SUM(YardsAll[[#This Row],[DSGN ESTIMATE]:[CONS ESTIMATE]])</f>
        <v>2187130.3623400005</v>
      </c>
      <c r="P127" s="143"/>
      <c r="Q127" s="143">
        <f ca="1">IF(OR(F127="2019-2020",F127="2021-2025"),"",IF(ISNUMBER(SEARCH("LLC",D127)),VLOOKUP(A127,Yards25[],25,FALSE),VLOOKUP(A127,Yards[],25,FALSE)))</f>
        <v>0</v>
      </c>
      <c r="R127" s="152"/>
    </row>
    <row r="128" spans="1:18">
      <c r="A128" s="147" t="s">
        <v>244</v>
      </c>
      <c r="B128" s="144" t="str">
        <f>VLOOKUP(A128,Data[],2,FALSE)</f>
        <v>QUEENS</v>
      </c>
      <c r="C128" s="144" t="str">
        <f ca="1">IF(OR(F128="2019-2020",F128="2021-2025"),"",IF(ISNUMBER(SEARCH("LLC",D128)),VLOOKUP(A128,Yards25[],3,FALSE),VLOOKUP(A128,Yards[],3,FALSE)))</f>
        <v>New Waste Yard v3</v>
      </c>
      <c r="D128" s="9" t="str">
        <f>VLOOKUP(A128,Data[],52,FALSE)</f>
        <v>FEDERAL</v>
      </c>
      <c r="E128" s="9">
        <f>VLOOKUP(YardsAll[[#This Row],[DEVELOPMENT]],Data[],62,FALSE)</f>
        <v>14</v>
      </c>
      <c r="F128" s="9" t="str">
        <f ca="1">VLOOKUP(A128,Data[],4,FALSE)</f>
        <v>2026+</v>
      </c>
      <c r="G128" s="9">
        <f ca="1">IF(OR(YardsAll[[#This Row],[RAD/PACT]]="2019-2020",YardsAll[[#This Row],[RAD/PACT]]="2021-2025"),"",IF(ISNUMBER(SEARCH("1",C128)),2,IF(ISNUMBER(SEARCH("2",C128)),1,IF(ISNUMBER(SEARCH("3",C128)),3,IF(ISNUMBER(SEARCH("4",C128)),4,IF(ISNUMBER(SEARCH("5",C128)),5,IF(ISNUMBER(SEARCH("6",C128)),6,IF(ISNUMBER(SEARCH("7",C128)),7,IF(ISNUMBER(SEARCH("8",C128)),8,0)))))))))</f>
        <v>3</v>
      </c>
      <c r="H128" s="143" t="str">
        <f ca="1">IF(YardsAll[[#This Row],[STATUS]]="","",IF(OR(F128="2019-2020",F128="2021-2025"),"",IF(ISNUMBER(SEARCH("LLC",D128)),VLOOKUP(A128,Yards25[],28,FALSE),VLOOKUP(A128,Yards[],28,FALSE))))</f>
        <v/>
      </c>
      <c r="I128" s="143" t="str">
        <f ca="1">IF(YardsAll[[#This Row],[STATUS]]="","",IF(OR(F128="2019-2020",F128="2021-2025"),"",IF(ISNUMBER(SEARCH("LLC",D128)),VLOOKUP(A128,Yards25[],17,FALSE),VLOOKUP(A128,Yards[],17,FALSE))))</f>
        <v/>
      </c>
      <c r="J128" s="143" t="str">
        <f ca="1">IF(YardsAll[[#This Row],[STATUS]]="","",IF(OR(F128="2019-2020",F128="2021-2025"),"",IF(ISNUMBER(SEARCH("LLC",D128)),VLOOKUP(A128,Yards25[],29,FALSE),VLOOKUP(A128,Yards[],29,FALSE))))</f>
        <v/>
      </c>
      <c r="K128" s="143" t="str">
        <f ca="1">IF(YardsAll[[#This Row],[STATUS]]="","",IF(OR(F128="2019-2020",F128="2021-2025"),"",IF(ISNUMBER(SEARCH("LLC",D128)),VLOOKUP(A128,Yards25[],19,FALSE),VLOOKUP(A128,Yards[],19,FALSE))))</f>
        <v/>
      </c>
      <c r="L128" s="143" t="str">
        <f ca="1">IF(IF(OR(F128="2019-2020",F128="2021-2025"),"",IF(ISNUMBER(SEARCH("LLC",D128)),VLOOKUP(A128,Yards25[],20,FALSE),VLOOKUP(A128,Yards[],20,FALSE)))=0,"",IF(OR(F128="2019-2020",F128="2021-2025"),"",IF(ISNUMBER(SEARCH("LLC",D128)),VLOOKUP(A128,Yards25[],20,FALSE),VLOOKUP(A128,Yards[],20,FALSE))))</f>
        <v/>
      </c>
      <c r="M128" s="151">
        <f ca="1">IF(OR(F128="2019-2020",F128="2021-2025"),"",IF(ISNUMBER(SEARCH("LLC",D128)),VLOOKUP(A128,Yards25[],21,FALSE),VLOOKUP(A128,Yards[],21,FALSE)))</f>
        <v>237400.39768875009</v>
      </c>
      <c r="N128" s="151">
        <f ca="1">IF(OR(F128="2019-2020",F128="2021-2025"),"",IF(ISNUMBER(SEARCH("LLC",D128)),VLOOKUP(A128,Yards25[],22,FALSE),VLOOKUP(A128,Yards[],22,FALSE)))</f>
        <v>2136603.5791987507</v>
      </c>
      <c r="O128" s="151">
        <f ca="1">SUM(YardsAll[[#This Row],[DSGN ESTIMATE]:[CONS ESTIMATE]])</f>
        <v>2374003.9768875008</v>
      </c>
      <c r="P128" s="143"/>
      <c r="Q128" s="143">
        <f ca="1">IF(OR(F128="2019-2020",F128="2021-2025"),"",IF(ISNUMBER(SEARCH("LLC",D128)),VLOOKUP(A128,Yards25[],25,FALSE),VLOOKUP(A128,Yards[],25,FALSE)))</f>
        <v>0</v>
      </c>
      <c r="R128" s="152"/>
    </row>
    <row r="129" spans="1:18">
      <c r="A129" s="147" t="s">
        <v>265</v>
      </c>
      <c r="B129" s="144" t="str">
        <f>VLOOKUP(A129,Data[],2,FALSE)</f>
        <v>MANHATTAN</v>
      </c>
      <c r="C129" s="144" t="str">
        <f ca="1">IF(OR(F129="2019-2020",F129="2021-2025"),"",IF(ISNUMBER(SEARCH("LLC",D129)),VLOOKUP(A129,Yards25[],3,FALSE),VLOOKUP(A129,Yards[],3,FALSE)))</f>
        <v>New Waste Yard v1</v>
      </c>
      <c r="D129" s="9" t="str">
        <f>VLOOKUP(A129,Data[],52,FALSE)</f>
        <v>FEDERAL</v>
      </c>
      <c r="E129" s="9">
        <f>VLOOKUP(YardsAll[[#This Row],[DEVELOPMENT]],Data[],62,FALSE)</f>
        <v>4</v>
      </c>
      <c r="F129" s="9" t="str">
        <f ca="1">VLOOKUP(A129,Data[],4,FALSE)</f>
        <v/>
      </c>
      <c r="G129" s="9">
        <f ca="1">IF(OR(YardsAll[[#This Row],[RAD/PACT]]="2019-2020",YardsAll[[#This Row],[RAD/PACT]]="2021-2025"),"",IF(ISNUMBER(SEARCH("1",C129)),2,IF(ISNUMBER(SEARCH("2",C129)),1,IF(ISNUMBER(SEARCH("3",C129)),3,IF(ISNUMBER(SEARCH("4",C129)),4,IF(ISNUMBER(SEARCH("5",C129)),5,IF(ISNUMBER(SEARCH("6",C129)),6,IF(ISNUMBER(SEARCH("7",C129)),7,IF(ISNUMBER(SEARCH("8",C129)),8,0)))))))))</f>
        <v>2</v>
      </c>
      <c r="H129" s="143" t="str">
        <f ca="1">IF(YardsAll[[#This Row],[STATUS]]="","",IF(OR(F129="2019-2020",F129="2021-2025"),"",IF(ISNUMBER(SEARCH("LLC",D129)),VLOOKUP(A129,Yards25[],28,FALSE),VLOOKUP(A129,Yards[],28,FALSE))))</f>
        <v/>
      </c>
      <c r="I129" s="143" t="str">
        <f ca="1">IF(YardsAll[[#This Row],[STATUS]]="","",IF(OR(F129="2019-2020",F129="2021-2025"),"",IF(ISNUMBER(SEARCH("LLC",D129)),VLOOKUP(A129,Yards25[],17,FALSE),VLOOKUP(A129,Yards[],17,FALSE))))</f>
        <v/>
      </c>
      <c r="J129" s="143" t="str">
        <f ca="1">IF(YardsAll[[#This Row],[STATUS]]="","",IF(OR(F129="2019-2020",F129="2021-2025"),"",IF(ISNUMBER(SEARCH("LLC",D129)),VLOOKUP(A129,Yards25[],29,FALSE),VLOOKUP(A129,Yards[],29,FALSE))))</f>
        <v/>
      </c>
      <c r="K129" s="143" t="str">
        <f ca="1">IF(YardsAll[[#This Row],[STATUS]]="","",IF(OR(F129="2019-2020",F129="2021-2025"),"",IF(ISNUMBER(SEARCH("LLC",D129)),VLOOKUP(A129,Yards25[],19,FALSE),VLOOKUP(A129,Yards[],19,FALSE))))</f>
        <v/>
      </c>
      <c r="L129" s="143" t="str">
        <f ca="1">IF(IF(OR(F129="2019-2020",F129="2021-2025"),"",IF(ISNUMBER(SEARCH("LLC",D129)),VLOOKUP(A129,Yards25[],20,FALSE),VLOOKUP(A129,Yards[],20,FALSE)))=0,"",IF(OR(F129="2019-2020",F129="2021-2025"),"",IF(ISNUMBER(SEARCH("LLC",D129)),VLOOKUP(A129,Yards25[],20,FALSE),VLOOKUP(A129,Yards[],20,FALSE))))</f>
        <v/>
      </c>
      <c r="M129" s="151">
        <f ca="1">IF(OR(F129="2019-2020",F129="2021-2025"),"",IF(ISNUMBER(SEARCH("LLC",D129)),VLOOKUP(A129,Yards25[],21,FALSE),VLOOKUP(A129,Yards[],21,FALSE)))</f>
        <v>212386.62609500007</v>
      </c>
      <c r="N129" s="151">
        <f ca="1">IF(OR(F129="2019-2020",F129="2021-2025"),"",IF(ISNUMBER(SEARCH("LLC",D129)),VLOOKUP(A129,Yards25[],22,FALSE),VLOOKUP(A129,Yards[],22,FALSE)))</f>
        <v>1911479.6348550003</v>
      </c>
      <c r="O129" s="151">
        <f ca="1">SUM(YardsAll[[#This Row],[DSGN ESTIMATE]:[CONS ESTIMATE]])</f>
        <v>2123866.2609500005</v>
      </c>
      <c r="P129" s="143"/>
      <c r="Q129" s="143">
        <f ca="1">IF(OR(F129="2019-2020",F129="2021-2025"),"",IF(ISNUMBER(SEARCH("LLC",D129)),VLOOKUP(A129,Yards25[],25,FALSE),VLOOKUP(A129,Yards[],25,FALSE)))</f>
        <v>0</v>
      </c>
      <c r="R129" s="152"/>
    </row>
    <row r="130" spans="1:18">
      <c r="A130" s="147" t="s">
        <v>117</v>
      </c>
      <c r="B130" s="144" t="str">
        <f>VLOOKUP(A130,Data[],2,FALSE)</f>
        <v>MANHATTAN</v>
      </c>
      <c r="C130" s="144" t="str">
        <f ca="1">IF(OR(F130="2019-2020",F130="2021-2025"),"",IF(ISNUMBER(SEARCH("LLC",D130)),VLOOKUP(A130,Yards25[],3,FALSE),VLOOKUP(A130,Yards[],3,FALSE)))</f>
        <v>New Waste Yard v3</v>
      </c>
      <c r="D130" s="9" t="str">
        <f>VLOOKUP(A130,Data[],52,FALSE)</f>
        <v>FEDERAL</v>
      </c>
      <c r="E130" s="9">
        <f>VLOOKUP(YardsAll[[#This Row],[DEVELOPMENT]],Data[],62,FALSE)</f>
        <v>10</v>
      </c>
      <c r="F130" s="9" t="str">
        <f ca="1">VLOOKUP(A130,Data[],4,FALSE)</f>
        <v>2020-2021</v>
      </c>
      <c r="G130" s="9">
        <f ca="1">IF(OR(YardsAll[[#This Row],[RAD/PACT]]="2019-2020",YardsAll[[#This Row],[RAD/PACT]]="2021-2025"),"",IF(ISNUMBER(SEARCH("1",C130)),2,IF(ISNUMBER(SEARCH("2",C130)),1,IF(ISNUMBER(SEARCH("3",C130)),3,IF(ISNUMBER(SEARCH("4",C130)),4,IF(ISNUMBER(SEARCH("5",C130)),5,IF(ISNUMBER(SEARCH("6",C130)),6,IF(ISNUMBER(SEARCH("7",C130)),7,IF(ISNUMBER(SEARCH("8",C130)),8,0)))))))))</f>
        <v>3</v>
      </c>
      <c r="H130" s="143" t="str">
        <f ca="1">IF(YardsAll[[#This Row],[STATUS]]="","",IF(OR(F130="2019-2020",F130="2021-2025"),"",IF(ISNUMBER(SEARCH("LLC",D130)),VLOOKUP(A130,Yards25[],28,FALSE),VLOOKUP(A130,Yards[],28,FALSE))))</f>
        <v/>
      </c>
      <c r="I130" s="143" t="str">
        <f ca="1">IF(YardsAll[[#This Row],[STATUS]]="","",IF(OR(F130="2019-2020",F130="2021-2025"),"",IF(ISNUMBER(SEARCH("LLC",D130)),VLOOKUP(A130,Yards25[],17,FALSE),VLOOKUP(A130,Yards[],17,FALSE))))</f>
        <v/>
      </c>
      <c r="J130" s="143" t="str">
        <f ca="1">IF(YardsAll[[#This Row],[STATUS]]="","",IF(OR(F130="2019-2020",F130="2021-2025"),"",IF(ISNUMBER(SEARCH("LLC",D130)),VLOOKUP(A130,Yards25[],29,FALSE),VLOOKUP(A130,Yards[],29,FALSE))))</f>
        <v/>
      </c>
      <c r="K130" s="143" t="str">
        <f ca="1">IF(YardsAll[[#This Row],[STATUS]]="","",IF(OR(F130="2019-2020",F130="2021-2025"),"",IF(ISNUMBER(SEARCH("LLC",D130)),VLOOKUP(A130,Yards25[],19,FALSE),VLOOKUP(A130,Yards[],19,FALSE))))</f>
        <v/>
      </c>
      <c r="L130" s="143" t="str">
        <f ca="1">IF(IF(OR(F130="2019-2020",F130="2021-2025"),"",IF(ISNUMBER(SEARCH("LLC",D130)),VLOOKUP(A130,Yards25[],20,FALSE),VLOOKUP(A130,Yards[],20,FALSE)))=0,"",IF(OR(F130="2019-2020",F130="2021-2025"),"",IF(ISNUMBER(SEARCH("LLC",D130)),VLOOKUP(A130,Yards25[],20,FALSE),VLOOKUP(A130,Yards[],20,FALSE))))</f>
        <v/>
      </c>
      <c r="M130" s="151">
        <f ca="1">IF(OR(F130="2019-2020",F130="2021-2025"),"",IF(ISNUMBER(SEARCH("LLC",D130)),VLOOKUP(A130,Yards25[],21,FALSE),VLOOKUP(A130,Yards[],21,FALSE)))</f>
        <v>0</v>
      </c>
      <c r="N130" s="151">
        <f ca="1">IF(OR(F130="2019-2020",F130="2021-2025"),"",IF(ISNUMBER(SEARCH("LLC",D130)),VLOOKUP(A130,Yards25[],22,FALSE),VLOOKUP(A130,Yards[],22,FALSE)))</f>
        <v>0</v>
      </c>
      <c r="O130" s="151">
        <f ca="1">SUM(YardsAll[[#This Row],[DSGN ESTIMATE]:[CONS ESTIMATE]])</f>
        <v>0</v>
      </c>
      <c r="P130" s="143"/>
      <c r="Q130" s="143">
        <f ca="1">IF(OR(F130="2019-2020",F130="2021-2025"),"",IF(ISNUMBER(SEARCH("LLC",D130)),VLOOKUP(A130,Yards25[],25,FALSE),VLOOKUP(A130,Yards[],25,FALSE)))</f>
        <v>0</v>
      </c>
      <c r="R130" s="152"/>
    </row>
    <row r="131" spans="1:18">
      <c r="A131" s="147" t="s">
        <v>82</v>
      </c>
      <c r="B131" s="144" t="str">
        <f>VLOOKUP(A131,Data[],2,FALSE)</f>
        <v>MANHATTAN</v>
      </c>
      <c r="C131" s="144" t="str">
        <f ca="1">IF(OR(F131="2019-2020",F131="2021-2025"),"",IF(ISNUMBER(SEARCH("LLC",D131)),VLOOKUP(A131,Yards25[],3,FALSE),VLOOKUP(A131,Yards[],3,FALSE)))</f>
        <v>New Waste Yard v1</v>
      </c>
      <c r="D131" s="9" t="str">
        <f>VLOOKUP(A131,Data[],52,FALSE)</f>
        <v>FEDERAL</v>
      </c>
      <c r="E131" s="9">
        <f>VLOOKUP(YardsAll[[#This Row],[DEVELOPMENT]],Data[],62,FALSE)</f>
        <v>10</v>
      </c>
      <c r="F131" s="9" t="str">
        <f ca="1">VLOOKUP(A131,Data[],4,FALSE)</f>
        <v>2020-2021</v>
      </c>
      <c r="G131" s="9">
        <f ca="1">IF(OR(YardsAll[[#This Row],[RAD/PACT]]="2019-2020",YardsAll[[#This Row],[RAD/PACT]]="2021-2025"),"",IF(ISNUMBER(SEARCH("1",C131)),2,IF(ISNUMBER(SEARCH("2",C131)),1,IF(ISNUMBER(SEARCH("3",C131)),3,IF(ISNUMBER(SEARCH("4",C131)),4,IF(ISNUMBER(SEARCH("5",C131)),5,IF(ISNUMBER(SEARCH("6",C131)),6,IF(ISNUMBER(SEARCH("7",C131)),7,IF(ISNUMBER(SEARCH("8",C131)),8,0)))))))))</f>
        <v>2</v>
      </c>
      <c r="H131" s="143" t="str">
        <f ca="1">IF(YardsAll[[#This Row],[STATUS]]="","",IF(OR(F131="2019-2020",F131="2021-2025"),"",IF(ISNUMBER(SEARCH("LLC",D131)),VLOOKUP(A131,Yards25[],28,FALSE),VLOOKUP(A131,Yards[],28,FALSE))))</f>
        <v/>
      </c>
      <c r="I131" s="143" t="str">
        <f ca="1">IF(YardsAll[[#This Row],[STATUS]]="","",IF(OR(F131="2019-2020",F131="2021-2025"),"",IF(ISNUMBER(SEARCH("LLC",D131)),VLOOKUP(A131,Yards25[],17,FALSE),VLOOKUP(A131,Yards[],17,FALSE))))</f>
        <v/>
      </c>
      <c r="J131" s="143" t="str">
        <f ca="1">IF(YardsAll[[#This Row],[STATUS]]="","",IF(OR(F131="2019-2020",F131="2021-2025"),"",IF(ISNUMBER(SEARCH("LLC",D131)),VLOOKUP(A131,Yards25[],29,FALSE),VLOOKUP(A131,Yards[],29,FALSE))))</f>
        <v/>
      </c>
      <c r="K131" s="143" t="str">
        <f ca="1">IF(YardsAll[[#This Row],[STATUS]]="","",IF(OR(F131="2019-2020",F131="2021-2025"),"",IF(ISNUMBER(SEARCH("LLC",D131)),VLOOKUP(A131,Yards25[],19,FALSE),VLOOKUP(A131,Yards[],19,FALSE))))</f>
        <v/>
      </c>
      <c r="L131" s="143" t="str">
        <f ca="1">IF(IF(OR(F131="2019-2020",F131="2021-2025"),"",IF(ISNUMBER(SEARCH("LLC",D131)),VLOOKUP(A131,Yards25[],20,FALSE),VLOOKUP(A131,Yards[],20,FALSE)))=0,"",IF(OR(F131="2019-2020",F131="2021-2025"),"",IF(ISNUMBER(SEARCH("LLC",D131)),VLOOKUP(A131,Yards25[],20,FALSE),VLOOKUP(A131,Yards[],20,FALSE))))</f>
        <v/>
      </c>
      <c r="M131" s="151">
        <f ca="1">IF(OR(F131="2019-2020",F131="2021-2025"),"",IF(ISNUMBER(SEARCH("LLC",D131)),VLOOKUP(A131,Yards25[],21,FALSE),VLOOKUP(A131,Yards[],21,FALSE)))</f>
        <v>0</v>
      </c>
      <c r="N131" s="151">
        <f ca="1">IF(OR(F131="2019-2020",F131="2021-2025"),"",IF(ISNUMBER(SEARCH("LLC",D131)),VLOOKUP(A131,Yards25[],22,FALSE),VLOOKUP(A131,Yards[],22,FALSE)))</f>
        <v>0</v>
      </c>
      <c r="O131" s="151">
        <f ca="1">SUM(YardsAll[[#This Row],[DSGN ESTIMATE]:[CONS ESTIMATE]])</f>
        <v>0</v>
      </c>
      <c r="P131" s="143"/>
      <c r="Q131" s="143">
        <f ca="1">IF(OR(F131="2019-2020",F131="2021-2025"),"",IF(ISNUMBER(SEARCH("LLC",D131)),VLOOKUP(A131,Yards25[],25,FALSE),VLOOKUP(A131,Yards[],25,FALSE)))</f>
        <v>0</v>
      </c>
      <c r="R131" s="152"/>
    </row>
    <row r="132" spans="1:18">
      <c r="A132" s="147" t="s">
        <v>330</v>
      </c>
      <c r="B132" s="144" t="str">
        <f>VLOOKUP(A132,Data[],2,FALSE)</f>
        <v>BRONX</v>
      </c>
      <c r="C132" s="144" t="str">
        <f ca="1">IF(OR(F132="2019-2020",F132="2021-2025"),"",IF(ISNUMBER(SEARCH("LLC",D132)),VLOOKUP(A132,Yards25[],3,FALSE),VLOOKUP(A132,Yards[],3,FALSE)))</f>
        <v>New Waste Yard v1</v>
      </c>
      <c r="D132" s="9" t="str">
        <f>VLOOKUP(A132,Data[],52,FALSE)</f>
        <v>FEDERAL</v>
      </c>
      <c r="E132" s="9">
        <f>VLOOKUP(YardsAll[[#This Row],[DEVELOPMENT]],Data[],62,FALSE)</f>
        <v>5</v>
      </c>
      <c r="F132" s="9" t="str">
        <f ca="1">VLOOKUP(A132,Data[],4,FALSE)</f>
        <v/>
      </c>
      <c r="G132" s="9">
        <f ca="1">IF(OR(YardsAll[[#This Row],[RAD/PACT]]="2019-2020",YardsAll[[#This Row],[RAD/PACT]]="2021-2025"),"",IF(ISNUMBER(SEARCH("1",C132)),2,IF(ISNUMBER(SEARCH("2",C132)),1,IF(ISNUMBER(SEARCH("3",C132)),3,IF(ISNUMBER(SEARCH("4",C132)),4,IF(ISNUMBER(SEARCH("5",C132)),5,IF(ISNUMBER(SEARCH("6",C132)),6,IF(ISNUMBER(SEARCH("7",C132)),7,IF(ISNUMBER(SEARCH("8",C132)),8,0)))))))))</f>
        <v>2</v>
      </c>
      <c r="H132" s="143" t="str">
        <f ca="1">IF(YardsAll[[#This Row],[STATUS]]="","",IF(OR(F132="2019-2020",F132="2021-2025"),"",IF(ISNUMBER(SEARCH("LLC",D132)),VLOOKUP(A132,Yards25[],28,FALSE),VLOOKUP(A132,Yards[],28,FALSE))))</f>
        <v/>
      </c>
      <c r="I132" s="143" t="str">
        <f ca="1">IF(YardsAll[[#This Row],[STATUS]]="","",IF(OR(F132="2019-2020",F132="2021-2025"),"",IF(ISNUMBER(SEARCH("LLC",D132)),VLOOKUP(A132,Yards25[],17,FALSE),VLOOKUP(A132,Yards[],17,FALSE))))</f>
        <v/>
      </c>
      <c r="J132" s="143" t="str">
        <f ca="1">IF(YardsAll[[#This Row],[STATUS]]="","",IF(OR(F132="2019-2020",F132="2021-2025"),"",IF(ISNUMBER(SEARCH("LLC",D132)),VLOOKUP(A132,Yards25[],29,FALSE),VLOOKUP(A132,Yards[],29,FALSE))))</f>
        <v/>
      </c>
      <c r="K132" s="143" t="str">
        <f ca="1">IF(YardsAll[[#This Row],[STATUS]]="","",IF(OR(F132="2019-2020",F132="2021-2025"),"",IF(ISNUMBER(SEARCH("LLC",D132)),VLOOKUP(A132,Yards25[],19,FALSE),VLOOKUP(A132,Yards[],19,FALSE))))</f>
        <v/>
      </c>
      <c r="L132" s="143" t="str">
        <f ca="1">IF(IF(OR(F132="2019-2020",F132="2021-2025"),"",IF(ISNUMBER(SEARCH("LLC",D132)),VLOOKUP(A132,Yards25[],20,FALSE),VLOOKUP(A132,Yards[],20,FALSE)))=0,"",IF(OR(F132="2019-2020",F132="2021-2025"),"",IF(ISNUMBER(SEARCH("LLC",D132)),VLOOKUP(A132,Yards25[],20,FALSE),VLOOKUP(A132,Yards[],20,FALSE))))</f>
        <v/>
      </c>
      <c r="M132" s="151">
        <f ca="1">IF(OR(F132="2019-2020",F132="2021-2025"),"",IF(ISNUMBER(SEARCH("LLC",D132)),VLOOKUP(A132,Yards25[],21,FALSE),VLOOKUP(A132,Yards[],21,FALSE)))</f>
        <v>231365.85651200006</v>
      </c>
      <c r="N132" s="151">
        <f ca="1">IF(OR(F132="2019-2020",F132="2021-2025"),"",IF(ISNUMBER(SEARCH("LLC",D132)),VLOOKUP(A132,Yards25[],22,FALSE),VLOOKUP(A132,Yards[],22,FALSE)))</f>
        <v>2082292.7086080003</v>
      </c>
      <c r="O132" s="151">
        <f ca="1">SUM(YardsAll[[#This Row],[DSGN ESTIMATE]:[CONS ESTIMATE]])</f>
        <v>2313658.5651200004</v>
      </c>
      <c r="P132" s="143"/>
      <c r="Q132" s="143">
        <f ca="1">IF(OR(F132="2019-2020",F132="2021-2025"),"",IF(ISNUMBER(SEARCH("LLC",D132)),VLOOKUP(A132,Yards25[],25,FALSE),VLOOKUP(A132,Yards[],25,FALSE)))</f>
        <v>0</v>
      </c>
      <c r="R132" s="152"/>
    </row>
    <row r="133" spans="1:18">
      <c r="A133" s="147" t="s">
        <v>331</v>
      </c>
      <c r="B133" s="144" t="str">
        <f>VLOOKUP(A133,Data[],2,FALSE)</f>
        <v>BRONX</v>
      </c>
      <c r="C133" s="144" t="str">
        <f ca="1">IF(OR(F133="2019-2020",F133="2021-2025"),"",IF(ISNUMBER(SEARCH("LLC",D133)),VLOOKUP(A133,Yards25[],3,FALSE),VLOOKUP(A133,Yards[],3,FALSE)))</f>
        <v>New Waste Yard v1</v>
      </c>
      <c r="D133" s="9" t="str">
        <f>VLOOKUP(A133,Data[],52,FALSE)</f>
        <v>FEDERAL</v>
      </c>
      <c r="E133" s="9">
        <f>VLOOKUP(YardsAll[[#This Row],[DEVELOPMENT]],Data[],62,FALSE)</f>
        <v>5</v>
      </c>
      <c r="F133" s="9" t="str">
        <f ca="1">VLOOKUP(A133,Data[],4,FALSE)</f>
        <v/>
      </c>
      <c r="G133" s="9">
        <f ca="1">IF(OR(YardsAll[[#This Row],[RAD/PACT]]="2019-2020",YardsAll[[#This Row],[RAD/PACT]]="2021-2025"),"",IF(ISNUMBER(SEARCH("1",C133)),2,IF(ISNUMBER(SEARCH("2",C133)),1,IF(ISNUMBER(SEARCH("3",C133)),3,IF(ISNUMBER(SEARCH("4",C133)),4,IF(ISNUMBER(SEARCH("5",C133)),5,IF(ISNUMBER(SEARCH("6",C133)),6,IF(ISNUMBER(SEARCH("7",C133)),7,IF(ISNUMBER(SEARCH("8",C133)),8,0)))))))))</f>
        <v>2</v>
      </c>
      <c r="H133" s="143" t="str">
        <f ca="1">IF(YardsAll[[#This Row],[STATUS]]="","",IF(OR(F133="2019-2020",F133="2021-2025"),"",IF(ISNUMBER(SEARCH("LLC",D133)),VLOOKUP(A133,Yards25[],28,FALSE),VLOOKUP(A133,Yards[],28,FALSE))))</f>
        <v/>
      </c>
      <c r="I133" s="143" t="str">
        <f ca="1">IF(YardsAll[[#This Row],[STATUS]]="","",IF(OR(F133="2019-2020",F133="2021-2025"),"",IF(ISNUMBER(SEARCH("LLC",D133)),VLOOKUP(A133,Yards25[],17,FALSE),VLOOKUP(A133,Yards[],17,FALSE))))</f>
        <v/>
      </c>
      <c r="J133" s="143" t="str">
        <f ca="1">IF(YardsAll[[#This Row],[STATUS]]="","",IF(OR(F133="2019-2020",F133="2021-2025"),"",IF(ISNUMBER(SEARCH("LLC",D133)),VLOOKUP(A133,Yards25[],29,FALSE),VLOOKUP(A133,Yards[],29,FALSE))))</f>
        <v/>
      </c>
      <c r="K133" s="143" t="str">
        <f ca="1">IF(YardsAll[[#This Row],[STATUS]]="","",IF(OR(F133="2019-2020",F133="2021-2025"),"",IF(ISNUMBER(SEARCH("LLC",D133)),VLOOKUP(A133,Yards25[],19,FALSE),VLOOKUP(A133,Yards[],19,FALSE))))</f>
        <v/>
      </c>
      <c r="L133" s="143" t="str">
        <f ca="1">IF(IF(OR(F133="2019-2020",F133="2021-2025"),"",IF(ISNUMBER(SEARCH("LLC",D133)),VLOOKUP(A133,Yards25[],20,FALSE),VLOOKUP(A133,Yards[],20,FALSE)))=0,"",IF(OR(F133="2019-2020",F133="2021-2025"),"",IF(ISNUMBER(SEARCH("LLC",D133)),VLOOKUP(A133,Yards25[],20,FALSE),VLOOKUP(A133,Yards[],20,FALSE))))</f>
        <v/>
      </c>
      <c r="M133" s="151">
        <f ca="1">IF(OR(F133="2019-2020",F133="2021-2025"),"",IF(ISNUMBER(SEARCH("LLC",D133)),VLOOKUP(A133,Yards25[],21,FALSE),VLOOKUP(A133,Yards[],21,FALSE)))</f>
        <v>237692.26665100004</v>
      </c>
      <c r="N133" s="151">
        <f ca="1">IF(OR(F133="2019-2020",F133="2021-2025"),"",IF(ISNUMBER(SEARCH("LLC",D133)),VLOOKUP(A133,Yards25[],22,FALSE),VLOOKUP(A133,Yards[],22,FALSE)))</f>
        <v>2139230.3998590005</v>
      </c>
      <c r="O133" s="151">
        <f ca="1">SUM(YardsAll[[#This Row],[DSGN ESTIMATE]:[CONS ESTIMATE]])</f>
        <v>2376922.6665100004</v>
      </c>
      <c r="P133" s="143"/>
      <c r="Q133" s="143">
        <f ca="1">IF(OR(F133="2019-2020",F133="2021-2025"),"",IF(ISNUMBER(SEARCH("LLC",D133)),VLOOKUP(A133,Yards25[],25,FALSE),VLOOKUP(A133,Yards[],25,FALSE)))</f>
        <v>0</v>
      </c>
      <c r="R133" s="152"/>
    </row>
    <row r="134" spans="1:18">
      <c r="A134" s="148" t="s">
        <v>266</v>
      </c>
      <c r="B134" s="144" t="str">
        <f>VLOOKUP(A134,Data[],2,FALSE)</f>
        <v>MANHATTAN</v>
      </c>
      <c r="C134" s="144" t="str">
        <f ca="1">IF(OR(F134="2019-2020",F134="2021-2025"),"",IF(ISNUMBER(SEARCH("LLC",D134)),VLOOKUP(A134,Yards25[],3,FALSE),VLOOKUP(A134,Yards[],3,FALSE)))</f>
        <v>New Waste Yard v1</v>
      </c>
      <c r="D134" s="9" t="str">
        <f>VLOOKUP(A134,Data[],52,FALSE)</f>
        <v>FEDERAL</v>
      </c>
      <c r="E134" s="9">
        <f>VLOOKUP(YardsAll[[#This Row],[DEVELOPMENT]],Data[],62,FALSE)</f>
        <v>3</v>
      </c>
      <c r="F134" s="9" t="str">
        <f ca="1">VLOOKUP(A134,Data[],4,FALSE)</f>
        <v/>
      </c>
      <c r="G134" s="9">
        <f ca="1">IF(OR(YardsAll[[#This Row],[RAD/PACT]]="2019-2020",YardsAll[[#This Row],[RAD/PACT]]="2021-2025"),"",IF(ISNUMBER(SEARCH("1",C134)),2,IF(ISNUMBER(SEARCH("2",C134)),1,IF(ISNUMBER(SEARCH("3",C134)),3,IF(ISNUMBER(SEARCH("4",C134)),4,IF(ISNUMBER(SEARCH("5",C134)),5,IF(ISNUMBER(SEARCH("6",C134)),6,IF(ISNUMBER(SEARCH("7",C134)),7,IF(ISNUMBER(SEARCH("8",C134)),8,0)))))))))</f>
        <v>2</v>
      </c>
      <c r="H134" s="143" t="str">
        <f ca="1">IF(YardsAll[[#This Row],[STATUS]]="","",IF(OR(F134="2019-2020",F134="2021-2025"),"",IF(ISNUMBER(SEARCH("LLC",D134)),VLOOKUP(A134,Yards25[],28,FALSE),VLOOKUP(A134,Yards[],28,FALSE))))</f>
        <v/>
      </c>
      <c r="I134" s="143" t="str">
        <f ca="1">IF(YardsAll[[#This Row],[STATUS]]="","",IF(OR(F134="2019-2020",F134="2021-2025"),"",IF(ISNUMBER(SEARCH("LLC",D134)),VLOOKUP(A134,Yards25[],17,FALSE),VLOOKUP(A134,Yards[],17,FALSE))))</f>
        <v/>
      </c>
      <c r="J134" s="143" t="str">
        <f ca="1">IF(YardsAll[[#This Row],[STATUS]]="","",IF(OR(F134="2019-2020",F134="2021-2025"),"",IF(ISNUMBER(SEARCH("LLC",D134)),VLOOKUP(A134,Yards25[],29,FALSE),VLOOKUP(A134,Yards[],29,FALSE))))</f>
        <v/>
      </c>
      <c r="K134" s="143" t="str">
        <f ca="1">IF(YardsAll[[#This Row],[STATUS]]="","",IF(OR(F134="2019-2020",F134="2021-2025"),"",IF(ISNUMBER(SEARCH("LLC",D134)),VLOOKUP(A134,Yards25[],19,FALSE),VLOOKUP(A134,Yards[],19,FALSE))))</f>
        <v/>
      </c>
      <c r="L134" s="143" t="str">
        <f ca="1">IF(IF(OR(F134="2019-2020",F134="2021-2025"),"",IF(ISNUMBER(SEARCH("LLC",D134)),VLOOKUP(A134,Yards25[],20,FALSE),VLOOKUP(A134,Yards[],20,FALSE)))=0,"",IF(OR(F134="2019-2020",F134="2021-2025"),"",IF(ISNUMBER(SEARCH("LLC",D134)),VLOOKUP(A134,Yards25[],20,FALSE),VLOOKUP(A134,Yards[],20,FALSE))))</f>
        <v/>
      </c>
      <c r="M134" s="151">
        <f ca="1">IF(OR(F134="2019-2020",F134="2021-2025"),"",IF(ISNUMBER(SEARCH("LLC",D134)),VLOOKUP(A134,Yards25[],21,FALSE),VLOOKUP(A134,Yards[],21,FALSE)))</f>
        <v>206060.21595600009</v>
      </c>
      <c r="N134" s="151">
        <f ca="1">IF(OR(F134="2019-2020",F134="2021-2025"),"",IF(ISNUMBER(SEARCH("LLC",D134)),VLOOKUP(A134,Yards25[],22,FALSE),VLOOKUP(A134,Yards[],22,FALSE)))</f>
        <v>1854541.9436040006</v>
      </c>
      <c r="O134" s="151">
        <f ca="1">SUM(YardsAll[[#This Row],[DSGN ESTIMATE]:[CONS ESTIMATE]])</f>
        <v>2060602.1595600008</v>
      </c>
      <c r="P134" s="143"/>
      <c r="Q134" s="143">
        <f ca="1">IF(OR(F134="2019-2020",F134="2021-2025"),"",IF(ISNUMBER(SEARCH("LLC",D134)),VLOOKUP(A134,Yards25[],25,FALSE),VLOOKUP(A134,Yards[],25,FALSE)))</f>
        <v>0</v>
      </c>
      <c r="R134" s="152"/>
    </row>
    <row r="135" spans="1:18">
      <c r="A135" s="148" t="s">
        <v>332</v>
      </c>
      <c r="B135" s="144" t="str">
        <f>VLOOKUP(A135,Data[],2,FALSE)</f>
        <v>BRONX</v>
      </c>
      <c r="C135" s="144" t="str">
        <f ca="1">IF(OR(F135="2019-2020",F135="2021-2025"),"",IF(ISNUMBER(SEARCH("LLC",D135)),VLOOKUP(A135,Yards25[],3,FALSE),VLOOKUP(A135,Yards[],3,FALSE)))</f>
        <v>New Waste Yard v3</v>
      </c>
      <c r="D135" s="9" t="str">
        <f>VLOOKUP(A135,Data[],52,FALSE)</f>
        <v>FEDERAL</v>
      </c>
      <c r="E135" s="9">
        <f>VLOOKUP(YardsAll[[#This Row],[DEVELOPMENT]],Data[],62,FALSE)</f>
        <v>4</v>
      </c>
      <c r="F135" s="9" t="str">
        <f ca="1">VLOOKUP(A135,Data[],4,FALSE)</f>
        <v/>
      </c>
      <c r="G135" s="9">
        <f ca="1">IF(OR(YardsAll[[#This Row],[RAD/PACT]]="2019-2020",YardsAll[[#This Row],[RAD/PACT]]="2021-2025"),"",IF(ISNUMBER(SEARCH("1",C135)),2,IF(ISNUMBER(SEARCH("2",C135)),1,IF(ISNUMBER(SEARCH("3",C135)),3,IF(ISNUMBER(SEARCH("4",C135)),4,IF(ISNUMBER(SEARCH("5",C135)),5,IF(ISNUMBER(SEARCH("6",C135)),6,IF(ISNUMBER(SEARCH("7",C135)),7,IF(ISNUMBER(SEARCH("8",C135)),8,0)))))))))</f>
        <v>3</v>
      </c>
      <c r="H135" s="143" t="str">
        <f ca="1">IF(YardsAll[[#This Row],[STATUS]]="","",IF(OR(F135="2019-2020",F135="2021-2025"),"",IF(ISNUMBER(SEARCH("LLC",D135)),VLOOKUP(A135,Yards25[],28,FALSE),VLOOKUP(A135,Yards[],28,FALSE))))</f>
        <v/>
      </c>
      <c r="I135" s="143" t="str">
        <f ca="1">IF(YardsAll[[#This Row],[STATUS]]="","",IF(OR(F135="2019-2020",F135="2021-2025"),"",IF(ISNUMBER(SEARCH("LLC",D135)),VLOOKUP(A135,Yards25[],17,FALSE),VLOOKUP(A135,Yards[],17,FALSE))))</f>
        <v/>
      </c>
      <c r="J135" s="143" t="str">
        <f ca="1">IF(YardsAll[[#This Row],[STATUS]]="","",IF(OR(F135="2019-2020",F135="2021-2025"),"",IF(ISNUMBER(SEARCH("LLC",D135)),VLOOKUP(A135,Yards25[],29,FALSE),VLOOKUP(A135,Yards[],29,FALSE))))</f>
        <v/>
      </c>
      <c r="K135" s="143" t="str">
        <f ca="1">IF(YardsAll[[#This Row],[STATUS]]="","",IF(OR(F135="2019-2020",F135="2021-2025"),"",IF(ISNUMBER(SEARCH("LLC",D135)),VLOOKUP(A135,Yards25[],19,FALSE),VLOOKUP(A135,Yards[],19,FALSE))))</f>
        <v/>
      </c>
      <c r="L135" s="143" t="str">
        <f ca="1">IF(IF(OR(F135="2019-2020",F135="2021-2025"),"",IF(ISNUMBER(SEARCH("LLC",D135)),VLOOKUP(A135,Yards25[],20,FALSE),VLOOKUP(A135,Yards[],20,FALSE)))=0,"",IF(OR(F135="2019-2020",F135="2021-2025"),"",IF(ISNUMBER(SEARCH("LLC",D135)),VLOOKUP(A135,Yards25[],20,FALSE),VLOOKUP(A135,Yards[],20,FALSE))))</f>
        <v/>
      </c>
      <c r="M135" s="151">
        <f ca="1">IF(OR(F135="2019-2020",F135="2021-2025"),"",IF(ISNUMBER(SEARCH("LLC",D135)),VLOOKUP(A135,Yards25[],21,FALSE),VLOOKUP(A135,Yards[],21,FALSE)))</f>
        <v>265686.40251975006</v>
      </c>
      <c r="N135" s="151">
        <f ca="1">IF(OR(F135="2019-2020",F135="2021-2025"),"",IF(ISNUMBER(SEARCH("LLC",D135)),VLOOKUP(A135,Yards25[],22,FALSE),VLOOKUP(A135,Yards[],22,FALSE)))</f>
        <v>2391177.6226777504</v>
      </c>
      <c r="O135" s="151">
        <f ca="1">SUM(YardsAll[[#This Row],[DSGN ESTIMATE]:[CONS ESTIMATE]])</f>
        <v>2656864.0251975004</v>
      </c>
      <c r="P135" s="143"/>
      <c r="Q135" s="143">
        <f ca="1">IF(OR(F135="2019-2020",F135="2021-2025"),"",IF(ISNUMBER(SEARCH("LLC",D135)),VLOOKUP(A135,Yards25[],25,FALSE),VLOOKUP(A135,Yards[],25,FALSE)))</f>
        <v>0</v>
      </c>
      <c r="R135" s="152"/>
    </row>
    <row r="136" spans="1:18">
      <c r="A136" s="147" t="s">
        <v>285</v>
      </c>
      <c r="B136" s="144" t="str">
        <f>VLOOKUP(A136,Data[],2,FALSE)</f>
        <v>BRONX</v>
      </c>
      <c r="C136" s="144" t="str">
        <f ca="1">IF(OR(F136="2019-2020",F136="2021-2025"),"",IF(ISNUMBER(SEARCH("LLC",D136)),VLOOKUP(A136,Yards25[],3,FALSE),VLOOKUP(A136,Yards[],3,FALSE)))</f>
        <v>New Waste Yard v1</v>
      </c>
      <c r="D136" s="9" t="str">
        <f>VLOOKUP(A136,Data[],52,FALSE)</f>
        <v>FEDERAL</v>
      </c>
      <c r="E136" s="9">
        <f>VLOOKUP(YardsAll[[#This Row],[DEVELOPMENT]],Data[],62,FALSE)</f>
        <v>3</v>
      </c>
      <c r="F136" s="9" t="str">
        <f ca="1">VLOOKUP(A136,Data[],4,FALSE)</f>
        <v/>
      </c>
      <c r="G136" s="9">
        <f ca="1">IF(OR(YardsAll[[#This Row],[RAD/PACT]]="2019-2020",YardsAll[[#This Row],[RAD/PACT]]="2021-2025"),"",IF(ISNUMBER(SEARCH("1",C136)),2,IF(ISNUMBER(SEARCH("2",C136)),1,IF(ISNUMBER(SEARCH("3",C136)),3,IF(ISNUMBER(SEARCH("4",C136)),4,IF(ISNUMBER(SEARCH("5",C136)),5,IF(ISNUMBER(SEARCH("6",C136)),6,IF(ISNUMBER(SEARCH("7",C136)),7,IF(ISNUMBER(SEARCH("8",C136)),8,0)))))))))</f>
        <v>2</v>
      </c>
      <c r="H136" s="143" t="str">
        <f ca="1">IF(YardsAll[[#This Row],[STATUS]]="","",IF(OR(F136="2019-2020",F136="2021-2025"),"",IF(ISNUMBER(SEARCH("LLC",D136)),VLOOKUP(A136,Yards25[],28,FALSE),VLOOKUP(A136,Yards[],28,FALSE))))</f>
        <v/>
      </c>
      <c r="I136" s="143" t="str">
        <f ca="1">IF(YardsAll[[#This Row],[STATUS]]="","",IF(OR(F136="2019-2020",F136="2021-2025"),"",IF(ISNUMBER(SEARCH("LLC",D136)),VLOOKUP(A136,Yards25[],17,FALSE),VLOOKUP(A136,Yards[],17,FALSE))))</f>
        <v/>
      </c>
      <c r="J136" s="143" t="str">
        <f ca="1">IF(YardsAll[[#This Row],[STATUS]]="","",IF(OR(F136="2019-2020",F136="2021-2025"),"",IF(ISNUMBER(SEARCH("LLC",D136)),VLOOKUP(A136,Yards25[],29,FALSE),VLOOKUP(A136,Yards[],29,FALSE))))</f>
        <v/>
      </c>
      <c r="K136" s="143" t="str">
        <f ca="1">IF(YardsAll[[#This Row],[STATUS]]="","",IF(OR(F136="2019-2020",F136="2021-2025"),"",IF(ISNUMBER(SEARCH("LLC",D136)),VLOOKUP(A136,Yards25[],19,FALSE),VLOOKUP(A136,Yards[],19,FALSE))))</f>
        <v/>
      </c>
      <c r="L136" s="143" t="str">
        <f ca="1">IF(IF(OR(F136="2019-2020",F136="2021-2025"),"",IF(ISNUMBER(SEARCH("LLC",D136)),VLOOKUP(A136,Yards25[],20,FALSE),VLOOKUP(A136,Yards[],20,FALSE)))=0,"",IF(OR(F136="2019-2020",F136="2021-2025"),"",IF(ISNUMBER(SEARCH("LLC",D136)),VLOOKUP(A136,Yards25[],20,FALSE),VLOOKUP(A136,Yards[],20,FALSE))))</f>
        <v/>
      </c>
      <c r="M136" s="151">
        <f ca="1">IF(OR(F136="2019-2020",F136="2021-2025"),"",IF(ISNUMBER(SEARCH("LLC",D136)),VLOOKUP(A136,Yards25[],21,FALSE),VLOOKUP(A136,Yards[],21,FALSE)))</f>
        <v>218713.03623400006</v>
      </c>
      <c r="N136" s="151">
        <f ca="1">IF(OR(F136="2019-2020",F136="2021-2025"),"",IF(ISNUMBER(SEARCH("LLC",D136)),VLOOKUP(A136,Yards25[],22,FALSE),VLOOKUP(A136,Yards[],22,FALSE)))</f>
        <v>1968417.3261060005</v>
      </c>
      <c r="O136" s="151">
        <f ca="1">SUM(YardsAll[[#This Row],[DSGN ESTIMATE]:[CONS ESTIMATE]])</f>
        <v>2187130.3623400005</v>
      </c>
      <c r="P136" s="143"/>
      <c r="Q136" s="143">
        <f ca="1">IF(OR(F136="2019-2020",F136="2021-2025"),"",IF(ISNUMBER(SEARCH("LLC",D136)),VLOOKUP(A136,Yards25[],25,FALSE),VLOOKUP(A136,Yards[],25,FALSE)))</f>
        <v>0</v>
      </c>
      <c r="R136" s="152"/>
    </row>
    <row r="137" spans="1:18">
      <c r="A137" s="147" t="s">
        <v>333</v>
      </c>
      <c r="B137" s="144" t="str">
        <f>VLOOKUP(A137,Data[],2,FALSE)</f>
        <v>MANHATTAN</v>
      </c>
      <c r="C137" s="144" t="str">
        <f ca="1">IF(OR(F137="2019-2020",F137="2021-2025"),"",IF(ISNUMBER(SEARCH("LLC",D137)),VLOOKUP(A137,Yards25[],3,FALSE),VLOOKUP(A137,Yards[],3,FALSE)))</f>
        <v>New Waste Yard v1</v>
      </c>
      <c r="D137" s="9" t="str">
        <f>VLOOKUP(A137,Data[],52,FALSE)</f>
        <v>FEDERAL</v>
      </c>
      <c r="E137" s="9">
        <f>VLOOKUP(YardsAll[[#This Row],[DEVELOPMENT]],Data[],62,FALSE)</f>
        <v>8</v>
      </c>
      <c r="F137" s="9" t="str">
        <f ca="1">VLOOKUP(A137,Data[],4,FALSE)</f>
        <v/>
      </c>
      <c r="G137" s="9">
        <f ca="1">IF(OR(YardsAll[[#This Row],[RAD/PACT]]="2019-2020",YardsAll[[#This Row],[RAD/PACT]]="2021-2025"),"",IF(ISNUMBER(SEARCH("1",C137)),2,IF(ISNUMBER(SEARCH("2",C137)),1,IF(ISNUMBER(SEARCH("3",C137)),3,IF(ISNUMBER(SEARCH("4",C137)),4,IF(ISNUMBER(SEARCH("5",C137)),5,IF(ISNUMBER(SEARCH("6",C137)),6,IF(ISNUMBER(SEARCH("7",C137)),7,IF(ISNUMBER(SEARCH("8",C137)),8,0)))))))))</f>
        <v>2</v>
      </c>
      <c r="H137" s="143" t="str">
        <f ca="1">IF(YardsAll[[#This Row],[STATUS]]="","",IF(OR(F137="2019-2020",F137="2021-2025"),"",IF(ISNUMBER(SEARCH("LLC",D137)),VLOOKUP(A137,Yards25[],28,FALSE),VLOOKUP(A137,Yards[],28,FALSE))))</f>
        <v/>
      </c>
      <c r="I137" s="143" t="str">
        <f ca="1">IF(YardsAll[[#This Row],[STATUS]]="","",IF(OR(F137="2019-2020",F137="2021-2025"),"",IF(ISNUMBER(SEARCH("LLC",D137)),VLOOKUP(A137,Yards25[],17,FALSE),VLOOKUP(A137,Yards[],17,FALSE))))</f>
        <v/>
      </c>
      <c r="J137" s="143" t="str">
        <f ca="1">IF(YardsAll[[#This Row],[STATUS]]="","",IF(OR(F137="2019-2020",F137="2021-2025"),"",IF(ISNUMBER(SEARCH("LLC",D137)),VLOOKUP(A137,Yards25[],29,FALSE),VLOOKUP(A137,Yards[],29,FALSE))))</f>
        <v/>
      </c>
      <c r="K137" s="143" t="str">
        <f ca="1">IF(YardsAll[[#This Row],[STATUS]]="","",IF(OR(F137="2019-2020",F137="2021-2025"),"",IF(ISNUMBER(SEARCH("LLC",D137)),VLOOKUP(A137,Yards25[],19,FALSE),VLOOKUP(A137,Yards[],19,FALSE))))</f>
        <v/>
      </c>
      <c r="L137" s="143" t="str">
        <f ca="1">IF(IF(OR(F137="2019-2020",F137="2021-2025"),"",IF(ISNUMBER(SEARCH("LLC",D137)),VLOOKUP(A137,Yards25[],20,FALSE),VLOOKUP(A137,Yards[],20,FALSE)))=0,"",IF(OR(F137="2019-2020",F137="2021-2025"),"",IF(ISNUMBER(SEARCH("LLC",D137)),VLOOKUP(A137,Yards25[],20,FALSE),VLOOKUP(A137,Yards[],20,FALSE))))</f>
        <v/>
      </c>
      <c r="M137" s="151">
        <f ca="1">IF(OR(F137="2019-2020",F137="2021-2025"),"",IF(ISNUMBER(SEARCH("LLC",D137)),VLOOKUP(A137,Yards25[],21,FALSE),VLOOKUP(A137,Yards[],21,FALSE)))</f>
        <v>225039.4463730001</v>
      </c>
      <c r="N137" s="151">
        <f ca="1">IF(OR(F137="2019-2020",F137="2021-2025"),"",IF(ISNUMBER(SEARCH("LLC",D137)),VLOOKUP(A137,Yards25[],22,FALSE),VLOOKUP(A137,Yards[],22,FALSE)))</f>
        <v>2025355.0173570008</v>
      </c>
      <c r="O137" s="151">
        <f ca="1">SUM(YardsAll[[#This Row],[DSGN ESTIMATE]:[CONS ESTIMATE]])</f>
        <v>2250394.4637300009</v>
      </c>
      <c r="P137" s="143"/>
      <c r="Q137" s="143">
        <f ca="1">IF(OR(F137="2019-2020",F137="2021-2025"),"",IF(ISNUMBER(SEARCH("LLC",D137)),VLOOKUP(A137,Yards25[],25,FALSE),VLOOKUP(A137,Yards[],25,FALSE)))</f>
        <v>0</v>
      </c>
      <c r="R137" s="152"/>
    </row>
    <row r="138" spans="1:18">
      <c r="A138" s="147" t="s">
        <v>206</v>
      </c>
      <c r="B138" s="144" t="str">
        <f>VLOOKUP(A138,Data[],2,FALSE)</f>
        <v>BROOKLYN</v>
      </c>
      <c r="C138" s="144" t="str">
        <f ca="1">IF(OR(F138="2019-2020",F138="2021-2025"),"",IF(ISNUMBER(SEARCH("LLC",D138)),VLOOKUP(A138,Yards25[],3,FALSE),VLOOKUP(A138,Yards[],3,FALSE)))</f>
        <v>New Waste Yard v3</v>
      </c>
      <c r="D138" s="9" t="str">
        <f>VLOOKUP(A138,Data[],52,FALSE)</f>
        <v>FEDERAL</v>
      </c>
      <c r="E138" s="9">
        <f>VLOOKUP(YardsAll[[#This Row],[DEVELOPMENT]],Data[],62,FALSE)</f>
        <v>16</v>
      </c>
      <c r="F138" s="9" t="str">
        <f ca="1">VLOOKUP(A138,Data[],4,FALSE)</f>
        <v>2026+</v>
      </c>
      <c r="G138" s="9">
        <f ca="1">IF(OR(YardsAll[[#This Row],[RAD/PACT]]="2019-2020",YardsAll[[#This Row],[RAD/PACT]]="2021-2025"),"",IF(ISNUMBER(SEARCH("1",C138)),2,IF(ISNUMBER(SEARCH("2",C138)),1,IF(ISNUMBER(SEARCH("3",C138)),3,IF(ISNUMBER(SEARCH("4",C138)),4,IF(ISNUMBER(SEARCH("5",C138)),5,IF(ISNUMBER(SEARCH("6",C138)),6,IF(ISNUMBER(SEARCH("7",C138)),7,IF(ISNUMBER(SEARCH("8",C138)),8,0)))))))))</f>
        <v>3</v>
      </c>
      <c r="H138" s="143" t="str">
        <f ca="1">IF(YardsAll[[#This Row],[STATUS]]="","",IF(OR(F138="2019-2020",F138="2021-2025"),"",IF(ISNUMBER(SEARCH("LLC",D138)),VLOOKUP(A138,Yards25[],28,FALSE),VLOOKUP(A138,Yards[],28,FALSE))))</f>
        <v/>
      </c>
      <c r="I138" s="143" t="str">
        <f ca="1">IF(YardsAll[[#This Row],[STATUS]]="","",IF(OR(F138="2019-2020",F138="2021-2025"),"",IF(ISNUMBER(SEARCH("LLC",D138)),VLOOKUP(A138,Yards25[],17,FALSE),VLOOKUP(A138,Yards[],17,FALSE))))</f>
        <v/>
      </c>
      <c r="J138" s="143" t="str">
        <f ca="1">IF(YardsAll[[#This Row],[STATUS]]="","",IF(OR(F138="2019-2020",F138="2021-2025"),"",IF(ISNUMBER(SEARCH("LLC",D138)),VLOOKUP(A138,Yards25[],29,FALSE),VLOOKUP(A138,Yards[],29,FALSE))))</f>
        <v/>
      </c>
      <c r="K138" s="143" t="str">
        <f ca="1">IF(YardsAll[[#This Row],[STATUS]]="","",IF(OR(F138="2019-2020",F138="2021-2025"),"",IF(ISNUMBER(SEARCH("LLC",D138)),VLOOKUP(A138,Yards25[],19,FALSE),VLOOKUP(A138,Yards[],19,FALSE))))</f>
        <v/>
      </c>
      <c r="L138" s="143" t="str">
        <f ca="1">IF(IF(OR(F138="2019-2020",F138="2021-2025"),"",IF(ISNUMBER(SEARCH("LLC",D138)),VLOOKUP(A138,Yards25[],20,FALSE),VLOOKUP(A138,Yards[],20,FALSE)))=0,"",IF(OR(F138="2019-2020",F138="2021-2025"),"",IF(ISNUMBER(SEARCH("LLC",D138)),VLOOKUP(A138,Yards25[],20,FALSE),VLOOKUP(A138,Yards[],20,FALSE))))</f>
        <v/>
      </c>
      <c r="M138" s="151">
        <f ca="1">IF(OR(F138="2019-2020",F138="2021-2025"),"",IF(ISNUMBER(SEARCH("LLC",D138)),VLOOKUP(A138,Yards25[],21,FALSE),VLOOKUP(A138,Yards[],21,FALSE)))</f>
        <v>223257.39527325006</v>
      </c>
      <c r="N138" s="151">
        <f ca="1">IF(OR(F138="2019-2020",F138="2021-2025"),"",IF(ISNUMBER(SEARCH("LLC",D138)),VLOOKUP(A138,Yards25[],22,FALSE),VLOOKUP(A138,Yards[],22,FALSE)))</f>
        <v>2009316.5574592506</v>
      </c>
      <c r="O138" s="151">
        <f ca="1">SUM(YardsAll[[#This Row],[DSGN ESTIMATE]:[CONS ESTIMATE]])</f>
        <v>2232573.9527325006</v>
      </c>
      <c r="P138" s="143"/>
      <c r="Q138" s="143">
        <f ca="1">IF(OR(F138="2019-2020",F138="2021-2025"),"",IF(ISNUMBER(SEARCH("LLC",D138)),VLOOKUP(A138,Yards25[],25,FALSE),VLOOKUP(A138,Yards[],25,FALSE)))</f>
        <v>0</v>
      </c>
      <c r="R138" s="152"/>
    </row>
    <row r="139" spans="1:18">
      <c r="A139" s="147" t="s">
        <v>245</v>
      </c>
      <c r="B139" s="144" t="str">
        <f>VLOOKUP(A139,Data[],2,FALSE)</f>
        <v>BROOKLYN</v>
      </c>
      <c r="C139" s="144" t="str">
        <f ca="1">IF(OR(F139="2019-2020",F139="2021-2025"),"",IF(ISNUMBER(SEARCH("LLC",D139)),VLOOKUP(A139,Yards25[],3,FALSE),VLOOKUP(A139,Yards[],3,FALSE)))</f>
        <v>New Waste Yard v1</v>
      </c>
      <c r="D139" s="9" t="str">
        <f>VLOOKUP(A139,Data[],52,FALSE)</f>
        <v>FEDERAL</v>
      </c>
      <c r="E139" s="9">
        <f>VLOOKUP(YardsAll[[#This Row],[DEVELOPMENT]],Data[],62,FALSE)</f>
        <v>16</v>
      </c>
      <c r="F139" s="9" t="str">
        <f ca="1">VLOOKUP(A139,Data[],4,FALSE)</f>
        <v>2022-2025</v>
      </c>
      <c r="G139" s="9">
        <f ca="1">IF(OR(YardsAll[[#This Row],[RAD/PACT]]="2019-2020",YardsAll[[#This Row],[RAD/PACT]]="2021-2025"),"",IF(ISNUMBER(SEARCH("1",C139)),2,IF(ISNUMBER(SEARCH("2",C139)),1,IF(ISNUMBER(SEARCH("3",C139)),3,IF(ISNUMBER(SEARCH("4",C139)),4,IF(ISNUMBER(SEARCH("5",C139)),5,IF(ISNUMBER(SEARCH("6",C139)),6,IF(ISNUMBER(SEARCH("7",C139)),7,IF(ISNUMBER(SEARCH("8",C139)),8,0)))))))))</f>
        <v>2</v>
      </c>
      <c r="H139" s="143" t="str">
        <f ca="1">IF(YardsAll[[#This Row],[STATUS]]="","",IF(OR(F139="2019-2020",F139="2021-2025"),"",IF(ISNUMBER(SEARCH("LLC",D139)),VLOOKUP(A139,Yards25[],28,FALSE),VLOOKUP(A139,Yards[],28,FALSE))))</f>
        <v/>
      </c>
      <c r="I139" s="143" t="str">
        <f ca="1">IF(YardsAll[[#This Row],[STATUS]]="","",IF(OR(F139="2019-2020",F139="2021-2025"),"",IF(ISNUMBER(SEARCH("LLC",D139)),VLOOKUP(A139,Yards25[],17,FALSE),VLOOKUP(A139,Yards[],17,FALSE))))</f>
        <v/>
      </c>
      <c r="J139" s="143" t="str">
        <f ca="1">IF(YardsAll[[#This Row],[STATUS]]="","",IF(OR(F139="2019-2020",F139="2021-2025"),"",IF(ISNUMBER(SEARCH("LLC",D139)),VLOOKUP(A139,Yards25[],29,FALSE),VLOOKUP(A139,Yards[],29,FALSE))))</f>
        <v/>
      </c>
      <c r="K139" s="143" t="str">
        <f ca="1">IF(YardsAll[[#This Row],[STATUS]]="","",IF(OR(F139="2019-2020",F139="2021-2025"),"",IF(ISNUMBER(SEARCH("LLC",D139)),VLOOKUP(A139,Yards25[],19,FALSE),VLOOKUP(A139,Yards[],19,FALSE))))</f>
        <v/>
      </c>
      <c r="L139" s="143" t="str">
        <f ca="1">IF(IF(OR(F139="2019-2020",F139="2021-2025"),"",IF(ISNUMBER(SEARCH("LLC",D139)),VLOOKUP(A139,Yards25[],20,FALSE),VLOOKUP(A139,Yards[],20,FALSE)))=0,"",IF(OR(F139="2019-2020",F139="2021-2025"),"",IF(ISNUMBER(SEARCH("LLC",D139)),VLOOKUP(A139,Yards25[],20,FALSE),VLOOKUP(A139,Yards[],20,FALSE))))</f>
        <v/>
      </c>
      <c r="M139" s="151">
        <f ca="1">IF(OR(F139="2019-2020",F139="2021-2025"),"",IF(ISNUMBER(SEARCH("LLC",D139)),VLOOKUP(A139,Yards25[],21,FALSE),VLOOKUP(A139,Yards[],21,FALSE)))</f>
        <v>0</v>
      </c>
      <c r="N139" s="151">
        <f ca="1">IF(OR(F139="2019-2020",F139="2021-2025"),"",IF(ISNUMBER(SEARCH("LLC",D139)),VLOOKUP(A139,Yards25[],22,FALSE),VLOOKUP(A139,Yards[],22,FALSE)))</f>
        <v>0</v>
      </c>
      <c r="O139" s="151">
        <f ca="1">SUM(YardsAll[[#This Row],[DSGN ESTIMATE]:[CONS ESTIMATE]])</f>
        <v>0</v>
      </c>
      <c r="P139" s="143"/>
      <c r="Q139" s="143">
        <f ca="1">IF(OR(F139="2019-2020",F139="2021-2025"),"",IF(ISNUMBER(SEARCH("LLC",D139)),VLOOKUP(A139,Yards25[],25,FALSE),VLOOKUP(A139,Yards[],25,FALSE)))</f>
        <v>0</v>
      </c>
      <c r="R139" s="152"/>
    </row>
    <row r="140" spans="1:18">
      <c r="A140" s="147" t="s">
        <v>246</v>
      </c>
      <c r="B140" s="144" t="str">
        <f>VLOOKUP(A140,Data[],2,FALSE)</f>
        <v>BROOKLYN</v>
      </c>
      <c r="C140" s="144" t="str">
        <f ca="1">IF(OR(F140="2019-2020",F140="2021-2025"),"",IF(ISNUMBER(SEARCH("LLC",D140)),VLOOKUP(A140,Yards25[],3,FALSE),VLOOKUP(A140,Yards[],3,FALSE)))</f>
        <v>New Waste Yard v1</v>
      </c>
      <c r="D140" s="9" t="str">
        <f>VLOOKUP(A140,Data[],52,FALSE)</f>
        <v>FEDERAL</v>
      </c>
      <c r="E140" s="9">
        <f>VLOOKUP(YardsAll[[#This Row],[DEVELOPMENT]],Data[],62,FALSE)</f>
        <v>16</v>
      </c>
      <c r="F140" s="9" t="str">
        <f ca="1">VLOOKUP(A140,Data[],4,FALSE)</f>
        <v>2022-2025</v>
      </c>
      <c r="G140" s="9">
        <f ca="1">IF(OR(YardsAll[[#This Row],[RAD/PACT]]="2019-2020",YardsAll[[#This Row],[RAD/PACT]]="2021-2025"),"",IF(ISNUMBER(SEARCH("1",C140)),2,IF(ISNUMBER(SEARCH("2",C140)),1,IF(ISNUMBER(SEARCH("3",C140)),3,IF(ISNUMBER(SEARCH("4",C140)),4,IF(ISNUMBER(SEARCH("5",C140)),5,IF(ISNUMBER(SEARCH("6",C140)),6,IF(ISNUMBER(SEARCH("7",C140)),7,IF(ISNUMBER(SEARCH("8",C140)),8,0)))))))))</f>
        <v>2</v>
      </c>
      <c r="H140" s="143" t="str">
        <f ca="1">IF(YardsAll[[#This Row],[STATUS]]="","",IF(OR(F140="2019-2020",F140="2021-2025"),"",IF(ISNUMBER(SEARCH("LLC",D140)),VLOOKUP(A140,Yards25[],28,FALSE),VLOOKUP(A140,Yards[],28,FALSE))))</f>
        <v/>
      </c>
      <c r="I140" s="143" t="str">
        <f ca="1">IF(YardsAll[[#This Row],[STATUS]]="","",IF(OR(F140="2019-2020",F140="2021-2025"),"",IF(ISNUMBER(SEARCH("LLC",D140)),VLOOKUP(A140,Yards25[],17,FALSE),VLOOKUP(A140,Yards[],17,FALSE))))</f>
        <v/>
      </c>
      <c r="J140" s="143" t="str">
        <f ca="1">IF(YardsAll[[#This Row],[STATUS]]="","",IF(OR(F140="2019-2020",F140="2021-2025"),"",IF(ISNUMBER(SEARCH("LLC",D140)),VLOOKUP(A140,Yards25[],29,FALSE),VLOOKUP(A140,Yards[],29,FALSE))))</f>
        <v/>
      </c>
      <c r="K140" s="143" t="str">
        <f ca="1">IF(YardsAll[[#This Row],[STATUS]]="","",IF(OR(F140="2019-2020",F140="2021-2025"),"",IF(ISNUMBER(SEARCH("LLC",D140)),VLOOKUP(A140,Yards25[],19,FALSE),VLOOKUP(A140,Yards[],19,FALSE))))</f>
        <v/>
      </c>
      <c r="L140" s="143" t="str">
        <f ca="1">IF(IF(OR(F140="2019-2020",F140="2021-2025"),"",IF(ISNUMBER(SEARCH("LLC",D140)),VLOOKUP(A140,Yards25[],20,FALSE),VLOOKUP(A140,Yards[],20,FALSE)))=0,"",IF(OR(F140="2019-2020",F140="2021-2025"),"",IF(ISNUMBER(SEARCH("LLC",D140)),VLOOKUP(A140,Yards25[],20,FALSE),VLOOKUP(A140,Yards[],20,FALSE))))</f>
        <v/>
      </c>
      <c r="M140" s="151">
        <f ca="1">IF(OR(F140="2019-2020",F140="2021-2025"),"",IF(ISNUMBER(SEARCH("LLC",D140)),VLOOKUP(A140,Yards25[],21,FALSE),VLOOKUP(A140,Yards[],21,FALSE)))</f>
        <v>0</v>
      </c>
      <c r="N140" s="151">
        <f ca="1">IF(OR(F140="2019-2020",F140="2021-2025"),"",IF(ISNUMBER(SEARCH("LLC",D140)),VLOOKUP(A140,Yards25[],22,FALSE),VLOOKUP(A140,Yards[],22,FALSE)))</f>
        <v>0</v>
      </c>
      <c r="O140" s="151">
        <f ca="1">SUM(YardsAll[[#This Row],[DSGN ESTIMATE]:[CONS ESTIMATE]])</f>
        <v>0</v>
      </c>
      <c r="P140" s="143"/>
      <c r="Q140" s="143">
        <f ca="1">IF(OR(F140="2019-2020",F140="2021-2025"),"",IF(ISNUMBER(SEARCH("LLC",D140)),VLOOKUP(A140,Yards25[],25,FALSE),VLOOKUP(A140,Yards[],25,FALSE)))</f>
        <v>0</v>
      </c>
      <c r="R140" s="152"/>
    </row>
    <row r="141" spans="1:18">
      <c r="A141" s="147" t="s">
        <v>334</v>
      </c>
      <c r="B141" s="144" t="str">
        <f>VLOOKUP(A141,Data[],2,FALSE)</f>
        <v>BROOKLYN</v>
      </c>
      <c r="C141" s="144" t="str">
        <f ca="1">IF(OR(F141="2019-2020",F141="2021-2025"),"",IF(ISNUMBER(SEARCH("LLC",D141)),VLOOKUP(A141,Yards25[],3,FALSE),VLOOKUP(A141,Yards[],3,FALSE)))</f>
        <v>New Waste Yard v1</v>
      </c>
      <c r="D141" s="9" t="str">
        <f>VLOOKUP(A141,Data[],52,FALSE)</f>
        <v>FEDERAL</v>
      </c>
      <c r="E141" s="9">
        <f>VLOOKUP(YardsAll[[#This Row],[DEVELOPMENT]],Data[],62,FALSE)</f>
        <v>16</v>
      </c>
      <c r="F141" s="9" t="str">
        <f ca="1">VLOOKUP(A141,Data[],4,FALSE)</f>
        <v/>
      </c>
      <c r="G141" s="9">
        <f ca="1">IF(OR(YardsAll[[#This Row],[RAD/PACT]]="2019-2020",YardsAll[[#This Row],[RAD/PACT]]="2021-2025"),"",IF(ISNUMBER(SEARCH("1",C141)),2,IF(ISNUMBER(SEARCH("2",C141)),1,IF(ISNUMBER(SEARCH("3",C141)),3,IF(ISNUMBER(SEARCH("4",C141)),4,IF(ISNUMBER(SEARCH("5",C141)),5,IF(ISNUMBER(SEARCH("6",C141)),6,IF(ISNUMBER(SEARCH("7",C141)),7,IF(ISNUMBER(SEARCH("8",C141)),8,0)))))))))</f>
        <v>2</v>
      </c>
      <c r="H141" s="143" t="str">
        <f ca="1">IF(YardsAll[[#This Row],[STATUS]]="","",IF(OR(F141="2019-2020",F141="2021-2025"),"",IF(ISNUMBER(SEARCH("LLC",D141)),VLOOKUP(A141,Yards25[],28,FALSE),VLOOKUP(A141,Yards[],28,FALSE))))</f>
        <v/>
      </c>
      <c r="I141" s="143" t="str">
        <f ca="1">IF(YardsAll[[#This Row],[STATUS]]="","",IF(OR(F141="2019-2020",F141="2021-2025"),"",IF(ISNUMBER(SEARCH("LLC",D141)),VLOOKUP(A141,Yards25[],17,FALSE),VLOOKUP(A141,Yards[],17,FALSE))))</f>
        <v/>
      </c>
      <c r="J141" s="143" t="str">
        <f ca="1">IF(YardsAll[[#This Row],[STATUS]]="","",IF(OR(F141="2019-2020",F141="2021-2025"),"",IF(ISNUMBER(SEARCH("LLC",D141)),VLOOKUP(A141,Yards25[],29,FALSE),VLOOKUP(A141,Yards[],29,FALSE))))</f>
        <v/>
      </c>
      <c r="K141" s="143" t="str">
        <f ca="1">IF(YardsAll[[#This Row],[STATUS]]="","",IF(OR(F141="2019-2020",F141="2021-2025"),"",IF(ISNUMBER(SEARCH("LLC",D141)),VLOOKUP(A141,Yards25[],19,FALSE),VLOOKUP(A141,Yards[],19,FALSE))))</f>
        <v/>
      </c>
      <c r="L141" s="143" t="str">
        <f ca="1">IF(IF(OR(F141="2019-2020",F141="2021-2025"),"",IF(ISNUMBER(SEARCH("LLC",D141)),VLOOKUP(A141,Yards25[],20,FALSE),VLOOKUP(A141,Yards[],20,FALSE)))=0,"",IF(OR(F141="2019-2020",F141="2021-2025"),"",IF(ISNUMBER(SEARCH("LLC",D141)),VLOOKUP(A141,Yards25[],20,FALSE),VLOOKUP(A141,Yards[],20,FALSE))))</f>
        <v/>
      </c>
      <c r="M141" s="151">
        <f ca="1">IF(OR(F141="2019-2020",F141="2021-2025"),"",IF(ISNUMBER(SEARCH("LLC",D141)),VLOOKUP(A141,Yards25[],21,FALSE),VLOOKUP(A141,Yards[],21,FALSE)))</f>
        <v>218713.03623400006</v>
      </c>
      <c r="N141" s="151">
        <f ca="1">IF(OR(F141="2019-2020",F141="2021-2025"),"",IF(ISNUMBER(SEARCH("LLC",D141)),VLOOKUP(A141,Yards25[],22,FALSE),VLOOKUP(A141,Yards[],22,FALSE)))</f>
        <v>1968417.3261060005</v>
      </c>
      <c r="O141" s="151">
        <f ca="1">SUM(YardsAll[[#This Row],[DSGN ESTIMATE]:[CONS ESTIMATE]])</f>
        <v>2187130.3623400005</v>
      </c>
      <c r="P141" s="143"/>
      <c r="Q141" s="143">
        <f ca="1">IF(OR(F141="2019-2020",F141="2021-2025"),"",IF(ISNUMBER(SEARCH("LLC",D141)),VLOOKUP(A141,Yards25[],25,FALSE),VLOOKUP(A141,Yards[],25,FALSE)))</f>
        <v>0</v>
      </c>
      <c r="R141" s="152"/>
    </row>
    <row r="142" spans="1:18">
      <c r="A142" s="147" t="s">
        <v>286</v>
      </c>
      <c r="B142" s="144" t="str">
        <f>VLOOKUP(A142,Data[],2,FALSE)</f>
        <v>BRONX</v>
      </c>
      <c r="C142" s="144" t="str">
        <f ca="1">IF(OR(F142="2019-2020",F142="2021-2025"),"",IF(ISNUMBER(SEARCH("LLC",D142)),VLOOKUP(A142,Yards25[],3,FALSE),VLOOKUP(A142,Yards[],3,FALSE)))</f>
        <v>New Waste Yard v1</v>
      </c>
      <c r="D142" s="9" t="str">
        <f>VLOOKUP(A142,Data[],52,FALSE)</f>
        <v>FEDERAL</v>
      </c>
      <c r="E142" s="9">
        <f>VLOOKUP(YardsAll[[#This Row],[DEVELOPMENT]],Data[],62,FALSE)</f>
        <v>2</v>
      </c>
      <c r="F142" s="9" t="str">
        <f ca="1">VLOOKUP(A142,Data[],4,FALSE)</f>
        <v/>
      </c>
      <c r="G142" s="9">
        <f ca="1">IF(OR(YardsAll[[#This Row],[RAD/PACT]]="2019-2020",YardsAll[[#This Row],[RAD/PACT]]="2021-2025"),"",IF(ISNUMBER(SEARCH("1",C142)),2,IF(ISNUMBER(SEARCH("2",C142)),1,IF(ISNUMBER(SEARCH("3",C142)),3,IF(ISNUMBER(SEARCH("4",C142)),4,IF(ISNUMBER(SEARCH("5",C142)),5,IF(ISNUMBER(SEARCH("6",C142)),6,IF(ISNUMBER(SEARCH("7",C142)),7,IF(ISNUMBER(SEARCH("8",C142)),8,0)))))))))</f>
        <v>2</v>
      </c>
      <c r="H142" s="143" t="str">
        <f ca="1">IF(YardsAll[[#This Row],[STATUS]]="","",IF(OR(F142="2019-2020",F142="2021-2025"),"",IF(ISNUMBER(SEARCH("LLC",D142)),VLOOKUP(A142,Yards25[],28,FALSE),VLOOKUP(A142,Yards[],28,FALSE))))</f>
        <v/>
      </c>
      <c r="I142" s="143" t="str">
        <f ca="1">IF(YardsAll[[#This Row],[STATUS]]="","",IF(OR(F142="2019-2020",F142="2021-2025"),"",IF(ISNUMBER(SEARCH("LLC",D142)),VLOOKUP(A142,Yards25[],17,FALSE),VLOOKUP(A142,Yards[],17,FALSE))))</f>
        <v/>
      </c>
      <c r="J142" s="143" t="str">
        <f ca="1">IF(YardsAll[[#This Row],[STATUS]]="","",IF(OR(F142="2019-2020",F142="2021-2025"),"",IF(ISNUMBER(SEARCH("LLC",D142)),VLOOKUP(A142,Yards25[],29,FALSE),VLOOKUP(A142,Yards[],29,FALSE))))</f>
        <v/>
      </c>
      <c r="K142" s="143" t="str">
        <f ca="1">IF(YardsAll[[#This Row],[STATUS]]="","",IF(OR(F142="2019-2020",F142="2021-2025"),"",IF(ISNUMBER(SEARCH("LLC",D142)),VLOOKUP(A142,Yards25[],19,FALSE),VLOOKUP(A142,Yards[],19,FALSE))))</f>
        <v/>
      </c>
      <c r="L142" s="143" t="str">
        <f ca="1">IF(IF(OR(F142="2019-2020",F142="2021-2025"),"",IF(ISNUMBER(SEARCH("LLC",D142)),VLOOKUP(A142,Yards25[],20,FALSE),VLOOKUP(A142,Yards[],20,FALSE)))=0,"",IF(OR(F142="2019-2020",F142="2021-2025"),"",IF(ISNUMBER(SEARCH("LLC",D142)),VLOOKUP(A142,Yards25[],20,FALSE),VLOOKUP(A142,Yards[],20,FALSE))))</f>
        <v/>
      </c>
      <c r="M142" s="151">
        <f ca="1">IF(OR(F142="2019-2020",F142="2021-2025"),"",IF(ISNUMBER(SEARCH("LLC",D142)),VLOOKUP(A142,Yards25[],21,FALSE),VLOOKUP(A142,Yards[],21,FALSE)))</f>
        <v>218713.03623400006</v>
      </c>
      <c r="N142" s="151">
        <f ca="1">IF(OR(F142="2019-2020",F142="2021-2025"),"",IF(ISNUMBER(SEARCH("LLC",D142)),VLOOKUP(A142,Yards25[],22,FALSE),VLOOKUP(A142,Yards[],22,FALSE)))</f>
        <v>1968417.3261060005</v>
      </c>
      <c r="O142" s="151">
        <f ca="1">SUM(YardsAll[[#This Row],[DSGN ESTIMATE]:[CONS ESTIMATE]])</f>
        <v>2187130.3623400005</v>
      </c>
      <c r="P142" s="143"/>
      <c r="Q142" s="143">
        <f ca="1">IF(OR(F142="2019-2020",F142="2021-2025"),"",IF(ISNUMBER(SEARCH("LLC",D142)),VLOOKUP(A142,Yards25[],25,FALSE),VLOOKUP(A142,Yards[],25,FALSE)))</f>
        <v>0</v>
      </c>
      <c r="R142" s="152"/>
    </row>
    <row r="143" spans="1:18">
      <c r="A143" s="148" t="s">
        <v>139</v>
      </c>
      <c r="B143" s="144" t="str">
        <f>VLOOKUP(A143,Data[],2,FALSE)</f>
        <v>BROOKLYN</v>
      </c>
      <c r="C143" s="144" t="str">
        <f ca="1">IF(OR(F143="2019-2020",F143="2021-2025"),"",IF(ISNUMBER(SEARCH("LLC",D143)),VLOOKUP(A143,Yards25[],3,FALSE),VLOOKUP(A143,Yards[],3,FALSE)))</f>
        <v>New Waste Yard v1</v>
      </c>
      <c r="D143" s="9" t="str">
        <f>VLOOKUP(A143,Data[],52,FALSE)</f>
        <v>FEDERAL</v>
      </c>
      <c r="E143" s="9">
        <f>VLOOKUP(YardsAll[[#This Row],[DEVELOPMENT]],Data[],62,FALSE)</f>
        <v>1</v>
      </c>
      <c r="F143" s="9" t="str">
        <f ca="1">VLOOKUP(A143,Data[],4,FALSE)</f>
        <v/>
      </c>
      <c r="G143" s="9">
        <f ca="1">IF(OR(YardsAll[[#This Row],[RAD/PACT]]="2019-2020",YardsAll[[#This Row],[RAD/PACT]]="2021-2025"),"",IF(ISNUMBER(SEARCH("1",C143)),2,IF(ISNUMBER(SEARCH("2",C143)),1,IF(ISNUMBER(SEARCH("3",C143)),3,IF(ISNUMBER(SEARCH("4",C143)),4,IF(ISNUMBER(SEARCH("5",C143)),5,IF(ISNUMBER(SEARCH("6",C143)),6,IF(ISNUMBER(SEARCH("7",C143)),7,IF(ISNUMBER(SEARCH("8",C143)),8,0)))))))))</f>
        <v>2</v>
      </c>
      <c r="H143" s="143" t="str">
        <f ca="1">IF(YardsAll[[#This Row],[STATUS]]="","",IF(OR(F143="2019-2020",F143="2021-2025"),"",IF(ISNUMBER(SEARCH("LLC",D143)),VLOOKUP(A143,Yards25[],28,FALSE),VLOOKUP(A143,Yards[],28,FALSE))))</f>
        <v/>
      </c>
      <c r="I143" s="143" t="str">
        <f ca="1">IF(YardsAll[[#This Row],[STATUS]]="","",IF(OR(F143="2019-2020",F143="2021-2025"),"",IF(ISNUMBER(SEARCH("LLC",D143)),VLOOKUP(A143,Yards25[],17,FALSE),VLOOKUP(A143,Yards[],17,FALSE))))</f>
        <v/>
      </c>
      <c r="J143" s="143" t="str">
        <f ca="1">IF(YardsAll[[#This Row],[STATUS]]="","",IF(OR(F143="2019-2020",F143="2021-2025"),"",IF(ISNUMBER(SEARCH("LLC",D143)),VLOOKUP(A143,Yards25[],29,FALSE),VLOOKUP(A143,Yards[],29,FALSE))))</f>
        <v/>
      </c>
      <c r="K143" s="143" t="str">
        <f ca="1">IF(YardsAll[[#This Row],[STATUS]]="","",IF(OR(F143="2019-2020",F143="2021-2025"),"",IF(ISNUMBER(SEARCH("LLC",D143)),VLOOKUP(A143,Yards25[],19,FALSE),VLOOKUP(A143,Yards[],19,FALSE))))</f>
        <v/>
      </c>
      <c r="L143" s="143" t="str">
        <f ca="1">IF(IF(OR(F143="2019-2020",F143="2021-2025"),"",IF(ISNUMBER(SEARCH("LLC",D143)),VLOOKUP(A143,Yards25[],20,FALSE),VLOOKUP(A143,Yards[],20,FALSE)))=0,"",IF(OR(F143="2019-2020",F143="2021-2025"),"",IF(ISNUMBER(SEARCH("LLC",D143)),VLOOKUP(A143,Yards25[],20,FALSE),VLOOKUP(A143,Yards[],20,FALSE))))</f>
        <v/>
      </c>
      <c r="M143" s="151">
        <f ca="1">IF(OR(F143="2019-2020",F143="2021-2025"),"",IF(ISNUMBER(SEARCH("LLC",D143)),VLOOKUP(A143,Yards25[],21,FALSE),VLOOKUP(A143,Yards[],21,FALSE)))</f>
        <v>212386.62609500007</v>
      </c>
      <c r="N143" s="151">
        <f ca="1">IF(OR(F143="2019-2020",F143="2021-2025"),"",IF(ISNUMBER(SEARCH("LLC",D143)),VLOOKUP(A143,Yards25[],22,FALSE),VLOOKUP(A143,Yards[],22,FALSE)))</f>
        <v>1911479.6348550003</v>
      </c>
      <c r="O143" s="151">
        <f ca="1">SUM(YardsAll[[#This Row],[DSGN ESTIMATE]:[CONS ESTIMATE]])</f>
        <v>2123866.2609500005</v>
      </c>
      <c r="P143" s="143"/>
      <c r="Q143" s="143">
        <f ca="1">IF(OR(F143="2019-2020",F143="2021-2025"),"",IF(ISNUMBER(SEARCH("LLC",D143)),VLOOKUP(A143,Yards25[],25,FALSE),VLOOKUP(A143,Yards[],25,FALSE)))</f>
        <v>0</v>
      </c>
      <c r="R143" s="152"/>
    </row>
    <row r="144" spans="1:18">
      <c r="A144" s="147" t="s">
        <v>335</v>
      </c>
      <c r="B144" s="144" t="str">
        <f>VLOOKUP(A144,Data[],2,FALSE)</f>
        <v>BROOKLYN</v>
      </c>
      <c r="C144" s="144" t="str">
        <f ca="1">IF(OR(F144="2019-2020",F144="2021-2025"),"",IF(ISNUMBER(SEARCH("LLC",D144)),VLOOKUP(A144,Yards25[],3,FALSE),VLOOKUP(A144,Yards[],3,FALSE)))</f>
        <v>New Waste Yard v1</v>
      </c>
      <c r="D144" s="9" t="str">
        <f>VLOOKUP(A144,Data[],52,FALSE)</f>
        <v>MIXED FINANCE/LLC2</v>
      </c>
      <c r="E144" s="9">
        <f>VLOOKUP(YardsAll[[#This Row],[DEVELOPMENT]],Data[],62,FALSE)</f>
        <v>1</v>
      </c>
      <c r="F144" s="9">
        <f ca="1">VLOOKUP(A144,Data[],4,FALSE)</f>
        <v>2019</v>
      </c>
      <c r="G144" s="9">
        <f ca="1">IF(OR(YardsAll[[#This Row],[RAD/PACT]]="2019-2020",YardsAll[[#This Row],[RAD/PACT]]="2021-2025"),"",IF(ISNUMBER(SEARCH("1",C144)),2,IF(ISNUMBER(SEARCH("2",C144)),1,IF(ISNUMBER(SEARCH("3",C144)),3,IF(ISNUMBER(SEARCH("4",C144)),4,IF(ISNUMBER(SEARCH("5",C144)),5,IF(ISNUMBER(SEARCH("6",C144)),6,IF(ISNUMBER(SEARCH("7",C144)),7,IF(ISNUMBER(SEARCH("8",C144)),8,0)))))))))</f>
        <v>2</v>
      </c>
      <c r="H144" s="143" t="str">
        <f ca="1">IF(YardsAll[[#This Row],[STATUS]]="","",IF(OR(F144="2019-2020",F144="2021-2025"),"",IF(ISNUMBER(SEARCH("LLC",D144)),VLOOKUP(A144,Yards25[],28,FALSE),VLOOKUP(A144,Yards[],28,FALSE))))</f>
        <v/>
      </c>
      <c r="I144" s="143" t="str">
        <f ca="1">IF(YardsAll[[#This Row],[STATUS]]="","",IF(OR(F144="2019-2020",F144="2021-2025"),"",IF(ISNUMBER(SEARCH("LLC",D144)),VLOOKUP(A144,Yards25[],17,FALSE),VLOOKUP(A144,Yards[],17,FALSE))))</f>
        <v/>
      </c>
      <c r="J144" s="143" t="str">
        <f ca="1">IF(YardsAll[[#This Row],[STATUS]]="","",IF(OR(F144="2019-2020",F144="2021-2025"),"",IF(ISNUMBER(SEARCH("LLC",D144)),VLOOKUP(A144,Yards25[],29,FALSE),VLOOKUP(A144,Yards[],29,FALSE))))</f>
        <v/>
      </c>
      <c r="K144" s="143" t="str">
        <f ca="1">IF(YardsAll[[#This Row],[STATUS]]="","",IF(OR(F144="2019-2020",F144="2021-2025"),"",IF(ISNUMBER(SEARCH("LLC",D144)),VLOOKUP(A144,Yards25[],19,FALSE),VLOOKUP(A144,Yards[],19,FALSE))))</f>
        <v/>
      </c>
      <c r="L144" s="143" t="str">
        <f ca="1">IF(IF(OR(F144="2019-2020",F144="2021-2025"),"",IF(ISNUMBER(SEARCH("LLC",D144)),VLOOKUP(A144,Yards25[],20,FALSE),VLOOKUP(A144,Yards[],20,FALSE)))=0,"",IF(OR(F144="2019-2020",F144="2021-2025"),"",IF(ISNUMBER(SEARCH("LLC",D144)),VLOOKUP(A144,Yards25[],20,FALSE),VLOOKUP(A144,Yards[],20,FALSE))))</f>
        <v/>
      </c>
      <c r="M144" s="151">
        <f ca="1">IF(OR(F144="2019-2020",F144="2021-2025"),"",IF(ISNUMBER(SEARCH("LLC",D144)),VLOOKUP(A144,Yards25[],21,FALSE),VLOOKUP(A144,Yards[],21,FALSE)))</f>
        <v>0</v>
      </c>
      <c r="N144" s="151">
        <f ca="1">IF(OR(F144="2019-2020",F144="2021-2025"),"",IF(ISNUMBER(SEARCH("LLC",D144)),VLOOKUP(A144,Yards25[],22,FALSE),VLOOKUP(A144,Yards[],22,FALSE)))</f>
        <v>0</v>
      </c>
      <c r="O144" s="151">
        <f ca="1">SUM(YardsAll[[#This Row],[DSGN ESTIMATE]:[CONS ESTIMATE]])</f>
        <v>0</v>
      </c>
      <c r="P144" s="143"/>
      <c r="Q144" s="143">
        <f ca="1">IF(OR(F144="2019-2020",F144="2021-2025"),"",IF(ISNUMBER(SEARCH("LLC",D144)),VLOOKUP(A144,Yards25[],25,FALSE),VLOOKUP(A144,Yards[],25,FALSE)))</f>
        <v>0</v>
      </c>
      <c r="R144" s="152"/>
    </row>
    <row r="145" spans="1:18">
      <c r="A145" s="147" t="s">
        <v>207</v>
      </c>
      <c r="B145" s="144" t="str">
        <f>VLOOKUP(A145,Data[],2,FALSE)</f>
        <v>BROOKLYN</v>
      </c>
      <c r="C145" s="144" t="str">
        <f ca="1">IF(OR(F145="2019-2020",F145="2021-2025"),"",IF(ISNUMBER(SEARCH("LLC",D145)),VLOOKUP(A145,Yards25[],3,FALSE),VLOOKUP(A145,Yards[],3,FALSE)))</f>
        <v>New Waste Yard v4</v>
      </c>
      <c r="D145" s="9" t="str">
        <f>VLOOKUP(A145,Data[],52,FALSE)</f>
        <v>FEDERAL</v>
      </c>
      <c r="E145" s="9">
        <f>VLOOKUP(YardsAll[[#This Row],[DEVELOPMENT]],Data[],62,FALSE)</f>
        <v>2</v>
      </c>
      <c r="F145" s="9" t="str">
        <f ca="1">VLOOKUP(A145,Data[],4,FALSE)</f>
        <v/>
      </c>
      <c r="G145" s="9">
        <f ca="1">IF(OR(YardsAll[[#This Row],[RAD/PACT]]="2019-2020",YardsAll[[#This Row],[RAD/PACT]]="2021-2025"),"",IF(ISNUMBER(SEARCH("1",C145)),2,IF(ISNUMBER(SEARCH("2",C145)),1,IF(ISNUMBER(SEARCH("3",C145)),3,IF(ISNUMBER(SEARCH("4",C145)),4,IF(ISNUMBER(SEARCH("5",C145)),5,IF(ISNUMBER(SEARCH("6",C145)),6,IF(ISNUMBER(SEARCH("7",C145)),7,IF(ISNUMBER(SEARCH("8",C145)),8,0)))))))))</f>
        <v>4</v>
      </c>
      <c r="H145" s="143" t="str">
        <f ca="1">IF(YardsAll[[#This Row],[STATUS]]="","",IF(OR(F145="2019-2020",F145="2021-2025"),"",IF(ISNUMBER(SEARCH("LLC",D145)),VLOOKUP(A145,Yards25[],28,FALSE),VLOOKUP(A145,Yards[],28,FALSE))))</f>
        <v/>
      </c>
      <c r="I145" s="143" t="str">
        <f ca="1">IF(YardsAll[[#This Row],[STATUS]]="","",IF(OR(F145="2019-2020",F145="2021-2025"),"",IF(ISNUMBER(SEARCH("LLC",D145)),VLOOKUP(A145,Yards25[],17,FALSE),VLOOKUP(A145,Yards[],17,FALSE))))</f>
        <v/>
      </c>
      <c r="J145" s="143" t="str">
        <f ca="1">IF(YardsAll[[#This Row],[STATUS]]="","",IF(OR(F145="2019-2020",F145="2021-2025"),"",IF(ISNUMBER(SEARCH("LLC",D145)),VLOOKUP(A145,Yards25[],29,FALSE),VLOOKUP(A145,Yards[],29,FALSE))))</f>
        <v/>
      </c>
      <c r="K145" s="143" t="str">
        <f ca="1">IF(YardsAll[[#This Row],[STATUS]]="","",IF(OR(F145="2019-2020",F145="2021-2025"),"",IF(ISNUMBER(SEARCH("LLC",D145)),VLOOKUP(A145,Yards25[],19,FALSE),VLOOKUP(A145,Yards[],19,FALSE))))</f>
        <v/>
      </c>
      <c r="L145" s="143" t="str">
        <f ca="1">IF(IF(OR(F145="2019-2020",F145="2021-2025"),"",IF(ISNUMBER(SEARCH("LLC",D145)),VLOOKUP(A145,Yards25[],20,FALSE),VLOOKUP(A145,Yards[],20,FALSE)))=0,"",IF(OR(F145="2019-2020",F145="2021-2025"),"",IF(ISNUMBER(SEARCH("LLC",D145)),VLOOKUP(A145,Yards25[],20,FALSE),VLOOKUP(A145,Yards[],20,FALSE))))</f>
        <v/>
      </c>
      <c r="M145" s="151">
        <f ca="1">IF(OR(F145="2019-2020",F145="2021-2025"),"",IF(ISNUMBER(SEARCH("LLC",D145)),VLOOKUP(A145,Yards25[],21,FALSE),VLOOKUP(A145,Yards[],21,FALSE)))</f>
        <v>0</v>
      </c>
      <c r="N145" s="151">
        <f ca="1">IF(OR(F145="2019-2020",F145="2021-2025"),"",IF(ISNUMBER(SEARCH("LLC",D145)),VLOOKUP(A145,Yards25[],22,FALSE),VLOOKUP(A145,Yards[],22,FALSE)))</f>
        <v>0</v>
      </c>
      <c r="O145" s="151">
        <f ca="1">SUM(YardsAll[[#This Row],[DSGN ESTIMATE]:[CONS ESTIMATE]])</f>
        <v>0</v>
      </c>
      <c r="P145" s="143"/>
      <c r="Q145" s="143" t="str">
        <f ca="1">IF(OR(F145="2019-2020",F145="2021-2025"),"",IF(ISNUMBER(SEARCH("LLC",D145)),VLOOKUP(A145,Yards25[],25,FALSE),VLOOKUP(A145,Yards[],25,FALSE)))</f>
        <v xml:space="preserve">PRIVATE DEVELOPER </v>
      </c>
      <c r="R145" s="152"/>
    </row>
    <row r="146" spans="1:18">
      <c r="A146" s="147" t="s">
        <v>336</v>
      </c>
      <c r="B146" s="144" t="str">
        <f>VLOOKUP(A146,Data[],2,FALSE)</f>
        <v>QUEENS</v>
      </c>
      <c r="C146" s="144" t="str">
        <f ca="1">IF(OR(F146="2019-2020",F146="2021-2025"),"",IF(ISNUMBER(SEARCH("LLC",D146)),VLOOKUP(A146,Yards25[],3,FALSE),VLOOKUP(A146,Yards[],3,FALSE)))</f>
        <v>New Waste Yard v1</v>
      </c>
      <c r="D146" s="9" t="str">
        <f>VLOOKUP(A146,Data[],52,FALSE)</f>
        <v>FEDERAL</v>
      </c>
      <c r="E146" s="9">
        <f>VLOOKUP(YardsAll[[#This Row],[DEVELOPMENT]],Data[],62,FALSE)</f>
        <v>12</v>
      </c>
      <c r="F146" s="9" t="str">
        <f ca="1">VLOOKUP(A146,Data[],4,FALSE)</f>
        <v/>
      </c>
      <c r="G146" s="9">
        <f ca="1">IF(OR(YardsAll[[#This Row],[RAD/PACT]]="2019-2020",YardsAll[[#This Row],[RAD/PACT]]="2021-2025"),"",IF(ISNUMBER(SEARCH("1",C146)),2,IF(ISNUMBER(SEARCH("2",C146)),1,IF(ISNUMBER(SEARCH("3",C146)),3,IF(ISNUMBER(SEARCH("4",C146)),4,IF(ISNUMBER(SEARCH("5",C146)),5,IF(ISNUMBER(SEARCH("6",C146)),6,IF(ISNUMBER(SEARCH("7",C146)),7,IF(ISNUMBER(SEARCH("8",C146)),8,0)))))))))</f>
        <v>2</v>
      </c>
      <c r="H146" s="143" t="str">
        <f ca="1">IF(YardsAll[[#This Row],[STATUS]]="","",IF(OR(F146="2019-2020",F146="2021-2025"),"",IF(ISNUMBER(SEARCH("LLC",D146)),VLOOKUP(A146,Yards25[],28,FALSE),VLOOKUP(A146,Yards[],28,FALSE))))</f>
        <v/>
      </c>
      <c r="I146" s="143" t="str">
        <f ca="1">IF(YardsAll[[#This Row],[STATUS]]="","",IF(OR(F146="2019-2020",F146="2021-2025"),"",IF(ISNUMBER(SEARCH("LLC",D146)),VLOOKUP(A146,Yards25[],17,FALSE),VLOOKUP(A146,Yards[],17,FALSE))))</f>
        <v/>
      </c>
      <c r="J146" s="143" t="str">
        <f ca="1">IF(YardsAll[[#This Row],[STATUS]]="","",IF(OR(F146="2019-2020",F146="2021-2025"),"",IF(ISNUMBER(SEARCH("LLC",D146)),VLOOKUP(A146,Yards25[],29,FALSE),VLOOKUP(A146,Yards[],29,FALSE))))</f>
        <v/>
      </c>
      <c r="K146" s="143" t="str">
        <f ca="1">IF(YardsAll[[#This Row],[STATUS]]="","",IF(OR(F146="2019-2020",F146="2021-2025"),"",IF(ISNUMBER(SEARCH("LLC",D146)),VLOOKUP(A146,Yards25[],19,FALSE),VLOOKUP(A146,Yards[],19,FALSE))))</f>
        <v/>
      </c>
      <c r="L146" s="143" t="str">
        <f ca="1">IF(IF(OR(F146="2019-2020",F146="2021-2025"),"",IF(ISNUMBER(SEARCH("LLC",D146)),VLOOKUP(A146,Yards25[],20,FALSE),VLOOKUP(A146,Yards[],20,FALSE)))=0,"",IF(OR(F146="2019-2020",F146="2021-2025"),"",IF(ISNUMBER(SEARCH("LLC",D146)),VLOOKUP(A146,Yards25[],20,FALSE),VLOOKUP(A146,Yards[],20,FALSE))))</f>
        <v/>
      </c>
      <c r="M146" s="151">
        <f ca="1">IF(OR(F146="2019-2020",F146="2021-2025"),"",IF(ISNUMBER(SEARCH("LLC",D146)),VLOOKUP(A146,Yards25[],21,FALSE),VLOOKUP(A146,Yards[],21,FALSE)))</f>
        <v>218713.03623400006</v>
      </c>
      <c r="N146" s="151">
        <f ca="1">IF(OR(F146="2019-2020",F146="2021-2025"),"",IF(ISNUMBER(SEARCH("LLC",D146)),VLOOKUP(A146,Yards25[],22,FALSE),VLOOKUP(A146,Yards[],22,FALSE)))</f>
        <v>1968417.3261060005</v>
      </c>
      <c r="O146" s="151">
        <f ca="1">SUM(YardsAll[[#This Row],[DSGN ESTIMATE]:[CONS ESTIMATE]])</f>
        <v>2187130.3623400005</v>
      </c>
      <c r="P146" s="143"/>
      <c r="Q146" s="143">
        <f ca="1">IF(OR(F146="2019-2020",F146="2021-2025"),"",IF(ISNUMBER(SEARCH("LLC",D146)),VLOOKUP(A146,Yards25[],25,FALSE),VLOOKUP(A146,Yards[],25,FALSE)))</f>
        <v>0</v>
      </c>
      <c r="R146" s="152"/>
    </row>
    <row r="147" spans="1:18">
      <c r="A147" s="147" t="s">
        <v>337</v>
      </c>
      <c r="B147" s="144" t="str">
        <f>VLOOKUP(A147,Data[],2,FALSE)</f>
        <v>MANHATTAN</v>
      </c>
      <c r="C147" s="144" t="str">
        <f ca="1">IF(OR(F147="2019-2020",F147="2021-2025"),"",IF(ISNUMBER(SEARCH("LLC",D147)),VLOOKUP(A147,Yards25[],3,FALSE),VLOOKUP(A147,Yards[],3,FALSE)))</f>
        <v>New Waste Yard v2</v>
      </c>
      <c r="D147" s="9" t="str">
        <f>VLOOKUP(A147,Data[],52,FALSE)</f>
        <v>FEDERAL</v>
      </c>
      <c r="E147" s="9">
        <f>VLOOKUP(YardsAll[[#This Row],[DEVELOPMENT]],Data[],62,FALSE)</f>
        <v>8</v>
      </c>
      <c r="F147" s="9" t="str">
        <f ca="1">VLOOKUP(A147,Data[],4,FALSE)</f>
        <v/>
      </c>
      <c r="G147" s="9">
        <f ca="1">IF(OR(YardsAll[[#This Row],[RAD/PACT]]="2019-2020",YardsAll[[#This Row],[RAD/PACT]]="2021-2025"),"",IF(ISNUMBER(SEARCH("1",C147)),2,IF(ISNUMBER(SEARCH("2",C147)),1,IF(ISNUMBER(SEARCH("3",C147)),3,IF(ISNUMBER(SEARCH("4",C147)),4,IF(ISNUMBER(SEARCH("5",C147)),5,IF(ISNUMBER(SEARCH("6",C147)),6,IF(ISNUMBER(SEARCH("7",C147)),7,IF(ISNUMBER(SEARCH("8",C147)),8,0)))))))))</f>
        <v>1</v>
      </c>
      <c r="H147" s="143" t="str">
        <f ca="1">IF(YardsAll[[#This Row],[STATUS]]="","",IF(OR(F147="2019-2020",F147="2021-2025"),"",IF(ISNUMBER(SEARCH("LLC",D147)),VLOOKUP(A147,Yards25[],28,FALSE),VLOOKUP(A147,Yards[],28,FALSE))))</f>
        <v/>
      </c>
      <c r="I147" s="143" t="str">
        <f ca="1">IF(YardsAll[[#This Row],[STATUS]]="","",IF(OR(F147="2019-2020",F147="2021-2025"),"",IF(ISNUMBER(SEARCH("LLC",D147)),VLOOKUP(A147,Yards25[],17,FALSE),VLOOKUP(A147,Yards[],17,FALSE))))</f>
        <v/>
      </c>
      <c r="J147" s="143" t="str">
        <f ca="1">IF(YardsAll[[#This Row],[STATUS]]="","",IF(OR(F147="2019-2020",F147="2021-2025"),"",IF(ISNUMBER(SEARCH("LLC",D147)),VLOOKUP(A147,Yards25[],29,FALSE),VLOOKUP(A147,Yards[],29,FALSE))))</f>
        <v/>
      </c>
      <c r="K147" s="143" t="str">
        <f ca="1">IF(YardsAll[[#This Row],[STATUS]]="","",IF(OR(F147="2019-2020",F147="2021-2025"),"",IF(ISNUMBER(SEARCH("LLC",D147)),VLOOKUP(A147,Yards25[],19,FALSE),VLOOKUP(A147,Yards[],19,FALSE))))</f>
        <v/>
      </c>
      <c r="L147" s="143" t="str">
        <f ca="1">IF(IF(OR(F147="2019-2020",F147="2021-2025"),"",IF(ISNUMBER(SEARCH("LLC",D147)),VLOOKUP(A147,Yards25[],20,FALSE),VLOOKUP(A147,Yards[],20,FALSE)))=0,"",IF(OR(F147="2019-2020",F147="2021-2025"),"",IF(ISNUMBER(SEARCH("LLC",D147)),VLOOKUP(A147,Yards25[],20,FALSE),VLOOKUP(A147,Yards[],20,FALSE))))</f>
        <v/>
      </c>
      <c r="M147" s="151">
        <f ca="1">IF(OR(F147="2019-2020",F147="2021-2025"),"",IF(ISNUMBER(SEARCH("LLC",D147)),VLOOKUP(A147,Yards25[],21,FALSE),VLOOKUP(A147,Yards[],21,FALSE)))</f>
        <v>169601.84953665006</v>
      </c>
      <c r="N147" s="151">
        <f ca="1">IF(OR(F147="2019-2020",F147="2021-2025"),"",IF(ISNUMBER(SEARCH("LLC",D147)),VLOOKUP(A147,Yards25[],22,FALSE),VLOOKUP(A147,Yards[],22,FALSE)))</f>
        <v>1526416.6458298503</v>
      </c>
      <c r="O147" s="151">
        <f ca="1">SUM(YardsAll[[#This Row],[DSGN ESTIMATE]:[CONS ESTIMATE]])</f>
        <v>1696018.4953665005</v>
      </c>
      <c r="P147" s="143"/>
      <c r="Q147" s="143">
        <f ca="1">IF(OR(F147="2019-2020",F147="2021-2025"),"",IF(ISNUMBER(SEARCH("LLC",D147)),VLOOKUP(A147,Yards25[],25,FALSE),VLOOKUP(A147,Yards[],25,FALSE)))</f>
        <v>0</v>
      </c>
      <c r="R147" s="152"/>
    </row>
    <row r="148" spans="1:18">
      <c r="A148" s="148" t="s">
        <v>35</v>
      </c>
      <c r="B148" s="144" t="str">
        <f>VLOOKUP(A148,Data[],2,FALSE)</f>
        <v>BRONX</v>
      </c>
      <c r="C148" s="144" t="str">
        <f ca="1">IF(OR(F148="2019-2020",F148="2021-2025"),"",IF(ISNUMBER(SEARCH("LLC",D148)),VLOOKUP(A148,Yards25[],3,FALSE),VLOOKUP(A148,Yards[],3,FALSE)))</f>
        <v>New Waste Yard v3</v>
      </c>
      <c r="D148" s="9" t="str">
        <f>VLOOKUP(A148,Data[],52,FALSE)</f>
        <v>FEDERAL</v>
      </c>
      <c r="E148" s="9">
        <f>VLOOKUP(YardsAll[[#This Row],[DEVELOPMENT]],Data[],62,FALSE)</f>
        <v>1</v>
      </c>
      <c r="F148" s="9" t="str">
        <f ca="1">VLOOKUP(A148,Data[],4,FALSE)</f>
        <v/>
      </c>
      <c r="G148" s="9">
        <f ca="1">IF(OR(YardsAll[[#This Row],[RAD/PACT]]="2019-2020",YardsAll[[#This Row],[RAD/PACT]]="2021-2025"),"",IF(ISNUMBER(SEARCH("1",C148)),2,IF(ISNUMBER(SEARCH("2",C148)),1,IF(ISNUMBER(SEARCH("3",C148)),3,IF(ISNUMBER(SEARCH("4",C148)),4,IF(ISNUMBER(SEARCH("5",C148)),5,IF(ISNUMBER(SEARCH("6",C148)),6,IF(ISNUMBER(SEARCH("7",C148)),7,IF(ISNUMBER(SEARCH("8",C148)),8,0)))))))))</f>
        <v>3</v>
      </c>
      <c r="H148" s="143" t="str">
        <f ca="1">IF(YardsAll[[#This Row],[STATUS]]="","",IF(OR(F148="2019-2020",F148="2021-2025"),"",IF(ISNUMBER(SEARCH("LLC",D148)),VLOOKUP(A148,Yards25[],28,FALSE),VLOOKUP(A148,Yards[],28,FALSE))))</f>
        <v/>
      </c>
      <c r="I148" s="143" t="str">
        <f ca="1">IF(YardsAll[[#This Row],[STATUS]]="","",IF(OR(F148="2019-2020",F148="2021-2025"),"",IF(ISNUMBER(SEARCH("LLC",D148)),VLOOKUP(A148,Yards25[],17,FALSE),VLOOKUP(A148,Yards[],17,FALSE))))</f>
        <v/>
      </c>
      <c r="J148" s="143" t="str">
        <f ca="1">IF(YardsAll[[#This Row],[STATUS]]="","",IF(OR(F148="2019-2020",F148="2021-2025"),"",IF(ISNUMBER(SEARCH("LLC",D148)),VLOOKUP(A148,Yards25[],29,FALSE),VLOOKUP(A148,Yards[],29,FALSE))))</f>
        <v/>
      </c>
      <c r="K148" s="143" t="str">
        <f ca="1">IF(YardsAll[[#This Row],[STATUS]]="","",IF(OR(F148="2019-2020",F148="2021-2025"),"",IF(ISNUMBER(SEARCH("LLC",D148)),VLOOKUP(A148,Yards25[],19,FALSE),VLOOKUP(A148,Yards[],19,FALSE))))</f>
        <v/>
      </c>
      <c r="L148" s="143" t="str">
        <f ca="1">IF(IF(OR(F148="2019-2020",F148="2021-2025"),"",IF(ISNUMBER(SEARCH("LLC",D148)),VLOOKUP(A148,Yards25[],20,FALSE),VLOOKUP(A148,Yards[],20,FALSE)))=0,"",IF(OR(F148="2019-2020",F148="2021-2025"),"",IF(ISNUMBER(SEARCH("LLC",D148)),VLOOKUP(A148,Yards25[],20,FALSE),VLOOKUP(A148,Yards[],20,FALSE))))</f>
        <v/>
      </c>
      <c r="M148" s="151">
        <f ca="1">IF(OR(F148="2019-2020",F148="2021-2025"),"",IF(ISNUMBER(SEARCH("LLC",D148)),VLOOKUP(A148,Yards25[],21,FALSE),VLOOKUP(A148,Yards[],21,FALSE)))</f>
        <v>200000</v>
      </c>
      <c r="N148" s="151">
        <f ca="1">IF(OR(F148="2019-2020",F148="2021-2025"),"",IF(ISNUMBER(SEARCH("LLC",D148)),VLOOKUP(A148,Yards25[],22,FALSE),VLOOKUP(A148,Yards[],22,FALSE)))</f>
        <v>1800000</v>
      </c>
      <c r="O148" s="151">
        <f ca="1">SUM(YardsAll[[#This Row],[DSGN ESTIMATE]:[CONS ESTIMATE]])</f>
        <v>2000000</v>
      </c>
      <c r="P148" s="143"/>
      <c r="Q148" s="143">
        <f ca="1">IF(OR(F148="2019-2020",F148="2021-2025"),"",IF(ISNUMBER(SEARCH("LLC",D148)),VLOOKUP(A148,Yards25[],25,FALSE),VLOOKUP(A148,Yards[],25,FALSE)))</f>
        <v>0</v>
      </c>
      <c r="R148" s="152"/>
    </row>
    <row r="149" spans="1:18">
      <c r="A149" s="147" t="s">
        <v>112</v>
      </c>
      <c r="B149" s="144" t="str">
        <f>VLOOKUP(A149,Data[],2,FALSE)</f>
        <v>MANHATTAN</v>
      </c>
      <c r="C149" s="144" t="str">
        <f ca="1">IF(OR(F149="2019-2020",F149="2021-2025"),"",IF(ISNUMBER(SEARCH("LLC",D149)),VLOOKUP(A149,Yards25[],3,FALSE),VLOOKUP(A149,Yards[],3,FALSE)))</f>
        <v>New Waste Yard v5</v>
      </c>
      <c r="D149" s="9" t="str">
        <f>VLOOKUP(A149,Data[],52,FALSE)</f>
        <v>FEDERAL</v>
      </c>
      <c r="E149" s="9">
        <f>VLOOKUP(YardsAll[[#This Row],[DEVELOPMENT]],Data[],62,FALSE)</f>
        <v>11</v>
      </c>
      <c r="F149" s="9" t="str">
        <f ca="1">VLOOKUP(A149,Data[],4,FALSE)</f>
        <v>2026+</v>
      </c>
      <c r="G149" s="9">
        <f ca="1">IF(OR(YardsAll[[#This Row],[RAD/PACT]]="2019-2020",YardsAll[[#This Row],[RAD/PACT]]="2021-2025"),"",IF(ISNUMBER(SEARCH("1",C149)),2,IF(ISNUMBER(SEARCH("2",C149)),1,IF(ISNUMBER(SEARCH("3",C149)),3,IF(ISNUMBER(SEARCH("4",C149)),4,IF(ISNUMBER(SEARCH("5",C149)),5,IF(ISNUMBER(SEARCH("6",C149)),6,IF(ISNUMBER(SEARCH("7",C149)),7,IF(ISNUMBER(SEARCH("8",C149)),8,0)))))))))</f>
        <v>5</v>
      </c>
      <c r="H149" s="143" t="str">
        <f ca="1">IF(YardsAll[[#This Row],[STATUS]]="","",IF(OR(F149="2019-2020",F149="2021-2025"),"",IF(ISNUMBER(SEARCH("LLC",D149)),VLOOKUP(A149,Yards25[],28,FALSE),VLOOKUP(A149,Yards[],28,FALSE))))</f>
        <v/>
      </c>
      <c r="I149" s="143" t="str">
        <f ca="1">IF(YardsAll[[#This Row],[STATUS]]="","",IF(OR(F149="2019-2020",F149="2021-2025"),"",IF(ISNUMBER(SEARCH("LLC",D149)),VLOOKUP(A149,Yards25[],17,FALSE),VLOOKUP(A149,Yards[],17,FALSE))))</f>
        <v/>
      </c>
      <c r="J149" s="143" t="str">
        <f ca="1">IF(YardsAll[[#This Row],[STATUS]]="","",IF(OR(F149="2019-2020",F149="2021-2025"),"",IF(ISNUMBER(SEARCH("LLC",D149)),VLOOKUP(A149,Yards25[],29,FALSE),VLOOKUP(A149,Yards[],29,FALSE))))</f>
        <v/>
      </c>
      <c r="K149" s="143" t="str">
        <f ca="1">IF(YardsAll[[#This Row],[STATUS]]="","",IF(OR(F149="2019-2020",F149="2021-2025"),"",IF(ISNUMBER(SEARCH("LLC",D149)),VLOOKUP(A149,Yards25[],19,FALSE),VLOOKUP(A149,Yards[],19,FALSE))))</f>
        <v/>
      </c>
      <c r="L149" s="143" t="str">
        <f ca="1">IF(IF(OR(F149="2019-2020",F149="2021-2025"),"",IF(ISNUMBER(SEARCH("LLC",D149)),VLOOKUP(A149,Yards25[],20,FALSE),VLOOKUP(A149,Yards[],20,FALSE)))=0,"",IF(OR(F149="2019-2020",F149="2021-2025"),"",IF(ISNUMBER(SEARCH("LLC",D149)),VLOOKUP(A149,Yards25[],20,FALSE),VLOOKUP(A149,Yards[],20,FALSE))))</f>
        <v/>
      </c>
      <c r="M149" s="151">
        <f ca="1">IF(OR(F149="2019-2020",F149="2021-2025"),"",IF(ISNUMBER(SEARCH("LLC",D149)),VLOOKUP(A149,Yards25[],21,FALSE),VLOOKUP(A149,Yards[],21,FALSE)))</f>
        <v>305359.71386820002</v>
      </c>
      <c r="N149" s="151">
        <f ca="1">IF(OR(F149="2019-2020",F149="2021-2025"),"",IF(ISNUMBER(SEARCH("LLC",D149)),VLOOKUP(A149,Yards25[],22,FALSE),VLOOKUP(A149,Yards[],22,FALSE)))</f>
        <v>2748237.4248138</v>
      </c>
      <c r="O149" s="151">
        <f ca="1">SUM(YardsAll[[#This Row],[DSGN ESTIMATE]:[CONS ESTIMATE]])</f>
        <v>3053597.1386819999</v>
      </c>
      <c r="P149" s="143"/>
      <c r="Q149" s="143">
        <f ca="1">IF(OR(F149="2019-2020",F149="2021-2025"),"",IF(ISNUMBER(SEARCH("LLC",D149)),VLOOKUP(A149,Yards25[],25,FALSE),VLOOKUP(A149,Yards[],25,FALSE)))</f>
        <v>0</v>
      </c>
      <c r="R149" s="152"/>
    </row>
    <row r="150" spans="1:18">
      <c r="A150" s="147" t="s">
        <v>83</v>
      </c>
      <c r="B150" s="144" t="str">
        <f>VLOOKUP(A150,Data[],2,FALSE)</f>
        <v>MANHATTAN</v>
      </c>
      <c r="C150" s="144" t="str">
        <f ca="1">IF(OR(F150="2019-2020",F150="2021-2025"),"",IF(ISNUMBER(SEARCH("LLC",D150)),VLOOKUP(A150,Yards25[],3,FALSE),VLOOKUP(A150,Yards[],3,FALSE)))</f>
        <v>New Waste Yard v3</v>
      </c>
      <c r="D150" s="9" t="str">
        <f>VLOOKUP(A150,Data[],52,FALSE)</f>
        <v>FEDERAL</v>
      </c>
      <c r="E150" s="9">
        <f>VLOOKUP(YardsAll[[#This Row],[DEVELOPMENT]],Data[],62,FALSE)</f>
        <v>11</v>
      </c>
      <c r="F150" s="9" t="str">
        <f ca="1">VLOOKUP(A150,Data[],4,FALSE)</f>
        <v>2026+</v>
      </c>
      <c r="G150" s="9">
        <f ca="1">IF(OR(YardsAll[[#This Row],[RAD/PACT]]="2019-2020",YardsAll[[#This Row],[RAD/PACT]]="2021-2025"),"",IF(ISNUMBER(SEARCH("1",C150)),2,IF(ISNUMBER(SEARCH("2",C150)),1,IF(ISNUMBER(SEARCH("3",C150)),3,IF(ISNUMBER(SEARCH("4",C150)),4,IF(ISNUMBER(SEARCH("5",C150)),5,IF(ISNUMBER(SEARCH("6",C150)),6,IF(ISNUMBER(SEARCH("7",C150)),7,IF(ISNUMBER(SEARCH("8",C150)),8,0)))))))))</f>
        <v>3</v>
      </c>
      <c r="H150" s="143" t="str">
        <f ca="1">IF(YardsAll[[#This Row],[STATUS]]="","",IF(OR(F150="2019-2020",F150="2021-2025"),"",IF(ISNUMBER(SEARCH("LLC",D150)),VLOOKUP(A150,Yards25[],28,FALSE),VLOOKUP(A150,Yards[],28,FALSE))))</f>
        <v/>
      </c>
      <c r="I150" s="143" t="str">
        <f ca="1">IF(YardsAll[[#This Row],[STATUS]]="","",IF(OR(F150="2019-2020",F150="2021-2025"),"",IF(ISNUMBER(SEARCH("LLC",D150)),VLOOKUP(A150,Yards25[],17,FALSE),VLOOKUP(A150,Yards[],17,FALSE))))</f>
        <v/>
      </c>
      <c r="J150" s="143" t="str">
        <f ca="1">IF(YardsAll[[#This Row],[STATUS]]="","",IF(OR(F150="2019-2020",F150="2021-2025"),"",IF(ISNUMBER(SEARCH("LLC",D150)),VLOOKUP(A150,Yards25[],29,FALSE),VLOOKUP(A150,Yards[],29,FALSE))))</f>
        <v/>
      </c>
      <c r="K150" s="143" t="str">
        <f ca="1">IF(YardsAll[[#This Row],[STATUS]]="","",IF(OR(F150="2019-2020",F150="2021-2025"),"",IF(ISNUMBER(SEARCH("LLC",D150)),VLOOKUP(A150,Yards25[],19,FALSE),VLOOKUP(A150,Yards[],19,FALSE))))</f>
        <v/>
      </c>
      <c r="L150" s="143" t="str">
        <f ca="1">IF(IF(OR(F150="2019-2020",F150="2021-2025"),"",IF(ISNUMBER(SEARCH("LLC",D150)),VLOOKUP(A150,Yards25[],20,FALSE),VLOOKUP(A150,Yards[],20,FALSE)))=0,"",IF(OR(F150="2019-2020",F150="2021-2025"),"",IF(ISNUMBER(SEARCH("LLC",D150)),VLOOKUP(A150,Yards25[],20,FALSE),VLOOKUP(A150,Yards[],20,FALSE))))</f>
        <v/>
      </c>
      <c r="M150" s="151">
        <f ca="1">IF(OR(F150="2019-2020",F150="2021-2025"),"",IF(ISNUMBER(SEARCH("LLC",D150)),VLOOKUP(A150,Yards25[],21,FALSE),VLOOKUP(A150,Yards[],21,FALSE)))</f>
        <v>230328.89648100009</v>
      </c>
      <c r="N150" s="151">
        <f ca="1">IF(OR(F150="2019-2020",F150="2021-2025"),"",IF(ISNUMBER(SEARCH("LLC",D150)),VLOOKUP(A150,Yards25[],22,FALSE),VLOOKUP(A150,Yards[],22,FALSE)))</f>
        <v>2072960.0683290006</v>
      </c>
      <c r="O150" s="151">
        <f ca="1">SUM(YardsAll[[#This Row],[DSGN ESTIMATE]:[CONS ESTIMATE]])</f>
        <v>2303288.9648100007</v>
      </c>
      <c r="P150" s="143"/>
      <c r="Q150" s="143">
        <f ca="1">IF(OR(F150="2019-2020",F150="2021-2025"),"",IF(ISNUMBER(SEARCH("LLC",D150)),VLOOKUP(A150,Yards25[],25,FALSE),VLOOKUP(A150,Yards[],25,FALSE)))</f>
        <v>0</v>
      </c>
      <c r="R150" s="152"/>
    </row>
    <row r="151" spans="1:18">
      <c r="A151" s="147" t="s">
        <v>131</v>
      </c>
      <c r="B151" s="144" t="str">
        <f>VLOOKUP(A151,Data[],2,FALSE)</f>
        <v>MANHATTAN</v>
      </c>
      <c r="C151" s="144" t="str">
        <f ca="1">IF(OR(F151="2019-2020",F151="2021-2025"),"",IF(ISNUMBER(SEARCH("LLC",D151)),VLOOKUP(A151,Yards25[],3,FALSE),VLOOKUP(A151,Yards[],3,FALSE)))</f>
        <v>New Waste Yard v2</v>
      </c>
      <c r="D151" s="9" t="str">
        <f>VLOOKUP(A151,Data[],52,FALSE)</f>
        <v>FEDERAL</v>
      </c>
      <c r="E151" s="9">
        <f>VLOOKUP(YardsAll[[#This Row],[DEVELOPMENT]],Data[],62,FALSE)</f>
        <v>10</v>
      </c>
      <c r="F151" s="9" t="str">
        <f ca="1">VLOOKUP(A151,Data[],4,FALSE)</f>
        <v/>
      </c>
      <c r="G151" s="9">
        <f ca="1">IF(OR(YardsAll[[#This Row],[RAD/PACT]]="2019-2020",YardsAll[[#This Row],[RAD/PACT]]="2021-2025"),"",IF(ISNUMBER(SEARCH("1",C151)),2,IF(ISNUMBER(SEARCH("2",C151)),1,IF(ISNUMBER(SEARCH("3",C151)),3,IF(ISNUMBER(SEARCH("4",C151)),4,IF(ISNUMBER(SEARCH("5",C151)),5,IF(ISNUMBER(SEARCH("6",C151)),6,IF(ISNUMBER(SEARCH("7",C151)),7,IF(ISNUMBER(SEARCH("8",C151)),8,0)))))))))</f>
        <v>1</v>
      </c>
      <c r="H151" s="143" t="str">
        <f ca="1">IF(YardsAll[[#This Row],[STATUS]]="","",IF(OR(F151="2019-2020",F151="2021-2025"),"",IF(ISNUMBER(SEARCH("LLC",D151)),VLOOKUP(A151,Yards25[],28,FALSE),VLOOKUP(A151,Yards[],28,FALSE))))</f>
        <v/>
      </c>
      <c r="I151" s="143" t="str">
        <f ca="1">IF(YardsAll[[#This Row],[STATUS]]="","",IF(OR(F151="2019-2020",F151="2021-2025"),"",IF(ISNUMBER(SEARCH("LLC",D151)),VLOOKUP(A151,Yards25[],17,FALSE),VLOOKUP(A151,Yards[],17,FALSE))))</f>
        <v/>
      </c>
      <c r="J151" s="143" t="str">
        <f ca="1">IF(YardsAll[[#This Row],[STATUS]]="","",IF(OR(F151="2019-2020",F151="2021-2025"),"",IF(ISNUMBER(SEARCH("LLC",D151)),VLOOKUP(A151,Yards25[],29,FALSE),VLOOKUP(A151,Yards[],29,FALSE))))</f>
        <v/>
      </c>
      <c r="K151" s="143" t="str">
        <f ca="1">IF(YardsAll[[#This Row],[STATUS]]="","",IF(OR(F151="2019-2020",F151="2021-2025"),"",IF(ISNUMBER(SEARCH("LLC",D151)),VLOOKUP(A151,Yards25[],19,FALSE),VLOOKUP(A151,Yards[],19,FALSE))))</f>
        <v/>
      </c>
      <c r="L151" s="143" t="str">
        <f ca="1">IF(IF(OR(F151="2019-2020",F151="2021-2025"),"",IF(ISNUMBER(SEARCH("LLC",D151)),VLOOKUP(A151,Yards25[],20,FALSE),VLOOKUP(A151,Yards[],20,FALSE)))=0,"",IF(OR(F151="2019-2020",F151="2021-2025"),"",IF(ISNUMBER(SEARCH("LLC",D151)),VLOOKUP(A151,Yards25[],20,FALSE),VLOOKUP(A151,Yards[],20,FALSE))))</f>
        <v/>
      </c>
      <c r="M151" s="151">
        <f ca="1">IF(OR(F151="2019-2020",F151="2021-2025"),"",IF(ISNUMBER(SEARCH("LLC",D151)),VLOOKUP(A151,Yards25[],21,FALSE),VLOOKUP(A151,Yards[],21,FALSE)))</f>
        <v>155298.07909380004</v>
      </c>
      <c r="N151" s="151">
        <f ca="1">IF(OR(F151="2019-2020",F151="2021-2025"),"",IF(ISNUMBER(SEARCH("LLC",D151)),VLOOKUP(A151,Yards25[],22,FALSE),VLOOKUP(A151,Yards[],22,FALSE)))</f>
        <v>1397682.7118442003</v>
      </c>
      <c r="O151" s="151">
        <f ca="1">SUM(YardsAll[[#This Row],[DSGN ESTIMATE]:[CONS ESTIMATE]])</f>
        <v>1552980.7909380002</v>
      </c>
      <c r="P151" s="143"/>
      <c r="Q151" s="143">
        <f ca="1">IF(OR(F151="2019-2020",F151="2021-2025"),"",IF(ISNUMBER(SEARCH("LLC",D151)),VLOOKUP(A151,Yards25[],25,FALSE),VLOOKUP(A151,Yards[],25,FALSE)))</f>
        <v>0</v>
      </c>
      <c r="R151" s="152"/>
    </row>
    <row r="152" spans="1:18">
      <c r="A152" s="147" t="s">
        <v>84</v>
      </c>
      <c r="B152" s="144" t="str">
        <f>VLOOKUP(A152,Data[],2,FALSE)</f>
        <v>BROOKLYN</v>
      </c>
      <c r="C152" s="144" t="str">
        <f ca="1">IF(OR(F152="2019-2020",F152="2021-2025"),"",IF(ISNUMBER(SEARCH("LLC",D152)),VLOOKUP(A152,Yards25[],3,FALSE),VLOOKUP(A152,Yards[],3,FALSE)))</f>
        <v>New Waste Yard v1</v>
      </c>
      <c r="D152" s="9" t="str">
        <f>VLOOKUP(A152,Data[],52,FALSE)</f>
        <v>FEDERAL</v>
      </c>
      <c r="E152" s="9" t="str">
        <f>VLOOKUP(YardsAll[[#This Row],[DEVELOPMENT]],Data[],62,FALSE)</f>
        <v>8, 16</v>
      </c>
      <c r="F152" s="9" t="str">
        <f ca="1">VLOOKUP(A152,Data[],4,FALSE)</f>
        <v/>
      </c>
      <c r="G152" s="9">
        <f ca="1">IF(OR(YardsAll[[#This Row],[RAD/PACT]]="2019-2020",YardsAll[[#This Row],[RAD/PACT]]="2021-2025"),"",IF(ISNUMBER(SEARCH("1",C152)),2,IF(ISNUMBER(SEARCH("2",C152)),1,IF(ISNUMBER(SEARCH("3",C152)),3,IF(ISNUMBER(SEARCH("4",C152)),4,IF(ISNUMBER(SEARCH("5",C152)),5,IF(ISNUMBER(SEARCH("6",C152)),6,IF(ISNUMBER(SEARCH("7",C152)),7,IF(ISNUMBER(SEARCH("8",C152)),8,0)))))))))</f>
        <v>2</v>
      </c>
      <c r="H152" s="143" t="str">
        <f ca="1">IF(YardsAll[[#This Row],[STATUS]]="","",IF(OR(F152="2019-2020",F152="2021-2025"),"",IF(ISNUMBER(SEARCH("LLC",D152)),VLOOKUP(A152,Yards25[],28,FALSE),VLOOKUP(A152,Yards[],28,FALSE))))</f>
        <v/>
      </c>
      <c r="I152" s="143" t="str">
        <f ca="1">IF(YardsAll[[#This Row],[STATUS]]="","",IF(OR(F152="2019-2020",F152="2021-2025"),"",IF(ISNUMBER(SEARCH("LLC",D152)),VLOOKUP(A152,Yards25[],17,FALSE),VLOOKUP(A152,Yards[],17,FALSE))))</f>
        <v/>
      </c>
      <c r="J152" s="143" t="str">
        <f ca="1">IF(YardsAll[[#This Row],[STATUS]]="","",IF(OR(F152="2019-2020",F152="2021-2025"),"",IF(ISNUMBER(SEARCH("LLC",D152)),VLOOKUP(A152,Yards25[],29,FALSE),VLOOKUP(A152,Yards[],29,FALSE))))</f>
        <v/>
      </c>
      <c r="K152" s="143" t="str">
        <f ca="1">IF(YardsAll[[#This Row],[STATUS]]="","",IF(OR(F152="2019-2020",F152="2021-2025"),"",IF(ISNUMBER(SEARCH("LLC",D152)),VLOOKUP(A152,Yards25[],19,FALSE),VLOOKUP(A152,Yards[],19,FALSE))))</f>
        <v/>
      </c>
      <c r="L152" s="143" t="str">
        <f ca="1">IF(IF(OR(F152="2019-2020",F152="2021-2025"),"",IF(ISNUMBER(SEARCH("LLC",D152)),VLOOKUP(A152,Yards25[],20,FALSE),VLOOKUP(A152,Yards[],20,FALSE)))=0,"",IF(OR(F152="2019-2020",F152="2021-2025"),"",IF(ISNUMBER(SEARCH("LLC",D152)),VLOOKUP(A152,Yards25[],20,FALSE),VLOOKUP(A152,Yards[],20,FALSE))))</f>
        <v/>
      </c>
      <c r="M152" s="151">
        <f ca="1">IF(OR(F152="2019-2020",F152="2021-2025"),"",IF(ISNUMBER(SEARCH("LLC",D152)),VLOOKUP(A152,Yards25[],21,FALSE),VLOOKUP(A152,Yards[],21,FALSE)))</f>
        <v>193407.39567800006</v>
      </c>
      <c r="N152" s="151">
        <f ca="1">IF(OR(F152="2019-2020",F152="2021-2025"),"",IF(ISNUMBER(SEARCH("LLC",D152)),VLOOKUP(A152,Yards25[],22,FALSE),VLOOKUP(A152,Yards[],22,FALSE)))</f>
        <v>1740666.5611020005</v>
      </c>
      <c r="O152" s="151">
        <f ca="1">SUM(YardsAll[[#This Row],[DSGN ESTIMATE]:[CONS ESTIMATE]])</f>
        <v>1934073.9567800006</v>
      </c>
      <c r="P152" s="143"/>
      <c r="Q152" s="143">
        <f ca="1">IF(OR(F152="2019-2020",F152="2021-2025"),"",IF(ISNUMBER(SEARCH("LLC",D152)),VLOOKUP(A152,Yards25[],25,FALSE),VLOOKUP(A152,Yards[],25,FALSE)))</f>
        <v>0</v>
      </c>
      <c r="R152" s="152"/>
    </row>
    <row r="153" spans="1:18">
      <c r="A153" s="147" t="s">
        <v>191</v>
      </c>
      <c r="B153" s="144" t="str">
        <f>VLOOKUP(A153,Data[],2,FALSE)</f>
        <v>BROOKLYN</v>
      </c>
      <c r="C153" s="144" t="str">
        <f ca="1">IF(OR(F153="2019-2020",F153="2021-2025"),"",IF(ISNUMBER(SEARCH("LLC",D153)),VLOOKUP(A153,Yards25[],3,FALSE),VLOOKUP(A153,Yards[],3,FALSE)))</f>
        <v>New Waste Yard v1</v>
      </c>
      <c r="D153" s="9" t="str">
        <f>VLOOKUP(A153,Data[],52,FALSE)</f>
        <v>FEDERAL</v>
      </c>
      <c r="E153" s="9">
        <f>VLOOKUP(YardsAll[[#This Row],[DEVELOPMENT]],Data[],62,FALSE)</f>
        <v>8</v>
      </c>
      <c r="F153" s="9" t="str">
        <f ca="1">VLOOKUP(A153,Data[],4,FALSE)</f>
        <v/>
      </c>
      <c r="G153" s="9">
        <f ca="1">IF(OR(YardsAll[[#This Row],[RAD/PACT]]="2019-2020",YardsAll[[#This Row],[RAD/PACT]]="2021-2025"),"",IF(ISNUMBER(SEARCH("1",C153)),2,IF(ISNUMBER(SEARCH("2",C153)),1,IF(ISNUMBER(SEARCH("3",C153)),3,IF(ISNUMBER(SEARCH("4",C153)),4,IF(ISNUMBER(SEARCH("5",C153)),5,IF(ISNUMBER(SEARCH("6",C153)),6,IF(ISNUMBER(SEARCH("7",C153)),7,IF(ISNUMBER(SEARCH("8",C153)),8,0)))))))))</f>
        <v>2</v>
      </c>
      <c r="H153" s="143" t="str">
        <f ca="1">IF(YardsAll[[#This Row],[STATUS]]="","",IF(OR(F153="2019-2020",F153="2021-2025"),"",IF(ISNUMBER(SEARCH("LLC",D153)),VLOOKUP(A153,Yards25[],28,FALSE),VLOOKUP(A153,Yards[],28,FALSE))))</f>
        <v/>
      </c>
      <c r="I153" s="143" t="str">
        <f ca="1">IF(YardsAll[[#This Row],[STATUS]]="","",IF(OR(F153="2019-2020",F153="2021-2025"),"",IF(ISNUMBER(SEARCH("LLC",D153)),VLOOKUP(A153,Yards25[],17,FALSE),VLOOKUP(A153,Yards[],17,FALSE))))</f>
        <v/>
      </c>
      <c r="J153" s="143" t="str">
        <f ca="1">IF(YardsAll[[#This Row],[STATUS]]="","",IF(OR(F153="2019-2020",F153="2021-2025"),"",IF(ISNUMBER(SEARCH("LLC",D153)),VLOOKUP(A153,Yards25[],29,FALSE),VLOOKUP(A153,Yards[],29,FALSE))))</f>
        <v/>
      </c>
      <c r="K153" s="143" t="str">
        <f ca="1">IF(YardsAll[[#This Row],[STATUS]]="","",IF(OR(F153="2019-2020",F153="2021-2025"),"",IF(ISNUMBER(SEARCH("LLC",D153)),VLOOKUP(A153,Yards25[],19,FALSE),VLOOKUP(A153,Yards[],19,FALSE))))</f>
        <v/>
      </c>
      <c r="L153" s="143" t="str">
        <f ca="1">IF(IF(OR(F153="2019-2020",F153="2021-2025"),"",IF(ISNUMBER(SEARCH("LLC",D153)),VLOOKUP(A153,Yards25[],20,FALSE),VLOOKUP(A153,Yards[],20,FALSE)))=0,"",IF(OR(F153="2019-2020",F153="2021-2025"),"",IF(ISNUMBER(SEARCH("LLC",D153)),VLOOKUP(A153,Yards25[],20,FALSE),VLOOKUP(A153,Yards[],20,FALSE))))</f>
        <v/>
      </c>
      <c r="M153" s="151">
        <f ca="1">IF(OR(F153="2019-2020",F153="2021-2025"),"",IF(ISNUMBER(SEARCH("LLC",D153)),VLOOKUP(A153,Yards25[],21,FALSE),VLOOKUP(A153,Yards[],21,FALSE)))</f>
        <v>0</v>
      </c>
      <c r="N153" s="151">
        <f ca="1">IF(OR(F153="2019-2020",F153="2021-2025"),"",IF(ISNUMBER(SEARCH("LLC",D153)),VLOOKUP(A153,Yards25[],22,FALSE),VLOOKUP(A153,Yards[],22,FALSE)))</f>
        <v>0</v>
      </c>
      <c r="O153" s="151">
        <f ca="1">SUM(YardsAll[[#This Row],[DSGN ESTIMATE]:[CONS ESTIMATE]])</f>
        <v>0</v>
      </c>
      <c r="P153" s="143"/>
      <c r="Q153" s="143">
        <f ca="1">IF(OR(F153="2019-2020",F153="2021-2025"),"",IF(ISNUMBER(SEARCH("LLC",D153)),VLOOKUP(A153,Yards25[],25,FALSE),VLOOKUP(A153,Yards[],25,FALSE)))</f>
        <v>0</v>
      </c>
      <c r="R153" s="152"/>
    </row>
    <row r="154" spans="1:18">
      <c r="A154" s="148" t="s">
        <v>36</v>
      </c>
      <c r="B154" s="144" t="str">
        <f>VLOOKUP(A154,Data[],2,FALSE)</f>
        <v>MANHATTAN</v>
      </c>
      <c r="C154" s="144" t="str">
        <f ca="1">IF(OR(F154="2019-2020",F154="2021-2025"),"",IF(ISNUMBER(SEARCH("LLC",D154)),VLOOKUP(A154,Yards25[],3,FALSE),VLOOKUP(A154,Yards[],3,FALSE)))</f>
        <v>New Waste Yard v3</v>
      </c>
      <c r="D154" s="9" t="str">
        <f>VLOOKUP(A154,Data[],52,FALSE)</f>
        <v>FEDERAL</v>
      </c>
      <c r="E154" s="9">
        <f>VLOOKUP(YardsAll[[#This Row],[DEVELOPMENT]],Data[],62,FALSE)</f>
        <v>3</v>
      </c>
      <c r="F154" s="9" t="str">
        <f ca="1">VLOOKUP(A154,Data[],4,FALSE)</f>
        <v/>
      </c>
      <c r="G154" s="9">
        <f ca="1">IF(OR(YardsAll[[#This Row],[RAD/PACT]]="2019-2020",YardsAll[[#This Row],[RAD/PACT]]="2021-2025"),"",IF(ISNUMBER(SEARCH("1",C154)),2,IF(ISNUMBER(SEARCH("2",C154)),1,IF(ISNUMBER(SEARCH("3",C154)),3,IF(ISNUMBER(SEARCH("4",C154)),4,IF(ISNUMBER(SEARCH("5",C154)),5,IF(ISNUMBER(SEARCH("6",C154)),6,IF(ISNUMBER(SEARCH("7",C154)),7,IF(ISNUMBER(SEARCH("8",C154)),8,0)))))))))</f>
        <v>3</v>
      </c>
      <c r="H154" s="143" t="str">
        <f ca="1">IF(YardsAll[[#This Row],[STATUS]]="","",IF(OR(F154="2019-2020",F154="2021-2025"),"",IF(ISNUMBER(SEARCH("LLC",D154)),VLOOKUP(A154,Yards25[],28,FALSE),VLOOKUP(A154,Yards[],28,FALSE))))</f>
        <v/>
      </c>
      <c r="I154" s="143" t="str">
        <f ca="1">IF(YardsAll[[#This Row],[STATUS]]="","",IF(OR(F154="2019-2020",F154="2021-2025"),"",IF(ISNUMBER(SEARCH("LLC",D154)),VLOOKUP(A154,Yards25[],17,FALSE),VLOOKUP(A154,Yards[],17,FALSE))))</f>
        <v/>
      </c>
      <c r="J154" s="143" t="str">
        <f ca="1">IF(YardsAll[[#This Row],[STATUS]]="","",IF(OR(F154="2019-2020",F154="2021-2025"),"",IF(ISNUMBER(SEARCH("LLC",D154)),VLOOKUP(A154,Yards25[],29,FALSE),VLOOKUP(A154,Yards[],29,FALSE))))</f>
        <v/>
      </c>
      <c r="K154" s="143" t="str">
        <f ca="1">IF(YardsAll[[#This Row],[STATUS]]="","",IF(OR(F154="2019-2020",F154="2021-2025"),"",IF(ISNUMBER(SEARCH("LLC",D154)),VLOOKUP(A154,Yards25[],19,FALSE),VLOOKUP(A154,Yards[],19,FALSE))))</f>
        <v/>
      </c>
      <c r="L154" s="143" t="str">
        <f ca="1">IF(IF(OR(F154="2019-2020",F154="2021-2025"),"",IF(ISNUMBER(SEARCH("LLC",D154)),VLOOKUP(A154,Yards25[],20,FALSE),VLOOKUP(A154,Yards[],20,FALSE)))=0,"",IF(OR(F154="2019-2020",F154="2021-2025"),"",IF(ISNUMBER(SEARCH("LLC",D154)),VLOOKUP(A154,Yards25[],20,FALSE),VLOOKUP(A154,Yards[],20,FALSE))))</f>
        <v/>
      </c>
      <c r="M154" s="151">
        <f ca="1">IF(OR(F154="2019-2020",F154="2021-2025"),"",IF(ISNUMBER(SEARCH("LLC",D154)),VLOOKUP(A154,Yards25[],21,FALSE),VLOOKUP(A154,Yards[],21,FALSE)))</f>
        <v>209114.39285775006</v>
      </c>
      <c r="N154" s="151">
        <f ca="1">IF(OR(F154="2019-2020",F154="2021-2025"),"",IF(ISNUMBER(SEARCH("LLC",D154)),VLOOKUP(A154,Yards25[],22,FALSE),VLOOKUP(A154,Yards[],22,FALSE)))</f>
        <v>1882029.5357197504</v>
      </c>
      <c r="O154" s="151">
        <f ca="1">SUM(YardsAll[[#This Row],[DSGN ESTIMATE]:[CONS ESTIMATE]])</f>
        <v>2091143.9285775004</v>
      </c>
      <c r="P154" s="143"/>
      <c r="Q154" s="143">
        <f ca="1">IF(OR(F154="2019-2020",F154="2021-2025"),"",IF(ISNUMBER(SEARCH("LLC",D154)),VLOOKUP(A154,Yards25[],25,FALSE),VLOOKUP(A154,Yards[],25,FALSE)))</f>
        <v>0</v>
      </c>
      <c r="R154" s="152"/>
    </row>
    <row r="155" spans="1:18">
      <c r="A155" s="148" t="s">
        <v>103</v>
      </c>
      <c r="B155" s="144" t="str">
        <f>VLOOKUP(A155,Data[],2,FALSE)</f>
        <v>MANHATTAN</v>
      </c>
      <c r="C155" s="144" t="str">
        <f ca="1">IF(OR(F155="2019-2020",F155="2021-2025"),"",IF(ISNUMBER(SEARCH("LLC",D155)),VLOOKUP(A155,Yards25[],3,FALSE),VLOOKUP(A155,Yards[],3,FALSE)))</f>
        <v>New Waste Yard v1</v>
      </c>
      <c r="D155" s="9" t="str">
        <f>VLOOKUP(A155,Data[],52,FALSE)</f>
        <v>FEDERAL</v>
      </c>
      <c r="E155" s="9">
        <f>VLOOKUP(YardsAll[[#This Row],[DEVELOPMENT]],Data[],62,FALSE)</f>
        <v>3</v>
      </c>
      <c r="F155" s="9" t="str">
        <f ca="1">VLOOKUP(A155,Data[],4,FALSE)</f>
        <v/>
      </c>
      <c r="G155" s="9">
        <f ca="1">IF(OR(YardsAll[[#This Row],[RAD/PACT]]="2019-2020",YardsAll[[#This Row],[RAD/PACT]]="2021-2025"),"",IF(ISNUMBER(SEARCH("1",C155)),2,IF(ISNUMBER(SEARCH("2",C155)),1,IF(ISNUMBER(SEARCH("3",C155)),3,IF(ISNUMBER(SEARCH("4",C155)),4,IF(ISNUMBER(SEARCH("5",C155)),5,IF(ISNUMBER(SEARCH("6",C155)),6,IF(ISNUMBER(SEARCH("7",C155)),7,IF(ISNUMBER(SEARCH("8",C155)),8,0)))))))))</f>
        <v>2</v>
      </c>
      <c r="H155" s="143" t="str">
        <f ca="1">IF(YardsAll[[#This Row],[STATUS]]="","",IF(OR(F155="2019-2020",F155="2021-2025"),"",IF(ISNUMBER(SEARCH("LLC",D155)),VLOOKUP(A155,Yards25[],28,FALSE),VLOOKUP(A155,Yards[],28,FALSE))))</f>
        <v/>
      </c>
      <c r="I155" s="143" t="str">
        <f ca="1">IF(YardsAll[[#This Row],[STATUS]]="","",IF(OR(F155="2019-2020",F155="2021-2025"),"",IF(ISNUMBER(SEARCH("LLC",D155)),VLOOKUP(A155,Yards25[],17,FALSE),VLOOKUP(A155,Yards[],17,FALSE))))</f>
        <v/>
      </c>
      <c r="J155" s="143" t="str">
        <f ca="1">IF(YardsAll[[#This Row],[STATUS]]="","",IF(OR(F155="2019-2020",F155="2021-2025"),"",IF(ISNUMBER(SEARCH("LLC",D155)),VLOOKUP(A155,Yards25[],29,FALSE),VLOOKUP(A155,Yards[],29,FALSE))))</f>
        <v/>
      </c>
      <c r="K155" s="143" t="str">
        <f ca="1">IF(YardsAll[[#This Row],[STATUS]]="","",IF(OR(F155="2019-2020",F155="2021-2025"),"",IF(ISNUMBER(SEARCH("LLC",D155)),VLOOKUP(A155,Yards25[],19,FALSE),VLOOKUP(A155,Yards[],19,FALSE))))</f>
        <v/>
      </c>
      <c r="L155" s="143" t="str">
        <f ca="1">IF(IF(OR(F155="2019-2020",F155="2021-2025"),"",IF(ISNUMBER(SEARCH("LLC",D155)),VLOOKUP(A155,Yards25[],20,FALSE),VLOOKUP(A155,Yards[],20,FALSE)))=0,"",IF(OR(F155="2019-2020",F155="2021-2025"),"",IF(ISNUMBER(SEARCH("LLC",D155)),VLOOKUP(A155,Yards25[],20,FALSE),VLOOKUP(A155,Yards[],20,FALSE))))</f>
        <v/>
      </c>
      <c r="M155" s="151">
        <f ca="1">IF(OR(F155="2019-2020",F155="2021-2025"),"",IF(ISNUMBER(SEARCH("LLC",D155)),VLOOKUP(A155,Yards25[],21,FALSE),VLOOKUP(A155,Yards[],21,FALSE)))</f>
        <v>0</v>
      </c>
      <c r="N155" s="151">
        <f ca="1">IF(OR(F155="2019-2020",F155="2021-2025"),"",IF(ISNUMBER(SEARCH("LLC",D155)),VLOOKUP(A155,Yards25[],22,FALSE),VLOOKUP(A155,Yards[],22,FALSE)))</f>
        <v>0</v>
      </c>
      <c r="O155" s="151">
        <f ca="1">SUM(YardsAll[[#This Row],[DSGN ESTIMATE]:[CONS ESTIMATE]])</f>
        <v>0</v>
      </c>
      <c r="P155" s="143"/>
      <c r="Q155" s="143">
        <f ca="1">IF(OR(F155="2019-2020",F155="2021-2025"),"",IF(ISNUMBER(SEARCH("LLC",D155)),VLOOKUP(A155,Yards25[],25,FALSE),VLOOKUP(A155,Yards[],25,FALSE)))</f>
        <v>0</v>
      </c>
      <c r="R155" s="152"/>
    </row>
    <row r="156" spans="1:18">
      <c r="A156" s="148" t="s">
        <v>37</v>
      </c>
      <c r="B156" s="144" t="str">
        <f>VLOOKUP(A156,Data[],2,FALSE)</f>
        <v>BROOKLYN</v>
      </c>
      <c r="C156" s="144" t="str">
        <f ca="1">IF(OR(F156="2019-2020",F156="2021-2025"),"",IF(ISNUMBER(SEARCH("LLC",D156)),VLOOKUP(A156,Yards25[],3,FALSE),VLOOKUP(A156,Yards[],3,FALSE)))</f>
        <v>New Waste Yard v2</v>
      </c>
      <c r="D156" s="9" t="str">
        <f>VLOOKUP(A156,Data[],52,FALSE)</f>
        <v>FEDERAL</v>
      </c>
      <c r="E156" s="9">
        <f>VLOOKUP(YardsAll[[#This Row],[DEVELOPMENT]],Data[],62,FALSE)</f>
        <v>3</v>
      </c>
      <c r="F156" s="9" t="str">
        <f ca="1">VLOOKUP(A156,Data[],4,FALSE)</f>
        <v/>
      </c>
      <c r="G156" s="9">
        <f ca="1">IF(OR(YardsAll[[#This Row],[RAD/PACT]]="2019-2020",YardsAll[[#This Row],[RAD/PACT]]="2021-2025"),"",IF(ISNUMBER(SEARCH("1",C156)),2,IF(ISNUMBER(SEARCH("2",C156)),1,IF(ISNUMBER(SEARCH("3",C156)),3,IF(ISNUMBER(SEARCH("4",C156)),4,IF(ISNUMBER(SEARCH("5",C156)),5,IF(ISNUMBER(SEARCH("6",C156)),6,IF(ISNUMBER(SEARCH("7",C156)),7,IF(ISNUMBER(SEARCH("8",C156)),8,0)))))))))</f>
        <v>1</v>
      </c>
      <c r="H156" s="143" t="str">
        <f ca="1">IF(YardsAll[[#This Row],[STATUS]]="","",IF(OR(F156="2019-2020",F156="2021-2025"),"",IF(ISNUMBER(SEARCH("LLC",D156)),VLOOKUP(A156,Yards25[],28,FALSE),VLOOKUP(A156,Yards[],28,FALSE))))</f>
        <v/>
      </c>
      <c r="I156" s="143" t="str">
        <f ca="1">IF(YardsAll[[#This Row],[STATUS]]="","",IF(OR(F156="2019-2020",F156="2021-2025"),"",IF(ISNUMBER(SEARCH("LLC",D156)),VLOOKUP(A156,Yards25[],17,FALSE),VLOOKUP(A156,Yards[],17,FALSE))))</f>
        <v/>
      </c>
      <c r="J156" s="143" t="str">
        <f ca="1">IF(YardsAll[[#This Row],[STATUS]]="","",IF(OR(F156="2019-2020",F156="2021-2025"),"",IF(ISNUMBER(SEARCH("LLC",D156)),VLOOKUP(A156,Yards25[],29,FALSE),VLOOKUP(A156,Yards[],29,FALSE))))</f>
        <v/>
      </c>
      <c r="K156" s="143" t="str">
        <f ca="1">IF(YardsAll[[#This Row],[STATUS]]="","",IF(OR(F156="2019-2020",F156="2021-2025"),"",IF(ISNUMBER(SEARCH("LLC",D156)),VLOOKUP(A156,Yards25[],19,FALSE),VLOOKUP(A156,Yards[],19,FALSE))))</f>
        <v/>
      </c>
      <c r="L156" s="143" t="str">
        <f ca="1">IF(IF(OR(F156="2019-2020",F156="2021-2025"),"",IF(ISNUMBER(SEARCH("LLC",D156)),VLOOKUP(A156,Yards25[],20,FALSE),VLOOKUP(A156,Yards[],20,FALSE)))=0,"",IF(OR(F156="2019-2020",F156="2021-2025"),"",IF(ISNUMBER(SEARCH("LLC",D156)),VLOOKUP(A156,Yards25[],20,FALSE),VLOOKUP(A156,Yards[],20,FALSE))))</f>
        <v/>
      </c>
      <c r="M156" s="151">
        <f ca="1">IF(OR(F156="2019-2020",F156="2021-2025"),"",IF(ISNUMBER(SEARCH("LLC",D156)),VLOOKUP(A156,Yards25[],21,FALSE),VLOOKUP(A156,Yards[],21,FALSE)))</f>
        <v>150530.15561285004</v>
      </c>
      <c r="N156" s="151">
        <f ca="1">IF(OR(F156="2019-2020",F156="2021-2025"),"",IF(ISNUMBER(SEARCH("LLC",D156)),VLOOKUP(A156,Yards25[],22,FALSE),VLOOKUP(A156,Yards[],22,FALSE)))</f>
        <v>1354771.4005156502</v>
      </c>
      <c r="O156" s="151">
        <f ca="1">SUM(YardsAll[[#This Row],[DSGN ESTIMATE]:[CONS ESTIMATE]])</f>
        <v>1505301.5561285003</v>
      </c>
      <c r="P156" s="143"/>
      <c r="Q156" s="143">
        <f ca="1">IF(OR(F156="2019-2020",F156="2021-2025"),"",IF(ISNUMBER(SEARCH("LLC",D156)),VLOOKUP(A156,Yards25[],25,FALSE),VLOOKUP(A156,Yards[],25,FALSE)))</f>
        <v>0</v>
      </c>
      <c r="R156" s="152"/>
    </row>
    <row r="157" spans="1:18">
      <c r="A157" s="147" t="s">
        <v>338</v>
      </c>
      <c r="B157" s="144" t="str">
        <f>VLOOKUP(A157,Data[],2,FALSE)</f>
        <v>QUEENS</v>
      </c>
      <c r="C157" s="144" t="str">
        <f ca="1">IF(OR(F157="2019-2020",F157="2021-2025"),"",IF(ISNUMBER(SEARCH("LLC",D157)),VLOOKUP(A157,Yards25[],3,FALSE),VLOOKUP(A157,Yards[],3,FALSE)))</f>
        <v>New Waste Yard v1</v>
      </c>
      <c r="D157" s="9" t="str">
        <f>VLOOKUP(A157,Data[],52,FALSE)</f>
        <v>FEDERAL</v>
      </c>
      <c r="E157" s="9">
        <f>VLOOKUP(YardsAll[[#This Row],[DEVELOPMENT]],Data[],62,FALSE)</f>
        <v>7</v>
      </c>
      <c r="F157" s="9" t="str">
        <f ca="1">VLOOKUP(A157,Data[],4,FALSE)</f>
        <v/>
      </c>
      <c r="G157" s="9">
        <f ca="1">IF(OR(YardsAll[[#This Row],[RAD/PACT]]="2019-2020",YardsAll[[#This Row],[RAD/PACT]]="2021-2025"),"",IF(ISNUMBER(SEARCH("1",C157)),2,IF(ISNUMBER(SEARCH("2",C157)),1,IF(ISNUMBER(SEARCH("3",C157)),3,IF(ISNUMBER(SEARCH("4",C157)),4,IF(ISNUMBER(SEARCH("5",C157)),5,IF(ISNUMBER(SEARCH("6",C157)),6,IF(ISNUMBER(SEARCH("7",C157)),7,IF(ISNUMBER(SEARCH("8",C157)),8,0)))))))))</f>
        <v>2</v>
      </c>
      <c r="H157" s="143" t="str">
        <f ca="1">IF(YardsAll[[#This Row],[STATUS]]="","",IF(OR(F157="2019-2020",F157="2021-2025"),"",IF(ISNUMBER(SEARCH("LLC",D157)),VLOOKUP(A157,Yards25[],28,FALSE),VLOOKUP(A157,Yards[],28,FALSE))))</f>
        <v/>
      </c>
      <c r="I157" s="143" t="str">
        <f ca="1">IF(YardsAll[[#This Row],[STATUS]]="","",IF(OR(F157="2019-2020",F157="2021-2025"),"",IF(ISNUMBER(SEARCH("LLC",D157)),VLOOKUP(A157,Yards25[],17,FALSE),VLOOKUP(A157,Yards[],17,FALSE))))</f>
        <v/>
      </c>
      <c r="J157" s="143" t="str">
        <f ca="1">IF(YardsAll[[#This Row],[STATUS]]="","",IF(OR(F157="2019-2020",F157="2021-2025"),"",IF(ISNUMBER(SEARCH("LLC",D157)),VLOOKUP(A157,Yards25[],29,FALSE),VLOOKUP(A157,Yards[],29,FALSE))))</f>
        <v/>
      </c>
      <c r="K157" s="143" t="str">
        <f ca="1">IF(YardsAll[[#This Row],[STATUS]]="","",IF(OR(F157="2019-2020",F157="2021-2025"),"",IF(ISNUMBER(SEARCH("LLC",D157)),VLOOKUP(A157,Yards25[],19,FALSE),VLOOKUP(A157,Yards[],19,FALSE))))</f>
        <v/>
      </c>
      <c r="L157" s="143" t="str">
        <f ca="1">IF(IF(OR(F157="2019-2020",F157="2021-2025"),"",IF(ISNUMBER(SEARCH("LLC",D157)),VLOOKUP(A157,Yards25[],20,FALSE),VLOOKUP(A157,Yards[],20,FALSE)))=0,"",IF(OR(F157="2019-2020",F157="2021-2025"),"",IF(ISNUMBER(SEARCH("LLC",D157)),VLOOKUP(A157,Yards25[],20,FALSE),VLOOKUP(A157,Yards[],20,FALSE))))</f>
        <v/>
      </c>
      <c r="M157" s="151">
        <f ca="1">IF(OR(F157="2019-2020",F157="2021-2025"),"",IF(ISNUMBER(SEARCH("LLC",D157)),VLOOKUP(A157,Yards25[],21,FALSE),VLOOKUP(A157,Yards[],21,FALSE)))</f>
        <v>231365.85651200006</v>
      </c>
      <c r="N157" s="151">
        <f ca="1">IF(OR(F157="2019-2020",F157="2021-2025"),"",IF(ISNUMBER(SEARCH("LLC",D157)),VLOOKUP(A157,Yards25[],22,FALSE),VLOOKUP(A157,Yards[],22,FALSE)))</f>
        <v>2082292.7086080003</v>
      </c>
      <c r="O157" s="151">
        <f ca="1">SUM(YardsAll[[#This Row],[DSGN ESTIMATE]:[CONS ESTIMATE]])</f>
        <v>2313658.5651200004</v>
      </c>
      <c r="P157" s="143"/>
      <c r="Q157" s="143">
        <f ca="1">IF(OR(F157="2019-2020",F157="2021-2025"),"",IF(ISNUMBER(SEARCH("LLC",D157)),VLOOKUP(A157,Yards25[],25,FALSE),VLOOKUP(A157,Yards[],25,FALSE)))</f>
        <v>0</v>
      </c>
      <c r="R157" s="152"/>
    </row>
    <row r="158" spans="1:18">
      <c r="A158" s="147" t="s">
        <v>339</v>
      </c>
      <c r="B158" s="144" t="str">
        <f>VLOOKUP(A158,Data[],2,FALSE)</f>
        <v>QUEENS</v>
      </c>
      <c r="C158" s="144" t="str">
        <f ca="1">IF(OR(F158="2019-2020",F158="2021-2025"),"",IF(ISNUMBER(SEARCH("LLC",D158)),VLOOKUP(A158,Yards25[],3,FALSE),VLOOKUP(A158,Yards[],3,FALSE)))</f>
        <v>New Waste Yard v1</v>
      </c>
      <c r="D158" s="9" t="str">
        <f>VLOOKUP(A158,Data[],52,FALSE)</f>
        <v>FEDERAL</v>
      </c>
      <c r="E158" s="9">
        <f>VLOOKUP(YardsAll[[#This Row],[DEVELOPMENT]],Data[],62,FALSE)</f>
        <v>7</v>
      </c>
      <c r="F158" s="9" t="str">
        <f ca="1">VLOOKUP(A158,Data[],4,FALSE)</f>
        <v/>
      </c>
      <c r="G158" s="9">
        <f ca="1">IF(OR(YardsAll[[#This Row],[RAD/PACT]]="2019-2020",YardsAll[[#This Row],[RAD/PACT]]="2021-2025"),"",IF(ISNUMBER(SEARCH("1",C158)),2,IF(ISNUMBER(SEARCH("2",C158)),1,IF(ISNUMBER(SEARCH("3",C158)),3,IF(ISNUMBER(SEARCH("4",C158)),4,IF(ISNUMBER(SEARCH("5",C158)),5,IF(ISNUMBER(SEARCH("6",C158)),6,IF(ISNUMBER(SEARCH("7",C158)),7,IF(ISNUMBER(SEARCH("8",C158)),8,0)))))))))</f>
        <v>2</v>
      </c>
      <c r="H158" s="143" t="str">
        <f ca="1">IF(YardsAll[[#This Row],[STATUS]]="","",IF(OR(F158="2019-2020",F158="2021-2025"),"",IF(ISNUMBER(SEARCH("LLC",D158)),VLOOKUP(A158,Yards25[],28,FALSE),VLOOKUP(A158,Yards[],28,FALSE))))</f>
        <v/>
      </c>
      <c r="I158" s="143" t="str">
        <f ca="1">IF(YardsAll[[#This Row],[STATUS]]="","",IF(OR(F158="2019-2020",F158="2021-2025"),"",IF(ISNUMBER(SEARCH("LLC",D158)),VLOOKUP(A158,Yards25[],17,FALSE),VLOOKUP(A158,Yards[],17,FALSE))))</f>
        <v/>
      </c>
      <c r="J158" s="143" t="str">
        <f ca="1">IF(YardsAll[[#This Row],[STATUS]]="","",IF(OR(F158="2019-2020",F158="2021-2025"),"",IF(ISNUMBER(SEARCH("LLC",D158)),VLOOKUP(A158,Yards25[],29,FALSE),VLOOKUP(A158,Yards[],29,FALSE))))</f>
        <v/>
      </c>
      <c r="K158" s="143" t="str">
        <f ca="1">IF(YardsAll[[#This Row],[STATUS]]="","",IF(OR(F158="2019-2020",F158="2021-2025"),"",IF(ISNUMBER(SEARCH("LLC",D158)),VLOOKUP(A158,Yards25[],19,FALSE),VLOOKUP(A158,Yards[],19,FALSE))))</f>
        <v/>
      </c>
      <c r="L158" s="143" t="str">
        <f ca="1">IF(IF(OR(F158="2019-2020",F158="2021-2025"),"",IF(ISNUMBER(SEARCH("LLC",D158)),VLOOKUP(A158,Yards25[],20,FALSE),VLOOKUP(A158,Yards[],20,FALSE)))=0,"",IF(OR(F158="2019-2020",F158="2021-2025"),"",IF(ISNUMBER(SEARCH("LLC",D158)),VLOOKUP(A158,Yards25[],20,FALSE),VLOOKUP(A158,Yards[],20,FALSE))))</f>
        <v/>
      </c>
      <c r="M158" s="151">
        <f ca="1">IF(OR(F158="2019-2020",F158="2021-2025"),"",IF(ISNUMBER(SEARCH("LLC",D158)),VLOOKUP(A158,Yards25[],21,FALSE),VLOOKUP(A158,Yards[],21,FALSE)))</f>
        <v>237692.26665100004</v>
      </c>
      <c r="N158" s="151">
        <f ca="1">IF(OR(F158="2019-2020",F158="2021-2025"),"",IF(ISNUMBER(SEARCH("LLC",D158)),VLOOKUP(A158,Yards25[],22,FALSE),VLOOKUP(A158,Yards[],22,FALSE)))</f>
        <v>2139230.3998590005</v>
      </c>
      <c r="O158" s="151">
        <f ca="1">SUM(YardsAll[[#This Row],[DSGN ESTIMATE]:[CONS ESTIMATE]])</f>
        <v>2376922.6665100004</v>
      </c>
      <c r="P158" s="143"/>
      <c r="Q158" s="143">
        <f ca="1">IF(OR(F158="2019-2020",F158="2021-2025"),"",IF(ISNUMBER(SEARCH("LLC",D158)),VLOOKUP(A158,Yards25[],25,FALSE),VLOOKUP(A158,Yards[],25,FALSE)))</f>
        <v>0</v>
      </c>
      <c r="R158" s="152"/>
    </row>
    <row r="159" spans="1:18">
      <c r="A159" s="147" t="s">
        <v>146</v>
      </c>
      <c r="B159" s="144" t="str">
        <f>VLOOKUP(A159,Data[],2,FALSE)</f>
        <v>MANHATTAN</v>
      </c>
      <c r="C159" s="144" t="str">
        <f ca="1">IF(OR(F159="2019-2020",F159="2021-2025"),"",IF(ISNUMBER(SEARCH("LLC",D159)),VLOOKUP(A159,Yards25[],3,FALSE),VLOOKUP(A159,Yards[],3,FALSE)))</f>
        <v>New Waste Yard v2</v>
      </c>
      <c r="D159" s="9" t="str">
        <f>VLOOKUP(A159,Data[],52,FALSE)</f>
        <v>FEDERAL</v>
      </c>
      <c r="E159" s="9">
        <f>VLOOKUP(YardsAll[[#This Row],[DEVELOPMENT]],Data[],62,FALSE)</f>
        <v>11</v>
      </c>
      <c r="F159" s="9" t="str">
        <f ca="1">VLOOKUP(A159,Data[],4,FALSE)</f>
        <v/>
      </c>
      <c r="G159" s="9">
        <f ca="1">IF(OR(YardsAll[[#This Row],[RAD/PACT]]="2019-2020",YardsAll[[#This Row],[RAD/PACT]]="2021-2025"),"",IF(ISNUMBER(SEARCH("1",C159)),2,IF(ISNUMBER(SEARCH("2",C159)),1,IF(ISNUMBER(SEARCH("3",C159)),3,IF(ISNUMBER(SEARCH("4",C159)),4,IF(ISNUMBER(SEARCH("5",C159)),5,IF(ISNUMBER(SEARCH("6",C159)),6,IF(ISNUMBER(SEARCH("7",C159)),7,IF(ISNUMBER(SEARCH("8",C159)),8,0)))))))))</f>
        <v>1</v>
      </c>
      <c r="H159" s="143" t="str">
        <f ca="1">IF(YardsAll[[#This Row],[STATUS]]="","",IF(OR(F159="2019-2020",F159="2021-2025"),"",IF(ISNUMBER(SEARCH("LLC",D159)),VLOOKUP(A159,Yards25[],28,FALSE),VLOOKUP(A159,Yards[],28,FALSE))))</f>
        <v/>
      </c>
      <c r="I159" s="143" t="str">
        <f ca="1">IF(YardsAll[[#This Row],[STATUS]]="","",IF(OR(F159="2019-2020",F159="2021-2025"),"",IF(ISNUMBER(SEARCH("LLC",D159)),VLOOKUP(A159,Yards25[],17,FALSE),VLOOKUP(A159,Yards[],17,FALSE))))</f>
        <v/>
      </c>
      <c r="J159" s="143" t="str">
        <f ca="1">IF(YardsAll[[#This Row],[STATUS]]="","",IF(OR(F159="2019-2020",F159="2021-2025"),"",IF(ISNUMBER(SEARCH("LLC",D159)),VLOOKUP(A159,Yards25[],29,FALSE),VLOOKUP(A159,Yards[],29,FALSE))))</f>
        <v/>
      </c>
      <c r="K159" s="143" t="str">
        <f ca="1">IF(YardsAll[[#This Row],[STATUS]]="","",IF(OR(F159="2019-2020",F159="2021-2025"),"",IF(ISNUMBER(SEARCH("LLC",D159)),VLOOKUP(A159,Yards25[],19,FALSE),VLOOKUP(A159,Yards[],19,FALSE))))</f>
        <v/>
      </c>
      <c r="L159" s="143" t="str">
        <f ca="1">IF(IF(OR(F159="2019-2020",F159="2021-2025"),"",IF(ISNUMBER(SEARCH("LLC",D159)),VLOOKUP(A159,Yards25[],20,FALSE),VLOOKUP(A159,Yards[],20,FALSE)))=0,"",IF(OR(F159="2019-2020",F159="2021-2025"),"",IF(ISNUMBER(SEARCH("LLC",D159)),VLOOKUP(A159,Yards25[],20,FALSE),VLOOKUP(A159,Yards[],20,FALSE))))</f>
        <v/>
      </c>
      <c r="M159" s="151">
        <f ca="1">IF(OR(F159="2019-2020",F159="2021-2025"),"",IF(ISNUMBER(SEARCH("LLC",D159)),VLOOKUP(A159,Yards25[],21,FALSE),VLOOKUP(A159,Yards[],21,FALSE)))</f>
        <v>164833.92605570005</v>
      </c>
      <c r="N159" s="151">
        <f ca="1">IF(OR(F159="2019-2020",F159="2021-2025"),"",IF(ISNUMBER(SEARCH("LLC",D159)),VLOOKUP(A159,Yards25[],22,FALSE),VLOOKUP(A159,Yards[],22,FALSE)))</f>
        <v>1483505.3345013002</v>
      </c>
      <c r="O159" s="151">
        <f ca="1">SUM(YardsAll[[#This Row],[DSGN ESTIMATE]:[CONS ESTIMATE]])</f>
        <v>1648339.2605570003</v>
      </c>
      <c r="P159" s="143"/>
      <c r="Q159" s="143">
        <f ca="1">IF(OR(F159="2019-2020",F159="2021-2025"),"",IF(ISNUMBER(SEARCH("LLC",D159)),VLOOKUP(A159,Yards25[],25,FALSE),VLOOKUP(A159,Yards[],25,FALSE)))</f>
        <v>0</v>
      </c>
      <c r="R159" s="152"/>
    </row>
    <row r="160" spans="1:18">
      <c r="A160" s="147" t="s">
        <v>340</v>
      </c>
      <c r="B160" s="144" t="str">
        <f>VLOOKUP(A160,Data[],2,FALSE)</f>
        <v>BROOKLYN</v>
      </c>
      <c r="C160" s="144" t="str">
        <f ca="1">IF(OR(F160="2019-2020",F160="2021-2025"),"",IF(ISNUMBER(SEARCH("LLC",D160)),VLOOKUP(A160,Yards25[],3,FALSE),VLOOKUP(A160,Yards[],3,FALSE)))</f>
        <v>New Waste Yard v1</v>
      </c>
      <c r="D160" s="9" t="str">
        <f>VLOOKUP(A160,Data[],52,FALSE)</f>
        <v>FEDERAL</v>
      </c>
      <c r="E160" s="9">
        <f>VLOOKUP(YardsAll[[#This Row],[DEVELOPMENT]],Data[],62,FALSE)</f>
        <v>17</v>
      </c>
      <c r="F160" s="9" t="str">
        <f ca="1">VLOOKUP(A160,Data[],4,FALSE)</f>
        <v>2020-2021</v>
      </c>
      <c r="G160" s="9">
        <f ca="1">IF(OR(YardsAll[[#This Row],[RAD/PACT]]="2019-2020",YardsAll[[#This Row],[RAD/PACT]]="2021-2025"),"",IF(ISNUMBER(SEARCH("1",C160)),2,IF(ISNUMBER(SEARCH("2",C160)),1,IF(ISNUMBER(SEARCH("3",C160)),3,IF(ISNUMBER(SEARCH("4",C160)),4,IF(ISNUMBER(SEARCH("5",C160)),5,IF(ISNUMBER(SEARCH("6",C160)),6,IF(ISNUMBER(SEARCH("7",C160)),7,IF(ISNUMBER(SEARCH("8",C160)),8,0)))))))))</f>
        <v>2</v>
      </c>
      <c r="H160" s="143" t="str">
        <f ca="1">IF(YardsAll[[#This Row],[STATUS]]="","",IF(OR(F160="2019-2020",F160="2021-2025"),"",IF(ISNUMBER(SEARCH("LLC",D160)),VLOOKUP(A160,Yards25[],28,FALSE),VLOOKUP(A160,Yards[],28,FALSE))))</f>
        <v/>
      </c>
      <c r="I160" s="143" t="str">
        <f ca="1">IF(YardsAll[[#This Row],[STATUS]]="","",IF(OR(F160="2019-2020",F160="2021-2025"),"",IF(ISNUMBER(SEARCH("LLC",D160)),VLOOKUP(A160,Yards25[],17,FALSE),VLOOKUP(A160,Yards[],17,FALSE))))</f>
        <v/>
      </c>
      <c r="J160" s="143" t="str">
        <f ca="1">IF(YardsAll[[#This Row],[STATUS]]="","",IF(OR(F160="2019-2020",F160="2021-2025"),"",IF(ISNUMBER(SEARCH("LLC",D160)),VLOOKUP(A160,Yards25[],29,FALSE),VLOOKUP(A160,Yards[],29,FALSE))))</f>
        <v/>
      </c>
      <c r="K160" s="143" t="str">
        <f ca="1">IF(YardsAll[[#This Row],[STATUS]]="","",IF(OR(F160="2019-2020",F160="2021-2025"),"",IF(ISNUMBER(SEARCH("LLC",D160)),VLOOKUP(A160,Yards25[],19,FALSE),VLOOKUP(A160,Yards[],19,FALSE))))</f>
        <v/>
      </c>
      <c r="L160" s="143" t="str">
        <f ca="1">IF(IF(OR(F160="2019-2020",F160="2021-2025"),"",IF(ISNUMBER(SEARCH("LLC",D160)),VLOOKUP(A160,Yards25[],20,FALSE),VLOOKUP(A160,Yards[],20,FALSE)))=0,"",IF(OR(F160="2019-2020",F160="2021-2025"),"",IF(ISNUMBER(SEARCH("LLC",D160)),VLOOKUP(A160,Yards25[],20,FALSE),VLOOKUP(A160,Yards[],20,FALSE))))</f>
        <v/>
      </c>
      <c r="M160" s="151">
        <f ca="1">IF(OR(F160="2019-2020",F160="2021-2025"),"",IF(ISNUMBER(SEARCH("LLC",D160)),VLOOKUP(A160,Yards25[],21,FALSE),VLOOKUP(A160,Yards[],21,FALSE)))</f>
        <v>0</v>
      </c>
      <c r="N160" s="151">
        <f ca="1">IF(OR(F160="2019-2020",F160="2021-2025"),"",IF(ISNUMBER(SEARCH("LLC",D160)),VLOOKUP(A160,Yards25[],22,FALSE),VLOOKUP(A160,Yards[],22,FALSE)))</f>
        <v>0</v>
      </c>
      <c r="O160" s="151">
        <f ca="1">SUM(YardsAll[[#This Row],[DSGN ESTIMATE]:[CONS ESTIMATE]])</f>
        <v>0</v>
      </c>
      <c r="P160" s="143"/>
      <c r="Q160" s="143">
        <f ca="1">IF(OR(F160="2019-2020",F160="2021-2025"),"",IF(ISNUMBER(SEARCH("LLC",D160)),VLOOKUP(A160,Yards25[],25,FALSE),VLOOKUP(A160,Yards[],25,FALSE)))</f>
        <v>0</v>
      </c>
      <c r="R160" s="152"/>
    </row>
    <row r="161" spans="1:18">
      <c r="A161" s="147" t="s">
        <v>125</v>
      </c>
      <c r="B161" s="144" t="str">
        <f>VLOOKUP(A161,Data[],2,FALSE)</f>
        <v>MANHATTAN</v>
      </c>
      <c r="C161" s="144" t="str">
        <f ca="1">IF(OR(F161="2019-2020",F161="2021-2025"),"",IF(ISNUMBER(SEARCH("LLC",D161)),VLOOKUP(A161,Yards25[],3,FALSE),VLOOKUP(A161,Yards[],3,FALSE)))</f>
        <v>New Waste Yard v1</v>
      </c>
      <c r="D161" s="9" t="str">
        <f>VLOOKUP(A161,Data[],52,FALSE)</f>
        <v>FEDERAL</v>
      </c>
      <c r="E161" s="9">
        <f>VLOOKUP(YardsAll[[#This Row],[DEVELOPMENT]],Data[],62,FALSE)</f>
        <v>11</v>
      </c>
      <c r="F161" s="9" t="str">
        <f ca="1">VLOOKUP(A161,Data[],4,FALSE)</f>
        <v>2022-2025</v>
      </c>
      <c r="G161" s="9">
        <f ca="1">IF(OR(YardsAll[[#This Row],[RAD/PACT]]="2019-2020",YardsAll[[#This Row],[RAD/PACT]]="2021-2025"),"",IF(ISNUMBER(SEARCH("1",C161)),2,IF(ISNUMBER(SEARCH("2",C161)),1,IF(ISNUMBER(SEARCH("3",C161)),3,IF(ISNUMBER(SEARCH("4",C161)),4,IF(ISNUMBER(SEARCH("5",C161)),5,IF(ISNUMBER(SEARCH("6",C161)),6,IF(ISNUMBER(SEARCH("7",C161)),7,IF(ISNUMBER(SEARCH("8",C161)),8,0)))))))))</f>
        <v>2</v>
      </c>
      <c r="H161" s="143" t="str">
        <f ca="1">IF(YardsAll[[#This Row],[STATUS]]="","",IF(OR(F161="2019-2020",F161="2021-2025"),"",IF(ISNUMBER(SEARCH("LLC",D161)),VLOOKUP(A161,Yards25[],28,FALSE),VLOOKUP(A161,Yards[],28,FALSE))))</f>
        <v/>
      </c>
      <c r="I161" s="143" t="str">
        <f ca="1">IF(YardsAll[[#This Row],[STATUS]]="","",IF(OR(F161="2019-2020",F161="2021-2025"),"",IF(ISNUMBER(SEARCH("LLC",D161)),VLOOKUP(A161,Yards25[],17,FALSE),VLOOKUP(A161,Yards[],17,FALSE))))</f>
        <v/>
      </c>
      <c r="J161" s="143" t="str">
        <f ca="1">IF(YardsAll[[#This Row],[STATUS]]="","",IF(OR(F161="2019-2020",F161="2021-2025"),"",IF(ISNUMBER(SEARCH("LLC",D161)),VLOOKUP(A161,Yards25[],29,FALSE),VLOOKUP(A161,Yards[],29,FALSE))))</f>
        <v/>
      </c>
      <c r="K161" s="143" t="str">
        <f ca="1">IF(YardsAll[[#This Row],[STATUS]]="","",IF(OR(F161="2019-2020",F161="2021-2025"),"",IF(ISNUMBER(SEARCH("LLC",D161)),VLOOKUP(A161,Yards25[],19,FALSE),VLOOKUP(A161,Yards[],19,FALSE))))</f>
        <v/>
      </c>
      <c r="L161" s="143" t="str">
        <f ca="1">IF(IF(OR(F161="2019-2020",F161="2021-2025"),"",IF(ISNUMBER(SEARCH("LLC",D161)),VLOOKUP(A161,Yards25[],20,FALSE),VLOOKUP(A161,Yards[],20,FALSE)))=0,"",IF(OR(F161="2019-2020",F161="2021-2025"),"",IF(ISNUMBER(SEARCH("LLC",D161)),VLOOKUP(A161,Yards25[],20,FALSE),VLOOKUP(A161,Yards[],20,FALSE))))</f>
        <v/>
      </c>
      <c r="M161" s="151">
        <f ca="1">IF(OR(F161="2019-2020",F161="2021-2025"),"",IF(ISNUMBER(SEARCH("LLC",D161)),VLOOKUP(A161,Yards25[],21,FALSE),VLOOKUP(A161,Yards[],21,FALSE)))</f>
        <v>0</v>
      </c>
      <c r="N161" s="151">
        <f ca="1">IF(OR(F161="2019-2020",F161="2021-2025"),"",IF(ISNUMBER(SEARCH("LLC",D161)),VLOOKUP(A161,Yards25[],22,FALSE),VLOOKUP(A161,Yards[],22,FALSE)))</f>
        <v>0</v>
      </c>
      <c r="O161" s="151">
        <f ca="1">SUM(YardsAll[[#This Row],[DSGN ESTIMATE]:[CONS ESTIMATE]])</f>
        <v>0</v>
      </c>
      <c r="P161" s="143"/>
      <c r="Q161" s="143">
        <f ca="1">IF(OR(F161="2019-2020",F161="2021-2025"),"",IF(ISNUMBER(SEARCH("LLC",D161)),VLOOKUP(A161,Yards25[],25,FALSE),VLOOKUP(A161,Yards[],25,FALSE)))</f>
        <v>0</v>
      </c>
      <c r="R161" s="152"/>
    </row>
    <row r="162" spans="1:18">
      <c r="A162" s="147" t="s">
        <v>113</v>
      </c>
      <c r="B162" s="144" t="str">
        <f>VLOOKUP(A162,Data[],2,FALSE)</f>
        <v>MANHATTAN</v>
      </c>
      <c r="C162" s="144" t="str">
        <f ca="1">IF(OR(F162="2019-2020",F162="2021-2025"),"",IF(ISNUMBER(SEARCH("LLC",D162)),VLOOKUP(A162,Yards25[],3,FALSE),VLOOKUP(A162,Yards[],3,FALSE)))</f>
        <v>New Waste Yard v3</v>
      </c>
      <c r="D162" s="9" t="str">
        <f>VLOOKUP(A162,Data[],52,FALSE)</f>
        <v>FEDERAL</v>
      </c>
      <c r="E162" s="9">
        <f>VLOOKUP(YardsAll[[#This Row],[DEVELOPMENT]],Data[],62,FALSE)</f>
        <v>11</v>
      </c>
      <c r="F162" s="9" t="str">
        <f ca="1">VLOOKUP(A162,Data[],4,FALSE)</f>
        <v>2026+</v>
      </c>
      <c r="G162" s="9">
        <f ca="1">IF(OR(YardsAll[[#This Row],[RAD/PACT]]="2019-2020",YardsAll[[#This Row],[RAD/PACT]]="2021-2025"),"",IF(ISNUMBER(SEARCH("1",C162)),2,IF(ISNUMBER(SEARCH("2",C162)),1,IF(ISNUMBER(SEARCH("3",C162)),3,IF(ISNUMBER(SEARCH("4",C162)),4,IF(ISNUMBER(SEARCH("5",C162)),5,IF(ISNUMBER(SEARCH("6",C162)),6,IF(ISNUMBER(SEARCH("7",C162)),7,IF(ISNUMBER(SEARCH("8",C162)),8,0)))))))))</f>
        <v>3</v>
      </c>
      <c r="H162" s="143" t="str">
        <f ca="1">IF(YardsAll[[#This Row],[STATUS]]="","",IF(OR(F162="2019-2020",F162="2021-2025"),"",IF(ISNUMBER(SEARCH("LLC",D162)),VLOOKUP(A162,Yards25[],28,FALSE),VLOOKUP(A162,Yards[],28,FALSE))))</f>
        <v/>
      </c>
      <c r="I162" s="143" t="str">
        <f ca="1">IF(YardsAll[[#This Row],[STATUS]]="","",IF(OR(F162="2019-2020",F162="2021-2025"),"",IF(ISNUMBER(SEARCH("LLC",D162)),VLOOKUP(A162,Yards25[],17,FALSE),VLOOKUP(A162,Yards[],17,FALSE))))</f>
        <v/>
      </c>
      <c r="J162" s="143" t="str">
        <f ca="1">IF(YardsAll[[#This Row],[STATUS]]="","",IF(OR(F162="2019-2020",F162="2021-2025"),"",IF(ISNUMBER(SEARCH("LLC",D162)),VLOOKUP(A162,Yards25[],29,FALSE),VLOOKUP(A162,Yards[],29,FALSE))))</f>
        <v/>
      </c>
      <c r="K162" s="143" t="str">
        <f ca="1">IF(YardsAll[[#This Row],[STATUS]]="","",IF(OR(F162="2019-2020",F162="2021-2025"),"",IF(ISNUMBER(SEARCH("LLC",D162)),VLOOKUP(A162,Yards25[],19,FALSE),VLOOKUP(A162,Yards[],19,FALSE))))</f>
        <v/>
      </c>
      <c r="L162" s="143" t="str">
        <f ca="1">IF(IF(OR(F162="2019-2020",F162="2021-2025"),"",IF(ISNUMBER(SEARCH("LLC",D162)),VLOOKUP(A162,Yards25[],20,FALSE),VLOOKUP(A162,Yards[],20,FALSE)))=0,"",IF(OR(F162="2019-2020",F162="2021-2025"),"",IF(ISNUMBER(SEARCH("LLC",D162)),VLOOKUP(A162,Yards25[],20,FALSE),VLOOKUP(A162,Yards[],20,FALSE))))</f>
        <v/>
      </c>
      <c r="M162" s="151">
        <f ca="1">IF(OR(F162="2019-2020",F162="2021-2025"),"",IF(ISNUMBER(SEARCH("LLC",D162)),VLOOKUP(A162,Yards25[],21,FALSE),VLOOKUP(A162,Yards[],21,FALSE)))</f>
        <v>230328.89648100009</v>
      </c>
      <c r="N162" s="151">
        <f ca="1">IF(OR(F162="2019-2020",F162="2021-2025"),"",IF(ISNUMBER(SEARCH("LLC",D162)),VLOOKUP(A162,Yards25[],22,FALSE),VLOOKUP(A162,Yards[],22,FALSE)))</f>
        <v>2072960.0683290006</v>
      </c>
      <c r="O162" s="151">
        <f ca="1">SUM(YardsAll[[#This Row],[DSGN ESTIMATE]:[CONS ESTIMATE]])</f>
        <v>2303288.9648100007</v>
      </c>
      <c r="P162" s="143"/>
      <c r="Q162" s="143">
        <f ca="1">IF(OR(F162="2019-2020",F162="2021-2025"),"",IF(ISNUMBER(SEARCH("LLC",D162)),VLOOKUP(A162,Yards25[],25,FALSE),VLOOKUP(A162,Yards[],25,FALSE)))</f>
        <v>0</v>
      </c>
      <c r="R162" s="152"/>
    </row>
    <row r="163" spans="1:18">
      <c r="A163" s="147" t="s">
        <v>341</v>
      </c>
      <c r="B163" s="144" t="str">
        <f>VLOOKUP(A163,Data[],2,FALSE)</f>
        <v>BROOKLYN</v>
      </c>
      <c r="C163" s="144" t="str">
        <f ca="1">IF(OR(F163="2019-2020",F163="2021-2025"),"",IF(ISNUMBER(SEARCH("LLC",D163)),VLOOKUP(A163,Yards25[],3,FALSE),VLOOKUP(A163,Yards[],3,FALSE)))</f>
        <v>New Waste Yard v4</v>
      </c>
      <c r="D163" s="9" t="str">
        <f>VLOOKUP(A163,Data[],52,FALSE)</f>
        <v>MIXED FINANCE/LLC2</v>
      </c>
      <c r="E163" s="9">
        <f>VLOOKUP(YardsAll[[#This Row],[DEVELOPMENT]],Data[],62,FALSE)</f>
        <v>5</v>
      </c>
      <c r="F163" s="9" t="str">
        <f ca="1">VLOOKUP(A163,Data[],4,FALSE)</f>
        <v>2020-2021</v>
      </c>
      <c r="G163" s="9">
        <f ca="1">IF(OR(YardsAll[[#This Row],[RAD/PACT]]="2019-2020",YardsAll[[#This Row],[RAD/PACT]]="2021-2025"),"",IF(ISNUMBER(SEARCH("1",C163)),2,IF(ISNUMBER(SEARCH("2",C163)),1,IF(ISNUMBER(SEARCH("3",C163)),3,IF(ISNUMBER(SEARCH("4",C163)),4,IF(ISNUMBER(SEARCH("5",C163)),5,IF(ISNUMBER(SEARCH("6",C163)),6,IF(ISNUMBER(SEARCH("7",C163)),7,IF(ISNUMBER(SEARCH("8",C163)),8,0)))))))))</f>
        <v>4</v>
      </c>
      <c r="H163" s="143" t="str">
        <f ca="1">IF(YardsAll[[#This Row],[STATUS]]="","",IF(OR(F163="2019-2020",F163="2021-2025"),"",IF(ISNUMBER(SEARCH("LLC",D163)),VLOOKUP(A163,Yards25[],28,FALSE),VLOOKUP(A163,Yards[],28,FALSE))))</f>
        <v/>
      </c>
      <c r="I163" s="143" t="str">
        <f ca="1">IF(YardsAll[[#This Row],[STATUS]]="","",IF(OR(F163="2019-2020",F163="2021-2025"),"",IF(ISNUMBER(SEARCH("LLC",D163)),VLOOKUP(A163,Yards25[],17,FALSE),VLOOKUP(A163,Yards[],17,FALSE))))</f>
        <v/>
      </c>
      <c r="J163" s="143" t="str">
        <f ca="1">IF(YardsAll[[#This Row],[STATUS]]="","",IF(OR(F163="2019-2020",F163="2021-2025"),"",IF(ISNUMBER(SEARCH("LLC",D163)),VLOOKUP(A163,Yards25[],29,FALSE),VLOOKUP(A163,Yards[],29,FALSE))))</f>
        <v/>
      </c>
      <c r="K163" s="143" t="str">
        <f ca="1">IF(YardsAll[[#This Row],[STATUS]]="","",IF(OR(F163="2019-2020",F163="2021-2025"),"",IF(ISNUMBER(SEARCH("LLC",D163)),VLOOKUP(A163,Yards25[],19,FALSE),VLOOKUP(A163,Yards[],19,FALSE))))</f>
        <v/>
      </c>
      <c r="L163" s="143" t="str">
        <f ca="1">IF(IF(OR(F163="2019-2020",F163="2021-2025"),"",IF(ISNUMBER(SEARCH("LLC",D163)),VLOOKUP(A163,Yards25[],20,FALSE),VLOOKUP(A163,Yards[],20,FALSE)))=0,"",IF(OR(F163="2019-2020",F163="2021-2025"),"",IF(ISNUMBER(SEARCH("LLC",D163)),VLOOKUP(A163,Yards25[],20,FALSE),VLOOKUP(A163,Yards[],20,FALSE))))</f>
        <v/>
      </c>
      <c r="M163" s="151">
        <f ca="1">IF(OR(F163="2019-2020",F163="2021-2025"),"",IF(ISNUMBER(SEARCH("LLC",D163)),VLOOKUP(A163,Yards25[],21,FALSE),VLOOKUP(A163,Yards[],21,FALSE)))</f>
        <v>0</v>
      </c>
      <c r="N163" s="151">
        <f ca="1">IF(OR(F163="2019-2020",F163="2021-2025"),"",IF(ISNUMBER(SEARCH("LLC",D163)),VLOOKUP(A163,Yards25[],22,FALSE),VLOOKUP(A163,Yards[],22,FALSE)))</f>
        <v>0</v>
      </c>
      <c r="O163" s="151">
        <f ca="1">SUM(YardsAll[[#This Row],[DSGN ESTIMATE]:[CONS ESTIMATE]])</f>
        <v>0</v>
      </c>
      <c r="P163" s="143"/>
      <c r="Q163" s="143">
        <f ca="1">IF(OR(F163="2019-2020",F163="2021-2025"),"",IF(ISNUMBER(SEARCH("LLC",D163)),VLOOKUP(A163,Yards25[],25,FALSE),VLOOKUP(A163,Yards[],25,FALSE)))</f>
        <v>0</v>
      </c>
      <c r="R163" s="152"/>
    </row>
    <row r="164" spans="1:18">
      <c r="A164" s="147" t="s">
        <v>208</v>
      </c>
      <c r="B164" s="144" t="str">
        <f>VLOOKUP(A164,Data[],2,FALSE)</f>
        <v>BROOKLYN</v>
      </c>
      <c r="C164" s="144" t="str">
        <f ca="1">IF(OR(F164="2019-2020",F164="2021-2025"),"",IF(ISNUMBER(SEARCH("LLC",D164)),VLOOKUP(A164,Yards25[],3,FALSE),VLOOKUP(A164,Yards[],3,FALSE)))</f>
        <v>New Waste Yard v1</v>
      </c>
      <c r="D164" s="9" t="str">
        <f>VLOOKUP(A164,Data[],52,FALSE)</f>
        <v>FEDERAL</v>
      </c>
      <c r="E164" s="9">
        <f>VLOOKUP(YardsAll[[#This Row],[DEVELOPMENT]],Data[],62,FALSE)</f>
        <v>5</v>
      </c>
      <c r="F164" s="9" t="str">
        <f ca="1">VLOOKUP(A164,Data[],4,FALSE)</f>
        <v>2026+</v>
      </c>
      <c r="G164" s="9">
        <f ca="1">IF(OR(YardsAll[[#This Row],[RAD/PACT]]="2019-2020",YardsAll[[#This Row],[RAD/PACT]]="2021-2025"),"",IF(ISNUMBER(SEARCH("1",C164)),2,IF(ISNUMBER(SEARCH("2",C164)),1,IF(ISNUMBER(SEARCH("3",C164)),3,IF(ISNUMBER(SEARCH("4",C164)),4,IF(ISNUMBER(SEARCH("5",C164)),5,IF(ISNUMBER(SEARCH("6",C164)),6,IF(ISNUMBER(SEARCH("7",C164)),7,IF(ISNUMBER(SEARCH("8",C164)),8,0)))))))))</f>
        <v>2</v>
      </c>
      <c r="H164" s="143" t="str">
        <f ca="1">IF(YardsAll[[#This Row],[STATUS]]="","",IF(OR(F164="2019-2020",F164="2021-2025"),"",IF(ISNUMBER(SEARCH("LLC",D164)),VLOOKUP(A164,Yards25[],28,FALSE),VLOOKUP(A164,Yards[],28,FALSE))))</f>
        <v/>
      </c>
      <c r="I164" s="143" t="str">
        <f ca="1">IF(YardsAll[[#This Row],[STATUS]]="","",IF(OR(F164="2019-2020",F164="2021-2025"),"",IF(ISNUMBER(SEARCH("LLC",D164)),VLOOKUP(A164,Yards25[],17,FALSE),VLOOKUP(A164,Yards[],17,FALSE))))</f>
        <v/>
      </c>
      <c r="J164" s="143" t="str">
        <f ca="1">IF(YardsAll[[#This Row],[STATUS]]="","",IF(OR(F164="2019-2020",F164="2021-2025"),"",IF(ISNUMBER(SEARCH("LLC",D164)),VLOOKUP(A164,Yards25[],29,FALSE),VLOOKUP(A164,Yards[],29,FALSE))))</f>
        <v/>
      </c>
      <c r="K164" s="143" t="str">
        <f ca="1">IF(YardsAll[[#This Row],[STATUS]]="","",IF(OR(F164="2019-2020",F164="2021-2025"),"",IF(ISNUMBER(SEARCH("LLC",D164)),VLOOKUP(A164,Yards25[],19,FALSE),VLOOKUP(A164,Yards[],19,FALSE))))</f>
        <v/>
      </c>
      <c r="L164" s="143" t="str">
        <f ca="1">IF(IF(OR(F164="2019-2020",F164="2021-2025"),"",IF(ISNUMBER(SEARCH("LLC",D164)),VLOOKUP(A164,Yards25[],20,FALSE),VLOOKUP(A164,Yards[],20,FALSE)))=0,"",IF(OR(F164="2019-2020",F164="2021-2025"),"",IF(ISNUMBER(SEARCH("LLC",D164)),VLOOKUP(A164,Yards25[],20,FALSE),VLOOKUP(A164,Yards[],20,FALSE))))</f>
        <v/>
      </c>
      <c r="M164" s="151">
        <f ca="1">IF(OR(F164="2019-2020",F164="2021-2025"),"",IF(ISNUMBER(SEARCH("LLC",D164)),VLOOKUP(A164,Yards25[],21,FALSE),VLOOKUP(A164,Yards[],21,FALSE)))</f>
        <v>193407.39567800006</v>
      </c>
      <c r="N164" s="151">
        <f ca="1">IF(OR(F164="2019-2020",F164="2021-2025"),"",IF(ISNUMBER(SEARCH("LLC",D164)),VLOOKUP(A164,Yards25[],22,FALSE),VLOOKUP(A164,Yards[],22,FALSE)))</f>
        <v>1740666.5611020005</v>
      </c>
      <c r="O164" s="151">
        <f ca="1">SUM(YardsAll[[#This Row],[DSGN ESTIMATE]:[CONS ESTIMATE]])</f>
        <v>1934073.9567800006</v>
      </c>
      <c r="P164" s="143"/>
      <c r="Q164" s="143">
        <f ca="1">IF(OR(F164="2019-2020",F164="2021-2025"),"",IF(ISNUMBER(SEARCH("LLC",D164)),VLOOKUP(A164,Yards25[],25,FALSE),VLOOKUP(A164,Yards[],25,FALSE)))</f>
        <v>0</v>
      </c>
      <c r="R164" s="152"/>
    </row>
    <row r="165" spans="1:18">
      <c r="A165" s="147" t="s">
        <v>287</v>
      </c>
      <c r="B165" s="144" t="str">
        <f>VLOOKUP(A165,Data[],2,FALSE)</f>
        <v>BRONX</v>
      </c>
      <c r="C165" s="144" t="str">
        <f ca="1">IF(OR(F165="2019-2020",F165="2021-2025"),"",IF(ISNUMBER(SEARCH("LLC",D165)),VLOOKUP(A165,Yards25[],3,FALSE),VLOOKUP(A165,Yards[],3,FALSE)))</f>
        <v>New Waste Yard v1</v>
      </c>
      <c r="D165" s="9" t="str">
        <f>VLOOKUP(A165,Data[],52,FALSE)</f>
        <v>FEDERAL</v>
      </c>
      <c r="E165" s="9">
        <f>VLOOKUP(YardsAll[[#This Row],[DEVELOPMENT]],Data[],62,FALSE)</f>
        <v>2</v>
      </c>
      <c r="F165" s="9" t="str">
        <f ca="1">VLOOKUP(A165,Data[],4,FALSE)</f>
        <v/>
      </c>
      <c r="G165" s="9">
        <f ca="1">IF(OR(YardsAll[[#This Row],[RAD/PACT]]="2019-2020",YardsAll[[#This Row],[RAD/PACT]]="2021-2025"),"",IF(ISNUMBER(SEARCH("1",C165)),2,IF(ISNUMBER(SEARCH("2",C165)),1,IF(ISNUMBER(SEARCH("3",C165)),3,IF(ISNUMBER(SEARCH("4",C165)),4,IF(ISNUMBER(SEARCH("5",C165)),5,IF(ISNUMBER(SEARCH("6",C165)),6,IF(ISNUMBER(SEARCH("7",C165)),7,IF(ISNUMBER(SEARCH("8",C165)),8,0)))))))))</f>
        <v>2</v>
      </c>
      <c r="H165" s="143" t="str">
        <f ca="1">IF(YardsAll[[#This Row],[STATUS]]="","",IF(OR(F165="2019-2020",F165="2021-2025"),"",IF(ISNUMBER(SEARCH("LLC",D165)),VLOOKUP(A165,Yards25[],28,FALSE),VLOOKUP(A165,Yards[],28,FALSE))))</f>
        <v/>
      </c>
      <c r="I165" s="143" t="str">
        <f ca="1">IF(YardsAll[[#This Row],[STATUS]]="","",IF(OR(F165="2019-2020",F165="2021-2025"),"",IF(ISNUMBER(SEARCH("LLC",D165)),VLOOKUP(A165,Yards25[],17,FALSE),VLOOKUP(A165,Yards[],17,FALSE))))</f>
        <v/>
      </c>
      <c r="J165" s="143" t="str">
        <f ca="1">IF(YardsAll[[#This Row],[STATUS]]="","",IF(OR(F165="2019-2020",F165="2021-2025"),"",IF(ISNUMBER(SEARCH("LLC",D165)),VLOOKUP(A165,Yards25[],29,FALSE),VLOOKUP(A165,Yards[],29,FALSE))))</f>
        <v/>
      </c>
      <c r="K165" s="143" t="str">
        <f ca="1">IF(YardsAll[[#This Row],[STATUS]]="","",IF(OR(F165="2019-2020",F165="2021-2025"),"",IF(ISNUMBER(SEARCH("LLC",D165)),VLOOKUP(A165,Yards25[],19,FALSE),VLOOKUP(A165,Yards[],19,FALSE))))</f>
        <v/>
      </c>
      <c r="L165" s="143" t="str">
        <f ca="1">IF(IF(OR(F165="2019-2020",F165="2021-2025"),"",IF(ISNUMBER(SEARCH("LLC",D165)),VLOOKUP(A165,Yards25[],20,FALSE),VLOOKUP(A165,Yards[],20,FALSE)))=0,"",IF(OR(F165="2019-2020",F165="2021-2025"),"",IF(ISNUMBER(SEARCH("LLC",D165)),VLOOKUP(A165,Yards25[],20,FALSE),VLOOKUP(A165,Yards[],20,FALSE))))</f>
        <v/>
      </c>
      <c r="M165" s="151">
        <f ca="1">IF(OR(F165="2019-2020",F165="2021-2025"),"",IF(ISNUMBER(SEARCH("LLC",D165)),VLOOKUP(A165,Yards25[],21,FALSE),VLOOKUP(A165,Yards[],21,FALSE)))</f>
        <v>218713.03623400006</v>
      </c>
      <c r="N165" s="151">
        <f ca="1">IF(OR(F165="2019-2020",F165="2021-2025"),"",IF(ISNUMBER(SEARCH("LLC",D165)),VLOOKUP(A165,Yards25[],22,FALSE),VLOOKUP(A165,Yards[],22,FALSE)))</f>
        <v>1968417.3261060005</v>
      </c>
      <c r="O165" s="151">
        <f ca="1">SUM(YardsAll[[#This Row],[DSGN ESTIMATE]:[CONS ESTIMATE]])</f>
        <v>2187130.3623400005</v>
      </c>
      <c r="P165" s="143"/>
      <c r="Q165" s="143">
        <f ca="1">IF(OR(F165="2019-2020",F165="2021-2025"),"",IF(ISNUMBER(SEARCH("LLC",D165)),VLOOKUP(A165,Yards25[],25,FALSE),VLOOKUP(A165,Yards[],25,FALSE)))</f>
        <v>0</v>
      </c>
      <c r="R165" s="152"/>
    </row>
    <row r="166" spans="1:18">
      <c r="A166" s="147" t="s">
        <v>192</v>
      </c>
      <c r="B166" s="144" t="str">
        <f>VLOOKUP(A166,Data[],2,FALSE)</f>
        <v>BROOKLYN</v>
      </c>
      <c r="C166" s="144" t="str">
        <f ca="1">IF(OR(F166="2019-2020",F166="2021-2025"),"",IF(ISNUMBER(SEARCH("LLC",D166)),VLOOKUP(A166,Yards25[],3,FALSE),VLOOKUP(A166,Yards[],3,FALSE)))</f>
        <v>New Waste Yard v1</v>
      </c>
      <c r="D166" s="9" t="str">
        <f>VLOOKUP(A166,Data[],52,FALSE)</f>
        <v>FEDERAL</v>
      </c>
      <c r="E166" s="9">
        <f>VLOOKUP(YardsAll[[#This Row],[DEVELOPMENT]],Data[],62,FALSE)</f>
        <v>16</v>
      </c>
      <c r="F166" s="9" t="str">
        <f ca="1">VLOOKUP(A166,Data[],4,FALSE)</f>
        <v/>
      </c>
      <c r="G166" s="9">
        <f ca="1">IF(OR(YardsAll[[#This Row],[RAD/PACT]]="2019-2020",YardsAll[[#This Row],[RAD/PACT]]="2021-2025"),"",IF(ISNUMBER(SEARCH("1",C166)),2,IF(ISNUMBER(SEARCH("2",C166)),1,IF(ISNUMBER(SEARCH("3",C166)),3,IF(ISNUMBER(SEARCH("4",C166)),4,IF(ISNUMBER(SEARCH("5",C166)),5,IF(ISNUMBER(SEARCH("6",C166)),6,IF(ISNUMBER(SEARCH("7",C166)),7,IF(ISNUMBER(SEARCH("8",C166)),8,0)))))))))</f>
        <v>2</v>
      </c>
      <c r="H166" s="143" t="str">
        <f ca="1">IF(YardsAll[[#This Row],[STATUS]]="","",IF(OR(F166="2019-2020",F166="2021-2025"),"",IF(ISNUMBER(SEARCH("LLC",D166)),VLOOKUP(A166,Yards25[],28,FALSE),VLOOKUP(A166,Yards[],28,FALSE))))</f>
        <v/>
      </c>
      <c r="I166" s="143" t="str">
        <f ca="1">IF(YardsAll[[#This Row],[STATUS]]="","",IF(OR(F166="2019-2020",F166="2021-2025"),"",IF(ISNUMBER(SEARCH("LLC",D166)),VLOOKUP(A166,Yards25[],17,FALSE),VLOOKUP(A166,Yards[],17,FALSE))))</f>
        <v/>
      </c>
      <c r="J166" s="143" t="str">
        <f ca="1">IF(YardsAll[[#This Row],[STATUS]]="","",IF(OR(F166="2019-2020",F166="2021-2025"),"",IF(ISNUMBER(SEARCH("LLC",D166)),VLOOKUP(A166,Yards25[],29,FALSE),VLOOKUP(A166,Yards[],29,FALSE))))</f>
        <v/>
      </c>
      <c r="K166" s="143" t="str">
        <f ca="1">IF(YardsAll[[#This Row],[STATUS]]="","",IF(OR(F166="2019-2020",F166="2021-2025"),"",IF(ISNUMBER(SEARCH("LLC",D166)),VLOOKUP(A166,Yards25[],19,FALSE),VLOOKUP(A166,Yards[],19,FALSE))))</f>
        <v/>
      </c>
      <c r="L166" s="143" t="str">
        <f ca="1">IF(IF(OR(F166="2019-2020",F166="2021-2025"),"",IF(ISNUMBER(SEARCH("LLC",D166)),VLOOKUP(A166,Yards25[],20,FALSE),VLOOKUP(A166,Yards[],20,FALSE)))=0,"",IF(OR(F166="2019-2020",F166="2021-2025"),"",IF(ISNUMBER(SEARCH("LLC",D166)),VLOOKUP(A166,Yards25[],20,FALSE),VLOOKUP(A166,Yards[],20,FALSE))))</f>
        <v/>
      </c>
      <c r="M166" s="151">
        <f ca="1">IF(OR(F166="2019-2020",F166="2021-2025"),"",IF(ISNUMBER(SEARCH("LLC",D166)),VLOOKUP(A166,Yards25[],21,FALSE),VLOOKUP(A166,Yards[],21,FALSE)))</f>
        <v>199733.80581700004</v>
      </c>
      <c r="N166" s="151">
        <f ca="1">IF(OR(F166="2019-2020",F166="2021-2025"),"",IF(ISNUMBER(SEARCH("LLC",D166)),VLOOKUP(A166,Yards25[],22,FALSE),VLOOKUP(A166,Yards[],22,FALSE)))</f>
        <v>1797604.2523530002</v>
      </c>
      <c r="O166" s="151">
        <f ca="1">SUM(YardsAll[[#This Row],[DSGN ESTIMATE]:[CONS ESTIMATE]])</f>
        <v>1997338.0581700003</v>
      </c>
      <c r="P166" s="143"/>
      <c r="Q166" s="143">
        <f ca="1">IF(OR(F166="2019-2020",F166="2021-2025"),"",IF(ISNUMBER(SEARCH("LLC",D166)),VLOOKUP(A166,Yards25[],25,FALSE),VLOOKUP(A166,Yards[],25,FALSE)))</f>
        <v>0</v>
      </c>
      <c r="R166" s="152"/>
    </row>
    <row r="167" spans="1:18">
      <c r="A167" s="148" t="s">
        <v>62</v>
      </c>
      <c r="B167" s="144" t="str">
        <f>VLOOKUP(A167,Data[],2,FALSE)</f>
        <v>MANHATTAN</v>
      </c>
      <c r="C167" s="144" t="str">
        <f ca="1">IF(OR(F167="2019-2020",F167="2021-2025"),"",IF(ISNUMBER(SEARCH("LLC",D167)),VLOOKUP(A167,Yards25[],3,FALSE),VLOOKUP(A167,Yards[],3,FALSE)))</f>
        <v>New Waste Yard v1</v>
      </c>
      <c r="D167" s="9" t="str">
        <f>VLOOKUP(A167,Data[],52,FALSE)</f>
        <v>FEDERAL</v>
      </c>
      <c r="E167" s="9">
        <f>VLOOKUP(YardsAll[[#This Row],[DEVELOPMENT]],Data[],62,FALSE)</f>
        <v>3</v>
      </c>
      <c r="F167" s="9" t="str">
        <f ca="1">VLOOKUP(A167,Data[],4,FALSE)</f>
        <v/>
      </c>
      <c r="G167" s="9">
        <f ca="1">IF(OR(YardsAll[[#This Row],[RAD/PACT]]="2019-2020",YardsAll[[#This Row],[RAD/PACT]]="2021-2025"),"",IF(ISNUMBER(SEARCH("1",C167)),2,IF(ISNUMBER(SEARCH("2",C167)),1,IF(ISNUMBER(SEARCH("3",C167)),3,IF(ISNUMBER(SEARCH("4",C167)),4,IF(ISNUMBER(SEARCH("5",C167)),5,IF(ISNUMBER(SEARCH("6",C167)),6,IF(ISNUMBER(SEARCH("7",C167)),7,IF(ISNUMBER(SEARCH("8",C167)),8,0)))))))))</f>
        <v>2</v>
      </c>
      <c r="H167" s="143" t="str">
        <f ca="1">IF(YardsAll[[#This Row],[STATUS]]="","",IF(OR(F167="2019-2020",F167="2021-2025"),"",IF(ISNUMBER(SEARCH("LLC",D167)),VLOOKUP(A167,Yards25[],28,FALSE),VLOOKUP(A167,Yards[],28,FALSE))))</f>
        <v/>
      </c>
      <c r="I167" s="143" t="str">
        <f ca="1">IF(YardsAll[[#This Row],[STATUS]]="","",IF(OR(F167="2019-2020",F167="2021-2025"),"",IF(ISNUMBER(SEARCH("LLC",D167)),VLOOKUP(A167,Yards25[],17,FALSE),VLOOKUP(A167,Yards[],17,FALSE))))</f>
        <v/>
      </c>
      <c r="J167" s="143" t="str">
        <f ca="1">IF(YardsAll[[#This Row],[STATUS]]="","",IF(OR(F167="2019-2020",F167="2021-2025"),"",IF(ISNUMBER(SEARCH("LLC",D167)),VLOOKUP(A167,Yards25[],29,FALSE),VLOOKUP(A167,Yards[],29,FALSE))))</f>
        <v/>
      </c>
      <c r="K167" s="143" t="str">
        <f ca="1">IF(YardsAll[[#This Row],[STATUS]]="","",IF(OR(F167="2019-2020",F167="2021-2025"),"",IF(ISNUMBER(SEARCH("LLC",D167)),VLOOKUP(A167,Yards25[],19,FALSE),VLOOKUP(A167,Yards[],19,FALSE))))</f>
        <v/>
      </c>
      <c r="L167" s="143" t="str">
        <f ca="1">IF(IF(OR(F167="2019-2020",F167="2021-2025"),"",IF(ISNUMBER(SEARCH("LLC",D167)),VLOOKUP(A167,Yards25[],20,FALSE),VLOOKUP(A167,Yards[],20,FALSE)))=0,"",IF(OR(F167="2019-2020",F167="2021-2025"),"",IF(ISNUMBER(SEARCH("LLC",D167)),VLOOKUP(A167,Yards25[],20,FALSE),VLOOKUP(A167,Yards[],20,FALSE))))</f>
        <v/>
      </c>
      <c r="M167" s="151">
        <f ca="1">IF(OR(F167="2019-2020",F167="2021-2025"),"",IF(ISNUMBER(SEARCH("LLC",D167)),VLOOKUP(A167,Yards25[],21,FALSE),VLOOKUP(A167,Yards[],21,FALSE)))</f>
        <v>206060.21595600009</v>
      </c>
      <c r="N167" s="151">
        <f ca="1">IF(OR(F167="2019-2020",F167="2021-2025"),"",IF(ISNUMBER(SEARCH("LLC",D167)),VLOOKUP(A167,Yards25[],22,FALSE),VLOOKUP(A167,Yards[],22,FALSE)))</f>
        <v>1854541.9436040006</v>
      </c>
      <c r="O167" s="151">
        <f ca="1">SUM(YardsAll[[#This Row],[DSGN ESTIMATE]:[CONS ESTIMATE]])</f>
        <v>2060602.1595600008</v>
      </c>
      <c r="P167" s="143"/>
      <c r="Q167" s="143">
        <f ca="1">IF(OR(F167="2019-2020",F167="2021-2025"),"",IF(ISNUMBER(SEARCH("LLC",D167)),VLOOKUP(A167,Yards25[],25,FALSE),VLOOKUP(A167,Yards[],25,FALSE)))</f>
        <v>0</v>
      </c>
      <c r="R167" s="152"/>
    </row>
    <row r="168" spans="1:18">
      <c r="A168" s="148" t="s">
        <v>63</v>
      </c>
      <c r="B168" s="144" t="str">
        <f>VLOOKUP(A168,Data[],2,FALSE)</f>
        <v>MANHATTAN</v>
      </c>
      <c r="C168" s="144" t="str">
        <f ca="1">IF(OR(F168="2019-2020",F168="2021-2025"),"",IF(ISNUMBER(SEARCH("LLC",D168)),VLOOKUP(A168,Yards25[],3,FALSE),VLOOKUP(A168,Yards[],3,FALSE)))</f>
        <v>New Waste Yard v1</v>
      </c>
      <c r="D168" s="9" t="str">
        <f>VLOOKUP(A168,Data[],52,FALSE)</f>
        <v>FEDERAL</v>
      </c>
      <c r="E168" s="9">
        <f>VLOOKUP(YardsAll[[#This Row],[DEVELOPMENT]],Data[],62,FALSE)</f>
        <v>3</v>
      </c>
      <c r="F168" s="9" t="str">
        <f ca="1">VLOOKUP(A168,Data[],4,FALSE)</f>
        <v>2026+</v>
      </c>
      <c r="G168" s="9">
        <f ca="1">IF(OR(YardsAll[[#This Row],[RAD/PACT]]="2019-2020",YardsAll[[#This Row],[RAD/PACT]]="2021-2025"),"",IF(ISNUMBER(SEARCH("1",C168)),2,IF(ISNUMBER(SEARCH("2",C168)),1,IF(ISNUMBER(SEARCH("3",C168)),3,IF(ISNUMBER(SEARCH("4",C168)),4,IF(ISNUMBER(SEARCH("5",C168)),5,IF(ISNUMBER(SEARCH("6",C168)),6,IF(ISNUMBER(SEARCH("7",C168)),7,IF(ISNUMBER(SEARCH("8",C168)),8,0)))))))))</f>
        <v>2</v>
      </c>
      <c r="H168" s="143" t="str">
        <f ca="1">IF(YardsAll[[#This Row],[STATUS]]="","",IF(OR(F168="2019-2020",F168="2021-2025"),"",IF(ISNUMBER(SEARCH("LLC",D168)),VLOOKUP(A168,Yards25[],28,FALSE),VLOOKUP(A168,Yards[],28,FALSE))))</f>
        <v/>
      </c>
      <c r="I168" s="143" t="str">
        <f ca="1">IF(YardsAll[[#This Row],[STATUS]]="","",IF(OR(F168="2019-2020",F168="2021-2025"),"",IF(ISNUMBER(SEARCH("LLC",D168)),VLOOKUP(A168,Yards25[],17,FALSE),VLOOKUP(A168,Yards[],17,FALSE))))</f>
        <v/>
      </c>
      <c r="J168" s="143" t="str">
        <f ca="1">IF(YardsAll[[#This Row],[STATUS]]="","",IF(OR(F168="2019-2020",F168="2021-2025"),"",IF(ISNUMBER(SEARCH("LLC",D168)),VLOOKUP(A168,Yards25[],29,FALSE),VLOOKUP(A168,Yards[],29,FALSE))))</f>
        <v/>
      </c>
      <c r="K168" s="143" t="str">
        <f ca="1">IF(YardsAll[[#This Row],[STATUS]]="","",IF(OR(F168="2019-2020",F168="2021-2025"),"",IF(ISNUMBER(SEARCH("LLC",D168)),VLOOKUP(A168,Yards25[],19,FALSE),VLOOKUP(A168,Yards[],19,FALSE))))</f>
        <v/>
      </c>
      <c r="L168" s="143" t="str">
        <f ca="1">IF(IF(OR(F168="2019-2020",F168="2021-2025"),"",IF(ISNUMBER(SEARCH("LLC",D168)),VLOOKUP(A168,Yards25[],20,FALSE),VLOOKUP(A168,Yards[],20,FALSE)))=0,"",IF(OR(F168="2019-2020",F168="2021-2025"),"",IF(ISNUMBER(SEARCH("LLC",D168)),VLOOKUP(A168,Yards25[],20,FALSE),VLOOKUP(A168,Yards[],20,FALSE))))</f>
        <v/>
      </c>
      <c r="M168" s="151">
        <f ca="1">IF(OR(F168="2019-2020",F168="2021-2025"),"",IF(ISNUMBER(SEARCH("LLC",D168)),VLOOKUP(A168,Yards25[],21,FALSE),VLOOKUP(A168,Yards[],21,FALSE)))</f>
        <v>225039.4463730001</v>
      </c>
      <c r="N168" s="151">
        <f ca="1">IF(OR(F168="2019-2020",F168="2021-2025"),"",IF(ISNUMBER(SEARCH("LLC",D168)),VLOOKUP(A168,Yards25[],22,FALSE),VLOOKUP(A168,Yards[],22,FALSE)))</f>
        <v>2025355.0173570008</v>
      </c>
      <c r="O168" s="151">
        <f ca="1">SUM(YardsAll[[#This Row],[DSGN ESTIMATE]:[CONS ESTIMATE]])</f>
        <v>2250394.4637300009</v>
      </c>
      <c r="P168" s="143"/>
      <c r="Q168" s="143">
        <f ca="1">IF(OR(F168="2019-2020",F168="2021-2025"),"",IF(ISNUMBER(SEARCH("LLC",D168)),VLOOKUP(A168,Yards25[],25,FALSE),VLOOKUP(A168,Yards[],25,FALSE)))</f>
        <v>0</v>
      </c>
      <c r="R168" s="152"/>
    </row>
    <row r="169" spans="1:18">
      <c r="A169" s="148" t="s">
        <v>247</v>
      </c>
      <c r="B169" s="144" t="str">
        <f>VLOOKUP(A169,Data[],2,FALSE)</f>
        <v>MANHATTAN</v>
      </c>
      <c r="C169" s="144" t="str">
        <f ca="1">IF(OR(F169="2019-2020",F169="2021-2025"),"",IF(ISNUMBER(SEARCH("LLC",D169)),VLOOKUP(A169,Yards25[],3,FALSE),VLOOKUP(A169,Yards[],3,FALSE)))</f>
        <v>New Waste Yard v1</v>
      </c>
      <c r="D169" s="9" t="str">
        <f>VLOOKUP(A169,Data[],52,FALSE)</f>
        <v>FEDERAL</v>
      </c>
      <c r="E169" s="9">
        <f>VLOOKUP(YardsAll[[#This Row],[DEVELOPMENT]],Data[],62,FALSE)</f>
        <v>3</v>
      </c>
      <c r="F169" s="9" t="str">
        <f ca="1">VLOOKUP(A169,Data[],4,FALSE)</f>
        <v/>
      </c>
      <c r="G169" s="9">
        <f ca="1">IF(OR(YardsAll[[#This Row],[RAD/PACT]]="2019-2020",YardsAll[[#This Row],[RAD/PACT]]="2021-2025"),"",IF(ISNUMBER(SEARCH("1",C169)),2,IF(ISNUMBER(SEARCH("2",C169)),1,IF(ISNUMBER(SEARCH("3",C169)),3,IF(ISNUMBER(SEARCH("4",C169)),4,IF(ISNUMBER(SEARCH("5",C169)),5,IF(ISNUMBER(SEARCH("6",C169)),6,IF(ISNUMBER(SEARCH("7",C169)),7,IF(ISNUMBER(SEARCH("8",C169)),8,0)))))))))</f>
        <v>2</v>
      </c>
      <c r="H169" s="143" t="str">
        <f ca="1">IF(YardsAll[[#This Row],[STATUS]]="","",IF(OR(F169="2019-2020",F169="2021-2025"),"",IF(ISNUMBER(SEARCH("LLC",D169)),VLOOKUP(A169,Yards25[],28,FALSE),VLOOKUP(A169,Yards[],28,FALSE))))</f>
        <v/>
      </c>
      <c r="I169" s="143" t="str">
        <f ca="1">IF(YardsAll[[#This Row],[STATUS]]="","",IF(OR(F169="2019-2020",F169="2021-2025"),"",IF(ISNUMBER(SEARCH("LLC",D169)),VLOOKUP(A169,Yards25[],17,FALSE),VLOOKUP(A169,Yards[],17,FALSE))))</f>
        <v/>
      </c>
      <c r="J169" s="143" t="str">
        <f ca="1">IF(YardsAll[[#This Row],[STATUS]]="","",IF(OR(F169="2019-2020",F169="2021-2025"),"",IF(ISNUMBER(SEARCH("LLC",D169)),VLOOKUP(A169,Yards25[],29,FALSE),VLOOKUP(A169,Yards[],29,FALSE))))</f>
        <v/>
      </c>
      <c r="K169" s="143" t="str">
        <f ca="1">IF(YardsAll[[#This Row],[STATUS]]="","",IF(OR(F169="2019-2020",F169="2021-2025"),"",IF(ISNUMBER(SEARCH("LLC",D169)),VLOOKUP(A169,Yards25[],19,FALSE),VLOOKUP(A169,Yards[],19,FALSE))))</f>
        <v/>
      </c>
      <c r="L169" s="143" t="str">
        <f ca="1">IF(IF(OR(F169="2019-2020",F169="2021-2025"),"",IF(ISNUMBER(SEARCH("LLC",D169)),VLOOKUP(A169,Yards25[],20,FALSE),VLOOKUP(A169,Yards[],20,FALSE)))=0,"",IF(OR(F169="2019-2020",F169="2021-2025"),"",IF(ISNUMBER(SEARCH("LLC",D169)),VLOOKUP(A169,Yards25[],20,FALSE),VLOOKUP(A169,Yards[],20,FALSE))))</f>
        <v/>
      </c>
      <c r="M169" s="151">
        <f ca="1">IF(OR(F169="2019-2020",F169="2021-2025"),"",IF(ISNUMBER(SEARCH("LLC",D169)),VLOOKUP(A169,Yards25[],21,FALSE),VLOOKUP(A169,Yards[],21,FALSE)))</f>
        <v>212386.62609500007</v>
      </c>
      <c r="N169" s="151">
        <f ca="1">IF(OR(F169="2019-2020",F169="2021-2025"),"",IF(ISNUMBER(SEARCH("LLC",D169)),VLOOKUP(A169,Yards25[],22,FALSE),VLOOKUP(A169,Yards[],22,FALSE)))</f>
        <v>1911479.6348550003</v>
      </c>
      <c r="O169" s="151">
        <f ca="1">SUM(YardsAll[[#This Row],[DSGN ESTIMATE]:[CONS ESTIMATE]])</f>
        <v>2123866.2609500005</v>
      </c>
      <c r="P169" s="143"/>
      <c r="Q169" s="143">
        <f ca="1">IF(OR(F169="2019-2020",F169="2021-2025"),"",IF(ISNUMBER(SEARCH("LLC",D169)),VLOOKUP(A169,Yards25[],25,FALSE),VLOOKUP(A169,Yards[],25,FALSE)))</f>
        <v>0</v>
      </c>
      <c r="R169" s="152"/>
    </row>
    <row r="170" spans="1:18">
      <c r="A170" s="148" t="s">
        <v>64</v>
      </c>
      <c r="B170" s="144" t="str">
        <f>VLOOKUP(A170,Data[],2,FALSE)</f>
        <v>MANHATTAN</v>
      </c>
      <c r="C170" s="144" t="str">
        <f ca="1">IF(OR(F170="2019-2020",F170="2021-2025"),"",IF(ISNUMBER(SEARCH("LLC",D170)),VLOOKUP(A170,Yards25[],3,FALSE),VLOOKUP(A170,Yards[],3,FALSE)))</f>
        <v>New Waste Yard v1</v>
      </c>
      <c r="D170" s="9" t="str">
        <f>VLOOKUP(A170,Data[],52,FALSE)</f>
        <v>FEDERAL</v>
      </c>
      <c r="E170" s="9">
        <f>VLOOKUP(YardsAll[[#This Row],[DEVELOPMENT]],Data[],62,FALSE)</f>
        <v>3</v>
      </c>
      <c r="F170" s="9" t="str">
        <f ca="1">VLOOKUP(A170,Data[],4,FALSE)</f>
        <v>2026+</v>
      </c>
      <c r="G170" s="9">
        <f ca="1">IF(OR(YardsAll[[#This Row],[RAD/PACT]]="2019-2020",YardsAll[[#This Row],[RAD/PACT]]="2021-2025"),"",IF(ISNUMBER(SEARCH("1",C170)),2,IF(ISNUMBER(SEARCH("2",C170)),1,IF(ISNUMBER(SEARCH("3",C170)),3,IF(ISNUMBER(SEARCH("4",C170)),4,IF(ISNUMBER(SEARCH("5",C170)),5,IF(ISNUMBER(SEARCH("6",C170)),6,IF(ISNUMBER(SEARCH("7",C170)),7,IF(ISNUMBER(SEARCH("8",C170)),8,0)))))))))</f>
        <v>2</v>
      </c>
      <c r="H170" s="143" t="str">
        <f ca="1">IF(YardsAll[[#This Row],[STATUS]]="","",IF(OR(F170="2019-2020",F170="2021-2025"),"",IF(ISNUMBER(SEARCH("LLC",D170)),VLOOKUP(A170,Yards25[],28,FALSE),VLOOKUP(A170,Yards[],28,FALSE))))</f>
        <v/>
      </c>
      <c r="I170" s="143" t="str">
        <f ca="1">IF(YardsAll[[#This Row],[STATUS]]="","",IF(OR(F170="2019-2020",F170="2021-2025"),"",IF(ISNUMBER(SEARCH("LLC",D170)),VLOOKUP(A170,Yards25[],17,FALSE),VLOOKUP(A170,Yards[],17,FALSE))))</f>
        <v/>
      </c>
      <c r="J170" s="143" t="str">
        <f ca="1">IF(YardsAll[[#This Row],[STATUS]]="","",IF(OR(F170="2019-2020",F170="2021-2025"),"",IF(ISNUMBER(SEARCH("LLC",D170)),VLOOKUP(A170,Yards25[],29,FALSE),VLOOKUP(A170,Yards[],29,FALSE))))</f>
        <v/>
      </c>
      <c r="K170" s="143" t="str">
        <f ca="1">IF(YardsAll[[#This Row],[STATUS]]="","",IF(OR(F170="2019-2020",F170="2021-2025"),"",IF(ISNUMBER(SEARCH("LLC",D170)),VLOOKUP(A170,Yards25[],19,FALSE),VLOOKUP(A170,Yards[],19,FALSE))))</f>
        <v/>
      </c>
      <c r="L170" s="143" t="str">
        <f ca="1">IF(IF(OR(F170="2019-2020",F170="2021-2025"),"",IF(ISNUMBER(SEARCH("LLC",D170)),VLOOKUP(A170,Yards25[],20,FALSE),VLOOKUP(A170,Yards[],20,FALSE)))=0,"",IF(OR(F170="2019-2020",F170="2021-2025"),"",IF(ISNUMBER(SEARCH("LLC",D170)),VLOOKUP(A170,Yards25[],20,FALSE),VLOOKUP(A170,Yards[],20,FALSE))))</f>
        <v/>
      </c>
      <c r="M170" s="151">
        <f ca="1">IF(OR(F170="2019-2020",F170="2021-2025"),"",IF(ISNUMBER(SEARCH("LLC",D170)),VLOOKUP(A170,Yards25[],21,FALSE),VLOOKUP(A170,Yards[],21,FALSE)))</f>
        <v>231365.85651200006</v>
      </c>
      <c r="N170" s="151">
        <f ca="1">IF(OR(F170="2019-2020",F170="2021-2025"),"",IF(ISNUMBER(SEARCH("LLC",D170)),VLOOKUP(A170,Yards25[],22,FALSE),VLOOKUP(A170,Yards[],22,FALSE)))</f>
        <v>2082292.7086080003</v>
      </c>
      <c r="O170" s="151">
        <f ca="1">SUM(YardsAll[[#This Row],[DSGN ESTIMATE]:[CONS ESTIMATE]])</f>
        <v>2313658.5651200004</v>
      </c>
      <c r="P170" s="143"/>
      <c r="Q170" s="143">
        <f ca="1">IF(OR(F170="2019-2020",F170="2021-2025"),"",IF(ISNUMBER(SEARCH("LLC",D170)),VLOOKUP(A170,Yards25[],25,FALSE),VLOOKUP(A170,Yards[],25,FALSE)))</f>
        <v>0</v>
      </c>
      <c r="R170" s="152"/>
    </row>
    <row r="171" spans="1:18">
      <c r="A171" s="147" t="s">
        <v>122</v>
      </c>
      <c r="B171" s="144" t="str">
        <f>VLOOKUP(A171,Data[],2,FALSE)</f>
        <v>MANHATTAN</v>
      </c>
      <c r="C171" s="144" t="str">
        <f ca="1">IF(OR(F171="2019-2020",F171="2021-2025"),"",IF(ISNUMBER(SEARCH("LLC",D171)),VLOOKUP(A171,Yards25[],3,FALSE),VLOOKUP(A171,Yards[],3,FALSE)))</f>
        <v>New Waste Yard v4</v>
      </c>
      <c r="D171" s="9" t="str">
        <f>VLOOKUP(A171,Data[],52,FALSE)</f>
        <v>MIXED FINANCE/LLC1</v>
      </c>
      <c r="E171" s="9">
        <f>VLOOKUP(YardsAll[[#This Row],[DEVELOPMENT]],Data[],62,FALSE)</f>
        <v>9</v>
      </c>
      <c r="F171" s="9" t="str">
        <f ca="1">VLOOKUP(A171,Data[],4,FALSE)</f>
        <v>2026+</v>
      </c>
      <c r="G171" s="9">
        <f ca="1">IF(OR(YardsAll[[#This Row],[RAD/PACT]]="2019-2020",YardsAll[[#This Row],[RAD/PACT]]="2021-2025"),"",IF(ISNUMBER(SEARCH("1",C171)),2,IF(ISNUMBER(SEARCH("2",C171)),1,IF(ISNUMBER(SEARCH("3",C171)),3,IF(ISNUMBER(SEARCH("4",C171)),4,IF(ISNUMBER(SEARCH("5",C171)),5,IF(ISNUMBER(SEARCH("6",C171)),6,IF(ISNUMBER(SEARCH("7",C171)),7,IF(ISNUMBER(SEARCH("8",C171)),8,0)))))))))</f>
        <v>4</v>
      </c>
      <c r="H171" s="143" t="str">
        <f ca="1">IF(YardsAll[[#This Row],[STATUS]]="","",IF(OR(F171="2019-2020",F171="2021-2025"),"",IF(ISNUMBER(SEARCH("LLC",D171)),VLOOKUP(A171,Yards25[],28,FALSE),VLOOKUP(A171,Yards[],28,FALSE))))</f>
        <v/>
      </c>
      <c r="I171" s="143" t="str">
        <f ca="1">IF(YardsAll[[#This Row],[STATUS]]="","",IF(OR(F171="2019-2020",F171="2021-2025"),"",IF(ISNUMBER(SEARCH("LLC",D171)),VLOOKUP(A171,Yards25[],17,FALSE),VLOOKUP(A171,Yards[],17,FALSE))))</f>
        <v/>
      </c>
      <c r="J171" s="143" t="str">
        <f ca="1">IF(YardsAll[[#This Row],[STATUS]]="","",IF(OR(F171="2019-2020",F171="2021-2025"),"",IF(ISNUMBER(SEARCH("LLC",D171)),VLOOKUP(A171,Yards25[],29,FALSE),VLOOKUP(A171,Yards[],29,FALSE))))</f>
        <v/>
      </c>
      <c r="K171" s="143" t="str">
        <f ca="1">IF(YardsAll[[#This Row],[STATUS]]="","",IF(OR(F171="2019-2020",F171="2021-2025"),"",IF(ISNUMBER(SEARCH("LLC",D171)),VLOOKUP(A171,Yards25[],19,FALSE),VLOOKUP(A171,Yards[],19,FALSE))))</f>
        <v/>
      </c>
      <c r="L171" s="143" t="str">
        <f ca="1">IF(IF(OR(F171="2019-2020",F171="2021-2025"),"",IF(ISNUMBER(SEARCH("LLC",D171)),VLOOKUP(A171,Yards25[],20,FALSE),VLOOKUP(A171,Yards[],20,FALSE)))=0,"",IF(OR(F171="2019-2020",F171="2021-2025"),"",IF(ISNUMBER(SEARCH("LLC",D171)),VLOOKUP(A171,Yards25[],20,FALSE),VLOOKUP(A171,Yards[],20,FALSE))))</f>
        <v/>
      </c>
      <c r="M171" s="151">
        <f ca="1">IF(OR(F171="2019-2020",F171="2021-2025"),"",IF(ISNUMBER(SEARCH("LLC",D171)),VLOOKUP(A171,Yards25[],21,FALSE),VLOOKUP(A171,Yards[],21,FALSE)))</f>
        <v>276067.59524575004</v>
      </c>
      <c r="N171" s="151">
        <f ca="1">IF(OR(F171="2019-2020",F171="2021-2025"),"",IF(ISNUMBER(SEARCH("LLC",D171)),VLOOKUP(A171,Yards25[],22,FALSE),VLOOKUP(A171,Yards[],22,FALSE)))</f>
        <v>2484608.35721175</v>
      </c>
      <c r="O171" s="151">
        <f ca="1">SUM(YardsAll[[#This Row],[DSGN ESTIMATE]:[CONS ESTIMATE]])</f>
        <v>2760675.9524575002</v>
      </c>
      <c r="P171" s="143"/>
      <c r="Q171" s="143">
        <f ca="1">IF(OR(F171="2019-2020",F171="2021-2025"),"",IF(ISNUMBER(SEARCH("LLC",D171)),VLOOKUP(A171,Yards25[],25,FALSE),VLOOKUP(A171,Yards[],25,FALSE)))</f>
        <v>0</v>
      </c>
      <c r="R171" s="152"/>
    </row>
    <row r="172" spans="1:18">
      <c r="A172" s="147" t="s">
        <v>87</v>
      </c>
      <c r="B172" s="144" t="str">
        <f>VLOOKUP(A172,Data[],2,FALSE)</f>
        <v>MANHATTAN</v>
      </c>
      <c r="C172" s="144" t="str">
        <f ca="1">IF(OR(F172="2019-2020",F172="2021-2025"),"",IF(ISNUMBER(SEARCH("LLC",D172)),VLOOKUP(A172,Yards25[],3,FALSE),VLOOKUP(A172,Yards[],3,FALSE)))</f>
        <v>New Waste Yard v1</v>
      </c>
      <c r="D172" s="9" t="str">
        <f>VLOOKUP(A172,Data[],52,FALSE)</f>
        <v>FEDERAL</v>
      </c>
      <c r="E172" s="9">
        <f>VLOOKUP(YardsAll[[#This Row],[DEVELOPMENT]],Data[],62,FALSE)</f>
        <v>9</v>
      </c>
      <c r="F172" s="9" t="str">
        <f ca="1">VLOOKUP(A172,Data[],4,FALSE)</f>
        <v>2020-2021</v>
      </c>
      <c r="G172" s="9">
        <f ca="1">IF(OR(YardsAll[[#This Row],[RAD/PACT]]="2019-2020",YardsAll[[#This Row],[RAD/PACT]]="2021-2025"),"",IF(ISNUMBER(SEARCH("1",C172)),2,IF(ISNUMBER(SEARCH("2",C172)),1,IF(ISNUMBER(SEARCH("3",C172)),3,IF(ISNUMBER(SEARCH("4",C172)),4,IF(ISNUMBER(SEARCH("5",C172)),5,IF(ISNUMBER(SEARCH("6",C172)),6,IF(ISNUMBER(SEARCH("7",C172)),7,IF(ISNUMBER(SEARCH("8",C172)),8,0)))))))))</f>
        <v>2</v>
      </c>
      <c r="H172" s="143" t="str">
        <f ca="1">IF(YardsAll[[#This Row],[STATUS]]="","",IF(OR(F172="2019-2020",F172="2021-2025"),"",IF(ISNUMBER(SEARCH("LLC",D172)),VLOOKUP(A172,Yards25[],28,FALSE),VLOOKUP(A172,Yards[],28,FALSE))))</f>
        <v/>
      </c>
      <c r="I172" s="143" t="str">
        <f ca="1">IF(YardsAll[[#This Row],[STATUS]]="","",IF(OR(F172="2019-2020",F172="2021-2025"),"",IF(ISNUMBER(SEARCH("LLC",D172)),VLOOKUP(A172,Yards25[],17,FALSE),VLOOKUP(A172,Yards[],17,FALSE))))</f>
        <v/>
      </c>
      <c r="J172" s="143" t="str">
        <f ca="1">IF(YardsAll[[#This Row],[STATUS]]="","",IF(OR(F172="2019-2020",F172="2021-2025"),"",IF(ISNUMBER(SEARCH("LLC",D172)),VLOOKUP(A172,Yards25[],29,FALSE),VLOOKUP(A172,Yards[],29,FALSE))))</f>
        <v/>
      </c>
      <c r="K172" s="143" t="str">
        <f ca="1">IF(YardsAll[[#This Row],[STATUS]]="","",IF(OR(F172="2019-2020",F172="2021-2025"),"",IF(ISNUMBER(SEARCH("LLC",D172)),VLOOKUP(A172,Yards25[],19,FALSE),VLOOKUP(A172,Yards[],19,FALSE))))</f>
        <v/>
      </c>
      <c r="L172" s="143" t="str">
        <f ca="1">IF(IF(OR(F172="2019-2020",F172="2021-2025"),"",IF(ISNUMBER(SEARCH("LLC",D172)),VLOOKUP(A172,Yards25[],20,FALSE),VLOOKUP(A172,Yards[],20,FALSE)))=0,"",IF(OR(F172="2019-2020",F172="2021-2025"),"",IF(ISNUMBER(SEARCH("LLC",D172)),VLOOKUP(A172,Yards25[],20,FALSE),VLOOKUP(A172,Yards[],20,FALSE))))</f>
        <v/>
      </c>
      <c r="M172" s="151">
        <f ca="1">IF(OR(F172="2019-2020",F172="2021-2025"),"",IF(ISNUMBER(SEARCH("LLC",D172)),VLOOKUP(A172,Yards25[],21,FALSE),VLOOKUP(A172,Yards[],21,FALSE)))</f>
        <v>0</v>
      </c>
      <c r="N172" s="151">
        <f ca="1">IF(OR(F172="2019-2020",F172="2021-2025"),"",IF(ISNUMBER(SEARCH("LLC",D172)),VLOOKUP(A172,Yards25[],22,FALSE),VLOOKUP(A172,Yards[],22,FALSE)))</f>
        <v>0</v>
      </c>
      <c r="O172" s="151">
        <f ca="1">SUM(YardsAll[[#This Row],[DSGN ESTIMATE]:[CONS ESTIMATE]])</f>
        <v>0</v>
      </c>
      <c r="P172" s="143"/>
      <c r="Q172" s="143">
        <f ca="1">IF(OR(F172="2019-2020",F172="2021-2025"),"",IF(ISNUMBER(SEARCH("LLC",D172)),VLOOKUP(A172,Yards25[],25,FALSE),VLOOKUP(A172,Yards[],25,FALSE)))</f>
        <v>0</v>
      </c>
      <c r="R172" s="152"/>
    </row>
    <row r="173" spans="1:18">
      <c r="A173" s="147" t="s">
        <v>88</v>
      </c>
      <c r="B173" s="144" t="str">
        <f>VLOOKUP(A173,Data[],2,FALSE)</f>
        <v>MANHATTAN</v>
      </c>
      <c r="C173" s="144" t="str">
        <f ca="1">IF(OR(F173="2019-2020",F173="2021-2025"),"",IF(ISNUMBER(SEARCH("LLC",D173)),VLOOKUP(A173,Yards25[],3,FALSE),VLOOKUP(A173,Yards[],3,FALSE)))</f>
        <v>New Waste Yard v1</v>
      </c>
      <c r="D173" s="9" t="str">
        <f>VLOOKUP(A173,Data[],52,FALSE)</f>
        <v>FEDERAL</v>
      </c>
      <c r="E173" s="9">
        <f>VLOOKUP(YardsAll[[#This Row],[DEVELOPMENT]],Data[],62,FALSE)</f>
        <v>9</v>
      </c>
      <c r="F173" s="9" t="str">
        <f ca="1">VLOOKUP(A173,Data[],4,FALSE)</f>
        <v>2020-2021</v>
      </c>
      <c r="G173" s="9">
        <f ca="1">IF(OR(YardsAll[[#This Row],[RAD/PACT]]="2019-2020",YardsAll[[#This Row],[RAD/PACT]]="2021-2025"),"",IF(ISNUMBER(SEARCH("1",C173)),2,IF(ISNUMBER(SEARCH("2",C173)),1,IF(ISNUMBER(SEARCH("3",C173)),3,IF(ISNUMBER(SEARCH("4",C173)),4,IF(ISNUMBER(SEARCH("5",C173)),5,IF(ISNUMBER(SEARCH("6",C173)),6,IF(ISNUMBER(SEARCH("7",C173)),7,IF(ISNUMBER(SEARCH("8",C173)),8,0)))))))))</f>
        <v>2</v>
      </c>
      <c r="H173" s="143" t="str">
        <f ca="1">IF(YardsAll[[#This Row],[STATUS]]="","",IF(OR(F173="2019-2020",F173="2021-2025"),"",IF(ISNUMBER(SEARCH("LLC",D173)),VLOOKUP(A173,Yards25[],28,FALSE),VLOOKUP(A173,Yards[],28,FALSE))))</f>
        <v/>
      </c>
      <c r="I173" s="143" t="str">
        <f ca="1">IF(YardsAll[[#This Row],[STATUS]]="","",IF(OR(F173="2019-2020",F173="2021-2025"),"",IF(ISNUMBER(SEARCH("LLC",D173)),VLOOKUP(A173,Yards25[],17,FALSE),VLOOKUP(A173,Yards[],17,FALSE))))</f>
        <v/>
      </c>
      <c r="J173" s="143" t="str">
        <f ca="1">IF(YardsAll[[#This Row],[STATUS]]="","",IF(OR(F173="2019-2020",F173="2021-2025"),"",IF(ISNUMBER(SEARCH("LLC",D173)),VLOOKUP(A173,Yards25[],29,FALSE),VLOOKUP(A173,Yards[],29,FALSE))))</f>
        <v/>
      </c>
      <c r="K173" s="143" t="str">
        <f ca="1">IF(YardsAll[[#This Row],[STATUS]]="","",IF(OR(F173="2019-2020",F173="2021-2025"),"",IF(ISNUMBER(SEARCH("LLC",D173)),VLOOKUP(A173,Yards25[],19,FALSE),VLOOKUP(A173,Yards[],19,FALSE))))</f>
        <v/>
      </c>
      <c r="L173" s="143" t="str">
        <f ca="1">IF(IF(OR(F173="2019-2020",F173="2021-2025"),"",IF(ISNUMBER(SEARCH("LLC",D173)),VLOOKUP(A173,Yards25[],20,FALSE),VLOOKUP(A173,Yards[],20,FALSE)))=0,"",IF(OR(F173="2019-2020",F173="2021-2025"),"",IF(ISNUMBER(SEARCH("LLC",D173)),VLOOKUP(A173,Yards25[],20,FALSE),VLOOKUP(A173,Yards[],20,FALSE))))</f>
        <v/>
      </c>
      <c r="M173" s="151">
        <f ca="1">IF(OR(F173="2019-2020",F173="2021-2025"),"",IF(ISNUMBER(SEARCH("LLC",D173)),VLOOKUP(A173,Yards25[],21,FALSE),VLOOKUP(A173,Yards[],21,FALSE)))</f>
        <v>0</v>
      </c>
      <c r="N173" s="151">
        <f ca="1">IF(OR(F173="2019-2020",F173="2021-2025"),"",IF(ISNUMBER(SEARCH("LLC",D173)),VLOOKUP(A173,Yards25[],22,FALSE),VLOOKUP(A173,Yards[],22,FALSE)))</f>
        <v>0</v>
      </c>
      <c r="O173" s="151">
        <f ca="1">SUM(YardsAll[[#This Row],[DSGN ESTIMATE]:[CONS ESTIMATE]])</f>
        <v>0</v>
      </c>
      <c r="P173" s="143"/>
      <c r="Q173" s="143">
        <f ca="1">IF(OR(F173="2019-2020",F173="2021-2025"),"",IF(ISNUMBER(SEARCH("LLC",D173)),VLOOKUP(A173,Yards25[],25,FALSE),VLOOKUP(A173,Yards[],25,FALSE)))</f>
        <v>0</v>
      </c>
      <c r="R173" s="152"/>
    </row>
    <row r="174" spans="1:18">
      <c r="A174" s="147" t="s">
        <v>342</v>
      </c>
      <c r="B174" s="144" t="str">
        <f>VLOOKUP(A174,Data[],2,FALSE)</f>
        <v>BRONX</v>
      </c>
      <c r="C174" s="144" t="str">
        <f ca="1">IF(OR(F174="2019-2020",F174="2021-2025"),"",IF(ISNUMBER(SEARCH("LLC",D174)),VLOOKUP(A174,Yards25[],3,FALSE),VLOOKUP(A174,Yards[],3,FALSE)))</f>
        <v>New Waste Yard v4</v>
      </c>
      <c r="D174" s="9" t="str">
        <f>VLOOKUP(A174,Data[],52,FALSE)</f>
        <v>MIXED FINANCE/LLC1</v>
      </c>
      <c r="E174" s="9">
        <f>VLOOKUP(YardsAll[[#This Row],[DEVELOPMENT]],Data[],62,FALSE)</f>
        <v>8</v>
      </c>
      <c r="F174" s="9" t="str">
        <f ca="1">VLOOKUP(A174,Data[],4,FALSE)</f>
        <v/>
      </c>
      <c r="G174" s="9">
        <f ca="1">IF(OR(YardsAll[[#This Row],[RAD/PACT]]="2019-2020",YardsAll[[#This Row],[RAD/PACT]]="2021-2025"),"",IF(ISNUMBER(SEARCH("1",C174)),2,IF(ISNUMBER(SEARCH("2",C174)),1,IF(ISNUMBER(SEARCH("3",C174)),3,IF(ISNUMBER(SEARCH("4",C174)),4,IF(ISNUMBER(SEARCH("5",C174)),5,IF(ISNUMBER(SEARCH("6",C174)),6,IF(ISNUMBER(SEARCH("7",C174)),7,IF(ISNUMBER(SEARCH("8",C174)),8,0)))))))))</f>
        <v>4</v>
      </c>
      <c r="H174" s="143" t="str">
        <f ca="1">IF(YardsAll[[#This Row],[STATUS]]="","",IF(OR(F174="2019-2020",F174="2021-2025"),"",IF(ISNUMBER(SEARCH("LLC",D174)),VLOOKUP(A174,Yards25[],28,FALSE),VLOOKUP(A174,Yards[],28,FALSE))))</f>
        <v/>
      </c>
      <c r="I174" s="143" t="str">
        <f ca="1">IF(YardsAll[[#This Row],[STATUS]]="","",IF(OR(F174="2019-2020",F174="2021-2025"),"",IF(ISNUMBER(SEARCH("LLC",D174)),VLOOKUP(A174,Yards25[],17,FALSE),VLOOKUP(A174,Yards[],17,FALSE))))</f>
        <v/>
      </c>
      <c r="J174" s="143" t="str">
        <f ca="1">IF(YardsAll[[#This Row],[STATUS]]="","",IF(OR(F174="2019-2020",F174="2021-2025"),"",IF(ISNUMBER(SEARCH("LLC",D174)),VLOOKUP(A174,Yards25[],29,FALSE),VLOOKUP(A174,Yards[],29,FALSE))))</f>
        <v/>
      </c>
      <c r="K174" s="143" t="str">
        <f ca="1">IF(YardsAll[[#This Row],[STATUS]]="","",IF(OR(F174="2019-2020",F174="2021-2025"),"",IF(ISNUMBER(SEARCH("LLC",D174)),VLOOKUP(A174,Yards25[],19,FALSE),VLOOKUP(A174,Yards[],19,FALSE))))</f>
        <v/>
      </c>
      <c r="L174" s="143" t="str">
        <f ca="1">IF(IF(OR(F174="2019-2020",F174="2021-2025"),"",IF(ISNUMBER(SEARCH("LLC",D174)),VLOOKUP(A174,Yards25[],20,FALSE),VLOOKUP(A174,Yards[],20,FALSE)))=0,"",IF(OR(F174="2019-2020",F174="2021-2025"),"",IF(ISNUMBER(SEARCH("LLC",D174)),VLOOKUP(A174,Yards25[],20,FALSE),VLOOKUP(A174,Yards[],20,FALSE))))</f>
        <v/>
      </c>
      <c r="M174" s="151">
        <f ca="1">IF(OR(F174="2019-2020",F174="2021-2025"),"",IF(ISNUMBER(SEARCH("LLC",D174)),VLOOKUP(A174,Yards25[],21,FALSE),VLOOKUP(A174,Yards[],21,FALSE)))</f>
        <v>292514.17538805003</v>
      </c>
      <c r="N174" s="151">
        <f ca="1">IF(OR(F174="2019-2020",F174="2021-2025"),"",IF(ISNUMBER(SEARCH("LLC",D174)),VLOOKUP(A174,Yards25[],22,FALSE),VLOOKUP(A174,Yards[],22,FALSE)))</f>
        <v>2632627.5784924505</v>
      </c>
      <c r="O174" s="151">
        <f ca="1">SUM(YardsAll[[#This Row],[DSGN ESTIMATE]:[CONS ESTIMATE]])</f>
        <v>2925141.7538805008</v>
      </c>
      <c r="P174" s="143"/>
      <c r="Q174" s="143">
        <f ca="1">IF(OR(F174="2019-2020",F174="2021-2025"),"",IF(ISNUMBER(SEARCH("LLC",D174)),VLOOKUP(A174,Yards25[],25,FALSE),VLOOKUP(A174,Yards[],25,FALSE)))</f>
        <v>0</v>
      </c>
      <c r="R174" s="152"/>
    </row>
    <row r="175" spans="1:18">
      <c r="A175" s="148" t="s">
        <v>343</v>
      </c>
      <c r="B175" s="144" t="str">
        <f>VLOOKUP(A175,Data[],2,FALSE)</f>
        <v>BROOKLYN</v>
      </c>
      <c r="C175" s="144" t="str">
        <f ca="1">IF(OR(F175="2019-2020",F175="2021-2025"),"",IF(ISNUMBER(SEARCH("LLC",D175)),VLOOKUP(A175,Yards25[],3,FALSE),VLOOKUP(A175,Yards[],3,FALSE)))</f>
        <v>New Waste Yard v1</v>
      </c>
      <c r="D175" s="9" t="str">
        <f>VLOOKUP(A175,Data[],52,FALSE)</f>
        <v>FEDERAL</v>
      </c>
      <c r="E175" s="9">
        <f>VLOOKUP(YardsAll[[#This Row],[DEVELOPMENT]],Data[],62,FALSE)</f>
        <v>3</v>
      </c>
      <c r="F175" s="9">
        <f ca="1">VLOOKUP(A175,Data[],4,FALSE)</f>
        <v>2019</v>
      </c>
      <c r="G175" s="9">
        <f ca="1">IF(OR(YardsAll[[#This Row],[RAD/PACT]]="2019-2020",YardsAll[[#This Row],[RAD/PACT]]="2021-2025"),"",IF(ISNUMBER(SEARCH("1",C175)),2,IF(ISNUMBER(SEARCH("2",C175)),1,IF(ISNUMBER(SEARCH("3",C175)),3,IF(ISNUMBER(SEARCH("4",C175)),4,IF(ISNUMBER(SEARCH("5",C175)),5,IF(ISNUMBER(SEARCH("6",C175)),6,IF(ISNUMBER(SEARCH("7",C175)),7,IF(ISNUMBER(SEARCH("8",C175)),8,0)))))))))</f>
        <v>2</v>
      </c>
      <c r="H175" s="143" t="str">
        <f ca="1">IF(YardsAll[[#This Row],[STATUS]]="","",IF(OR(F175="2019-2020",F175="2021-2025"),"",IF(ISNUMBER(SEARCH("LLC",D175)),VLOOKUP(A175,Yards25[],28,FALSE),VLOOKUP(A175,Yards[],28,FALSE))))</f>
        <v/>
      </c>
      <c r="I175" s="143" t="str">
        <f ca="1">IF(YardsAll[[#This Row],[STATUS]]="","",IF(OR(F175="2019-2020",F175="2021-2025"),"",IF(ISNUMBER(SEARCH("LLC",D175)),VLOOKUP(A175,Yards25[],17,FALSE),VLOOKUP(A175,Yards[],17,FALSE))))</f>
        <v/>
      </c>
      <c r="J175" s="143" t="str">
        <f ca="1">IF(YardsAll[[#This Row],[STATUS]]="","",IF(OR(F175="2019-2020",F175="2021-2025"),"",IF(ISNUMBER(SEARCH("LLC",D175)),VLOOKUP(A175,Yards25[],29,FALSE),VLOOKUP(A175,Yards[],29,FALSE))))</f>
        <v/>
      </c>
      <c r="K175" s="143" t="str">
        <f ca="1">IF(YardsAll[[#This Row],[STATUS]]="","",IF(OR(F175="2019-2020",F175="2021-2025"),"",IF(ISNUMBER(SEARCH("LLC",D175)),VLOOKUP(A175,Yards25[],19,FALSE),VLOOKUP(A175,Yards[],19,FALSE))))</f>
        <v/>
      </c>
      <c r="L175" s="143" t="str">
        <f ca="1">IF(IF(OR(F175="2019-2020",F175="2021-2025"),"",IF(ISNUMBER(SEARCH("LLC",D175)),VLOOKUP(A175,Yards25[],20,FALSE),VLOOKUP(A175,Yards[],20,FALSE)))=0,"",IF(OR(F175="2019-2020",F175="2021-2025"),"",IF(ISNUMBER(SEARCH("LLC",D175)),VLOOKUP(A175,Yards25[],20,FALSE),VLOOKUP(A175,Yards[],20,FALSE))))</f>
        <v/>
      </c>
      <c r="M175" s="151">
        <f ca="1">IF(OR(F175="2019-2020",F175="2021-2025"),"",IF(ISNUMBER(SEARCH("LLC",D175)),VLOOKUP(A175,Yards25[],21,FALSE),VLOOKUP(A175,Yards[],21,FALSE)))</f>
        <v>0</v>
      </c>
      <c r="N175" s="151">
        <f ca="1">IF(OR(F175="2019-2020",F175="2021-2025"),"",IF(ISNUMBER(SEARCH("LLC",D175)),VLOOKUP(A175,Yards25[],22,FALSE),VLOOKUP(A175,Yards[],22,FALSE)))</f>
        <v>0</v>
      </c>
      <c r="O175" s="151">
        <f ca="1">SUM(YardsAll[[#This Row],[DSGN ESTIMATE]:[CONS ESTIMATE]])</f>
        <v>0</v>
      </c>
      <c r="P175" s="143"/>
      <c r="Q175" s="143">
        <f ca="1">IF(OR(F175="2019-2020",F175="2021-2025"),"",IF(ISNUMBER(SEARCH("LLC",D175)),VLOOKUP(A175,Yards25[],25,FALSE),VLOOKUP(A175,Yards[],25,FALSE)))</f>
        <v>0</v>
      </c>
      <c r="R175" s="152"/>
    </row>
    <row r="176" spans="1:18">
      <c r="A176" s="147" t="s">
        <v>248</v>
      </c>
      <c r="B176" s="144" t="str">
        <f>VLOOKUP(A176,Data[],2,FALSE)</f>
        <v>BROOKLYN</v>
      </c>
      <c r="C176" s="144" t="str">
        <f ca="1">IF(OR(F176="2019-2020",F176="2021-2025"),"",IF(ISNUMBER(SEARCH("LLC",D176)),VLOOKUP(A176,Yards25[],3,FALSE),VLOOKUP(A176,Yards[],3,FALSE)))</f>
        <v>New Waste Yard v1</v>
      </c>
      <c r="D176" s="9" t="str">
        <f>VLOOKUP(A176,Data[],52,FALSE)</f>
        <v>FEDERAL</v>
      </c>
      <c r="E176" s="9">
        <f>VLOOKUP(YardsAll[[#This Row],[DEVELOPMENT]],Data[],62,FALSE)</f>
        <v>3</v>
      </c>
      <c r="F176" s="9">
        <f ca="1">VLOOKUP(A176,Data[],4,FALSE)</f>
        <v>2019</v>
      </c>
      <c r="G176" s="9">
        <f ca="1">IF(OR(YardsAll[[#This Row],[RAD/PACT]]="2019-2020",YardsAll[[#This Row],[RAD/PACT]]="2021-2025"),"",IF(ISNUMBER(SEARCH("1",C176)),2,IF(ISNUMBER(SEARCH("2",C176)),1,IF(ISNUMBER(SEARCH("3",C176)),3,IF(ISNUMBER(SEARCH("4",C176)),4,IF(ISNUMBER(SEARCH("5",C176)),5,IF(ISNUMBER(SEARCH("6",C176)),6,IF(ISNUMBER(SEARCH("7",C176)),7,IF(ISNUMBER(SEARCH("8",C176)),8,0)))))))))</f>
        <v>2</v>
      </c>
      <c r="H176" s="143" t="str">
        <f ca="1">IF(YardsAll[[#This Row],[STATUS]]="","",IF(OR(F176="2019-2020",F176="2021-2025"),"",IF(ISNUMBER(SEARCH("LLC",D176)),VLOOKUP(A176,Yards25[],28,FALSE),VLOOKUP(A176,Yards[],28,FALSE))))</f>
        <v/>
      </c>
      <c r="I176" s="143" t="str">
        <f ca="1">IF(YardsAll[[#This Row],[STATUS]]="","",IF(OR(F176="2019-2020",F176="2021-2025"),"",IF(ISNUMBER(SEARCH("LLC",D176)),VLOOKUP(A176,Yards25[],17,FALSE),VLOOKUP(A176,Yards[],17,FALSE))))</f>
        <v/>
      </c>
      <c r="J176" s="143" t="str">
        <f ca="1">IF(YardsAll[[#This Row],[STATUS]]="","",IF(OR(F176="2019-2020",F176="2021-2025"),"",IF(ISNUMBER(SEARCH("LLC",D176)),VLOOKUP(A176,Yards25[],29,FALSE),VLOOKUP(A176,Yards[],29,FALSE))))</f>
        <v/>
      </c>
      <c r="K176" s="143" t="str">
        <f ca="1">IF(YardsAll[[#This Row],[STATUS]]="","",IF(OR(F176="2019-2020",F176="2021-2025"),"",IF(ISNUMBER(SEARCH("LLC",D176)),VLOOKUP(A176,Yards25[],19,FALSE),VLOOKUP(A176,Yards[],19,FALSE))))</f>
        <v/>
      </c>
      <c r="L176" s="143" t="str">
        <f ca="1">IF(IF(OR(F176="2019-2020",F176="2021-2025"),"",IF(ISNUMBER(SEARCH("LLC",D176)),VLOOKUP(A176,Yards25[],20,FALSE),VLOOKUP(A176,Yards[],20,FALSE)))=0,"",IF(OR(F176="2019-2020",F176="2021-2025"),"",IF(ISNUMBER(SEARCH("LLC",D176)),VLOOKUP(A176,Yards25[],20,FALSE),VLOOKUP(A176,Yards[],20,FALSE))))</f>
        <v/>
      </c>
      <c r="M176" s="151">
        <f ca="1">IF(OR(F176="2019-2020",F176="2021-2025"),"",IF(ISNUMBER(SEARCH("LLC",D176)),VLOOKUP(A176,Yards25[],21,FALSE),VLOOKUP(A176,Yards[],21,FALSE)))</f>
        <v>0</v>
      </c>
      <c r="N176" s="151">
        <f ca="1">IF(OR(F176="2019-2020",F176="2021-2025"),"",IF(ISNUMBER(SEARCH("LLC",D176)),VLOOKUP(A176,Yards25[],22,FALSE),VLOOKUP(A176,Yards[],22,FALSE)))</f>
        <v>0</v>
      </c>
      <c r="O176" s="151">
        <f ca="1">SUM(YardsAll[[#This Row],[DSGN ESTIMATE]:[CONS ESTIMATE]])</f>
        <v>0</v>
      </c>
      <c r="P176" s="143"/>
      <c r="Q176" s="143">
        <f ca="1">IF(OR(F176="2019-2020",F176="2021-2025"),"",IF(ISNUMBER(SEARCH("LLC",D176)),VLOOKUP(A176,Yards25[],25,FALSE),VLOOKUP(A176,Yards[],25,FALSE)))</f>
        <v>0</v>
      </c>
      <c r="R176" s="152"/>
    </row>
    <row r="177" spans="1:18">
      <c r="A177" s="147" t="s">
        <v>344</v>
      </c>
      <c r="B177" s="144" t="str">
        <f>VLOOKUP(A177,Data[],2,FALSE)</f>
        <v>STATEN ISLAND</v>
      </c>
      <c r="C177" s="144" t="str">
        <f ca="1">IF(OR(F177="2019-2020",F177="2021-2025"),"",IF(ISNUMBER(SEARCH("LLC",D177)),VLOOKUP(A177,Yards25[],3,FALSE),VLOOKUP(A177,Yards[],3,FALSE)))</f>
        <v>New Waste Yard v2</v>
      </c>
      <c r="D177" s="9" t="str">
        <f>VLOOKUP(A177,Data[],52,FALSE)</f>
        <v>FEDERAL</v>
      </c>
      <c r="E177" s="9">
        <f>VLOOKUP(YardsAll[[#This Row],[DEVELOPMENT]],Data[],62,FALSE)</f>
        <v>1</v>
      </c>
      <c r="F177" s="9" t="str">
        <f ca="1">VLOOKUP(A177,Data[],4,FALSE)</f>
        <v>2026+</v>
      </c>
      <c r="G177" s="9">
        <f ca="1">IF(OR(YardsAll[[#This Row],[RAD/PACT]]="2019-2020",YardsAll[[#This Row],[RAD/PACT]]="2021-2025"),"",IF(ISNUMBER(SEARCH("1",C177)),2,IF(ISNUMBER(SEARCH("2",C177)),1,IF(ISNUMBER(SEARCH("3",C177)),3,IF(ISNUMBER(SEARCH("4",C177)),4,IF(ISNUMBER(SEARCH("5",C177)),5,IF(ISNUMBER(SEARCH("6",C177)),6,IF(ISNUMBER(SEARCH("7",C177)),7,IF(ISNUMBER(SEARCH("8",C177)),8,0)))))))))</f>
        <v>1</v>
      </c>
      <c r="H177" s="143" t="str">
        <f ca="1">IF(YardsAll[[#This Row],[STATUS]]="","",IF(OR(F177="2019-2020",F177="2021-2025"),"",IF(ISNUMBER(SEARCH("LLC",D177)),VLOOKUP(A177,Yards25[],28,FALSE),VLOOKUP(A177,Yards[],28,FALSE))))</f>
        <v/>
      </c>
      <c r="I177" s="143" t="str">
        <f ca="1">IF(YardsAll[[#This Row],[STATUS]]="","",IF(OR(F177="2019-2020",F177="2021-2025"),"",IF(ISNUMBER(SEARCH("LLC",D177)),VLOOKUP(A177,Yards25[],17,FALSE),VLOOKUP(A177,Yards[],17,FALSE))))</f>
        <v/>
      </c>
      <c r="J177" s="143" t="str">
        <f ca="1">IF(YardsAll[[#This Row],[STATUS]]="","",IF(OR(F177="2019-2020",F177="2021-2025"),"",IF(ISNUMBER(SEARCH("LLC",D177)),VLOOKUP(A177,Yards25[],29,FALSE),VLOOKUP(A177,Yards[],29,FALSE))))</f>
        <v/>
      </c>
      <c r="K177" s="143" t="str">
        <f ca="1">IF(YardsAll[[#This Row],[STATUS]]="","",IF(OR(F177="2019-2020",F177="2021-2025"),"",IF(ISNUMBER(SEARCH("LLC",D177)),VLOOKUP(A177,Yards25[],19,FALSE),VLOOKUP(A177,Yards[],19,FALSE))))</f>
        <v/>
      </c>
      <c r="L177" s="143" t="str">
        <f ca="1">IF(IF(OR(F177="2019-2020",F177="2021-2025"),"",IF(ISNUMBER(SEARCH("LLC",D177)),VLOOKUP(A177,Yards25[],20,FALSE),VLOOKUP(A177,Yards[],20,FALSE)))=0,"",IF(OR(F177="2019-2020",F177="2021-2025"),"",IF(ISNUMBER(SEARCH("LLC",D177)),VLOOKUP(A177,Yards25[],20,FALSE),VLOOKUP(A177,Yards[],20,FALSE))))</f>
        <v/>
      </c>
      <c r="M177" s="151">
        <f ca="1">IF(OR(F177="2019-2020",F177="2021-2025"),"",IF(ISNUMBER(SEARCH("LLC",D177)),VLOOKUP(A177,Yards25[],21,FALSE),VLOOKUP(A177,Yards[],21,FALSE)))</f>
        <v>174369.77301760006</v>
      </c>
      <c r="N177" s="151">
        <f ca="1">IF(OR(F177="2019-2020",F177="2021-2025"),"",IF(ISNUMBER(SEARCH("LLC",D177)),VLOOKUP(A177,Yards25[],22,FALSE),VLOOKUP(A177,Yards[],22,FALSE)))</f>
        <v>1569327.9571584002</v>
      </c>
      <c r="O177" s="151">
        <f ca="1">SUM(YardsAll[[#This Row],[DSGN ESTIMATE]:[CONS ESTIMATE]])</f>
        <v>1743697.7301760004</v>
      </c>
      <c r="P177" s="143"/>
      <c r="Q177" s="143">
        <f ca="1">IF(OR(F177="2019-2020",F177="2021-2025"),"",IF(ISNUMBER(SEARCH("LLC",D177)),VLOOKUP(A177,Yards25[],25,FALSE),VLOOKUP(A177,Yards[],25,FALSE)))</f>
        <v>0</v>
      </c>
      <c r="R177" s="152"/>
    </row>
    <row r="178" spans="1:18">
      <c r="A178" s="147" t="s">
        <v>193</v>
      </c>
      <c r="B178" s="144" t="str">
        <f>VLOOKUP(A178,Data[],2,FALSE)</f>
        <v>BROOKLYN</v>
      </c>
      <c r="C178" s="144" t="str">
        <f ca="1">IF(OR(F178="2019-2020",F178="2021-2025"),"",IF(ISNUMBER(SEARCH("LLC",D178)),VLOOKUP(A178,Yards25[],3,FALSE),VLOOKUP(A178,Yards[],3,FALSE)))</f>
        <v>New Waste Yard v5</v>
      </c>
      <c r="D178" s="9" t="str">
        <f>VLOOKUP(A178,Data[],52,FALSE)</f>
        <v>MIXED FINANCE/LLC1</v>
      </c>
      <c r="E178" s="9">
        <f>VLOOKUP(YardsAll[[#This Row],[DEVELOPMENT]],Data[],62,FALSE)</f>
        <v>13</v>
      </c>
      <c r="F178" s="9" t="str">
        <f ca="1">VLOOKUP(A178,Data[],4,FALSE)</f>
        <v>2026+</v>
      </c>
      <c r="G178" s="9">
        <f ca="1">IF(OR(YardsAll[[#This Row],[RAD/PACT]]="2019-2020",YardsAll[[#This Row],[RAD/PACT]]="2021-2025"),"",IF(ISNUMBER(SEARCH("1",C178)),2,IF(ISNUMBER(SEARCH("2",C178)),1,IF(ISNUMBER(SEARCH("3",C178)),3,IF(ISNUMBER(SEARCH("4",C178)),4,IF(ISNUMBER(SEARCH("5",C178)),5,IF(ISNUMBER(SEARCH("6",C178)),6,IF(ISNUMBER(SEARCH("7",C178)),7,IF(ISNUMBER(SEARCH("8",C178)),8,0)))))))))</f>
        <v>5</v>
      </c>
      <c r="H178" s="143" t="str">
        <f ca="1">IF(YardsAll[[#This Row],[STATUS]]="","",IF(OR(F178="2019-2020",F178="2021-2025"),"",IF(ISNUMBER(SEARCH("LLC",D178)),VLOOKUP(A178,Yards25[],28,FALSE),VLOOKUP(A178,Yards[],28,FALSE))))</f>
        <v/>
      </c>
      <c r="I178" s="143" t="str">
        <f ca="1">IF(YardsAll[[#This Row],[STATUS]]="","",IF(OR(F178="2019-2020",F178="2021-2025"),"",IF(ISNUMBER(SEARCH("LLC",D178)),VLOOKUP(A178,Yards25[],17,FALSE),VLOOKUP(A178,Yards[],17,FALSE))))</f>
        <v/>
      </c>
      <c r="J178" s="143" t="str">
        <f ca="1">IF(YardsAll[[#This Row],[STATUS]]="","",IF(OR(F178="2019-2020",F178="2021-2025"),"",IF(ISNUMBER(SEARCH("LLC",D178)),VLOOKUP(A178,Yards25[],29,FALSE),VLOOKUP(A178,Yards[],29,FALSE))))</f>
        <v/>
      </c>
      <c r="K178" s="143" t="str">
        <f ca="1">IF(YardsAll[[#This Row],[STATUS]]="","",IF(OR(F178="2019-2020",F178="2021-2025"),"",IF(ISNUMBER(SEARCH("LLC",D178)),VLOOKUP(A178,Yards25[],19,FALSE),VLOOKUP(A178,Yards[],19,FALSE))))</f>
        <v/>
      </c>
      <c r="L178" s="143" t="str">
        <f ca="1">IF(IF(OR(F178="2019-2020",F178="2021-2025"),"",IF(ISNUMBER(SEARCH("LLC",D178)),VLOOKUP(A178,Yards25[],20,FALSE),VLOOKUP(A178,Yards[],20,FALSE)))=0,"",IF(OR(F178="2019-2020",F178="2021-2025"),"",IF(ISNUMBER(SEARCH("LLC",D178)),VLOOKUP(A178,Yards25[],20,FALSE),VLOOKUP(A178,Yards[],20,FALSE))))</f>
        <v/>
      </c>
      <c r="M178" s="151">
        <f ca="1">IF(OR(F178="2019-2020",F178="2021-2025"),"",IF(ISNUMBER(SEARCH("LLC",D178)),VLOOKUP(A178,Yards25[],21,FALSE),VLOOKUP(A178,Yards[],21,FALSE)))</f>
        <v>286609.55599909998</v>
      </c>
      <c r="N178" s="151">
        <f ca="1">IF(OR(F178="2019-2020",F178="2021-2025"),"",IF(ISNUMBER(SEARCH("LLC",D178)),VLOOKUP(A178,Yards25[],22,FALSE),VLOOKUP(A178,Yards[],22,FALSE)))</f>
        <v>2579486.0039919</v>
      </c>
      <c r="O178" s="151">
        <f ca="1">SUM(YardsAll[[#This Row],[DSGN ESTIMATE]:[CONS ESTIMATE]])</f>
        <v>2866095.5599910002</v>
      </c>
      <c r="P178" s="143"/>
      <c r="Q178" s="143">
        <f ca="1">IF(OR(F178="2019-2020",F178="2021-2025"),"",IF(ISNUMBER(SEARCH("LLC",D178)),VLOOKUP(A178,Yards25[],25,FALSE),VLOOKUP(A178,Yards[],25,FALSE)))</f>
        <v>0</v>
      </c>
      <c r="R178" s="152"/>
    </row>
    <row r="179" spans="1:18">
      <c r="A179" s="147" t="s">
        <v>89</v>
      </c>
      <c r="B179" s="144" t="str">
        <f>VLOOKUP(A179,Data[],2,FALSE)</f>
        <v>MANHATTAN</v>
      </c>
      <c r="C179" s="144" t="str">
        <f ca="1">IF(OR(F179="2019-2020",F179="2021-2025"),"",IF(ISNUMBER(SEARCH("LLC",D179)),VLOOKUP(A179,Yards25[],3,FALSE),VLOOKUP(A179,Yards[],3,FALSE)))</f>
        <v>New Waste Yard v1</v>
      </c>
      <c r="D179" s="9" t="str">
        <f>VLOOKUP(A179,Data[],52,FALSE)</f>
        <v>FEDERAL</v>
      </c>
      <c r="E179" s="9">
        <f>VLOOKUP(YardsAll[[#This Row],[DEVELOPMENT]],Data[],62,FALSE)</f>
        <v>12</v>
      </c>
      <c r="F179" s="9" t="str">
        <f ca="1">VLOOKUP(A179,Data[],4,FALSE)</f>
        <v>2020-2021</v>
      </c>
      <c r="G179" s="9">
        <f ca="1">IF(OR(YardsAll[[#This Row],[RAD/PACT]]="2019-2020",YardsAll[[#This Row],[RAD/PACT]]="2021-2025"),"",IF(ISNUMBER(SEARCH("1",C179)),2,IF(ISNUMBER(SEARCH("2",C179)),1,IF(ISNUMBER(SEARCH("3",C179)),3,IF(ISNUMBER(SEARCH("4",C179)),4,IF(ISNUMBER(SEARCH("5",C179)),5,IF(ISNUMBER(SEARCH("6",C179)),6,IF(ISNUMBER(SEARCH("7",C179)),7,IF(ISNUMBER(SEARCH("8",C179)),8,0)))))))))</f>
        <v>2</v>
      </c>
      <c r="H179" s="143" t="str">
        <f ca="1">IF(YardsAll[[#This Row],[STATUS]]="","",IF(OR(F179="2019-2020",F179="2021-2025"),"",IF(ISNUMBER(SEARCH("LLC",D179)),VLOOKUP(A179,Yards25[],28,FALSE),VLOOKUP(A179,Yards[],28,FALSE))))</f>
        <v/>
      </c>
      <c r="I179" s="143" t="str">
        <f ca="1">IF(YardsAll[[#This Row],[STATUS]]="","",IF(OR(F179="2019-2020",F179="2021-2025"),"",IF(ISNUMBER(SEARCH("LLC",D179)),VLOOKUP(A179,Yards25[],17,FALSE),VLOOKUP(A179,Yards[],17,FALSE))))</f>
        <v/>
      </c>
      <c r="J179" s="143" t="str">
        <f ca="1">IF(YardsAll[[#This Row],[STATUS]]="","",IF(OR(F179="2019-2020",F179="2021-2025"),"",IF(ISNUMBER(SEARCH("LLC",D179)),VLOOKUP(A179,Yards25[],29,FALSE),VLOOKUP(A179,Yards[],29,FALSE))))</f>
        <v/>
      </c>
      <c r="K179" s="143" t="str">
        <f ca="1">IF(YardsAll[[#This Row],[STATUS]]="","",IF(OR(F179="2019-2020",F179="2021-2025"),"",IF(ISNUMBER(SEARCH("LLC",D179)),VLOOKUP(A179,Yards25[],19,FALSE),VLOOKUP(A179,Yards[],19,FALSE))))</f>
        <v/>
      </c>
      <c r="L179" s="143" t="str">
        <f ca="1">IF(IF(OR(F179="2019-2020",F179="2021-2025"),"",IF(ISNUMBER(SEARCH("LLC",D179)),VLOOKUP(A179,Yards25[],20,FALSE),VLOOKUP(A179,Yards[],20,FALSE)))=0,"",IF(OR(F179="2019-2020",F179="2021-2025"),"",IF(ISNUMBER(SEARCH("LLC",D179)),VLOOKUP(A179,Yards25[],20,FALSE),VLOOKUP(A179,Yards[],20,FALSE))))</f>
        <v/>
      </c>
      <c r="M179" s="151">
        <f ca="1">IF(OR(F179="2019-2020",F179="2021-2025"),"",IF(ISNUMBER(SEARCH("LLC",D179)),VLOOKUP(A179,Yards25[],21,FALSE),VLOOKUP(A179,Yards[],21,FALSE)))</f>
        <v>0</v>
      </c>
      <c r="N179" s="151">
        <f ca="1">IF(OR(F179="2019-2020",F179="2021-2025"),"",IF(ISNUMBER(SEARCH("LLC",D179)),VLOOKUP(A179,Yards25[],22,FALSE),VLOOKUP(A179,Yards[],22,FALSE)))</f>
        <v>0</v>
      </c>
      <c r="O179" s="151">
        <f ca="1">SUM(YardsAll[[#This Row],[DSGN ESTIMATE]:[CONS ESTIMATE]])</f>
        <v>0</v>
      </c>
      <c r="P179" s="143"/>
      <c r="Q179" s="143">
        <f ca="1">IF(OR(F179="2019-2020",F179="2021-2025"),"",IF(ISNUMBER(SEARCH("LLC",D179)),VLOOKUP(A179,Yards25[],25,FALSE),VLOOKUP(A179,Yards[],25,FALSE)))</f>
        <v>0</v>
      </c>
      <c r="R179" s="152"/>
    </row>
    <row r="180" spans="1:18">
      <c r="A180" s="147" t="s">
        <v>222</v>
      </c>
      <c r="B180" s="144" t="str">
        <f>VLOOKUP(A180,Data[],2,FALSE)</f>
        <v>BRONX</v>
      </c>
      <c r="C180" s="144" t="str">
        <f ca="1">IF(OR(F180="2019-2020",F180="2021-2025"),"",IF(ISNUMBER(SEARCH("LLC",D180)),VLOOKUP(A180,Yards25[],3,FALSE),VLOOKUP(A180,Yards[],3,FALSE)))</f>
        <v>New Waste Yard v3</v>
      </c>
      <c r="D180" s="9" t="str">
        <f>VLOOKUP(A180,Data[],52,FALSE)</f>
        <v>FEDERAL</v>
      </c>
      <c r="E180" s="9">
        <f>VLOOKUP(YardsAll[[#This Row],[DEVELOPMENT]],Data[],62,FALSE)</f>
        <v>3</v>
      </c>
      <c r="F180" s="9" t="str">
        <f ca="1">VLOOKUP(A180,Data[],4,FALSE)</f>
        <v>2026+</v>
      </c>
      <c r="G180" s="9">
        <f ca="1">IF(OR(YardsAll[[#This Row],[RAD/PACT]]="2019-2020",YardsAll[[#This Row],[RAD/PACT]]="2021-2025"),"",IF(ISNUMBER(SEARCH("1",C180)),2,IF(ISNUMBER(SEARCH("2",C180)),1,IF(ISNUMBER(SEARCH("3",C180)),3,IF(ISNUMBER(SEARCH("4",C180)),4,IF(ISNUMBER(SEARCH("5",C180)),5,IF(ISNUMBER(SEARCH("6",C180)),6,IF(ISNUMBER(SEARCH("7",C180)),7,IF(ISNUMBER(SEARCH("8",C180)),8,0)))))))))</f>
        <v>3</v>
      </c>
      <c r="H180" s="143" t="str">
        <f ca="1">IF(YardsAll[[#This Row],[STATUS]]="","",IF(OR(F180="2019-2020",F180="2021-2025"),"",IF(ISNUMBER(SEARCH("LLC",D180)),VLOOKUP(A180,Yards25[],28,FALSE),VLOOKUP(A180,Yards[],28,FALSE))))</f>
        <v/>
      </c>
      <c r="I180" s="143" t="str">
        <f ca="1">IF(YardsAll[[#This Row],[STATUS]]="","",IF(OR(F180="2019-2020",F180="2021-2025"),"",IF(ISNUMBER(SEARCH("LLC",D180)),VLOOKUP(A180,Yards25[],17,FALSE),VLOOKUP(A180,Yards[],17,FALSE))))</f>
        <v/>
      </c>
      <c r="J180" s="143" t="str">
        <f ca="1">IF(YardsAll[[#This Row],[STATUS]]="","",IF(OR(F180="2019-2020",F180="2021-2025"),"",IF(ISNUMBER(SEARCH("LLC",D180)),VLOOKUP(A180,Yards25[],29,FALSE),VLOOKUP(A180,Yards[],29,FALSE))))</f>
        <v/>
      </c>
      <c r="K180" s="143" t="str">
        <f ca="1">IF(YardsAll[[#This Row],[STATUS]]="","",IF(OR(F180="2019-2020",F180="2021-2025"),"",IF(ISNUMBER(SEARCH("LLC",D180)),VLOOKUP(A180,Yards25[],19,FALSE),VLOOKUP(A180,Yards[],19,FALSE))))</f>
        <v/>
      </c>
      <c r="L180" s="143" t="str">
        <f ca="1">IF(IF(OR(F180="2019-2020",F180="2021-2025"),"",IF(ISNUMBER(SEARCH("LLC",D180)),VLOOKUP(A180,Yards25[],20,FALSE),VLOOKUP(A180,Yards[],20,FALSE)))=0,"",IF(OR(F180="2019-2020",F180="2021-2025"),"",IF(ISNUMBER(SEARCH("LLC",D180)),VLOOKUP(A180,Yards25[],20,FALSE),VLOOKUP(A180,Yards[],20,FALSE))))</f>
        <v/>
      </c>
      <c r="M180" s="151">
        <f ca="1">IF(OR(F180="2019-2020",F180="2021-2025"),"",IF(ISNUMBER(SEARCH("LLC",D180)),VLOOKUP(A180,Yards25[],21,FALSE),VLOOKUP(A180,Yards[],21,FALSE)))</f>
        <v>223257.39527325006</v>
      </c>
      <c r="N180" s="151">
        <f ca="1">IF(OR(F180="2019-2020",F180="2021-2025"),"",IF(ISNUMBER(SEARCH("LLC",D180)),VLOOKUP(A180,Yards25[],22,FALSE),VLOOKUP(A180,Yards[],22,FALSE)))</f>
        <v>2009316.5574592506</v>
      </c>
      <c r="O180" s="151">
        <f ca="1">SUM(YardsAll[[#This Row],[DSGN ESTIMATE]:[CONS ESTIMATE]])</f>
        <v>2232573.9527325006</v>
      </c>
      <c r="P180" s="143"/>
      <c r="Q180" s="143">
        <f ca="1">IF(OR(F180="2019-2020",F180="2021-2025"),"",IF(ISNUMBER(SEARCH("LLC",D180)),VLOOKUP(A180,Yards25[],25,FALSE),VLOOKUP(A180,Yards[],25,FALSE)))</f>
        <v>0</v>
      </c>
      <c r="R180" s="152"/>
    </row>
    <row r="181" spans="1:18">
      <c r="A181" s="148" t="s">
        <v>39</v>
      </c>
      <c r="B181" s="144" t="str">
        <f>VLOOKUP(A181,Data[],2,FALSE)</f>
        <v>BRONX</v>
      </c>
      <c r="C181" s="144" t="str">
        <f ca="1">IF(OR(F181="2019-2020",F181="2021-2025"),"",IF(ISNUMBER(SEARCH("LLC",D181)),VLOOKUP(A181,Yards25[],3,FALSE),VLOOKUP(A181,Yards[],3,FALSE)))</f>
        <v>New Waste Yard v3</v>
      </c>
      <c r="D181" s="9" t="str">
        <f>VLOOKUP(A181,Data[],52,FALSE)</f>
        <v>FEDERAL</v>
      </c>
      <c r="E181" s="9">
        <f>VLOOKUP(YardsAll[[#This Row],[DEVELOPMENT]],Data[],62,FALSE)</f>
        <v>1</v>
      </c>
      <c r="F181" s="9" t="str">
        <f ca="1">VLOOKUP(A181,Data[],4,FALSE)</f>
        <v>2022-2025</v>
      </c>
      <c r="G181" s="9">
        <f ca="1">IF(OR(YardsAll[[#This Row],[RAD/PACT]]="2019-2020",YardsAll[[#This Row],[RAD/PACT]]="2021-2025"),"",IF(ISNUMBER(SEARCH("1",C181)),2,IF(ISNUMBER(SEARCH("2",C181)),1,IF(ISNUMBER(SEARCH("3",C181)),3,IF(ISNUMBER(SEARCH("4",C181)),4,IF(ISNUMBER(SEARCH("5",C181)),5,IF(ISNUMBER(SEARCH("6",C181)),6,IF(ISNUMBER(SEARCH("7",C181)),7,IF(ISNUMBER(SEARCH("8",C181)),8,0)))))))))</f>
        <v>3</v>
      </c>
      <c r="H181" s="143" t="str">
        <f ca="1">IF(YardsAll[[#This Row],[STATUS]]="","",IF(OR(F181="2019-2020",F181="2021-2025"),"",IF(ISNUMBER(SEARCH("LLC",D181)),VLOOKUP(A181,Yards25[],28,FALSE),VLOOKUP(A181,Yards[],28,FALSE))))</f>
        <v/>
      </c>
      <c r="I181" s="143" t="str">
        <f ca="1">IF(YardsAll[[#This Row],[STATUS]]="","",IF(OR(F181="2019-2020",F181="2021-2025"),"",IF(ISNUMBER(SEARCH("LLC",D181)),VLOOKUP(A181,Yards25[],17,FALSE),VLOOKUP(A181,Yards[],17,FALSE))))</f>
        <v/>
      </c>
      <c r="J181" s="143" t="str">
        <f ca="1">IF(YardsAll[[#This Row],[STATUS]]="","",IF(OR(F181="2019-2020",F181="2021-2025"),"",IF(ISNUMBER(SEARCH("LLC",D181)),VLOOKUP(A181,Yards25[],29,FALSE),VLOOKUP(A181,Yards[],29,FALSE))))</f>
        <v/>
      </c>
      <c r="K181" s="143" t="str">
        <f ca="1">IF(YardsAll[[#This Row],[STATUS]]="","",IF(OR(F181="2019-2020",F181="2021-2025"),"",IF(ISNUMBER(SEARCH("LLC",D181)),VLOOKUP(A181,Yards25[],19,FALSE),VLOOKUP(A181,Yards[],19,FALSE))))</f>
        <v/>
      </c>
      <c r="L181" s="143" t="str">
        <f ca="1">IF(IF(OR(F181="2019-2020",F181="2021-2025"),"",IF(ISNUMBER(SEARCH("LLC",D181)),VLOOKUP(A181,Yards25[],20,FALSE),VLOOKUP(A181,Yards[],20,FALSE)))=0,"",IF(OR(F181="2019-2020",F181="2021-2025"),"",IF(ISNUMBER(SEARCH("LLC",D181)),VLOOKUP(A181,Yards25[],20,FALSE),VLOOKUP(A181,Yards[],20,FALSE))))</f>
        <v/>
      </c>
      <c r="M181" s="151">
        <f ca="1">IF(OR(F181="2019-2020",F181="2021-2025"),"",IF(ISNUMBER(SEARCH("LLC",D181)),VLOOKUP(A181,Yards25[],21,FALSE),VLOOKUP(A181,Yards[],21,FALSE)))</f>
        <v>0</v>
      </c>
      <c r="N181" s="151">
        <f ca="1">IF(OR(F181="2019-2020",F181="2021-2025"),"",IF(ISNUMBER(SEARCH("LLC",D181)),VLOOKUP(A181,Yards25[],22,FALSE),VLOOKUP(A181,Yards[],22,FALSE)))</f>
        <v>0</v>
      </c>
      <c r="O181" s="151">
        <f ca="1">SUM(YardsAll[[#This Row],[DSGN ESTIMATE]:[CONS ESTIMATE]])</f>
        <v>0</v>
      </c>
      <c r="P181" s="143"/>
      <c r="Q181" s="143">
        <f ca="1">IF(OR(F181="2019-2020",F181="2021-2025"),"",IF(ISNUMBER(SEARCH("LLC",D181)),VLOOKUP(A181,Yards25[],25,FALSE),VLOOKUP(A181,Yards[],25,FALSE)))</f>
        <v>0</v>
      </c>
      <c r="R181" s="152"/>
    </row>
    <row r="182" spans="1:18">
      <c r="A182" s="148" t="s">
        <v>50</v>
      </c>
      <c r="B182" s="144" t="str">
        <f>VLOOKUP(A182,Data[],2,FALSE)</f>
        <v>MANHATTAN</v>
      </c>
      <c r="C182" s="144" t="str">
        <f ca="1">IF(OR(F182="2019-2020",F182="2021-2025"),"",IF(ISNUMBER(SEARCH("LLC",D182)),VLOOKUP(A182,Yards25[],3,FALSE),VLOOKUP(A182,Yards[],3,FALSE)))</f>
        <v>New Waste Yard v1</v>
      </c>
      <c r="D182" s="9" t="str">
        <f>VLOOKUP(A182,Data[],52,FALSE)</f>
        <v>FEDERAL</v>
      </c>
      <c r="E182" s="9">
        <f>VLOOKUP(YardsAll[[#This Row],[DEVELOPMENT]],Data[],62,FALSE)</f>
        <v>3</v>
      </c>
      <c r="F182" s="9" t="str">
        <f ca="1">VLOOKUP(A182,Data[],4,FALSE)</f>
        <v/>
      </c>
      <c r="G182" s="9">
        <f ca="1">IF(OR(YardsAll[[#This Row],[RAD/PACT]]="2019-2020",YardsAll[[#This Row],[RAD/PACT]]="2021-2025"),"",IF(ISNUMBER(SEARCH("1",C182)),2,IF(ISNUMBER(SEARCH("2",C182)),1,IF(ISNUMBER(SEARCH("3",C182)),3,IF(ISNUMBER(SEARCH("4",C182)),4,IF(ISNUMBER(SEARCH("5",C182)),5,IF(ISNUMBER(SEARCH("6",C182)),6,IF(ISNUMBER(SEARCH("7",C182)),7,IF(ISNUMBER(SEARCH("8",C182)),8,0)))))))))</f>
        <v>2</v>
      </c>
      <c r="H182" s="143" t="str">
        <f ca="1">IF(YardsAll[[#This Row],[STATUS]]="","",IF(OR(F182="2019-2020",F182="2021-2025"),"",IF(ISNUMBER(SEARCH("LLC",D182)),VLOOKUP(A182,Yards25[],28,FALSE),VLOOKUP(A182,Yards[],28,FALSE))))</f>
        <v/>
      </c>
      <c r="I182" s="143" t="str">
        <f ca="1">IF(YardsAll[[#This Row],[STATUS]]="","",IF(OR(F182="2019-2020",F182="2021-2025"),"",IF(ISNUMBER(SEARCH("LLC",D182)),VLOOKUP(A182,Yards25[],17,FALSE),VLOOKUP(A182,Yards[],17,FALSE))))</f>
        <v/>
      </c>
      <c r="J182" s="143" t="str">
        <f ca="1">IF(YardsAll[[#This Row],[STATUS]]="","",IF(OR(F182="2019-2020",F182="2021-2025"),"",IF(ISNUMBER(SEARCH("LLC",D182)),VLOOKUP(A182,Yards25[],29,FALSE),VLOOKUP(A182,Yards[],29,FALSE))))</f>
        <v/>
      </c>
      <c r="K182" s="143" t="str">
        <f ca="1">IF(YardsAll[[#This Row],[STATUS]]="","",IF(OR(F182="2019-2020",F182="2021-2025"),"",IF(ISNUMBER(SEARCH("LLC",D182)),VLOOKUP(A182,Yards25[],19,FALSE),VLOOKUP(A182,Yards[],19,FALSE))))</f>
        <v/>
      </c>
      <c r="L182" s="143" t="str">
        <f ca="1">IF(IF(OR(F182="2019-2020",F182="2021-2025"),"",IF(ISNUMBER(SEARCH("LLC",D182)),VLOOKUP(A182,Yards25[],20,FALSE),VLOOKUP(A182,Yards[],20,FALSE)))=0,"",IF(OR(F182="2019-2020",F182="2021-2025"),"",IF(ISNUMBER(SEARCH("LLC",D182)),VLOOKUP(A182,Yards25[],20,FALSE),VLOOKUP(A182,Yards[],20,FALSE))))</f>
        <v/>
      </c>
      <c r="M182" s="151">
        <f ca="1">IF(OR(F182="2019-2020",F182="2021-2025"),"",IF(ISNUMBER(SEARCH("LLC",D182)),VLOOKUP(A182,Yards25[],21,FALSE),VLOOKUP(A182,Yards[],21,FALSE)))</f>
        <v>0</v>
      </c>
      <c r="N182" s="151">
        <f ca="1">IF(OR(F182="2019-2020",F182="2021-2025"),"",IF(ISNUMBER(SEARCH("LLC",D182)),VLOOKUP(A182,Yards25[],22,FALSE),VLOOKUP(A182,Yards[],22,FALSE)))</f>
        <v>0</v>
      </c>
      <c r="O182" s="151">
        <f ca="1">SUM(YardsAll[[#This Row],[DSGN ESTIMATE]:[CONS ESTIMATE]])</f>
        <v>0</v>
      </c>
      <c r="P182" s="143"/>
      <c r="Q182" s="143">
        <f ca="1">IF(OR(F182="2019-2020",F182="2021-2025"),"",IF(ISNUMBER(SEARCH("LLC",D182)),VLOOKUP(A182,Yards25[],25,FALSE),VLOOKUP(A182,Yards[],25,FALSE)))</f>
        <v>0</v>
      </c>
      <c r="R182" s="152"/>
    </row>
    <row r="183" spans="1:18">
      <c r="A183" s="147" t="s">
        <v>90</v>
      </c>
      <c r="B183" s="144" t="str">
        <f>VLOOKUP(A183,Data[],2,FALSE)</f>
        <v>MANHATTAN</v>
      </c>
      <c r="C183" s="144" t="str">
        <f ca="1">IF(OR(F183="2019-2020",F183="2021-2025"),"",IF(ISNUMBER(SEARCH("LLC",D183)),VLOOKUP(A183,Yards25[],3,FALSE),VLOOKUP(A183,Yards[],3,FALSE)))</f>
        <v>New Waste Yard v1</v>
      </c>
      <c r="D183" s="9" t="str">
        <f>VLOOKUP(A183,Data[],52,FALSE)</f>
        <v>FEDERAL</v>
      </c>
      <c r="E183" s="9">
        <f>VLOOKUP(YardsAll[[#This Row],[DEVELOPMENT]],Data[],62,FALSE)</f>
        <v>11</v>
      </c>
      <c r="F183" s="9" t="str">
        <f ca="1">VLOOKUP(A183,Data[],4,FALSE)</f>
        <v>2026+</v>
      </c>
      <c r="G183" s="9">
        <f ca="1">IF(OR(YardsAll[[#This Row],[RAD/PACT]]="2019-2020",YardsAll[[#This Row],[RAD/PACT]]="2021-2025"),"",IF(ISNUMBER(SEARCH("1",C183)),2,IF(ISNUMBER(SEARCH("2",C183)),1,IF(ISNUMBER(SEARCH("3",C183)),3,IF(ISNUMBER(SEARCH("4",C183)),4,IF(ISNUMBER(SEARCH("5",C183)),5,IF(ISNUMBER(SEARCH("6",C183)),6,IF(ISNUMBER(SEARCH("7",C183)),7,IF(ISNUMBER(SEARCH("8",C183)),8,0)))))))))</f>
        <v>2</v>
      </c>
      <c r="H183" s="143" t="str">
        <f ca="1">IF(YardsAll[[#This Row],[STATUS]]="","",IF(OR(F183="2019-2020",F183="2021-2025"),"",IF(ISNUMBER(SEARCH("LLC",D183)),VLOOKUP(A183,Yards25[],28,FALSE),VLOOKUP(A183,Yards[],28,FALSE))))</f>
        <v/>
      </c>
      <c r="I183" s="143" t="str">
        <f ca="1">IF(YardsAll[[#This Row],[STATUS]]="","",IF(OR(F183="2019-2020",F183="2021-2025"),"",IF(ISNUMBER(SEARCH("LLC",D183)),VLOOKUP(A183,Yards25[],17,FALSE),VLOOKUP(A183,Yards[],17,FALSE))))</f>
        <v/>
      </c>
      <c r="J183" s="143" t="str">
        <f ca="1">IF(YardsAll[[#This Row],[STATUS]]="","",IF(OR(F183="2019-2020",F183="2021-2025"),"",IF(ISNUMBER(SEARCH("LLC",D183)),VLOOKUP(A183,Yards25[],29,FALSE),VLOOKUP(A183,Yards[],29,FALSE))))</f>
        <v/>
      </c>
      <c r="K183" s="143" t="str">
        <f ca="1">IF(YardsAll[[#This Row],[STATUS]]="","",IF(OR(F183="2019-2020",F183="2021-2025"),"",IF(ISNUMBER(SEARCH("LLC",D183)),VLOOKUP(A183,Yards25[],19,FALSE),VLOOKUP(A183,Yards[],19,FALSE))))</f>
        <v/>
      </c>
      <c r="L183" s="143" t="str">
        <f ca="1">IF(IF(OR(F183="2019-2020",F183="2021-2025"),"",IF(ISNUMBER(SEARCH("LLC",D183)),VLOOKUP(A183,Yards25[],20,FALSE),VLOOKUP(A183,Yards[],20,FALSE)))=0,"",IF(OR(F183="2019-2020",F183="2021-2025"),"",IF(ISNUMBER(SEARCH("LLC",D183)),VLOOKUP(A183,Yards25[],20,FALSE),VLOOKUP(A183,Yards[],20,FALSE))))</f>
        <v/>
      </c>
      <c r="M183" s="151">
        <f ca="1">IF(OR(F183="2019-2020",F183="2021-2025"),"",IF(ISNUMBER(SEARCH("LLC",D183)),VLOOKUP(A183,Yards25[],21,FALSE),VLOOKUP(A183,Yards[],21,FALSE)))</f>
        <v>218713.03623400006</v>
      </c>
      <c r="N183" s="151">
        <f ca="1">IF(OR(F183="2019-2020",F183="2021-2025"),"",IF(ISNUMBER(SEARCH("LLC",D183)),VLOOKUP(A183,Yards25[],22,FALSE),VLOOKUP(A183,Yards[],22,FALSE)))</f>
        <v>1968417.3261060005</v>
      </c>
      <c r="O183" s="151">
        <f ca="1">SUM(YardsAll[[#This Row],[DSGN ESTIMATE]:[CONS ESTIMATE]])</f>
        <v>2187130.3623400005</v>
      </c>
      <c r="P183" s="143"/>
      <c r="Q183" s="143">
        <f ca="1">IF(OR(F183="2019-2020",F183="2021-2025"),"",IF(ISNUMBER(SEARCH("LLC",D183)),VLOOKUP(A183,Yards25[],25,FALSE),VLOOKUP(A183,Yards[],25,FALSE)))</f>
        <v>0</v>
      </c>
      <c r="R183" s="152"/>
    </row>
    <row r="184" spans="1:18">
      <c r="A184" s="147" t="s">
        <v>345</v>
      </c>
      <c r="B184" s="144" t="str">
        <f>VLOOKUP(A184,Data[],2,FALSE)</f>
        <v>BRONX</v>
      </c>
      <c r="C184" s="144" t="str">
        <f ca="1">IF(OR(F184="2019-2020",F184="2021-2025"),"",IF(ISNUMBER(SEARCH("LLC",D184)),VLOOKUP(A184,Yards25[],3,FALSE),VLOOKUP(A184,Yards[],3,FALSE)))</f>
        <v>New Waste Yard v1</v>
      </c>
      <c r="D184" s="9" t="str">
        <f>VLOOKUP(A184,Data[],52,FALSE)</f>
        <v>FEDERAL</v>
      </c>
      <c r="E184" s="9">
        <f>VLOOKUP(YardsAll[[#This Row],[DEVELOPMENT]],Data[],62,FALSE)</f>
        <v>10</v>
      </c>
      <c r="F184" s="9" t="str">
        <f ca="1">VLOOKUP(A184,Data[],4,FALSE)</f>
        <v>2026+</v>
      </c>
      <c r="G184" s="9">
        <f ca="1">IF(OR(YardsAll[[#This Row],[RAD/PACT]]="2019-2020",YardsAll[[#This Row],[RAD/PACT]]="2021-2025"),"",IF(ISNUMBER(SEARCH("1",C184)),2,IF(ISNUMBER(SEARCH("2",C184)),1,IF(ISNUMBER(SEARCH("3",C184)),3,IF(ISNUMBER(SEARCH("4",C184)),4,IF(ISNUMBER(SEARCH("5",C184)),5,IF(ISNUMBER(SEARCH("6",C184)),6,IF(ISNUMBER(SEARCH("7",C184)),7,IF(ISNUMBER(SEARCH("8",C184)),8,0)))))))))</f>
        <v>2</v>
      </c>
      <c r="H184" s="143" t="str">
        <f ca="1">IF(YardsAll[[#This Row],[STATUS]]="","",IF(OR(F184="2019-2020",F184="2021-2025"),"",IF(ISNUMBER(SEARCH("LLC",D184)),VLOOKUP(A184,Yards25[],28,FALSE),VLOOKUP(A184,Yards[],28,FALSE))))</f>
        <v/>
      </c>
      <c r="I184" s="143" t="str">
        <f ca="1">IF(YardsAll[[#This Row],[STATUS]]="","",IF(OR(F184="2019-2020",F184="2021-2025"),"",IF(ISNUMBER(SEARCH("LLC",D184)),VLOOKUP(A184,Yards25[],17,FALSE),VLOOKUP(A184,Yards[],17,FALSE))))</f>
        <v/>
      </c>
      <c r="J184" s="143" t="str">
        <f ca="1">IF(YardsAll[[#This Row],[STATUS]]="","",IF(OR(F184="2019-2020",F184="2021-2025"),"",IF(ISNUMBER(SEARCH("LLC",D184)),VLOOKUP(A184,Yards25[],29,FALSE),VLOOKUP(A184,Yards[],29,FALSE))))</f>
        <v/>
      </c>
      <c r="K184" s="143" t="str">
        <f ca="1">IF(YardsAll[[#This Row],[STATUS]]="","",IF(OR(F184="2019-2020",F184="2021-2025"),"",IF(ISNUMBER(SEARCH("LLC",D184)),VLOOKUP(A184,Yards25[],19,FALSE),VLOOKUP(A184,Yards[],19,FALSE))))</f>
        <v/>
      </c>
      <c r="L184" s="143" t="str">
        <f ca="1">IF(IF(OR(F184="2019-2020",F184="2021-2025"),"",IF(ISNUMBER(SEARCH("LLC",D184)),VLOOKUP(A184,Yards25[],20,FALSE),VLOOKUP(A184,Yards[],20,FALSE)))=0,"",IF(OR(F184="2019-2020",F184="2021-2025"),"",IF(ISNUMBER(SEARCH("LLC",D184)),VLOOKUP(A184,Yards25[],20,FALSE),VLOOKUP(A184,Yards[],20,FALSE))))</f>
        <v/>
      </c>
      <c r="M184" s="151">
        <f ca="1">IF(OR(F184="2019-2020",F184="2021-2025"),"",IF(ISNUMBER(SEARCH("LLC",D184)),VLOOKUP(A184,Yards25[],21,FALSE),VLOOKUP(A184,Yards[],21,FALSE)))</f>
        <v>225039.4463730001</v>
      </c>
      <c r="N184" s="151">
        <f ca="1">IF(OR(F184="2019-2020",F184="2021-2025"),"",IF(ISNUMBER(SEARCH("LLC",D184)),VLOOKUP(A184,Yards25[],22,FALSE),VLOOKUP(A184,Yards[],22,FALSE)))</f>
        <v>2025355.0173570008</v>
      </c>
      <c r="O184" s="151">
        <f ca="1">SUM(YardsAll[[#This Row],[DSGN ESTIMATE]:[CONS ESTIMATE]])</f>
        <v>2250394.4637300009</v>
      </c>
      <c r="P184" s="143"/>
      <c r="Q184" s="143">
        <f ca="1">IF(OR(F184="2019-2020",F184="2021-2025"),"",IF(ISNUMBER(SEARCH("LLC",D184)),VLOOKUP(A184,Yards25[],25,FALSE),VLOOKUP(A184,Yards[],25,FALSE)))</f>
        <v>0</v>
      </c>
      <c r="R184" s="152"/>
    </row>
    <row r="185" spans="1:18">
      <c r="A185" s="147" t="s">
        <v>267</v>
      </c>
      <c r="B185" s="144" t="str">
        <f>VLOOKUP(A185,Data[],2,FALSE)</f>
        <v>BRONX</v>
      </c>
      <c r="C185" s="144" t="str">
        <f ca="1">IF(OR(F185="2019-2020",F185="2021-2025"),"",IF(ISNUMBER(SEARCH("LLC",D185)),VLOOKUP(A185,Yards25[],3,FALSE),VLOOKUP(A185,Yards[],3,FALSE)))</f>
        <v>New Waste Yard v2</v>
      </c>
      <c r="D185" s="9" t="str">
        <f>VLOOKUP(A185,Data[],52,FALSE)</f>
        <v>FEDERAL</v>
      </c>
      <c r="E185" s="9">
        <f>VLOOKUP(YardsAll[[#This Row],[DEVELOPMENT]],Data[],62,FALSE)</f>
        <v>1</v>
      </c>
      <c r="F185" s="9" t="str">
        <f ca="1">VLOOKUP(A185,Data[],4,FALSE)</f>
        <v/>
      </c>
      <c r="G185" s="9">
        <f ca="1">IF(OR(YardsAll[[#This Row],[RAD/PACT]]="2019-2020",YardsAll[[#This Row],[RAD/PACT]]="2021-2025"),"",IF(ISNUMBER(SEARCH("1",C185)),2,IF(ISNUMBER(SEARCH("2",C185)),1,IF(ISNUMBER(SEARCH("3",C185)),3,IF(ISNUMBER(SEARCH("4",C185)),4,IF(ISNUMBER(SEARCH("5",C185)),5,IF(ISNUMBER(SEARCH("6",C185)),6,IF(ISNUMBER(SEARCH("7",C185)),7,IF(ISNUMBER(SEARCH("8",C185)),8,0)))))))))</f>
        <v>1</v>
      </c>
      <c r="H185" s="143" t="str">
        <f ca="1">IF(YardsAll[[#This Row],[STATUS]]="","",IF(OR(F185="2019-2020",F185="2021-2025"),"",IF(ISNUMBER(SEARCH("LLC",D185)),VLOOKUP(A185,Yards25[],28,FALSE),VLOOKUP(A185,Yards[],28,FALSE))))</f>
        <v/>
      </c>
      <c r="I185" s="143" t="str">
        <f ca="1">IF(YardsAll[[#This Row],[STATUS]]="","",IF(OR(F185="2019-2020",F185="2021-2025"),"",IF(ISNUMBER(SEARCH("LLC",D185)),VLOOKUP(A185,Yards25[],17,FALSE),VLOOKUP(A185,Yards[],17,FALSE))))</f>
        <v/>
      </c>
      <c r="J185" s="143" t="str">
        <f ca="1">IF(YardsAll[[#This Row],[STATUS]]="","",IF(OR(F185="2019-2020",F185="2021-2025"),"",IF(ISNUMBER(SEARCH("LLC",D185)),VLOOKUP(A185,Yards25[],29,FALSE),VLOOKUP(A185,Yards[],29,FALSE))))</f>
        <v/>
      </c>
      <c r="K185" s="143" t="str">
        <f ca="1">IF(YardsAll[[#This Row],[STATUS]]="","",IF(OR(F185="2019-2020",F185="2021-2025"),"",IF(ISNUMBER(SEARCH("LLC",D185)),VLOOKUP(A185,Yards25[],19,FALSE),VLOOKUP(A185,Yards[],19,FALSE))))</f>
        <v/>
      </c>
      <c r="L185" s="143" t="str">
        <f ca="1">IF(IF(OR(F185="2019-2020",F185="2021-2025"),"",IF(ISNUMBER(SEARCH("LLC",D185)),VLOOKUP(A185,Yards25[],20,FALSE),VLOOKUP(A185,Yards[],20,FALSE)))=0,"",IF(OR(F185="2019-2020",F185="2021-2025"),"",IF(ISNUMBER(SEARCH("LLC",D185)),VLOOKUP(A185,Yards25[],20,FALSE),VLOOKUP(A185,Yards[],20,FALSE))))</f>
        <v/>
      </c>
      <c r="M185" s="151">
        <f ca="1">IF(OR(F185="2019-2020",F185="2021-2025"),"",IF(ISNUMBER(SEARCH("LLC",D185)),VLOOKUP(A185,Yards25[],21,FALSE),VLOOKUP(A185,Yards[],21,FALSE)))</f>
        <v>160066.00257475005</v>
      </c>
      <c r="N185" s="151">
        <f ca="1">IF(OR(F185="2019-2020",F185="2021-2025"),"",IF(ISNUMBER(SEARCH("LLC",D185)),VLOOKUP(A185,Yards25[],22,FALSE),VLOOKUP(A185,Yards[],22,FALSE)))</f>
        <v>1440594.0231727504</v>
      </c>
      <c r="O185" s="151">
        <f ca="1">SUM(YardsAll[[#This Row],[DSGN ESTIMATE]:[CONS ESTIMATE]])</f>
        <v>1600660.0257475004</v>
      </c>
      <c r="P185" s="143"/>
      <c r="Q185" s="143">
        <f ca="1">IF(OR(F185="2019-2020",F185="2021-2025"),"",IF(ISNUMBER(SEARCH("LLC",D185)),VLOOKUP(A185,Yards25[],25,FALSE),VLOOKUP(A185,Yards[],25,FALSE)))</f>
        <v>0</v>
      </c>
      <c r="R185" s="152"/>
    </row>
    <row r="186" spans="1:18">
      <c r="A186" s="147" t="s">
        <v>277</v>
      </c>
      <c r="B186" s="144" t="str">
        <f>VLOOKUP(A186,Data[],2,FALSE)</f>
        <v>BRONX</v>
      </c>
      <c r="C186" s="144" t="str">
        <f ca="1">IF(OR(F186="2019-2020",F186="2021-2025"),"",IF(ISNUMBER(SEARCH("LLC",D186)),VLOOKUP(A186,Yards25[],3,FALSE),VLOOKUP(A186,Yards[],3,FALSE)))</f>
        <v>New Waste Yard v1</v>
      </c>
      <c r="D186" s="9" t="str">
        <f>VLOOKUP(A186,Data[],52,FALSE)</f>
        <v>FEDERAL</v>
      </c>
      <c r="E186" s="9">
        <f>VLOOKUP(YardsAll[[#This Row],[DEVELOPMENT]],Data[],62,FALSE)</f>
        <v>1</v>
      </c>
      <c r="F186" s="9" t="str">
        <f ca="1">VLOOKUP(A186,Data[],4,FALSE)</f>
        <v/>
      </c>
      <c r="G186" s="9">
        <f ca="1">IF(OR(YardsAll[[#This Row],[RAD/PACT]]="2019-2020",YardsAll[[#This Row],[RAD/PACT]]="2021-2025"),"",IF(ISNUMBER(SEARCH("1",C186)),2,IF(ISNUMBER(SEARCH("2",C186)),1,IF(ISNUMBER(SEARCH("3",C186)),3,IF(ISNUMBER(SEARCH("4",C186)),4,IF(ISNUMBER(SEARCH("5",C186)),5,IF(ISNUMBER(SEARCH("6",C186)),6,IF(ISNUMBER(SEARCH("7",C186)),7,IF(ISNUMBER(SEARCH("8",C186)),8,0)))))))))</f>
        <v>2</v>
      </c>
      <c r="H186" s="143" t="str">
        <f ca="1">IF(YardsAll[[#This Row],[STATUS]]="","",IF(OR(F186="2019-2020",F186="2021-2025"),"",IF(ISNUMBER(SEARCH("LLC",D186)),VLOOKUP(A186,Yards25[],28,FALSE),VLOOKUP(A186,Yards[],28,FALSE))))</f>
        <v/>
      </c>
      <c r="I186" s="143" t="str">
        <f ca="1">IF(YardsAll[[#This Row],[STATUS]]="","",IF(OR(F186="2019-2020",F186="2021-2025"),"",IF(ISNUMBER(SEARCH("LLC",D186)),VLOOKUP(A186,Yards25[],17,FALSE),VLOOKUP(A186,Yards[],17,FALSE))))</f>
        <v/>
      </c>
      <c r="J186" s="143" t="str">
        <f ca="1">IF(YardsAll[[#This Row],[STATUS]]="","",IF(OR(F186="2019-2020",F186="2021-2025"),"",IF(ISNUMBER(SEARCH("LLC",D186)),VLOOKUP(A186,Yards25[],29,FALSE),VLOOKUP(A186,Yards[],29,FALSE))))</f>
        <v/>
      </c>
      <c r="K186" s="143" t="str">
        <f ca="1">IF(YardsAll[[#This Row],[STATUS]]="","",IF(OR(F186="2019-2020",F186="2021-2025"),"",IF(ISNUMBER(SEARCH("LLC",D186)),VLOOKUP(A186,Yards25[],19,FALSE),VLOOKUP(A186,Yards[],19,FALSE))))</f>
        <v/>
      </c>
      <c r="L186" s="143" t="str">
        <f ca="1">IF(IF(OR(F186="2019-2020",F186="2021-2025"),"",IF(ISNUMBER(SEARCH("LLC",D186)),VLOOKUP(A186,Yards25[],20,FALSE),VLOOKUP(A186,Yards[],20,FALSE)))=0,"",IF(OR(F186="2019-2020",F186="2021-2025"),"",IF(ISNUMBER(SEARCH("LLC",D186)),VLOOKUP(A186,Yards25[],20,FALSE),VLOOKUP(A186,Yards[],20,FALSE))))</f>
        <v/>
      </c>
      <c r="M186" s="151">
        <f ca="1">IF(OR(F186="2019-2020",F186="2021-2025"),"",IF(ISNUMBER(SEARCH("LLC",D186)),VLOOKUP(A186,Yards25[],21,FALSE),VLOOKUP(A186,Yards[],21,FALSE)))</f>
        <v>199733.80581700004</v>
      </c>
      <c r="N186" s="151">
        <f ca="1">IF(OR(F186="2019-2020",F186="2021-2025"),"",IF(ISNUMBER(SEARCH("LLC",D186)),VLOOKUP(A186,Yards25[],22,FALSE),VLOOKUP(A186,Yards[],22,FALSE)))</f>
        <v>1797604.2523530002</v>
      </c>
      <c r="O186" s="151">
        <f ca="1">SUM(YardsAll[[#This Row],[DSGN ESTIMATE]:[CONS ESTIMATE]])</f>
        <v>1997338.0581700003</v>
      </c>
      <c r="P186" s="143"/>
      <c r="Q186" s="143">
        <f ca="1">IF(OR(F186="2019-2020",F186="2021-2025"),"",IF(ISNUMBER(SEARCH("LLC",D186)),VLOOKUP(A186,Yards25[],25,FALSE),VLOOKUP(A186,Yards[],25,FALSE)))</f>
        <v>0</v>
      </c>
      <c r="R186" s="152"/>
    </row>
    <row r="187" spans="1:18">
      <c r="A187" s="147" t="s">
        <v>223</v>
      </c>
      <c r="B187" s="144" t="str">
        <f>VLOOKUP(A187,Data[],2,FALSE)</f>
        <v>BRONX</v>
      </c>
      <c r="C187" s="144" t="str">
        <f ca="1">IF(OR(F187="2019-2020",F187="2021-2025"),"",IF(ISNUMBER(SEARCH("LLC",D187)),VLOOKUP(A187,Yards25[],3,FALSE),VLOOKUP(A187,Yards[],3,FALSE)))</f>
        <v>New Waste Yard v5</v>
      </c>
      <c r="D187" s="9" t="str">
        <f>VLOOKUP(A187,Data[],52,FALSE)</f>
        <v>FEDERAL</v>
      </c>
      <c r="E187" s="9">
        <f>VLOOKUP(YardsAll[[#This Row],[DEVELOPMENT]],Data[],62,FALSE)</f>
        <v>1</v>
      </c>
      <c r="F187" s="9" t="str">
        <f ca="1">VLOOKUP(A187,Data[],4,FALSE)</f>
        <v>2026+</v>
      </c>
      <c r="G187" s="9">
        <f ca="1">IF(OR(YardsAll[[#This Row],[RAD/PACT]]="2019-2020",YardsAll[[#This Row],[RAD/PACT]]="2021-2025"),"",IF(ISNUMBER(SEARCH("1",C187)),2,IF(ISNUMBER(SEARCH("2",C187)),1,IF(ISNUMBER(SEARCH("3",C187)),3,IF(ISNUMBER(SEARCH("4",C187)),4,IF(ISNUMBER(SEARCH("5",C187)),5,IF(ISNUMBER(SEARCH("6",C187)),6,IF(ISNUMBER(SEARCH("7",C187)),7,IF(ISNUMBER(SEARCH("8",C187)),8,0)))))))))</f>
        <v>5</v>
      </c>
      <c r="H187" s="143" t="str">
        <f ca="1">IF(YardsAll[[#This Row],[STATUS]]="","",IF(OR(F187="2019-2020",F187="2021-2025"),"",IF(ISNUMBER(SEARCH("LLC",D187)),VLOOKUP(A187,Yards25[],28,FALSE),VLOOKUP(A187,Yards[],28,FALSE))))</f>
        <v/>
      </c>
      <c r="I187" s="143" t="str">
        <f ca="1">IF(YardsAll[[#This Row],[STATUS]]="","",IF(OR(F187="2019-2020",F187="2021-2025"),"",IF(ISNUMBER(SEARCH("LLC",D187)),VLOOKUP(A187,Yards25[],17,FALSE),VLOOKUP(A187,Yards[],17,FALSE))))</f>
        <v/>
      </c>
      <c r="J187" s="143" t="str">
        <f ca="1">IF(YardsAll[[#This Row],[STATUS]]="","",IF(OR(F187="2019-2020",F187="2021-2025"),"",IF(ISNUMBER(SEARCH("LLC",D187)),VLOOKUP(A187,Yards25[],29,FALSE),VLOOKUP(A187,Yards[],29,FALSE))))</f>
        <v/>
      </c>
      <c r="K187" s="143" t="str">
        <f ca="1">IF(YardsAll[[#This Row],[STATUS]]="","",IF(OR(F187="2019-2020",F187="2021-2025"),"",IF(ISNUMBER(SEARCH("LLC",D187)),VLOOKUP(A187,Yards25[],19,FALSE),VLOOKUP(A187,Yards[],19,FALSE))))</f>
        <v/>
      </c>
      <c r="L187" s="143" t="str">
        <f ca="1">IF(IF(OR(F187="2019-2020",F187="2021-2025"),"",IF(ISNUMBER(SEARCH("LLC",D187)),VLOOKUP(A187,Yards25[],20,FALSE),VLOOKUP(A187,Yards[],20,FALSE)))=0,"",IF(OR(F187="2019-2020",F187="2021-2025"),"",IF(ISNUMBER(SEARCH("LLC",D187)),VLOOKUP(A187,Yards25[],20,FALSE),VLOOKUP(A187,Yards[],20,FALSE))))</f>
        <v/>
      </c>
      <c r="M187" s="151">
        <f ca="1">IF(OR(F187="2019-2020",F187="2021-2025"),"",IF(ISNUMBER(SEARCH("LLC",D187)),VLOOKUP(A187,Yards25[],21,FALSE),VLOOKUP(A187,Yards[],21,FALSE)))</f>
        <v>286609.55599909998</v>
      </c>
      <c r="N187" s="151">
        <f ca="1">IF(OR(F187="2019-2020",F187="2021-2025"),"",IF(ISNUMBER(SEARCH("LLC",D187)),VLOOKUP(A187,Yards25[],22,FALSE),VLOOKUP(A187,Yards[],22,FALSE)))</f>
        <v>2579486.0039919</v>
      </c>
      <c r="O187" s="151">
        <f ca="1">SUM(YardsAll[[#This Row],[DSGN ESTIMATE]:[CONS ESTIMATE]])</f>
        <v>2866095.5599910002</v>
      </c>
      <c r="P187" s="143"/>
      <c r="Q187" s="143">
        <f ca="1">IF(OR(F187="2019-2020",F187="2021-2025"),"",IF(ISNUMBER(SEARCH("LLC",D187)),VLOOKUP(A187,Yards25[],25,FALSE),VLOOKUP(A187,Yards[],25,FALSE)))</f>
        <v>0</v>
      </c>
      <c r="R187" s="152"/>
    </row>
    <row r="188" spans="1:18">
      <c r="A188" s="147" t="s">
        <v>114</v>
      </c>
      <c r="B188" s="144" t="str">
        <f>VLOOKUP(A188,Data[],2,FALSE)</f>
        <v>BRONX</v>
      </c>
      <c r="C188" s="144" t="str">
        <f ca="1">IF(OR(F188="2019-2020",F188="2021-2025"),"",IF(ISNUMBER(SEARCH("LLC",D188)),VLOOKUP(A188,Yards25[],3,FALSE),VLOOKUP(A188,Yards[],3,FALSE)))</f>
        <v>New Waste Yard v3</v>
      </c>
      <c r="D188" s="9" t="str">
        <f>VLOOKUP(A188,Data[],52,FALSE)</f>
        <v>FEDERAL</v>
      </c>
      <c r="E188" s="9">
        <f>VLOOKUP(YardsAll[[#This Row],[DEVELOPMENT]],Data[],62,FALSE)</f>
        <v>9</v>
      </c>
      <c r="F188" s="9" t="str">
        <f ca="1">VLOOKUP(A188,Data[],4,FALSE)</f>
        <v>2026+</v>
      </c>
      <c r="G188" s="9">
        <f ca="1">IF(OR(YardsAll[[#This Row],[RAD/PACT]]="2019-2020",YardsAll[[#This Row],[RAD/PACT]]="2021-2025"),"",IF(ISNUMBER(SEARCH("1",C188)),2,IF(ISNUMBER(SEARCH("2",C188)),1,IF(ISNUMBER(SEARCH("3",C188)),3,IF(ISNUMBER(SEARCH("4",C188)),4,IF(ISNUMBER(SEARCH("5",C188)),5,IF(ISNUMBER(SEARCH("6",C188)),6,IF(ISNUMBER(SEARCH("7",C188)),7,IF(ISNUMBER(SEARCH("8",C188)),8,0)))))))))</f>
        <v>3</v>
      </c>
      <c r="H188" s="143" t="str">
        <f ca="1">IF(YardsAll[[#This Row],[STATUS]]="","",IF(OR(F188="2019-2020",F188="2021-2025"),"",IF(ISNUMBER(SEARCH("LLC",D188)),VLOOKUP(A188,Yards25[],28,FALSE),VLOOKUP(A188,Yards[],28,FALSE))))</f>
        <v/>
      </c>
      <c r="I188" s="143" t="str">
        <f ca="1">IF(YardsAll[[#This Row],[STATUS]]="","",IF(OR(F188="2019-2020",F188="2021-2025"),"",IF(ISNUMBER(SEARCH("LLC",D188)),VLOOKUP(A188,Yards25[],17,FALSE),VLOOKUP(A188,Yards[],17,FALSE))))</f>
        <v/>
      </c>
      <c r="J188" s="143" t="str">
        <f ca="1">IF(YardsAll[[#This Row],[STATUS]]="","",IF(OR(F188="2019-2020",F188="2021-2025"),"",IF(ISNUMBER(SEARCH("LLC",D188)),VLOOKUP(A188,Yards25[],29,FALSE),VLOOKUP(A188,Yards[],29,FALSE))))</f>
        <v/>
      </c>
      <c r="K188" s="143" t="str">
        <f ca="1">IF(YardsAll[[#This Row],[STATUS]]="","",IF(OR(F188="2019-2020",F188="2021-2025"),"",IF(ISNUMBER(SEARCH("LLC",D188)),VLOOKUP(A188,Yards25[],19,FALSE),VLOOKUP(A188,Yards[],19,FALSE))))</f>
        <v/>
      </c>
      <c r="L188" s="143" t="str">
        <f ca="1">IF(IF(OR(F188="2019-2020",F188="2021-2025"),"",IF(ISNUMBER(SEARCH("LLC",D188)),VLOOKUP(A188,Yards25[],20,FALSE),VLOOKUP(A188,Yards[],20,FALSE)))=0,"",IF(OR(F188="2019-2020",F188="2021-2025"),"",IF(ISNUMBER(SEARCH("LLC",D188)),VLOOKUP(A188,Yards25[],20,FALSE),VLOOKUP(A188,Yards[],20,FALSE))))</f>
        <v/>
      </c>
      <c r="M188" s="151">
        <f ca="1">IF(OR(F188="2019-2020",F188="2021-2025"),"",IF(ISNUMBER(SEARCH("LLC",D188)),VLOOKUP(A188,Yards25[],21,FALSE),VLOOKUP(A188,Yards[],21,FALSE)))</f>
        <v>216185.89406550006</v>
      </c>
      <c r="N188" s="151">
        <f ca="1">IF(OR(F188="2019-2020",F188="2021-2025"),"",IF(ISNUMBER(SEARCH("LLC",D188)),VLOOKUP(A188,Yards25[],22,FALSE),VLOOKUP(A188,Yards[],22,FALSE)))</f>
        <v>1945673.0465895005</v>
      </c>
      <c r="O188" s="151">
        <f ca="1">SUM(YardsAll[[#This Row],[DSGN ESTIMATE]:[CONS ESTIMATE]])</f>
        <v>2161858.9406550005</v>
      </c>
      <c r="P188" s="143"/>
      <c r="Q188" s="143">
        <f ca="1">IF(OR(F188="2019-2020",F188="2021-2025"),"",IF(ISNUMBER(SEARCH("LLC",D188)),VLOOKUP(A188,Yards25[],25,FALSE),VLOOKUP(A188,Yards[],25,FALSE)))</f>
        <v>0</v>
      </c>
      <c r="R188" s="152"/>
    </row>
    <row r="189" spans="1:18">
      <c r="A189" s="147" t="s">
        <v>91</v>
      </c>
      <c r="B189" s="144" t="str">
        <f>VLOOKUP(A189,Data[],2,FALSE)</f>
        <v>BRONX</v>
      </c>
      <c r="C189" s="144" t="str">
        <f ca="1">IF(OR(F189="2019-2020",F189="2021-2025"),"",IF(ISNUMBER(SEARCH("LLC",D189)),VLOOKUP(A189,Yards25[],3,FALSE),VLOOKUP(A189,Yards[],3,FALSE)))</f>
        <v>New Waste Yard v1</v>
      </c>
      <c r="D189" s="9" t="str">
        <f>VLOOKUP(A189,Data[],52,FALSE)</f>
        <v>FEDERAL</v>
      </c>
      <c r="E189" s="9">
        <f>VLOOKUP(YardsAll[[#This Row],[DEVELOPMENT]],Data[],62,FALSE)</f>
        <v>1</v>
      </c>
      <c r="F189" s="9" t="str">
        <f ca="1">VLOOKUP(A189,Data[],4,FALSE)</f>
        <v>2026+</v>
      </c>
      <c r="G189" s="9">
        <f ca="1">IF(OR(YardsAll[[#This Row],[RAD/PACT]]="2019-2020",YardsAll[[#This Row],[RAD/PACT]]="2021-2025"),"",IF(ISNUMBER(SEARCH("1",C189)),2,IF(ISNUMBER(SEARCH("2",C189)),1,IF(ISNUMBER(SEARCH("3",C189)),3,IF(ISNUMBER(SEARCH("4",C189)),4,IF(ISNUMBER(SEARCH("5",C189)),5,IF(ISNUMBER(SEARCH("6",C189)),6,IF(ISNUMBER(SEARCH("7",C189)),7,IF(ISNUMBER(SEARCH("8",C189)),8,0)))))))))</f>
        <v>2</v>
      </c>
      <c r="H189" s="143" t="str">
        <f ca="1">IF(YardsAll[[#This Row],[STATUS]]="","",IF(OR(F189="2019-2020",F189="2021-2025"),"",IF(ISNUMBER(SEARCH("LLC",D189)),VLOOKUP(A189,Yards25[],28,FALSE),VLOOKUP(A189,Yards[],28,FALSE))))</f>
        <v/>
      </c>
      <c r="I189" s="143" t="str">
        <f ca="1">IF(YardsAll[[#This Row],[STATUS]]="","",IF(OR(F189="2019-2020",F189="2021-2025"),"",IF(ISNUMBER(SEARCH("LLC",D189)),VLOOKUP(A189,Yards25[],17,FALSE),VLOOKUP(A189,Yards[],17,FALSE))))</f>
        <v/>
      </c>
      <c r="J189" s="143" t="str">
        <f ca="1">IF(YardsAll[[#This Row],[STATUS]]="","",IF(OR(F189="2019-2020",F189="2021-2025"),"",IF(ISNUMBER(SEARCH("LLC",D189)),VLOOKUP(A189,Yards25[],29,FALSE),VLOOKUP(A189,Yards[],29,FALSE))))</f>
        <v/>
      </c>
      <c r="K189" s="143" t="str">
        <f ca="1">IF(YardsAll[[#This Row],[STATUS]]="","",IF(OR(F189="2019-2020",F189="2021-2025"),"",IF(ISNUMBER(SEARCH("LLC",D189)),VLOOKUP(A189,Yards25[],19,FALSE),VLOOKUP(A189,Yards[],19,FALSE))))</f>
        <v/>
      </c>
      <c r="L189" s="143" t="str">
        <f ca="1">IF(IF(OR(F189="2019-2020",F189="2021-2025"),"",IF(ISNUMBER(SEARCH("LLC",D189)),VLOOKUP(A189,Yards25[],20,FALSE),VLOOKUP(A189,Yards[],20,FALSE)))=0,"",IF(OR(F189="2019-2020",F189="2021-2025"),"",IF(ISNUMBER(SEARCH("LLC",D189)),VLOOKUP(A189,Yards25[],20,FALSE),VLOOKUP(A189,Yards[],20,FALSE))))</f>
        <v/>
      </c>
      <c r="M189" s="151">
        <f ca="1">IF(OR(F189="2019-2020",F189="2021-2025"),"",IF(ISNUMBER(SEARCH("LLC",D189)),VLOOKUP(A189,Yards25[],21,FALSE),VLOOKUP(A189,Yards[],21,FALSE)))</f>
        <v>206060.21595600009</v>
      </c>
      <c r="N189" s="151">
        <f ca="1">IF(OR(F189="2019-2020",F189="2021-2025"),"",IF(ISNUMBER(SEARCH("LLC",D189)),VLOOKUP(A189,Yards25[],22,FALSE),VLOOKUP(A189,Yards[],22,FALSE)))</f>
        <v>1854541.9436040006</v>
      </c>
      <c r="O189" s="151">
        <f ca="1">SUM(YardsAll[[#This Row],[DSGN ESTIMATE]:[CONS ESTIMATE]])</f>
        <v>2060602.1595600008</v>
      </c>
      <c r="P189" s="143"/>
      <c r="Q189" s="143">
        <f ca="1">IF(OR(F189="2019-2020",F189="2021-2025"),"",IF(ISNUMBER(SEARCH("LLC",D189)),VLOOKUP(A189,Yards25[],25,FALSE),VLOOKUP(A189,Yards[],25,FALSE)))</f>
        <v>0</v>
      </c>
      <c r="R189" s="152"/>
    </row>
    <row r="190" spans="1:18">
      <c r="A190" s="148" t="s">
        <v>40</v>
      </c>
      <c r="B190" s="144" t="str">
        <f>VLOOKUP(A190,Data[],2,FALSE)</f>
        <v>BRONX</v>
      </c>
      <c r="C190" s="144" t="str">
        <f ca="1">IF(OR(F190="2019-2020",F190="2021-2025"),"",IF(ISNUMBER(SEARCH("LLC",D190)),VLOOKUP(A190,Yards25[],3,FALSE),VLOOKUP(A190,Yards[],3,FALSE)))</f>
        <v>New Waste Yard v2</v>
      </c>
      <c r="D190" s="9" t="str">
        <f>VLOOKUP(A190,Data[],52,FALSE)</f>
        <v>FEDERAL</v>
      </c>
      <c r="E190" s="9">
        <f>VLOOKUP(YardsAll[[#This Row],[DEVELOPMENT]],Data[],62,FALSE)</f>
        <v>3</v>
      </c>
      <c r="F190" s="9" t="str">
        <f ca="1">VLOOKUP(A190,Data[],4,FALSE)</f>
        <v/>
      </c>
      <c r="G190" s="9">
        <f ca="1">IF(OR(YardsAll[[#This Row],[RAD/PACT]]="2019-2020",YardsAll[[#This Row],[RAD/PACT]]="2021-2025"),"",IF(ISNUMBER(SEARCH("1",C190)),2,IF(ISNUMBER(SEARCH("2",C190)),1,IF(ISNUMBER(SEARCH("3",C190)),3,IF(ISNUMBER(SEARCH("4",C190)),4,IF(ISNUMBER(SEARCH("5",C190)),5,IF(ISNUMBER(SEARCH("6",C190)),6,IF(ISNUMBER(SEARCH("7",C190)),7,IF(ISNUMBER(SEARCH("8",C190)),8,0)))))))))</f>
        <v>1</v>
      </c>
      <c r="H190" s="143" t="str">
        <f ca="1">IF(YardsAll[[#This Row],[STATUS]]="","",IF(OR(F190="2019-2020",F190="2021-2025"),"",IF(ISNUMBER(SEARCH("LLC",D190)),VLOOKUP(A190,Yards25[],28,FALSE),VLOOKUP(A190,Yards[],28,FALSE))))</f>
        <v/>
      </c>
      <c r="I190" s="143" t="str">
        <f ca="1">IF(YardsAll[[#This Row],[STATUS]]="","",IF(OR(F190="2019-2020",F190="2021-2025"),"",IF(ISNUMBER(SEARCH("LLC",D190)),VLOOKUP(A190,Yards25[],17,FALSE),VLOOKUP(A190,Yards[],17,FALSE))))</f>
        <v/>
      </c>
      <c r="J190" s="143" t="str">
        <f ca="1">IF(YardsAll[[#This Row],[STATUS]]="","",IF(OR(F190="2019-2020",F190="2021-2025"),"",IF(ISNUMBER(SEARCH("LLC",D190)),VLOOKUP(A190,Yards25[],29,FALSE),VLOOKUP(A190,Yards[],29,FALSE))))</f>
        <v/>
      </c>
      <c r="K190" s="143" t="str">
        <f ca="1">IF(YardsAll[[#This Row],[STATUS]]="","",IF(OR(F190="2019-2020",F190="2021-2025"),"",IF(ISNUMBER(SEARCH("LLC",D190)),VLOOKUP(A190,Yards25[],19,FALSE),VLOOKUP(A190,Yards[],19,FALSE))))</f>
        <v/>
      </c>
      <c r="L190" s="143" t="str">
        <f ca="1">IF(IF(OR(F190="2019-2020",F190="2021-2025"),"",IF(ISNUMBER(SEARCH("LLC",D190)),VLOOKUP(A190,Yards25[],20,FALSE),VLOOKUP(A190,Yards[],20,FALSE)))=0,"",IF(OR(F190="2019-2020",F190="2021-2025"),"",IF(ISNUMBER(SEARCH("LLC",D190)),VLOOKUP(A190,Yards25[],20,FALSE),VLOOKUP(A190,Yards[],20,FALSE))))</f>
        <v/>
      </c>
      <c r="M190" s="151">
        <f ca="1">IF(OR(F190="2019-2020",F190="2021-2025"),"",IF(ISNUMBER(SEARCH("LLC",D190)),VLOOKUP(A190,Yards25[],21,FALSE),VLOOKUP(A190,Yards[],21,FALSE)))</f>
        <v>169601.84953665006</v>
      </c>
      <c r="N190" s="151">
        <f ca="1">IF(OR(F190="2019-2020",F190="2021-2025"),"",IF(ISNUMBER(SEARCH("LLC",D190)),VLOOKUP(A190,Yards25[],22,FALSE),VLOOKUP(A190,Yards[],22,FALSE)))</f>
        <v>1526416.6458298503</v>
      </c>
      <c r="O190" s="151">
        <f ca="1">SUM(YardsAll[[#This Row],[DSGN ESTIMATE]:[CONS ESTIMATE]])</f>
        <v>1696018.4953665005</v>
      </c>
      <c r="P190" s="143"/>
      <c r="Q190" s="143">
        <f ca="1">IF(OR(F190="2019-2020",F190="2021-2025"),"",IF(ISNUMBER(SEARCH("LLC",D190)),VLOOKUP(A190,Yards25[],25,FALSE),VLOOKUP(A190,Yards[],25,FALSE)))</f>
        <v>0</v>
      </c>
      <c r="R190" s="152"/>
    </row>
    <row r="191" spans="1:18">
      <c r="A191" s="148" t="s">
        <v>140</v>
      </c>
      <c r="B191" s="144" t="str">
        <f>VLOOKUP(A191,Data[],2,FALSE)</f>
        <v>BRONX</v>
      </c>
      <c r="C191" s="144" t="str">
        <f ca="1">IF(OR(F191="2019-2020",F191="2021-2025"),"",IF(ISNUMBER(SEARCH("LLC",D191)),VLOOKUP(A191,Yards25[],3,FALSE),VLOOKUP(A191,Yards[],3,FALSE)))</f>
        <v>New Waste Yard v3</v>
      </c>
      <c r="D191" s="9" t="str">
        <f>VLOOKUP(A191,Data[],52,FALSE)</f>
        <v>FEDERAL</v>
      </c>
      <c r="E191" s="9">
        <f>VLOOKUP(YardsAll[[#This Row],[DEVELOPMENT]],Data[],62,FALSE)</f>
        <v>3</v>
      </c>
      <c r="F191" s="9" t="str">
        <f ca="1">VLOOKUP(A191,Data[],4,FALSE)</f>
        <v/>
      </c>
      <c r="G191" s="9">
        <f ca="1">IF(OR(YardsAll[[#This Row],[RAD/PACT]]="2019-2020",YardsAll[[#This Row],[RAD/PACT]]="2021-2025"),"",IF(ISNUMBER(SEARCH("1",C191)),2,IF(ISNUMBER(SEARCH("2",C191)),1,IF(ISNUMBER(SEARCH("3",C191)),3,IF(ISNUMBER(SEARCH("4",C191)),4,IF(ISNUMBER(SEARCH("5",C191)),5,IF(ISNUMBER(SEARCH("6",C191)),6,IF(ISNUMBER(SEARCH("7",C191)),7,IF(ISNUMBER(SEARCH("8",C191)),8,0)))))))))</f>
        <v>3</v>
      </c>
      <c r="H191" s="143" t="str">
        <f ca="1">IF(YardsAll[[#This Row],[STATUS]]="","",IF(OR(F191="2019-2020",F191="2021-2025"),"",IF(ISNUMBER(SEARCH("LLC",D191)),VLOOKUP(A191,Yards25[],28,FALSE),VLOOKUP(A191,Yards[],28,FALSE))))</f>
        <v/>
      </c>
      <c r="I191" s="143" t="str">
        <f ca="1">IF(YardsAll[[#This Row],[STATUS]]="","",IF(OR(F191="2019-2020",F191="2021-2025"),"",IF(ISNUMBER(SEARCH("LLC",D191)),VLOOKUP(A191,Yards25[],17,FALSE),VLOOKUP(A191,Yards[],17,FALSE))))</f>
        <v/>
      </c>
      <c r="J191" s="143" t="str">
        <f ca="1">IF(YardsAll[[#This Row],[STATUS]]="","",IF(OR(F191="2019-2020",F191="2021-2025"),"",IF(ISNUMBER(SEARCH("LLC",D191)),VLOOKUP(A191,Yards25[],29,FALSE),VLOOKUP(A191,Yards[],29,FALSE))))</f>
        <v/>
      </c>
      <c r="K191" s="143" t="str">
        <f ca="1">IF(YardsAll[[#This Row],[STATUS]]="","",IF(OR(F191="2019-2020",F191="2021-2025"),"",IF(ISNUMBER(SEARCH("LLC",D191)),VLOOKUP(A191,Yards25[],19,FALSE),VLOOKUP(A191,Yards[],19,FALSE))))</f>
        <v/>
      </c>
      <c r="L191" s="143" t="str">
        <f ca="1">IF(IF(OR(F191="2019-2020",F191="2021-2025"),"",IF(ISNUMBER(SEARCH("LLC",D191)),VLOOKUP(A191,Yards25[],20,FALSE),VLOOKUP(A191,Yards[],20,FALSE)))=0,"",IF(OR(F191="2019-2020",F191="2021-2025"),"",IF(ISNUMBER(SEARCH("LLC",D191)),VLOOKUP(A191,Yards25[],20,FALSE),VLOOKUP(A191,Yards[],20,FALSE))))</f>
        <v/>
      </c>
      <c r="M191" s="151">
        <f ca="1">IF(OR(F191="2019-2020",F191="2021-2025"),"",IF(ISNUMBER(SEARCH("LLC",D191)),VLOOKUP(A191,Yards25[],21,FALSE),VLOOKUP(A191,Yards[],21,FALSE)))</f>
        <v>209114.39285775006</v>
      </c>
      <c r="N191" s="151">
        <f ca="1">IF(OR(F191="2019-2020",F191="2021-2025"),"",IF(ISNUMBER(SEARCH("LLC",D191)),VLOOKUP(A191,Yards25[],22,FALSE),VLOOKUP(A191,Yards[],22,FALSE)))</f>
        <v>1882029.5357197504</v>
      </c>
      <c r="O191" s="151">
        <f ca="1">SUM(YardsAll[[#This Row],[DSGN ESTIMATE]:[CONS ESTIMATE]])</f>
        <v>2091143.9285775004</v>
      </c>
      <c r="P191" s="143"/>
      <c r="Q191" s="143">
        <f ca="1">IF(OR(F191="2019-2020",F191="2021-2025"),"",IF(ISNUMBER(SEARCH("LLC",D191)),VLOOKUP(A191,Yards25[],25,FALSE),VLOOKUP(A191,Yards[],25,FALSE)))</f>
        <v>0</v>
      </c>
      <c r="R191" s="152"/>
    </row>
    <row r="192" spans="1:18">
      <c r="A192" s="147" t="s">
        <v>92</v>
      </c>
      <c r="B192" s="144" t="str">
        <f>VLOOKUP(A192,Data[],2,FALSE)</f>
        <v>MANHATTAN</v>
      </c>
      <c r="C192" s="144" t="str">
        <f ca="1">IF(OR(F192="2019-2020",F192="2021-2025"),"",IF(ISNUMBER(SEARCH("LLC",D192)),VLOOKUP(A192,Yards25[],3,FALSE),VLOOKUP(A192,Yards[],3,FALSE)))</f>
        <v>New Waste Yard v1</v>
      </c>
      <c r="D192" s="9" t="str">
        <f>VLOOKUP(A192,Data[],52,FALSE)</f>
        <v>FEDERAL</v>
      </c>
      <c r="E192" s="9">
        <f>VLOOKUP(YardsAll[[#This Row],[DEVELOPMENT]],Data[],62,FALSE)</f>
        <v>11</v>
      </c>
      <c r="F192" s="9" t="str">
        <f ca="1">VLOOKUP(A192,Data[],4,FALSE)</f>
        <v/>
      </c>
      <c r="G192" s="9">
        <f ca="1">IF(OR(YardsAll[[#This Row],[RAD/PACT]]="2019-2020",YardsAll[[#This Row],[RAD/PACT]]="2021-2025"),"",IF(ISNUMBER(SEARCH("1",C192)),2,IF(ISNUMBER(SEARCH("2",C192)),1,IF(ISNUMBER(SEARCH("3",C192)),3,IF(ISNUMBER(SEARCH("4",C192)),4,IF(ISNUMBER(SEARCH("5",C192)),5,IF(ISNUMBER(SEARCH("6",C192)),6,IF(ISNUMBER(SEARCH("7",C192)),7,IF(ISNUMBER(SEARCH("8",C192)),8,0)))))))))</f>
        <v>2</v>
      </c>
      <c r="H192" s="143" t="str">
        <f ca="1">IF(YardsAll[[#This Row],[STATUS]]="","",IF(OR(F192="2019-2020",F192="2021-2025"),"",IF(ISNUMBER(SEARCH("LLC",D192)),VLOOKUP(A192,Yards25[],28,FALSE),VLOOKUP(A192,Yards[],28,FALSE))))</f>
        <v/>
      </c>
      <c r="I192" s="143" t="str">
        <f ca="1">IF(YardsAll[[#This Row],[STATUS]]="","",IF(OR(F192="2019-2020",F192="2021-2025"),"",IF(ISNUMBER(SEARCH("LLC",D192)),VLOOKUP(A192,Yards25[],17,FALSE),VLOOKUP(A192,Yards[],17,FALSE))))</f>
        <v/>
      </c>
      <c r="J192" s="143" t="str">
        <f ca="1">IF(YardsAll[[#This Row],[STATUS]]="","",IF(OR(F192="2019-2020",F192="2021-2025"),"",IF(ISNUMBER(SEARCH("LLC",D192)),VLOOKUP(A192,Yards25[],29,FALSE),VLOOKUP(A192,Yards[],29,FALSE))))</f>
        <v/>
      </c>
      <c r="K192" s="143" t="str">
        <f ca="1">IF(YardsAll[[#This Row],[STATUS]]="","",IF(OR(F192="2019-2020",F192="2021-2025"),"",IF(ISNUMBER(SEARCH("LLC",D192)),VLOOKUP(A192,Yards25[],19,FALSE),VLOOKUP(A192,Yards[],19,FALSE))))</f>
        <v/>
      </c>
      <c r="L192" s="143" t="str">
        <f ca="1">IF(IF(OR(F192="2019-2020",F192="2021-2025"),"",IF(ISNUMBER(SEARCH("LLC",D192)),VLOOKUP(A192,Yards25[],20,FALSE),VLOOKUP(A192,Yards[],20,FALSE)))=0,"",IF(OR(F192="2019-2020",F192="2021-2025"),"",IF(ISNUMBER(SEARCH("LLC",D192)),VLOOKUP(A192,Yards25[],20,FALSE),VLOOKUP(A192,Yards[],20,FALSE))))</f>
        <v/>
      </c>
      <c r="M192" s="151">
        <f ca="1">IF(OR(F192="2019-2020",F192="2021-2025"),"",IF(ISNUMBER(SEARCH("LLC",D192)),VLOOKUP(A192,Yards25[],21,FALSE),VLOOKUP(A192,Yards[],21,FALSE)))</f>
        <v>199733.80581700004</v>
      </c>
      <c r="N192" s="151">
        <f ca="1">IF(OR(F192="2019-2020",F192="2021-2025"),"",IF(ISNUMBER(SEARCH("LLC",D192)),VLOOKUP(A192,Yards25[],22,FALSE),VLOOKUP(A192,Yards[],22,FALSE)))</f>
        <v>1797604.2523530002</v>
      </c>
      <c r="O192" s="151">
        <f ca="1">SUM(YardsAll[[#This Row],[DSGN ESTIMATE]:[CONS ESTIMATE]])</f>
        <v>1997338.0581700003</v>
      </c>
      <c r="P192" s="143"/>
      <c r="Q192" s="143">
        <f ca="1">IF(OR(F192="2019-2020",F192="2021-2025"),"",IF(ISNUMBER(SEARCH("LLC",D192)),VLOOKUP(A192,Yards25[],25,FALSE),VLOOKUP(A192,Yards[],25,FALSE)))</f>
        <v>0</v>
      </c>
      <c r="R192" s="152"/>
    </row>
    <row r="193" spans="1:18">
      <c r="A193" s="148" t="s">
        <v>147</v>
      </c>
      <c r="B193" s="144" t="str">
        <f>VLOOKUP(A193,Data[],2,FALSE)</f>
        <v>BRONX</v>
      </c>
      <c r="C193" s="144" t="str">
        <f ca="1">IF(OR(F193="2019-2020",F193="2021-2025"),"",IF(ISNUMBER(SEARCH("LLC",D193)),VLOOKUP(A193,Yards25[],3,FALSE),VLOOKUP(A193,Yards[],3,FALSE)))</f>
        <v>New Waste Yard v1</v>
      </c>
      <c r="D193" s="9" t="str">
        <f>VLOOKUP(A193,Data[],52,FALSE)</f>
        <v>FEDERAL</v>
      </c>
      <c r="E193" s="9">
        <f>VLOOKUP(YardsAll[[#This Row],[DEVELOPMENT]],Data[],62,FALSE)</f>
        <v>3</v>
      </c>
      <c r="F193" s="9" t="str">
        <f ca="1">VLOOKUP(A193,Data[],4,FALSE)</f>
        <v/>
      </c>
      <c r="G193" s="9">
        <f ca="1">IF(OR(YardsAll[[#This Row],[RAD/PACT]]="2019-2020",YardsAll[[#This Row],[RAD/PACT]]="2021-2025"),"",IF(ISNUMBER(SEARCH("1",C193)),2,IF(ISNUMBER(SEARCH("2",C193)),1,IF(ISNUMBER(SEARCH("3",C193)),3,IF(ISNUMBER(SEARCH("4",C193)),4,IF(ISNUMBER(SEARCH("5",C193)),5,IF(ISNUMBER(SEARCH("6",C193)),6,IF(ISNUMBER(SEARCH("7",C193)),7,IF(ISNUMBER(SEARCH("8",C193)),8,0)))))))))</f>
        <v>2</v>
      </c>
      <c r="H193" s="143" t="str">
        <f ca="1">IF(YardsAll[[#This Row],[STATUS]]="","",IF(OR(F193="2019-2020",F193="2021-2025"),"",IF(ISNUMBER(SEARCH("LLC",D193)),VLOOKUP(A193,Yards25[],28,FALSE),VLOOKUP(A193,Yards[],28,FALSE))))</f>
        <v/>
      </c>
      <c r="I193" s="143" t="str">
        <f ca="1">IF(YardsAll[[#This Row],[STATUS]]="","",IF(OR(F193="2019-2020",F193="2021-2025"),"",IF(ISNUMBER(SEARCH("LLC",D193)),VLOOKUP(A193,Yards25[],17,FALSE),VLOOKUP(A193,Yards[],17,FALSE))))</f>
        <v/>
      </c>
      <c r="J193" s="143" t="str">
        <f ca="1">IF(YardsAll[[#This Row],[STATUS]]="","",IF(OR(F193="2019-2020",F193="2021-2025"),"",IF(ISNUMBER(SEARCH("LLC",D193)),VLOOKUP(A193,Yards25[],29,FALSE),VLOOKUP(A193,Yards[],29,FALSE))))</f>
        <v/>
      </c>
      <c r="K193" s="143" t="str">
        <f ca="1">IF(YardsAll[[#This Row],[STATUS]]="","",IF(OR(F193="2019-2020",F193="2021-2025"),"",IF(ISNUMBER(SEARCH("LLC",D193)),VLOOKUP(A193,Yards25[],19,FALSE),VLOOKUP(A193,Yards[],19,FALSE))))</f>
        <v/>
      </c>
      <c r="L193" s="143" t="str">
        <f ca="1">IF(IF(OR(F193="2019-2020",F193="2021-2025"),"",IF(ISNUMBER(SEARCH("LLC",D193)),VLOOKUP(A193,Yards25[],20,FALSE),VLOOKUP(A193,Yards[],20,FALSE)))=0,"",IF(OR(F193="2019-2020",F193="2021-2025"),"",IF(ISNUMBER(SEARCH("LLC",D193)),VLOOKUP(A193,Yards25[],20,FALSE),VLOOKUP(A193,Yards[],20,FALSE))))</f>
        <v/>
      </c>
      <c r="M193" s="151">
        <f ca="1">IF(OR(F193="2019-2020",F193="2021-2025"),"",IF(ISNUMBER(SEARCH("LLC",D193)),VLOOKUP(A193,Yards25[],21,FALSE),VLOOKUP(A193,Yards[],21,FALSE)))</f>
        <v>212386.62609500007</v>
      </c>
      <c r="N193" s="151">
        <f ca="1">IF(OR(F193="2019-2020",F193="2021-2025"),"",IF(ISNUMBER(SEARCH("LLC",D193)),VLOOKUP(A193,Yards25[],22,FALSE),VLOOKUP(A193,Yards[],22,FALSE)))</f>
        <v>1911479.6348550003</v>
      </c>
      <c r="O193" s="151">
        <f ca="1">SUM(YardsAll[[#This Row],[DSGN ESTIMATE]:[CONS ESTIMATE]])</f>
        <v>2123866.2609500005</v>
      </c>
      <c r="P193" s="143"/>
      <c r="Q193" s="143">
        <f ca="1">IF(OR(F193="2019-2020",F193="2021-2025"),"",IF(ISNUMBER(SEARCH("LLC",D193)),VLOOKUP(A193,Yards25[],25,FALSE),VLOOKUP(A193,Yards[],25,FALSE)))</f>
        <v>0</v>
      </c>
      <c r="R193" s="152"/>
    </row>
    <row r="194" spans="1:18">
      <c r="A194" s="148" t="s">
        <v>41</v>
      </c>
      <c r="B194" s="144" t="str">
        <f>VLOOKUP(A194,Data[],2,FALSE)</f>
        <v>BRONX</v>
      </c>
      <c r="C194" s="144" t="str">
        <f ca="1">IF(OR(F194="2019-2020",F194="2021-2025"),"",IF(ISNUMBER(SEARCH("LLC",D194)),VLOOKUP(A194,Yards25[],3,FALSE),VLOOKUP(A194,Yards[],3,FALSE)))</f>
        <v>New Waste Yard v2</v>
      </c>
      <c r="D194" s="9" t="str">
        <f>VLOOKUP(A194,Data[],52,FALSE)</f>
        <v>FEDERAL</v>
      </c>
      <c r="E194" s="9" t="str">
        <f>VLOOKUP(YardsAll[[#This Row],[DEVELOPMENT]],Data[],62,FALSE)</f>
        <v>3, 4</v>
      </c>
      <c r="F194" s="9" t="str">
        <f ca="1">VLOOKUP(A194,Data[],4,FALSE)</f>
        <v/>
      </c>
      <c r="G194" s="9">
        <f ca="1">IF(OR(YardsAll[[#This Row],[RAD/PACT]]="2019-2020",YardsAll[[#This Row],[RAD/PACT]]="2021-2025"),"",IF(ISNUMBER(SEARCH("1",C194)),2,IF(ISNUMBER(SEARCH("2",C194)),1,IF(ISNUMBER(SEARCH("3",C194)),3,IF(ISNUMBER(SEARCH("4",C194)),4,IF(ISNUMBER(SEARCH("5",C194)),5,IF(ISNUMBER(SEARCH("6",C194)),6,IF(ISNUMBER(SEARCH("7",C194)),7,IF(ISNUMBER(SEARCH("8",C194)),8,0)))))))))</f>
        <v>1</v>
      </c>
      <c r="H194" s="143" t="str">
        <f ca="1">IF(YardsAll[[#This Row],[STATUS]]="","",IF(OR(F194="2019-2020",F194="2021-2025"),"",IF(ISNUMBER(SEARCH("LLC",D194)),VLOOKUP(A194,Yards25[],28,FALSE),VLOOKUP(A194,Yards[],28,FALSE))))</f>
        <v/>
      </c>
      <c r="I194" s="143" t="str">
        <f ca="1">IF(YardsAll[[#This Row],[STATUS]]="","",IF(OR(F194="2019-2020",F194="2021-2025"),"",IF(ISNUMBER(SEARCH("LLC",D194)),VLOOKUP(A194,Yards25[],17,FALSE),VLOOKUP(A194,Yards[],17,FALSE))))</f>
        <v/>
      </c>
      <c r="J194" s="143" t="str">
        <f ca="1">IF(YardsAll[[#This Row],[STATUS]]="","",IF(OR(F194="2019-2020",F194="2021-2025"),"",IF(ISNUMBER(SEARCH("LLC",D194)),VLOOKUP(A194,Yards25[],29,FALSE),VLOOKUP(A194,Yards[],29,FALSE))))</f>
        <v/>
      </c>
      <c r="K194" s="143" t="str">
        <f ca="1">IF(YardsAll[[#This Row],[STATUS]]="","",IF(OR(F194="2019-2020",F194="2021-2025"),"",IF(ISNUMBER(SEARCH("LLC",D194)),VLOOKUP(A194,Yards25[],19,FALSE),VLOOKUP(A194,Yards[],19,FALSE))))</f>
        <v/>
      </c>
      <c r="L194" s="143" t="str">
        <f ca="1">IF(IF(OR(F194="2019-2020",F194="2021-2025"),"",IF(ISNUMBER(SEARCH("LLC",D194)),VLOOKUP(A194,Yards25[],20,FALSE),VLOOKUP(A194,Yards[],20,FALSE)))=0,"",IF(OR(F194="2019-2020",F194="2021-2025"),"",IF(ISNUMBER(SEARCH("LLC",D194)),VLOOKUP(A194,Yards25[],20,FALSE),VLOOKUP(A194,Yards[],20,FALSE))))</f>
        <v/>
      </c>
      <c r="M194" s="151">
        <f ca="1">IF(OR(F194="2019-2020",F194="2021-2025"),"",IF(ISNUMBER(SEARCH("LLC",D194)),VLOOKUP(A194,Yards25[],21,FALSE),VLOOKUP(A194,Yards[],21,FALSE)))</f>
        <v>150530.15561285004</v>
      </c>
      <c r="N194" s="151">
        <f ca="1">IF(OR(F194="2019-2020",F194="2021-2025"),"",IF(ISNUMBER(SEARCH("LLC",D194)),VLOOKUP(A194,Yards25[],22,FALSE),VLOOKUP(A194,Yards[],22,FALSE)))</f>
        <v>1354771.4005156502</v>
      </c>
      <c r="O194" s="151">
        <f ca="1">SUM(YardsAll[[#This Row],[DSGN ESTIMATE]:[CONS ESTIMATE]])</f>
        <v>1505301.5561285003</v>
      </c>
      <c r="P194" s="143"/>
      <c r="Q194" s="143">
        <f ca="1">IF(OR(F194="2019-2020",F194="2021-2025"),"",IF(ISNUMBER(SEARCH("LLC",D194)),VLOOKUP(A194,Yards25[],25,FALSE),VLOOKUP(A194,Yards[],25,FALSE)))</f>
        <v>0</v>
      </c>
      <c r="R194" s="152"/>
    </row>
    <row r="195" spans="1:18">
      <c r="A195" s="147" t="s">
        <v>346</v>
      </c>
      <c r="B195" s="144" t="str">
        <f>VLOOKUP(A195,Data[],2,FALSE)</f>
        <v>BRONX</v>
      </c>
      <c r="C195" s="144" t="str">
        <f ca="1">IF(OR(F195="2019-2020",F195="2021-2025"),"",IF(ISNUMBER(SEARCH("LLC",D195)),VLOOKUP(A195,Yards25[],3,FALSE),VLOOKUP(A195,Yards[],3,FALSE)))</f>
        <v>New Waste Yard v3</v>
      </c>
      <c r="D195" s="9" t="str">
        <f>VLOOKUP(A195,Data[],52,FALSE)</f>
        <v>FEDERAL</v>
      </c>
      <c r="E195" s="9">
        <f>VLOOKUP(YardsAll[[#This Row],[DEVELOPMENT]],Data[],62,FALSE)</f>
        <v>1</v>
      </c>
      <c r="F195" s="9" t="str">
        <f ca="1">VLOOKUP(A195,Data[],4,FALSE)</f>
        <v>2026+</v>
      </c>
      <c r="G195" s="9">
        <f ca="1">IF(OR(YardsAll[[#This Row],[RAD/PACT]]="2019-2020",YardsAll[[#This Row],[RAD/PACT]]="2021-2025"),"",IF(ISNUMBER(SEARCH("1",C195)),2,IF(ISNUMBER(SEARCH("2",C195)),1,IF(ISNUMBER(SEARCH("3",C195)),3,IF(ISNUMBER(SEARCH("4",C195)),4,IF(ISNUMBER(SEARCH("5",C195)),5,IF(ISNUMBER(SEARCH("6",C195)),6,IF(ISNUMBER(SEARCH("7",C195)),7,IF(ISNUMBER(SEARCH("8",C195)),8,0)))))))))</f>
        <v>3</v>
      </c>
      <c r="H195" s="143" t="str">
        <f ca="1">IF(YardsAll[[#This Row],[STATUS]]="","",IF(OR(F195="2019-2020",F195="2021-2025"),"",IF(ISNUMBER(SEARCH("LLC",D195)),VLOOKUP(A195,Yards25[],28,FALSE),VLOOKUP(A195,Yards[],28,FALSE))))</f>
        <v/>
      </c>
      <c r="I195" s="143" t="str">
        <f ca="1">IF(YardsAll[[#This Row],[STATUS]]="","",IF(OR(F195="2019-2020",F195="2021-2025"),"",IF(ISNUMBER(SEARCH("LLC",D195)),VLOOKUP(A195,Yards25[],17,FALSE),VLOOKUP(A195,Yards[],17,FALSE))))</f>
        <v/>
      </c>
      <c r="J195" s="143" t="str">
        <f ca="1">IF(YardsAll[[#This Row],[STATUS]]="","",IF(OR(F195="2019-2020",F195="2021-2025"),"",IF(ISNUMBER(SEARCH("LLC",D195)),VLOOKUP(A195,Yards25[],29,FALSE),VLOOKUP(A195,Yards[],29,FALSE))))</f>
        <v/>
      </c>
      <c r="K195" s="143" t="str">
        <f ca="1">IF(YardsAll[[#This Row],[STATUS]]="","",IF(OR(F195="2019-2020",F195="2021-2025"),"",IF(ISNUMBER(SEARCH("LLC",D195)),VLOOKUP(A195,Yards25[],19,FALSE),VLOOKUP(A195,Yards[],19,FALSE))))</f>
        <v/>
      </c>
      <c r="L195" s="143" t="str">
        <f ca="1">IF(IF(OR(F195="2019-2020",F195="2021-2025"),"",IF(ISNUMBER(SEARCH("LLC",D195)),VLOOKUP(A195,Yards25[],20,FALSE),VLOOKUP(A195,Yards[],20,FALSE)))=0,"",IF(OR(F195="2019-2020",F195="2021-2025"),"",IF(ISNUMBER(SEARCH("LLC",D195)),VLOOKUP(A195,Yards25[],20,FALSE),VLOOKUP(A195,Yards[],20,FALSE))))</f>
        <v/>
      </c>
      <c r="M195" s="151">
        <f ca="1">IF(OR(F195="2019-2020",F195="2021-2025"),"",IF(ISNUMBER(SEARCH("LLC",D195)),VLOOKUP(A195,Yards25[],21,FALSE),VLOOKUP(A195,Yards[],21,FALSE)))</f>
        <v>265686.40251975006</v>
      </c>
      <c r="N195" s="151">
        <f ca="1">IF(OR(F195="2019-2020",F195="2021-2025"),"",IF(ISNUMBER(SEARCH("LLC",D195)),VLOOKUP(A195,Yards25[],22,FALSE),VLOOKUP(A195,Yards[],22,FALSE)))</f>
        <v>2391177.6226777504</v>
      </c>
      <c r="O195" s="151">
        <f ca="1">SUM(YardsAll[[#This Row],[DSGN ESTIMATE]:[CONS ESTIMATE]])</f>
        <v>2656864.0251975004</v>
      </c>
      <c r="P195" s="143"/>
      <c r="Q195" s="143">
        <f ca="1">IF(OR(F195="2019-2020",F195="2021-2025"),"",IF(ISNUMBER(SEARCH("LLC",D195)),VLOOKUP(A195,Yards25[],25,FALSE),VLOOKUP(A195,Yards[],25,FALSE)))</f>
        <v>0</v>
      </c>
      <c r="R195" s="152"/>
    </row>
    <row r="196" spans="1:18">
      <c r="A196" s="147" t="s">
        <v>347</v>
      </c>
      <c r="B196" s="144" t="str">
        <f>VLOOKUP(A196,Data[],2,FALSE)</f>
        <v>STATEN ISLAND</v>
      </c>
      <c r="C196" s="144" t="str">
        <f ca="1">IF(OR(F196="2019-2020",F196="2021-2025"),"",IF(ISNUMBER(SEARCH("LLC",D196)),VLOOKUP(A196,Yards25[],3,FALSE),VLOOKUP(A196,Yards[],3,FALSE)))</f>
        <v>New Waste Yard v1</v>
      </c>
      <c r="D196" s="9" t="str">
        <f>VLOOKUP(A196,Data[],52,FALSE)</f>
        <v>FEDERAL</v>
      </c>
      <c r="E196" s="9">
        <f>VLOOKUP(YardsAll[[#This Row],[DEVELOPMENT]],Data[],62,FALSE)</f>
        <v>1</v>
      </c>
      <c r="F196" s="9" t="str">
        <f ca="1">VLOOKUP(A196,Data[],4,FALSE)</f>
        <v/>
      </c>
      <c r="G196" s="9">
        <f ca="1">IF(OR(YardsAll[[#This Row],[RAD/PACT]]="2019-2020",YardsAll[[#This Row],[RAD/PACT]]="2021-2025"),"",IF(ISNUMBER(SEARCH("1",C196)),2,IF(ISNUMBER(SEARCH("2",C196)),1,IF(ISNUMBER(SEARCH("3",C196)),3,IF(ISNUMBER(SEARCH("4",C196)),4,IF(ISNUMBER(SEARCH("5",C196)),5,IF(ISNUMBER(SEARCH("6",C196)),6,IF(ISNUMBER(SEARCH("7",C196)),7,IF(ISNUMBER(SEARCH("8",C196)),8,0)))))))))</f>
        <v>2</v>
      </c>
      <c r="H196" s="143" t="str">
        <f ca="1">IF(YardsAll[[#This Row],[STATUS]]="","",IF(OR(F196="2019-2020",F196="2021-2025"),"",IF(ISNUMBER(SEARCH("LLC",D196)),VLOOKUP(A196,Yards25[],28,FALSE),VLOOKUP(A196,Yards[],28,FALSE))))</f>
        <v/>
      </c>
      <c r="I196" s="143" t="str">
        <f ca="1">IF(YardsAll[[#This Row],[STATUS]]="","",IF(OR(F196="2019-2020",F196="2021-2025"),"",IF(ISNUMBER(SEARCH("LLC",D196)),VLOOKUP(A196,Yards25[],17,FALSE),VLOOKUP(A196,Yards[],17,FALSE))))</f>
        <v/>
      </c>
      <c r="J196" s="143" t="str">
        <f ca="1">IF(YardsAll[[#This Row],[STATUS]]="","",IF(OR(F196="2019-2020",F196="2021-2025"),"",IF(ISNUMBER(SEARCH("LLC",D196)),VLOOKUP(A196,Yards25[],29,FALSE),VLOOKUP(A196,Yards[],29,FALSE))))</f>
        <v/>
      </c>
      <c r="K196" s="143" t="str">
        <f ca="1">IF(YardsAll[[#This Row],[STATUS]]="","",IF(OR(F196="2019-2020",F196="2021-2025"),"",IF(ISNUMBER(SEARCH("LLC",D196)),VLOOKUP(A196,Yards25[],19,FALSE),VLOOKUP(A196,Yards[],19,FALSE))))</f>
        <v/>
      </c>
      <c r="L196" s="143" t="str">
        <f ca="1">IF(IF(OR(F196="2019-2020",F196="2021-2025"),"",IF(ISNUMBER(SEARCH("LLC",D196)),VLOOKUP(A196,Yards25[],20,FALSE),VLOOKUP(A196,Yards[],20,FALSE)))=0,"",IF(OR(F196="2019-2020",F196="2021-2025"),"",IF(ISNUMBER(SEARCH("LLC",D196)),VLOOKUP(A196,Yards25[],20,FALSE),VLOOKUP(A196,Yards[],20,FALSE))))</f>
        <v/>
      </c>
      <c r="M196" s="151">
        <f ca="1">IF(OR(F196="2019-2020",F196="2021-2025"),"",IF(ISNUMBER(SEARCH("LLC",D196)),VLOOKUP(A196,Yards25[],21,FALSE),VLOOKUP(A196,Yards[],21,FALSE)))</f>
        <v>231365.85651200006</v>
      </c>
      <c r="N196" s="151">
        <f ca="1">IF(OR(F196="2019-2020",F196="2021-2025"),"",IF(ISNUMBER(SEARCH("LLC",D196)),VLOOKUP(A196,Yards25[],22,FALSE),VLOOKUP(A196,Yards[],22,FALSE)))</f>
        <v>2082292.7086080003</v>
      </c>
      <c r="O196" s="151">
        <f ca="1">SUM(YardsAll[[#This Row],[DSGN ESTIMATE]:[CONS ESTIMATE]])</f>
        <v>2313658.5651200004</v>
      </c>
      <c r="P196" s="143"/>
      <c r="Q196" s="143">
        <f ca="1">IF(OR(F196="2019-2020",F196="2021-2025"),"",IF(ISNUMBER(SEARCH("LLC",D196)),VLOOKUP(A196,Yards25[],25,FALSE),VLOOKUP(A196,Yards[],25,FALSE)))</f>
        <v>0</v>
      </c>
      <c r="R196" s="152"/>
    </row>
    <row r="197" spans="1:18">
      <c r="A197" s="147" t="s">
        <v>209</v>
      </c>
      <c r="B197" s="144" t="str">
        <f>VLOOKUP(A197,Data[],2,FALSE)</f>
        <v>BROOKLYN</v>
      </c>
      <c r="C197" s="144" t="str">
        <f ca="1">IF(OR(F197="2019-2020",F197="2021-2025"),"",IF(ISNUMBER(SEARCH("LLC",D197)),VLOOKUP(A197,Yards25[],3,FALSE),VLOOKUP(A197,Yards[],3,FALSE)))</f>
        <v>New Waste Yard v1</v>
      </c>
      <c r="D197" s="9" t="str">
        <f>VLOOKUP(A197,Data[],52,FALSE)</f>
        <v>FEDERAL</v>
      </c>
      <c r="E197" s="9">
        <f>VLOOKUP(YardsAll[[#This Row],[DEVELOPMENT]],Data[],62,FALSE)</f>
        <v>15</v>
      </c>
      <c r="F197" s="9" t="str">
        <f ca="1">VLOOKUP(A197,Data[],4,FALSE)</f>
        <v>2026+</v>
      </c>
      <c r="G197" s="9">
        <f ca="1">IF(OR(YardsAll[[#This Row],[RAD/PACT]]="2019-2020",YardsAll[[#This Row],[RAD/PACT]]="2021-2025"),"",IF(ISNUMBER(SEARCH("1",C197)),2,IF(ISNUMBER(SEARCH("2",C197)),1,IF(ISNUMBER(SEARCH("3",C197)),3,IF(ISNUMBER(SEARCH("4",C197)),4,IF(ISNUMBER(SEARCH("5",C197)),5,IF(ISNUMBER(SEARCH("6",C197)),6,IF(ISNUMBER(SEARCH("7",C197)),7,IF(ISNUMBER(SEARCH("8",C197)),8,0)))))))))</f>
        <v>2</v>
      </c>
      <c r="H197" s="143" t="str">
        <f ca="1">IF(YardsAll[[#This Row],[STATUS]]="","",IF(OR(F197="2019-2020",F197="2021-2025"),"",IF(ISNUMBER(SEARCH("LLC",D197)),VLOOKUP(A197,Yards25[],28,FALSE),VLOOKUP(A197,Yards[],28,FALSE))))</f>
        <v/>
      </c>
      <c r="I197" s="143" t="str">
        <f ca="1">IF(YardsAll[[#This Row],[STATUS]]="","",IF(OR(F197="2019-2020",F197="2021-2025"),"",IF(ISNUMBER(SEARCH("LLC",D197)),VLOOKUP(A197,Yards25[],17,FALSE),VLOOKUP(A197,Yards[],17,FALSE))))</f>
        <v/>
      </c>
      <c r="J197" s="143" t="str">
        <f ca="1">IF(YardsAll[[#This Row],[STATUS]]="","",IF(OR(F197="2019-2020",F197="2021-2025"),"",IF(ISNUMBER(SEARCH("LLC",D197)),VLOOKUP(A197,Yards25[],29,FALSE),VLOOKUP(A197,Yards[],29,FALSE))))</f>
        <v/>
      </c>
      <c r="K197" s="143" t="str">
        <f ca="1">IF(YardsAll[[#This Row],[STATUS]]="","",IF(OR(F197="2019-2020",F197="2021-2025"),"",IF(ISNUMBER(SEARCH("LLC",D197)),VLOOKUP(A197,Yards25[],19,FALSE),VLOOKUP(A197,Yards[],19,FALSE))))</f>
        <v/>
      </c>
      <c r="L197" s="143" t="str">
        <f ca="1">IF(IF(OR(F197="2019-2020",F197="2021-2025"),"",IF(ISNUMBER(SEARCH("LLC",D197)),VLOOKUP(A197,Yards25[],20,FALSE),VLOOKUP(A197,Yards[],20,FALSE)))=0,"",IF(OR(F197="2019-2020",F197="2021-2025"),"",IF(ISNUMBER(SEARCH("LLC",D197)),VLOOKUP(A197,Yards25[],20,FALSE),VLOOKUP(A197,Yards[],20,FALSE))))</f>
        <v/>
      </c>
      <c r="M197" s="151">
        <f ca="1">IF(OR(F197="2019-2020",F197="2021-2025"),"",IF(ISNUMBER(SEARCH("LLC",D197)),VLOOKUP(A197,Yards25[],21,FALSE),VLOOKUP(A197,Yards[],21,FALSE)))</f>
        <v>199733.80581700004</v>
      </c>
      <c r="N197" s="151">
        <f ca="1">IF(OR(F197="2019-2020",F197="2021-2025"),"",IF(ISNUMBER(SEARCH("LLC",D197)),VLOOKUP(A197,Yards25[],22,FALSE),VLOOKUP(A197,Yards[],22,FALSE)))</f>
        <v>1797604.2523530002</v>
      </c>
      <c r="O197" s="151">
        <f ca="1">SUM(YardsAll[[#This Row],[DSGN ESTIMATE]:[CONS ESTIMATE]])</f>
        <v>1997338.0581700003</v>
      </c>
      <c r="P197" s="143"/>
      <c r="Q197" s="143">
        <f ca="1">IF(OR(F197="2019-2020",F197="2021-2025"),"",IF(ISNUMBER(SEARCH("LLC",D197)),VLOOKUP(A197,Yards25[],25,FALSE),VLOOKUP(A197,Yards[],25,FALSE)))</f>
        <v>0</v>
      </c>
      <c r="R197" s="152"/>
    </row>
    <row r="198" spans="1:18">
      <c r="A198" s="147" t="s">
        <v>348</v>
      </c>
      <c r="B198" s="144" t="str">
        <f>VLOOKUP(A198,Data[],2,FALSE)</f>
        <v>QUEENS</v>
      </c>
      <c r="C198" s="144" t="str">
        <f ca="1">IF(OR(F198="2019-2020",F198="2021-2025"),"",IF(ISNUMBER(SEARCH("LLC",D198)),VLOOKUP(A198,Yards25[],3,FALSE),VLOOKUP(A198,Yards[],3,FALSE)))</f>
        <v>New Waste Yard v1</v>
      </c>
      <c r="D198" s="9" t="str">
        <f>VLOOKUP(A198,Data[],52,FALSE)</f>
        <v>FEDERAL</v>
      </c>
      <c r="E198" s="9">
        <f>VLOOKUP(YardsAll[[#This Row],[DEVELOPMENT]],Data[],62,FALSE)</f>
        <v>14</v>
      </c>
      <c r="F198" s="9" t="str">
        <f ca="1">VLOOKUP(A198,Data[],4,FALSE)</f>
        <v>2026+</v>
      </c>
      <c r="G198" s="9">
        <f ca="1">IF(OR(YardsAll[[#This Row],[RAD/PACT]]="2019-2020",YardsAll[[#This Row],[RAD/PACT]]="2021-2025"),"",IF(ISNUMBER(SEARCH("1",C198)),2,IF(ISNUMBER(SEARCH("2",C198)),1,IF(ISNUMBER(SEARCH("3",C198)),3,IF(ISNUMBER(SEARCH("4",C198)),4,IF(ISNUMBER(SEARCH("5",C198)),5,IF(ISNUMBER(SEARCH("6",C198)),6,IF(ISNUMBER(SEARCH("7",C198)),7,IF(ISNUMBER(SEARCH("8",C198)),8,0)))))))))</f>
        <v>2</v>
      </c>
      <c r="H198" s="143" t="str">
        <f ca="1">IF(YardsAll[[#This Row],[STATUS]]="","",IF(OR(F198="2019-2020",F198="2021-2025"),"",IF(ISNUMBER(SEARCH("LLC",D198)),VLOOKUP(A198,Yards25[],28,FALSE),VLOOKUP(A198,Yards[],28,FALSE))))</f>
        <v/>
      </c>
      <c r="I198" s="143" t="str">
        <f ca="1">IF(YardsAll[[#This Row],[STATUS]]="","",IF(OR(F198="2019-2020",F198="2021-2025"),"",IF(ISNUMBER(SEARCH("LLC",D198)),VLOOKUP(A198,Yards25[],17,FALSE),VLOOKUP(A198,Yards[],17,FALSE))))</f>
        <v/>
      </c>
      <c r="J198" s="143" t="str">
        <f ca="1">IF(YardsAll[[#This Row],[STATUS]]="","",IF(OR(F198="2019-2020",F198="2021-2025"),"",IF(ISNUMBER(SEARCH("LLC",D198)),VLOOKUP(A198,Yards25[],29,FALSE),VLOOKUP(A198,Yards[],29,FALSE))))</f>
        <v/>
      </c>
      <c r="K198" s="143" t="str">
        <f ca="1">IF(YardsAll[[#This Row],[STATUS]]="","",IF(OR(F198="2019-2020",F198="2021-2025"),"",IF(ISNUMBER(SEARCH("LLC",D198)),VLOOKUP(A198,Yards25[],19,FALSE),VLOOKUP(A198,Yards[],19,FALSE))))</f>
        <v/>
      </c>
      <c r="L198" s="143" t="str">
        <f ca="1">IF(IF(OR(F198="2019-2020",F198="2021-2025"),"",IF(ISNUMBER(SEARCH("LLC",D198)),VLOOKUP(A198,Yards25[],20,FALSE),VLOOKUP(A198,Yards[],20,FALSE)))=0,"",IF(OR(F198="2019-2020",F198="2021-2025"),"",IF(ISNUMBER(SEARCH("LLC",D198)),VLOOKUP(A198,Yards25[],20,FALSE),VLOOKUP(A198,Yards[],20,FALSE))))</f>
        <v/>
      </c>
      <c r="M198" s="151">
        <f ca="1">IF(OR(F198="2019-2020",F198="2021-2025"),"",IF(ISNUMBER(SEARCH("LLC",D198)),VLOOKUP(A198,Yards25[],21,FALSE),VLOOKUP(A198,Yards[],21,FALSE)))</f>
        <v>225039.4463730001</v>
      </c>
      <c r="N198" s="151">
        <f ca="1">IF(OR(F198="2019-2020",F198="2021-2025"),"",IF(ISNUMBER(SEARCH("LLC",D198)),VLOOKUP(A198,Yards25[],22,FALSE),VLOOKUP(A198,Yards[],22,FALSE)))</f>
        <v>2025355.0173570008</v>
      </c>
      <c r="O198" s="151">
        <f ca="1">SUM(YardsAll[[#This Row],[DSGN ESTIMATE]:[CONS ESTIMATE]])</f>
        <v>2250394.4637300009</v>
      </c>
      <c r="P198" s="143"/>
      <c r="Q198" s="143">
        <f ca="1">IF(OR(F198="2019-2020",F198="2021-2025"),"",IF(ISNUMBER(SEARCH("LLC",D198)),VLOOKUP(A198,Yards25[],25,FALSE),VLOOKUP(A198,Yards[],25,FALSE)))</f>
        <v>0</v>
      </c>
      <c r="R198" s="152"/>
    </row>
    <row r="199" spans="1:18">
      <c r="A199" s="147" t="s">
        <v>349</v>
      </c>
      <c r="B199" s="144" t="str">
        <f>VLOOKUP(A199,Data[],2,FALSE)</f>
        <v>BROOKLYN</v>
      </c>
      <c r="C199" s="144" t="str">
        <f ca="1">IF(OR(F199="2019-2020",F199="2021-2025"),"",IF(ISNUMBER(SEARCH("LLC",D199)),VLOOKUP(A199,Yards25[],3,FALSE),VLOOKUP(A199,Yards[],3,FALSE)))</f>
        <v>New Waste Yard v1</v>
      </c>
      <c r="D199" s="9" t="str">
        <f>VLOOKUP(A199,Data[],52,FALSE)</f>
        <v>FEDERAL</v>
      </c>
      <c r="E199" s="9">
        <f>VLOOKUP(YardsAll[[#This Row],[DEVELOPMENT]],Data[],62,FALSE)</f>
        <v>16</v>
      </c>
      <c r="F199" s="9" t="str">
        <f ca="1">VLOOKUP(A199,Data[],4,FALSE)</f>
        <v/>
      </c>
      <c r="G199" s="9">
        <f ca="1">IF(OR(YardsAll[[#This Row],[RAD/PACT]]="2019-2020",YardsAll[[#This Row],[RAD/PACT]]="2021-2025"),"",IF(ISNUMBER(SEARCH("1",C199)),2,IF(ISNUMBER(SEARCH("2",C199)),1,IF(ISNUMBER(SEARCH("3",C199)),3,IF(ISNUMBER(SEARCH("4",C199)),4,IF(ISNUMBER(SEARCH("5",C199)),5,IF(ISNUMBER(SEARCH("6",C199)),6,IF(ISNUMBER(SEARCH("7",C199)),7,IF(ISNUMBER(SEARCH("8",C199)),8,0)))))))))</f>
        <v>2</v>
      </c>
      <c r="H199" s="143" t="str">
        <f ca="1">IF(YardsAll[[#This Row],[STATUS]]="","",IF(OR(F199="2019-2020",F199="2021-2025"),"",IF(ISNUMBER(SEARCH("LLC",D199)),VLOOKUP(A199,Yards25[],28,FALSE),VLOOKUP(A199,Yards[],28,FALSE))))</f>
        <v/>
      </c>
      <c r="I199" s="143" t="str">
        <f ca="1">IF(YardsAll[[#This Row],[STATUS]]="","",IF(OR(F199="2019-2020",F199="2021-2025"),"",IF(ISNUMBER(SEARCH("LLC",D199)),VLOOKUP(A199,Yards25[],17,FALSE),VLOOKUP(A199,Yards[],17,FALSE))))</f>
        <v/>
      </c>
      <c r="J199" s="143" t="str">
        <f ca="1">IF(YardsAll[[#This Row],[STATUS]]="","",IF(OR(F199="2019-2020",F199="2021-2025"),"",IF(ISNUMBER(SEARCH("LLC",D199)),VLOOKUP(A199,Yards25[],29,FALSE),VLOOKUP(A199,Yards[],29,FALSE))))</f>
        <v/>
      </c>
      <c r="K199" s="143" t="str">
        <f ca="1">IF(YardsAll[[#This Row],[STATUS]]="","",IF(OR(F199="2019-2020",F199="2021-2025"),"",IF(ISNUMBER(SEARCH("LLC",D199)),VLOOKUP(A199,Yards25[],19,FALSE),VLOOKUP(A199,Yards[],19,FALSE))))</f>
        <v/>
      </c>
      <c r="L199" s="143" t="str">
        <f ca="1">IF(IF(OR(F199="2019-2020",F199="2021-2025"),"",IF(ISNUMBER(SEARCH("LLC",D199)),VLOOKUP(A199,Yards25[],20,FALSE),VLOOKUP(A199,Yards[],20,FALSE)))=0,"",IF(OR(F199="2019-2020",F199="2021-2025"),"",IF(ISNUMBER(SEARCH("LLC",D199)),VLOOKUP(A199,Yards25[],20,FALSE),VLOOKUP(A199,Yards[],20,FALSE))))</f>
        <v/>
      </c>
      <c r="M199" s="151">
        <f ca="1">IF(OR(F199="2019-2020",F199="2021-2025"),"",IF(ISNUMBER(SEARCH("LLC",D199)),VLOOKUP(A199,Yards25[],21,FALSE),VLOOKUP(A199,Yards[],21,FALSE)))</f>
        <v>231365.85651200006</v>
      </c>
      <c r="N199" s="151">
        <f ca="1">IF(OR(F199="2019-2020",F199="2021-2025"),"",IF(ISNUMBER(SEARCH("LLC",D199)),VLOOKUP(A199,Yards25[],22,FALSE),VLOOKUP(A199,Yards[],22,FALSE)))</f>
        <v>2082292.7086080003</v>
      </c>
      <c r="O199" s="151">
        <f ca="1">SUM(YardsAll[[#This Row],[DSGN ESTIMATE]:[CONS ESTIMATE]])</f>
        <v>2313658.5651200004</v>
      </c>
      <c r="P199" s="143"/>
      <c r="Q199" s="143">
        <f ca="1">IF(OR(F199="2019-2020",F199="2021-2025"),"",IF(ISNUMBER(SEARCH("LLC",D199)),VLOOKUP(A199,Yards25[],25,FALSE),VLOOKUP(A199,Yards[],25,FALSE)))</f>
        <v>0</v>
      </c>
      <c r="R199" s="152"/>
    </row>
    <row r="200" spans="1:18">
      <c r="A200" s="147" t="s">
        <v>350</v>
      </c>
      <c r="B200" s="144" t="str">
        <f>VLOOKUP(A200,Data[],2,FALSE)</f>
        <v>BROOKLYN</v>
      </c>
      <c r="C200" s="144" t="str">
        <f ca="1">IF(OR(F200="2019-2020",F200="2021-2025"),"",IF(ISNUMBER(SEARCH("LLC",D200)),VLOOKUP(A200,Yards25[],3,FALSE),VLOOKUP(A200,Yards[],3,FALSE)))</f>
        <v>New Waste Yard v1</v>
      </c>
      <c r="D200" s="9" t="str">
        <f>VLOOKUP(A200,Data[],52,FALSE)</f>
        <v>FEDERAL</v>
      </c>
      <c r="E200" s="9">
        <f>VLOOKUP(YardsAll[[#This Row],[DEVELOPMENT]],Data[],62,FALSE)</f>
        <v>16</v>
      </c>
      <c r="F200" s="9" t="str">
        <f ca="1">VLOOKUP(A200,Data[],4,FALSE)</f>
        <v>2022-2025</v>
      </c>
      <c r="G200" s="9">
        <f ca="1">IF(OR(YardsAll[[#This Row],[RAD/PACT]]="2019-2020",YardsAll[[#This Row],[RAD/PACT]]="2021-2025"),"",IF(ISNUMBER(SEARCH("1",C200)),2,IF(ISNUMBER(SEARCH("2",C200)),1,IF(ISNUMBER(SEARCH("3",C200)),3,IF(ISNUMBER(SEARCH("4",C200)),4,IF(ISNUMBER(SEARCH("5",C200)),5,IF(ISNUMBER(SEARCH("6",C200)),6,IF(ISNUMBER(SEARCH("7",C200)),7,IF(ISNUMBER(SEARCH("8",C200)),8,0)))))))))</f>
        <v>2</v>
      </c>
      <c r="H200" s="143" t="str">
        <f ca="1">IF(YardsAll[[#This Row],[STATUS]]="","",IF(OR(F200="2019-2020",F200="2021-2025"),"",IF(ISNUMBER(SEARCH("LLC",D200)),VLOOKUP(A200,Yards25[],28,FALSE),VLOOKUP(A200,Yards[],28,FALSE))))</f>
        <v/>
      </c>
      <c r="I200" s="143" t="str">
        <f ca="1">IF(YardsAll[[#This Row],[STATUS]]="","",IF(OR(F200="2019-2020",F200="2021-2025"),"",IF(ISNUMBER(SEARCH("LLC",D200)),VLOOKUP(A200,Yards25[],17,FALSE),VLOOKUP(A200,Yards[],17,FALSE))))</f>
        <v/>
      </c>
      <c r="J200" s="143" t="str">
        <f ca="1">IF(YardsAll[[#This Row],[STATUS]]="","",IF(OR(F200="2019-2020",F200="2021-2025"),"",IF(ISNUMBER(SEARCH("LLC",D200)),VLOOKUP(A200,Yards25[],29,FALSE),VLOOKUP(A200,Yards[],29,FALSE))))</f>
        <v/>
      </c>
      <c r="K200" s="143" t="str">
        <f ca="1">IF(YardsAll[[#This Row],[STATUS]]="","",IF(OR(F200="2019-2020",F200="2021-2025"),"",IF(ISNUMBER(SEARCH("LLC",D200)),VLOOKUP(A200,Yards25[],19,FALSE),VLOOKUP(A200,Yards[],19,FALSE))))</f>
        <v/>
      </c>
      <c r="L200" s="143" t="str">
        <f ca="1">IF(IF(OR(F200="2019-2020",F200="2021-2025"),"",IF(ISNUMBER(SEARCH("LLC",D200)),VLOOKUP(A200,Yards25[],20,FALSE),VLOOKUP(A200,Yards[],20,FALSE)))=0,"",IF(OR(F200="2019-2020",F200="2021-2025"),"",IF(ISNUMBER(SEARCH("LLC",D200)),VLOOKUP(A200,Yards25[],20,FALSE),VLOOKUP(A200,Yards[],20,FALSE))))</f>
        <v/>
      </c>
      <c r="M200" s="151">
        <f ca="1">IF(OR(F200="2019-2020",F200="2021-2025"),"",IF(ISNUMBER(SEARCH("LLC",D200)),VLOOKUP(A200,Yards25[],21,FALSE),VLOOKUP(A200,Yards[],21,FALSE)))</f>
        <v>0</v>
      </c>
      <c r="N200" s="151">
        <f ca="1">IF(OR(F200="2019-2020",F200="2021-2025"),"",IF(ISNUMBER(SEARCH("LLC",D200)),VLOOKUP(A200,Yards25[],22,FALSE),VLOOKUP(A200,Yards[],22,FALSE)))</f>
        <v>0</v>
      </c>
      <c r="O200" s="151">
        <f ca="1">SUM(YardsAll[[#This Row],[DSGN ESTIMATE]:[CONS ESTIMATE]])</f>
        <v>0</v>
      </c>
      <c r="P200" s="143"/>
      <c r="Q200" s="143">
        <f ca="1">IF(OR(F200="2019-2020",F200="2021-2025"),"",IF(ISNUMBER(SEARCH("LLC",D200)),VLOOKUP(A200,Yards25[],25,FALSE),VLOOKUP(A200,Yards[],25,FALSE)))</f>
        <v>0</v>
      </c>
      <c r="R200" s="152"/>
    </row>
    <row r="201" spans="1:18">
      <c r="A201" s="147" t="s">
        <v>351</v>
      </c>
      <c r="B201" s="144" t="str">
        <f>VLOOKUP(A201,Data[],2,FALSE)</f>
        <v>BROOKLYN</v>
      </c>
      <c r="C201" s="144" t="str">
        <f ca="1">IF(OR(F201="2019-2020",F201="2021-2025"),"",IF(ISNUMBER(SEARCH("LLC",D201)),VLOOKUP(A201,Yards25[],3,FALSE),VLOOKUP(A201,Yards[],3,FALSE)))</f>
        <v>New Waste Yard v1</v>
      </c>
      <c r="D201" s="9" t="str">
        <f>VLOOKUP(A201,Data[],52,FALSE)</f>
        <v>FEDERAL</v>
      </c>
      <c r="E201" s="9">
        <f>VLOOKUP(YardsAll[[#This Row],[DEVELOPMENT]],Data[],62,FALSE)</f>
        <v>13</v>
      </c>
      <c r="F201" s="9" t="str">
        <f ca="1">VLOOKUP(A201,Data[],4,FALSE)</f>
        <v>2026+</v>
      </c>
      <c r="G201" s="9">
        <f ca="1">IF(OR(YardsAll[[#This Row],[RAD/PACT]]="2019-2020",YardsAll[[#This Row],[RAD/PACT]]="2021-2025"),"",IF(ISNUMBER(SEARCH("1",C201)),2,IF(ISNUMBER(SEARCH("2",C201)),1,IF(ISNUMBER(SEARCH("3",C201)),3,IF(ISNUMBER(SEARCH("4",C201)),4,IF(ISNUMBER(SEARCH("5",C201)),5,IF(ISNUMBER(SEARCH("6",C201)),6,IF(ISNUMBER(SEARCH("7",C201)),7,IF(ISNUMBER(SEARCH("8",C201)),8,0)))))))))</f>
        <v>2</v>
      </c>
      <c r="H201" s="143" t="str">
        <f ca="1">IF(YardsAll[[#This Row],[STATUS]]="","",IF(OR(F201="2019-2020",F201="2021-2025"),"",IF(ISNUMBER(SEARCH("LLC",D201)),VLOOKUP(A201,Yards25[],28,FALSE),VLOOKUP(A201,Yards[],28,FALSE))))</f>
        <v/>
      </c>
      <c r="I201" s="143" t="str">
        <f ca="1">IF(YardsAll[[#This Row],[STATUS]]="","",IF(OR(F201="2019-2020",F201="2021-2025"),"",IF(ISNUMBER(SEARCH("LLC",D201)),VLOOKUP(A201,Yards25[],17,FALSE),VLOOKUP(A201,Yards[],17,FALSE))))</f>
        <v/>
      </c>
      <c r="J201" s="143" t="str">
        <f ca="1">IF(YardsAll[[#This Row],[STATUS]]="","",IF(OR(F201="2019-2020",F201="2021-2025"),"",IF(ISNUMBER(SEARCH("LLC",D201)),VLOOKUP(A201,Yards25[],29,FALSE),VLOOKUP(A201,Yards[],29,FALSE))))</f>
        <v/>
      </c>
      <c r="K201" s="143" t="str">
        <f ca="1">IF(YardsAll[[#This Row],[STATUS]]="","",IF(OR(F201="2019-2020",F201="2021-2025"),"",IF(ISNUMBER(SEARCH("LLC",D201)),VLOOKUP(A201,Yards25[],19,FALSE),VLOOKUP(A201,Yards[],19,FALSE))))</f>
        <v/>
      </c>
      <c r="L201" s="143" t="str">
        <f ca="1">IF(IF(OR(F201="2019-2020",F201="2021-2025"),"",IF(ISNUMBER(SEARCH("LLC",D201)),VLOOKUP(A201,Yards25[],20,FALSE),VLOOKUP(A201,Yards[],20,FALSE)))=0,"",IF(OR(F201="2019-2020",F201="2021-2025"),"",IF(ISNUMBER(SEARCH("LLC",D201)),VLOOKUP(A201,Yards25[],20,FALSE),VLOOKUP(A201,Yards[],20,FALSE))))</f>
        <v/>
      </c>
      <c r="M201" s="151">
        <f ca="1">IF(OR(F201="2019-2020",F201="2021-2025"),"",IF(ISNUMBER(SEARCH("LLC",D201)),VLOOKUP(A201,Yards25[],21,FALSE),VLOOKUP(A201,Yards[],21,FALSE)))</f>
        <v>231365.85651200006</v>
      </c>
      <c r="N201" s="151">
        <f ca="1">IF(OR(F201="2019-2020",F201="2021-2025"),"",IF(ISNUMBER(SEARCH("LLC",D201)),VLOOKUP(A201,Yards25[],22,FALSE),VLOOKUP(A201,Yards[],22,FALSE)))</f>
        <v>2082292.7086080003</v>
      </c>
      <c r="O201" s="151">
        <f ca="1">SUM(YardsAll[[#This Row],[DSGN ESTIMATE]:[CONS ESTIMATE]])</f>
        <v>2313658.5651200004</v>
      </c>
      <c r="P201" s="143"/>
      <c r="Q201" s="143">
        <f ca="1">IF(OR(F201="2019-2020",F201="2021-2025"),"",IF(ISNUMBER(SEARCH("LLC",D201)),VLOOKUP(A201,Yards25[],25,FALSE),VLOOKUP(A201,Yards[],25,FALSE)))</f>
        <v>0</v>
      </c>
      <c r="R201" s="152"/>
    </row>
    <row r="202" spans="1:18">
      <c r="A202" s="147" t="s">
        <v>93</v>
      </c>
      <c r="B202" s="144" t="str">
        <f>VLOOKUP(A202,Data[],2,FALSE)</f>
        <v>MANHATTAN</v>
      </c>
      <c r="C202" s="144" t="str">
        <f ca="1">IF(OR(F202="2019-2020",F202="2021-2025"),"",IF(ISNUMBER(SEARCH("LLC",D202)),VLOOKUP(A202,Yards25[],3,FALSE),VLOOKUP(A202,Yards[],3,FALSE)))</f>
        <v>New Waste Yard v1</v>
      </c>
      <c r="D202" s="9" t="str">
        <f>VLOOKUP(A202,Data[],52,FALSE)</f>
        <v>FEDERAL</v>
      </c>
      <c r="E202" s="9">
        <f>VLOOKUP(YardsAll[[#This Row],[DEVELOPMENT]],Data[],62,FALSE)</f>
        <v>11</v>
      </c>
      <c r="F202" s="9" t="str">
        <f ca="1">VLOOKUP(A202,Data[],4,FALSE)</f>
        <v>2020-2021</v>
      </c>
      <c r="G202" s="9">
        <f ca="1">IF(OR(YardsAll[[#This Row],[RAD/PACT]]="2019-2020",YardsAll[[#This Row],[RAD/PACT]]="2021-2025"),"",IF(ISNUMBER(SEARCH("1",C202)),2,IF(ISNUMBER(SEARCH("2",C202)),1,IF(ISNUMBER(SEARCH("3",C202)),3,IF(ISNUMBER(SEARCH("4",C202)),4,IF(ISNUMBER(SEARCH("5",C202)),5,IF(ISNUMBER(SEARCH("6",C202)),6,IF(ISNUMBER(SEARCH("7",C202)),7,IF(ISNUMBER(SEARCH("8",C202)),8,0)))))))))</f>
        <v>2</v>
      </c>
      <c r="H202" s="143" t="str">
        <f ca="1">IF(YardsAll[[#This Row],[STATUS]]="","",IF(OR(F202="2019-2020",F202="2021-2025"),"",IF(ISNUMBER(SEARCH("LLC",D202)),VLOOKUP(A202,Yards25[],28,FALSE),VLOOKUP(A202,Yards[],28,FALSE))))</f>
        <v/>
      </c>
      <c r="I202" s="143" t="str">
        <f ca="1">IF(YardsAll[[#This Row],[STATUS]]="","",IF(OR(F202="2019-2020",F202="2021-2025"),"",IF(ISNUMBER(SEARCH("LLC",D202)),VLOOKUP(A202,Yards25[],17,FALSE),VLOOKUP(A202,Yards[],17,FALSE))))</f>
        <v/>
      </c>
      <c r="J202" s="143" t="str">
        <f ca="1">IF(YardsAll[[#This Row],[STATUS]]="","",IF(OR(F202="2019-2020",F202="2021-2025"),"",IF(ISNUMBER(SEARCH("LLC",D202)),VLOOKUP(A202,Yards25[],29,FALSE),VLOOKUP(A202,Yards[],29,FALSE))))</f>
        <v/>
      </c>
      <c r="K202" s="143" t="str">
        <f ca="1">IF(YardsAll[[#This Row],[STATUS]]="","",IF(OR(F202="2019-2020",F202="2021-2025"),"",IF(ISNUMBER(SEARCH("LLC",D202)),VLOOKUP(A202,Yards25[],19,FALSE),VLOOKUP(A202,Yards[],19,FALSE))))</f>
        <v/>
      </c>
      <c r="L202" s="143" t="str">
        <f ca="1">IF(IF(OR(F202="2019-2020",F202="2021-2025"),"",IF(ISNUMBER(SEARCH("LLC",D202)),VLOOKUP(A202,Yards25[],20,FALSE),VLOOKUP(A202,Yards[],20,FALSE)))=0,"",IF(OR(F202="2019-2020",F202="2021-2025"),"",IF(ISNUMBER(SEARCH("LLC",D202)),VLOOKUP(A202,Yards25[],20,FALSE),VLOOKUP(A202,Yards[],20,FALSE))))</f>
        <v/>
      </c>
      <c r="M202" s="151">
        <f ca="1">IF(OR(F202="2019-2020",F202="2021-2025"),"",IF(ISNUMBER(SEARCH("LLC",D202)),VLOOKUP(A202,Yards25[],21,FALSE),VLOOKUP(A202,Yards[],21,FALSE)))</f>
        <v>0</v>
      </c>
      <c r="N202" s="151">
        <f ca="1">IF(OR(F202="2019-2020",F202="2021-2025"),"",IF(ISNUMBER(SEARCH("LLC",D202)),VLOOKUP(A202,Yards25[],22,FALSE),VLOOKUP(A202,Yards[],22,FALSE)))</f>
        <v>0</v>
      </c>
      <c r="O202" s="151">
        <f ca="1">SUM(YardsAll[[#This Row],[DSGN ESTIMATE]:[CONS ESTIMATE]])</f>
        <v>0</v>
      </c>
      <c r="P202" s="143"/>
      <c r="Q202" s="143">
        <f ca="1">IF(OR(F202="2019-2020",F202="2021-2025"),"",IF(ISNUMBER(SEARCH("LLC",D202)),VLOOKUP(A202,Yards25[],25,FALSE),VLOOKUP(A202,Yards[],25,FALSE)))</f>
        <v>0</v>
      </c>
      <c r="R202" s="152"/>
    </row>
    <row r="203" spans="1:18">
      <c r="A203" s="147" t="s">
        <v>352</v>
      </c>
      <c r="B203" s="144" t="str">
        <f>VLOOKUP(A203,Data[],2,FALSE)</f>
        <v>BROOKLYN</v>
      </c>
      <c r="C203" s="144" t="str">
        <f ca="1">IF(OR(F203="2019-2020",F203="2021-2025"),"",IF(ISNUMBER(SEARCH("LLC",D203)),VLOOKUP(A203,Yards25[],3,FALSE),VLOOKUP(A203,Yards[],3,FALSE)))</f>
        <v>New Waste Yard v1</v>
      </c>
      <c r="D203" s="9" t="str">
        <f>VLOOKUP(A203,Data[],52,FALSE)</f>
        <v>FEDERAL</v>
      </c>
      <c r="E203" s="9">
        <f>VLOOKUP(YardsAll[[#This Row],[DEVELOPMENT]],Data[],62,FALSE)</f>
        <v>8</v>
      </c>
      <c r="F203" s="9" t="str">
        <f ca="1">VLOOKUP(A203,Data[],4,FALSE)</f>
        <v>2022-2025</v>
      </c>
      <c r="G203" s="9">
        <f ca="1">IF(OR(YardsAll[[#This Row],[RAD/PACT]]="2019-2020",YardsAll[[#This Row],[RAD/PACT]]="2021-2025"),"",IF(ISNUMBER(SEARCH("1",C203)),2,IF(ISNUMBER(SEARCH("2",C203)),1,IF(ISNUMBER(SEARCH("3",C203)),3,IF(ISNUMBER(SEARCH("4",C203)),4,IF(ISNUMBER(SEARCH("5",C203)),5,IF(ISNUMBER(SEARCH("6",C203)),6,IF(ISNUMBER(SEARCH("7",C203)),7,IF(ISNUMBER(SEARCH("8",C203)),8,0)))))))))</f>
        <v>2</v>
      </c>
      <c r="H203" s="143" t="str">
        <f ca="1">IF(YardsAll[[#This Row],[STATUS]]="","",IF(OR(F203="2019-2020",F203="2021-2025"),"",IF(ISNUMBER(SEARCH("LLC",D203)),VLOOKUP(A203,Yards25[],28,FALSE),VLOOKUP(A203,Yards[],28,FALSE))))</f>
        <v/>
      </c>
      <c r="I203" s="143" t="str">
        <f ca="1">IF(YardsAll[[#This Row],[STATUS]]="","",IF(OR(F203="2019-2020",F203="2021-2025"),"",IF(ISNUMBER(SEARCH("LLC",D203)),VLOOKUP(A203,Yards25[],17,FALSE),VLOOKUP(A203,Yards[],17,FALSE))))</f>
        <v/>
      </c>
      <c r="J203" s="143" t="str">
        <f ca="1">IF(YardsAll[[#This Row],[STATUS]]="","",IF(OR(F203="2019-2020",F203="2021-2025"),"",IF(ISNUMBER(SEARCH("LLC",D203)),VLOOKUP(A203,Yards25[],29,FALSE),VLOOKUP(A203,Yards[],29,FALSE))))</f>
        <v/>
      </c>
      <c r="K203" s="143" t="str">
        <f ca="1">IF(YardsAll[[#This Row],[STATUS]]="","",IF(OR(F203="2019-2020",F203="2021-2025"),"",IF(ISNUMBER(SEARCH("LLC",D203)),VLOOKUP(A203,Yards25[],19,FALSE),VLOOKUP(A203,Yards[],19,FALSE))))</f>
        <v/>
      </c>
      <c r="L203" s="143" t="str">
        <f ca="1">IF(IF(OR(F203="2019-2020",F203="2021-2025"),"",IF(ISNUMBER(SEARCH("LLC",D203)),VLOOKUP(A203,Yards25[],20,FALSE),VLOOKUP(A203,Yards[],20,FALSE)))=0,"",IF(OR(F203="2019-2020",F203="2021-2025"),"",IF(ISNUMBER(SEARCH("LLC",D203)),VLOOKUP(A203,Yards25[],20,FALSE),VLOOKUP(A203,Yards[],20,FALSE))))</f>
        <v/>
      </c>
      <c r="M203" s="151">
        <f ca="1">IF(OR(F203="2019-2020",F203="2021-2025"),"",IF(ISNUMBER(SEARCH("LLC",D203)),VLOOKUP(A203,Yards25[],21,FALSE),VLOOKUP(A203,Yards[],21,FALSE)))</f>
        <v>0</v>
      </c>
      <c r="N203" s="151">
        <f ca="1">IF(OR(F203="2019-2020",F203="2021-2025"),"",IF(ISNUMBER(SEARCH("LLC",D203)),VLOOKUP(A203,Yards25[],22,FALSE),VLOOKUP(A203,Yards[],22,FALSE)))</f>
        <v>0</v>
      </c>
      <c r="O203" s="151">
        <f ca="1">SUM(YardsAll[[#This Row],[DSGN ESTIMATE]:[CONS ESTIMATE]])</f>
        <v>0</v>
      </c>
      <c r="P203" s="143"/>
      <c r="Q203" s="143">
        <f ca="1">IF(OR(F203="2019-2020",F203="2021-2025"),"",IF(ISNUMBER(SEARCH("LLC",D203)),VLOOKUP(A203,Yards25[],25,FALSE),VLOOKUP(A203,Yards[],25,FALSE)))</f>
        <v>0</v>
      </c>
      <c r="R203" s="152"/>
    </row>
    <row r="204" spans="1:18">
      <c r="A204" s="147" t="s">
        <v>353</v>
      </c>
      <c r="B204" s="144" t="str">
        <f>VLOOKUP(A204,Data[],2,FALSE)</f>
        <v>BRONX</v>
      </c>
      <c r="C204" s="144" t="str">
        <f ca="1">IF(OR(F204="2019-2020",F204="2021-2025"),"",IF(ISNUMBER(SEARCH("LLC",D204)),VLOOKUP(A204,Yards25[],3,FALSE),VLOOKUP(A204,Yards[],3,FALSE)))</f>
        <v>New Waste Yard v3</v>
      </c>
      <c r="D204" s="9" t="str">
        <f>VLOOKUP(A204,Data[],52,FALSE)</f>
        <v>FEDERAL</v>
      </c>
      <c r="E204" s="9">
        <f>VLOOKUP(YardsAll[[#This Row],[DEVELOPMENT]],Data[],62,FALSE)</f>
        <v>11</v>
      </c>
      <c r="F204" s="9" t="str">
        <f ca="1">VLOOKUP(A204,Data[],4,FALSE)</f>
        <v>2026+</v>
      </c>
      <c r="G204" s="9">
        <f ca="1">IF(OR(YardsAll[[#This Row],[RAD/PACT]]="2019-2020",YardsAll[[#This Row],[RAD/PACT]]="2021-2025"),"",IF(ISNUMBER(SEARCH("1",C204)),2,IF(ISNUMBER(SEARCH("2",C204)),1,IF(ISNUMBER(SEARCH("3",C204)),3,IF(ISNUMBER(SEARCH("4",C204)),4,IF(ISNUMBER(SEARCH("5",C204)),5,IF(ISNUMBER(SEARCH("6",C204)),6,IF(ISNUMBER(SEARCH("7",C204)),7,IF(ISNUMBER(SEARCH("8",C204)),8,0)))))))))</f>
        <v>3</v>
      </c>
      <c r="H204" s="143" t="str">
        <f ca="1">IF(YardsAll[[#This Row],[STATUS]]="","",IF(OR(F204="2019-2020",F204="2021-2025"),"",IF(ISNUMBER(SEARCH("LLC",D204)),VLOOKUP(A204,Yards25[],28,FALSE),VLOOKUP(A204,Yards[],28,FALSE))))</f>
        <v/>
      </c>
      <c r="I204" s="143" t="str">
        <f ca="1">IF(YardsAll[[#This Row],[STATUS]]="","",IF(OR(F204="2019-2020",F204="2021-2025"),"",IF(ISNUMBER(SEARCH("LLC",D204)),VLOOKUP(A204,Yards25[],17,FALSE),VLOOKUP(A204,Yards[],17,FALSE))))</f>
        <v/>
      </c>
      <c r="J204" s="143" t="str">
        <f ca="1">IF(YardsAll[[#This Row],[STATUS]]="","",IF(OR(F204="2019-2020",F204="2021-2025"),"",IF(ISNUMBER(SEARCH("LLC",D204)),VLOOKUP(A204,Yards25[],29,FALSE),VLOOKUP(A204,Yards[],29,FALSE))))</f>
        <v/>
      </c>
      <c r="K204" s="143" t="str">
        <f ca="1">IF(YardsAll[[#This Row],[STATUS]]="","",IF(OR(F204="2019-2020",F204="2021-2025"),"",IF(ISNUMBER(SEARCH("LLC",D204)),VLOOKUP(A204,Yards25[],19,FALSE),VLOOKUP(A204,Yards[],19,FALSE))))</f>
        <v/>
      </c>
      <c r="L204" s="143" t="str">
        <f ca="1">IF(IF(OR(F204="2019-2020",F204="2021-2025"),"",IF(ISNUMBER(SEARCH("LLC",D204)),VLOOKUP(A204,Yards25[],20,FALSE),VLOOKUP(A204,Yards[],20,FALSE)))=0,"",IF(OR(F204="2019-2020",F204="2021-2025"),"",IF(ISNUMBER(SEARCH("LLC",D204)),VLOOKUP(A204,Yards25[],20,FALSE),VLOOKUP(A204,Yards[],20,FALSE))))</f>
        <v/>
      </c>
      <c r="M204" s="151">
        <f ca="1">IF(OR(F204="2019-2020",F204="2021-2025"),"",IF(ISNUMBER(SEARCH("LLC",D204)),VLOOKUP(A204,Yards25[],21,FALSE),VLOOKUP(A204,Yards[],21,FALSE)))</f>
        <v>258614.90131200009</v>
      </c>
      <c r="N204" s="151">
        <f ca="1">IF(OR(F204="2019-2020",F204="2021-2025"),"",IF(ISNUMBER(SEARCH("LLC",D204)),VLOOKUP(A204,Yards25[],22,FALSE),VLOOKUP(A204,Yards[],22,FALSE)))</f>
        <v>2327534.1118080006</v>
      </c>
      <c r="O204" s="151">
        <f ca="1">SUM(YardsAll[[#This Row],[DSGN ESTIMATE]:[CONS ESTIMATE]])</f>
        <v>2586149.0131200007</v>
      </c>
      <c r="P204" s="143"/>
      <c r="Q204" s="143">
        <f ca="1">IF(OR(F204="2019-2020",F204="2021-2025"),"",IF(ISNUMBER(SEARCH("LLC",D204)),VLOOKUP(A204,Yards25[],25,FALSE),VLOOKUP(A204,Yards[],25,FALSE)))</f>
        <v>0</v>
      </c>
      <c r="R204" s="152"/>
    </row>
    <row r="205" spans="1:18">
      <c r="A205" s="147" t="s">
        <v>132</v>
      </c>
      <c r="B205" s="144" t="str">
        <f>VLOOKUP(A205,Data[],2,FALSE)</f>
        <v>BRONX</v>
      </c>
      <c r="C205" s="144" t="str">
        <f ca="1">IF(OR(F205="2019-2020",F205="2021-2025"),"",IF(ISNUMBER(SEARCH("LLC",D205)),VLOOKUP(A205,Yards25[],3,FALSE),VLOOKUP(A205,Yards[],3,FALSE)))</f>
        <v>New Waste Yard v5</v>
      </c>
      <c r="D205" s="9" t="str">
        <f>VLOOKUP(A205,Data[],52,FALSE)</f>
        <v>FEDERAL</v>
      </c>
      <c r="E205" s="9">
        <f>VLOOKUP(YardsAll[[#This Row],[DEVELOPMENT]],Data[],62,FALSE)</f>
        <v>1</v>
      </c>
      <c r="F205" s="9" t="str">
        <f ca="1">VLOOKUP(A205,Data[],4,FALSE)</f>
        <v>2022-2025</v>
      </c>
      <c r="G205" s="9">
        <f ca="1">IF(OR(YardsAll[[#This Row],[RAD/PACT]]="2019-2020",YardsAll[[#This Row],[RAD/PACT]]="2021-2025"),"",IF(ISNUMBER(SEARCH("1",C205)),2,IF(ISNUMBER(SEARCH("2",C205)),1,IF(ISNUMBER(SEARCH("3",C205)),3,IF(ISNUMBER(SEARCH("4",C205)),4,IF(ISNUMBER(SEARCH("5",C205)),5,IF(ISNUMBER(SEARCH("6",C205)),6,IF(ISNUMBER(SEARCH("7",C205)),7,IF(ISNUMBER(SEARCH("8",C205)),8,0)))))))))</f>
        <v>5</v>
      </c>
      <c r="H205" s="143" t="str">
        <f ca="1">IF(YardsAll[[#This Row],[STATUS]]="","",IF(OR(F205="2019-2020",F205="2021-2025"),"",IF(ISNUMBER(SEARCH("LLC",D205)),VLOOKUP(A205,Yards25[],28,FALSE),VLOOKUP(A205,Yards[],28,FALSE))))</f>
        <v/>
      </c>
      <c r="I205" s="143" t="str">
        <f ca="1">IF(YardsAll[[#This Row],[STATUS]]="","",IF(OR(F205="2019-2020",F205="2021-2025"),"",IF(ISNUMBER(SEARCH("LLC",D205)),VLOOKUP(A205,Yards25[],17,FALSE),VLOOKUP(A205,Yards[],17,FALSE))))</f>
        <v/>
      </c>
      <c r="J205" s="143" t="str">
        <f ca="1">IF(YardsAll[[#This Row],[STATUS]]="","",IF(OR(F205="2019-2020",F205="2021-2025"),"",IF(ISNUMBER(SEARCH("LLC",D205)),VLOOKUP(A205,Yards25[],29,FALSE),VLOOKUP(A205,Yards[],29,FALSE))))</f>
        <v/>
      </c>
      <c r="K205" s="143" t="str">
        <f ca="1">IF(YardsAll[[#This Row],[STATUS]]="","",IF(OR(F205="2019-2020",F205="2021-2025"),"",IF(ISNUMBER(SEARCH("LLC",D205)),VLOOKUP(A205,Yards25[],19,FALSE),VLOOKUP(A205,Yards[],19,FALSE))))</f>
        <v/>
      </c>
      <c r="L205" s="143" t="str">
        <f ca="1">IF(IF(OR(F205="2019-2020",F205="2021-2025"),"",IF(ISNUMBER(SEARCH("LLC",D205)),VLOOKUP(A205,Yards25[],20,FALSE),VLOOKUP(A205,Yards[],20,FALSE)))=0,"",IF(OR(F205="2019-2020",F205="2021-2025"),"",IF(ISNUMBER(SEARCH("LLC",D205)),VLOOKUP(A205,Yards25[],20,FALSE),VLOOKUP(A205,Yards[],20,FALSE))))</f>
        <v/>
      </c>
      <c r="M205" s="151">
        <f ca="1">IF(OR(F205="2019-2020",F205="2021-2025"),"",IF(ISNUMBER(SEARCH("LLC",D205)),VLOOKUP(A205,Yards25[],21,FALSE),VLOOKUP(A205,Yards[],21,FALSE)))</f>
        <v>0</v>
      </c>
      <c r="N205" s="151">
        <f ca="1">IF(OR(F205="2019-2020",F205="2021-2025"),"",IF(ISNUMBER(SEARCH("LLC",D205)),VLOOKUP(A205,Yards25[],22,FALSE),VLOOKUP(A205,Yards[],22,FALSE)))</f>
        <v>0</v>
      </c>
      <c r="O205" s="151">
        <f ca="1">SUM(YardsAll[[#This Row],[DSGN ESTIMATE]:[CONS ESTIMATE]])</f>
        <v>0</v>
      </c>
      <c r="P205" s="143"/>
      <c r="Q205" s="143">
        <f ca="1">IF(OR(F205="2019-2020",F205="2021-2025"),"",IF(ISNUMBER(SEARCH("LLC",D205)),VLOOKUP(A205,Yards25[],25,FALSE),VLOOKUP(A205,Yards[],25,FALSE)))</f>
        <v>0</v>
      </c>
      <c r="R205" s="152"/>
    </row>
    <row r="206" spans="1:18">
      <c r="A206" s="147" t="s">
        <v>210</v>
      </c>
      <c r="B206" s="144" t="str">
        <f>VLOOKUP(A206,Data[],2,FALSE)</f>
        <v>BRONX</v>
      </c>
      <c r="C206" s="144" t="str">
        <f ca="1">IF(OR(F206="2019-2020",F206="2021-2025"),"",IF(ISNUMBER(SEARCH("LLC",D206)),VLOOKUP(A206,Yards25[],3,FALSE),VLOOKUP(A206,Yards[],3,FALSE)))</f>
        <v>New Waste Yard v4</v>
      </c>
      <c r="D206" s="9" t="str">
        <f>VLOOKUP(A206,Data[],52,FALSE)</f>
        <v>FEDERAL</v>
      </c>
      <c r="E206" s="9">
        <f>VLOOKUP(YardsAll[[#This Row],[DEVELOPMENT]],Data[],62,FALSE)</f>
        <v>11</v>
      </c>
      <c r="F206" s="9" t="str">
        <f ca="1">VLOOKUP(A206,Data[],4,FALSE)</f>
        <v>2022-2025</v>
      </c>
      <c r="G206" s="9">
        <f ca="1">IF(OR(YardsAll[[#This Row],[RAD/PACT]]="2019-2020",YardsAll[[#This Row],[RAD/PACT]]="2021-2025"),"",IF(ISNUMBER(SEARCH("1",C206)),2,IF(ISNUMBER(SEARCH("2",C206)),1,IF(ISNUMBER(SEARCH("3",C206)),3,IF(ISNUMBER(SEARCH("4",C206)),4,IF(ISNUMBER(SEARCH("5",C206)),5,IF(ISNUMBER(SEARCH("6",C206)),6,IF(ISNUMBER(SEARCH("7",C206)),7,IF(ISNUMBER(SEARCH("8",C206)),8,0)))))))))</f>
        <v>4</v>
      </c>
      <c r="H206" s="143" t="str">
        <f ca="1">IF(YardsAll[[#This Row],[STATUS]]="","",IF(OR(F206="2019-2020",F206="2021-2025"),"",IF(ISNUMBER(SEARCH("LLC",D206)),VLOOKUP(A206,Yards25[],28,FALSE),VLOOKUP(A206,Yards[],28,FALSE))))</f>
        <v/>
      </c>
      <c r="I206" s="143" t="str">
        <f ca="1">IF(YardsAll[[#This Row],[STATUS]]="","",IF(OR(F206="2019-2020",F206="2021-2025"),"",IF(ISNUMBER(SEARCH("LLC",D206)),VLOOKUP(A206,Yards25[],17,FALSE),VLOOKUP(A206,Yards[],17,FALSE))))</f>
        <v/>
      </c>
      <c r="J206" s="143" t="str">
        <f ca="1">IF(YardsAll[[#This Row],[STATUS]]="","",IF(OR(F206="2019-2020",F206="2021-2025"),"",IF(ISNUMBER(SEARCH("LLC",D206)),VLOOKUP(A206,Yards25[],29,FALSE),VLOOKUP(A206,Yards[],29,FALSE))))</f>
        <v/>
      </c>
      <c r="K206" s="143" t="str">
        <f ca="1">IF(YardsAll[[#This Row],[STATUS]]="","",IF(OR(F206="2019-2020",F206="2021-2025"),"",IF(ISNUMBER(SEARCH("LLC",D206)),VLOOKUP(A206,Yards25[],19,FALSE),VLOOKUP(A206,Yards[],19,FALSE))))</f>
        <v/>
      </c>
      <c r="L206" s="143" t="str">
        <f ca="1">IF(IF(OR(F206="2019-2020",F206="2021-2025"),"",IF(ISNUMBER(SEARCH("LLC",D206)),VLOOKUP(A206,Yards25[],20,FALSE),VLOOKUP(A206,Yards[],20,FALSE)))=0,"",IF(OR(F206="2019-2020",F206="2021-2025"),"",IF(ISNUMBER(SEARCH("LLC",D206)),VLOOKUP(A206,Yards25[],20,FALSE),VLOOKUP(A206,Yards[],20,FALSE))))</f>
        <v/>
      </c>
      <c r="M206" s="151">
        <f ca="1">IF(OR(F206="2019-2020",F206="2021-2025"),"",IF(ISNUMBER(SEARCH("LLC",D206)),VLOOKUP(A206,Yards25[],21,FALSE),VLOOKUP(A206,Yards[],21,FALSE)))</f>
        <v>0</v>
      </c>
      <c r="N206" s="151">
        <f ca="1">IF(OR(F206="2019-2020",F206="2021-2025"),"",IF(ISNUMBER(SEARCH("LLC",D206)),VLOOKUP(A206,Yards25[],22,FALSE),VLOOKUP(A206,Yards[],22,FALSE)))</f>
        <v>0</v>
      </c>
      <c r="O206" s="151">
        <f ca="1">SUM(YardsAll[[#This Row],[DSGN ESTIMATE]:[CONS ESTIMATE]])</f>
        <v>0</v>
      </c>
      <c r="P206" s="143"/>
      <c r="Q206" s="143">
        <f ca="1">IF(OR(F206="2019-2020",F206="2021-2025"),"",IF(ISNUMBER(SEARCH("LLC",D206)),VLOOKUP(A206,Yards25[],25,FALSE),VLOOKUP(A206,Yards[],25,FALSE)))</f>
        <v>0</v>
      </c>
      <c r="R206" s="152"/>
    </row>
    <row r="207" spans="1:18">
      <c r="A207" s="147" t="s">
        <v>354</v>
      </c>
      <c r="B207" s="144" t="str">
        <f>VLOOKUP(A207,Data[],2,FALSE)</f>
        <v>BROOKLYN</v>
      </c>
      <c r="C207" s="144" t="str">
        <f ca="1">IF(OR(F207="2019-2020",F207="2021-2025"),"",IF(ISNUMBER(SEARCH("LLC",D207)),VLOOKUP(A207,Yards25[],3,FALSE),VLOOKUP(A207,Yards[],3,FALSE)))</f>
        <v>New Waste Yard v1</v>
      </c>
      <c r="D207" s="9" t="str">
        <f>VLOOKUP(A207,Data[],52,FALSE)</f>
        <v>FEDERAL</v>
      </c>
      <c r="E207" s="9">
        <f>VLOOKUP(YardsAll[[#This Row],[DEVELOPMENT]],Data[],62,FALSE)</f>
        <v>5</v>
      </c>
      <c r="F207" s="9" t="str">
        <f ca="1">VLOOKUP(A207,Data[],4,FALSE)</f>
        <v/>
      </c>
      <c r="G207" s="9">
        <f ca="1">IF(OR(YardsAll[[#This Row],[RAD/PACT]]="2019-2020",YardsAll[[#This Row],[RAD/PACT]]="2021-2025"),"",IF(ISNUMBER(SEARCH("1",C207)),2,IF(ISNUMBER(SEARCH("2",C207)),1,IF(ISNUMBER(SEARCH("3",C207)),3,IF(ISNUMBER(SEARCH("4",C207)),4,IF(ISNUMBER(SEARCH("5",C207)),5,IF(ISNUMBER(SEARCH("6",C207)),6,IF(ISNUMBER(SEARCH("7",C207)),7,IF(ISNUMBER(SEARCH("8",C207)),8,0)))))))))</f>
        <v>2</v>
      </c>
      <c r="H207" s="143" t="str">
        <f ca="1">IF(YardsAll[[#This Row],[STATUS]]="","",IF(OR(F207="2019-2020",F207="2021-2025"),"",IF(ISNUMBER(SEARCH("LLC",D207)),VLOOKUP(A207,Yards25[],28,FALSE),VLOOKUP(A207,Yards[],28,FALSE))))</f>
        <v/>
      </c>
      <c r="I207" s="143" t="str">
        <f ca="1">IF(YardsAll[[#This Row],[STATUS]]="","",IF(OR(F207="2019-2020",F207="2021-2025"),"",IF(ISNUMBER(SEARCH("LLC",D207)),VLOOKUP(A207,Yards25[],17,FALSE),VLOOKUP(A207,Yards[],17,FALSE))))</f>
        <v/>
      </c>
      <c r="J207" s="143" t="str">
        <f ca="1">IF(YardsAll[[#This Row],[STATUS]]="","",IF(OR(F207="2019-2020",F207="2021-2025"),"",IF(ISNUMBER(SEARCH("LLC",D207)),VLOOKUP(A207,Yards25[],29,FALSE),VLOOKUP(A207,Yards[],29,FALSE))))</f>
        <v/>
      </c>
      <c r="K207" s="143" t="str">
        <f ca="1">IF(YardsAll[[#This Row],[STATUS]]="","",IF(OR(F207="2019-2020",F207="2021-2025"),"",IF(ISNUMBER(SEARCH("LLC",D207)),VLOOKUP(A207,Yards25[],19,FALSE),VLOOKUP(A207,Yards[],19,FALSE))))</f>
        <v/>
      </c>
      <c r="L207" s="143" t="str">
        <f ca="1">IF(IF(OR(F207="2019-2020",F207="2021-2025"),"",IF(ISNUMBER(SEARCH("LLC",D207)),VLOOKUP(A207,Yards25[],20,FALSE),VLOOKUP(A207,Yards[],20,FALSE)))=0,"",IF(OR(F207="2019-2020",F207="2021-2025"),"",IF(ISNUMBER(SEARCH("LLC",D207)),VLOOKUP(A207,Yards25[],20,FALSE),VLOOKUP(A207,Yards[],20,FALSE))))</f>
        <v/>
      </c>
      <c r="M207" s="151">
        <f ca="1">IF(OR(F207="2019-2020",F207="2021-2025"),"",IF(ISNUMBER(SEARCH("LLC",D207)),VLOOKUP(A207,Yards25[],21,FALSE),VLOOKUP(A207,Yards[],21,FALSE)))</f>
        <v>225039.4463730001</v>
      </c>
      <c r="N207" s="151">
        <f ca="1">IF(OR(F207="2019-2020",F207="2021-2025"),"",IF(ISNUMBER(SEARCH("LLC",D207)),VLOOKUP(A207,Yards25[],22,FALSE),VLOOKUP(A207,Yards[],22,FALSE)))</f>
        <v>2025355.0173570008</v>
      </c>
      <c r="O207" s="151">
        <f ca="1">SUM(YardsAll[[#This Row],[DSGN ESTIMATE]:[CONS ESTIMATE]])</f>
        <v>2250394.4637300009</v>
      </c>
      <c r="P207" s="143"/>
      <c r="Q207" s="143">
        <f ca="1">IF(OR(F207="2019-2020",F207="2021-2025"),"",IF(ISNUMBER(SEARCH("LLC",D207)),VLOOKUP(A207,Yards25[],25,FALSE),VLOOKUP(A207,Yards[],25,FALSE)))</f>
        <v>0</v>
      </c>
      <c r="R207" s="152"/>
    </row>
    <row r="208" spans="1:18">
      <c r="A208" s="147" t="s">
        <v>249</v>
      </c>
      <c r="B208" s="144" t="str">
        <f>VLOOKUP(A208,Data[],2,FALSE)</f>
        <v>BROOKLYN</v>
      </c>
      <c r="C208" s="144" t="str">
        <f ca="1">IF(OR(F208="2019-2020",F208="2021-2025"),"",IF(ISNUMBER(SEARCH("LLC",D208)),VLOOKUP(A208,Yards25[],3,FALSE),VLOOKUP(A208,Yards[],3,FALSE)))</f>
        <v>New Waste Yard v2</v>
      </c>
      <c r="D208" s="9" t="str">
        <f>VLOOKUP(A208,Data[],52,FALSE)</f>
        <v>FEDERAL</v>
      </c>
      <c r="E208" s="9">
        <f>VLOOKUP(YardsAll[[#This Row],[DEVELOPMENT]],Data[],62,FALSE)</f>
        <v>5</v>
      </c>
      <c r="F208" s="9" t="str">
        <f ca="1">VLOOKUP(A208,Data[],4,FALSE)</f>
        <v/>
      </c>
      <c r="G208" s="9">
        <f ca="1">IF(OR(YardsAll[[#This Row],[RAD/PACT]]="2019-2020",YardsAll[[#This Row],[RAD/PACT]]="2021-2025"),"",IF(ISNUMBER(SEARCH("1",C208)),2,IF(ISNUMBER(SEARCH("2",C208)),1,IF(ISNUMBER(SEARCH("3",C208)),3,IF(ISNUMBER(SEARCH("4",C208)),4,IF(ISNUMBER(SEARCH("5",C208)),5,IF(ISNUMBER(SEARCH("6",C208)),6,IF(ISNUMBER(SEARCH("7",C208)),7,IF(ISNUMBER(SEARCH("8",C208)),8,0)))))))))</f>
        <v>1</v>
      </c>
      <c r="H208" s="143" t="str">
        <f ca="1">IF(YardsAll[[#This Row],[STATUS]]="","",IF(OR(F208="2019-2020",F208="2021-2025"),"",IF(ISNUMBER(SEARCH("LLC",D208)),VLOOKUP(A208,Yards25[],28,FALSE),VLOOKUP(A208,Yards[],28,FALSE))))</f>
        <v/>
      </c>
      <c r="I208" s="143" t="str">
        <f ca="1">IF(YardsAll[[#This Row],[STATUS]]="","",IF(OR(F208="2019-2020",F208="2021-2025"),"",IF(ISNUMBER(SEARCH("LLC",D208)),VLOOKUP(A208,Yards25[],17,FALSE),VLOOKUP(A208,Yards[],17,FALSE))))</f>
        <v/>
      </c>
      <c r="J208" s="143" t="str">
        <f ca="1">IF(YardsAll[[#This Row],[STATUS]]="","",IF(OR(F208="2019-2020",F208="2021-2025"),"",IF(ISNUMBER(SEARCH("LLC",D208)),VLOOKUP(A208,Yards25[],29,FALSE),VLOOKUP(A208,Yards[],29,FALSE))))</f>
        <v/>
      </c>
      <c r="K208" s="143" t="str">
        <f ca="1">IF(YardsAll[[#This Row],[STATUS]]="","",IF(OR(F208="2019-2020",F208="2021-2025"),"",IF(ISNUMBER(SEARCH("LLC",D208)),VLOOKUP(A208,Yards25[],19,FALSE),VLOOKUP(A208,Yards[],19,FALSE))))</f>
        <v/>
      </c>
      <c r="L208" s="143" t="str">
        <f ca="1">IF(IF(OR(F208="2019-2020",F208="2021-2025"),"",IF(ISNUMBER(SEARCH("LLC",D208)),VLOOKUP(A208,Yards25[],20,FALSE),VLOOKUP(A208,Yards[],20,FALSE)))=0,"",IF(OR(F208="2019-2020",F208="2021-2025"),"",IF(ISNUMBER(SEARCH("LLC",D208)),VLOOKUP(A208,Yards25[],20,FALSE),VLOOKUP(A208,Yards[],20,FALSE))))</f>
        <v/>
      </c>
      <c r="M208" s="151">
        <f ca="1">IF(OR(F208="2019-2020",F208="2021-2025"),"",IF(ISNUMBER(SEARCH("LLC",D208)),VLOOKUP(A208,Yards25[],21,FALSE),VLOOKUP(A208,Yards[],21,FALSE)))</f>
        <v>155298.07909380004</v>
      </c>
      <c r="N208" s="151">
        <f ca="1">IF(OR(F208="2019-2020",F208="2021-2025"),"",IF(ISNUMBER(SEARCH("LLC",D208)),VLOOKUP(A208,Yards25[],22,FALSE),VLOOKUP(A208,Yards[],22,FALSE)))</f>
        <v>1397682.7118442003</v>
      </c>
      <c r="O208" s="151">
        <f ca="1">SUM(YardsAll[[#This Row],[DSGN ESTIMATE]:[CONS ESTIMATE]])</f>
        <v>1552980.7909380002</v>
      </c>
      <c r="P208" s="143"/>
      <c r="Q208" s="143">
        <f ca="1">IF(OR(F208="2019-2020",F208="2021-2025"),"",IF(ISNUMBER(SEARCH("LLC",D208)),VLOOKUP(A208,Yards25[],25,FALSE),VLOOKUP(A208,Yards[],25,FALSE)))</f>
        <v>0</v>
      </c>
      <c r="R208" s="152"/>
    </row>
    <row r="209" spans="1:18">
      <c r="A209" s="147" t="s">
        <v>133</v>
      </c>
      <c r="B209" s="144" t="str">
        <f>VLOOKUP(A209,Data[],2,FALSE)</f>
        <v>MANHATTAN</v>
      </c>
      <c r="C209" s="144" t="str">
        <f ca="1">IF(OR(F209="2019-2020",F209="2021-2025"),"",IF(ISNUMBER(SEARCH("LLC",D209)),VLOOKUP(A209,Yards25[],3,FALSE),VLOOKUP(A209,Yards[],3,FALSE)))</f>
        <v>New Waste Yard v8</v>
      </c>
      <c r="D209" s="9" t="str">
        <f>VLOOKUP(A209,Data[],52,FALSE)</f>
        <v>FEDERAL</v>
      </c>
      <c r="E209" s="9">
        <f>VLOOKUP(YardsAll[[#This Row],[DEVELOPMENT]],Data[],62,FALSE)</f>
        <v>10</v>
      </c>
      <c r="F209" s="9" t="str">
        <f ca="1">VLOOKUP(A209,Data[],4,FALSE)</f>
        <v/>
      </c>
      <c r="G209" s="9">
        <f ca="1">IF(OR(YardsAll[[#This Row],[RAD/PACT]]="2019-2020",YardsAll[[#This Row],[RAD/PACT]]="2021-2025"),"",IF(ISNUMBER(SEARCH("1",C209)),2,IF(ISNUMBER(SEARCH("2",C209)),1,IF(ISNUMBER(SEARCH("3",C209)),3,IF(ISNUMBER(SEARCH("4",C209)),4,IF(ISNUMBER(SEARCH("5",C209)),5,IF(ISNUMBER(SEARCH("6",C209)),6,IF(ISNUMBER(SEARCH("7",C209)),7,IF(ISNUMBER(SEARCH("8",C209)),8,0)))))))))</f>
        <v>8</v>
      </c>
      <c r="H209" s="143" t="str">
        <f ca="1">IF(YardsAll[[#This Row],[STATUS]]="","",IF(OR(F209="2019-2020",F209="2021-2025"),"",IF(ISNUMBER(SEARCH("LLC",D209)),VLOOKUP(A209,Yards25[],28,FALSE),VLOOKUP(A209,Yards[],28,FALSE))))</f>
        <v/>
      </c>
      <c r="I209" s="143" t="str">
        <f ca="1">IF(YardsAll[[#This Row],[STATUS]]="","",IF(OR(F209="2019-2020",F209="2021-2025"),"",IF(ISNUMBER(SEARCH("LLC",D209)),VLOOKUP(A209,Yards25[],17,FALSE),VLOOKUP(A209,Yards[],17,FALSE))))</f>
        <v/>
      </c>
      <c r="J209" s="143" t="str">
        <f ca="1">IF(YardsAll[[#This Row],[STATUS]]="","",IF(OR(F209="2019-2020",F209="2021-2025"),"",IF(ISNUMBER(SEARCH("LLC",D209)),VLOOKUP(A209,Yards25[],29,FALSE),VLOOKUP(A209,Yards[],29,FALSE))))</f>
        <v/>
      </c>
      <c r="K209" s="143" t="str">
        <f ca="1">IF(YardsAll[[#This Row],[STATUS]]="","",IF(OR(F209="2019-2020",F209="2021-2025"),"",IF(ISNUMBER(SEARCH("LLC",D209)),VLOOKUP(A209,Yards25[],19,FALSE),VLOOKUP(A209,Yards[],19,FALSE))))</f>
        <v/>
      </c>
      <c r="L209" s="143" t="str">
        <f ca="1">IF(IF(OR(F209="2019-2020",F209="2021-2025"),"",IF(ISNUMBER(SEARCH("LLC",D209)),VLOOKUP(A209,Yards25[],20,FALSE),VLOOKUP(A209,Yards[],20,FALSE)))=0,"",IF(OR(F209="2019-2020",F209="2021-2025"),"",IF(ISNUMBER(SEARCH("LLC",D209)),VLOOKUP(A209,Yards25[],20,FALSE),VLOOKUP(A209,Yards[],20,FALSE))))</f>
        <v/>
      </c>
      <c r="M209" s="151">
        <f ca="1">IF(OR(F209="2019-2020",F209="2021-2025"),"",IF(ISNUMBER(SEARCH("LLC",D209)),VLOOKUP(A209,Yards25[],21,FALSE),VLOOKUP(A209,Yards[],21,FALSE)))</f>
        <v>1639440</v>
      </c>
      <c r="N209" s="151">
        <f ca="1">IF(OR(F209="2019-2020",F209="2021-2025"),"",IF(ISNUMBER(SEARCH("LLC",D209)),VLOOKUP(A209,Yards25[],22,FALSE),VLOOKUP(A209,Yards[],22,FALSE)))</f>
        <v>14754959.999999998</v>
      </c>
      <c r="O209" s="151">
        <f ca="1">SUM(YardsAll[[#This Row],[DSGN ESTIMATE]:[CONS ESTIMATE]])</f>
        <v>16394399.999999998</v>
      </c>
      <c r="P209" s="143"/>
      <c r="Q209" s="143">
        <f ca="1">IF(OR(F209="2019-2020",F209="2021-2025"),"",IF(ISNUMBER(SEARCH("LLC",D209)),VLOOKUP(A209,Yards25[],25,FALSE),VLOOKUP(A209,Yards[],25,FALSE)))</f>
        <v>0</v>
      </c>
      <c r="R209" s="152"/>
    </row>
    <row r="210" spans="1:18">
      <c r="A210" s="147" t="s">
        <v>211</v>
      </c>
      <c r="B210" s="144" t="str">
        <f>VLOOKUP(A210,Data[],2,FALSE)</f>
        <v>QUEENS</v>
      </c>
      <c r="C210" s="144" t="str">
        <f ca="1">IF(OR(F210="2019-2020",F210="2021-2025"),"",IF(ISNUMBER(SEARCH("LLC",D210)),VLOOKUP(A210,Yards25[],3,FALSE),VLOOKUP(A210,Yards[],3,FALSE)))</f>
        <v>New Waste Yard v6</v>
      </c>
      <c r="D210" s="9" t="str">
        <f>VLOOKUP(A210,Data[],52,FALSE)</f>
        <v>FEDERAL</v>
      </c>
      <c r="E210" s="9">
        <f>VLOOKUP(YardsAll[[#This Row],[DEVELOPMENT]],Data[],62,FALSE)</f>
        <v>8</v>
      </c>
      <c r="F210" s="9" t="str">
        <f ca="1">VLOOKUP(A210,Data[],4,FALSE)</f>
        <v>2026+</v>
      </c>
      <c r="G210" s="9">
        <f ca="1">IF(OR(YardsAll[[#This Row],[RAD/PACT]]="2019-2020",YardsAll[[#This Row],[RAD/PACT]]="2021-2025"),"",IF(ISNUMBER(SEARCH("1",C210)),2,IF(ISNUMBER(SEARCH("2",C210)),1,IF(ISNUMBER(SEARCH("3",C210)),3,IF(ISNUMBER(SEARCH("4",C210)),4,IF(ISNUMBER(SEARCH("5",C210)),5,IF(ISNUMBER(SEARCH("6",C210)),6,IF(ISNUMBER(SEARCH("7",C210)),7,IF(ISNUMBER(SEARCH("8",C210)),8,0)))))))))</f>
        <v>6</v>
      </c>
      <c r="H210" s="143" t="str">
        <f ca="1">IF(YardsAll[[#This Row],[STATUS]]="","",IF(OR(F210="2019-2020",F210="2021-2025"),"",IF(ISNUMBER(SEARCH("LLC",D210)),VLOOKUP(A210,Yards25[],28,FALSE),VLOOKUP(A210,Yards[],28,FALSE))))</f>
        <v/>
      </c>
      <c r="I210" s="143" t="str">
        <f ca="1">IF(YardsAll[[#This Row],[STATUS]]="","",IF(OR(F210="2019-2020",F210="2021-2025"),"",IF(ISNUMBER(SEARCH("LLC",D210)),VLOOKUP(A210,Yards25[],17,FALSE),VLOOKUP(A210,Yards[],17,FALSE))))</f>
        <v/>
      </c>
      <c r="J210" s="143" t="str">
        <f ca="1">IF(YardsAll[[#This Row],[STATUS]]="","",IF(OR(F210="2019-2020",F210="2021-2025"),"",IF(ISNUMBER(SEARCH("LLC",D210)),VLOOKUP(A210,Yards25[],29,FALSE),VLOOKUP(A210,Yards[],29,FALSE))))</f>
        <v/>
      </c>
      <c r="K210" s="143" t="str">
        <f ca="1">IF(YardsAll[[#This Row],[STATUS]]="","",IF(OR(F210="2019-2020",F210="2021-2025"),"",IF(ISNUMBER(SEARCH("LLC",D210)),VLOOKUP(A210,Yards25[],19,FALSE),VLOOKUP(A210,Yards[],19,FALSE))))</f>
        <v/>
      </c>
      <c r="L210" s="143" t="str">
        <f ca="1">IF(IF(OR(F210="2019-2020",F210="2021-2025"),"",IF(ISNUMBER(SEARCH("LLC",D210)),VLOOKUP(A210,Yards25[],20,FALSE),VLOOKUP(A210,Yards[],20,FALSE)))=0,"",IF(OR(F210="2019-2020",F210="2021-2025"),"",IF(ISNUMBER(SEARCH("LLC",D210)),VLOOKUP(A210,Yards25[],20,FALSE),VLOOKUP(A210,Yards[],20,FALSE))))</f>
        <v/>
      </c>
      <c r="M210" s="151">
        <f ca="1">IF(OR(F210="2019-2020",F210="2021-2025"),"",IF(ISNUMBER(SEARCH("LLC",D210)),VLOOKUP(A210,Yards25[],21,FALSE),VLOOKUP(A210,Yards[],21,FALSE)))</f>
        <v>332348.25476385001</v>
      </c>
      <c r="N210" s="151">
        <f ca="1">IF(OR(F210="2019-2020",F210="2021-2025"),"",IF(ISNUMBER(SEARCH("LLC",D210)),VLOOKUP(A210,Yards25[],22,FALSE),VLOOKUP(A210,Yards[],22,FALSE)))</f>
        <v>2991134.2928746496</v>
      </c>
      <c r="O210" s="151">
        <f ca="1">SUM(YardsAll[[#This Row],[DSGN ESTIMATE]:[CONS ESTIMATE]])</f>
        <v>3323482.5476384996</v>
      </c>
      <c r="P210" s="143"/>
      <c r="Q210" s="143">
        <f ca="1">IF(OR(F210="2019-2020",F210="2021-2025"),"",IF(ISNUMBER(SEARCH("LLC",D210)),VLOOKUP(A210,Yards25[],25,FALSE),VLOOKUP(A210,Yards[],25,FALSE)))</f>
        <v>0</v>
      </c>
      <c r="R210" s="152"/>
    </row>
    <row r="211" spans="1:18">
      <c r="A211" s="147" t="s">
        <v>94</v>
      </c>
      <c r="B211" s="144" t="str">
        <f>VLOOKUP(A211,Data[],2,FALSE)</f>
        <v>MANHATTAN</v>
      </c>
      <c r="C211" s="144" t="str">
        <f ca="1">IF(OR(F211="2019-2020",F211="2021-2025"),"",IF(ISNUMBER(SEARCH("LLC",D211)),VLOOKUP(A211,Yards25[],3,FALSE),VLOOKUP(A211,Yards[],3,FALSE)))</f>
        <v>New Waste Yard v1</v>
      </c>
      <c r="D211" s="9" t="str">
        <f>VLOOKUP(A211,Data[],52,FALSE)</f>
        <v>FEDERAL</v>
      </c>
      <c r="E211" s="9">
        <f>VLOOKUP(YardsAll[[#This Row],[DEVELOPMENT]],Data[],62,FALSE)</f>
        <v>10</v>
      </c>
      <c r="F211" s="9" t="str">
        <f ca="1">VLOOKUP(A211,Data[],4,FALSE)</f>
        <v>2020-2021</v>
      </c>
      <c r="G211" s="9">
        <f ca="1">IF(OR(YardsAll[[#This Row],[RAD/PACT]]="2019-2020",YardsAll[[#This Row],[RAD/PACT]]="2021-2025"),"",IF(ISNUMBER(SEARCH("1",C211)),2,IF(ISNUMBER(SEARCH("2",C211)),1,IF(ISNUMBER(SEARCH("3",C211)),3,IF(ISNUMBER(SEARCH("4",C211)),4,IF(ISNUMBER(SEARCH("5",C211)),5,IF(ISNUMBER(SEARCH("6",C211)),6,IF(ISNUMBER(SEARCH("7",C211)),7,IF(ISNUMBER(SEARCH("8",C211)),8,0)))))))))</f>
        <v>2</v>
      </c>
      <c r="H211" s="143" t="str">
        <f ca="1">IF(YardsAll[[#This Row],[STATUS]]="","",IF(OR(F211="2019-2020",F211="2021-2025"),"",IF(ISNUMBER(SEARCH("LLC",D211)),VLOOKUP(A211,Yards25[],28,FALSE),VLOOKUP(A211,Yards[],28,FALSE))))</f>
        <v/>
      </c>
      <c r="I211" s="143" t="str">
        <f ca="1">IF(YardsAll[[#This Row],[STATUS]]="","",IF(OR(F211="2019-2020",F211="2021-2025"),"",IF(ISNUMBER(SEARCH("LLC",D211)),VLOOKUP(A211,Yards25[],17,FALSE),VLOOKUP(A211,Yards[],17,FALSE))))</f>
        <v/>
      </c>
      <c r="J211" s="143" t="str">
        <f ca="1">IF(YardsAll[[#This Row],[STATUS]]="","",IF(OR(F211="2019-2020",F211="2021-2025"),"",IF(ISNUMBER(SEARCH("LLC",D211)),VLOOKUP(A211,Yards25[],29,FALSE),VLOOKUP(A211,Yards[],29,FALSE))))</f>
        <v/>
      </c>
      <c r="K211" s="143" t="str">
        <f ca="1">IF(YardsAll[[#This Row],[STATUS]]="","",IF(OR(F211="2019-2020",F211="2021-2025"),"",IF(ISNUMBER(SEARCH("LLC",D211)),VLOOKUP(A211,Yards25[],19,FALSE),VLOOKUP(A211,Yards[],19,FALSE))))</f>
        <v/>
      </c>
      <c r="L211" s="143" t="str">
        <f ca="1">IF(IF(OR(F211="2019-2020",F211="2021-2025"),"",IF(ISNUMBER(SEARCH("LLC",D211)),VLOOKUP(A211,Yards25[],20,FALSE),VLOOKUP(A211,Yards[],20,FALSE)))=0,"",IF(OR(F211="2019-2020",F211="2021-2025"),"",IF(ISNUMBER(SEARCH("LLC",D211)),VLOOKUP(A211,Yards25[],20,FALSE),VLOOKUP(A211,Yards[],20,FALSE))))</f>
        <v/>
      </c>
      <c r="M211" s="151">
        <f ca="1">IF(OR(F211="2019-2020",F211="2021-2025"),"",IF(ISNUMBER(SEARCH("LLC",D211)),VLOOKUP(A211,Yards25[],21,FALSE),VLOOKUP(A211,Yards[],21,FALSE)))</f>
        <v>0</v>
      </c>
      <c r="N211" s="151">
        <f ca="1">IF(OR(F211="2019-2020",F211="2021-2025"),"",IF(ISNUMBER(SEARCH("LLC",D211)),VLOOKUP(A211,Yards25[],22,FALSE),VLOOKUP(A211,Yards[],22,FALSE)))</f>
        <v>0</v>
      </c>
      <c r="O211" s="151">
        <f ca="1">SUM(YardsAll[[#This Row],[DSGN ESTIMATE]:[CONS ESTIMATE]])</f>
        <v>0</v>
      </c>
      <c r="P211" s="143"/>
      <c r="Q211" s="143">
        <f ca="1">IF(OR(F211="2019-2020",F211="2021-2025"),"",IF(ISNUMBER(SEARCH("LLC",D211)),VLOOKUP(A211,Yards25[],25,FALSE),VLOOKUP(A211,Yards[],25,FALSE)))</f>
        <v>0</v>
      </c>
      <c r="R211" s="152"/>
    </row>
    <row r="212" spans="1:18">
      <c r="A212" s="147" t="s">
        <v>134</v>
      </c>
      <c r="B212" s="144" t="str">
        <f>VLOOKUP(A212,Data[],2,FALSE)</f>
        <v>QUEENS</v>
      </c>
      <c r="C212" s="144" t="str">
        <f ca="1">IF(OR(F212="2019-2020",F212="2021-2025"),"",IF(ISNUMBER(SEARCH("LLC",D212)),VLOOKUP(A212,Yards25[],3,FALSE),VLOOKUP(A212,Yards[],3,FALSE)))</f>
        <v>New Waste Yard v2</v>
      </c>
      <c r="D212" s="9" t="str">
        <f>VLOOKUP(A212,Data[],52,FALSE)</f>
        <v>FEDERAL</v>
      </c>
      <c r="E212" s="9">
        <f>VLOOKUP(YardsAll[[#This Row],[DEVELOPMENT]],Data[],62,FALSE)</f>
        <v>1</v>
      </c>
      <c r="F212" s="9" t="str">
        <f ca="1">VLOOKUP(A212,Data[],4,FALSE)</f>
        <v>2026+</v>
      </c>
      <c r="G212" s="9">
        <f ca="1">IF(OR(YardsAll[[#This Row],[RAD/PACT]]="2019-2020",YardsAll[[#This Row],[RAD/PACT]]="2021-2025"),"",IF(ISNUMBER(SEARCH("1",C212)),2,IF(ISNUMBER(SEARCH("2",C212)),1,IF(ISNUMBER(SEARCH("3",C212)),3,IF(ISNUMBER(SEARCH("4",C212)),4,IF(ISNUMBER(SEARCH("5",C212)),5,IF(ISNUMBER(SEARCH("6",C212)),6,IF(ISNUMBER(SEARCH("7",C212)),7,IF(ISNUMBER(SEARCH("8",C212)),8,0)))))))))</f>
        <v>1</v>
      </c>
      <c r="H212" s="143" t="str">
        <f ca="1">IF(YardsAll[[#This Row],[STATUS]]="","",IF(OR(F212="2019-2020",F212="2021-2025"),"",IF(ISNUMBER(SEARCH("LLC",D212)),VLOOKUP(A212,Yards25[],28,FALSE),VLOOKUP(A212,Yards[],28,FALSE))))</f>
        <v/>
      </c>
      <c r="I212" s="143" t="str">
        <f ca="1">IF(YardsAll[[#This Row],[STATUS]]="","",IF(OR(F212="2019-2020",F212="2021-2025"),"",IF(ISNUMBER(SEARCH("LLC",D212)),VLOOKUP(A212,Yards25[],17,FALSE),VLOOKUP(A212,Yards[],17,FALSE))))</f>
        <v/>
      </c>
      <c r="J212" s="143" t="str">
        <f ca="1">IF(YardsAll[[#This Row],[STATUS]]="","",IF(OR(F212="2019-2020",F212="2021-2025"),"",IF(ISNUMBER(SEARCH("LLC",D212)),VLOOKUP(A212,Yards25[],29,FALSE),VLOOKUP(A212,Yards[],29,FALSE))))</f>
        <v/>
      </c>
      <c r="K212" s="143" t="str">
        <f ca="1">IF(YardsAll[[#This Row],[STATUS]]="","",IF(OR(F212="2019-2020",F212="2021-2025"),"",IF(ISNUMBER(SEARCH("LLC",D212)),VLOOKUP(A212,Yards25[],19,FALSE),VLOOKUP(A212,Yards[],19,FALSE))))</f>
        <v/>
      </c>
      <c r="L212" s="143" t="str">
        <f ca="1">IF(IF(OR(F212="2019-2020",F212="2021-2025"),"",IF(ISNUMBER(SEARCH("LLC",D212)),VLOOKUP(A212,Yards25[],20,FALSE),VLOOKUP(A212,Yards[],20,FALSE)))=0,"",IF(OR(F212="2019-2020",F212="2021-2025"),"",IF(ISNUMBER(SEARCH("LLC",D212)),VLOOKUP(A212,Yards25[],20,FALSE),VLOOKUP(A212,Yards[],20,FALSE))))</f>
        <v/>
      </c>
      <c r="M212" s="151">
        <f ca="1">IF(OR(F212="2019-2020",F212="2021-2025"),"",IF(ISNUMBER(SEARCH("LLC",D212)),VLOOKUP(A212,Yards25[],21,FALSE),VLOOKUP(A212,Yards[],21,FALSE)))</f>
        <v>155298.07909380004</v>
      </c>
      <c r="N212" s="151">
        <f ca="1">IF(OR(F212="2019-2020",F212="2021-2025"),"",IF(ISNUMBER(SEARCH("LLC",D212)),VLOOKUP(A212,Yards25[],22,FALSE),VLOOKUP(A212,Yards[],22,FALSE)))</f>
        <v>1397682.7118442003</v>
      </c>
      <c r="O212" s="151">
        <f ca="1">SUM(YardsAll[[#This Row],[DSGN ESTIMATE]:[CONS ESTIMATE]])</f>
        <v>1552980.7909380002</v>
      </c>
      <c r="P212" s="143"/>
      <c r="Q212" s="143">
        <f ca="1">IF(OR(F212="2019-2020",F212="2021-2025"),"",IF(ISNUMBER(SEARCH("LLC",D212)),VLOOKUP(A212,Yards25[],25,FALSE),VLOOKUP(A212,Yards[],25,FALSE)))</f>
        <v>0</v>
      </c>
      <c r="R212" s="152"/>
    </row>
    <row r="213" spans="1:18">
      <c r="A213" s="147" t="s">
        <v>135</v>
      </c>
      <c r="B213" s="144" t="str">
        <f>VLOOKUP(A213,Data[],2,FALSE)</f>
        <v>QUEENS</v>
      </c>
      <c r="C213" s="144" t="str">
        <f ca="1">IF(OR(F213="2019-2020",F213="2021-2025"),"",IF(ISNUMBER(SEARCH("LLC",D213)),VLOOKUP(A213,Yards25[],3,FALSE),VLOOKUP(A213,Yards[],3,FALSE)))</f>
        <v>New Waste Yard v2</v>
      </c>
      <c r="D213" s="9" t="str">
        <f>VLOOKUP(A213,Data[],52,FALSE)</f>
        <v>FEDERAL</v>
      </c>
      <c r="E213" s="9">
        <f>VLOOKUP(YardsAll[[#This Row],[DEVELOPMENT]],Data[],62,FALSE)</f>
        <v>1</v>
      </c>
      <c r="F213" s="9" t="str">
        <f ca="1">VLOOKUP(A213,Data[],4,FALSE)</f>
        <v>2026+</v>
      </c>
      <c r="G213" s="9">
        <f ca="1">IF(OR(YardsAll[[#This Row],[RAD/PACT]]="2019-2020",YardsAll[[#This Row],[RAD/PACT]]="2021-2025"),"",IF(ISNUMBER(SEARCH("1",C213)),2,IF(ISNUMBER(SEARCH("2",C213)),1,IF(ISNUMBER(SEARCH("3",C213)),3,IF(ISNUMBER(SEARCH("4",C213)),4,IF(ISNUMBER(SEARCH("5",C213)),5,IF(ISNUMBER(SEARCH("6",C213)),6,IF(ISNUMBER(SEARCH("7",C213)),7,IF(ISNUMBER(SEARCH("8",C213)),8,0)))))))))</f>
        <v>1</v>
      </c>
      <c r="H213" s="143" t="str">
        <f ca="1">IF(YardsAll[[#This Row],[STATUS]]="","",IF(OR(F213="2019-2020",F213="2021-2025"),"",IF(ISNUMBER(SEARCH("LLC",D213)),VLOOKUP(A213,Yards25[],28,FALSE),VLOOKUP(A213,Yards[],28,FALSE))))</f>
        <v/>
      </c>
      <c r="I213" s="143" t="str">
        <f ca="1">IF(YardsAll[[#This Row],[STATUS]]="","",IF(OR(F213="2019-2020",F213="2021-2025"),"",IF(ISNUMBER(SEARCH("LLC",D213)),VLOOKUP(A213,Yards25[],17,FALSE),VLOOKUP(A213,Yards[],17,FALSE))))</f>
        <v/>
      </c>
      <c r="J213" s="143" t="str">
        <f ca="1">IF(YardsAll[[#This Row],[STATUS]]="","",IF(OR(F213="2019-2020",F213="2021-2025"),"",IF(ISNUMBER(SEARCH("LLC",D213)),VLOOKUP(A213,Yards25[],29,FALSE),VLOOKUP(A213,Yards[],29,FALSE))))</f>
        <v/>
      </c>
      <c r="K213" s="143" t="str">
        <f ca="1">IF(YardsAll[[#This Row],[STATUS]]="","",IF(OR(F213="2019-2020",F213="2021-2025"),"",IF(ISNUMBER(SEARCH("LLC",D213)),VLOOKUP(A213,Yards25[],19,FALSE),VLOOKUP(A213,Yards[],19,FALSE))))</f>
        <v/>
      </c>
      <c r="L213" s="143" t="str">
        <f ca="1">IF(IF(OR(F213="2019-2020",F213="2021-2025"),"",IF(ISNUMBER(SEARCH("LLC",D213)),VLOOKUP(A213,Yards25[],20,FALSE),VLOOKUP(A213,Yards[],20,FALSE)))=0,"",IF(OR(F213="2019-2020",F213="2021-2025"),"",IF(ISNUMBER(SEARCH("LLC",D213)),VLOOKUP(A213,Yards25[],20,FALSE),VLOOKUP(A213,Yards[],20,FALSE))))</f>
        <v/>
      </c>
      <c r="M213" s="151">
        <f ca="1">IF(OR(F213="2019-2020",F213="2021-2025"),"",IF(ISNUMBER(SEARCH("LLC",D213)),VLOOKUP(A213,Yards25[],21,FALSE),VLOOKUP(A213,Yards[],21,FALSE)))</f>
        <v>155298.07909380004</v>
      </c>
      <c r="N213" s="151">
        <f ca="1">IF(OR(F213="2019-2020",F213="2021-2025"),"",IF(ISNUMBER(SEARCH("LLC",D213)),VLOOKUP(A213,Yards25[],22,FALSE),VLOOKUP(A213,Yards[],22,FALSE)))</f>
        <v>1397682.7118442003</v>
      </c>
      <c r="O213" s="151">
        <f ca="1">SUM(YardsAll[[#This Row],[DSGN ESTIMATE]:[CONS ESTIMATE]])</f>
        <v>1552980.7909380002</v>
      </c>
      <c r="P213" s="143"/>
      <c r="Q213" s="143">
        <f ca="1">IF(OR(F213="2019-2020",F213="2021-2025"),"",IF(ISNUMBER(SEARCH("LLC",D213)),VLOOKUP(A213,Yards25[],25,FALSE),VLOOKUP(A213,Yards[],25,FALSE)))</f>
        <v>0</v>
      </c>
      <c r="R213" s="152"/>
    </row>
    <row r="214" spans="1:18">
      <c r="A214" s="147" t="s">
        <v>355</v>
      </c>
      <c r="B214" s="144" t="str">
        <f>VLOOKUP(A214,Data[],2,FALSE)</f>
        <v>BROOKLYN</v>
      </c>
      <c r="C214" s="144" t="str">
        <f ca="1">IF(OR(F214="2019-2020",F214="2021-2025"),"",IF(ISNUMBER(SEARCH("LLC",D214)),VLOOKUP(A214,Yards25[],3,FALSE),VLOOKUP(A214,Yards[],3,FALSE)))</f>
        <v>New Waste Yard v1</v>
      </c>
      <c r="D214" s="9" t="str">
        <f>VLOOKUP(A214,Data[],52,FALSE)</f>
        <v>FEDERAL</v>
      </c>
      <c r="E214" s="9">
        <f>VLOOKUP(YardsAll[[#This Row],[DEVELOPMENT]],Data[],62,FALSE)</f>
        <v>16</v>
      </c>
      <c r="F214" s="9" t="str">
        <f ca="1">VLOOKUP(A214,Data[],4,FALSE)</f>
        <v>2020-2021</v>
      </c>
      <c r="G214" s="9">
        <f ca="1">IF(OR(YardsAll[[#This Row],[RAD/PACT]]="2019-2020",YardsAll[[#This Row],[RAD/PACT]]="2021-2025"),"",IF(ISNUMBER(SEARCH("1",C214)),2,IF(ISNUMBER(SEARCH("2",C214)),1,IF(ISNUMBER(SEARCH("3",C214)),3,IF(ISNUMBER(SEARCH("4",C214)),4,IF(ISNUMBER(SEARCH("5",C214)),5,IF(ISNUMBER(SEARCH("6",C214)),6,IF(ISNUMBER(SEARCH("7",C214)),7,IF(ISNUMBER(SEARCH("8",C214)),8,0)))))))))</f>
        <v>2</v>
      </c>
      <c r="H214" s="143" t="str">
        <f ca="1">IF(YardsAll[[#This Row],[STATUS]]="","",IF(OR(F214="2019-2020",F214="2021-2025"),"",IF(ISNUMBER(SEARCH("LLC",D214)),VLOOKUP(A214,Yards25[],28,FALSE),VLOOKUP(A214,Yards[],28,FALSE))))</f>
        <v/>
      </c>
      <c r="I214" s="143" t="str">
        <f ca="1">IF(YardsAll[[#This Row],[STATUS]]="","",IF(OR(F214="2019-2020",F214="2021-2025"),"",IF(ISNUMBER(SEARCH("LLC",D214)),VLOOKUP(A214,Yards25[],17,FALSE),VLOOKUP(A214,Yards[],17,FALSE))))</f>
        <v/>
      </c>
      <c r="J214" s="143" t="str">
        <f ca="1">IF(YardsAll[[#This Row],[STATUS]]="","",IF(OR(F214="2019-2020",F214="2021-2025"),"",IF(ISNUMBER(SEARCH("LLC",D214)),VLOOKUP(A214,Yards25[],29,FALSE),VLOOKUP(A214,Yards[],29,FALSE))))</f>
        <v/>
      </c>
      <c r="K214" s="143" t="str">
        <f ca="1">IF(YardsAll[[#This Row],[STATUS]]="","",IF(OR(F214="2019-2020",F214="2021-2025"),"",IF(ISNUMBER(SEARCH("LLC",D214)),VLOOKUP(A214,Yards25[],19,FALSE),VLOOKUP(A214,Yards[],19,FALSE))))</f>
        <v/>
      </c>
      <c r="L214" s="143" t="str">
        <f ca="1">IF(IF(OR(F214="2019-2020",F214="2021-2025"),"",IF(ISNUMBER(SEARCH("LLC",D214)),VLOOKUP(A214,Yards25[],20,FALSE),VLOOKUP(A214,Yards[],20,FALSE)))=0,"",IF(OR(F214="2019-2020",F214="2021-2025"),"",IF(ISNUMBER(SEARCH("LLC",D214)),VLOOKUP(A214,Yards25[],20,FALSE),VLOOKUP(A214,Yards[],20,FALSE))))</f>
        <v/>
      </c>
      <c r="M214" s="151">
        <f ca="1">IF(OR(F214="2019-2020",F214="2021-2025"),"",IF(ISNUMBER(SEARCH("LLC",D214)),VLOOKUP(A214,Yards25[],21,FALSE),VLOOKUP(A214,Yards[],21,FALSE)))</f>
        <v>0</v>
      </c>
      <c r="N214" s="151">
        <f ca="1">IF(OR(F214="2019-2020",F214="2021-2025"),"",IF(ISNUMBER(SEARCH("LLC",D214)),VLOOKUP(A214,Yards25[],22,FALSE),VLOOKUP(A214,Yards[],22,FALSE)))</f>
        <v>0</v>
      </c>
      <c r="O214" s="151">
        <f ca="1">SUM(YardsAll[[#This Row],[DSGN ESTIMATE]:[CONS ESTIMATE]])</f>
        <v>0</v>
      </c>
      <c r="P214" s="143"/>
      <c r="Q214" s="143">
        <f ca="1">IF(OR(F214="2019-2020",F214="2021-2025"),"",IF(ISNUMBER(SEARCH("LLC",D214)),VLOOKUP(A214,Yards25[],25,FALSE),VLOOKUP(A214,Yards[],25,FALSE)))</f>
        <v>0</v>
      </c>
      <c r="R214" s="152"/>
    </row>
    <row r="215" spans="1:18">
      <c r="A215" s="147" t="s">
        <v>268</v>
      </c>
      <c r="B215" s="144" t="str">
        <f>VLOOKUP(A215,Data[],2,FALSE)</f>
        <v>BRONX</v>
      </c>
      <c r="C215" s="144" t="str">
        <f ca="1">IF(OR(F215="2019-2020",F215="2021-2025"),"",IF(ISNUMBER(SEARCH("LLC",D215)),VLOOKUP(A215,Yards25[],3,FALSE),VLOOKUP(A215,Yards[],3,FALSE)))</f>
        <v>New Waste Yard v1</v>
      </c>
      <c r="D215" s="9" t="str">
        <f>VLOOKUP(A215,Data[],52,FALSE)</f>
        <v>FEDERAL</v>
      </c>
      <c r="E215" s="9">
        <f>VLOOKUP(YardsAll[[#This Row],[DEVELOPMENT]],Data[],62,FALSE)</f>
        <v>10</v>
      </c>
      <c r="F215" s="9" t="str">
        <f ca="1">VLOOKUP(A215,Data[],4,FALSE)</f>
        <v>2020-2021</v>
      </c>
      <c r="G215" s="9">
        <f ca="1">IF(OR(YardsAll[[#This Row],[RAD/PACT]]="2019-2020",YardsAll[[#This Row],[RAD/PACT]]="2021-2025"),"",IF(ISNUMBER(SEARCH("1",C215)),2,IF(ISNUMBER(SEARCH("2",C215)),1,IF(ISNUMBER(SEARCH("3",C215)),3,IF(ISNUMBER(SEARCH("4",C215)),4,IF(ISNUMBER(SEARCH("5",C215)),5,IF(ISNUMBER(SEARCH("6",C215)),6,IF(ISNUMBER(SEARCH("7",C215)),7,IF(ISNUMBER(SEARCH("8",C215)),8,0)))))))))</f>
        <v>2</v>
      </c>
      <c r="H215" s="143" t="str">
        <f ca="1">IF(YardsAll[[#This Row],[STATUS]]="","",IF(OR(F215="2019-2020",F215="2021-2025"),"",IF(ISNUMBER(SEARCH("LLC",D215)),VLOOKUP(A215,Yards25[],28,FALSE),VLOOKUP(A215,Yards[],28,FALSE))))</f>
        <v/>
      </c>
      <c r="I215" s="143" t="str">
        <f ca="1">IF(YardsAll[[#This Row],[STATUS]]="","",IF(OR(F215="2019-2020",F215="2021-2025"),"",IF(ISNUMBER(SEARCH("LLC",D215)),VLOOKUP(A215,Yards25[],17,FALSE),VLOOKUP(A215,Yards[],17,FALSE))))</f>
        <v/>
      </c>
      <c r="J215" s="143" t="str">
        <f ca="1">IF(YardsAll[[#This Row],[STATUS]]="","",IF(OR(F215="2019-2020",F215="2021-2025"),"",IF(ISNUMBER(SEARCH("LLC",D215)),VLOOKUP(A215,Yards25[],29,FALSE),VLOOKUP(A215,Yards[],29,FALSE))))</f>
        <v/>
      </c>
      <c r="K215" s="143" t="str">
        <f ca="1">IF(YardsAll[[#This Row],[STATUS]]="","",IF(OR(F215="2019-2020",F215="2021-2025"),"",IF(ISNUMBER(SEARCH("LLC",D215)),VLOOKUP(A215,Yards25[],19,FALSE),VLOOKUP(A215,Yards[],19,FALSE))))</f>
        <v/>
      </c>
      <c r="L215" s="143" t="str">
        <f ca="1">IF(IF(OR(F215="2019-2020",F215="2021-2025"),"",IF(ISNUMBER(SEARCH("LLC",D215)),VLOOKUP(A215,Yards25[],20,FALSE),VLOOKUP(A215,Yards[],20,FALSE)))=0,"",IF(OR(F215="2019-2020",F215="2021-2025"),"",IF(ISNUMBER(SEARCH("LLC",D215)),VLOOKUP(A215,Yards25[],20,FALSE),VLOOKUP(A215,Yards[],20,FALSE))))</f>
        <v/>
      </c>
      <c r="M215" s="151">
        <f ca="1">IF(OR(F215="2019-2020",F215="2021-2025"),"",IF(ISNUMBER(SEARCH("LLC",D215)),VLOOKUP(A215,Yards25[],21,FALSE),VLOOKUP(A215,Yards[],21,FALSE)))</f>
        <v>0</v>
      </c>
      <c r="N215" s="151">
        <f ca="1">IF(OR(F215="2019-2020",F215="2021-2025"),"",IF(ISNUMBER(SEARCH("LLC",D215)),VLOOKUP(A215,Yards25[],22,FALSE),VLOOKUP(A215,Yards[],22,FALSE)))</f>
        <v>0</v>
      </c>
      <c r="O215" s="151">
        <f ca="1">SUM(YardsAll[[#This Row],[DSGN ESTIMATE]:[CONS ESTIMATE]])</f>
        <v>0</v>
      </c>
      <c r="P215" s="143"/>
      <c r="Q215" s="143">
        <f ca="1">IF(OR(F215="2019-2020",F215="2021-2025"),"",IF(ISNUMBER(SEARCH("LLC",D215)),VLOOKUP(A215,Yards25[],25,FALSE),VLOOKUP(A215,Yards[],25,FALSE)))</f>
        <v>0</v>
      </c>
      <c r="R215" s="152"/>
    </row>
    <row r="216" spans="1:18">
      <c r="A216" s="147" t="s">
        <v>115</v>
      </c>
      <c r="B216" s="144" t="str">
        <f>VLOOKUP(A216,Data[],2,FALSE)</f>
        <v>MANHATTAN</v>
      </c>
      <c r="C216" s="144" t="str">
        <f ca="1">IF(OR(F216="2019-2020",F216="2021-2025"),"",IF(ISNUMBER(SEARCH("LLC",D216)),VLOOKUP(A216,Yards25[],3,FALSE),VLOOKUP(A216,Yards[],3,FALSE)))</f>
        <v>New Waste Yard v4</v>
      </c>
      <c r="D216" s="9" t="str">
        <f>VLOOKUP(A216,Data[],52,FALSE)</f>
        <v>FEDERAL</v>
      </c>
      <c r="E216" s="9">
        <f>VLOOKUP(YardsAll[[#This Row],[DEVELOPMENT]],Data[],62,FALSE)</f>
        <v>10</v>
      </c>
      <c r="F216" s="9" t="str">
        <f ca="1">VLOOKUP(A216,Data[],4,FALSE)</f>
        <v/>
      </c>
      <c r="G216" s="9">
        <f ca="1">IF(OR(YardsAll[[#This Row],[RAD/PACT]]="2019-2020",YardsAll[[#This Row],[RAD/PACT]]="2021-2025"),"",IF(ISNUMBER(SEARCH("1",C216)),2,IF(ISNUMBER(SEARCH("2",C216)),1,IF(ISNUMBER(SEARCH("3",C216)),3,IF(ISNUMBER(SEARCH("4",C216)),4,IF(ISNUMBER(SEARCH("5",C216)),5,IF(ISNUMBER(SEARCH("6",C216)),6,IF(ISNUMBER(SEARCH("7",C216)),7,IF(ISNUMBER(SEARCH("8",C216)),8,0)))))))))</f>
        <v>4</v>
      </c>
      <c r="H216" s="143" t="str">
        <f ca="1">IF(YardsAll[[#This Row],[STATUS]]="","",IF(OR(F216="2019-2020",F216="2021-2025"),"",IF(ISNUMBER(SEARCH("LLC",D216)),VLOOKUP(A216,Yards25[],28,FALSE),VLOOKUP(A216,Yards[],28,FALSE))))</f>
        <v/>
      </c>
      <c r="I216" s="143" t="str">
        <f ca="1">IF(YardsAll[[#This Row],[STATUS]]="","",IF(OR(F216="2019-2020",F216="2021-2025"),"",IF(ISNUMBER(SEARCH("LLC",D216)),VLOOKUP(A216,Yards25[],17,FALSE),VLOOKUP(A216,Yards[],17,FALSE))))</f>
        <v/>
      </c>
      <c r="J216" s="143" t="str">
        <f ca="1">IF(YardsAll[[#This Row],[STATUS]]="","",IF(OR(F216="2019-2020",F216="2021-2025"),"",IF(ISNUMBER(SEARCH("LLC",D216)),VLOOKUP(A216,Yards25[],29,FALSE),VLOOKUP(A216,Yards[],29,FALSE))))</f>
        <v/>
      </c>
      <c r="K216" s="143" t="str">
        <f ca="1">IF(YardsAll[[#This Row],[STATUS]]="","",IF(OR(F216="2019-2020",F216="2021-2025"),"",IF(ISNUMBER(SEARCH("LLC",D216)),VLOOKUP(A216,Yards25[],19,FALSE),VLOOKUP(A216,Yards[],19,FALSE))))</f>
        <v/>
      </c>
      <c r="L216" s="143" t="str">
        <f ca="1">IF(IF(OR(F216="2019-2020",F216="2021-2025"),"",IF(ISNUMBER(SEARCH("LLC",D216)),VLOOKUP(A216,Yards25[],20,FALSE),VLOOKUP(A216,Yards[],20,FALSE)))=0,"",IF(OR(F216="2019-2020",F216="2021-2025"),"",IF(ISNUMBER(SEARCH("LLC",D216)),VLOOKUP(A216,Yards25[],20,FALSE),VLOOKUP(A216,Yards[],20,FALSE))))</f>
        <v/>
      </c>
      <c r="M216" s="151">
        <f ca="1">IF(OR(F216="2019-2020",F216="2021-2025"),"",IF(ISNUMBER(SEARCH("LLC",D216)),VLOOKUP(A216,Yards25[],21,FALSE),VLOOKUP(A216,Yards[],21,FALSE)))</f>
        <v>276067.59524575004</v>
      </c>
      <c r="N216" s="151">
        <f ca="1">IF(OR(F216="2019-2020",F216="2021-2025"),"",IF(ISNUMBER(SEARCH("LLC",D216)),VLOOKUP(A216,Yards25[],22,FALSE),VLOOKUP(A216,Yards[],22,FALSE)))</f>
        <v>2484608.35721175</v>
      </c>
      <c r="O216" s="151">
        <f ca="1">SUM(YardsAll[[#This Row],[DSGN ESTIMATE]:[CONS ESTIMATE]])</f>
        <v>2760675.9524575002</v>
      </c>
      <c r="P216" s="143"/>
      <c r="Q216" s="143">
        <f ca="1">IF(OR(F216="2019-2020",F216="2021-2025"),"",IF(ISNUMBER(SEARCH("LLC",D216)),VLOOKUP(A216,Yards25[],25,FALSE),VLOOKUP(A216,Yards[],25,FALSE)))</f>
        <v>0</v>
      </c>
      <c r="R216" s="152"/>
    </row>
    <row r="217" spans="1:18">
      <c r="A217" s="147" t="s">
        <v>212</v>
      </c>
      <c r="B217" s="144" t="str">
        <f>VLOOKUP(A217,Data[],2,FALSE)</f>
        <v>QUEENS</v>
      </c>
      <c r="C217" s="144" t="str">
        <f ca="1">IF(OR(F217="2019-2020",F217="2021-2025"),"",IF(ISNUMBER(SEARCH("LLC",D217)),VLOOKUP(A217,Yards25[],3,FALSE),VLOOKUP(A217,Yards[],3,FALSE)))</f>
        <v>New Waste Yard v5</v>
      </c>
      <c r="D217" s="9" t="str">
        <f>VLOOKUP(A217,Data[],52,FALSE)</f>
        <v>FEDERAL</v>
      </c>
      <c r="E217" s="9">
        <f>VLOOKUP(YardsAll[[#This Row],[DEVELOPMENT]],Data[],62,FALSE)</f>
        <v>1</v>
      </c>
      <c r="F217" s="9" t="str">
        <f ca="1">VLOOKUP(A217,Data[],4,FALSE)</f>
        <v/>
      </c>
      <c r="G217" s="9">
        <f ca="1">IF(OR(YardsAll[[#This Row],[RAD/PACT]]="2019-2020",YardsAll[[#This Row],[RAD/PACT]]="2021-2025"),"",IF(ISNUMBER(SEARCH("1",C217)),2,IF(ISNUMBER(SEARCH("2",C217)),1,IF(ISNUMBER(SEARCH("3",C217)),3,IF(ISNUMBER(SEARCH("4",C217)),4,IF(ISNUMBER(SEARCH("5",C217)),5,IF(ISNUMBER(SEARCH("6",C217)),6,IF(ISNUMBER(SEARCH("7",C217)),7,IF(ISNUMBER(SEARCH("8",C217)),8,0)))))))))</f>
        <v>5</v>
      </c>
      <c r="H217" s="143" t="str">
        <f ca="1">IF(YardsAll[[#This Row],[STATUS]]="","",IF(OR(F217="2019-2020",F217="2021-2025"),"",IF(ISNUMBER(SEARCH("LLC",D217)),VLOOKUP(A217,Yards25[],28,FALSE),VLOOKUP(A217,Yards[],28,FALSE))))</f>
        <v/>
      </c>
      <c r="I217" s="143" t="str">
        <f ca="1">IF(YardsAll[[#This Row],[STATUS]]="","",IF(OR(F217="2019-2020",F217="2021-2025"),"",IF(ISNUMBER(SEARCH("LLC",D217)),VLOOKUP(A217,Yards25[],17,FALSE),VLOOKUP(A217,Yards[],17,FALSE))))</f>
        <v/>
      </c>
      <c r="J217" s="143" t="str">
        <f ca="1">IF(YardsAll[[#This Row],[STATUS]]="","",IF(OR(F217="2019-2020",F217="2021-2025"),"",IF(ISNUMBER(SEARCH("LLC",D217)),VLOOKUP(A217,Yards25[],29,FALSE),VLOOKUP(A217,Yards[],29,FALSE))))</f>
        <v/>
      </c>
      <c r="K217" s="143" t="str">
        <f ca="1">IF(YardsAll[[#This Row],[STATUS]]="","",IF(OR(F217="2019-2020",F217="2021-2025"),"",IF(ISNUMBER(SEARCH("LLC",D217)),VLOOKUP(A217,Yards25[],19,FALSE),VLOOKUP(A217,Yards[],19,FALSE))))</f>
        <v/>
      </c>
      <c r="L217" s="143" t="str">
        <f ca="1">IF(IF(OR(F217="2019-2020",F217="2021-2025"),"",IF(ISNUMBER(SEARCH("LLC",D217)),VLOOKUP(A217,Yards25[],20,FALSE),VLOOKUP(A217,Yards[],20,FALSE)))=0,"",IF(OR(F217="2019-2020",F217="2021-2025"),"",IF(ISNUMBER(SEARCH("LLC",D217)),VLOOKUP(A217,Yards25[],20,FALSE),VLOOKUP(A217,Yards[],20,FALSE))))</f>
        <v/>
      </c>
      <c r="M217" s="151">
        <f ca="1">IF(OR(F217="2019-2020",F217="2021-2025"),"",IF(ISNUMBER(SEARCH("LLC",D217)),VLOOKUP(A217,Yards25[],21,FALSE),VLOOKUP(A217,Yards[],21,FALSE)))</f>
        <v>286609.55599909998</v>
      </c>
      <c r="N217" s="151">
        <f ca="1">IF(OR(F217="2019-2020",F217="2021-2025"),"",IF(ISNUMBER(SEARCH("LLC",D217)),VLOOKUP(A217,Yards25[],22,FALSE),VLOOKUP(A217,Yards[],22,FALSE)))</f>
        <v>2579486.0039919</v>
      </c>
      <c r="O217" s="151">
        <f ca="1">SUM(YardsAll[[#This Row],[DSGN ESTIMATE]:[CONS ESTIMATE]])</f>
        <v>2866095.5599910002</v>
      </c>
      <c r="P217" s="143"/>
      <c r="Q217" s="143">
        <f ca="1">IF(OR(F217="2019-2020",F217="2021-2025"),"",IF(ISNUMBER(SEARCH("LLC",D217)),VLOOKUP(A217,Yards25[],25,FALSE),VLOOKUP(A217,Yards[],25,FALSE)))</f>
        <v>0</v>
      </c>
      <c r="R217" s="152"/>
    </row>
    <row r="218" spans="1:18">
      <c r="A218" s="147" t="s">
        <v>213</v>
      </c>
      <c r="B218" s="144" t="str">
        <f>VLOOKUP(A218,Data[],2,FALSE)</f>
        <v>BROOKLYN</v>
      </c>
      <c r="C218" s="144" t="str">
        <f ca="1">IF(OR(F218="2019-2020",F218="2021-2025"),"",IF(ISNUMBER(SEARCH("LLC",D218)),VLOOKUP(A218,Yards25[],3,FALSE),VLOOKUP(A218,Yards[],3,FALSE)))</f>
        <v>New Waste Yard v3</v>
      </c>
      <c r="D218" s="9" t="str">
        <f>VLOOKUP(A218,Data[],52,FALSE)</f>
        <v>FEDERAL</v>
      </c>
      <c r="E218" s="9">
        <f>VLOOKUP(YardsAll[[#This Row],[DEVELOPMENT]],Data[],62,FALSE)</f>
        <v>6</v>
      </c>
      <c r="F218" s="9" t="str">
        <f ca="1">VLOOKUP(A218,Data[],4,FALSE)</f>
        <v>2022-2025</v>
      </c>
      <c r="G218" s="9">
        <f ca="1">IF(OR(YardsAll[[#This Row],[RAD/PACT]]="2019-2020",YardsAll[[#This Row],[RAD/PACT]]="2021-2025"),"",IF(ISNUMBER(SEARCH("1",C218)),2,IF(ISNUMBER(SEARCH("2",C218)),1,IF(ISNUMBER(SEARCH("3",C218)),3,IF(ISNUMBER(SEARCH("4",C218)),4,IF(ISNUMBER(SEARCH("5",C218)),5,IF(ISNUMBER(SEARCH("6",C218)),6,IF(ISNUMBER(SEARCH("7",C218)),7,IF(ISNUMBER(SEARCH("8",C218)),8,0)))))))))</f>
        <v>3</v>
      </c>
      <c r="H218" s="143" t="str">
        <f ca="1">IF(YardsAll[[#This Row],[STATUS]]="","",IF(OR(F218="2019-2020",F218="2021-2025"),"",IF(ISNUMBER(SEARCH("LLC",D218)),VLOOKUP(A218,Yards25[],28,FALSE),VLOOKUP(A218,Yards[],28,FALSE))))</f>
        <v/>
      </c>
      <c r="I218" s="143" t="str">
        <f ca="1">IF(YardsAll[[#This Row],[STATUS]]="","",IF(OR(F218="2019-2020",F218="2021-2025"),"",IF(ISNUMBER(SEARCH("LLC",D218)),VLOOKUP(A218,Yards25[],17,FALSE),VLOOKUP(A218,Yards[],17,FALSE))))</f>
        <v/>
      </c>
      <c r="J218" s="143" t="str">
        <f ca="1">IF(YardsAll[[#This Row],[STATUS]]="","",IF(OR(F218="2019-2020",F218="2021-2025"),"",IF(ISNUMBER(SEARCH("LLC",D218)),VLOOKUP(A218,Yards25[],29,FALSE),VLOOKUP(A218,Yards[],29,FALSE))))</f>
        <v/>
      </c>
      <c r="K218" s="143" t="str">
        <f ca="1">IF(YardsAll[[#This Row],[STATUS]]="","",IF(OR(F218="2019-2020",F218="2021-2025"),"",IF(ISNUMBER(SEARCH("LLC",D218)),VLOOKUP(A218,Yards25[],19,FALSE),VLOOKUP(A218,Yards[],19,FALSE))))</f>
        <v/>
      </c>
      <c r="L218" s="143" t="str">
        <f ca="1">IF(IF(OR(F218="2019-2020",F218="2021-2025"),"",IF(ISNUMBER(SEARCH("LLC",D218)),VLOOKUP(A218,Yards25[],20,FALSE),VLOOKUP(A218,Yards[],20,FALSE)))=0,"",IF(OR(F218="2019-2020",F218="2021-2025"),"",IF(ISNUMBER(SEARCH("LLC",D218)),VLOOKUP(A218,Yards25[],20,FALSE),VLOOKUP(A218,Yards[],20,FALSE))))</f>
        <v/>
      </c>
      <c r="M218" s="151">
        <f ca="1">IF(OR(F218="2019-2020",F218="2021-2025"),"",IF(ISNUMBER(SEARCH("LLC",D218)),VLOOKUP(A218,Yards25[],21,FALSE),VLOOKUP(A218,Yards[],21,FALSE)))</f>
        <v>0</v>
      </c>
      <c r="N218" s="151">
        <f ca="1">IF(OR(F218="2019-2020",F218="2021-2025"),"",IF(ISNUMBER(SEARCH("LLC",D218)),VLOOKUP(A218,Yards25[],22,FALSE),VLOOKUP(A218,Yards[],22,FALSE)))</f>
        <v>0</v>
      </c>
      <c r="O218" s="151">
        <f ca="1">SUM(YardsAll[[#This Row],[DSGN ESTIMATE]:[CONS ESTIMATE]])</f>
        <v>0</v>
      </c>
      <c r="P218" s="143"/>
      <c r="Q218" s="143">
        <f ca="1">IF(OR(F218="2019-2020",F218="2021-2025"),"",IF(ISNUMBER(SEARCH("LLC",D218)),VLOOKUP(A218,Yards25[],25,FALSE),VLOOKUP(A218,Yards[],25,FALSE)))</f>
        <v>0</v>
      </c>
      <c r="R218" s="152"/>
    </row>
    <row r="219" spans="1:18">
      <c r="A219" s="147" t="s">
        <v>214</v>
      </c>
      <c r="B219" s="144" t="str">
        <f>VLOOKUP(A219,Data[],2,FALSE)</f>
        <v>BROOKLYN</v>
      </c>
      <c r="C219" s="144" t="str">
        <f ca="1">IF(OR(F219="2019-2020",F219="2021-2025"),"",IF(ISNUMBER(SEARCH("LLC",D219)),VLOOKUP(A219,Yards25[],3,FALSE),VLOOKUP(A219,Yards[],3,FALSE)))</f>
        <v>New Waste Yard v3</v>
      </c>
      <c r="D219" s="9" t="str">
        <f>VLOOKUP(A219,Data[],52,FALSE)</f>
        <v>FEDERAL</v>
      </c>
      <c r="E219" s="9">
        <f>VLOOKUP(YardsAll[[#This Row],[DEVELOPMENT]],Data[],62,FALSE)</f>
        <v>6</v>
      </c>
      <c r="F219" s="9" t="str">
        <f ca="1">VLOOKUP(A219,Data[],4,FALSE)</f>
        <v>2022-2025</v>
      </c>
      <c r="G219" s="9">
        <f ca="1">IF(OR(YardsAll[[#This Row],[RAD/PACT]]="2019-2020",YardsAll[[#This Row],[RAD/PACT]]="2021-2025"),"",IF(ISNUMBER(SEARCH("1",C219)),2,IF(ISNUMBER(SEARCH("2",C219)),1,IF(ISNUMBER(SEARCH("3",C219)),3,IF(ISNUMBER(SEARCH("4",C219)),4,IF(ISNUMBER(SEARCH("5",C219)),5,IF(ISNUMBER(SEARCH("6",C219)),6,IF(ISNUMBER(SEARCH("7",C219)),7,IF(ISNUMBER(SEARCH("8",C219)),8,0)))))))))</f>
        <v>3</v>
      </c>
      <c r="H219" s="143" t="str">
        <f ca="1">IF(YardsAll[[#This Row],[STATUS]]="","",IF(OR(F219="2019-2020",F219="2021-2025"),"",IF(ISNUMBER(SEARCH("LLC",D219)),VLOOKUP(A219,Yards25[],28,FALSE),VLOOKUP(A219,Yards[],28,FALSE))))</f>
        <v/>
      </c>
      <c r="I219" s="143" t="str">
        <f ca="1">IF(YardsAll[[#This Row],[STATUS]]="","",IF(OR(F219="2019-2020",F219="2021-2025"),"",IF(ISNUMBER(SEARCH("LLC",D219)),VLOOKUP(A219,Yards25[],17,FALSE),VLOOKUP(A219,Yards[],17,FALSE))))</f>
        <v/>
      </c>
      <c r="J219" s="143" t="str">
        <f ca="1">IF(YardsAll[[#This Row],[STATUS]]="","",IF(OR(F219="2019-2020",F219="2021-2025"),"",IF(ISNUMBER(SEARCH("LLC",D219)),VLOOKUP(A219,Yards25[],29,FALSE),VLOOKUP(A219,Yards[],29,FALSE))))</f>
        <v/>
      </c>
      <c r="K219" s="143" t="str">
        <f ca="1">IF(YardsAll[[#This Row],[STATUS]]="","",IF(OR(F219="2019-2020",F219="2021-2025"),"",IF(ISNUMBER(SEARCH("LLC",D219)),VLOOKUP(A219,Yards25[],19,FALSE),VLOOKUP(A219,Yards[],19,FALSE))))</f>
        <v/>
      </c>
      <c r="L219" s="143" t="str">
        <f ca="1">IF(IF(OR(F219="2019-2020",F219="2021-2025"),"",IF(ISNUMBER(SEARCH("LLC",D219)),VLOOKUP(A219,Yards25[],20,FALSE),VLOOKUP(A219,Yards[],20,FALSE)))=0,"",IF(OR(F219="2019-2020",F219="2021-2025"),"",IF(ISNUMBER(SEARCH("LLC",D219)),VLOOKUP(A219,Yards25[],20,FALSE),VLOOKUP(A219,Yards[],20,FALSE))))</f>
        <v/>
      </c>
      <c r="M219" s="151">
        <f ca="1">IF(OR(F219="2019-2020",F219="2021-2025"),"",IF(ISNUMBER(SEARCH("LLC",D219)),VLOOKUP(A219,Yards25[],21,FALSE),VLOOKUP(A219,Yards[],21,FALSE)))</f>
        <v>0</v>
      </c>
      <c r="N219" s="151">
        <f ca="1">IF(OR(F219="2019-2020",F219="2021-2025"),"",IF(ISNUMBER(SEARCH("LLC",D219)),VLOOKUP(A219,Yards25[],22,FALSE),VLOOKUP(A219,Yards[],22,FALSE)))</f>
        <v>0</v>
      </c>
      <c r="O219" s="151">
        <f ca="1">SUM(YardsAll[[#This Row],[DSGN ESTIMATE]:[CONS ESTIMATE]])</f>
        <v>0</v>
      </c>
      <c r="P219" s="143"/>
      <c r="Q219" s="143">
        <f ca="1">IF(OR(F219="2019-2020",F219="2021-2025"),"",IF(ISNUMBER(SEARCH("LLC",D219)),VLOOKUP(A219,Yards25[],25,FALSE),VLOOKUP(A219,Yards[],25,FALSE)))</f>
        <v>0</v>
      </c>
      <c r="R219" s="152"/>
    </row>
    <row r="220" spans="1:18">
      <c r="A220" s="147" t="s">
        <v>194</v>
      </c>
      <c r="B220" s="144" t="str">
        <f>VLOOKUP(A220,Data[],2,FALSE)</f>
        <v>QUEENS</v>
      </c>
      <c r="C220" s="144" t="str">
        <f ca="1">IF(OR(F220="2019-2020",F220="2021-2025"),"",IF(ISNUMBER(SEARCH("LLC",D220)),VLOOKUP(A220,Yards25[],3,FALSE),VLOOKUP(A220,Yards[],3,FALSE)))</f>
        <v>New Waste Yard v3</v>
      </c>
      <c r="D220" s="9" t="str">
        <f>VLOOKUP(A220,Data[],52,FALSE)</f>
        <v>FEDERAL</v>
      </c>
      <c r="E220" s="9">
        <f>VLOOKUP(YardsAll[[#This Row],[DEVELOPMENT]],Data[],62,FALSE)</f>
        <v>14</v>
      </c>
      <c r="F220" s="9" t="str">
        <f ca="1">VLOOKUP(A220,Data[],4,FALSE)</f>
        <v>2020-2021</v>
      </c>
      <c r="G220" s="9">
        <f ca="1">IF(OR(YardsAll[[#This Row],[RAD/PACT]]="2019-2020",YardsAll[[#This Row],[RAD/PACT]]="2021-2025"),"",IF(ISNUMBER(SEARCH("1",C220)),2,IF(ISNUMBER(SEARCH("2",C220)),1,IF(ISNUMBER(SEARCH("3",C220)),3,IF(ISNUMBER(SEARCH("4",C220)),4,IF(ISNUMBER(SEARCH("5",C220)),5,IF(ISNUMBER(SEARCH("6",C220)),6,IF(ISNUMBER(SEARCH("7",C220)),7,IF(ISNUMBER(SEARCH("8",C220)),8,0)))))))))</f>
        <v>3</v>
      </c>
      <c r="H220" s="143" t="str">
        <f ca="1">IF(YardsAll[[#This Row],[STATUS]]="","",IF(OR(F220="2019-2020",F220="2021-2025"),"",IF(ISNUMBER(SEARCH("LLC",D220)),VLOOKUP(A220,Yards25[],28,FALSE),VLOOKUP(A220,Yards[],28,FALSE))))</f>
        <v/>
      </c>
      <c r="I220" s="143" t="str">
        <f ca="1">IF(YardsAll[[#This Row],[STATUS]]="","",IF(OR(F220="2019-2020",F220="2021-2025"),"",IF(ISNUMBER(SEARCH("LLC",D220)),VLOOKUP(A220,Yards25[],17,FALSE),VLOOKUP(A220,Yards[],17,FALSE))))</f>
        <v/>
      </c>
      <c r="J220" s="143" t="str">
        <f ca="1">IF(YardsAll[[#This Row],[STATUS]]="","",IF(OR(F220="2019-2020",F220="2021-2025"),"",IF(ISNUMBER(SEARCH("LLC",D220)),VLOOKUP(A220,Yards25[],29,FALSE),VLOOKUP(A220,Yards[],29,FALSE))))</f>
        <v/>
      </c>
      <c r="K220" s="143" t="str">
        <f ca="1">IF(YardsAll[[#This Row],[STATUS]]="","",IF(OR(F220="2019-2020",F220="2021-2025"),"",IF(ISNUMBER(SEARCH("LLC",D220)),VLOOKUP(A220,Yards25[],19,FALSE),VLOOKUP(A220,Yards[],19,FALSE))))</f>
        <v/>
      </c>
      <c r="L220" s="143" t="str">
        <f ca="1">IF(IF(OR(F220="2019-2020",F220="2021-2025"),"",IF(ISNUMBER(SEARCH("LLC",D220)),VLOOKUP(A220,Yards25[],20,FALSE),VLOOKUP(A220,Yards[],20,FALSE)))=0,"",IF(OR(F220="2019-2020",F220="2021-2025"),"",IF(ISNUMBER(SEARCH("LLC",D220)),VLOOKUP(A220,Yards25[],20,FALSE),VLOOKUP(A220,Yards[],20,FALSE))))</f>
        <v/>
      </c>
      <c r="M220" s="151">
        <f ca="1">IF(OR(F220="2019-2020",F220="2021-2025"),"",IF(ISNUMBER(SEARCH("LLC",D220)),VLOOKUP(A220,Yards25[],21,FALSE),VLOOKUP(A220,Yards[],21,FALSE)))</f>
        <v>0</v>
      </c>
      <c r="N220" s="151">
        <f ca="1">IF(OR(F220="2019-2020",F220="2021-2025"),"",IF(ISNUMBER(SEARCH("LLC",D220)),VLOOKUP(A220,Yards25[],22,FALSE),VLOOKUP(A220,Yards[],22,FALSE)))</f>
        <v>0</v>
      </c>
      <c r="O220" s="151">
        <f ca="1">SUM(YardsAll[[#This Row],[DSGN ESTIMATE]:[CONS ESTIMATE]])</f>
        <v>0</v>
      </c>
      <c r="P220" s="143"/>
      <c r="Q220" s="143">
        <f ca="1">IF(OR(F220="2019-2020",F220="2021-2025"),"",IF(ISNUMBER(SEARCH("LLC",D220)),VLOOKUP(A220,Yards25[],25,FALSE),VLOOKUP(A220,Yards[],25,FALSE)))</f>
        <v>0</v>
      </c>
      <c r="R220" s="152"/>
    </row>
    <row r="221" spans="1:18">
      <c r="A221" s="147" t="s">
        <v>215</v>
      </c>
      <c r="B221" s="144" t="str">
        <f>VLOOKUP(A221,Data[],2,FALSE)</f>
        <v>QUEENS</v>
      </c>
      <c r="C221" s="144" t="str">
        <f ca="1">IF(OR(F221="2019-2020",F221="2021-2025"),"",IF(ISNUMBER(SEARCH("LLC",D221)),VLOOKUP(A221,Yards25[],3,FALSE),VLOOKUP(A221,Yards[],3,FALSE)))</f>
        <v>New Waste Yard v1</v>
      </c>
      <c r="D221" s="9" t="str">
        <f>VLOOKUP(A221,Data[],52,FALSE)</f>
        <v>FEDERAL</v>
      </c>
      <c r="E221" s="9">
        <f>VLOOKUP(YardsAll[[#This Row],[DEVELOPMENT]],Data[],62,FALSE)</f>
        <v>7</v>
      </c>
      <c r="F221" s="9" t="str">
        <f ca="1">VLOOKUP(A221,Data[],4,FALSE)</f>
        <v/>
      </c>
      <c r="G221" s="9">
        <f ca="1">IF(OR(YardsAll[[#This Row],[RAD/PACT]]="2019-2020",YardsAll[[#This Row],[RAD/PACT]]="2021-2025"),"",IF(ISNUMBER(SEARCH("1",C221)),2,IF(ISNUMBER(SEARCH("2",C221)),1,IF(ISNUMBER(SEARCH("3",C221)),3,IF(ISNUMBER(SEARCH("4",C221)),4,IF(ISNUMBER(SEARCH("5",C221)),5,IF(ISNUMBER(SEARCH("6",C221)),6,IF(ISNUMBER(SEARCH("7",C221)),7,IF(ISNUMBER(SEARCH("8",C221)),8,0)))))))))</f>
        <v>2</v>
      </c>
      <c r="H221" s="143" t="str">
        <f ca="1">IF(YardsAll[[#This Row],[STATUS]]="","",IF(OR(F221="2019-2020",F221="2021-2025"),"",IF(ISNUMBER(SEARCH("LLC",D221)),VLOOKUP(A221,Yards25[],28,FALSE),VLOOKUP(A221,Yards[],28,FALSE))))</f>
        <v/>
      </c>
      <c r="I221" s="143" t="str">
        <f ca="1">IF(YardsAll[[#This Row],[STATUS]]="","",IF(OR(F221="2019-2020",F221="2021-2025"),"",IF(ISNUMBER(SEARCH("LLC",D221)),VLOOKUP(A221,Yards25[],17,FALSE),VLOOKUP(A221,Yards[],17,FALSE))))</f>
        <v/>
      </c>
      <c r="J221" s="143" t="str">
        <f ca="1">IF(YardsAll[[#This Row],[STATUS]]="","",IF(OR(F221="2019-2020",F221="2021-2025"),"",IF(ISNUMBER(SEARCH("LLC",D221)),VLOOKUP(A221,Yards25[],29,FALSE),VLOOKUP(A221,Yards[],29,FALSE))))</f>
        <v/>
      </c>
      <c r="K221" s="143" t="str">
        <f ca="1">IF(YardsAll[[#This Row],[STATUS]]="","",IF(OR(F221="2019-2020",F221="2021-2025"),"",IF(ISNUMBER(SEARCH("LLC",D221)),VLOOKUP(A221,Yards25[],19,FALSE),VLOOKUP(A221,Yards[],19,FALSE))))</f>
        <v/>
      </c>
      <c r="L221" s="143" t="str">
        <f ca="1">IF(IF(OR(F221="2019-2020",F221="2021-2025"),"",IF(ISNUMBER(SEARCH("LLC",D221)),VLOOKUP(A221,Yards25[],20,FALSE),VLOOKUP(A221,Yards[],20,FALSE)))=0,"",IF(OR(F221="2019-2020",F221="2021-2025"),"",IF(ISNUMBER(SEARCH("LLC",D221)),VLOOKUP(A221,Yards25[],20,FALSE),VLOOKUP(A221,Yards[],20,FALSE))))</f>
        <v/>
      </c>
      <c r="M221" s="151">
        <f ca="1">IF(OR(F221="2019-2020",F221="2021-2025"),"",IF(ISNUMBER(SEARCH("LLC",D221)),VLOOKUP(A221,Yards25[],21,FALSE),VLOOKUP(A221,Yards[],21,FALSE)))</f>
        <v>199733.80581700004</v>
      </c>
      <c r="N221" s="151">
        <f ca="1">IF(OR(F221="2019-2020",F221="2021-2025"),"",IF(ISNUMBER(SEARCH("LLC",D221)),VLOOKUP(A221,Yards25[],22,FALSE),VLOOKUP(A221,Yards[],22,FALSE)))</f>
        <v>1797604.2523530002</v>
      </c>
      <c r="O221" s="151">
        <f ca="1">SUM(YardsAll[[#This Row],[DSGN ESTIMATE]:[CONS ESTIMATE]])</f>
        <v>1997338.0581700003</v>
      </c>
      <c r="P221" s="143"/>
      <c r="Q221" s="143">
        <f ca="1">IF(OR(F221="2019-2020",F221="2021-2025"),"",IF(ISNUMBER(SEARCH("LLC",D221)),VLOOKUP(A221,Yards25[],25,FALSE),VLOOKUP(A221,Yards[],25,FALSE)))</f>
        <v>0</v>
      </c>
      <c r="R221" s="152"/>
    </row>
    <row r="222" spans="1:18">
      <c r="A222" s="147" t="s">
        <v>250</v>
      </c>
      <c r="B222" s="144" t="str">
        <f>VLOOKUP(A222,Data[],2,FALSE)</f>
        <v>MANHATTAN</v>
      </c>
      <c r="C222" s="144" t="str">
        <f ca="1">IF(OR(F222="2019-2020",F222="2021-2025"),"",IF(ISNUMBER(SEARCH("LLC",D222)),VLOOKUP(A222,Yards25[],3,FALSE),VLOOKUP(A222,Yards[],3,FALSE)))</f>
        <v>New Waste Yard v1</v>
      </c>
      <c r="D222" s="9" t="str">
        <f>VLOOKUP(A222,Data[],52,FALSE)</f>
        <v>FEDERAL</v>
      </c>
      <c r="E222" s="9">
        <f>VLOOKUP(YardsAll[[#This Row],[DEVELOPMENT]],Data[],62,FALSE)</f>
        <v>7</v>
      </c>
      <c r="F222" s="9" t="str">
        <f ca="1">VLOOKUP(A222,Data[],4,FALSE)</f>
        <v/>
      </c>
      <c r="G222" s="9">
        <f ca="1">IF(OR(YardsAll[[#This Row],[RAD/PACT]]="2019-2020",YardsAll[[#This Row],[RAD/PACT]]="2021-2025"),"",IF(ISNUMBER(SEARCH("1",C222)),2,IF(ISNUMBER(SEARCH("2",C222)),1,IF(ISNUMBER(SEARCH("3",C222)),3,IF(ISNUMBER(SEARCH("4",C222)),4,IF(ISNUMBER(SEARCH("5",C222)),5,IF(ISNUMBER(SEARCH("6",C222)),6,IF(ISNUMBER(SEARCH("7",C222)),7,IF(ISNUMBER(SEARCH("8",C222)),8,0)))))))))</f>
        <v>2</v>
      </c>
      <c r="H222" s="143" t="str">
        <f ca="1">IF(YardsAll[[#This Row],[STATUS]]="","",IF(OR(F222="2019-2020",F222="2021-2025"),"",IF(ISNUMBER(SEARCH("LLC",D222)),VLOOKUP(A222,Yards25[],28,FALSE),VLOOKUP(A222,Yards[],28,FALSE))))</f>
        <v/>
      </c>
      <c r="I222" s="143" t="str">
        <f ca="1">IF(YardsAll[[#This Row],[STATUS]]="","",IF(OR(F222="2019-2020",F222="2021-2025"),"",IF(ISNUMBER(SEARCH("LLC",D222)),VLOOKUP(A222,Yards25[],17,FALSE),VLOOKUP(A222,Yards[],17,FALSE))))</f>
        <v/>
      </c>
      <c r="J222" s="143" t="str">
        <f ca="1">IF(YardsAll[[#This Row],[STATUS]]="","",IF(OR(F222="2019-2020",F222="2021-2025"),"",IF(ISNUMBER(SEARCH("LLC",D222)),VLOOKUP(A222,Yards25[],29,FALSE),VLOOKUP(A222,Yards[],29,FALSE))))</f>
        <v/>
      </c>
      <c r="K222" s="143" t="str">
        <f ca="1">IF(YardsAll[[#This Row],[STATUS]]="","",IF(OR(F222="2019-2020",F222="2021-2025"),"",IF(ISNUMBER(SEARCH("LLC",D222)),VLOOKUP(A222,Yards25[],19,FALSE),VLOOKUP(A222,Yards[],19,FALSE))))</f>
        <v/>
      </c>
      <c r="L222" s="143" t="str">
        <f ca="1">IF(IF(OR(F222="2019-2020",F222="2021-2025"),"",IF(ISNUMBER(SEARCH("LLC",D222)),VLOOKUP(A222,Yards25[],20,FALSE),VLOOKUP(A222,Yards[],20,FALSE)))=0,"",IF(OR(F222="2019-2020",F222="2021-2025"),"",IF(ISNUMBER(SEARCH("LLC",D222)),VLOOKUP(A222,Yards25[],20,FALSE),VLOOKUP(A222,Yards[],20,FALSE))))</f>
        <v/>
      </c>
      <c r="M222" s="151">
        <f ca="1">IF(OR(F222="2019-2020",F222="2021-2025"),"",IF(ISNUMBER(SEARCH("LLC",D222)),VLOOKUP(A222,Yards25[],21,FALSE),VLOOKUP(A222,Yards[],21,FALSE)))</f>
        <v>212386.62609500007</v>
      </c>
      <c r="N222" s="151">
        <f ca="1">IF(OR(F222="2019-2020",F222="2021-2025"),"",IF(ISNUMBER(SEARCH("LLC",D222)),VLOOKUP(A222,Yards25[],22,FALSE),VLOOKUP(A222,Yards[],22,FALSE)))</f>
        <v>1911479.6348550003</v>
      </c>
      <c r="O222" s="151">
        <f ca="1">SUM(YardsAll[[#This Row],[DSGN ESTIMATE]:[CONS ESTIMATE]])</f>
        <v>2123866.2609500005</v>
      </c>
      <c r="P222" s="143"/>
      <c r="Q222" s="143">
        <f ca="1">IF(OR(F222="2019-2020",F222="2021-2025"),"",IF(ISNUMBER(SEARCH("LLC",D222)),VLOOKUP(A222,Yards25[],25,FALSE),VLOOKUP(A222,Yards[],25,FALSE)))</f>
        <v>0</v>
      </c>
      <c r="R222" s="152"/>
    </row>
    <row r="223" spans="1:18">
      <c r="A223" s="147" t="s">
        <v>251</v>
      </c>
      <c r="B223" s="144" t="str">
        <f>VLOOKUP(A223,Data[],2,FALSE)</f>
        <v>MANHATTAN</v>
      </c>
      <c r="C223" s="144" t="str">
        <f ca="1">IF(OR(F223="2019-2020",F223="2021-2025"),"",IF(ISNUMBER(SEARCH("LLC",D223)),VLOOKUP(A223,Yards25[],3,FALSE),VLOOKUP(A223,Yards[],3,FALSE)))</f>
        <v>New Waste Yard v1</v>
      </c>
      <c r="D223" s="9" t="str">
        <f>VLOOKUP(A223,Data[],52,FALSE)</f>
        <v>FEDERAL</v>
      </c>
      <c r="E223" s="9">
        <f>VLOOKUP(YardsAll[[#This Row],[DEVELOPMENT]],Data[],62,FALSE)</f>
        <v>10</v>
      </c>
      <c r="F223" s="9" t="str">
        <f ca="1">VLOOKUP(A223,Data[],4,FALSE)</f>
        <v/>
      </c>
      <c r="G223" s="9">
        <f ca="1">IF(OR(YardsAll[[#This Row],[RAD/PACT]]="2019-2020",YardsAll[[#This Row],[RAD/PACT]]="2021-2025"),"",IF(ISNUMBER(SEARCH("1",C223)),2,IF(ISNUMBER(SEARCH("2",C223)),1,IF(ISNUMBER(SEARCH("3",C223)),3,IF(ISNUMBER(SEARCH("4",C223)),4,IF(ISNUMBER(SEARCH("5",C223)),5,IF(ISNUMBER(SEARCH("6",C223)),6,IF(ISNUMBER(SEARCH("7",C223)),7,IF(ISNUMBER(SEARCH("8",C223)),8,0)))))))))</f>
        <v>2</v>
      </c>
      <c r="H223" s="143" t="str">
        <f ca="1">IF(YardsAll[[#This Row],[STATUS]]="","",IF(OR(F223="2019-2020",F223="2021-2025"),"",IF(ISNUMBER(SEARCH("LLC",D223)),VLOOKUP(A223,Yards25[],28,FALSE),VLOOKUP(A223,Yards[],28,FALSE))))</f>
        <v/>
      </c>
      <c r="I223" s="143" t="str">
        <f ca="1">IF(YardsAll[[#This Row],[STATUS]]="","",IF(OR(F223="2019-2020",F223="2021-2025"),"",IF(ISNUMBER(SEARCH("LLC",D223)),VLOOKUP(A223,Yards25[],17,FALSE),VLOOKUP(A223,Yards[],17,FALSE))))</f>
        <v/>
      </c>
      <c r="J223" s="143" t="str">
        <f ca="1">IF(YardsAll[[#This Row],[STATUS]]="","",IF(OR(F223="2019-2020",F223="2021-2025"),"",IF(ISNUMBER(SEARCH("LLC",D223)),VLOOKUP(A223,Yards25[],29,FALSE),VLOOKUP(A223,Yards[],29,FALSE))))</f>
        <v/>
      </c>
      <c r="K223" s="143" t="str">
        <f ca="1">IF(YardsAll[[#This Row],[STATUS]]="","",IF(OR(F223="2019-2020",F223="2021-2025"),"",IF(ISNUMBER(SEARCH("LLC",D223)),VLOOKUP(A223,Yards25[],19,FALSE),VLOOKUP(A223,Yards[],19,FALSE))))</f>
        <v/>
      </c>
      <c r="L223" s="143" t="str">
        <f ca="1">IF(IF(OR(F223="2019-2020",F223="2021-2025"),"",IF(ISNUMBER(SEARCH("LLC",D223)),VLOOKUP(A223,Yards25[],20,FALSE),VLOOKUP(A223,Yards[],20,FALSE)))=0,"",IF(OR(F223="2019-2020",F223="2021-2025"),"",IF(ISNUMBER(SEARCH("LLC",D223)),VLOOKUP(A223,Yards25[],20,FALSE),VLOOKUP(A223,Yards[],20,FALSE))))</f>
        <v/>
      </c>
      <c r="M223" s="151">
        <f ca="1">IF(OR(F223="2019-2020",F223="2021-2025"),"",IF(ISNUMBER(SEARCH("LLC",D223)),VLOOKUP(A223,Yards25[],21,FALSE),VLOOKUP(A223,Yards[],21,FALSE)))</f>
        <v>199733.80581700004</v>
      </c>
      <c r="N223" s="151">
        <f ca="1">IF(OR(F223="2019-2020",F223="2021-2025"),"",IF(ISNUMBER(SEARCH("LLC",D223)),VLOOKUP(A223,Yards25[],22,FALSE),VLOOKUP(A223,Yards[],22,FALSE)))</f>
        <v>1797604.2523530002</v>
      </c>
      <c r="O223" s="151">
        <f ca="1">SUM(YardsAll[[#This Row],[DSGN ESTIMATE]:[CONS ESTIMATE]])</f>
        <v>1997338.0581700003</v>
      </c>
      <c r="P223" s="143"/>
      <c r="Q223" s="143">
        <f ca="1">IF(OR(F223="2019-2020",F223="2021-2025"),"",IF(ISNUMBER(SEARCH("LLC",D223)),VLOOKUP(A223,Yards25[],25,FALSE),VLOOKUP(A223,Yards[],25,FALSE)))</f>
        <v>0</v>
      </c>
      <c r="R223" s="152"/>
    </row>
    <row r="224" spans="1:18">
      <c r="A224" s="147" t="s">
        <v>252</v>
      </c>
      <c r="B224" s="144" t="str">
        <f>VLOOKUP(A224,Data[],2,FALSE)</f>
        <v>MANHATTAN</v>
      </c>
      <c r="C224" s="144" t="str">
        <f ca="1">IF(OR(F224="2019-2020",F224="2021-2025"),"",IF(ISNUMBER(SEARCH("LLC",D224)),VLOOKUP(A224,Yards25[],3,FALSE),VLOOKUP(A224,Yards[],3,FALSE)))</f>
        <v>New Waste Yard v1</v>
      </c>
      <c r="D224" s="9" t="str">
        <f>VLOOKUP(A224,Data[],52,FALSE)</f>
        <v>FEDERAL</v>
      </c>
      <c r="E224" s="9">
        <f>VLOOKUP(YardsAll[[#This Row],[DEVELOPMENT]],Data[],62,FALSE)</f>
        <v>7</v>
      </c>
      <c r="F224" s="9" t="str">
        <f ca="1">VLOOKUP(A224,Data[],4,FALSE)</f>
        <v/>
      </c>
      <c r="G224" s="9">
        <f ca="1">IF(OR(YardsAll[[#This Row],[RAD/PACT]]="2019-2020",YardsAll[[#This Row],[RAD/PACT]]="2021-2025"),"",IF(ISNUMBER(SEARCH("1",C224)),2,IF(ISNUMBER(SEARCH("2",C224)),1,IF(ISNUMBER(SEARCH("3",C224)),3,IF(ISNUMBER(SEARCH("4",C224)),4,IF(ISNUMBER(SEARCH("5",C224)),5,IF(ISNUMBER(SEARCH("6",C224)),6,IF(ISNUMBER(SEARCH("7",C224)),7,IF(ISNUMBER(SEARCH("8",C224)),8,0)))))))))</f>
        <v>2</v>
      </c>
      <c r="H224" s="143" t="str">
        <f ca="1">IF(YardsAll[[#This Row],[STATUS]]="","",IF(OR(F224="2019-2020",F224="2021-2025"),"",IF(ISNUMBER(SEARCH("LLC",D224)),VLOOKUP(A224,Yards25[],28,FALSE),VLOOKUP(A224,Yards[],28,FALSE))))</f>
        <v/>
      </c>
      <c r="I224" s="143" t="str">
        <f ca="1">IF(YardsAll[[#This Row],[STATUS]]="","",IF(OR(F224="2019-2020",F224="2021-2025"),"",IF(ISNUMBER(SEARCH("LLC",D224)),VLOOKUP(A224,Yards25[],17,FALSE),VLOOKUP(A224,Yards[],17,FALSE))))</f>
        <v/>
      </c>
      <c r="J224" s="143" t="str">
        <f ca="1">IF(YardsAll[[#This Row],[STATUS]]="","",IF(OR(F224="2019-2020",F224="2021-2025"),"",IF(ISNUMBER(SEARCH("LLC",D224)),VLOOKUP(A224,Yards25[],29,FALSE),VLOOKUP(A224,Yards[],29,FALSE))))</f>
        <v/>
      </c>
      <c r="K224" s="143" t="str">
        <f ca="1">IF(YardsAll[[#This Row],[STATUS]]="","",IF(OR(F224="2019-2020",F224="2021-2025"),"",IF(ISNUMBER(SEARCH("LLC",D224)),VLOOKUP(A224,Yards25[],19,FALSE),VLOOKUP(A224,Yards[],19,FALSE))))</f>
        <v/>
      </c>
      <c r="L224" s="143" t="str">
        <f ca="1">IF(IF(OR(F224="2019-2020",F224="2021-2025"),"",IF(ISNUMBER(SEARCH("LLC",D224)),VLOOKUP(A224,Yards25[],20,FALSE),VLOOKUP(A224,Yards[],20,FALSE)))=0,"",IF(OR(F224="2019-2020",F224="2021-2025"),"",IF(ISNUMBER(SEARCH("LLC",D224)),VLOOKUP(A224,Yards25[],20,FALSE),VLOOKUP(A224,Yards[],20,FALSE))))</f>
        <v/>
      </c>
      <c r="M224" s="151">
        <f ca="1">IF(OR(F224="2019-2020",F224="2021-2025"),"",IF(ISNUMBER(SEARCH("LLC",D224)),VLOOKUP(A224,Yards25[],21,FALSE),VLOOKUP(A224,Yards[],21,FALSE)))</f>
        <v>0</v>
      </c>
      <c r="N224" s="151">
        <f ca="1">IF(OR(F224="2019-2020",F224="2021-2025"),"",IF(ISNUMBER(SEARCH("LLC",D224)),VLOOKUP(A224,Yards25[],22,FALSE),VLOOKUP(A224,Yards[],22,FALSE)))</f>
        <v>0</v>
      </c>
      <c r="O224" s="151">
        <f ca="1">SUM(YardsAll[[#This Row],[DSGN ESTIMATE]:[CONS ESTIMATE]])</f>
        <v>0</v>
      </c>
      <c r="P224" s="143"/>
      <c r="Q224" s="143">
        <f ca="1">IF(OR(F224="2019-2020",F224="2021-2025"),"",IF(ISNUMBER(SEARCH("LLC",D224)),VLOOKUP(A224,Yards25[],25,FALSE),VLOOKUP(A224,Yards[],25,FALSE)))</f>
        <v>0</v>
      </c>
      <c r="R224" s="152"/>
    </row>
    <row r="225" spans="1:18">
      <c r="A225" s="147" t="s">
        <v>356</v>
      </c>
      <c r="B225" s="144" t="str">
        <f>VLOOKUP(A225,Data[],2,FALSE)</f>
        <v>BROOKLYN</v>
      </c>
      <c r="C225" s="144" t="str">
        <f ca="1">IF(OR(F225="2019-2020",F225="2021-2025"),"",IF(ISNUMBER(SEARCH("LLC",D225)),VLOOKUP(A225,Yards25[],3,FALSE),VLOOKUP(A225,Yards[],3,FALSE)))</f>
        <v>New Waste Yard v1</v>
      </c>
      <c r="D225" s="9" t="str">
        <f>VLOOKUP(A225,Data[],52,FALSE)</f>
        <v>FEDERAL</v>
      </c>
      <c r="E225" s="9">
        <f>VLOOKUP(YardsAll[[#This Row],[DEVELOPMENT]],Data[],62,FALSE)</f>
        <v>9</v>
      </c>
      <c r="F225" s="9" t="str">
        <f ca="1">VLOOKUP(A225,Data[],4,FALSE)</f>
        <v>2020-2021</v>
      </c>
      <c r="G225" s="9">
        <f ca="1">IF(OR(YardsAll[[#This Row],[RAD/PACT]]="2019-2020",YardsAll[[#This Row],[RAD/PACT]]="2021-2025"),"",IF(ISNUMBER(SEARCH("1",C225)),2,IF(ISNUMBER(SEARCH("2",C225)),1,IF(ISNUMBER(SEARCH("3",C225)),3,IF(ISNUMBER(SEARCH("4",C225)),4,IF(ISNUMBER(SEARCH("5",C225)),5,IF(ISNUMBER(SEARCH("6",C225)),6,IF(ISNUMBER(SEARCH("7",C225)),7,IF(ISNUMBER(SEARCH("8",C225)),8,0)))))))))</f>
        <v>2</v>
      </c>
      <c r="H225" s="143" t="str">
        <f ca="1">IF(YardsAll[[#This Row],[STATUS]]="","",IF(OR(F225="2019-2020",F225="2021-2025"),"",IF(ISNUMBER(SEARCH("LLC",D225)),VLOOKUP(A225,Yards25[],28,FALSE),VLOOKUP(A225,Yards[],28,FALSE))))</f>
        <v/>
      </c>
      <c r="I225" s="143" t="str">
        <f ca="1">IF(YardsAll[[#This Row],[STATUS]]="","",IF(OR(F225="2019-2020",F225="2021-2025"),"",IF(ISNUMBER(SEARCH("LLC",D225)),VLOOKUP(A225,Yards25[],17,FALSE),VLOOKUP(A225,Yards[],17,FALSE))))</f>
        <v/>
      </c>
      <c r="J225" s="143" t="str">
        <f ca="1">IF(YardsAll[[#This Row],[STATUS]]="","",IF(OR(F225="2019-2020",F225="2021-2025"),"",IF(ISNUMBER(SEARCH("LLC",D225)),VLOOKUP(A225,Yards25[],29,FALSE),VLOOKUP(A225,Yards[],29,FALSE))))</f>
        <v/>
      </c>
      <c r="K225" s="143" t="str">
        <f ca="1">IF(YardsAll[[#This Row],[STATUS]]="","",IF(OR(F225="2019-2020",F225="2021-2025"),"",IF(ISNUMBER(SEARCH("LLC",D225)),VLOOKUP(A225,Yards25[],19,FALSE),VLOOKUP(A225,Yards[],19,FALSE))))</f>
        <v/>
      </c>
      <c r="L225" s="143" t="str">
        <f ca="1">IF(IF(OR(F225="2019-2020",F225="2021-2025"),"",IF(ISNUMBER(SEARCH("LLC",D225)),VLOOKUP(A225,Yards25[],20,FALSE),VLOOKUP(A225,Yards[],20,FALSE)))=0,"",IF(OR(F225="2019-2020",F225="2021-2025"),"",IF(ISNUMBER(SEARCH("LLC",D225)),VLOOKUP(A225,Yards25[],20,FALSE),VLOOKUP(A225,Yards[],20,FALSE))))</f>
        <v/>
      </c>
      <c r="M225" s="151">
        <f ca="1">IF(OR(F225="2019-2020",F225="2021-2025"),"",IF(ISNUMBER(SEARCH("LLC",D225)),VLOOKUP(A225,Yards25[],21,FALSE),VLOOKUP(A225,Yards[],21,FALSE)))</f>
        <v>0</v>
      </c>
      <c r="N225" s="151">
        <f ca="1">IF(OR(F225="2019-2020",F225="2021-2025"),"",IF(ISNUMBER(SEARCH("LLC",D225)),VLOOKUP(A225,Yards25[],22,FALSE),VLOOKUP(A225,Yards[],22,FALSE)))</f>
        <v>0</v>
      </c>
      <c r="O225" s="151">
        <f ca="1">SUM(YardsAll[[#This Row],[DSGN ESTIMATE]:[CONS ESTIMATE]])</f>
        <v>0</v>
      </c>
      <c r="P225" s="143"/>
      <c r="Q225" s="143">
        <f ca="1">IF(OR(F225="2019-2020",F225="2021-2025"),"",IF(ISNUMBER(SEARCH("LLC",D225)),VLOOKUP(A225,Yards25[],25,FALSE),VLOOKUP(A225,Yards[],25,FALSE)))</f>
        <v>0</v>
      </c>
      <c r="R225" s="152"/>
    </row>
    <row r="226" spans="1:18">
      <c r="A226" s="147" t="s">
        <v>357</v>
      </c>
      <c r="B226" s="144" t="str">
        <f>VLOOKUP(A226,Data[],2,FALSE)</f>
        <v>STATEN ISLAND</v>
      </c>
      <c r="C226" s="144" t="str">
        <f ca="1">IF(OR(F226="2019-2020",F226="2021-2025"),"",IF(ISNUMBER(SEARCH("LLC",D226)),VLOOKUP(A226,Yards25[],3,FALSE),VLOOKUP(A226,Yards[],3,FALSE)))</f>
        <v>New Waste Yard v2</v>
      </c>
      <c r="D226" s="9" t="str">
        <f>VLOOKUP(A226,Data[],52,FALSE)</f>
        <v>FEDERAL</v>
      </c>
      <c r="E226" s="9">
        <f>VLOOKUP(YardsAll[[#This Row],[DEVELOPMENT]],Data[],62,FALSE)</f>
        <v>1</v>
      </c>
      <c r="F226" s="9" t="str">
        <f ca="1">VLOOKUP(A226,Data[],4,FALSE)</f>
        <v/>
      </c>
      <c r="G226" s="9">
        <f ca="1">IF(OR(YardsAll[[#This Row],[RAD/PACT]]="2019-2020",YardsAll[[#This Row],[RAD/PACT]]="2021-2025"),"",IF(ISNUMBER(SEARCH("1",C226)),2,IF(ISNUMBER(SEARCH("2",C226)),1,IF(ISNUMBER(SEARCH("3",C226)),3,IF(ISNUMBER(SEARCH("4",C226)),4,IF(ISNUMBER(SEARCH("5",C226)),5,IF(ISNUMBER(SEARCH("6",C226)),6,IF(ISNUMBER(SEARCH("7",C226)),7,IF(ISNUMBER(SEARCH("8",C226)),8,0)))))))))</f>
        <v>1</v>
      </c>
      <c r="H226" s="143" t="str">
        <f ca="1">IF(YardsAll[[#This Row],[STATUS]]="","",IF(OR(F226="2019-2020",F226="2021-2025"),"",IF(ISNUMBER(SEARCH("LLC",D226)),VLOOKUP(A226,Yards25[],28,FALSE),VLOOKUP(A226,Yards[],28,FALSE))))</f>
        <v/>
      </c>
      <c r="I226" s="143" t="str">
        <f ca="1">IF(YardsAll[[#This Row],[STATUS]]="","",IF(OR(F226="2019-2020",F226="2021-2025"),"",IF(ISNUMBER(SEARCH("LLC",D226)),VLOOKUP(A226,Yards25[],17,FALSE),VLOOKUP(A226,Yards[],17,FALSE))))</f>
        <v/>
      </c>
      <c r="J226" s="143" t="str">
        <f ca="1">IF(YardsAll[[#This Row],[STATUS]]="","",IF(OR(F226="2019-2020",F226="2021-2025"),"",IF(ISNUMBER(SEARCH("LLC",D226)),VLOOKUP(A226,Yards25[],29,FALSE),VLOOKUP(A226,Yards[],29,FALSE))))</f>
        <v/>
      </c>
      <c r="K226" s="143" t="str">
        <f ca="1">IF(YardsAll[[#This Row],[STATUS]]="","",IF(OR(F226="2019-2020",F226="2021-2025"),"",IF(ISNUMBER(SEARCH("LLC",D226)),VLOOKUP(A226,Yards25[],19,FALSE),VLOOKUP(A226,Yards[],19,FALSE))))</f>
        <v/>
      </c>
      <c r="L226" s="143" t="str">
        <f ca="1">IF(IF(OR(F226="2019-2020",F226="2021-2025"),"",IF(ISNUMBER(SEARCH("LLC",D226)),VLOOKUP(A226,Yards25[],20,FALSE),VLOOKUP(A226,Yards[],20,FALSE)))=0,"",IF(OR(F226="2019-2020",F226="2021-2025"),"",IF(ISNUMBER(SEARCH("LLC",D226)),VLOOKUP(A226,Yards25[],20,FALSE),VLOOKUP(A226,Yards[],20,FALSE))))</f>
        <v/>
      </c>
      <c r="M226" s="151">
        <f ca="1">IF(OR(F226="2019-2020",F226="2021-2025"),"",IF(ISNUMBER(SEARCH("LLC",D226)),VLOOKUP(A226,Yards25[],21,FALSE),VLOOKUP(A226,Yards[],21,FALSE)))</f>
        <v>179137.69649855004</v>
      </c>
      <c r="N226" s="151">
        <f ca="1">IF(OR(F226="2019-2020",F226="2021-2025"),"",IF(ISNUMBER(SEARCH("LLC",D226)),VLOOKUP(A226,Yards25[],22,FALSE),VLOOKUP(A226,Yards[],22,FALSE)))</f>
        <v>1612239.2684869503</v>
      </c>
      <c r="O226" s="151">
        <f ca="1">SUM(YardsAll[[#This Row],[DSGN ESTIMATE]:[CONS ESTIMATE]])</f>
        <v>1791376.9649855003</v>
      </c>
      <c r="P226" s="143"/>
      <c r="Q226" s="143">
        <f ca="1">IF(OR(F226="2019-2020",F226="2021-2025"),"",IF(ISNUMBER(SEARCH("LLC",D226)),VLOOKUP(A226,Yards25[],25,FALSE),VLOOKUP(A226,Yards[],25,FALSE)))</f>
        <v>0</v>
      </c>
      <c r="R226" s="152"/>
    </row>
    <row r="227" spans="1:18">
      <c r="A227" s="148" t="s">
        <v>104</v>
      </c>
      <c r="B227" s="144" t="str">
        <f>VLOOKUP(A227,Data[],2,FALSE)</f>
        <v>MANHATTAN</v>
      </c>
      <c r="C227" s="144" t="str">
        <f ca="1">IF(OR(F227="2019-2020",F227="2021-2025"),"",IF(ISNUMBER(SEARCH("LLC",D227)),VLOOKUP(A227,Yards25[],3,FALSE),VLOOKUP(A227,Yards[],3,FALSE)))</f>
        <v>New Waste Yard v1</v>
      </c>
      <c r="D227" s="9" t="str">
        <f>VLOOKUP(A227,Data[],52,FALSE)</f>
        <v>FEDERAL</v>
      </c>
      <c r="E227" s="9">
        <f>VLOOKUP(YardsAll[[#This Row],[DEVELOPMENT]],Data[],62,FALSE)</f>
        <v>3</v>
      </c>
      <c r="F227" s="9" t="str">
        <f ca="1">VLOOKUP(A227,Data[],4,FALSE)</f>
        <v/>
      </c>
      <c r="G227" s="9">
        <f ca="1">IF(OR(YardsAll[[#This Row],[RAD/PACT]]="2019-2020",YardsAll[[#This Row],[RAD/PACT]]="2021-2025"),"",IF(ISNUMBER(SEARCH("1",C227)),2,IF(ISNUMBER(SEARCH("2",C227)),1,IF(ISNUMBER(SEARCH("3",C227)),3,IF(ISNUMBER(SEARCH("4",C227)),4,IF(ISNUMBER(SEARCH("5",C227)),5,IF(ISNUMBER(SEARCH("6",C227)),6,IF(ISNUMBER(SEARCH("7",C227)),7,IF(ISNUMBER(SEARCH("8",C227)),8,0)))))))))</f>
        <v>2</v>
      </c>
      <c r="H227" s="143" t="str">
        <f ca="1">IF(YardsAll[[#This Row],[STATUS]]="","",IF(OR(F227="2019-2020",F227="2021-2025"),"",IF(ISNUMBER(SEARCH("LLC",D227)),VLOOKUP(A227,Yards25[],28,FALSE),VLOOKUP(A227,Yards[],28,FALSE))))</f>
        <v/>
      </c>
      <c r="I227" s="143" t="str">
        <f ca="1">IF(YardsAll[[#This Row],[STATUS]]="","",IF(OR(F227="2019-2020",F227="2021-2025"),"",IF(ISNUMBER(SEARCH("LLC",D227)),VLOOKUP(A227,Yards25[],17,FALSE),VLOOKUP(A227,Yards[],17,FALSE))))</f>
        <v/>
      </c>
      <c r="J227" s="143" t="str">
        <f ca="1">IF(YardsAll[[#This Row],[STATUS]]="","",IF(OR(F227="2019-2020",F227="2021-2025"),"",IF(ISNUMBER(SEARCH("LLC",D227)),VLOOKUP(A227,Yards25[],29,FALSE),VLOOKUP(A227,Yards[],29,FALSE))))</f>
        <v/>
      </c>
      <c r="K227" s="143" t="str">
        <f ca="1">IF(YardsAll[[#This Row],[STATUS]]="","",IF(OR(F227="2019-2020",F227="2021-2025"),"",IF(ISNUMBER(SEARCH("LLC",D227)),VLOOKUP(A227,Yards25[],19,FALSE),VLOOKUP(A227,Yards[],19,FALSE))))</f>
        <v/>
      </c>
      <c r="L227" s="143" t="str">
        <f ca="1">IF(IF(OR(F227="2019-2020",F227="2021-2025"),"",IF(ISNUMBER(SEARCH("LLC",D227)),VLOOKUP(A227,Yards25[],20,FALSE),VLOOKUP(A227,Yards[],20,FALSE)))=0,"",IF(OR(F227="2019-2020",F227="2021-2025"),"",IF(ISNUMBER(SEARCH("LLC",D227)),VLOOKUP(A227,Yards25[],20,FALSE),VLOOKUP(A227,Yards[],20,FALSE))))</f>
        <v/>
      </c>
      <c r="M227" s="151">
        <f ca="1">IF(OR(F227="2019-2020",F227="2021-2025"),"",IF(ISNUMBER(SEARCH("LLC",D227)),VLOOKUP(A227,Yards25[],21,FALSE),VLOOKUP(A227,Yards[],21,FALSE)))</f>
        <v>0</v>
      </c>
      <c r="N227" s="151">
        <f ca="1">IF(OR(F227="2019-2020",F227="2021-2025"),"",IF(ISNUMBER(SEARCH("LLC",D227)),VLOOKUP(A227,Yards25[],22,FALSE),VLOOKUP(A227,Yards[],22,FALSE)))</f>
        <v>0</v>
      </c>
      <c r="O227" s="151">
        <f ca="1">SUM(YardsAll[[#This Row],[DSGN ESTIMATE]:[CONS ESTIMATE]])</f>
        <v>0</v>
      </c>
      <c r="P227" s="143"/>
      <c r="Q227" s="143">
        <f ca="1">IF(OR(F227="2019-2020",F227="2021-2025"),"",IF(ISNUMBER(SEARCH("LLC",D227)),VLOOKUP(A227,Yards25[],25,FALSE),VLOOKUP(A227,Yards[],25,FALSE)))</f>
        <v>0</v>
      </c>
      <c r="R227" s="152"/>
    </row>
    <row r="228" spans="1:18">
      <c r="A228" s="147" t="s">
        <v>195</v>
      </c>
      <c r="B228" s="144" t="str">
        <f>VLOOKUP(A228,Data[],2,FALSE)</f>
        <v>MANHATTAN</v>
      </c>
      <c r="C228" s="144" t="str">
        <f ca="1">IF(OR(F228="2019-2020",F228="2021-2025"),"",IF(ISNUMBER(SEARCH("LLC",D228)),VLOOKUP(A228,Yards25[],3,FALSE),VLOOKUP(A228,Yards[],3,FALSE)))</f>
        <v>New Waste Yard v1</v>
      </c>
      <c r="D228" s="9" t="str">
        <f>VLOOKUP(A228,Data[],52,FALSE)</f>
        <v>FEDERAL</v>
      </c>
      <c r="E228" s="9">
        <f>VLOOKUP(YardsAll[[#This Row],[DEVELOPMENT]],Data[],62,FALSE)</f>
        <v>8</v>
      </c>
      <c r="F228" s="9" t="str">
        <f ca="1">VLOOKUP(A228,Data[],4,FALSE)</f>
        <v/>
      </c>
      <c r="G228" s="9">
        <f ca="1">IF(OR(YardsAll[[#This Row],[RAD/PACT]]="2019-2020",YardsAll[[#This Row],[RAD/PACT]]="2021-2025"),"",IF(ISNUMBER(SEARCH("1",C228)),2,IF(ISNUMBER(SEARCH("2",C228)),1,IF(ISNUMBER(SEARCH("3",C228)),3,IF(ISNUMBER(SEARCH("4",C228)),4,IF(ISNUMBER(SEARCH("5",C228)),5,IF(ISNUMBER(SEARCH("6",C228)),6,IF(ISNUMBER(SEARCH("7",C228)),7,IF(ISNUMBER(SEARCH("8",C228)),8,0)))))))))</f>
        <v>2</v>
      </c>
      <c r="H228" s="143" t="str">
        <f ca="1">IF(YardsAll[[#This Row],[STATUS]]="","",IF(OR(F228="2019-2020",F228="2021-2025"),"",IF(ISNUMBER(SEARCH("LLC",D228)),VLOOKUP(A228,Yards25[],28,FALSE),VLOOKUP(A228,Yards[],28,FALSE))))</f>
        <v/>
      </c>
      <c r="I228" s="143" t="str">
        <f ca="1">IF(YardsAll[[#This Row],[STATUS]]="","",IF(OR(F228="2019-2020",F228="2021-2025"),"",IF(ISNUMBER(SEARCH("LLC",D228)),VLOOKUP(A228,Yards25[],17,FALSE),VLOOKUP(A228,Yards[],17,FALSE))))</f>
        <v/>
      </c>
      <c r="J228" s="143" t="str">
        <f ca="1">IF(YardsAll[[#This Row],[STATUS]]="","",IF(OR(F228="2019-2020",F228="2021-2025"),"",IF(ISNUMBER(SEARCH("LLC",D228)),VLOOKUP(A228,Yards25[],29,FALSE),VLOOKUP(A228,Yards[],29,FALSE))))</f>
        <v/>
      </c>
      <c r="K228" s="143" t="str">
        <f ca="1">IF(YardsAll[[#This Row],[STATUS]]="","",IF(OR(F228="2019-2020",F228="2021-2025"),"",IF(ISNUMBER(SEARCH("LLC",D228)),VLOOKUP(A228,Yards25[],19,FALSE),VLOOKUP(A228,Yards[],19,FALSE))))</f>
        <v/>
      </c>
      <c r="L228" s="143" t="str">
        <f ca="1">IF(IF(OR(F228="2019-2020",F228="2021-2025"),"",IF(ISNUMBER(SEARCH("LLC",D228)),VLOOKUP(A228,Yards25[],20,FALSE),VLOOKUP(A228,Yards[],20,FALSE)))=0,"",IF(OR(F228="2019-2020",F228="2021-2025"),"",IF(ISNUMBER(SEARCH("LLC",D228)),VLOOKUP(A228,Yards25[],20,FALSE),VLOOKUP(A228,Yards[],20,FALSE))))</f>
        <v/>
      </c>
      <c r="M228" s="151">
        <f ca="1">IF(OR(F228="2019-2020",F228="2021-2025"),"",IF(ISNUMBER(SEARCH("LLC",D228)),VLOOKUP(A228,Yards25[],21,FALSE),VLOOKUP(A228,Yards[],21,FALSE)))</f>
        <v>193407.39567800006</v>
      </c>
      <c r="N228" s="151">
        <f ca="1">IF(OR(F228="2019-2020",F228="2021-2025"),"",IF(ISNUMBER(SEARCH("LLC",D228)),VLOOKUP(A228,Yards25[],22,FALSE),VLOOKUP(A228,Yards[],22,FALSE)))</f>
        <v>1740666.5611020005</v>
      </c>
      <c r="O228" s="151">
        <f ca="1">SUM(YardsAll[[#This Row],[DSGN ESTIMATE]:[CONS ESTIMATE]])</f>
        <v>1934073.9567800006</v>
      </c>
      <c r="P228" s="143"/>
      <c r="Q228" s="143">
        <f ca="1">IF(OR(F228="2019-2020",F228="2021-2025"),"",IF(ISNUMBER(SEARCH("LLC",D228)),VLOOKUP(A228,Yards25[],25,FALSE),VLOOKUP(A228,Yards[],25,FALSE)))</f>
        <v>0</v>
      </c>
      <c r="R228" s="152"/>
    </row>
    <row r="229" spans="1:18">
      <c r="A229" s="147" t="s">
        <v>107</v>
      </c>
      <c r="B229" s="144" t="str">
        <f>VLOOKUP(A229,Data[],2,FALSE)</f>
        <v>MANHATTAN</v>
      </c>
      <c r="C229" s="144" t="str">
        <f ca="1">IF(OR(F229="2019-2020",F229="2021-2025"),"",IF(ISNUMBER(SEARCH("LLC",D229)),VLOOKUP(A229,Yards25[],3,FALSE),VLOOKUP(A229,Yards[],3,FALSE)))</f>
        <v>New Waste Yard v1</v>
      </c>
      <c r="D229" s="9" t="str">
        <f>VLOOKUP(A229,Data[],52,FALSE)</f>
        <v>FEDERAL</v>
      </c>
      <c r="E229" s="9">
        <f>VLOOKUP(YardsAll[[#This Row],[DEVELOPMENT]],Data[],62,FALSE)</f>
        <v>11</v>
      </c>
      <c r="F229" s="9" t="str">
        <f ca="1">VLOOKUP(A229,Data[],4,FALSE)</f>
        <v/>
      </c>
      <c r="G229" s="9">
        <f ca="1">IF(OR(YardsAll[[#This Row],[RAD/PACT]]="2019-2020",YardsAll[[#This Row],[RAD/PACT]]="2021-2025"),"",IF(ISNUMBER(SEARCH("1",C229)),2,IF(ISNUMBER(SEARCH("2",C229)),1,IF(ISNUMBER(SEARCH("3",C229)),3,IF(ISNUMBER(SEARCH("4",C229)),4,IF(ISNUMBER(SEARCH("5",C229)),5,IF(ISNUMBER(SEARCH("6",C229)),6,IF(ISNUMBER(SEARCH("7",C229)),7,IF(ISNUMBER(SEARCH("8",C229)),8,0)))))))))</f>
        <v>2</v>
      </c>
      <c r="H229" s="143" t="str">
        <f ca="1">IF(YardsAll[[#This Row],[STATUS]]="","",IF(OR(F229="2019-2020",F229="2021-2025"),"",IF(ISNUMBER(SEARCH("LLC",D229)),VLOOKUP(A229,Yards25[],28,FALSE),VLOOKUP(A229,Yards[],28,FALSE))))</f>
        <v/>
      </c>
      <c r="I229" s="143" t="str">
        <f ca="1">IF(YardsAll[[#This Row],[STATUS]]="","",IF(OR(F229="2019-2020",F229="2021-2025"),"",IF(ISNUMBER(SEARCH("LLC",D229)),VLOOKUP(A229,Yards25[],17,FALSE),VLOOKUP(A229,Yards[],17,FALSE))))</f>
        <v/>
      </c>
      <c r="J229" s="143" t="str">
        <f ca="1">IF(YardsAll[[#This Row],[STATUS]]="","",IF(OR(F229="2019-2020",F229="2021-2025"),"",IF(ISNUMBER(SEARCH("LLC",D229)),VLOOKUP(A229,Yards25[],29,FALSE),VLOOKUP(A229,Yards[],29,FALSE))))</f>
        <v/>
      </c>
      <c r="K229" s="143" t="str">
        <f ca="1">IF(YardsAll[[#This Row],[STATUS]]="","",IF(OR(F229="2019-2020",F229="2021-2025"),"",IF(ISNUMBER(SEARCH("LLC",D229)),VLOOKUP(A229,Yards25[],19,FALSE),VLOOKUP(A229,Yards[],19,FALSE))))</f>
        <v/>
      </c>
      <c r="L229" s="143" t="str">
        <f ca="1">IF(IF(OR(F229="2019-2020",F229="2021-2025"),"",IF(ISNUMBER(SEARCH("LLC",D229)),VLOOKUP(A229,Yards25[],20,FALSE),VLOOKUP(A229,Yards[],20,FALSE)))=0,"",IF(OR(F229="2019-2020",F229="2021-2025"),"",IF(ISNUMBER(SEARCH("LLC",D229)),VLOOKUP(A229,Yards25[],20,FALSE),VLOOKUP(A229,Yards[],20,FALSE))))</f>
        <v/>
      </c>
      <c r="M229" s="151">
        <f ca="1">IF(OR(F229="2019-2020",F229="2021-2025"),"",IF(ISNUMBER(SEARCH("LLC",D229)),VLOOKUP(A229,Yards25[],21,FALSE),VLOOKUP(A229,Yards[],21,FALSE)))</f>
        <v>225039.4463730001</v>
      </c>
      <c r="N229" s="151">
        <f ca="1">IF(OR(F229="2019-2020",F229="2021-2025"),"",IF(ISNUMBER(SEARCH("LLC",D229)),VLOOKUP(A229,Yards25[],22,FALSE),VLOOKUP(A229,Yards[],22,FALSE)))</f>
        <v>2025355.0173570008</v>
      </c>
      <c r="O229" s="151">
        <f ca="1">SUM(YardsAll[[#This Row],[DSGN ESTIMATE]:[CONS ESTIMATE]])</f>
        <v>2250394.4637300009</v>
      </c>
      <c r="P229" s="143"/>
      <c r="Q229" s="143">
        <f ca="1">IF(OR(F229="2019-2020",F229="2021-2025"),"",IF(ISNUMBER(SEARCH("LLC",D229)),VLOOKUP(A229,Yards25[],25,FALSE),VLOOKUP(A229,Yards[],25,FALSE)))</f>
        <v>0</v>
      </c>
      <c r="R229" s="152"/>
    </row>
    <row r="230" spans="1:18">
      <c r="A230" s="148" t="s">
        <v>42</v>
      </c>
      <c r="B230" s="144" t="str">
        <f>VLOOKUP(A230,Data[],2,FALSE)</f>
        <v>BROOKLYN</v>
      </c>
      <c r="C230" s="144" t="str">
        <f ca="1">IF(OR(F230="2019-2020",F230="2021-2025"),"",IF(ISNUMBER(SEARCH("LLC",D230)),VLOOKUP(A230,Yards25[],3,FALSE),VLOOKUP(A230,Yards[],3,FALSE)))</f>
        <v>New Waste Yard v1</v>
      </c>
      <c r="D230" s="9" t="str">
        <f>VLOOKUP(A230,Data[],52,FALSE)</f>
        <v>FEDERAL</v>
      </c>
      <c r="E230" s="9">
        <f>VLOOKUP(YardsAll[[#This Row],[DEVELOPMENT]],Data[],62,FALSE)</f>
        <v>3</v>
      </c>
      <c r="F230" s="9" t="str">
        <f ca="1">VLOOKUP(A230,Data[],4,FALSE)</f>
        <v/>
      </c>
      <c r="G230" s="9">
        <f ca="1">IF(OR(YardsAll[[#This Row],[RAD/PACT]]="2019-2020",YardsAll[[#This Row],[RAD/PACT]]="2021-2025"),"",IF(ISNUMBER(SEARCH("1",C230)),2,IF(ISNUMBER(SEARCH("2",C230)),1,IF(ISNUMBER(SEARCH("3",C230)),3,IF(ISNUMBER(SEARCH("4",C230)),4,IF(ISNUMBER(SEARCH("5",C230)),5,IF(ISNUMBER(SEARCH("6",C230)),6,IF(ISNUMBER(SEARCH("7",C230)),7,IF(ISNUMBER(SEARCH("8",C230)),8,0)))))))))</f>
        <v>2</v>
      </c>
      <c r="H230" s="143" t="str">
        <f ca="1">IF(YardsAll[[#This Row],[STATUS]]="","",IF(OR(F230="2019-2020",F230="2021-2025"),"",IF(ISNUMBER(SEARCH("LLC",D230)),VLOOKUP(A230,Yards25[],28,FALSE),VLOOKUP(A230,Yards[],28,FALSE))))</f>
        <v/>
      </c>
      <c r="I230" s="143" t="str">
        <f ca="1">IF(YardsAll[[#This Row],[STATUS]]="","",IF(OR(F230="2019-2020",F230="2021-2025"),"",IF(ISNUMBER(SEARCH("LLC",D230)),VLOOKUP(A230,Yards25[],17,FALSE),VLOOKUP(A230,Yards[],17,FALSE))))</f>
        <v/>
      </c>
      <c r="J230" s="143" t="str">
        <f ca="1">IF(YardsAll[[#This Row],[STATUS]]="","",IF(OR(F230="2019-2020",F230="2021-2025"),"",IF(ISNUMBER(SEARCH("LLC",D230)),VLOOKUP(A230,Yards25[],29,FALSE),VLOOKUP(A230,Yards[],29,FALSE))))</f>
        <v/>
      </c>
      <c r="K230" s="143" t="str">
        <f ca="1">IF(YardsAll[[#This Row],[STATUS]]="","",IF(OR(F230="2019-2020",F230="2021-2025"),"",IF(ISNUMBER(SEARCH("LLC",D230)),VLOOKUP(A230,Yards25[],19,FALSE),VLOOKUP(A230,Yards[],19,FALSE))))</f>
        <v/>
      </c>
      <c r="L230" s="143" t="str">
        <f ca="1">IF(IF(OR(F230="2019-2020",F230="2021-2025"),"",IF(ISNUMBER(SEARCH("LLC",D230)),VLOOKUP(A230,Yards25[],20,FALSE),VLOOKUP(A230,Yards[],20,FALSE)))=0,"",IF(OR(F230="2019-2020",F230="2021-2025"),"",IF(ISNUMBER(SEARCH("LLC",D230)),VLOOKUP(A230,Yards25[],20,FALSE),VLOOKUP(A230,Yards[],20,FALSE))))</f>
        <v/>
      </c>
      <c r="M230" s="151">
        <f ca="1">IF(OR(F230="2019-2020",F230="2021-2025"),"",IF(ISNUMBER(SEARCH("LLC",D230)),VLOOKUP(A230,Yards25[],21,FALSE),VLOOKUP(A230,Yards[],21,FALSE)))</f>
        <v>218713.03623400006</v>
      </c>
      <c r="N230" s="151">
        <f ca="1">IF(OR(F230="2019-2020",F230="2021-2025"),"",IF(ISNUMBER(SEARCH("LLC",D230)),VLOOKUP(A230,Yards25[],22,FALSE),VLOOKUP(A230,Yards[],22,FALSE)))</f>
        <v>1968417.3261060005</v>
      </c>
      <c r="O230" s="151">
        <f ca="1">SUM(YardsAll[[#This Row],[DSGN ESTIMATE]:[CONS ESTIMATE]])</f>
        <v>2187130.3623400005</v>
      </c>
      <c r="P230" s="143"/>
      <c r="Q230" s="143">
        <f ca="1">IF(OR(F230="2019-2020",F230="2021-2025"),"",IF(ISNUMBER(SEARCH("LLC",D230)),VLOOKUP(A230,Yards25[],25,FALSE),VLOOKUP(A230,Yards[],25,FALSE)))</f>
        <v>0</v>
      </c>
      <c r="R230" s="152"/>
    </row>
    <row r="231" spans="1:18">
      <c r="A231" s="148" t="s">
        <v>148</v>
      </c>
      <c r="B231" s="144" t="str">
        <f>VLOOKUP(A231,Data[],2,FALSE)</f>
        <v>BROOKLYN</v>
      </c>
      <c r="C231" s="144" t="str">
        <f ca="1">IF(OR(F231="2019-2020",F231="2021-2025"),"",IF(ISNUMBER(SEARCH("LLC",D231)),VLOOKUP(A231,Yards25[],3,FALSE),VLOOKUP(A231,Yards[],3,FALSE)))</f>
        <v>New Waste Yard v3</v>
      </c>
      <c r="D231" s="9" t="str">
        <f>VLOOKUP(A231,Data[],52,FALSE)</f>
        <v>FEDERAL</v>
      </c>
      <c r="E231" s="9">
        <f>VLOOKUP(YardsAll[[#This Row],[DEVELOPMENT]],Data[],62,FALSE)</f>
        <v>3</v>
      </c>
      <c r="F231" s="9" t="str">
        <f ca="1">VLOOKUP(A231,Data[],4,FALSE)</f>
        <v/>
      </c>
      <c r="G231" s="9">
        <f ca="1">IF(OR(YardsAll[[#This Row],[RAD/PACT]]="2019-2020",YardsAll[[#This Row],[RAD/PACT]]="2021-2025"),"",IF(ISNUMBER(SEARCH("1",C231)),2,IF(ISNUMBER(SEARCH("2",C231)),1,IF(ISNUMBER(SEARCH("3",C231)),3,IF(ISNUMBER(SEARCH("4",C231)),4,IF(ISNUMBER(SEARCH("5",C231)),5,IF(ISNUMBER(SEARCH("6",C231)),6,IF(ISNUMBER(SEARCH("7",C231)),7,IF(ISNUMBER(SEARCH("8",C231)),8,0)))))))))</f>
        <v>3</v>
      </c>
      <c r="H231" s="143" t="str">
        <f ca="1">IF(YardsAll[[#This Row],[STATUS]]="","",IF(OR(F231="2019-2020",F231="2021-2025"),"",IF(ISNUMBER(SEARCH("LLC",D231)),VLOOKUP(A231,Yards25[],28,FALSE),VLOOKUP(A231,Yards[],28,FALSE))))</f>
        <v/>
      </c>
      <c r="I231" s="143" t="str">
        <f ca="1">IF(YardsAll[[#This Row],[STATUS]]="","",IF(OR(F231="2019-2020",F231="2021-2025"),"",IF(ISNUMBER(SEARCH("LLC",D231)),VLOOKUP(A231,Yards25[],17,FALSE),VLOOKUP(A231,Yards[],17,FALSE))))</f>
        <v/>
      </c>
      <c r="J231" s="143" t="str">
        <f ca="1">IF(YardsAll[[#This Row],[STATUS]]="","",IF(OR(F231="2019-2020",F231="2021-2025"),"",IF(ISNUMBER(SEARCH("LLC",D231)),VLOOKUP(A231,Yards25[],29,FALSE),VLOOKUP(A231,Yards[],29,FALSE))))</f>
        <v/>
      </c>
      <c r="K231" s="143" t="str">
        <f ca="1">IF(YardsAll[[#This Row],[STATUS]]="","",IF(OR(F231="2019-2020",F231="2021-2025"),"",IF(ISNUMBER(SEARCH("LLC",D231)),VLOOKUP(A231,Yards25[],19,FALSE),VLOOKUP(A231,Yards[],19,FALSE))))</f>
        <v/>
      </c>
      <c r="L231" s="143" t="str">
        <f ca="1">IF(IF(OR(F231="2019-2020",F231="2021-2025"),"",IF(ISNUMBER(SEARCH("LLC",D231)),VLOOKUP(A231,Yards25[],20,FALSE),VLOOKUP(A231,Yards[],20,FALSE)))=0,"",IF(OR(F231="2019-2020",F231="2021-2025"),"",IF(ISNUMBER(SEARCH("LLC",D231)),VLOOKUP(A231,Yards25[],20,FALSE),VLOOKUP(A231,Yards[],20,FALSE))))</f>
        <v/>
      </c>
      <c r="M231" s="151">
        <f ca="1">IF(OR(F231="2019-2020",F231="2021-2025"),"",IF(ISNUMBER(SEARCH("LLC",D231)),VLOOKUP(A231,Yards25[],21,FALSE),VLOOKUP(A231,Yards[],21,FALSE)))</f>
        <v>251543.40010425012</v>
      </c>
      <c r="N231" s="151">
        <f ca="1">IF(OR(F231="2019-2020",F231="2021-2025"),"",IF(ISNUMBER(SEARCH("LLC",D231)),VLOOKUP(A231,Yards25[],22,FALSE),VLOOKUP(A231,Yards[],22,FALSE)))</f>
        <v>2263890.6009382508</v>
      </c>
      <c r="O231" s="151">
        <f ca="1">SUM(YardsAll[[#This Row],[DSGN ESTIMATE]:[CONS ESTIMATE]])</f>
        <v>2515434.0010425011</v>
      </c>
      <c r="P231" s="143"/>
      <c r="Q231" s="143">
        <f ca="1">IF(OR(F231="2019-2020",F231="2021-2025"),"",IF(ISNUMBER(SEARCH("LLC",D231)),VLOOKUP(A231,Yards25[],25,FALSE),VLOOKUP(A231,Yards[],25,FALSE)))</f>
        <v>0</v>
      </c>
      <c r="R231" s="152"/>
    </row>
    <row r="232" spans="1:18">
      <c r="A232" s="148" t="s">
        <v>43</v>
      </c>
      <c r="B232" s="144" t="str">
        <f>VLOOKUP(A232,Data[],2,FALSE)</f>
        <v>MANHATTAN</v>
      </c>
      <c r="C232" s="144" t="str">
        <f ca="1">IF(OR(F232="2019-2020",F232="2021-2025"),"",IF(ISNUMBER(SEARCH("LLC",D232)),VLOOKUP(A232,Yards25[],3,FALSE),VLOOKUP(A232,Yards[],3,FALSE)))</f>
        <v>New Waste Yard v1</v>
      </c>
      <c r="D232" s="9" t="str">
        <f>VLOOKUP(A232,Data[],52,FALSE)</f>
        <v>MIXED FINANCE/LLC1</v>
      </c>
      <c r="E232" s="9">
        <f>VLOOKUP(YardsAll[[#This Row],[DEVELOPMENT]],Data[],62,FALSE)</f>
        <v>3</v>
      </c>
      <c r="F232" s="9" t="str">
        <f ca="1">VLOOKUP(A232,Data[],4,FALSE)</f>
        <v/>
      </c>
      <c r="G232" s="9">
        <f ca="1">IF(OR(YardsAll[[#This Row],[RAD/PACT]]="2019-2020",YardsAll[[#This Row],[RAD/PACT]]="2021-2025"),"",IF(ISNUMBER(SEARCH("1",C232)),2,IF(ISNUMBER(SEARCH("2",C232)),1,IF(ISNUMBER(SEARCH("3",C232)),3,IF(ISNUMBER(SEARCH("4",C232)),4,IF(ISNUMBER(SEARCH("5",C232)),5,IF(ISNUMBER(SEARCH("6",C232)),6,IF(ISNUMBER(SEARCH("7",C232)),7,IF(ISNUMBER(SEARCH("8",C232)),8,0)))))))))</f>
        <v>2</v>
      </c>
      <c r="H232" s="143" t="str">
        <f ca="1">IF(YardsAll[[#This Row],[STATUS]]="","",IF(OR(F232="2019-2020",F232="2021-2025"),"",IF(ISNUMBER(SEARCH("LLC",D232)),VLOOKUP(A232,Yards25[],28,FALSE),VLOOKUP(A232,Yards[],28,FALSE))))</f>
        <v/>
      </c>
      <c r="I232" s="143" t="str">
        <f ca="1">IF(YardsAll[[#This Row],[STATUS]]="","",IF(OR(F232="2019-2020",F232="2021-2025"),"",IF(ISNUMBER(SEARCH("LLC",D232)),VLOOKUP(A232,Yards25[],17,FALSE),VLOOKUP(A232,Yards[],17,FALSE))))</f>
        <v/>
      </c>
      <c r="J232" s="143" t="str">
        <f ca="1">IF(YardsAll[[#This Row],[STATUS]]="","",IF(OR(F232="2019-2020",F232="2021-2025"),"",IF(ISNUMBER(SEARCH("LLC",D232)),VLOOKUP(A232,Yards25[],29,FALSE),VLOOKUP(A232,Yards[],29,FALSE))))</f>
        <v/>
      </c>
      <c r="K232" s="143" t="str">
        <f ca="1">IF(YardsAll[[#This Row],[STATUS]]="","",IF(OR(F232="2019-2020",F232="2021-2025"),"",IF(ISNUMBER(SEARCH("LLC",D232)),VLOOKUP(A232,Yards25[],19,FALSE),VLOOKUP(A232,Yards[],19,FALSE))))</f>
        <v/>
      </c>
      <c r="L232" s="143" t="str">
        <f ca="1">IF(IF(OR(F232="2019-2020",F232="2021-2025"),"",IF(ISNUMBER(SEARCH("LLC",D232)),VLOOKUP(A232,Yards25[],20,FALSE),VLOOKUP(A232,Yards[],20,FALSE)))=0,"",IF(OR(F232="2019-2020",F232="2021-2025"),"",IF(ISNUMBER(SEARCH("LLC",D232)),VLOOKUP(A232,Yards25[],20,FALSE),VLOOKUP(A232,Yards[],20,FALSE))))</f>
        <v/>
      </c>
      <c r="M232" s="151">
        <f ca="1">IF(OR(F232="2019-2020",F232="2021-2025"),"",IF(ISNUMBER(SEARCH("LLC",D232)),VLOOKUP(A232,Yards25[],21,FALSE),VLOOKUP(A232,Yards[],21,FALSE)))</f>
        <v>225039.4463730001</v>
      </c>
      <c r="N232" s="151">
        <f ca="1">IF(OR(F232="2019-2020",F232="2021-2025"),"",IF(ISNUMBER(SEARCH("LLC",D232)),VLOOKUP(A232,Yards25[],22,FALSE),VLOOKUP(A232,Yards[],22,FALSE)))</f>
        <v>2025355.0173570008</v>
      </c>
      <c r="O232" s="151">
        <f ca="1">SUM(YardsAll[[#This Row],[DSGN ESTIMATE]:[CONS ESTIMATE]])</f>
        <v>2250394.4637300009</v>
      </c>
      <c r="P232" s="143"/>
      <c r="Q232" s="143">
        <f ca="1">IF(OR(F232="2019-2020",F232="2021-2025"),"",IF(ISNUMBER(SEARCH("LLC",D232)),VLOOKUP(A232,Yards25[],25,FALSE),VLOOKUP(A232,Yards[],25,FALSE)))</f>
        <v>0</v>
      </c>
      <c r="R232" s="152"/>
    </row>
    <row r="233" spans="1:18">
      <c r="A233" s="147" t="s">
        <v>216</v>
      </c>
      <c r="B233" s="144" t="str">
        <f>VLOOKUP(A233,Data[],2,FALSE)</f>
        <v>BROOKLYN</v>
      </c>
      <c r="C233" s="144" t="str">
        <f ca="1">IF(OR(F233="2019-2020",F233="2021-2025"),"",IF(ISNUMBER(SEARCH("LLC",D233)),VLOOKUP(A233,Yards25[],3,FALSE),VLOOKUP(A233,Yards[],3,FALSE)))</f>
        <v>New Waste Yard v1</v>
      </c>
      <c r="D233" s="9" t="str">
        <f>VLOOKUP(A233,Data[],52,FALSE)</f>
        <v>FEDERAL</v>
      </c>
      <c r="E233" s="9">
        <f>VLOOKUP(YardsAll[[#This Row],[DEVELOPMENT]],Data[],62,FALSE)</f>
        <v>17</v>
      </c>
      <c r="F233" s="9" t="str">
        <f ca="1">VLOOKUP(A233,Data[],4,FALSE)</f>
        <v>2020-2021</v>
      </c>
      <c r="G233" s="9">
        <f ca="1">IF(OR(YardsAll[[#This Row],[RAD/PACT]]="2019-2020",YardsAll[[#This Row],[RAD/PACT]]="2021-2025"),"",IF(ISNUMBER(SEARCH("1",C233)),2,IF(ISNUMBER(SEARCH("2",C233)),1,IF(ISNUMBER(SEARCH("3",C233)),3,IF(ISNUMBER(SEARCH("4",C233)),4,IF(ISNUMBER(SEARCH("5",C233)),5,IF(ISNUMBER(SEARCH("6",C233)),6,IF(ISNUMBER(SEARCH("7",C233)),7,IF(ISNUMBER(SEARCH("8",C233)),8,0)))))))))</f>
        <v>2</v>
      </c>
      <c r="H233" s="143" t="str">
        <f ca="1">IF(YardsAll[[#This Row],[STATUS]]="","",IF(OR(F233="2019-2020",F233="2021-2025"),"",IF(ISNUMBER(SEARCH("LLC",D233)),VLOOKUP(A233,Yards25[],28,FALSE),VLOOKUP(A233,Yards[],28,FALSE))))</f>
        <v/>
      </c>
      <c r="I233" s="143" t="str">
        <f ca="1">IF(YardsAll[[#This Row],[STATUS]]="","",IF(OR(F233="2019-2020",F233="2021-2025"),"",IF(ISNUMBER(SEARCH("LLC",D233)),VLOOKUP(A233,Yards25[],17,FALSE),VLOOKUP(A233,Yards[],17,FALSE))))</f>
        <v/>
      </c>
      <c r="J233" s="143" t="str">
        <f ca="1">IF(YardsAll[[#This Row],[STATUS]]="","",IF(OR(F233="2019-2020",F233="2021-2025"),"",IF(ISNUMBER(SEARCH("LLC",D233)),VLOOKUP(A233,Yards25[],29,FALSE),VLOOKUP(A233,Yards[],29,FALSE))))</f>
        <v/>
      </c>
      <c r="K233" s="143" t="str">
        <f ca="1">IF(YardsAll[[#This Row],[STATUS]]="","",IF(OR(F233="2019-2020",F233="2021-2025"),"",IF(ISNUMBER(SEARCH("LLC",D233)),VLOOKUP(A233,Yards25[],19,FALSE),VLOOKUP(A233,Yards[],19,FALSE))))</f>
        <v/>
      </c>
      <c r="L233" s="143" t="str">
        <f ca="1">IF(IF(OR(F233="2019-2020",F233="2021-2025"),"",IF(ISNUMBER(SEARCH("LLC",D233)),VLOOKUP(A233,Yards25[],20,FALSE),VLOOKUP(A233,Yards[],20,FALSE)))=0,"",IF(OR(F233="2019-2020",F233="2021-2025"),"",IF(ISNUMBER(SEARCH("LLC",D233)),VLOOKUP(A233,Yards25[],20,FALSE),VLOOKUP(A233,Yards[],20,FALSE))))</f>
        <v/>
      </c>
      <c r="M233" s="151">
        <f ca="1">IF(OR(F233="2019-2020",F233="2021-2025"),"",IF(ISNUMBER(SEARCH("LLC",D233)),VLOOKUP(A233,Yards25[],21,FALSE),VLOOKUP(A233,Yards[],21,FALSE)))</f>
        <v>0</v>
      </c>
      <c r="N233" s="151">
        <f ca="1">IF(OR(F233="2019-2020",F233="2021-2025"),"",IF(ISNUMBER(SEARCH("LLC",D233)),VLOOKUP(A233,Yards25[],22,FALSE),VLOOKUP(A233,Yards[],22,FALSE)))</f>
        <v>0</v>
      </c>
      <c r="O233" s="151">
        <f ca="1">SUM(YardsAll[[#This Row],[DSGN ESTIMATE]:[CONS ESTIMATE]])</f>
        <v>0</v>
      </c>
      <c r="P233" s="143"/>
      <c r="Q233" s="143">
        <f ca="1">IF(OR(F233="2019-2020",F233="2021-2025"),"",IF(ISNUMBER(SEARCH("LLC",D233)),VLOOKUP(A233,Yards25[],25,FALSE),VLOOKUP(A233,Yards[],25,FALSE)))</f>
        <v>0</v>
      </c>
      <c r="R233" s="152"/>
    </row>
    <row r="234" spans="1:18">
      <c r="A234" s="147" t="s">
        <v>253</v>
      </c>
      <c r="B234" s="144" t="str">
        <f>VLOOKUP(A234,Data[],2,FALSE)</f>
        <v>BRONX</v>
      </c>
      <c r="C234" s="144" t="str">
        <f ca="1">IF(OR(F234="2019-2020",F234="2021-2025"),"",IF(ISNUMBER(SEARCH("LLC",D234)),VLOOKUP(A234,Yards25[],3,FALSE),VLOOKUP(A234,Yards[],3,FALSE)))</f>
        <v>New Waste Yard v1</v>
      </c>
      <c r="D234" s="9" t="str">
        <f>VLOOKUP(A234,Data[],52,FALSE)</f>
        <v>FEDERAL</v>
      </c>
      <c r="E234" s="9">
        <f>VLOOKUP(YardsAll[[#This Row],[DEVELOPMENT]],Data[],62,FALSE)</f>
        <v>9</v>
      </c>
      <c r="F234" s="9" t="str">
        <f ca="1">VLOOKUP(A234,Data[],4,FALSE)</f>
        <v>2022-2025</v>
      </c>
      <c r="G234" s="9">
        <f ca="1">IF(OR(YardsAll[[#This Row],[RAD/PACT]]="2019-2020",YardsAll[[#This Row],[RAD/PACT]]="2021-2025"),"",IF(ISNUMBER(SEARCH("1",C234)),2,IF(ISNUMBER(SEARCH("2",C234)),1,IF(ISNUMBER(SEARCH("3",C234)),3,IF(ISNUMBER(SEARCH("4",C234)),4,IF(ISNUMBER(SEARCH("5",C234)),5,IF(ISNUMBER(SEARCH("6",C234)),6,IF(ISNUMBER(SEARCH("7",C234)),7,IF(ISNUMBER(SEARCH("8",C234)),8,0)))))))))</f>
        <v>2</v>
      </c>
      <c r="H234" s="143" t="str">
        <f ca="1">IF(YardsAll[[#This Row],[STATUS]]="","",IF(OR(F234="2019-2020",F234="2021-2025"),"",IF(ISNUMBER(SEARCH("LLC",D234)),VLOOKUP(A234,Yards25[],28,FALSE),VLOOKUP(A234,Yards[],28,FALSE))))</f>
        <v/>
      </c>
      <c r="I234" s="143" t="str">
        <f ca="1">IF(YardsAll[[#This Row],[STATUS]]="","",IF(OR(F234="2019-2020",F234="2021-2025"),"",IF(ISNUMBER(SEARCH("LLC",D234)),VLOOKUP(A234,Yards25[],17,FALSE),VLOOKUP(A234,Yards[],17,FALSE))))</f>
        <v/>
      </c>
      <c r="J234" s="143" t="str">
        <f ca="1">IF(YardsAll[[#This Row],[STATUS]]="","",IF(OR(F234="2019-2020",F234="2021-2025"),"",IF(ISNUMBER(SEARCH("LLC",D234)),VLOOKUP(A234,Yards25[],29,FALSE),VLOOKUP(A234,Yards[],29,FALSE))))</f>
        <v/>
      </c>
      <c r="K234" s="143" t="str">
        <f ca="1">IF(YardsAll[[#This Row],[STATUS]]="","",IF(OR(F234="2019-2020",F234="2021-2025"),"",IF(ISNUMBER(SEARCH("LLC",D234)),VLOOKUP(A234,Yards25[],19,FALSE),VLOOKUP(A234,Yards[],19,FALSE))))</f>
        <v/>
      </c>
      <c r="L234" s="143" t="str">
        <f ca="1">IF(IF(OR(F234="2019-2020",F234="2021-2025"),"",IF(ISNUMBER(SEARCH("LLC",D234)),VLOOKUP(A234,Yards25[],20,FALSE),VLOOKUP(A234,Yards[],20,FALSE)))=0,"",IF(OR(F234="2019-2020",F234="2021-2025"),"",IF(ISNUMBER(SEARCH("LLC",D234)),VLOOKUP(A234,Yards25[],20,FALSE),VLOOKUP(A234,Yards[],20,FALSE))))</f>
        <v/>
      </c>
      <c r="M234" s="151">
        <f ca="1">IF(OR(F234="2019-2020",F234="2021-2025"),"",IF(ISNUMBER(SEARCH("LLC",D234)),VLOOKUP(A234,Yards25[],21,FALSE),VLOOKUP(A234,Yards[],21,FALSE)))</f>
        <v>0</v>
      </c>
      <c r="N234" s="151">
        <f ca="1">IF(OR(F234="2019-2020",F234="2021-2025"),"",IF(ISNUMBER(SEARCH("LLC",D234)),VLOOKUP(A234,Yards25[],22,FALSE),VLOOKUP(A234,Yards[],22,FALSE)))</f>
        <v>0</v>
      </c>
      <c r="O234" s="151">
        <f ca="1">SUM(YardsAll[[#This Row],[DSGN ESTIMATE]:[CONS ESTIMATE]])</f>
        <v>0</v>
      </c>
      <c r="P234" s="143"/>
      <c r="Q234" s="143">
        <f ca="1">IF(OR(F234="2019-2020",F234="2021-2025"),"",IF(ISNUMBER(SEARCH("LLC",D234)),VLOOKUP(A234,Yards25[],25,FALSE),VLOOKUP(A234,Yards[],25,FALSE)))</f>
        <v>0</v>
      </c>
      <c r="R234" s="152"/>
    </row>
    <row r="235" spans="1:18">
      <c r="A235" s="147" t="s">
        <v>123</v>
      </c>
      <c r="B235" s="144" t="str">
        <f>VLOOKUP(A235,Data[],2,FALSE)</f>
        <v>BRONX</v>
      </c>
      <c r="C235" s="144" t="str">
        <f ca="1">IF(OR(F235="2019-2020",F235="2021-2025"),"",IF(ISNUMBER(SEARCH("LLC",D235)),VLOOKUP(A235,Yards25[],3,FALSE),VLOOKUP(A235,Yards[],3,FALSE)))</f>
        <v>New Waste Yard v3</v>
      </c>
      <c r="D235" s="9" t="str">
        <f>VLOOKUP(A235,Data[],52,FALSE)</f>
        <v>MIXED FINANCE/LLC1</v>
      </c>
      <c r="E235" s="9">
        <f>VLOOKUP(YardsAll[[#This Row],[DEVELOPMENT]],Data[],62,FALSE)</f>
        <v>1</v>
      </c>
      <c r="F235" s="9" t="str">
        <f ca="1">VLOOKUP(A235,Data[],4,FALSE)</f>
        <v>2026+</v>
      </c>
      <c r="G235" s="9">
        <f ca="1">IF(OR(YardsAll[[#This Row],[RAD/PACT]]="2019-2020",YardsAll[[#This Row],[RAD/PACT]]="2021-2025"),"",IF(ISNUMBER(SEARCH("1",C235)),2,IF(ISNUMBER(SEARCH("2",C235)),1,IF(ISNUMBER(SEARCH("3",C235)),3,IF(ISNUMBER(SEARCH("4",C235)),4,IF(ISNUMBER(SEARCH("5",C235)),5,IF(ISNUMBER(SEARCH("6",C235)),6,IF(ISNUMBER(SEARCH("7",C235)),7,IF(ISNUMBER(SEARCH("8",C235)),8,0)))))))))</f>
        <v>3</v>
      </c>
      <c r="H235" s="143" t="str">
        <f ca="1">IF(YardsAll[[#This Row],[STATUS]]="","",IF(OR(F235="2019-2020",F235="2021-2025"),"",IF(ISNUMBER(SEARCH("LLC",D235)),VLOOKUP(A235,Yards25[],28,FALSE),VLOOKUP(A235,Yards[],28,FALSE))))</f>
        <v/>
      </c>
      <c r="I235" s="143" t="str">
        <f ca="1">IF(YardsAll[[#This Row],[STATUS]]="","",IF(OR(F235="2019-2020",F235="2021-2025"),"",IF(ISNUMBER(SEARCH("LLC",D235)),VLOOKUP(A235,Yards25[],17,FALSE),VLOOKUP(A235,Yards[],17,FALSE))))</f>
        <v/>
      </c>
      <c r="J235" s="143" t="str">
        <f ca="1">IF(YardsAll[[#This Row],[STATUS]]="","",IF(OR(F235="2019-2020",F235="2021-2025"),"",IF(ISNUMBER(SEARCH("LLC",D235)),VLOOKUP(A235,Yards25[],29,FALSE),VLOOKUP(A235,Yards[],29,FALSE))))</f>
        <v/>
      </c>
      <c r="K235" s="143" t="str">
        <f ca="1">IF(YardsAll[[#This Row],[STATUS]]="","",IF(OR(F235="2019-2020",F235="2021-2025"),"",IF(ISNUMBER(SEARCH("LLC",D235)),VLOOKUP(A235,Yards25[],19,FALSE),VLOOKUP(A235,Yards[],19,FALSE))))</f>
        <v/>
      </c>
      <c r="L235" s="143" t="str">
        <f ca="1">IF(IF(OR(F235="2019-2020",F235="2021-2025"),"",IF(ISNUMBER(SEARCH("LLC",D235)),VLOOKUP(A235,Yards25[],20,FALSE),VLOOKUP(A235,Yards[],20,FALSE)))=0,"",IF(OR(F235="2019-2020",F235="2021-2025"),"",IF(ISNUMBER(SEARCH("LLC",D235)),VLOOKUP(A235,Yards25[],20,FALSE),VLOOKUP(A235,Yards[],20,FALSE))))</f>
        <v/>
      </c>
      <c r="M235" s="151">
        <f ca="1">IF(OR(F235="2019-2020",F235="2021-2025"),"",IF(ISNUMBER(SEARCH("LLC",D235)),VLOOKUP(A235,Yards25[],21,FALSE),VLOOKUP(A235,Yards[],21,FALSE)))</f>
        <v>237400.39768875009</v>
      </c>
      <c r="N235" s="151">
        <f ca="1">IF(OR(F235="2019-2020",F235="2021-2025"),"",IF(ISNUMBER(SEARCH("LLC",D235)),VLOOKUP(A235,Yards25[],22,FALSE),VLOOKUP(A235,Yards[],22,FALSE)))</f>
        <v>2136603.5791987507</v>
      </c>
      <c r="O235" s="151">
        <f ca="1">SUM(YardsAll[[#This Row],[DSGN ESTIMATE]:[CONS ESTIMATE]])</f>
        <v>2374003.9768875008</v>
      </c>
      <c r="P235" s="143"/>
      <c r="Q235" s="143">
        <f ca="1">IF(OR(F235="2019-2020",F235="2021-2025"),"",IF(ISNUMBER(SEARCH("LLC",D235)),VLOOKUP(A235,Yards25[],25,FALSE),VLOOKUP(A235,Yards[],25,FALSE)))</f>
        <v>0</v>
      </c>
      <c r="R235" s="152"/>
    </row>
    <row r="236" spans="1:18">
      <c r="A236" s="147" t="s">
        <v>136</v>
      </c>
      <c r="B236" s="144" t="str">
        <f>VLOOKUP(A236,Data[],2,FALSE)</f>
        <v>MANHATTAN</v>
      </c>
      <c r="C236" s="144" t="str">
        <f ca="1">IF(OR(F236="2019-2020",F236="2021-2025"),"",IF(ISNUMBER(SEARCH("LLC",D236)),VLOOKUP(A236,Yards25[],3,FALSE),VLOOKUP(A236,Yards[],3,FALSE)))</f>
        <v>New Waste Yard v2</v>
      </c>
      <c r="D236" s="9" t="str">
        <f>VLOOKUP(A236,Data[],52,FALSE)</f>
        <v>FEDERAL</v>
      </c>
      <c r="E236" s="9">
        <f>VLOOKUP(YardsAll[[#This Row],[DEVELOPMENT]],Data[],62,FALSE)</f>
        <v>10</v>
      </c>
      <c r="F236" s="9" t="str">
        <f ca="1">VLOOKUP(A236,Data[],4,FALSE)</f>
        <v>2026+</v>
      </c>
      <c r="G236" s="9">
        <f ca="1">IF(OR(YardsAll[[#This Row],[RAD/PACT]]="2019-2020",YardsAll[[#This Row],[RAD/PACT]]="2021-2025"),"",IF(ISNUMBER(SEARCH("1",C236)),2,IF(ISNUMBER(SEARCH("2",C236)),1,IF(ISNUMBER(SEARCH("3",C236)),3,IF(ISNUMBER(SEARCH("4",C236)),4,IF(ISNUMBER(SEARCH("5",C236)),5,IF(ISNUMBER(SEARCH("6",C236)),6,IF(ISNUMBER(SEARCH("7",C236)),7,IF(ISNUMBER(SEARCH("8",C236)),8,0)))))))))</f>
        <v>1</v>
      </c>
      <c r="H236" s="143" t="str">
        <f ca="1">IF(YardsAll[[#This Row],[STATUS]]="","",IF(OR(F236="2019-2020",F236="2021-2025"),"",IF(ISNUMBER(SEARCH("LLC",D236)),VLOOKUP(A236,Yards25[],28,FALSE),VLOOKUP(A236,Yards[],28,FALSE))))</f>
        <v/>
      </c>
      <c r="I236" s="143" t="str">
        <f ca="1">IF(YardsAll[[#This Row],[STATUS]]="","",IF(OR(F236="2019-2020",F236="2021-2025"),"",IF(ISNUMBER(SEARCH("LLC",D236)),VLOOKUP(A236,Yards25[],17,FALSE),VLOOKUP(A236,Yards[],17,FALSE))))</f>
        <v/>
      </c>
      <c r="J236" s="143" t="str">
        <f ca="1">IF(YardsAll[[#This Row],[STATUS]]="","",IF(OR(F236="2019-2020",F236="2021-2025"),"",IF(ISNUMBER(SEARCH("LLC",D236)),VLOOKUP(A236,Yards25[],29,FALSE),VLOOKUP(A236,Yards[],29,FALSE))))</f>
        <v/>
      </c>
      <c r="K236" s="143" t="str">
        <f ca="1">IF(YardsAll[[#This Row],[STATUS]]="","",IF(OR(F236="2019-2020",F236="2021-2025"),"",IF(ISNUMBER(SEARCH("LLC",D236)),VLOOKUP(A236,Yards25[],19,FALSE),VLOOKUP(A236,Yards[],19,FALSE))))</f>
        <v/>
      </c>
      <c r="L236" s="143" t="str">
        <f ca="1">IF(IF(OR(F236="2019-2020",F236="2021-2025"),"",IF(ISNUMBER(SEARCH("LLC",D236)),VLOOKUP(A236,Yards25[],20,FALSE),VLOOKUP(A236,Yards[],20,FALSE)))=0,"",IF(OR(F236="2019-2020",F236="2021-2025"),"",IF(ISNUMBER(SEARCH("LLC",D236)),VLOOKUP(A236,Yards25[],20,FALSE),VLOOKUP(A236,Yards[],20,FALSE))))</f>
        <v/>
      </c>
      <c r="M236" s="151">
        <f ca="1">IF(OR(F236="2019-2020",F236="2021-2025"),"",IF(ISNUMBER(SEARCH("LLC",D236)),VLOOKUP(A236,Yards25[],21,FALSE),VLOOKUP(A236,Yards[],21,FALSE)))</f>
        <v>164833.92605570005</v>
      </c>
      <c r="N236" s="151">
        <f ca="1">IF(OR(F236="2019-2020",F236="2021-2025"),"",IF(ISNUMBER(SEARCH("LLC",D236)),VLOOKUP(A236,Yards25[],22,FALSE),VLOOKUP(A236,Yards[],22,FALSE)))</f>
        <v>1483505.3345013002</v>
      </c>
      <c r="O236" s="151">
        <f ca="1">SUM(YardsAll[[#This Row],[DSGN ESTIMATE]:[CONS ESTIMATE]])</f>
        <v>1648339.2605570003</v>
      </c>
      <c r="P236" s="143"/>
      <c r="Q236" s="143">
        <f ca="1">IF(OR(F236="2019-2020",F236="2021-2025"),"",IF(ISNUMBER(SEARCH("LLC",D236)),VLOOKUP(A236,Yards25[],25,FALSE),VLOOKUP(A236,Yards[],25,FALSE)))</f>
        <v>0</v>
      </c>
      <c r="R236" s="152"/>
    </row>
    <row r="237" spans="1:18">
      <c r="A237" s="147" t="s">
        <v>95</v>
      </c>
      <c r="B237" s="144" t="str">
        <f>VLOOKUP(A237,Data[],2,FALSE)</f>
        <v>MANHATTAN</v>
      </c>
      <c r="C237" s="144" t="str">
        <f ca="1">IF(OR(F237="2019-2020",F237="2021-2025"),"",IF(ISNUMBER(SEARCH("LLC",D237)),VLOOKUP(A237,Yards25[],3,FALSE),VLOOKUP(A237,Yards[],3,FALSE)))</f>
        <v>New Waste Yard v1</v>
      </c>
      <c r="D237" s="9" t="str">
        <f>VLOOKUP(A237,Data[],52,FALSE)</f>
        <v>MIXED FINANCE/LLC1</v>
      </c>
      <c r="E237" s="9">
        <f>VLOOKUP(YardsAll[[#This Row],[DEVELOPMENT]],Data[],62,FALSE)</f>
        <v>10</v>
      </c>
      <c r="F237" s="9" t="str">
        <f ca="1">VLOOKUP(A237,Data[],4,FALSE)</f>
        <v>2020-2021</v>
      </c>
      <c r="G237" s="9">
        <f ca="1">IF(OR(YardsAll[[#This Row],[RAD/PACT]]="2019-2020",YardsAll[[#This Row],[RAD/PACT]]="2021-2025"),"",IF(ISNUMBER(SEARCH("1",C237)),2,IF(ISNUMBER(SEARCH("2",C237)),1,IF(ISNUMBER(SEARCH("3",C237)),3,IF(ISNUMBER(SEARCH("4",C237)),4,IF(ISNUMBER(SEARCH("5",C237)),5,IF(ISNUMBER(SEARCH("6",C237)),6,IF(ISNUMBER(SEARCH("7",C237)),7,IF(ISNUMBER(SEARCH("8",C237)),8,0)))))))))</f>
        <v>2</v>
      </c>
      <c r="H237" s="143" t="str">
        <f ca="1">IF(YardsAll[[#This Row],[STATUS]]="","",IF(OR(F237="2019-2020",F237="2021-2025"),"",IF(ISNUMBER(SEARCH("LLC",D237)),VLOOKUP(A237,Yards25[],28,FALSE),VLOOKUP(A237,Yards[],28,FALSE))))</f>
        <v/>
      </c>
      <c r="I237" s="143" t="str">
        <f ca="1">IF(YardsAll[[#This Row],[STATUS]]="","",IF(OR(F237="2019-2020",F237="2021-2025"),"",IF(ISNUMBER(SEARCH("LLC",D237)),VLOOKUP(A237,Yards25[],17,FALSE),VLOOKUP(A237,Yards[],17,FALSE))))</f>
        <v/>
      </c>
      <c r="J237" s="143" t="str">
        <f ca="1">IF(YardsAll[[#This Row],[STATUS]]="","",IF(OR(F237="2019-2020",F237="2021-2025"),"",IF(ISNUMBER(SEARCH("LLC",D237)),VLOOKUP(A237,Yards25[],29,FALSE),VLOOKUP(A237,Yards[],29,FALSE))))</f>
        <v/>
      </c>
      <c r="K237" s="143" t="str">
        <f ca="1">IF(YardsAll[[#This Row],[STATUS]]="","",IF(OR(F237="2019-2020",F237="2021-2025"),"",IF(ISNUMBER(SEARCH("LLC",D237)),VLOOKUP(A237,Yards25[],19,FALSE),VLOOKUP(A237,Yards[],19,FALSE))))</f>
        <v/>
      </c>
      <c r="L237" s="143" t="str">
        <f ca="1">IF(IF(OR(F237="2019-2020",F237="2021-2025"),"",IF(ISNUMBER(SEARCH("LLC",D237)),VLOOKUP(A237,Yards25[],20,FALSE),VLOOKUP(A237,Yards[],20,FALSE)))=0,"",IF(OR(F237="2019-2020",F237="2021-2025"),"",IF(ISNUMBER(SEARCH("LLC",D237)),VLOOKUP(A237,Yards25[],20,FALSE),VLOOKUP(A237,Yards[],20,FALSE))))</f>
        <v/>
      </c>
      <c r="M237" s="151">
        <f ca="1">IF(OR(F237="2019-2020",F237="2021-2025"),"",IF(ISNUMBER(SEARCH("LLC",D237)),VLOOKUP(A237,Yards25[],21,FALSE),VLOOKUP(A237,Yards[],21,FALSE)))</f>
        <v>0</v>
      </c>
      <c r="N237" s="151">
        <f ca="1">IF(OR(F237="2019-2020",F237="2021-2025"),"",IF(ISNUMBER(SEARCH("LLC",D237)),VLOOKUP(A237,Yards25[],22,FALSE),VLOOKUP(A237,Yards[],22,FALSE)))</f>
        <v>0</v>
      </c>
      <c r="O237" s="151">
        <f ca="1">SUM(YardsAll[[#This Row],[DSGN ESTIMATE]:[CONS ESTIMATE]])</f>
        <v>0</v>
      </c>
      <c r="P237" s="143"/>
      <c r="Q237" s="143">
        <f ca="1">IF(OR(F237="2019-2020",F237="2021-2025"),"",IF(ISNUMBER(SEARCH("LLC",D237)),VLOOKUP(A237,Yards25[],25,FALSE),VLOOKUP(A237,Yards[],25,FALSE)))</f>
        <v>0</v>
      </c>
      <c r="R237" s="152"/>
    </row>
    <row r="238" spans="1:18">
      <c r="A238" s="147" t="s">
        <v>358</v>
      </c>
      <c r="B238" s="144" t="str">
        <f>VLOOKUP(A238,Data[],2,FALSE)</f>
        <v>MANHATTAN</v>
      </c>
      <c r="C238" s="144" t="str">
        <f ca="1">IF(OR(F238="2019-2020",F238="2021-2025"),"",IF(ISNUMBER(SEARCH("LLC",D238)),VLOOKUP(A238,Yards25[],3,FALSE),VLOOKUP(A238,Yards[],3,FALSE)))</f>
        <v>New Waste Yard v1</v>
      </c>
      <c r="D238" s="9" t="str">
        <f>VLOOKUP(A238,Data[],52,FALSE)</f>
        <v>MHOP</v>
      </c>
      <c r="E238" s="9">
        <f>VLOOKUP(YardsAll[[#This Row],[DEVELOPMENT]],Data[],62,FALSE)</f>
        <v>10</v>
      </c>
      <c r="F238" s="9" t="str">
        <f ca="1">VLOOKUP(A238,Data[],4,FALSE)</f>
        <v>2020-2021</v>
      </c>
      <c r="G238" s="9">
        <f ca="1">IF(OR(YardsAll[[#This Row],[RAD/PACT]]="2019-2020",YardsAll[[#This Row],[RAD/PACT]]="2021-2025"),"",IF(ISNUMBER(SEARCH("1",C238)),2,IF(ISNUMBER(SEARCH("2",C238)),1,IF(ISNUMBER(SEARCH("3",C238)),3,IF(ISNUMBER(SEARCH("4",C238)),4,IF(ISNUMBER(SEARCH("5",C238)),5,IF(ISNUMBER(SEARCH("6",C238)),6,IF(ISNUMBER(SEARCH("7",C238)),7,IF(ISNUMBER(SEARCH("8",C238)),8,0)))))))))</f>
        <v>2</v>
      </c>
      <c r="H238" s="143" t="str">
        <f ca="1">IF(YardsAll[[#This Row],[STATUS]]="","",IF(OR(F238="2019-2020",F238="2021-2025"),"",IF(ISNUMBER(SEARCH("LLC",D238)),VLOOKUP(A238,Yards25[],28,FALSE),VLOOKUP(A238,Yards[],28,FALSE))))</f>
        <v/>
      </c>
      <c r="I238" s="143" t="str">
        <f ca="1">IF(YardsAll[[#This Row],[STATUS]]="","",IF(OR(F238="2019-2020",F238="2021-2025"),"",IF(ISNUMBER(SEARCH("LLC",D238)),VLOOKUP(A238,Yards25[],17,FALSE),VLOOKUP(A238,Yards[],17,FALSE))))</f>
        <v/>
      </c>
      <c r="J238" s="143" t="str">
        <f ca="1">IF(YardsAll[[#This Row],[STATUS]]="","",IF(OR(F238="2019-2020",F238="2021-2025"),"",IF(ISNUMBER(SEARCH("LLC",D238)),VLOOKUP(A238,Yards25[],29,FALSE),VLOOKUP(A238,Yards[],29,FALSE))))</f>
        <v/>
      </c>
      <c r="K238" s="143" t="str">
        <f ca="1">IF(YardsAll[[#This Row],[STATUS]]="","",IF(OR(F238="2019-2020",F238="2021-2025"),"",IF(ISNUMBER(SEARCH("LLC",D238)),VLOOKUP(A238,Yards25[],19,FALSE),VLOOKUP(A238,Yards[],19,FALSE))))</f>
        <v/>
      </c>
      <c r="L238" s="143" t="str">
        <f ca="1">IF(IF(OR(F238="2019-2020",F238="2021-2025"),"",IF(ISNUMBER(SEARCH("LLC",D238)),VLOOKUP(A238,Yards25[],20,FALSE),VLOOKUP(A238,Yards[],20,FALSE)))=0,"",IF(OR(F238="2019-2020",F238="2021-2025"),"",IF(ISNUMBER(SEARCH("LLC",D238)),VLOOKUP(A238,Yards25[],20,FALSE),VLOOKUP(A238,Yards[],20,FALSE))))</f>
        <v/>
      </c>
      <c r="M238" s="151">
        <f ca="1">IF(OR(F238="2019-2020",F238="2021-2025"),"",IF(ISNUMBER(SEARCH("LLC",D238)),VLOOKUP(A238,Yards25[],21,FALSE),VLOOKUP(A238,Yards[],21,FALSE)))</f>
        <v>0</v>
      </c>
      <c r="N238" s="151">
        <f ca="1">IF(OR(F238="2019-2020",F238="2021-2025"),"",IF(ISNUMBER(SEARCH("LLC",D238)),VLOOKUP(A238,Yards25[],22,FALSE),VLOOKUP(A238,Yards[],22,FALSE)))</f>
        <v>0</v>
      </c>
      <c r="O238" s="151">
        <f ca="1">SUM(YardsAll[[#This Row],[DSGN ESTIMATE]:[CONS ESTIMATE]])</f>
        <v>0</v>
      </c>
      <c r="P238" s="143"/>
      <c r="Q238" s="143">
        <f ca="1">IF(OR(F238="2019-2020",F238="2021-2025"),"",IF(ISNUMBER(SEARCH("LLC",D238)),VLOOKUP(A238,Yards25[],25,FALSE),VLOOKUP(A238,Yards[],25,FALSE)))</f>
        <v>0</v>
      </c>
      <c r="R238" s="152"/>
    </row>
    <row r="239" spans="1:18">
      <c r="A239" s="147" t="s">
        <v>359</v>
      </c>
      <c r="B239" s="144" t="str">
        <f>VLOOKUP(A239,Data[],2,FALSE)</f>
        <v>MANHATTAN</v>
      </c>
      <c r="C239" s="144" t="str">
        <f ca="1">IF(OR(F239="2019-2020",F239="2021-2025"),"",IF(ISNUMBER(SEARCH("LLC",D239)),VLOOKUP(A239,Yards25[],3,FALSE),VLOOKUP(A239,Yards[],3,FALSE)))</f>
        <v>New Waste Yard v1</v>
      </c>
      <c r="D239" s="9" t="str">
        <f>VLOOKUP(A239,Data[],52,FALSE)</f>
        <v>MHOP</v>
      </c>
      <c r="E239" s="9">
        <f>VLOOKUP(YardsAll[[#This Row],[DEVELOPMENT]],Data[],62,FALSE)</f>
        <v>10</v>
      </c>
      <c r="F239" s="9" t="str">
        <f ca="1">VLOOKUP(A239,Data[],4,FALSE)</f>
        <v>2020-2021</v>
      </c>
      <c r="G239" s="9">
        <f ca="1">IF(OR(YardsAll[[#This Row],[RAD/PACT]]="2019-2020",YardsAll[[#This Row],[RAD/PACT]]="2021-2025"),"",IF(ISNUMBER(SEARCH("1",C239)),2,IF(ISNUMBER(SEARCH("2",C239)),1,IF(ISNUMBER(SEARCH("3",C239)),3,IF(ISNUMBER(SEARCH("4",C239)),4,IF(ISNUMBER(SEARCH("5",C239)),5,IF(ISNUMBER(SEARCH("6",C239)),6,IF(ISNUMBER(SEARCH("7",C239)),7,IF(ISNUMBER(SEARCH("8",C239)),8,0)))))))))</f>
        <v>2</v>
      </c>
      <c r="H239" s="143" t="str">
        <f ca="1">IF(YardsAll[[#This Row],[STATUS]]="","",IF(OR(F239="2019-2020",F239="2021-2025"),"",IF(ISNUMBER(SEARCH("LLC",D239)),VLOOKUP(A239,Yards25[],28,FALSE),VLOOKUP(A239,Yards[],28,FALSE))))</f>
        <v/>
      </c>
      <c r="I239" s="143" t="str">
        <f ca="1">IF(YardsAll[[#This Row],[STATUS]]="","",IF(OR(F239="2019-2020",F239="2021-2025"),"",IF(ISNUMBER(SEARCH("LLC",D239)),VLOOKUP(A239,Yards25[],17,FALSE),VLOOKUP(A239,Yards[],17,FALSE))))</f>
        <v/>
      </c>
      <c r="J239" s="143" t="str">
        <f ca="1">IF(YardsAll[[#This Row],[STATUS]]="","",IF(OR(F239="2019-2020",F239="2021-2025"),"",IF(ISNUMBER(SEARCH("LLC",D239)),VLOOKUP(A239,Yards25[],29,FALSE),VLOOKUP(A239,Yards[],29,FALSE))))</f>
        <v/>
      </c>
      <c r="K239" s="143" t="str">
        <f ca="1">IF(YardsAll[[#This Row],[STATUS]]="","",IF(OR(F239="2019-2020",F239="2021-2025"),"",IF(ISNUMBER(SEARCH("LLC",D239)),VLOOKUP(A239,Yards25[],19,FALSE),VLOOKUP(A239,Yards[],19,FALSE))))</f>
        <v/>
      </c>
      <c r="L239" s="143" t="str">
        <f ca="1">IF(IF(OR(F239="2019-2020",F239="2021-2025"),"",IF(ISNUMBER(SEARCH("LLC",D239)),VLOOKUP(A239,Yards25[],20,FALSE),VLOOKUP(A239,Yards[],20,FALSE)))=0,"",IF(OR(F239="2019-2020",F239="2021-2025"),"",IF(ISNUMBER(SEARCH("LLC",D239)),VLOOKUP(A239,Yards25[],20,FALSE),VLOOKUP(A239,Yards[],20,FALSE))))</f>
        <v/>
      </c>
      <c r="M239" s="151">
        <f ca="1">IF(OR(F239="2019-2020",F239="2021-2025"),"",IF(ISNUMBER(SEARCH("LLC",D239)),VLOOKUP(A239,Yards25[],21,FALSE),VLOOKUP(A239,Yards[],21,FALSE)))</f>
        <v>0</v>
      </c>
      <c r="N239" s="151">
        <f ca="1">IF(OR(F239="2019-2020",F239="2021-2025"),"",IF(ISNUMBER(SEARCH("LLC",D239)),VLOOKUP(A239,Yards25[],22,FALSE),VLOOKUP(A239,Yards[],22,FALSE)))</f>
        <v>0</v>
      </c>
      <c r="O239" s="151">
        <f ca="1">SUM(YardsAll[[#This Row],[DSGN ESTIMATE]:[CONS ESTIMATE]])</f>
        <v>0</v>
      </c>
      <c r="P239" s="143"/>
      <c r="Q239" s="143">
        <f ca="1">IF(OR(F239="2019-2020",F239="2021-2025"),"",IF(ISNUMBER(SEARCH("LLC",D239)),VLOOKUP(A239,Yards25[],25,FALSE),VLOOKUP(A239,Yards[],25,FALSE)))</f>
        <v>0</v>
      </c>
      <c r="R239" s="152"/>
    </row>
    <row r="240" spans="1:18">
      <c r="A240" s="147" t="s">
        <v>360</v>
      </c>
      <c r="B240" s="144" t="str">
        <f>VLOOKUP(A240,Data[],2,FALSE)</f>
        <v>MANHATTAN</v>
      </c>
      <c r="C240" s="144" t="str">
        <f ca="1">IF(OR(F240="2019-2020",F240="2021-2025"),"",IF(ISNUMBER(SEARCH("LLC",D240)),VLOOKUP(A240,Yards25[],3,FALSE),VLOOKUP(A240,Yards[],3,FALSE)))</f>
        <v>New Waste Yard v1</v>
      </c>
      <c r="D240" s="9" t="str">
        <f>VLOOKUP(A240,Data[],52,FALSE)</f>
        <v>MHOP</v>
      </c>
      <c r="E240" s="9">
        <f>VLOOKUP(YardsAll[[#This Row],[DEVELOPMENT]],Data[],62,FALSE)</f>
        <v>10</v>
      </c>
      <c r="F240" s="9" t="str">
        <f ca="1">VLOOKUP(A240,Data[],4,FALSE)</f>
        <v>2020-2021</v>
      </c>
      <c r="G240" s="9">
        <f ca="1">IF(OR(YardsAll[[#This Row],[RAD/PACT]]="2019-2020",YardsAll[[#This Row],[RAD/PACT]]="2021-2025"),"",IF(ISNUMBER(SEARCH("1",C240)),2,IF(ISNUMBER(SEARCH("2",C240)),1,IF(ISNUMBER(SEARCH("3",C240)),3,IF(ISNUMBER(SEARCH("4",C240)),4,IF(ISNUMBER(SEARCH("5",C240)),5,IF(ISNUMBER(SEARCH("6",C240)),6,IF(ISNUMBER(SEARCH("7",C240)),7,IF(ISNUMBER(SEARCH("8",C240)),8,0)))))))))</f>
        <v>2</v>
      </c>
      <c r="H240" s="143" t="str">
        <f ca="1">IF(YardsAll[[#This Row],[STATUS]]="","",IF(OR(F240="2019-2020",F240="2021-2025"),"",IF(ISNUMBER(SEARCH("LLC",D240)),VLOOKUP(A240,Yards25[],28,FALSE),VLOOKUP(A240,Yards[],28,FALSE))))</f>
        <v/>
      </c>
      <c r="I240" s="143" t="str">
        <f ca="1">IF(YardsAll[[#This Row],[STATUS]]="","",IF(OR(F240="2019-2020",F240="2021-2025"),"",IF(ISNUMBER(SEARCH("LLC",D240)),VLOOKUP(A240,Yards25[],17,FALSE),VLOOKUP(A240,Yards[],17,FALSE))))</f>
        <v/>
      </c>
      <c r="J240" s="143" t="str">
        <f ca="1">IF(YardsAll[[#This Row],[STATUS]]="","",IF(OR(F240="2019-2020",F240="2021-2025"),"",IF(ISNUMBER(SEARCH("LLC",D240)),VLOOKUP(A240,Yards25[],29,FALSE),VLOOKUP(A240,Yards[],29,FALSE))))</f>
        <v/>
      </c>
      <c r="K240" s="143" t="str">
        <f ca="1">IF(YardsAll[[#This Row],[STATUS]]="","",IF(OR(F240="2019-2020",F240="2021-2025"),"",IF(ISNUMBER(SEARCH("LLC",D240)),VLOOKUP(A240,Yards25[],19,FALSE),VLOOKUP(A240,Yards[],19,FALSE))))</f>
        <v/>
      </c>
      <c r="L240" s="143" t="str">
        <f ca="1">IF(IF(OR(F240="2019-2020",F240="2021-2025"),"",IF(ISNUMBER(SEARCH("LLC",D240)),VLOOKUP(A240,Yards25[],20,FALSE),VLOOKUP(A240,Yards[],20,FALSE)))=0,"",IF(OR(F240="2019-2020",F240="2021-2025"),"",IF(ISNUMBER(SEARCH("LLC",D240)),VLOOKUP(A240,Yards25[],20,FALSE),VLOOKUP(A240,Yards[],20,FALSE))))</f>
        <v/>
      </c>
      <c r="M240" s="151">
        <f ca="1">IF(OR(F240="2019-2020",F240="2021-2025"),"",IF(ISNUMBER(SEARCH("LLC",D240)),VLOOKUP(A240,Yards25[],21,FALSE),VLOOKUP(A240,Yards[],21,FALSE)))</f>
        <v>0</v>
      </c>
      <c r="N240" s="151">
        <f ca="1">IF(OR(F240="2019-2020",F240="2021-2025"),"",IF(ISNUMBER(SEARCH("LLC",D240)),VLOOKUP(A240,Yards25[],22,FALSE),VLOOKUP(A240,Yards[],22,FALSE)))</f>
        <v>0</v>
      </c>
      <c r="O240" s="151">
        <f ca="1">SUM(YardsAll[[#This Row],[DSGN ESTIMATE]:[CONS ESTIMATE]])</f>
        <v>0</v>
      </c>
      <c r="P240" s="143"/>
      <c r="Q240" s="143">
        <f ca="1">IF(OR(F240="2019-2020",F240="2021-2025"),"",IF(ISNUMBER(SEARCH("LLC",D240)),VLOOKUP(A240,Yards25[],25,FALSE),VLOOKUP(A240,Yards[],25,FALSE)))</f>
        <v>0</v>
      </c>
      <c r="R240" s="152"/>
    </row>
    <row r="241" spans="1:18">
      <c r="A241" s="147" t="s">
        <v>254</v>
      </c>
      <c r="B241" s="144" t="str">
        <f>VLOOKUP(A241,Data[],2,FALSE)</f>
        <v>BROOKLYN</v>
      </c>
      <c r="C241" s="144" t="str">
        <f ca="1">IF(OR(F241="2019-2020",F241="2021-2025"),"",IF(ISNUMBER(SEARCH("LLC",D241)),VLOOKUP(A241,Yards25[],3,FALSE),VLOOKUP(A241,Yards[],3,FALSE)))</f>
        <v>New Waste Yard v1</v>
      </c>
      <c r="D241" s="9" t="str">
        <f>VLOOKUP(A241,Data[],52,FALSE)</f>
        <v>FEDERAL</v>
      </c>
      <c r="E241" s="9">
        <f>VLOOKUP(YardsAll[[#This Row],[DEVELOPMENT]],Data[],62,FALSE)</f>
        <v>16</v>
      </c>
      <c r="F241" s="9" t="str">
        <f ca="1">VLOOKUP(A241,Data[],4,FALSE)</f>
        <v/>
      </c>
      <c r="G241" s="9">
        <f ca="1">IF(OR(YardsAll[[#This Row],[RAD/PACT]]="2019-2020",YardsAll[[#This Row],[RAD/PACT]]="2021-2025"),"",IF(ISNUMBER(SEARCH("1",C241)),2,IF(ISNUMBER(SEARCH("2",C241)),1,IF(ISNUMBER(SEARCH("3",C241)),3,IF(ISNUMBER(SEARCH("4",C241)),4,IF(ISNUMBER(SEARCH("5",C241)),5,IF(ISNUMBER(SEARCH("6",C241)),6,IF(ISNUMBER(SEARCH("7",C241)),7,IF(ISNUMBER(SEARCH("8",C241)),8,0)))))))))</f>
        <v>2</v>
      </c>
      <c r="H241" s="143" t="str">
        <f ca="1">IF(YardsAll[[#This Row],[STATUS]]="","",IF(OR(F241="2019-2020",F241="2021-2025"),"",IF(ISNUMBER(SEARCH("LLC",D241)),VLOOKUP(A241,Yards25[],28,FALSE),VLOOKUP(A241,Yards[],28,FALSE))))</f>
        <v/>
      </c>
      <c r="I241" s="143" t="str">
        <f ca="1">IF(YardsAll[[#This Row],[STATUS]]="","",IF(OR(F241="2019-2020",F241="2021-2025"),"",IF(ISNUMBER(SEARCH("LLC",D241)),VLOOKUP(A241,Yards25[],17,FALSE),VLOOKUP(A241,Yards[],17,FALSE))))</f>
        <v/>
      </c>
      <c r="J241" s="143" t="str">
        <f ca="1">IF(YardsAll[[#This Row],[STATUS]]="","",IF(OR(F241="2019-2020",F241="2021-2025"),"",IF(ISNUMBER(SEARCH("LLC",D241)),VLOOKUP(A241,Yards25[],29,FALSE),VLOOKUP(A241,Yards[],29,FALSE))))</f>
        <v/>
      </c>
      <c r="K241" s="143" t="str">
        <f ca="1">IF(YardsAll[[#This Row],[STATUS]]="","",IF(OR(F241="2019-2020",F241="2021-2025"),"",IF(ISNUMBER(SEARCH("LLC",D241)),VLOOKUP(A241,Yards25[],19,FALSE),VLOOKUP(A241,Yards[],19,FALSE))))</f>
        <v/>
      </c>
      <c r="L241" s="143" t="str">
        <f ca="1">IF(IF(OR(F241="2019-2020",F241="2021-2025"),"",IF(ISNUMBER(SEARCH("LLC",D241)),VLOOKUP(A241,Yards25[],20,FALSE),VLOOKUP(A241,Yards[],20,FALSE)))=0,"",IF(OR(F241="2019-2020",F241="2021-2025"),"",IF(ISNUMBER(SEARCH("LLC",D241)),VLOOKUP(A241,Yards25[],20,FALSE),VLOOKUP(A241,Yards[],20,FALSE))))</f>
        <v/>
      </c>
      <c r="M241" s="151">
        <f ca="1">IF(OR(F241="2019-2020",F241="2021-2025"),"",IF(ISNUMBER(SEARCH("LLC",D241)),VLOOKUP(A241,Yards25[],21,FALSE),VLOOKUP(A241,Yards[],21,FALSE)))</f>
        <v>206060.21595600009</v>
      </c>
      <c r="N241" s="151">
        <f ca="1">IF(OR(F241="2019-2020",F241="2021-2025"),"",IF(ISNUMBER(SEARCH("LLC",D241)),VLOOKUP(A241,Yards25[],22,FALSE),VLOOKUP(A241,Yards[],22,FALSE)))</f>
        <v>1854541.9436040006</v>
      </c>
      <c r="O241" s="151">
        <f ca="1">SUM(YardsAll[[#This Row],[DSGN ESTIMATE]:[CONS ESTIMATE]])</f>
        <v>2060602.1595600008</v>
      </c>
      <c r="P241" s="143"/>
      <c r="Q241" s="143">
        <f ca="1">IF(OR(F241="2019-2020",F241="2021-2025"),"",IF(ISNUMBER(SEARCH("LLC",D241)),VLOOKUP(A241,Yards25[],25,FALSE),VLOOKUP(A241,Yards[],25,FALSE)))</f>
        <v>0</v>
      </c>
      <c r="R241" s="152"/>
    </row>
    <row r="242" spans="1:18">
      <c r="A242" s="147" t="s">
        <v>361</v>
      </c>
      <c r="B242" s="144" t="str">
        <f>VLOOKUP(A242,Data[],2,FALSE)</f>
        <v>BRONX</v>
      </c>
      <c r="C242" s="144" t="str">
        <f ca="1">IF(OR(F242="2019-2020",F242="2021-2025"),"",IF(ISNUMBER(SEARCH("LLC",D242)),VLOOKUP(A242,Yards25[],3,FALSE),VLOOKUP(A242,Yards[],3,FALSE)))</f>
        <v>New Waste Yard v3</v>
      </c>
      <c r="D242" s="9" t="str">
        <f>VLOOKUP(A242,Data[],52,FALSE)</f>
        <v>FEDERAL</v>
      </c>
      <c r="E242" s="9">
        <f>VLOOKUP(YardsAll[[#This Row],[DEVELOPMENT]],Data[],62,FALSE)</f>
        <v>5</v>
      </c>
      <c r="F242" s="9" t="str">
        <f ca="1">VLOOKUP(A242,Data[],4,FALSE)</f>
        <v/>
      </c>
      <c r="G242" s="9">
        <f ca="1">IF(OR(YardsAll[[#This Row],[RAD/PACT]]="2019-2020",YardsAll[[#This Row],[RAD/PACT]]="2021-2025"),"",IF(ISNUMBER(SEARCH("1",C242)),2,IF(ISNUMBER(SEARCH("2",C242)),1,IF(ISNUMBER(SEARCH("3",C242)),3,IF(ISNUMBER(SEARCH("4",C242)),4,IF(ISNUMBER(SEARCH("5",C242)),5,IF(ISNUMBER(SEARCH("6",C242)),6,IF(ISNUMBER(SEARCH("7",C242)),7,IF(ISNUMBER(SEARCH("8",C242)),8,0)))))))))</f>
        <v>3</v>
      </c>
      <c r="H242" s="143" t="str">
        <f ca="1">IF(YardsAll[[#This Row],[STATUS]]="","",IF(OR(F242="2019-2020",F242="2021-2025"),"",IF(ISNUMBER(SEARCH("LLC",D242)),VLOOKUP(A242,Yards25[],28,FALSE),VLOOKUP(A242,Yards[],28,FALSE))))</f>
        <v/>
      </c>
      <c r="I242" s="143" t="str">
        <f ca="1">IF(YardsAll[[#This Row],[STATUS]]="","",IF(OR(F242="2019-2020",F242="2021-2025"),"",IF(ISNUMBER(SEARCH("LLC",D242)),VLOOKUP(A242,Yards25[],17,FALSE),VLOOKUP(A242,Yards[],17,FALSE))))</f>
        <v/>
      </c>
      <c r="J242" s="143" t="str">
        <f ca="1">IF(YardsAll[[#This Row],[STATUS]]="","",IF(OR(F242="2019-2020",F242="2021-2025"),"",IF(ISNUMBER(SEARCH("LLC",D242)),VLOOKUP(A242,Yards25[],29,FALSE),VLOOKUP(A242,Yards[],29,FALSE))))</f>
        <v/>
      </c>
      <c r="K242" s="143" t="str">
        <f ca="1">IF(YardsAll[[#This Row],[STATUS]]="","",IF(OR(F242="2019-2020",F242="2021-2025"),"",IF(ISNUMBER(SEARCH("LLC",D242)),VLOOKUP(A242,Yards25[],19,FALSE),VLOOKUP(A242,Yards[],19,FALSE))))</f>
        <v/>
      </c>
      <c r="L242" s="143" t="str">
        <f ca="1">IF(IF(OR(F242="2019-2020",F242="2021-2025"),"",IF(ISNUMBER(SEARCH("LLC",D242)),VLOOKUP(A242,Yards25[],20,FALSE),VLOOKUP(A242,Yards[],20,FALSE)))=0,"",IF(OR(F242="2019-2020",F242="2021-2025"),"",IF(ISNUMBER(SEARCH("LLC",D242)),VLOOKUP(A242,Yards25[],20,FALSE),VLOOKUP(A242,Yards[],20,FALSE))))</f>
        <v/>
      </c>
      <c r="M242" s="151">
        <f ca="1">IF(OR(F242="2019-2020",F242="2021-2025"),"",IF(ISNUMBER(SEARCH("LLC",D242)),VLOOKUP(A242,Yards25[],21,FALSE),VLOOKUP(A242,Yards[],21,FALSE)))</f>
        <v>258614.90131200009</v>
      </c>
      <c r="N242" s="151">
        <f ca="1">IF(OR(F242="2019-2020",F242="2021-2025"),"",IF(ISNUMBER(SEARCH("LLC",D242)),VLOOKUP(A242,Yards25[],22,FALSE),VLOOKUP(A242,Yards[],22,FALSE)))</f>
        <v>2327534.1118080006</v>
      </c>
      <c r="O242" s="151">
        <f ca="1">SUM(YardsAll[[#This Row],[DSGN ESTIMATE]:[CONS ESTIMATE]])</f>
        <v>2586149.0131200007</v>
      </c>
      <c r="P242" s="143"/>
      <c r="Q242" s="143">
        <f ca="1">IF(OR(F242="2019-2020",F242="2021-2025"),"",IF(ISNUMBER(SEARCH("LLC",D242)),VLOOKUP(A242,Yards25[],25,FALSE),VLOOKUP(A242,Yards[],25,FALSE)))</f>
        <v>0</v>
      </c>
      <c r="R242" s="152"/>
    </row>
    <row r="243" spans="1:18">
      <c r="A243" s="148" t="s">
        <v>65</v>
      </c>
      <c r="B243" s="144" t="str">
        <f>VLOOKUP(A243,Data[],2,FALSE)</f>
        <v>MANHATTAN</v>
      </c>
      <c r="C243" s="144" t="str">
        <f ca="1">IF(OR(F243="2019-2020",F243="2021-2025"),"",IF(ISNUMBER(SEARCH("LLC",D243)),VLOOKUP(A243,Yards25[],3,FALSE),VLOOKUP(A243,Yards[],3,FALSE)))</f>
        <v>New Waste Yard v1</v>
      </c>
      <c r="D243" s="9" t="str">
        <f>VLOOKUP(A243,Data[],52,FALSE)</f>
        <v>FEDERAL</v>
      </c>
      <c r="E243" s="9">
        <f>VLOOKUP(YardsAll[[#This Row],[DEVELOPMENT]],Data[],62,FALSE)</f>
        <v>3</v>
      </c>
      <c r="F243" s="9" t="str">
        <f ca="1">VLOOKUP(A243,Data[],4,FALSE)</f>
        <v/>
      </c>
      <c r="G243" s="9">
        <f ca="1">IF(OR(YardsAll[[#This Row],[RAD/PACT]]="2019-2020",YardsAll[[#This Row],[RAD/PACT]]="2021-2025"),"",IF(ISNUMBER(SEARCH("1",C243)),2,IF(ISNUMBER(SEARCH("2",C243)),1,IF(ISNUMBER(SEARCH("3",C243)),3,IF(ISNUMBER(SEARCH("4",C243)),4,IF(ISNUMBER(SEARCH("5",C243)),5,IF(ISNUMBER(SEARCH("6",C243)),6,IF(ISNUMBER(SEARCH("7",C243)),7,IF(ISNUMBER(SEARCH("8",C243)),8,0)))))))))</f>
        <v>2</v>
      </c>
      <c r="H243" s="143" t="str">
        <f ca="1">IF(YardsAll[[#This Row],[STATUS]]="","",IF(OR(F243="2019-2020",F243="2021-2025"),"",IF(ISNUMBER(SEARCH("LLC",D243)),VLOOKUP(A243,Yards25[],28,FALSE),VLOOKUP(A243,Yards[],28,FALSE))))</f>
        <v/>
      </c>
      <c r="I243" s="143" t="str">
        <f ca="1">IF(YardsAll[[#This Row],[STATUS]]="","",IF(OR(F243="2019-2020",F243="2021-2025"),"",IF(ISNUMBER(SEARCH("LLC",D243)),VLOOKUP(A243,Yards25[],17,FALSE),VLOOKUP(A243,Yards[],17,FALSE))))</f>
        <v/>
      </c>
      <c r="J243" s="143" t="str">
        <f ca="1">IF(YardsAll[[#This Row],[STATUS]]="","",IF(OR(F243="2019-2020",F243="2021-2025"),"",IF(ISNUMBER(SEARCH("LLC",D243)),VLOOKUP(A243,Yards25[],29,FALSE),VLOOKUP(A243,Yards[],29,FALSE))))</f>
        <v/>
      </c>
      <c r="K243" s="143" t="str">
        <f ca="1">IF(YardsAll[[#This Row],[STATUS]]="","",IF(OR(F243="2019-2020",F243="2021-2025"),"",IF(ISNUMBER(SEARCH("LLC",D243)),VLOOKUP(A243,Yards25[],19,FALSE),VLOOKUP(A243,Yards[],19,FALSE))))</f>
        <v/>
      </c>
      <c r="L243" s="143" t="str">
        <f ca="1">IF(IF(OR(F243="2019-2020",F243="2021-2025"),"",IF(ISNUMBER(SEARCH("LLC",D243)),VLOOKUP(A243,Yards25[],20,FALSE),VLOOKUP(A243,Yards[],20,FALSE)))=0,"",IF(OR(F243="2019-2020",F243="2021-2025"),"",IF(ISNUMBER(SEARCH("LLC",D243)),VLOOKUP(A243,Yards25[],20,FALSE),VLOOKUP(A243,Yards[],20,FALSE))))</f>
        <v/>
      </c>
      <c r="M243" s="151">
        <f ca="1">IF(OR(F243="2019-2020",F243="2021-2025"),"",IF(ISNUMBER(SEARCH("LLC",D243)),VLOOKUP(A243,Yards25[],21,FALSE),VLOOKUP(A243,Yards[],21,FALSE)))</f>
        <v>237692.26665100004</v>
      </c>
      <c r="N243" s="151">
        <f ca="1">IF(OR(F243="2019-2020",F243="2021-2025"),"",IF(ISNUMBER(SEARCH("LLC",D243)),VLOOKUP(A243,Yards25[],22,FALSE),VLOOKUP(A243,Yards[],22,FALSE)))</f>
        <v>2139230.3998590005</v>
      </c>
      <c r="O243" s="151">
        <f ca="1">SUM(YardsAll[[#This Row],[DSGN ESTIMATE]:[CONS ESTIMATE]])</f>
        <v>2376922.6665100004</v>
      </c>
      <c r="P243" s="143"/>
      <c r="Q243" s="143">
        <f ca="1">IF(OR(F243="2019-2020",F243="2021-2025"),"",IF(ISNUMBER(SEARCH("LLC",D243)),VLOOKUP(A243,Yards25[],25,FALSE),VLOOKUP(A243,Yards[],25,FALSE)))</f>
        <v>0</v>
      </c>
      <c r="R243" s="152"/>
    </row>
    <row r="244" spans="1:18">
      <c r="A244" s="147" t="s">
        <v>196</v>
      </c>
      <c r="B244" s="144" t="str">
        <f>VLOOKUP(A244,Data[],2,FALSE)</f>
        <v>BROOKLYN</v>
      </c>
      <c r="C244" s="144" t="str">
        <f ca="1">IF(OR(F244="2019-2020",F244="2021-2025"),"",IF(ISNUMBER(SEARCH("LLC",D244)),VLOOKUP(A244,Yards25[],3,FALSE),VLOOKUP(A244,Yards[],3,FALSE)))</f>
        <v>New Waste Yard v6</v>
      </c>
      <c r="D244" s="9" t="str">
        <f>VLOOKUP(A244,Data[],52,FALSE)</f>
        <v>FEDERAL</v>
      </c>
      <c r="E244" s="9">
        <f>VLOOKUP(YardsAll[[#This Row],[DEVELOPMENT]],Data[],62,FALSE)</f>
        <v>15</v>
      </c>
      <c r="F244" s="9" t="str">
        <f ca="1">VLOOKUP(A244,Data[],4,FALSE)</f>
        <v>2026+</v>
      </c>
      <c r="G244" s="9">
        <f ca="1">IF(OR(YardsAll[[#This Row],[RAD/PACT]]="2019-2020",YardsAll[[#This Row],[RAD/PACT]]="2021-2025"),"",IF(ISNUMBER(SEARCH("1",C244)),2,IF(ISNUMBER(SEARCH("2",C244)),1,IF(ISNUMBER(SEARCH("3",C244)),3,IF(ISNUMBER(SEARCH("4",C244)),4,IF(ISNUMBER(SEARCH("5",C244)),5,IF(ISNUMBER(SEARCH("6",C244)),6,IF(ISNUMBER(SEARCH("7",C244)),7,IF(ISNUMBER(SEARCH("8",C244)),8,0)))))))))</f>
        <v>6</v>
      </c>
      <c r="H244" s="143" t="str">
        <f ca="1">IF(YardsAll[[#This Row],[STATUS]]="","",IF(OR(F244="2019-2020",F244="2021-2025"),"",IF(ISNUMBER(SEARCH("LLC",D244)),VLOOKUP(A244,Yards25[],28,FALSE),VLOOKUP(A244,Yards[],28,FALSE))))</f>
        <v/>
      </c>
      <c r="I244" s="143" t="str">
        <f ca="1">IF(YardsAll[[#This Row],[STATUS]]="","",IF(OR(F244="2019-2020",F244="2021-2025"),"",IF(ISNUMBER(SEARCH("LLC",D244)),VLOOKUP(A244,Yards25[],17,FALSE),VLOOKUP(A244,Yards[],17,FALSE))))</f>
        <v/>
      </c>
      <c r="J244" s="143" t="str">
        <f ca="1">IF(YardsAll[[#This Row],[STATUS]]="","",IF(OR(F244="2019-2020",F244="2021-2025"),"",IF(ISNUMBER(SEARCH("LLC",D244)),VLOOKUP(A244,Yards25[],29,FALSE),VLOOKUP(A244,Yards[],29,FALSE))))</f>
        <v/>
      </c>
      <c r="K244" s="143" t="str">
        <f ca="1">IF(YardsAll[[#This Row],[STATUS]]="","",IF(OR(F244="2019-2020",F244="2021-2025"),"",IF(ISNUMBER(SEARCH("LLC",D244)),VLOOKUP(A244,Yards25[],19,FALSE),VLOOKUP(A244,Yards[],19,FALSE))))</f>
        <v/>
      </c>
      <c r="L244" s="143" t="str">
        <f ca="1">IF(IF(OR(F244="2019-2020",F244="2021-2025"),"",IF(ISNUMBER(SEARCH("LLC",D244)),VLOOKUP(A244,Yards25[],20,FALSE),VLOOKUP(A244,Yards[],20,FALSE)))=0,"",IF(OR(F244="2019-2020",F244="2021-2025"),"",IF(ISNUMBER(SEARCH("LLC",D244)),VLOOKUP(A244,Yards25[],20,FALSE),VLOOKUP(A244,Yards[],20,FALSE))))</f>
        <v/>
      </c>
      <c r="M244" s="151">
        <f ca="1">IF(OR(F244="2019-2020",F244="2021-2025"),"",IF(ISNUMBER(SEARCH("LLC",D244)),VLOOKUP(A244,Yards25[],21,FALSE),VLOOKUP(A244,Yards[],21,FALSE)))</f>
        <v>332348.25476385001</v>
      </c>
      <c r="N244" s="151">
        <f ca="1">IF(OR(F244="2019-2020",F244="2021-2025"),"",IF(ISNUMBER(SEARCH("LLC",D244)),VLOOKUP(A244,Yards25[],22,FALSE),VLOOKUP(A244,Yards[],22,FALSE)))</f>
        <v>2991134.2928746496</v>
      </c>
      <c r="O244" s="151">
        <f ca="1">SUM(YardsAll[[#This Row],[DSGN ESTIMATE]:[CONS ESTIMATE]])</f>
        <v>3323482.5476384996</v>
      </c>
      <c r="P244" s="143"/>
      <c r="Q244" s="143">
        <f ca="1">IF(OR(F244="2019-2020",F244="2021-2025"),"",IF(ISNUMBER(SEARCH("LLC",D244)),VLOOKUP(A244,Yards25[],25,FALSE),VLOOKUP(A244,Yards[],25,FALSE)))</f>
        <v>0</v>
      </c>
      <c r="R244" s="152"/>
    </row>
    <row r="245" spans="1:18">
      <c r="A245" s="147" t="s">
        <v>362</v>
      </c>
      <c r="B245" s="144" t="str">
        <f>VLOOKUP(A245,Data[],2,FALSE)</f>
        <v>QUEENS</v>
      </c>
      <c r="C245" s="144" t="str">
        <f ca="1">IF(OR(F245="2019-2020",F245="2021-2025"),"",IF(ISNUMBER(SEARCH("LLC",D245)),VLOOKUP(A245,Yards25[],3,FALSE),VLOOKUP(A245,Yards[],3,FALSE)))</f>
        <v>New Waste Yard v1</v>
      </c>
      <c r="D245" s="9" t="str">
        <f>VLOOKUP(A245,Data[],52,FALSE)</f>
        <v>FEDERAL</v>
      </c>
      <c r="E245" s="9">
        <f>VLOOKUP(YardsAll[[#This Row],[DEVELOPMENT]],Data[],62,FALSE)</f>
        <v>12</v>
      </c>
      <c r="F245" s="9" t="str">
        <f ca="1">VLOOKUP(A245,Data[],4,FALSE)</f>
        <v/>
      </c>
      <c r="G245" s="9">
        <f ca="1">IF(OR(YardsAll[[#This Row],[RAD/PACT]]="2019-2020",YardsAll[[#This Row],[RAD/PACT]]="2021-2025"),"",IF(ISNUMBER(SEARCH("1",C245)),2,IF(ISNUMBER(SEARCH("2",C245)),1,IF(ISNUMBER(SEARCH("3",C245)),3,IF(ISNUMBER(SEARCH("4",C245)),4,IF(ISNUMBER(SEARCH("5",C245)),5,IF(ISNUMBER(SEARCH("6",C245)),6,IF(ISNUMBER(SEARCH("7",C245)),7,IF(ISNUMBER(SEARCH("8",C245)),8,0)))))))))</f>
        <v>2</v>
      </c>
      <c r="H245" s="143" t="str">
        <f ca="1">IF(YardsAll[[#This Row],[STATUS]]="","",IF(OR(F245="2019-2020",F245="2021-2025"),"",IF(ISNUMBER(SEARCH("LLC",D245)),VLOOKUP(A245,Yards25[],28,FALSE),VLOOKUP(A245,Yards[],28,FALSE))))</f>
        <v/>
      </c>
      <c r="I245" s="143" t="str">
        <f ca="1">IF(YardsAll[[#This Row],[STATUS]]="","",IF(OR(F245="2019-2020",F245="2021-2025"),"",IF(ISNUMBER(SEARCH("LLC",D245)),VLOOKUP(A245,Yards25[],17,FALSE),VLOOKUP(A245,Yards[],17,FALSE))))</f>
        <v/>
      </c>
      <c r="J245" s="143" t="str">
        <f ca="1">IF(YardsAll[[#This Row],[STATUS]]="","",IF(OR(F245="2019-2020",F245="2021-2025"),"",IF(ISNUMBER(SEARCH("LLC",D245)),VLOOKUP(A245,Yards25[],29,FALSE),VLOOKUP(A245,Yards[],29,FALSE))))</f>
        <v/>
      </c>
      <c r="K245" s="143" t="str">
        <f ca="1">IF(YardsAll[[#This Row],[STATUS]]="","",IF(OR(F245="2019-2020",F245="2021-2025"),"",IF(ISNUMBER(SEARCH("LLC",D245)),VLOOKUP(A245,Yards25[],19,FALSE),VLOOKUP(A245,Yards[],19,FALSE))))</f>
        <v/>
      </c>
      <c r="L245" s="143" t="str">
        <f ca="1">IF(IF(OR(F245="2019-2020",F245="2021-2025"),"",IF(ISNUMBER(SEARCH("LLC",D245)),VLOOKUP(A245,Yards25[],20,FALSE),VLOOKUP(A245,Yards[],20,FALSE)))=0,"",IF(OR(F245="2019-2020",F245="2021-2025"),"",IF(ISNUMBER(SEARCH("LLC",D245)),VLOOKUP(A245,Yards25[],20,FALSE),VLOOKUP(A245,Yards[],20,FALSE))))</f>
        <v/>
      </c>
      <c r="M245" s="151">
        <f ca="1">IF(OR(F245="2019-2020",F245="2021-2025"),"",IF(ISNUMBER(SEARCH("LLC",D245)),VLOOKUP(A245,Yards25[],21,FALSE),VLOOKUP(A245,Yards[],21,FALSE)))</f>
        <v>225039.4463730001</v>
      </c>
      <c r="N245" s="151">
        <f ca="1">IF(OR(F245="2019-2020",F245="2021-2025"),"",IF(ISNUMBER(SEARCH("LLC",D245)),VLOOKUP(A245,Yards25[],22,FALSE),VLOOKUP(A245,Yards[],22,FALSE)))</f>
        <v>2025355.0173570008</v>
      </c>
      <c r="O245" s="151">
        <f ca="1">SUM(YardsAll[[#This Row],[DSGN ESTIMATE]:[CONS ESTIMATE]])</f>
        <v>2250394.4637300009</v>
      </c>
      <c r="P245" s="143"/>
      <c r="Q245" s="143">
        <f ca="1">IF(OR(F245="2019-2020",F245="2021-2025"),"",IF(ISNUMBER(SEARCH("LLC",D245)),VLOOKUP(A245,Yards25[],25,FALSE),VLOOKUP(A245,Yards[],25,FALSE)))</f>
        <v>0</v>
      </c>
      <c r="R245" s="152"/>
    </row>
    <row r="246" spans="1:18">
      <c r="A246" s="147" t="s">
        <v>197</v>
      </c>
      <c r="B246" s="144" t="str">
        <f>VLOOKUP(A246,Data[],2,FALSE)</f>
        <v>BRONX</v>
      </c>
      <c r="C246" s="144" t="str">
        <f ca="1">IF(OR(F246="2019-2020",F246="2021-2025"),"",IF(ISNUMBER(SEARCH("LLC",D246)),VLOOKUP(A246,Yards25[],3,FALSE),VLOOKUP(A246,Yards[],3,FALSE)))</f>
        <v>New Waste Yard v5</v>
      </c>
      <c r="D246" s="9" t="str">
        <f>VLOOKUP(A246,Data[],52,FALSE)</f>
        <v>FEDERAL</v>
      </c>
      <c r="E246" s="9">
        <f>VLOOKUP(YardsAll[[#This Row],[DEVELOPMENT]],Data[],62,FALSE)</f>
        <v>9</v>
      </c>
      <c r="F246" s="9" t="str">
        <f ca="1">VLOOKUP(A246,Data[],4,FALSE)</f>
        <v>2026+</v>
      </c>
      <c r="G246" s="9">
        <f ca="1">IF(OR(YardsAll[[#This Row],[RAD/PACT]]="2019-2020",YardsAll[[#This Row],[RAD/PACT]]="2021-2025"),"",IF(ISNUMBER(SEARCH("1",C246)),2,IF(ISNUMBER(SEARCH("2",C246)),1,IF(ISNUMBER(SEARCH("3",C246)),3,IF(ISNUMBER(SEARCH("4",C246)),4,IF(ISNUMBER(SEARCH("5",C246)),5,IF(ISNUMBER(SEARCH("6",C246)),6,IF(ISNUMBER(SEARCH("7",C246)),7,IF(ISNUMBER(SEARCH("8",C246)),8,0)))))))))</f>
        <v>5</v>
      </c>
      <c r="H246" s="143" t="str">
        <f ca="1">IF(YardsAll[[#This Row],[STATUS]]="","",IF(OR(F246="2019-2020",F246="2021-2025"),"",IF(ISNUMBER(SEARCH("LLC",D246)),VLOOKUP(A246,Yards25[],28,FALSE),VLOOKUP(A246,Yards[],28,FALSE))))</f>
        <v/>
      </c>
      <c r="I246" s="143" t="str">
        <f ca="1">IF(YardsAll[[#This Row],[STATUS]]="","",IF(OR(F246="2019-2020",F246="2021-2025"),"",IF(ISNUMBER(SEARCH("LLC",D246)),VLOOKUP(A246,Yards25[],17,FALSE),VLOOKUP(A246,Yards[],17,FALSE))))</f>
        <v/>
      </c>
      <c r="J246" s="143" t="str">
        <f ca="1">IF(YardsAll[[#This Row],[STATUS]]="","",IF(OR(F246="2019-2020",F246="2021-2025"),"",IF(ISNUMBER(SEARCH("LLC",D246)),VLOOKUP(A246,Yards25[],29,FALSE),VLOOKUP(A246,Yards[],29,FALSE))))</f>
        <v/>
      </c>
      <c r="K246" s="143" t="str">
        <f ca="1">IF(YardsAll[[#This Row],[STATUS]]="","",IF(OR(F246="2019-2020",F246="2021-2025"),"",IF(ISNUMBER(SEARCH("LLC",D246)),VLOOKUP(A246,Yards25[],19,FALSE),VLOOKUP(A246,Yards[],19,FALSE))))</f>
        <v/>
      </c>
      <c r="L246" s="143" t="str">
        <f ca="1">IF(IF(OR(F246="2019-2020",F246="2021-2025"),"",IF(ISNUMBER(SEARCH("LLC",D246)),VLOOKUP(A246,Yards25[],20,FALSE),VLOOKUP(A246,Yards[],20,FALSE)))=0,"",IF(OR(F246="2019-2020",F246="2021-2025"),"",IF(ISNUMBER(SEARCH("LLC",D246)),VLOOKUP(A246,Yards25[],20,FALSE),VLOOKUP(A246,Yards[],20,FALSE))))</f>
        <v/>
      </c>
      <c r="M246" s="151">
        <f ca="1">IF(OR(F246="2019-2020",F246="2021-2025"),"",IF(ISNUMBER(SEARCH("LLC",D246)),VLOOKUP(A246,Yards25[],21,FALSE),VLOOKUP(A246,Yards[],21,FALSE)))</f>
        <v>286609.55599909998</v>
      </c>
      <c r="N246" s="151">
        <f ca="1">IF(OR(F246="2019-2020",F246="2021-2025"),"",IF(ISNUMBER(SEARCH("LLC",D246)),VLOOKUP(A246,Yards25[],22,FALSE),VLOOKUP(A246,Yards[],22,FALSE)))</f>
        <v>2579486.0039919</v>
      </c>
      <c r="O246" s="151">
        <f ca="1">SUM(YardsAll[[#This Row],[DSGN ESTIMATE]:[CONS ESTIMATE]])</f>
        <v>2866095.5599910002</v>
      </c>
      <c r="P246" s="143"/>
      <c r="Q246" s="143">
        <f ca="1">IF(OR(F246="2019-2020",F246="2021-2025"),"",IF(ISNUMBER(SEARCH("LLC",D246)),VLOOKUP(A246,Yards25[],25,FALSE),VLOOKUP(A246,Yards[],25,FALSE)))</f>
        <v>0</v>
      </c>
      <c r="R246" s="152"/>
    </row>
    <row r="247" spans="1:18">
      <c r="A247" s="147" t="s">
        <v>363</v>
      </c>
      <c r="B247" s="144" t="str">
        <f>VLOOKUP(A247,Data[],2,FALSE)</f>
        <v>BRONX</v>
      </c>
      <c r="C247" s="144" t="str">
        <f ca="1">IF(OR(F247="2019-2020",F247="2021-2025"),"",IF(ISNUMBER(SEARCH("LLC",D247)),VLOOKUP(A247,Yards25[],3,FALSE),VLOOKUP(A247,Yards[],3,FALSE)))</f>
        <v>New Waste Yard v5</v>
      </c>
      <c r="D247" s="9" t="str">
        <f>VLOOKUP(A247,Data[],52,FALSE)</f>
        <v>FEDERAL</v>
      </c>
      <c r="E247" s="9">
        <f>VLOOKUP(YardsAll[[#This Row],[DEVELOPMENT]],Data[],62,FALSE)</f>
        <v>9</v>
      </c>
      <c r="F247" s="9" t="str">
        <f ca="1">VLOOKUP(A247,Data[],4,FALSE)</f>
        <v>2022-2025</v>
      </c>
      <c r="G247" s="9">
        <f ca="1">IF(OR(YardsAll[[#This Row],[RAD/PACT]]="2019-2020",YardsAll[[#This Row],[RAD/PACT]]="2021-2025"),"",IF(ISNUMBER(SEARCH("1",C247)),2,IF(ISNUMBER(SEARCH("2",C247)),1,IF(ISNUMBER(SEARCH("3",C247)),3,IF(ISNUMBER(SEARCH("4",C247)),4,IF(ISNUMBER(SEARCH("5",C247)),5,IF(ISNUMBER(SEARCH("6",C247)),6,IF(ISNUMBER(SEARCH("7",C247)),7,IF(ISNUMBER(SEARCH("8",C247)),8,0)))))))))</f>
        <v>5</v>
      </c>
      <c r="H247" s="143" t="str">
        <f ca="1">IF(YardsAll[[#This Row],[STATUS]]="","",IF(OR(F247="2019-2020",F247="2021-2025"),"",IF(ISNUMBER(SEARCH("LLC",D247)),VLOOKUP(A247,Yards25[],28,FALSE),VLOOKUP(A247,Yards[],28,FALSE))))</f>
        <v/>
      </c>
      <c r="I247" s="143" t="str">
        <f ca="1">IF(YardsAll[[#This Row],[STATUS]]="","",IF(OR(F247="2019-2020",F247="2021-2025"),"",IF(ISNUMBER(SEARCH("LLC",D247)),VLOOKUP(A247,Yards25[],17,FALSE),VLOOKUP(A247,Yards[],17,FALSE))))</f>
        <v/>
      </c>
      <c r="J247" s="143" t="str">
        <f ca="1">IF(YardsAll[[#This Row],[STATUS]]="","",IF(OR(F247="2019-2020",F247="2021-2025"),"",IF(ISNUMBER(SEARCH("LLC",D247)),VLOOKUP(A247,Yards25[],29,FALSE),VLOOKUP(A247,Yards[],29,FALSE))))</f>
        <v/>
      </c>
      <c r="K247" s="143" t="str">
        <f ca="1">IF(YardsAll[[#This Row],[STATUS]]="","",IF(OR(F247="2019-2020",F247="2021-2025"),"",IF(ISNUMBER(SEARCH("LLC",D247)),VLOOKUP(A247,Yards25[],19,FALSE),VLOOKUP(A247,Yards[],19,FALSE))))</f>
        <v/>
      </c>
      <c r="L247" s="143" t="str">
        <f ca="1">IF(IF(OR(F247="2019-2020",F247="2021-2025"),"",IF(ISNUMBER(SEARCH("LLC",D247)),VLOOKUP(A247,Yards25[],20,FALSE),VLOOKUP(A247,Yards[],20,FALSE)))=0,"",IF(OR(F247="2019-2020",F247="2021-2025"),"",IF(ISNUMBER(SEARCH("LLC",D247)),VLOOKUP(A247,Yards25[],20,FALSE),VLOOKUP(A247,Yards[],20,FALSE))))</f>
        <v/>
      </c>
      <c r="M247" s="151">
        <f ca="1">IF(OR(F247="2019-2020",F247="2021-2025"),"",IF(ISNUMBER(SEARCH("LLC",D247)),VLOOKUP(A247,Yards25[],21,FALSE),VLOOKUP(A247,Yards[],21,FALSE)))</f>
        <v>0</v>
      </c>
      <c r="N247" s="151">
        <f ca="1">IF(OR(F247="2019-2020",F247="2021-2025"),"",IF(ISNUMBER(SEARCH("LLC",D247)),VLOOKUP(A247,Yards25[],22,FALSE),VLOOKUP(A247,Yards[],22,FALSE)))</f>
        <v>0</v>
      </c>
      <c r="O247" s="151">
        <f ca="1">SUM(YardsAll[[#This Row],[DSGN ESTIMATE]:[CONS ESTIMATE]])</f>
        <v>0</v>
      </c>
      <c r="P247" s="143"/>
      <c r="Q247" s="143">
        <f ca="1">IF(OR(F247="2019-2020",F247="2021-2025"),"",IF(ISNUMBER(SEARCH("LLC",D247)),VLOOKUP(A247,Yards25[],25,FALSE),VLOOKUP(A247,Yards[],25,FALSE)))</f>
        <v>0</v>
      </c>
      <c r="R247" s="152"/>
    </row>
    <row r="248" spans="1:18">
      <c r="A248" s="147" t="s">
        <v>255</v>
      </c>
      <c r="B248" s="144" t="str">
        <f>VLOOKUP(A248,Data[],2,FALSE)</f>
        <v>STATEN ISLAND</v>
      </c>
      <c r="C248" s="144" t="str">
        <f ca="1">IF(OR(F248="2019-2020",F248="2021-2025"),"",IF(ISNUMBER(SEARCH("LLC",D248)),VLOOKUP(A248,Yards25[],3,FALSE),VLOOKUP(A248,Yards[],3,FALSE)))</f>
        <v>New Waste Yard v1</v>
      </c>
      <c r="D248" s="9" t="str">
        <f>VLOOKUP(A248,Data[],52,FALSE)</f>
        <v>FEDERAL</v>
      </c>
      <c r="E248" s="9">
        <f>VLOOKUP(YardsAll[[#This Row],[DEVELOPMENT]],Data[],62,FALSE)</f>
        <v>2</v>
      </c>
      <c r="F248" s="9" t="str">
        <f ca="1">VLOOKUP(A248,Data[],4,FALSE)</f>
        <v/>
      </c>
      <c r="G248" s="9">
        <f ca="1">IF(OR(YardsAll[[#This Row],[RAD/PACT]]="2019-2020",YardsAll[[#This Row],[RAD/PACT]]="2021-2025"),"",IF(ISNUMBER(SEARCH("1",C248)),2,IF(ISNUMBER(SEARCH("2",C248)),1,IF(ISNUMBER(SEARCH("3",C248)),3,IF(ISNUMBER(SEARCH("4",C248)),4,IF(ISNUMBER(SEARCH("5",C248)),5,IF(ISNUMBER(SEARCH("6",C248)),6,IF(ISNUMBER(SEARCH("7",C248)),7,IF(ISNUMBER(SEARCH("8",C248)),8,0)))))))))</f>
        <v>2</v>
      </c>
      <c r="H248" s="143" t="str">
        <f ca="1">IF(YardsAll[[#This Row],[STATUS]]="","",IF(OR(F248="2019-2020",F248="2021-2025"),"",IF(ISNUMBER(SEARCH("LLC",D248)),VLOOKUP(A248,Yards25[],28,FALSE),VLOOKUP(A248,Yards[],28,FALSE))))</f>
        <v/>
      </c>
      <c r="I248" s="143" t="str">
        <f ca="1">IF(YardsAll[[#This Row],[STATUS]]="","",IF(OR(F248="2019-2020",F248="2021-2025"),"",IF(ISNUMBER(SEARCH("LLC",D248)),VLOOKUP(A248,Yards25[],17,FALSE),VLOOKUP(A248,Yards[],17,FALSE))))</f>
        <v/>
      </c>
      <c r="J248" s="143" t="str">
        <f ca="1">IF(YardsAll[[#This Row],[STATUS]]="","",IF(OR(F248="2019-2020",F248="2021-2025"),"",IF(ISNUMBER(SEARCH("LLC",D248)),VLOOKUP(A248,Yards25[],29,FALSE),VLOOKUP(A248,Yards[],29,FALSE))))</f>
        <v/>
      </c>
      <c r="K248" s="143" t="str">
        <f ca="1">IF(YardsAll[[#This Row],[STATUS]]="","",IF(OR(F248="2019-2020",F248="2021-2025"),"",IF(ISNUMBER(SEARCH("LLC",D248)),VLOOKUP(A248,Yards25[],19,FALSE),VLOOKUP(A248,Yards[],19,FALSE))))</f>
        <v/>
      </c>
      <c r="L248" s="143" t="str">
        <f ca="1">IF(IF(OR(F248="2019-2020",F248="2021-2025"),"",IF(ISNUMBER(SEARCH("LLC",D248)),VLOOKUP(A248,Yards25[],20,FALSE),VLOOKUP(A248,Yards[],20,FALSE)))=0,"",IF(OR(F248="2019-2020",F248="2021-2025"),"",IF(ISNUMBER(SEARCH("LLC",D248)),VLOOKUP(A248,Yards25[],20,FALSE),VLOOKUP(A248,Yards[],20,FALSE))))</f>
        <v/>
      </c>
      <c r="M248" s="151">
        <f ca="1">IF(OR(F248="2019-2020",F248="2021-2025"),"",IF(ISNUMBER(SEARCH("LLC",D248)),VLOOKUP(A248,Yards25[],21,FALSE),VLOOKUP(A248,Yards[],21,FALSE)))</f>
        <v>206060.21595600009</v>
      </c>
      <c r="N248" s="151">
        <f ca="1">IF(OR(F248="2019-2020",F248="2021-2025"),"",IF(ISNUMBER(SEARCH("LLC",D248)),VLOOKUP(A248,Yards25[],22,FALSE),VLOOKUP(A248,Yards[],22,FALSE)))</f>
        <v>1854541.9436040006</v>
      </c>
      <c r="O248" s="151">
        <f ca="1">SUM(YardsAll[[#This Row],[DSGN ESTIMATE]:[CONS ESTIMATE]])</f>
        <v>2060602.1595600008</v>
      </c>
      <c r="P248" s="143"/>
      <c r="Q248" s="143">
        <f ca="1">IF(OR(F248="2019-2020",F248="2021-2025"),"",IF(ISNUMBER(SEARCH("LLC",D248)),VLOOKUP(A248,Yards25[],25,FALSE),VLOOKUP(A248,Yards[],25,FALSE)))</f>
        <v>0</v>
      </c>
      <c r="R248" s="152"/>
    </row>
    <row r="249" spans="1:18">
      <c r="A249" s="147" t="s">
        <v>96</v>
      </c>
      <c r="B249" s="144" t="str">
        <f>VLOOKUP(A249,Data[],2,FALSE)</f>
        <v>BRONX</v>
      </c>
      <c r="C249" s="144" t="str">
        <f ca="1">IF(OR(F249="2019-2020",F249="2021-2025"),"",IF(ISNUMBER(SEARCH("LLC",D249)),VLOOKUP(A249,Yards25[],3,FALSE),VLOOKUP(A249,Yards[],3,FALSE)))</f>
        <v>New Waste Yard v1</v>
      </c>
      <c r="D249" s="9" t="str">
        <f>VLOOKUP(A249,Data[],52,FALSE)</f>
        <v>FEDERAL</v>
      </c>
      <c r="E249" s="9">
        <f>VLOOKUP(YardsAll[[#This Row],[DEVELOPMENT]],Data[],62,FALSE)</f>
        <v>1</v>
      </c>
      <c r="F249" s="9" t="str">
        <f ca="1">VLOOKUP(A249,Data[],4,FALSE)</f>
        <v>2026+</v>
      </c>
      <c r="G249" s="9">
        <f ca="1">IF(OR(YardsAll[[#This Row],[RAD/PACT]]="2019-2020",YardsAll[[#This Row],[RAD/PACT]]="2021-2025"),"",IF(ISNUMBER(SEARCH("1",C249)),2,IF(ISNUMBER(SEARCH("2",C249)),1,IF(ISNUMBER(SEARCH("3",C249)),3,IF(ISNUMBER(SEARCH("4",C249)),4,IF(ISNUMBER(SEARCH("5",C249)),5,IF(ISNUMBER(SEARCH("6",C249)),6,IF(ISNUMBER(SEARCH("7",C249)),7,IF(ISNUMBER(SEARCH("8",C249)),8,0)))))))))</f>
        <v>2</v>
      </c>
      <c r="H249" s="143" t="str">
        <f ca="1">IF(YardsAll[[#This Row],[STATUS]]="","",IF(OR(F249="2019-2020",F249="2021-2025"),"",IF(ISNUMBER(SEARCH("LLC",D249)),VLOOKUP(A249,Yards25[],28,FALSE),VLOOKUP(A249,Yards[],28,FALSE))))</f>
        <v/>
      </c>
      <c r="I249" s="143" t="str">
        <f ca="1">IF(YardsAll[[#This Row],[STATUS]]="","",IF(OR(F249="2019-2020",F249="2021-2025"),"",IF(ISNUMBER(SEARCH("LLC",D249)),VLOOKUP(A249,Yards25[],17,FALSE),VLOOKUP(A249,Yards[],17,FALSE))))</f>
        <v/>
      </c>
      <c r="J249" s="143" t="str">
        <f ca="1">IF(YardsAll[[#This Row],[STATUS]]="","",IF(OR(F249="2019-2020",F249="2021-2025"),"",IF(ISNUMBER(SEARCH("LLC",D249)),VLOOKUP(A249,Yards25[],29,FALSE),VLOOKUP(A249,Yards[],29,FALSE))))</f>
        <v/>
      </c>
      <c r="K249" s="143" t="str">
        <f ca="1">IF(YardsAll[[#This Row],[STATUS]]="","",IF(OR(F249="2019-2020",F249="2021-2025"),"",IF(ISNUMBER(SEARCH("LLC",D249)),VLOOKUP(A249,Yards25[],19,FALSE),VLOOKUP(A249,Yards[],19,FALSE))))</f>
        <v/>
      </c>
      <c r="L249" s="143" t="str">
        <f ca="1">IF(IF(OR(F249="2019-2020",F249="2021-2025"),"",IF(ISNUMBER(SEARCH("LLC",D249)),VLOOKUP(A249,Yards25[],20,FALSE),VLOOKUP(A249,Yards[],20,FALSE)))=0,"",IF(OR(F249="2019-2020",F249="2021-2025"),"",IF(ISNUMBER(SEARCH("LLC",D249)),VLOOKUP(A249,Yards25[],20,FALSE),VLOOKUP(A249,Yards[],20,FALSE))))</f>
        <v/>
      </c>
      <c r="M249" s="151">
        <f ca="1">IF(OR(F249="2019-2020",F249="2021-2025"),"",IF(ISNUMBER(SEARCH("LLC",D249)),VLOOKUP(A249,Yards25[],21,FALSE),VLOOKUP(A249,Yards[],21,FALSE)))</f>
        <v>218713.03623400006</v>
      </c>
      <c r="N249" s="151">
        <f ca="1">IF(OR(F249="2019-2020",F249="2021-2025"),"",IF(ISNUMBER(SEARCH("LLC",D249)),VLOOKUP(A249,Yards25[],22,FALSE),VLOOKUP(A249,Yards[],22,FALSE)))</f>
        <v>1968417.3261060005</v>
      </c>
      <c r="O249" s="151">
        <f ca="1">SUM(YardsAll[[#This Row],[DSGN ESTIMATE]:[CONS ESTIMATE]])</f>
        <v>2187130.3623400005</v>
      </c>
      <c r="P249" s="143"/>
      <c r="Q249" s="143">
        <f ca="1">IF(OR(F249="2019-2020",F249="2021-2025"),"",IF(ISNUMBER(SEARCH("LLC",D249)),VLOOKUP(A249,Yards25[],25,FALSE),VLOOKUP(A249,Yards[],25,FALSE)))</f>
        <v>0</v>
      </c>
      <c r="R249" s="152"/>
    </row>
    <row r="250" spans="1:18">
      <c r="A250" s="147" t="s">
        <v>224</v>
      </c>
      <c r="B250" s="144" t="str">
        <f>VLOOKUP(A250,Data[],2,FALSE)</f>
        <v>QUEENS</v>
      </c>
      <c r="C250" s="144" t="str">
        <f ca="1">IF(OR(F250="2019-2020",F250="2021-2025"),"",IF(ISNUMBER(SEARCH("LLC",D250)),VLOOKUP(A250,Yards25[],3,FALSE),VLOOKUP(A250,Yards[],3,FALSE)))</f>
        <v>New Waste Yard v3</v>
      </c>
      <c r="D250" s="9" t="str">
        <f>VLOOKUP(A250,Data[],52,FALSE)</f>
        <v>FEDERAL</v>
      </c>
      <c r="E250" s="9">
        <f>VLOOKUP(YardsAll[[#This Row],[DEVELOPMENT]],Data[],62,FALSE)</f>
        <v>12</v>
      </c>
      <c r="F250" s="9" t="str">
        <f ca="1">VLOOKUP(A250,Data[],4,FALSE)</f>
        <v>2026+</v>
      </c>
      <c r="G250" s="9">
        <f ca="1">IF(OR(YardsAll[[#This Row],[RAD/PACT]]="2019-2020",YardsAll[[#This Row],[RAD/PACT]]="2021-2025"),"",IF(ISNUMBER(SEARCH("1",C250)),2,IF(ISNUMBER(SEARCH("2",C250)),1,IF(ISNUMBER(SEARCH("3",C250)),3,IF(ISNUMBER(SEARCH("4",C250)),4,IF(ISNUMBER(SEARCH("5",C250)),5,IF(ISNUMBER(SEARCH("6",C250)),6,IF(ISNUMBER(SEARCH("7",C250)),7,IF(ISNUMBER(SEARCH("8",C250)),8,0)))))))))</f>
        <v>3</v>
      </c>
      <c r="H250" s="143" t="str">
        <f ca="1">IF(YardsAll[[#This Row],[STATUS]]="","",IF(OR(F250="2019-2020",F250="2021-2025"),"",IF(ISNUMBER(SEARCH("LLC",D250)),VLOOKUP(A250,Yards25[],28,FALSE),VLOOKUP(A250,Yards[],28,FALSE))))</f>
        <v/>
      </c>
      <c r="I250" s="143" t="str">
        <f ca="1">IF(YardsAll[[#This Row],[STATUS]]="","",IF(OR(F250="2019-2020",F250="2021-2025"),"",IF(ISNUMBER(SEARCH("LLC",D250)),VLOOKUP(A250,Yards25[],17,FALSE),VLOOKUP(A250,Yards[],17,FALSE))))</f>
        <v/>
      </c>
      <c r="J250" s="143" t="str">
        <f ca="1">IF(YardsAll[[#This Row],[STATUS]]="","",IF(OR(F250="2019-2020",F250="2021-2025"),"",IF(ISNUMBER(SEARCH("LLC",D250)),VLOOKUP(A250,Yards25[],29,FALSE),VLOOKUP(A250,Yards[],29,FALSE))))</f>
        <v/>
      </c>
      <c r="K250" s="143" t="str">
        <f ca="1">IF(YardsAll[[#This Row],[STATUS]]="","",IF(OR(F250="2019-2020",F250="2021-2025"),"",IF(ISNUMBER(SEARCH("LLC",D250)),VLOOKUP(A250,Yards25[],19,FALSE),VLOOKUP(A250,Yards[],19,FALSE))))</f>
        <v/>
      </c>
      <c r="L250" s="143" t="str">
        <f ca="1">IF(IF(OR(F250="2019-2020",F250="2021-2025"),"",IF(ISNUMBER(SEARCH("LLC",D250)),VLOOKUP(A250,Yards25[],20,FALSE),VLOOKUP(A250,Yards[],20,FALSE)))=0,"",IF(OR(F250="2019-2020",F250="2021-2025"),"",IF(ISNUMBER(SEARCH("LLC",D250)),VLOOKUP(A250,Yards25[],20,FALSE),VLOOKUP(A250,Yards[],20,FALSE))))</f>
        <v/>
      </c>
      <c r="M250" s="151">
        <f ca="1">IF(OR(F250="2019-2020",F250="2021-2025"),"",IF(ISNUMBER(SEARCH("LLC",D250)),VLOOKUP(A250,Yards25[],21,FALSE),VLOOKUP(A250,Yards[],21,FALSE)))</f>
        <v>216185.89406550006</v>
      </c>
      <c r="N250" s="151">
        <f ca="1">IF(OR(F250="2019-2020",F250="2021-2025"),"",IF(ISNUMBER(SEARCH("LLC",D250)),VLOOKUP(A250,Yards25[],22,FALSE),VLOOKUP(A250,Yards[],22,FALSE)))</f>
        <v>1945673.0465895005</v>
      </c>
      <c r="O250" s="151">
        <f ca="1">SUM(YardsAll[[#This Row],[DSGN ESTIMATE]:[CONS ESTIMATE]])</f>
        <v>2161858.9406550005</v>
      </c>
      <c r="P250" s="143"/>
      <c r="Q250" s="143">
        <f ca="1">IF(OR(F250="2019-2020",F250="2021-2025"),"",IF(ISNUMBER(SEARCH("LLC",D250)),VLOOKUP(A250,Yards25[],25,FALSE),VLOOKUP(A250,Yards[],25,FALSE)))</f>
        <v>0</v>
      </c>
      <c r="R250" s="152"/>
    </row>
    <row r="251" spans="1:18">
      <c r="A251" s="147" t="s">
        <v>269</v>
      </c>
      <c r="B251" s="144" t="str">
        <f>VLOOKUP(A251,Data[],2,FALSE)</f>
        <v>QUEENS</v>
      </c>
      <c r="C251" s="144" t="str">
        <f ca="1">IF(OR(F251="2019-2020",F251="2021-2025"),"",IF(ISNUMBER(SEARCH("LLC",D251)),VLOOKUP(A251,Yards25[],3,FALSE),VLOOKUP(A251,Yards[],3,FALSE)))</f>
        <v>New Waste Yard v3</v>
      </c>
      <c r="D251" s="9" t="str">
        <f>VLOOKUP(A251,Data[],52,FALSE)</f>
        <v>FEDERAL</v>
      </c>
      <c r="E251" s="9">
        <f>VLOOKUP(YardsAll[[#This Row],[DEVELOPMENT]],Data[],62,FALSE)</f>
        <v>12</v>
      </c>
      <c r="F251" s="9" t="str">
        <f ca="1">VLOOKUP(A251,Data[],4,FALSE)</f>
        <v>2026+</v>
      </c>
      <c r="G251" s="9">
        <f ca="1">IF(OR(YardsAll[[#This Row],[RAD/PACT]]="2019-2020",YardsAll[[#This Row],[RAD/PACT]]="2021-2025"),"",IF(ISNUMBER(SEARCH("1",C251)),2,IF(ISNUMBER(SEARCH("2",C251)),1,IF(ISNUMBER(SEARCH("3",C251)),3,IF(ISNUMBER(SEARCH("4",C251)),4,IF(ISNUMBER(SEARCH("5",C251)),5,IF(ISNUMBER(SEARCH("6",C251)),6,IF(ISNUMBER(SEARCH("7",C251)),7,IF(ISNUMBER(SEARCH("8",C251)),8,0)))))))))</f>
        <v>3</v>
      </c>
      <c r="H251" s="143" t="str">
        <f ca="1">IF(YardsAll[[#This Row],[STATUS]]="","",IF(OR(F251="2019-2020",F251="2021-2025"),"",IF(ISNUMBER(SEARCH("LLC",D251)),VLOOKUP(A251,Yards25[],28,FALSE),VLOOKUP(A251,Yards[],28,FALSE))))</f>
        <v/>
      </c>
      <c r="I251" s="143" t="str">
        <f ca="1">IF(YardsAll[[#This Row],[STATUS]]="","",IF(OR(F251="2019-2020",F251="2021-2025"),"",IF(ISNUMBER(SEARCH("LLC",D251)),VLOOKUP(A251,Yards25[],17,FALSE),VLOOKUP(A251,Yards[],17,FALSE))))</f>
        <v/>
      </c>
      <c r="J251" s="143" t="str">
        <f ca="1">IF(YardsAll[[#This Row],[STATUS]]="","",IF(OR(F251="2019-2020",F251="2021-2025"),"",IF(ISNUMBER(SEARCH("LLC",D251)),VLOOKUP(A251,Yards25[],29,FALSE),VLOOKUP(A251,Yards[],29,FALSE))))</f>
        <v/>
      </c>
      <c r="K251" s="143" t="str">
        <f ca="1">IF(YardsAll[[#This Row],[STATUS]]="","",IF(OR(F251="2019-2020",F251="2021-2025"),"",IF(ISNUMBER(SEARCH("LLC",D251)),VLOOKUP(A251,Yards25[],19,FALSE),VLOOKUP(A251,Yards[],19,FALSE))))</f>
        <v/>
      </c>
      <c r="L251" s="143" t="str">
        <f ca="1">IF(IF(OR(F251="2019-2020",F251="2021-2025"),"",IF(ISNUMBER(SEARCH("LLC",D251)),VLOOKUP(A251,Yards25[],20,FALSE),VLOOKUP(A251,Yards[],20,FALSE)))=0,"",IF(OR(F251="2019-2020",F251="2021-2025"),"",IF(ISNUMBER(SEARCH("LLC",D251)),VLOOKUP(A251,Yards25[],20,FALSE),VLOOKUP(A251,Yards[],20,FALSE))))</f>
        <v/>
      </c>
      <c r="M251" s="151">
        <f ca="1">IF(OR(F251="2019-2020",F251="2021-2025"),"",IF(ISNUMBER(SEARCH("LLC",D251)),VLOOKUP(A251,Yards25[],21,FALSE),VLOOKUP(A251,Yards[],21,FALSE)))</f>
        <v>230328.89648100009</v>
      </c>
      <c r="N251" s="151">
        <f ca="1">IF(OR(F251="2019-2020",F251="2021-2025"),"",IF(ISNUMBER(SEARCH("LLC",D251)),VLOOKUP(A251,Yards25[],22,FALSE),VLOOKUP(A251,Yards[],22,FALSE)))</f>
        <v>2072960.0683290006</v>
      </c>
      <c r="O251" s="151">
        <f ca="1">SUM(YardsAll[[#This Row],[DSGN ESTIMATE]:[CONS ESTIMATE]])</f>
        <v>2303288.9648100007</v>
      </c>
      <c r="P251" s="143"/>
      <c r="Q251" s="143">
        <f ca="1">IF(OR(F251="2019-2020",F251="2021-2025"),"",IF(ISNUMBER(SEARCH("LLC",D251)),VLOOKUP(A251,Yards25[],25,FALSE),VLOOKUP(A251,Yards[],25,FALSE)))</f>
        <v>0</v>
      </c>
      <c r="R251" s="152"/>
    </row>
    <row r="252" spans="1:18">
      <c r="A252" s="147" t="s">
        <v>364</v>
      </c>
      <c r="B252" s="144" t="str">
        <f>VLOOKUP(A252,Data[],2,FALSE)</f>
        <v>MANHATTAN</v>
      </c>
      <c r="C252" s="144" t="str">
        <f ca="1">IF(OR(F252="2019-2020",F252="2021-2025"),"",IF(ISNUMBER(SEARCH("LLC",D252)),VLOOKUP(A252,Yards25[],3,FALSE),VLOOKUP(A252,Yards[],3,FALSE)))</f>
        <v>New Waste Yard v1</v>
      </c>
      <c r="D252" s="9" t="str">
        <f>VLOOKUP(A252,Data[],52,FALSE)</f>
        <v>FEDERAL</v>
      </c>
      <c r="E252" s="9">
        <f>VLOOKUP(YardsAll[[#This Row],[DEVELOPMENT]],Data[],62,FALSE)</f>
        <v>3</v>
      </c>
      <c r="F252" s="9" t="str">
        <f ca="1">VLOOKUP(A252,Data[],4,FALSE)</f>
        <v/>
      </c>
      <c r="G252" s="9">
        <f ca="1">IF(OR(YardsAll[[#This Row],[RAD/PACT]]="2019-2020",YardsAll[[#This Row],[RAD/PACT]]="2021-2025"),"",IF(ISNUMBER(SEARCH("1",C252)),2,IF(ISNUMBER(SEARCH("2",C252)),1,IF(ISNUMBER(SEARCH("3",C252)),3,IF(ISNUMBER(SEARCH("4",C252)),4,IF(ISNUMBER(SEARCH("5",C252)),5,IF(ISNUMBER(SEARCH("6",C252)),6,IF(ISNUMBER(SEARCH("7",C252)),7,IF(ISNUMBER(SEARCH("8",C252)),8,0)))))))))</f>
        <v>2</v>
      </c>
      <c r="H252" s="143" t="str">
        <f ca="1">IF(YardsAll[[#This Row],[STATUS]]="","",IF(OR(F252="2019-2020",F252="2021-2025"),"",IF(ISNUMBER(SEARCH("LLC",D252)),VLOOKUP(A252,Yards25[],28,FALSE),VLOOKUP(A252,Yards[],28,FALSE))))</f>
        <v/>
      </c>
      <c r="I252" s="143" t="str">
        <f ca="1">IF(YardsAll[[#This Row],[STATUS]]="","",IF(OR(F252="2019-2020",F252="2021-2025"),"",IF(ISNUMBER(SEARCH("LLC",D252)),VLOOKUP(A252,Yards25[],17,FALSE),VLOOKUP(A252,Yards[],17,FALSE))))</f>
        <v/>
      </c>
      <c r="J252" s="143" t="str">
        <f ca="1">IF(YardsAll[[#This Row],[STATUS]]="","",IF(OR(F252="2019-2020",F252="2021-2025"),"",IF(ISNUMBER(SEARCH("LLC",D252)),VLOOKUP(A252,Yards25[],29,FALSE),VLOOKUP(A252,Yards[],29,FALSE))))</f>
        <v/>
      </c>
      <c r="K252" s="143" t="str">
        <f ca="1">IF(YardsAll[[#This Row],[STATUS]]="","",IF(OR(F252="2019-2020",F252="2021-2025"),"",IF(ISNUMBER(SEARCH("LLC",D252)),VLOOKUP(A252,Yards25[],19,FALSE),VLOOKUP(A252,Yards[],19,FALSE))))</f>
        <v/>
      </c>
      <c r="L252" s="143" t="str">
        <f ca="1">IF(IF(OR(F252="2019-2020",F252="2021-2025"),"",IF(ISNUMBER(SEARCH("LLC",D252)),VLOOKUP(A252,Yards25[],20,FALSE),VLOOKUP(A252,Yards[],20,FALSE)))=0,"",IF(OR(F252="2019-2020",F252="2021-2025"),"",IF(ISNUMBER(SEARCH("LLC",D252)),VLOOKUP(A252,Yards25[],20,FALSE),VLOOKUP(A252,Yards[],20,FALSE))))</f>
        <v/>
      </c>
      <c r="M252" s="151">
        <f ca="1">IF(OR(F252="2019-2020",F252="2021-2025"),"",IF(ISNUMBER(SEARCH("LLC",D252)),VLOOKUP(A252,Yards25[],21,FALSE),VLOOKUP(A252,Yards[],21,FALSE)))</f>
        <v>231365.85651200006</v>
      </c>
      <c r="N252" s="151">
        <f ca="1">IF(OR(F252="2019-2020",F252="2021-2025"),"",IF(ISNUMBER(SEARCH("LLC",D252)),VLOOKUP(A252,Yards25[],22,FALSE),VLOOKUP(A252,Yards[],22,FALSE)))</f>
        <v>2082292.7086080003</v>
      </c>
      <c r="O252" s="151">
        <f ca="1">SUM(YardsAll[[#This Row],[DSGN ESTIMATE]:[CONS ESTIMATE]])</f>
        <v>2313658.5651200004</v>
      </c>
      <c r="P252" s="143"/>
      <c r="Q252" s="143">
        <f ca="1">IF(OR(F252="2019-2020",F252="2021-2025"),"",IF(ISNUMBER(SEARCH("LLC",D252)),VLOOKUP(A252,Yards25[],25,FALSE),VLOOKUP(A252,Yards[],25,FALSE)))</f>
        <v>0</v>
      </c>
      <c r="R252" s="152"/>
    </row>
    <row r="253" spans="1:18">
      <c r="A253" s="147" t="s">
        <v>365</v>
      </c>
      <c r="B253" s="144" t="str">
        <f>VLOOKUP(A253,Data[],2,FALSE)</f>
        <v>STATEN ISLAND</v>
      </c>
      <c r="C253" s="144" t="str">
        <f ca="1">IF(OR(F253="2019-2020",F253="2021-2025"),"",IF(ISNUMBER(SEARCH("LLC",D253)),VLOOKUP(A253,Yards25[],3,FALSE),VLOOKUP(A253,Yards[],3,FALSE)))</f>
        <v>New Waste Yard v3</v>
      </c>
      <c r="D253" s="9" t="str">
        <f>VLOOKUP(A253,Data[],52,FALSE)</f>
        <v>MIXED FINANCE/LLC1</v>
      </c>
      <c r="E253" s="9">
        <f>VLOOKUP(YardsAll[[#This Row],[DEVELOPMENT]],Data[],62,FALSE)</f>
        <v>1</v>
      </c>
      <c r="F253" s="9" t="str">
        <f ca="1">VLOOKUP(A253,Data[],4,FALSE)</f>
        <v/>
      </c>
      <c r="G253" s="9">
        <f ca="1">IF(OR(YardsAll[[#This Row],[RAD/PACT]]="2019-2020",YardsAll[[#This Row],[RAD/PACT]]="2021-2025"),"",IF(ISNUMBER(SEARCH("1",C253)),2,IF(ISNUMBER(SEARCH("2",C253)),1,IF(ISNUMBER(SEARCH("3",C253)),3,IF(ISNUMBER(SEARCH("4",C253)),4,IF(ISNUMBER(SEARCH("5",C253)),5,IF(ISNUMBER(SEARCH("6",C253)),6,IF(ISNUMBER(SEARCH("7",C253)),7,IF(ISNUMBER(SEARCH("8",C253)),8,0)))))))))</f>
        <v>3</v>
      </c>
      <c r="H253" s="143" t="str">
        <f ca="1">IF(YardsAll[[#This Row],[STATUS]]="","",IF(OR(F253="2019-2020",F253="2021-2025"),"",IF(ISNUMBER(SEARCH("LLC",D253)),VLOOKUP(A253,Yards25[],28,FALSE),VLOOKUP(A253,Yards[],28,FALSE))))</f>
        <v/>
      </c>
      <c r="I253" s="143" t="str">
        <f ca="1">IF(YardsAll[[#This Row],[STATUS]]="","",IF(OR(F253="2019-2020",F253="2021-2025"),"",IF(ISNUMBER(SEARCH("LLC",D253)),VLOOKUP(A253,Yards25[],17,FALSE),VLOOKUP(A253,Yards[],17,FALSE))))</f>
        <v/>
      </c>
      <c r="J253" s="143" t="str">
        <f ca="1">IF(YardsAll[[#This Row],[STATUS]]="","",IF(OR(F253="2019-2020",F253="2021-2025"),"",IF(ISNUMBER(SEARCH("LLC",D253)),VLOOKUP(A253,Yards25[],29,FALSE),VLOOKUP(A253,Yards[],29,FALSE))))</f>
        <v/>
      </c>
      <c r="K253" s="143" t="str">
        <f ca="1">IF(YardsAll[[#This Row],[STATUS]]="","",IF(OR(F253="2019-2020",F253="2021-2025"),"",IF(ISNUMBER(SEARCH("LLC",D253)),VLOOKUP(A253,Yards25[],19,FALSE),VLOOKUP(A253,Yards[],19,FALSE))))</f>
        <v/>
      </c>
      <c r="L253" s="143" t="str">
        <f ca="1">IF(IF(OR(F253="2019-2020",F253="2021-2025"),"",IF(ISNUMBER(SEARCH("LLC",D253)),VLOOKUP(A253,Yards25[],20,FALSE),VLOOKUP(A253,Yards[],20,FALSE)))=0,"",IF(OR(F253="2019-2020",F253="2021-2025"),"",IF(ISNUMBER(SEARCH("LLC",D253)),VLOOKUP(A253,Yards25[],20,FALSE),VLOOKUP(A253,Yards[],20,FALSE))))</f>
        <v/>
      </c>
      <c r="M253" s="151">
        <f ca="1">IF(OR(F253="2019-2020",F253="2021-2025"),"",IF(ISNUMBER(SEARCH("LLC",D253)),VLOOKUP(A253,Yards25[],21,FALSE),VLOOKUP(A253,Yards[],21,FALSE)))</f>
        <v>251543.40010425012</v>
      </c>
      <c r="N253" s="151">
        <f ca="1">IF(OR(F253="2019-2020",F253="2021-2025"),"",IF(ISNUMBER(SEARCH("LLC",D253)),VLOOKUP(A253,Yards25[],22,FALSE),VLOOKUP(A253,Yards[],22,FALSE)))</f>
        <v>2263890.6009382508</v>
      </c>
      <c r="O253" s="151">
        <f ca="1">SUM(YardsAll[[#This Row],[DSGN ESTIMATE]:[CONS ESTIMATE]])</f>
        <v>2515434.0010425011</v>
      </c>
      <c r="P253" s="143"/>
      <c r="Q253" s="143">
        <f ca="1">IF(OR(F253="2019-2020",F253="2021-2025"),"",IF(ISNUMBER(SEARCH("LLC",D253)),VLOOKUP(A253,Yards25[],25,FALSE),VLOOKUP(A253,Yards[],25,FALSE)))</f>
        <v>0</v>
      </c>
      <c r="R253" s="152"/>
    </row>
    <row r="254" spans="1:18">
      <c r="A254" s="147" t="s">
        <v>97</v>
      </c>
      <c r="B254" s="144" t="str">
        <f>VLOOKUP(A254,Data[],2,FALSE)</f>
        <v>BRONX</v>
      </c>
      <c r="C254" s="144" t="str">
        <f ca="1">IF(OR(F254="2019-2020",F254="2021-2025"),"",IF(ISNUMBER(SEARCH("LLC",D254)),VLOOKUP(A254,Yards25[],3,FALSE),VLOOKUP(A254,Yards[],3,FALSE)))</f>
        <v>New Waste Yard v1</v>
      </c>
      <c r="D254" s="9" t="str">
        <f>VLOOKUP(A254,Data[],52,FALSE)</f>
        <v>FEDERAL</v>
      </c>
      <c r="E254" s="9">
        <f>VLOOKUP(YardsAll[[#This Row],[DEVELOPMENT]],Data[],62,FALSE)</f>
        <v>2</v>
      </c>
      <c r="F254" s="9" t="str">
        <f ca="1">VLOOKUP(A254,Data[],4,FALSE)</f>
        <v>2026+</v>
      </c>
      <c r="G254" s="9">
        <f ca="1">IF(OR(YardsAll[[#This Row],[RAD/PACT]]="2019-2020",YardsAll[[#This Row],[RAD/PACT]]="2021-2025"),"",IF(ISNUMBER(SEARCH("1",C254)),2,IF(ISNUMBER(SEARCH("2",C254)),1,IF(ISNUMBER(SEARCH("3",C254)),3,IF(ISNUMBER(SEARCH("4",C254)),4,IF(ISNUMBER(SEARCH("5",C254)),5,IF(ISNUMBER(SEARCH("6",C254)),6,IF(ISNUMBER(SEARCH("7",C254)),7,IF(ISNUMBER(SEARCH("8",C254)),8,0)))))))))</f>
        <v>2</v>
      </c>
      <c r="H254" s="143" t="str">
        <f ca="1">IF(YardsAll[[#This Row],[STATUS]]="","",IF(OR(F254="2019-2020",F254="2021-2025"),"",IF(ISNUMBER(SEARCH("LLC",D254)),VLOOKUP(A254,Yards25[],28,FALSE),VLOOKUP(A254,Yards[],28,FALSE))))</f>
        <v/>
      </c>
      <c r="I254" s="143" t="str">
        <f ca="1">IF(YardsAll[[#This Row],[STATUS]]="","",IF(OR(F254="2019-2020",F254="2021-2025"),"",IF(ISNUMBER(SEARCH("LLC",D254)),VLOOKUP(A254,Yards25[],17,FALSE),VLOOKUP(A254,Yards[],17,FALSE))))</f>
        <v/>
      </c>
      <c r="J254" s="143" t="str">
        <f ca="1">IF(YardsAll[[#This Row],[STATUS]]="","",IF(OR(F254="2019-2020",F254="2021-2025"),"",IF(ISNUMBER(SEARCH("LLC",D254)),VLOOKUP(A254,Yards25[],29,FALSE),VLOOKUP(A254,Yards[],29,FALSE))))</f>
        <v/>
      </c>
      <c r="K254" s="143" t="str">
        <f ca="1">IF(YardsAll[[#This Row],[STATUS]]="","",IF(OR(F254="2019-2020",F254="2021-2025"),"",IF(ISNUMBER(SEARCH("LLC",D254)),VLOOKUP(A254,Yards25[],19,FALSE),VLOOKUP(A254,Yards[],19,FALSE))))</f>
        <v/>
      </c>
      <c r="L254" s="143" t="str">
        <f ca="1">IF(IF(OR(F254="2019-2020",F254="2021-2025"),"",IF(ISNUMBER(SEARCH("LLC",D254)),VLOOKUP(A254,Yards25[],20,FALSE),VLOOKUP(A254,Yards[],20,FALSE)))=0,"",IF(OR(F254="2019-2020",F254="2021-2025"),"",IF(ISNUMBER(SEARCH("LLC",D254)),VLOOKUP(A254,Yards25[],20,FALSE),VLOOKUP(A254,Yards[],20,FALSE))))</f>
        <v/>
      </c>
      <c r="M254" s="151">
        <f ca="1">IF(OR(F254="2019-2020",F254="2021-2025"),"",IF(ISNUMBER(SEARCH("LLC",D254)),VLOOKUP(A254,Yards25[],21,FALSE),VLOOKUP(A254,Yards[],21,FALSE)))</f>
        <v>225039.4463730001</v>
      </c>
      <c r="N254" s="151">
        <f ca="1">IF(OR(F254="2019-2020",F254="2021-2025"),"",IF(ISNUMBER(SEARCH("LLC",D254)),VLOOKUP(A254,Yards25[],22,FALSE),VLOOKUP(A254,Yards[],22,FALSE)))</f>
        <v>2025355.0173570008</v>
      </c>
      <c r="O254" s="151">
        <f ca="1">SUM(YardsAll[[#This Row],[DSGN ESTIMATE]:[CONS ESTIMATE]])</f>
        <v>2250394.4637300009</v>
      </c>
      <c r="P254" s="143"/>
      <c r="Q254" s="143">
        <f ca="1">IF(OR(F254="2019-2020",F254="2021-2025"),"",IF(ISNUMBER(SEARCH("LLC",D254)),VLOOKUP(A254,Yards25[],25,FALSE),VLOOKUP(A254,Yards[],25,FALSE)))</f>
        <v>0</v>
      </c>
      <c r="R254" s="152"/>
    </row>
    <row r="255" spans="1:18">
      <c r="A255" s="147" t="s">
        <v>366</v>
      </c>
      <c r="B255" s="144" t="str">
        <f>VLOOKUP(A255,Data[],2,FALSE)</f>
        <v>BROOKLYN</v>
      </c>
      <c r="C255" s="144" t="str">
        <f ca="1">IF(OR(F255="2019-2020",F255="2021-2025"),"",IF(ISNUMBER(SEARCH("LLC",D255)),VLOOKUP(A255,Yards25[],3,FALSE),VLOOKUP(A255,Yards[],3,FALSE)))</f>
        <v>New Waste Yard v1</v>
      </c>
      <c r="D255" s="9" t="str">
        <f>VLOOKUP(A255,Data[],52,FALSE)</f>
        <v>FEDERAL</v>
      </c>
      <c r="E255" s="9">
        <f>VLOOKUP(YardsAll[[#This Row],[DEVELOPMENT]],Data[],62,FALSE)</f>
        <v>8</v>
      </c>
      <c r="F255" s="9" t="str">
        <f ca="1">VLOOKUP(A255,Data[],4,FALSE)</f>
        <v>2022-2025</v>
      </c>
      <c r="G255" s="9">
        <f ca="1">IF(OR(YardsAll[[#This Row],[RAD/PACT]]="2019-2020",YardsAll[[#This Row],[RAD/PACT]]="2021-2025"),"",IF(ISNUMBER(SEARCH("1",C255)),2,IF(ISNUMBER(SEARCH("2",C255)),1,IF(ISNUMBER(SEARCH("3",C255)),3,IF(ISNUMBER(SEARCH("4",C255)),4,IF(ISNUMBER(SEARCH("5",C255)),5,IF(ISNUMBER(SEARCH("6",C255)),6,IF(ISNUMBER(SEARCH("7",C255)),7,IF(ISNUMBER(SEARCH("8",C255)),8,0)))))))))</f>
        <v>2</v>
      </c>
      <c r="H255" s="143" t="str">
        <f ca="1">IF(YardsAll[[#This Row],[STATUS]]="","",IF(OR(F255="2019-2020",F255="2021-2025"),"",IF(ISNUMBER(SEARCH("LLC",D255)),VLOOKUP(A255,Yards25[],28,FALSE),VLOOKUP(A255,Yards[],28,FALSE))))</f>
        <v/>
      </c>
      <c r="I255" s="143" t="str">
        <f ca="1">IF(YardsAll[[#This Row],[STATUS]]="","",IF(OR(F255="2019-2020",F255="2021-2025"),"",IF(ISNUMBER(SEARCH("LLC",D255)),VLOOKUP(A255,Yards25[],17,FALSE),VLOOKUP(A255,Yards[],17,FALSE))))</f>
        <v/>
      </c>
      <c r="J255" s="143" t="str">
        <f ca="1">IF(YardsAll[[#This Row],[STATUS]]="","",IF(OR(F255="2019-2020",F255="2021-2025"),"",IF(ISNUMBER(SEARCH("LLC",D255)),VLOOKUP(A255,Yards25[],29,FALSE),VLOOKUP(A255,Yards[],29,FALSE))))</f>
        <v/>
      </c>
      <c r="K255" s="143" t="str">
        <f ca="1">IF(YardsAll[[#This Row],[STATUS]]="","",IF(OR(F255="2019-2020",F255="2021-2025"),"",IF(ISNUMBER(SEARCH("LLC",D255)),VLOOKUP(A255,Yards25[],19,FALSE),VLOOKUP(A255,Yards[],19,FALSE))))</f>
        <v/>
      </c>
      <c r="L255" s="143" t="str">
        <f ca="1">IF(IF(OR(F255="2019-2020",F255="2021-2025"),"",IF(ISNUMBER(SEARCH("LLC",D255)),VLOOKUP(A255,Yards25[],20,FALSE),VLOOKUP(A255,Yards[],20,FALSE)))=0,"",IF(OR(F255="2019-2020",F255="2021-2025"),"",IF(ISNUMBER(SEARCH("LLC",D255)),VLOOKUP(A255,Yards25[],20,FALSE),VLOOKUP(A255,Yards[],20,FALSE))))</f>
        <v/>
      </c>
      <c r="M255" s="151">
        <f ca="1">IF(OR(F255="2019-2020",F255="2021-2025"),"",IF(ISNUMBER(SEARCH("LLC",D255)),VLOOKUP(A255,Yards25[],21,FALSE),VLOOKUP(A255,Yards[],21,FALSE)))</f>
        <v>0</v>
      </c>
      <c r="N255" s="151">
        <f ca="1">IF(OR(F255="2019-2020",F255="2021-2025"),"",IF(ISNUMBER(SEARCH("LLC",D255)),VLOOKUP(A255,Yards25[],22,FALSE),VLOOKUP(A255,Yards[],22,FALSE)))</f>
        <v>0</v>
      </c>
      <c r="O255" s="151">
        <f ca="1">SUM(YardsAll[[#This Row],[DSGN ESTIMATE]:[CONS ESTIMATE]])</f>
        <v>0</v>
      </c>
      <c r="P255" s="143"/>
      <c r="Q255" s="143">
        <f ca="1">IF(OR(F255="2019-2020",F255="2021-2025"),"",IF(ISNUMBER(SEARCH("LLC",D255)),VLOOKUP(A255,Yards25[],25,FALSE),VLOOKUP(A255,Yards[],25,FALSE)))</f>
        <v>0</v>
      </c>
      <c r="R255" s="152"/>
    </row>
    <row r="256" spans="1:18">
      <c r="A256" s="147" t="s">
        <v>256</v>
      </c>
      <c r="B256" s="144" t="str">
        <f>VLOOKUP(A256,Data[],2,FALSE)</f>
        <v>BROOKLYN</v>
      </c>
      <c r="C256" s="144" t="str">
        <f ca="1">IF(OR(F256="2019-2020",F256="2021-2025"),"",IF(ISNUMBER(SEARCH("LLC",D256)),VLOOKUP(A256,Yards25[],3,FALSE),VLOOKUP(A256,Yards[],3,FALSE)))</f>
        <v>New Waste Yard v1</v>
      </c>
      <c r="D256" s="9" t="str">
        <f>VLOOKUP(A256,Data[],52,FALSE)</f>
        <v>FEDERAL</v>
      </c>
      <c r="E256" s="9">
        <f>VLOOKUP(YardsAll[[#This Row],[DEVELOPMENT]],Data[],62,FALSE)</f>
        <v>8</v>
      </c>
      <c r="F256" s="9" t="str">
        <f ca="1">VLOOKUP(A256,Data[],4,FALSE)</f>
        <v>2022-2025</v>
      </c>
      <c r="G256" s="9">
        <f ca="1">IF(OR(YardsAll[[#This Row],[RAD/PACT]]="2019-2020",YardsAll[[#This Row],[RAD/PACT]]="2021-2025"),"",IF(ISNUMBER(SEARCH("1",C256)),2,IF(ISNUMBER(SEARCH("2",C256)),1,IF(ISNUMBER(SEARCH("3",C256)),3,IF(ISNUMBER(SEARCH("4",C256)),4,IF(ISNUMBER(SEARCH("5",C256)),5,IF(ISNUMBER(SEARCH("6",C256)),6,IF(ISNUMBER(SEARCH("7",C256)),7,IF(ISNUMBER(SEARCH("8",C256)),8,0)))))))))</f>
        <v>2</v>
      </c>
      <c r="H256" s="143" t="str">
        <f ca="1">IF(YardsAll[[#This Row],[STATUS]]="","",IF(OR(F256="2019-2020",F256="2021-2025"),"",IF(ISNUMBER(SEARCH("LLC",D256)),VLOOKUP(A256,Yards25[],28,FALSE),VLOOKUP(A256,Yards[],28,FALSE))))</f>
        <v/>
      </c>
      <c r="I256" s="143" t="str">
        <f ca="1">IF(YardsAll[[#This Row],[STATUS]]="","",IF(OR(F256="2019-2020",F256="2021-2025"),"",IF(ISNUMBER(SEARCH("LLC",D256)),VLOOKUP(A256,Yards25[],17,FALSE),VLOOKUP(A256,Yards[],17,FALSE))))</f>
        <v/>
      </c>
      <c r="J256" s="143" t="str">
        <f ca="1">IF(YardsAll[[#This Row],[STATUS]]="","",IF(OR(F256="2019-2020",F256="2021-2025"),"",IF(ISNUMBER(SEARCH("LLC",D256)),VLOOKUP(A256,Yards25[],29,FALSE),VLOOKUP(A256,Yards[],29,FALSE))))</f>
        <v/>
      </c>
      <c r="K256" s="143" t="str">
        <f ca="1">IF(YardsAll[[#This Row],[STATUS]]="","",IF(OR(F256="2019-2020",F256="2021-2025"),"",IF(ISNUMBER(SEARCH("LLC",D256)),VLOOKUP(A256,Yards25[],19,FALSE),VLOOKUP(A256,Yards[],19,FALSE))))</f>
        <v/>
      </c>
      <c r="L256" s="143" t="str">
        <f ca="1">IF(IF(OR(F256="2019-2020",F256="2021-2025"),"",IF(ISNUMBER(SEARCH("LLC",D256)),VLOOKUP(A256,Yards25[],20,FALSE),VLOOKUP(A256,Yards[],20,FALSE)))=0,"",IF(OR(F256="2019-2020",F256="2021-2025"),"",IF(ISNUMBER(SEARCH("LLC",D256)),VLOOKUP(A256,Yards25[],20,FALSE),VLOOKUP(A256,Yards[],20,FALSE))))</f>
        <v/>
      </c>
      <c r="M256" s="151">
        <f ca="1">IF(OR(F256="2019-2020",F256="2021-2025"),"",IF(ISNUMBER(SEARCH("LLC",D256)),VLOOKUP(A256,Yards25[],21,FALSE),VLOOKUP(A256,Yards[],21,FALSE)))</f>
        <v>0</v>
      </c>
      <c r="N256" s="151">
        <f ca="1">IF(OR(F256="2019-2020",F256="2021-2025"),"",IF(ISNUMBER(SEARCH("LLC",D256)),VLOOKUP(A256,Yards25[],22,FALSE),VLOOKUP(A256,Yards[],22,FALSE)))</f>
        <v>0</v>
      </c>
      <c r="O256" s="151">
        <f ca="1">SUM(YardsAll[[#This Row],[DSGN ESTIMATE]:[CONS ESTIMATE]])</f>
        <v>0</v>
      </c>
      <c r="P256" s="143"/>
      <c r="Q256" s="143">
        <f ca="1">IF(OR(F256="2019-2020",F256="2021-2025"),"",IF(ISNUMBER(SEARCH("LLC",D256)),VLOOKUP(A256,Yards25[],25,FALSE),VLOOKUP(A256,Yards[],25,FALSE)))</f>
        <v>0</v>
      </c>
      <c r="R256" s="152"/>
    </row>
    <row r="257" spans="1:18">
      <c r="A257" s="147" t="s">
        <v>198</v>
      </c>
      <c r="B257" s="144" t="str">
        <f>VLOOKUP(A257,Data[],2,FALSE)</f>
        <v>MANHATTAN</v>
      </c>
      <c r="C257" s="144" t="str">
        <f ca="1">IF(OR(F257="2019-2020",F257="2021-2025"),"",IF(ISNUMBER(SEARCH("LLC",D257)),VLOOKUP(A257,Yards25[],3,FALSE),VLOOKUP(A257,Yards[],3,FALSE)))</f>
        <v>New Waste Yard v1</v>
      </c>
      <c r="D257" s="9" t="str">
        <f>VLOOKUP(A257,Data[],52,FALSE)</f>
        <v>FEDERAL</v>
      </c>
      <c r="E257" s="9">
        <f>VLOOKUP(YardsAll[[#This Row],[DEVELOPMENT]],Data[],62,FALSE)</f>
        <v>6</v>
      </c>
      <c r="F257" s="9" t="str">
        <f ca="1">VLOOKUP(A257,Data[],4,FALSE)</f>
        <v/>
      </c>
      <c r="G257" s="9">
        <f ca="1">IF(OR(YardsAll[[#This Row],[RAD/PACT]]="2019-2020",YardsAll[[#This Row],[RAD/PACT]]="2021-2025"),"",IF(ISNUMBER(SEARCH("1",C257)),2,IF(ISNUMBER(SEARCH("2",C257)),1,IF(ISNUMBER(SEARCH("3",C257)),3,IF(ISNUMBER(SEARCH("4",C257)),4,IF(ISNUMBER(SEARCH("5",C257)),5,IF(ISNUMBER(SEARCH("6",C257)),6,IF(ISNUMBER(SEARCH("7",C257)),7,IF(ISNUMBER(SEARCH("8",C257)),8,0)))))))))</f>
        <v>2</v>
      </c>
      <c r="H257" s="143" t="str">
        <f ca="1">IF(YardsAll[[#This Row],[STATUS]]="","",IF(OR(F257="2019-2020",F257="2021-2025"),"",IF(ISNUMBER(SEARCH("LLC",D257)),VLOOKUP(A257,Yards25[],28,FALSE),VLOOKUP(A257,Yards[],28,FALSE))))</f>
        <v/>
      </c>
      <c r="I257" s="143" t="str">
        <f ca="1">IF(YardsAll[[#This Row],[STATUS]]="","",IF(OR(F257="2019-2020",F257="2021-2025"),"",IF(ISNUMBER(SEARCH("LLC",D257)),VLOOKUP(A257,Yards25[],17,FALSE),VLOOKUP(A257,Yards[],17,FALSE))))</f>
        <v/>
      </c>
      <c r="J257" s="143" t="str">
        <f ca="1">IF(YardsAll[[#This Row],[STATUS]]="","",IF(OR(F257="2019-2020",F257="2021-2025"),"",IF(ISNUMBER(SEARCH("LLC",D257)),VLOOKUP(A257,Yards25[],29,FALSE),VLOOKUP(A257,Yards[],29,FALSE))))</f>
        <v/>
      </c>
      <c r="K257" s="143" t="str">
        <f ca="1">IF(YardsAll[[#This Row],[STATUS]]="","",IF(OR(F257="2019-2020",F257="2021-2025"),"",IF(ISNUMBER(SEARCH("LLC",D257)),VLOOKUP(A257,Yards25[],19,FALSE),VLOOKUP(A257,Yards[],19,FALSE))))</f>
        <v/>
      </c>
      <c r="L257" s="143" t="str">
        <f ca="1">IF(IF(OR(F257="2019-2020",F257="2021-2025"),"",IF(ISNUMBER(SEARCH("LLC",D257)),VLOOKUP(A257,Yards25[],20,FALSE),VLOOKUP(A257,Yards[],20,FALSE)))=0,"",IF(OR(F257="2019-2020",F257="2021-2025"),"",IF(ISNUMBER(SEARCH("LLC",D257)),VLOOKUP(A257,Yards25[],20,FALSE),VLOOKUP(A257,Yards[],20,FALSE))))</f>
        <v/>
      </c>
      <c r="M257" s="151">
        <f ca="1">IF(OR(F257="2019-2020",F257="2021-2025"),"",IF(ISNUMBER(SEARCH("LLC",D257)),VLOOKUP(A257,Yards25[],21,FALSE),VLOOKUP(A257,Yards[],21,FALSE)))</f>
        <v>193407.39567800006</v>
      </c>
      <c r="N257" s="151">
        <f ca="1">IF(OR(F257="2019-2020",F257="2021-2025"),"",IF(ISNUMBER(SEARCH("LLC",D257)),VLOOKUP(A257,Yards25[],22,FALSE),VLOOKUP(A257,Yards[],22,FALSE)))</f>
        <v>1740666.5611020005</v>
      </c>
      <c r="O257" s="151">
        <f ca="1">SUM(YardsAll[[#This Row],[DSGN ESTIMATE]:[CONS ESTIMATE]])</f>
        <v>1934073.9567800006</v>
      </c>
      <c r="P257" s="143"/>
      <c r="Q257" s="143">
        <f ca="1">IF(OR(F257="2019-2020",F257="2021-2025"),"",IF(ISNUMBER(SEARCH("LLC",D257)),VLOOKUP(A257,Yards25[],25,FALSE),VLOOKUP(A257,Yards[],25,FALSE)))</f>
        <v>0</v>
      </c>
      <c r="R257" s="152"/>
    </row>
    <row r="258" spans="1:18">
      <c r="A258" s="148" t="s">
        <v>257</v>
      </c>
      <c r="B258" s="144" t="str">
        <f>VLOOKUP(A258,Data[],2,FALSE)</f>
        <v>BROOKLYN</v>
      </c>
      <c r="C258" s="144" t="str">
        <f ca="1">IF(OR(F258="2019-2020",F258="2021-2025"),"",IF(ISNUMBER(SEARCH("LLC",D258)),VLOOKUP(A258,Yards25[],3,FALSE),VLOOKUP(A258,Yards[],3,FALSE)))</f>
        <v>New Waste Yard v1</v>
      </c>
      <c r="D258" s="9" t="str">
        <f>VLOOKUP(A258,Data[],52,FALSE)</f>
        <v>FEDERAL</v>
      </c>
      <c r="E258" s="9">
        <f>VLOOKUP(YardsAll[[#This Row],[DEVELOPMENT]],Data[],62,FALSE)</f>
        <v>3</v>
      </c>
      <c r="F258" s="9" t="str">
        <f ca="1">VLOOKUP(A258,Data[],4,FALSE)</f>
        <v>2026+</v>
      </c>
      <c r="G258" s="9">
        <f ca="1">IF(OR(YardsAll[[#This Row],[RAD/PACT]]="2019-2020",YardsAll[[#This Row],[RAD/PACT]]="2021-2025"),"",IF(ISNUMBER(SEARCH("1",C258)),2,IF(ISNUMBER(SEARCH("2",C258)),1,IF(ISNUMBER(SEARCH("3",C258)),3,IF(ISNUMBER(SEARCH("4",C258)),4,IF(ISNUMBER(SEARCH("5",C258)),5,IF(ISNUMBER(SEARCH("6",C258)),6,IF(ISNUMBER(SEARCH("7",C258)),7,IF(ISNUMBER(SEARCH("8",C258)),8,0)))))))))</f>
        <v>2</v>
      </c>
      <c r="H258" s="143" t="str">
        <f ca="1">IF(YardsAll[[#This Row],[STATUS]]="","",IF(OR(F258="2019-2020",F258="2021-2025"),"",IF(ISNUMBER(SEARCH("LLC",D258)),VLOOKUP(A258,Yards25[],28,FALSE),VLOOKUP(A258,Yards[],28,FALSE))))</f>
        <v/>
      </c>
      <c r="I258" s="143" t="str">
        <f ca="1">IF(YardsAll[[#This Row],[STATUS]]="","",IF(OR(F258="2019-2020",F258="2021-2025"),"",IF(ISNUMBER(SEARCH("LLC",D258)),VLOOKUP(A258,Yards25[],17,FALSE),VLOOKUP(A258,Yards[],17,FALSE))))</f>
        <v/>
      </c>
      <c r="J258" s="143" t="str">
        <f ca="1">IF(YardsAll[[#This Row],[STATUS]]="","",IF(OR(F258="2019-2020",F258="2021-2025"),"",IF(ISNUMBER(SEARCH("LLC",D258)),VLOOKUP(A258,Yards25[],29,FALSE),VLOOKUP(A258,Yards[],29,FALSE))))</f>
        <v/>
      </c>
      <c r="K258" s="143" t="str">
        <f ca="1">IF(YardsAll[[#This Row],[STATUS]]="","",IF(OR(F258="2019-2020",F258="2021-2025"),"",IF(ISNUMBER(SEARCH("LLC",D258)),VLOOKUP(A258,Yards25[],19,FALSE),VLOOKUP(A258,Yards[],19,FALSE))))</f>
        <v/>
      </c>
      <c r="L258" s="143" t="str">
        <f ca="1">IF(IF(OR(F258="2019-2020",F258="2021-2025"),"",IF(ISNUMBER(SEARCH("LLC",D258)),VLOOKUP(A258,Yards25[],20,FALSE),VLOOKUP(A258,Yards[],20,FALSE)))=0,"",IF(OR(F258="2019-2020",F258="2021-2025"),"",IF(ISNUMBER(SEARCH("LLC",D258)),VLOOKUP(A258,Yards25[],20,FALSE),VLOOKUP(A258,Yards[],20,FALSE))))</f>
        <v/>
      </c>
      <c r="M258" s="151">
        <f ca="1">IF(OR(F258="2019-2020",F258="2021-2025"),"",IF(ISNUMBER(SEARCH("LLC",D258)),VLOOKUP(A258,Yards25[],21,FALSE),VLOOKUP(A258,Yards[],21,FALSE)))</f>
        <v>206060.21595600009</v>
      </c>
      <c r="N258" s="151">
        <f ca="1">IF(OR(F258="2019-2020",F258="2021-2025"),"",IF(ISNUMBER(SEARCH("LLC",D258)),VLOOKUP(A258,Yards25[],22,FALSE),VLOOKUP(A258,Yards[],22,FALSE)))</f>
        <v>1854541.9436040006</v>
      </c>
      <c r="O258" s="151">
        <f ca="1">SUM(YardsAll[[#This Row],[DSGN ESTIMATE]:[CONS ESTIMATE]])</f>
        <v>2060602.1595600008</v>
      </c>
      <c r="P258" s="143"/>
      <c r="Q258" s="143">
        <f ca="1">IF(OR(F258="2019-2020",F258="2021-2025"),"",IF(ISNUMBER(SEARCH("LLC",D258)),VLOOKUP(A258,Yards25[],25,FALSE),VLOOKUP(A258,Yards[],25,FALSE)))</f>
        <v>0</v>
      </c>
      <c r="R258" s="152"/>
    </row>
    <row r="259" spans="1:18">
      <c r="A259" s="148" t="s">
        <v>258</v>
      </c>
      <c r="B259" s="144" t="str">
        <f>VLOOKUP(A259,Data[],2,FALSE)</f>
        <v>BROOKLYN</v>
      </c>
      <c r="C259" s="144" t="str">
        <f ca="1">IF(OR(F259="2019-2020",F259="2021-2025"),"",IF(ISNUMBER(SEARCH("LLC",D259)),VLOOKUP(A259,Yards25[],3,FALSE),VLOOKUP(A259,Yards[],3,FALSE)))</f>
        <v>New Waste Yard v1</v>
      </c>
      <c r="D259" s="9" t="str">
        <f>VLOOKUP(A259,Data[],52,FALSE)</f>
        <v>FEDERAL</v>
      </c>
      <c r="E259" s="9">
        <f>VLOOKUP(YardsAll[[#This Row],[DEVELOPMENT]],Data[],62,FALSE)</f>
        <v>3</v>
      </c>
      <c r="F259" s="9" t="str">
        <f ca="1">VLOOKUP(A259,Data[],4,FALSE)</f>
        <v>2026+</v>
      </c>
      <c r="G259" s="9">
        <f ca="1">IF(OR(YardsAll[[#This Row],[RAD/PACT]]="2019-2020",YardsAll[[#This Row],[RAD/PACT]]="2021-2025"),"",IF(ISNUMBER(SEARCH("1",C259)),2,IF(ISNUMBER(SEARCH("2",C259)),1,IF(ISNUMBER(SEARCH("3",C259)),3,IF(ISNUMBER(SEARCH("4",C259)),4,IF(ISNUMBER(SEARCH("5",C259)),5,IF(ISNUMBER(SEARCH("6",C259)),6,IF(ISNUMBER(SEARCH("7",C259)),7,IF(ISNUMBER(SEARCH("8",C259)),8,0)))))))))</f>
        <v>2</v>
      </c>
      <c r="H259" s="143" t="str">
        <f ca="1">IF(YardsAll[[#This Row],[STATUS]]="","",IF(OR(F259="2019-2020",F259="2021-2025"),"",IF(ISNUMBER(SEARCH("LLC",D259)),VLOOKUP(A259,Yards25[],28,FALSE),VLOOKUP(A259,Yards[],28,FALSE))))</f>
        <v/>
      </c>
      <c r="I259" s="143" t="str">
        <f ca="1">IF(YardsAll[[#This Row],[STATUS]]="","",IF(OR(F259="2019-2020",F259="2021-2025"),"",IF(ISNUMBER(SEARCH("LLC",D259)),VLOOKUP(A259,Yards25[],17,FALSE),VLOOKUP(A259,Yards[],17,FALSE))))</f>
        <v/>
      </c>
      <c r="J259" s="143" t="str">
        <f ca="1">IF(YardsAll[[#This Row],[STATUS]]="","",IF(OR(F259="2019-2020",F259="2021-2025"),"",IF(ISNUMBER(SEARCH("LLC",D259)),VLOOKUP(A259,Yards25[],29,FALSE),VLOOKUP(A259,Yards[],29,FALSE))))</f>
        <v/>
      </c>
      <c r="K259" s="143" t="str">
        <f ca="1">IF(YardsAll[[#This Row],[STATUS]]="","",IF(OR(F259="2019-2020",F259="2021-2025"),"",IF(ISNUMBER(SEARCH("LLC",D259)),VLOOKUP(A259,Yards25[],19,FALSE),VLOOKUP(A259,Yards[],19,FALSE))))</f>
        <v/>
      </c>
      <c r="L259" s="143" t="str">
        <f ca="1">IF(IF(OR(F259="2019-2020",F259="2021-2025"),"",IF(ISNUMBER(SEARCH("LLC",D259)),VLOOKUP(A259,Yards25[],20,FALSE),VLOOKUP(A259,Yards[],20,FALSE)))=0,"",IF(OR(F259="2019-2020",F259="2021-2025"),"",IF(ISNUMBER(SEARCH("LLC",D259)),VLOOKUP(A259,Yards25[],20,FALSE),VLOOKUP(A259,Yards[],20,FALSE))))</f>
        <v/>
      </c>
      <c r="M259" s="151">
        <f ca="1">IF(OR(F259="2019-2020",F259="2021-2025"),"",IF(ISNUMBER(SEARCH("LLC",D259)),VLOOKUP(A259,Yards25[],21,FALSE),VLOOKUP(A259,Yards[],21,FALSE)))</f>
        <v>212386.62609500007</v>
      </c>
      <c r="N259" s="151">
        <f ca="1">IF(OR(F259="2019-2020",F259="2021-2025"),"",IF(ISNUMBER(SEARCH("LLC",D259)),VLOOKUP(A259,Yards25[],22,FALSE),VLOOKUP(A259,Yards[],22,FALSE)))</f>
        <v>1911479.6348550003</v>
      </c>
      <c r="O259" s="151">
        <f ca="1">SUM(YardsAll[[#This Row],[DSGN ESTIMATE]:[CONS ESTIMATE]])</f>
        <v>2123866.2609500005</v>
      </c>
      <c r="P259" s="143"/>
      <c r="Q259" s="143">
        <f ca="1">IF(OR(F259="2019-2020",F259="2021-2025"),"",IF(ISNUMBER(SEARCH("LLC",D259)),VLOOKUP(A259,Yards25[],25,FALSE),VLOOKUP(A259,Yards[],25,FALSE)))</f>
        <v>0</v>
      </c>
      <c r="R259" s="152"/>
    </row>
    <row r="260" spans="1:18">
      <c r="A260" s="148" t="s">
        <v>45</v>
      </c>
      <c r="B260" s="144" t="str">
        <f>VLOOKUP(A260,Data[],2,FALSE)</f>
        <v>BROOKLYN</v>
      </c>
      <c r="C260" s="144" t="str">
        <f ca="1">IF(OR(F260="2019-2020",F260="2021-2025"),"",IF(ISNUMBER(SEARCH("LLC",D260)),VLOOKUP(A260,Yards25[],3,FALSE),VLOOKUP(A260,Yards[],3,FALSE)))</f>
        <v>New Waste Yard v2</v>
      </c>
      <c r="D260" s="9" t="str">
        <f>VLOOKUP(A260,Data[],52,FALSE)</f>
        <v>FEDERAL</v>
      </c>
      <c r="E260" s="9">
        <f>VLOOKUP(YardsAll[[#This Row],[DEVELOPMENT]],Data[],62,FALSE)</f>
        <v>3</v>
      </c>
      <c r="F260" s="9" t="str">
        <f ca="1">VLOOKUP(A260,Data[],4,FALSE)</f>
        <v/>
      </c>
      <c r="G260" s="9">
        <f ca="1">IF(OR(YardsAll[[#This Row],[RAD/PACT]]="2019-2020",YardsAll[[#This Row],[RAD/PACT]]="2021-2025"),"",IF(ISNUMBER(SEARCH("1",C260)),2,IF(ISNUMBER(SEARCH("2",C260)),1,IF(ISNUMBER(SEARCH("3",C260)),3,IF(ISNUMBER(SEARCH("4",C260)),4,IF(ISNUMBER(SEARCH("5",C260)),5,IF(ISNUMBER(SEARCH("6",C260)),6,IF(ISNUMBER(SEARCH("7",C260)),7,IF(ISNUMBER(SEARCH("8",C260)),8,0)))))))))</f>
        <v>1</v>
      </c>
      <c r="H260" s="143" t="str">
        <f ca="1">IF(YardsAll[[#This Row],[STATUS]]="","",IF(OR(F260="2019-2020",F260="2021-2025"),"",IF(ISNUMBER(SEARCH("LLC",D260)),VLOOKUP(A260,Yards25[],28,FALSE),VLOOKUP(A260,Yards[],28,FALSE))))</f>
        <v/>
      </c>
      <c r="I260" s="143" t="str">
        <f ca="1">IF(YardsAll[[#This Row],[STATUS]]="","",IF(OR(F260="2019-2020",F260="2021-2025"),"",IF(ISNUMBER(SEARCH("LLC",D260)),VLOOKUP(A260,Yards25[],17,FALSE),VLOOKUP(A260,Yards[],17,FALSE))))</f>
        <v/>
      </c>
      <c r="J260" s="143" t="str">
        <f ca="1">IF(YardsAll[[#This Row],[STATUS]]="","",IF(OR(F260="2019-2020",F260="2021-2025"),"",IF(ISNUMBER(SEARCH("LLC",D260)),VLOOKUP(A260,Yards25[],29,FALSE),VLOOKUP(A260,Yards[],29,FALSE))))</f>
        <v/>
      </c>
      <c r="K260" s="143" t="str">
        <f ca="1">IF(YardsAll[[#This Row],[STATUS]]="","",IF(OR(F260="2019-2020",F260="2021-2025"),"",IF(ISNUMBER(SEARCH("LLC",D260)),VLOOKUP(A260,Yards25[],19,FALSE),VLOOKUP(A260,Yards[],19,FALSE))))</f>
        <v/>
      </c>
      <c r="L260" s="143" t="str">
        <f ca="1">IF(IF(OR(F260="2019-2020",F260="2021-2025"),"",IF(ISNUMBER(SEARCH("LLC",D260)),VLOOKUP(A260,Yards25[],20,FALSE),VLOOKUP(A260,Yards[],20,FALSE)))=0,"",IF(OR(F260="2019-2020",F260="2021-2025"),"",IF(ISNUMBER(SEARCH("LLC",D260)),VLOOKUP(A260,Yards25[],20,FALSE),VLOOKUP(A260,Yards[],20,FALSE))))</f>
        <v/>
      </c>
      <c r="M260" s="151">
        <f ca="1">IF(OR(F260="2019-2020",F260="2021-2025"),"",IF(ISNUMBER(SEARCH("LLC",D260)),VLOOKUP(A260,Yards25[],21,FALSE),VLOOKUP(A260,Yards[],21,FALSE)))</f>
        <v>155298.07909380004</v>
      </c>
      <c r="N260" s="151">
        <f ca="1">IF(OR(F260="2019-2020",F260="2021-2025"),"",IF(ISNUMBER(SEARCH("LLC",D260)),VLOOKUP(A260,Yards25[],22,FALSE),VLOOKUP(A260,Yards[],22,FALSE)))</f>
        <v>1397682.7118442003</v>
      </c>
      <c r="O260" s="151">
        <f ca="1">SUM(YardsAll[[#This Row],[DSGN ESTIMATE]:[CONS ESTIMATE]])</f>
        <v>1552980.7909380002</v>
      </c>
      <c r="P260" s="143"/>
      <c r="Q260" s="143">
        <f ca="1">IF(OR(F260="2019-2020",F260="2021-2025"),"",IF(ISNUMBER(SEARCH("LLC",D260)),VLOOKUP(A260,Yards25[],25,FALSE),VLOOKUP(A260,Yards[],25,FALSE)))</f>
        <v>0</v>
      </c>
      <c r="R260" s="152"/>
    </row>
    <row r="261" spans="1:18">
      <c r="A261" s="147" t="s">
        <v>367</v>
      </c>
      <c r="B261" s="144" t="str">
        <f>VLOOKUP(A261,Data[],2,FALSE)</f>
        <v>BROOKLYN</v>
      </c>
      <c r="C261" s="144" t="str">
        <f ca="1">IF(OR(F261="2019-2020",F261="2021-2025"),"",IF(ISNUMBER(SEARCH("LLC",D261)),VLOOKUP(A261,Yards25[],3,FALSE),VLOOKUP(A261,Yards[],3,FALSE)))</f>
        <v>New Waste Yard v3</v>
      </c>
      <c r="D261" s="9" t="str">
        <f>VLOOKUP(A261,Data[],52,FALSE)</f>
        <v>FEDERAL</v>
      </c>
      <c r="E261" s="9">
        <f>VLOOKUP(YardsAll[[#This Row],[DEVELOPMENT]],Data[],62,FALSE)</f>
        <v>13</v>
      </c>
      <c r="F261" s="9" t="str">
        <f ca="1">VLOOKUP(A261,Data[],4,FALSE)</f>
        <v/>
      </c>
      <c r="G261" s="9">
        <f ca="1">IF(OR(YardsAll[[#This Row],[RAD/PACT]]="2019-2020",YardsAll[[#This Row],[RAD/PACT]]="2021-2025"),"",IF(ISNUMBER(SEARCH("1",C261)),2,IF(ISNUMBER(SEARCH("2",C261)),1,IF(ISNUMBER(SEARCH("3",C261)),3,IF(ISNUMBER(SEARCH("4",C261)),4,IF(ISNUMBER(SEARCH("5",C261)),5,IF(ISNUMBER(SEARCH("6",C261)),6,IF(ISNUMBER(SEARCH("7",C261)),7,IF(ISNUMBER(SEARCH("8",C261)),8,0)))))))))</f>
        <v>3</v>
      </c>
      <c r="H261" s="143" t="str">
        <f ca="1">IF(YardsAll[[#This Row],[STATUS]]="","",IF(OR(F261="2019-2020",F261="2021-2025"),"",IF(ISNUMBER(SEARCH("LLC",D261)),VLOOKUP(A261,Yards25[],28,FALSE),VLOOKUP(A261,Yards[],28,FALSE))))</f>
        <v/>
      </c>
      <c r="I261" s="143" t="str">
        <f ca="1">IF(YardsAll[[#This Row],[STATUS]]="","",IF(OR(F261="2019-2020",F261="2021-2025"),"",IF(ISNUMBER(SEARCH("LLC",D261)),VLOOKUP(A261,Yards25[],17,FALSE),VLOOKUP(A261,Yards[],17,FALSE))))</f>
        <v/>
      </c>
      <c r="J261" s="143" t="str">
        <f ca="1">IF(YardsAll[[#This Row],[STATUS]]="","",IF(OR(F261="2019-2020",F261="2021-2025"),"",IF(ISNUMBER(SEARCH("LLC",D261)),VLOOKUP(A261,Yards25[],29,FALSE),VLOOKUP(A261,Yards[],29,FALSE))))</f>
        <v/>
      </c>
      <c r="K261" s="143" t="str">
        <f ca="1">IF(YardsAll[[#This Row],[STATUS]]="","",IF(OR(F261="2019-2020",F261="2021-2025"),"",IF(ISNUMBER(SEARCH("LLC",D261)),VLOOKUP(A261,Yards25[],19,FALSE),VLOOKUP(A261,Yards[],19,FALSE))))</f>
        <v/>
      </c>
      <c r="L261" s="143" t="str">
        <f ca="1">IF(IF(OR(F261="2019-2020",F261="2021-2025"),"",IF(ISNUMBER(SEARCH("LLC",D261)),VLOOKUP(A261,Yards25[],20,FALSE),VLOOKUP(A261,Yards[],20,FALSE)))=0,"",IF(OR(F261="2019-2020",F261="2021-2025"),"",IF(ISNUMBER(SEARCH("LLC",D261)),VLOOKUP(A261,Yards25[],20,FALSE),VLOOKUP(A261,Yards[],20,FALSE))))</f>
        <v/>
      </c>
      <c r="M261" s="151">
        <f ca="1">IF(OR(F261="2019-2020",F261="2021-2025"),"",IF(ISNUMBER(SEARCH("LLC",D261)),VLOOKUP(A261,Yards25[],21,FALSE),VLOOKUP(A261,Yards[],21,FALSE)))</f>
        <v>258614.90131200009</v>
      </c>
      <c r="N261" s="151">
        <f ca="1">IF(OR(F261="2019-2020",F261="2021-2025"),"",IF(ISNUMBER(SEARCH("LLC",D261)),VLOOKUP(A261,Yards25[],22,FALSE),VLOOKUP(A261,Yards[],22,FALSE)))</f>
        <v>2327534.1118080006</v>
      </c>
      <c r="O261" s="151">
        <f ca="1">SUM(YardsAll[[#This Row],[DSGN ESTIMATE]:[CONS ESTIMATE]])</f>
        <v>2586149.0131200007</v>
      </c>
      <c r="P261" s="143"/>
      <c r="Q261" s="143">
        <f ca="1">IF(OR(F261="2019-2020",F261="2021-2025"),"",IF(ISNUMBER(SEARCH("LLC",D261)),VLOOKUP(A261,Yards25[],25,FALSE),VLOOKUP(A261,Yards[],25,FALSE)))</f>
        <v>0</v>
      </c>
      <c r="R261" s="152"/>
    </row>
    <row r="262" spans="1:18">
      <c r="A262" s="147" t="s">
        <v>368</v>
      </c>
      <c r="B262" s="144" t="str">
        <f>VLOOKUP(A262,Data[],2,FALSE)</f>
        <v>BROOKLYN</v>
      </c>
      <c r="C262" s="144" t="str">
        <f ca="1">IF(OR(F262="2019-2020",F262="2021-2025"),"",IF(ISNUMBER(SEARCH("LLC",D262)),VLOOKUP(A262,Yards25[],3,FALSE),VLOOKUP(A262,Yards[],3,FALSE)))</f>
        <v>New Waste Yard v1</v>
      </c>
      <c r="D262" s="9" t="str">
        <f>VLOOKUP(A262,Data[],52,FALSE)</f>
        <v>FEDERAL</v>
      </c>
      <c r="E262" s="9">
        <f>VLOOKUP(YardsAll[[#This Row],[DEVELOPMENT]],Data[],62,FALSE)</f>
        <v>16</v>
      </c>
      <c r="F262" s="9" t="str">
        <f ca="1">VLOOKUP(A262,Data[],4,FALSE)</f>
        <v>2020-2021</v>
      </c>
      <c r="G262" s="9">
        <f ca="1">IF(OR(YardsAll[[#This Row],[RAD/PACT]]="2019-2020",YardsAll[[#This Row],[RAD/PACT]]="2021-2025"),"",IF(ISNUMBER(SEARCH("1",C262)),2,IF(ISNUMBER(SEARCH("2",C262)),1,IF(ISNUMBER(SEARCH("3",C262)),3,IF(ISNUMBER(SEARCH("4",C262)),4,IF(ISNUMBER(SEARCH("5",C262)),5,IF(ISNUMBER(SEARCH("6",C262)),6,IF(ISNUMBER(SEARCH("7",C262)),7,IF(ISNUMBER(SEARCH("8",C262)),8,0)))))))))</f>
        <v>2</v>
      </c>
      <c r="H262" s="143" t="str">
        <f ca="1">IF(YardsAll[[#This Row],[STATUS]]="","",IF(OR(F262="2019-2020",F262="2021-2025"),"",IF(ISNUMBER(SEARCH("LLC",D262)),VLOOKUP(A262,Yards25[],28,FALSE),VLOOKUP(A262,Yards[],28,FALSE))))</f>
        <v/>
      </c>
      <c r="I262" s="143" t="str">
        <f ca="1">IF(YardsAll[[#This Row],[STATUS]]="","",IF(OR(F262="2019-2020",F262="2021-2025"),"",IF(ISNUMBER(SEARCH("LLC",D262)),VLOOKUP(A262,Yards25[],17,FALSE),VLOOKUP(A262,Yards[],17,FALSE))))</f>
        <v/>
      </c>
      <c r="J262" s="143" t="str">
        <f ca="1">IF(YardsAll[[#This Row],[STATUS]]="","",IF(OR(F262="2019-2020",F262="2021-2025"),"",IF(ISNUMBER(SEARCH("LLC",D262)),VLOOKUP(A262,Yards25[],29,FALSE),VLOOKUP(A262,Yards[],29,FALSE))))</f>
        <v/>
      </c>
      <c r="K262" s="143" t="str">
        <f ca="1">IF(YardsAll[[#This Row],[STATUS]]="","",IF(OR(F262="2019-2020",F262="2021-2025"),"",IF(ISNUMBER(SEARCH("LLC",D262)),VLOOKUP(A262,Yards25[],19,FALSE),VLOOKUP(A262,Yards[],19,FALSE))))</f>
        <v/>
      </c>
      <c r="L262" s="143" t="str">
        <f ca="1">IF(IF(OR(F262="2019-2020",F262="2021-2025"),"",IF(ISNUMBER(SEARCH("LLC",D262)),VLOOKUP(A262,Yards25[],20,FALSE),VLOOKUP(A262,Yards[],20,FALSE)))=0,"",IF(OR(F262="2019-2020",F262="2021-2025"),"",IF(ISNUMBER(SEARCH("LLC",D262)),VLOOKUP(A262,Yards25[],20,FALSE),VLOOKUP(A262,Yards[],20,FALSE))))</f>
        <v/>
      </c>
      <c r="M262" s="151">
        <f ca="1">IF(OR(F262="2019-2020",F262="2021-2025"),"",IF(ISNUMBER(SEARCH("LLC",D262)),VLOOKUP(A262,Yards25[],21,FALSE),VLOOKUP(A262,Yards[],21,FALSE)))</f>
        <v>0</v>
      </c>
      <c r="N262" s="151">
        <f ca="1">IF(OR(F262="2019-2020",F262="2021-2025"),"",IF(ISNUMBER(SEARCH("LLC",D262)),VLOOKUP(A262,Yards25[],22,FALSE),VLOOKUP(A262,Yards[],22,FALSE)))</f>
        <v>0</v>
      </c>
      <c r="O262" s="151">
        <f ca="1">SUM(YardsAll[[#This Row],[DSGN ESTIMATE]:[CONS ESTIMATE]])</f>
        <v>0</v>
      </c>
      <c r="P262" s="143"/>
      <c r="Q262" s="143">
        <f ca="1">IF(OR(F262="2019-2020",F262="2021-2025"),"",IF(ISNUMBER(SEARCH("LLC",D262)),VLOOKUP(A262,Yards25[],25,FALSE),VLOOKUP(A262,Yards[],25,FALSE)))</f>
        <v>0</v>
      </c>
      <c r="R262" s="152"/>
    </row>
    <row r="263" spans="1:18">
      <c r="A263" s="147" t="s">
        <v>128</v>
      </c>
      <c r="B263" s="144" t="str">
        <f>VLOOKUP(A263,Data[],2,FALSE)</f>
        <v>MANHATTAN</v>
      </c>
      <c r="C263" s="144" t="str">
        <f ca="1">IF(OR(F263="2019-2020",F263="2021-2025"),"",IF(ISNUMBER(SEARCH("LLC",D263)),VLOOKUP(A263,Yards25[],3,FALSE),VLOOKUP(A263,Yards[],3,FALSE)))</f>
        <v>New Waste Yard v2</v>
      </c>
      <c r="D263" s="9" t="str">
        <f>VLOOKUP(A263,Data[],52,FALSE)</f>
        <v>FEDERAL</v>
      </c>
      <c r="E263" s="9">
        <f>VLOOKUP(YardsAll[[#This Row],[DEVELOPMENT]],Data[],62,FALSE)</f>
        <v>11</v>
      </c>
      <c r="F263" s="9" t="str">
        <f ca="1">VLOOKUP(A263,Data[],4,FALSE)</f>
        <v>2026+</v>
      </c>
      <c r="G263" s="9">
        <f ca="1">IF(OR(YardsAll[[#This Row],[RAD/PACT]]="2019-2020",YardsAll[[#This Row],[RAD/PACT]]="2021-2025"),"",IF(ISNUMBER(SEARCH("1",C263)),2,IF(ISNUMBER(SEARCH("2",C263)),1,IF(ISNUMBER(SEARCH("3",C263)),3,IF(ISNUMBER(SEARCH("4",C263)),4,IF(ISNUMBER(SEARCH("5",C263)),5,IF(ISNUMBER(SEARCH("6",C263)),6,IF(ISNUMBER(SEARCH("7",C263)),7,IF(ISNUMBER(SEARCH("8",C263)),8,0)))))))))</f>
        <v>1</v>
      </c>
      <c r="H263" s="143" t="str">
        <f ca="1">IF(YardsAll[[#This Row],[STATUS]]="","",IF(OR(F263="2019-2020",F263="2021-2025"),"",IF(ISNUMBER(SEARCH("LLC",D263)),VLOOKUP(A263,Yards25[],28,FALSE),VLOOKUP(A263,Yards[],28,FALSE))))</f>
        <v/>
      </c>
      <c r="I263" s="143" t="str">
        <f ca="1">IF(YardsAll[[#This Row],[STATUS]]="","",IF(OR(F263="2019-2020",F263="2021-2025"),"",IF(ISNUMBER(SEARCH("LLC",D263)),VLOOKUP(A263,Yards25[],17,FALSE),VLOOKUP(A263,Yards[],17,FALSE))))</f>
        <v/>
      </c>
      <c r="J263" s="143" t="str">
        <f ca="1">IF(YardsAll[[#This Row],[STATUS]]="","",IF(OR(F263="2019-2020",F263="2021-2025"),"",IF(ISNUMBER(SEARCH("LLC",D263)),VLOOKUP(A263,Yards25[],29,FALSE),VLOOKUP(A263,Yards[],29,FALSE))))</f>
        <v/>
      </c>
      <c r="K263" s="143" t="str">
        <f ca="1">IF(YardsAll[[#This Row],[STATUS]]="","",IF(OR(F263="2019-2020",F263="2021-2025"),"",IF(ISNUMBER(SEARCH("LLC",D263)),VLOOKUP(A263,Yards25[],19,FALSE),VLOOKUP(A263,Yards[],19,FALSE))))</f>
        <v/>
      </c>
      <c r="L263" s="143" t="str">
        <f ca="1">IF(IF(OR(F263="2019-2020",F263="2021-2025"),"",IF(ISNUMBER(SEARCH("LLC",D263)),VLOOKUP(A263,Yards25[],20,FALSE),VLOOKUP(A263,Yards[],20,FALSE)))=0,"",IF(OR(F263="2019-2020",F263="2021-2025"),"",IF(ISNUMBER(SEARCH("LLC",D263)),VLOOKUP(A263,Yards25[],20,FALSE),VLOOKUP(A263,Yards[],20,FALSE))))</f>
        <v/>
      </c>
      <c r="M263" s="151">
        <f ca="1">IF(OR(F263="2019-2020",F263="2021-2025"),"",IF(ISNUMBER(SEARCH("LLC",D263)),VLOOKUP(A263,Yards25[],21,FALSE),VLOOKUP(A263,Yards[],21,FALSE)))</f>
        <v>145762.23213190003</v>
      </c>
      <c r="N263" s="151">
        <f ca="1">IF(OR(F263="2019-2020",F263="2021-2025"),"",IF(ISNUMBER(SEARCH("LLC",D263)),VLOOKUP(A263,Yards25[],22,FALSE),VLOOKUP(A263,Yards[],22,FALSE)))</f>
        <v>1311860.0891871003</v>
      </c>
      <c r="O263" s="151">
        <f ca="1">SUM(YardsAll[[#This Row],[DSGN ESTIMATE]:[CONS ESTIMATE]])</f>
        <v>1457622.3213190003</v>
      </c>
      <c r="P263" s="143"/>
      <c r="Q263" s="143">
        <f ca="1">IF(OR(F263="2019-2020",F263="2021-2025"),"",IF(ISNUMBER(SEARCH("LLC",D263)),VLOOKUP(A263,Yards25[],25,FALSE),VLOOKUP(A263,Yards[],25,FALSE)))</f>
        <v>0</v>
      </c>
      <c r="R263" s="152"/>
    </row>
    <row r="264" spans="1:18">
      <c r="A264" s="147" t="s">
        <v>369</v>
      </c>
      <c r="B264" s="144" t="str">
        <f>VLOOKUP(A264,Data[],2,FALSE)</f>
        <v>BROOKLYN</v>
      </c>
      <c r="C264" s="144" t="str">
        <f ca="1">IF(OR(F264="2019-2020",F264="2021-2025"),"",IF(ISNUMBER(SEARCH("LLC",D264)),VLOOKUP(A264,Yards25[],3,FALSE),VLOOKUP(A264,Yards[],3,FALSE)))</f>
        <v>New Waste Yard v1</v>
      </c>
      <c r="D264" s="9" t="str">
        <f>VLOOKUP(A264,Data[],52,FALSE)</f>
        <v>FEDERAL</v>
      </c>
      <c r="E264" s="9">
        <f>VLOOKUP(YardsAll[[#This Row],[DEVELOPMENT]],Data[],62,FALSE)</f>
        <v>16</v>
      </c>
      <c r="F264" s="9" t="str">
        <f ca="1">VLOOKUP(A264,Data[],4,FALSE)</f>
        <v>2020-2021</v>
      </c>
      <c r="G264" s="9">
        <f ca="1">IF(OR(YardsAll[[#This Row],[RAD/PACT]]="2019-2020",YardsAll[[#This Row],[RAD/PACT]]="2021-2025"),"",IF(ISNUMBER(SEARCH("1",C264)),2,IF(ISNUMBER(SEARCH("2",C264)),1,IF(ISNUMBER(SEARCH("3",C264)),3,IF(ISNUMBER(SEARCH("4",C264)),4,IF(ISNUMBER(SEARCH("5",C264)),5,IF(ISNUMBER(SEARCH("6",C264)),6,IF(ISNUMBER(SEARCH("7",C264)),7,IF(ISNUMBER(SEARCH("8",C264)),8,0)))))))))</f>
        <v>2</v>
      </c>
      <c r="H264" s="143" t="str">
        <f ca="1">IF(YardsAll[[#This Row],[STATUS]]="","",IF(OR(F264="2019-2020",F264="2021-2025"),"",IF(ISNUMBER(SEARCH("LLC",D264)),VLOOKUP(A264,Yards25[],28,FALSE),VLOOKUP(A264,Yards[],28,FALSE))))</f>
        <v/>
      </c>
      <c r="I264" s="143" t="str">
        <f ca="1">IF(YardsAll[[#This Row],[STATUS]]="","",IF(OR(F264="2019-2020",F264="2021-2025"),"",IF(ISNUMBER(SEARCH("LLC",D264)),VLOOKUP(A264,Yards25[],17,FALSE),VLOOKUP(A264,Yards[],17,FALSE))))</f>
        <v/>
      </c>
      <c r="J264" s="143" t="str">
        <f ca="1">IF(YardsAll[[#This Row],[STATUS]]="","",IF(OR(F264="2019-2020",F264="2021-2025"),"",IF(ISNUMBER(SEARCH("LLC",D264)),VLOOKUP(A264,Yards25[],29,FALSE),VLOOKUP(A264,Yards[],29,FALSE))))</f>
        <v/>
      </c>
      <c r="K264" s="143" t="str">
        <f ca="1">IF(YardsAll[[#This Row],[STATUS]]="","",IF(OR(F264="2019-2020",F264="2021-2025"),"",IF(ISNUMBER(SEARCH("LLC",D264)),VLOOKUP(A264,Yards25[],19,FALSE),VLOOKUP(A264,Yards[],19,FALSE))))</f>
        <v/>
      </c>
      <c r="L264" s="143" t="str">
        <f ca="1">IF(IF(OR(F264="2019-2020",F264="2021-2025"),"",IF(ISNUMBER(SEARCH("LLC",D264)),VLOOKUP(A264,Yards25[],20,FALSE),VLOOKUP(A264,Yards[],20,FALSE)))=0,"",IF(OR(F264="2019-2020",F264="2021-2025"),"",IF(ISNUMBER(SEARCH("LLC",D264)),VLOOKUP(A264,Yards25[],20,FALSE),VLOOKUP(A264,Yards[],20,FALSE))))</f>
        <v/>
      </c>
      <c r="M264" s="151">
        <f ca="1">IF(OR(F264="2019-2020",F264="2021-2025"),"",IF(ISNUMBER(SEARCH("LLC",D264)),VLOOKUP(A264,Yards25[],21,FALSE),VLOOKUP(A264,Yards[],21,FALSE)))</f>
        <v>0</v>
      </c>
      <c r="N264" s="151">
        <f ca="1">IF(OR(F264="2019-2020",F264="2021-2025"),"",IF(ISNUMBER(SEARCH("LLC",D264)),VLOOKUP(A264,Yards25[],22,FALSE),VLOOKUP(A264,Yards[],22,FALSE)))</f>
        <v>0</v>
      </c>
      <c r="O264" s="151">
        <f ca="1">SUM(YardsAll[[#This Row],[DSGN ESTIMATE]:[CONS ESTIMATE]])</f>
        <v>0</v>
      </c>
      <c r="P264" s="143"/>
      <c r="Q264" s="143">
        <f ca="1">IF(OR(F264="2019-2020",F264="2021-2025"),"",IF(ISNUMBER(SEARCH("LLC",D264)),VLOOKUP(A264,Yards25[],25,FALSE),VLOOKUP(A264,Yards[],25,FALSE)))</f>
        <v>0</v>
      </c>
      <c r="R264" s="152"/>
    </row>
    <row r="265" spans="1:18">
      <c r="A265" s="147" t="s">
        <v>370</v>
      </c>
      <c r="B265" s="144" t="str">
        <f>VLOOKUP(A265,Data[],2,FALSE)</f>
        <v>BROOKLYN</v>
      </c>
      <c r="C265" s="144" t="str">
        <f ca="1">IF(OR(F265="2019-2020",F265="2021-2025"),"",IF(ISNUMBER(SEARCH("LLC",D265)),VLOOKUP(A265,Yards25[],3,FALSE),VLOOKUP(A265,Yards[],3,FALSE)))</f>
        <v>New Waste Yard v3</v>
      </c>
      <c r="D265" s="9" t="str">
        <f>VLOOKUP(A265,Data[],52,FALSE)</f>
        <v>FEDERAL</v>
      </c>
      <c r="E265" s="9">
        <f>VLOOKUP(YardsAll[[#This Row],[DEVELOPMENT]],Data[],62,FALSE)</f>
        <v>1</v>
      </c>
      <c r="F265" s="9" t="str">
        <f ca="1">VLOOKUP(A265,Data[],4,FALSE)</f>
        <v/>
      </c>
      <c r="G265" s="9">
        <f ca="1">IF(OR(YardsAll[[#This Row],[RAD/PACT]]="2019-2020",YardsAll[[#This Row],[RAD/PACT]]="2021-2025"),"",IF(ISNUMBER(SEARCH("1",C265)),2,IF(ISNUMBER(SEARCH("2",C265)),1,IF(ISNUMBER(SEARCH("3",C265)),3,IF(ISNUMBER(SEARCH("4",C265)),4,IF(ISNUMBER(SEARCH("5",C265)),5,IF(ISNUMBER(SEARCH("6",C265)),6,IF(ISNUMBER(SEARCH("7",C265)),7,IF(ISNUMBER(SEARCH("8",C265)),8,0)))))))))</f>
        <v>3</v>
      </c>
      <c r="H265" s="143" t="str">
        <f ca="1">IF(YardsAll[[#This Row],[STATUS]]="","",IF(OR(F265="2019-2020",F265="2021-2025"),"",IF(ISNUMBER(SEARCH("LLC",D265)),VLOOKUP(A265,Yards25[],28,FALSE),VLOOKUP(A265,Yards[],28,FALSE))))</f>
        <v/>
      </c>
      <c r="I265" s="143" t="str">
        <f ca="1">IF(YardsAll[[#This Row],[STATUS]]="","",IF(OR(F265="2019-2020",F265="2021-2025"),"",IF(ISNUMBER(SEARCH("LLC",D265)),VLOOKUP(A265,Yards25[],17,FALSE),VLOOKUP(A265,Yards[],17,FALSE))))</f>
        <v/>
      </c>
      <c r="J265" s="143" t="str">
        <f ca="1">IF(YardsAll[[#This Row],[STATUS]]="","",IF(OR(F265="2019-2020",F265="2021-2025"),"",IF(ISNUMBER(SEARCH("LLC",D265)),VLOOKUP(A265,Yards25[],29,FALSE),VLOOKUP(A265,Yards[],29,FALSE))))</f>
        <v/>
      </c>
      <c r="K265" s="143" t="str">
        <f ca="1">IF(YardsAll[[#This Row],[STATUS]]="","",IF(OR(F265="2019-2020",F265="2021-2025"),"",IF(ISNUMBER(SEARCH("LLC",D265)),VLOOKUP(A265,Yards25[],19,FALSE),VLOOKUP(A265,Yards[],19,FALSE))))</f>
        <v/>
      </c>
      <c r="L265" s="143" t="str">
        <f ca="1">IF(IF(OR(F265="2019-2020",F265="2021-2025"),"",IF(ISNUMBER(SEARCH("LLC",D265)),VLOOKUP(A265,Yards25[],20,FALSE),VLOOKUP(A265,Yards[],20,FALSE)))=0,"",IF(OR(F265="2019-2020",F265="2021-2025"),"",IF(ISNUMBER(SEARCH("LLC",D265)),VLOOKUP(A265,Yards25[],20,FALSE),VLOOKUP(A265,Yards[],20,FALSE))))</f>
        <v/>
      </c>
      <c r="M265" s="151">
        <f ca="1">IF(OR(F265="2019-2020",F265="2021-2025"),"",IF(ISNUMBER(SEARCH("LLC",D265)),VLOOKUP(A265,Yards25[],21,FALSE),VLOOKUP(A265,Yards[],21,FALSE)))</f>
        <v>258614.90131200009</v>
      </c>
      <c r="N265" s="151">
        <f ca="1">IF(OR(F265="2019-2020",F265="2021-2025"),"",IF(ISNUMBER(SEARCH("LLC",D265)),VLOOKUP(A265,Yards25[],22,FALSE),VLOOKUP(A265,Yards[],22,FALSE)))</f>
        <v>2327534.1118080006</v>
      </c>
      <c r="O265" s="151">
        <f ca="1">SUM(YardsAll[[#This Row],[DSGN ESTIMATE]:[CONS ESTIMATE]])</f>
        <v>2586149.0131200007</v>
      </c>
      <c r="P265" s="143"/>
      <c r="Q265" s="143">
        <f ca="1">IF(OR(F265="2019-2020",F265="2021-2025"),"",IF(ISNUMBER(SEARCH("LLC",D265)),VLOOKUP(A265,Yards25[],25,FALSE),VLOOKUP(A265,Yards[],25,FALSE)))</f>
        <v>0</v>
      </c>
      <c r="R265" s="152"/>
    </row>
    <row r="266" spans="1:18">
      <c r="A266" s="148" t="s">
        <v>149</v>
      </c>
      <c r="B266" s="144" t="str">
        <f>VLOOKUP(A266,Data[],2,FALSE)</f>
        <v>BRONX</v>
      </c>
      <c r="C266" s="144" t="str">
        <f ca="1">IF(OR(F266="2019-2020",F266="2021-2025"),"",IF(ISNUMBER(SEARCH("LLC",D266)),VLOOKUP(A266,Yards25[],3,FALSE),VLOOKUP(A266,Yards[],3,FALSE)))</f>
        <v>New Waste Yard v1</v>
      </c>
      <c r="D266" s="9" t="str">
        <f>VLOOKUP(A266,Data[],52,FALSE)</f>
        <v>FEDERAL</v>
      </c>
      <c r="E266" s="9">
        <f>VLOOKUP(YardsAll[[#This Row],[DEVELOPMENT]],Data[],62,FALSE)</f>
        <v>4</v>
      </c>
      <c r="F266" s="9" t="str">
        <f ca="1">VLOOKUP(A266,Data[],4,FALSE)</f>
        <v>2022-2025</v>
      </c>
      <c r="G266" s="9">
        <f ca="1">IF(OR(YardsAll[[#This Row],[RAD/PACT]]="2019-2020",YardsAll[[#This Row],[RAD/PACT]]="2021-2025"),"",IF(ISNUMBER(SEARCH("1",C266)),2,IF(ISNUMBER(SEARCH("2",C266)),1,IF(ISNUMBER(SEARCH("3",C266)),3,IF(ISNUMBER(SEARCH("4",C266)),4,IF(ISNUMBER(SEARCH("5",C266)),5,IF(ISNUMBER(SEARCH("6",C266)),6,IF(ISNUMBER(SEARCH("7",C266)),7,IF(ISNUMBER(SEARCH("8",C266)),8,0)))))))))</f>
        <v>2</v>
      </c>
      <c r="H266" s="143" t="str">
        <f ca="1">IF(YardsAll[[#This Row],[STATUS]]="","",IF(OR(F266="2019-2020",F266="2021-2025"),"",IF(ISNUMBER(SEARCH("LLC",D266)),VLOOKUP(A266,Yards25[],28,FALSE),VLOOKUP(A266,Yards[],28,FALSE))))</f>
        <v/>
      </c>
      <c r="I266" s="143" t="str">
        <f ca="1">IF(YardsAll[[#This Row],[STATUS]]="","",IF(OR(F266="2019-2020",F266="2021-2025"),"",IF(ISNUMBER(SEARCH("LLC",D266)),VLOOKUP(A266,Yards25[],17,FALSE),VLOOKUP(A266,Yards[],17,FALSE))))</f>
        <v/>
      </c>
      <c r="J266" s="143" t="str">
        <f ca="1">IF(YardsAll[[#This Row],[STATUS]]="","",IF(OR(F266="2019-2020",F266="2021-2025"),"",IF(ISNUMBER(SEARCH("LLC",D266)),VLOOKUP(A266,Yards25[],29,FALSE),VLOOKUP(A266,Yards[],29,FALSE))))</f>
        <v/>
      </c>
      <c r="K266" s="143" t="str">
        <f ca="1">IF(YardsAll[[#This Row],[STATUS]]="","",IF(OR(F266="2019-2020",F266="2021-2025"),"",IF(ISNUMBER(SEARCH("LLC",D266)),VLOOKUP(A266,Yards25[],19,FALSE),VLOOKUP(A266,Yards[],19,FALSE))))</f>
        <v/>
      </c>
      <c r="L266" s="143" t="str">
        <f ca="1">IF(IF(OR(F266="2019-2020",F266="2021-2025"),"",IF(ISNUMBER(SEARCH("LLC",D266)),VLOOKUP(A266,Yards25[],20,FALSE),VLOOKUP(A266,Yards[],20,FALSE)))=0,"",IF(OR(F266="2019-2020",F266="2021-2025"),"",IF(ISNUMBER(SEARCH("LLC",D266)),VLOOKUP(A266,Yards25[],20,FALSE),VLOOKUP(A266,Yards[],20,FALSE))))</f>
        <v/>
      </c>
      <c r="M266" s="151">
        <f ca="1">IF(OR(F266="2019-2020",F266="2021-2025"),"",IF(ISNUMBER(SEARCH("LLC",D266)),VLOOKUP(A266,Yards25[],21,FALSE),VLOOKUP(A266,Yards[],21,FALSE)))</f>
        <v>0</v>
      </c>
      <c r="N266" s="151">
        <f ca="1">IF(OR(F266="2019-2020",F266="2021-2025"),"",IF(ISNUMBER(SEARCH("LLC",D266)),VLOOKUP(A266,Yards25[],22,FALSE),VLOOKUP(A266,Yards[],22,FALSE)))</f>
        <v>0</v>
      </c>
      <c r="O266" s="151">
        <f ca="1">SUM(YardsAll[[#This Row],[DSGN ESTIMATE]:[CONS ESTIMATE]])</f>
        <v>0</v>
      </c>
      <c r="P266" s="143"/>
      <c r="Q266" s="143">
        <f ca="1">IF(OR(F266="2019-2020",F266="2021-2025"),"",IF(ISNUMBER(SEARCH("LLC",D266)),VLOOKUP(A266,Yards25[],25,FALSE),VLOOKUP(A266,Yards[],25,FALSE)))</f>
        <v>0</v>
      </c>
      <c r="R266" s="152"/>
    </row>
    <row r="267" spans="1:18">
      <c r="A267" s="147" t="s">
        <v>371</v>
      </c>
      <c r="B267" s="144" t="str">
        <f>VLOOKUP(A267,Data[],2,FALSE)</f>
        <v>MANHATTAN</v>
      </c>
      <c r="C267" s="144" t="str">
        <f ca="1">IF(OR(F267="2019-2020",F267="2021-2025"),"",IF(ISNUMBER(SEARCH("LLC",D267)),VLOOKUP(A267,Yards25[],3,FALSE),VLOOKUP(A267,Yards[],3,FALSE)))</f>
        <v>New Waste Yard v1</v>
      </c>
      <c r="D267" s="9" t="str">
        <f>VLOOKUP(A267,Data[],52,FALSE)</f>
        <v>FEDERAL</v>
      </c>
      <c r="E267" s="9">
        <f>VLOOKUP(YardsAll[[#This Row],[DEVELOPMENT]],Data[],62,FALSE)</f>
        <v>7</v>
      </c>
      <c r="F267" s="9" t="str">
        <f ca="1">VLOOKUP(A267,Data[],4,FALSE)</f>
        <v/>
      </c>
      <c r="G267" s="9">
        <f ca="1">IF(OR(YardsAll[[#This Row],[RAD/PACT]]="2019-2020",YardsAll[[#This Row],[RAD/PACT]]="2021-2025"),"",IF(ISNUMBER(SEARCH("1",C267)),2,IF(ISNUMBER(SEARCH("2",C267)),1,IF(ISNUMBER(SEARCH("3",C267)),3,IF(ISNUMBER(SEARCH("4",C267)),4,IF(ISNUMBER(SEARCH("5",C267)),5,IF(ISNUMBER(SEARCH("6",C267)),6,IF(ISNUMBER(SEARCH("7",C267)),7,IF(ISNUMBER(SEARCH("8",C267)),8,0)))))))))</f>
        <v>2</v>
      </c>
      <c r="H267" s="143" t="str">
        <f ca="1">IF(YardsAll[[#This Row],[STATUS]]="","",IF(OR(F267="2019-2020",F267="2021-2025"),"",IF(ISNUMBER(SEARCH("LLC",D267)),VLOOKUP(A267,Yards25[],28,FALSE),VLOOKUP(A267,Yards[],28,FALSE))))</f>
        <v/>
      </c>
      <c r="I267" s="143" t="str">
        <f ca="1">IF(YardsAll[[#This Row],[STATUS]]="","",IF(OR(F267="2019-2020",F267="2021-2025"),"",IF(ISNUMBER(SEARCH("LLC",D267)),VLOOKUP(A267,Yards25[],17,FALSE),VLOOKUP(A267,Yards[],17,FALSE))))</f>
        <v/>
      </c>
      <c r="J267" s="143" t="str">
        <f ca="1">IF(YardsAll[[#This Row],[STATUS]]="","",IF(OR(F267="2019-2020",F267="2021-2025"),"",IF(ISNUMBER(SEARCH("LLC",D267)),VLOOKUP(A267,Yards25[],29,FALSE),VLOOKUP(A267,Yards[],29,FALSE))))</f>
        <v/>
      </c>
      <c r="K267" s="143" t="str">
        <f ca="1">IF(YardsAll[[#This Row],[STATUS]]="","",IF(OR(F267="2019-2020",F267="2021-2025"),"",IF(ISNUMBER(SEARCH("LLC",D267)),VLOOKUP(A267,Yards25[],19,FALSE),VLOOKUP(A267,Yards[],19,FALSE))))</f>
        <v/>
      </c>
      <c r="L267" s="143" t="str">
        <f ca="1">IF(IF(OR(F267="2019-2020",F267="2021-2025"),"",IF(ISNUMBER(SEARCH("LLC",D267)),VLOOKUP(A267,Yards25[],20,FALSE),VLOOKUP(A267,Yards[],20,FALSE)))=0,"",IF(OR(F267="2019-2020",F267="2021-2025"),"",IF(ISNUMBER(SEARCH("LLC",D267)),VLOOKUP(A267,Yards25[],20,FALSE),VLOOKUP(A267,Yards[],20,FALSE))))</f>
        <v/>
      </c>
      <c r="M267" s="151">
        <f ca="1">IF(OR(F267="2019-2020",F267="2021-2025"),"",IF(ISNUMBER(SEARCH("LLC",D267)),VLOOKUP(A267,Yards25[],21,FALSE),VLOOKUP(A267,Yards[],21,FALSE)))</f>
        <v>0</v>
      </c>
      <c r="N267" s="151">
        <f ca="1">IF(OR(F267="2019-2020",F267="2021-2025"),"",IF(ISNUMBER(SEARCH("LLC",D267)),VLOOKUP(A267,Yards25[],22,FALSE),VLOOKUP(A267,Yards[],22,FALSE)))</f>
        <v>0</v>
      </c>
      <c r="O267" s="151">
        <f ca="1">SUM(YardsAll[[#This Row],[DSGN ESTIMATE]:[CONS ESTIMATE]])</f>
        <v>0</v>
      </c>
      <c r="P267" s="143"/>
      <c r="Q267" s="143">
        <f ca="1">IF(OR(F267="2019-2020",F267="2021-2025"),"",IF(ISNUMBER(SEARCH("LLC",D267)),VLOOKUP(A267,Yards25[],25,FALSE),VLOOKUP(A267,Yards[],25,FALSE)))</f>
        <v>0</v>
      </c>
      <c r="R267" s="152"/>
    </row>
    <row r="268" spans="1:18">
      <c r="A268" s="147" t="s">
        <v>217</v>
      </c>
      <c r="B268" s="144" t="str">
        <f>VLOOKUP(A268,Data[],2,FALSE)</f>
        <v>BRONX</v>
      </c>
      <c r="C268" s="144" t="str">
        <f ca="1">IF(OR(F268="2019-2020",F268="2021-2025"),"",IF(ISNUMBER(SEARCH("LLC",D268)),VLOOKUP(A268,Yards25[],3,FALSE),VLOOKUP(A268,Yards[],3,FALSE)))</f>
        <v>New Waste Yard v6</v>
      </c>
      <c r="D268" s="9" t="str">
        <f>VLOOKUP(A268,Data[],52,FALSE)</f>
        <v>FEDERAL</v>
      </c>
      <c r="E268" s="9">
        <f>VLOOKUP(YardsAll[[#This Row],[DEVELOPMENT]],Data[],62,FALSE)</f>
        <v>10</v>
      </c>
      <c r="F268" s="9" t="str">
        <f ca="1">VLOOKUP(A268,Data[],4,FALSE)</f>
        <v>2020-2021</v>
      </c>
      <c r="G268" s="9">
        <f ca="1">IF(OR(YardsAll[[#This Row],[RAD/PACT]]="2019-2020",YardsAll[[#This Row],[RAD/PACT]]="2021-2025"),"",IF(ISNUMBER(SEARCH("1",C268)),2,IF(ISNUMBER(SEARCH("2",C268)),1,IF(ISNUMBER(SEARCH("3",C268)),3,IF(ISNUMBER(SEARCH("4",C268)),4,IF(ISNUMBER(SEARCH("5",C268)),5,IF(ISNUMBER(SEARCH("6",C268)),6,IF(ISNUMBER(SEARCH("7",C268)),7,IF(ISNUMBER(SEARCH("8",C268)),8,0)))))))))</f>
        <v>6</v>
      </c>
      <c r="H268" s="143" t="str">
        <f ca="1">IF(YardsAll[[#This Row],[STATUS]]="","",IF(OR(F268="2019-2020",F268="2021-2025"),"",IF(ISNUMBER(SEARCH("LLC",D268)),VLOOKUP(A268,Yards25[],28,FALSE),VLOOKUP(A268,Yards[],28,FALSE))))</f>
        <v/>
      </c>
      <c r="I268" s="143" t="str">
        <f ca="1">IF(YardsAll[[#This Row],[STATUS]]="","",IF(OR(F268="2019-2020",F268="2021-2025"),"",IF(ISNUMBER(SEARCH("LLC",D268)),VLOOKUP(A268,Yards25[],17,FALSE),VLOOKUP(A268,Yards[],17,FALSE))))</f>
        <v/>
      </c>
      <c r="J268" s="143" t="str">
        <f ca="1">IF(YardsAll[[#This Row],[STATUS]]="","",IF(OR(F268="2019-2020",F268="2021-2025"),"",IF(ISNUMBER(SEARCH("LLC",D268)),VLOOKUP(A268,Yards25[],29,FALSE),VLOOKUP(A268,Yards[],29,FALSE))))</f>
        <v/>
      </c>
      <c r="K268" s="143" t="str">
        <f ca="1">IF(YardsAll[[#This Row],[STATUS]]="","",IF(OR(F268="2019-2020",F268="2021-2025"),"",IF(ISNUMBER(SEARCH("LLC",D268)),VLOOKUP(A268,Yards25[],19,FALSE),VLOOKUP(A268,Yards[],19,FALSE))))</f>
        <v/>
      </c>
      <c r="L268" s="143" t="str">
        <f ca="1">IF(IF(OR(F268="2019-2020",F268="2021-2025"),"",IF(ISNUMBER(SEARCH("LLC",D268)),VLOOKUP(A268,Yards25[],20,FALSE),VLOOKUP(A268,Yards[],20,FALSE)))=0,"",IF(OR(F268="2019-2020",F268="2021-2025"),"",IF(ISNUMBER(SEARCH("LLC",D268)),VLOOKUP(A268,Yards25[],20,FALSE),VLOOKUP(A268,Yards[],20,FALSE))))</f>
        <v/>
      </c>
      <c r="M268" s="151">
        <f ca="1">IF(OR(F268="2019-2020",F268="2021-2025"),"",IF(ISNUMBER(SEARCH("LLC",D268)),VLOOKUP(A268,Yards25[],21,FALSE),VLOOKUP(A268,Yards[],21,FALSE)))</f>
        <v>0</v>
      </c>
      <c r="N268" s="151">
        <f ca="1">IF(OR(F268="2019-2020",F268="2021-2025"),"",IF(ISNUMBER(SEARCH("LLC",D268)),VLOOKUP(A268,Yards25[],22,FALSE),VLOOKUP(A268,Yards[],22,FALSE)))</f>
        <v>0</v>
      </c>
      <c r="O268" s="151">
        <f ca="1">SUM(YardsAll[[#This Row],[DSGN ESTIMATE]:[CONS ESTIMATE]])</f>
        <v>0</v>
      </c>
      <c r="P268" s="143"/>
      <c r="Q268" s="143">
        <f ca="1">IF(OR(F268="2019-2020",F268="2021-2025"),"",IF(ISNUMBER(SEARCH("LLC",D268)),VLOOKUP(A268,Yards25[],25,FALSE),VLOOKUP(A268,Yards[],25,FALSE)))</f>
        <v>0</v>
      </c>
      <c r="R268" s="152"/>
    </row>
    <row r="269" spans="1:18">
      <c r="A269" s="147" t="s">
        <v>225</v>
      </c>
      <c r="B269" s="144" t="str">
        <f>VLOOKUP(A269,Data[],2,FALSE)</f>
        <v>BRONX</v>
      </c>
      <c r="C269" s="144" t="str">
        <f ca="1">IF(OR(F269="2019-2020",F269="2021-2025"),"",IF(ISNUMBER(SEARCH("LLC",D269)),VLOOKUP(A269,Yards25[],3,FALSE),VLOOKUP(A269,Yards[],3,FALSE)))</f>
        <v>New Waste Yard v1</v>
      </c>
      <c r="D269" s="9" t="str">
        <f>VLOOKUP(A269,Data[],52,FALSE)</f>
        <v>FEDERAL</v>
      </c>
      <c r="E269" s="9">
        <f>VLOOKUP(YardsAll[[#This Row],[DEVELOPMENT]],Data[],62,FALSE)</f>
        <v>10</v>
      </c>
      <c r="F269" s="9" t="str">
        <f ca="1">VLOOKUP(A269,Data[],4,FALSE)</f>
        <v>2020-2021</v>
      </c>
      <c r="G269" s="9">
        <f ca="1">IF(OR(YardsAll[[#This Row],[RAD/PACT]]="2019-2020",YardsAll[[#This Row],[RAD/PACT]]="2021-2025"),"",IF(ISNUMBER(SEARCH("1",C269)),2,IF(ISNUMBER(SEARCH("2",C269)),1,IF(ISNUMBER(SEARCH("3",C269)),3,IF(ISNUMBER(SEARCH("4",C269)),4,IF(ISNUMBER(SEARCH("5",C269)),5,IF(ISNUMBER(SEARCH("6",C269)),6,IF(ISNUMBER(SEARCH("7",C269)),7,IF(ISNUMBER(SEARCH("8",C269)),8,0)))))))))</f>
        <v>2</v>
      </c>
      <c r="H269" s="143" t="str">
        <f ca="1">IF(YardsAll[[#This Row],[STATUS]]="","",IF(OR(F269="2019-2020",F269="2021-2025"),"",IF(ISNUMBER(SEARCH("LLC",D269)),VLOOKUP(A269,Yards25[],28,FALSE),VLOOKUP(A269,Yards[],28,FALSE))))</f>
        <v/>
      </c>
      <c r="I269" s="143" t="str">
        <f ca="1">IF(YardsAll[[#This Row],[STATUS]]="","",IF(OR(F269="2019-2020",F269="2021-2025"),"",IF(ISNUMBER(SEARCH("LLC",D269)),VLOOKUP(A269,Yards25[],17,FALSE),VLOOKUP(A269,Yards[],17,FALSE))))</f>
        <v/>
      </c>
      <c r="J269" s="143" t="str">
        <f ca="1">IF(YardsAll[[#This Row],[STATUS]]="","",IF(OR(F269="2019-2020",F269="2021-2025"),"",IF(ISNUMBER(SEARCH("LLC",D269)),VLOOKUP(A269,Yards25[],29,FALSE),VLOOKUP(A269,Yards[],29,FALSE))))</f>
        <v/>
      </c>
      <c r="K269" s="143" t="str">
        <f ca="1">IF(YardsAll[[#This Row],[STATUS]]="","",IF(OR(F269="2019-2020",F269="2021-2025"),"",IF(ISNUMBER(SEARCH("LLC",D269)),VLOOKUP(A269,Yards25[],19,FALSE),VLOOKUP(A269,Yards[],19,FALSE))))</f>
        <v/>
      </c>
      <c r="L269" s="143" t="str">
        <f ca="1">IF(IF(OR(F269="2019-2020",F269="2021-2025"),"",IF(ISNUMBER(SEARCH("LLC",D269)),VLOOKUP(A269,Yards25[],20,FALSE),VLOOKUP(A269,Yards[],20,FALSE)))=0,"",IF(OR(F269="2019-2020",F269="2021-2025"),"",IF(ISNUMBER(SEARCH("LLC",D269)),VLOOKUP(A269,Yards25[],20,FALSE),VLOOKUP(A269,Yards[],20,FALSE))))</f>
        <v/>
      </c>
      <c r="M269" s="151">
        <f ca="1">IF(OR(F269="2019-2020",F269="2021-2025"),"",IF(ISNUMBER(SEARCH("LLC",D269)),VLOOKUP(A269,Yards25[],21,FALSE),VLOOKUP(A269,Yards[],21,FALSE)))</f>
        <v>0</v>
      </c>
      <c r="N269" s="151">
        <f ca="1">IF(OR(F269="2019-2020",F269="2021-2025"),"",IF(ISNUMBER(SEARCH("LLC",D269)),VLOOKUP(A269,Yards25[],22,FALSE),VLOOKUP(A269,Yards[],22,FALSE)))</f>
        <v>0</v>
      </c>
      <c r="O269" s="151">
        <f ca="1">SUM(YardsAll[[#This Row],[DSGN ESTIMATE]:[CONS ESTIMATE]])</f>
        <v>0</v>
      </c>
      <c r="P269" s="143"/>
      <c r="Q269" s="143">
        <f ca="1">IF(OR(F269="2019-2020",F269="2021-2025"),"",IF(ISNUMBER(SEARCH("LLC",D269)),VLOOKUP(A269,Yards25[],25,FALSE),VLOOKUP(A269,Yards[],25,FALSE)))</f>
        <v>0</v>
      </c>
      <c r="R269" s="152"/>
    </row>
    <row r="270" spans="1:18">
      <c r="A270" s="147" t="s">
        <v>270</v>
      </c>
      <c r="B270" s="144" t="str">
        <f>VLOOKUP(A270,Data[],2,FALSE)</f>
        <v>BROOKLYN</v>
      </c>
      <c r="C270" s="144" t="str">
        <f ca="1">IF(OR(F270="2019-2020",F270="2021-2025"),"",IF(ISNUMBER(SEARCH("LLC",D270)),VLOOKUP(A270,Yards25[],3,FALSE),VLOOKUP(A270,Yards[],3,FALSE)))</f>
        <v>New Waste Yard v3</v>
      </c>
      <c r="D270" s="9" t="str">
        <f>VLOOKUP(A270,Data[],52,FALSE)</f>
        <v>FEDERAL</v>
      </c>
      <c r="E270" s="9">
        <f>VLOOKUP(YardsAll[[#This Row],[DEVELOPMENT]],Data[],62,FALSE)</f>
        <v>16</v>
      </c>
      <c r="F270" s="9" t="str">
        <f ca="1">VLOOKUP(A270,Data[],4,FALSE)</f>
        <v/>
      </c>
      <c r="G270" s="9">
        <f ca="1">IF(OR(YardsAll[[#This Row],[RAD/PACT]]="2019-2020",YardsAll[[#This Row],[RAD/PACT]]="2021-2025"),"",IF(ISNUMBER(SEARCH("1",C270)),2,IF(ISNUMBER(SEARCH("2",C270)),1,IF(ISNUMBER(SEARCH("3",C270)),3,IF(ISNUMBER(SEARCH("4",C270)),4,IF(ISNUMBER(SEARCH("5",C270)),5,IF(ISNUMBER(SEARCH("6",C270)),6,IF(ISNUMBER(SEARCH("7",C270)),7,IF(ISNUMBER(SEARCH("8",C270)),8,0)))))))))</f>
        <v>3</v>
      </c>
      <c r="H270" s="143" t="str">
        <f ca="1">IF(YardsAll[[#This Row],[STATUS]]="","",IF(OR(F270="2019-2020",F270="2021-2025"),"",IF(ISNUMBER(SEARCH("LLC",D270)),VLOOKUP(A270,Yards25[],28,FALSE),VLOOKUP(A270,Yards[],28,FALSE))))</f>
        <v/>
      </c>
      <c r="I270" s="143" t="str">
        <f ca="1">IF(YardsAll[[#This Row],[STATUS]]="","",IF(OR(F270="2019-2020",F270="2021-2025"),"",IF(ISNUMBER(SEARCH("LLC",D270)),VLOOKUP(A270,Yards25[],17,FALSE),VLOOKUP(A270,Yards[],17,FALSE))))</f>
        <v/>
      </c>
      <c r="J270" s="143" t="str">
        <f ca="1">IF(YardsAll[[#This Row],[STATUS]]="","",IF(OR(F270="2019-2020",F270="2021-2025"),"",IF(ISNUMBER(SEARCH("LLC",D270)),VLOOKUP(A270,Yards25[],29,FALSE),VLOOKUP(A270,Yards[],29,FALSE))))</f>
        <v/>
      </c>
      <c r="K270" s="143" t="str">
        <f ca="1">IF(YardsAll[[#This Row],[STATUS]]="","",IF(OR(F270="2019-2020",F270="2021-2025"),"",IF(ISNUMBER(SEARCH("LLC",D270)),VLOOKUP(A270,Yards25[],19,FALSE),VLOOKUP(A270,Yards[],19,FALSE))))</f>
        <v/>
      </c>
      <c r="L270" s="143" t="str">
        <f ca="1">IF(IF(OR(F270="2019-2020",F270="2021-2025"),"",IF(ISNUMBER(SEARCH("LLC",D270)),VLOOKUP(A270,Yards25[],20,FALSE),VLOOKUP(A270,Yards[],20,FALSE)))=0,"",IF(OR(F270="2019-2020",F270="2021-2025"),"",IF(ISNUMBER(SEARCH("LLC",D270)),VLOOKUP(A270,Yards25[],20,FALSE),VLOOKUP(A270,Yards[],20,FALSE))))</f>
        <v/>
      </c>
      <c r="M270" s="151">
        <f ca="1">IF(OR(F270="2019-2020",F270="2021-2025"),"",IF(ISNUMBER(SEARCH("LLC",D270)),VLOOKUP(A270,Yards25[],21,FALSE),VLOOKUP(A270,Yards[],21,FALSE)))</f>
        <v>237400.39768875009</v>
      </c>
      <c r="N270" s="151">
        <f ca="1">IF(OR(F270="2019-2020",F270="2021-2025"),"",IF(ISNUMBER(SEARCH("LLC",D270)),VLOOKUP(A270,Yards25[],22,FALSE),VLOOKUP(A270,Yards[],22,FALSE)))</f>
        <v>2136603.5791987507</v>
      </c>
      <c r="O270" s="151">
        <f ca="1">SUM(YardsAll[[#This Row],[DSGN ESTIMATE]:[CONS ESTIMATE]])</f>
        <v>2374003.9768875008</v>
      </c>
      <c r="P270" s="143"/>
      <c r="Q270" s="143">
        <f ca="1">IF(OR(F270="2019-2020",F270="2021-2025"),"",IF(ISNUMBER(SEARCH("LLC",D270)),VLOOKUP(A270,Yards25[],25,FALSE),VLOOKUP(A270,Yards[],25,FALSE)))</f>
        <v>0</v>
      </c>
      <c r="R270" s="152"/>
    </row>
    <row r="271" spans="1:18">
      <c r="A271" s="147" t="s">
        <v>288</v>
      </c>
      <c r="B271" s="144" t="str">
        <f>VLOOKUP(A271,Data[],2,FALSE)</f>
        <v>STATEN ISLAND</v>
      </c>
      <c r="C271" s="144" t="str">
        <f ca="1">IF(OR(F271="2019-2020",F271="2021-2025"),"",IF(ISNUMBER(SEARCH("LLC",D271)),VLOOKUP(A271,Yards25[],3,FALSE),VLOOKUP(A271,Yards[],3,FALSE)))</f>
        <v>New Waste Yard v1</v>
      </c>
      <c r="D271" s="9" t="str">
        <f>VLOOKUP(A271,Data[],52,FALSE)</f>
        <v>FEDERAL</v>
      </c>
      <c r="E271" s="9">
        <f>VLOOKUP(YardsAll[[#This Row],[DEVELOPMENT]],Data[],62,FALSE)</f>
        <v>2</v>
      </c>
      <c r="F271" s="9" t="str">
        <f ca="1">VLOOKUP(A271,Data[],4,FALSE)</f>
        <v/>
      </c>
      <c r="G271" s="9">
        <f ca="1">IF(OR(YardsAll[[#This Row],[RAD/PACT]]="2019-2020",YardsAll[[#This Row],[RAD/PACT]]="2021-2025"),"",IF(ISNUMBER(SEARCH("1",C271)),2,IF(ISNUMBER(SEARCH("2",C271)),1,IF(ISNUMBER(SEARCH("3",C271)),3,IF(ISNUMBER(SEARCH("4",C271)),4,IF(ISNUMBER(SEARCH("5",C271)),5,IF(ISNUMBER(SEARCH("6",C271)),6,IF(ISNUMBER(SEARCH("7",C271)),7,IF(ISNUMBER(SEARCH("8",C271)),8,0)))))))))</f>
        <v>2</v>
      </c>
      <c r="H271" s="143" t="str">
        <f ca="1">IF(YardsAll[[#This Row],[STATUS]]="","",IF(OR(F271="2019-2020",F271="2021-2025"),"",IF(ISNUMBER(SEARCH("LLC",D271)),VLOOKUP(A271,Yards25[],28,FALSE),VLOOKUP(A271,Yards[],28,FALSE))))</f>
        <v/>
      </c>
      <c r="I271" s="143" t="str">
        <f ca="1">IF(YardsAll[[#This Row],[STATUS]]="","",IF(OR(F271="2019-2020",F271="2021-2025"),"",IF(ISNUMBER(SEARCH("LLC",D271)),VLOOKUP(A271,Yards25[],17,FALSE),VLOOKUP(A271,Yards[],17,FALSE))))</f>
        <v/>
      </c>
      <c r="J271" s="143" t="str">
        <f ca="1">IF(YardsAll[[#This Row],[STATUS]]="","",IF(OR(F271="2019-2020",F271="2021-2025"),"",IF(ISNUMBER(SEARCH("LLC",D271)),VLOOKUP(A271,Yards25[],29,FALSE),VLOOKUP(A271,Yards[],29,FALSE))))</f>
        <v/>
      </c>
      <c r="K271" s="143" t="str">
        <f ca="1">IF(YardsAll[[#This Row],[STATUS]]="","",IF(OR(F271="2019-2020",F271="2021-2025"),"",IF(ISNUMBER(SEARCH("LLC",D271)),VLOOKUP(A271,Yards25[],19,FALSE),VLOOKUP(A271,Yards[],19,FALSE))))</f>
        <v/>
      </c>
      <c r="L271" s="143" t="str">
        <f ca="1">IF(IF(OR(F271="2019-2020",F271="2021-2025"),"",IF(ISNUMBER(SEARCH("LLC",D271)),VLOOKUP(A271,Yards25[],20,FALSE),VLOOKUP(A271,Yards[],20,FALSE)))=0,"",IF(OR(F271="2019-2020",F271="2021-2025"),"",IF(ISNUMBER(SEARCH("LLC",D271)),VLOOKUP(A271,Yards25[],20,FALSE),VLOOKUP(A271,Yards[],20,FALSE))))</f>
        <v/>
      </c>
      <c r="M271" s="151">
        <f ca="1">IF(OR(F271="2019-2020",F271="2021-2025"),"",IF(ISNUMBER(SEARCH("LLC",D271)),VLOOKUP(A271,Yards25[],21,FALSE),VLOOKUP(A271,Yards[],21,FALSE)))</f>
        <v>218713.03623400006</v>
      </c>
      <c r="N271" s="151">
        <f ca="1">IF(OR(F271="2019-2020",F271="2021-2025"),"",IF(ISNUMBER(SEARCH("LLC",D271)),VLOOKUP(A271,Yards25[],22,FALSE),VLOOKUP(A271,Yards[],22,FALSE)))</f>
        <v>1968417.3261060005</v>
      </c>
      <c r="O271" s="151">
        <f ca="1">SUM(YardsAll[[#This Row],[DSGN ESTIMATE]:[CONS ESTIMATE]])</f>
        <v>2187130.3623400005</v>
      </c>
      <c r="P271" s="143"/>
      <c r="Q271" s="143">
        <f ca="1">IF(OR(F271="2019-2020",F271="2021-2025"),"",IF(ISNUMBER(SEARCH("LLC",D271)),VLOOKUP(A271,Yards25[],25,FALSE),VLOOKUP(A271,Yards[],25,FALSE)))</f>
        <v>0</v>
      </c>
      <c r="R271" s="152"/>
    </row>
    <row r="272" spans="1:18">
      <c r="A272" s="148" t="s">
        <v>46</v>
      </c>
      <c r="B272" s="144" t="str">
        <f>VLOOKUP(A272,Data[],2,FALSE)</f>
        <v>BROOKLYN</v>
      </c>
      <c r="C272" s="144" t="str">
        <f ca="1">IF(OR(F272="2019-2020",F272="2021-2025"),"",IF(ISNUMBER(SEARCH("LLC",D272)),VLOOKUP(A272,Yards25[],3,FALSE),VLOOKUP(A272,Yards[],3,FALSE)))</f>
        <v>New Waste Yard v2</v>
      </c>
      <c r="D272" s="9" t="str">
        <f>VLOOKUP(A272,Data[],52,FALSE)</f>
        <v>FEDERAL</v>
      </c>
      <c r="E272" s="9">
        <f>VLOOKUP(YardsAll[[#This Row],[DEVELOPMENT]],Data[],62,FALSE)</f>
        <v>3</v>
      </c>
      <c r="F272" s="9" t="str">
        <f ca="1">VLOOKUP(A272,Data[],4,FALSE)</f>
        <v>2026+</v>
      </c>
      <c r="G272" s="9">
        <f ca="1">IF(OR(YardsAll[[#This Row],[RAD/PACT]]="2019-2020",YardsAll[[#This Row],[RAD/PACT]]="2021-2025"),"",IF(ISNUMBER(SEARCH("1",C272)),2,IF(ISNUMBER(SEARCH("2",C272)),1,IF(ISNUMBER(SEARCH("3",C272)),3,IF(ISNUMBER(SEARCH("4",C272)),4,IF(ISNUMBER(SEARCH("5",C272)),5,IF(ISNUMBER(SEARCH("6",C272)),6,IF(ISNUMBER(SEARCH("7",C272)),7,IF(ISNUMBER(SEARCH("8",C272)),8,0)))))))))</f>
        <v>1</v>
      </c>
      <c r="H272" s="143" t="str">
        <f ca="1">IF(YardsAll[[#This Row],[STATUS]]="","",IF(OR(F272="2019-2020",F272="2021-2025"),"",IF(ISNUMBER(SEARCH("LLC",D272)),VLOOKUP(A272,Yards25[],28,FALSE),VLOOKUP(A272,Yards[],28,FALSE))))</f>
        <v/>
      </c>
      <c r="I272" s="143" t="str">
        <f ca="1">IF(YardsAll[[#This Row],[STATUS]]="","",IF(OR(F272="2019-2020",F272="2021-2025"),"",IF(ISNUMBER(SEARCH("LLC",D272)),VLOOKUP(A272,Yards25[],17,FALSE),VLOOKUP(A272,Yards[],17,FALSE))))</f>
        <v/>
      </c>
      <c r="J272" s="143" t="str">
        <f ca="1">IF(YardsAll[[#This Row],[STATUS]]="","",IF(OR(F272="2019-2020",F272="2021-2025"),"",IF(ISNUMBER(SEARCH("LLC",D272)),VLOOKUP(A272,Yards25[],29,FALSE),VLOOKUP(A272,Yards[],29,FALSE))))</f>
        <v/>
      </c>
      <c r="K272" s="143" t="str">
        <f ca="1">IF(YardsAll[[#This Row],[STATUS]]="","",IF(OR(F272="2019-2020",F272="2021-2025"),"",IF(ISNUMBER(SEARCH("LLC",D272)),VLOOKUP(A272,Yards25[],19,FALSE),VLOOKUP(A272,Yards[],19,FALSE))))</f>
        <v/>
      </c>
      <c r="L272" s="143" t="str">
        <f ca="1">IF(IF(OR(F272="2019-2020",F272="2021-2025"),"",IF(ISNUMBER(SEARCH("LLC",D272)),VLOOKUP(A272,Yards25[],20,FALSE),VLOOKUP(A272,Yards[],20,FALSE)))=0,"",IF(OR(F272="2019-2020",F272="2021-2025"),"",IF(ISNUMBER(SEARCH("LLC",D272)),VLOOKUP(A272,Yards25[],20,FALSE),VLOOKUP(A272,Yards[],20,FALSE))))</f>
        <v/>
      </c>
      <c r="M272" s="151">
        <f ca="1">IF(OR(F272="2019-2020",F272="2021-2025"),"",IF(ISNUMBER(SEARCH("LLC",D272)),VLOOKUP(A272,Yards25[],21,FALSE),VLOOKUP(A272,Yards[],21,FALSE)))</f>
        <v>169601.84953665006</v>
      </c>
      <c r="N272" s="151">
        <f ca="1">IF(OR(F272="2019-2020",F272="2021-2025"),"",IF(ISNUMBER(SEARCH("LLC",D272)),VLOOKUP(A272,Yards25[],22,FALSE),VLOOKUP(A272,Yards[],22,FALSE)))</f>
        <v>1526416.6458298503</v>
      </c>
      <c r="O272" s="151">
        <f ca="1">SUM(YardsAll[[#This Row],[DSGN ESTIMATE]:[CONS ESTIMATE]])</f>
        <v>1696018.4953665005</v>
      </c>
      <c r="P272" s="143"/>
      <c r="Q272" s="143">
        <f ca="1">IF(OR(F272="2019-2020",F272="2021-2025"),"",IF(ISNUMBER(SEARCH("LLC",D272)),VLOOKUP(A272,Yards25[],25,FALSE),VLOOKUP(A272,Yards[],25,FALSE)))</f>
        <v>0</v>
      </c>
      <c r="R272" s="152"/>
    </row>
    <row r="273" spans="1:18">
      <c r="A273" s="148" t="s">
        <v>138</v>
      </c>
      <c r="B273" s="144" t="str">
        <f>VLOOKUP(A273,Data[],2,FALSE)</f>
        <v>BRONX</v>
      </c>
      <c r="C273" s="144" t="str">
        <f ca="1">IF(OR(F273="2019-2020",F273="2021-2025"),"",IF(ISNUMBER(SEARCH("LLC",D273)),VLOOKUP(A273,Yards25[],3,FALSE),VLOOKUP(A273,Yards[],3,FALSE)))</f>
        <v>New Waste Yard v1</v>
      </c>
      <c r="D273" s="9" t="str">
        <f>VLOOKUP(A273,Data[],52,FALSE)</f>
        <v>FEDERAL</v>
      </c>
      <c r="E273" s="9">
        <f>VLOOKUP(YardsAll[[#This Row],[DEVELOPMENT]],Data[],62,FALSE)</f>
        <v>6</v>
      </c>
      <c r="F273" s="9" t="str">
        <f ca="1">VLOOKUP(A273,Data[],4,FALSE)</f>
        <v/>
      </c>
      <c r="G273" s="9">
        <f ca="1">IF(OR(YardsAll[[#This Row],[RAD/PACT]]="2019-2020",YardsAll[[#This Row],[RAD/PACT]]="2021-2025"),"",IF(ISNUMBER(SEARCH("1",C273)),2,IF(ISNUMBER(SEARCH("2",C273)),1,IF(ISNUMBER(SEARCH("3",C273)),3,IF(ISNUMBER(SEARCH("4",C273)),4,IF(ISNUMBER(SEARCH("5",C273)),5,IF(ISNUMBER(SEARCH("6",C273)),6,IF(ISNUMBER(SEARCH("7",C273)),7,IF(ISNUMBER(SEARCH("8",C273)),8,0)))))))))</f>
        <v>2</v>
      </c>
      <c r="H273" s="143" t="str">
        <f ca="1">IF(YardsAll[[#This Row],[STATUS]]="","",IF(OR(F273="2019-2020",F273="2021-2025"),"",IF(ISNUMBER(SEARCH("LLC",D273)),VLOOKUP(A273,Yards25[],28,FALSE),VLOOKUP(A273,Yards[],28,FALSE))))</f>
        <v/>
      </c>
      <c r="I273" s="143" t="str">
        <f ca="1">IF(YardsAll[[#This Row],[STATUS]]="","",IF(OR(F273="2019-2020",F273="2021-2025"),"",IF(ISNUMBER(SEARCH("LLC",D273)),VLOOKUP(A273,Yards25[],17,FALSE),VLOOKUP(A273,Yards[],17,FALSE))))</f>
        <v/>
      </c>
      <c r="J273" s="143" t="str">
        <f ca="1">IF(YardsAll[[#This Row],[STATUS]]="","",IF(OR(F273="2019-2020",F273="2021-2025"),"",IF(ISNUMBER(SEARCH("LLC",D273)),VLOOKUP(A273,Yards25[],29,FALSE),VLOOKUP(A273,Yards[],29,FALSE))))</f>
        <v/>
      </c>
      <c r="K273" s="143" t="str">
        <f ca="1">IF(YardsAll[[#This Row],[STATUS]]="","",IF(OR(F273="2019-2020",F273="2021-2025"),"",IF(ISNUMBER(SEARCH("LLC",D273)),VLOOKUP(A273,Yards25[],19,FALSE),VLOOKUP(A273,Yards[],19,FALSE))))</f>
        <v/>
      </c>
      <c r="L273" s="143" t="str">
        <f ca="1">IF(IF(OR(F273="2019-2020",F273="2021-2025"),"",IF(ISNUMBER(SEARCH("LLC",D273)),VLOOKUP(A273,Yards25[],20,FALSE),VLOOKUP(A273,Yards[],20,FALSE)))=0,"",IF(OR(F273="2019-2020",F273="2021-2025"),"",IF(ISNUMBER(SEARCH("LLC",D273)),VLOOKUP(A273,Yards25[],20,FALSE),VLOOKUP(A273,Yards[],20,FALSE))))</f>
        <v/>
      </c>
      <c r="M273" s="151">
        <f ca="1">IF(OR(F273="2019-2020",F273="2021-2025"),"",IF(ISNUMBER(SEARCH("LLC",D273)),VLOOKUP(A273,Yards25[],21,FALSE),VLOOKUP(A273,Yards[],21,FALSE)))</f>
        <v>199733.80581700004</v>
      </c>
      <c r="N273" s="151">
        <f ca="1">IF(OR(F273="2019-2020",F273="2021-2025"),"",IF(ISNUMBER(SEARCH("LLC",D273)),VLOOKUP(A273,Yards25[],22,FALSE),VLOOKUP(A273,Yards[],22,FALSE)))</f>
        <v>1797604.2523530002</v>
      </c>
      <c r="O273" s="151">
        <f ca="1">SUM(YardsAll[[#This Row],[DSGN ESTIMATE]:[CONS ESTIMATE]])</f>
        <v>1997338.0581700003</v>
      </c>
      <c r="P273" s="143"/>
      <c r="Q273" s="143">
        <f ca="1">IF(OR(F273="2019-2020",F273="2021-2025"),"",IF(ISNUMBER(SEARCH("LLC",D273)),VLOOKUP(A273,Yards25[],25,FALSE),VLOOKUP(A273,Yards[],25,FALSE)))</f>
        <v>0</v>
      </c>
      <c r="R273" s="152"/>
    </row>
    <row r="274" spans="1:18">
      <c r="A274" s="148" t="s">
        <v>51</v>
      </c>
      <c r="B274" s="144" t="str">
        <f>VLOOKUP(A274,Data[],2,FALSE)</f>
        <v>MANHATTAN</v>
      </c>
      <c r="C274" s="144" t="str">
        <f ca="1">IF(OR(F274="2019-2020",F274="2021-2025"),"",IF(ISNUMBER(SEARCH("LLC",D274)),VLOOKUP(A274,Yards25[],3,FALSE),VLOOKUP(A274,Yards[],3,FALSE)))</f>
        <v>New Waste Yard v1</v>
      </c>
      <c r="D274" s="9" t="str">
        <f>VLOOKUP(A274,Data[],52,FALSE)</f>
        <v>FEDERAL</v>
      </c>
      <c r="E274" s="9">
        <f>VLOOKUP(YardsAll[[#This Row],[DEVELOPMENT]],Data[],62,FALSE)</f>
        <v>3</v>
      </c>
      <c r="F274" s="9" t="str">
        <f ca="1">VLOOKUP(A274,Data[],4,FALSE)</f>
        <v/>
      </c>
      <c r="G274" s="9">
        <f ca="1">IF(OR(YardsAll[[#This Row],[RAD/PACT]]="2019-2020",YardsAll[[#This Row],[RAD/PACT]]="2021-2025"),"",IF(ISNUMBER(SEARCH("1",C274)),2,IF(ISNUMBER(SEARCH("2",C274)),1,IF(ISNUMBER(SEARCH("3",C274)),3,IF(ISNUMBER(SEARCH("4",C274)),4,IF(ISNUMBER(SEARCH("5",C274)),5,IF(ISNUMBER(SEARCH("6",C274)),6,IF(ISNUMBER(SEARCH("7",C274)),7,IF(ISNUMBER(SEARCH("8",C274)),8,0)))))))))</f>
        <v>2</v>
      </c>
      <c r="H274" s="143" t="str">
        <f ca="1">IF(YardsAll[[#This Row],[STATUS]]="","",IF(OR(F274="2019-2020",F274="2021-2025"),"",IF(ISNUMBER(SEARCH("LLC",D274)),VLOOKUP(A274,Yards25[],28,FALSE),VLOOKUP(A274,Yards[],28,FALSE))))</f>
        <v/>
      </c>
      <c r="I274" s="143" t="str">
        <f ca="1">IF(YardsAll[[#This Row],[STATUS]]="","",IF(OR(F274="2019-2020",F274="2021-2025"),"",IF(ISNUMBER(SEARCH("LLC",D274)),VLOOKUP(A274,Yards25[],17,FALSE),VLOOKUP(A274,Yards[],17,FALSE))))</f>
        <v/>
      </c>
      <c r="J274" s="143" t="str">
        <f ca="1">IF(YardsAll[[#This Row],[STATUS]]="","",IF(OR(F274="2019-2020",F274="2021-2025"),"",IF(ISNUMBER(SEARCH("LLC",D274)),VLOOKUP(A274,Yards25[],29,FALSE),VLOOKUP(A274,Yards[],29,FALSE))))</f>
        <v/>
      </c>
      <c r="K274" s="143" t="str">
        <f ca="1">IF(YardsAll[[#This Row],[STATUS]]="","",IF(OR(F274="2019-2020",F274="2021-2025"),"",IF(ISNUMBER(SEARCH("LLC",D274)),VLOOKUP(A274,Yards25[],19,FALSE),VLOOKUP(A274,Yards[],19,FALSE))))</f>
        <v/>
      </c>
      <c r="L274" s="143" t="str">
        <f ca="1">IF(IF(OR(F274="2019-2020",F274="2021-2025"),"",IF(ISNUMBER(SEARCH("LLC",D274)),VLOOKUP(A274,Yards25[],20,FALSE),VLOOKUP(A274,Yards[],20,FALSE)))=0,"",IF(OR(F274="2019-2020",F274="2021-2025"),"",IF(ISNUMBER(SEARCH("LLC",D274)),VLOOKUP(A274,Yards25[],20,FALSE),VLOOKUP(A274,Yards[],20,FALSE))))</f>
        <v/>
      </c>
      <c r="M274" s="151">
        <f ca="1">IF(OR(F274="2019-2020",F274="2021-2025"),"",IF(ISNUMBER(SEARCH("LLC",D274)),VLOOKUP(A274,Yards25[],21,FALSE),VLOOKUP(A274,Yards[],21,FALSE)))</f>
        <v>0</v>
      </c>
      <c r="N274" s="151">
        <f ca="1">IF(OR(F274="2019-2020",F274="2021-2025"),"",IF(ISNUMBER(SEARCH("LLC",D274)),VLOOKUP(A274,Yards25[],22,FALSE),VLOOKUP(A274,Yards[],22,FALSE)))</f>
        <v>0</v>
      </c>
      <c r="O274" s="151">
        <f ca="1">SUM(YardsAll[[#This Row],[DSGN ESTIMATE]:[CONS ESTIMATE]])</f>
        <v>0</v>
      </c>
      <c r="P274" s="143"/>
      <c r="Q274" s="143">
        <f ca="1">IF(OR(F274="2019-2020",F274="2021-2025"),"",IF(ISNUMBER(SEARCH("LLC",D274)),VLOOKUP(A274,Yards25[],25,FALSE),VLOOKUP(A274,Yards[],25,FALSE)))</f>
        <v>0</v>
      </c>
      <c r="R274" s="152"/>
    </row>
    <row r="275" spans="1:18">
      <c r="A275" s="147" t="s">
        <v>98</v>
      </c>
      <c r="B275" s="144" t="str">
        <f>VLOOKUP(A275,Data[],2,FALSE)</f>
        <v>BRONX</v>
      </c>
      <c r="C275" s="144" t="str">
        <f ca="1">IF(OR(F275="2019-2020",F275="2021-2025"),"",IF(ISNUMBER(SEARCH("LLC",D275)),VLOOKUP(A275,Yards25[],3,FALSE),VLOOKUP(A275,Yards[],3,FALSE)))</f>
        <v>New Waste Yard v1</v>
      </c>
      <c r="D275" s="9" t="str">
        <f>VLOOKUP(A275,Data[],52,FALSE)</f>
        <v>FEDERAL</v>
      </c>
      <c r="E275" s="9">
        <f>VLOOKUP(YardsAll[[#This Row],[DEVELOPMENT]],Data[],62,FALSE)</f>
        <v>3</v>
      </c>
      <c r="F275" s="9" t="str">
        <f ca="1">VLOOKUP(A275,Data[],4,FALSE)</f>
        <v>2026+</v>
      </c>
      <c r="G275" s="9">
        <f ca="1">IF(OR(YardsAll[[#This Row],[RAD/PACT]]="2019-2020",YardsAll[[#This Row],[RAD/PACT]]="2021-2025"),"",IF(ISNUMBER(SEARCH("1",C275)),2,IF(ISNUMBER(SEARCH("2",C275)),1,IF(ISNUMBER(SEARCH("3",C275)),3,IF(ISNUMBER(SEARCH("4",C275)),4,IF(ISNUMBER(SEARCH("5",C275)),5,IF(ISNUMBER(SEARCH("6",C275)),6,IF(ISNUMBER(SEARCH("7",C275)),7,IF(ISNUMBER(SEARCH("8",C275)),8,0)))))))))</f>
        <v>2</v>
      </c>
      <c r="H275" s="143" t="str">
        <f ca="1">IF(YardsAll[[#This Row],[STATUS]]="","",IF(OR(F275="2019-2020",F275="2021-2025"),"",IF(ISNUMBER(SEARCH("LLC",D275)),VLOOKUP(A275,Yards25[],28,FALSE),VLOOKUP(A275,Yards[],28,FALSE))))</f>
        <v/>
      </c>
      <c r="I275" s="143" t="str">
        <f ca="1">IF(YardsAll[[#This Row],[STATUS]]="","",IF(OR(F275="2019-2020",F275="2021-2025"),"",IF(ISNUMBER(SEARCH("LLC",D275)),VLOOKUP(A275,Yards25[],17,FALSE),VLOOKUP(A275,Yards[],17,FALSE))))</f>
        <v/>
      </c>
      <c r="J275" s="143" t="str">
        <f ca="1">IF(YardsAll[[#This Row],[STATUS]]="","",IF(OR(F275="2019-2020",F275="2021-2025"),"",IF(ISNUMBER(SEARCH("LLC",D275)),VLOOKUP(A275,Yards25[],29,FALSE),VLOOKUP(A275,Yards[],29,FALSE))))</f>
        <v/>
      </c>
      <c r="K275" s="143" t="str">
        <f ca="1">IF(YardsAll[[#This Row],[STATUS]]="","",IF(OR(F275="2019-2020",F275="2021-2025"),"",IF(ISNUMBER(SEARCH("LLC",D275)),VLOOKUP(A275,Yards25[],19,FALSE),VLOOKUP(A275,Yards[],19,FALSE))))</f>
        <v/>
      </c>
      <c r="L275" s="143" t="str">
        <f ca="1">IF(IF(OR(F275="2019-2020",F275="2021-2025"),"",IF(ISNUMBER(SEARCH("LLC",D275)),VLOOKUP(A275,Yards25[],20,FALSE),VLOOKUP(A275,Yards[],20,FALSE)))=0,"",IF(OR(F275="2019-2020",F275="2021-2025"),"",IF(ISNUMBER(SEARCH("LLC",D275)),VLOOKUP(A275,Yards25[],20,FALSE),VLOOKUP(A275,Yards[],20,FALSE))))</f>
        <v/>
      </c>
      <c r="M275" s="151">
        <f ca="1">IF(OR(F275="2019-2020",F275="2021-2025"),"",IF(ISNUMBER(SEARCH("LLC",D275)),VLOOKUP(A275,Yards25[],21,FALSE),VLOOKUP(A275,Yards[],21,FALSE)))</f>
        <v>218713.03623400006</v>
      </c>
      <c r="N275" s="151">
        <f ca="1">IF(OR(F275="2019-2020",F275="2021-2025"),"",IF(ISNUMBER(SEARCH("LLC",D275)),VLOOKUP(A275,Yards25[],22,FALSE),VLOOKUP(A275,Yards[],22,FALSE)))</f>
        <v>1968417.3261060005</v>
      </c>
      <c r="O275" s="151">
        <f ca="1">SUM(YardsAll[[#This Row],[DSGN ESTIMATE]:[CONS ESTIMATE]])</f>
        <v>2187130.3623400005</v>
      </c>
      <c r="P275" s="143"/>
      <c r="Q275" s="143">
        <f ca="1">IF(OR(F275="2019-2020",F275="2021-2025"),"",IF(ISNUMBER(SEARCH("LLC",D275)),VLOOKUP(A275,Yards25[],25,FALSE),VLOOKUP(A275,Yards[],25,FALSE)))</f>
        <v>0</v>
      </c>
      <c r="R275" s="152"/>
    </row>
    <row r="276" spans="1:18">
      <c r="A276" s="147" t="s">
        <v>99</v>
      </c>
      <c r="B276" s="144" t="str">
        <f>VLOOKUP(A276,Data[],2,FALSE)</f>
        <v>BRONX</v>
      </c>
      <c r="C276" s="144" t="str">
        <f ca="1">IF(OR(F276="2019-2020",F276="2021-2025"),"",IF(ISNUMBER(SEARCH("LLC",D276)),VLOOKUP(A276,Yards25[],3,FALSE),VLOOKUP(A276,Yards[],3,FALSE)))</f>
        <v>New Waste Yard v1</v>
      </c>
      <c r="D276" s="9" t="str">
        <f>VLOOKUP(A276,Data[],52,FALSE)</f>
        <v>FEDERAL</v>
      </c>
      <c r="E276" s="9">
        <f>VLOOKUP(YardsAll[[#This Row],[DEVELOPMENT]],Data[],62,FALSE)</f>
        <v>3</v>
      </c>
      <c r="F276" s="9" t="str">
        <f ca="1">VLOOKUP(A276,Data[],4,FALSE)</f>
        <v>2026+</v>
      </c>
      <c r="G276" s="9">
        <f ca="1">IF(OR(YardsAll[[#This Row],[RAD/PACT]]="2019-2020",YardsAll[[#This Row],[RAD/PACT]]="2021-2025"),"",IF(ISNUMBER(SEARCH("1",C276)),2,IF(ISNUMBER(SEARCH("2",C276)),1,IF(ISNUMBER(SEARCH("3",C276)),3,IF(ISNUMBER(SEARCH("4",C276)),4,IF(ISNUMBER(SEARCH("5",C276)),5,IF(ISNUMBER(SEARCH("6",C276)),6,IF(ISNUMBER(SEARCH("7",C276)),7,IF(ISNUMBER(SEARCH("8",C276)),8,0)))))))))</f>
        <v>2</v>
      </c>
      <c r="H276" s="143" t="str">
        <f ca="1">IF(YardsAll[[#This Row],[STATUS]]="","",IF(OR(F276="2019-2020",F276="2021-2025"),"",IF(ISNUMBER(SEARCH("LLC",D276)),VLOOKUP(A276,Yards25[],28,FALSE),VLOOKUP(A276,Yards[],28,FALSE))))</f>
        <v/>
      </c>
      <c r="I276" s="143" t="str">
        <f ca="1">IF(YardsAll[[#This Row],[STATUS]]="","",IF(OR(F276="2019-2020",F276="2021-2025"),"",IF(ISNUMBER(SEARCH("LLC",D276)),VLOOKUP(A276,Yards25[],17,FALSE),VLOOKUP(A276,Yards[],17,FALSE))))</f>
        <v/>
      </c>
      <c r="J276" s="143" t="str">
        <f ca="1">IF(YardsAll[[#This Row],[STATUS]]="","",IF(OR(F276="2019-2020",F276="2021-2025"),"",IF(ISNUMBER(SEARCH("LLC",D276)),VLOOKUP(A276,Yards25[],29,FALSE),VLOOKUP(A276,Yards[],29,FALSE))))</f>
        <v/>
      </c>
      <c r="K276" s="143" t="str">
        <f ca="1">IF(YardsAll[[#This Row],[STATUS]]="","",IF(OR(F276="2019-2020",F276="2021-2025"),"",IF(ISNUMBER(SEARCH("LLC",D276)),VLOOKUP(A276,Yards25[],19,FALSE),VLOOKUP(A276,Yards[],19,FALSE))))</f>
        <v/>
      </c>
      <c r="L276" s="143" t="str">
        <f ca="1">IF(IF(OR(F276="2019-2020",F276="2021-2025"),"",IF(ISNUMBER(SEARCH("LLC",D276)),VLOOKUP(A276,Yards25[],20,FALSE),VLOOKUP(A276,Yards[],20,FALSE)))=0,"",IF(OR(F276="2019-2020",F276="2021-2025"),"",IF(ISNUMBER(SEARCH("LLC",D276)),VLOOKUP(A276,Yards25[],20,FALSE),VLOOKUP(A276,Yards[],20,FALSE))))</f>
        <v/>
      </c>
      <c r="M276" s="151">
        <f ca="1">IF(OR(F276="2019-2020",F276="2021-2025"),"",IF(ISNUMBER(SEARCH("LLC",D276)),VLOOKUP(A276,Yards25[],21,FALSE),VLOOKUP(A276,Yards[],21,FALSE)))</f>
        <v>225039.4463730001</v>
      </c>
      <c r="N276" s="151">
        <f ca="1">IF(OR(F276="2019-2020",F276="2021-2025"),"",IF(ISNUMBER(SEARCH("LLC",D276)),VLOOKUP(A276,Yards25[],22,FALSE),VLOOKUP(A276,Yards[],22,FALSE)))</f>
        <v>2025355.0173570008</v>
      </c>
      <c r="O276" s="151">
        <f ca="1">SUM(YardsAll[[#This Row],[DSGN ESTIMATE]:[CONS ESTIMATE]])</f>
        <v>2250394.4637300009</v>
      </c>
      <c r="P276" s="143"/>
      <c r="Q276" s="143">
        <f ca="1">IF(OR(F276="2019-2020",F276="2021-2025"),"",IF(ISNUMBER(SEARCH("LLC",D276)),VLOOKUP(A276,Yards25[],25,FALSE),VLOOKUP(A276,Yards[],25,FALSE)))</f>
        <v>0</v>
      </c>
      <c r="R276" s="152"/>
    </row>
    <row r="277" spans="1:18">
      <c r="A277" s="147" t="s">
        <v>218</v>
      </c>
      <c r="B277" s="144" t="str">
        <f>VLOOKUP(A277,Data[],2,FALSE)</f>
        <v>BROOKLYN</v>
      </c>
      <c r="C277" s="144" t="str">
        <f ca="1">IF(OR(F277="2019-2020",F277="2021-2025"),"",IF(ISNUMBER(SEARCH("LLC",D277)),VLOOKUP(A277,Yards25[],3,FALSE),VLOOKUP(A277,Yards[],3,FALSE)))</f>
        <v>New Waste Yard v1</v>
      </c>
      <c r="D277" s="9" t="str">
        <f>VLOOKUP(A277,Data[],52,FALSE)</f>
        <v>FEDERAL</v>
      </c>
      <c r="E277" s="9">
        <f>VLOOKUP(YardsAll[[#This Row],[DEVELOPMENT]],Data[],62,FALSE)</f>
        <v>5</v>
      </c>
      <c r="F277" s="9" t="str">
        <f ca="1">VLOOKUP(A277,Data[],4,FALSE)</f>
        <v>2026+</v>
      </c>
      <c r="G277" s="9">
        <f ca="1">IF(OR(YardsAll[[#This Row],[RAD/PACT]]="2019-2020",YardsAll[[#This Row],[RAD/PACT]]="2021-2025"),"",IF(ISNUMBER(SEARCH("1",C277)),2,IF(ISNUMBER(SEARCH("2",C277)),1,IF(ISNUMBER(SEARCH("3",C277)),3,IF(ISNUMBER(SEARCH("4",C277)),4,IF(ISNUMBER(SEARCH("5",C277)),5,IF(ISNUMBER(SEARCH("6",C277)),6,IF(ISNUMBER(SEARCH("7",C277)),7,IF(ISNUMBER(SEARCH("8",C277)),8,0)))))))))</f>
        <v>2</v>
      </c>
      <c r="H277" s="143" t="str">
        <f ca="1">IF(YardsAll[[#This Row],[STATUS]]="","",IF(OR(F277="2019-2020",F277="2021-2025"),"",IF(ISNUMBER(SEARCH("LLC",D277)),VLOOKUP(A277,Yards25[],28,FALSE),VLOOKUP(A277,Yards[],28,FALSE))))</f>
        <v/>
      </c>
      <c r="I277" s="143" t="str">
        <f ca="1">IF(YardsAll[[#This Row],[STATUS]]="","",IF(OR(F277="2019-2020",F277="2021-2025"),"",IF(ISNUMBER(SEARCH("LLC",D277)),VLOOKUP(A277,Yards25[],17,FALSE),VLOOKUP(A277,Yards[],17,FALSE))))</f>
        <v/>
      </c>
      <c r="J277" s="143" t="str">
        <f ca="1">IF(YardsAll[[#This Row],[STATUS]]="","",IF(OR(F277="2019-2020",F277="2021-2025"),"",IF(ISNUMBER(SEARCH("LLC",D277)),VLOOKUP(A277,Yards25[],29,FALSE),VLOOKUP(A277,Yards[],29,FALSE))))</f>
        <v/>
      </c>
      <c r="K277" s="143" t="str">
        <f ca="1">IF(YardsAll[[#This Row],[STATUS]]="","",IF(OR(F277="2019-2020",F277="2021-2025"),"",IF(ISNUMBER(SEARCH("LLC",D277)),VLOOKUP(A277,Yards25[],19,FALSE),VLOOKUP(A277,Yards[],19,FALSE))))</f>
        <v/>
      </c>
      <c r="L277" s="143" t="str">
        <f ca="1">IF(IF(OR(F277="2019-2020",F277="2021-2025"),"",IF(ISNUMBER(SEARCH("LLC",D277)),VLOOKUP(A277,Yards25[],20,FALSE),VLOOKUP(A277,Yards[],20,FALSE)))=0,"",IF(OR(F277="2019-2020",F277="2021-2025"),"",IF(ISNUMBER(SEARCH("LLC",D277)),VLOOKUP(A277,Yards25[],20,FALSE),VLOOKUP(A277,Yards[],20,FALSE))))</f>
        <v/>
      </c>
      <c r="M277" s="151">
        <f ca="1">IF(OR(F277="2019-2020",F277="2021-2025"),"",IF(ISNUMBER(SEARCH("LLC",D277)),VLOOKUP(A277,Yards25[],21,FALSE),VLOOKUP(A277,Yards[],21,FALSE)))</f>
        <v>199733.80581700004</v>
      </c>
      <c r="N277" s="151">
        <f ca="1">IF(OR(F277="2019-2020",F277="2021-2025"),"",IF(ISNUMBER(SEARCH("LLC",D277)),VLOOKUP(A277,Yards25[],22,FALSE),VLOOKUP(A277,Yards[],22,FALSE)))</f>
        <v>1797604.2523530002</v>
      </c>
      <c r="O277" s="151">
        <f ca="1">SUM(YardsAll[[#This Row],[DSGN ESTIMATE]:[CONS ESTIMATE]])</f>
        <v>1997338.0581700003</v>
      </c>
      <c r="P277" s="143"/>
      <c r="Q277" s="143">
        <f ca="1">IF(OR(F277="2019-2020",F277="2021-2025"),"",IF(ISNUMBER(SEARCH("LLC",D277)),VLOOKUP(A277,Yards25[],25,FALSE),VLOOKUP(A277,Yards[],25,FALSE)))</f>
        <v>0</v>
      </c>
      <c r="R277" s="152"/>
    </row>
    <row r="278" spans="1:18">
      <c r="A278" s="147" t="s">
        <v>219</v>
      </c>
      <c r="B278" s="144" t="str">
        <f>VLOOKUP(A278,Data[],2,FALSE)</f>
        <v>BROOKLYN</v>
      </c>
      <c r="C278" s="144" t="str">
        <f ca="1">IF(OR(F278="2019-2020",F278="2021-2025"),"",IF(ISNUMBER(SEARCH("LLC",D278)),VLOOKUP(A278,Yards25[],3,FALSE),VLOOKUP(A278,Yards[],3,FALSE)))</f>
        <v>New Waste Yard v1</v>
      </c>
      <c r="D278" s="9" t="str">
        <f>VLOOKUP(A278,Data[],52,FALSE)</f>
        <v>FEDERAL</v>
      </c>
      <c r="E278" s="9">
        <f>VLOOKUP(YardsAll[[#This Row],[DEVELOPMENT]],Data[],62,FALSE)</f>
        <v>5</v>
      </c>
      <c r="F278" s="9" t="str">
        <f ca="1">VLOOKUP(A278,Data[],4,FALSE)</f>
        <v>2026+</v>
      </c>
      <c r="G278" s="9">
        <f ca="1">IF(OR(YardsAll[[#This Row],[RAD/PACT]]="2019-2020",YardsAll[[#This Row],[RAD/PACT]]="2021-2025"),"",IF(ISNUMBER(SEARCH("1",C278)),2,IF(ISNUMBER(SEARCH("2",C278)),1,IF(ISNUMBER(SEARCH("3",C278)),3,IF(ISNUMBER(SEARCH("4",C278)),4,IF(ISNUMBER(SEARCH("5",C278)),5,IF(ISNUMBER(SEARCH("6",C278)),6,IF(ISNUMBER(SEARCH("7",C278)),7,IF(ISNUMBER(SEARCH("8",C278)),8,0)))))))))</f>
        <v>2</v>
      </c>
      <c r="H278" s="143" t="str">
        <f ca="1">IF(YardsAll[[#This Row],[STATUS]]="","",IF(OR(F278="2019-2020",F278="2021-2025"),"",IF(ISNUMBER(SEARCH("LLC",D278)),VLOOKUP(A278,Yards25[],28,FALSE),VLOOKUP(A278,Yards[],28,FALSE))))</f>
        <v/>
      </c>
      <c r="I278" s="143" t="str">
        <f ca="1">IF(YardsAll[[#This Row],[STATUS]]="","",IF(OR(F278="2019-2020",F278="2021-2025"),"",IF(ISNUMBER(SEARCH("LLC",D278)),VLOOKUP(A278,Yards25[],17,FALSE),VLOOKUP(A278,Yards[],17,FALSE))))</f>
        <v/>
      </c>
      <c r="J278" s="143" t="str">
        <f ca="1">IF(YardsAll[[#This Row],[STATUS]]="","",IF(OR(F278="2019-2020",F278="2021-2025"),"",IF(ISNUMBER(SEARCH("LLC",D278)),VLOOKUP(A278,Yards25[],29,FALSE),VLOOKUP(A278,Yards[],29,FALSE))))</f>
        <v/>
      </c>
      <c r="K278" s="143" t="str">
        <f ca="1">IF(YardsAll[[#This Row],[STATUS]]="","",IF(OR(F278="2019-2020",F278="2021-2025"),"",IF(ISNUMBER(SEARCH("LLC",D278)),VLOOKUP(A278,Yards25[],19,FALSE),VLOOKUP(A278,Yards[],19,FALSE))))</f>
        <v/>
      </c>
      <c r="L278" s="143" t="str">
        <f ca="1">IF(IF(OR(F278="2019-2020",F278="2021-2025"),"",IF(ISNUMBER(SEARCH("LLC",D278)),VLOOKUP(A278,Yards25[],20,FALSE),VLOOKUP(A278,Yards[],20,FALSE)))=0,"",IF(OR(F278="2019-2020",F278="2021-2025"),"",IF(ISNUMBER(SEARCH("LLC",D278)),VLOOKUP(A278,Yards25[],20,FALSE),VLOOKUP(A278,Yards[],20,FALSE))))</f>
        <v/>
      </c>
      <c r="M278" s="151">
        <f ca="1">IF(OR(F278="2019-2020",F278="2021-2025"),"",IF(ISNUMBER(SEARCH("LLC",D278)),VLOOKUP(A278,Yards25[],21,FALSE),VLOOKUP(A278,Yards[],21,FALSE)))</f>
        <v>199733.80581700004</v>
      </c>
      <c r="N278" s="151">
        <f ca="1">IF(OR(F278="2019-2020",F278="2021-2025"),"",IF(ISNUMBER(SEARCH("LLC",D278)),VLOOKUP(A278,Yards25[],22,FALSE),VLOOKUP(A278,Yards[],22,FALSE)))</f>
        <v>1797604.2523530002</v>
      </c>
      <c r="O278" s="151">
        <f ca="1">SUM(YardsAll[[#This Row],[DSGN ESTIMATE]:[CONS ESTIMATE]])</f>
        <v>1997338.0581700003</v>
      </c>
      <c r="P278" s="143"/>
      <c r="Q278" s="143">
        <f ca="1">IF(OR(F278="2019-2020",F278="2021-2025"),"",IF(ISNUMBER(SEARCH("LLC",D278)),VLOOKUP(A278,Yards25[],25,FALSE),VLOOKUP(A278,Yards[],25,FALSE)))</f>
        <v>0</v>
      </c>
      <c r="R278" s="152"/>
    </row>
    <row r="279" spans="1:18">
      <c r="A279" s="147" t="s">
        <v>372</v>
      </c>
      <c r="B279" s="144" t="str">
        <f>VLOOKUP(A279,Data[],2,FALSE)</f>
        <v>BRONX</v>
      </c>
      <c r="C279" s="144" t="str">
        <f ca="1">IF(OR(F279="2019-2020",F279="2021-2025"),"",IF(ISNUMBER(SEARCH("LLC",D279)),VLOOKUP(A279,Yards25[],3,FALSE),VLOOKUP(A279,Yards[],3,FALSE)))</f>
        <v>New Waste Yard v1</v>
      </c>
      <c r="D279" s="9" t="str">
        <f>VLOOKUP(A279,Data[],52,FALSE)</f>
        <v>FEDERAL</v>
      </c>
      <c r="E279" s="9">
        <f>VLOOKUP(YardsAll[[#This Row],[DEVELOPMENT]],Data[],62,FALSE)</f>
        <v>5</v>
      </c>
      <c r="F279" s="9" t="str">
        <f ca="1">VLOOKUP(A279,Data[],4,FALSE)</f>
        <v/>
      </c>
      <c r="G279" s="9">
        <f ca="1">IF(OR(YardsAll[[#This Row],[RAD/PACT]]="2019-2020",YardsAll[[#This Row],[RAD/PACT]]="2021-2025"),"",IF(ISNUMBER(SEARCH("1",C279)),2,IF(ISNUMBER(SEARCH("2",C279)),1,IF(ISNUMBER(SEARCH("3",C279)),3,IF(ISNUMBER(SEARCH("4",C279)),4,IF(ISNUMBER(SEARCH("5",C279)),5,IF(ISNUMBER(SEARCH("6",C279)),6,IF(ISNUMBER(SEARCH("7",C279)),7,IF(ISNUMBER(SEARCH("8",C279)),8,0)))))))))</f>
        <v>2</v>
      </c>
      <c r="H279" s="143" t="str">
        <f ca="1">IF(YardsAll[[#This Row],[STATUS]]="","",IF(OR(F279="2019-2020",F279="2021-2025"),"",IF(ISNUMBER(SEARCH("LLC",D279)),VLOOKUP(A279,Yards25[],28,FALSE),VLOOKUP(A279,Yards[],28,FALSE))))</f>
        <v/>
      </c>
      <c r="I279" s="143" t="str">
        <f ca="1">IF(YardsAll[[#This Row],[STATUS]]="","",IF(OR(F279="2019-2020",F279="2021-2025"),"",IF(ISNUMBER(SEARCH("LLC",D279)),VLOOKUP(A279,Yards25[],17,FALSE),VLOOKUP(A279,Yards[],17,FALSE))))</f>
        <v/>
      </c>
      <c r="J279" s="143" t="str">
        <f ca="1">IF(YardsAll[[#This Row],[STATUS]]="","",IF(OR(F279="2019-2020",F279="2021-2025"),"",IF(ISNUMBER(SEARCH("LLC",D279)),VLOOKUP(A279,Yards25[],29,FALSE),VLOOKUP(A279,Yards[],29,FALSE))))</f>
        <v/>
      </c>
      <c r="K279" s="143" t="str">
        <f ca="1">IF(YardsAll[[#This Row],[STATUS]]="","",IF(OR(F279="2019-2020",F279="2021-2025"),"",IF(ISNUMBER(SEARCH("LLC",D279)),VLOOKUP(A279,Yards25[],19,FALSE),VLOOKUP(A279,Yards[],19,FALSE))))</f>
        <v/>
      </c>
      <c r="L279" s="143" t="str">
        <f ca="1">IF(IF(OR(F279="2019-2020",F279="2021-2025"),"",IF(ISNUMBER(SEARCH("LLC",D279)),VLOOKUP(A279,Yards25[],20,FALSE),VLOOKUP(A279,Yards[],20,FALSE)))=0,"",IF(OR(F279="2019-2020",F279="2021-2025"),"",IF(ISNUMBER(SEARCH("LLC",D279)),VLOOKUP(A279,Yards25[],20,FALSE),VLOOKUP(A279,Yards[],20,FALSE))))</f>
        <v/>
      </c>
      <c r="M279" s="151">
        <f ca="1">IF(OR(F279="2019-2020",F279="2021-2025"),"",IF(ISNUMBER(SEARCH("LLC",D279)),VLOOKUP(A279,Yards25[],21,FALSE),VLOOKUP(A279,Yards[],21,FALSE)))</f>
        <v>231365.85651200006</v>
      </c>
      <c r="N279" s="151">
        <f ca="1">IF(OR(F279="2019-2020",F279="2021-2025"),"",IF(ISNUMBER(SEARCH("LLC",D279)),VLOOKUP(A279,Yards25[],22,FALSE),VLOOKUP(A279,Yards[],22,FALSE)))</f>
        <v>2082292.7086080003</v>
      </c>
      <c r="O279" s="151">
        <f ca="1">SUM(YardsAll[[#This Row],[DSGN ESTIMATE]:[CONS ESTIMATE]])</f>
        <v>2313658.5651200004</v>
      </c>
      <c r="P279" s="143"/>
      <c r="Q279" s="143">
        <f ca="1">IF(OR(F279="2019-2020",F279="2021-2025"),"",IF(ISNUMBER(SEARCH("LLC",D279)),VLOOKUP(A279,Yards25[],25,FALSE),VLOOKUP(A279,Yards[],25,FALSE)))</f>
        <v>0</v>
      </c>
      <c r="R279" s="152"/>
    </row>
    <row r="280" spans="1:18">
      <c r="A280" s="147" t="s">
        <v>126</v>
      </c>
      <c r="B280" s="144" t="str">
        <f>VLOOKUP(A280,Data[],2,FALSE)</f>
        <v>MANHATTAN</v>
      </c>
      <c r="C280" s="144" t="str">
        <f ca="1">IF(OR(F280="2019-2020",F280="2021-2025"),"",IF(ISNUMBER(SEARCH("LLC",D280)),VLOOKUP(A280,Yards25[],3,FALSE),VLOOKUP(A280,Yards[],3,FALSE)))</f>
        <v>New Waste Yard v1</v>
      </c>
      <c r="D280" s="9" t="str">
        <f>VLOOKUP(A280,Data[],52,FALSE)</f>
        <v>FEDERAL</v>
      </c>
      <c r="E280" s="9">
        <f>VLOOKUP(YardsAll[[#This Row],[DEVELOPMENT]],Data[],62,FALSE)</f>
        <v>11</v>
      </c>
      <c r="F280" s="9" t="str">
        <f ca="1">VLOOKUP(A280,Data[],4,FALSE)</f>
        <v/>
      </c>
      <c r="G280" s="9">
        <f ca="1">IF(OR(YardsAll[[#This Row],[RAD/PACT]]="2019-2020",YardsAll[[#This Row],[RAD/PACT]]="2021-2025"),"",IF(ISNUMBER(SEARCH("1",C280)),2,IF(ISNUMBER(SEARCH("2",C280)),1,IF(ISNUMBER(SEARCH("3",C280)),3,IF(ISNUMBER(SEARCH("4",C280)),4,IF(ISNUMBER(SEARCH("5",C280)),5,IF(ISNUMBER(SEARCH("6",C280)),6,IF(ISNUMBER(SEARCH("7",C280)),7,IF(ISNUMBER(SEARCH("8",C280)),8,0)))))))))</f>
        <v>2</v>
      </c>
      <c r="H280" s="143" t="str">
        <f ca="1">IF(YardsAll[[#This Row],[STATUS]]="","",IF(OR(F280="2019-2020",F280="2021-2025"),"",IF(ISNUMBER(SEARCH("LLC",D280)),VLOOKUP(A280,Yards25[],28,FALSE),VLOOKUP(A280,Yards[],28,FALSE))))</f>
        <v/>
      </c>
      <c r="I280" s="143" t="str">
        <f ca="1">IF(YardsAll[[#This Row],[STATUS]]="","",IF(OR(F280="2019-2020",F280="2021-2025"),"",IF(ISNUMBER(SEARCH("LLC",D280)),VLOOKUP(A280,Yards25[],17,FALSE),VLOOKUP(A280,Yards[],17,FALSE))))</f>
        <v/>
      </c>
      <c r="J280" s="143" t="str">
        <f ca="1">IF(YardsAll[[#This Row],[STATUS]]="","",IF(OR(F280="2019-2020",F280="2021-2025"),"",IF(ISNUMBER(SEARCH("LLC",D280)),VLOOKUP(A280,Yards25[],29,FALSE),VLOOKUP(A280,Yards[],29,FALSE))))</f>
        <v/>
      </c>
      <c r="K280" s="143" t="str">
        <f ca="1">IF(YardsAll[[#This Row],[STATUS]]="","",IF(OR(F280="2019-2020",F280="2021-2025"),"",IF(ISNUMBER(SEARCH("LLC",D280)),VLOOKUP(A280,Yards25[],19,FALSE),VLOOKUP(A280,Yards[],19,FALSE))))</f>
        <v/>
      </c>
      <c r="L280" s="143" t="str">
        <f ca="1">IF(IF(OR(F280="2019-2020",F280="2021-2025"),"",IF(ISNUMBER(SEARCH("LLC",D280)),VLOOKUP(A280,Yards25[],20,FALSE),VLOOKUP(A280,Yards[],20,FALSE)))=0,"",IF(OR(F280="2019-2020",F280="2021-2025"),"",IF(ISNUMBER(SEARCH("LLC",D280)),VLOOKUP(A280,Yards25[],20,FALSE),VLOOKUP(A280,Yards[],20,FALSE))))</f>
        <v/>
      </c>
      <c r="M280" s="151">
        <f ca="1">IF(OR(F280="2019-2020",F280="2021-2025"),"",IF(ISNUMBER(SEARCH("LLC",D280)),VLOOKUP(A280,Yards25[],21,FALSE),VLOOKUP(A280,Yards[],21,FALSE)))</f>
        <v>225039.4463730001</v>
      </c>
      <c r="N280" s="151">
        <f ca="1">IF(OR(F280="2019-2020",F280="2021-2025"),"",IF(ISNUMBER(SEARCH("LLC",D280)),VLOOKUP(A280,Yards25[],22,FALSE),VLOOKUP(A280,Yards[],22,FALSE)))</f>
        <v>2025355.0173570008</v>
      </c>
      <c r="O280" s="151">
        <f ca="1">SUM(YardsAll[[#This Row],[DSGN ESTIMATE]:[CONS ESTIMATE]])</f>
        <v>2250394.4637300009</v>
      </c>
      <c r="P280" s="143"/>
      <c r="Q280" s="143">
        <f ca="1">IF(OR(F280="2019-2020",F280="2021-2025"),"",IF(ISNUMBER(SEARCH("LLC",D280)),VLOOKUP(A280,Yards25[],25,FALSE),VLOOKUP(A280,Yards[],25,FALSE)))</f>
        <v>0</v>
      </c>
      <c r="R280" s="152"/>
    </row>
    <row r="281" spans="1:18">
      <c r="A281" s="147" t="s">
        <v>100</v>
      </c>
      <c r="B281" s="144" t="str">
        <f>VLOOKUP(A281,Data[],2,FALSE)</f>
        <v>MANHATTAN</v>
      </c>
      <c r="C281" s="144" t="str">
        <f ca="1">IF(OR(F281="2019-2020",F281="2021-2025"),"",IF(ISNUMBER(SEARCH("LLC",D281)),VLOOKUP(A281,Yards25[],3,FALSE),VLOOKUP(A281,Yards[],3,FALSE)))</f>
        <v>New Waste Yard v3</v>
      </c>
      <c r="D281" s="9" t="str">
        <f>VLOOKUP(A281,Data[],52,FALSE)</f>
        <v>FEDERAL</v>
      </c>
      <c r="E281" s="9">
        <f>VLOOKUP(YardsAll[[#This Row],[DEVELOPMENT]],Data[],62,FALSE)</f>
        <v>11</v>
      </c>
      <c r="F281" s="9" t="str">
        <f ca="1">VLOOKUP(A281,Data[],4,FALSE)</f>
        <v/>
      </c>
      <c r="G281" s="9">
        <f ca="1">IF(OR(YardsAll[[#This Row],[RAD/PACT]]="2019-2020",YardsAll[[#This Row],[RAD/PACT]]="2021-2025"),"",IF(ISNUMBER(SEARCH("1",C281)),2,IF(ISNUMBER(SEARCH("2",C281)),1,IF(ISNUMBER(SEARCH("3",C281)),3,IF(ISNUMBER(SEARCH("4",C281)),4,IF(ISNUMBER(SEARCH("5",C281)),5,IF(ISNUMBER(SEARCH("6",C281)),6,IF(ISNUMBER(SEARCH("7",C281)),7,IF(ISNUMBER(SEARCH("8",C281)),8,0)))))))))</f>
        <v>3</v>
      </c>
      <c r="H281" s="143" t="str">
        <f ca="1">IF(YardsAll[[#This Row],[STATUS]]="","",IF(OR(F281="2019-2020",F281="2021-2025"),"",IF(ISNUMBER(SEARCH("LLC",D281)),VLOOKUP(A281,Yards25[],28,FALSE),VLOOKUP(A281,Yards[],28,FALSE))))</f>
        <v/>
      </c>
      <c r="I281" s="143" t="str">
        <f ca="1">IF(YardsAll[[#This Row],[STATUS]]="","",IF(OR(F281="2019-2020",F281="2021-2025"),"",IF(ISNUMBER(SEARCH("LLC",D281)),VLOOKUP(A281,Yards25[],17,FALSE),VLOOKUP(A281,Yards[],17,FALSE))))</f>
        <v/>
      </c>
      <c r="J281" s="143" t="str">
        <f ca="1">IF(YardsAll[[#This Row],[STATUS]]="","",IF(OR(F281="2019-2020",F281="2021-2025"),"",IF(ISNUMBER(SEARCH("LLC",D281)),VLOOKUP(A281,Yards25[],29,FALSE),VLOOKUP(A281,Yards[],29,FALSE))))</f>
        <v/>
      </c>
      <c r="K281" s="143" t="str">
        <f ca="1">IF(YardsAll[[#This Row],[STATUS]]="","",IF(OR(F281="2019-2020",F281="2021-2025"),"",IF(ISNUMBER(SEARCH("LLC",D281)),VLOOKUP(A281,Yards25[],19,FALSE),VLOOKUP(A281,Yards[],19,FALSE))))</f>
        <v/>
      </c>
      <c r="L281" s="143" t="str">
        <f ca="1">IF(IF(OR(F281="2019-2020",F281="2021-2025"),"",IF(ISNUMBER(SEARCH("LLC",D281)),VLOOKUP(A281,Yards25[],20,FALSE),VLOOKUP(A281,Yards[],20,FALSE)))=0,"",IF(OR(F281="2019-2020",F281="2021-2025"),"",IF(ISNUMBER(SEARCH("LLC",D281)),VLOOKUP(A281,Yards25[],20,FALSE),VLOOKUP(A281,Yards[],20,FALSE))))</f>
        <v/>
      </c>
      <c r="M281" s="151">
        <f ca="1">IF(OR(F281="2019-2020",F281="2021-2025"),"",IF(ISNUMBER(SEARCH("LLC",D281)),VLOOKUP(A281,Yards25[],21,FALSE),VLOOKUP(A281,Yards[],21,FALSE)))</f>
        <v>237400.39768875009</v>
      </c>
      <c r="N281" s="151">
        <f ca="1">IF(OR(F281="2019-2020",F281="2021-2025"),"",IF(ISNUMBER(SEARCH("LLC",D281)),VLOOKUP(A281,Yards25[],22,FALSE),VLOOKUP(A281,Yards[],22,FALSE)))</f>
        <v>2136603.5791987507</v>
      </c>
      <c r="O281" s="151">
        <f ca="1">SUM(YardsAll[[#This Row],[DSGN ESTIMATE]:[CONS ESTIMATE]])</f>
        <v>2374003.9768875008</v>
      </c>
      <c r="P281" s="143"/>
      <c r="Q281" s="143">
        <f ca="1">IF(OR(F281="2019-2020",F281="2021-2025"),"",IF(ISNUMBER(SEARCH("LLC",D281)),VLOOKUP(A281,Yards25[],25,FALSE),VLOOKUP(A281,Yards[],25,FALSE)))</f>
        <v>0</v>
      </c>
      <c r="R281" s="152"/>
    </row>
    <row r="282" spans="1:18">
      <c r="A282" s="147" t="s">
        <v>373</v>
      </c>
      <c r="B282" s="144" t="str">
        <f>VLOOKUP(A282,Data[],2,FALSE)</f>
        <v>BROOKLYN</v>
      </c>
      <c r="C282" s="144" t="str">
        <f ca="1">IF(OR(F282="2019-2020",F282="2021-2025"),"",IF(ISNUMBER(SEARCH("LLC",D282)),VLOOKUP(A282,Yards25[],3,FALSE),VLOOKUP(A282,Yards[],3,FALSE)))</f>
        <v>New Waste Yard v4</v>
      </c>
      <c r="D282" s="9" t="str">
        <f>VLOOKUP(A282,Data[],52,FALSE)</f>
        <v>FEDERAL</v>
      </c>
      <c r="E282" s="9">
        <f>VLOOKUP(YardsAll[[#This Row],[DEVELOPMENT]],Data[],62,FALSE)</f>
        <v>16</v>
      </c>
      <c r="F282" s="9" t="str">
        <f ca="1">VLOOKUP(A282,Data[],4,FALSE)</f>
        <v>2022-2025</v>
      </c>
      <c r="G282" s="9">
        <f ca="1">IF(OR(YardsAll[[#This Row],[RAD/PACT]]="2019-2020",YardsAll[[#This Row],[RAD/PACT]]="2021-2025"),"",IF(ISNUMBER(SEARCH("1",C282)),2,IF(ISNUMBER(SEARCH("2",C282)),1,IF(ISNUMBER(SEARCH("3",C282)),3,IF(ISNUMBER(SEARCH("4",C282)),4,IF(ISNUMBER(SEARCH("5",C282)),5,IF(ISNUMBER(SEARCH("6",C282)),6,IF(ISNUMBER(SEARCH("7",C282)),7,IF(ISNUMBER(SEARCH("8",C282)),8,0)))))))))</f>
        <v>4</v>
      </c>
      <c r="H282" s="143" t="str">
        <f ca="1">IF(YardsAll[[#This Row],[STATUS]]="","",IF(OR(F282="2019-2020",F282="2021-2025"),"",IF(ISNUMBER(SEARCH("LLC",D282)),VLOOKUP(A282,Yards25[],28,FALSE),VLOOKUP(A282,Yards[],28,FALSE))))</f>
        <v/>
      </c>
      <c r="I282" s="143" t="str">
        <f ca="1">IF(YardsAll[[#This Row],[STATUS]]="","",IF(OR(F282="2019-2020",F282="2021-2025"),"",IF(ISNUMBER(SEARCH("LLC",D282)),VLOOKUP(A282,Yards25[],17,FALSE),VLOOKUP(A282,Yards[],17,FALSE))))</f>
        <v/>
      </c>
      <c r="J282" s="143" t="str">
        <f ca="1">IF(YardsAll[[#This Row],[STATUS]]="","",IF(OR(F282="2019-2020",F282="2021-2025"),"",IF(ISNUMBER(SEARCH("LLC",D282)),VLOOKUP(A282,Yards25[],29,FALSE),VLOOKUP(A282,Yards[],29,FALSE))))</f>
        <v/>
      </c>
      <c r="K282" s="143" t="str">
        <f ca="1">IF(YardsAll[[#This Row],[STATUS]]="","",IF(OR(F282="2019-2020",F282="2021-2025"),"",IF(ISNUMBER(SEARCH("LLC",D282)),VLOOKUP(A282,Yards25[],19,FALSE),VLOOKUP(A282,Yards[],19,FALSE))))</f>
        <v/>
      </c>
      <c r="L282" s="143" t="str">
        <f ca="1">IF(IF(OR(F282="2019-2020",F282="2021-2025"),"",IF(ISNUMBER(SEARCH("LLC",D282)),VLOOKUP(A282,Yards25[],20,FALSE),VLOOKUP(A282,Yards[],20,FALSE)))=0,"",IF(OR(F282="2019-2020",F282="2021-2025"),"",IF(ISNUMBER(SEARCH("LLC",D282)),VLOOKUP(A282,Yards25[],20,FALSE),VLOOKUP(A282,Yards[],20,FALSE))))</f>
        <v/>
      </c>
      <c r="M282" s="151">
        <f ca="1">IF(OR(F282="2019-2020",F282="2021-2025"),"",IF(ISNUMBER(SEARCH("LLC",D282)),VLOOKUP(A282,Yards25[],21,FALSE),VLOOKUP(A282,Yards[],21,FALSE)))</f>
        <v>0</v>
      </c>
      <c r="N282" s="151">
        <f ca="1">IF(OR(F282="2019-2020",F282="2021-2025"),"",IF(ISNUMBER(SEARCH("LLC",D282)),VLOOKUP(A282,Yards25[],22,FALSE),VLOOKUP(A282,Yards[],22,FALSE)))</f>
        <v>0</v>
      </c>
      <c r="O282" s="151">
        <f ca="1">SUM(YardsAll[[#This Row],[DSGN ESTIMATE]:[CONS ESTIMATE]])</f>
        <v>0</v>
      </c>
      <c r="P282" s="143"/>
      <c r="Q282" s="143">
        <f ca="1">IF(OR(F282="2019-2020",F282="2021-2025"),"",IF(ISNUMBER(SEARCH("LLC",D282)),VLOOKUP(A282,Yards25[],25,FALSE),VLOOKUP(A282,Yards[],25,FALSE)))</f>
        <v>0</v>
      </c>
      <c r="R282" s="152"/>
    </row>
    <row r="283" spans="1:18">
      <c r="A283" s="147" t="s">
        <v>374</v>
      </c>
      <c r="B283" s="144" t="str">
        <f>VLOOKUP(A283,Data[],2,FALSE)</f>
        <v>BROOKLYN</v>
      </c>
      <c r="C283" s="144" t="str">
        <f ca="1">IF(OR(F283="2019-2020",F283="2021-2025"),"",IF(ISNUMBER(SEARCH("LLC",D283)),VLOOKUP(A283,Yards25[],3,FALSE),VLOOKUP(A283,Yards[],3,FALSE)))</f>
        <v>New Waste Yard v1</v>
      </c>
      <c r="D283" s="9" t="str">
        <f>VLOOKUP(A283,Data[],52,FALSE)</f>
        <v>FEDERAL</v>
      </c>
      <c r="E283" s="9">
        <f>VLOOKUP(YardsAll[[#This Row],[DEVELOPMENT]],Data[],62,FALSE)</f>
        <v>16</v>
      </c>
      <c r="F283" s="9" t="str">
        <f ca="1">VLOOKUP(A283,Data[],4,FALSE)</f>
        <v/>
      </c>
      <c r="G283" s="9">
        <f ca="1">IF(OR(YardsAll[[#This Row],[RAD/PACT]]="2019-2020",YardsAll[[#This Row],[RAD/PACT]]="2021-2025"),"",IF(ISNUMBER(SEARCH("1",C283)),2,IF(ISNUMBER(SEARCH("2",C283)),1,IF(ISNUMBER(SEARCH("3",C283)),3,IF(ISNUMBER(SEARCH("4",C283)),4,IF(ISNUMBER(SEARCH("5",C283)),5,IF(ISNUMBER(SEARCH("6",C283)),6,IF(ISNUMBER(SEARCH("7",C283)),7,IF(ISNUMBER(SEARCH("8",C283)),8,0)))))))))</f>
        <v>2</v>
      </c>
      <c r="H283" s="143" t="str">
        <f ca="1">IF(YardsAll[[#This Row],[STATUS]]="","",IF(OR(F283="2019-2020",F283="2021-2025"),"",IF(ISNUMBER(SEARCH("LLC",D283)),VLOOKUP(A283,Yards25[],28,FALSE),VLOOKUP(A283,Yards[],28,FALSE))))</f>
        <v/>
      </c>
      <c r="I283" s="143" t="str">
        <f ca="1">IF(YardsAll[[#This Row],[STATUS]]="","",IF(OR(F283="2019-2020",F283="2021-2025"),"",IF(ISNUMBER(SEARCH("LLC",D283)),VLOOKUP(A283,Yards25[],17,FALSE),VLOOKUP(A283,Yards[],17,FALSE))))</f>
        <v/>
      </c>
      <c r="J283" s="143" t="str">
        <f ca="1">IF(YardsAll[[#This Row],[STATUS]]="","",IF(OR(F283="2019-2020",F283="2021-2025"),"",IF(ISNUMBER(SEARCH("LLC",D283)),VLOOKUP(A283,Yards25[],29,FALSE),VLOOKUP(A283,Yards[],29,FALSE))))</f>
        <v/>
      </c>
      <c r="K283" s="143" t="str">
        <f ca="1">IF(YardsAll[[#This Row],[STATUS]]="","",IF(OR(F283="2019-2020",F283="2021-2025"),"",IF(ISNUMBER(SEARCH("LLC",D283)),VLOOKUP(A283,Yards25[],19,FALSE),VLOOKUP(A283,Yards[],19,FALSE))))</f>
        <v/>
      </c>
      <c r="L283" s="143" t="str">
        <f ca="1">IF(IF(OR(F283="2019-2020",F283="2021-2025"),"",IF(ISNUMBER(SEARCH("LLC",D283)),VLOOKUP(A283,Yards25[],20,FALSE),VLOOKUP(A283,Yards[],20,FALSE)))=0,"",IF(OR(F283="2019-2020",F283="2021-2025"),"",IF(ISNUMBER(SEARCH("LLC",D283)),VLOOKUP(A283,Yards25[],20,FALSE),VLOOKUP(A283,Yards[],20,FALSE))))</f>
        <v/>
      </c>
      <c r="M283" s="151">
        <f ca="1">IF(OR(F283="2019-2020",F283="2021-2025"),"",IF(ISNUMBER(SEARCH("LLC",D283)),VLOOKUP(A283,Yards25[],21,FALSE),VLOOKUP(A283,Yards[],21,FALSE)))</f>
        <v>237692.26665100004</v>
      </c>
      <c r="N283" s="151">
        <f ca="1">IF(OR(F283="2019-2020",F283="2021-2025"),"",IF(ISNUMBER(SEARCH("LLC",D283)),VLOOKUP(A283,Yards25[],22,FALSE),VLOOKUP(A283,Yards[],22,FALSE)))</f>
        <v>2139230.3998590005</v>
      </c>
      <c r="O283" s="151">
        <f ca="1">SUM(YardsAll[[#This Row],[DSGN ESTIMATE]:[CONS ESTIMATE]])</f>
        <v>2376922.6665100004</v>
      </c>
      <c r="P283" s="143"/>
      <c r="Q283" s="143">
        <f ca="1">IF(OR(F283="2019-2020",F283="2021-2025"),"",IF(ISNUMBER(SEARCH("LLC",D283)),VLOOKUP(A283,Yards25[],25,FALSE),VLOOKUP(A283,Yards[],25,FALSE)))</f>
        <v>0</v>
      </c>
      <c r="R283" s="152"/>
    </row>
    <row r="284" spans="1:18">
      <c r="A284" s="147" t="s">
        <v>375</v>
      </c>
      <c r="B284" s="144" t="str">
        <f>VLOOKUP(A284,Data[],2,FALSE)</f>
        <v>BROOKLYN</v>
      </c>
      <c r="C284" s="144" t="str">
        <f ca="1">IF(OR(F284="2019-2020",F284="2021-2025"),"",IF(ISNUMBER(SEARCH("LLC",D284)),VLOOKUP(A284,Yards25[],3,FALSE),VLOOKUP(A284,Yards[],3,FALSE)))</f>
        <v>New Waste Yard v1</v>
      </c>
      <c r="D284" s="9" t="str">
        <f>VLOOKUP(A284,Data[],52,FALSE)</f>
        <v>FEDERAL</v>
      </c>
      <c r="E284" s="9">
        <f>VLOOKUP(YardsAll[[#This Row],[DEVELOPMENT]],Data[],62,FALSE)</f>
        <v>5</v>
      </c>
      <c r="F284" s="9" t="str">
        <f ca="1">VLOOKUP(A284,Data[],4,FALSE)</f>
        <v/>
      </c>
      <c r="G284" s="9">
        <f ca="1">IF(OR(YardsAll[[#This Row],[RAD/PACT]]="2019-2020",YardsAll[[#This Row],[RAD/PACT]]="2021-2025"),"",IF(ISNUMBER(SEARCH("1",C284)),2,IF(ISNUMBER(SEARCH("2",C284)),1,IF(ISNUMBER(SEARCH("3",C284)),3,IF(ISNUMBER(SEARCH("4",C284)),4,IF(ISNUMBER(SEARCH("5",C284)),5,IF(ISNUMBER(SEARCH("6",C284)),6,IF(ISNUMBER(SEARCH("7",C284)),7,IF(ISNUMBER(SEARCH("8",C284)),8,0)))))))))</f>
        <v>2</v>
      </c>
      <c r="H284" s="143" t="str">
        <f ca="1">IF(YardsAll[[#This Row],[STATUS]]="","",IF(OR(F284="2019-2020",F284="2021-2025"),"",IF(ISNUMBER(SEARCH("LLC",D284)),VLOOKUP(A284,Yards25[],28,FALSE),VLOOKUP(A284,Yards[],28,FALSE))))</f>
        <v/>
      </c>
      <c r="I284" s="143" t="str">
        <f ca="1">IF(YardsAll[[#This Row],[STATUS]]="","",IF(OR(F284="2019-2020",F284="2021-2025"),"",IF(ISNUMBER(SEARCH("LLC",D284)),VLOOKUP(A284,Yards25[],17,FALSE),VLOOKUP(A284,Yards[],17,FALSE))))</f>
        <v/>
      </c>
      <c r="J284" s="143" t="str">
        <f ca="1">IF(YardsAll[[#This Row],[STATUS]]="","",IF(OR(F284="2019-2020",F284="2021-2025"),"",IF(ISNUMBER(SEARCH("LLC",D284)),VLOOKUP(A284,Yards25[],29,FALSE),VLOOKUP(A284,Yards[],29,FALSE))))</f>
        <v/>
      </c>
      <c r="K284" s="143" t="str">
        <f ca="1">IF(YardsAll[[#This Row],[STATUS]]="","",IF(OR(F284="2019-2020",F284="2021-2025"),"",IF(ISNUMBER(SEARCH("LLC",D284)),VLOOKUP(A284,Yards25[],19,FALSE),VLOOKUP(A284,Yards[],19,FALSE))))</f>
        <v/>
      </c>
      <c r="L284" s="143" t="str">
        <f ca="1">IF(IF(OR(F284="2019-2020",F284="2021-2025"),"",IF(ISNUMBER(SEARCH("LLC",D284)),VLOOKUP(A284,Yards25[],20,FALSE),VLOOKUP(A284,Yards[],20,FALSE)))=0,"",IF(OR(F284="2019-2020",F284="2021-2025"),"",IF(ISNUMBER(SEARCH("LLC",D284)),VLOOKUP(A284,Yards25[],20,FALSE),VLOOKUP(A284,Yards[],20,FALSE))))</f>
        <v/>
      </c>
      <c r="M284" s="151">
        <f ca="1">IF(OR(F284="2019-2020",F284="2021-2025"),"",IF(ISNUMBER(SEARCH("LLC",D284)),VLOOKUP(A284,Yards25[],21,FALSE),VLOOKUP(A284,Yards[],21,FALSE)))</f>
        <v>231365.85651200006</v>
      </c>
      <c r="N284" s="151">
        <f ca="1">IF(OR(F284="2019-2020",F284="2021-2025"),"",IF(ISNUMBER(SEARCH("LLC",D284)),VLOOKUP(A284,Yards25[],22,FALSE),VLOOKUP(A284,Yards[],22,FALSE)))</f>
        <v>2082292.7086080003</v>
      </c>
      <c r="O284" s="151">
        <f ca="1">SUM(YardsAll[[#This Row],[DSGN ESTIMATE]:[CONS ESTIMATE]])</f>
        <v>2313658.5651200004</v>
      </c>
      <c r="P284" s="143"/>
      <c r="Q284" s="143">
        <f ca="1">IF(OR(F284="2019-2020",F284="2021-2025"),"",IF(ISNUMBER(SEARCH("LLC",D284)),VLOOKUP(A284,Yards25[],25,FALSE),VLOOKUP(A284,Yards[],25,FALSE)))</f>
        <v>0</v>
      </c>
      <c r="R284" s="152"/>
    </row>
    <row r="285" spans="1:18">
      <c r="A285" s="148" t="s">
        <v>56</v>
      </c>
      <c r="B285" s="144" t="str">
        <f>VLOOKUP(A285,Data[],2,FALSE)</f>
        <v>MANHATTAN</v>
      </c>
      <c r="C285" s="144" t="str">
        <f ca="1">IF(OR(F285="2019-2020",F285="2021-2025"),"",IF(ISNUMBER(SEARCH("LLC",D285)),VLOOKUP(A285,Yards25[],3,FALSE),VLOOKUP(A285,Yards[],3,FALSE)))</f>
        <v>New Waste Yard v1</v>
      </c>
      <c r="D285" s="9" t="str">
        <f>VLOOKUP(A285,Data[],52,FALSE)</f>
        <v>FEDERAL</v>
      </c>
      <c r="E285" s="9">
        <f>VLOOKUP(YardsAll[[#This Row],[DEVELOPMENT]],Data[],62,FALSE)</f>
        <v>3</v>
      </c>
      <c r="F285" s="9" t="str">
        <f ca="1">VLOOKUP(A285,Data[],4,FALSE)</f>
        <v/>
      </c>
      <c r="G285" s="9">
        <f ca="1">IF(OR(YardsAll[[#This Row],[RAD/PACT]]="2019-2020",YardsAll[[#This Row],[RAD/PACT]]="2021-2025"),"",IF(ISNUMBER(SEARCH("1",C285)),2,IF(ISNUMBER(SEARCH("2",C285)),1,IF(ISNUMBER(SEARCH("3",C285)),3,IF(ISNUMBER(SEARCH("4",C285)),4,IF(ISNUMBER(SEARCH("5",C285)),5,IF(ISNUMBER(SEARCH("6",C285)),6,IF(ISNUMBER(SEARCH("7",C285)),7,IF(ISNUMBER(SEARCH("8",C285)),8,0)))))))))</f>
        <v>2</v>
      </c>
      <c r="H285" s="143" t="str">
        <f ca="1">IF(YardsAll[[#This Row],[STATUS]]="","",IF(OR(F285="2019-2020",F285="2021-2025"),"",IF(ISNUMBER(SEARCH("LLC",D285)),VLOOKUP(A285,Yards25[],28,FALSE),VLOOKUP(A285,Yards[],28,FALSE))))</f>
        <v/>
      </c>
      <c r="I285" s="143" t="str">
        <f ca="1">IF(YardsAll[[#This Row],[STATUS]]="","",IF(OR(F285="2019-2020",F285="2021-2025"),"",IF(ISNUMBER(SEARCH("LLC",D285)),VLOOKUP(A285,Yards25[],17,FALSE),VLOOKUP(A285,Yards[],17,FALSE))))</f>
        <v/>
      </c>
      <c r="J285" s="143" t="str">
        <f ca="1">IF(YardsAll[[#This Row],[STATUS]]="","",IF(OR(F285="2019-2020",F285="2021-2025"),"",IF(ISNUMBER(SEARCH("LLC",D285)),VLOOKUP(A285,Yards25[],29,FALSE),VLOOKUP(A285,Yards[],29,FALSE))))</f>
        <v/>
      </c>
      <c r="K285" s="143" t="str">
        <f ca="1">IF(YardsAll[[#This Row],[STATUS]]="","",IF(OR(F285="2019-2020",F285="2021-2025"),"",IF(ISNUMBER(SEARCH("LLC",D285)),VLOOKUP(A285,Yards25[],19,FALSE),VLOOKUP(A285,Yards[],19,FALSE))))</f>
        <v/>
      </c>
      <c r="L285" s="143" t="str">
        <f ca="1">IF(IF(OR(F285="2019-2020",F285="2021-2025"),"",IF(ISNUMBER(SEARCH("LLC",D285)),VLOOKUP(A285,Yards25[],20,FALSE),VLOOKUP(A285,Yards[],20,FALSE)))=0,"",IF(OR(F285="2019-2020",F285="2021-2025"),"",IF(ISNUMBER(SEARCH("LLC",D285)),VLOOKUP(A285,Yards25[],20,FALSE),VLOOKUP(A285,Yards[],20,FALSE))))</f>
        <v/>
      </c>
      <c r="M285" s="151">
        <f ca="1">IF(OR(F285="2019-2020",F285="2021-2025"),"",IF(ISNUMBER(SEARCH("LLC",D285)),VLOOKUP(A285,Yards25[],21,FALSE),VLOOKUP(A285,Yards[],21,FALSE)))</f>
        <v>0</v>
      </c>
      <c r="N285" s="151">
        <f ca="1">IF(OR(F285="2019-2020",F285="2021-2025"),"",IF(ISNUMBER(SEARCH("LLC",D285)),VLOOKUP(A285,Yards25[],22,FALSE),VLOOKUP(A285,Yards[],22,FALSE)))</f>
        <v>0</v>
      </c>
      <c r="O285" s="151">
        <f ca="1">SUM(YardsAll[[#This Row],[DSGN ESTIMATE]:[CONS ESTIMATE]])</f>
        <v>0</v>
      </c>
      <c r="P285" s="143"/>
      <c r="Q285" s="143">
        <f ca="1">IF(OR(F285="2019-2020",F285="2021-2025"),"",IF(ISNUMBER(SEARCH("LLC",D285)),VLOOKUP(A285,Yards25[],25,FALSE),VLOOKUP(A285,Yards[],25,FALSE)))</f>
        <v>0</v>
      </c>
      <c r="R285" s="152"/>
    </row>
    <row r="286" spans="1:18">
      <c r="A286" s="148" t="s">
        <v>108</v>
      </c>
      <c r="B286" s="144" t="str">
        <f>VLOOKUP(A286,Data[],2,FALSE)</f>
        <v>MANHATTAN</v>
      </c>
      <c r="C286" s="144" t="str">
        <f ca="1">IF(OR(F286="2019-2020",F286="2021-2025"),"",IF(ISNUMBER(SEARCH("LLC",D286)),VLOOKUP(A286,Yards25[],3,FALSE),VLOOKUP(A286,Yards[],3,FALSE)))</f>
        <v>New Waste Yard v1</v>
      </c>
      <c r="D286" s="9" t="str">
        <f>VLOOKUP(A286,Data[],52,FALSE)</f>
        <v>FEDERAL</v>
      </c>
      <c r="E286" s="9">
        <f>VLOOKUP(YardsAll[[#This Row],[DEVELOPMENT]],Data[],62,FALSE)</f>
        <v>3</v>
      </c>
      <c r="F286" s="9" t="str">
        <f ca="1">VLOOKUP(A286,Data[],4,FALSE)</f>
        <v/>
      </c>
      <c r="G286" s="9">
        <f ca="1">IF(OR(YardsAll[[#This Row],[RAD/PACT]]="2019-2020",YardsAll[[#This Row],[RAD/PACT]]="2021-2025"),"",IF(ISNUMBER(SEARCH("1",C286)),2,IF(ISNUMBER(SEARCH("2",C286)),1,IF(ISNUMBER(SEARCH("3",C286)),3,IF(ISNUMBER(SEARCH("4",C286)),4,IF(ISNUMBER(SEARCH("5",C286)),5,IF(ISNUMBER(SEARCH("6",C286)),6,IF(ISNUMBER(SEARCH("7",C286)),7,IF(ISNUMBER(SEARCH("8",C286)),8,0)))))))))</f>
        <v>2</v>
      </c>
      <c r="H286" s="143" t="str">
        <f ca="1">IF(YardsAll[[#This Row],[STATUS]]="","",IF(OR(F286="2019-2020",F286="2021-2025"),"",IF(ISNUMBER(SEARCH("LLC",D286)),VLOOKUP(A286,Yards25[],28,FALSE),VLOOKUP(A286,Yards[],28,FALSE))))</f>
        <v/>
      </c>
      <c r="I286" s="143" t="str">
        <f ca="1">IF(YardsAll[[#This Row],[STATUS]]="","",IF(OR(F286="2019-2020",F286="2021-2025"),"",IF(ISNUMBER(SEARCH("LLC",D286)),VLOOKUP(A286,Yards25[],17,FALSE),VLOOKUP(A286,Yards[],17,FALSE))))</f>
        <v/>
      </c>
      <c r="J286" s="143" t="str">
        <f ca="1">IF(YardsAll[[#This Row],[STATUS]]="","",IF(OR(F286="2019-2020",F286="2021-2025"),"",IF(ISNUMBER(SEARCH("LLC",D286)),VLOOKUP(A286,Yards25[],29,FALSE),VLOOKUP(A286,Yards[],29,FALSE))))</f>
        <v/>
      </c>
      <c r="K286" s="143" t="str">
        <f ca="1">IF(YardsAll[[#This Row],[STATUS]]="","",IF(OR(F286="2019-2020",F286="2021-2025"),"",IF(ISNUMBER(SEARCH("LLC",D286)),VLOOKUP(A286,Yards25[],19,FALSE),VLOOKUP(A286,Yards[],19,FALSE))))</f>
        <v/>
      </c>
      <c r="L286" s="143" t="str">
        <f ca="1">IF(IF(OR(F286="2019-2020",F286="2021-2025"),"",IF(ISNUMBER(SEARCH("LLC",D286)),VLOOKUP(A286,Yards25[],20,FALSE),VLOOKUP(A286,Yards[],20,FALSE)))=0,"",IF(OR(F286="2019-2020",F286="2021-2025"),"",IF(ISNUMBER(SEARCH("LLC",D286)),VLOOKUP(A286,Yards25[],20,FALSE),VLOOKUP(A286,Yards[],20,FALSE))))</f>
        <v/>
      </c>
      <c r="M286" s="151">
        <f ca="1">IF(OR(F286="2019-2020",F286="2021-2025"),"",IF(ISNUMBER(SEARCH("LLC",D286)),VLOOKUP(A286,Yards25[],21,FALSE),VLOOKUP(A286,Yards[],21,FALSE)))</f>
        <v>0</v>
      </c>
      <c r="N286" s="151">
        <f ca="1">IF(OR(F286="2019-2020",F286="2021-2025"),"",IF(ISNUMBER(SEARCH("LLC",D286)),VLOOKUP(A286,Yards25[],22,FALSE),VLOOKUP(A286,Yards[],22,FALSE)))</f>
        <v>0</v>
      </c>
      <c r="O286" s="151">
        <f ca="1">SUM(YardsAll[[#This Row],[DSGN ESTIMATE]:[CONS ESTIMATE]])</f>
        <v>0</v>
      </c>
      <c r="P286" s="143"/>
      <c r="Q286" s="143">
        <f ca="1">IF(OR(F286="2019-2020",F286="2021-2025"),"",IF(ISNUMBER(SEARCH("LLC",D286)),VLOOKUP(A286,Yards25[],25,FALSE),VLOOKUP(A286,Yards[],25,FALSE)))</f>
        <v>0</v>
      </c>
      <c r="R286" s="152"/>
    </row>
    <row r="287" spans="1:18">
      <c r="A287" s="147" t="s">
        <v>127</v>
      </c>
      <c r="B287" s="144" t="str">
        <f>VLOOKUP(A287,Data[],2,FALSE)</f>
        <v>MANHATTAN</v>
      </c>
      <c r="C287" s="144" t="str">
        <f ca="1">IF(OR(F287="2019-2020",F287="2021-2025"),"",IF(ISNUMBER(SEARCH("LLC",D287)),VLOOKUP(A287,Yards25[],3,FALSE),VLOOKUP(A287,Yards[],3,FALSE)))</f>
        <v>New Waste Yard v6</v>
      </c>
      <c r="D287" s="9" t="str">
        <f>VLOOKUP(A287,Data[],52,FALSE)</f>
        <v>FEDERAL</v>
      </c>
      <c r="E287" s="9">
        <f>VLOOKUP(YardsAll[[#This Row],[DEVELOPMENT]],Data[],62,FALSE)</f>
        <v>11</v>
      </c>
      <c r="F287" s="9" t="str">
        <f ca="1">VLOOKUP(A287,Data[],4,FALSE)</f>
        <v>2026+</v>
      </c>
      <c r="G287" s="9">
        <f ca="1">IF(OR(YardsAll[[#This Row],[RAD/PACT]]="2019-2020",YardsAll[[#This Row],[RAD/PACT]]="2021-2025"),"",IF(ISNUMBER(SEARCH("1",C287)),2,IF(ISNUMBER(SEARCH("2",C287)),1,IF(ISNUMBER(SEARCH("3",C287)),3,IF(ISNUMBER(SEARCH("4",C287)),4,IF(ISNUMBER(SEARCH("5",C287)),5,IF(ISNUMBER(SEARCH("6",C287)),6,IF(ISNUMBER(SEARCH("7",C287)),7,IF(ISNUMBER(SEARCH("8",C287)),8,0)))))))))</f>
        <v>6</v>
      </c>
      <c r="H287" s="143" t="str">
        <f ca="1">IF(YardsAll[[#This Row],[STATUS]]="","",IF(OR(F287="2019-2020",F287="2021-2025"),"",IF(ISNUMBER(SEARCH("LLC",D287)),VLOOKUP(A287,Yards25[],28,FALSE),VLOOKUP(A287,Yards[],28,FALSE))))</f>
        <v/>
      </c>
      <c r="I287" s="143" t="str">
        <f ca="1">IF(YardsAll[[#This Row],[STATUS]]="","",IF(OR(F287="2019-2020",F287="2021-2025"),"",IF(ISNUMBER(SEARCH("LLC",D287)),VLOOKUP(A287,Yards25[],17,FALSE),VLOOKUP(A287,Yards[],17,FALSE))))</f>
        <v/>
      </c>
      <c r="J287" s="143" t="str">
        <f ca="1">IF(YardsAll[[#This Row],[STATUS]]="","",IF(OR(F287="2019-2020",F287="2021-2025"),"",IF(ISNUMBER(SEARCH("LLC",D287)),VLOOKUP(A287,Yards25[],29,FALSE),VLOOKUP(A287,Yards[],29,FALSE))))</f>
        <v/>
      </c>
      <c r="K287" s="143" t="str">
        <f ca="1">IF(YardsAll[[#This Row],[STATUS]]="","",IF(OR(F287="2019-2020",F287="2021-2025"),"",IF(ISNUMBER(SEARCH("LLC",D287)),VLOOKUP(A287,Yards25[],19,FALSE),VLOOKUP(A287,Yards[],19,FALSE))))</f>
        <v/>
      </c>
      <c r="L287" s="143" t="str">
        <f ca="1">IF(IF(OR(F287="2019-2020",F287="2021-2025"),"",IF(ISNUMBER(SEARCH("LLC",D287)),VLOOKUP(A287,Yards25[],20,FALSE),VLOOKUP(A287,Yards[],20,FALSE)))=0,"",IF(OR(F287="2019-2020",F287="2021-2025"),"",IF(ISNUMBER(SEARCH("LLC",D287)),VLOOKUP(A287,Yards25[],20,FALSE),VLOOKUP(A287,Yards[],20,FALSE))))</f>
        <v/>
      </c>
      <c r="M287" s="151">
        <f ca="1">IF(OR(F287="2019-2020",F287="2021-2025"),"",IF(ISNUMBER(SEARCH("LLC",D287)),VLOOKUP(A287,Yards25[],21,FALSE),VLOOKUP(A287,Yards[],21,FALSE)))</f>
        <v>374455.72595564998</v>
      </c>
      <c r="N287" s="151">
        <f ca="1">IF(OR(F287="2019-2020",F287="2021-2025"),"",IF(ISNUMBER(SEARCH("LLC",D287)),VLOOKUP(A287,Yards25[],22,FALSE),VLOOKUP(A287,Yards[],22,FALSE)))</f>
        <v>3370101.53360085</v>
      </c>
      <c r="O287" s="151">
        <f ca="1">SUM(YardsAll[[#This Row],[DSGN ESTIMATE]:[CONS ESTIMATE]])</f>
        <v>3744557.2595565002</v>
      </c>
      <c r="P287" s="143"/>
      <c r="Q287" s="143">
        <f ca="1">IF(OR(F287="2019-2020",F287="2021-2025"),"",IF(ISNUMBER(SEARCH("LLC",D287)),VLOOKUP(A287,Yards25[],25,FALSE),VLOOKUP(A287,Yards[],25,FALSE)))</f>
        <v>0</v>
      </c>
      <c r="R287" s="152"/>
    </row>
    <row r="288" spans="1:18">
      <c r="A288" s="147" t="s">
        <v>137</v>
      </c>
      <c r="B288" s="144" t="str">
        <f>VLOOKUP(A288,Data[],2,FALSE)</f>
        <v>MANHATTAN</v>
      </c>
      <c r="C288" s="144" t="str">
        <f ca="1">IF(OR(F288="2019-2020",F288="2021-2025"),"",IF(ISNUMBER(SEARCH("LLC",D288)),VLOOKUP(A288,Yards25[],3,FALSE),VLOOKUP(A288,Yards[],3,FALSE)))</f>
        <v>New Waste Yard v5</v>
      </c>
      <c r="D288" s="9" t="str">
        <f>VLOOKUP(A288,Data[],52,FALSE)</f>
        <v>FEDERAL</v>
      </c>
      <c r="E288" s="9">
        <f>VLOOKUP(YardsAll[[#This Row],[DEVELOPMENT]],Data[],62,FALSE)</f>
        <v>11</v>
      </c>
      <c r="F288" s="9" t="str">
        <f ca="1">VLOOKUP(A288,Data[],4,FALSE)</f>
        <v>2022-2025</v>
      </c>
      <c r="G288" s="9">
        <f ca="1">IF(OR(YardsAll[[#This Row],[RAD/PACT]]="2019-2020",YardsAll[[#This Row],[RAD/PACT]]="2021-2025"),"",IF(ISNUMBER(SEARCH("1",C288)),2,IF(ISNUMBER(SEARCH("2",C288)),1,IF(ISNUMBER(SEARCH("3",C288)),3,IF(ISNUMBER(SEARCH("4",C288)),4,IF(ISNUMBER(SEARCH("5",C288)),5,IF(ISNUMBER(SEARCH("6",C288)),6,IF(ISNUMBER(SEARCH("7",C288)),7,IF(ISNUMBER(SEARCH("8",C288)),8,0)))))))))</f>
        <v>5</v>
      </c>
      <c r="H288" s="143" t="str">
        <f ca="1">IF(YardsAll[[#This Row],[STATUS]]="","",IF(OR(F288="2019-2020",F288="2021-2025"),"",IF(ISNUMBER(SEARCH("LLC",D288)),VLOOKUP(A288,Yards25[],28,FALSE),VLOOKUP(A288,Yards[],28,FALSE))))</f>
        <v/>
      </c>
      <c r="I288" s="143" t="str">
        <f ca="1">IF(YardsAll[[#This Row],[STATUS]]="","",IF(OR(F288="2019-2020",F288="2021-2025"),"",IF(ISNUMBER(SEARCH("LLC",D288)),VLOOKUP(A288,Yards25[],17,FALSE),VLOOKUP(A288,Yards[],17,FALSE))))</f>
        <v/>
      </c>
      <c r="J288" s="143" t="str">
        <f ca="1">IF(YardsAll[[#This Row],[STATUS]]="","",IF(OR(F288="2019-2020",F288="2021-2025"),"",IF(ISNUMBER(SEARCH("LLC",D288)),VLOOKUP(A288,Yards25[],29,FALSE),VLOOKUP(A288,Yards[],29,FALSE))))</f>
        <v/>
      </c>
      <c r="K288" s="143" t="str">
        <f ca="1">IF(YardsAll[[#This Row],[STATUS]]="","",IF(OR(F288="2019-2020",F288="2021-2025"),"",IF(ISNUMBER(SEARCH("LLC",D288)),VLOOKUP(A288,Yards25[],19,FALSE),VLOOKUP(A288,Yards[],19,FALSE))))</f>
        <v/>
      </c>
      <c r="L288" s="143" t="str">
        <f ca="1">IF(IF(OR(F288="2019-2020",F288="2021-2025"),"",IF(ISNUMBER(SEARCH("LLC",D288)),VLOOKUP(A288,Yards25[],20,FALSE),VLOOKUP(A288,Yards[],20,FALSE)))=0,"",IF(OR(F288="2019-2020",F288="2021-2025"),"",IF(ISNUMBER(SEARCH("LLC",D288)),VLOOKUP(A288,Yards25[],20,FALSE),VLOOKUP(A288,Yards[],20,FALSE))))</f>
        <v/>
      </c>
      <c r="M288" s="151">
        <f ca="1">IF(OR(F288="2019-2020",F288="2021-2025"),"",IF(ISNUMBER(SEARCH("LLC",D288)),VLOOKUP(A288,Yards25[],21,FALSE),VLOOKUP(A288,Yards[],21,FALSE)))</f>
        <v>0</v>
      </c>
      <c r="N288" s="151">
        <f ca="1">IF(OR(F288="2019-2020",F288="2021-2025"),"",IF(ISNUMBER(SEARCH("LLC",D288)),VLOOKUP(A288,Yards25[],22,FALSE),VLOOKUP(A288,Yards[],22,FALSE)))</f>
        <v>0</v>
      </c>
      <c r="O288" s="151">
        <f ca="1">SUM(YardsAll[[#This Row],[DSGN ESTIMATE]:[CONS ESTIMATE]])</f>
        <v>0</v>
      </c>
      <c r="P288" s="143"/>
      <c r="Q288" s="143">
        <f ca="1">IF(OR(F288="2019-2020",F288="2021-2025"),"",IF(ISNUMBER(SEARCH("LLC",D288)),VLOOKUP(A288,Yards25[],25,FALSE),VLOOKUP(A288,Yards[],25,FALSE)))</f>
        <v>0</v>
      </c>
      <c r="R288" s="152"/>
    </row>
    <row r="289" spans="1:18">
      <c r="A289" s="147" t="s">
        <v>376</v>
      </c>
      <c r="B289" s="144" t="str">
        <f>VLOOKUP(A289,Data[],2,FALSE)</f>
        <v>MANHATTAN</v>
      </c>
      <c r="C289" s="144" t="str">
        <f ca="1">IF(OR(F289="2019-2020",F289="2021-2025"),"",IF(ISNUMBER(SEARCH("LLC",D289)),VLOOKUP(A289,Yards25[],3,FALSE),VLOOKUP(A289,Yards[],3,FALSE)))</f>
        <v>New Waste Yard v1</v>
      </c>
      <c r="D289" s="9" t="str">
        <f>VLOOKUP(A289,Data[],52,FALSE)</f>
        <v>FEDERAL</v>
      </c>
      <c r="E289" s="9">
        <f>VLOOKUP(YardsAll[[#This Row],[DEVELOPMENT]],Data[],62,FALSE)</f>
        <v>12</v>
      </c>
      <c r="F289" s="9" t="str">
        <f ca="1">VLOOKUP(A289,Data[],4,FALSE)</f>
        <v>2020-2021</v>
      </c>
      <c r="G289" s="9">
        <f ca="1">IF(OR(YardsAll[[#This Row],[RAD/PACT]]="2019-2020",YardsAll[[#This Row],[RAD/PACT]]="2021-2025"),"",IF(ISNUMBER(SEARCH("1",C289)),2,IF(ISNUMBER(SEARCH("2",C289)),1,IF(ISNUMBER(SEARCH("3",C289)),3,IF(ISNUMBER(SEARCH("4",C289)),4,IF(ISNUMBER(SEARCH("5",C289)),5,IF(ISNUMBER(SEARCH("6",C289)),6,IF(ISNUMBER(SEARCH("7",C289)),7,IF(ISNUMBER(SEARCH("8",C289)),8,0)))))))))</f>
        <v>2</v>
      </c>
      <c r="H289" s="143" t="str">
        <f ca="1">IF(YardsAll[[#This Row],[STATUS]]="","",IF(OR(F289="2019-2020",F289="2021-2025"),"",IF(ISNUMBER(SEARCH("LLC",D289)),VLOOKUP(A289,Yards25[],28,FALSE),VLOOKUP(A289,Yards[],28,FALSE))))</f>
        <v/>
      </c>
      <c r="I289" s="143" t="str">
        <f ca="1">IF(YardsAll[[#This Row],[STATUS]]="","",IF(OR(F289="2019-2020",F289="2021-2025"),"",IF(ISNUMBER(SEARCH("LLC",D289)),VLOOKUP(A289,Yards25[],17,FALSE),VLOOKUP(A289,Yards[],17,FALSE))))</f>
        <v/>
      </c>
      <c r="J289" s="143" t="str">
        <f ca="1">IF(YardsAll[[#This Row],[STATUS]]="","",IF(OR(F289="2019-2020",F289="2021-2025"),"",IF(ISNUMBER(SEARCH("LLC",D289)),VLOOKUP(A289,Yards25[],29,FALSE),VLOOKUP(A289,Yards[],29,FALSE))))</f>
        <v/>
      </c>
      <c r="K289" s="143" t="str">
        <f ca="1">IF(YardsAll[[#This Row],[STATUS]]="","",IF(OR(F289="2019-2020",F289="2021-2025"),"",IF(ISNUMBER(SEARCH("LLC",D289)),VLOOKUP(A289,Yards25[],19,FALSE),VLOOKUP(A289,Yards[],19,FALSE))))</f>
        <v/>
      </c>
      <c r="L289" s="143" t="str">
        <f ca="1">IF(IF(OR(F289="2019-2020",F289="2021-2025"),"",IF(ISNUMBER(SEARCH("LLC",D289)),VLOOKUP(A289,Yards25[],20,FALSE),VLOOKUP(A289,Yards[],20,FALSE)))=0,"",IF(OR(F289="2019-2020",F289="2021-2025"),"",IF(ISNUMBER(SEARCH("LLC",D289)),VLOOKUP(A289,Yards25[],20,FALSE),VLOOKUP(A289,Yards[],20,FALSE))))</f>
        <v/>
      </c>
      <c r="M289" s="151">
        <f ca="1">IF(OR(F289="2019-2020",F289="2021-2025"),"",IF(ISNUMBER(SEARCH("LLC",D289)),VLOOKUP(A289,Yards25[],21,FALSE),VLOOKUP(A289,Yards[],21,FALSE)))</f>
        <v>0</v>
      </c>
      <c r="N289" s="151">
        <f ca="1">IF(OR(F289="2019-2020",F289="2021-2025"),"",IF(ISNUMBER(SEARCH("LLC",D289)),VLOOKUP(A289,Yards25[],22,FALSE),VLOOKUP(A289,Yards[],22,FALSE)))</f>
        <v>0</v>
      </c>
      <c r="O289" s="151">
        <f ca="1">SUM(YardsAll[[#This Row],[DSGN ESTIMATE]:[CONS ESTIMATE]])</f>
        <v>0</v>
      </c>
      <c r="P289" s="143"/>
      <c r="Q289" s="143">
        <f ca="1">IF(OR(F289="2019-2020",F289="2021-2025"),"",IF(ISNUMBER(SEARCH("LLC",D289)),VLOOKUP(A289,Yards25[],25,FALSE),VLOOKUP(A289,Yards[],25,FALSE)))</f>
        <v>0</v>
      </c>
      <c r="R289" s="152"/>
    </row>
    <row r="290" spans="1:18">
      <c r="A290" s="147" t="s">
        <v>377</v>
      </c>
      <c r="B290" s="144" t="str">
        <f>VLOOKUP(A290,Data[],2,FALSE)</f>
        <v>MANHATTAN</v>
      </c>
      <c r="C290" s="144" t="str">
        <f ca="1">IF(OR(F290="2019-2020",F290="2021-2025"),"",IF(ISNUMBER(SEARCH("LLC",D290)),VLOOKUP(A290,Yards25[],3,FALSE),VLOOKUP(A290,Yards[],3,FALSE)))</f>
        <v>New Waste Yard v1</v>
      </c>
      <c r="D290" s="9" t="str">
        <f>VLOOKUP(A290,Data[],52,FALSE)</f>
        <v>FEDERAL</v>
      </c>
      <c r="E290" s="9">
        <f>VLOOKUP(YardsAll[[#This Row],[DEVELOPMENT]],Data[],62,FALSE)</f>
        <v>12</v>
      </c>
      <c r="F290" s="9" t="str">
        <f ca="1">VLOOKUP(A290,Data[],4,FALSE)</f>
        <v/>
      </c>
      <c r="G290" s="9">
        <f ca="1">IF(OR(YardsAll[[#This Row],[RAD/PACT]]="2019-2020",YardsAll[[#This Row],[RAD/PACT]]="2021-2025"),"",IF(ISNUMBER(SEARCH("1",C290)),2,IF(ISNUMBER(SEARCH("2",C290)),1,IF(ISNUMBER(SEARCH("3",C290)),3,IF(ISNUMBER(SEARCH("4",C290)),4,IF(ISNUMBER(SEARCH("5",C290)),5,IF(ISNUMBER(SEARCH("6",C290)),6,IF(ISNUMBER(SEARCH("7",C290)),7,IF(ISNUMBER(SEARCH("8",C290)),8,0)))))))))</f>
        <v>2</v>
      </c>
      <c r="H290" s="143" t="str">
        <f ca="1">IF(YardsAll[[#This Row],[STATUS]]="","",IF(OR(F290="2019-2020",F290="2021-2025"),"",IF(ISNUMBER(SEARCH("LLC",D290)),VLOOKUP(A290,Yards25[],28,FALSE),VLOOKUP(A290,Yards[],28,FALSE))))</f>
        <v/>
      </c>
      <c r="I290" s="143" t="str">
        <f ca="1">IF(YardsAll[[#This Row],[STATUS]]="","",IF(OR(F290="2019-2020",F290="2021-2025"),"",IF(ISNUMBER(SEARCH("LLC",D290)),VLOOKUP(A290,Yards25[],17,FALSE),VLOOKUP(A290,Yards[],17,FALSE))))</f>
        <v/>
      </c>
      <c r="J290" s="143" t="str">
        <f ca="1">IF(YardsAll[[#This Row],[STATUS]]="","",IF(OR(F290="2019-2020",F290="2021-2025"),"",IF(ISNUMBER(SEARCH("LLC",D290)),VLOOKUP(A290,Yards25[],29,FALSE),VLOOKUP(A290,Yards[],29,FALSE))))</f>
        <v/>
      </c>
      <c r="K290" s="143" t="str">
        <f ca="1">IF(YardsAll[[#This Row],[STATUS]]="","",IF(OR(F290="2019-2020",F290="2021-2025"),"",IF(ISNUMBER(SEARCH("LLC",D290)),VLOOKUP(A290,Yards25[],19,FALSE),VLOOKUP(A290,Yards[],19,FALSE))))</f>
        <v/>
      </c>
      <c r="L290" s="143" t="str">
        <f ca="1">IF(IF(OR(F290="2019-2020",F290="2021-2025"),"",IF(ISNUMBER(SEARCH("LLC",D290)),VLOOKUP(A290,Yards25[],20,FALSE),VLOOKUP(A290,Yards[],20,FALSE)))=0,"",IF(OR(F290="2019-2020",F290="2021-2025"),"",IF(ISNUMBER(SEARCH("LLC",D290)),VLOOKUP(A290,Yards25[],20,FALSE),VLOOKUP(A290,Yards[],20,FALSE))))</f>
        <v/>
      </c>
      <c r="M290" s="151">
        <f ca="1">IF(OR(F290="2019-2020",F290="2021-2025"),"",IF(ISNUMBER(SEARCH("LLC",D290)),VLOOKUP(A290,Yards25[],21,FALSE),VLOOKUP(A290,Yards[],21,FALSE)))</f>
        <v>231365.85651200006</v>
      </c>
      <c r="N290" s="151">
        <f ca="1">IF(OR(F290="2019-2020",F290="2021-2025"),"",IF(ISNUMBER(SEARCH("LLC",D290)),VLOOKUP(A290,Yards25[],22,FALSE),VLOOKUP(A290,Yards[],22,FALSE)))</f>
        <v>2082292.7086080003</v>
      </c>
      <c r="O290" s="151">
        <f ca="1">SUM(YardsAll[[#This Row],[DSGN ESTIMATE]:[CONS ESTIMATE]])</f>
        <v>2313658.5651200004</v>
      </c>
      <c r="P290" s="143"/>
      <c r="Q290" s="143">
        <f ca="1">IF(OR(F290="2019-2020",F290="2021-2025"),"",IF(ISNUMBER(SEARCH("LLC",D290)),VLOOKUP(A290,Yards25[],25,FALSE),VLOOKUP(A290,Yards[],25,FALSE)))</f>
        <v>0</v>
      </c>
      <c r="R290" s="152"/>
    </row>
    <row r="291" spans="1:18">
      <c r="A291" s="147" t="s">
        <v>378</v>
      </c>
      <c r="B291" s="144" t="str">
        <f>VLOOKUP(A291,Data[],2,FALSE)</f>
        <v>MANHATTAN</v>
      </c>
      <c r="C291" s="144" t="str">
        <f ca="1">IF(OR(F291="2019-2020",F291="2021-2025"),"",IF(ISNUMBER(SEARCH("LLC",D291)),VLOOKUP(A291,Yards25[],3,FALSE),VLOOKUP(A291,Yards[],3,FALSE)))</f>
        <v>New Waste Yard v1</v>
      </c>
      <c r="D291" s="9" t="str">
        <f>VLOOKUP(A291,Data[],52,FALSE)</f>
        <v>FEDERAL</v>
      </c>
      <c r="E291" s="9">
        <f>VLOOKUP(YardsAll[[#This Row],[DEVELOPMENT]],Data[],62,FALSE)</f>
        <v>12</v>
      </c>
      <c r="F291" s="9" t="str">
        <f ca="1">VLOOKUP(A291,Data[],4,FALSE)</f>
        <v/>
      </c>
      <c r="G291" s="9">
        <f ca="1">IF(OR(YardsAll[[#This Row],[RAD/PACT]]="2019-2020",YardsAll[[#This Row],[RAD/PACT]]="2021-2025"),"",IF(ISNUMBER(SEARCH("1",C291)),2,IF(ISNUMBER(SEARCH("2",C291)),1,IF(ISNUMBER(SEARCH("3",C291)),3,IF(ISNUMBER(SEARCH("4",C291)),4,IF(ISNUMBER(SEARCH("5",C291)),5,IF(ISNUMBER(SEARCH("6",C291)),6,IF(ISNUMBER(SEARCH("7",C291)),7,IF(ISNUMBER(SEARCH("8",C291)),8,0)))))))))</f>
        <v>2</v>
      </c>
      <c r="H291" s="143" t="str">
        <f ca="1">IF(YardsAll[[#This Row],[STATUS]]="","",IF(OR(F291="2019-2020",F291="2021-2025"),"",IF(ISNUMBER(SEARCH("LLC",D291)),VLOOKUP(A291,Yards25[],28,FALSE),VLOOKUP(A291,Yards[],28,FALSE))))</f>
        <v/>
      </c>
      <c r="I291" s="143" t="str">
        <f ca="1">IF(YardsAll[[#This Row],[STATUS]]="","",IF(OR(F291="2019-2020",F291="2021-2025"),"",IF(ISNUMBER(SEARCH("LLC",D291)),VLOOKUP(A291,Yards25[],17,FALSE),VLOOKUP(A291,Yards[],17,FALSE))))</f>
        <v/>
      </c>
      <c r="J291" s="143" t="str">
        <f ca="1">IF(YardsAll[[#This Row],[STATUS]]="","",IF(OR(F291="2019-2020",F291="2021-2025"),"",IF(ISNUMBER(SEARCH("LLC",D291)),VLOOKUP(A291,Yards25[],29,FALSE),VLOOKUP(A291,Yards[],29,FALSE))))</f>
        <v/>
      </c>
      <c r="K291" s="143" t="str">
        <f ca="1">IF(YardsAll[[#This Row],[STATUS]]="","",IF(OR(F291="2019-2020",F291="2021-2025"),"",IF(ISNUMBER(SEARCH("LLC",D291)),VLOOKUP(A291,Yards25[],19,FALSE),VLOOKUP(A291,Yards[],19,FALSE))))</f>
        <v/>
      </c>
      <c r="L291" s="143" t="str">
        <f ca="1">IF(IF(OR(F291="2019-2020",F291="2021-2025"),"",IF(ISNUMBER(SEARCH("LLC",D291)),VLOOKUP(A291,Yards25[],20,FALSE),VLOOKUP(A291,Yards[],20,FALSE)))=0,"",IF(OR(F291="2019-2020",F291="2021-2025"),"",IF(ISNUMBER(SEARCH("LLC",D291)),VLOOKUP(A291,Yards25[],20,FALSE),VLOOKUP(A291,Yards[],20,FALSE))))</f>
        <v/>
      </c>
      <c r="M291" s="151">
        <f ca="1">IF(OR(F291="2019-2020",F291="2021-2025"),"",IF(ISNUMBER(SEARCH("LLC",D291)),VLOOKUP(A291,Yards25[],21,FALSE),VLOOKUP(A291,Yards[],21,FALSE)))</f>
        <v>237692.26665100004</v>
      </c>
      <c r="N291" s="151">
        <f ca="1">IF(OR(F291="2019-2020",F291="2021-2025"),"",IF(ISNUMBER(SEARCH("LLC",D291)),VLOOKUP(A291,Yards25[],22,FALSE),VLOOKUP(A291,Yards[],22,FALSE)))</f>
        <v>2139230.3998590005</v>
      </c>
      <c r="O291" s="151">
        <f ca="1">SUM(YardsAll[[#This Row],[DSGN ESTIMATE]:[CONS ESTIMATE]])</f>
        <v>2376922.6665100004</v>
      </c>
      <c r="P291" s="143"/>
      <c r="Q291" s="143">
        <f ca="1">IF(OR(F291="2019-2020",F291="2021-2025"),"",IF(ISNUMBER(SEARCH("LLC",D291)),VLOOKUP(A291,Yards25[],25,FALSE),VLOOKUP(A291,Yards[],25,FALSE)))</f>
        <v>0</v>
      </c>
      <c r="R291" s="152"/>
    </row>
    <row r="292" spans="1:18">
      <c r="A292" s="147" t="s">
        <v>259</v>
      </c>
      <c r="B292" s="144" t="str">
        <f>VLOOKUP(A292,Data[],2,FALSE)</f>
        <v>MANHATTAN</v>
      </c>
      <c r="C292" s="144" t="str">
        <f ca="1">IF(OR(F292="2019-2020",F292="2021-2025"),"",IF(ISNUMBER(SEARCH("LLC",D292)),VLOOKUP(A292,Yards25[],3,FALSE),VLOOKUP(A292,Yards[],3,FALSE)))</f>
        <v>New Waste Yard v1</v>
      </c>
      <c r="D292" s="9" t="str">
        <f>VLOOKUP(A292,Data[],52,FALSE)</f>
        <v>FEDERAL</v>
      </c>
      <c r="E292" s="9">
        <f>VLOOKUP(YardsAll[[#This Row],[DEVELOPMENT]],Data[],62,FALSE)</f>
        <v>12</v>
      </c>
      <c r="F292" s="9" t="str">
        <f ca="1">VLOOKUP(A292,Data[],4,FALSE)</f>
        <v>2020-2021</v>
      </c>
      <c r="G292" s="9">
        <f ca="1">IF(OR(YardsAll[[#This Row],[RAD/PACT]]="2019-2020",YardsAll[[#This Row],[RAD/PACT]]="2021-2025"),"",IF(ISNUMBER(SEARCH("1",C292)),2,IF(ISNUMBER(SEARCH("2",C292)),1,IF(ISNUMBER(SEARCH("3",C292)),3,IF(ISNUMBER(SEARCH("4",C292)),4,IF(ISNUMBER(SEARCH("5",C292)),5,IF(ISNUMBER(SEARCH("6",C292)),6,IF(ISNUMBER(SEARCH("7",C292)),7,IF(ISNUMBER(SEARCH("8",C292)),8,0)))))))))</f>
        <v>2</v>
      </c>
      <c r="H292" s="143" t="str">
        <f ca="1">IF(YardsAll[[#This Row],[STATUS]]="","",IF(OR(F292="2019-2020",F292="2021-2025"),"",IF(ISNUMBER(SEARCH("LLC",D292)),VLOOKUP(A292,Yards25[],28,FALSE),VLOOKUP(A292,Yards[],28,FALSE))))</f>
        <v/>
      </c>
      <c r="I292" s="143" t="str">
        <f ca="1">IF(YardsAll[[#This Row],[STATUS]]="","",IF(OR(F292="2019-2020",F292="2021-2025"),"",IF(ISNUMBER(SEARCH("LLC",D292)),VLOOKUP(A292,Yards25[],17,FALSE),VLOOKUP(A292,Yards[],17,FALSE))))</f>
        <v/>
      </c>
      <c r="J292" s="143" t="str">
        <f ca="1">IF(YardsAll[[#This Row],[STATUS]]="","",IF(OR(F292="2019-2020",F292="2021-2025"),"",IF(ISNUMBER(SEARCH("LLC",D292)),VLOOKUP(A292,Yards25[],29,FALSE),VLOOKUP(A292,Yards[],29,FALSE))))</f>
        <v/>
      </c>
      <c r="K292" s="143" t="str">
        <f ca="1">IF(YardsAll[[#This Row],[STATUS]]="","",IF(OR(F292="2019-2020",F292="2021-2025"),"",IF(ISNUMBER(SEARCH("LLC",D292)),VLOOKUP(A292,Yards25[],19,FALSE),VLOOKUP(A292,Yards[],19,FALSE))))</f>
        <v/>
      </c>
      <c r="L292" s="143" t="str">
        <f ca="1">IF(IF(OR(F292="2019-2020",F292="2021-2025"),"",IF(ISNUMBER(SEARCH("LLC",D292)),VLOOKUP(A292,Yards25[],20,FALSE),VLOOKUP(A292,Yards[],20,FALSE)))=0,"",IF(OR(F292="2019-2020",F292="2021-2025"),"",IF(ISNUMBER(SEARCH("LLC",D292)),VLOOKUP(A292,Yards25[],20,FALSE),VLOOKUP(A292,Yards[],20,FALSE))))</f>
        <v/>
      </c>
      <c r="M292" s="151">
        <f ca="1">IF(OR(F292="2019-2020",F292="2021-2025"),"",IF(ISNUMBER(SEARCH("LLC",D292)),VLOOKUP(A292,Yards25[],21,FALSE),VLOOKUP(A292,Yards[],21,FALSE)))</f>
        <v>0</v>
      </c>
      <c r="N292" s="151">
        <f ca="1">IF(OR(F292="2019-2020",F292="2021-2025"),"",IF(ISNUMBER(SEARCH("LLC",D292)),VLOOKUP(A292,Yards25[],22,FALSE),VLOOKUP(A292,Yards[],22,FALSE)))</f>
        <v>0</v>
      </c>
      <c r="O292" s="151">
        <f ca="1">SUM(YardsAll[[#This Row],[DSGN ESTIMATE]:[CONS ESTIMATE]])</f>
        <v>0</v>
      </c>
      <c r="P292" s="143"/>
      <c r="Q292" s="143">
        <f ca="1">IF(OR(F292="2019-2020",F292="2021-2025"),"",IF(ISNUMBER(SEARCH("LLC",D292)),VLOOKUP(A292,Yards25[],25,FALSE),VLOOKUP(A292,Yards[],25,FALSE)))</f>
        <v>0</v>
      </c>
      <c r="R292" s="152"/>
    </row>
    <row r="293" spans="1:18">
      <c r="A293" s="147" t="s">
        <v>379</v>
      </c>
      <c r="B293" s="144" t="str">
        <f>VLOOKUP(A293,Data[],2,FALSE)</f>
        <v>MANHATTAN</v>
      </c>
      <c r="C293" s="144" t="str">
        <f ca="1">IF(OR(F293="2019-2020",F293="2021-2025"),"",IF(ISNUMBER(SEARCH("LLC",D293)),VLOOKUP(A293,Yards25[],3,FALSE),VLOOKUP(A293,Yards[],3,FALSE)))</f>
        <v>New Waste Yard v1</v>
      </c>
      <c r="D293" s="9" t="str">
        <f>VLOOKUP(A293,Data[],52,FALSE)</f>
        <v>FEDERAL</v>
      </c>
      <c r="E293" s="9">
        <f>VLOOKUP(YardsAll[[#This Row],[DEVELOPMENT]],Data[],62,FALSE)</f>
        <v>12</v>
      </c>
      <c r="F293" s="9" t="str">
        <f ca="1">VLOOKUP(A293,Data[],4,FALSE)</f>
        <v>2020-2021</v>
      </c>
      <c r="G293" s="9">
        <f ca="1">IF(OR(YardsAll[[#This Row],[RAD/PACT]]="2019-2020",YardsAll[[#This Row],[RAD/PACT]]="2021-2025"),"",IF(ISNUMBER(SEARCH("1",C293)),2,IF(ISNUMBER(SEARCH("2",C293)),1,IF(ISNUMBER(SEARCH("3",C293)),3,IF(ISNUMBER(SEARCH("4",C293)),4,IF(ISNUMBER(SEARCH("5",C293)),5,IF(ISNUMBER(SEARCH("6",C293)),6,IF(ISNUMBER(SEARCH("7",C293)),7,IF(ISNUMBER(SEARCH("8",C293)),8,0)))))))))</f>
        <v>2</v>
      </c>
      <c r="H293" s="143" t="str">
        <f ca="1">IF(YardsAll[[#This Row],[STATUS]]="","",IF(OR(F293="2019-2020",F293="2021-2025"),"",IF(ISNUMBER(SEARCH("LLC",D293)),VLOOKUP(A293,Yards25[],28,FALSE),VLOOKUP(A293,Yards[],28,FALSE))))</f>
        <v/>
      </c>
      <c r="I293" s="143" t="str">
        <f ca="1">IF(YardsAll[[#This Row],[STATUS]]="","",IF(OR(F293="2019-2020",F293="2021-2025"),"",IF(ISNUMBER(SEARCH("LLC",D293)),VLOOKUP(A293,Yards25[],17,FALSE),VLOOKUP(A293,Yards[],17,FALSE))))</f>
        <v/>
      </c>
      <c r="J293" s="143" t="str">
        <f ca="1">IF(YardsAll[[#This Row],[STATUS]]="","",IF(OR(F293="2019-2020",F293="2021-2025"),"",IF(ISNUMBER(SEARCH("LLC",D293)),VLOOKUP(A293,Yards25[],29,FALSE),VLOOKUP(A293,Yards[],29,FALSE))))</f>
        <v/>
      </c>
      <c r="K293" s="143" t="str">
        <f ca="1">IF(YardsAll[[#This Row],[STATUS]]="","",IF(OR(F293="2019-2020",F293="2021-2025"),"",IF(ISNUMBER(SEARCH("LLC",D293)),VLOOKUP(A293,Yards25[],19,FALSE),VLOOKUP(A293,Yards[],19,FALSE))))</f>
        <v/>
      </c>
      <c r="L293" s="143" t="str">
        <f ca="1">IF(IF(OR(F293="2019-2020",F293="2021-2025"),"",IF(ISNUMBER(SEARCH("LLC",D293)),VLOOKUP(A293,Yards25[],20,FALSE),VLOOKUP(A293,Yards[],20,FALSE)))=0,"",IF(OR(F293="2019-2020",F293="2021-2025"),"",IF(ISNUMBER(SEARCH("LLC",D293)),VLOOKUP(A293,Yards25[],20,FALSE),VLOOKUP(A293,Yards[],20,FALSE))))</f>
        <v/>
      </c>
      <c r="M293" s="151">
        <f ca="1">IF(OR(F293="2019-2020",F293="2021-2025"),"",IF(ISNUMBER(SEARCH("LLC",D293)),VLOOKUP(A293,Yards25[],21,FALSE),VLOOKUP(A293,Yards[],21,FALSE)))</f>
        <v>0</v>
      </c>
      <c r="N293" s="151">
        <f ca="1">IF(OR(F293="2019-2020",F293="2021-2025"),"",IF(ISNUMBER(SEARCH("LLC",D293)),VLOOKUP(A293,Yards25[],22,FALSE),VLOOKUP(A293,Yards[],22,FALSE)))</f>
        <v>0</v>
      </c>
      <c r="O293" s="151">
        <f ca="1">SUM(YardsAll[[#This Row],[DSGN ESTIMATE]:[CONS ESTIMATE]])</f>
        <v>0</v>
      </c>
      <c r="P293" s="143"/>
      <c r="Q293" s="143">
        <f ca="1">IF(OR(F293="2019-2020",F293="2021-2025"),"",IF(ISNUMBER(SEARCH("LLC",D293)),VLOOKUP(A293,Yards25[],25,FALSE),VLOOKUP(A293,Yards[],25,FALSE)))</f>
        <v>0</v>
      </c>
      <c r="R293" s="152"/>
    </row>
    <row r="294" spans="1:18">
      <c r="A294" s="148" t="s">
        <v>47</v>
      </c>
      <c r="B294" s="144" t="str">
        <f>VLOOKUP(A294,Data[],2,FALSE)</f>
        <v>BRONX</v>
      </c>
      <c r="C294" s="144" t="str">
        <f ca="1">IF(OR(F294="2019-2020",F294="2021-2025"),"",IF(ISNUMBER(SEARCH("LLC",D294)),VLOOKUP(A294,Yards25[],3,FALSE),VLOOKUP(A294,Yards[],3,FALSE)))</f>
        <v>New Waste Yard v3</v>
      </c>
      <c r="D294" s="9" t="str">
        <f>VLOOKUP(A294,Data[],52,FALSE)</f>
        <v>FEDERAL</v>
      </c>
      <c r="E294" s="9">
        <f>VLOOKUP(YardsAll[[#This Row],[DEVELOPMENT]],Data[],62,FALSE)</f>
        <v>3</v>
      </c>
      <c r="F294" s="9" t="str">
        <f ca="1">VLOOKUP(A294,Data[],4,FALSE)</f>
        <v/>
      </c>
      <c r="G294" s="9">
        <f ca="1">IF(OR(YardsAll[[#This Row],[RAD/PACT]]="2019-2020",YardsAll[[#This Row],[RAD/PACT]]="2021-2025"),"",IF(ISNUMBER(SEARCH("1",C294)),2,IF(ISNUMBER(SEARCH("2",C294)),1,IF(ISNUMBER(SEARCH("3",C294)),3,IF(ISNUMBER(SEARCH("4",C294)),4,IF(ISNUMBER(SEARCH("5",C294)),5,IF(ISNUMBER(SEARCH("6",C294)),6,IF(ISNUMBER(SEARCH("7",C294)),7,IF(ISNUMBER(SEARCH("8",C294)),8,0)))))))))</f>
        <v>3</v>
      </c>
      <c r="H294" s="143" t="str">
        <f ca="1">IF(YardsAll[[#This Row],[STATUS]]="","",IF(OR(F294="2019-2020",F294="2021-2025"),"",IF(ISNUMBER(SEARCH("LLC",D294)),VLOOKUP(A294,Yards25[],28,FALSE),VLOOKUP(A294,Yards[],28,FALSE))))</f>
        <v/>
      </c>
      <c r="I294" s="143" t="str">
        <f ca="1">IF(YardsAll[[#This Row],[STATUS]]="","",IF(OR(F294="2019-2020",F294="2021-2025"),"",IF(ISNUMBER(SEARCH("LLC",D294)),VLOOKUP(A294,Yards25[],17,FALSE),VLOOKUP(A294,Yards[],17,FALSE))))</f>
        <v/>
      </c>
      <c r="J294" s="143" t="str">
        <f ca="1">IF(YardsAll[[#This Row],[STATUS]]="","",IF(OR(F294="2019-2020",F294="2021-2025"),"",IF(ISNUMBER(SEARCH("LLC",D294)),VLOOKUP(A294,Yards25[],29,FALSE),VLOOKUP(A294,Yards[],29,FALSE))))</f>
        <v/>
      </c>
      <c r="K294" s="143" t="str">
        <f ca="1">IF(YardsAll[[#This Row],[STATUS]]="","",IF(OR(F294="2019-2020",F294="2021-2025"),"",IF(ISNUMBER(SEARCH("LLC",D294)),VLOOKUP(A294,Yards25[],19,FALSE),VLOOKUP(A294,Yards[],19,FALSE))))</f>
        <v/>
      </c>
      <c r="L294" s="143" t="str">
        <f ca="1">IF(IF(OR(F294="2019-2020",F294="2021-2025"),"",IF(ISNUMBER(SEARCH("LLC",D294)),VLOOKUP(A294,Yards25[],20,FALSE),VLOOKUP(A294,Yards[],20,FALSE)))=0,"",IF(OR(F294="2019-2020",F294="2021-2025"),"",IF(ISNUMBER(SEARCH("LLC",D294)),VLOOKUP(A294,Yards25[],20,FALSE),VLOOKUP(A294,Yards[],20,FALSE))))</f>
        <v/>
      </c>
      <c r="M294" s="151">
        <f ca="1">IF(OR(F294="2019-2020",F294="2021-2025"),"",IF(ISNUMBER(SEARCH("LLC",D294)),VLOOKUP(A294,Yards25[],21,FALSE),VLOOKUP(A294,Yards[],21,FALSE)))</f>
        <v>209114.39285775006</v>
      </c>
      <c r="N294" s="151">
        <f ca="1">IF(OR(F294="2019-2020",F294="2021-2025"),"",IF(ISNUMBER(SEARCH("LLC",D294)),VLOOKUP(A294,Yards25[],22,FALSE),VLOOKUP(A294,Yards[],22,FALSE)))</f>
        <v>1882029.5357197504</v>
      </c>
      <c r="O294" s="151">
        <f ca="1">SUM(YardsAll[[#This Row],[DSGN ESTIMATE]:[CONS ESTIMATE]])</f>
        <v>2091143.9285775004</v>
      </c>
      <c r="P294" s="143"/>
      <c r="Q294" s="143">
        <f ca="1">IF(OR(F294="2019-2020",F294="2021-2025"),"",IF(ISNUMBER(SEARCH("LLC",D294)),VLOOKUP(A294,Yards25[],25,FALSE),VLOOKUP(A294,Yards[],25,FALSE)))</f>
        <v>0</v>
      </c>
      <c r="R294" s="152"/>
    </row>
    <row r="295" spans="1:18">
      <c r="A295" s="147" t="s">
        <v>220</v>
      </c>
      <c r="B295" s="144" t="str">
        <f>VLOOKUP(A295,Data[],2,FALSE)</f>
        <v>BROOKLYN</v>
      </c>
      <c r="C295" s="144" t="str">
        <f ca="1">IF(OR(F295="2019-2020",F295="2021-2025"),"",IF(ISNUMBER(SEARCH("LLC",D295)),VLOOKUP(A295,Yards25[],3,FALSE),VLOOKUP(A295,Yards[],3,FALSE)))</f>
        <v>New Waste Yard v1</v>
      </c>
      <c r="D295" s="9" t="str">
        <f>VLOOKUP(A295,Data[],52,FALSE)</f>
        <v>FEDERAL</v>
      </c>
      <c r="E295" s="9">
        <f>VLOOKUP(YardsAll[[#This Row],[DEVELOPMENT]],Data[],62,FALSE)</f>
        <v>8</v>
      </c>
      <c r="F295" s="9">
        <f ca="1">VLOOKUP(A295,Data[],4,FALSE)</f>
        <v>2019</v>
      </c>
      <c r="G295" s="9">
        <f ca="1">IF(OR(YardsAll[[#This Row],[RAD/PACT]]="2019-2020",YardsAll[[#This Row],[RAD/PACT]]="2021-2025"),"",IF(ISNUMBER(SEARCH("1",C295)),2,IF(ISNUMBER(SEARCH("2",C295)),1,IF(ISNUMBER(SEARCH("3",C295)),3,IF(ISNUMBER(SEARCH("4",C295)),4,IF(ISNUMBER(SEARCH("5",C295)),5,IF(ISNUMBER(SEARCH("6",C295)),6,IF(ISNUMBER(SEARCH("7",C295)),7,IF(ISNUMBER(SEARCH("8",C295)),8,0)))))))))</f>
        <v>2</v>
      </c>
      <c r="H295" s="143" t="str">
        <f ca="1">IF(YardsAll[[#This Row],[STATUS]]="","",IF(OR(F295="2019-2020",F295="2021-2025"),"",IF(ISNUMBER(SEARCH("LLC",D295)),VLOOKUP(A295,Yards25[],28,FALSE),VLOOKUP(A295,Yards[],28,FALSE))))</f>
        <v/>
      </c>
      <c r="I295" s="143" t="str">
        <f ca="1">IF(YardsAll[[#This Row],[STATUS]]="","",IF(OR(F295="2019-2020",F295="2021-2025"),"",IF(ISNUMBER(SEARCH("LLC",D295)),VLOOKUP(A295,Yards25[],17,FALSE),VLOOKUP(A295,Yards[],17,FALSE))))</f>
        <v/>
      </c>
      <c r="J295" s="143" t="str">
        <f ca="1">IF(YardsAll[[#This Row],[STATUS]]="","",IF(OR(F295="2019-2020",F295="2021-2025"),"",IF(ISNUMBER(SEARCH("LLC",D295)),VLOOKUP(A295,Yards25[],29,FALSE),VLOOKUP(A295,Yards[],29,FALSE))))</f>
        <v/>
      </c>
      <c r="K295" s="143" t="str">
        <f ca="1">IF(YardsAll[[#This Row],[STATUS]]="","",IF(OR(F295="2019-2020",F295="2021-2025"),"",IF(ISNUMBER(SEARCH("LLC",D295)),VLOOKUP(A295,Yards25[],19,FALSE),VLOOKUP(A295,Yards[],19,FALSE))))</f>
        <v/>
      </c>
      <c r="L295" s="143" t="str">
        <f ca="1">IF(IF(OR(F295="2019-2020",F295="2021-2025"),"",IF(ISNUMBER(SEARCH("LLC",D295)),VLOOKUP(A295,Yards25[],20,FALSE),VLOOKUP(A295,Yards[],20,FALSE)))=0,"",IF(OR(F295="2019-2020",F295="2021-2025"),"",IF(ISNUMBER(SEARCH("LLC",D295)),VLOOKUP(A295,Yards25[],20,FALSE),VLOOKUP(A295,Yards[],20,FALSE))))</f>
        <v/>
      </c>
      <c r="M295" s="151">
        <f ca="1">IF(OR(F295="2019-2020",F295="2021-2025"),"",IF(ISNUMBER(SEARCH("LLC",D295)),VLOOKUP(A295,Yards25[],21,FALSE),VLOOKUP(A295,Yards[],21,FALSE)))</f>
        <v>0</v>
      </c>
      <c r="N295" s="151">
        <f ca="1">IF(OR(F295="2019-2020",F295="2021-2025"),"",IF(ISNUMBER(SEARCH("LLC",D295)),VLOOKUP(A295,Yards25[],22,FALSE),VLOOKUP(A295,Yards[],22,FALSE)))</f>
        <v>0</v>
      </c>
      <c r="O295" s="151">
        <f ca="1">SUM(YardsAll[[#This Row],[DSGN ESTIMATE]:[CONS ESTIMATE]])</f>
        <v>0</v>
      </c>
      <c r="P295" s="143"/>
      <c r="Q295" s="143">
        <f ca="1">IF(OR(F295="2019-2020",F295="2021-2025"),"",IF(ISNUMBER(SEARCH("LLC",D295)),VLOOKUP(A295,Yards25[],25,FALSE),VLOOKUP(A295,Yards[],25,FALSE)))</f>
        <v>0</v>
      </c>
      <c r="R295" s="152"/>
    </row>
    <row r="296" spans="1:18">
      <c r="A296" s="147" t="s">
        <v>380</v>
      </c>
      <c r="B296" s="144" t="str">
        <f>VLOOKUP(A296,Data[],2,FALSE)</f>
        <v>STATEN ISLAND</v>
      </c>
      <c r="C296" s="144" t="str">
        <f ca="1">IF(OR(F296="2019-2020",F296="2021-2025"),"",IF(ISNUMBER(SEARCH("LLC",D296)),VLOOKUP(A296,Yards25[],3,FALSE),VLOOKUP(A296,Yards[],3,FALSE)))</f>
        <v>New Waste Yard v3</v>
      </c>
      <c r="D296" s="9" t="str">
        <f>VLOOKUP(A296,Data[],52,FALSE)</f>
        <v>FEDERAL</v>
      </c>
      <c r="E296" s="9">
        <f>VLOOKUP(YardsAll[[#This Row],[DEVELOPMENT]],Data[],62,FALSE)</f>
        <v>1</v>
      </c>
      <c r="F296" s="9" t="str">
        <f ca="1">VLOOKUP(A296,Data[],4,FALSE)</f>
        <v/>
      </c>
      <c r="G296" s="9">
        <f ca="1">IF(OR(YardsAll[[#This Row],[RAD/PACT]]="2019-2020",YardsAll[[#This Row],[RAD/PACT]]="2021-2025"),"",IF(ISNUMBER(SEARCH("1",C296)),2,IF(ISNUMBER(SEARCH("2",C296)),1,IF(ISNUMBER(SEARCH("3",C296)),3,IF(ISNUMBER(SEARCH("4",C296)),4,IF(ISNUMBER(SEARCH("5",C296)),5,IF(ISNUMBER(SEARCH("6",C296)),6,IF(ISNUMBER(SEARCH("7",C296)),7,IF(ISNUMBER(SEARCH("8",C296)),8,0)))))))))</f>
        <v>3</v>
      </c>
      <c r="H296" s="143" t="str">
        <f ca="1">IF(YardsAll[[#This Row],[STATUS]]="","",IF(OR(F296="2019-2020",F296="2021-2025"),"",IF(ISNUMBER(SEARCH("LLC",D296)),VLOOKUP(A296,Yards25[],28,FALSE),VLOOKUP(A296,Yards[],28,FALSE))))</f>
        <v/>
      </c>
      <c r="I296" s="143" t="str">
        <f ca="1">IF(YardsAll[[#This Row],[STATUS]]="","",IF(OR(F296="2019-2020",F296="2021-2025"),"",IF(ISNUMBER(SEARCH("LLC",D296)),VLOOKUP(A296,Yards25[],17,FALSE),VLOOKUP(A296,Yards[],17,FALSE))))</f>
        <v/>
      </c>
      <c r="J296" s="143" t="str">
        <f ca="1">IF(YardsAll[[#This Row],[STATUS]]="","",IF(OR(F296="2019-2020",F296="2021-2025"),"",IF(ISNUMBER(SEARCH("LLC",D296)),VLOOKUP(A296,Yards25[],29,FALSE),VLOOKUP(A296,Yards[],29,FALSE))))</f>
        <v/>
      </c>
      <c r="K296" s="143" t="str">
        <f ca="1">IF(YardsAll[[#This Row],[STATUS]]="","",IF(OR(F296="2019-2020",F296="2021-2025"),"",IF(ISNUMBER(SEARCH("LLC",D296)),VLOOKUP(A296,Yards25[],19,FALSE),VLOOKUP(A296,Yards[],19,FALSE))))</f>
        <v/>
      </c>
      <c r="L296" s="143" t="str">
        <f ca="1">IF(IF(OR(F296="2019-2020",F296="2021-2025"),"",IF(ISNUMBER(SEARCH("LLC",D296)),VLOOKUP(A296,Yards25[],20,FALSE),VLOOKUP(A296,Yards[],20,FALSE)))=0,"",IF(OR(F296="2019-2020",F296="2021-2025"),"",IF(ISNUMBER(SEARCH("LLC",D296)),VLOOKUP(A296,Yards25[],20,FALSE),VLOOKUP(A296,Yards[],20,FALSE))))</f>
        <v/>
      </c>
      <c r="M296" s="151">
        <f ca="1">IF(OR(F296="2019-2020",F296="2021-2025"),"",IF(ISNUMBER(SEARCH("LLC",D296)),VLOOKUP(A296,Yards25[],21,FALSE),VLOOKUP(A296,Yards[],21,FALSE)))</f>
        <v>251543.40010425012</v>
      </c>
      <c r="N296" s="151">
        <f ca="1">IF(OR(F296="2019-2020",F296="2021-2025"),"",IF(ISNUMBER(SEARCH("LLC",D296)),VLOOKUP(A296,Yards25[],22,FALSE),VLOOKUP(A296,Yards[],22,FALSE)))</f>
        <v>2263890.6009382508</v>
      </c>
      <c r="O296" s="151">
        <f ca="1">SUM(YardsAll[[#This Row],[DSGN ESTIMATE]:[CONS ESTIMATE]])</f>
        <v>2515434.0010425011</v>
      </c>
      <c r="P296" s="143"/>
      <c r="Q296" s="143">
        <f ca="1">IF(OR(F296="2019-2020",F296="2021-2025"),"",IF(ISNUMBER(SEARCH("LLC",D296)),VLOOKUP(A296,Yards25[],25,FALSE),VLOOKUP(A296,Yards[],25,FALSE)))</f>
        <v>0</v>
      </c>
      <c r="R296" s="152"/>
    </row>
    <row r="297" spans="1:18">
      <c r="A297" s="147" t="s">
        <v>381</v>
      </c>
      <c r="B297" s="144" t="str">
        <f>VLOOKUP(A297,Data[],2,FALSE)</f>
        <v>STATEN ISLAND</v>
      </c>
      <c r="C297" s="144" t="str">
        <f ca="1">IF(OR(F297="2019-2020",F297="2021-2025"),"",IF(ISNUMBER(SEARCH("LLC",D297)),VLOOKUP(A297,Yards25[],3,FALSE),VLOOKUP(A297,Yards[],3,FALSE)))</f>
        <v>New Waste Yard v1</v>
      </c>
      <c r="D297" s="9" t="str">
        <f>VLOOKUP(A297,Data[],52,FALSE)</f>
        <v>FEDERAL</v>
      </c>
      <c r="E297" s="9">
        <f>VLOOKUP(YardsAll[[#This Row],[DEVELOPMENT]],Data[],62,FALSE)</f>
        <v>1</v>
      </c>
      <c r="F297" s="9" t="str">
        <f ca="1">VLOOKUP(A297,Data[],4,FALSE)</f>
        <v/>
      </c>
      <c r="G297" s="9">
        <f ca="1">IF(OR(YardsAll[[#This Row],[RAD/PACT]]="2019-2020",YardsAll[[#This Row],[RAD/PACT]]="2021-2025"),"",IF(ISNUMBER(SEARCH("1",C297)),2,IF(ISNUMBER(SEARCH("2",C297)),1,IF(ISNUMBER(SEARCH("3",C297)),3,IF(ISNUMBER(SEARCH("4",C297)),4,IF(ISNUMBER(SEARCH("5",C297)),5,IF(ISNUMBER(SEARCH("6",C297)),6,IF(ISNUMBER(SEARCH("7",C297)),7,IF(ISNUMBER(SEARCH("8",C297)),8,0)))))))))</f>
        <v>2</v>
      </c>
      <c r="H297" s="143" t="str">
        <f ca="1">IF(YardsAll[[#This Row],[STATUS]]="","",IF(OR(F297="2019-2020",F297="2021-2025"),"",IF(ISNUMBER(SEARCH("LLC",D297)),VLOOKUP(A297,Yards25[],28,FALSE),VLOOKUP(A297,Yards[],28,FALSE))))</f>
        <v/>
      </c>
      <c r="I297" s="143" t="str">
        <f ca="1">IF(YardsAll[[#This Row],[STATUS]]="","",IF(OR(F297="2019-2020",F297="2021-2025"),"",IF(ISNUMBER(SEARCH("LLC",D297)),VLOOKUP(A297,Yards25[],17,FALSE),VLOOKUP(A297,Yards[],17,FALSE))))</f>
        <v/>
      </c>
      <c r="J297" s="143" t="str">
        <f ca="1">IF(YardsAll[[#This Row],[STATUS]]="","",IF(OR(F297="2019-2020",F297="2021-2025"),"",IF(ISNUMBER(SEARCH("LLC",D297)),VLOOKUP(A297,Yards25[],29,FALSE),VLOOKUP(A297,Yards[],29,FALSE))))</f>
        <v/>
      </c>
      <c r="K297" s="143" t="str">
        <f ca="1">IF(YardsAll[[#This Row],[STATUS]]="","",IF(OR(F297="2019-2020",F297="2021-2025"),"",IF(ISNUMBER(SEARCH("LLC",D297)),VLOOKUP(A297,Yards25[],19,FALSE),VLOOKUP(A297,Yards[],19,FALSE))))</f>
        <v/>
      </c>
      <c r="L297" s="143" t="str">
        <f ca="1">IF(IF(OR(F297="2019-2020",F297="2021-2025"),"",IF(ISNUMBER(SEARCH("LLC",D297)),VLOOKUP(A297,Yards25[],20,FALSE),VLOOKUP(A297,Yards[],20,FALSE)))=0,"",IF(OR(F297="2019-2020",F297="2021-2025"),"",IF(ISNUMBER(SEARCH("LLC",D297)),VLOOKUP(A297,Yards25[],20,FALSE),VLOOKUP(A297,Yards[],20,FALSE))))</f>
        <v/>
      </c>
      <c r="M297" s="151">
        <f ca="1">IF(OR(F297="2019-2020",F297="2021-2025"),"",IF(ISNUMBER(SEARCH("LLC",D297)),VLOOKUP(A297,Yards25[],21,FALSE),VLOOKUP(A297,Yards[],21,FALSE)))</f>
        <v>225039.4463730001</v>
      </c>
      <c r="N297" s="151">
        <f ca="1">IF(OR(F297="2019-2020",F297="2021-2025"),"",IF(ISNUMBER(SEARCH("LLC",D297)),VLOOKUP(A297,Yards25[],22,FALSE),VLOOKUP(A297,Yards[],22,FALSE)))</f>
        <v>2025355.0173570008</v>
      </c>
      <c r="O297" s="151">
        <f ca="1">SUM(YardsAll[[#This Row],[DSGN ESTIMATE]:[CONS ESTIMATE]])</f>
        <v>2250394.4637300009</v>
      </c>
      <c r="P297" s="143"/>
      <c r="Q297" s="143">
        <f ca="1">IF(OR(F297="2019-2020",F297="2021-2025"),"",IF(ISNUMBER(SEARCH("LLC",D297)),VLOOKUP(A297,Yards25[],25,FALSE),VLOOKUP(A297,Yards[],25,FALSE)))</f>
        <v>0</v>
      </c>
      <c r="R297" s="152"/>
    </row>
    <row r="298" spans="1:18">
      <c r="A298" s="147" t="s">
        <v>289</v>
      </c>
      <c r="B298" s="144" t="str">
        <f>VLOOKUP(A298,Data[],2,FALSE)</f>
        <v>BRONX</v>
      </c>
      <c r="C298" s="144" t="str">
        <f ca="1">IF(OR(F298="2019-2020",F298="2021-2025"),"",IF(ISNUMBER(SEARCH("LLC",D298)),VLOOKUP(A298,Yards25[],3,FALSE),VLOOKUP(A298,Yards[],3,FALSE)))</f>
        <v>New Waste Yard v1</v>
      </c>
      <c r="D298" s="9" t="str">
        <f>VLOOKUP(A298,Data[],52,FALSE)</f>
        <v>FEDERAL</v>
      </c>
      <c r="E298" s="9" t="str">
        <f>VLOOKUP(YardsAll[[#This Row],[DEVELOPMENT]],Data[],62,FALSE)</f>
        <v>2, 3</v>
      </c>
      <c r="F298" s="9" t="str">
        <f ca="1">VLOOKUP(A298,Data[],4,FALSE)</f>
        <v/>
      </c>
      <c r="G298" s="9">
        <f ca="1">IF(OR(YardsAll[[#This Row],[RAD/PACT]]="2019-2020",YardsAll[[#This Row],[RAD/PACT]]="2021-2025"),"",IF(ISNUMBER(SEARCH("1",C298)),2,IF(ISNUMBER(SEARCH("2",C298)),1,IF(ISNUMBER(SEARCH("3",C298)),3,IF(ISNUMBER(SEARCH("4",C298)),4,IF(ISNUMBER(SEARCH("5",C298)),5,IF(ISNUMBER(SEARCH("6",C298)),6,IF(ISNUMBER(SEARCH("7",C298)),7,IF(ISNUMBER(SEARCH("8",C298)),8,0)))))))))</f>
        <v>2</v>
      </c>
      <c r="H298" s="143" t="str">
        <f ca="1">IF(YardsAll[[#This Row],[STATUS]]="","",IF(OR(F298="2019-2020",F298="2021-2025"),"",IF(ISNUMBER(SEARCH("LLC",D298)),VLOOKUP(A298,Yards25[],28,FALSE),VLOOKUP(A298,Yards[],28,FALSE))))</f>
        <v/>
      </c>
      <c r="I298" s="143" t="str">
        <f ca="1">IF(YardsAll[[#This Row],[STATUS]]="","",IF(OR(F298="2019-2020",F298="2021-2025"),"",IF(ISNUMBER(SEARCH("LLC",D298)),VLOOKUP(A298,Yards25[],17,FALSE),VLOOKUP(A298,Yards[],17,FALSE))))</f>
        <v/>
      </c>
      <c r="J298" s="143" t="str">
        <f ca="1">IF(YardsAll[[#This Row],[STATUS]]="","",IF(OR(F298="2019-2020",F298="2021-2025"),"",IF(ISNUMBER(SEARCH("LLC",D298)),VLOOKUP(A298,Yards25[],29,FALSE),VLOOKUP(A298,Yards[],29,FALSE))))</f>
        <v/>
      </c>
      <c r="K298" s="143" t="str">
        <f ca="1">IF(YardsAll[[#This Row],[STATUS]]="","",IF(OR(F298="2019-2020",F298="2021-2025"),"",IF(ISNUMBER(SEARCH("LLC",D298)),VLOOKUP(A298,Yards25[],19,FALSE),VLOOKUP(A298,Yards[],19,FALSE))))</f>
        <v/>
      </c>
      <c r="L298" s="143" t="str">
        <f ca="1">IF(IF(OR(F298="2019-2020",F298="2021-2025"),"",IF(ISNUMBER(SEARCH("LLC",D298)),VLOOKUP(A298,Yards25[],20,FALSE),VLOOKUP(A298,Yards[],20,FALSE)))=0,"",IF(OR(F298="2019-2020",F298="2021-2025"),"",IF(ISNUMBER(SEARCH("LLC",D298)),VLOOKUP(A298,Yards25[],20,FALSE),VLOOKUP(A298,Yards[],20,FALSE))))</f>
        <v/>
      </c>
      <c r="M298" s="151">
        <f ca="1">IF(OR(F298="2019-2020",F298="2021-2025"),"",IF(ISNUMBER(SEARCH("LLC",D298)),VLOOKUP(A298,Yards25[],21,FALSE),VLOOKUP(A298,Yards[],21,FALSE)))</f>
        <v>212386.62609500007</v>
      </c>
      <c r="N298" s="151">
        <f ca="1">IF(OR(F298="2019-2020",F298="2021-2025"),"",IF(ISNUMBER(SEARCH("LLC",D298)),VLOOKUP(A298,Yards25[],22,FALSE),VLOOKUP(A298,Yards[],22,FALSE)))</f>
        <v>1911479.6348550003</v>
      </c>
      <c r="O298" s="151">
        <f ca="1">SUM(YardsAll[[#This Row],[DSGN ESTIMATE]:[CONS ESTIMATE]])</f>
        <v>2123866.2609500005</v>
      </c>
      <c r="P298" s="143"/>
      <c r="Q298" s="143">
        <f ca="1">IF(OR(F298="2019-2020",F298="2021-2025"),"",IF(ISNUMBER(SEARCH("LLC",D298)),VLOOKUP(A298,Yards25[],25,FALSE),VLOOKUP(A298,Yards[],25,FALSE)))</f>
        <v>0</v>
      </c>
      <c r="R298" s="152"/>
    </row>
    <row r="299" spans="1:18">
      <c r="A299" s="147" t="s">
        <v>290</v>
      </c>
      <c r="B299" s="144" t="str">
        <f>VLOOKUP(A299,Data[],2,FALSE)</f>
        <v>BRONX</v>
      </c>
      <c r="C299" s="144" t="str">
        <f ca="1">IF(OR(F299="2019-2020",F299="2021-2025"),"",IF(ISNUMBER(SEARCH("LLC",D299)),VLOOKUP(A299,Yards25[],3,FALSE),VLOOKUP(A299,Yards[],3,FALSE)))</f>
        <v>New Waste Yard v1</v>
      </c>
      <c r="D299" s="9" t="str">
        <f>VLOOKUP(A299,Data[],52,FALSE)</f>
        <v>FEDERAL</v>
      </c>
      <c r="E299" s="9">
        <f>VLOOKUP(YardsAll[[#This Row],[DEVELOPMENT]],Data[],62,FALSE)</f>
        <v>3</v>
      </c>
      <c r="F299" s="9" t="str">
        <f ca="1">VLOOKUP(A299,Data[],4,FALSE)</f>
        <v/>
      </c>
      <c r="G299" s="9">
        <f ca="1">IF(OR(YardsAll[[#This Row],[RAD/PACT]]="2019-2020",YardsAll[[#This Row],[RAD/PACT]]="2021-2025"),"",IF(ISNUMBER(SEARCH("1",C299)),2,IF(ISNUMBER(SEARCH("2",C299)),1,IF(ISNUMBER(SEARCH("3",C299)),3,IF(ISNUMBER(SEARCH("4",C299)),4,IF(ISNUMBER(SEARCH("5",C299)),5,IF(ISNUMBER(SEARCH("6",C299)),6,IF(ISNUMBER(SEARCH("7",C299)),7,IF(ISNUMBER(SEARCH("8",C299)),8,0)))))))))</f>
        <v>2</v>
      </c>
      <c r="H299" s="143" t="str">
        <f ca="1">IF(YardsAll[[#This Row],[STATUS]]="","",IF(OR(F299="2019-2020",F299="2021-2025"),"",IF(ISNUMBER(SEARCH("LLC",D299)),VLOOKUP(A299,Yards25[],28,FALSE),VLOOKUP(A299,Yards[],28,FALSE))))</f>
        <v/>
      </c>
      <c r="I299" s="143" t="str">
        <f ca="1">IF(YardsAll[[#This Row],[STATUS]]="","",IF(OR(F299="2019-2020",F299="2021-2025"),"",IF(ISNUMBER(SEARCH("LLC",D299)),VLOOKUP(A299,Yards25[],17,FALSE),VLOOKUP(A299,Yards[],17,FALSE))))</f>
        <v/>
      </c>
      <c r="J299" s="143" t="str">
        <f ca="1">IF(YardsAll[[#This Row],[STATUS]]="","",IF(OR(F299="2019-2020",F299="2021-2025"),"",IF(ISNUMBER(SEARCH("LLC",D299)),VLOOKUP(A299,Yards25[],29,FALSE),VLOOKUP(A299,Yards[],29,FALSE))))</f>
        <v/>
      </c>
      <c r="K299" s="143" t="str">
        <f ca="1">IF(YardsAll[[#This Row],[STATUS]]="","",IF(OR(F299="2019-2020",F299="2021-2025"),"",IF(ISNUMBER(SEARCH("LLC",D299)),VLOOKUP(A299,Yards25[],19,FALSE),VLOOKUP(A299,Yards[],19,FALSE))))</f>
        <v/>
      </c>
      <c r="L299" s="143" t="str">
        <f ca="1">IF(IF(OR(F299="2019-2020",F299="2021-2025"),"",IF(ISNUMBER(SEARCH("LLC",D299)),VLOOKUP(A299,Yards25[],20,FALSE),VLOOKUP(A299,Yards[],20,FALSE)))=0,"",IF(OR(F299="2019-2020",F299="2021-2025"),"",IF(ISNUMBER(SEARCH("LLC",D299)),VLOOKUP(A299,Yards25[],20,FALSE),VLOOKUP(A299,Yards[],20,FALSE))))</f>
        <v/>
      </c>
      <c r="M299" s="151">
        <f ca="1">IF(OR(F299="2019-2020",F299="2021-2025"),"",IF(ISNUMBER(SEARCH("LLC",D299)),VLOOKUP(A299,Yards25[],21,FALSE),VLOOKUP(A299,Yards[],21,FALSE)))</f>
        <v>212386.62609500007</v>
      </c>
      <c r="N299" s="151">
        <f ca="1">IF(OR(F299="2019-2020",F299="2021-2025"),"",IF(ISNUMBER(SEARCH("LLC",D299)),VLOOKUP(A299,Yards25[],22,FALSE),VLOOKUP(A299,Yards[],22,FALSE)))</f>
        <v>1911479.6348550003</v>
      </c>
      <c r="O299" s="151">
        <f ca="1">SUM(YardsAll[[#This Row],[DSGN ESTIMATE]:[CONS ESTIMATE]])</f>
        <v>2123866.2609500005</v>
      </c>
      <c r="P299" s="143"/>
      <c r="Q299" s="143">
        <f ca="1">IF(OR(F299="2019-2020",F299="2021-2025"),"",IF(ISNUMBER(SEARCH("LLC",D299)),VLOOKUP(A299,Yards25[],25,FALSE),VLOOKUP(A299,Yards[],25,FALSE)))</f>
        <v>0</v>
      </c>
      <c r="R299" s="152"/>
    </row>
    <row r="300" spans="1:18">
      <c r="A300" s="147" t="s">
        <v>382</v>
      </c>
      <c r="B300" s="144" t="str">
        <f>VLOOKUP(A300,Data[],2,FALSE)</f>
        <v>BRONX</v>
      </c>
      <c r="C300" s="144" t="str">
        <f ca="1">IF(OR(F300="2019-2020",F300="2021-2025"),"",IF(ISNUMBER(SEARCH("LLC",D300)),VLOOKUP(A300,Yards25[],3,FALSE),VLOOKUP(A300,Yards[],3,FALSE)))</f>
        <v>New Waste Yard v1</v>
      </c>
      <c r="D300" s="9" t="str">
        <f>VLOOKUP(A300,Data[],52,FALSE)</f>
        <v>FEDERAL</v>
      </c>
      <c r="E300" s="9">
        <f>VLOOKUP(YardsAll[[#This Row],[DEVELOPMENT]],Data[],62,FALSE)</f>
        <v>5</v>
      </c>
      <c r="F300" s="9" t="str">
        <f ca="1">VLOOKUP(A300,Data[],4,FALSE)</f>
        <v/>
      </c>
      <c r="G300" s="9">
        <f ca="1">IF(OR(YardsAll[[#This Row],[RAD/PACT]]="2019-2020",YardsAll[[#This Row],[RAD/PACT]]="2021-2025"),"",IF(ISNUMBER(SEARCH("1",C300)),2,IF(ISNUMBER(SEARCH("2",C300)),1,IF(ISNUMBER(SEARCH("3",C300)),3,IF(ISNUMBER(SEARCH("4",C300)),4,IF(ISNUMBER(SEARCH("5",C300)),5,IF(ISNUMBER(SEARCH("6",C300)),6,IF(ISNUMBER(SEARCH("7",C300)),7,IF(ISNUMBER(SEARCH("8",C300)),8,0)))))))))</f>
        <v>2</v>
      </c>
      <c r="H300" s="143" t="str">
        <f ca="1">IF(YardsAll[[#This Row],[STATUS]]="","",IF(OR(F300="2019-2020",F300="2021-2025"),"",IF(ISNUMBER(SEARCH("LLC",D300)),VLOOKUP(A300,Yards25[],28,FALSE),VLOOKUP(A300,Yards[],28,FALSE))))</f>
        <v/>
      </c>
      <c r="I300" s="143" t="str">
        <f ca="1">IF(YardsAll[[#This Row],[STATUS]]="","",IF(OR(F300="2019-2020",F300="2021-2025"),"",IF(ISNUMBER(SEARCH("LLC",D300)),VLOOKUP(A300,Yards25[],17,FALSE),VLOOKUP(A300,Yards[],17,FALSE))))</f>
        <v/>
      </c>
      <c r="J300" s="143" t="str">
        <f ca="1">IF(YardsAll[[#This Row],[STATUS]]="","",IF(OR(F300="2019-2020",F300="2021-2025"),"",IF(ISNUMBER(SEARCH("LLC",D300)),VLOOKUP(A300,Yards25[],29,FALSE),VLOOKUP(A300,Yards[],29,FALSE))))</f>
        <v/>
      </c>
      <c r="K300" s="143" t="str">
        <f ca="1">IF(YardsAll[[#This Row],[STATUS]]="","",IF(OR(F300="2019-2020",F300="2021-2025"),"",IF(ISNUMBER(SEARCH("LLC",D300)),VLOOKUP(A300,Yards25[],19,FALSE),VLOOKUP(A300,Yards[],19,FALSE))))</f>
        <v/>
      </c>
      <c r="L300" s="143" t="str">
        <f ca="1">IF(IF(OR(F300="2019-2020",F300="2021-2025"),"",IF(ISNUMBER(SEARCH("LLC",D300)),VLOOKUP(A300,Yards25[],20,FALSE),VLOOKUP(A300,Yards[],20,FALSE)))=0,"",IF(OR(F300="2019-2020",F300="2021-2025"),"",IF(ISNUMBER(SEARCH("LLC",D300)),VLOOKUP(A300,Yards25[],20,FALSE),VLOOKUP(A300,Yards[],20,FALSE))))</f>
        <v/>
      </c>
      <c r="M300" s="151">
        <f ca="1">IF(OR(F300="2019-2020",F300="2021-2025"),"",IF(ISNUMBER(SEARCH("LLC",D300)),VLOOKUP(A300,Yards25[],21,FALSE),VLOOKUP(A300,Yards[],21,FALSE)))</f>
        <v>0</v>
      </c>
      <c r="N300" s="151">
        <f ca="1">IF(OR(F300="2019-2020",F300="2021-2025"),"",IF(ISNUMBER(SEARCH("LLC",D300)),VLOOKUP(A300,Yards25[],22,FALSE),VLOOKUP(A300,Yards[],22,FALSE)))</f>
        <v>0</v>
      </c>
      <c r="O300" s="151">
        <f ca="1">SUM(YardsAll[[#This Row],[DSGN ESTIMATE]:[CONS ESTIMATE]])</f>
        <v>0</v>
      </c>
      <c r="P300" s="143"/>
      <c r="Q300" s="143">
        <f ca="1">IF(OR(F300="2019-2020",F300="2021-2025"),"",IF(ISNUMBER(SEARCH("LLC",D300)),VLOOKUP(A300,Yards25[],25,FALSE),VLOOKUP(A300,Yards[],25,FALSE)))</f>
        <v>0</v>
      </c>
      <c r="R300" s="152"/>
    </row>
    <row r="301" spans="1:18">
      <c r="A301" s="147" t="s">
        <v>102</v>
      </c>
      <c r="B301" s="144" t="str">
        <f>VLOOKUP(A301,Data[],2,FALSE)</f>
        <v>MANHATTAN</v>
      </c>
      <c r="C301" s="144" t="str">
        <f ca="1">IF(OR(F301="2019-2020",F301="2021-2025"),"",IF(ISNUMBER(SEARCH("LLC",D301)),VLOOKUP(A301,Yards25[],3,FALSE),VLOOKUP(A301,Yards[],3,FALSE)))</f>
        <v>New Waste Yard v1</v>
      </c>
      <c r="D301" s="9" t="str">
        <f>VLOOKUP(A301,Data[],52,FALSE)</f>
        <v>FEDERAL</v>
      </c>
      <c r="E301" s="9">
        <f>VLOOKUP(YardsAll[[#This Row],[DEVELOPMENT]],Data[],62,FALSE)</f>
        <v>11</v>
      </c>
      <c r="F301" s="9" t="str">
        <f ca="1">VLOOKUP(A301,Data[],4,FALSE)</f>
        <v>2026+</v>
      </c>
      <c r="G301" s="9">
        <f ca="1">IF(OR(YardsAll[[#This Row],[RAD/PACT]]="2019-2020",YardsAll[[#This Row],[RAD/PACT]]="2021-2025"),"",IF(ISNUMBER(SEARCH("1",C301)),2,IF(ISNUMBER(SEARCH("2",C301)),1,IF(ISNUMBER(SEARCH("3",C301)),3,IF(ISNUMBER(SEARCH("4",C301)),4,IF(ISNUMBER(SEARCH("5",C301)),5,IF(ISNUMBER(SEARCH("6",C301)),6,IF(ISNUMBER(SEARCH("7",C301)),7,IF(ISNUMBER(SEARCH("8",C301)),8,0)))))))))</f>
        <v>2</v>
      </c>
      <c r="H301" s="143" t="str">
        <f ca="1">IF(YardsAll[[#This Row],[STATUS]]="","",IF(OR(F301="2019-2020",F301="2021-2025"),"",IF(ISNUMBER(SEARCH("LLC",D301)),VLOOKUP(A301,Yards25[],28,FALSE),VLOOKUP(A301,Yards[],28,FALSE))))</f>
        <v/>
      </c>
      <c r="I301" s="143" t="str">
        <f ca="1">IF(YardsAll[[#This Row],[STATUS]]="","",IF(OR(F301="2019-2020",F301="2021-2025"),"",IF(ISNUMBER(SEARCH("LLC",D301)),VLOOKUP(A301,Yards25[],17,FALSE),VLOOKUP(A301,Yards[],17,FALSE))))</f>
        <v/>
      </c>
      <c r="J301" s="143" t="str">
        <f ca="1">IF(YardsAll[[#This Row],[STATUS]]="","",IF(OR(F301="2019-2020",F301="2021-2025"),"",IF(ISNUMBER(SEARCH("LLC",D301)),VLOOKUP(A301,Yards25[],29,FALSE),VLOOKUP(A301,Yards[],29,FALSE))))</f>
        <v/>
      </c>
      <c r="K301" s="143" t="str">
        <f ca="1">IF(YardsAll[[#This Row],[STATUS]]="","",IF(OR(F301="2019-2020",F301="2021-2025"),"",IF(ISNUMBER(SEARCH("LLC",D301)),VLOOKUP(A301,Yards25[],19,FALSE),VLOOKUP(A301,Yards[],19,FALSE))))</f>
        <v/>
      </c>
      <c r="L301" s="143" t="str">
        <f ca="1">IF(IF(OR(F301="2019-2020",F301="2021-2025"),"",IF(ISNUMBER(SEARCH("LLC",D301)),VLOOKUP(A301,Yards25[],20,FALSE),VLOOKUP(A301,Yards[],20,FALSE)))=0,"",IF(OR(F301="2019-2020",F301="2021-2025"),"",IF(ISNUMBER(SEARCH("LLC",D301)),VLOOKUP(A301,Yards25[],20,FALSE),VLOOKUP(A301,Yards[],20,FALSE))))</f>
        <v/>
      </c>
      <c r="M301" s="151">
        <f ca="1">IF(OR(F301="2019-2020",F301="2021-2025"),"",IF(ISNUMBER(SEARCH("LLC",D301)),VLOOKUP(A301,Yards25[],21,FALSE),VLOOKUP(A301,Yards[],21,FALSE)))</f>
        <v>193407.39567800006</v>
      </c>
      <c r="N301" s="151">
        <f ca="1">IF(OR(F301="2019-2020",F301="2021-2025"),"",IF(ISNUMBER(SEARCH("LLC",D301)),VLOOKUP(A301,Yards25[],22,FALSE),VLOOKUP(A301,Yards[],22,FALSE)))</f>
        <v>1740666.5611020005</v>
      </c>
      <c r="O301" s="151">
        <f ca="1">SUM(YardsAll[[#This Row],[DSGN ESTIMATE]:[CONS ESTIMATE]])</f>
        <v>1934073.9567800006</v>
      </c>
      <c r="P301" s="143"/>
      <c r="Q301" s="143">
        <f ca="1">IF(OR(F301="2019-2020",F301="2021-2025"),"",IF(ISNUMBER(SEARCH("LLC",D301)),VLOOKUP(A301,Yards25[],25,FALSE),VLOOKUP(A301,Yards[],25,FALSE)))</f>
        <v>0</v>
      </c>
      <c r="R301" s="152"/>
    </row>
    <row r="302" spans="1:18">
      <c r="A302" s="147" t="s">
        <v>383</v>
      </c>
      <c r="B302" s="144" t="str">
        <f>VLOOKUP(A302,Data[],2,FALSE)</f>
        <v>BROOKLYN</v>
      </c>
      <c r="C302" s="144" t="str">
        <f ca="1">IF(OR(F302="2019-2020",F302="2021-2025"),"",IF(ISNUMBER(SEARCH("LLC",D302)),VLOOKUP(A302,Yards25[],3,FALSE),VLOOKUP(A302,Yards[],3,FALSE)))</f>
        <v>New Waste Yard v4</v>
      </c>
      <c r="D302" s="9" t="str">
        <f>VLOOKUP(A302,Data[],52,FALSE)</f>
        <v>FEDERAL</v>
      </c>
      <c r="E302" s="9">
        <f>VLOOKUP(YardsAll[[#This Row],[DEVELOPMENT]],Data[],62,FALSE)</f>
        <v>2</v>
      </c>
      <c r="F302" s="9" t="str">
        <f ca="1">VLOOKUP(A302,Data[],4,FALSE)</f>
        <v/>
      </c>
      <c r="G302" s="9">
        <f ca="1">IF(OR(YardsAll[[#This Row],[RAD/PACT]]="2019-2020",YardsAll[[#This Row],[RAD/PACT]]="2021-2025"),"",IF(ISNUMBER(SEARCH("1",C302)),2,IF(ISNUMBER(SEARCH("2",C302)),1,IF(ISNUMBER(SEARCH("3",C302)),3,IF(ISNUMBER(SEARCH("4",C302)),4,IF(ISNUMBER(SEARCH("5",C302)),5,IF(ISNUMBER(SEARCH("6",C302)),6,IF(ISNUMBER(SEARCH("7",C302)),7,IF(ISNUMBER(SEARCH("8",C302)),8,0)))))))))</f>
        <v>4</v>
      </c>
      <c r="H302" s="143" t="str">
        <f ca="1">IF(YardsAll[[#This Row],[STATUS]]="","",IF(OR(F302="2019-2020",F302="2021-2025"),"",IF(ISNUMBER(SEARCH("LLC",D302)),VLOOKUP(A302,Yards25[],28,FALSE),VLOOKUP(A302,Yards[],28,FALSE))))</f>
        <v/>
      </c>
      <c r="I302" s="143" t="str">
        <f ca="1">IF(YardsAll[[#This Row],[STATUS]]="","",IF(OR(F302="2019-2020",F302="2021-2025"),"",IF(ISNUMBER(SEARCH("LLC",D302)),VLOOKUP(A302,Yards25[],17,FALSE),VLOOKUP(A302,Yards[],17,FALSE))))</f>
        <v/>
      </c>
      <c r="J302" s="143" t="str">
        <f ca="1">IF(YardsAll[[#This Row],[STATUS]]="","",IF(OR(F302="2019-2020",F302="2021-2025"),"",IF(ISNUMBER(SEARCH("LLC",D302)),VLOOKUP(A302,Yards25[],29,FALSE),VLOOKUP(A302,Yards[],29,FALSE))))</f>
        <v/>
      </c>
      <c r="K302" s="143" t="str">
        <f ca="1">IF(YardsAll[[#This Row],[STATUS]]="","",IF(OR(F302="2019-2020",F302="2021-2025"),"",IF(ISNUMBER(SEARCH("LLC",D302)),VLOOKUP(A302,Yards25[],19,FALSE),VLOOKUP(A302,Yards[],19,FALSE))))</f>
        <v/>
      </c>
      <c r="L302" s="143" t="str">
        <f ca="1">IF(IF(OR(F302="2019-2020",F302="2021-2025"),"",IF(ISNUMBER(SEARCH("LLC",D302)),VLOOKUP(A302,Yards25[],20,FALSE),VLOOKUP(A302,Yards[],20,FALSE)))=0,"",IF(OR(F302="2019-2020",F302="2021-2025"),"",IF(ISNUMBER(SEARCH("LLC",D302)),VLOOKUP(A302,Yards25[],20,FALSE),VLOOKUP(A302,Yards[],20,FALSE))))</f>
        <v/>
      </c>
      <c r="M302" s="151">
        <f ca="1">IF(OR(F302="2019-2020",F302="2021-2025"),"",IF(ISNUMBER(SEARCH("LLC",D302)),VLOOKUP(A302,Yards25[],21,FALSE),VLOOKUP(A302,Yards[],21,FALSE)))</f>
        <v>308960.75553035003</v>
      </c>
      <c r="N302" s="151">
        <f ca="1">IF(OR(F302="2019-2020",F302="2021-2025"),"",IF(ISNUMBER(SEARCH("LLC",D302)),VLOOKUP(A302,Yards25[],22,FALSE),VLOOKUP(A302,Yards[],22,FALSE)))</f>
        <v>2780646.7997731501</v>
      </c>
      <c r="O302" s="151">
        <f ca="1">SUM(YardsAll[[#This Row],[DSGN ESTIMATE]:[CONS ESTIMATE]])</f>
        <v>3089607.5553035</v>
      </c>
      <c r="P302" s="143"/>
      <c r="Q302" s="143">
        <f ca="1">IF(OR(F302="2019-2020",F302="2021-2025"),"",IF(ISNUMBER(SEARCH("LLC",D302)),VLOOKUP(A302,Yards25[],25,FALSE),VLOOKUP(A302,Yards[],25,FALSE)))</f>
        <v>0</v>
      </c>
      <c r="R302" s="152"/>
    </row>
    <row r="303" spans="1:18">
      <c r="A303" s="147" t="s">
        <v>384</v>
      </c>
      <c r="B303" s="144" t="str">
        <f>VLOOKUP(A303,Data[],2,FALSE)</f>
        <v>BROOKLYN</v>
      </c>
      <c r="C303" s="144" t="str">
        <f ca="1">IF(OR(F303="2019-2020",F303="2021-2025"),"",IF(ISNUMBER(SEARCH("LLC",D303)),VLOOKUP(A303,Yards25[],3,FALSE),VLOOKUP(A303,Yards[],3,FALSE)))</f>
        <v>New Waste Yard v1</v>
      </c>
      <c r="D303" s="9" t="str">
        <f>VLOOKUP(A303,Data[],52,FALSE)</f>
        <v>MIXED FINANCE/LLC2</v>
      </c>
      <c r="E303" s="9">
        <f>VLOOKUP(YardsAll[[#This Row],[DEVELOPMENT]],Data[],62,FALSE)</f>
        <v>1</v>
      </c>
      <c r="F303" s="9">
        <f ca="1">VLOOKUP(A303,Data[],4,FALSE)</f>
        <v>2019</v>
      </c>
      <c r="G303" s="9">
        <f ca="1">IF(OR(YardsAll[[#This Row],[RAD/PACT]]="2019-2020",YardsAll[[#This Row],[RAD/PACT]]="2021-2025"),"",IF(ISNUMBER(SEARCH("1",C303)),2,IF(ISNUMBER(SEARCH("2",C303)),1,IF(ISNUMBER(SEARCH("3",C303)),3,IF(ISNUMBER(SEARCH("4",C303)),4,IF(ISNUMBER(SEARCH("5",C303)),5,IF(ISNUMBER(SEARCH("6",C303)),6,IF(ISNUMBER(SEARCH("7",C303)),7,IF(ISNUMBER(SEARCH("8",C303)),8,0)))))))))</f>
        <v>2</v>
      </c>
      <c r="H303" s="143" t="str">
        <f ca="1">IF(YardsAll[[#This Row],[STATUS]]="","",IF(OR(F303="2019-2020",F303="2021-2025"),"",IF(ISNUMBER(SEARCH("LLC",D303)),VLOOKUP(A303,Yards25[],28,FALSE),VLOOKUP(A303,Yards[],28,FALSE))))</f>
        <v/>
      </c>
      <c r="I303" s="143" t="str">
        <f ca="1">IF(YardsAll[[#This Row],[STATUS]]="","",IF(OR(F303="2019-2020",F303="2021-2025"),"",IF(ISNUMBER(SEARCH("LLC",D303)),VLOOKUP(A303,Yards25[],17,FALSE),VLOOKUP(A303,Yards[],17,FALSE))))</f>
        <v/>
      </c>
      <c r="J303" s="143" t="str">
        <f ca="1">IF(YardsAll[[#This Row],[STATUS]]="","",IF(OR(F303="2019-2020",F303="2021-2025"),"",IF(ISNUMBER(SEARCH("LLC",D303)),VLOOKUP(A303,Yards25[],29,FALSE),VLOOKUP(A303,Yards[],29,FALSE))))</f>
        <v/>
      </c>
      <c r="K303" s="143" t="str">
        <f ca="1">IF(YardsAll[[#This Row],[STATUS]]="","",IF(OR(F303="2019-2020",F303="2021-2025"),"",IF(ISNUMBER(SEARCH("LLC",D303)),VLOOKUP(A303,Yards25[],19,FALSE),VLOOKUP(A303,Yards[],19,FALSE))))</f>
        <v/>
      </c>
      <c r="L303" s="143" t="str">
        <f ca="1">IF(IF(OR(F303="2019-2020",F303="2021-2025"),"",IF(ISNUMBER(SEARCH("LLC",D303)),VLOOKUP(A303,Yards25[],20,FALSE),VLOOKUP(A303,Yards[],20,FALSE)))=0,"",IF(OR(F303="2019-2020",F303="2021-2025"),"",IF(ISNUMBER(SEARCH("LLC",D303)),VLOOKUP(A303,Yards25[],20,FALSE),VLOOKUP(A303,Yards[],20,FALSE))))</f>
        <v/>
      </c>
      <c r="M303" s="151">
        <f ca="1">IF(OR(F303="2019-2020",F303="2021-2025"),"",IF(ISNUMBER(SEARCH("LLC",D303)),VLOOKUP(A303,Yards25[],21,FALSE),VLOOKUP(A303,Yards[],21,FALSE)))</f>
        <v>0</v>
      </c>
      <c r="N303" s="151">
        <f ca="1">IF(OR(F303="2019-2020",F303="2021-2025"),"",IF(ISNUMBER(SEARCH("LLC",D303)),VLOOKUP(A303,Yards25[],22,FALSE),VLOOKUP(A303,Yards[],22,FALSE)))</f>
        <v>0</v>
      </c>
      <c r="O303" s="151">
        <f ca="1">SUM(YardsAll[[#This Row],[DSGN ESTIMATE]:[CONS ESTIMATE]])</f>
        <v>0</v>
      </c>
      <c r="P303" s="143"/>
      <c r="Q303" s="143">
        <f ca="1">IF(OR(F303="2019-2020",F303="2021-2025"),"",IF(ISNUMBER(SEARCH("LLC",D303)),VLOOKUP(A303,Yards25[],25,FALSE),VLOOKUP(A303,Yards[],25,FALSE)))</f>
        <v>0</v>
      </c>
      <c r="R303" s="152"/>
    </row>
    <row r="304" spans="1:18">
      <c r="A304" s="147" t="s">
        <v>385</v>
      </c>
      <c r="B304" s="144" t="str">
        <f>VLOOKUP(A304,Data[],2,FALSE)</f>
        <v>BROOKLYN</v>
      </c>
      <c r="C304" s="144" t="str">
        <f ca="1">IF(OR(F304="2019-2020",F304="2021-2025"),"",IF(ISNUMBER(SEARCH("LLC",D304)),VLOOKUP(A304,Yards25[],3,FALSE),VLOOKUP(A304,Yards[],3,FALSE)))</f>
        <v>New Waste Yard v1</v>
      </c>
      <c r="D304" s="9" t="str">
        <f>VLOOKUP(A304,Data[],52,FALSE)</f>
        <v>FEDERAL</v>
      </c>
      <c r="E304" s="9">
        <f>VLOOKUP(YardsAll[[#This Row],[DEVELOPMENT]],Data[],62,FALSE)</f>
        <v>1</v>
      </c>
      <c r="F304" s="9" t="str">
        <f ca="1">VLOOKUP(A304,Data[],4,FALSE)</f>
        <v>2020-2021</v>
      </c>
      <c r="G304" s="9">
        <f ca="1">IF(OR(YardsAll[[#This Row],[RAD/PACT]]="2019-2020",YardsAll[[#This Row],[RAD/PACT]]="2021-2025"),"",IF(ISNUMBER(SEARCH("1",C304)),2,IF(ISNUMBER(SEARCH("2",C304)),1,IF(ISNUMBER(SEARCH("3",C304)),3,IF(ISNUMBER(SEARCH("4",C304)),4,IF(ISNUMBER(SEARCH("5",C304)),5,IF(ISNUMBER(SEARCH("6",C304)),6,IF(ISNUMBER(SEARCH("7",C304)),7,IF(ISNUMBER(SEARCH("8",C304)),8,0)))))))))</f>
        <v>2</v>
      </c>
      <c r="H304" s="143" t="str">
        <f ca="1">IF(YardsAll[[#This Row],[STATUS]]="","",IF(OR(F304="2019-2020",F304="2021-2025"),"",IF(ISNUMBER(SEARCH("LLC",D304)),VLOOKUP(A304,Yards25[],28,FALSE),VLOOKUP(A304,Yards[],28,FALSE))))</f>
        <v/>
      </c>
      <c r="I304" s="143" t="str">
        <f ca="1">IF(YardsAll[[#This Row],[STATUS]]="","",IF(OR(F304="2019-2020",F304="2021-2025"),"",IF(ISNUMBER(SEARCH("LLC",D304)),VLOOKUP(A304,Yards25[],17,FALSE),VLOOKUP(A304,Yards[],17,FALSE))))</f>
        <v/>
      </c>
      <c r="J304" s="143" t="str">
        <f ca="1">IF(YardsAll[[#This Row],[STATUS]]="","",IF(OR(F304="2019-2020",F304="2021-2025"),"",IF(ISNUMBER(SEARCH("LLC",D304)),VLOOKUP(A304,Yards25[],29,FALSE),VLOOKUP(A304,Yards[],29,FALSE))))</f>
        <v/>
      </c>
      <c r="K304" s="143" t="str">
        <f ca="1">IF(YardsAll[[#This Row],[STATUS]]="","",IF(OR(F304="2019-2020",F304="2021-2025"),"",IF(ISNUMBER(SEARCH("LLC",D304)),VLOOKUP(A304,Yards25[],19,FALSE),VLOOKUP(A304,Yards[],19,FALSE))))</f>
        <v/>
      </c>
      <c r="L304" s="143" t="str">
        <f ca="1">IF(IF(OR(F304="2019-2020",F304="2021-2025"),"",IF(ISNUMBER(SEARCH("LLC",D304)),VLOOKUP(A304,Yards25[],20,FALSE),VLOOKUP(A304,Yards[],20,FALSE)))=0,"",IF(OR(F304="2019-2020",F304="2021-2025"),"",IF(ISNUMBER(SEARCH("LLC",D304)),VLOOKUP(A304,Yards25[],20,FALSE),VLOOKUP(A304,Yards[],20,FALSE))))</f>
        <v/>
      </c>
      <c r="M304" s="151">
        <f ca="1">IF(OR(F304="2019-2020",F304="2021-2025"),"",IF(ISNUMBER(SEARCH("LLC",D304)),VLOOKUP(A304,Yards25[],21,FALSE),VLOOKUP(A304,Yards[],21,FALSE)))</f>
        <v>0</v>
      </c>
      <c r="N304" s="151">
        <f ca="1">IF(OR(F304="2019-2020",F304="2021-2025"),"",IF(ISNUMBER(SEARCH("LLC",D304)),VLOOKUP(A304,Yards25[],22,FALSE),VLOOKUP(A304,Yards[],22,FALSE)))</f>
        <v>0</v>
      </c>
      <c r="O304" s="151">
        <f ca="1">SUM(YardsAll[[#This Row],[DSGN ESTIMATE]:[CONS ESTIMATE]])</f>
        <v>0</v>
      </c>
      <c r="P304" s="143"/>
      <c r="Q304" s="143">
        <f ca="1">IF(OR(F304="2019-2020",F304="2021-2025"),"",IF(ISNUMBER(SEARCH("LLC",D304)),VLOOKUP(A304,Yards25[],25,FALSE),VLOOKUP(A304,Yards[],25,FALSE)))</f>
        <v>0</v>
      </c>
      <c r="R304" s="152"/>
    </row>
    <row r="305" spans="1:18">
      <c r="A305" s="147" t="s">
        <v>116</v>
      </c>
      <c r="B305" s="144" t="str">
        <f>VLOOKUP(A305,Data[],2,FALSE)</f>
        <v>MANHATTAN</v>
      </c>
      <c r="C305" s="144" t="str">
        <f ca="1">IF(OR(F305="2019-2020",F305="2021-2025"),"",IF(ISNUMBER(SEARCH("LLC",D305)),VLOOKUP(A305,Yards25[],3,FALSE),VLOOKUP(A305,Yards[],3,FALSE)))</f>
        <v>New Waste Yard v3</v>
      </c>
      <c r="D305" s="9" t="str">
        <f>VLOOKUP(A305,Data[],52,FALSE)</f>
        <v>FEDERAL</v>
      </c>
      <c r="E305" s="9">
        <f>VLOOKUP(YardsAll[[#This Row],[DEVELOPMENT]],Data[],62,FALSE)</f>
        <v>11</v>
      </c>
      <c r="F305" s="9" t="str">
        <f ca="1">VLOOKUP(A305,Data[],4,FALSE)</f>
        <v>2026+</v>
      </c>
      <c r="G305" s="9">
        <f ca="1">IF(OR(YardsAll[[#This Row],[RAD/PACT]]="2019-2020",YardsAll[[#This Row],[RAD/PACT]]="2021-2025"),"",IF(ISNUMBER(SEARCH("1",C305)),2,IF(ISNUMBER(SEARCH("2",C305)),1,IF(ISNUMBER(SEARCH("3",C305)),3,IF(ISNUMBER(SEARCH("4",C305)),4,IF(ISNUMBER(SEARCH("5",C305)),5,IF(ISNUMBER(SEARCH("6",C305)),6,IF(ISNUMBER(SEARCH("7",C305)),7,IF(ISNUMBER(SEARCH("8",C305)),8,0)))))))))</f>
        <v>3</v>
      </c>
      <c r="H305" s="143" t="str">
        <f ca="1">IF(YardsAll[[#This Row],[STATUS]]="","",IF(OR(F305="2019-2020",F305="2021-2025"),"",IF(ISNUMBER(SEARCH("LLC",D305)),VLOOKUP(A305,Yards25[],28,FALSE),VLOOKUP(A305,Yards[],28,FALSE))))</f>
        <v/>
      </c>
      <c r="I305" s="143" t="str">
        <f ca="1">IF(YardsAll[[#This Row],[STATUS]]="","",IF(OR(F305="2019-2020",F305="2021-2025"),"",IF(ISNUMBER(SEARCH("LLC",D305)),VLOOKUP(A305,Yards25[],17,FALSE),VLOOKUP(A305,Yards[],17,FALSE))))</f>
        <v/>
      </c>
      <c r="J305" s="143" t="str">
        <f ca="1">IF(YardsAll[[#This Row],[STATUS]]="","",IF(OR(F305="2019-2020",F305="2021-2025"),"",IF(ISNUMBER(SEARCH("LLC",D305)),VLOOKUP(A305,Yards25[],29,FALSE),VLOOKUP(A305,Yards[],29,FALSE))))</f>
        <v/>
      </c>
      <c r="K305" s="143" t="str">
        <f ca="1">IF(YardsAll[[#This Row],[STATUS]]="","",IF(OR(F305="2019-2020",F305="2021-2025"),"",IF(ISNUMBER(SEARCH("LLC",D305)),VLOOKUP(A305,Yards25[],19,FALSE),VLOOKUP(A305,Yards[],19,FALSE))))</f>
        <v/>
      </c>
      <c r="L305" s="143" t="str">
        <f ca="1">IF(IF(OR(F305="2019-2020",F305="2021-2025"),"",IF(ISNUMBER(SEARCH("LLC",D305)),VLOOKUP(A305,Yards25[],20,FALSE),VLOOKUP(A305,Yards[],20,FALSE)))=0,"",IF(OR(F305="2019-2020",F305="2021-2025"),"",IF(ISNUMBER(SEARCH("LLC",D305)),VLOOKUP(A305,Yards25[],20,FALSE),VLOOKUP(A305,Yards[],20,FALSE))))</f>
        <v/>
      </c>
      <c r="M305" s="151">
        <f ca="1">IF(OR(F305="2019-2020",F305="2021-2025"),"",IF(ISNUMBER(SEARCH("LLC",D305)),VLOOKUP(A305,Yards25[],21,FALSE),VLOOKUP(A305,Yards[],21,FALSE)))</f>
        <v>230328.89648100009</v>
      </c>
      <c r="N305" s="151">
        <f ca="1">IF(OR(F305="2019-2020",F305="2021-2025"),"",IF(ISNUMBER(SEARCH("LLC",D305)),VLOOKUP(A305,Yards25[],22,FALSE),VLOOKUP(A305,Yards[],22,FALSE)))</f>
        <v>2072960.0683290006</v>
      </c>
      <c r="O305" s="151">
        <f ca="1">SUM(YardsAll[[#This Row],[DSGN ESTIMATE]:[CONS ESTIMATE]])</f>
        <v>2303288.9648100007</v>
      </c>
      <c r="P305" s="143"/>
      <c r="Q305" s="143">
        <f ca="1">IF(OR(F305="2019-2020",F305="2021-2025"),"",IF(ISNUMBER(SEARCH("LLC",D305)),VLOOKUP(A305,Yards25[],25,FALSE),VLOOKUP(A305,Yards[],25,FALSE)))</f>
        <v>0</v>
      </c>
      <c r="R305" s="152"/>
    </row>
    <row r="306" spans="1:18">
      <c r="A306" s="147" t="s">
        <v>386</v>
      </c>
      <c r="B306" s="144" t="str">
        <f>VLOOKUP(A306,Data[],2,FALSE)</f>
        <v>MANHATTAN</v>
      </c>
      <c r="C306" s="144" t="str">
        <f ca="1">IF(OR(F306="2019-2020",F306="2021-2025"),"",IF(ISNUMBER(SEARCH("LLC",D306)),VLOOKUP(A306,Yards25[],3,FALSE),VLOOKUP(A306,Yards[],3,FALSE)))</f>
        <v>New Waste Yard v1</v>
      </c>
      <c r="D306" s="9" t="str">
        <f>VLOOKUP(A306,Data[],52,FALSE)</f>
        <v>MIXED FINANCE/LLC2</v>
      </c>
      <c r="E306" s="9">
        <f>VLOOKUP(YardsAll[[#This Row],[DEVELOPMENT]],Data[],62,FALSE)</f>
        <v>7</v>
      </c>
      <c r="F306" s="9" t="str">
        <f ca="1">VLOOKUP(A306,Data[],4,FALSE)</f>
        <v>2020-2021</v>
      </c>
      <c r="G306" s="9">
        <f ca="1">IF(OR(YardsAll[[#This Row],[RAD/PACT]]="2019-2020",YardsAll[[#This Row],[RAD/PACT]]="2021-2025"),"",IF(ISNUMBER(SEARCH("1",C306)),2,IF(ISNUMBER(SEARCH("2",C306)),1,IF(ISNUMBER(SEARCH("3",C306)),3,IF(ISNUMBER(SEARCH("4",C306)),4,IF(ISNUMBER(SEARCH("5",C306)),5,IF(ISNUMBER(SEARCH("6",C306)),6,IF(ISNUMBER(SEARCH("7",C306)),7,IF(ISNUMBER(SEARCH("8",C306)),8,0)))))))))</f>
        <v>2</v>
      </c>
      <c r="H306" s="143" t="str">
        <f ca="1">IF(YardsAll[[#This Row],[STATUS]]="","",IF(OR(F306="2019-2020",F306="2021-2025"),"",IF(ISNUMBER(SEARCH("LLC",D306)),VLOOKUP(A306,Yards25[],28,FALSE),VLOOKUP(A306,Yards[],28,FALSE))))</f>
        <v/>
      </c>
      <c r="I306" s="143" t="str">
        <f ca="1">IF(YardsAll[[#This Row],[STATUS]]="","",IF(OR(F306="2019-2020",F306="2021-2025"),"",IF(ISNUMBER(SEARCH("LLC",D306)),VLOOKUP(A306,Yards25[],17,FALSE),VLOOKUP(A306,Yards[],17,FALSE))))</f>
        <v/>
      </c>
      <c r="J306" s="143" t="str">
        <f ca="1">IF(YardsAll[[#This Row],[STATUS]]="","",IF(OR(F306="2019-2020",F306="2021-2025"),"",IF(ISNUMBER(SEARCH("LLC",D306)),VLOOKUP(A306,Yards25[],29,FALSE),VLOOKUP(A306,Yards[],29,FALSE))))</f>
        <v/>
      </c>
      <c r="K306" s="143" t="str">
        <f ca="1">IF(YardsAll[[#This Row],[STATUS]]="","",IF(OR(F306="2019-2020",F306="2021-2025"),"",IF(ISNUMBER(SEARCH("LLC",D306)),VLOOKUP(A306,Yards25[],19,FALSE),VLOOKUP(A306,Yards[],19,FALSE))))</f>
        <v/>
      </c>
      <c r="L306" s="143" t="str">
        <f ca="1">IF(IF(OR(F306="2019-2020",F306="2021-2025"),"",IF(ISNUMBER(SEARCH("LLC",D306)),VLOOKUP(A306,Yards25[],20,FALSE),VLOOKUP(A306,Yards[],20,FALSE)))=0,"",IF(OR(F306="2019-2020",F306="2021-2025"),"",IF(ISNUMBER(SEARCH("LLC",D306)),VLOOKUP(A306,Yards25[],20,FALSE),VLOOKUP(A306,Yards[],20,FALSE))))</f>
        <v/>
      </c>
      <c r="M306" s="151">
        <f ca="1">IF(OR(F306="2019-2020",F306="2021-2025"),"",IF(ISNUMBER(SEARCH("LLC",D306)),VLOOKUP(A306,Yards25[],21,FALSE),VLOOKUP(A306,Yards[],21,FALSE)))</f>
        <v>0</v>
      </c>
      <c r="N306" s="151">
        <f ca="1">IF(OR(F306="2019-2020",F306="2021-2025"),"",IF(ISNUMBER(SEARCH("LLC",D306)),VLOOKUP(A306,Yards25[],22,FALSE),VLOOKUP(A306,Yards[],22,FALSE)))</f>
        <v>0</v>
      </c>
      <c r="O306" s="151">
        <f ca="1">SUM(YardsAll[[#This Row],[DSGN ESTIMATE]:[CONS ESTIMATE]])</f>
        <v>0</v>
      </c>
      <c r="P306" s="143"/>
      <c r="Q306" s="143">
        <f ca="1">IF(OR(F306="2019-2020",F306="2021-2025"),"",IF(ISNUMBER(SEARCH("LLC",D306)),VLOOKUP(A306,Yards25[],25,FALSE),VLOOKUP(A306,Yards[],25,FALSE)))</f>
        <v>0</v>
      </c>
      <c r="R306" s="152"/>
    </row>
    <row r="307" spans="1:18">
      <c r="A307" s="147" t="s">
        <v>271</v>
      </c>
      <c r="B307" s="144" t="str">
        <f>VLOOKUP(A307,Data[],2,FALSE)</f>
        <v>QUEENS</v>
      </c>
      <c r="C307" s="144" t="str">
        <f ca="1">IF(OR(F307="2019-2020",F307="2021-2025"),"",IF(ISNUMBER(SEARCH("LLC",D307)),VLOOKUP(A307,Yards25[],3,FALSE),VLOOKUP(A307,Yards[],3,FALSE)))</f>
        <v>New Waste Yard v4</v>
      </c>
      <c r="D307" s="9" t="str">
        <f>VLOOKUP(A307,Data[],52,FALSE)</f>
        <v>FEDERAL</v>
      </c>
      <c r="E307" s="9">
        <f>VLOOKUP(YardsAll[[#This Row],[DEVELOPMENT]],Data[],62,FALSE)</f>
        <v>1</v>
      </c>
      <c r="F307" s="9" t="str">
        <f ca="1">VLOOKUP(A307,Data[],4,FALSE)</f>
        <v/>
      </c>
      <c r="G307" s="9">
        <f ca="1">IF(OR(YardsAll[[#This Row],[RAD/PACT]]="2019-2020",YardsAll[[#This Row],[RAD/PACT]]="2021-2025"),"",IF(ISNUMBER(SEARCH("1",C307)),2,IF(ISNUMBER(SEARCH("2",C307)),1,IF(ISNUMBER(SEARCH("3",C307)),3,IF(ISNUMBER(SEARCH("4",C307)),4,IF(ISNUMBER(SEARCH("5",C307)),5,IF(ISNUMBER(SEARCH("6",C307)),6,IF(ISNUMBER(SEARCH("7",C307)),7,IF(ISNUMBER(SEARCH("8",C307)),8,0)))))))))</f>
        <v>4</v>
      </c>
      <c r="H307" s="143" t="str">
        <f ca="1">IF(YardsAll[[#This Row],[STATUS]]="","",IF(OR(F307="2019-2020",F307="2021-2025"),"",IF(ISNUMBER(SEARCH("LLC",D307)),VLOOKUP(A307,Yards25[],28,FALSE),VLOOKUP(A307,Yards[],28,FALSE))))</f>
        <v/>
      </c>
      <c r="I307" s="143" t="str">
        <f ca="1">IF(YardsAll[[#This Row],[STATUS]]="","",IF(OR(F307="2019-2020",F307="2021-2025"),"",IF(ISNUMBER(SEARCH("LLC",D307)),VLOOKUP(A307,Yards25[],17,FALSE),VLOOKUP(A307,Yards[],17,FALSE))))</f>
        <v/>
      </c>
      <c r="J307" s="143" t="str">
        <f ca="1">IF(YardsAll[[#This Row],[STATUS]]="","",IF(OR(F307="2019-2020",F307="2021-2025"),"",IF(ISNUMBER(SEARCH("LLC",D307)),VLOOKUP(A307,Yards25[],29,FALSE),VLOOKUP(A307,Yards[],29,FALSE))))</f>
        <v/>
      </c>
      <c r="K307" s="143" t="str">
        <f ca="1">IF(YardsAll[[#This Row],[STATUS]]="","",IF(OR(F307="2019-2020",F307="2021-2025"),"",IF(ISNUMBER(SEARCH("LLC",D307)),VLOOKUP(A307,Yards25[],19,FALSE),VLOOKUP(A307,Yards[],19,FALSE))))</f>
        <v/>
      </c>
      <c r="L307" s="143" t="str">
        <f ca="1">IF(IF(OR(F307="2019-2020",F307="2021-2025"),"",IF(ISNUMBER(SEARCH("LLC",D307)),VLOOKUP(A307,Yards25[],20,FALSE),VLOOKUP(A307,Yards[],20,FALSE)))=0,"",IF(OR(F307="2019-2020",F307="2021-2025"),"",IF(ISNUMBER(SEARCH("LLC",D307)),VLOOKUP(A307,Yards25[],20,FALSE),VLOOKUP(A307,Yards[],20,FALSE))))</f>
        <v/>
      </c>
      <c r="M307" s="151">
        <f ca="1">IF(OR(F307="2019-2020",F307="2021-2025"),"",IF(ISNUMBER(SEARCH("LLC",D307)),VLOOKUP(A307,Yards25[],21,FALSE),VLOOKUP(A307,Yards[],21,FALSE)))</f>
        <v>276067.59524575004</v>
      </c>
      <c r="N307" s="151">
        <f ca="1">IF(OR(F307="2019-2020",F307="2021-2025"),"",IF(ISNUMBER(SEARCH("LLC",D307)),VLOOKUP(A307,Yards25[],22,FALSE),VLOOKUP(A307,Yards[],22,FALSE)))</f>
        <v>2484608.35721175</v>
      </c>
      <c r="O307" s="151">
        <f ca="1">SUM(YardsAll[[#This Row],[DSGN ESTIMATE]:[CONS ESTIMATE]])</f>
        <v>2760675.9524575002</v>
      </c>
      <c r="P307" s="143"/>
      <c r="Q307" s="143">
        <f ca="1">IF(OR(F307="2019-2020",F307="2021-2025"),"",IF(ISNUMBER(SEARCH("LLC",D307)),VLOOKUP(A307,Yards25[],25,FALSE),VLOOKUP(A307,Yards[],25,FALSE)))</f>
        <v>0</v>
      </c>
      <c r="R307" s="152"/>
    </row>
    <row r="308" spans="1:18">
      <c r="A308" s="147" t="s">
        <v>387</v>
      </c>
      <c r="B308" s="144" t="str">
        <f>VLOOKUP(A308,Data[],2,FALSE)</f>
        <v>BROOKLYN</v>
      </c>
      <c r="C308" s="144" t="str">
        <f ca="1">IF(OR(F308="2019-2020",F308="2021-2025"),"",IF(ISNUMBER(SEARCH("LLC",D308)),VLOOKUP(A308,Yards25[],3,FALSE),VLOOKUP(A308,Yards[],3,FALSE)))</f>
        <v>New Waste Yard v2</v>
      </c>
      <c r="D308" s="9" t="str">
        <f>VLOOKUP(A308,Data[],52,FALSE)</f>
        <v>FEDERAL</v>
      </c>
      <c r="E308" s="9">
        <f>VLOOKUP(YardsAll[[#This Row],[DEVELOPMENT]],Data[],62,FALSE)</f>
        <v>16</v>
      </c>
      <c r="F308" s="9" t="str">
        <f ca="1">VLOOKUP(A308,Data[],4,FALSE)</f>
        <v/>
      </c>
      <c r="G308" s="9">
        <f ca="1">IF(OR(YardsAll[[#This Row],[RAD/PACT]]="2019-2020",YardsAll[[#This Row],[RAD/PACT]]="2021-2025"),"",IF(ISNUMBER(SEARCH("1",C308)),2,IF(ISNUMBER(SEARCH("2",C308)),1,IF(ISNUMBER(SEARCH("3",C308)),3,IF(ISNUMBER(SEARCH("4",C308)),4,IF(ISNUMBER(SEARCH("5",C308)),5,IF(ISNUMBER(SEARCH("6",C308)),6,IF(ISNUMBER(SEARCH("7",C308)),7,IF(ISNUMBER(SEARCH("8",C308)),8,0)))))))))</f>
        <v>1</v>
      </c>
      <c r="H308" s="143" t="str">
        <f ca="1">IF(YardsAll[[#This Row],[STATUS]]="","",IF(OR(F308="2019-2020",F308="2021-2025"),"",IF(ISNUMBER(SEARCH("LLC",D308)),VLOOKUP(A308,Yards25[],28,FALSE),VLOOKUP(A308,Yards[],28,FALSE))))</f>
        <v/>
      </c>
      <c r="I308" s="143" t="str">
        <f ca="1">IF(YardsAll[[#This Row],[STATUS]]="","",IF(OR(F308="2019-2020",F308="2021-2025"),"",IF(ISNUMBER(SEARCH("LLC",D308)),VLOOKUP(A308,Yards25[],17,FALSE),VLOOKUP(A308,Yards[],17,FALSE))))</f>
        <v/>
      </c>
      <c r="J308" s="143" t="str">
        <f ca="1">IF(YardsAll[[#This Row],[STATUS]]="","",IF(OR(F308="2019-2020",F308="2021-2025"),"",IF(ISNUMBER(SEARCH("LLC",D308)),VLOOKUP(A308,Yards25[],29,FALSE),VLOOKUP(A308,Yards[],29,FALSE))))</f>
        <v/>
      </c>
      <c r="K308" s="143" t="str">
        <f ca="1">IF(YardsAll[[#This Row],[STATUS]]="","",IF(OR(F308="2019-2020",F308="2021-2025"),"",IF(ISNUMBER(SEARCH("LLC",D308)),VLOOKUP(A308,Yards25[],19,FALSE),VLOOKUP(A308,Yards[],19,FALSE))))</f>
        <v/>
      </c>
      <c r="L308" s="143" t="str">
        <f ca="1">IF(IF(OR(F308="2019-2020",F308="2021-2025"),"",IF(ISNUMBER(SEARCH("LLC",D308)),VLOOKUP(A308,Yards25[],20,FALSE),VLOOKUP(A308,Yards[],20,FALSE)))=0,"",IF(OR(F308="2019-2020",F308="2021-2025"),"",IF(ISNUMBER(SEARCH("LLC",D308)),VLOOKUP(A308,Yards25[],20,FALSE),VLOOKUP(A308,Yards[],20,FALSE))))</f>
        <v/>
      </c>
      <c r="M308" s="151">
        <f ca="1">IF(OR(F308="2019-2020",F308="2021-2025"),"",IF(ISNUMBER(SEARCH("LLC",D308)),VLOOKUP(A308,Yards25[],21,FALSE),VLOOKUP(A308,Yards[],21,FALSE)))</f>
        <v>174369.77301760006</v>
      </c>
      <c r="N308" s="151">
        <f ca="1">IF(OR(F308="2019-2020",F308="2021-2025"),"",IF(ISNUMBER(SEARCH("LLC",D308)),VLOOKUP(A308,Yards25[],22,FALSE),VLOOKUP(A308,Yards[],22,FALSE)))</f>
        <v>1569327.9571584002</v>
      </c>
      <c r="O308" s="151">
        <f ca="1">SUM(YardsAll[[#This Row],[DSGN ESTIMATE]:[CONS ESTIMATE]])</f>
        <v>1743697.7301760004</v>
      </c>
      <c r="P308" s="143"/>
      <c r="Q308" s="143">
        <f ca="1">IF(OR(F308="2019-2020",F308="2021-2025"),"",IF(ISNUMBER(SEARCH("LLC",D308)),VLOOKUP(A308,Yards25[],25,FALSE),VLOOKUP(A308,Yards[],25,FALSE)))</f>
        <v>0</v>
      </c>
      <c r="R308" s="152"/>
    </row>
    <row r="309" spans="1:18">
      <c r="A309" s="147" t="s">
        <v>388</v>
      </c>
      <c r="B309" s="144" t="str">
        <f>VLOOKUP(A309,Data[],2,FALSE)</f>
        <v>MANHATTAN</v>
      </c>
      <c r="C309" s="144" t="str">
        <f ca="1">IF(OR(F309="2019-2020",F309="2021-2025"),"",IF(ISNUMBER(SEARCH("LLC",D309)),VLOOKUP(A309,Yards25[],3,FALSE),VLOOKUP(A309,Yards[],3,FALSE)))</f>
        <v>New Waste Yard v1</v>
      </c>
      <c r="D309" s="9" t="str">
        <f>VLOOKUP(A309,Data[],52,FALSE)</f>
        <v>FEDERAL</v>
      </c>
      <c r="E309" s="9">
        <f>VLOOKUP(YardsAll[[#This Row],[DEVELOPMENT]],Data[],62,FALSE)</f>
        <v>7</v>
      </c>
      <c r="F309" s="9" t="str">
        <f ca="1">VLOOKUP(A309,Data[],4,FALSE)</f>
        <v/>
      </c>
      <c r="G309" s="9">
        <f ca="1">IF(OR(YardsAll[[#This Row],[RAD/PACT]]="2019-2020",YardsAll[[#This Row],[RAD/PACT]]="2021-2025"),"",IF(ISNUMBER(SEARCH("1",C309)),2,IF(ISNUMBER(SEARCH("2",C309)),1,IF(ISNUMBER(SEARCH("3",C309)),3,IF(ISNUMBER(SEARCH("4",C309)),4,IF(ISNUMBER(SEARCH("5",C309)),5,IF(ISNUMBER(SEARCH("6",C309)),6,IF(ISNUMBER(SEARCH("7",C309)),7,IF(ISNUMBER(SEARCH("8",C309)),8,0)))))))))</f>
        <v>2</v>
      </c>
      <c r="H309" s="143" t="str">
        <f ca="1">IF(YardsAll[[#This Row],[STATUS]]="","",IF(OR(F309="2019-2020",F309="2021-2025"),"",IF(ISNUMBER(SEARCH("LLC",D309)),VLOOKUP(A309,Yards25[],28,FALSE),VLOOKUP(A309,Yards[],28,FALSE))))</f>
        <v/>
      </c>
      <c r="I309" s="143" t="str">
        <f ca="1">IF(YardsAll[[#This Row],[STATUS]]="","",IF(OR(F309="2019-2020",F309="2021-2025"),"",IF(ISNUMBER(SEARCH("LLC",D309)),VLOOKUP(A309,Yards25[],17,FALSE),VLOOKUP(A309,Yards[],17,FALSE))))</f>
        <v/>
      </c>
      <c r="J309" s="143" t="str">
        <f ca="1">IF(YardsAll[[#This Row],[STATUS]]="","",IF(OR(F309="2019-2020",F309="2021-2025"),"",IF(ISNUMBER(SEARCH("LLC",D309)),VLOOKUP(A309,Yards25[],29,FALSE),VLOOKUP(A309,Yards[],29,FALSE))))</f>
        <v/>
      </c>
      <c r="K309" s="143" t="str">
        <f ca="1">IF(YardsAll[[#This Row],[STATUS]]="","",IF(OR(F309="2019-2020",F309="2021-2025"),"",IF(ISNUMBER(SEARCH("LLC",D309)),VLOOKUP(A309,Yards25[],19,FALSE),VLOOKUP(A309,Yards[],19,FALSE))))</f>
        <v/>
      </c>
      <c r="L309" s="143" t="str">
        <f ca="1">IF(IF(OR(F309="2019-2020",F309="2021-2025"),"",IF(ISNUMBER(SEARCH("LLC",D309)),VLOOKUP(A309,Yards25[],20,FALSE),VLOOKUP(A309,Yards[],20,FALSE)))=0,"",IF(OR(F309="2019-2020",F309="2021-2025"),"",IF(ISNUMBER(SEARCH("LLC",D309)),VLOOKUP(A309,Yards25[],20,FALSE),VLOOKUP(A309,Yards[],20,FALSE))))</f>
        <v/>
      </c>
      <c r="M309" s="151">
        <f ca="1">IF(OR(F309="2019-2020",F309="2021-2025"),"",IF(ISNUMBER(SEARCH("LLC",D309)),VLOOKUP(A309,Yards25[],21,FALSE),VLOOKUP(A309,Yards[],21,FALSE)))</f>
        <v>0</v>
      </c>
      <c r="N309" s="151">
        <f ca="1">IF(OR(F309="2019-2020",F309="2021-2025"),"",IF(ISNUMBER(SEARCH("LLC",D309)),VLOOKUP(A309,Yards25[],22,FALSE),VLOOKUP(A309,Yards[],22,FALSE)))</f>
        <v>0</v>
      </c>
      <c r="O309" s="151">
        <f ca="1">SUM(YardsAll[[#This Row],[DSGN ESTIMATE]:[CONS ESTIMATE]])</f>
        <v>0</v>
      </c>
      <c r="P309" s="143"/>
      <c r="Q309" s="143">
        <f ca="1">IF(OR(F309="2019-2020",F309="2021-2025"),"",IF(ISNUMBER(SEARCH("LLC",D309)),VLOOKUP(A309,Yards25[],25,FALSE),VLOOKUP(A309,Yards[],25,FALSE)))</f>
        <v>0</v>
      </c>
      <c r="R309" s="152"/>
    </row>
    <row r="310" spans="1:18">
      <c r="A310" s="147" t="s">
        <v>389</v>
      </c>
      <c r="B310" s="144" t="str">
        <f>VLOOKUP(A310,Data[],2,FALSE)</f>
        <v>MANHATTAN</v>
      </c>
      <c r="C310" s="144" t="str">
        <f ca="1">IF(OR(F310="2019-2020",F310="2021-2025"),"",IF(ISNUMBER(SEARCH("LLC",D310)),VLOOKUP(A310,Yards25[],3,FALSE),VLOOKUP(A310,Yards[],3,FALSE)))</f>
        <v>New Waste Yard v1</v>
      </c>
      <c r="D310" s="9" t="str">
        <f>VLOOKUP(A310,Data[],52,FALSE)</f>
        <v>FEDERAL</v>
      </c>
      <c r="E310" s="9">
        <f>VLOOKUP(YardsAll[[#This Row],[DEVELOPMENT]],Data[],62,FALSE)</f>
        <v>7</v>
      </c>
      <c r="F310" s="9" t="str">
        <f ca="1">VLOOKUP(A310,Data[],4,FALSE)</f>
        <v/>
      </c>
      <c r="G310" s="9">
        <f ca="1">IF(OR(YardsAll[[#This Row],[RAD/PACT]]="2019-2020",YardsAll[[#This Row],[RAD/PACT]]="2021-2025"),"",IF(ISNUMBER(SEARCH("1",C310)),2,IF(ISNUMBER(SEARCH("2",C310)),1,IF(ISNUMBER(SEARCH("3",C310)),3,IF(ISNUMBER(SEARCH("4",C310)),4,IF(ISNUMBER(SEARCH("5",C310)),5,IF(ISNUMBER(SEARCH("6",C310)),6,IF(ISNUMBER(SEARCH("7",C310)),7,IF(ISNUMBER(SEARCH("8",C310)),8,0)))))))))</f>
        <v>2</v>
      </c>
      <c r="H310" s="143" t="str">
        <f ca="1">IF(YardsAll[[#This Row],[STATUS]]="","",IF(OR(F310="2019-2020",F310="2021-2025"),"",IF(ISNUMBER(SEARCH("LLC",D310)),VLOOKUP(A310,Yards25[],28,FALSE),VLOOKUP(A310,Yards[],28,FALSE))))</f>
        <v/>
      </c>
      <c r="I310" s="143" t="str">
        <f ca="1">IF(YardsAll[[#This Row],[STATUS]]="","",IF(OR(F310="2019-2020",F310="2021-2025"),"",IF(ISNUMBER(SEARCH("LLC",D310)),VLOOKUP(A310,Yards25[],17,FALSE),VLOOKUP(A310,Yards[],17,FALSE))))</f>
        <v/>
      </c>
      <c r="J310" s="143" t="str">
        <f ca="1">IF(YardsAll[[#This Row],[STATUS]]="","",IF(OR(F310="2019-2020",F310="2021-2025"),"",IF(ISNUMBER(SEARCH("LLC",D310)),VLOOKUP(A310,Yards25[],29,FALSE),VLOOKUP(A310,Yards[],29,FALSE))))</f>
        <v/>
      </c>
      <c r="K310" s="143" t="str">
        <f ca="1">IF(YardsAll[[#This Row],[STATUS]]="","",IF(OR(F310="2019-2020",F310="2021-2025"),"",IF(ISNUMBER(SEARCH("LLC",D310)),VLOOKUP(A310,Yards25[],19,FALSE),VLOOKUP(A310,Yards[],19,FALSE))))</f>
        <v/>
      </c>
      <c r="L310" s="143" t="str">
        <f ca="1">IF(IF(OR(F310="2019-2020",F310="2021-2025"),"",IF(ISNUMBER(SEARCH("LLC",D310)),VLOOKUP(A310,Yards25[],20,FALSE),VLOOKUP(A310,Yards[],20,FALSE)))=0,"",IF(OR(F310="2019-2020",F310="2021-2025"),"",IF(ISNUMBER(SEARCH("LLC",D310)),VLOOKUP(A310,Yards25[],20,FALSE),VLOOKUP(A310,Yards[],20,FALSE))))</f>
        <v/>
      </c>
      <c r="M310" s="151">
        <f ca="1">IF(OR(F310="2019-2020",F310="2021-2025"),"",IF(ISNUMBER(SEARCH("LLC",D310)),VLOOKUP(A310,Yards25[],21,FALSE),VLOOKUP(A310,Yards[],21,FALSE)))</f>
        <v>0</v>
      </c>
      <c r="N310" s="151">
        <f ca="1">IF(OR(F310="2019-2020",F310="2021-2025"),"",IF(ISNUMBER(SEARCH("LLC",D310)),VLOOKUP(A310,Yards25[],22,FALSE),VLOOKUP(A310,Yards[],22,FALSE)))</f>
        <v>0</v>
      </c>
      <c r="O310" s="151">
        <f ca="1">SUM(YardsAll[[#This Row],[DSGN ESTIMATE]:[CONS ESTIMATE]])</f>
        <v>0</v>
      </c>
      <c r="P310" s="143"/>
      <c r="Q310" s="143">
        <f ca="1">IF(OR(F310="2019-2020",F310="2021-2025"),"",IF(ISNUMBER(SEARCH("LLC",D310)),VLOOKUP(A310,Yards25[],25,FALSE),VLOOKUP(A310,Yards[],25,FALSE)))</f>
        <v>0</v>
      </c>
      <c r="R310" s="152"/>
    </row>
    <row r="311" spans="1:18">
      <c r="A311" s="147" t="s">
        <v>390</v>
      </c>
      <c r="B311" s="144" t="str">
        <f>VLOOKUP(A311,Data[],2,FALSE)</f>
        <v>MANHATTAN</v>
      </c>
      <c r="C311" s="144" t="str">
        <f ca="1">IF(OR(F311="2019-2020",F311="2021-2025"),"",IF(ISNUMBER(SEARCH("LLC",D311)),VLOOKUP(A311,Yards25[],3,FALSE),VLOOKUP(A311,Yards[],3,FALSE)))</f>
        <v>New Waste Yard v1</v>
      </c>
      <c r="D311" s="9" t="str">
        <f>VLOOKUP(A311,Data[],52,FALSE)</f>
        <v>FEDERAL</v>
      </c>
      <c r="E311" s="9">
        <f>VLOOKUP(YardsAll[[#This Row],[DEVELOPMENT]],Data[],62,FALSE)</f>
        <v>7</v>
      </c>
      <c r="F311" s="9" t="str">
        <f ca="1">VLOOKUP(A311,Data[],4,FALSE)</f>
        <v/>
      </c>
      <c r="G311" s="9">
        <f ca="1">IF(OR(YardsAll[[#This Row],[RAD/PACT]]="2019-2020",YardsAll[[#This Row],[RAD/PACT]]="2021-2025"),"",IF(ISNUMBER(SEARCH("1",C311)),2,IF(ISNUMBER(SEARCH("2",C311)),1,IF(ISNUMBER(SEARCH("3",C311)),3,IF(ISNUMBER(SEARCH("4",C311)),4,IF(ISNUMBER(SEARCH("5",C311)),5,IF(ISNUMBER(SEARCH("6",C311)),6,IF(ISNUMBER(SEARCH("7",C311)),7,IF(ISNUMBER(SEARCH("8",C311)),8,0)))))))))</f>
        <v>2</v>
      </c>
      <c r="H311" s="143" t="str">
        <f ca="1">IF(YardsAll[[#This Row],[STATUS]]="","",IF(OR(F311="2019-2020",F311="2021-2025"),"",IF(ISNUMBER(SEARCH("LLC",D311)),VLOOKUP(A311,Yards25[],28,FALSE),VLOOKUP(A311,Yards[],28,FALSE))))</f>
        <v/>
      </c>
      <c r="I311" s="143" t="str">
        <f ca="1">IF(YardsAll[[#This Row],[STATUS]]="","",IF(OR(F311="2019-2020",F311="2021-2025"),"",IF(ISNUMBER(SEARCH("LLC",D311)),VLOOKUP(A311,Yards25[],17,FALSE),VLOOKUP(A311,Yards[],17,FALSE))))</f>
        <v/>
      </c>
      <c r="J311" s="143" t="str">
        <f ca="1">IF(YardsAll[[#This Row],[STATUS]]="","",IF(OR(F311="2019-2020",F311="2021-2025"),"",IF(ISNUMBER(SEARCH("LLC",D311)),VLOOKUP(A311,Yards25[],29,FALSE),VLOOKUP(A311,Yards[],29,FALSE))))</f>
        <v/>
      </c>
      <c r="K311" s="143" t="str">
        <f ca="1">IF(YardsAll[[#This Row],[STATUS]]="","",IF(OR(F311="2019-2020",F311="2021-2025"),"",IF(ISNUMBER(SEARCH("LLC",D311)),VLOOKUP(A311,Yards25[],19,FALSE),VLOOKUP(A311,Yards[],19,FALSE))))</f>
        <v/>
      </c>
      <c r="L311" s="143" t="str">
        <f ca="1">IF(IF(OR(F311="2019-2020",F311="2021-2025"),"",IF(ISNUMBER(SEARCH("LLC",D311)),VLOOKUP(A311,Yards25[],20,FALSE),VLOOKUP(A311,Yards[],20,FALSE)))=0,"",IF(OR(F311="2019-2020",F311="2021-2025"),"",IF(ISNUMBER(SEARCH("LLC",D311)),VLOOKUP(A311,Yards25[],20,FALSE),VLOOKUP(A311,Yards[],20,FALSE))))</f>
        <v/>
      </c>
      <c r="M311" s="151">
        <f ca="1">IF(OR(F311="2019-2020",F311="2021-2025"),"",IF(ISNUMBER(SEARCH("LLC",D311)),VLOOKUP(A311,Yards25[],21,FALSE),VLOOKUP(A311,Yards[],21,FALSE)))</f>
        <v>225039.4463730001</v>
      </c>
      <c r="N311" s="151">
        <f ca="1">IF(OR(F311="2019-2020",F311="2021-2025"),"",IF(ISNUMBER(SEARCH("LLC",D311)),VLOOKUP(A311,Yards25[],22,FALSE),VLOOKUP(A311,Yards[],22,FALSE)))</f>
        <v>2025355.0173570008</v>
      </c>
      <c r="O311" s="151">
        <f ca="1">SUM(YardsAll[[#This Row],[DSGN ESTIMATE]:[CONS ESTIMATE]])</f>
        <v>2250394.4637300009</v>
      </c>
      <c r="P311" s="143"/>
      <c r="Q311" s="143">
        <f ca="1">IF(OR(F311="2019-2020",F311="2021-2025"),"",IF(ISNUMBER(SEARCH("LLC",D311)),VLOOKUP(A311,Yards25[],25,FALSE),VLOOKUP(A311,Yards[],25,FALSE)))</f>
        <v>0</v>
      </c>
      <c r="R311" s="152"/>
    </row>
    <row r="312" spans="1:18">
      <c r="A312" s="147" t="s">
        <v>391</v>
      </c>
      <c r="B312" s="144" t="str">
        <f>VLOOKUP(A312,Data[],2,FALSE)</f>
        <v>MANHATTAN</v>
      </c>
      <c r="C312" s="144" t="str">
        <f ca="1">IF(OR(F312="2019-2020",F312="2021-2025"),"",IF(ISNUMBER(SEARCH("LLC",D312)),VLOOKUP(A312,Yards25[],3,FALSE),VLOOKUP(A312,Yards[],3,FALSE)))</f>
        <v>New Waste Yard v1</v>
      </c>
      <c r="D312" s="9" t="str">
        <f>VLOOKUP(A312,Data[],52,FALSE)</f>
        <v>FEDERAL</v>
      </c>
      <c r="E312" s="9">
        <f>VLOOKUP(YardsAll[[#This Row],[DEVELOPMENT]],Data[],62,FALSE)</f>
        <v>7</v>
      </c>
      <c r="F312" s="9" t="str">
        <f ca="1">VLOOKUP(A312,Data[],4,FALSE)</f>
        <v/>
      </c>
      <c r="G312" s="9">
        <f ca="1">IF(OR(YardsAll[[#This Row],[RAD/PACT]]="2019-2020",YardsAll[[#This Row],[RAD/PACT]]="2021-2025"),"",IF(ISNUMBER(SEARCH("1",C312)),2,IF(ISNUMBER(SEARCH("2",C312)),1,IF(ISNUMBER(SEARCH("3",C312)),3,IF(ISNUMBER(SEARCH("4",C312)),4,IF(ISNUMBER(SEARCH("5",C312)),5,IF(ISNUMBER(SEARCH("6",C312)),6,IF(ISNUMBER(SEARCH("7",C312)),7,IF(ISNUMBER(SEARCH("8",C312)),8,0)))))))))</f>
        <v>2</v>
      </c>
      <c r="H312" s="143" t="str">
        <f ca="1">IF(YardsAll[[#This Row],[STATUS]]="","",IF(OR(F312="2019-2020",F312="2021-2025"),"",IF(ISNUMBER(SEARCH("LLC",D312)),VLOOKUP(A312,Yards25[],28,FALSE),VLOOKUP(A312,Yards[],28,FALSE))))</f>
        <v/>
      </c>
      <c r="I312" s="143" t="str">
        <f ca="1">IF(YardsAll[[#This Row],[STATUS]]="","",IF(OR(F312="2019-2020",F312="2021-2025"),"",IF(ISNUMBER(SEARCH("LLC",D312)),VLOOKUP(A312,Yards25[],17,FALSE),VLOOKUP(A312,Yards[],17,FALSE))))</f>
        <v/>
      </c>
      <c r="J312" s="143" t="str">
        <f ca="1">IF(YardsAll[[#This Row],[STATUS]]="","",IF(OR(F312="2019-2020",F312="2021-2025"),"",IF(ISNUMBER(SEARCH("LLC",D312)),VLOOKUP(A312,Yards25[],29,FALSE),VLOOKUP(A312,Yards[],29,FALSE))))</f>
        <v/>
      </c>
      <c r="K312" s="143" t="str">
        <f ca="1">IF(YardsAll[[#This Row],[STATUS]]="","",IF(OR(F312="2019-2020",F312="2021-2025"),"",IF(ISNUMBER(SEARCH("LLC",D312)),VLOOKUP(A312,Yards25[],19,FALSE),VLOOKUP(A312,Yards[],19,FALSE))))</f>
        <v/>
      </c>
      <c r="L312" s="143" t="str">
        <f ca="1">IF(IF(OR(F312="2019-2020",F312="2021-2025"),"",IF(ISNUMBER(SEARCH("LLC",D312)),VLOOKUP(A312,Yards25[],20,FALSE),VLOOKUP(A312,Yards[],20,FALSE)))=0,"",IF(OR(F312="2019-2020",F312="2021-2025"),"",IF(ISNUMBER(SEARCH("LLC",D312)),VLOOKUP(A312,Yards25[],20,FALSE),VLOOKUP(A312,Yards[],20,FALSE))))</f>
        <v/>
      </c>
      <c r="M312" s="151">
        <f ca="1">IF(OR(F312="2019-2020",F312="2021-2025"),"",IF(ISNUMBER(SEARCH("LLC",D312)),VLOOKUP(A312,Yards25[],21,FALSE),VLOOKUP(A312,Yards[],21,FALSE)))</f>
        <v>225039.4463730001</v>
      </c>
      <c r="N312" s="151">
        <f ca="1">IF(OR(F312="2019-2020",F312="2021-2025"),"",IF(ISNUMBER(SEARCH("LLC",D312)),VLOOKUP(A312,Yards25[],22,FALSE),VLOOKUP(A312,Yards[],22,FALSE)))</f>
        <v>2025355.0173570008</v>
      </c>
      <c r="O312" s="151">
        <f ca="1">SUM(YardsAll[[#This Row],[DSGN ESTIMATE]:[CONS ESTIMATE]])</f>
        <v>2250394.4637300009</v>
      </c>
      <c r="P312" s="143"/>
      <c r="Q312" s="143">
        <f ca="1">IF(OR(F312="2019-2020",F312="2021-2025"),"",IF(ISNUMBER(SEARCH("LLC",D312)),VLOOKUP(A312,Yards25[],25,FALSE),VLOOKUP(A312,Yards[],25,FALSE)))</f>
        <v>0</v>
      </c>
      <c r="R312" s="152"/>
    </row>
    <row r="313" spans="1:18">
      <c r="A313" s="153" t="s">
        <v>260</v>
      </c>
      <c r="B313" s="154" t="str">
        <f>VLOOKUP(A313,Data[],2,FALSE)</f>
        <v>BROOKLYN</v>
      </c>
      <c r="C313" s="144" t="str">
        <f ca="1">IF(OR(F313="2019-2020",F313="2021-2025"),"",IF(ISNUMBER(SEARCH("LLC",D313)),VLOOKUP(A313,Yards25[],3,FALSE),VLOOKUP(A313,Yards[],3,FALSE)))</f>
        <v>New Waste Yard v3</v>
      </c>
      <c r="D313" s="24" t="str">
        <f>VLOOKUP(A313,Data[],52,FALSE)</f>
        <v>FEDERAL</v>
      </c>
      <c r="E313" s="24">
        <f>VLOOKUP(YardsAll[[#This Row],[DEVELOPMENT]],Data[],62,FALSE)</f>
        <v>6</v>
      </c>
      <c r="F313" s="24" t="str">
        <f ca="1">VLOOKUP(A313,Data[],4,FALSE)</f>
        <v/>
      </c>
      <c r="G313" s="24">
        <f ca="1">IF(OR(YardsAll[[#This Row],[RAD/PACT]]="2019-2020",YardsAll[[#This Row],[RAD/PACT]]="2021-2025"),"",IF(ISNUMBER(SEARCH("1",C313)),2,IF(ISNUMBER(SEARCH("2",C313)),1,IF(ISNUMBER(SEARCH("3",C313)),3,IF(ISNUMBER(SEARCH("4",C313)),4,IF(ISNUMBER(SEARCH("5",C313)),5,IF(ISNUMBER(SEARCH("6",C313)),6,IF(ISNUMBER(SEARCH("7",C313)),7,IF(ISNUMBER(SEARCH("8",C313)),8,0)))))))))</f>
        <v>3</v>
      </c>
      <c r="H313" s="143" t="str">
        <f ca="1">IF(YardsAll[[#This Row],[STATUS]]="","",IF(OR(F313="2019-2020",F313="2021-2025"),"",IF(ISNUMBER(SEARCH("LLC",D313)),VLOOKUP(A313,Yards25[],28,FALSE),VLOOKUP(A313,Yards[],28,FALSE))))</f>
        <v/>
      </c>
      <c r="I313" s="143" t="str">
        <f ca="1">IF(YardsAll[[#This Row],[STATUS]]="","",IF(OR(F313="2019-2020",F313="2021-2025"),"",IF(ISNUMBER(SEARCH("LLC",D313)),VLOOKUP(A313,Yards25[],17,FALSE),VLOOKUP(A313,Yards[],17,FALSE))))</f>
        <v/>
      </c>
      <c r="J313" s="143" t="str">
        <f ca="1">IF(YardsAll[[#This Row],[STATUS]]="","",IF(OR(F313="2019-2020",F313="2021-2025"),"",IF(ISNUMBER(SEARCH("LLC",D313)),VLOOKUP(A313,Yards25[],29,FALSE),VLOOKUP(A313,Yards[],29,FALSE))))</f>
        <v/>
      </c>
      <c r="K313" s="143" t="str">
        <f ca="1">IF(YardsAll[[#This Row],[STATUS]]="","",IF(OR(F313="2019-2020",F313="2021-2025"),"",IF(ISNUMBER(SEARCH("LLC",D313)),VLOOKUP(A313,Yards25[],19,FALSE),VLOOKUP(A313,Yards[],19,FALSE))))</f>
        <v/>
      </c>
      <c r="L313" s="143" t="str">
        <f ca="1">IF(IF(OR(F313="2019-2020",F313="2021-2025"),"",IF(ISNUMBER(SEARCH("LLC",D313)),VLOOKUP(A313,Yards25[],20,FALSE),VLOOKUP(A313,Yards[],20,FALSE)))=0,"",IF(OR(F313="2019-2020",F313="2021-2025"),"",IF(ISNUMBER(SEARCH("LLC",D313)),VLOOKUP(A313,Yards25[],20,FALSE),VLOOKUP(A313,Yards[],20,FALSE))))</f>
        <v/>
      </c>
      <c r="M313" s="151">
        <f ca="1">IF(OR(F313="2019-2020",F313="2021-2025"),"",IF(ISNUMBER(SEARCH("LLC",D313)),VLOOKUP(A313,Yards25[],21,FALSE),VLOOKUP(A313,Yards[],21,FALSE)))</f>
        <v>223257.39527325006</v>
      </c>
      <c r="N313" s="151">
        <f ca="1">IF(OR(F313="2019-2020",F313="2021-2025"),"",IF(ISNUMBER(SEARCH("LLC",D313)),VLOOKUP(A313,Yards25[],22,FALSE),VLOOKUP(A313,Yards[],22,FALSE)))</f>
        <v>2009316.5574592506</v>
      </c>
      <c r="O313" s="156">
        <f ca="1">SUM(YardsAll[[#This Row],[DSGN ESTIMATE]:[CONS ESTIMATE]])</f>
        <v>2232573.9527325006</v>
      </c>
      <c r="P313" s="155"/>
      <c r="Q313" s="143">
        <f ca="1">IF(OR(F313="2019-2020",F313="2021-2025"),"",IF(ISNUMBER(SEARCH("LLC",D313)),VLOOKUP(A313,Yards25[],25,FALSE),VLOOKUP(A313,Yards[],25,FALSE)))</f>
        <v>0</v>
      </c>
      <c r="R313" s="157"/>
    </row>
  </sheetData>
  <conditionalFormatting sqref="B3:B313 A2:C2 H2:R2">
    <cfRule type="containsErrors" dxfId="465" priority="5">
      <formula>ISERROR(A2)</formula>
    </cfRule>
  </conditionalFormatting>
  <conditionalFormatting sqref="C3:C313">
    <cfRule type="containsErrors" dxfId="464" priority="3">
      <formula>ISERROR(C3)</formula>
    </cfRule>
  </conditionalFormatting>
  <conditionalFormatting sqref="A3:A313">
    <cfRule type="containsErrors" dxfId="463" priority="4">
      <formula>ISERROR(A3)</formula>
    </cfRule>
  </conditionalFormatting>
  <conditionalFormatting sqref="A3:A313">
    <cfRule type="duplicateValues" dxfId="462" priority="6"/>
  </conditionalFormatting>
  <conditionalFormatting sqref="D2:G2">
    <cfRule type="containsErrors" dxfId="461" priority="2">
      <formula>ISERROR(D2)</formula>
    </cfRule>
  </conditionalFormatting>
  <conditionalFormatting sqref="D3:G313">
    <cfRule type="containsErrors" dxfId="460" priority="1">
      <formula>ISERROR(D3)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Q21"/>
  <sheetViews>
    <sheetView topLeftCell="F1" zoomScaleNormal="100" workbookViewId="0">
      <selection activeCell="N21" sqref="N21"/>
    </sheetView>
  </sheetViews>
  <sheetFormatPr defaultColWidth="8.7109375" defaultRowHeight="14.45"/>
  <cols>
    <col min="1" max="1" width="24.140625" bestFit="1" customWidth="1"/>
    <col min="2" max="2" width="14.7109375" style="5" bestFit="1" customWidth="1"/>
    <col min="3" max="3" width="11.140625" style="5" bestFit="1" customWidth="1"/>
    <col min="4" max="4" width="14.28515625" style="5" bestFit="1" customWidth="1"/>
    <col min="5" max="5" width="12.140625" style="5" bestFit="1" customWidth="1"/>
    <col min="6" max="6" width="15.42578125" style="5" bestFit="1" customWidth="1"/>
    <col min="7" max="7" width="19.140625" style="5" bestFit="1" customWidth="1"/>
    <col min="8" max="8" width="13.7109375" style="5" bestFit="1" customWidth="1"/>
    <col min="9" max="9" width="12.140625" style="5" bestFit="1" customWidth="1"/>
    <col min="10" max="10" width="18.140625" style="5" bestFit="1" customWidth="1"/>
    <col min="11" max="11" width="19.7109375" style="5" bestFit="1" customWidth="1"/>
    <col min="12" max="12" width="15.140625" style="5" bestFit="1" customWidth="1"/>
    <col min="13" max="13" width="10" bestFit="1" customWidth="1"/>
    <col min="14" max="14" width="37.28515625" bestFit="1" customWidth="1"/>
    <col min="17" max="17" width="11.42578125" bestFit="1" customWidth="1"/>
  </cols>
  <sheetData>
    <row r="1" spans="1:17" s="54" customFormat="1">
      <c r="B1" s="113"/>
      <c r="C1" s="224" t="s">
        <v>463</v>
      </c>
      <c r="D1" s="114">
        <v>0.1</v>
      </c>
      <c r="E1" s="114">
        <v>0.16</v>
      </c>
      <c r="F1" s="115">
        <v>1.5599999999999999E-2</v>
      </c>
      <c r="G1" s="115">
        <v>3.0499999999999999E-2</v>
      </c>
      <c r="H1" s="114">
        <v>0.15</v>
      </c>
      <c r="I1" s="114">
        <v>7.0000000000000007E-2</v>
      </c>
      <c r="J1" s="114">
        <v>0.11</v>
      </c>
      <c r="K1" s="114">
        <v>0.1</v>
      </c>
      <c r="L1" s="113"/>
    </row>
    <row r="2" spans="1:17" s="220" customFormat="1">
      <c r="A2" s="220" t="s">
        <v>464</v>
      </c>
      <c r="B2" s="221" t="s">
        <v>465</v>
      </c>
      <c r="C2" s="221" t="s">
        <v>466</v>
      </c>
      <c r="D2" s="221" t="s">
        <v>467</v>
      </c>
      <c r="E2" s="221" t="s">
        <v>468</v>
      </c>
      <c r="F2" s="221" t="s">
        <v>469</v>
      </c>
      <c r="G2" s="221" t="s">
        <v>470</v>
      </c>
      <c r="H2" s="221" t="s">
        <v>471</v>
      </c>
      <c r="I2" s="221" t="s">
        <v>472</v>
      </c>
      <c r="J2" s="221" t="s">
        <v>473</v>
      </c>
      <c r="K2" s="221" t="s">
        <v>474</v>
      </c>
      <c r="L2" s="221" t="s">
        <v>405</v>
      </c>
      <c r="M2" s="220" t="s">
        <v>475</v>
      </c>
      <c r="N2" s="220" t="s">
        <v>24</v>
      </c>
    </row>
    <row r="3" spans="1:17">
      <c r="A3" s="116" t="s">
        <v>476</v>
      </c>
      <c r="B3" s="5">
        <v>300</v>
      </c>
      <c r="L3" s="23">
        <v>300</v>
      </c>
      <c r="M3" s="5" t="s">
        <v>477</v>
      </c>
      <c r="N3" s="5"/>
    </row>
    <row r="4" spans="1:17">
      <c r="A4" s="116" t="s">
        <v>478</v>
      </c>
      <c r="B4" s="5">
        <v>1000</v>
      </c>
      <c r="L4" s="23">
        <v>1000</v>
      </c>
      <c r="M4" s="5" t="s">
        <v>477</v>
      </c>
      <c r="N4" s="5"/>
    </row>
    <row r="5" spans="1:17">
      <c r="A5" s="116" t="s">
        <v>49</v>
      </c>
      <c r="B5" s="5">
        <v>279</v>
      </c>
      <c r="C5" s="5">
        <v>732.02114552605701</v>
      </c>
      <c r="D5" s="5">
        <v>101.10211455260571</v>
      </c>
      <c r="H5" s="5">
        <v>151.65317182890854</v>
      </c>
      <c r="I5" s="5">
        <v>70.771480186823993</v>
      </c>
      <c r="J5" s="5">
        <v>212.31444056047195</v>
      </c>
      <c r="K5" s="5">
        <v>171.87359473942971</v>
      </c>
      <c r="L5" s="23">
        <v>1718.735947394297</v>
      </c>
      <c r="M5" s="5" t="s">
        <v>477</v>
      </c>
      <c r="N5" s="5"/>
    </row>
    <row r="6" spans="1:17">
      <c r="A6" s="116" t="s">
        <v>27</v>
      </c>
      <c r="B6" s="5">
        <v>435</v>
      </c>
      <c r="C6" s="5">
        <v>5956.6</v>
      </c>
      <c r="D6" s="5">
        <v>958.74</v>
      </c>
      <c r="E6" s="5">
        <v>0</v>
      </c>
      <c r="F6" s="5">
        <v>6.7859999999999996</v>
      </c>
      <c r="G6" s="5">
        <v>13.2675</v>
      </c>
      <c r="H6" s="5">
        <v>65.25</v>
      </c>
      <c r="L6" s="23">
        <v>7435.6435000000001</v>
      </c>
      <c r="M6" s="5" t="s">
        <v>477</v>
      </c>
      <c r="N6" s="5"/>
      <c r="Q6" s="22">
        <f>Unit_Costs[[#This Row],[TOTAL]]*7</f>
        <v>52049.504500000003</v>
      </c>
    </row>
    <row r="7" spans="1:17">
      <c r="A7" s="116" t="s">
        <v>52</v>
      </c>
      <c r="B7" s="5">
        <v>28282</v>
      </c>
      <c r="D7" s="5">
        <v>2828.2000000000003</v>
      </c>
      <c r="H7" s="5">
        <v>4242.3</v>
      </c>
      <c r="I7" s="5">
        <v>3532.9000000000005</v>
      </c>
      <c r="L7" s="23">
        <v>38885.4</v>
      </c>
      <c r="M7" s="5" t="s">
        <v>400</v>
      </c>
      <c r="N7" s="5"/>
    </row>
    <row r="8" spans="1:17">
      <c r="A8" s="116" t="s">
        <v>106</v>
      </c>
      <c r="B8" s="5">
        <v>50470</v>
      </c>
      <c r="D8" s="5">
        <v>5047</v>
      </c>
      <c r="E8" s="5">
        <v>0</v>
      </c>
      <c r="H8" s="5">
        <v>4037.6</v>
      </c>
      <c r="I8" s="5">
        <v>3532.9000000000005</v>
      </c>
      <c r="L8" s="23">
        <v>63087.5</v>
      </c>
      <c r="M8" s="5" t="s">
        <v>400</v>
      </c>
      <c r="N8" s="5"/>
    </row>
    <row r="9" spans="1:17">
      <c r="A9" s="116" t="s">
        <v>68</v>
      </c>
      <c r="B9" s="5">
        <v>133900</v>
      </c>
      <c r="D9" s="5">
        <v>13390</v>
      </c>
      <c r="E9" s="5">
        <v>21424</v>
      </c>
      <c r="H9" s="5">
        <v>10712</v>
      </c>
      <c r="I9" s="5">
        <v>9373</v>
      </c>
      <c r="L9" s="23">
        <v>188799</v>
      </c>
      <c r="M9" s="5" t="s">
        <v>400</v>
      </c>
      <c r="N9" s="5"/>
    </row>
    <row r="10" spans="1:17">
      <c r="A10" s="116" t="s">
        <v>109</v>
      </c>
      <c r="B10" s="5">
        <v>927000</v>
      </c>
      <c r="D10" s="5">
        <v>92700</v>
      </c>
      <c r="E10" s="5">
        <v>148320</v>
      </c>
      <c r="H10" s="5">
        <v>74160</v>
      </c>
      <c r="I10" s="5">
        <v>64890.000000000007</v>
      </c>
      <c r="L10" s="23">
        <v>1307070</v>
      </c>
      <c r="M10" s="5" t="s">
        <v>400</v>
      </c>
      <c r="N10" s="5"/>
    </row>
    <row r="11" spans="1:17">
      <c r="A11" s="116" t="s">
        <v>479</v>
      </c>
      <c r="B11" s="5">
        <v>400000</v>
      </c>
      <c r="D11" s="5">
        <v>9476</v>
      </c>
      <c r="E11" s="5">
        <v>15161.6</v>
      </c>
      <c r="H11" s="5">
        <v>7580.8</v>
      </c>
      <c r="I11" s="5">
        <v>6633.2000000000007</v>
      </c>
      <c r="L11" s="23">
        <v>438851.6</v>
      </c>
      <c r="M11" s="5" t="s">
        <v>477</v>
      </c>
      <c r="N11" s="5"/>
    </row>
    <row r="12" spans="1:17">
      <c r="A12" s="116" t="s">
        <v>150</v>
      </c>
      <c r="B12" s="5">
        <v>3000</v>
      </c>
      <c r="C12" s="5">
        <v>10656</v>
      </c>
      <c r="L12" s="23">
        <v>13656</v>
      </c>
      <c r="M12" s="5" t="s">
        <v>477</v>
      </c>
      <c r="N12" s="5" t="s">
        <v>480</v>
      </c>
    </row>
    <row r="13" spans="1:17">
      <c r="A13" s="116" t="s">
        <v>141</v>
      </c>
      <c r="B13" s="5">
        <v>37000</v>
      </c>
      <c r="L13" s="23">
        <v>37000</v>
      </c>
      <c r="M13" s="5" t="s">
        <v>477</v>
      </c>
      <c r="N13" s="5"/>
    </row>
    <row r="14" spans="1:17">
      <c r="A14" s="116" t="s">
        <v>481</v>
      </c>
      <c r="B14" s="5">
        <v>1291104.1100000001</v>
      </c>
      <c r="D14" s="5">
        <v>129110.41100000002</v>
      </c>
      <c r="J14" s="5">
        <v>258220.82200000004</v>
      </c>
      <c r="K14" s="5">
        <v>129110.41100000002</v>
      </c>
      <c r="L14" s="23">
        <v>1807545.7540000004</v>
      </c>
      <c r="M14" s="5" t="s">
        <v>400</v>
      </c>
      <c r="N14" t="s">
        <v>482</v>
      </c>
    </row>
    <row r="15" spans="1:17">
      <c r="A15" s="116" t="s">
        <v>483</v>
      </c>
      <c r="B15" s="5">
        <v>1039896.0700000001</v>
      </c>
      <c r="D15" s="5">
        <v>103989.60700000002</v>
      </c>
      <c r="J15" s="5">
        <v>114388.56770000001</v>
      </c>
      <c r="K15" s="5">
        <v>103989.60700000002</v>
      </c>
      <c r="L15" s="23">
        <v>1362263.8517000002</v>
      </c>
      <c r="M15" s="5" t="s">
        <v>400</v>
      </c>
      <c r="N15" t="s">
        <v>484</v>
      </c>
    </row>
    <row r="16" spans="1:17">
      <c r="A16" s="116" t="s">
        <v>485</v>
      </c>
      <c r="B16" s="5">
        <v>1542312.1500000004</v>
      </c>
      <c r="D16" s="5">
        <v>154231.21500000005</v>
      </c>
      <c r="J16" s="5">
        <v>169654.33650000003</v>
      </c>
      <c r="K16" s="5">
        <v>154231.21500000005</v>
      </c>
      <c r="L16" s="23">
        <v>2020428.9165000005</v>
      </c>
      <c r="M16" s="5" t="s">
        <v>400</v>
      </c>
      <c r="N16" t="s">
        <v>486</v>
      </c>
    </row>
    <row r="17" spans="1:14">
      <c r="A17" s="116" t="s">
        <v>487</v>
      </c>
      <c r="B17" s="5">
        <v>1793520.1900000002</v>
      </c>
      <c r="D17" s="5">
        <v>179352.01900000003</v>
      </c>
      <c r="J17" s="5">
        <v>197287.22090000001</v>
      </c>
      <c r="K17" s="5">
        <v>179352.01900000003</v>
      </c>
      <c r="L17" s="23">
        <v>2349511.4489000002</v>
      </c>
      <c r="M17" s="5" t="s">
        <v>400</v>
      </c>
      <c r="N17" t="s">
        <v>488</v>
      </c>
    </row>
    <row r="18" spans="1:14">
      <c r="A18" s="116" t="s">
        <v>489</v>
      </c>
      <c r="B18" s="5">
        <v>2044728.23</v>
      </c>
      <c r="D18" s="5">
        <v>204472.823</v>
      </c>
      <c r="J18" s="5">
        <v>224920.1053</v>
      </c>
      <c r="K18" s="5">
        <v>204472.823</v>
      </c>
      <c r="L18" s="23">
        <v>2678593.9812999996</v>
      </c>
      <c r="M18" s="5" t="s">
        <v>400</v>
      </c>
      <c r="N18" t="s">
        <v>490</v>
      </c>
    </row>
    <row r="19" spans="1:14">
      <c r="A19" s="116" t="s">
        <v>491</v>
      </c>
      <c r="B19" s="5">
        <v>2295936.27</v>
      </c>
      <c r="D19" s="5">
        <v>229593.62700000001</v>
      </c>
      <c r="J19" s="5">
        <v>252552.98970000001</v>
      </c>
      <c r="K19" s="5">
        <v>229593.62700000001</v>
      </c>
      <c r="L19" s="23">
        <v>3007676.5136999995</v>
      </c>
      <c r="M19" s="5" t="s">
        <v>400</v>
      </c>
      <c r="N19" t="s">
        <v>492</v>
      </c>
    </row>
    <row r="20" spans="1:14">
      <c r="A20" s="116" t="s">
        <v>493</v>
      </c>
      <c r="B20" s="5">
        <v>2547144.3100000005</v>
      </c>
      <c r="D20" s="5">
        <v>254714.43100000007</v>
      </c>
      <c r="J20" s="5">
        <v>280185.87410000007</v>
      </c>
      <c r="K20" s="5">
        <v>254714.43100000007</v>
      </c>
      <c r="L20" s="23">
        <v>3336759.0461000004</v>
      </c>
      <c r="M20" s="5" t="s">
        <v>400</v>
      </c>
      <c r="N20" t="s">
        <v>494</v>
      </c>
    </row>
    <row r="21" spans="1:14">
      <c r="A21" s="116" t="s">
        <v>495</v>
      </c>
      <c r="B21" s="5">
        <v>12000000</v>
      </c>
      <c r="D21" s="5">
        <v>1200000</v>
      </c>
      <c r="H21" s="5">
        <v>1800000</v>
      </c>
      <c r="I21" s="5">
        <v>840000.00000000012</v>
      </c>
      <c r="L21" s="23">
        <v>15840000</v>
      </c>
      <c r="M21" s="5" t="s">
        <v>400</v>
      </c>
      <c r="N21" t="s">
        <v>496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G163"/>
  <sheetViews>
    <sheetView workbookViewId="0">
      <selection activeCell="C10" sqref="C10"/>
    </sheetView>
  </sheetViews>
  <sheetFormatPr defaultColWidth="8.7109375" defaultRowHeight="14.45"/>
  <cols>
    <col min="1" max="1" width="44.28515625" bestFit="1" customWidth="1"/>
    <col min="2" max="2" width="11.140625" bestFit="1" customWidth="1"/>
    <col min="3" max="3" width="16.85546875" bestFit="1" customWidth="1"/>
    <col min="4" max="4" width="10.42578125" bestFit="1" customWidth="1"/>
    <col min="5" max="5" width="9" bestFit="1" customWidth="1"/>
    <col min="6" max="6" width="11" bestFit="1" customWidth="1"/>
    <col min="7" max="23" width="12" bestFit="1" customWidth="1"/>
    <col min="24" max="29" width="11" bestFit="1" customWidth="1"/>
    <col min="30" max="30" width="12" bestFit="1" customWidth="1"/>
    <col min="31" max="47" width="13" bestFit="1" customWidth="1"/>
    <col min="48" max="57" width="12" bestFit="1" customWidth="1"/>
    <col min="58" max="73" width="13" bestFit="1" customWidth="1"/>
    <col min="74" max="77" width="12" bestFit="1" customWidth="1"/>
    <col min="78" max="88" width="13" bestFit="1" customWidth="1"/>
    <col min="89" max="90" width="12" bestFit="1" customWidth="1"/>
    <col min="91" max="102" width="13" bestFit="1" customWidth="1"/>
    <col min="103" max="108" width="12" bestFit="1" customWidth="1"/>
    <col min="109" max="112" width="11" bestFit="1" customWidth="1"/>
    <col min="113" max="129" width="12" bestFit="1" customWidth="1"/>
    <col min="130" max="137" width="11" bestFit="1" customWidth="1"/>
    <col min="138" max="153" width="12" bestFit="1" customWidth="1"/>
    <col min="154" max="157" width="11" bestFit="1" customWidth="1"/>
    <col min="158" max="162" width="12" bestFit="1" customWidth="1"/>
    <col min="163" max="163" width="11" bestFit="1" customWidth="1"/>
    <col min="164" max="181" width="12" bestFit="1" customWidth="1"/>
    <col min="182" max="189" width="11" bestFit="1" customWidth="1"/>
    <col min="190" max="205" width="12" bestFit="1" customWidth="1"/>
    <col min="206" max="216" width="11" bestFit="1" customWidth="1"/>
    <col min="217" max="232" width="12" bestFit="1" customWidth="1"/>
    <col min="233" max="235" width="11" bestFit="1" customWidth="1"/>
    <col min="236" max="240" width="12" bestFit="1" customWidth="1"/>
    <col min="241" max="241" width="11" bestFit="1" customWidth="1"/>
    <col min="242" max="259" width="12" bestFit="1" customWidth="1"/>
    <col min="260" max="268" width="11" bestFit="1" customWidth="1"/>
    <col min="269" max="284" width="12" bestFit="1" customWidth="1"/>
    <col min="285" max="289" width="11" bestFit="1" customWidth="1"/>
    <col min="290" max="299" width="12" bestFit="1" customWidth="1"/>
    <col min="300" max="301" width="11" bestFit="1" customWidth="1"/>
    <col min="302" max="313" width="12" bestFit="1" customWidth="1"/>
    <col min="314" max="319" width="11" bestFit="1" customWidth="1"/>
  </cols>
  <sheetData>
    <row r="1" spans="1:319">
      <c r="A1" t="s">
        <v>497</v>
      </c>
      <c r="B1" t="s">
        <v>498</v>
      </c>
      <c r="C1" t="s">
        <v>499</v>
      </c>
      <c r="D1" t="s">
        <v>500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  <c r="O1" t="s">
        <v>511</v>
      </c>
      <c r="P1" t="s">
        <v>512</v>
      </c>
      <c r="Q1" t="s">
        <v>513</v>
      </c>
      <c r="R1" t="s">
        <v>514</v>
      </c>
      <c r="S1" t="s">
        <v>515</v>
      </c>
      <c r="T1" t="s">
        <v>516</v>
      </c>
      <c r="U1" t="s">
        <v>517</v>
      </c>
      <c r="V1" t="s">
        <v>518</v>
      </c>
      <c r="W1" t="s">
        <v>519</v>
      </c>
      <c r="X1" t="s">
        <v>520</v>
      </c>
      <c r="Y1" t="s">
        <v>521</v>
      </c>
      <c r="Z1" t="s">
        <v>522</v>
      </c>
      <c r="AA1" t="s">
        <v>523</v>
      </c>
      <c r="AB1" t="s">
        <v>524</v>
      </c>
      <c r="AC1" t="s">
        <v>525</v>
      </c>
      <c r="AD1" t="s">
        <v>526</v>
      </c>
      <c r="AE1" t="s">
        <v>527</v>
      </c>
      <c r="AF1" t="s">
        <v>528</v>
      </c>
      <c r="AG1" t="s">
        <v>529</v>
      </c>
      <c r="AH1" t="s">
        <v>530</v>
      </c>
      <c r="AI1" t="s">
        <v>531</v>
      </c>
      <c r="AJ1" t="s">
        <v>532</v>
      </c>
      <c r="AK1" t="s">
        <v>533</v>
      </c>
      <c r="AL1" t="s">
        <v>534</v>
      </c>
      <c r="AM1" t="s">
        <v>535</v>
      </c>
      <c r="AN1" t="s">
        <v>536</v>
      </c>
      <c r="AO1" t="s">
        <v>537</v>
      </c>
      <c r="AP1" t="s">
        <v>538</v>
      </c>
      <c r="AQ1" t="s">
        <v>539</v>
      </c>
      <c r="AR1" t="s">
        <v>540</v>
      </c>
      <c r="AS1" t="s">
        <v>541</v>
      </c>
      <c r="AT1" t="s">
        <v>542</v>
      </c>
      <c r="AU1" t="s">
        <v>543</v>
      </c>
      <c r="AV1" t="s">
        <v>544</v>
      </c>
      <c r="AW1" t="s">
        <v>545</v>
      </c>
      <c r="AX1" t="s">
        <v>546</v>
      </c>
      <c r="AY1" t="s">
        <v>547</v>
      </c>
      <c r="AZ1" t="s">
        <v>548</v>
      </c>
      <c r="BA1" t="s">
        <v>549</v>
      </c>
      <c r="BB1" t="s">
        <v>550</v>
      </c>
      <c r="BC1" t="s">
        <v>551</v>
      </c>
      <c r="BD1" t="s">
        <v>552</v>
      </c>
      <c r="BE1" t="s">
        <v>553</v>
      </c>
      <c r="BF1" t="s">
        <v>554</v>
      </c>
      <c r="BG1" t="s">
        <v>555</v>
      </c>
      <c r="BH1" t="s">
        <v>556</v>
      </c>
      <c r="BI1" t="s">
        <v>557</v>
      </c>
      <c r="BJ1" t="s">
        <v>558</v>
      </c>
      <c r="BK1" t="s">
        <v>559</v>
      </c>
      <c r="BL1" t="s">
        <v>560</v>
      </c>
      <c r="BM1" t="s">
        <v>561</v>
      </c>
      <c r="BN1" t="s">
        <v>562</v>
      </c>
      <c r="BO1" t="s">
        <v>563</v>
      </c>
      <c r="BP1" t="s">
        <v>564</v>
      </c>
      <c r="BQ1" t="s">
        <v>565</v>
      </c>
      <c r="BR1" t="s">
        <v>566</v>
      </c>
      <c r="BS1" t="s">
        <v>567</v>
      </c>
      <c r="BT1" t="s">
        <v>568</v>
      </c>
      <c r="BU1" t="s">
        <v>569</v>
      </c>
      <c r="BV1" t="s">
        <v>570</v>
      </c>
      <c r="BW1" t="s">
        <v>571</v>
      </c>
      <c r="BX1" t="s">
        <v>572</v>
      </c>
      <c r="BY1" t="s">
        <v>573</v>
      </c>
      <c r="BZ1" t="s">
        <v>574</v>
      </c>
      <c r="CA1" t="s">
        <v>575</v>
      </c>
      <c r="CB1" t="s">
        <v>576</v>
      </c>
      <c r="CC1" t="s">
        <v>577</v>
      </c>
      <c r="CD1" t="s">
        <v>578</v>
      </c>
      <c r="CE1" t="s">
        <v>579</v>
      </c>
      <c r="CF1" t="s">
        <v>580</v>
      </c>
      <c r="CG1" t="s">
        <v>581</v>
      </c>
      <c r="CH1" t="s">
        <v>582</v>
      </c>
      <c r="CI1" t="s">
        <v>583</v>
      </c>
      <c r="CJ1" t="s">
        <v>584</v>
      </c>
      <c r="CK1" t="s">
        <v>585</v>
      </c>
      <c r="CL1" t="s">
        <v>586</v>
      </c>
      <c r="CM1" t="s">
        <v>587</v>
      </c>
      <c r="CN1" t="s">
        <v>588</v>
      </c>
      <c r="CO1" t="s">
        <v>589</v>
      </c>
      <c r="CP1" t="s">
        <v>590</v>
      </c>
      <c r="CQ1" t="s">
        <v>591</v>
      </c>
      <c r="CR1" t="s">
        <v>592</v>
      </c>
      <c r="CS1" t="s">
        <v>593</v>
      </c>
      <c r="CT1" t="s">
        <v>594</v>
      </c>
      <c r="CU1" t="s">
        <v>595</v>
      </c>
      <c r="CV1" t="s">
        <v>596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609</v>
      </c>
      <c r="DJ1" t="s">
        <v>610</v>
      </c>
      <c r="DK1" t="s">
        <v>611</v>
      </c>
      <c r="DL1" t="s">
        <v>612</v>
      </c>
      <c r="DM1" t="s">
        <v>613</v>
      </c>
      <c r="DN1" t="s">
        <v>614</v>
      </c>
      <c r="DO1" t="s">
        <v>615</v>
      </c>
      <c r="DP1" t="s">
        <v>616</v>
      </c>
      <c r="DQ1" t="s">
        <v>617</v>
      </c>
      <c r="DR1" t="s">
        <v>618</v>
      </c>
      <c r="DS1" t="s">
        <v>619</v>
      </c>
      <c r="DT1" t="s">
        <v>620</v>
      </c>
      <c r="DU1" t="s">
        <v>621</v>
      </c>
      <c r="DV1" t="s">
        <v>622</v>
      </c>
      <c r="DW1" t="s">
        <v>623</v>
      </c>
      <c r="DX1" t="s">
        <v>624</v>
      </c>
      <c r="DY1" t="s">
        <v>625</v>
      </c>
      <c r="DZ1" t="s">
        <v>626</v>
      </c>
      <c r="EA1" t="s">
        <v>627</v>
      </c>
      <c r="EB1" t="s">
        <v>628</v>
      </c>
      <c r="EC1" t="s">
        <v>629</v>
      </c>
      <c r="ED1" t="s">
        <v>630</v>
      </c>
      <c r="EE1" t="s">
        <v>631</v>
      </c>
      <c r="EF1" t="s">
        <v>632</v>
      </c>
      <c r="EG1" t="s">
        <v>633</v>
      </c>
      <c r="EH1" t="s">
        <v>634</v>
      </c>
      <c r="EI1" t="s">
        <v>635</v>
      </c>
      <c r="EJ1" t="s">
        <v>636</v>
      </c>
      <c r="EK1" t="s">
        <v>637</v>
      </c>
      <c r="EL1" t="s">
        <v>638</v>
      </c>
      <c r="EM1" t="s">
        <v>639</v>
      </c>
      <c r="EN1" t="s">
        <v>640</v>
      </c>
      <c r="EO1" t="s">
        <v>641</v>
      </c>
      <c r="EP1" t="s">
        <v>642</v>
      </c>
      <c r="EQ1" t="s">
        <v>643</v>
      </c>
      <c r="ER1" t="s">
        <v>644</v>
      </c>
      <c r="ES1" t="s">
        <v>645</v>
      </c>
      <c r="ET1" t="s">
        <v>646</v>
      </c>
      <c r="EU1" t="s">
        <v>647</v>
      </c>
      <c r="EV1" t="s">
        <v>648</v>
      </c>
      <c r="EW1" t="s">
        <v>649</v>
      </c>
      <c r="EX1" t="s">
        <v>650</v>
      </c>
      <c r="EY1" t="s">
        <v>651</v>
      </c>
      <c r="EZ1" t="s">
        <v>652</v>
      </c>
      <c r="FA1" t="s">
        <v>653</v>
      </c>
      <c r="FB1" t="s">
        <v>654</v>
      </c>
      <c r="FC1" t="s">
        <v>655</v>
      </c>
      <c r="FD1" t="s">
        <v>656</v>
      </c>
      <c r="FE1" t="s">
        <v>657</v>
      </c>
      <c r="FF1" t="s">
        <v>658</v>
      </c>
      <c r="FG1" t="s">
        <v>659</v>
      </c>
      <c r="FH1" t="s">
        <v>660</v>
      </c>
      <c r="FI1" t="s">
        <v>661</v>
      </c>
      <c r="FJ1" t="s">
        <v>662</v>
      </c>
      <c r="FK1" t="s">
        <v>663</v>
      </c>
      <c r="FL1" t="s">
        <v>664</v>
      </c>
      <c r="FM1" t="s">
        <v>665</v>
      </c>
      <c r="FN1" t="s">
        <v>666</v>
      </c>
      <c r="FO1" t="s">
        <v>667</v>
      </c>
      <c r="FP1" t="s">
        <v>668</v>
      </c>
      <c r="FQ1" t="s">
        <v>669</v>
      </c>
      <c r="FR1" t="s">
        <v>670</v>
      </c>
      <c r="FS1" t="s">
        <v>671</v>
      </c>
      <c r="FT1" t="s">
        <v>672</v>
      </c>
      <c r="FU1" t="s">
        <v>673</v>
      </c>
      <c r="FV1" t="s">
        <v>674</v>
      </c>
      <c r="FW1" t="s">
        <v>675</v>
      </c>
      <c r="FX1" t="s">
        <v>676</v>
      </c>
      <c r="FY1" t="s">
        <v>677</v>
      </c>
      <c r="FZ1" t="s">
        <v>678</v>
      </c>
      <c r="GA1" t="s">
        <v>679</v>
      </c>
      <c r="GB1" t="s">
        <v>680</v>
      </c>
      <c r="GC1" t="s">
        <v>681</v>
      </c>
      <c r="GD1" t="s">
        <v>682</v>
      </c>
      <c r="GE1" t="s">
        <v>683</v>
      </c>
      <c r="GF1" t="s">
        <v>684</v>
      </c>
      <c r="GG1" t="s">
        <v>685</v>
      </c>
      <c r="GH1" t="s">
        <v>686</v>
      </c>
      <c r="GI1" t="s">
        <v>687</v>
      </c>
      <c r="GJ1" t="s">
        <v>688</v>
      </c>
      <c r="GK1" t="s">
        <v>689</v>
      </c>
      <c r="GL1" t="s">
        <v>690</v>
      </c>
      <c r="GM1" t="s">
        <v>691</v>
      </c>
      <c r="GN1" t="s">
        <v>692</v>
      </c>
      <c r="GO1" t="s">
        <v>693</v>
      </c>
      <c r="GP1" t="s">
        <v>694</v>
      </c>
      <c r="GQ1" t="s">
        <v>695</v>
      </c>
      <c r="GR1" t="s">
        <v>696</v>
      </c>
      <c r="GS1" t="s">
        <v>697</v>
      </c>
      <c r="GT1" t="s">
        <v>698</v>
      </c>
      <c r="GU1" t="s">
        <v>699</v>
      </c>
      <c r="GV1" t="s">
        <v>700</v>
      </c>
      <c r="GW1" t="s">
        <v>701</v>
      </c>
      <c r="GX1" t="s">
        <v>702</v>
      </c>
      <c r="GY1" t="s">
        <v>703</v>
      </c>
      <c r="GZ1" t="s">
        <v>704</v>
      </c>
      <c r="HA1" t="s">
        <v>705</v>
      </c>
      <c r="HB1" t="s">
        <v>706</v>
      </c>
      <c r="HC1" t="s">
        <v>707</v>
      </c>
      <c r="HD1" t="s">
        <v>708</v>
      </c>
      <c r="HE1" t="s">
        <v>709</v>
      </c>
      <c r="HF1" t="s">
        <v>710</v>
      </c>
      <c r="HG1" t="s">
        <v>711</v>
      </c>
      <c r="HH1" t="s">
        <v>712</v>
      </c>
      <c r="HI1" t="s">
        <v>713</v>
      </c>
      <c r="HJ1" t="s">
        <v>714</v>
      </c>
      <c r="HK1" t="s">
        <v>715</v>
      </c>
      <c r="HL1" t="s">
        <v>716</v>
      </c>
      <c r="HM1" t="s">
        <v>717</v>
      </c>
      <c r="HN1" t="s">
        <v>718</v>
      </c>
      <c r="HO1" t="s">
        <v>719</v>
      </c>
      <c r="HP1" t="s">
        <v>720</v>
      </c>
      <c r="HQ1" t="s">
        <v>721</v>
      </c>
      <c r="HR1" t="s">
        <v>722</v>
      </c>
      <c r="HS1" t="s">
        <v>723</v>
      </c>
      <c r="HT1" t="s">
        <v>724</v>
      </c>
      <c r="HU1" t="s">
        <v>725</v>
      </c>
      <c r="HV1" t="s">
        <v>726</v>
      </c>
      <c r="HW1" t="s">
        <v>727</v>
      </c>
      <c r="HX1" t="s">
        <v>728</v>
      </c>
      <c r="HY1" t="s">
        <v>729</v>
      </c>
      <c r="HZ1" t="s">
        <v>730</v>
      </c>
      <c r="IA1" t="s">
        <v>731</v>
      </c>
      <c r="IB1" t="s">
        <v>732</v>
      </c>
      <c r="IC1" t="s">
        <v>733</v>
      </c>
      <c r="ID1" t="s">
        <v>734</v>
      </c>
      <c r="IE1" t="s">
        <v>735</v>
      </c>
      <c r="IF1" t="s">
        <v>736</v>
      </c>
      <c r="IG1" t="s">
        <v>737</v>
      </c>
      <c r="IH1" t="s">
        <v>738</v>
      </c>
      <c r="II1" t="s">
        <v>739</v>
      </c>
      <c r="IJ1" t="s">
        <v>740</v>
      </c>
      <c r="IK1" t="s">
        <v>741</v>
      </c>
      <c r="IL1" t="s">
        <v>742</v>
      </c>
      <c r="IM1" t="s">
        <v>743</v>
      </c>
      <c r="IN1" t="s">
        <v>744</v>
      </c>
      <c r="IO1" t="s">
        <v>745</v>
      </c>
      <c r="IP1" t="s">
        <v>746</v>
      </c>
      <c r="IQ1" t="s">
        <v>747</v>
      </c>
      <c r="IR1" t="s">
        <v>748</v>
      </c>
      <c r="IS1" t="s">
        <v>749</v>
      </c>
      <c r="IT1" t="s">
        <v>750</v>
      </c>
      <c r="IU1" t="s">
        <v>751</v>
      </c>
      <c r="IV1" t="s">
        <v>752</v>
      </c>
      <c r="IW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G1" t="s">
        <v>763</v>
      </c>
      <c r="JH1" t="s">
        <v>764</v>
      </c>
      <c r="JI1" t="s">
        <v>765</v>
      </c>
      <c r="JJ1" t="s">
        <v>766</v>
      </c>
      <c r="JK1" t="s">
        <v>767</v>
      </c>
      <c r="JL1" t="s">
        <v>768</v>
      </c>
      <c r="JM1" t="s">
        <v>769</v>
      </c>
      <c r="JN1" t="s">
        <v>770</v>
      </c>
      <c r="JO1" t="s">
        <v>771</v>
      </c>
      <c r="JP1" t="s">
        <v>772</v>
      </c>
      <c r="JQ1" t="s">
        <v>773</v>
      </c>
      <c r="JR1" t="s">
        <v>774</v>
      </c>
      <c r="JS1" t="s">
        <v>775</v>
      </c>
      <c r="JT1" t="s">
        <v>776</v>
      </c>
      <c r="JU1" t="s">
        <v>777</v>
      </c>
      <c r="JV1" t="s">
        <v>778</v>
      </c>
      <c r="JW1" t="s">
        <v>779</v>
      </c>
      <c r="JX1" t="s">
        <v>780</v>
      </c>
      <c r="JY1" t="s">
        <v>781</v>
      </c>
      <c r="JZ1" t="s">
        <v>782</v>
      </c>
      <c r="KA1" t="s">
        <v>783</v>
      </c>
      <c r="KB1" t="s">
        <v>784</v>
      </c>
      <c r="KC1" t="s">
        <v>785</v>
      </c>
      <c r="KD1" t="s">
        <v>786</v>
      </c>
      <c r="KE1" t="s">
        <v>787</v>
      </c>
      <c r="KF1" t="s">
        <v>788</v>
      </c>
      <c r="KG1" t="s">
        <v>789</v>
      </c>
      <c r="KH1" t="s">
        <v>790</v>
      </c>
      <c r="KI1" t="s">
        <v>791</v>
      </c>
      <c r="KJ1" t="s">
        <v>792</v>
      </c>
      <c r="KK1" t="s">
        <v>793</v>
      </c>
      <c r="KL1" t="s">
        <v>794</v>
      </c>
      <c r="KM1" t="s">
        <v>795</v>
      </c>
      <c r="KN1" t="s">
        <v>796</v>
      </c>
      <c r="KO1" t="s">
        <v>797</v>
      </c>
      <c r="KP1" t="s">
        <v>798</v>
      </c>
      <c r="KQ1" t="s">
        <v>799</v>
      </c>
      <c r="KR1" t="s">
        <v>800</v>
      </c>
      <c r="KS1" t="s">
        <v>801</v>
      </c>
      <c r="KT1" t="s">
        <v>802</v>
      </c>
      <c r="KU1" t="s">
        <v>803</v>
      </c>
      <c r="KV1" t="s">
        <v>804</v>
      </c>
      <c r="KW1" t="s">
        <v>805</v>
      </c>
      <c r="KX1" t="s">
        <v>806</v>
      </c>
      <c r="KY1" t="s">
        <v>807</v>
      </c>
      <c r="KZ1" t="s">
        <v>808</v>
      </c>
      <c r="LA1" t="s">
        <v>809</v>
      </c>
      <c r="LB1" t="s">
        <v>810</v>
      </c>
      <c r="LC1" t="s">
        <v>811</v>
      </c>
      <c r="LD1" t="s">
        <v>812</v>
      </c>
      <c r="LE1" t="s">
        <v>813</v>
      </c>
      <c r="LF1" t="s">
        <v>814</v>
      </c>
      <c r="LG1" t="s">
        <v>815</v>
      </c>
    </row>
    <row r="2" spans="1:319">
      <c r="A2" s="20" t="s">
        <v>58</v>
      </c>
      <c r="B2">
        <v>1008.2100000000004</v>
      </c>
      <c r="C2">
        <v>19.388653846153854</v>
      </c>
      <c r="D2" s="20" t="s">
        <v>816</v>
      </c>
      <c r="E2" s="20" t="s">
        <v>817</v>
      </c>
      <c r="G2">
        <v>5.45</v>
      </c>
      <c r="I2">
        <v>13.63</v>
      </c>
      <c r="K2">
        <v>8.85</v>
      </c>
      <c r="M2">
        <v>12.09</v>
      </c>
      <c r="N2">
        <v>6.33</v>
      </c>
      <c r="O2">
        <v>8.0399999999999991</v>
      </c>
      <c r="Q2">
        <v>4.84</v>
      </c>
      <c r="S2">
        <v>8.69</v>
      </c>
      <c r="U2">
        <v>5.22</v>
      </c>
      <c r="V2">
        <v>6.13</v>
      </c>
      <c r="W2">
        <v>6.1</v>
      </c>
      <c r="AA2">
        <v>13.19</v>
      </c>
      <c r="AC2">
        <v>10.32</v>
      </c>
      <c r="AD2">
        <v>5.51</v>
      </c>
      <c r="AG2">
        <v>6.92</v>
      </c>
      <c r="AI2">
        <v>8.44</v>
      </c>
      <c r="AN2">
        <v>7.61</v>
      </c>
      <c r="AO2">
        <v>5.25</v>
      </c>
      <c r="AQ2">
        <v>6.04</v>
      </c>
      <c r="AU2">
        <v>7.06</v>
      </c>
      <c r="AW2">
        <v>6.18</v>
      </c>
      <c r="AY2">
        <v>6.59</v>
      </c>
      <c r="BA2">
        <v>6.28</v>
      </c>
      <c r="BC2">
        <v>11.02</v>
      </c>
      <c r="BF2">
        <v>12.61</v>
      </c>
      <c r="BG2">
        <v>7.9</v>
      </c>
      <c r="BK2">
        <v>7.07</v>
      </c>
      <c r="BM2">
        <v>13.83</v>
      </c>
      <c r="BP2">
        <v>6.32</v>
      </c>
      <c r="BQ2">
        <v>7.2</v>
      </c>
      <c r="BS2">
        <v>12.36</v>
      </c>
      <c r="BU2">
        <v>6.27</v>
      </c>
      <c r="BY2">
        <v>6.75</v>
      </c>
      <c r="CB2">
        <v>12.72</v>
      </c>
      <c r="CD2">
        <v>7.03</v>
      </c>
      <c r="CH2">
        <v>7</v>
      </c>
      <c r="CL2">
        <v>14.41</v>
      </c>
      <c r="CO2">
        <v>11.77</v>
      </c>
      <c r="CP2">
        <v>7.63</v>
      </c>
      <c r="CR2">
        <v>5.93</v>
      </c>
      <c r="CU2">
        <v>5.36</v>
      </c>
      <c r="CV2">
        <v>13</v>
      </c>
      <c r="CX2">
        <v>6.87</v>
      </c>
      <c r="CY2">
        <v>6.86</v>
      </c>
      <c r="DA2">
        <v>6.08</v>
      </c>
      <c r="DC2">
        <v>13.39</v>
      </c>
      <c r="DM2">
        <v>11.4</v>
      </c>
      <c r="DO2">
        <v>6.49</v>
      </c>
      <c r="DQ2">
        <v>14.29</v>
      </c>
      <c r="DS2">
        <v>14.38</v>
      </c>
      <c r="DU2">
        <v>6.68</v>
      </c>
      <c r="DW2">
        <v>3.81</v>
      </c>
      <c r="DY2">
        <v>10.25</v>
      </c>
      <c r="DZ2">
        <v>8.52</v>
      </c>
      <c r="EA2">
        <v>5.47</v>
      </c>
      <c r="EC2">
        <v>3.23</v>
      </c>
      <c r="EG2">
        <v>6.18</v>
      </c>
      <c r="EH2">
        <v>6.91</v>
      </c>
      <c r="EI2">
        <v>5.03</v>
      </c>
      <c r="EK2">
        <v>5.86</v>
      </c>
      <c r="EM2">
        <v>5.57</v>
      </c>
      <c r="EO2">
        <v>7.75</v>
      </c>
      <c r="EP2">
        <v>5.68</v>
      </c>
      <c r="ES2">
        <v>2.09</v>
      </c>
      <c r="EU2">
        <v>7.28</v>
      </c>
      <c r="EW2">
        <v>4.8600000000000003</v>
      </c>
      <c r="EY2">
        <v>8.4</v>
      </c>
      <c r="FA2">
        <v>7.63</v>
      </c>
      <c r="FC2">
        <v>7.18</v>
      </c>
      <c r="FE2">
        <v>8.89</v>
      </c>
      <c r="FG2">
        <v>4.3</v>
      </c>
      <c r="FI2">
        <v>2.89</v>
      </c>
      <c r="FM2">
        <v>14.09</v>
      </c>
      <c r="FO2">
        <v>4.38</v>
      </c>
      <c r="FR2">
        <v>5.88</v>
      </c>
      <c r="FU2">
        <v>5.83</v>
      </c>
      <c r="FW2">
        <v>8.11</v>
      </c>
      <c r="GA2">
        <v>11.39</v>
      </c>
      <c r="GC2">
        <v>6.16</v>
      </c>
      <c r="GE2">
        <v>7.19</v>
      </c>
      <c r="GG2">
        <v>9.1</v>
      </c>
      <c r="GI2">
        <v>4.3099999999999898</v>
      </c>
      <c r="GK2">
        <v>3.69</v>
      </c>
      <c r="GN2">
        <v>5.9</v>
      </c>
      <c r="GQ2">
        <v>4.97</v>
      </c>
      <c r="GS2">
        <v>7.4</v>
      </c>
      <c r="GU2">
        <v>5.01</v>
      </c>
      <c r="GW2">
        <v>3.57</v>
      </c>
      <c r="GY2">
        <v>7.97</v>
      </c>
      <c r="HA2">
        <v>6.84</v>
      </c>
      <c r="HB2">
        <v>6.63</v>
      </c>
      <c r="HE2">
        <v>5.98</v>
      </c>
      <c r="HH2">
        <v>4.8099999999999898</v>
      </c>
      <c r="HK2">
        <v>5.85</v>
      </c>
      <c r="HM2">
        <v>8.98</v>
      </c>
      <c r="HO2">
        <v>5.19</v>
      </c>
      <c r="HQ2">
        <v>6.23</v>
      </c>
      <c r="HS2">
        <v>5.19</v>
      </c>
      <c r="HV2">
        <v>5.51</v>
      </c>
      <c r="HZ2">
        <v>5.68</v>
      </c>
      <c r="IA2">
        <v>12.78</v>
      </c>
      <c r="IC2">
        <v>5.94</v>
      </c>
      <c r="IE2">
        <v>7.71</v>
      </c>
      <c r="IG2">
        <v>1.22</v>
      </c>
      <c r="II2">
        <v>7.72</v>
      </c>
      <c r="IJ2">
        <v>7.35</v>
      </c>
      <c r="IM2">
        <v>5.29</v>
      </c>
      <c r="IO2">
        <v>6.5</v>
      </c>
      <c r="IS2">
        <v>5.84</v>
      </c>
      <c r="IU2">
        <v>3.5</v>
      </c>
      <c r="IW2">
        <v>9.33</v>
      </c>
      <c r="IY2">
        <v>6.27</v>
      </c>
      <c r="JA2">
        <v>13.98</v>
      </c>
      <c r="JC2">
        <v>3.26</v>
      </c>
      <c r="JH2">
        <v>5.79</v>
      </c>
      <c r="JK2">
        <v>8.66</v>
      </c>
      <c r="JM2">
        <v>6.2</v>
      </c>
      <c r="JO2">
        <v>5.6</v>
      </c>
      <c r="JQ2">
        <v>4.28</v>
      </c>
      <c r="JV2">
        <v>8.1199999999999903</v>
      </c>
      <c r="JW2">
        <v>5.93</v>
      </c>
      <c r="JY2">
        <v>4.82</v>
      </c>
      <c r="KA2">
        <v>8.48</v>
      </c>
      <c r="KC2">
        <v>7.75</v>
      </c>
      <c r="KE2">
        <v>5.48</v>
      </c>
      <c r="KG2">
        <v>11.36</v>
      </c>
      <c r="KI2">
        <v>7.29</v>
      </c>
      <c r="KK2">
        <v>6.33</v>
      </c>
      <c r="KM2">
        <v>6.65</v>
      </c>
      <c r="KO2">
        <v>8.52</v>
      </c>
      <c r="KQ2">
        <v>6.94</v>
      </c>
      <c r="KV2">
        <v>6.03</v>
      </c>
      <c r="KW2">
        <v>11.75</v>
      </c>
      <c r="KZ2">
        <v>6.7</v>
      </c>
      <c r="LA2">
        <v>5.46</v>
      </c>
      <c r="LE2">
        <v>8.09</v>
      </c>
      <c r="LF2">
        <v>8.2899999999999903</v>
      </c>
    </row>
    <row r="3" spans="1:319">
      <c r="A3" s="20" t="s">
        <v>48</v>
      </c>
      <c r="B3">
        <v>7.37</v>
      </c>
      <c r="C3">
        <v>0.14173076923076924</v>
      </c>
      <c r="D3" s="20" t="s">
        <v>816</v>
      </c>
      <c r="E3" s="20" t="s">
        <v>817</v>
      </c>
      <c r="DF3">
        <v>7.37</v>
      </c>
    </row>
    <row r="4" spans="1:319">
      <c r="A4" s="20" t="s">
        <v>818</v>
      </c>
      <c r="B4">
        <v>438.51999999999992</v>
      </c>
      <c r="C4">
        <v>8.4330769230769214</v>
      </c>
      <c r="D4" s="20" t="s">
        <v>816</v>
      </c>
      <c r="E4" s="20" t="s">
        <v>817</v>
      </c>
      <c r="F4">
        <v>4.5</v>
      </c>
      <c r="K4">
        <v>7.39</v>
      </c>
      <c r="O4">
        <v>6.66</v>
      </c>
      <c r="T4">
        <v>6.96</v>
      </c>
      <c r="X4">
        <v>6.39</v>
      </c>
      <c r="AA4">
        <v>5.32</v>
      </c>
      <c r="AO4">
        <v>7.71</v>
      </c>
      <c r="AT4">
        <v>8.14</v>
      </c>
      <c r="BC4">
        <v>8.16</v>
      </c>
      <c r="BG4">
        <v>7.33</v>
      </c>
      <c r="BK4">
        <v>7.89</v>
      </c>
      <c r="BP4">
        <v>7.87</v>
      </c>
      <c r="BV4">
        <v>6.49</v>
      </c>
      <c r="CB4">
        <v>8.11</v>
      </c>
      <c r="CE4">
        <v>4.51</v>
      </c>
      <c r="CG4">
        <v>7.9</v>
      </c>
      <c r="CK4">
        <v>7.75</v>
      </c>
      <c r="CU4">
        <v>6.33</v>
      </c>
      <c r="CX4">
        <v>4.6500000000000004</v>
      </c>
      <c r="DB4">
        <v>7.9</v>
      </c>
      <c r="DL4">
        <v>5.01</v>
      </c>
      <c r="DO4">
        <v>4.5199999999999898</v>
      </c>
      <c r="DU4">
        <v>7.27</v>
      </c>
      <c r="DX4">
        <v>7.59</v>
      </c>
      <c r="EA4">
        <v>6.25</v>
      </c>
      <c r="ED4">
        <v>4.5999999999999899</v>
      </c>
      <c r="EG4">
        <v>4.91</v>
      </c>
      <c r="EJ4">
        <v>5.03</v>
      </c>
      <c r="EM4">
        <v>4.76</v>
      </c>
      <c r="EP4">
        <v>4.7699999999999898</v>
      </c>
      <c r="ES4">
        <v>4.75</v>
      </c>
      <c r="EW4">
        <v>7.45</v>
      </c>
      <c r="EY4">
        <v>4.12</v>
      </c>
      <c r="FC4">
        <v>6.13</v>
      </c>
      <c r="FE4">
        <v>3.99</v>
      </c>
      <c r="FH4">
        <v>3.12</v>
      </c>
      <c r="FK4">
        <v>4.8499999999999899</v>
      </c>
      <c r="FN4">
        <v>5.07</v>
      </c>
      <c r="FQ4">
        <v>4.9400000000000004</v>
      </c>
      <c r="FU4">
        <v>5.2</v>
      </c>
      <c r="FW4">
        <v>2.57</v>
      </c>
      <c r="FZ4">
        <v>4.58</v>
      </c>
      <c r="GD4">
        <v>5.51</v>
      </c>
      <c r="GI4">
        <v>5.52</v>
      </c>
      <c r="GL4">
        <v>6.4</v>
      </c>
      <c r="GO4">
        <v>3.1</v>
      </c>
      <c r="GR4">
        <v>4.9400000000000004</v>
      </c>
      <c r="GU4">
        <v>4.84</v>
      </c>
      <c r="GX4">
        <v>3.75</v>
      </c>
      <c r="HA4">
        <v>5.87</v>
      </c>
      <c r="HD4">
        <v>3.94</v>
      </c>
      <c r="HH4">
        <v>5.85</v>
      </c>
      <c r="HJ4">
        <v>4.1900000000000004</v>
      </c>
      <c r="HM4">
        <v>4.4000000000000004</v>
      </c>
      <c r="HQ4">
        <v>7.46</v>
      </c>
      <c r="HT4">
        <v>4.13</v>
      </c>
      <c r="HV4">
        <v>4.97</v>
      </c>
      <c r="HZ4">
        <v>5.49</v>
      </c>
      <c r="IC4">
        <v>6.54</v>
      </c>
      <c r="IG4">
        <v>7.58</v>
      </c>
      <c r="IL4">
        <v>7.6</v>
      </c>
      <c r="IO4">
        <v>6.16</v>
      </c>
      <c r="IS4">
        <v>5.21</v>
      </c>
      <c r="IW4">
        <v>7.83</v>
      </c>
      <c r="JA4">
        <v>6</v>
      </c>
      <c r="JE4">
        <v>5.93</v>
      </c>
      <c r="JF4">
        <v>5.3</v>
      </c>
      <c r="JL4">
        <v>7.68</v>
      </c>
      <c r="JO4">
        <v>4.67</v>
      </c>
      <c r="JT4">
        <v>8.99</v>
      </c>
      <c r="JX4">
        <v>5.75</v>
      </c>
      <c r="KK4">
        <v>7.71</v>
      </c>
      <c r="LC4">
        <v>8.0399999999999903</v>
      </c>
      <c r="LG4">
        <v>7.73</v>
      </c>
    </row>
    <row r="5" spans="1:319">
      <c r="A5" s="20" t="s">
        <v>60</v>
      </c>
      <c r="B5">
        <v>18.12</v>
      </c>
      <c r="C5">
        <v>0.34846153846153849</v>
      </c>
      <c r="D5" s="20" t="s">
        <v>816</v>
      </c>
      <c r="E5" s="20" t="s">
        <v>817</v>
      </c>
      <c r="DE5">
        <v>10.99</v>
      </c>
      <c r="DJ5">
        <v>7.13</v>
      </c>
    </row>
    <row r="6" spans="1:319">
      <c r="A6" s="20" t="s">
        <v>61</v>
      </c>
      <c r="B6">
        <v>569.69000000000017</v>
      </c>
      <c r="C6">
        <v>10.955576923076926</v>
      </c>
      <c r="D6" s="20" t="s">
        <v>816</v>
      </c>
      <c r="E6" s="20" t="s">
        <v>817</v>
      </c>
      <c r="G6">
        <v>7.22</v>
      </c>
      <c r="J6">
        <v>7.49</v>
      </c>
      <c r="M6">
        <v>6.41</v>
      </c>
      <c r="P6">
        <v>5.85</v>
      </c>
      <c r="S6">
        <v>6.43</v>
      </c>
      <c r="V6">
        <v>6.78</v>
      </c>
      <c r="AB6">
        <v>7.73</v>
      </c>
      <c r="AD6">
        <v>6.29</v>
      </c>
      <c r="AJ6">
        <v>6.48</v>
      </c>
      <c r="AP6">
        <v>3.15</v>
      </c>
      <c r="AW6">
        <v>7.92</v>
      </c>
      <c r="BF6">
        <v>8.59</v>
      </c>
      <c r="BJ6">
        <v>6.82</v>
      </c>
      <c r="BO6">
        <v>8.43</v>
      </c>
      <c r="BS6">
        <v>8.23</v>
      </c>
      <c r="BU6">
        <v>7.71</v>
      </c>
      <c r="BY6">
        <v>7.62</v>
      </c>
      <c r="CC6">
        <v>5.87</v>
      </c>
      <c r="CF6">
        <v>6.04</v>
      </c>
      <c r="CI6">
        <v>7.08</v>
      </c>
      <c r="CL6">
        <v>7.49</v>
      </c>
      <c r="CO6">
        <v>5.8</v>
      </c>
      <c r="CR6">
        <v>8.1300000000000008</v>
      </c>
      <c r="CT6">
        <v>6.39</v>
      </c>
      <c r="CV6">
        <v>6.93</v>
      </c>
      <c r="DA6">
        <v>8.0299999999999994</v>
      </c>
      <c r="DD6">
        <v>6.29</v>
      </c>
      <c r="DF6">
        <v>17.82</v>
      </c>
      <c r="DJ6">
        <v>8.48</v>
      </c>
      <c r="DM6">
        <v>6.71</v>
      </c>
      <c r="DQ6">
        <v>6.99</v>
      </c>
      <c r="DS6">
        <v>3.65</v>
      </c>
      <c r="DV6">
        <v>3.54</v>
      </c>
      <c r="DY6">
        <v>6.15</v>
      </c>
      <c r="EB6">
        <v>3.66</v>
      </c>
      <c r="EE6">
        <v>8.02</v>
      </c>
      <c r="EH6">
        <v>7.02</v>
      </c>
      <c r="EK6">
        <v>5.4</v>
      </c>
      <c r="EN6">
        <v>7.29</v>
      </c>
      <c r="EQ6">
        <v>5.7</v>
      </c>
      <c r="ET6">
        <v>3.9</v>
      </c>
      <c r="EW6">
        <v>6.9</v>
      </c>
      <c r="EZ6">
        <v>5.29</v>
      </c>
      <c r="FC6">
        <v>5.38</v>
      </c>
      <c r="FF6">
        <v>6.01</v>
      </c>
      <c r="FJ6">
        <v>6.41</v>
      </c>
      <c r="FL6">
        <v>3.3</v>
      </c>
      <c r="FO6">
        <v>6.01</v>
      </c>
      <c r="FS6">
        <v>6.23</v>
      </c>
      <c r="FU6">
        <v>4.43</v>
      </c>
      <c r="FW6">
        <v>5.45</v>
      </c>
      <c r="GA6">
        <v>6.38</v>
      </c>
      <c r="GD6">
        <v>5.0599999999999898</v>
      </c>
      <c r="GG6">
        <v>4.57</v>
      </c>
      <c r="GJ6">
        <v>5.31</v>
      </c>
      <c r="GM6">
        <v>6.44</v>
      </c>
      <c r="GP6">
        <v>5.04</v>
      </c>
      <c r="GS6">
        <v>6.16</v>
      </c>
      <c r="GV6">
        <v>5.7</v>
      </c>
      <c r="GY6">
        <v>6.62</v>
      </c>
      <c r="HB6">
        <v>5.9</v>
      </c>
      <c r="HI6">
        <v>2.86</v>
      </c>
      <c r="HK6">
        <v>4.74</v>
      </c>
      <c r="HN6">
        <v>5.34</v>
      </c>
      <c r="HQ6">
        <v>5.54</v>
      </c>
      <c r="HT6">
        <v>6.52</v>
      </c>
      <c r="HW6">
        <v>6.22</v>
      </c>
      <c r="HZ6">
        <v>5.81</v>
      </c>
      <c r="IC6">
        <v>5.81</v>
      </c>
      <c r="IG6">
        <v>7.07</v>
      </c>
      <c r="II6">
        <v>5.77</v>
      </c>
      <c r="IL6">
        <v>5.21</v>
      </c>
      <c r="IO6">
        <v>3.54</v>
      </c>
      <c r="IR6">
        <v>4.13</v>
      </c>
      <c r="IU6">
        <v>5.85</v>
      </c>
      <c r="IX6">
        <v>3.91</v>
      </c>
      <c r="JA6">
        <v>7.93</v>
      </c>
      <c r="JD6">
        <v>5.34</v>
      </c>
      <c r="JG6">
        <v>5.39</v>
      </c>
      <c r="JJ6">
        <v>6.11</v>
      </c>
      <c r="JM6">
        <v>6.87</v>
      </c>
      <c r="JP6">
        <v>2.92</v>
      </c>
      <c r="JS6">
        <v>6.64</v>
      </c>
      <c r="JV6">
        <v>3.88</v>
      </c>
      <c r="JY6">
        <v>4.9000000000000004</v>
      </c>
      <c r="KB6">
        <v>5.94</v>
      </c>
      <c r="KF6">
        <v>7.28</v>
      </c>
      <c r="KK6">
        <v>4.97</v>
      </c>
      <c r="KN6">
        <v>3.23</v>
      </c>
      <c r="KP6">
        <v>7</v>
      </c>
      <c r="KX6">
        <v>7.54</v>
      </c>
      <c r="LC6">
        <v>7.96</v>
      </c>
      <c r="LF6">
        <v>3.35</v>
      </c>
    </row>
    <row r="7" spans="1:319">
      <c r="A7" s="20" t="s">
        <v>57</v>
      </c>
      <c r="B7">
        <v>14.77</v>
      </c>
      <c r="C7">
        <v>0.28403846153846152</v>
      </c>
      <c r="D7" s="20" t="s">
        <v>816</v>
      </c>
      <c r="E7" s="20" t="s">
        <v>817</v>
      </c>
      <c r="DE7">
        <v>6.86</v>
      </c>
      <c r="DF7">
        <v>7.91</v>
      </c>
    </row>
    <row r="8" spans="1:319">
      <c r="A8" s="20" t="s">
        <v>36</v>
      </c>
      <c r="B8">
        <v>861.41999999999985</v>
      </c>
      <c r="C8">
        <v>16.565769230769227</v>
      </c>
      <c r="D8" s="20" t="s">
        <v>816</v>
      </c>
      <c r="E8" s="20" t="s">
        <v>817</v>
      </c>
      <c r="G8">
        <v>17.579999999999998</v>
      </c>
      <c r="K8">
        <v>8.17</v>
      </c>
      <c r="M8">
        <v>13.66</v>
      </c>
      <c r="P8">
        <v>8.8800000000000008</v>
      </c>
      <c r="S8">
        <v>17.71</v>
      </c>
      <c r="W8">
        <v>8.1</v>
      </c>
      <c r="Y8">
        <v>3.91</v>
      </c>
      <c r="Z8">
        <v>7.61</v>
      </c>
      <c r="AB8">
        <v>7.7</v>
      </c>
      <c r="AG8">
        <v>8.06</v>
      </c>
      <c r="AI8">
        <v>6.38</v>
      </c>
      <c r="AK8">
        <v>9.34</v>
      </c>
      <c r="AO8">
        <v>8.07</v>
      </c>
      <c r="AQ8">
        <v>8.0500000000000007</v>
      </c>
      <c r="AW8">
        <v>8.1999999999999993</v>
      </c>
      <c r="AY8">
        <v>8.0500000000000007</v>
      </c>
      <c r="BA8">
        <v>7.29</v>
      </c>
      <c r="BC8">
        <v>7.89</v>
      </c>
      <c r="BG8">
        <v>5.47</v>
      </c>
      <c r="BJ8">
        <v>8.11</v>
      </c>
      <c r="BL8">
        <v>8.5500000000000007</v>
      </c>
      <c r="BN8">
        <v>9.43</v>
      </c>
      <c r="BS8">
        <v>6.4</v>
      </c>
      <c r="BU8">
        <v>9.59</v>
      </c>
      <c r="BV8">
        <v>9.24</v>
      </c>
      <c r="BY8">
        <v>8.3800000000000008</v>
      </c>
      <c r="CA8">
        <v>8.3000000000000007</v>
      </c>
      <c r="CB8">
        <v>8.3800000000000008</v>
      </c>
      <c r="CI8">
        <v>8.06</v>
      </c>
      <c r="CJ8">
        <v>9.01</v>
      </c>
      <c r="CO8">
        <v>7.16</v>
      </c>
      <c r="CR8">
        <v>9.43</v>
      </c>
      <c r="CU8">
        <v>8.6199999999999992</v>
      </c>
      <c r="CV8">
        <v>6.96</v>
      </c>
      <c r="CX8">
        <v>6.13</v>
      </c>
      <c r="CZ8">
        <v>17.2</v>
      </c>
      <c r="DF8">
        <v>8.06</v>
      </c>
      <c r="DJ8">
        <v>9.36</v>
      </c>
      <c r="DM8">
        <v>17.190000000000001</v>
      </c>
      <c r="DP8">
        <v>8.48</v>
      </c>
      <c r="DS8">
        <v>12.9</v>
      </c>
      <c r="DV8">
        <v>8.14</v>
      </c>
      <c r="DY8">
        <v>15.98</v>
      </c>
      <c r="EC8">
        <v>7.43</v>
      </c>
      <c r="EE8">
        <v>13.38</v>
      </c>
      <c r="EI8">
        <v>5.62</v>
      </c>
      <c r="EK8">
        <v>14.07</v>
      </c>
      <c r="EN8">
        <v>9.2799999999999905</v>
      </c>
      <c r="EQ8">
        <v>8.76</v>
      </c>
      <c r="ES8">
        <v>7.77</v>
      </c>
      <c r="EW8">
        <v>5.71</v>
      </c>
      <c r="EX8">
        <v>9.06</v>
      </c>
      <c r="EZ8">
        <v>7.66</v>
      </c>
      <c r="FB8">
        <v>8.77</v>
      </c>
      <c r="FD8">
        <v>8.99</v>
      </c>
      <c r="FF8">
        <v>7.79</v>
      </c>
      <c r="FH8">
        <v>8.74</v>
      </c>
      <c r="FI8">
        <v>6.68</v>
      </c>
      <c r="FL8">
        <v>6.45</v>
      </c>
      <c r="FO8">
        <v>9.8699999999999903</v>
      </c>
      <c r="FS8">
        <v>7.41</v>
      </c>
      <c r="FU8">
        <v>6.42</v>
      </c>
      <c r="FW8">
        <v>7.37</v>
      </c>
      <c r="GA8">
        <v>10.93</v>
      </c>
      <c r="GK8">
        <v>5.92</v>
      </c>
      <c r="GM8">
        <v>8.31</v>
      </c>
      <c r="GT8">
        <v>12.1</v>
      </c>
      <c r="GW8">
        <v>3.31</v>
      </c>
      <c r="GZ8">
        <v>13.27</v>
      </c>
      <c r="HH8">
        <v>5.77</v>
      </c>
      <c r="HK8">
        <v>11.06</v>
      </c>
      <c r="HN8">
        <v>3.64</v>
      </c>
      <c r="HQ8">
        <v>11.47</v>
      </c>
      <c r="HT8">
        <v>9.07</v>
      </c>
      <c r="HU8">
        <v>5.71</v>
      </c>
      <c r="HW8">
        <v>9.09</v>
      </c>
      <c r="HZ8">
        <v>7.62</v>
      </c>
      <c r="IC8">
        <v>13.92</v>
      </c>
      <c r="IG8">
        <v>5.77</v>
      </c>
      <c r="IH8">
        <v>7.13</v>
      </c>
      <c r="II8">
        <v>2.57</v>
      </c>
      <c r="IJ8">
        <v>6.51</v>
      </c>
      <c r="IM8">
        <v>5.94</v>
      </c>
      <c r="IO8">
        <v>7.23</v>
      </c>
      <c r="IR8">
        <v>6.33</v>
      </c>
      <c r="IU8">
        <v>7.3</v>
      </c>
      <c r="JA8">
        <v>7.39</v>
      </c>
      <c r="JB8">
        <v>7.24</v>
      </c>
      <c r="JG8">
        <v>4.8499999999999899</v>
      </c>
      <c r="JJ8">
        <v>4.12</v>
      </c>
      <c r="JM8">
        <v>3.47</v>
      </c>
      <c r="JN8">
        <v>4.24</v>
      </c>
      <c r="JQ8">
        <v>2.92</v>
      </c>
      <c r="JU8">
        <v>6.96</v>
      </c>
      <c r="JX8">
        <v>10.72</v>
      </c>
      <c r="KC8">
        <v>5.53</v>
      </c>
      <c r="KF8">
        <v>6.84</v>
      </c>
      <c r="KL8">
        <v>5.56</v>
      </c>
      <c r="KN8">
        <v>8.42</v>
      </c>
      <c r="KR8">
        <v>7.04</v>
      </c>
      <c r="KU8">
        <v>8.6999999999999904</v>
      </c>
      <c r="KX8">
        <v>7.32</v>
      </c>
      <c r="LA8">
        <v>6.53</v>
      </c>
      <c r="LD8">
        <v>7.19</v>
      </c>
    </row>
    <row r="9" spans="1:319">
      <c r="A9" s="20" t="s">
        <v>103</v>
      </c>
      <c r="B9">
        <v>28.28</v>
      </c>
      <c r="C9">
        <v>0.54384615384615387</v>
      </c>
      <c r="D9" s="20" t="s">
        <v>816</v>
      </c>
      <c r="E9" s="20" t="s">
        <v>817</v>
      </c>
      <c r="DF9">
        <v>8.84</v>
      </c>
      <c r="DJ9">
        <v>7.44</v>
      </c>
      <c r="HE9">
        <v>12</v>
      </c>
    </row>
    <row r="10" spans="1:319">
      <c r="A10" s="20" t="s">
        <v>55</v>
      </c>
      <c r="B10">
        <v>1256.5700000000002</v>
      </c>
      <c r="C10">
        <v>24.164807692307697</v>
      </c>
      <c r="D10" s="20" t="s">
        <v>816</v>
      </c>
      <c r="E10" s="20" t="s">
        <v>817</v>
      </c>
      <c r="F10">
        <v>6.59</v>
      </c>
      <c r="G10">
        <v>7.06</v>
      </c>
      <c r="I10">
        <v>13.3</v>
      </c>
      <c r="K10">
        <v>5.71</v>
      </c>
      <c r="L10">
        <v>5.96</v>
      </c>
      <c r="N10">
        <v>16.43</v>
      </c>
      <c r="Q10">
        <v>15.76</v>
      </c>
      <c r="T10">
        <v>7.25</v>
      </c>
      <c r="U10">
        <v>7.38</v>
      </c>
      <c r="Y10">
        <v>12.54</v>
      </c>
      <c r="Z10">
        <v>6.07</v>
      </c>
      <c r="AB10">
        <v>13.93</v>
      </c>
      <c r="AD10">
        <v>6.68</v>
      </c>
      <c r="AG10">
        <v>17.32</v>
      </c>
      <c r="AJ10">
        <v>6.28</v>
      </c>
      <c r="AK10">
        <v>7.91</v>
      </c>
      <c r="AL10">
        <v>4.7</v>
      </c>
      <c r="AP10">
        <v>8.5399999999999991</v>
      </c>
      <c r="AQ10">
        <v>10.35</v>
      </c>
      <c r="AW10">
        <v>7.4</v>
      </c>
      <c r="AX10">
        <v>12.61</v>
      </c>
      <c r="AZ10">
        <v>3.69</v>
      </c>
      <c r="BC10">
        <v>8.3000000000000007</v>
      </c>
      <c r="BH10">
        <v>8.4600000000000009</v>
      </c>
      <c r="BI10">
        <v>8.69</v>
      </c>
      <c r="BJ10">
        <v>7.33</v>
      </c>
      <c r="BO10">
        <v>14.05</v>
      </c>
      <c r="BQ10">
        <v>9.52</v>
      </c>
      <c r="BS10">
        <v>8.58</v>
      </c>
      <c r="BT10">
        <v>18.190000000000001</v>
      </c>
      <c r="BY10">
        <v>7.98</v>
      </c>
      <c r="CB10">
        <v>7.7</v>
      </c>
      <c r="CC10">
        <v>13.26</v>
      </c>
      <c r="CF10">
        <v>6.6</v>
      </c>
      <c r="CJ10">
        <v>13.96</v>
      </c>
      <c r="CL10">
        <v>0.01</v>
      </c>
      <c r="CM10">
        <v>6.73</v>
      </c>
      <c r="CP10">
        <v>9.07</v>
      </c>
      <c r="CS10">
        <v>8.91</v>
      </c>
      <c r="CU10">
        <v>8.35</v>
      </c>
      <c r="CV10">
        <v>8.27</v>
      </c>
      <c r="CX10">
        <v>8.09</v>
      </c>
      <c r="DB10">
        <v>16.28</v>
      </c>
      <c r="DE10">
        <v>5.28</v>
      </c>
      <c r="DG10">
        <v>6.49</v>
      </c>
      <c r="DL10">
        <v>6.32</v>
      </c>
      <c r="DN10">
        <v>6.58</v>
      </c>
      <c r="DQ10">
        <v>7.91</v>
      </c>
      <c r="DS10">
        <v>8.2200000000000006</v>
      </c>
      <c r="DT10">
        <v>7.87</v>
      </c>
      <c r="DU10">
        <v>4.8099999999999898</v>
      </c>
      <c r="DV10">
        <v>0.86</v>
      </c>
      <c r="DW10">
        <v>1.8</v>
      </c>
      <c r="DX10">
        <v>15.89</v>
      </c>
      <c r="DY10">
        <v>6.83</v>
      </c>
      <c r="DZ10">
        <v>4.2300000000000004</v>
      </c>
      <c r="EC10">
        <v>19.86</v>
      </c>
      <c r="EE10">
        <v>4.87</v>
      </c>
      <c r="EG10">
        <v>6.62</v>
      </c>
      <c r="EH10">
        <v>5.41</v>
      </c>
      <c r="EI10">
        <v>4.6500000000000004</v>
      </c>
      <c r="EJ10">
        <v>7.66</v>
      </c>
      <c r="EK10">
        <v>2.64</v>
      </c>
      <c r="EN10">
        <v>7.48</v>
      </c>
      <c r="EO10">
        <v>2.25</v>
      </c>
      <c r="EP10">
        <v>5.8</v>
      </c>
      <c r="ER10">
        <v>7.78</v>
      </c>
      <c r="ET10">
        <v>5.19</v>
      </c>
      <c r="EU10">
        <v>4.24</v>
      </c>
      <c r="EV10">
        <v>7.25</v>
      </c>
      <c r="EY10">
        <v>7.95</v>
      </c>
      <c r="FA10">
        <v>7.15</v>
      </c>
      <c r="FB10">
        <v>7.41</v>
      </c>
      <c r="FD10">
        <v>8.15</v>
      </c>
      <c r="FE10">
        <v>6.52</v>
      </c>
      <c r="FF10">
        <v>2.29</v>
      </c>
      <c r="FG10">
        <v>2.19</v>
      </c>
      <c r="FH10">
        <v>6.36</v>
      </c>
      <c r="FJ10">
        <v>6.28</v>
      </c>
      <c r="FL10">
        <v>16.27</v>
      </c>
      <c r="FO10">
        <v>7.6</v>
      </c>
      <c r="FP10">
        <v>7.13</v>
      </c>
      <c r="FS10">
        <v>8.73</v>
      </c>
      <c r="FU10">
        <v>7.49</v>
      </c>
      <c r="FX10">
        <v>8.06</v>
      </c>
      <c r="FY10">
        <v>5.66</v>
      </c>
      <c r="FZ10">
        <v>6.31</v>
      </c>
      <c r="GC10">
        <v>16.38</v>
      </c>
      <c r="GD10">
        <v>4.7300000000000004</v>
      </c>
      <c r="GE10">
        <v>4.74</v>
      </c>
      <c r="GG10">
        <v>7.66</v>
      </c>
      <c r="GH10">
        <v>8.4</v>
      </c>
      <c r="GJ10">
        <v>6.14</v>
      </c>
      <c r="GM10">
        <v>7.82</v>
      </c>
      <c r="GP10">
        <v>8.8800000000000008</v>
      </c>
      <c r="GQ10">
        <v>4.87</v>
      </c>
      <c r="GS10">
        <v>9.7100000000000009</v>
      </c>
      <c r="GT10">
        <v>7.62</v>
      </c>
      <c r="GX10">
        <v>3.42</v>
      </c>
      <c r="GY10">
        <v>7.13</v>
      </c>
      <c r="GZ10">
        <v>5.87</v>
      </c>
      <c r="HA10">
        <v>6.82</v>
      </c>
      <c r="HC10">
        <v>7.92</v>
      </c>
      <c r="HF10">
        <v>12.14</v>
      </c>
      <c r="HI10">
        <v>7.61</v>
      </c>
      <c r="HK10">
        <v>8.09</v>
      </c>
      <c r="HL10">
        <v>13.88</v>
      </c>
      <c r="HN10">
        <v>4.58</v>
      </c>
      <c r="HO10">
        <v>6.19</v>
      </c>
      <c r="HQ10">
        <v>11.71</v>
      </c>
      <c r="HR10">
        <v>7.12</v>
      </c>
      <c r="HV10">
        <v>7.57</v>
      </c>
      <c r="HW10">
        <v>8.51</v>
      </c>
      <c r="HZ10">
        <v>7.35</v>
      </c>
      <c r="IA10">
        <v>12.08</v>
      </c>
      <c r="IC10">
        <v>16.45</v>
      </c>
      <c r="IE10">
        <v>15.72</v>
      </c>
      <c r="IG10">
        <v>10.46</v>
      </c>
      <c r="IH10">
        <v>5.95</v>
      </c>
      <c r="II10">
        <v>5.28</v>
      </c>
      <c r="IM10">
        <v>13.9</v>
      </c>
      <c r="IQ10">
        <v>9.3800000000000008</v>
      </c>
      <c r="IS10">
        <v>4.22</v>
      </c>
      <c r="IT10">
        <v>4.87</v>
      </c>
      <c r="IW10">
        <v>7.93</v>
      </c>
      <c r="IZ10">
        <v>6.66</v>
      </c>
      <c r="JB10">
        <v>5.27</v>
      </c>
      <c r="JC10">
        <v>5.55</v>
      </c>
      <c r="JD10">
        <v>6.89</v>
      </c>
      <c r="JF10">
        <v>9.91</v>
      </c>
      <c r="JJ10">
        <v>16.100000000000001</v>
      </c>
      <c r="JL10">
        <v>4.28</v>
      </c>
      <c r="JM10">
        <v>6.54</v>
      </c>
      <c r="JO10">
        <v>6.4</v>
      </c>
      <c r="JR10">
        <v>5.53</v>
      </c>
      <c r="JS10">
        <v>8.16</v>
      </c>
      <c r="JU10">
        <v>9.25</v>
      </c>
      <c r="JW10">
        <v>7.01</v>
      </c>
      <c r="JX10">
        <v>8.58</v>
      </c>
      <c r="JY10">
        <v>2.25</v>
      </c>
      <c r="KF10">
        <v>6.87</v>
      </c>
      <c r="KG10">
        <v>8.27</v>
      </c>
      <c r="KJ10">
        <v>6.74</v>
      </c>
      <c r="KO10">
        <v>15.63</v>
      </c>
      <c r="KP10">
        <v>16.350000000000001</v>
      </c>
      <c r="KS10">
        <v>8.18</v>
      </c>
      <c r="KU10">
        <v>5.72</v>
      </c>
      <c r="KV10">
        <v>8.92</v>
      </c>
      <c r="LA10">
        <v>18.600000000000001</v>
      </c>
      <c r="LB10">
        <v>9.66</v>
      </c>
      <c r="LG10">
        <v>26.02</v>
      </c>
    </row>
    <row r="11" spans="1:319">
      <c r="A11" s="20" t="s">
        <v>104</v>
      </c>
      <c r="B11">
        <v>37.070000000000007</v>
      </c>
      <c r="C11">
        <v>0.71288461538461556</v>
      </c>
      <c r="D11" s="20" t="s">
        <v>816</v>
      </c>
      <c r="E11" s="20" t="s">
        <v>817</v>
      </c>
      <c r="DE11">
        <v>14.51</v>
      </c>
      <c r="DG11">
        <v>12.91</v>
      </c>
      <c r="FT11">
        <v>8.1300000000000008</v>
      </c>
      <c r="KB11">
        <v>1.52</v>
      </c>
    </row>
    <row r="12" spans="1:319">
      <c r="A12" s="20" t="s">
        <v>43</v>
      </c>
      <c r="B12">
        <v>505.70999999999992</v>
      </c>
      <c r="C12">
        <v>9.725192307692307</v>
      </c>
      <c r="D12" s="20" t="s">
        <v>816</v>
      </c>
      <c r="E12" s="20" t="s">
        <v>817</v>
      </c>
      <c r="G12">
        <v>4.8899999999999997</v>
      </c>
      <c r="K12">
        <v>7.66</v>
      </c>
      <c r="M12">
        <v>4.88</v>
      </c>
      <c r="Q12">
        <v>7.52</v>
      </c>
      <c r="S12">
        <v>5.91</v>
      </c>
      <c r="W12">
        <v>7.51</v>
      </c>
      <c r="Y12">
        <v>5.49</v>
      </c>
      <c r="AC12">
        <v>7.51</v>
      </c>
      <c r="AD12">
        <v>10.42</v>
      </c>
      <c r="AJ12">
        <v>10.47</v>
      </c>
      <c r="AP12">
        <v>7.96</v>
      </c>
      <c r="AV12">
        <v>10.41</v>
      </c>
      <c r="BB12">
        <v>6.97</v>
      </c>
      <c r="BP12">
        <v>7.45</v>
      </c>
      <c r="BU12">
        <v>8.57</v>
      </c>
      <c r="CL12">
        <v>8.84</v>
      </c>
      <c r="CU12">
        <v>10.050000000000001</v>
      </c>
      <c r="DA12">
        <v>5.54</v>
      </c>
      <c r="DF12">
        <v>5.18</v>
      </c>
      <c r="DJ12">
        <v>8.41</v>
      </c>
      <c r="DM12">
        <v>5.04</v>
      </c>
      <c r="DQ12">
        <v>6.35</v>
      </c>
      <c r="DS12">
        <v>4.72</v>
      </c>
      <c r="DW12">
        <v>7.68</v>
      </c>
      <c r="DZ12">
        <v>8.17</v>
      </c>
      <c r="EC12">
        <v>5.23</v>
      </c>
      <c r="EE12">
        <v>4.84</v>
      </c>
      <c r="EI12">
        <v>6.87</v>
      </c>
      <c r="EK12">
        <v>5</v>
      </c>
      <c r="EO12">
        <v>6.91</v>
      </c>
      <c r="EQ12">
        <v>5.14</v>
      </c>
      <c r="EU12">
        <v>6.17</v>
      </c>
      <c r="EW12">
        <v>5.15</v>
      </c>
      <c r="FA12">
        <v>6.65</v>
      </c>
      <c r="FD12">
        <v>7.2</v>
      </c>
      <c r="FG12">
        <v>4.92</v>
      </c>
      <c r="FI12">
        <v>5.29</v>
      </c>
      <c r="FL12">
        <v>4.8600000000000003</v>
      </c>
      <c r="FO12">
        <v>5.0199999999999898</v>
      </c>
      <c r="FS12">
        <v>5.76</v>
      </c>
      <c r="FU12">
        <v>4.38</v>
      </c>
      <c r="GA12">
        <v>5.3</v>
      </c>
      <c r="GE12">
        <v>6.93</v>
      </c>
      <c r="GK12">
        <v>6.11</v>
      </c>
      <c r="GM12">
        <v>4.71</v>
      </c>
      <c r="GQ12">
        <v>5.88</v>
      </c>
      <c r="GV12">
        <v>8.5399999999999903</v>
      </c>
      <c r="GW12">
        <v>1.62</v>
      </c>
      <c r="GY12">
        <v>9.8699999999999903</v>
      </c>
      <c r="HC12">
        <v>6.74</v>
      </c>
      <c r="HE12">
        <v>5.94</v>
      </c>
      <c r="HI12">
        <v>6.42</v>
      </c>
      <c r="HK12">
        <v>4.67</v>
      </c>
      <c r="HO12">
        <v>6.85</v>
      </c>
      <c r="HU12">
        <v>6.39</v>
      </c>
      <c r="HW12">
        <v>4.7</v>
      </c>
      <c r="IA12">
        <v>8.07</v>
      </c>
      <c r="IC12">
        <v>4.3899999999999899</v>
      </c>
      <c r="IG12">
        <v>7.06</v>
      </c>
      <c r="IM12">
        <v>6.65</v>
      </c>
      <c r="IO12">
        <v>6.35</v>
      </c>
      <c r="IS12">
        <v>8.16</v>
      </c>
      <c r="JA12">
        <v>5.87</v>
      </c>
      <c r="JE12">
        <v>7.12</v>
      </c>
      <c r="JG12">
        <v>5.67</v>
      </c>
      <c r="JK12">
        <v>6.59</v>
      </c>
      <c r="JM12">
        <v>5.55</v>
      </c>
      <c r="JQ12">
        <v>5.67</v>
      </c>
      <c r="JS12">
        <v>5.64</v>
      </c>
      <c r="JW12">
        <v>6.53</v>
      </c>
      <c r="JY12">
        <v>5.36</v>
      </c>
      <c r="KE12">
        <v>4.3</v>
      </c>
      <c r="KK12">
        <v>4.59</v>
      </c>
      <c r="KO12">
        <v>7</v>
      </c>
      <c r="KQ12">
        <v>10.88</v>
      </c>
      <c r="KV12">
        <v>7.66</v>
      </c>
      <c r="LC12">
        <v>4.8</v>
      </c>
      <c r="LG12">
        <v>8.14</v>
      </c>
    </row>
    <row r="13" spans="1:319">
      <c r="A13" s="20" t="s">
        <v>65</v>
      </c>
      <c r="B13">
        <v>775.78999999999974</v>
      </c>
      <c r="C13">
        <v>14.919038461538456</v>
      </c>
      <c r="D13" s="20" t="s">
        <v>816</v>
      </c>
      <c r="E13" s="20" t="s">
        <v>817</v>
      </c>
      <c r="AD13">
        <v>12.2</v>
      </c>
      <c r="AH13">
        <v>10.16</v>
      </c>
      <c r="AJ13">
        <v>11.57</v>
      </c>
      <c r="AN13">
        <v>11.13</v>
      </c>
      <c r="AP13">
        <v>10.82</v>
      </c>
      <c r="AS13">
        <v>8.7200000000000006</v>
      </c>
      <c r="AV13">
        <v>8.5299999999999994</v>
      </c>
      <c r="AY13">
        <v>10.72</v>
      </c>
      <c r="BB13">
        <v>10.16</v>
      </c>
      <c r="BH13">
        <v>10.94</v>
      </c>
      <c r="BK13">
        <v>10.31</v>
      </c>
      <c r="BN13">
        <v>10.67</v>
      </c>
      <c r="BQ13">
        <v>9.15</v>
      </c>
      <c r="BS13">
        <v>9.56</v>
      </c>
      <c r="BT13">
        <v>9.4700000000000006</v>
      </c>
      <c r="BW13">
        <v>9.5500000000000007</v>
      </c>
      <c r="CA13">
        <v>11.95</v>
      </c>
      <c r="CC13">
        <v>7.84</v>
      </c>
      <c r="CE13">
        <v>5.12</v>
      </c>
      <c r="CG13">
        <v>6.86</v>
      </c>
      <c r="CJ13">
        <v>8.7100000000000009</v>
      </c>
      <c r="CM13">
        <v>6.72</v>
      </c>
      <c r="CS13">
        <v>9.2799999999999994</v>
      </c>
      <c r="CV13">
        <v>8.7100000000000009</v>
      </c>
      <c r="CY13">
        <v>8.4700000000000006</v>
      </c>
      <c r="DB13">
        <v>11.03</v>
      </c>
      <c r="DG13">
        <v>8.9600000000000009</v>
      </c>
      <c r="DR13">
        <v>7.5</v>
      </c>
      <c r="DT13">
        <v>6.29</v>
      </c>
      <c r="EN13">
        <v>9.67</v>
      </c>
      <c r="EP13">
        <v>8.7200000000000006</v>
      </c>
      <c r="FO13">
        <v>9.6199999999999903</v>
      </c>
      <c r="FS13">
        <v>9.67</v>
      </c>
      <c r="FT13">
        <v>6.45</v>
      </c>
      <c r="FY13">
        <v>5.73</v>
      </c>
      <c r="GB13">
        <v>9.1199999999999903</v>
      </c>
      <c r="GD13">
        <v>6.59</v>
      </c>
      <c r="GF13">
        <v>8.1300000000000008</v>
      </c>
      <c r="GH13">
        <v>6.2</v>
      </c>
      <c r="GJ13">
        <v>6.88</v>
      </c>
      <c r="GL13">
        <v>7.8</v>
      </c>
      <c r="GN13">
        <v>4.84</v>
      </c>
      <c r="GO13">
        <v>9.57</v>
      </c>
      <c r="GR13">
        <v>9.48</v>
      </c>
      <c r="GT13">
        <v>7.12</v>
      </c>
      <c r="GW13">
        <v>9.8000000000000007</v>
      </c>
      <c r="GX13">
        <v>7.39</v>
      </c>
      <c r="GZ13">
        <v>7.24</v>
      </c>
      <c r="HB13">
        <v>7.09</v>
      </c>
      <c r="HD13">
        <v>8.0299999999999905</v>
      </c>
      <c r="HH13">
        <v>5.12</v>
      </c>
      <c r="HJ13">
        <v>9.09</v>
      </c>
      <c r="HN13">
        <v>5.78</v>
      </c>
      <c r="HP13">
        <v>7.77</v>
      </c>
      <c r="HR13">
        <v>7.34</v>
      </c>
      <c r="HW13">
        <v>9.6199999999999903</v>
      </c>
      <c r="HX13">
        <v>4.95</v>
      </c>
      <c r="HZ13">
        <v>6.23</v>
      </c>
      <c r="ID13">
        <v>5.87</v>
      </c>
      <c r="IF13">
        <v>6.3</v>
      </c>
      <c r="IH13">
        <v>7.66</v>
      </c>
      <c r="IJ13">
        <v>7.35</v>
      </c>
      <c r="IL13">
        <v>5.91</v>
      </c>
      <c r="IN13">
        <v>8.2200000000000006</v>
      </c>
      <c r="IP13">
        <v>7.01</v>
      </c>
      <c r="IR13">
        <v>5.43</v>
      </c>
      <c r="IV13">
        <v>6.92</v>
      </c>
      <c r="IX13">
        <v>10.66</v>
      </c>
      <c r="IZ13">
        <v>7.67</v>
      </c>
      <c r="JB13">
        <v>5.47</v>
      </c>
      <c r="JD13">
        <v>5.86</v>
      </c>
      <c r="JF13">
        <v>9.1999999999999904</v>
      </c>
      <c r="JH13">
        <v>6.31</v>
      </c>
      <c r="JJ13">
        <v>8.17</v>
      </c>
      <c r="JL13">
        <v>8.9499999999999904</v>
      </c>
      <c r="JN13">
        <v>8.2899999999999903</v>
      </c>
      <c r="JP13">
        <v>5.78</v>
      </c>
      <c r="JR13">
        <v>9.02</v>
      </c>
      <c r="JT13">
        <v>5.9</v>
      </c>
      <c r="JV13">
        <v>5.66</v>
      </c>
      <c r="JX13">
        <v>8.64</v>
      </c>
      <c r="JZ13">
        <v>6.79</v>
      </c>
      <c r="KB13">
        <v>6.59</v>
      </c>
      <c r="KD13">
        <v>8.61</v>
      </c>
      <c r="KF13">
        <v>3.85</v>
      </c>
      <c r="KH13">
        <v>7.42</v>
      </c>
      <c r="KL13">
        <v>11.26</v>
      </c>
      <c r="KN13">
        <v>10.61</v>
      </c>
      <c r="KP13">
        <v>9.43</v>
      </c>
      <c r="KS13">
        <v>10.73</v>
      </c>
      <c r="KV13">
        <v>10.15</v>
      </c>
      <c r="KY13">
        <v>9.27</v>
      </c>
      <c r="LB13">
        <v>9.44</v>
      </c>
      <c r="LD13">
        <v>6.76</v>
      </c>
      <c r="LF13">
        <v>6.49</v>
      </c>
    </row>
    <row r="14" spans="1:319">
      <c r="A14" s="20" t="s">
        <v>44</v>
      </c>
      <c r="B14">
        <v>1547.6899999999998</v>
      </c>
      <c r="C14">
        <v>29.763269230769229</v>
      </c>
      <c r="D14" s="20" t="s">
        <v>816</v>
      </c>
      <c r="E14" s="20" t="s">
        <v>817</v>
      </c>
      <c r="F14">
        <v>7.95</v>
      </c>
      <c r="G14">
        <v>7.68</v>
      </c>
      <c r="H14">
        <v>8.23</v>
      </c>
      <c r="J14">
        <v>7.31</v>
      </c>
      <c r="K14">
        <v>8.1199999999999992</v>
      </c>
      <c r="L14">
        <v>8.8000000000000007</v>
      </c>
      <c r="N14">
        <v>8.6</v>
      </c>
      <c r="P14">
        <v>8.1999999999999993</v>
      </c>
      <c r="S14">
        <v>6.76</v>
      </c>
      <c r="U14">
        <v>17.8</v>
      </c>
      <c r="W14">
        <v>16.96</v>
      </c>
      <c r="X14">
        <v>9.31</v>
      </c>
      <c r="Z14">
        <v>13.21</v>
      </c>
      <c r="AC14">
        <v>16.95</v>
      </c>
      <c r="AD14">
        <v>9.93</v>
      </c>
      <c r="AF14">
        <v>18.940000000000001</v>
      </c>
      <c r="AJ14">
        <v>16.59</v>
      </c>
      <c r="AK14">
        <v>8.76</v>
      </c>
      <c r="AO14">
        <v>15.73</v>
      </c>
      <c r="AS14">
        <v>7.99</v>
      </c>
      <c r="AU14">
        <v>18.579999999999998</v>
      </c>
      <c r="AV14">
        <v>7.13</v>
      </c>
      <c r="AW14">
        <v>16.95</v>
      </c>
      <c r="BA14">
        <v>8.73</v>
      </c>
      <c r="BB14">
        <v>18.55</v>
      </c>
      <c r="BD14">
        <v>8.3699999999999992</v>
      </c>
      <c r="BG14">
        <v>7.55</v>
      </c>
      <c r="BJ14">
        <v>8.7899999999999991</v>
      </c>
      <c r="BL14">
        <v>14.69</v>
      </c>
      <c r="BO14">
        <v>6.71</v>
      </c>
      <c r="BP14">
        <v>7.04</v>
      </c>
      <c r="BQ14">
        <v>10.7</v>
      </c>
      <c r="BT14">
        <v>9.0299999999999994</v>
      </c>
      <c r="CB14">
        <v>7.06</v>
      </c>
      <c r="CC14">
        <v>8.7899999999999991</v>
      </c>
      <c r="CE14">
        <v>4.9400000000000004</v>
      </c>
      <c r="CF14">
        <v>7.09</v>
      </c>
      <c r="CG14">
        <v>8.59</v>
      </c>
      <c r="CH14">
        <v>27.61</v>
      </c>
      <c r="CN14">
        <v>20.98</v>
      </c>
      <c r="CQ14">
        <v>8.26</v>
      </c>
      <c r="CT14">
        <v>8.44</v>
      </c>
      <c r="CU14">
        <v>8.85</v>
      </c>
      <c r="CV14">
        <v>12.45</v>
      </c>
      <c r="CY14">
        <v>15.92</v>
      </c>
      <c r="CZ14">
        <v>8.18</v>
      </c>
      <c r="DC14">
        <v>8.2799999999999994</v>
      </c>
      <c r="DD14">
        <v>16.87</v>
      </c>
      <c r="DG14">
        <v>6.78</v>
      </c>
      <c r="DM14">
        <v>7.94</v>
      </c>
      <c r="DN14">
        <v>18.649999999999899</v>
      </c>
      <c r="DP14">
        <v>6.63</v>
      </c>
      <c r="DS14">
        <v>14</v>
      </c>
      <c r="DT14">
        <v>8.48</v>
      </c>
      <c r="DW14">
        <v>7.21</v>
      </c>
      <c r="DZ14">
        <v>18.59</v>
      </c>
      <c r="EC14">
        <v>15</v>
      </c>
      <c r="EE14">
        <v>8.3699999999999903</v>
      </c>
      <c r="EF14">
        <v>15.06</v>
      </c>
      <c r="EG14">
        <v>8.61</v>
      </c>
      <c r="EI14">
        <v>15.08</v>
      </c>
      <c r="EL14">
        <v>7.73</v>
      </c>
      <c r="EN14">
        <v>7.99</v>
      </c>
      <c r="EO14">
        <v>9.52</v>
      </c>
      <c r="EP14">
        <v>8.8000000000000007</v>
      </c>
      <c r="ES14">
        <v>7.88</v>
      </c>
      <c r="ET14">
        <v>17.510000000000002</v>
      </c>
      <c r="EW14">
        <v>8.8800000000000008</v>
      </c>
      <c r="EX14">
        <v>8.65</v>
      </c>
      <c r="EY14">
        <v>8.42</v>
      </c>
      <c r="FA14">
        <v>7.26</v>
      </c>
      <c r="FC14">
        <v>7.29</v>
      </c>
      <c r="FD14">
        <v>17.63</v>
      </c>
      <c r="FG14">
        <v>15.99</v>
      </c>
      <c r="FI14">
        <v>9.4499999999999904</v>
      </c>
      <c r="FJ14">
        <v>8.1999999999999904</v>
      </c>
      <c r="FL14">
        <v>7.99</v>
      </c>
      <c r="FM14">
        <v>6.25</v>
      </c>
      <c r="FQ14">
        <v>8.66</v>
      </c>
      <c r="FR14">
        <v>5.71</v>
      </c>
      <c r="FS14">
        <v>9.49</v>
      </c>
      <c r="FV14">
        <v>18.309999999999899</v>
      </c>
      <c r="FW14">
        <v>7.92</v>
      </c>
      <c r="GB14">
        <v>18.98</v>
      </c>
      <c r="GI14">
        <v>9.48</v>
      </c>
      <c r="GJ14">
        <v>8.6</v>
      </c>
      <c r="GM14">
        <v>10.49</v>
      </c>
      <c r="GN14">
        <v>19.190000000000001</v>
      </c>
      <c r="GP14">
        <v>9.09</v>
      </c>
      <c r="GR14">
        <v>8.02</v>
      </c>
      <c r="GU14">
        <v>15.43</v>
      </c>
      <c r="GX14">
        <v>9.43</v>
      </c>
      <c r="HB14">
        <v>18.73</v>
      </c>
      <c r="HC14">
        <v>8.3699999999999903</v>
      </c>
      <c r="HD14">
        <v>6.41</v>
      </c>
      <c r="HF14">
        <v>10.49</v>
      </c>
      <c r="HI14">
        <v>7.95</v>
      </c>
      <c r="HJ14">
        <v>7.5</v>
      </c>
      <c r="HL14">
        <v>8.86</v>
      </c>
      <c r="HM14">
        <v>5.45</v>
      </c>
      <c r="HN14">
        <v>10.24</v>
      </c>
      <c r="HR14">
        <v>19.45</v>
      </c>
      <c r="HT14">
        <v>6.09</v>
      </c>
      <c r="HU14">
        <v>8.36</v>
      </c>
      <c r="HV14">
        <v>7.83</v>
      </c>
      <c r="HX14">
        <v>5.93</v>
      </c>
      <c r="IA14">
        <v>10.01</v>
      </c>
      <c r="ID14">
        <v>11.1</v>
      </c>
      <c r="IE14">
        <v>8.73</v>
      </c>
      <c r="IH14">
        <v>9.98</v>
      </c>
      <c r="IJ14">
        <v>20.16</v>
      </c>
      <c r="IM14">
        <v>11.27</v>
      </c>
      <c r="IP14">
        <v>14.56</v>
      </c>
      <c r="IR14">
        <v>10.63</v>
      </c>
      <c r="IS14">
        <v>5.05</v>
      </c>
      <c r="IU14">
        <v>9.59</v>
      </c>
      <c r="IV14">
        <v>10.88</v>
      </c>
      <c r="IX14">
        <v>8.89</v>
      </c>
      <c r="IZ14">
        <v>8.06</v>
      </c>
      <c r="JA14">
        <v>10.96</v>
      </c>
      <c r="JB14">
        <v>4.83</v>
      </c>
      <c r="JE14">
        <v>7.67</v>
      </c>
      <c r="JF14">
        <v>9.7799999999999905</v>
      </c>
      <c r="JH14">
        <v>8.9600000000000009</v>
      </c>
      <c r="JK14">
        <v>9.4700000000000006</v>
      </c>
      <c r="JN14">
        <v>10.83</v>
      </c>
      <c r="JO14">
        <v>9.8000000000000007</v>
      </c>
      <c r="JQ14">
        <v>7.36</v>
      </c>
      <c r="JS14">
        <v>9.89</v>
      </c>
      <c r="JT14">
        <v>8.4</v>
      </c>
      <c r="KC14">
        <v>14.45</v>
      </c>
      <c r="KE14">
        <v>12.49</v>
      </c>
      <c r="KG14">
        <v>7.08</v>
      </c>
      <c r="KH14">
        <v>7.71</v>
      </c>
      <c r="KK14">
        <v>17.61</v>
      </c>
      <c r="KL14">
        <v>9.42</v>
      </c>
      <c r="KO14">
        <v>9.84</v>
      </c>
      <c r="KQ14">
        <v>9.07</v>
      </c>
      <c r="KS14">
        <v>13.38</v>
      </c>
      <c r="KU14">
        <v>16.46</v>
      </c>
      <c r="KY14">
        <v>15.15</v>
      </c>
      <c r="LB14">
        <v>9.2799999999999905</v>
      </c>
      <c r="LC14">
        <v>6.93</v>
      </c>
      <c r="LF14">
        <v>7.8</v>
      </c>
      <c r="LG14">
        <v>8.91</v>
      </c>
    </row>
    <row r="15" spans="1:319">
      <c r="A15" s="20" t="s">
        <v>66</v>
      </c>
      <c r="B15">
        <v>1439.6999999999998</v>
      </c>
      <c r="C15">
        <v>27.686538461538458</v>
      </c>
      <c r="D15" s="20" t="s">
        <v>816</v>
      </c>
      <c r="E15" s="20" t="s">
        <v>817</v>
      </c>
      <c r="F15">
        <v>7.59</v>
      </c>
      <c r="I15">
        <v>5.25</v>
      </c>
      <c r="J15">
        <v>4.8899999999999997</v>
      </c>
      <c r="K15">
        <v>4.66</v>
      </c>
      <c r="L15">
        <v>5.05</v>
      </c>
      <c r="M15">
        <v>5.99</v>
      </c>
      <c r="N15">
        <v>5.99</v>
      </c>
      <c r="O15">
        <v>5.79</v>
      </c>
      <c r="Q15">
        <v>8.2100000000000009</v>
      </c>
      <c r="R15">
        <v>7.84</v>
      </c>
      <c r="S15">
        <v>5.5</v>
      </c>
      <c r="T15">
        <v>4.26</v>
      </c>
      <c r="V15">
        <v>7.3</v>
      </c>
      <c r="W15">
        <v>3.84</v>
      </c>
      <c r="Y15">
        <v>7.85</v>
      </c>
      <c r="Z15">
        <v>7.11</v>
      </c>
      <c r="AA15">
        <v>7.78</v>
      </c>
      <c r="AB15">
        <v>2.4900000000000002</v>
      </c>
      <c r="AC15">
        <v>7.3</v>
      </c>
      <c r="AF15">
        <v>6.44</v>
      </c>
      <c r="AG15">
        <v>9.3800000000000008</v>
      </c>
      <c r="AK15">
        <v>16.93</v>
      </c>
      <c r="AM15">
        <v>17.55</v>
      </c>
      <c r="AO15">
        <v>5.38</v>
      </c>
      <c r="AP15">
        <v>8.48</v>
      </c>
      <c r="AS15">
        <v>5.72</v>
      </c>
      <c r="AU15">
        <v>15.78</v>
      </c>
      <c r="AV15">
        <v>5.08</v>
      </c>
      <c r="AW15">
        <v>16.149999999999999</v>
      </c>
      <c r="AZ15">
        <v>8.3000000000000007</v>
      </c>
      <c r="BA15">
        <v>8.4499999999999993</v>
      </c>
      <c r="BC15">
        <v>15.43</v>
      </c>
      <c r="BF15">
        <v>7.08</v>
      </c>
      <c r="BG15">
        <v>7.61</v>
      </c>
      <c r="BI15">
        <v>7.88</v>
      </c>
      <c r="BJ15">
        <v>7.07</v>
      </c>
      <c r="BL15">
        <v>16.21</v>
      </c>
      <c r="BN15">
        <v>4.43</v>
      </c>
      <c r="BP15">
        <v>7.8</v>
      </c>
      <c r="BQ15">
        <v>9.2799999999999994</v>
      </c>
      <c r="BS15">
        <v>6.68</v>
      </c>
      <c r="BV15">
        <v>16.600000000000001</v>
      </c>
      <c r="BX15">
        <v>7.37</v>
      </c>
      <c r="CA15">
        <v>17.260000000000002</v>
      </c>
      <c r="CE15">
        <v>4.8899999999999997</v>
      </c>
      <c r="CF15">
        <v>8.09</v>
      </c>
      <c r="CG15">
        <v>13.88</v>
      </c>
      <c r="CJ15">
        <v>6.74</v>
      </c>
      <c r="CK15">
        <v>7.27</v>
      </c>
      <c r="CN15">
        <v>5.01</v>
      </c>
      <c r="CP15">
        <v>14.46</v>
      </c>
      <c r="CS15">
        <v>8.34</v>
      </c>
      <c r="CT15">
        <v>15.08</v>
      </c>
      <c r="CV15">
        <v>9.7200000000000006</v>
      </c>
      <c r="CZ15">
        <v>17.940000000000001</v>
      </c>
      <c r="DA15">
        <v>7.15</v>
      </c>
      <c r="DC15">
        <v>5.95</v>
      </c>
      <c r="DF15">
        <v>16.12</v>
      </c>
      <c r="DJ15">
        <v>6.01</v>
      </c>
      <c r="DM15">
        <v>9.58</v>
      </c>
      <c r="DN15">
        <v>7.63</v>
      </c>
      <c r="DP15">
        <v>7.92</v>
      </c>
      <c r="DQ15">
        <v>5.94</v>
      </c>
      <c r="DR15">
        <v>4.29</v>
      </c>
      <c r="DS15">
        <v>2.11</v>
      </c>
      <c r="DT15">
        <v>5.05</v>
      </c>
      <c r="DU15">
        <v>3.61</v>
      </c>
      <c r="DX15">
        <v>7.47</v>
      </c>
      <c r="DY15">
        <v>4.5999999999999899</v>
      </c>
      <c r="EB15">
        <v>8.68</v>
      </c>
      <c r="EC15">
        <v>4.08</v>
      </c>
      <c r="ED15">
        <v>4.88</v>
      </c>
      <c r="EE15">
        <v>4.66</v>
      </c>
      <c r="EF15">
        <v>4.3</v>
      </c>
      <c r="EI15">
        <v>2.52</v>
      </c>
      <c r="EM15">
        <v>4.6500000000000004</v>
      </c>
      <c r="EN15">
        <v>6.31</v>
      </c>
      <c r="EO15">
        <v>9.67</v>
      </c>
      <c r="EP15">
        <v>6.55</v>
      </c>
      <c r="ER15">
        <v>4.3</v>
      </c>
      <c r="ES15">
        <v>4.92</v>
      </c>
      <c r="ET15">
        <v>3.12</v>
      </c>
      <c r="EV15">
        <v>7.08</v>
      </c>
      <c r="EW15">
        <v>4.49</v>
      </c>
      <c r="EX15">
        <v>4.4400000000000004</v>
      </c>
      <c r="EY15">
        <v>3.51</v>
      </c>
      <c r="EZ15">
        <v>3.51</v>
      </c>
      <c r="FA15">
        <v>3.54</v>
      </c>
      <c r="FB15">
        <v>3.54</v>
      </c>
      <c r="FC15">
        <v>9.02</v>
      </c>
      <c r="FD15">
        <v>6.6</v>
      </c>
      <c r="FE15">
        <v>6.54</v>
      </c>
      <c r="FG15">
        <v>6.88</v>
      </c>
      <c r="FH15">
        <v>6.68</v>
      </c>
      <c r="FI15">
        <v>5.67</v>
      </c>
      <c r="FL15">
        <v>6.21</v>
      </c>
      <c r="FM15">
        <v>8.7200000000000006</v>
      </c>
      <c r="FN15">
        <v>3.43</v>
      </c>
      <c r="FO15">
        <v>9.83</v>
      </c>
      <c r="FQ15">
        <v>5.82</v>
      </c>
      <c r="FR15">
        <v>6.31</v>
      </c>
      <c r="FS15">
        <v>4.8</v>
      </c>
      <c r="FT15">
        <v>6.29</v>
      </c>
      <c r="FV15">
        <v>5.36</v>
      </c>
      <c r="FZ15">
        <v>8.74</v>
      </c>
      <c r="GA15">
        <v>6.88</v>
      </c>
      <c r="GC15">
        <v>7.6</v>
      </c>
      <c r="GE15">
        <v>8.4600000000000009</v>
      </c>
      <c r="GG15">
        <v>8.69</v>
      </c>
      <c r="GH15">
        <v>8.52</v>
      </c>
      <c r="GK15">
        <v>7.87</v>
      </c>
      <c r="GM15">
        <v>17.05</v>
      </c>
      <c r="GO15">
        <v>6.97</v>
      </c>
      <c r="GP15">
        <v>10.62</v>
      </c>
      <c r="GS15">
        <v>14.9</v>
      </c>
      <c r="GU15">
        <v>7.5</v>
      </c>
      <c r="GV15">
        <v>5.19</v>
      </c>
      <c r="GX15">
        <v>10.54</v>
      </c>
      <c r="GY15">
        <v>6.63</v>
      </c>
      <c r="GZ15">
        <v>6.5</v>
      </c>
      <c r="HB15">
        <v>14.33</v>
      </c>
      <c r="HG15">
        <v>7.41</v>
      </c>
      <c r="HH15">
        <v>7.33</v>
      </c>
      <c r="HI15">
        <v>7.71</v>
      </c>
      <c r="HK15">
        <v>10.75</v>
      </c>
      <c r="HN15">
        <v>15.56</v>
      </c>
      <c r="HQ15">
        <v>16.61</v>
      </c>
      <c r="HX15">
        <v>24.76</v>
      </c>
      <c r="IA15">
        <v>13.56</v>
      </c>
      <c r="IC15">
        <v>19.43</v>
      </c>
      <c r="IG15">
        <v>13.71</v>
      </c>
      <c r="II15">
        <v>5.04</v>
      </c>
      <c r="IJ15">
        <v>9.9499999999999904</v>
      </c>
      <c r="IL15">
        <v>8.31</v>
      </c>
      <c r="IM15">
        <v>7.56</v>
      </c>
      <c r="IO15">
        <v>10.85</v>
      </c>
      <c r="IP15">
        <v>7.04</v>
      </c>
      <c r="IQ15">
        <v>6.96</v>
      </c>
      <c r="IS15">
        <v>9.89</v>
      </c>
      <c r="IU15">
        <v>13.97</v>
      </c>
      <c r="IW15">
        <v>6.31</v>
      </c>
      <c r="IX15">
        <v>6.49</v>
      </c>
      <c r="IY15">
        <v>6.18</v>
      </c>
      <c r="IZ15">
        <v>7.63</v>
      </c>
      <c r="JA15">
        <v>13.53</v>
      </c>
      <c r="JC15">
        <v>4.2699999999999898</v>
      </c>
      <c r="JE15">
        <v>7.54</v>
      </c>
      <c r="JF15">
        <v>6.76</v>
      </c>
      <c r="JH15">
        <v>10.31</v>
      </c>
      <c r="JJ15">
        <v>12.96</v>
      </c>
      <c r="JL15">
        <v>8.42</v>
      </c>
      <c r="JO15">
        <v>13.71</v>
      </c>
      <c r="JR15">
        <v>8.7899999999999903</v>
      </c>
      <c r="JS15">
        <v>8.4700000000000006</v>
      </c>
      <c r="JV15">
        <v>6.77</v>
      </c>
      <c r="JW15">
        <v>10.89</v>
      </c>
      <c r="KA15">
        <v>9.14</v>
      </c>
      <c r="KC15">
        <v>5.03</v>
      </c>
      <c r="KD15">
        <v>4.8899999999999899</v>
      </c>
      <c r="KE15">
        <v>9.6199999999999903</v>
      </c>
      <c r="KF15">
        <v>6.48</v>
      </c>
      <c r="KG15">
        <v>3.98</v>
      </c>
      <c r="KH15">
        <v>10.0399999999999</v>
      </c>
      <c r="KJ15">
        <v>7.57</v>
      </c>
      <c r="KM15">
        <v>15.1</v>
      </c>
      <c r="KO15">
        <v>5.64</v>
      </c>
      <c r="KQ15">
        <v>16.16</v>
      </c>
      <c r="KS15">
        <v>5.98</v>
      </c>
      <c r="KU15">
        <v>8.4600000000000009</v>
      </c>
      <c r="KV15">
        <v>4.5999999999999899</v>
      </c>
      <c r="KX15">
        <v>15.73</v>
      </c>
      <c r="LB15">
        <v>5.73</v>
      </c>
      <c r="LD15">
        <v>15.29</v>
      </c>
      <c r="LF15">
        <v>7.05</v>
      </c>
    </row>
    <row r="16" spans="1:319">
      <c r="A16" s="20" t="s">
        <v>309</v>
      </c>
      <c r="B16">
        <v>1032.0087999999996</v>
      </c>
      <c r="C16">
        <v>19.846323076923071</v>
      </c>
      <c r="D16" s="20" t="s">
        <v>816</v>
      </c>
      <c r="E16" s="20" t="s">
        <v>819</v>
      </c>
      <c r="H16">
        <v>6.76</v>
      </c>
      <c r="K16">
        <v>10.07</v>
      </c>
      <c r="N16">
        <v>16.34</v>
      </c>
      <c r="Q16">
        <v>8.6</v>
      </c>
      <c r="T16">
        <v>8.6199999999999992</v>
      </c>
      <c r="W16">
        <v>9.43</v>
      </c>
      <c r="Z16">
        <v>8.8699999999999992</v>
      </c>
      <c r="AB16">
        <v>8.34</v>
      </c>
      <c r="AC16">
        <v>8.1</v>
      </c>
      <c r="AF16">
        <v>9.6999999999999993</v>
      </c>
      <c r="AI16">
        <v>8.98</v>
      </c>
      <c r="AM16">
        <v>8.89</v>
      </c>
      <c r="AO16">
        <v>9.7100000000000009</v>
      </c>
      <c r="AS16">
        <v>9.4588000000000001</v>
      </c>
      <c r="AX16">
        <v>9.67</v>
      </c>
      <c r="BD16">
        <v>8.57</v>
      </c>
      <c r="BG16">
        <v>8.92</v>
      </c>
      <c r="BI16">
        <v>7.76</v>
      </c>
      <c r="BK16">
        <v>10</v>
      </c>
      <c r="BM16">
        <v>7.41</v>
      </c>
      <c r="BP16">
        <v>8.6300000000000008</v>
      </c>
      <c r="BS16">
        <v>5.64</v>
      </c>
      <c r="BV16">
        <v>8.92</v>
      </c>
      <c r="BY16">
        <v>8.26</v>
      </c>
      <c r="CA16">
        <v>9.4700000000000006</v>
      </c>
      <c r="CC16">
        <v>7.24</v>
      </c>
      <c r="CD16">
        <v>6.9</v>
      </c>
      <c r="CF16">
        <v>7.12</v>
      </c>
      <c r="CH16">
        <v>9.26</v>
      </c>
      <c r="CJ16">
        <v>9.48</v>
      </c>
      <c r="CK16">
        <v>8.5</v>
      </c>
      <c r="CO16">
        <v>6.72</v>
      </c>
      <c r="CR16">
        <v>7.58</v>
      </c>
      <c r="CS16">
        <v>7.98</v>
      </c>
      <c r="CU16">
        <v>8.19</v>
      </c>
      <c r="CX16">
        <v>8.1300000000000008</v>
      </c>
      <c r="DA16">
        <v>7.99</v>
      </c>
      <c r="DC16">
        <v>9.14</v>
      </c>
      <c r="DE16">
        <v>8.01</v>
      </c>
      <c r="DG16">
        <v>7.25</v>
      </c>
      <c r="DN16">
        <v>7.92</v>
      </c>
      <c r="DQ16">
        <v>9.4499999999999904</v>
      </c>
      <c r="DT16">
        <v>9</v>
      </c>
      <c r="DW16">
        <v>9.15</v>
      </c>
      <c r="DZ16">
        <v>8.67</v>
      </c>
      <c r="EC16">
        <v>7.75</v>
      </c>
      <c r="EF16">
        <v>8.33</v>
      </c>
      <c r="EI16">
        <v>8.5</v>
      </c>
      <c r="EL16">
        <v>15.2</v>
      </c>
      <c r="EO16">
        <v>8.57</v>
      </c>
      <c r="ER16">
        <v>8.61</v>
      </c>
      <c r="EU16">
        <v>14.44</v>
      </c>
      <c r="EX16">
        <v>16.8</v>
      </c>
      <c r="FA16">
        <v>8.4700000000000006</v>
      </c>
      <c r="FE16">
        <v>8.56</v>
      </c>
      <c r="FG16">
        <v>8.4499999999999904</v>
      </c>
      <c r="FJ16">
        <v>14.46</v>
      </c>
      <c r="FM16">
        <v>8.11</v>
      </c>
      <c r="FP16">
        <v>9.56</v>
      </c>
      <c r="FS16">
        <v>9.68</v>
      </c>
      <c r="FV16">
        <v>9.68</v>
      </c>
      <c r="GB16">
        <v>17.41</v>
      </c>
      <c r="GE16">
        <v>8.33</v>
      </c>
      <c r="GI16">
        <v>9.68</v>
      </c>
      <c r="GK16">
        <v>9.42</v>
      </c>
      <c r="GN16">
        <v>18.14</v>
      </c>
      <c r="GQ16">
        <v>6.77</v>
      </c>
      <c r="GT16">
        <v>9.89</v>
      </c>
      <c r="GW16">
        <v>9.07</v>
      </c>
      <c r="GZ16">
        <v>8.4700000000000006</v>
      </c>
      <c r="HC16">
        <v>10.0399999999999</v>
      </c>
      <c r="HI16">
        <v>14.65</v>
      </c>
      <c r="HL16">
        <v>7.22</v>
      </c>
      <c r="HO16">
        <v>10.23</v>
      </c>
      <c r="HR16">
        <v>10.19</v>
      </c>
      <c r="HU16">
        <v>18.100000000000001</v>
      </c>
      <c r="HZ16">
        <v>11.59</v>
      </c>
      <c r="IA16">
        <v>9.32</v>
      </c>
      <c r="ID16">
        <v>8.56</v>
      </c>
      <c r="IG16">
        <v>14.52</v>
      </c>
      <c r="II16">
        <v>8.94</v>
      </c>
      <c r="IM16">
        <v>10.29</v>
      </c>
      <c r="IP16">
        <v>17.95</v>
      </c>
      <c r="IS16">
        <v>9.84</v>
      </c>
      <c r="IV16">
        <v>8.77</v>
      </c>
      <c r="IX16">
        <v>5.67</v>
      </c>
      <c r="IY16">
        <v>8.48</v>
      </c>
      <c r="JD16">
        <v>10.9</v>
      </c>
      <c r="JE16">
        <v>4.1100000000000003</v>
      </c>
      <c r="JH16">
        <v>11.23</v>
      </c>
      <c r="JK16">
        <v>9.43</v>
      </c>
      <c r="JN16">
        <v>19.25</v>
      </c>
      <c r="JQ16">
        <v>8.23</v>
      </c>
      <c r="JT16">
        <v>9.59</v>
      </c>
      <c r="JW16">
        <v>8.65</v>
      </c>
      <c r="JZ16">
        <v>10.18</v>
      </c>
      <c r="KC16">
        <v>9.09</v>
      </c>
      <c r="KD16">
        <v>6.9</v>
      </c>
      <c r="KI16">
        <v>9.3800000000000008</v>
      </c>
      <c r="KL16">
        <v>9.15</v>
      </c>
      <c r="KO16">
        <v>9.57</v>
      </c>
      <c r="KR16">
        <v>9.41</v>
      </c>
      <c r="KU16">
        <v>6.13</v>
      </c>
      <c r="KV16">
        <v>8.25</v>
      </c>
      <c r="KX16">
        <v>9.4600000000000009</v>
      </c>
      <c r="LA16">
        <v>8.68</v>
      </c>
      <c r="LE16">
        <v>8.81</v>
      </c>
      <c r="LF16">
        <v>10.1</v>
      </c>
    </row>
    <row r="17" spans="1:319">
      <c r="A17" s="20" t="s">
        <v>274</v>
      </c>
      <c r="B17">
        <v>36.159999999999997</v>
      </c>
      <c r="C17">
        <v>0.69538461538461527</v>
      </c>
      <c r="D17" s="20" t="s">
        <v>816</v>
      </c>
      <c r="E17" s="20" t="s">
        <v>819</v>
      </c>
      <c r="AU17">
        <v>7.13</v>
      </c>
      <c r="DE17">
        <v>4.63</v>
      </c>
      <c r="DG17">
        <v>15.57</v>
      </c>
      <c r="DJ17">
        <v>8.83</v>
      </c>
    </row>
    <row r="18" spans="1:319">
      <c r="A18" s="20" t="s">
        <v>111</v>
      </c>
      <c r="B18">
        <v>773.13</v>
      </c>
      <c r="C18">
        <v>14.867884615384614</v>
      </c>
      <c r="D18" s="20" t="s">
        <v>816</v>
      </c>
      <c r="E18" s="20" t="s">
        <v>819</v>
      </c>
      <c r="F18">
        <v>4.29</v>
      </c>
      <c r="G18">
        <v>6.24</v>
      </c>
      <c r="J18">
        <v>6.89</v>
      </c>
      <c r="L18">
        <v>4.3</v>
      </c>
      <c r="N18">
        <v>7.96</v>
      </c>
      <c r="O18">
        <v>5.41</v>
      </c>
      <c r="R18">
        <v>14.09</v>
      </c>
      <c r="U18">
        <v>3.48</v>
      </c>
      <c r="X18">
        <v>6.03</v>
      </c>
      <c r="Z18">
        <v>8.91</v>
      </c>
      <c r="AA18">
        <v>5.7</v>
      </c>
      <c r="AD18">
        <v>5.94</v>
      </c>
      <c r="AG18">
        <v>7.93</v>
      </c>
      <c r="AI18">
        <v>6.92</v>
      </c>
      <c r="AM18">
        <v>13.91</v>
      </c>
      <c r="AQ18">
        <v>5.22</v>
      </c>
      <c r="AT18">
        <v>9.52</v>
      </c>
      <c r="AV18">
        <v>13.89</v>
      </c>
      <c r="BA18">
        <v>5.89</v>
      </c>
      <c r="BD18">
        <v>6.57</v>
      </c>
      <c r="BH18">
        <v>13.77</v>
      </c>
      <c r="BM18">
        <v>6.99</v>
      </c>
      <c r="BN18">
        <v>8.83</v>
      </c>
      <c r="BQ18">
        <v>6.34</v>
      </c>
      <c r="BT18">
        <v>6.56</v>
      </c>
      <c r="BY18">
        <v>8.34</v>
      </c>
      <c r="CD18">
        <v>6.94</v>
      </c>
      <c r="CE18">
        <v>6.88</v>
      </c>
      <c r="CG18">
        <v>9.3000000000000007</v>
      </c>
      <c r="CH18">
        <v>6.32</v>
      </c>
      <c r="CN18">
        <v>6.85</v>
      </c>
      <c r="CR18">
        <v>8.1</v>
      </c>
      <c r="CS18">
        <v>6.82</v>
      </c>
      <c r="CX18">
        <v>7.92</v>
      </c>
      <c r="CY18">
        <v>9.52</v>
      </c>
      <c r="DC18">
        <v>7.47</v>
      </c>
      <c r="DD18">
        <v>7.97</v>
      </c>
      <c r="DF18">
        <v>6.66</v>
      </c>
      <c r="DJ18">
        <v>7.56</v>
      </c>
      <c r="DL18">
        <v>12.07</v>
      </c>
      <c r="DO18">
        <v>3.52</v>
      </c>
      <c r="DR18">
        <v>14.3</v>
      </c>
      <c r="DX18">
        <v>13.8</v>
      </c>
      <c r="EA18">
        <v>5.6</v>
      </c>
      <c r="ED18">
        <v>6.14</v>
      </c>
      <c r="EG18">
        <v>6.37</v>
      </c>
      <c r="EK18">
        <v>18.71</v>
      </c>
      <c r="EP18">
        <v>8.56</v>
      </c>
      <c r="ES18">
        <v>7.18</v>
      </c>
      <c r="EV18">
        <v>8.24</v>
      </c>
      <c r="EW18">
        <v>1.86</v>
      </c>
      <c r="EY18">
        <v>7.47</v>
      </c>
      <c r="FB18">
        <v>11.64</v>
      </c>
      <c r="FE18">
        <v>3.15</v>
      </c>
      <c r="FH18">
        <v>12.57</v>
      </c>
      <c r="FK18">
        <v>6.36</v>
      </c>
      <c r="FN18">
        <v>12.48</v>
      </c>
      <c r="FR18">
        <v>5.72</v>
      </c>
      <c r="FT18">
        <v>11.44</v>
      </c>
      <c r="FZ18">
        <v>14.42</v>
      </c>
      <c r="GF18">
        <v>6.14</v>
      </c>
      <c r="GJ18">
        <v>5.42</v>
      </c>
      <c r="GL18">
        <v>4.49</v>
      </c>
      <c r="GO18">
        <v>4.82</v>
      </c>
      <c r="GR18">
        <v>5.0599999999999898</v>
      </c>
      <c r="GU18">
        <v>5.48</v>
      </c>
      <c r="HA18">
        <v>4.87</v>
      </c>
      <c r="HE18">
        <v>14.81</v>
      </c>
      <c r="HK18">
        <v>5.93</v>
      </c>
      <c r="HM18">
        <v>4.63</v>
      </c>
      <c r="HQ18">
        <v>12.19</v>
      </c>
      <c r="HV18">
        <v>5.59</v>
      </c>
      <c r="HY18">
        <v>5.18</v>
      </c>
      <c r="IC18">
        <v>11.64</v>
      </c>
      <c r="IE18">
        <v>4.3899999999999899</v>
      </c>
      <c r="IH18">
        <v>6.2</v>
      </c>
      <c r="IK18">
        <v>5.43</v>
      </c>
      <c r="IM18">
        <v>4.05</v>
      </c>
      <c r="IN18">
        <v>5.2</v>
      </c>
      <c r="IT18">
        <v>6.51</v>
      </c>
      <c r="IW18">
        <v>6.72</v>
      </c>
      <c r="IZ18">
        <v>10.02</v>
      </c>
      <c r="JC18">
        <v>6.17</v>
      </c>
      <c r="JE18">
        <v>4.97</v>
      </c>
      <c r="JF18">
        <v>4.92</v>
      </c>
      <c r="JI18">
        <v>6.63</v>
      </c>
      <c r="JK18">
        <v>5.46</v>
      </c>
      <c r="JM18">
        <v>5.59</v>
      </c>
      <c r="JO18">
        <v>5.09</v>
      </c>
      <c r="JQ18">
        <v>4.6900000000000004</v>
      </c>
      <c r="JS18">
        <v>12.08</v>
      </c>
      <c r="JW18">
        <v>5.9</v>
      </c>
      <c r="JX18">
        <v>5.28</v>
      </c>
      <c r="JY18">
        <v>2.93</v>
      </c>
      <c r="KC18">
        <v>4.8499999999999899</v>
      </c>
      <c r="KF18">
        <v>13.15</v>
      </c>
      <c r="KI18">
        <v>4.8899999999999899</v>
      </c>
      <c r="KJ18">
        <v>6.71</v>
      </c>
      <c r="KM18">
        <v>5.93</v>
      </c>
      <c r="KO18">
        <v>5.89</v>
      </c>
      <c r="KT18">
        <v>6.8</v>
      </c>
      <c r="KV18">
        <v>8.14</v>
      </c>
      <c r="KX18">
        <v>6.19</v>
      </c>
      <c r="LE18">
        <v>6.27</v>
      </c>
    </row>
    <row r="19" spans="1:319">
      <c r="A19" s="20" t="s">
        <v>265</v>
      </c>
      <c r="B19">
        <v>268.83000000000004</v>
      </c>
      <c r="C19">
        <v>5.1698076923076934</v>
      </c>
      <c r="D19" s="20" t="s">
        <v>816</v>
      </c>
      <c r="E19" s="20" t="s">
        <v>819</v>
      </c>
      <c r="K19">
        <v>5.16</v>
      </c>
      <c r="V19">
        <v>4.76</v>
      </c>
      <c r="AC19">
        <v>5.04</v>
      </c>
      <c r="AH19">
        <v>6.88</v>
      </c>
      <c r="AN19">
        <v>6.27</v>
      </c>
      <c r="AT19">
        <v>4.1399999999999997</v>
      </c>
      <c r="AZ19">
        <v>5.77</v>
      </c>
      <c r="BF19">
        <v>4.53</v>
      </c>
      <c r="BM19">
        <v>5.47</v>
      </c>
      <c r="BX19">
        <v>5</v>
      </c>
      <c r="CB19">
        <v>4.54</v>
      </c>
      <c r="CG19">
        <v>6.27</v>
      </c>
      <c r="CN19">
        <v>5.49</v>
      </c>
      <c r="CT19">
        <v>8.67</v>
      </c>
      <c r="CU19">
        <v>5.98</v>
      </c>
      <c r="CZ19">
        <v>5.57</v>
      </c>
      <c r="DE19">
        <v>8.4600000000000009</v>
      </c>
      <c r="DG19">
        <v>7.56</v>
      </c>
      <c r="DP19">
        <v>3.94</v>
      </c>
      <c r="EC19">
        <v>5.87</v>
      </c>
      <c r="EI19">
        <v>6.14</v>
      </c>
      <c r="EN19">
        <v>4.68</v>
      </c>
      <c r="EU19">
        <v>5.2</v>
      </c>
      <c r="EX19">
        <v>7.3</v>
      </c>
      <c r="FA19">
        <v>1.68</v>
      </c>
      <c r="FG19">
        <v>7.99</v>
      </c>
      <c r="FR19">
        <v>4.2300000000000004</v>
      </c>
      <c r="FX19">
        <v>4.26</v>
      </c>
      <c r="GD19">
        <v>4.21</v>
      </c>
      <c r="GJ19">
        <v>3</v>
      </c>
      <c r="GP19">
        <v>5.58</v>
      </c>
      <c r="GW19">
        <v>4.88</v>
      </c>
      <c r="HB19">
        <v>4.57</v>
      </c>
      <c r="HN19">
        <v>4.58</v>
      </c>
      <c r="HT19">
        <v>7.09</v>
      </c>
      <c r="HZ19">
        <v>4.2300000000000004</v>
      </c>
      <c r="IF19">
        <v>5.03</v>
      </c>
      <c r="IL19">
        <v>5.77</v>
      </c>
      <c r="IS19">
        <v>7.09</v>
      </c>
      <c r="IX19">
        <v>4.3899999999999899</v>
      </c>
      <c r="JD19">
        <v>4.84</v>
      </c>
      <c r="JJ19">
        <v>4.88</v>
      </c>
      <c r="JP19">
        <v>5.88</v>
      </c>
      <c r="JV19">
        <v>4.4400000000000004</v>
      </c>
      <c r="KB19">
        <v>5.0999999999999899</v>
      </c>
      <c r="KH19">
        <v>4.7699999999999898</v>
      </c>
      <c r="KN19">
        <v>4.99</v>
      </c>
      <c r="KT19">
        <v>5.57</v>
      </c>
      <c r="KZ19">
        <v>5.24</v>
      </c>
      <c r="LF19">
        <v>5.85</v>
      </c>
    </row>
    <row r="20" spans="1:319">
      <c r="A20" s="20" t="s">
        <v>221</v>
      </c>
      <c r="B20">
        <v>29.85</v>
      </c>
      <c r="C20">
        <v>0.57403846153846161</v>
      </c>
      <c r="D20" s="20" t="s">
        <v>816</v>
      </c>
      <c r="E20" s="20" t="s">
        <v>819</v>
      </c>
      <c r="DE20">
        <v>15.94</v>
      </c>
      <c r="DG20">
        <v>8.65</v>
      </c>
      <c r="DJ20">
        <v>5.26</v>
      </c>
    </row>
    <row r="21" spans="1:319">
      <c r="A21" s="20" t="s">
        <v>820</v>
      </c>
      <c r="B21">
        <v>1343.8399999999992</v>
      </c>
      <c r="C21">
        <v>25.843076923076907</v>
      </c>
      <c r="D21" s="20" t="s">
        <v>816</v>
      </c>
      <c r="E21" s="20" t="s">
        <v>821</v>
      </c>
      <c r="F21">
        <v>6.84</v>
      </c>
      <c r="G21">
        <v>7.08</v>
      </c>
      <c r="H21">
        <v>4.58</v>
      </c>
      <c r="J21">
        <v>6.38</v>
      </c>
      <c r="K21">
        <v>9.48</v>
      </c>
      <c r="M21">
        <v>6.54</v>
      </c>
      <c r="O21">
        <v>8.1</v>
      </c>
      <c r="P21">
        <v>7.2</v>
      </c>
      <c r="S21">
        <v>5.36</v>
      </c>
      <c r="V21">
        <v>15.39</v>
      </c>
      <c r="Z21">
        <v>21.84</v>
      </c>
      <c r="AB21">
        <v>7.67</v>
      </c>
      <c r="AG21">
        <v>15.68</v>
      </c>
      <c r="AI21">
        <v>7.59</v>
      </c>
      <c r="AL21">
        <v>14.81</v>
      </c>
      <c r="AO21">
        <v>9.1999999999999993</v>
      </c>
      <c r="AQ21">
        <v>8.93</v>
      </c>
      <c r="AS21">
        <v>7.28</v>
      </c>
      <c r="AT21">
        <v>8.77</v>
      </c>
      <c r="AW21">
        <v>6.27</v>
      </c>
      <c r="AZ21">
        <v>14.5</v>
      </c>
      <c r="BE21">
        <v>5.8</v>
      </c>
      <c r="BF21">
        <v>9.2200000000000006</v>
      </c>
      <c r="BI21">
        <v>19.29</v>
      </c>
      <c r="BJ21">
        <v>10.050000000000001</v>
      </c>
      <c r="BL21">
        <v>7.49</v>
      </c>
      <c r="BM21">
        <v>9.59</v>
      </c>
      <c r="BO21">
        <v>16.91</v>
      </c>
      <c r="BR21">
        <v>9.58</v>
      </c>
      <c r="BU21">
        <v>17.55</v>
      </c>
      <c r="BW21">
        <v>9.35</v>
      </c>
      <c r="CB21">
        <v>26.58</v>
      </c>
      <c r="CG21">
        <v>14.97</v>
      </c>
      <c r="CI21">
        <v>8.17</v>
      </c>
      <c r="CJ21">
        <v>9.8000000000000007</v>
      </c>
      <c r="CK21">
        <v>7.95</v>
      </c>
      <c r="CN21">
        <v>17.190000000000001</v>
      </c>
      <c r="CO21">
        <v>8.82</v>
      </c>
      <c r="CQ21">
        <v>7.58</v>
      </c>
      <c r="CR21">
        <v>7.83</v>
      </c>
      <c r="CU21">
        <v>15.74</v>
      </c>
      <c r="CW21">
        <v>8.4</v>
      </c>
      <c r="CX21">
        <v>7.02</v>
      </c>
      <c r="CZ21">
        <v>10.08</v>
      </c>
      <c r="DA21">
        <v>16.32</v>
      </c>
      <c r="DG21">
        <v>14.07</v>
      </c>
      <c r="DJ21">
        <v>7.82</v>
      </c>
      <c r="DM21">
        <v>13.61</v>
      </c>
      <c r="DO21">
        <v>8.41</v>
      </c>
      <c r="DP21">
        <v>7.25</v>
      </c>
      <c r="DQ21">
        <v>8.26</v>
      </c>
      <c r="DS21">
        <v>5.6</v>
      </c>
      <c r="DU21">
        <v>15.9</v>
      </c>
      <c r="DW21">
        <v>7.34</v>
      </c>
      <c r="DY21">
        <v>7.27</v>
      </c>
      <c r="EA21">
        <v>9.23</v>
      </c>
      <c r="EC21">
        <v>5.7</v>
      </c>
      <c r="EE21">
        <v>7.96</v>
      </c>
      <c r="EG21">
        <v>5.52</v>
      </c>
      <c r="EI21">
        <v>11.43</v>
      </c>
      <c r="EL21">
        <v>7.44</v>
      </c>
      <c r="EO21">
        <v>16</v>
      </c>
      <c r="EQ21">
        <v>5.21</v>
      </c>
      <c r="ER21">
        <v>6.44</v>
      </c>
      <c r="ET21">
        <v>13.07</v>
      </c>
      <c r="EU21">
        <v>6.51</v>
      </c>
      <c r="EW21">
        <v>5.9</v>
      </c>
      <c r="EX21">
        <v>8.74</v>
      </c>
      <c r="EY21">
        <v>4.55</v>
      </c>
      <c r="FA21">
        <v>8.36</v>
      </c>
      <c r="FC21">
        <v>8.5500000000000007</v>
      </c>
      <c r="FE21">
        <v>7.98</v>
      </c>
      <c r="FF21">
        <v>6.29</v>
      </c>
      <c r="FI21">
        <v>4.42</v>
      </c>
      <c r="FK21">
        <v>14.61</v>
      </c>
      <c r="FO21">
        <v>13.06</v>
      </c>
      <c r="FR21">
        <v>9.2200000000000006</v>
      </c>
      <c r="FS21">
        <v>4.1100000000000003</v>
      </c>
      <c r="FV21">
        <v>8.5500000000000007</v>
      </c>
      <c r="FX21">
        <v>4.47</v>
      </c>
      <c r="FY21">
        <v>6.69</v>
      </c>
      <c r="FZ21">
        <v>3.95</v>
      </c>
      <c r="GA21">
        <v>9.01</v>
      </c>
      <c r="GB21">
        <v>7.27</v>
      </c>
      <c r="GG21">
        <v>16.22</v>
      </c>
      <c r="GM21">
        <v>8.94</v>
      </c>
      <c r="GO21">
        <v>4.28</v>
      </c>
      <c r="GS21">
        <v>18.46</v>
      </c>
      <c r="GU21">
        <v>5.89</v>
      </c>
      <c r="GV21">
        <v>9.42</v>
      </c>
      <c r="GY21">
        <v>9.92</v>
      </c>
      <c r="HB21">
        <v>7.4</v>
      </c>
      <c r="HF21">
        <v>17.059999999999899</v>
      </c>
      <c r="HH21">
        <v>7.97</v>
      </c>
      <c r="HI21">
        <v>7.4</v>
      </c>
      <c r="HK21">
        <v>6.72</v>
      </c>
      <c r="HL21">
        <v>3.97</v>
      </c>
      <c r="HM21">
        <v>6.94</v>
      </c>
      <c r="HQ21">
        <v>21.46</v>
      </c>
      <c r="HT21">
        <v>7.48</v>
      </c>
      <c r="HU21">
        <v>10.7</v>
      </c>
      <c r="HV21">
        <v>4.28</v>
      </c>
      <c r="HX21">
        <v>14.94</v>
      </c>
      <c r="HY21">
        <v>5</v>
      </c>
      <c r="IC21">
        <v>10.01</v>
      </c>
      <c r="IG21">
        <v>12.74</v>
      </c>
      <c r="II21">
        <v>5.68</v>
      </c>
      <c r="IJ21">
        <v>7.33</v>
      </c>
      <c r="IL21">
        <v>2.84</v>
      </c>
      <c r="IM21">
        <v>5.37</v>
      </c>
      <c r="IO21">
        <v>9.24</v>
      </c>
      <c r="IQ21">
        <v>7.1</v>
      </c>
      <c r="IS21">
        <v>15.54</v>
      </c>
      <c r="IX21">
        <v>12.37</v>
      </c>
      <c r="JA21">
        <v>6.43</v>
      </c>
      <c r="JB21">
        <v>7.86</v>
      </c>
      <c r="JC21">
        <v>5.43</v>
      </c>
      <c r="JE21">
        <v>13.37</v>
      </c>
      <c r="JK21">
        <v>17.03</v>
      </c>
      <c r="JN21">
        <v>14.86</v>
      </c>
      <c r="JP21">
        <v>5.65</v>
      </c>
      <c r="JS21">
        <v>11.03</v>
      </c>
      <c r="JU21">
        <v>6.68</v>
      </c>
      <c r="JW21">
        <v>4.3</v>
      </c>
      <c r="JY21">
        <v>19.559999999999899</v>
      </c>
      <c r="KC21">
        <v>8.02</v>
      </c>
      <c r="KE21">
        <v>20.37</v>
      </c>
      <c r="KF21">
        <v>7.5</v>
      </c>
      <c r="KI21">
        <v>7.98</v>
      </c>
      <c r="KJ21">
        <v>3.7</v>
      </c>
      <c r="KK21">
        <v>4.8</v>
      </c>
      <c r="KL21">
        <v>8.34</v>
      </c>
      <c r="KO21">
        <v>9.01</v>
      </c>
      <c r="KQ21">
        <v>10.050000000000001</v>
      </c>
      <c r="KU21">
        <v>9.52</v>
      </c>
      <c r="KZ21">
        <v>27.87</v>
      </c>
      <c r="LC21">
        <v>9.94</v>
      </c>
      <c r="LD21">
        <v>8.5500000000000007</v>
      </c>
      <c r="LG21">
        <v>6.78</v>
      </c>
    </row>
    <row r="22" spans="1:319">
      <c r="A22" s="20" t="s">
        <v>75</v>
      </c>
      <c r="B22">
        <v>34.33</v>
      </c>
      <c r="C22">
        <v>0.66019230769230763</v>
      </c>
      <c r="D22" s="20" t="s">
        <v>816</v>
      </c>
      <c r="E22" s="20" t="s">
        <v>821</v>
      </c>
      <c r="P22">
        <v>7.73</v>
      </c>
      <c r="BY22">
        <v>10.36</v>
      </c>
      <c r="DG22">
        <v>8.42</v>
      </c>
      <c r="DJ22">
        <v>7.82</v>
      </c>
    </row>
    <row r="23" spans="1:319">
      <c r="A23" s="20" t="s">
        <v>261</v>
      </c>
      <c r="B23">
        <v>1056.6029999999992</v>
      </c>
      <c r="C23">
        <v>20.319288461538445</v>
      </c>
      <c r="D23" s="20" t="s">
        <v>816</v>
      </c>
      <c r="E23" s="20" t="s">
        <v>821</v>
      </c>
      <c r="H23">
        <v>15.98</v>
      </c>
      <c r="I23">
        <v>3.93</v>
      </c>
      <c r="M23">
        <v>6.93</v>
      </c>
      <c r="O23">
        <v>8.9700000000000006</v>
      </c>
      <c r="Q23">
        <v>7.2229999999999999</v>
      </c>
      <c r="S23">
        <v>5.61</v>
      </c>
      <c r="T23">
        <v>4.58</v>
      </c>
      <c r="V23">
        <v>7.43</v>
      </c>
      <c r="Y23">
        <v>5.21</v>
      </c>
      <c r="Z23">
        <v>4.25</v>
      </c>
      <c r="AB23">
        <v>7.26</v>
      </c>
      <c r="AD23">
        <v>6.5</v>
      </c>
      <c r="AG23">
        <v>9.3000000000000007</v>
      </c>
      <c r="AJ23">
        <v>5.8</v>
      </c>
      <c r="AK23">
        <v>7.03</v>
      </c>
      <c r="AN23">
        <v>7.27</v>
      </c>
      <c r="AQ23">
        <v>6.55</v>
      </c>
      <c r="AT23">
        <v>7.67</v>
      </c>
      <c r="AW23">
        <v>14.34</v>
      </c>
      <c r="AZ23">
        <v>3.92</v>
      </c>
      <c r="BA23">
        <v>6.52</v>
      </c>
      <c r="BE23">
        <v>9.1199999999999992</v>
      </c>
      <c r="BG23">
        <v>8.1999999999999993</v>
      </c>
      <c r="BJ23">
        <v>7.1</v>
      </c>
      <c r="BK23">
        <v>5.98</v>
      </c>
      <c r="BL23">
        <v>9.68</v>
      </c>
      <c r="BQ23">
        <v>8.52</v>
      </c>
      <c r="BS23">
        <v>8.52</v>
      </c>
      <c r="BV23">
        <v>7.9</v>
      </c>
      <c r="BX23">
        <v>9.76</v>
      </c>
      <c r="BY23">
        <v>4.47</v>
      </c>
      <c r="CB23">
        <v>8.84</v>
      </c>
      <c r="CD23">
        <v>7.57</v>
      </c>
      <c r="CI23">
        <v>8.5500000000000007</v>
      </c>
      <c r="CK23">
        <v>4.92</v>
      </c>
      <c r="CL23">
        <v>3.59</v>
      </c>
      <c r="CN23">
        <v>8.23</v>
      </c>
      <c r="CQ23">
        <v>7.63</v>
      </c>
      <c r="CU23">
        <v>8.07</v>
      </c>
      <c r="CV23">
        <v>8.74</v>
      </c>
      <c r="CX23">
        <v>7.56</v>
      </c>
      <c r="CZ23">
        <v>9.0399999999999991</v>
      </c>
      <c r="DB23">
        <v>5.92</v>
      </c>
      <c r="DE23">
        <v>7.1</v>
      </c>
      <c r="DG23">
        <v>7.67</v>
      </c>
      <c r="DJ23">
        <v>10.039999999999999</v>
      </c>
      <c r="DL23">
        <v>4.21</v>
      </c>
      <c r="DM23">
        <v>5.14</v>
      </c>
      <c r="DO23">
        <v>3.69</v>
      </c>
      <c r="DP23">
        <v>7.75</v>
      </c>
      <c r="DQ23">
        <v>4.87</v>
      </c>
      <c r="DS23">
        <v>2.88</v>
      </c>
      <c r="DU23">
        <v>5.58</v>
      </c>
      <c r="DV23">
        <v>5.32</v>
      </c>
      <c r="DW23">
        <v>4.29</v>
      </c>
      <c r="DY23">
        <v>10.84</v>
      </c>
      <c r="EA23">
        <v>4.9000000000000004</v>
      </c>
      <c r="EE23">
        <v>12.15</v>
      </c>
      <c r="EF23">
        <v>4.62</v>
      </c>
      <c r="EI23">
        <v>5.88</v>
      </c>
      <c r="EJ23">
        <v>7.9</v>
      </c>
      <c r="EK23">
        <v>3.35</v>
      </c>
      <c r="EN23">
        <v>5.22</v>
      </c>
      <c r="EP23">
        <v>5.64</v>
      </c>
      <c r="EQ23">
        <v>4.6900000000000004</v>
      </c>
      <c r="ER23">
        <v>6.32</v>
      </c>
      <c r="ES23">
        <v>7.06</v>
      </c>
      <c r="EW23">
        <v>6</v>
      </c>
      <c r="EY23">
        <v>7.4</v>
      </c>
      <c r="EZ23">
        <v>4.09</v>
      </c>
      <c r="FB23">
        <v>5.69</v>
      </c>
      <c r="FE23">
        <v>13.34</v>
      </c>
      <c r="FG23">
        <v>4.99</v>
      </c>
      <c r="FK23">
        <v>14.47</v>
      </c>
      <c r="FO23">
        <v>10.81</v>
      </c>
      <c r="FP23">
        <v>5.25</v>
      </c>
      <c r="FT23">
        <v>10.220000000000001</v>
      </c>
      <c r="FU23">
        <v>6.77</v>
      </c>
      <c r="FW23">
        <v>7.29</v>
      </c>
      <c r="GA23">
        <v>13</v>
      </c>
      <c r="GE23">
        <v>11.02</v>
      </c>
      <c r="GG23">
        <v>12.01</v>
      </c>
      <c r="GI23">
        <v>7.54</v>
      </c>
      <c r="GJ23">
        <v>5.18</v>
      </c>
      <c r="GM23">
        <v>7.15</v>
      </c>
      <c r="GN23">
        <v>7.71</v>
      </c>
      <c r="GQ23">
        <v>6.4</v>
      </c>
      <c r="GS23">
        <v>5.55</v>
      </c>
      <c r="GU23">
        <v>6.13</v>
      </c>
      <c r="GV23">
        <v>7.66</v>
      </c>
      <c r="GY23">
        <v>14.66</v>
      </c>
      <c r="HA23">
        <v>5.0199999999999898</v>
      </c>
      <c r="HB23">
        <v>7.73</v>
      </c>
      <c r="HH23">
        <v>6.41</v>
      </c>
      <c r="HI23">
        <v>6.41</v>
      </c>
      <c r="HJ23">
        <v>7.09</v>
      </c>
      <c r="HK23">
        <v>4.8099999999999898</v>
      </c>
      <c r="HM23">
        <v>6.07</v>
      </c>
      <c r="HO23">
        <v>5.62</v>
      </c>
      <c r="HQ23">
        <v>9.8000000000000007</v>
      </c>
      <c r="HT23">
        <v>7.99</v>
      </c>
      <c r="HW23">
        <v>6.93</v>
      </c>
      <c r="HX23">
        <v>6.33</v>
      </c>
      <c r="HY23">
        <v>4.95</v>
      </c>
      <c r="IA23">
        <v>7.93</v>
      </c>
      <c r="IB23">
        <v>7.56</v>
      </c>
      <c r="IC23">
        <v>7.84</v>
      </c>
      <c r="IF23">
        <v>6.31</v>
      </c>
      <c r="IJ23">
        <v>7.14</v>
      </c>
      <c r="IK23">
        <v>13.43</v>
      </c>
      <c r="IO23">
        <v>8.6199999999999903</v>
      </c>
      <c r="IP23">
        <v>6.96</v>
      </c>
      <c r="IS23">
        <v>9.67</v>
      </c>
      <c r="IU23">
        <v>8.8000000000000007</v>
      </c>
      <c r="IX23">
        <v>7.54</v>
      </c>
      <c r="IZ23">
        <v>5.05</v>
      </c>
      <c r="JA23">
        <v>6.72</v>
      </c>
      <c r="JB23">
        <v>4.21</v>
      </c>
      <c r="JE23">
        <v>5.56</v>
      </c>
      <c r="JG23">
        <v>8.69</v>
      </c>
      <c r="JJ23">
        <v>8.7799999999999905</v>
      </c>
      <c r="JM23">
        <v>6.88</v>
      </c>
      <c r="JO23">
        <v>7.76</v>
      </c>
      <c r="JP23">
        <v>5.97</v>
      </c>
      <c r="JS23">
        <v>6.92</v>
      </c>
      <c r="JT23">
        <v>9.6300000000000008</v>
      </c>
      <c r="JY23">
        <v>7.02</v>
      </c>
      <c r="JZ23">
        <v>9.77</v>
      </c>
      <c r="KC23">
        <v>12.67</v>
      </c>
      <c r="KD23">
        <v>6</v>
      </c>
      <c r="KH23">
        <v>9.5399999999999903</v>
      </c>
      <c r="KI23">
        <v>6.85</v>
      </c>
      <c r="KK23">
        <v>7.78</v>
      </c>
      <c r="KL23">
        <v>7.64</v>
      </c>
      <c r="KN23">
        <v>8.02</v>
      </c>
      <c r="KO23">
        <v>4.72</v>
      </c>
      <c r="KQ23">
        <v>12.38</v>
      </c>
      <c r="KT23">
        <v>8.1</v>
      </c>
      <c r="KW23">
        <v>9.17</v>
      </c>
      <c r="KZ23">
        <v>7.78</v>
      </c>
      <c r="LD23">
        <v>6.24</v>
      </c>
      <c r="LE23">
        <v>7.73</v>
      </c>
      <c r="LG23">
        <v>4.4400000000000004</v>
      </c>
    </row>
    <row r="24" spans="1:319">
      <c r="A24" s="20" t="s">
        <v>262</v>
      </c>
      <c r="B24">
        <v>10.64</v>
      </c>
      <c r="C24">
        <v>0.20461538461538462</v>
      </c>
      <c r="D24" s="20" t="s">
        <v>816</v>
      </c>
      <c r="E24" s="20" t="s">
        <v>821</v>
      </c>
      <c r="DJ24">
        <v>6.44</v>
      </c>
      <c r="IR24">
        <v>4.2</v>
      </c>
    </row>
    <row r="25" spans="1:319">
      <c r="A25" s="20" t="s">
        <v>337</v>
      </c>
      <c r="B25">
        <v>916.26999999999964</v>
      </c>
      <c r="C25">
        <v>17.620576923076918</v>
      </c>
      <c r="D25" s="20" t="s">
        <v>816</v>
      </c>
      <c r="E25" s="20" t="s">
        <v>822</v>
      </c>
      <c r="H25">
        <v>6.61</v>
      </c>
      <c r="J25">
        <v>10.08</v>
      </c>
      <c r="M25">
        <v>9.57</v>
      </c>
      <c r="P25">
        <v>8.84</v>
      </c>
      <c r="S25">
        <v>9.66</v>
      </c>
      <c r="V25">
        <v>9.32</v>
      </c>
      <c r="Z25">
        <v>9.9600000000000009</v>
      </c>
      <c r="AB25">
        <v>10.06</v>
      </c>
      <c r="AE25">
        <v>9.77</v>
      </c>
      <c r="AH25">
        <v>9.23</v>
      </c>
      <c r="AK25">
        <v>9.74</v>
      </c>
      <c r="AN25">
        <v>7.5</v>
      </c>
      <c r="AQ25">
        <v>9.34</v>
      </c>
      <c r="AT25">
        <v>7.21</v>
      </c>
      <c r="AW25">
        <v>9.89</v>
      </c>
      <c r="AZ25">
        <v>6.8</v>
      </c>
      <c r="BC25">
        <v>9.94</v>
      </c>
      <c r="BF25">
        <v>7.38</v>
      </c>
      <c r="BI25">
        <v>9.69</v>
      </c>
      <c r="BL25">
        <v>8.56</v>
      </c>
      <c r="BO25">
        <v>10.27</v>
      </c>
      <c r="BR25">
        <v>8.9</v>
      </c>
      <c r="BU25">
        <v>10.050000000000001</v>
      </c>
      <c r="CB25">
        <v>9.0399999999999991</v>
      </c>
      <c r="CE25">
        <v>9.1</v>
      </c>
      <c r="CH25">
        <v>9.31</v>
      </c>
      <c r="CK25">
        <v>10.210000000000001</v>
      </c>
      <c r="CN25">
        <v>9.34</v>
      </c>
      <c r="CQ25">
        <v>8.7100000000000009</v>
      </c>
      <c r="CT25">
        <v>9.74</v>
      </c>
      <c r="CW25">
        <v>9.1300000000000008</v>
      </c>
      <c r="CZ25">
        <v>8.7100000000000009</v>
      </c>
      <c r="DC25">
        <v>10.49</v>
      </c>
      <c r="DM25">
        <v>10.08</v>
      </c>
      <c r="DP25">
        <v>9.83</v>
      </c>
      <c r="DS25">
        <v>9.07</v>
      </c>
      <c r="DV25">
        <v>8.58</v>
      </c>
      <c r="EB25">
        <v>8.31</v>
      </c>
      <c r="EE25">
        <v>9.36</v>
      </c>
      <c r="EH25">
        <v>8.9499999999999904</v>
      </c>
      <c r="EK25">
        <v>9.39</v>
      </c>
      <c r="EN25">
        <v>8.9499999999999904</v>
      </c>
      <c r="EQ25">
        <v>9.84</v>
      </c>
      <c r="ET25">
        <v>9.67</v>
      </c>
      <c r="EW25">
        <v>9.0399999999999903</v>
      </c>
      <c r="EZ25">
        <v>9.32</v>
      </c>
      <c r="FC25">
        <v>8.9499999999999904</v>
      </c>
      <c r="FF25">
        <v>10.57</v>
      </c>
      <c r="FI25">
        <v>8.68</v>
      </c>
      <c r="FL25">
        <v>10.4</v>
      </c>
      <c r="FO25">
        <v>9.76</v>
      </c>
      <c r="FR25">
        <v>9.6999999999999904</v>
      </c>
      <c r="FU25">
        <v>9.5299999999999905</v>
      </c>
      <c r="FX25">
        <v>8.09</v>
      </c>
      <c r="GA25">
        <v>9.8000000000000007</v>
      </c>
      <c r="GE25">
        <v>9.8000000000000007</v>
      </c>
      <c r="GG25">
        <v>9.98</v>
      </c>
      <c r="GJ25">
        <v>8.2899999999999903</v>
      </c>
      <c r="GM25">
        <v>9.99</v>
      </c>
      <c r="GP25">
        <v>8.3000000000000007</v>
      </c>
      <c r="GT25">
        <v>9.58</v>
      </c>
      <c r="GV25">
        <v>9.74</v>
      </c>
      <c r="HB25">
        <v>8.15</v>
      </c>
      <c r="HE25">
        <v>10.050000000000001</v>
      </c>
      <c r="HH25">
        <v>6.98</v>
      </c>
      <c r="HK25">
        <v>9.82</v>
      </c>
      <c r="HN25">
        <v>7.26</v>
      </c>
      <c r="HQ25">
        <v>9.8800000000000008</v>
      </c>
      <c r="HT25">
        <v>10.28</v>
      </c>
      <c r="HW25">
        <v>9.94</v>
      </c>
      <c r="HZ25">
        <v>8.85</v>
      </c>
      <c r="IC25">
        <v>11.04</v>
      </c>
      <c r="IF25">
        <v>9</v>
      </c>
      <c r="II25">
        <v>10.43</v>
      </c>
      <c r="IL25">
        <v>8.7899999999999903</v>
      </c>
      <c r="IO25">
        <v>10.5</v>
      </c>
      <c r="IR25">
        <v>7.85</v>
      </c>
      <c r="IU25">
        <v>8.82</v>
      </c>
      <c r="IY25">
        <v>10.51</v>
      </c>
      <c r="JA25">
        <v>9.9499999999999904</v>
      </c>
      <c r="JD25">
        <v>8.3699999999999903</v>
      </c>
      <c r="JG25">
        <v>10.07</v>
      </c>
      <c r="JJ25">
        <v>9.01</v>
      </c>
      <c r="JM25">
        <v>9.92</v>
      </c>
      <c r="JP25">
        <v>8.4600000000000009</v>
      </c>
      <c r="JS25">
        <v>10.99</v>
      </c>
      <c r="JV25">
        <v>7.82</v>
      </c>
      <c r="JY25">
        <v>10.1199999999999</v>
      </c>
      <c r="KB25">
        <v>7.76</v>
      </c>
      <c r="KE25">
        <v>8.99</v>
      </c>
      <c r="KH25">
        <v>9.02</v>
      </c>
      <c r="KK25">
        <v>9.74</v>
      </c>
      <c r="KN25">
        <v>9.8000000000000007</v>
      </c>
      <c r="KQ25">
        <v>9.56</v>
      </c>
      <c r="KT25">
        <v>8.1999999999999904</v>
      </c>
      <c r="KW25">
        <v>10.0399999999999</v>
      </c>
      <c r="KZ25">
        <v>7.28</v>
      </c>
      <c r="LC25">
        <v>10.94</v>
      </c>
      <c r="LF25">
        <v>8.3800000000000008</v>
      </c>
    </row>
    <row r="26" spans="1:319">
      <c r="A26" s="20" t="s">
        <v>70</v>
      </c>
      <c r="B26">
        <v>241.72000000000003</v>
      </c>
      <c r="C26">
        <v>4.6484615384615386</v>
      </c>
      <c r="D26" s="20" t="s">
        <v>816</v>
      </c>
      <c r="E26" s="20" t="s">
        <v>823</v>
      </c>
      <c r="AC26">
        <v>6.08</v>
      </c>
      <c r="AH26">
        <v>9.76</v>
      </c>
      <c r="AR26">
        <v>6.46</v>
      </c>
      <c r="AV26">
        <v>9.49</v>
      </c>
      <c r="BH26">
        <v>8.41</v>
      </c>
      <c r="BK26">
        <v>2.0699999999999998</v>
      </c>
      <c r="BS26">
        <v>8.1300000000000008</v>
      </c>
      <c r="BU26">
        <v>4.93</v>
      </c>
      <c r="BX26">
        <v>8.2100000000000009</v>
      </c>
      <c r="CT26">
        <v>8.3000000000000007</v>
      </c>
      <c r="DD26">
        <v>7.25</v>
      </c>
      <c r="EP26">
        <v>8.7100000000000009</v>
      </c>
      <c r="FB26">
        <v>7.22</v>
      </c>
      <c r="FG26">
        <v>5.34</v>
      </c>
      <c r="FM26">
        <v>6.36</v>
      </c>
      <c r="FS26">
        <v>5.16</v>
      </c>
      <c r="GE26">
        <v>6.79</v>
      </c>
      <c r="GJ26">
        <v>8.92</v>
      </c>
      <c r="GQ26">
        <v>7.48</v>
      </c>
      <c r="GW26">
        <v>7.61</v>
      </c>
      <c r="HB26">
        <v>8.17</v>
      </c>
      <c r="HO26">
        <v>4.2</v>
      </c>
      <c r="IA26">
        <v>7.75</v>
      </c>
      <c r="IG26">
        <v>5.63</v>
      </c>
      <c r="IM26">
        <v>6.75</v>
      </c>
      <c r="IS26">
        <v>6.18</v>
      </c>
      <c r="IY26">
        <v>4.3600000000000003</v>
      </c>
      <c r="JE26">
        <v>5.65</v>
      </c>
      <c r="JK26">
        <v>5.56</v>
      </c>
      <c r="JQ26">
        <v>5.5</v>
      </c>
      <c r="JW26">
        <v>6.58</v>
      </c>
      <c r="KC26">
        <v>6.99</v>
      </c>
      <c r="KI26">
        <v>4.55</v>
      </c>
      <c r="KO26">
        <v>5.45</v>
      </c>
      <c r="KV26">
        <v>7.6</v>
      </c>
      <c r="LG26">
        <v>8.1199999999999903</v>
      </c>
    </row>
    <row r="27" spans="1:319">
      <c r="A27" s="20" t="s">
        <v>81</v>
      </c>
      <c r="B27">
        <v>1893.8299999999997</v>
      </c>
      <c r="C27">
        <v>36.419807692307685</v>
      </c>
      <c r="D27" s="20" t="s">
        <v>816</v>
      </c>
      <c r="E27" s="20" t="s">
        <v>823</v>
      </c>
      <c r="F27">
        <v>7.03</v>
      </c>
      <c r="G27">
        <v>5.63</v>
      </c>
      <c r="H27">
        <v>5.98</v>
      </c>
      <c r="J27">
        <v>17.36</v>
      </c>
      <c r="L27">
        <v>11.17</v>
      </c>
      <c r="N27">
        <v>12.71</v>
      </c>
      <c r="O27">
        <v>6.65</v>
      </c>
      <c r="P27">
        <v>10.77</v>
      </c>
      <c r="R27">
        <v>7.03</v>
      </c>
      <c r="S27">
        <v>6.78</v>
      </c>
      <c r="T27">
        <v>13.21</v>
      </c>
      <c r="V27">
        <v>9.94</v>
      </c>
      <c r="X27">
        <v>12.33</v>
      </c>
      <c r="Y27">
        <v>6.72</v>
      </c>
      <c r="Z27">
        <v>15.14</v>
      </c>
      <c r="AB27">
        <v>13.27</v>
      </c>
      <c r="AD27">
        <v>6.52</v>
      </c>
      <c r="AF27">
        <v>12.55</v>
      </c>
      <c r="AG27">
        <v>7.79</v>
      </c>
      <c r="AJ27">
        <v>16.510000000000002</v>
      </c>
      <c r="AM27">
        <v>19.64</v>
      </c>
      <c r="AO27">
        <v>7.9</v>
      </c>
      <c r="AP27">
        <v>16.64</v>
      </c>
      <c r="AR27">
        <v>16.329999999999998</v>
      </c>
      <c r="AT27">
        <v>13.44</v>
      </c>
      <c r="AV27">
        <v>11.05</v>
      </c>
      <c r="AX27">
        <v>10.47</v>
      </c>
      <c r="BA27">
        <v>8.7100000000000009</v>
      </c>
      <c r="BB27">
        <v>5.87</v>
      </c>
      <c r="BE27">
        <v>16.39</v>
      </c>
      <c r="BF27">
        <v>19.62</v>
      </c>
      <c r="BH27">
        <v>13.33</v>
      </c>
      <c r="BJ27">
        <v>8.4700000000000006</v>
      </c>
      <c r="BL27">
        <v>6.6</v>
      </c>
      <c r="BN27">
        <v>13.78</v>
      </c>
      <c r="BQ27">
        <v>17.62</v>
      </c>
      <c r="BR27">
        <v>6.76</v>
      </c>
      <c r="BT27">
        <v>8.1300000000000008</v>
      </c>
      <c r="BU27">
        <v>5.19</v>
      </c>
      <c r="BX27">
        <v>17.649999999999999</v>
      </c>
      <c r="CA27">
        <v>15.7</v>
      </c>
      <c r="CD27">
        <v>16.89</v>
      </c>
      <c r="CF27">
        <v>9.75</v>
      </c>
      <c r="CG27">
        <v>23.18</v>
      </c>
      <c r="CI27">
        <v>7.04</v>
      </c>
      <c r="CJ27">
        <v>9.4600000000000009</v>
      </c>
      <c r="CK27">
        <v>3.84</v>
      </c>
      <c r="CL27">
        <v>6.91</v>
      </c>
      <c r="CM27">
        <v>6.86</v>
      </c>
      <c r="CO27">
        <v>17.079999999999998</v>
      </c>
      <c r="CQ27">
        <v>7.98</v>
      </c>
      <c r="CR27">
        <v>14.31</v>
      </c>
      <c r="CU27">
        <v>16.27</v>
      </c>
      <c r="CW27">
        <v>14.37</v>
      </c>
      <c r="CY27">
        <v>10.89</v>
      </c>
      <c r="DB27">
        <v>17.96</v>
      </c>
      <c r="DL27">
        <v>5.67</v>
      </c>
      <c r="DM27">
        <v>7</v>
      </c>
      <c r="DN27">
        <v>20.64</v>
      </c>
      <c r="DP27">
        <v>10.63</v>
      </c>
      <c r="DR27">
        <v>11.52</v>
      </c>
      <c r="DT27">
        <v>10.14</v>
      </c>
      <c r="DV27">
        <v>13.53</v>
      </c>
      <c r="DX27">
        <v>13.6</v>
      </c>
      <c r="DZ27">
        <v>13.58</v>
      </c>
      <c r="EB27">
        <v>10.01</v>
      </c>
      <c r="ED27">
        <v>10.17</v>
      </c>
      <c r="EF27">
        <v>19.96</v>
      </c>
      <c r="EH27">
        <v>11.49</v>
      </c>
      <c r="EJ27">
        <v>13.07</v>
      </c>
      <c r="EL27">
        <v>4.6900000000000004</v>
      </c>
      <c r="EN27">
        <v>21.14</v>
      </c>
      <c r="EP27">
        <v>12.75</v>
      </c>
      <c r="ER27">
        <v>10.91</v>
      </c>
      <c r="ET27">
        <v>10.72</v>
      </c>
      <c r="EV27">
        <v>12.58</v>
      </c>
      <c r="EX27">
        <v>9.64</v>
      </c>
      <c r="EZ27">
        <v>11.92</v>
      </c>
      <c r="FB27">
        <v>11.56</v>
      </c>
      <c r="FC27">
        <v>7.23</v>
      </c>
      <c r="FD27">
        <v>14.27</v>
      </c>
      <c r="FF27">
        <v>11.99</v>
      </c>
      <c r="FH27">
        <v>7.73</v>
      </c>
      <c r="FJ27">
        <v>13.97</v>
      </c>
      <c r="FL27">
        <v>11.86</v>
      </c>
      <c r="FN27">
        <v>14.88</v>
      </c>
      <c r="FP27">
        <v>11.75</v>
      </c>
      <c r="FR27">
        <v>10.56</v>
      </c>
      <c r="FT27">
        <v>6.87</v>
      </c>
      <c r="FU27">
        <v>3.72</v>
      </c>
      <c r="FV27">
        <v>13.77</v>
      </c>
      <c r="FX27">
        <v>10.8</v>
      </c>
      <c r="FZ27">
        <v>14.44</v>
      </c>
      <c r="GB27">
        <v>13.66</v>
      </c>
      <c r="GD27">
        <v>10.99</v>
      </c>
      <c r="GF27">
        <v>12.73</v>
      </c>
      <c r="GH27">
        <v>11.05</v>
      </c>
      <c r="GJ27">
        <v>11.02</v>
      </c>
      <c r="GL27">
        <v>13.28</v>
      </c>
      <c r="GN27">
        <v>14.79</v>
      </c>
      <c r="GP27">
        <v>11.31</v>
      </c>
      <c r="GR27">
        <v>12.69</v>
      </c>
      <c r="GT27">
        <v>12.34</v>
      </c>
      <c r="GV27">
        <v>10.65</v>
      </c>
      <c r="GX27">
        <v>11.56</v>
      </c>
      <c r="GZ27">
        <v>13.79</v>
      </c>
      <c r="HB27">
        <v>12.26</v>
      </c>
      <c r="HD27">
        <v>13.27</v>
      </c>
      <c r="HF27">
        <v>14.79</v>
      </c>
      <c r="HH27">
        <v>13.24</v>
      </c>
      <c r="HJ27">
        <v>3.88</v>
      </c>
      <c r="HL27">
        <v>21.07</v>
      </c>
      <c r="HN27">
        <v>14.32</v>
      </c>
      <c r="HP27">
        <v>11.31</v>
      </c>
      <c r="HR27">
        <v>10.130000000000001</v>
      </c>
      <c r="HT27">
        <v>12.8</v>
      </c>
      <c r="HV27">
        <v>14.22</v>
      </c>
      <c r="HW27">
        <v>5.76</v>
      </c>
      <c r="HX27">
        <v>4.6399999999999899</v>
      </c>
      <c r="HZ27">
        <v>12.87</v>
      </c>
      <c r="IB27">
        <v>21.88</v>
      </c>
      <c r="ID27">
        <v>9.82</v>
      </c>
      <c r="IF27">
        <v>9.07</v>
      </c>
      <c r="IJ27">
        <v>14.34</v>
      </c>
      <c r="IL27">
        <v>10.06</v>
      </c>
      <c r="IO27">
        <v>15.28</v>
      </c>
      <c r="IQ27">
        <v>18.18</v>
      </c>
      <c r="IT27">
        <v>15.8</v>
      </c>
      <c r="IU27">
        <v>8.18</v>
      </c>
      <c r="IV27">
        <v>14.32</v>
      </c>
      <c r="IX27">
        <v>11.76</v>
      </c>
      <c r="IZ27">
        <v>12.45</v>
      </c>
      <c r="JC27">
        <v>16.09</v>
      </c>
      <c r="JF27">
        <v>13.87</v>
      </c>
      <c r="JH27">
        <v>13.26</v>
      </c>
      <c r="JK27">
        <v>5.76</v>
      </c>
      <c r="JL27">
        <v>11.92</v>
      </c>
      <c r="JM27">
        <v>9.02</v>
      </c>
      <c r="JN27">
        <v>3.9</v>
      </c>
      <c r="JP27">
        <v>11.46</v>
      </c>
      <c r="JR27">
        <v>11.09</v>
      </c>
      <c r="JT27">
        <v>12.92</v>
      </c>
      <c r="JV27">
        <v>8.98</v>
      </c>
      <c r="JW27">
        <v>6.9</v>
      </c>
      <c r="JX27">
        <v>6.09</v>
      </c>
      <c r="JZ27">
        <v>19.38</v>
      </c>
      <c r="KD27">
        <v>15.51</v>
      </c>
      <c r="KG27">
        <v>18.079999999999899</v>
      </c>
      <c r="KH27">
        <v>9.24</v>
      </c>
      <c r="KJ27">
        <v>7.49</v>
      </c>
      <c r="KL27">
        <v>11.89</v>
      </c>
      <c r="KN27">
        <v>15.16</v>
      </c>
      <c r="KP27">
        <v>8.23</v>
      </c>
      <c r="KR27">
        <v>8.39</v>
      </c>
      <c r="KS27">
        <v>4.5199999999999898</v>
      </c>
      <c r="KT27">
        <v>8.17</v>
      </c>
      <c r="KV27">
        <v>8.1999999999999904</v>
      </c>
      <c r="KW27">
        <v>8.36</v>
      </c>
      <c r="KX27">
        <v>10.75</v>
      </c>
      <c r="KZ27">
        <v>8.85</v>
      </c>
      <c r="LB27">
        <v>5.56</v>
      </c>
      <c r="LC27">
        <v>5.83</v>
      </c>
      <c r="LD27">
        <v>11.09</v>
      </c>
      <c r="LF27">
        <v>7.92</v>
      </c>
      <c r="LG27">
        <v>6.46</v>
      </c>
    </row>
    <row r="28" spans="1:319">
      <c r="A28" s="20" t="s">
        <v>122</v>
      </c>
      <c r="B28">
        <v>1399.4100000000003</v>
      </c>
      <c r="C28">
        <v>26.911730769230775</v>
      </c>
      <c r="D28" s="20" t="s">
        <v>816</v>
      </c>
      <c r="E28" s="20" t="s">
        <v>823</v>
      </c>
      <c r="G28">
        <v>6.79</v>
      </c>
      <c r="J28">
        <v>8.9499999999999993</v>
      </c>
      <c r="K28">
        <v>8.64</v>
      </c>
      <c r="M28">
        <v>9.82</v>
      </c>
      <c r="P28">
        <v>7.57</v>
      </c>
      <c r="S28">
        <v>17.23</v>
      </c>
      <c r="V28">
        <v>10.28</v>
      </c>
      <c r="W28">
        <v>6.36</v>
      </c>
      <c r="Z28">
        <v>17</v>
      </c>
      <c r="AA28">
        <v>8.6999999999999993</v>
      </c>
      <c r="AC28">
        <v>7.39</v>
      </c>
      <c r="AD28">
        <v>7.54</v>
      </c>
      <c r="AF28">
        <v>11.5</v>
      </c>
      <c r="AH28">
        <v>14.79</v>
      </c>
      <c r="AJ28">
        <v>8.2200000000000006</v>
      </c>
      <c r="AL28">
        <v>10.76</v>
      </c>
      <c r="AO28">
        <v>12.81</v>
      </c>
      <c r="AQ28">
        <v>8.7100000000000009</v>
      </c>
      <c r="AS28">
        <v>10.41</v>
      </c>
      <c r="AU28">
        <v>7.5</v>
      </c>
      <c r="AV28">
        <v>12.16</v>
      </c>
      <c r="AW28">
        <v>5.9</v>
      </c>
      <c r="AY28">
        <v>12.29</v>
      </c>
      <c r="BB28">
        <v>6.56</v>
      </c>
      <c r="BD28">
        <v>8.4</v>
      </c>
      <c r="BE28">
        <v>7.64</v>
      </c>
      <c r="BH28">
        <v>7.83</v>
      </c>
      <c r="BJ28">
        <v>8.5399999999999991</v>
      </c>
      <c r="BK28">
        <v>4.55</v>
      </c>
      <c r="BL28">
        <v>8.4499999999999993</v>
      </c>
      <c r="BO28">
        <v>9.57</v>
      </c>
      <c r="BS28">
        <v>20.79</v>
      </c>
      <c r="BT28">
        <v>6.98</v>
      </c>
      <c r="BU28">
        <v>3.62</v>
      </c>
      <c r="BW28">
        <v>10.39</v>
      </c>
      <c r="BY28">
        <v>6.65</v>
      </c>
      <c r="CA28">
        <v>5.78</v>
      </c>
      <c r="CB28">
        <v>5.71</v>
      </c>
      <c r="CD28">
        <v>8.93</v>
      </c>
      <c r="CH28">
        <v>8.56</v>
      </c>
      <c r="CI28">
        <v>6.8</v>
      </c>
      <c r="CJ28">
        <v>7.09</v>
      </c>
      <c r="CK28">
        <v>5</v>
      </c>
      <c r="CN28">
        <v>18.95</v>
      </c>
      <c r="CR28">
        <v>9.91</v>
      </c>
      <c r="CS28">
        <v>8.17</v>
      </c>
      <c r="CU28">
        <v>8.41</v>
      </c>
      <c r="CV28">
        <v>6.55</v>
      </c>
      <c r="CW28">
        <v>5.96</v>
      </c>
      <c r="CX28">
        <v>5.97</v>
      </c>
      <c r="CZ28">
        <v>7.42</v>
      </c>
      <c r="DA28">
        <v>8.7200000000000006</v>
      </c>
      <c r="DB28">
        <v>9.4600000000000009</v>
      </c>
      <c r="DC28">
        <v>5.31</v>
      </c>
      <c r="DL28">
        <v>10.6</v>
      </c>
      <c r="DN28">
        <v>8.65</v>
      </c>
      <c r="DP28">
        <v>7.74</v>
      </c>
      <c r="DQ28">
        <v>3.25</v>
      </c>
      <c r="DR28">
        <v>5.87</v>
      </c>
      <c r="DT28">
        <v>8.1</v>
      </c>
      <c r="DV28">
        <v>6.67</v>
      </c>
      <c r="DY28">
        <v>5.56</v>
      </c>
      <c r="EA28">
        <v>9.0399999999999903</v>
      </c>
      <c r="EB28">
        <v>6.66</v>
      </c>
      <c r="EC28">
        <v>5.47</v>
      </c>
      <c r="ED28">
        <v>6.55</v>
      </c>
      <c r="EE28">
        <v>8.44</v>
      </c>
      <c r="EF28">
        <v>8.18</v>
      </c>
      <c r="EH28">
        <v>8.35</v>
      </c>
      <c r="EK28">
        <v>8.25</v>
      </c>
      <c r="EL28">
        <v>5.16</v>
      </c>
      <c r="EP28">
        <v>8.64</v>
      </c>
      <c r="EQ28">
        <v>10.46</v>
      </c>
      <c r="ER28">
        <v>6.21</v>
      </c>
      <c r="ET28">
        <v>10.75</v>
      </c>
      <c r="EV28">
        <v>8.3800000000000008</v>
      </c>
      <c r="EW28">
        <v>3.13</v>
      </c>
      <c r="EX28">
        <v>7.11</v>
      </c>
      <c r="EZ28">
        <v>7.59</v>
      </c>
      <c r="FB28">
        <v>8.7200000000000006</v>
      </c>
      <c r="FC28">
        <v>6.45</v>
      </c>
      <c r="FE28">
        <v>8.7799999999999905</v>
      </c>
      <c r="FF28">
        <v>5.39</v>
      </c>
      <c r="FG28">
        <v>8.6199999999999903</v>
      </c>
      <c r="FI28">
        <v>7.63</v>
      </c>
      <c r="FJ28">
        <v>8.1</v>
      </c>
      <c r="FL28">
        <v>9.06</v>
      </c>
      <c r="FN28">
        <v>13.44</v>
      </c>
      <c r="FR28">
        <v>15.05</v>
      </c>
      <c r="FU28">
        <v>5.25</v>
      </c>
      <c r="FV28">
        <v>4</v>
      </c>
      <c r="FX28">
        <v>10.87</v>
      </c>
      <c r="GA28">
        <v>14.98</v>
      </c>
      <c r="GC28">
        <v>6.57</v>
      </c>
      <c r="GD28">
        <v>7.47</v>
      </c>
      <c r="GE28">
        <v>3.8</v>
      </c>
      <c r="GF28">
        <v>8.2899999999999903</v>
      </c>
      <c r="GG28">
        <v>7.06</v>
      </c>
      <c r="GI28">
        <v>8.56</v>
      </c>
      <c r="GJ28">
        <v>3.62</v>
      </c>
      <c r="GM28">
        <v>15.16</v>
      </c>
      <c r="GP28">
        <v>11.37</v>
      </c>
      <c r="GS28">
        <v>8.75</v>
      </c>
      <c r="GT28">
        <v>7.37</v>
      </c>
      <c r="GU28">
        <v>7.69</v>
      </c>
      <c r="GW28">
        <v>6.93</v>
      </c>
      <c r="GY28">
        <v>15.34</v>
      </c>
      <c r="HB28">
        <v>12.04</v>
      </c>
      <c r="HD28">
        <v>5.07</v>
      </c>
      <c r="HE28">
        <v>12.9</v>
      </c>
      <c r="HG28">
        <v>6.78</v>
      </c>
      <c r="HJ28">
        <v>7.13</v>
      </c>
      <c r="HK28">
        <v>7.89</v>
      </c>
      <c r="HL28">
        <v>4.4000000000000004</v>
      </c>
      <c r="HN28">
        <v>7.66</v>
      </c>
      <c r="HP28">
        <v>6.27</v>
      </c>
      <c r="HR28">
        <v>9.31</v>
      </c>
      <c r="HT28">
        <v>8.67</v>
      </c>
      <c r="HU28">
        <v>4.8</v>
      </c>
      <c r="HW28">
        <v>9.9499999999999904</v>
      </c>
      <c r="HX28">
        <v>6.39</v>
      </c>
      <c r="HZ28">
        <v>5.29</v>
      </c>
      <c r="IC28">
        <v>9.39</v>
      </c>
      <c r="IF28">
        <v>10</v>
      </c>
      <c r="IG28">
        <v>9.52</v>
      </c>
      <c r="IH28">
        <v>9.94</v>
      </c>
      <c r="II28">
        <v>5.73</v>
      </c>
      <c r="IL28">
        <v>10.58</v>
      </c>
      <c r="IO28">
        <v>8.39</v>
      </c>
      <c r="IQ28">
        <v>10.53</v>
      </c>
      <c r="IR28">
        <v>5.83</v>
      </c>
      <c r="IS28">
        <v>5.05</v>
      </c>
      <c r="IT28">
        <v>7.45</v>
      </c>
      <c r="IV28">
        <v>10.44</v>
      </c>
      <c r="IW28">
        <v>4.37</v>
      </c>
      <c r="IX28">
        <v>4.43</v>
      </c>
      <c r="IY28">
        <v>4.8899999999999899</v>
      </c>
      <c r="JA28">
        <v>6.23</v>
      </c>
      <c r="JB28">
        <v>7.56</v>
      </c>
      <c r="JD28">
        <v>8.25</v>
      </c>
      <c r="JG28">
        <v>12.3</v>
      </c>
      <c r="JH28">
        <v>16.14</v>
      </c>
      <c r="JJ28">
        <v>5.75</v>
      </c>
      <c r="JL28">
        <v>8.68</v>
      </c>
      <c r="JM28">
        <v>6.38</v>
      </c>
      <c r="JQ28">
        <v>15.94</v>
      </c>
      <c r="JS28">
        <v>8.26</v>
      </c>
      <c r="JT28">
        <v>5.64</v>
      </c>
      <c r="JW28">
        <v>10.26</v>
      </c>
      <c r="JY28">
        <v>9.81</v>
      </c>
      <c r="KA28">
        <v>7.37</v>
      </c>
      <c r="KB28">
        <v>1.63</v>
      </c>
      <c r="KE28">
        <v>9.08</v>
      </c>
      <c r="KG28">
        <v>8.17</v>
      </c>
      <c r="KH28">
        <v>6.09</v>
      </c>
      <c r="KI28">
        <v>6.64</v>
      </c>
      <c r="KJ28">
        <v>4.24</v>
      </c>
      <c r="KL28">
        <v>8.08</v>
      </c>
      <c r="KN28">
        <v>10.06</v>
      </c>
      <c r="KP28">
        <v>6.5</v>
      </c>
      <c r="KR28">
        <v>8.19</v>
      </c>
      <c r="KU28">
        <v>9.8800000000000008</v>
      </c>
      <c r="KW28">
        <v>10.95</v>
      </c>
      <c r="KY28">
        <v>8.3800000000000008</v>
      </c>
      <c r="LB28">
        <v>9.98</v>
      </c>
      <c r="LD28">
        <v>8.77</v>
      </c>
      <c r="LG28">
        <v>9.99</v>
      </c>
    </row>
    <row r="29" spans="1:319">
      <c r="A29" s="20" t="s">
        <v>87</v>
      </c>
      <c r="B29">
        <v>4.97</v>
      </c>
      <c r="C29">
        <v>9.5576923076923073E-2</v>
      </c>
      <c r="D29" s="20" t="s">
        <v>816</v>
      </c>
      <c r="E29" s="20" t="s">
        <v>823</v>
      </c>
      <c r="HH29">
        <v>4.97</v>
      </c>
    </row>
    <row r="30" spans="1:319">
      <c r="A30" s="20" t="s">
        <v>88</v>
      </c>
      <c r="D30" s="20" t="s">
        <v>816</v>
      </c>
      <c r="E30" s="20" t="s">
        <v>823</v>
      </c>
    </row>
    <row r="31" spans="1:319">
      <c r="A31" s="20" t="s">
        <v>77</v>
      </c>
      <c r="B31">
        <v>1030.9699999999998</v>
      </c>
      <c r="C31">
        <v>19.826346153846149</v>
      </c>
      <c r="D31" s="20" t="s">
        <v>816</v>
      </c>
      <c r="E31" s="20" t="s">
        <v>824</v>
      </c>
      <c r="F31">
        <v>8.17</v>
      </c>
      <c r="H31">
        <v>3.81</v>
      </c>
      <c r="J31">
        <v>6.67</v>
      </c>
      <c r="K31">
        <v>4.6900000000000004</v>
      </c>
      <c r="L31">
        <v>6.29</v>
      </c>
      <c r="N31">
        <v>4.43</v>
      </c>
      <c r="Q31">
        <v>7.44</v>
      </c>
      <c r="R31">
        <v>5.81</v>
      </c>
      <c r="T31">
        <v>7.66</v>
      </c>
      <c r="U31">
        <v>5.13</v>
      </c>
      <c r="W31">
        <v>6.79</v>
      </c>
      <c r="X31">
        <v>3.96</v>
      </c>
      <c r="Y31">
        <v>5.39</v>
      </c>
      <c r="AA31">
        <v>7.72</v>
      </c>
      <c r="AC31">
        <v>4.78</v>
      </c>
      <c r="AE31">
        <v>8.52</v>
      </c>
      <c r="AG31">
        <v>7.56</v>
      </c>
      <c r="AI31">
        <v>6.42</v>
      </c>
      <c r="AK31">
        <v>9.06</v>
      </c>
      <c r="AN31">
        <v>6.78</v>
      </c>
      <c r="AR31">
        <v>8.49</v>
      </c>
      <c r="AT31">
        <v>4.67</v>
      </c>
      <c r="AV31">
        <v>8.0299999999999994</v>
      </c>
      <c r="AY31">
        <v>8.67</v>
      </c>
      <c r="BA31">
        <v>7.63</v>
      </c>
      <c r="BD31">
        <v>4.63</v>
      </c>
      <c r="BG31">
        <v>7.63</v>
      </c>
      <c r="BH31">
        <v>5</v>
      </c>
      <c r="BJ31">
        <v>7.19</v>
      </c>
      <c r="BL31">
        <v>5.64</v>
      </c>
      <c r="BO31">
        <v>8.06</v>
      </c>
      <c r="BP31">
        <v>4.5999999999999996</v>
      </c>
      <c r="BS31">
        <v>9.36</v>
      </c>
      <c r="BU31">
        <v>8.2899999999999991</v>
      </c>
      <c r="BW31">
        <v>7.09</v>
      </c>
      <c r="BY31">
        <v>4.1900000000000004</v>
      </c>
      <c r="CA31">
        <v>6.52</v>
      </c>
      <c r="CC31">
        <v>6.62</v>
      </c>
      <c r="CF31">
        <v>6.89</v>
      </c>
      <c r="CH31">
        <v>6.96</v>
      </c>
      <c r="CJ31">
        <v>8.44</v>
      </c>
      <c r="CL31">
        <v>6.99</v>
      </c>
      <c r="CM31">
        <v>6.2</v>
      </c>
      <c r="CP31">
        <v>8.6199999999999992</v>
      </c>
      <c r="CQ31">
        <v>5.45</v>
      </c>
      <c r="CS31">
        <v>7.59</v>
      </c>
      <c r="CU31">
        <v>7.06</v>
      </c>
      <c r="CV31">
        <v>5.56</v>
      </c>
      <c r="CY31">
        <v>6.22</v>
      </c>
      <c r="CZ31">
        <v>8.51</v>
      </c>
      <c r="DD31">
        <v>6.84</v>
      </c>
      <c r="DL31">
        <v>7.38</v>
      </c>
      <c r="DM31">
        <v>6.68</v>
      </c>
      <c r="DN31">
        <v>8.51</v>
      </c>
      <c r="DO31">
        <v>5.7</v>
      </c>
      <c r="DQ31">
        <v>5.71</v>
      </c>
      <c r="DS31">
        <v>4.9800000000000004</v>
      </c>
      <c r="DW31">
        <v>6.7</v>
      </c>
      <c r="DX31">
        <v>4.8499999999999899</v>
      </c>
      <c r="DZ31">
        <v>5.44</v>
      </c>
      <c r="ED31">
        <v>4.16</v>
      </c>
      <c r="EF31">
        <v>4.5</v>
      </c>
      <c r="EG31">
        <v>7.07</v>
      </c>
      <c r="EI31">
        <v>5.14</v>
      </c>
      <c r="EJ31">
        <v>5.39</v>
      </c>
      <c r="EM31">
        <v>5.0199999999999898</v>
      </c>
      <c r="EN31">
        <v>7.34</v>
      </c>
      <c r="EO31">
        <v>4.92</v>
      </c>
      <c r="ER31">
        <v>4.83</v>
      </c>
      <c r="ET31">
        <v>6.48</v>
      </c>
      <c r="EU31">
        <v>5.08</v>
      </c>
      <c r="EV31">
        <v>8.41</v>
      </c>
      <c r="EX31">
        <v>5.19</v>
      </c>
      <c r="EY31">
        <v>6.28</v>
      </c>
      <c r="FA31">
        <v>5.08</v>
      </c>
      <c r="FB31">
        <v>3.91</v>
      </c>
      <c r="FD31">
        <v>7.41</v>
      </c>
      <c r="FF31">
        <v>4.95</v>
      </c>
      <c r="FG31">
        <v>3.2</v>
      </c>
      <c r="FH31">
        <v>4.72</v>
      </c>
      <c r="FJ31">
        <v>5.31</v>
      </c>
      <c r="FK31">
        <v>3.12</v>
      </c>
      <c r="FM31">
        <v>5.74</v>
      </c>
      <c r="FN31">
        <v>4.57</v>
      </c>
      <c r="FP31">
        <v>5.91</v>
      </c>
      <c r="FR31">
        <v>5.59</v>
      </c>
      <c r="FS31">
        <v>7.61</v>
      </c>
      <c r="FT31">
        <v>5.23</v>
      </c>
      <c r="FV31">
        <v>6.04</v>
      </c>
      <c r="FX31">
        <v>5.35</v>
      </c>
      <c r="FY31">
        <v>3.46</v>
      </c>
      <c r="FZ31">
        <v>5.29</v>
      </c>
      <c r="GA31">
        <v>4.28</v>
      </c>
      <c r="GC31">
        <v>5.37</v>
      </c>
      <c r="GE31">
        <v>5.24</v>
      </c>
      <c r="GF31">
        <v>6.18</v>
      </c>
      <c r="GH31">
        <v>8.44</v>
      </c>
      <c r="GJ31">
        <v>6.01</v>
      </c>
      <c r="GK31">
        <v>4.58</v>
      </c>
      <c r="GL31">
        <v>4.67</v>
      </c>
      <c r="GN31">
        <v>8.1</v>
      </c>
      <c r="GQ31">
        <v>4.6399999999999899</v>
      </c>
      <c r="GR31">
        <v>7.27</v>
      </c>
      <c r="GU31">
        <v>4.57</v>
      </c>
      <c r="GV31">
        <v>8.89</v>
      </c>
      <c r="GW31">
        <v>5.3</v>
      </c>
      <c r="GX31">
        <v>3.18</v>
      </c>
      <c r="GY31">
        <v>5.12</v>
      </c>
      <c r="GZ31">
        <v>3.74</v>
      </c>
      <c r="HC31">
        <v>6.52</v>
      </c>
      <c r="HD31">
        <v>4.7</v>
      </c>
      <c r="HH31">
        <v>5.8</v>
      </c>
      <c r="HI31">
        <v>4.41</v>
      </c>
      <c r="HJ31">
        <v>5.23</v>
      </c>
      <c r="HL31">
        <v>3.88</v>
      </c>
      <c r="HM31">
        <v>3.55</v>
      </c>
      <c r="HO31">
        <v>5.65</v>
      </c>
      <c r="HQ31">
        <v>5.05</v>
      </c>
      <c r="HR31">
        <v>5.12</v>
      </c>
      <c r="HT31">
        <v>7.17</v>
      </c>
      <c r="HV31">
        <v>5.4</v>
      </c>
      <c r="HX31">
        <v>5.62</v>
      </c>
      <c r="IA31">
        <v>7.23</v>
      </c>
      <c r="IB31">
        <v>4.97</v>
      </c>
      <c r="ID31">
        <v>5.93</v>
      </c>
      <c r="IE31">
        <v>7.57</v>
      </c>
      <c r="IG31">
        <v>2.64</v>
      </c>
      <c r="IH31">
        <v>9.1</v>
      </c>
      <c r="II31">
        <v>4.84</v>
      </c>
      <c r="IK31">
        <v>8.0500000000000007</v>
      </c>
      <c r="IM31">
        <v>6.2</v>
      </c>
      <c r="IN31">
        <v>7.52</v>
      </c>
      <c r="IR31">
        <v>4.8499999999999899</v>
      </c>
      <c r="IS31">
        <v>9.69</v>
      </c>
      <c r="IV31">
        <v>6.12</v>
      </c>
      <c r="IW31">
        <v>9.36</v>
      </c>
      <c r="IY31">
        <v>5.64</v>
      </c>
      <c r="IZ31">
        <v>5.31</v>
      </c>
      <c r="JD31">
        <v>5.64</v>
      </c>
      <c r="JF31">
        <v>5.0199999999999898</v>
      </c>
      <c r="JH31">
        <v>9.27</v>
      </c>
      <c r="JK31">
        <v>5.08</v>
      </c>
      <c r="JL31">
        <v>8.84</v>
      </c>
      <c r="JN31">
        <v>5.39</v>
      </c>
      <c r="JO31">
        <v>8.73</v>
      </c>
      <c r="JQ31">
        <v>5.9</v>
      </c>
      <c r="JR31">
        <v>6.73</v>
      </c>
      <c r="JT31">
        <v>5.33</v>
      </c>
      <c r="JV31">
        <v>7.07</v>
      </c>
      <c r="JX31">
        <v>6.5</v>
      </c>
      <c r="KA31">
        <v>5.5</v>
      </c>
      <c r="KC31">
        <v>7.29</v>
      </c>
      <c r="KD31">
        <v>6.41</v>
      </c>
      <c r="KF31">
        <v>4.1500000000000004</v>
      </c>
      <c r="KH31">
        <v>6.21</v>
      </c>
      <c r="KJ31">
        <v>5.12</v>
      </c>
      <c r="KM31">
        <v>8.77</v>
      </c>
      <c r="KN31">
        <v>5.54</v>
      </c>
      <c r="KO31">
        <v>0.57999999999999896</v>
      </c>
      <c r="KP31">
        <v>6.75</v>
      </c>
      <c r="KQ31">
        <v>9.93</v>
      </c>
      <c r="KT31">
        <v>6.45</v>
      </c>
      <c r="KV31">
        <v>8.01</v>
      </c>
      <c r="KX31">
        <v>7.17</v>
      </c>
      <c r="LD31">
        <v>13.43</v>
      </c>
      <c r="LE31">
        <v>6.51</v>
      </c>
      <c r="LG31">
        <v>5.98</v>
      </c>
    </row>
    <row r="32" spans="1:319">
      <c r="A32" s="20" t="s">
        <v>117</v>
      </c>
      <c r="B32">
        <v>703.84</v>
      </c>
      <c r="C32">
        <v>13.535384615384617</v>
      </c>
      <c r="D32" s="20" t="s">
        <v>816</v>
      </c>
      <c r="E32" s="20" t="s">
        <v>824</v>
      </c>
      <c r="H32">
        <v>7.67</v>
      </c>
      <c r="J32">
        <v>5.77</v>
      </c>
      <c r="M32">
        <v>6.54</v>
      </c>
      <c r="N32">
        <v>8.2100000000000009</v>
      </c>
      <c r="Q32">
        <v>5.58</v>
      </c>
      <c r="U32">
        <v>16.579999999999998</v>
      </c>
      <c r="W32">
        <v>4.87</v>
      </c>
      <c r="Y32">
        <v>5.12</v>
      </c>
      <c r="AA32">
        <v>7.02</v>
      </c>
      <c r="AD32">
        <v>6.86</v>
      </c>
      <c r="AH32">
        <v>6.6</v>
      </c>
      <c r="AJ32">
        <v>9.7899999999999991</v>
      </c>
      <c r="AM32">
        <v>8.07</v>
      </c>
      <c r="AR32">
        <v>9.1300000000000008</v>
      </c>
      <c r="AT32">
        <v>8.11</v>
      </c>
      <c r="AZ32">
        <v>7.24</v>
      </c>
      <c r="BE32">
        <v>8.74</v>
      </c>
      <c r="BG32">
        <v>7.37</v>
      </c>
      <c r="BM32">
        <v>7.48</v>
      </c>
      <c r="BR32">
        <v>8.24</v>
      </c>
      <c r="BS32">
        <v>8.98</v>
      </c>
      <c r="BY32">
        <v>7.4</v>
      </c>
      <c r="CC32">
        <v>8.68</v>
      </c>
      <c r="CF32">
        <v>7.38</v>
      </c>
      <c r="CI32">
        <v>7.44</v>
      </c>
      <c r="CL32">
        <v>8.0399999999999991</v>
      </c>
      <c r="CN32">
        <v>8.11</v>
      </c>
      <c r="CX32">
        <v>5.36</v>
      </c>
      <c r="DA32">
        <v>9.24</v>
      </c>
      <c r="DD32">
        <v>6.01</v>
      </c>
      <c r="DL32">
        <v>7.53</v>
      </c>
      <c r="DT32">
        <v>8.5</v>
      </c>
      <c r="DW32">
        <v>9.4700000000000006</v>
      </c>
      <c r="DX32">
        <v>4.82</v>
      </c>
      <c r="EA32">
        <v>7.93</v>
      </c>
      <c r="ED32">
        <v>7.25</v>
      </c>
      <c r="EG32">
        <v>7.68</v>
      </c>
      <c r="EI32">
        <v>8.09</v>
      </c>
      <c r="EN32">
        <v>7.52</v>
      </c>
      <c r="ER32">
        <v>8.4600000000000009</v>
      </c>
      <c r="EU32">
        <v>7.53</v>
      </c>
      <c r="EV32">
        <v>9.35</v>
      </c>
      <c r="EW32">
        <v>7.58</v>
      </c>
      <c r="EZ32">
        <v>8.83</v>
      </c>
      <c r="FE32">
        <v>8.8000000000000007</v>
      </c>
      <c r="FJ32">
        <v>7.45</v>
      </c>
      <c r="FM32">
        <v>8.44</v>
      </c>
      <c r="FY32">
        <v>7.55</v>
      </c>
      <c r="FZ32">
        <v>8.7100000000000009</v>
      </c>
      <c r="GE32">
        <v>8.43</v>
      </c>
      <c r="GF32">
        <v>8.51</v>
      </c>
      <c r="GM32">
        <v>5.43</v>
      </c>
      <c r="GQ32">
        <v>5.08</v>
      </c>
      <c r="GT32">
        <v>6.56</v>
      </c>
      <c r="GZ32">
        <v>9.23</v>
      </c>
      <c r="HE32">
        <v>7.36</v>
      </c>
      <c r="HG32">
        <v>6.79</v>
      </c>
      <c r="HH32">
        <v>5.44</v>
      </c>
      <c r="HJ32">
        <v>8.3800000000000008</v>
      </c>
      <c r="HN32">
        <v>6.25</v>
      </c>
      <c r="HQ32">
        <v>8.8000000000000007</v>
      </c>
      <c r="HT32">
        <v>9.34</v>
      </c>
      <c r="HV32">
        <v>8.73</v>
      </c>
      <c r="HW32">
        <v>7.49</v>
      </c>
      <c r="IF32">
        <v>8.4700000000000006</v>
      </c>
      <c r="IG32">
        <v>6.86</v>
      </c>
      <c r="IK32">
        <v>6.94</v>
      </c>
      <c r="IO32">
        <v>9.69</v>
      </c>
      <c r="IS32">
        <v>6.43</v>
      </c>
      <c r="IU32">
        <v>9.41</v>
      </c>
      <c r="JB32">
        <v>9.4</v>
      </c>
      <c r="JD32">
        <v>8.44</v>
      </c>
      <c r="JE32">
        <v>7.57</v>
      </c>
      <c r="JH32">
        <v>7.03</v>
      </c>
      <c r="JL32">
        <v>9.33</v>
      </c>
      <c r="JQ32">
        <v>9.56</v>
      </c>
      <c r="JV32">
        <v>8.4600000000000009</v>
      </c>
      <c r="JW32">
        <v>8.32</v>
      </c>
      <c r="JX32">
        <v>9.01</v>
      </c>
      <c r="JY32">
        <v>8.65</v>
      </c>
      <c r="KC32">
        <v>7.23</v>
      </c>
      <c r="KD32">
        <v>6.58</v>
      </c>
      <c r="KE32">
        <v>4.99</v>
      </c>
      <c r="KM32">
        <v>5.28</v>
      </c>
      <c r="KP32">
        <v>9.34</v>
      </c>
      <c r="KS32">
        <v>8.11</v>
      </c>
      <c r="KV32">
        <v>4.24</v>
      </c>
      <c r="KY32">
        <v>9.49</v>
      </c>
      <c r="LA32">
        <v>3.91</v>
      </c>
      <c r="LC32">
        <v>6.13</v>
      </c>
      <c r="LF32">
        <v>10.0299999999999</v>
      </c>
    </row>
    <row r="33" spans="1:319">
      <c r="A33" s="20" t="s">
        <v>82</v>
      </c>
      <c r="B33">
        <v>18.170000000000002</v>
      </c>
      <c r="C33">
        <v>0.34942307692307695</v>
      </c>
      <c r="D33" s="20" t="s">
        <v>816</v>
      </c>
      <c r="E33" s="20" t="s">
        <v>824</v>
      </c>
      <c r="BK33">
        <v>8.49</v>
      </c>
      <c r="BU33">
        <v>9.68</v>
      </c>
    </row>
    <row r="34" spans="1:319">
      <c r="A34" s="20" t="s">
        <v>131</v>
      </c>
      <c r="B34">
        <v>1325.6299999999994</v>
      </c>
      <c r="C34">
        <v>25.492884615384604</v>
      </c>
      <c r="D34" s="20" t="s">
        <v>816</v>
      </c>
      <c r="E34" s="20" t="s">
        <v>824</v>
      </c>
      <c r="G34">
        <v>7.66</v>
      </c>
      <c r="H34">
        <v>4.43</v>
      </c>
      <c r="I34">
        <v>5.0999999999999996</v>
      </c>
      <c r="K34">
        <v>5.63</v>
      </c>
      <c r="M34">
        <v>7.53</v>
      </c>
      <c r="N34">
        <v>14.51</v>
      </c>
      <c r="O34">
        <v>3.34</v>
      </c>
      <c r="Q34">
        <v>5.78</v>
      </c>
      <c r="S34">
        <v>6.38</v>
      </c>
      <c r="T34">
        <v>8.67</v>
      </c>
      <c r="W34">
        <v>11.39</v>
      </c>
      <c r="Z34">
        <v>17.03</v>
      </c>
      <c r="AC34">
        <v>13.75</v>
      </c>
      <c r="AF34">
        <v>14.87</v>
      </c>
      <c r="AI34">
        <v>12.01</v>
      </c>
      <c r="AL34">
        <v>14.61</v>
      </c>
      <c r="AO34">
        <v>11.68</v>
      </c>
      <c r="AR34">
        <v>13.75</v>
      </c>
      <c r="AU34">
        <v>11.06</v>
      </c>
      <c r="AV34">
        <v>5.82</v>
      </c>
      <c r="AX34">
        <v>13.46</v>
      </c>
      <c r="BA34">
        <v>11.34</v>
      </c>
      <c r="BD34">
        <v>8.4499999999999993</v>
      </c>
      <c r="BG34">
        <v>16.899999999999999</v>
      </c>
      <c r="BJ34">
        <v>16.54</v>
      </c>
      <c r="BM34">
        <v>13.63</v>
      </c>
      <c r="BP34">
        <v>15.14</v>
      </c>
      <c r="BS34">
        <v>13.26</v>
      </c>
      <c r="BV34">
        <v>16.04</v>
      </c>
      <c r="BY34">
        <v>12.21</v>
      </c>
      <c r="CA34">
        <v>7.15</v>
      </c>
      <c r="CC34">
        <v>12.51</v>
      </c>
      <c r="CF34">
        <v>10.9</v>
      </c>
      <c r="CI34">
        <v>16.559999999999999</v>
      </c>
      <c r="CL34">
        <v>11.36</v>
      </c>
      <c r="CO34">
        <v>14.78</v>
      </c>
      <c r="CR34">
        <v>11.15</v>
      </c>
      <c r="CU34">
        <v>15.25</v>
      </c>
      <c r="CV34">
        <v>6.83</v>
      </c>
      <c r="CX34">
        <v>8.4</v>
      </c>
      <c r="CY34">
        <v>7.02</v>
      </c>
      <c r="DA34">
        <v>10.69</v>
      </c>
      <c r="DD34">
        <v>5.09</v>
      </c>
      <c r="DN34">
        <v>11.24</v>
      </c>
      <c r="DQ34">
        <v>10.72</v>
      </c>
      <c r="DT34">
        <v>13.88</v>
      </c>
      <c r="DW34">
        <v>9.85</v>
      </c>
      <c r="DZ34">
        <v>14.24</v>
      </c>
      <c r="EE34">
        <v>7.36</v>
      </c>
      <c r="EF34">
        <v>8.2100000000000009</v>
      </c>
      <c r="EI34">
        <v>9.66</v>
      </c>
      <c r="EL34">
        <v>11.57</v>
      </c>
      <c r="EO34">
        <v>13.55</v>
      </c>
      <c r="ER34">
        <v>14.94</v>
      </c>
      <c r="EU34">
        <v>12.46</v>
      </c>
      <c r="EX34">
        <v>14.61</v>
      </c>
      <c r="EY34">
        <v>4.74</v>
      </c>
      <c r="FA34">
        <v>7.75</v>
      </c>
      <c r="FD34">
        <v>16.28</v>
      </c>
      <c r="FG34">
        <v>13.31</v>
      </c>
      <c r="FJ34">
        <v>14.23</v>
      </c>
      <c r="FM34">
        <v>11.47</v>
      </c>
      <c r="FP34">
        <v>14.77</v>
      </c>
      <c r="FS34">
        <v>11.44</v>
      </c>
      <c r="FV34">
        <v>11.76</v>
      </c>
      <c r="FY34">
        <v>12.93</v>
      </c>
      <c r="GB34">
        <v>14.52</v>
      </c>
      <c r="GE34">
        <v>12.34</v>
      </c>
      <c r="GH34">
        <v>15.53</v>
      </c>
      <c r="GK34">
        <v>11.64</v>
      </c>
      <c r="GN34">
        <v>7.09</v>
      </c>
      <c r="GP34">
        <v>7.43</v>
      </c>
      <c r="GQ34">
        <v>11.1</v>
      </c>
      <c r="GT34">
        <v>15.86</v>
      </c>
      <c r="GW34">
        <v>12.5</v>
      </c>
      <c r="GY34">
        <v>6.42</v>
      </c>
      <c r="GZ34">
        <v>7.53</v>
      </c>
      <c r="HC34">
        <v>12.77</v>
      </c>
      <c r="HI34">
        <v>9.93</v>
      </c>
      <c r="HL34">
        <v>14.25</v>
      </c>
      <c r="HO34">
        <v>13.07</v>
      </c>
      <c r="HR34">
        <v>16.829999999999899</v>
      </c>
      <c r="HU34">
        <v>10.72</v>
      </c>
      <c r="HX34">
        <v>13.63</v>
      </c>
      <c r="IA34">
        <v>11.6</v>
      </c>
      <c r="ID34">
        <v>15.27</v>
      </c>
      <c r="IG34">
        <v>12.64</v>
      </c>
      <c r="IJ34">
        <v>14.7</v>
      </c>
      <c r="IM34">
        <v>12.4</v>
      </c>
      <c r="IP34">
        <v>16.809999999999899</v>
      </c>
      <c r="IV34">
        <v>16.2</v>
      </c>
      <c r="IY34">
        <v>12.91</v>
      </c>
      <c r="JA34">
        <v>8.0500000000000007</v>
      </c>
      <c r="JC34">
        <v>6.83</v>
      </c>
      <c r="JD34">
        <v>7.44</v>
      </c>
      <c r="JE34">
        <v>5.42</v>
      </c>
      <c r="JH34">
        <v>15.36</v>
      </c>
      <c r="JK34">
        <v>5.66</v>
      </c>
      <c r="JM34">
        <v>16.64</v>
      </c>
      <c r="JO34">
        <v>8.0500000000000007</v>
      </c>
      <c r="JQ34">
        <v>8.15</v>
      </c>
      <c r="JR34">
        <v>7.93</v>
      </c>
      <c r="JT34">
        <v>7.9</v>
      </c>
      <c r="JW34">
        <v>11.85</v>
      </c>
      <c r="JZ34">
        <v>14.93</v>
      </c>
      <c r="KC34">
        <v>12.29</v>
      </c>
      <c r="KF34">
        <v>13.81</v>
      </c>
      <c r="KI34">
        <v>7.58</v>
      </c>
      <c r="KL34">
        <v>14.04</v>
      </c>
      <c r="KO34">
        <v>9.75</v>
      </c>
      <c r="KP34">
        <v>4.58</v>
      </c>
      <c r="KR34">
        <v>5.1100000000000003</v>
      </c>
      <c r="KS34">
        <v>8.83</v>
      </c>
      <c r="KU34">
        <v>10.54</v>
      </c>
      <c r="KX34">
        <v>14.52</v>
      </c>
      <c r="LA34">
        <v>5.81</v>
      </c>
      <c r="LD34">
        <v>16.73</v>
      </c>
      <c r="LG34">
        <v>11.51</v>
      </c>
    </row>
    <row r="35" spans="1:319">
      <c r="A35" s="20" t="s">
        <v>133</v>
      </c>
      <c r="B35">
        <v>1655.85</v>
      </c>
      <c r="C35">
        <v>31.843269230769231</v>
      </c>
      <c r="D35" s="20" t="s">
        <v>816</v>
      </c>
      <c r="E35" s="20" t="s">
        <v>824</v>
      </c>
      <c r="F35">
        <v>4.99</v>
      </c>
      <c r="G35">
        <v>3.74</v>
      </c>
      <c r="I35">
        <v>17.37</v>
      </c>
      <c r="K35">
        <v>12.23</v>
      </c>
      <c r="M35">
        <v>14.23</v>
      </c>
      <c r="O35">
        <v>7.94</v>
      </c>
      <c r="Q35">
        <v>7.67</v>
      </c>
      <c r="R35">
        <v>7.05</v>
      </c>
      <c r="S35">
        <v>8.33</v>
      </c>
      <c r="U35">
        <v>6.9</v>
      </c>
      <c r="V35">
        <v>3.54</v>
      </c>
      <c r="W35">
        <v>11.55</v>
      </c>
      <c r="Y35">
        <v>15.42</v>
      </c>
      <c r="AA35">
        <v>14.37</v>
      </c>
      <c r="AC35">
        <v>7</v>
      </c>
      <c r="AE35">
        <v>7.87</v>
      </c>
      <c r="AF35">
        <v>6.38</v>
      </c>
      <c r="AG35">
        <v>10.4</v>
      </c>
      <c r="AI35">
        <v>7.22</v>
      </c>
      <c r="AK35">
        <v>8.19</v>
      </c>
      <c r="AL35">
        <v>16.8</v>
      </c>
      <c r="AO35">
        <v>15.35</v>
      </c>
      <c r="AR35">
        <v>8.58</v>
      </c>
      <c r="AS35">
        <v>7.72</v>
      </c>
      <c r="AT35">
        <v>6.78</v>
      </c>
      <c r="AW35">
        <v>13.4</v>
      </c>
      <c r="AY35">
        <v>6.54</v>
      </c>
      <c r="AZ35">
        <v>7.97</v>
      </c>
      <c r="BD35">
        <v>14.96</v>
      </c>
      <c r="BF35">
        <v>8.35</v>
      </c>
      <c r="BG35">
        <v>11.45</v>
      </c>
      <c r="BI35">
        <v>8.6199999999999992</v>
      </c>
      <c r="BK35">
        <v>14.04</v>
      </c>
      <c r="BM35">
        <v>8.89</v>
      </c>
      <c r="BN35">
        <v>6.15</v>
      </c>
      <c r="BO35">
        <v>8.07</v>
      </c>
      <c r="BS35">
        <v>8.33</v>
      </c>
      <c r="BT35">
        <v>11.31</v>
      </c>
      <c r="BU35">
        <v>8.1999999999999993</v>
      </c>
      <c r="BY35">
        <v>8.57</v>
      </c>
      <c r="CA35">
        <v>6.92</v>
      </c>
      <c r="CC35">
        <v>13.36</v>
      </c>
      <c r="CF35">
        <v>7.27</v>
      </c>
      <c r="CG35">
        <v>8.6199999999999992</v>
      </c>
      <c r="CH35">
        <v>15.16</v>
      </c>
      <c r="CL35">
        <v>17.059999999999999</v>
      </c>
      <c r="CN35">
        <v>9.44</v>
      </c>
      <c r="CO35">
        <v>7.99</v>
      </c>
      <c r="CP35">
        <v>6.84</v>
      </c>
      <c r="CS35">
        <v>6.76</v>
      </c>
      <c r="CT35">
        <v>7.34</v>
      </c>
      <c r="CU35">
        <v>8.0399999999999991</v>
      </c>
      <c r="CW35">
        <v>4.67</v>
      </c>
      <c r="CX35">
        <v>15.42</v>
      </c>
      <c r="CZ35">
        <v>7.45</v>
      </c>
      <c r="DA35">
        <v>7.2</v>
      </c>
      <c r="DB35">
        <v>9.1</v>
      </c>
      <c r="DD35">
        <v>6.77</v>
      </c>
      <c r="DL35">
        <v>6.04</v>
      </c>
      <c r="DM35">
        <v>8.9700000000000006</v>
      </c>
      <c r="DP35">
        <v>7.72</v>
      </c>
      <c r="DQ35">
        <v>8.6300000000000008</v>
      </c>
      <c r="DR35">
        <v>7.55</v>
      </c>
      <c r="DS35">
        <v>12.28</v>
      </c>
      <c r="DU35">
        <v>11.98</v>
      </c>
      <c r="DW35">
        <v>9.42</v>
      </c>
      <c r="DY35">
        <v>5.95</v>
      </c>
      <c r="DZ35">
        <v>7.96</v>
      </c>
      <c r="EB35">
        <v>7.01</v>
      </c>
      <c r="EC35">
        <v>9.16</v>
      </c>
      <c r="EE35">
        <v>10.06</v>
      </c>
      <c r="EG35">
        <v>11.69</v>
      </c>
      <c r="EJ35">
        <v>6.78</v>
      </c>
      <c r="EK35">
        <v>8.1300000000000008</v>
      </c>
      <c r="EN35">
        <v>13.51</v>
      </c>
      <c r="EP35">
        <v>6.8</v>
      </c>
      <c r="ER35">
        <v>8.02</v>
      </c>
      <c r="ES35">
        <v>13</v>
      </c>
      <c r="ET35">
        <v>7.25</v>
      </c>
      <c r="EU35">
        <v>5.41</v>
      </c>
      <c r="EW35">
        <v>10.95</v>
      </c>
      <c r="EY35">
        <v>12.33</v>
      </c>
      <c r="FA35">
        <v>10.7</v>
      </c>
      <c r="FB35">
        <v>7.63</v>
      </c>
      <c r="FC35">
        <v>13.39</v>
      </c>
      <c r="FG35">
        <v>19.52</v>
      </c>
      <c r="FI35">
        <v>12.69</v>
      </c>
      <c r="FL35">
        <v>14.48</v>
      </c>
      <c r="FO35">
        <v>16.12</v>
      </c>
      <c r="FQ35">
        <v>5.56</v>
      </c>
      <c r="FW35">
        <v>16.93</v>
      </c>
      <c r="GA35">
        <v>11.9</v>
      </c>
      <c r="GD35">
        <v>7.73</v>
      </c>
      <c r="GE35">
        <v>15.77</v>
      </c>
      <c r="GG35">
        <v>7.46</v>
      </c>
      <c r="GH35">
        <v>8.89</v>
      </c>
      <c r="GI35">
        <v>6.76</v>
      </c>
      <c r="GJ35">
        <v>4.1500000000000004</v>
      </c>
      <c r="GK35">
        <v>5.34</v>
      </c>
      <c r="GM35">
        <v>16.41</v>
      </c>
      <c r="GP35">
        <v>13.98</v>
      </c>
      <c r="GT35">
        <v>17.329999999999899</v>
      </c>
      <c r="GV35">
        <v>7.84</v>
      </c>
      <c r="GW35">
        <v>10.1999999999999</v>
      </c>
      <c r="GY35">
        <v>19.13</v>
      </c>
      <c r="HA35">
        <v>7.8</v>
      </c>
      <c r="HB35">
        <v>8.41</v>
      </c>
      <c r="HC35">
        <v>5.88</v>
      </c>
      <c r="HE35">
        <v>5.49</v>
      </c>
      <c r="HF35">
        <v>10.89</v>
      </c>
      <c r="HH35">
        <v>16.72</v>
      </c>
      <c r="HJ35">
        <v>4.78</v>
      </c>
      <c r="HK35">
        <v>6.86</v>
      </c>
      <c r="HM35">
        <v>10.37</v>
      </c>
      <c r="HO35">
        <v>17.78</v>
      </c>
      <c r="HQ35">
        <v>9.1</v>
      </c>
      <c r="HR35">
        <v>8.4499999999999904</v>
      </c>
      <c r="HS35">
        <v>10.0399999999999</v>
      </c>
      <c r="HV35">
        <v>5.18</v>
      </c>
      <c r="HY35">
        <v>15.91</v>
      </c>
      <c r="IA35">
        <v>4.08</v>
      </c>
      <c r="IC35">
        <v>8.43</v>
      </c>
      <c r="IE35">
        <v>19.100000000000001</v>
      </c>
      <c r="II35">
        <v>6.78</v>
      </c>
      <c r="IJ35">
        <v>8.52</v>
      </c>
      <c r="IL35">
        <v>7.47</v>
      </c>
      <c r="IM35">
        <v>10.67</v>
      </c>
      <c r="IO35">
        <v>14.13</v>
      </c>
      <c r="IP35">
        <v>7.53</v>
      </c>
      <c r="IR35">
        <v>8</v>
      </c>
      <c r="IU35">
        <v>15.3</v>
      </c>
      <c r="IV35">
        <v>11.04</v>
      </c>
      <c r="IX35">
        <v>7.31</v>
      </c>
      <c r="IY35">
        <v>8.07</v>
      </c>
      <c r="JA35">
        <v>10.82</v>
      </c>
      <c r="JB35">
        <v>20.73</v>
      </c>
      <c r="JE35">
        <v>16.579999999999899</v>
      </c>
      <c r="JG35">
        <v>8.1199999999999903</v>
      </c>
      <c r="JJ35">
        <v>16.63</v>
      </c>
      <c r="JK35">
        <v>10.47</v>
      </c>
      <c r="JM35">
        <v>6.4</v>
      </c>
      <c r="JN35">
        <v>14.64</v>
      </c>
      <c r="JQ35">
        <v>18.25</v>
      </c>
      <c r="JR35">
        <v>4.2300000000000004</v>
      </c>
      <c r="JV35">
        <v>18.420000000000002</v>
      </c>
      <c r="JW35">
        <v>7.93</v>
      </c>
      <c r="JY35">
        <v>10</v>
      </c>
      <c r="KB35">
        <v>8.0500000000000007</v>
      </c>
      <c r="KC35">
        <v>9.23</v>
      </c>
      <c r="KE35">
        <v>7.87</v>
      </c>
      <c r="KG35">
        <v>16.43</v>
      </c>
      <c r="KI35">
        <v>7.89</v>
      </c>
      <c r="KK35">
        <v>15.52</v>
      </c>
      <c r="KM35">
        <v>8.9600000000000009</v>
      </c>
      <c r="KP35">
        <v>7.08</v>
      </c>
      <c r="KR35">
        <v>16.59</v>
      </c>
      <c r="KU35">
        <v>14.47</v>
      </c>
      <c r="KW35">
        <v>7.66</v>
      </c>
      <c r="KX35">
        <v>7.3</v>
      </c>
      <c r="LA35">
        <v>13.85</v>
      </c>
      <c r="LB35">
        <v>6.86</v>
      </c>
      <c r="LD35">
        <v>6.95</v>
      </c>
      <c r="LE35">
        <v>7.15</v>
      </c>
      <c r="LG35">
        <v>16.29</v>
      </c>
    </row>
    <row r="36" spans="1:319">
      <c r="A36" s="20" t="s">
        <v>115</v>
      </c>
      <c r="B36">
        <v>906.70000000000039</v>
      </c>
      <c r="C36">
        <v>17.436538461538468</v>
      </c>
      <c r="D36" s="20" t="s">
        <v>816</v>
      </c>
      <c r="E36" s="20" t="s">
        <v>824</v>
      </c>
      <c r="I36">
        <v>8.39</v>
      </c>
      <c r="K36">
        <v>7.74</v>
      </c>
      <c r="M36">
        <v>7.59</v>
      </c>
      <c r="P36">
        <v>6.74</v>
      </c>
      <c r="R36">
        <v>7.15</v>
      </c>
      <c r="V36">
        <v>9.0500000000000007</v>
      </c>
      <c r="W36">
        <v>7.06</v>
      </c>
      <c r="Y36">
        <v>5.32</v>
      </c>
      <c r="AA36">
        <v>10.82</v>
      </c>
      <c r="AC36">
        <v>7.01</v>
      </c>
      <c r="AG36">
        <v>8.4600000000000009</v>
      </c>
      <c r="AH36">
        <v>10.37</v>
      </c>
      <c r="AL36">
        <v>7.28</v>
      </c>
      <c r="AN36">
        <v>8.2200000000000006</v>
      </c>
      <c r="AQ36">
        <v>9.14</v>
      </c>
      <c r="AU36">
        <v>9.92</v>
      </c>
      <c r="AX36">
        <v>13.23</v>
      </c>
      <c r="BB36">
        <v>9.14</v>
      </c>
      <c r="BD36">
        <v>7.62</v>
      </c>
      <c r="BE36">
        <v>8.5399999999999991</v>
      </c>
      <c r="BI36">
        <v>15.44</v>
      </c>
      <c r="BM36">
        <v>6.7</v>
      </c>
      <c r="BO36">
        <v>7.01</v>
      </c>
      <c r="BS36">
        <v>14.11</v>
      </c>
      <c r="BT36">
        <v>6.98</v>
      </c>
      <c r="CB36">
        <v>7.51</v>
      </c>
      <c r="CE36">
        <v>8.31</v>
      </c>
      <c r="CG36">
        <v>4.91</v>
      </c>
      <c r="CI36">
        <v>8.93</v>
      </c>
      <c r="CL36">
        <v>8.48</v>
      </c>
      <c r="CN36">
        <v>6.91</v>
      </c>
      <c r="CP36">
        <v>6.15</v>
      </c>
      <c r="CT36">
        <v>8.1199999999999992</v>
      </c>
      <c r="CU36">
        <v>13.63</v>
      </c>
      <c r="DC36">
        <v>16.170000000000002</v>
      </c>
      <c r="DO36">
        <v>7.3</v>
      </c>
      <c r="DQ36">
        <v>7.74</v>
      </c>
      <c r="DS36">
        <v>6.81</v>
      </c>
      <c r="DT36">
        <v>8.11</v>
      </c>
      <c r="EA36">
        <v>7.77</v>
      </c>
      <c r="EC36">
        <v>12.44</v>
      </c>
      <c r="EF36">
        <v>6.77</v>
      </c>
      <c r="EG36">
        <v>6.04</v>
      </c>
      <c r="EI36">
        <v>7.73</v>
      </c>
      <c r="EO36">
        <v>14.78</v>
      </c>
      <c r="EQ36">
        <v>7.58</v>
      </c>
      <c r="ES36">
        <v>7.08</v>
      </c>
      <c r="EU36">
        <v>6.69</v>
      </c>
      <c r="EV36">
        <v>7.94</v>
      </c>
      <c r="EX36">
        <v>7.38</v>
      </c>
      <c r="FA36">
        <v>7.69</v>
      </c>
      <c r="FC36">
        <v>7.29</v>
      </c>
      <c r="FI36">
        <v>7.83</v>
      </c>
      <c r="FK36">
        <v>13.95</v>
      </c>
      <c r="FM36">
        <v>4.42</v>
      </c>
      <c r="FO36">
        <v>5.04</v>
      </c>
      <c r="FQ36">
        <v>6.67</v>
      </c>
      <c r="FU36">
        <v>14.41</v>
      </c>
      <c r="GA36">
        <v>15.98</v>
      </c>
      <c r="GC36">
        <v>7.59</v>
      </c>
      <c r="GG36">
        <v>6.31</v>
      </c>
      <c r="GI36">
        <v>7.89</v>
      </c>
      <c r="GM36">
        <v>7.79</v>
      </c>
      <c r="GO36">
        <v>8.0500000000000007</v>
      </c>
      <c r="GS36">
        <v>8.33</v>
      </c>
      <c r="GY36">
        <v>8.6300000000000008</v>
      </c>
      <c r="HA36">
        <v>9.1999999999999904</v>
      </c>
      <c r="HC36">
        <v>8.0500000000000007</v>
      </c>
      <c r="HF36">
        <v>9.39</v>
      </c>
      <c r="HG36">
        <v>6.35</v>
      </c>
      <c r="HK36">
        <v>9.59</v>
      </c>
      <c r="HM36">
        <v>8.6999999999999904</v>
      </c>
      <c r="HS36">
        <v>8.3000000000000007</v>
      </c>
      <c r="HU36">
        <v>16.190000000000001</v>
      </c>
      <c r="HV36">
        <v>8.2899999999999903</v>
      </c>
      <c r="HW36">
        <v>2.71</v>
      </c>
      <c r="HZ36">
        <v>9.4499999999999904</v>
      </c>
      <c r="IC36">
        <v>8.02</v>
      </c>
      <c r="IG36">
        <v>8.7100000000000009</v>
      </c>
      <c r="IH36">
        <v>9.8699999999999903</v>
      </c>
      <c r="IJ36">
        <v>7.75</v>
      </c>
      <c r="IO36">
        <v>8.09</v>
      </c>
      <c r="IP36">
        <v>9.56</v>
      </c>
      <c r="IS36">
        <v>3.21</v>
      </c>
      <c r="IU36">
        <v>6.98</v>
      </c>
      <c r="IY36">
        <v>3.84</v>
      </c>
      <c r="JC36">
        <v>8.64</v>
      </c>
      <c r="JG36">
        <v>7.41</v>
      </c>
      <c r="JJ36">
        <v>10.15</v>
      </c>
      <c r="JN36">
        <v>17.47</v>
      </c>
      <c r="JQ36">
        <v>7.32</v>
      </c>
      <c r="JS36">
        <v>7.08</v>
      </c>
      <c r="JV36">
        <v>8.33</v>
      </c>
      <c r="JW36">
        <v>5.37</v>
      </c>
      <c r="JX36">
        <v>7.58</v>
      </c>
      <c r="JZ36">
        <v>7.07</v>
      </c>
      <c r="KD36">
        <v>8.01</v>
      </c>
      <c r="KE36">
        <v>8.3800000000000008</v>
      </c>
      <c r="KI36">
        <v>13.72</v>
      </c>
      <c r="KL36">
        <v>7.13</v>
      </c>
      <c r="KM36">
        <v>5.03</v>
      </c>
      <c r="KS36">
        <v>15.36</v>
      </c>
      <c r="KY36">
        <v>8.4499999999999904</v>
      </c>
      <c r="LA36">
        <v>8.23</v>
      </c>
      <c r="LC36">
        <v>7.65</v>
      </c>
      <c r="LD36">
        <v>7.89</v>
      </c>
    </row>
    <row r="37" spans="1:319">
      <c r="A37" s="20" t="s">
        <v>136</v>
      </c>
      <c r="B37">
        <v>1477.4399999999987</v>
      </c>
      <c r="C37">
        <v>28.412307692307667</v>
      </c>
      <c r="D37" s="20" t="s">
        <v>816</v>
      </c>
      <c r="E37" s="20" t="s">
        <v>824</v>
      </c>
      <c r="F37">
        <v>12.98</v>
      </c>
      <c r="H37">
        <v>6.6</v>
      </c>
      <c r="J37">
        <v>6.48</v>
      </c>
      <c r="K37">
        <v>5.25</v>
      </c>
      <c r="L37">
        <v>12.25</v>
      </c>
      <c r="M37">
        <v>3.89</v>
      </c>
      <c r="Q37">
        <v>6.45</v>
      </c>
      <c r="R37">
        <v>12.09</v>
      </c>
      <c r="T37">
        <v>6.83</v>
      </c>
      <c r="U37">
        <v>6.16</v>
      </c>
      <c r="V37">
        <v>7.31</v>
      </c>
      <c r="X37">
        <v>5.21</v>
      </c>
      <c r="Y37">
        <v>6.51</v>
      </c>
      <c r="Z37">
        <v>6.96</v>
      </c>
      <c r="AA37">
        <v>6.38</v>
      </c>
      <c r="AB37">
        <v>7.01</v>
      </c>
      <c r="AE37">
        <v>6.63</v>
      </c>
      <c r="AG37">
        <v>8.61</v>
      </c>
      <c r="AH37">
        <v>8.18</v>
      </c>
      <c r="AI37">
        <v>6.91</v>
      </c>
      <c r="AJ37">
        <v>6.55</v>
      </c>
      <c r="AL37">
        <v>15.77</v>
      </c>
      <c r="AP37">
        <v>14.22</v>
      </c>
      <c r="AR37">
        <v>7.45</v>
      </c>
      <c r="AU37">
        <v>6.52</v>
      </c>
      <c r="AV37">
        <v>6.86</v>
      </c>
      <c r="AW37">
        <v>7.37</v>
      </c>
      <c r="AZ37">
        <v>14.99</v>
      </c>
      <c r="BB37">
        <v>5.86</v>
      </c>
      <c r="BF37">
        <v>15.12</v>
      </c>
      <c r="BH37">
        <v>6.08</v>
      </c>
      <c r="BJ37">
        <v>13.69</v>
      </c>
      <c r="BL37">
        <v>6.4</v>
      </c>
      <c r="BM37">
        <v>6.41</v>
      </c>
      <c r="BN37">
        <v>5.92</v>
      </c>
      <c r="BP37">
        <v>10.49</v>
      </c>
      <c r="BR37">
        <v>6.91</v>
      </c>
      <c r="BS37">
        <v>7.76</v>
      </c>
      <c r="BT37">
        <v>6.68</v>
      </c>
      <c r="BV37">
        <v>12.98</v>
      </c>
      <c r="BY37">
        <v>7.2</v>
      </c>
      <c r="CA37">
        <v>6.97</v>
      </c>
      <c r="CC37">
        <v>14.28</v>
      </c>
      <c r="CF37">
        <v>7.12</v>
      </c>
      <c r="CG37">
        <v>6.25</v>
      </c>
      <c r="CK37">
        <v>15.91</v>
      </c>
      <c r="CM37">
        <v>6.98</v>
      </c>
      <c r="CO37">
        <v>6.81</v>
      </c>
      <c r="CP37">
        <v>8.69</v>
      </c>
      <c r="CR37">
        <v>7.01</v>
      </c>
      <c r="CS37">
        <v>5.98</v>
      </c>
      <c r="CU37">
        <v>12.71</v>
      </c>
      <c r="CW37">
        <v>7.15</v>
      </c>
      <c r="CX37">
        <v>6.65</v>
      </c>
      <c r="CY37">
        <v>7.38</v>
      </c>
      <c r="DA37">
        <v>15.23</v>
      </c>
      <c r="DB37">
        <v>6.94</v>
      </c>
      <c r="DD37">
        <v>7.46</v>
      </c>
      <c r="DL37">
        <v>4.8499999999999899</v>
      </c>
      <c r="DM37">
        <v>12.3</v>
      </c>
      <c r="DO37">
        <v>4.78</v>
      </c>
      <c r="DP37">
        <v>5.37</v>
      </c>
      <c r="DR37">
        <v>5.47</v>
      </c>
      <c r="DT37">
        <v>13.98</v>
      </c>
      <c r="DW37">
        <v>5.25</v>
      </c>
      <c r="DX37">
        <v>7.22</v>
      </c>
      <c r="DZ37">
        <v>12.6</v>
      </c>
      <c r="EB37">
        <v>6.3</v>
      </c>
      <c r="EE37">
        <v>11.25</v>
      </c>
      <c r="EF37">
        <v>5.67</v>
      </c>
      <c r="EG37">
        <v>6.29</v>
      </c>
      <c r="EI37">
        <v>3.98</v>
      </c>
      <c r="EJ37">
        <v>4.05</v>
      </c>
      <c r="EK37">
        <v>7.33</v>
      </c>
      <c r="EM37">
        <v>8.15</v>
      </c>
      <c r="EO37">
        <v>7.79</v>
      </c>
      <c r="EP37">
        <v>6.26</v>
      </c>
      <c r="EQ37">
        <v>6.38</v>
      </c>
      <c r="ES37">
        <v>12.49</v>
      </c>
      <c r="EU37">
        <v>6.81</v>
      </c>
      <c r="EV37">
        <v>5.92</v>
      </c>
      <c r="EX37">
        <v>12.26</v>
      </c>
      <c r="EZ37">
        <v>12</v>
      </c>
      <c r="FA37">
        <v>5.23</v>
      </c>
      <c r="FB37">
        <v>3.3</v>
      </c>
      <c r="FD37">
        <v>6.6</v>
      </c>
      <c r="FE37">
        <v>6.3</v>
      </c>
      <c r="FF37">
        <v>5.88</v>
      </c>
      <c r="FG37">
        <v>5.78</v>
      </c>
      <c r="FH37">
        <v>5.76</v>
      </c>
      <c r="FI37">
        <v>5.27</v>
      </c>
      <c r="FJ37">
        <v>7.82</v>
      </c>
      <c r="FL37">
        <v>6.67</v>
      </c>
      <c r="FM37">
        <v>7.44</v>
      </c>
      <c r="FN37">
        <v>4.8</v>
      </c>
      <c r="FO37">
        <v>7.43</v>
      </c>
      <c r="FP37">
        <v>5.9</v>
      </c>
      <c r="FR37">
        <v>7.03</v>
      </c>
      <c r="FS37">
        <v>5.13</v>
      </c>
      <c r="FT37">
        <v>7.37</v>
      </c>
      <c r="FU37">
        <v>5.2</v>
      </c>
      <c r="FX37">
        <v>13.79</v>
      </c>
      <c r="FY37">
        <v>6.33</v>
      </c>
      <c r="FZ37">
        <v>6.18</v>
      </c>
      <c r="GA37">
        <v>5.67</v>
      </c>
      <c r="GB37">
        <v>5.6</v>
      </c>
      <c r="GD37">
        <v>9.2100000000000009</v>
      </c>
      <c r="GG37">
        <v>6.3</v>
      </c>
      <c r="GH37">
        <v>7.66</v>
      </c>
      <c r="GI37">
        <v>6.38</v>
      </c>
      <c r="GJ37">
        <v>4.62</v>
      </c>
      <c r="GM37">
        <v>7.69</v>
      </c>
      <c r="GN37">
        <v>7.14</v>
      </c>
      <c r="GO37">
        <v>7.98</v>
      </c>
      <c r="GR37">
        <v>6.93</v>
      </c>
      <c r="GS37">
        <v>7.77</v>
      </c>
      <c r="GT37">
        <v>5.79</v>
      </c>
      <c r="GU37">
        <v>7.43</v>
      </c>
      <c r="GV37">
        <v>5.86</v>
      </c>
      <c r="GW37">
        <v>5.26</v>
      </c>
      <c r="GX37">
        <v>8</v>
      </c>
      <c r="GZ37">
        <v>5.04</v>
      </c>
      <c r="HA37">
        <v>7.84</v>
      </c>
      <c r="HB37">
        <v>5.18</v>
      </c>
      <c r="HC37">
        <v>4.0999999999999899</v>
      </c>
      <c r="HD37">
        <v>5.86</v>
      </c>
      <c r="HE37">
        <v>6.78</v>
      </c>
      <c r="HG37">
        <v>5.29</v>
      </c>
      <c r="HH37">
        <v>7.19</v>
      </c>
      <c r="HK37">
        <v>8.43</v>
      </c>
      <c r="HL37">
        <v>7.57</v>
      </c>
      <c r="HN37">
        <v>7.53</v>
      </c>
      <c r="HO37">
        <v>6.47</v>
      </c>
      <c r="HP37">
        <v>6.62</v>
      </c>
      <c r="HQ37">
        <v>6.21</v>
      </c>
      <c r="HR37">
        <v>4.72</v>
      </c>
      <c r="HU37">
        <v>7.47</v>
      </c>
      <c r="HV37">
        <v>5.81</v>
      </c>
      <c r="HW37">
        <v>4.2</v>
      </c>
      <c r="HY37">
        <v>7.85</v>
      </c>
      <c r="HZ37">
        <v>4.37</v>
      </c>
      <c r="IA37">
        <v>5.44</v>
      </c>
      <c r="IB37">
        <v>12.93</v>
      </c>
      <c r="IE37">
        <v>8.2799999999999905</v>
      </c>
      <c r="IF37">
        <v>7.49</v>
      </c>
      <c r="IH37">
        <v>13.88</v>
      </c>
      <c r="IJ37">
        <v>7.11</v>
      </c>
      <c r="IL37">
        <v>13.33</v>
      </c>
      <c r="IO37">
        <v>7.36</v>
      </c>
      <c r="IP37">
        <v>16.260000000000002</v>
      </c>
      <c r="IS37">
        <v>11.85</v>
      </c>
      <c r="IT37">
        <v>7.86</v>
      </c>
      <c r="IV37">
        <v>14</v>
      </c>
      <c r="IX37">
        <v>7.19</v>
      </c>
      <c r="IZ37">
        <v>7.11</v>
      </c>
      <c r="JB37">
        <v>6.38</v>
      </c>
      <c r="JD37">
        <v>13.27</v>
      </c>
      <c r="JF37">
        <v>15.62</v>
      </c>
      <c r="JJ37">
        <v>6.6</v>
      </c>
      <c r="JK37">
        <v>7.74</v>
      </c>
      <c r="JL37">
        <v>7.23</v>
      </c>
      <c r="JM37">
        <v>6.86</v>
      </c>
      <c r="JO37">
        <v>6.26</v>
      </c>
      <c r="JQ37">
        <v>5.96</v>
      </c>
      <c r="JR37">
        <v>6.3</v>
      </c>
      <c r="JS37">
        <v>7.19</v>
      </c>
      <c r="JT37">
        <v>3.4</v>
      </c>
      <c r="JU37">
        <v>6.22</v>
      </c>
      <c r="JV37">
        <v>8.34</v>
      </c>
      <c r="JX37">
        <v>6.13</v>
      </c>
      <c r="JZ37">
        <v>14.31</v>
      </c>
      <c r="KC37">
        <v>6.51</v>
      </c>
      <c r="KD37">
        <v>6.26</v>
      </c>
      <c r="KF37">
        <v>5.35</v>
      </c>
      <c r="KG37">
        <v>5.72</v>
      </c>
      <c r="KH37">
        <v>6.8</v>
      </c>
      <c r="KI37">
        <v>3.61</v>
      </c>
      <c r="KK37">
        <v>13.59</v>
      </c>
      <c r="KN37">
        <v>7.17</v>
      </c>
      <c r="KO37">
        <v>13.24</v>
      </c>
      <c r="KR37">
        <v>14.53</v>
      </c>
      <c r="KT37">
        <v>6.7</v>
      </c>
      <c r="KU37">
        <v>7.52</v>
      </c>
      <c r="KV37">
        <v>6.26</v>
      </c>
      <c r="KX37">
        <v>12.49</v>
      </c>
      <c r="LA37">
        <v>6.75</v>
      </c>
      <c r="LC37">
        <v>7.83</v>
      </c>
      <c r="LD37">
        <v>6.74</v>
      </c>
      <c r="LF37">
        <v>13.25</v>
      </c>
    </row>
    <row r="38" spans="1:319">
      <c r="A38" s="20" t="s">
        <v>120</v>
      </c>
      <c r="B38">
        <v>1180.4799999999996</v>
      </c>
      <c r="C38">
        <v>22.701538461538455</v>
      </c>
      <c r="D38" s="20" t="s">
        <v>816</v>
      </c>
      <c r="E38" s="20" t="s">
        <v>825</v>
      </c>
      <c r="F38">
        <v>6.76</v>
      </c>
      <c r="H38">
        <v>9.52</v>
      </c>
      <c r="K38">
        <v>6.42</v>
      </c>
      <c r="N38">
        <v>9.64</v>
      </c>
      <c r="O38">
        <v>5.77</v>
      </c>
      <c r="Q38">
        <v>9.75</v>
      </c>
      <c r="S38">
        <v>8.36</v>
      </c>
      <c r="T38">
        <v>5.8</v>
      </c>
      <c r="V38">
        <v>8.23</v>
      </c>
      <c r="Y38">
        <v>8.34</v>
      </c>
      <c r="Z38">
        <v>8.7799999999999994</v>
      </c>
      <c r="AC38">
        <v>6.78</v>
      </c>
      <c r="AD38">
        <v>6.38</v>
      </c>
      <c r="AG38">
        <v>7.24</v>
      </c>
      <c r="AI38">
        <v>9.7100000000000009</v>
      </c>
      <c r="AK38">
        <v>8.99</v>
      </c>
      <c r="AM38">
        <v>7.28</v>
      </c>
      <c r="AO38">
        <v>5.82</v>
      </c>
      <c r="AQ38">
        <v>7.64</v>
      </c>
      <c r="AR38">
        <v>5.69</v>
      </c>
      <c r="AT38">
        <v>5.05</v>
      </c>
      <c r="AW38">
        <v>8.8699999999999992</v>
      </c>
      <c r="AZ38">
        <v>8.59</v>
      </c>
      <c r="BB38">
        <v>7.79</v>
      </c>
      <c r="BD38">
        <v>7.38</v>
      </c>
      <c r="BF38">
        <v>7.38</v>
      </c>
      <c r="BI38">
        <v>7.1</v>
      </c>
      <c r="BJ38">
        <v>8.02</v>
      </c>
      <c r="BK38">
        <v>8.86</v>
      </c>
      <c r="BM38">
        <v>6.21</v>
      </c>
      <c r="BO38">
        <v>8.4499999999999993</v>
      </c>
      <c r="BR38">
        <v>13.54</v>
      </c>
      <c r="BU38">
        <v>6.57</v>
      </c>
      <c r="BV38">
        <v>8.94</v>
      </c>
      <c r="BY38">
        <v>7.41</v>
      </c>
      <c r="CC38">
        <v>8.27</v>
      </c>
      <c r="CF38">
        <v>6.19</v>
      </c>
      <c r="CH38">
        <v>16.75</v>
      </c>
      <c r="CJ38">
        <v>7.2</v>
      </c>
      <c r="CK38">
        <v>4.33</v>
      </c>
      <c r="CN38">
        <v>8.19</v>
      </c>
      <c r="CP38">
        <v>5.7</v>
      </c>
      <c r="CR38">
        <v>7.2</v>
      </c>
      <c r="CT38">
        <v>9.15</v>
      </c>
      <c r="CV38">
        <v>8.58</v>
      </c>
      <c r="CX38">
        <v>5.16</v>
      </c>
      <c r="CY38">
        <v>5.47</v>
      </c>
      <c r="CZ38">
        <v>7.85</v>
      </c>
      <c r="DB38">
        <v>6.52</v>
      </c>
      <c r="DD38">
        <v>7.43</v>
      </c>
      <c r="DM38">
        <v>8.5</v>
      </c>
      <c r="DN38">
        <v>9.92</v>
      </c>
      <c r="DO38">
        <v>5.15</v>
      </c>
      <c r="DQ38">
        <v>6.26</v>
      </c>
      <c r="DT38">
        <v>7.67</v>
      </c>
      <c r="DV38">
        <v>6.76</v>
      </c>
      <c r="DW38">
        <v>7.33</v>
      </c>
      <c r="DY38">
        <v>8.09</v>
      </c>
      <c r="DZ38">
        <v>7.57</v>
      </c>
      <c r="EB38">
        <v>6.05</v>
      </c>
      <c r="EC38">
        <v>5.05</v>
      </c>
      <c r="EE38">
        <v>7.65</v>
      </c>
      <c r="EG38">
        <v>3.96</v>
      </c>
      <c r="EI38">
        <v>6.17</v>
      </c>
      <c r="EK38">
        <v>16.18</v>
      </c>
      <c r="EO38">
        <v>8.5500000000000007</v>
      </c>
      <c r="EQ38">
        <v>6.15</v>
      </c>
      <c r="ER38">
        <v>8.18</v>
      </c>
      <c r="ET38">
        <v>9.89</v>
      </c>
      <c r="EW38">
        <v>9.83</v>
      </c>
      <c r="EZ38">
        <v>6.43</v>
      </c>
      <c r="FA38">
        <v>7.89</v>
      </c>
      <c r="FC38">
        <v>13.11</v>
      </c>
      <c r="FE38">
        <v>7.21</v>
      </c>
      <c r="FG38">
        <v>6.27</v>
      </c>
      <c r="FI38">
        <v>7.63</v>
      </c>
      <c r="FK38">
        <v>8.69</v>
      </c>
      <c r="FM38">
        <v>8.52</v>
      </c>
      <c r="FO38">
        <v>8.27</v>
      </c>
      <c r="FQ38">
        <v>7.31</v>
      </c>
      <c r="FS38">
        <v>7.27</v>
      </c>
      <c r="FU38">
        <v>7.43</v>
      </c>
      <c r="GA38">
        <v>5.15</v>
      </c>
      <c r="GB38">
        <v>8.17</v>
      </c>
      <c r="GE38">
        <v>11.24</v>
      </c>
      <c r="GG38">
        <v>8.01</v>
      </c>
      <c r="GH38">
        <v>6.54</v>
      </c>
      <c r="GK38">
        <v>6.15</v>
      </c>
      <c r="GM38">
        <v>7.4</v>
      </c>
      <c r="GN38">
        <v>8.68</v>
      </c>
      <c r="GP38">
        <v>7.11</v>
      </c>
      <c r="GQ38">
        <v>3.98</v>
      </c>
      <c r="GT38">
        <v>7.78</v>
      </c>
      <c r="GW38">
        <v>8.23</v>
      </c>
      <c r="GX38">
        <v>8.3800000000000008</v>
      </c>
      <c r="GY38">
        <v>8.1199999999999903</v>
      </c>
      <c r="HB38">
        <v>7.6</v>
      </c>
      <c r="HC38">
        <v>6.24</v>
      </c>
      <c r="HE38">
        <v>8.15</v>
      </c>
      <c r="HI38">
        <v>7.85</v>
      </c>
      <c r="HK38">
        <v>9.31</v>
      </c>
      <c r="HL38">
        <v>8.93</v>
      </c>
      <c r="HO38">
        <v>7.06</v>
      </c>
      <c r="HQ38">
        <v>8.31</v>
      </c>
      <c r="HR38">
        <v>6</v>
      </c>
      <c r="HS38">
        <v>8.7200000000000006</v>
      </c>
      <c r="HU38">
        <v>6.94</v>
      </c>
      <c r="HX38">
        <v>8.67</v>
      </c>
      <c r="HY38">
        <v>10.26</v>
      </c>
      <c r="IA38">
        <v>6.63</v>
      </c>
      <c r="ID38">
        <v>9.64</v>
      </c>
      <c r="IG38">
        <v>9.16</v>
      </c>
      <c r="II38">
        <v>8.81</v>
      </c>
      <c r="IL38">
        <v>9.82</v>
      </c>
      <c r="IM38">
        <v>5.48</v>
      </c>
      <c r="IP38">
        <v>8.98</v>
      </c>
      <c r="IR38">
        <v>8.89</v>
      </c>
      <c r="IU38">
        <v>8.66</v>
      </c>
      <c r="IV38">
        <v>9.57</v>
      </c>
      <c r="IX38">
        <v>7.43</v>
      </c>
      <c r="IZ38">
        <v>6.13</v>
      </c>
      <c r="JB38">
        <v>8.48</v>
      </c>
      <c r="JC38">
        <v>8.34</v>
      </c>
      <c r="JE38">
        <v>8.33</v>
      </c>
      <c r="JH38">
        <v>12.66</v>
      </c>
      <c r="JK38">
        <v>9.49</v>
      </c>
      <c r="JM38">
        <v>7.19</v>
      </c>
      <c r="JN38">
        <v>9.15</v>
      </c>
      <c r="JP38">
        <v>7.84</v>
      </c>
      <c r="JR38">
        <v>9.9</v>
      </c>
      <c r="JT38">
        <v>4.87</v>
      </c>
      <c r="JV38">
        <v>9.65</v>
      </c>
      <c r="JY38">
        <v>9.35</v>
      </c>
      <c r="KA38">
        <v>9.4600000000000009</v>
      </c>
      <c r="KC38">
        <v>4.92</v>
      </c>
      <c r="KF38">
        <v>12.45</v>
      </c>
      <c r="KI38">
        <v>8.06</v>
      </c>
      <c r="KJ38">
        <v>6.75</v>
      </c>
      <c r="KK38">
        <v>6.28</v>
      </c>
      <c r="KN38">
        <v>6.05</v>
      </c>
      <c r="KO38">
        <v>4</v>
      </c>
      <c r="KQ38">
        <v>8.3000000000000007</v>
      </c>
      <c r="KS38">
        <v>9.4700000000000006</v>
      </c>
      <c r="KU38">
        <v>9.0299999999999905</v>
      </c>
      <c r="KX38">
        <v>8.61</v>
      </c>
      <c r="KY38">
        <v>7.22</v>
      </c>
      <c r="LA38">
        <v>6.88</v>
      </c>
      <c r="LD38">
        <v>8.94</v>
      </c>
      <c r="LE38">
        <v>6.48</v>
      </c>
      <c r="LG38">
        <v>6.16</v>
      </c>
    </row>
    <row r="39" spans="1:319">
      <c r="A39" s="20" t="s">
        <v>129</v>
      </c>
      <c r="B39">
        <v>867.77999999999986</v>
      </c>
      <c r="C39">
        <v>16.68807692307692</v>
      </c>
      <c r="D39" s="20" t="s">
        <v>816</v>
      </c>
      <c r="E39" s="20" t="s">
        <v>825</v>
      </c>
      <c r="F39">
        <v>5.52</v>
      </c>
      <c r="G39">
        <v>4.9000000000000004</v>
      </c>
      <c r="K39">
        <v>6.56</v>
      </c>
      <c r="M39">
        <v>5.0599999999999996</v>
      </c>
      <c r="N39">
        <v>6.87</v>
      </c>
      <c r="Q39">
        <v>8.7899999999999991</v>
      </c>
      <c r="R39">
        <v>3.1</v>
      </c>
      <c r="S39">
        <v>4.82</v>
      </c>
      <c r="W39">
        <v>8.2799999999999994</v>
      </c>
      <c r="X39">
        <v>6.78</v>
      </c>
      <c r="Z39">
        <v>5.63</v>
      </c>
      <c r="AC39">
        <v>5.67</v>
      </c>
      <c r="AD39">
        <v>9.9700000000000006</v>
      </c>
      <c r="AI39">
        <v>9.4499999999999993</v>
      </c>
      <c r="AJ39">
        <v>9.82</v>
      </c>
      <c r="AP39">
        <v>10.17</v>
      </c>
      <c r="AQ39">
        <v>10.06</v>
      </c>
      <c r="AV39">
        <v>9.16</v>
      </c>
      <c r="AX39">
        <v>3.79</v>
      </c>
      <c r="BE39">
        <v>7.38</v>
      </c>
      <c r="BF39">
        <v>8.2799999999999994</v>
      </c>
      <c r="BK39">
        <v>10.36</v>
      </c>
      <c r="BM39">
        <v>8.7899999999999991</v>
      </c>
      <c r="BQ39">
        <v>9.1300000000000008</v>
      </c>
      <c r="BS39">
        <v>8.8800000000000008</v>
      </c>
      <c r="BT39">
        <v>9.52</v>
      </c>
      <c r="BW39">
        <v>11.33</v>
      </c>
      <c r="CE39">
        <v>6.08</v>
      </c>
      <c r="CF39">
        <v>8.64</v>
      </c>
      <c r="CK39">
        <v>9.9499999999999993</v>
      </c>
      <c r="CL39">
        <v>9.76</v>
      </c>
      <c r="CR39">
        <v>16.45</v>
      </c>
      <c r="CW39">
        <v>16.100000000000001</v>
      </c>
      <c r="DC39">
        <v>8.3000000000000007</v>
      </c>
      <c r="DD39">
        <v>10.3</v>
      </c>
      <c r="DL39">
        <v>5.84</v>
      </c>
      <c r="DM39">
        <v>5.1100000000000003</v>
      </c>
      <c r="DQ39">
        <v>7.82</v>
      </c>
      <c r="DR39">
        <v>5.0599999999999898</v>
      </c>
      <c r="DS39">
        <v>5.99</v>
      </c>
      <c r="DW39">
        <v>7.78</v>
      </c>
      <c r="DX39">
        <v>5.31</v>
      </c>
      <c r="DY39">
        <v>5.27</v>
      </c>
      <c r="EC39">
        <v>5.64</v>
      </c>
      <c r="ED39">
        <v>5.33</v>
      </c>
      <c r="EE39">
        <v>6.17</v>
      </c>
      <c r="EI39">
        <v>7.11</v>
      </c>
      <c r="EJ39">
        <v>6.98</v>
      </c>
      <c r="EK39">
        <v>6.06</v>
      </c>
      <c r="EO39">
        <v>5.69</v>
      </c>
      <c r="EP39">
        <v>5.4</v>
      </c>
      <c r="EQ39">
        <v>5.54</v>
      </c>
      <c r="ET39">
        <v>6.73</v>
      </c>
      <c r="EV39">
        <v>6.21</v>
      </c>
      <c r="EW39">
        <v>5.54</v>
      </c>
      <c r="FA39">
        <v>7.39</v>
      </c>
      <c r="FB39">
        <v>5.59</v>
      </c>
      <c r="FC39">
        <v>7.12</v>
      </c>
      <c r="FG39">
        <v>7.15</v>
      </c>
      <c r="FH39">
        <v>6.69</v>
      </c>
      <c r="FI39">
        <v>5.48</v>
      </c>
      <c r="FN39">
        <v>5.66</v>
      </c>
      <c r="FP39">
        <v>8</v>
      </c>
      <c r="FQ39">
        <v>7.29</v>
      </c>
      <c r="FS39">
        <v>4.01</v>
      </c>
      <c r="FT39">
        <v>2.68</v>
      </c>
      <c r="FU39">
        <v>5.45</v>
      </c>
      <c r="FY39">
        <v>6.44</v>
      </c>
      <c r="FZ39">
        <v>5.62</v>
      </c>
      <c r="GB39">
        <v>7.2</v>
      </c>
      <c r="GE39">
        <v>4.55</v>
      </c>
      <c r="GF39">
        <v>6.06</v>
      </c>
      <c r="GG39">
        <v>2.8</v>
      </c>
      <c r="GK39">
        <v>6.67</v>
      </c>
      <c r="GL39">
        <v>4.75</v>
      </c>
      <c r="GR39">
        <v>4.88</v>
      </c>
      <c r="GS39">
        <v>5.2</v>
      </c>
      <c r="GX39">
        <v>4.5199999999999898</v>
      </c>
      <c r="GY39">
        <v>5.83</v>
      </c>
      <c r="HC39">
        <v>5.63</v>
      </c>
      <c r="HD39">
        <v>6.01</v>
      </c>
      <c r="HE39">
        <v>5.13</v>
      </c>
      <c r="HI39">
        <v>7.43</v>
      </c>
      <c r="HJ39">
        <v>5</v>
      </c>
      <c r="HK39">
        <v>5.17</v>
      </c>
      <c r="HO39">
        <v>7.12</v>
      </c>
      <c r="HP39">
        <v>4.99</v>
      </c>
      <c r="HQ39">
        <v>5.75</v>
      </c>
      <c r="HV39">
        <v>7.79</v>
      </c>
      <c r="HW39">
        <v>7.91</v>
      </c>
      <c r="IA39">
        <v>8.0299999999999905</v>
      </c>
      <c r="IB39">
        <v>6.88</v>
      </c>
      <c r="IF39">
        <v>10.220000000000001</v>
      </c>
      <c r="IG39">
        <v>7.16</v>
      </c>
      <c r="II39">
        <v>4.74</v>
      </c>
      <c r="IM39">
        <v>8.15</v>
      </c>
      <c r="IN39">
        <v>7.68</v>
      </c>
      <c r="IQ39">
        <v>7.21</v>
      </c>
      <c r="IT39">
        <v>11.99</v>
      </c>
      <c r="IY39">
        <v>9.17</v>
      </c>
      <c r="JA39">
        <v>7.13</v>
      </c>
      <c r="JE39">
        <v>14.23</v>
      </c>
      <c r="JF39">
        <v>6.89</v>
      </c>
      <c r="JG39">
        <v>6.54</v>
      </c>
      <c r="JK39">
        <v>7.48</v>
      </c>
      <c r="JL39">
        <v>4.57</v>
      </c>
      <c r="JM39">
        <v>5.51</v>
      </c>
      <c r="JQ39">
        <v>7.25</v>
      </c>
      <c r="JS39">
        <v>11.28</v>
      </c>
      <c r="JW39">
        <v>7.47</v>
      </c>
      <c r="JX39">
        <v>5.01</v>
      </c>
      <c r="JY39">
        <v>4.51</v>
      </c>
      <c r="KC39">
        <v>5.76</v>
      </c>
      <c r="KD39">
        <v>8.5399999999999903</v>
      </c>
      <c r="KE39">
        <v>5.36</v>
      </c>
      <c r="KI39">
        <v>7.3</v>
      </c>
      <c r="KJ39">
        <v>3.59</v>
      </c>
      <c r="KK39">
        <v>4.46</v>
      </c>
      <c r="KO39">
        <v>5.95</v>
      </c>
      <c r="KP39">
        <v>5.01</v>
      </c>
      <c r="KQ39">
        <v>4.8899999999999899</v>
      </c>
      <c r="KV39">
        <v>10.77</v>
      </c>
      <c r="KW39">
        <v>5.57</v>
      </c>
      <c r="LC39">
        <v>5.83</v>
      </c>
      <c r="LF39">
        <v>6.46</v>
      </c>
    </row>
    <row r="40" spans="1:319">
      <c r="A40" s="20" t="s">
        <v>78</v>
      </c>
      <c r="B40">
        <v>890.97999999999979</v>
      </c>
      <c r="C40">
        <v>17.134230769230765</v>
      </c>
      <c r="D40" s="20" t="s">
        <v>816</v>
      </c>
      <c r="E40" s="20" t="s">
        <v>825</v>
      </c>
      <c r="F40">
        <v>5.08</v>
      </c>
      <c r="I40">
        <v>5.38</v>
      </c>
      <c r="N40">
        <v>6.21</v>
      </c>
      <c r="P40">
        <v>5.32</v>
      </c>
      <c r="S40">
        <v>6.74</v>
      </c>
      <c r="V40">
        <v>7.71</v>
      </c>
      <c r="W40">
        <v>2.21</v>
      </c>
      <c r="Y40">
        <v>7.23</v>
      </c>
      <c r="Z40">
        <v>4.09</v>
      </c>
      <c r="AB40">
        <v>5.48</v>
      </c>
      <c r="AC40">
        <v>3.66</v>
      </c>
      <c r="AE40">
        <v>3.61</v>
      </c>
      <c r="AG40">
        <v>5.07</v>
      </c>
      <c r="AI40">
        <v>6.81</v>
      </c>
      <c r="AJ40">
        <v>6.79</v>
      </c>
      <c r="AL40">
        <v>8.65</v>
      </c>
      <c r="AP40">
        <v>7.08</v>
      </c>
      <c r="AR40">
        <v>6.25</v>
      </c>
      <c r="AS40">
        <v>10.050000000000001</v>
      </c>
      <c r="AU40">
        <v>12.21</v>
      </c>
      <c r="AV40">
        <v>7.06</v>
      </c>
      <c r="AW40">
        <v>6.21</v>
      </c>
      <c r="AY40">
        <v>6.4</v>
      </c>
      <c r="BA40">
        <v>5.84</v>
      </c>
      <c r="BC40">
        <v>6.9</v>
      </c>
      <c r="BE40">
        <v>8.14</v>
      </c>
      <c r="BG40">
        <v>5.58</v>
      </c>
      <c r="BH40">
        <v>7.32</v>
      </c>
      <c r="BJ40">
        <v>4.84</v>
      </c>
      <c r="BK40">
        <v>9.2899999999999991</v>
      </c>
      <c r="BM40">
        <v>5.58</v>
      </c>
      <c r="BN40">
        <v>6.33</v>
      </c>
      <c r="BP40">
        <v>7.08</v>
      </c>
      <c r="BR40">
        <v>6.12</v>
      </c>
      <c r="BW40">
        <v>6.86</v>
      </c>
      <c r="BY40">
        <v>5.78</v>
      </c>
      <c r="CB40">
        <v>5.24</v>
      </c>
      <c r="CD40">
        <v>5.31</v>
      </c>
      <c r="CF40">
        <v>4.29</v>
      </c>
      <c r="CG40">
        <v>6.64</v>
      </c>
      <c r="CI40">
        <v>6.25</v>
      </c>
      <c r="CJ40">
        <v>4.6399999999999997</v>
      </c>
      <c r="CL40">
        <v>5.08</v>
      </c>
      <c r="CN40">
        <v>5</v>
      </c>
      <c r="CP40">
        <v>5.26</v>
      </c>
      <c r="CQ40">
        <v>6.02</v>
      </c>
      <c r="CU40">
        <v>6.88</v>
      </c>
      <c r="CV40">
        <v>8.6300000000000008</v>
      </c>
      <c r="CX40">
        <v>5.97</v>
      </c>
      <c r="CZ40">
        <v>5.48</v>
      </c>
      <c r="DB40">
        <v>6</v>
      </c>
      <c r="DD40">
        <v>5.25</v>
      </c>
      <c r="DM40">
        <v>4.43</v>
      </c>
      <c r="DQ40">
        <v>6.6</v>
      </c>
      <c r="DR40">
        <v>5.19</v>
      </c>
      <c r="DT40">
        <v>5.92</v>
      </c>
      <c r="DV40">
        <v>5.32</v>
      </c>
      <c r="DX40">
        <v>7.14</v>
      </c>
      <c r="EB40">
        <v>5.52</v>
      </c>
      <c r="ED40">
        <v>5.25</v>
      </c>
      <c r="EF40">
        <v>5.27</v>
      </c>
      <c r="EH40">
        <v>4.68</v>
      </c>
      <c r="EJ40">
        <v>7.26</v>
      </c>
      <c r="EL40">
        <v>5.83</v>
      </c>
      <c r="EN40">
        <v>5.1100000000000003</v>
      </c>
      <c r="EP40">
        <v>5.87</v>
      </c>
      <c r="ER40">
        <v>5.99</v>
      </c>
      <c r="ET40">
        <v>5.15</v>
      </c>
      <c r="EV40">
        <v>6.66</v>
      </c>
      <c r="EX40">
        <v>6.16</v>
      </c>
      <c r="FA40">
        <v>6.27</v>
      </c>
      <c r="FB40">
        <v>6.81</v>
      </c>
      <c r="FD40">
        <v>5.23</v>
      </c>
      <c r="FG40">
        <v>7</v>
      </c>
      <c r="FI40">
        <v>6.81</v>
      </c>
      <c r="FK40">
        <v>6.59</v>
      </c>
      <c r="FM40">
        <v>4.9800000000000004</v>
      </c>
      <c r="FN40">
        <v>5.2</v>
      </c>
      <c r="FP40">
        <v>5.62</v>
      </c>
      <c r="FT40">
        <v>11.71</v>
      </c>
      <c r="FU40">
        <v>2.52</v>
      </c>
      <c r="FX40">
        <v>5.12</v>
      </c>
      <c r="FY40">
        <v>3.03</v>
      </c>
      <c r="FZ40">
        <v>4.84</v>
      </c>
      <c r="GB40">
        <v>6.29</v>
      </c>
      <c r="GD40">
        <v>4.97</v>
      </c>
      <c r="GE40">
        <v>2.61</v>
      </c>
      <c r="GF40">
        <v>6.19</v>
      </c>
      <c r="GH40">
        <v>5.65</v>
      </c>
      <c r="GJ40">
        <v>5.17</v>
      </c>
      <c r="GN40">
        <v>13.63</v>
      </c>
      <c r="GQ40">
        <v>5.47</v>
      </c>
      <c r="GT40">
        <v>7.16</v>
      </c>
      <c r="GU40">
        <v>7.44</v>
      </c>
      <c r="GW40">
        <v>7.12</v>
      </c>
      <c r="GX40">
        <v>4.58</v>
      </c>
      <c r="GZ40">
        <v>6.36</v>
      </c>
      <c r="HB40">
        <v>5.79</v>
      </c>
      <c r="HD40">
        <v>3.82</v>
      </c>
      <c r="HI40">
        <v>6.73</v>
      </c>
      <c r="HJ40">
        <v>5.99</v>
      </c>
      <c r="HL40">
        <v>5.19</v>
      </c>
      <c r="HN40">
        <v>5.07</v>
      </c>
      <c r="HP40">
        <v>6.66</v>
      </c>
      <c r="HR40">
        <v>7.02</v>
      </c>
      <c r="HU40">
        <v>7.37</v>
      </c>
      <c r="HW40">
        <v>4.99</v>
      </c>
      <c r="HY40">
        <v>6.77</v>
      </c>
      <c r="IA40">
        <v>5.8</v>
      </c>
      <c r="IB40">
        <v>5.49</v>
      </c>
      <c r="ID40">
        <v>5.92</v>
      </c>
      <c r="IF40">
        <v>4.87</v>
      </c>
      <c r="IH40">
        <v>6.29</v>
      </c>
      <c r="IJ40">
        <v>5.75</v>
      </c>
      <c r="IM40">
        <v>6.17</v>
      </c>
      <c r="IN40">
        <v>5.27</v>
      </c>
      <c r="IP40">
        <v>8.89</v>
      </c>
      <c r="IS40">
        <v>6.95</v>
      </c>
      <c r="IV40">
        <v>12.87</v>
      </c>
      <c r="IW40">
        <v>10.66</v>
      </c>
      <c r="IX40">
        <v>5.1100000000000003</v>
      </c>
      <c r="IZ40">
        <v>7.01</v>
      </c>
      <c r="JC40">
        <v>7.4</v>
      </c>
      <c r="JD40">
        <v>4.41</v>
      </c>
      <c r="JN40">
        <v>5.12</v>
      </c>
      <c r="JT40">
        <v>4.26</v>
      </c>
      <c r="JX40">
        <v>18.809999999999899</v>
      </c>
      <c r="JZ40">
        <v>5.37</v>
      </c>
      <c r="KC40">
        <v>6.9</v>
      </c>
      <c r="KE40">
        <v>5.51</v>
      </c>
      <c r="KF40">
        <v>5.82</v>
      </c>
      <c r="KH40">
        <v>6.49</v>
      </c>
      <c r="KJ40">
        <v>7.17</v>
      </c>
      <c r="KL40">
        <v>6.18</v>
      </c>
      <c r="KN40">
        <v>3.34</v>
      </c>
      <c r="KP40">
        <v>7.23</v>
      </c>
      <c r="KQ40">
        <v>4.91</v>
      </c>
      <c r="KT40">
        <v>6.56</v>
      </c>
      <c r="KW40">
        <v>6.38</v>
      </c>
      <c r="KX40">
        <v>7.17</v>
      </c>
      <c r="LC40">
        <v>4.45</v>
      </c>
      <c r="LD40">
        <v>7.41</v>
      </c>
      <c r="LG40">
        <v>7.02</v>
      </c>
    </row>
    <row r="41" spans="1:319">
      <c r="A41" s="20" t="s">
        <v>112</v>
      </c>
      <c r="B41">
        <v>1605.4100000000003</v>
      </c>
      <c r="C41">
        <v>30.873269230769235</v>
      </c>
      <c r="D41" s="20" t="s">
        <v>816</v>
      </c>
      <c r="E41" s="20" t="s">
        <v>825</v>
      </c>
      <c r="H41">
        <v>13.9</v>
      </c>
      <c r="J41">
        <v>8.09</v>
      </c>
      <c r="K41">
        <v>7.11</v>
      </c>
      <c r="N41">
        <v>15.28</v>
      </c>
      <c r="Q41">
        <v>19.34</v>
      </c>
      <c r="R41">
        <v>4.91</v>
      </c>
      <c r="T41">
        <v>11.3</v>
      </c>
      <c r="V41">
        <v>14.56</v>
      </c>
      <c r="W41">
        <v>15.52</v>
      </c>
      <c r="X41">
        <v>6.1</v>
      </c>
      <c r="Y41">
        <v>6.84</v>
      </c>
      <c r="AC41">
        <v>12.44</v>
      </c>
      <c r="AH41">
        <v>16.100000000000001</v>
      </c>
      <c r="AI41">
        <v>14.44</v>
      </c>
      <c r="AL41">
        <v>15.03</v>
      </c>
      <c r="AO41">
        <v>14.37</v>
      </c>
      <c r="AQ41">
        <v>13.57</v>
      </c>
      <c r="AT41">
        <v>13.58</v>
      </c>
      <c r="AW41">
        <v>7.14</v>
      </c>
      <c r="AX41">
        <v>14.64</v>
      </c>
      <c r="BA41">
        <v>14.82</v>
      </c>
      <c r="BC41">
        <v>15.5</v>
      </c>
      <c r="BD41">
        <v>13.51</v>
      </c>
      <c r="BG41">
        <v>15.48</v>
      </c>
      <c r="BJ41">
        <v>5.89</v>
      </c>
      <c r="BL41">
        <v>7.83</v>
      </c>
      <c r="BM41">
        <v>13.18</v>
      </c>
      <c r="BN41">
        <v>6.64</v>
      </c>
      <c r="BR41">
        <v>14.78</v>
      </c>
      <c r="BU41">
        <v>15.96</v>
      </c>
      <c r="BX41">
        <v>14.14</v>
      </c>
      <c r="CB41">
        <v>12.47</v>
      </c>
      <c r="CE41">
        <v>14.52</v>
      </c>
      <c r="CH41">
        <v>12.74</v>
      </c>
      <c r="CI41">
        <v>13.77</v>
      </c>
      <c r="CK41">
        <v>12.38</v>
      </c>
      <c r="CO41">
        <v>13.62</v>
      </c>
      <c r="CP41">
        <v>11.47</v>
      </c>
      <c r="CR41">
        <v>14.32</v>
      </c>
      <c r="CU41">
        <v>14.19</v>
      </c>
      <c r="CV41">
        <v>9.77</v>
      </c>
      <c r="CZ41">
        <v>13.55</v>
      </c>
      <c r="DB41">
        <v>10.51</v>
      </c>
      <c r="DC41">
        <v>14.43</v>
      </c>
      <c r="DL41">
        <v>13.23</v>
      </c>
      <c r="DN41">
        <v>4.97</v>
      </c>
      <c r="DO41">
        <v>12.44</v>
      </c>
      <c r="DQ41">
        <v>11.54</v>
      </c>
      <c r="DT41">
        <v>13.67</v>
      </c>
      <c r="DW41">
        <v>12.35</v>
      </c>
      <c r="DY41">
        <v>11.11</v>
      </c>
      <c r="EA41">
        <v>7.99</v>
      </c>
      <c r="EC41">
        <v>4.01</v>
      </c>
      <c r="EE41">
        <v>15.58</v>
      </c>
      <c r="EF41">
        <v>14.7</v>
      </c>
      <c r="EI41">
        <v>14.58</v>
      </c>
      <c r="EM41">
        <v>16.899999999999899</v>
      </c>
      <c r="EO41">
        <v>12.53</v>
      </c>
      <c r="EQ41">
        <v>7.63</v>
      </c>
      <c r="ER41">
        <v>7.64</v>
      </c>
      <c r="EU41">
        <v>19.5</v>
      </c>
      <c r="EW41">
        <v>14.99</v>
      </c>
      <c r="EZ41">
        <v>14.28</v>
      </c>
      <c r="FD41">
        <v>20.440000000000001</v>
      </c>
      <c r="FG41">
        <v>10.94</v>
      </c>
      <c r="FJ41">
        <v>13.88</v>
      </c>
      <c r="FM41">
        <v>14.94</v>
      </c>
      <c r="FO41">
        <v>10.19</v>
      </c>
      <c r="FS41">
        <v>15.12</v>
      </c>
      <c r="FX41">
        <v>10.99</v>
      </c>
      <c r="FY41">
        <v>8.76</v>
      </c>
      <c r="GB41">
        <v>7.93</v>
      </c>
      <c r="GD41">
        <v>15.77</v>
      </c>
      <c r="GE41">
        <v>14.4</v>
      </c>
      <c r="GJ41">
        <v>24.69</v>
      </c>
      <c r="GN41">
        <v>16.27</v>
      </c>
      <c r="GQ41">
        <v>7.68</v>
      </c>
      <c r="GT41">
        <v>15.46</v>
      </c>
      <c r="GV41">
        <v>7.94</v>
      </c>
      <c r="GW41">
        <v>16.97</v>
      </c>
      <c r="GX41">
        <v>9.56</v>
      </c>
      <c r="HC41">
        <v>16.46</v>
      </c>
      <c r="HG41">
        <v>8.1</v>
      </c>
      <c r="HH41">
        <v>5.44</v>
      </c>
      <c r="HI41">
        <v>5.93</v>
      </c>
      <c r="HL41">
        <v>15.4</v>
      </c>
      <c r="HM41">
        <v>6.45</v>
      </c>
      <c r="HO41">
        <v>14.99</v>
      </c>
      <c r="HR41">
        <v>14.8</v>
      </c>
      <c r="HU41">
        <v>18.39</v>
      </c>
      <c r="HW41">
        <v>14.08</v>
      </c>
      <c r="HX41">
        <v>2.83</v>
      </c>
      <c r="IA41">
        <v>16.420000000000002</v>
      </c>
      <c r="ID41">
        <v>16.170000000000002</v>
      </c>
      <c r="IF41">
        <v>6.84</v>
      </c>
      <c r="IG41">
        <v>8.32</v>
      </c>
      <c r="II41">
        <v>15.02</v>
      </c>
      <c r="IJ41">
        <v>7.7</v>
      </c>
      <c r="IM41">
        <v>8.6300000000000008</v>
      </c>
      <c r="IN41">
        <v>8.6</v>
      </c>
      <c r="IP41">
        <v>9.19</v>
      </c>
      <c r="IR41">
        <v>7.99</v>
      </c>
      <c r="IS41">
        <v>14.38</v>
      </c>
      <c r="IV41">
        <v>12.25</v>
      </c>
      <c r="IY41">
        <v>13.79</v>
      </c>
      <c r="IZ41">
        <v>4.79</v>
      </c>
      <c r="JD41">
        <v>13.87</v>
      </c>
      <c r="JE41">
        <v>9.6300000000000008</v>
      </c>
      <c r="JH41">
        <v>8</v>
      </c>
      <c r="JI41">
        <v>17.37</v>
      </c>
      <c r="JM41">
        <v>15.88</v>
      </c>
      <c r="JO41">
        <v>15.8</v>
      </c>
      <c r="JQ41">
        <v>14.19</v>
      </c>
      <c r="JT41">
        <v>14.43</v>
      </c>
      <c r="JW41">
        <v>14.79</v>
      </c>
      <c r="JX41">
        <v>7.83</v>
      </c>
      <c r="JZ41">
        <v>14.11</v>
      </c>
      <c r="KB41">
        <v>7.65</v>
      </c>
      <c r="KC41">
        <v>6.93</v>
      </c>
      <c r="KE41">
        <v>8.77</v>
      </c>
      <c r="KF41">
        <v>13.67</v>
      </c>
      <c r="KG41">
        <v>7.73</v>
      </c>
      <c r="KL41">
        <v>15.26</v>
      </c>
      <c r="KO41">
        <v>13.86</v>
      </c>
      <c r="KP41">
        <v>7.14</v>
      </c>
      <c r="KR41">
        <v>14.48</v>
      </c>
      <c r="KU41">
        <v>8.0500000000000007</v>
      </c>
      <c r="KW41">
        <v>8.02</v>
      </c>
      <c r="KY41">
        <v>14.28</v>
      </c>
      <c r="KZ41">
        <v>10.49</v>
      </c>
      <c r="LC41">
        <v>6.19</v>
      </c>
      <c r="LE41">
        <v>15.8</v>
      </c>
      <c r="LG41">
        <v>6.93</v>
      </c>
    </row>
    <row r="42" spans="1:319">
      <c r="A42" s="20" t="s">
        <v>83</v>
      </c>
      <c r="B42">
        <v>1316.5699999999997</v>
      </c>
      <c r="C42">
        <v>25.31865384615384</v>
      </c>
      <c r="D42" s="20" t="s">
        <v>816</v>
      </c>
      <c r="E42" s="20" t="s">
        <v>825</v>
      </c>
      <c r="F42">
        <v>11.93</v>
      </c>
      <c r="I42">
        <v>12.24</v>
      </c>
      <c r="L42">
        <v>7.63</v>
      </c>
      <c r="N42">
        <v>6.71</v>
      </c>
      <c r="O42">
        <v>13.65</v>
      </c>
      <c r="R42">
        <v>4.9400000000000004</v>
      </c>
      <c r="S42">
        <v>6.86</v>
      </c>
      <c r="U42">
        <v>12.89</v>
      </c>
      <c r="X42">
        <v>11.51</v>
      </c>
      <c r="Z42">
        <v>5.94</v>
      </c>
      <c r="AA42">
        <v>11.84</v>
      </c>
      <c r="AE42">
        <v>6.06</v>
      </c>
      <c r="AF42">
        <v>8.77</v>
      </c>
      <c r="AG42">
        <v>6.65</v>
      </c>
      <c r="AJ42">
        <v>14.46</v>
      </c>
      <c r="AM42">
        <v>11.68</v>
      </c>
      <c r="AP42">
        <v>13.41</v>
      </c>
      <c r="AS42">
        <v>11.88</v>
      </c>
      <c r="AV42">
        <v>5.19</v>
      </c>
      <c r="AX42">
        <v>6.88</v>
      </c>
      <c r="BA42">
        <v>7.36</v>
      </c>
      <c r="BB42">
        <v>15.5</v>
      </c>
      <c r="BE42">
        <v>6.43</v>
      </c>
      <c r="BF42">
        <v>7.69</v>
      </c>
      <c r="BH42">
        <v>12.61</v>
      </c>
      <c r="BK42">
        <v>12.82</v>
      </c>
      <c r="BN42">
        <v>14.67</v>
      </c>
      <c r="BQ42">
        <v>7.14</v>
      </c>
      <c r="BT42">
        <v>12.7</v>
      </c>
      <c r="BW42">
        <v>12.38</v>
      </c>
      <c r="CA42">
        <v>13.37</v>
      </c>
      <c r="CD42">
        <v>13.85</v>
      </c>
      <c r="CG42">
        <v>7.29</v>
      </c>
      <c r="CH42">
        <v>6.7</v>
      </c>
      <c r="CJ42">
        <v>8.9600000000000009</v>
      </c>
      <c r="CK42">
        <v>5.28</v>
      </c>
      <c r="CM42">
        <v>12.92</v>
      </c>
      <c r="CP42">
        <v>12.43</v>
      </c>
      <c r="CS42">
        <v>13.65</v>
      </c>
      <c r="CV42">
        <v>14.51</v>
      </c>
      <c r="CY42">
        <v>8.34</v>
      </c>
      <c r="CZ42">
        <v>7.44</v>
      </c>
      <c r="DB42">
        <v>4.38</v>
      </c>
      <c r="DC42">
        <v>6.29</v>
      </c>
      <c r="DL42">
        <v>7.33</v>
      </c>
      <c r="DM42">
        <v>6.49</v>
      </c>
      <c r="DO42">
        <v>10.53</v>
      </c>
      <c r="DQ42">
        <v>8.61</v>
      </c>
      <c r="DS42">
        <v>7.15</v>
      </c>
      <c r="DU42">
        <v>9.69</v>
      </c>
      <c r="DX42">
        <v>13.09</v>
      </c>
      <c r="EA42">
        <v>5.03</v>
      </c>
      <c r="EB42">
        <v>7.81</v>
      </c>
      <c r="ED42">
        <v>13.1</v>
      </c>
      <c r="EG42">
        <v>12.84</v>
      </c>
      <c r="EJ42">
        <v>13.5</v>
      </c>
      <c r="EK42">
        <v>4.79</v>
      </c>
      <c r="EM42">
        <v>8.6199999999999903</v>
      </c>
      <c r="EP42">
        <v>13.18</v>
      </c>
      <c r="ES42">
        <v>12.05</v>
      </c>
      <c r="EV42">
        <v>13.69</v>
      </c>
      <c r="EY42">
        <v>12.32</v>
      </c>
      <c r="FB42">
        <v>13.31</v>
      </c>
      <c r="FE42">
        <v>13.27</v>
      </c>
      <c r="FH42">
        <v>13.54</v>
      </c>
      <c r="FK42">
        <v>13.5</v>
      </c>
      <c r="FN42">
        <v>13.2</v>
      </c>
      <c r="FQ42">
        <v>8.0299999999999905</v>
      </c>
      <c r="FT42">
        <v>12.93</v>
      </c>
      <c r="FW42">
        <v>11.82</v>
      </c>
      <c r="FZ42">
        <v>12.35</v>
      </c>
      <c r="GC42">
        <v>12.57</v>
      </c>
      <c r="GF42">
        <v>14.75</v>
      </c>
      <c r="GI42">
        <v>12.52</v>
      </c>
      <c r="GL42">
        <v>7.41</v>
      </c>
      <c r="GM42">
        <v>7.44</v>
      </c>
      <c r="GO42">
        <v>10.66</v>
      </c>
      <c r="GS42">
        <v>13.47</v>
      </c>
      <c r="GV42">
        <v>8.64</v>
      </c>
      <c r="GW42">
        <v>6.95</v>
      </c>
      <c r="GX42">
        <v>12.64</v>
      </c>
      <c r="HA42">
        <v>12.43</v>
      </c>
      <c r="HD42">
        <v>7.31</v>
      </c>
      <c r="HE42">
        <v>7.51</v>
      </c>
      <c r="HG42">
        <v>7.16</v>
      </c>
      <c r="HJ42">
        <v>7.65</v>
      </c>
      <c r="HK42">
        <v>7.5</v>
      </c>
      <c r="HM42">
        <v>11.92</v>
      </c>
      <c r="HP42">
        <v>13.11</v>
      </c>
      <c r="HS42">
        <v>13.3</v>
      </c>
      <c r="HV42">
        <v>6.25</v>
      </c>
      <c r="HX42">
        <v>8.01</v>
      </c>
      <c r="HZ42">
        <v>7.35</v>
      </c>
      <c r="IB42">
        <v>14.74</v>
      </c>
      <c r="IF42">
        <v>13.73</v>
      </c>
      <c r="IG42">
        <v>3.96</v>
      </c>
      <c r="II42">
        <v>3.88</v>
      </c>
      <c r="IK42">
        <v>2.27</v>
      </c>
      <c r="IL42">
        <v>5.95</v>
      </c>
      <c r="IN42">
        <v>14.03</v>
      </c>
      <c r="IQ42">
        <v>13.14</v>
      </c>
      <c r="IT42">
        <v>15.05</v>
      </c>
      <c r="IW42">
        <v>8.2899999999999903</v>
      </c>
      <c r="IX42">
        <v>8.56</v>
      </c>
      <c r="IZ42">
        <v>5.86</v>
      </c>
      <c r="JA42">
        <v>5.83</v>
      </c>
      <c r="JC42">
        <v>1.58</v>
      </c>
      <c r="JE42">
        <v>8.49</v>
      </c>
      <c r="JF42">
        <v>15.65</v>
      </c>
      <c r="JI42">
        <v>13.72</v>
      </c>
      <c r="JL42">
        <v>14.73</v>
      </c>
      <c r="JO42">
        <v>12.98</v>
      </c>
      <c r="JR42">
        <v>14.18</v>
      </c>
      <c r="JU42">
        <v>12.79</v>
      </c>
      <c r="JX42">
        <v>13.74</v>
      </c>
      <c r="KA42">
        <v>14.08</v>
      </c>
      <c r="KD42">
        <v>15</v>
      </c>
      <c r="KG42">
        <v>13.17</v>
      </c>
      <c r="KJ42">
        <v>14.9</v>
      </c>
      <c r="KM42">
        <v>12.06</v>
      </c>
      <c r="KP42">
        <v>13.45</v>
      </c>
      <c r="KS42">
        <v>12.02</v>
      </c>
      <c r="KV42">
        <v>11.73</v>
      </c>
      <c r="KX42">
        <v>6.99</v>
      </c>
      <c r="LA42">
        <v>6.4</v>
      </c>
      <c r="LB42">
        <v>14.06</v>
      </c>
      <c r="LE42">
        <v>15.41</v>
      </c>
    </row>
    <row r="43" spans="1:319">
      <c r="A43" s="20" t="s">
        <v>146</v>
      </c>
      <c r="B43">
        <v>593.75999999999988</v>
      </c>
      <c r="C43">
        <v>11.418461538461536</v>
      </c>
      <c r="D43" s="20" t="s">
        <v>816</v>
      </c>
      <c r="E43" s="20" t="s">
        <v>825</v>
      </c>
      <c r="G43">
        <v>5.61</v>
      </c>
      <c r="J43">
        <v>6.01</v>
      </c>
      <c r="O43">
        <v>8.02</v>
      </c>
      <c r="P43">
        <v>5.81</v>
      </c>
      <c r="S43">
        <v>4.34</v>
      </c>
      <c r="V43">
        <v>6.27</v>
      </c>
      <c r="Z43">
        <v>8.6</v>
      </c>
      <c r="AB43">
        <v>6.5</v>
      </c>
      <c r="AG43">
        <v>14.11</v>
      </c>
      <c r="AM43">
        <v>15.15</v>
      </c>
      <c r="AY43">
        <v>7.96</v>
      </c>
      <c r="AZ43">
        <v>5.8</v>
      </c>
      <c r="BC43">
        <v>5.48</v>
      </c>
      <c r="BG43">
        <v>6.49</v>
      </c>
      <c r="BI43">
        <v>6.19</v>
      </c>
      <c r="BM43">
        <v>4.0599999999999996</v>
      </c>
      <c r="BO43">
        <v>9.18</v>
      </c>
      <c r="BS43">
        <v>7.51</v>
      </c>
      <c r="BX43">
        <v>14.08</v>
      </c>
      <c r="CF43">
        <v>12.81</v>
      </c>
      <c r="CI43">
        <v>8.19</v>
      </c>
      <c r="CL43">
        <v>6.66</v>
      </c>
      <c r="CS43">
        <v>16.3</v>
      </c>
      <c r="DB43">
        <v>6.67</v>
      </c>
      <c r="DD43">
        <v>6.76</v>
      </c>
      <c r="DM43">
        <v>6.32</v>
      </c>
      <c r="DP43">
        <v>6.71</v>
      </c>
      <c r="DS43">
        <v>5.65</v>
      </c>
      <c r="DW43">
        <v>6.65</v>
      </c>
      <c r="DY43">
        <v>6.44</v>
      </c>
      <c r="EB43">
        <v>5.52</v>
      </c>
      <c r="EE43">
        <v>4.13</v>
      </c>
      <c r="EH43">
        <v>5.87</v>
      </c>
      <c r="EK43">
        <v>6.16</v>
      </c>
      <c r="EN43">
        <v>6.15</v>
      </c>
      <c r="ER43">
        <v>7.48</v>
      </c>
      <c r="ET43">
        <v>7.4</v>
      </c>
      <c r="EX43">
        <v>7.9</v>
      </c>
      <c r="EZ43">
        <v>8.02</v>
      </c>
      <c r="FD43">
        <v>7.18</v>
      </c>
      <c r="FF43">
        <v>5.91</v>
      </c>
      <c r="FJ43">
        <v>7.84</v>
      </c>
      <c r="FL43">
        <v>6.34</v>
      </c>
      <c r="FO43">
        <v>5.67</v>
      </c>
      <c r="GA43">
        <v>5.97</v>
      </c>
      <c r="GM43">
        <v>5.64</v>
      </c>
      <c r="GN43">
        <v>6.53</v>
      </c>
      <c r="GT43">
        <v>13.25</v>
      </c>
      <c r="GV43">
        <v>3.01</v>
      </c>
      <c r="HE43">
        <v>4.29</v>
      </c>
      <c r="HI43">
        <v>8.8800000000000008</v>
      </c>
      <c r="HK43">
        <v>6.08</v>
      </c>
      <c r="HN43">
        <v>4.8099999999999898</v>
      </c>
      <c r="HQ43">
        <v>6.85</v>
      </c>
      <c r="HT43">
        <v>6.29</v>
      </c>
      <c r="HY43">
        <v>13.5</v>
      </c>
      <c r="IC43">
        <v>8.35</v>
      </c>
      <c r="IF43">
        <v>7.46</v>
      </c>
      <c r="II43">
        <v>7.7</v>
      </c>
      <c r="IM43">
        <v>8.1999999999999904</v>
      </c>
      <c r="IR43">
        <v>5.93</v>
      </c>
      <c r="IU43">
        <v>7.12</v>
      </c>
      <c r="IY43">
        <v>6.7</v>
      </c>
      <c r="JA43">
        <v>6.59</v>
      </c>
      <c r="JD43">
        <v>6.06</v>
      </c>
      <c r="JG43">
        <v>6.51</v>
      </c>
      <c r="JJ43">
        <v>6.6</v>
      </c>
      <c r="JM43">
        <v>7.77</v>
      </c>
      <c r="JP43">
        <v>6.44</v>
      </c>
      <c r="JS43">
        <v>6.67</v>
      </c>
      <c r="JV43">
        <v>6.11</v>
      </c>
      <c r="JY43">
        <v>6.22</v>
      </c>
      <c r="KB43">
        <v>5.44</v>
      </c>
      <c r="KE43">
        <v>7.04</v>
      </c>
      <c r="KH43">
        <v>6.42</v>
      </c>
      <c r="KK43">
        <v>6.07</v>
      </c>
      <c r="KN43">
        <v>5.77</v>
      </c>
      <c r="KQ43">
        <v>6.67</v>
      </c>
      <c r="KT43">
        <v>6.03</v>
      </c>
      <c r="KW43">
        <v>6.27</v>
      </c>
      <c r="KZ43">
        <v>8.14</v>
      </c>
      <c r="LC43">
        <v>6.59</v>
      </c>
      <c r="LF43">
        <v>5.89</v>
      </c>
    </row>
    <row r="44" spans="1:319">
      <c r="A44" s="20" t="s">
        <v>113</v>
      </c>
      <c r="B44">
        <v>1253.25</v>
      </c>
      <c r="C44">
        <v>24.10096153846154</v>
      </c>
      <c r="D44" s="20" t="s">
        <v>816</v>
      </c>
      <c r="E44" s="20" t="s">
        <v>825</v>
      </c>
      <c r="F44">
        <v>12.67</v>
      </c>
      <c r="I44">
        <v>12.61</v>
      </c>
      <c r="L44">
        <v>13.91</v>
      </c>
      <c r="O44">
        <v>11.15</v>
      </c>
      <c r="R44">
        <v>15.94</v>
      </c>
      <c r="U44">
        <v>12.44</v>
      </c>
      <c r="X44">
        <v>15.6</v>
      </c>
      <c r="AA44">
        <v>12.08</v>
      </c>
      <c r="AD44">
        <v>12.39</v>
      </c>
      <c r="AG44">
        <v>12.19</v>
      </c>
      <c r="AJ44">
        <v>13</v>
      </c>
      <c r="AM44">
        <v>11.15</v>
      </c>
      <c r="AP44">
        <v>12.84</v>
      </c>
      <c r="AS44">
        <v>11.44</v>
      </c>
      <c r="AV44">
        <v>11.09</v>
      </c>
      <c r="AY44">
        <v>12.08</v>
      </c>
      <c r="BB44">
        <v>12.43</v>
      </c>
      <c r="BE44">
        <v>11.5</v>
      </c>
      <c r="BH44">
        <v>11.73</v>
      </c>
      <c r="BK44">
        <v>12.12</v>
      </c>
      <c r="BN44">
        <v>14.79</v>
      </c>
      <c r="BP44">
        <v>7.24</v>
      </c>
      <c r="BS44">
        <v>7.02</v>
      </c>
      <c r="BT44">
        <v>12.28</v>
      </c>
      <c r="BW44">
        <v>11.63</v>
      </c>
      <c r="CA44">
        <v>12.98</v>
      </c>
      <c r="CD44">
        <v>10.76</v>
      </c>
      <c r="CF44">
        <v>5.1100000000000003</v>
      </c>
      <c r="CG44">
        <v>12.53</v>
      </c>
      <c r="CJ44">
        <v>12.56</v>
      </c>
      <c r="CM44">
        <v>4.9800000000000004</v>
      </c>
      <c r="CP44">
        <v>6.45</v>
      </c>
      <c r="CR44">
        <v>5.37</v>
      </c>
      <c r="CT44">
        <v>7.34</v>
      </c>
      <c r="CU44">
        <v>6.98</v>
      </c>
      <c r="CV44">
        <v>10.220000000000001</v>
      </c>
      <c r="CY44">
        <v>13.29</v>
      </c>
      <c r="DB44">
        <v>12.68</v>
      </c>
      <c r="DL44">
        <v>15.13</v>
      </c>
      <c r="DO44">
        <v>11.29</v>
      </c>
      <c r="DR44">
        <v>12.88</v>
      </c>
      <c r="DV44">
        <v>14.25</v>
      </c>
      <c r="DX44">
        <v>12.52</v>
      </c>
      <c r="EA44">
        <v>11.3</v>
      </c>
      <c r="ED44">
        <v>13.13</v>
      </c>
      <c r="EG44">
        <v>12.33</v>
      </c>
      <c r="EJ44">
        <v>12.66</v>
      </c>
      <c r="EM44">
        <v>12.56</v>
      </c>
      <c r="EP44">
        <v>6.14</v>
      </c>
      <c r="ES44">
        <v>6.38</v>
      </c>
      <c r="ET44">
        <v>3.44</v>
      </c>
      <c r="EV44">
        <v>10.42</v>
      </c>
      <c r="EY44">
        <v>11.38</v>
      </c>
      <c r="FB44">
        <v>15.69</v>
      </c>
      <c r="FD44">
        <v>8.2100000000000009</v>
      </c>
      <c r="FE44">
        <v>4.03</v>
      </c>
      <c r="FH44">
        <v>6.97</v>
      </c>
      <c r="FK44">
        <v>11.4</v>
      </c>
      <c r="FN44">
        <v>14.34</v>
      </c>
      <c r="FQ44">
        <v>11.53</v>
      </c>
      <c r="FT44">
        <v>12.94</v>
      </c>
      <c r="FZ44">
        <v>8.94</v>
      </c>
      <c r="GC44">
        <v>9.15</v>
      </c>
      <c r="GE44">
        <v>8.42</v>
      </c>
      <c r="GF44">
        <v>14.06</v>
      </c>
      <c r="GI44">
        <v>11.52</v>
      </c>
      <c r="GL44">
        <v>12.97</v>
      </c>
      <c r="GO44">
        <v>11.42</v>
      </c>
      <c r="GS44">
        <v>14.48</v>
      </c>
      <c r="GV44">
        <v>7.28</v>
      </c>
      <c r="GW44">
        <v>6.02</v>
      </c>
      <c r="GX44">
        <v>12.38</v>
      </c>
      <c r="HA44">
        <v>12.56</v>
      </c>
      <c r="HD44">
        <v>3.67</v>
      </c>
      <c r="HG44">
        <v>14.56</v>
      </c>
      <c r="HJ44">
        <v>13.98</v>
      </c>
      <c r="HM44">
        <v>11.88</v>
      </c>
      <c r="HP44">
        <v>14.08</v>
      </c>
      <c r="HS44">
        <v>11.76</v>
      </c>
      <c r="HX44">
        <v>16.62</v>
      </c>
      <c r="IA44">
        <v>10.3</v>
      </c>
      <c r="IB44">
        <v>13.52</v>
      </c>
      <c r="IE44">
        <v>11.79</v>
      </c>
      <c r="IH44">
        <v>14.12</v>
      </c>
      <c r="IK44">
        <v>11.42</v>
      </c>
      <c r="IN44">
        <v>13.52</v>
      </c>
      <c r="IQ44">
        <v>11.76</v>
      </c>
      <c r="IT44">
        <v>15.53</v>
      </c>
      <c r="IX44">
        <v>14.84</v>
      </c>
      <c r="IZ44">
        <v>13.3</v>
      </c>
      <c r="JC44">
        <v>11.4</v>
      </c>
      <c r="JF44">
        <v>14.94</v>
      </c>
      <c r="JI44">
        <v>12.52</v>
      </c>
      <c r="JL44">
        <v>12.78</v>
      </c>
      <c r="JO44">
        <v>11.62</v>
      </c>
      <c r="JR44">
        <v>13.47</v>
      </c>
      <c r="JU44">
        <v>10.69</v>
      </c>
      <c r="JX44">
        <v>9.6199999999999903</v>
      </c>
      <c r="KA44">
        <v>11.63</v>
      </c>
      <c r="KD44">
        <v>14.37</v>
      </c>
      <c r="KG44">
        <v>11.42</v>
      </c>
      <c r="KJ44">
        <v>13.84</v>
      </c>
      <c r="KM44">
        <v>5.96</v>
      </c>
      <c r="KO44">
        <v>7.42</v>
      </c>
      <c r="KP44">
        <v>12.45</v>
      </c>
      <c r="KS44">
        <v>11.22</v>
      </c>
      <c r="KV44">
        <v>12.67</v>
      </c>
      <c r="KY44">
        <v>11.17</v>
      </c>
      <c r="LB44">
        <v>6.98</v>
      </c>
      <c r="LE44">
        <v>15.74</v>
      </c>
    </row>
    <row r="45" spans="1:319">
      <c r="A45" s="20" t="s">
        <v>107</v>
      </c>
      <c r="B45">
        <v>1.49</v>
      </c>
      <c r="C45">
        <v>2.8653846153846155E-2</v>
      </c>
      <c r="D45" s="20" t="s">
        <v>816</v>
      </c>
      <c r="E45" s="20" t="s">
        <v>825</v>
      </c>
      <c r="IX45">
        <v>1.49</v>
      </c>
    </row>
    <row r="46" spans="1:319">
      <c r="A46" s="20" t="s">
        <v>128</v>
      </c>
      <c r="B46">
        <v>1234.1299999999999</v>
      </c>
      <c r="C46">
        <v>23.733269230769228</v>
      </c>
      <c r="D46" s="20" t="s">
        <v>816</v>
      </c>
      <c r="E46" s="20" t="s">
        <v>825</v>
      </c>
      <c r="H46">
        <v>18.399999999999999</v>
      </c>
      <c r="I46">
        <v>7.17</v>
      </c>
      <c r="N46">
        <v>23.79</v>
      </c>
      <c r="T46">
        <v>17.79</v>
      </c>
      <c r="Z46">
        <v>25.52</v>
      </c>
      <c r="AA46">
        <v>7.24</v>
      </c>
      <c r="AF46">
        <v>21.68</v>
      </c>
      <c r="AJ46">
        <v>6.74</v>
      </c>
      <c r="AL46">
        <v>14.03</v>
      </c>
      <c r="AO46">
        <v>15.45</v>
      </c>
      <c r="AR46">
        <v>9.68</v>
      </c>
      <c r="AU46">
        <v>16.07</v>
      </c>
      <c r="AV46">
        <v>5.3</v>
      </c>
      <c r="AX46">
        <v>12.51</v>
      </c>
      <c r="AY46">
        <v>8.85</v>
      </c>
      <c r="BJ46">
        <v>23.96</v>
      </c>
      <c r="BK46">
        <v>7.99</v>
      </c>
      <c r="BQ46">
        <v>24.17</v>
      </c>
      <c r="BS46">
        <v>7.33</v>
      </c>
      <c r="BV46">
        <v>11.38</v>
      </c>
      <c r="BW46">
        <v>4.7</v>
      </c>
      <c r="BY46">
        <v>6.83</v>
      </c>
      <c r="CC46">
        <v>22.78</v>
      </c>
      <c r="CI46">
        <v>14.88</v>
      </c>
      <c r="CK46">
        <v>7.61</v>
      </c>
      <c r="CO46">
        <v>19.510000000000002</v>
      </c>
      <c r="CQ46">
        <v>8.4499999999999993</v>
      </c>
      <c r="CU46">
        <v>18.18</v>
      </c>
      <c r="CY46">
        <v>9.4</v>
      </c>
      <c r="DA46">
        <v>14.36</v>
      </c>
      <c r="DB46">
        <v>6.23</v>
      </c>
      <c r="DN46">
        <v>26.34</v>
      </c>
      <c r="DU46">
        <v>18.059999999999899</v>
      </c>
      <c r="DV46">
        <v>6.38</v>
      </c>
      <c r="DZ46">
        <v>25.96</v>
      </c>
      <c r="EF46">
        <v>20.25</v>
      </c>
      <c r="EM46">
        <v>21.83</v>
      </c>
      <c r="EO46">
        <v>5.98</v>
      </c>
      <c r="ER46">
        <v>21.74</v>
      </c>
      <c r="ES46">
        <v>6.68</v>
      </c>
      <c r="EX46">
        <v>23.4</v>
      </c>
      <c r="FD46">
        <v>20.21</v>
      </c>
      <c r="FE46">
        <v>7.95</v>
      </c>
      <c r="FI46">
        <v>5.85</v>
      </c>
      <c r="FJ46">
        <v>19.04</v>
      </c>
      <c r="FP46">
        <v>27.64</v>
      </c>
      <c r="FV46">
        <v>25.15</v>
      </c>
      <c r="GB46">
        <v>26.34</v>
      </c>
      <c r="GH46">
        <v>26.55</v>
      </c>
      <c r="GN46">
        <v>22.7</v>
      </c>
      <c r="GT46">
        <v>22.9</v>
      </c>
      <c r="GV46">
        <v>7.56</v>
      </c>
      <c r="GZ46">
        <v>23.94</v>
      </c>
      <c r="HF46">
        <v>5.0999999999999899</v>
      </c>
      <c r="HL46">
        <v>23.07</v>
      </c>
      <c r="HM46">
        <v>9.4</v>
      </c>
      <c r="HR46">
        <v>16.170000000000002</v>
      </c>
      <c r="HS46">
        <v>8</v>
      </c>
      <c r="HX46">
        <v>12.93</v>
      </c>
      <c r="HY46">
        <v>7.41</v>
      </c>
      <c r="IA46">
        <v>8.41</v>
      </c>
      <c r="ID46">
        <v>22.93</v>
      </c>
      <c r="IJ46">
        <v>17.34</v>
      </c>
      <c r="IO46">
        <v>15.77</v>
      </c>
      <c r="IR46">
        <v>11.94</v>
      </c>
      <c r="IV46">
        <v>7.84</v>
      </c>
      <c r="IW46">
        <v>8.11</v>
      </c>
      <c r="JA46">
        <v>6.02</v>
      </c>
      <c r="JB46">
        <v>4.87</v>
      </c>
      <c r="JC46">
        <v>7.49</v>
      </c>
      <c r="JH46">
        <v>16.05</v>
      </c>
      <c r="JN46">
        <v>23.93</v>
      </c>
      <c r="JT46">
        <v>29.52</v>
      </c>
      <c r="JX46">
        <v>7.57</v>
      </c>
      <c r="KA46">
        <v>15.37</v>
      </c>
      <c r="KF46">
        <v>19.559999999999899</v>
      </c>
      <c r="KG46">
        <v>8.6300000000000008</v>
      </c>
      <c r="KL46">
        <v>10.41</v>
      </c>
      <c r="KO46">
        <v>14.68</v>
      </c>
      <c r="KQ46">
        <v>7.39</v>
      </c>
      <c r="KR46">
        <v>15.32</v>
      </c>
      <c r="KX46">
        <v>21</v>
      </c>
      <c r="LD46">
        <v>14.47</v>
      </c>
      <c r="LF46">
        <v>7</v>
      </c>
    </row>
    <row r="47" spans="1:319">
      <c r="A47" s="20" t="s">
        <v>126</v>
      </c>
      <c r="B47">
        <v>513.02999999999986</v>
      </c>
      <c r="C47">
        <v>9.8659615384615353</v>
      </c>
      <c r="D47" s="20" t="s">
        <v>816</v>
      </c>
      <c r="E47" s="20" t="s">
        <v>825</v>
      </c>
      <c r="J47">
        <v>8.32</v>
      </c>
      <c r="N47">
        <v>6.43</v>
      </c>
      <c r="U47">
        <v>9.83</v>
      </c>
      <c r="W47">
        <v>8.6199999999999992</v>
      </c>
      <c r="Y47">
        <v>5.59</v>
      </c>
      <c r="AB47">
        <v>7.25</v>
      </c>
      <c r="AF47">
        <v>7.79</v>
      </c>
      <c r="AK47">
        <v>9.8000000000000007</v>
      </c>
      <c r="AQ47">
        <v>7.17</v>
      </c>
      <c r="AX47">
        <v>9.5500000000000007</v>
      </c>
      <c r="BF47">
        <v>9.1199999999999992</v>
      </c>
      <c r="BM47">
        <v>9.1999999999999993</v>
      </c>
      <c r="BO47">
        <v>9.58</v>
      </c>
      <c r="BV47">
        <v>8.84</v>
      </c>
      <c r="BX47">
        <v>8.6</v>
      </c>
      <c r="CD47">
        <v>8.59</v>
      </c>
      <c r="CF47">
        <v>5.34</v>
      </c>
      <c r="CI47">
        <v>8.68</v>
      </c>
      <c r="CJ47">
        <v>7.64</v>
      </c>
      <c r="CP47">
        <v>4.76</v>
      </c>
      <c r="CU47">
        <v>5.66</v>
      </c>
      <c r="CV47">
        <v>8.9700000000000006</v>
      </c>
      <c r="DD47">
        <v>9.08</v>
      </c>
      <c r="DP47">
        <v>9.2200000000000006</v>
      </c>
      <c r="DU47">
        <v>7.52</v>
      </c>
      <c r="EC47">
        <v>7.88</v>
      </c>
      <c r="EI47">
        <v>9.18</v>
      </c>
      <c r="EN47">
        <v>7.2</v>
      </c>
      <c r="ER47">
        <v>8.8800000000000008</v>
      </c>
      <c r="FA47">
        <v>9.75</v>
      </c>
      <c r="FC47">
        <v>9.1</v>
      </c>
      <c r="FH47">
        <v>4.4400000000000004</v>
      </c>
      <c r="FN47">
        <v>10.27</v>
      </c>
      <c r="FT47">
        <v>7.79</v>
      </c>
      <c r="FY47">
        <v>8.24</v>
      </c>
      <c r="FZ47">
        <v>10.61</v>
      </c>
      <c r="GD47">
        <v>9.5500000000000007</v>
      </c>
      <c r="GJ47">
        <v>9.4499999999999904</v>
      </c>
      <c r="GN47">
        <v>9.27</v>
      </c>
      <c r="GT47">
        <v>6.08</v>
      </c>
      <c r="GV47">
        <v>9.1300000000000008</v>
      </c>
      <c r="HD47">
        <v>6.14</v>
      </c>
      <c r="HR47">
        <v>6.88</v>
      </c>
      <c r="HT47">
        <v>9.33</v>
      </c>
      <c r="HX47">
        <v>8.1199999999999903</v>
      </c>
      <c r="ID47">
        <v>6.69</v>
      </c>
      <c r="IJ47">
        <v>9.0500000000000007</v>
      </c>
      <c r="IM47">
        <v>6.72</v>
      </c>
      <c r="IP47">
        <v>6.09</v>
      </c>
      <c r="IV47">
        <v>9.27</v>
      </c>
      <c r="JB47">
        <v>7.92</v>
      </c>
      <c r="JE47">
        <v>7.83</v>
      </c>
      <c r="JF47">
        <v>7.38</v>
      </c>
      <c r="JH47">
        <v>7.08</v>
      </c>
      <c r="JL47">
        <v>6.01</v>
      </c>
      <c r="JP47">
        <v>6.68</v>
      </c>
      <c r="JY47">
        <v>8.7799999999999905</v>
      </c>
      <c r="KI47">
        <v>10.58</v>
      </c>
      <c r="KJ47">
        <v>8.83</v>
      </c>
      <c r="KL47">
        <v>8.5500000000000007</v>
      </c>
      <c r="KT47">
        <v>9.4600000000000009</v>
      </c>
      <c r="KX47">
        <v>7.49</v>
      </c>
      <c r="LD47">
        <v>10.18</v>
      </c>
    </row>
    <row r="48" spans="1:319">
      <c r="A48" s="20" t="s">
        <v>100</v>
      </c>
      <c r="D48" s="20" t="s">
        <v>816</v>
      </c>
      <c r="E48" s="20" t="s">
        <v>825</v>
      </c>
    </row>
    <row r="49" spans="1:319">
      <c r="A49" s="20" t="s">
        <v>127</v>
      </c>
      <c r="B49">
        <v>2084.5900000000006</v>
      </c>
      <c r="C49">
        <v>40.088269230769242</v>
      </c>
      <c r="D49" s="20" t="s">
        <v>816</v>
      </c>
      <c r="E49" s="20" t="s">
        <v>825</v>
      </c>
      <c r="F49">
        <v>7.32</v>
      </c>
      <c r="G49">
        <v>13.46</v>
      </c>
      <c r="I49">
        <v>5.76</v>
      </c>
      <c r="K49">
        <v>23.29</v>
      </c>
      <c r="N49">
        <v>4.26</v>
      </c>
      <c r="O49">
        <v>6.2</v>
      </c>
      <c r="P49">
        <v>13.48</v>
      </c>
      <c r="Q49">
        <v>13.12</v>
      </c>
      <c r="S49">
        <v>14.11</v>
      </c>
      <c r="T49">
        <v>5.65</v>
      </c>
      <c r="U49">
        <v>6.02</v>
      </c>
      <c r="V49">
        <v>8.1999999999999993</v>
      </c>
      <c r="X49">
        <v>4.99</v>
      </c>
      <c r="Z49">
        <v>4.1500000000000004</v>
      </c>
      <c r="AA49">
        <v>15.72</v>
      </c>
      <c r="AC49">
        <v>20.05</v>
      </c>
      <c r="AD49">
        <v>10.08</v>
      </c>
      <c r="AE49">
        <v>7.05</v>
      </c>
      <c r="AG49">
        <v>13.68</v>
      </c>
      <c r="AI49">
        <v>7.46</v>
      </c>
      <c r="AK49">
        <v>17.62</v>
      </c>
      <c r="AN49">
        <v>12.49</v>
      </c>
      <c r="AP49">
        <v>15.66</v>
      </c>
      <c r="AQ49">
        <v>18.649999999999999</v>
      </c>
      <c r="AS49">
        <v>10.119999999999999</v>
      </c>
      <c r="AV49">
        <v>14.18</v>
      </c>
      <c r="AW49">
        <v>8.26</v>
      </c>
      <c r="AX49">
        <v>9.4700000000000006</v>
      </c>
      <c r="AY49">
        <v>5.86</v>
      </c>
      <c r="BA49">
        <v>7.59</v>
      </c>
      <c r="BC49">
        <v>7.73</v>
      </c>
      <c r="BD49">
        <v>8.85</v>
      </c>
      <c r="BF49">
        <v>17.18</v>
      </c>
      <c r="BG49">
        <v>9.23</v>
      </c>
      <c r="BJ49">
        <v>13.83</v>
      </c>
      <c r="BK49">
        <v>18.440000000000001</v>
      </c>
      <c r="BO49">
        <v>25.01</v>
      </c>
      <c r="BR49">
        <v>12.77</v>
      </c>
      <c r="BS49">
        <v>15.83</v>
      </c>
      <c r="BU49">
        <v>20.18</v>
      </c>
      <c r="BV49">
        <v>8.6999999999999993</v>
      </c>
      <c r="BX49">
        <v>9.8000000000000007</v>
      </c>
      <c r="CA49">
        <v>10.92</v>
      </c>
      <c r="CB49">
        <v>13.82</v>
      </c>
      <c r="CD49">
        <v>6.83</v>
      </c>
      <c r="CG49">
        <v>9.7899999999999991</v>
      </c>
      <c r="CH49">
        <v>2.61</v>
      </c>
      <c r="CL49">
        <v>26.5</v>
      </c>
      <c r="CN49">
        <v>22.35</v>
      </c>
      <c r="CP49">
        <v>5.92</v>
      </c>
      <c r="CQ49">
        <v>6.43</v>
      </c>
      <c r="CT49">
        <v>23.98</v>
      </c>
      <c r="CW49">
        <v>11.35</v>
      </c>
      <c r="CZ49">
        <v>8.69</v>
      </c>
      <c r="DA49">
        <v>6.97</v>
      </c>
      <c r="DD49">
        <v>17.329999999999998</v>
      </c>
      <c r="DL49">
        <v>16.14</v>
      </c>
      <c r="DM49">
        <v>17.02</v>
      </c>
      <c r="DO49">
        <v>16.12</v>
      </c>
      <c r="DQ49">
        <v>14.35</v>
      </c>
      <c r="DR49">
        <v>7.03</v>
      </c>
      <c r="DT49">
        <v>6.35</v>
      </c>
      <c r="DW49">
        <v>23.15</v>
      </c>
      <c r="DY49">
        <v>7.57</v>
      </c>
      <c r="DZ49">
        <v>10.59</v>
      </c>
      <c r="EA49">
        <v>5.91</v>
      </c>
      <c r="ED49">
        <v>14.55</v>
      </c>
      <c r="EG49">
        <v>8.11</v>
      </c>
      <c r="EH49">
        <v>11.61</v>
      </c>
      <c r="EJ49">
        <v>12.57</v>
      </c>
      <c r="EK49">
        <v>21.63</v>
      </c>
      <c r="EM49">
        <v>3.66</v>
      </c>
      <c r="EN49">
        <v>14.55</v>
      </c>
      <c r="EP49">
        <v>7.03</v>
      </c>
      <c r="EQ49">
        <v>15.44</v>
      </c>
      <c r="ES49">
        <v>11.39</v>
      </c>
      <c r="EU49">
        <v>15.58</v>
      </c>
      <c r="EV49">
        <v>6.04</v>
      </c>
      <c r="EX49">
        <v>8.1</v>
      </c>
      <c r="EY49">
        <v>18.32</v>
      </c>
      <c r="EZ49">
        <v>7.73</v>
      </c>
      <c r="FB49">
        <v>6.03</v>
      </c>
      <c r="FC49">
        <v>12.28</v>
      </c>
      <c r="FD49">
        <v>7.04</v>
      </c>
      <c r="FF49">
        <v>14.02</v>
      </c>
      <c r="FG49">
        <v>5.0999999999999899</v>
      </c>
      <c r="FJ49">
        <v>13.42</v>
      </c>
      <c r="FL49">
        <v>14.6</v>
      </c>
      <c r="FM49">
        <v>15.36</v>
      </c>
      <c r="FN49">
        <v>6.26</v>
      </c>
      <c r="FQ49">
        <v>8.3800000000000008</v>
      </c>
      <c r="FS49">
        <v>24.72</v>
      </c>
      <c r="FV49">
        <v>9.08</v>
      </c>
      <c r="FW49">
        <v>19.04</v>
      </c>
      <c r="FX49">
        <v>8.93</v>
      </c>
      <c r="FZ49">
        <v>14.43</v>
      </c>
      <c r="GB49">
        <v>8.7799999999999905</v>
      </c>
      <c r="GC49">
        <v>14.09</v>
      </c>
      <c r="GE49">
        <v>13.2</v>
      </c>
      <c r="GG49">
        <v>42.59</v>
      </c>
      <c r="GJ49">
        <v>7.13</v>
      </c>
      <c r="GL49">
        <v>19.440000000000001</v>
      </c>
      <c r="GP49">
        <v>6.6</v>
      </c>
      <c r="GQ49">
        <v>7.3</v>
      </c>
      <c r="GR49">
        <v>16.170000000000002</v>
      </c>
      <c r="GS49">
        <v>9.4</v>
      </c>
      <c r="GU49">
        <v>12.69</v>
      </c>
      <c r="GV49">
        <v>5.8</v>
      </c>
      <c r="GW49">
        <v>6.75</v>
      </c>
      <c r="GX49">
        <v>8.11</v>
      </c>
      <c r="GY49">
        <v>13</v>
      </c>
      <c r="HA49">
        <v>6.92</v>
      </c>
      <c r="HD49">
        <v>3.51</v>
      </c>
      <c r="HE49">
        <v>6.43</v>
      </c>
      <c r="HG49">
        <v>17.38</v>
      </c>
      <c r="HI49">
        <v>8.7200000000000006</v>
      </c>
      <c r="HK49">
        <v>30.29</v>
      </c>
      <c r="HO49">
        <v>20.14</v>
      </c>
      <c r="HP49">
        <v>6.59</v>
      </c>
      <c r="HR49">
        <v>14.59</v>
      </c>
      <c r="HS49">
        <v>3.69</v>
      </c>
      <c r="HT49">
        <v>6.63</v>
      </c>
      <c r="HW49">
        <v>9.92</v>
      </c>
      <c r="HX49">
        <v>13.93</v>
      </c>
      <c r="HY49">
        <v>5.0199999999999898</v>
      </c>
      <c r="HZ49">
        <v>9.06</v>
      </c>
      <c r="IB49">
        <v>7.38</v>
      </c>
      <c r="IC49">
        <v>10.35</v>
      </c>
      <c r="IE49">
        <v>23.28</v>
      </c>
      <c r="IG49">
        <v>6.38</v>
      </c>
      <c r="IJ49">
        <v>27.93</v>
      </c>
      <c r="IK49">
        <v>7.85</v>
      </c>
      <c r="IM49">
        <v>8.7100000000000009</v>
      </c>
      <c r="IO49">
        <v>7.49</v>
      </c>
      <c r="IP49">
        <v>5.57</v>
      </c>
      <c r="IQ49">
        <v>9.68</v>
      </c>
      <c r="IR49">
        <v>8.92</v>
      </c>
      <c r="IT49">
        <v>8.7200000000000006</v>
      </c>
      <c r="IV49">
        <v>8.1999999999999904</v>
      </c>
      <c r="IW49">
        <v>42</v>
      </c>
      <c r="IX49">
        <v>6.3</v>
      </c>
      <c r="IZ49">
        <v>3.95</v>
      </c>
      <c r="JB49">
        <v>11.69</v>
      </c>
      <c r="JC49">
        <v>16.93</v>
      </c>
      <c r="JF49">
        <v>15.42</v>
      </c>
      <c r="JG49">
        <v>6.91</v>
      </c>
      <c r="JJ49">
        <v>9.33</v>
      </c>
      <c r="JL49">
        <v>24.71</v>
      </c>
      <c r="JO49">
        <v>16.170000000000002</v>
      </c>
      <c r="JS49">
        <v>20.23</v>
      </c>
      <c r="JV49">
        <v>10.09</v>
      </c>
      <c r="JW49">
        <v>10.61</v>
      </c>
      <c r="JY49">
        <v>18.329999999999899</v>
      </c>
      <c r="KA49">
        <v>17.829999999999899</v>
      </c>
      <c r="KD49">
        <v>7.83</v>
      </c>
      <c r="KE49">
        <v>9.11</v>
      </c>
      <c r="KF49">
        <v>16.440000000000001</v>
      </c>
      <c r="KH49">
        <v>7.12</v>
      </c>
      <c r="KI49">
        <v>13.29</v>
      </c>
      <c r="KK49">
        <v>10.86</v>
      </c>
      <c r="KL49">
        <v>7.82</v>
      </c>
      <c r="KM49">
        <v>9.1199999999999903</v>
      </c>
      <c r="KN49">
        <v>8.42</v>
      </c>
      <c r="KO49">
        <v>7.66</v>
      </c>
      <c r="KP49">
        <v>7.72</v>
      </c>
      <c r="KR49">
        <v>9.73</v>
      </c>
      <c r="KS49">
        <v>6.72</v>
      </c>
      <c r="KT49">
        <v>9.35</v>
      </c>
      <c r="KV49">
        <v>23.27</v>
      </c>
      <c r="KW49">
        <v>4.82</v>
      </c>
      <c r="KY49">
        <v>12.77</v>
      </c>
      <c r="LA49">
        <v>6.45</v>
      </c>
      <c r="LB49">
        <v>4.0199999999999898</v>
      </c>
      <c r="LD49">
        <v>15.63</v>
      </c>
      <c r="LE49">
        <v>4.43</v>
      </c>
      <c r="LG49">
        <v>12.96</v>
      </c>
    </row>
    <row r="50" spans="1:319">
      <c r="A50" s="20" t="s">
        <v>137</v>
      </c>
      <c r="B50">
        <v>2021.7900000000002</v>
      </c>
      <c r="C50">
        <v>38.88057692307693</v>
      </c>
      <c r="D50" s="20" t="s">
        <v>816</v>
      </c>
      <c r="E50" s="20" t="s">
        <v>825</v>
      </c>
      <c r="G50">
        <v>6.32</v>
      </c>
      <c r="H50">
        <v>16.96</v>
      </c>
      <c r="I50">
        <v>7.01</v>
      </c>
      <c r="K50">
        <v>19.47</v>
      </c>
      <c r="M50">
        <v>13.2</v>
      </c>
      <c r="O50">
        <v>13.73</v>
      </c>
      <c r="Q50">
        <v>13.51</v>
      </c>
      <c r="S50">
        <v>20.52</v>
      </c>
      <c r="T50">
        <v>9.68</v>
      </c>
      <c r="V50">
        <v>13.6</v>
      </c>
      <c r="Y50">
        <v>12.93</v>
      </c>
      <c r="Z50">
        <v>6.85</v>
      </c>
      <c r="AB50">
        <v>13.26</v>
      </c>
      <c r="AC50">
        <v>6.62</v>
      </c>
      <c r="AD50">
        <v>7.23</v>
      </c>
      <c r="AE50">
        <v>6.06</v>
      </c>
      <c r="AF50">
        <v>9.19</v>
      </c>
      <c r="AG50">
        <v>6.98</v>
      </c>
      <c r="AH50">
        <v>7.54</v>
      </c>
      <c r="AJ50">
        <v>16.64</v>
      </c>
      <c r="AK50">
        <v>6.21</v>
      </c>
      <c r="AM50">
        <v>5.43</v>
      </c>
      <c r="AN50">
        <v>8.4</v>
      </c>
      <c r="AO50">
        <v>6.44</v>
      </c>
      <c r="AQ50">
        <v>20.77</v>
      </c>
      <c r="AS50">
        <v>15.39</v>
      </c>
      <c r="AU50">
        <v>5.47</v>
      </c>
      <c r="AW50">
        <v>14.52</v>
      </c>
      <c r="AX50">
        <v>6.64</v>
      </c>
      <c r="AZ50">
        <v>8.09</v>
      </c>
      <c r="BA50">
        <v>7.53</v>
      </c>
      <c r="BB50">
        <v>17.690000000000001</v>
      </c>
      <c r="BD50">
        <v>9.06</v>
      </c>
      <c r="BE50">
        <v>9.6199999999999992</v>
      </c>
      <c r="BF50">
        <v>5.81</v>
      </c>
      <c r="BG50">
        <v>6.41</v>
      </c>
      <c r="BI50">
        <v>14.35</v>
      </c>
      <c r="BJ50">
        <v>6.16</v>
      </c>
      <c r="BK50">
        <v>6.16</v>
      </c>
      <c r="BL50">
        <v>12.82</v>
      </c>
      <c r="BO50">
        <v>16.11</v>
      </c>
      <c r="BP50">
        <v>7.74</v>
      </c>
      <c r="BR50">
        <v>15.37</v>
      </c>
      <c r="BS50">
        <v>10.73</v>
      </c>
      <c r="BT50">
        <v>6.67</v>
      </c>
      <c r="BV50">
        <v>6.75</v>
      </c>
      <c r="BW50">
        <v>17.5</v>
      </c>
      <c r="CB50">
        <v>15.54</v>
      </c>
      <c r="CE50">
        <v>12.73</v>
      </c>
      <c r="CF50">
        <v>6.91</v>
      </c>
      <c r="CH50">
        <v>16.649999999999999</v>
      </c>
      <c r="CJ50">
        <v>8.4600000000000009</v>
      </c>
      <c r="CK50">
        <v>9.9600000000000009</v>
      </c>
      <c r="CL50">
        <v>7.44</v>
      </c>
      <c r="CN50">
        <v>15.94</v>
      </c>
      <c r="CO50">
        <v>6.71</v>
      </c>
      <c r="CQ50">
        <v>13.35</v>
      </c>
      <c r="CR50">
        <v>5.96</v>
      </c>
      <c r="CS50">
        <v>6.42</v>
      </c>
      <c r="CU50">
        <v>15.23</v>
      </c>
      <c r="CV50">
        <v>8.07</v>
      </c>
      <c r="CW50">
        <v>13.53</v>
      </c>
      <c r="CZ50">
        <v>12.7</v>
      </c>
      <c r="DA50">
        <v>7.6</v>
      </c>
      <c r="DB50">
        <v>5.34</v>
      </c>
      <c r="DC50">
        <v>15.03</v>
      </c>
      <c r="DD50">
        <v>8.19</v>
      </c>
      <c r="DL50">
        <v>12.04</v>
      </c>
      <c r="DM50">
        <v>16.02</v>
      </c>
      <c r="DN50">
        <v>7.41</v>
      </c>
      <c r="DO50">
        <v>7.8</v>
      </c>
      <c r="DP50">
        <v>5.38</v>
      </c>
      <c r="DS50">
        <v>15.25</v>
      </c>
      <c r="DV50">
        <v>18.59</v>
      </c>
      <c r="DX50">
        <v>10.29</v>
      </c>
      <c r="DY50">
        <v>11.22</v>
      </c>
      <c r="EA50">
        <v>14.36</v>
      </c>
      <c r="EC50">
        <v>12.12</v>
      </c>
      <c r="EE50">
        <v>13.25</v>
      </c>
      <c r="EF50">
        <v>20.73</v>
      </c>
      <c r="EI50">
        <v>14.18</v>
      </c>
      <c r="EK50">
        <v>13.05</v>
      </c>
      <c r="EL50">
        <v>5.29</v>
      </c>
      <c r="EN50">
        <v>11.89</v>
      </c>
      <c r="EO50">
        <v>8.6199999999999903</v>
      </c>
      <c r="EP50">
        <v>7.45</v>
      </c>
      <c r="EQ50">
        <v>11.09</v>
      </c>
      <c r="ES50">
        <v>12.66</v>
      </c>
      <c r="ET50">
        <v>4.33</v>
      </c>
      <c r="EU50">
        <v>15.11</v>
      </c>
      <c r="EV50">
        <v>12.76</v>
      </c>
      <c r="EW50">
        <v>5.96</v>
      </c>
      <c r="EX50">
        <v>5.78</v>
      </c>
      <c r="EY50">
        <v>7.39</v>
      </c>
      <c r="FA50">
        <v>6.45</v>
      </c>
      <c r="FB50">
        <v>7.55</v>
      </c>
      <c r="FC50">
        <v>8.8000000000000007</v>
      </c>
      <c r="FE50">
        <v>8.41</v>
      </c>
      <c r="FF50">
        <v>10.1999999999999</v>
      </c>
      <c r="FH50">
        <v>16.11</v>
      </c>
      <c r="FI50">
        <v>8.86</v>
      </c>
      <c r="FL50">
        <v>14.38</v>
      </c>
      <c r="FM50">
        <v>11.21</v>
      </c>
      <c r="FO50">
        <v>13.25</v>
      </c>
      <c r="FR50">
        <v>5.04</v>
      </c>
      <c r="FS50">
        <v>7.72</v>
      </c>
      <c r="FT50">
        <v>6.32</v>
      </c>
      <c r="FX50">
        <v>14.45</v>
      </c>
      <c r="FY50">
        <v>11.07</v>
      </c>
      <c r="FZ50">
        <v>15.25</v>
      </c>
      <c r="GB50">
        <v>6.25</v>
      </c>
      <c r="GC50">
        <v>19.38</v>
      </c>
      <c r="GG50">
        <v>24.17</v>
      </c>
      <c r="GI50">
        <v>9.6199999999999903</v>
      </c>
      <c r="GJ50">
        <v>7.37</v>
      </c>
      <c r="GM50">
        <v>19.2</v>
      </c>
      <c r="GN50">
        <v>13.52</v>
      </c>
      <c r="GP50">
        <v>12.84</v>
      </c>
      <c r="GS50">
        <v>10.44</v>
      </c>
      <c r="GT50">
        <v>6.59</v>
      </c>
      <c r="GU50">
        <v>14.06</v>
      </c>
      <c r="GV50">
        <v>10.69</v>
      </c>
      <c r="GX50">
        <v>13.97</v>
      </c>
      <c r="HA50">
        <v>6.3</v>
      </c>
      <c r="HB50">
        <v>13.89</v>
      </c>
      <c r="HC50">
        <v>10.96</v>
      </c>
      <c r="HH50">
        <v>11.79</v>
      </c>
      <c r="HI50">
        <v>6.28</v>
      </c>
      <c r="HJ50">
        <v>2.98</v>
      </c>
      <c r="HK50">
        <v>12.32</v>
      </c>
      <c r="HN50">
        <v>10.58</v>
      </c>
      <c r="HP50">
        <v>14.64</v>
      </c>
      <c r="HQ50">
        <v>8.9600000000000009</v>
      </c>
      <c r="HR50">
        <v>6.36</v>
      </c>
      <c r="HT50">
        <v>11.92</v>
      </c>
      <c r="HW50">
        <v>17.64</v>
      </c>
      <c r="HY50">
        <v>5.7</v>
      </c>
      <c r="IB50">
        <v>6.46</v>
      </c>
      <c r="IC50">
        <v>15.91</v>
      </c>
      <c r="IF50">
        <v>13.6</v>
      </c>
      <c r="IG50">
        <v>13.91</v>
      </c>
      <c r="II50">
        <v>6.72</v>
      </c>
      <c r="IJ50">
        <v>16.45</v>
      </c>
      <c r="IK50">
        <v>6.32</v>
      </c>
      <c r="IM50">
        <v>6.29</v>
      </c>
      <c r="IN50">
        <v>12.41</v>
      </c>
      <c r="IO50">
        <v>8.23</v>
      </c>
      <c r="IP50">
        <v>10.0399999999999</v>
      </c>
      <c r="IR50">
        <v>6.94</v>
      </c>
      <c r="IS50">
        <v>3.61</v>
      </c>
      <c r="IT50">
        <v>8.48</v>
      </c>
      <c r="IU50">
        <v>9.08</v>
      </c>
      <c r="IW50">
        <v>7.17</v>
      </c>
      <c r="JB50">
        <v>15.86</v>
      </c>
      <c r="JE50">
        <v>22.03</v>
      </c>
      <c r="JG50">
        <v>19.350000000000001</v>
      </c>
      <c r="JH50">
        <v>6.48</v>
      </c>
      <c r="JJ50">
        <v>15</v>
      </c>
      <c r="JM50">
        <v>14.94</v>
      </c>
      <c r="JN50">
        <v>4.71</v>
      </c>
      <c r="JP50">
        <v>19.940000000000001</v>
      </c>
      <c r="JR50">
        <v>8.5399999999999903</v>
      </c>
      <c r="JT50">
        <v>10.09</v>
      </c>
      <c r="JU50">
        <v>7.77</v>
      </c>
      <c r="JV50">
        <v>8.3000000000000007</v>
      </c>
      <c r="JW50">
        <v>5.41</v>
      </c>
      <c r="JY50">
        <v>26.62</v>
      </c>
      <c r="KB50">
        <v>13.43</v>
      </c>
      <c r="KE50">
        <v>20.68</v>
      </c>
      <c r="KH50">
        <v>13.78</v>
      </c>
      <c r="KI50">
        <v>7.43</v>
      </c>
      <c r="KK50">
        <v>13.99</v>
      </c>
      <c r="KL50">
        <v>13.99</v>
      </c>
      <c r="KM50">
        <v>9.07</v>
      </c>
      <c r="KP50">
        <v>4.01</v>
      </c>
      <c r="KQ50">
        <v>14.27</v>
      </c>
      <c r="KT50">
        <v>11.26</v>
      </c>
      <c r="KV50">
        <v>5.71</v>
      </c>
      <c r="KW50">
        <v>16.66</v>
      </c>
      <c r="KZ50">
        <v>14.52</v>
      </c>
      <c r="LB50">
        <v>4.57</v>
      </c>
      <c r="LC50">
        <v>7.6</v>
      </c>
      <c r="LD50">
        <v>13.41</v>
      </c>
      <c r="LF50">
        <v>6.7</v>
      </c>
      <c r="LG50">
        <v>7.64</v>
      </c>
    </row>
    <row r="51" spans="1:319">
      <c r="A51" s="20" t="s">
        <v>116</v>
      </c>
      <c r="B51">
        <v>1030.8199999999995</v>
      </c>
      <c r="C51">
        <v>19.82346153846153</v>
      </c>
      <c r="D51" s="20" t="s">
        <v>816</v>
      </c>
      <c r="E51" s="20" t="s">
        <v>825</v>
      </c>
      <c r="G51">
        <v>6.66</v>
      </c>
      <c r="J51">
        <v>7.83</v>
      </c>
      <c r="K51">
        <v>8.49</v>
      </c>
      <c r="L51">
        <v>12.75</v>
      </c>
      <c r="O51">
        <v>6.81</v>
      </c>
      <c r="Q51">
        <v>6.33</v>
      </c>
      <c r="R51">
        <v>5.29</v>
      </c>
      <c r="T51">
        <v>7.95</v>
      </c>
      <c r="V51">
        <v>6.42</v>
      </c>
      <c r="Y51">
        <v>7.52</v>
      </c>
      <c r="AA51">
        <v>7.74</v>
      </c>
      <c r="AC51">
        <v>5.67</v>
      </c>
      <c r="AF51">
        <v>8.84</v>
      </c>
      <c r="AI51">
        <v>7.5</v>
      </c>
      <c r="AJ51">
        <v>6.76</v>
      </c>
      <c r="AN51">
        <v>7.78</v>
      </c>
      <c r="AR51">
        <v>8.3000000000000007</v>
      </c>
      <c r="AS51">
        <v>8.43</v>
      </c>
      <c r="AV51">
        <v>7.41</v>
      </c>
      <c r="AX51">
        <v>7.29</v>
      </c>
      <c r="BA51">
        <v>7.6</v>
      </c>
      <c r="BD51">
        <v>7.58</v>
      </c>
      <c r="BF51">
        <v>7.45</v>
      </c>
      <c r="BI51">
        <v>9.91</v>
      </c>
      <c r="BL51">
        <v>7.72</v>
      </c>
      <c r="BM51">
        <v>8.18</v>
      </c>
      <c r="BO51">
        <v>7.84</v>
      </c>
      <c r="BQ51">
        <v>6.07</v>
      </c>
      <c r="BS51">
        <v>9.41</v>
      </c>
      <c r="BT51">
        <v>8.83</v>
      </c>
      <c r="BV51">
        <v>8.35</v>
      </c>
      <c r="BY51">
        <v>7.48</v>
      </c>
      <c r="CA51">
        <v>7.23</v>
      </c>
      <c r="CC51">
        <v>8.58</v>
      </c>
      <c r="CF51">
        <v>7.32</v>
      </c>
      <c r="CH51">
        <v>6.06</v>
      </c>
      <c r="CJ51">
        <v>7.71</v>
      </c>
      <c r="CN51">
        <v>4.96</v>
      </c>
      <c r="CP51">
        <v>8.69</v>
      </c>
      <c r="CR51">
        <v>6.78</v>
      </c>
      <c r="CU51">
        <v>7.89</v>
      </c>
      <c r="CV51">
        <v>5.12</v>
      </c>
      <c r="CX51">
        <v>7.1</v>
      </c>
      <c r="CY51">
        <v>14.04</v>
      </c>
      <c r="DA51">
        <v>7.35</v>
      </c>
      <c r="DC51">
        <v>5.65</v>
      </c>
      <c r="DL51">
        <v>5.12</v>
      </c>
      <c r="DO51">
        <v>8.2899999999999903</v>
      </c>
      <c r="DQ51">
        <v>7.64</v>
      </c>
      <c r="DR51">
        <v>6.44</v>
      </c>
      <c r="DU51">
        <v>6.88</v>
      </c>
      <c r="DW51">
        <v>6.19</v>
      </c>
      <c r="DY51">
        <v>8.81</v>
      </c>
      <c r="DZ51">
        <v>7.39</v>
      </c>
      <c r="EB51">
        <v>8.08</v>
      </c>
      <c r="EC51">
        <v>4.75</v>
      </c>
      <c r="ED51">
        <v>5.19</v>
      </c>
      <c r="EF51">
        <v>6.04</v>
      </c>
      <c r="EI51">
        <v>7.57</v>
      </c>
      <c r="EJ51">
        <v>6.23</v>
      </c>
      <c r="EN51">
        <v>8.0399999999999903</v>
      </c>
      <c r="EO51">
        <v>6.74</v>
      </c>
      <c r="EQ51">
        <v>7.17</v>
      </c>
      <c r="ES51">
        <v>5.09</v>
      </c>
      <c r="EU51">
        <v>5.1100000000000003</v>
      </c>
      <c r="EV51">
        <v>8.16</v>
      </c>
      <c r="EY51">
        <v>6.58</v>
      </c>
      <c r="FA51">
        <v>6.27</v>
      </c>
      <c r="FB51">
        <v>5.49</v>
      </c>
      <c r="FD51">
        <v>6.16</v>
      </c>
      <c r="FF51">
        <v>5.81</v>
      </c>
      <c r="FH51">
        <v>5</v>
      </c>
      <c r="FI51">
        <v>3.53</v>
      </c>
      <c r="FL51">
        <v>6.79</v>
      </c>
      <c r="FO51">
        <v>7.57</v>
      </c>
      <c r="FR51">
        <v>7.09</v>
      </c>
      <c r="FS51">
        <v>2.99</v>
      </c>
      <c r="FU51">
        <v>5.78</v>
      </c>
      <c r="FV51">
        <v>5.38</v>
      </c>
      <c r="FY51">
        <v>2.4300000000000002</v>
      </c>
      <c r="FZ51">
        <v>7.14</v>
      </c>
      <c r="GB51">
        <v>6.93</v>
      </c>
      <c r="GE51">
        <v>7.74</v>
      </c>
      <c r="GF51">
        <v>10.48</v>
      </c>
      <c r="GH51">
        <v>7.49</v>
      </c>
      <c r="GI51">
        <v>3.05</v>
      </c>
      <c r="GM51">
        <v>7.28</v>
      </c>
      <c r="GO51">
        <v>8.33</v>
      </c>
      <c r="GQ51">
        <v>6.84</v>
      </c>
      <c r="GT51">
        <v>7.49</v>
      </c>
      <c r="GW51">
        <v>7.48</v>
      </c>
      <c r="GX51">
        <v>5.64</v>
      </c>
      <c r="GY51">
        <v>3.93</v>
      </c>
      <c r="HB51">
        <v>5.8</v>
      </c>
      <c r="HD51">
        <v>7.19</v>
      </c>
      <c r="HH51">
        <v>13.13</v>
      </c>
      <c r="HJ51">
        <v>5.38</v>
      </c>
      <c r="HL51">
        <v>5.74</v>
      </c>
      <c r="HO51">
        <v>7.41</v>
      </c>
      <c r="HP51">
        <v>4.76</v>
      </c>
      <c r="HR51">
        <v>5.91</v>
      </c>
      <c r="HS51">
        <v>6.48</v>
      </c>
      <c r="HU51">
        <v>4.82</v>
      </c>
      <c r="HV51">
        <v>6.97</v>
      </c>
      <c r="HX51">
        <v>5.92</v>
      </c>
      <c r="HZ51">
        <v>7.04</v>
      </c>
      <c r="IC51">
        <v>6.42</v>
      </c>
      <c r="IE51">
        <v>6.33</v>
      </c>
      <c r="IG51">
        <v>6.04</v>
      </c>
      <c r="IH51">
        <v>15.4</v>
      </c>
      <c r="IK51">
        <v>5.2</v>
      </c>
      <c r="IL51">
        <v>6.35</v>
      </c>
      <c r="IN51">
        <v>6.8</v>
      </c>
      <c r="IO51">
        <v>6.18</v>
      </c>
      <c r="IS51">
        <v>7.01</v>
      </c>
      <c r="IU51">
        <v>9.5500000000000007</v>
      </c>
      <c r="IW51">
        <v>7.81</v>
      </c>
      <c r="IY51">
        <v>5.55</v>
      </c>
      <c r="IZ51">
        <v>4.59</v>
      </c>
      <c r="JB51">
        <v>5.07</v>
      </c>
      <c r="JE51">
        <v>5.83</v>
      </c>
      <c r="JF51">
        <v>15.44</v>
      </c>
      <c r="JG51">
        <v>6.28</v>
      </c>
      <c r="JH51">
        <v>5.51</v>
      </c>
      <c r="JI51">
        <v>5.62</v>
      </c>
      <c r="JJ51">
        <v>4.99</v>
      </c>
      <c r="JK51">
        <v>4.8600000000000003</v>
      </c>
      <c r="JL51">
        <v>6</v>
      </c>
      <c r="JN51">
        <v>6.87</v>
      </c>
      <c r="JP51">
        <v>5.3</v>
      </c>
      <c r="JQ51">
        <v>3.9</v>
      </c>
      <c r="JS51">
        <v>7.97</v>
      </c>
      <c r="JU51">
        <v>5.67</v>
      </c>
      <c r="JW51">
        <v>5.25</v>
      </c>
      <c r="JY51">
        <v>5.95</v>
      </c>
      <c r="KA51">
        <v>9.89</v>
      </c>
      <c r="KE51">
        <v>9.86</v>
      </c>
      <c r="KG51">
        <v>4.8899999999999899</v>
      </c>
      <c r="KK51">
        <v>6.59</v>
      </c>
      <c r="KM51">
        <v>7.18</v>
      </c>
      <c r="KP51">
        <v>7.28</v>
      </c>
      <c r="KS51">
        <v>9.24</v>
      </c>
      <c r="KU51">
        <v>5.95</v>
      </c>
      <c r="KW51">
        <v>7.05</v>
      </c>
      <c r="LA51">
        <v>7.95</v>
      </c>
      <c r="LC51">
        <v>9.5</v>
      </c>
      <c r="LE51">
        <v>5.58</v>
      </c>
      <c r="LG51">
        <v>5.28</v>
      </c>
    </row>
    <row r="52" spans="1:319">
      <c r="A52" s="20" t="s">
        <v>71</v>
      </c>
      <c r="D52" s="20" t="s">
        <v>816</v>
      </c>
      <c r="E52" s="20" t="s">
        <v>826</v>
      </c>
    </row>
    <row r="53" spans="1:319">
      <c r="A53" s="20" t="s">
        <v>279</v>
      </c>
      <c r="B53">
        <v>1123.5000000000007</v>
      </c>
      <c r="C53">
        <v>21.605769230769244</v>
      </c>
      <c r="D53" s="20" t="s">
        <v>816</v>
      </c>
      <c r="E53" s="20" t="s">
        <v>826</v>
      </c>
      <c r="G53">
        <v>9.1</v>
      </c>
      <c r="I53">
        <v>8.0299999999999994</v>
      </c>
      <c r="K53">
        <v>8.06</v>
      </c>
      <c r="M53">
        <v>6.84</v>
      </c>
      <c r="Q53">
        <v>15.17</v>
      </c>
      <c r="S53">
        <v>9</v>
      </c>
      <c r="V53">
        <v>11.33</v>
      </c>
      <c r="Y53">
        <v>8.9600000000000009</v>
      </c>
      <c r="Z53">
        <v>7.31</v>
      </c>
      <c r="AB53">
        <v>7.67</v>
      </c>
      <c r="AE53">
        <v>11.03</v>
      </c>
      <c r="AJ53">
        <v>9.2799999999999994</v>
      </c>
      <c r="AK53">
        <v>11.88</v>
      </c>
      <c r="AO53">
        <v>8.5299999999999994</v>
      </c>
      <c r="AP53">
        <v>7.68</v>
      </c>
      <c r="AU53">
        <v>20.239999999999998</v>
      </c>
      <c r="AW53">
        <v>18.05</v>
      </c>
      <c r="AZ53">
        <v>9.3699999999999992</v>
      </c>
      <c r="BE53">
        <v>10.02</v>
      </c>
      <c r="BI53">
        <v>7.58</v>
      </c>
      <c r="BJ53">
        <v>8.25</v>
      </c>
      <c r="BL53">
        <v>8.5500000000000007</v>
      </c>
      <c r="BO53">
        <v>8.1199999999999992</v>
      </c>
      <c r="BS53">
        <v>18.91</v>
      </c>
      <c r="BU53">
        <v>10.48</v>
      </c>
      <c r="BY53">
        <v>9.34</v>
      </c>
      <c r="CA53">
        <v>7.77</v>
      </c>
      <c r="CC53">
        <v>8.43</v>
      </c>
      <c r="CF53">
        <v>7.04</v>
      </c>
      <c r="CH53">
        <v>8.1300000000000008</v>
      </c>
      <c r="CJ53">
        <v>8.31</v>
      </c>
      <c r="CN53">
        <v>8.85</v>
      </c>
      <c r="CQ53">
        <v>8.61</v>
      </c>
      <c r="CT53">
        <v>16.489999999999998</v>
      </c>
      <c r="CW53">
        <v>7.2</v>
      </c>
      <c r="CZ53">
        <v>15.65</v>
      </c>
      <c r="DD53">
        <v>9.4700000000000006</v>
      </c>
      <c r="DM53">
        <v>8.5399999999999903</v>
      </c>
      <c r="DN53">
        <v>6.48</v>
      </c>
      <c r="DP53">
        <v>6.96</v>
      </c>
      <c r="DQ53">
        <v>4.18</v>
      </c>
      <c r="DS53">
        <v>6.05</v>
      </c>
      <c r="DW53">
        <v>15.72</v>
      </c>
      <c r="DY53">
        <v>7.3</v>
      </c>
      <c r="EB53">
        <v>14.74</v>
      </c>
      <c r="EE53">
        <v>5.67</v>
      </c>
      <c r="EH53">
        <v>14.65</v>
      </c>
      <c r="EK53">
        <v>6.15</v>
      </c>
      <c r="EM53">
        <v>6.3</v>
      </c>
      <c r="EN53">
        <v>9.0299999999999905</v>
      </c>
      <c r="EP53">
        <v>6.61</v>
      </c>
      <c r="EQ53">
        <v>6.7</v>
      </c>
      <c r="ES53">
        <v>8.42</v>
      </c>
      <c r="EU53">
        <v>6.7</v>
      </c>
      <c r="EW53">
        <v>8.9600000000000009</v>
      </c>
      <c r="EZ53">
        <v>8.61</v>
      </c>
      <c r="FA53">
        <v>6.15</v>
      </c>
      <c r="FB53">
        <v>6.17</v>
      </c>
      <c r="FD53">
        <v>7.19</v>
      </c>
      <c r="FF53">
        <v>8.08</v>
      </c>
      <c r="FH53">
        <v>8.6199999999999903</v>
      </c>
      <c r="FI53">
        <v>6.2</v>
      </c>
      <c r="FK53">
        <v>6.16</v>
      </c>
      <c r="FL53">
        <v>4.5199999999999898</v>
      </c>
      <c r="FM53">
        <v>4.29</v>
      </c>
      <c r="FN53">
        <v>5.62</v>
      </c>
      <c r="FO53">
        <v>6.4</v>
      </c>
      <c r="FS53">
        <v>8.18</v>
      </c>
      <c r="FU53">
        <v>8.85</v>
      </c>
      <c r="FW53">
        <v>5.73</v>
      </c>
      <c r="FY53">
        <v>6.33</v>
      </c>
      <c r="FZ53">
        <v>7.48</v>
      </c>
      <c r="GA53">
        <v>7</v>
      </c>
      <c r="GD53">
        <v>10.01</v>
      </c>
      <c r="GG53">
        <v>8.74</v>
      </c>
      <c r="GK53">
        <v>14.38</v>
      </c>
      <c r="GM53">
        <v>8.4700000000000006</v>
      </c>
      <c r="GQ53">
        <v>7.14</v>
      </c>
      <c r="GT53">
        <v>16.600000000000001</v>
      </c>
      <c r="GY53">
        <v>6.67</v>
      </c>
      <c r="HC53">
        <v>17.2</v>
      </c>
      <c r="HE53">
        <v>8.92</v>
      </c>
      <c r="HH53">
        <v>6.01</v>
      </c>
      <c r="HI53">
        <v>9.1300000000000008</v>
      </c>
      <c r="HJ53">
        <v>3.7</v>
      </c>
      <c r="HK53">
        <v>6.85</v>
      </c>
      <c r="HN53">
        <v>9.58</v>
      </c>
      <c r="HQ53">
        <v>15.05</v>
      </c>
      <c r="HW53">
        <v>9.9700000000000006</v>
      </c>
      <c r="IA53">
        <v>20.21</v>
      </c>
      <c r="IC53">
        <v>7.44</v>
      </c>
      <c r="IG53">
        <v>10.54</v>
      </c>
      <c r="II53">
        <v>17.82</v>
      </c>
      <c r="IL53">
        <v>10.26</v>
      </c>
      <c r="IO53">
        <v>8.42</v>
      </c>
      <c r="IP53">
        <v>9.5</v>
      </c>
      <c r="IS53">
        <v>9.6300000000000008</v>
      </c>
      <c r="IU53">
        <v>9.32</v>
      </c>
      <c r="IY53">
        <v>13.44</v>
      </c>
      <c r="JA53">
        <v>11.6</v>
      </c>
      <c r="JB53">
        <v>8.64</v>
      </c>
      <c r="JH53">
        <v>8.15</v>
      </c>
      <c r="JJ53">
        <v>11.3</v>
      </c>
      <c r="JK53">
        <v>7.27</v>
      </c>
      <c r="JM53">
        <v>9.93</v>
      </c>
      <c r="JQ53">
        <v>9.9700000000000006</v>
      </c>
      <c r="JS53">
        <v>10.210000000000001</v>
      </c>
      <c r="JV53">
        <v>9.11</v>
      </c>
      <c r="JZ53">
        <v>8.85</v>
      </c>
      <c r="KC53">
        <v>9.85</v>
      </c>
      <c r="KD53">
        <v>9.82</v>
      </c>
      <c r="KG53">
        <v>12.69</v>
      </c>
      <c r="KL53">
        <v>17.64</v>
      </c>
      <c r="KP53">
        <v>9.74</v>
      </c>
      <c r="KR53">
        <v>8.76</v>
      </c>
      <c r="KX53">
        <v>19.22</v>
      </c>
      <c r="LC53">
        <v>9.6300000000000008</v>
      </c>
      <c r="LD53">
        <v>10.65</v>
      </c>
    </row>
    <row r="54" spans="1:319">
      <c r="A54" s="20" t="s">
        <v>827</v>
      </c>
      <c r="B54">
        <v>87.75</v>
      </c>
      <c r="C54">
        <v>1.6875</v>
      </c>
      <c r="D54" s="20" t="s">
        <v>828</v>
      </c>
      <c r="E54" s="20" t="s">
        <v>829</v>
      </c>
      <c r="L54">
        <v>6.42</v>
      </c>
      <c r="Q54">
        <v>5.55</v>
      </c>
      <c r="BZ54">
        <v>8.35</v>
      </c>
      <c r="ES54">
        <v>7.16</v>
      </c>
      <c r="EU54">
        <v>6.43</v>
      </c>
      <c r="GG54">
        <v>8.6</v>
      </c>
      <c r="GL54">
        <v>7.2</v>
      </c>
      <c r="GO54">
        <v>7.33</v>
      </c>
      <c r="IE54">
        <v>7.13</v>
      </c>
      <c r="KV54">
        <v>8.65</v>
      </c>
      <c r="LA54">
        <v>7.27</v>
      </c>
      <c r="LG54">
        <v>7.66</v>
      </c>
    </row>
    <row r="55" spans="1:319">
      <c r="A55" s="20" t="s">
        <v>275</v>
      </c>
      <c r="B55">
        <v>57.529999999999994</v>
      </c>
      <c r="C55">
        <v>1.1063461538461536</v>
      </c>
      <c r="D55" s="20" t="s">
        <v>828</v>
      </c>
      <c r="E55" s="20" t="s">
        <v>829</v>
      </c>
      <c r="M55">
        <v>7.85</v>
      </c>
      <c r="BZ55">
        <v>8.61</v>
      </c>
      <c r="GG55">
        <v>9.98</v>
      </c>
      <c r="GJ55">
        <v>4.0999999999999899</v>
      </c>
      <c r="KF55">
        <v>10.82</v>
      </c>
      <c r="KS55">
        <v>7.61</v>
      </c>
      <c r="KX55">
        <v>8.56</v>
      </c>
    </row>
    <row r="56" spans="1:319">
      <c r="A56" s="20" t="s">
        <v>278</v>
      </c>
      <c r="B56">
        <v>1049.6600000000001</v>
      </c>
      <c r="C56">
        <v>20.185769230769232</v>
      </c>
      <c r="D56" s="20" t="s">
        <v>828</v>
      </c>
      <c r="E56" s="20" t="s">
        <v>829</v>
      </c>
      <c r="F56">
        <v>6.08</v>
      </c>
      <c r="H56">
        <v>5.07</v>
      </c>
      <c r="K56">
        <v>7.83</v>
      </c>
      <c r="L56">
        <v>7.95</v>
      </c>
      <c r="N56">
        <v>7.11</v>
      </c>
      <c r="Q56">
        <v>7.77</v>
      </c>
      <c r="R56">
        <v>7.57</v>
      </c>
      <c r="T56">
        <v>7.34</v>
      </c>
      <c r="W56">
        <v>7.66</v>
      </c>
      <c r="X56">
        <v>7.11</v>
      </c>
      <c r="Z56">
        <v>7.41</v>
      </c>
      <c r="AC56">
        <v>7.4</v>
      </c>
      <c r="AJ56">
        <v>7.18</v>
      </c>
      <c r="AL56">
        <v>6.8</v>
      </c>
      <c r="AO56">
        <v>7.52</v>
      </c>
      <c r="AP56">
        <v>6.91</v>
      </c>
      <c r="AS56">
        <v>7.82</v>
      </c>
      <c r="AU56">
        <v>7.9</v>
      </c>
      <c r="AV56">
        <v>8.0399999999999903</v>
      </c>
      <c r="AY56">
        <v>6.94</v>
      </c>
      <c r="BA56">
        <v>8.93</v>
      </c>
      <c r="BB56">
        <v>7.66</v>
      </c>
      <c r="BD56">
        <v>6.96</v>
      </c>
      <c r="BG56">
        <v>7.34</v>
      </c>
      <c r="BH56">
        <v>5.89</v>
      </c>
      <c r="BJ56">
        <v>7.26</v>
      </c>
      <c r="BM56">
        <v>7.2</v>
      </c>
      <c r="BN56">
        <v>7.91</v>
      </c>
      <c r="BP56">
        <v>6.85</v>
      </c>
      <c r="BS56">
        <v>7.82</v>
      </c>
      <c r="BT56">
        <v>7.13</v>
      </c>
      <c r="BV56">
        <v>7.37</v>
      </c>
      <c r="BY56">
        <v>8.2799999999999905</v>
      </c>
      <c r="BZ56">
        <v>7.66</v>
      </c>
      <c r="CA56">
        <v>6.95</v>
      </c>
      <c r="CD56">
        <v>8.81</v>
      </c>
      <c r="CF56">
        <v>7.08</v>
      </c>
      <c r="CG56">
        <v>7.34</v>
      </c>
      <c r="CI56">
        <v>7.05</v>
      </c>
      <c r="CL56">
        <v>7.95</v>
      </c>
      <c r="CM56">
        <v>6.02</v>
      </c>
      <c r="CO56">
        <v>6.79</v>
      </c>
      <c r="CR56">
        <v>7.11</v>
      </c>
      <c r="CS56">
        <v>6.56</v>
      </c>
      <c r="CU56">
        <v>7.17</v>
      </c>
      <c r="CX56">
        <v>6.13</v>
      </c>
      <c r="CY56">
        <v>8.1199999999999903</v>
      </c>
      <c r="DA56">
        <v>6.7</v>
      </c>
      <c r="DE56">
        <v>5.9</v>
      </c>
      <c r="DG56">
        <v>7.04</v>
      </c>
      <c r="DJ56">
        <v>7.01</v>
      </c>
      <c r="DL56">
        <v>6.56</v>
      </c>
      <c r="DN56">
        <v>6.59</v>
      </c>
      <c r="DQ56">
        <v>7.5</v>
      </c>
      <c r="DR56">
        <v>6.75</v>
      </c>
      <c r="DT56">
        <v>6.92</v>
      </c>
      <c r="DW56">
        <v>7.24</v>
      </c>
      <c r="DX56">
        <v>7.41</v>
      </c>
      <c r="DZ56">
        <v>6.52</v>
      </c>
      <c r="EC56">
        <v>5.95</v>
      </c>
      <c r="ED56">
        <v>6.73</v>
      </c>
      <c r="EF56">
        <v>6.43</v>
      </c>
      <c r="EI56">
        <v>7.83</v>
      </c>
      <c r="EJ56">
        <v>7.22</v>
      </c>
      <c r="EL56">
        <v>6.04</v>
      </c>
      <c r="EO56">
        <v>6.18</v>
      </c>
      <c r="EP56">
        <v>7.48</v>
      </c>
      <c r="ER56">
        <v>6.22</v>
      </c>
      <c r="EU56">
        <v>6.49</v>
      </c>
      <c r="FB56">
        <v>6.67</v>
      </c>
      <c r="FE56">
        <v>7.83</v>
      </c>
      <c r="FG56">
        <v>8.31</v>
      </c>
      <c r="FN56">
        <v>7.1</v>
      </c>
      <c r="FO56">
        <v>6.88</v>
      </c>
      <c r="FS56">
        <v>7.47</v>
      </c>
      <c r="FT56">
        <v>8.1199999999999903</v>
      </c>
      <c r="FV56">
        <v>6.92</v>
      </c>
      <c r="FY56">
        <v>8.17</v>
      </c>
      <c r="FZ56">
        <v>7.88</v>
      </c>
      <c r="GB56">
        <v>6.89</v>
      </c>
      <c r="GE56">
        <v>5.44</v>
      </c>
      <c r="GH56">
        <v>15.31</v>
      </c>
      <c r="GL56">
        <v>14.19</v>
      </c>
      <c r="GN56">
        <v>8.33</v>
      </c>
      <c r="GQ56">
        <v>8.09</v>
      </c>
      <c r="GR56">
        <v>8.0299999999999905</v>
      </c>
      <c r="GT56">
        <v>7.15</v>
      </c>
      <c r="GW56">
        <v>7.89</v>
      </c>
      <c r="GX56">
        <v>7.33</v>
      </c>
      <c r="GZ56">
        <v>7</v>
      </c>
      <c r="HC56">
        <v>7.38</v>
      </c>
      <c r="HD56">
        <v>8.23</v>
      </c>
      <c r="HF56">
        <v>7.46</v>
      </c>
      <c r="HI56">
        <v>7.66</v>
      </c>
      <c r="HJ56">
        <v>7.46</v>
      </c>
      <c r="HM56">
        <v>8.69</v>
      </c>
      <c r="HO56">
        <v>7.8</v>
      </c>
      <c r="HP56">
        <v>7.99</v>
      </c>
      <c r="HR56">
        <v>5.89</v>
      </c>
      <c r="HU56">
        <v>8.0399999999999903</v>
      </c>
      <c r="HV56">
        <v>7.61</v>
      </c>
      <c r="HX56">
        <v>7.72</v>
      </c>
      <c r="IA56">
        <v>7.95</v>
      </c>
      <c r="IH56">
        <v>6.64</v>
      </c>
      <c r="IJ56">
        <v>7.71</v>
      </c>
      <c r="IM56">
        <v>8.35</v>
      </c>
      <c r="IN56">
        <v>6.31</v>
      </c>
      <c r="IP56">
        <v>6.62</v>
      </c>
      <c r="IS56">
        <v>8.8000000000000007</v>
      </c>
      <c r="IT56">
        <v>6.21</v>
      </c>
      <c r="IW56">
        <v>8.23</v>
      </c>
      <c r="IZ56">
        <v>7.28</v>
      </c>
      <c r="JB56">
        <v>6.1</v>
      </c>
      <c r="JE56">
        <v>8.39</v>
      </c>
      <c r="JF56">
        <v>7.45</v>
      </c>
      <c r="JH56">
        <v>7.45</v>
      </c>
      <c r="JK56">
        <v>8.23</v>
      </c>
      <c r="JL56">
        <v>5.38</v>
      </c>
      <c r="JN56">
        <v>8.43</v>
      </c>
      <c r="JQ56">
        <v>8.5299999999999905</v>
      </c>
      <c r="JR56">
        <v>7.44</v>
      </c>
      <c r="JT56">
        <v>7.66</v>
      </c>
      <c r="JW56">
        <v>7.93</v>
      </c>
      <c r="JX56">
        <v>8.39</v>
      </c>
      <c r="JZ56">
        <v>7.64</v>
      </c>
      <c r="KC56">
        <v>6.91</v>
      </c>
      <c r="KD56">
        <v>7.92</v>
      </c>
      <c r="KF56">
        <v>7.95</v>
      </c>
      <c r="KI56">
        <v>8.51</v>
      </c>
      <c r="KJ56">
        <v>7.34</v>
      </c>
      <c r="KL56">
        <v>7.75</v>
      </c>
      <c r="KO56">
        <v>8.1999999999999904</v>
      </c>
      <c r="KP56">
        <v>8.99</v>
      </c>
      <c r="KR56">
        <v>6.68</v>
      </c>
      <c r="KU56">
        <v>8.27</v>
      </c>
      <c r="KV56">
        <v>6.62</v>
      </c>
      <c r="KX56">
        <v>7.2</v>
      </c>
      <c r="LA56">
        <v>7.49</v>
      </c>
      <c r="LB56">
        <v>7.02</v>
      </c>
      <c r="LD56">
        <v>7.32</v>
      </c>
      <c r="LG56">
        <v>7.98</v>
      </c>
    </row>
    <row r="57" spans="1:319">
      <c r="A57" s="20" t="s">
        <v>830</v>
      </c>
      <c r="B57">
        <v>824.35999999999945</v>
      </c>
      <c r="C57">
        <v>15.853076923076912</v>
      </c>
      <c r="D57" s="20" t="s">
        <v>828</v>
      </c>
      <c r="E57" s="20" t="s">
        <v>829</v>
      </c>
      <c r="F57">
        <v>14.13</v>
      </c>
      <c r="I57">
        <v>6.53</v>
      </c>
      <c r="K57">
        <v>6.62</v>
      </c>
      <c r="N57">
        <v>4.66</v>
      </c>
      <c r="R57">
        <v>8.7200000000000006</v>
      </c>
      <c r="AA57">
        <v>8.09</v>
      </c>
      <c r="AB57">
        <v>8.39</v>
      </c>
      <c r="AL57">
        <v>8.2899999999999903</v>
      </c>
      <c r="AO57">
        <v>7.8</v>
      </c>
      <c r="AP57">
        <v>9.06</v>
      </c>
      <c r="AT57">
        <v>8.1999999999999904</v>
      </c>
      <c r="AU57">
        <v>8.8000000000000007</v>
      </c>
      <c r="AV57">
        <v>9.2200000000000006</v>
      </c>
      <c r="AZ57">
        <v>8.5299999999999905</v>
      </c>
      <c r="BB57">
        <v>7.91</v>
      </c>
      <c r="BG57">
        <v>15.91</v>
      </c>
      <c r="BJ57">
        <v>7.73</v>
      </c>
      <c r="BN57">
        <v>7.85</v>
      </c>
      <c r="BO57">
        <v>9.6199999999999903</v>
      </c>
      <c r="BR57">
        <v>7.33</v>
      </c>
      <c r="BY57">
        <v>19.04</v>
      </c>
      <c r="CD57">
        <v>6.67</v>
      </c>
      <c r="CJ57">
        <v>8.75</v>
      </c>
      <c r="CM57">
        <v>8.1999999999999904</v>
      </c>
      <c r="CO57">
        <v>8.4499999999999904</v>
      </c>
      <c r="CQ57">
        <v>8.17</v>
      </c>
      <c r="CT57">
        <v>8.0299999999999905</v>
      </c>
      <c r="CU57">
        <v>7.47</v>
      </c>
      <c r="CY57">
        <v>8.35</v>
      </c>
      <c r="DA57">
        <v>8.17</v>
      </c>
      <c r="DD57">
        <v>7.99</v>
      </c>
      <c r="DF57">
        <v>6.84</v>
      </c>
      <c r="DO57">
        <v>6</v>
      </c>
      <c r="DP57">
        <v>8</v>
      </c>
      <c r="DR57">
        <v>7.14</v>
      </c>
      <c r="DU57">
        <v>6.9</v>
      </c>
      <c r="DV57">
        <v>3.41</v>
      </c>
      <c r="DX57">
        <v>8.68</v>
      </c>
      <c r="DZ57">
        <v>7.23</v>
      </c>
      <c r="EC57">
        <v>7.82</v>
      </c>
      <c r="EE57">
        <v>6.11</v>
      </c>
      <c r="EG57">
        <v>8.02</v>
      </c>
      <c r="EI57">
        <v>8.4499999999999904</v>
      </c>
      <c r="EJ57">
        <v>5.53</v>
      </c>
      <c r="EN57">
        <v>7.79</v>
      </c>
      <c r="EP57">
        <v>8.31</v>
      </c>
      <c r="FB57">
        <v>5.69</v>
      </c>
      <c r="FE57">
        <v>8.51</v>
      </c>
      <c r="FG57">
        <v>7.28</v>
      </c>
      <c r="FO57">
        <v>4.5199999999999898</v>
      </c>
      <c r="FR57">
        <v>6.92</v>
      </c>
      <c r="FT57">
        <v>8</v>
      </c>
      <c r="FW57">
        <v>6.04</v>
      </c>
      <c r="FY57">
        <v>4.08</v>
      </c>
      <c r="GA57">
        <v>7.49</v>
      </c>
      <c r="GC57">
        <v>6.71</v>
      </c>
      <c r="GG57">
        <v>8.2200000000000006</v>
      </c>
      <c r="GK57">
        <v>6.28</v>
      </c>
      <c r="GL57">
        <v>7.2</v>
      </c>
      <c r="GO57">
        <v>7.33</v>
      </c>
      <c r="GR57">
        <v>8.15</v>
      </c>
      <c r="GT57">
        <v>9.15</v>
      </c>
      <c r="GV57">
        <v>8.83</v>
      </c>
      <c r="GX57">
        <v>8.66</v>
      </c>
      <c r="GZ57">
        <v>5.71</v>
      </c>
      <c r="HF57">
        <v>7.51</v>
      </c>
      <c r="HG57">
        <v>7.2</v>
      </c>
      <c r="HI57">
        <v>8.8800000000000008</v>
      </c>
      <c r="HM57">
        <v>15.18</v>
      </c>
      <c r="HP57">
        <v>7.9</v>
      </c>
      <c r="HQ57">
        <v>10.0399999999999</v>
      </c>
      <c r="HT57">
        <v>8.67</v>
      </c>
      <c r="HV57">
        <v>9.81</v>
      </c>
      <c r="HY57">
        <v>8.19</v>
      </c>
      <c r="IA57">
        <v>9.11</v>
      </c>
      <c r="II57">
        <v>9.01</v>
      </c>
      <c r="IL57">
        <v>8.2799999999999905</v>
      </c>
      <c r="IO57">
        <v>6.65</v>
      </c>
      <c r="IQ57">
        <v>7.66</v>
      </c>
      <c r="IR57">
        <v>7.69</v>
      </c>
      <c r="IT57">
        <v>7.45</v>
      </c>
      <c r="IY57">
        <v>16.149999999999899</v>
      </c>
      <c r="JA57">
        <v>6.59</v>
      </c>
      <c r="JC57">
        <v>7.3</v>
      </c>
      <c r="JE57">
        <v>16.12</v>
      </c>
      <c r="JG57">
        <v>11.95</v>
      </c>
      <c r="JN57">
        <v>15.83</v>
      </c>
      <c r="JQ57">
        <v>9.01</v>
      </c>
      <c r="JR57">
        <v>4.6500000000000004</v>
      </c>
      <c r="JW57">
        <v>18.41</v>
      </c>
      <c r="KD57">
        <v>8.65</v>
      </c>
      <c r="KG57">
        <v>8.2100000000000009</v>
      </c>
      <c r="KI57">
        <v>7.54</v>
      </c>
      <c r="KN57">
        <v>7.68</v>
      </c>
      <c r="KP57">
        <v>7.32</v>
      </c>
      <c r="KV57">
        <v>7.66</v>
      </c>
      <c r="LB57">
        <v>8.98</v>
      </c>
      <c r="LD57">
        <v>9.4</v>
      </c>
    </row>
    <row r="58" spans="1:319">
      <c r="A58" s="20" t="s">
        <v>35</v>
      </c>
      <c r="B58">
        <v>740.9</v>
      </c>
      <c r="C58">
        <v>14.248076923076923</v>
      </c>
      <c r="D58" s="20" t="s">
        <v>828</v>
      </c>
      <c r="E58" s="20" t="s">
        <v>829</v>
      </c>
      <c r="F58">
        <v>6.38</v>
      </c>
      <c r="I58">
        <v>5.85</v>
      </c>
      <c r="L58">
        <v>8.0500000000000007</v>
      </c>
      <c r="O58">
        <v>6.52</v>
      </c>
      <c r="Q58">
        <v>6.19</v>
      </c>
      <c r="S58">
        <v>6.76</v>
      </c>
      <c r="W58">
        <v>8.89</v>
      </c>
      <c r="X58">
        <v>7</v>
      </c>
      <c r="AB58">
        <v>14.81</v>
      </c>
      <c r="AM58">
        <v>16.899999999999899</v>
      </c>
      <c r="AP58">
        <v>7.13</v>
      </c>
      <c r="AV58">
        <v>6.74</v>
      </c>
      <c r="BA58">
        <v>9.01</v>
      </c>
      <c r="BD58">
        <v>11.09</v>
      </c>
      <c r="BF58">
        <v>6.78</v>
      </c>
      <c r="BJ58">
        <v>7.64</v>
      </c>
      <c r="BM58">
        <v>14.69</v>
      </c>
      <c r="BR58">
        <v>16.18</v>
      </c>
      <c r="BT58">
        <v>7.94</v>
      </c>
      <c r="BU58">
        <v>9.49</v>
      </c>
      <c r="BY58">
        <v>7.12</v>
      </c>
      <c r="CD58">
        <v>15.96</v>
      </c>
      <c r="CI58">
        <v>16.48</v>
      </c>
      <c r="CO58">
        <v>8.24</v>
      </c>
      <c r="CQ58">
        <v>6.08</v>
      </c>
      <c r="CU58">
        <v>16.739999999999899</v>
      </c>
      <c r="CY58">
        <v>15.99</v>
      </c>
      <c r="DC58">
        <v>5.87</v>
      </c>
      <c r="DG58">
        <v>6.55</v>
      </c>
      <c r="DI58">
        <v>6.83</v>
      </c>
      <c r="DL58">
        <v>7.47</v>
      </c>
      <c r="DO58">
        <v>8.18</v>
      </c>
      <c r="DS58">
        <v>6.17</v>
      </c>
      <c r="DW58">
        <v>13.01</v>
      </c>
      <c r="DZ58">
        <v>6.82</v>
      </c>
      <c r="EB58">
        <v>7.61</v>
      </c>
      <c r="EE58">
        <v>4.46</v>
      </c>
      <c r="EG58">
        <v>6.83</v>
      </c>
      <c r="EK58">
        <v>7.32</v>
      </c>
      <c r="EL58">
        <v>7.04</v>
      </c>
      <c r="EO58">
        <v>8.31</v>
      </c>
      <c r="ER58">
        <v>9.43</v>
      </c>
      <c r="FC58">
        <v>7.13</v>
      </c>
      <c r="FG58">
        <v>7.67</v>
      </c>
      <c r="FO58">
        <v>7.09</v>
      </c>
      <c r="FP58">
        <v>6.37</v>
      </c>
      <c r="FU58">
        <v>8.24</v>
      </c>
      <c r="FW58">
        <v>7.35</v>
      </c>
      <c r="FY58">
        <v>4.22</v>
      </c>
      <c r="GB58">
        <v>5.87</v>
      </c>
      <c r="GC58">
        <v>7.8</v>
      </c>
      <c r="GK58">
        <v>8.09</v>
      </c>
      <c r="GN58">
        <v>7.25</v>
      </c>
      <c r="GO58">
        <v>7.8</v>
      </c>
      <c r="GS58">
        <v>6.77</v>
      </c>
      <c r="GW58">
        <v>8.6300000000000008</v>
      </c>
      <c r="GZ58">
        <v>7.27</v>
      </c>
      <c r="HC58">
        <v>5.7</v>
      </c>
      <c r="HG58">
        <v>8.98</v>
      </c>
      <c r="HI58">
        <v>8.06</v>
      </c>
      <c r="HK58">
        <v>7.83</v>
      </c>
      <c r="HO58">
        <v>7.67</v>
      </c>
      <c r="HU58">
        <v>9.58</v>
      </c>
      <c r="HX58">
        <v>10.32</v>
      </c>
      <c r="IA58">
        <v>7.89</v>
      </c>
      <c r="IH58">
        <v>7.91</v>
      </c>
      <c r="IL58">
        <v>7.95</v>
      </c>
      <c r="IQ58">
        <v>7.98</v>
      </c>
      <c r="IS58">
        <v>7.83</v>
      </c>
      <c r="IW58">
        <v>7.56</v>
      </c>
      <c r="IY58">
        <v>9.2799999999999905</v>
      </c>
      <c r="IZ58">
        <v>13.88</v>
      </c>
      <c r="JD58">
        <v>5.52</v>
      </c>
      <c r="JG58">
        <v>7.23</v>
      </c>
      <c r="JH58">
        <v>11.34</v>
      </c>
      <c r="JL58">
        <v>8.4700000000000006</v>
      </c>
      <c r="JP58">
        <v>8.42</v>
      </c>
      <c r="JT58">
        <v>8.59</v>
      </c>
      <c r="KA58">
        <v>7.29</v>
      </c>
      <c r="KF58">
        <v>8.11</v>
      </c>
      <c r="KL58">
        <v>7.46</v>
      </c>
      <c r="KO58">
        <v>8.18</v>
      </c>
      <c r="KP58">
        <v>7.72</v>
      </c>
      <c r="KS58">
        <v>8.68</v>
      </c>
      <c r="KX58">
        <v>8.9499999999999904</v>
      </c>
      <c r="LD58">
        <v>7.45</v>
      </c>
      <c r="LG58">
        <v>8.9700000000000006</v>
      </c>
    </row>
    <row r="59" spans="1:319">
      <c r="A59" s="20" t="s">
        <v>267</v>
      </c>
      <c r="B59">
        <v>1287.3199999999993</v>
      </c>
      <c r="C59">
        <v>24.756153846153833</v>
      </c>
      <c r="D59" s="20" t="s">
        <v>828</v>
      </c>
      <c r="E59" s="20" t="s">
        <v>829</v>
      </c>
      <c r="M59">
        <v>8.91</v>
      </c>
      <c r="N59">
        <v>7.94</v>
      </c>
      <c r="O59">
        <v>7.34</v>
      </c>
      <c r="R59">
        <v>8.6300000000000008</v>
      </c>
      <c r="S59">
        <v>8.8000000000000007</v>
      </c>
      <c r="T59">
        <v>7.3</v>
      </c>
      <c r="Y59">
        <v>3.64</v>
      </c>
      <c r="Z59">
        <v>16.63</v>
      </c>
      <c r="AB59">
        <v>6.46</v>
      </c>
      <c r="AK59">
        <v>17.75</v>
      </c>
      <c r="AM59">
        <v>8.83</v>
      </c>
      <c r="AO59">
        <v>5.0199999999999898</v>
      </c>
      <c r="AQ59">
        <v>15.93</v>
      </c>
      <c r="AS59">
        <v>7.27</v>
      </c>
      <c r="AW59">
        <v>10.18</v>
      </c>
      <c r="AX59">
        <v>9.33</v>
      </c>
      <c r="BA59">
        <v>17.04</v>
      </c>
      <c r="BB59">
        <v>10.38</v>
      </c>
      <c r="BF59">
        <v>16.2</v>
      </c>
      <c r="BK59">
        <v>17.52</v>
      </c>
      <c r="BM59">
        <v>6.29</v>
      </c>
      <c r="BQ59">
        <v>17.920000000000002</v>
      </c>
      <c r="BT59">
        <v>9.98</v>
      </c>
      <c r="BU59">
        <v>9.15</v>
      </c>
      <c r="BX59">
        <v>13.69</v>
      </c>
      <c r="BZ59">
        <v>8.1300000000000008</v>
      </c>
      <c r="CB59">
        <v>5.84</v>
      </c>
      <c r="CD59">
        <v>6.82</v>
      </c>
      <c r="CG59">
        <v>9.06</v>
      </c>
      <c r="CI59">
        <v>18.77</v>
      </c>
      <c r="CM59">
        <v>14.54</v>
      </c>
      <c r="CN59">
        <v>6.73</v>
      </c>
      <c r="CO59">
        <v>8.69</v>
      </c>
      <c r="CR59">
        <v>8.5500000000000007</v>
      </c>
      <c r="CS59">
        <v>7.02</v>
      </c>
      <c r="CV59">
        <v>6.86</v>
      </c>
      <c r="CW59">
        <v>7.27</v>
      </c>
      <c r="CY59">
        <v>8.66</v>
      </c>
      <c r="CZ59">
        <v>7.71</v>
      </c>
      <c r="DA59">
        <v>25.59</v>
      </c>
      <c r="DC59">
        <v>6.1</v>
      </c>
      <c r="DG59">
        <v>7.72</v>
      </c>
      <c r="DI59">
        <v>8.99</v>
      </c>
      <c r="DM59">
        <v>9.18</v>
      </c>
      <c r="DP59">
        <v>9.27</v>
      </c>
      <c r="DR59">
        <v>8.24</v>
      </c>
      <c r="DU59">
        <v>8.42</v>
      </c>
      <c r="DV59">
        <v>8.02</v>
      </c>
      <c r="DX59">
        <v>17.98</v>
      </c>
      <c r="DZ59">
        <v>6.09</v>
      </c>
      <c r="EC59">
        <v>15.56</v>
      </c>
      <c r="ED59">
        <v>5.89</v>
      </c>
      <c r="EF59">
        <v>7.53</v>
      </c>
      <c r="EG59">
        <v>8.76</v>
      </c>
      <c r="EI59">
        <v>8.01</v>
      </c>
      <c r="EM59">
        <v>13.04</v>
      </c>
      <c r="EO59">
        <v>20.79</v>
      </c>
      <c r="ES59">
        <v>9.4</v>
      </c>
      <c r="EU59">
        <v>7.26</v>
      </c>
      <c r="FF59">
        <v>6.63</v>
      </c>
      <c r="FG59">
        <v>7.44</v>
      </c>
      <c r="FP59">
        <v>14.48</v>
      </c>
      <c r="FQ59">
        <v>8.6</v>
      </c>
      <c r="FR59">
        <v>4.3499999999999899</v>
      </c>
      <c r="FT59">
        <v>7.99</v>
      </c>
      <c r="FV59">
        <v>9.59</v>
      </c>
      <c r="FX59">
        <v>14.47</v>
      </c>
      <c r="FZ59">
        <v>8.52</v>
      </c>
      <c r="GB59">
        <v>6.47</v>
      </c>
      <c r="GD59">
        <v>7.19</v>
      </c>
      <c r="GG59">
        <v>9.69</v>
      </c>
      <c r="GH59">
        <v>6.72</v>
      </c>
      <c r="GI59">
        <v>8.9</v>
      </c>
      <c r="GM59">
        <v>17.260000000000002</v>
      </c>
      <c r="GN59">
        <v>6.6</v>
      </c>
      <c r="GQ59">
        <v>14.01</v>
      </c>
      <c r="GT59">
        <v>7.11</v>
      </c>
      <c r="GU59">
        <v>13.89</v>
      </c>
      <c r="GZ59">
        <v>16.2</v>
      </c>
      <c r="HA59">
        <v>5.27</v>
      </c>
      <c r="HC59">
        <v>7.6</v>
      </c>
      <c r="HD59">
        <v>8.67</v>
      </c>
      <c r="HG59">
        <v>7.71</v>
      </c>
      <c r="HI59">
        <v>9.24</v>
      </c>
      <c r="HL59">
        <v>5.7</v>
      </c>
      <c r="HN59">
        <v>8.61</v>
      </c>
      <c r="HQ59">
        <v>18.41</v>
      </c>
      <c r="HS59">
        <v>7.35</v>
      </c>
      <c r="HT59">
        <v>5.86</v>
      </c>
      <c r="HX59">
        <v>18.53</v>
      </c>
      <c r="HY59">
        <v>8.64</v>
      </c>
      <c r="IA59">
        <v>6.55</v>
      </c>
      <c r="IB59">
        <v>8.26</v>
      </c>
      <c r="IF59">
        <v>7.15</v>
      </c>
      <c r="IH59">
        <v>5.4</v>
      </c>
      <c r="II59">
        <v>7.65</v>
      </c>
      <c r="IL59">
        <v>8.17</v>
      </c>
      <c r="IM59">
        <v>8.51</v>
      </c>
      <c r="IN59">
        <v>8.11</v>
      </c>
      <c r="IP59">
        <v>8.43</v>
      </c>
      <c r="IQ59">
        <v>6.54</v>
      </c>
      <c r="IS59">
        <v>6.67</v>
      </c>
      <c r="IV59">
        <v>7.2</v>
      </c>
      <c r="IW59">
        <v>8.59</v>
      </c>
      <c r="IX59">
        <v>7.42</v>
      </c>
      <c r="IZ59">
        <v>6.83</v>
      </c>
      <c r="JA59">
        <v>19.309999999999899</v>
      </c>
      <c r="JD59">
        <v>7.86</v>
      </c>
      <c r="JM59">
        <v>17.55</v>
      </c>
      <c r="JO59">
        <v>10.86</v>
      </c>
      <c r="JQ59">
        <v>16.41</v>
      </c>
      <c r="JS59">
        <v>5.0999999999999899</v>
      </c>
      <c r="JU59">
        <v>9.49</v>
      </c>
      <c r="JX59">
        <v>8.35</v>
      </c>
      <c r="KA59">
        <v>16.18</v>
      </c>
      <c r="KB59">
        <v>7.07</v>
      </c>
      <c r="KE59">
        <v>15.43</v>
      </c>
      <c r="KH59">
        <v>8.7899999999999903</v>
      </c>
      <c r="KK59">
        <v>17.09</v>
      </c>
      <c r="KM59">
        <v>10.1999999999999</v>
      </c>
      <c r="KO59">
        <v>8.01</v>
      </c>
      <c r="KP59">
        <v>6.31</v>
      </c>
      <c r="KR59">
        <v>9.3000000000000007</v>
      </c>
      <c r="KU59">
        <v>8.4499999999999904</v>
      </c>
      <c r="KV59">
        <v>9.3699999999999903</v>
      </c>
      <c r="KX59">
        <v>10.43</v>
      </c>
      <c r="LA59">
        <v>8.4499999999999904</v>
      </c>
      <c r="LD59">
        <v>17.14</v>
      </c>
      <c r="LG59">
        <v>16.37</v>
      </c>
    </row>
    <row r="60" spans="1:319">
      <c r="A60" s="20" t="s">
        <v>277</v>
      </c>
      <c r="B60">
        <v>54.349999999999987</v>
      </c>
      <c r="C60">
        <v>1.0451923076923075</v>
      </c>
      <c r="D60" s="20" t="s">
        <v>828</v>
      </c>
      <c r="E60" s="20" t="s">
        <v>829</v>
      </c>
      <c r="F60">
        <v>16.920000000000002</v>
      </c>
      <c r="G60">
        <v>6.47</v>
      </c>
      <c r="H60">
        <v>7.06</v>
      </c>
      <c r="JF60">
        <v>7.66</v>
      </c>
      <c r="JH60">
        <v>8.4499999999999904</v>
      </c>
      <c r="JJ60">
        <v>7.79</v>
      </c>
    </row>
    <row r="61" spans="1:319">
      <c r="A61" s="20" t="s">
        <v>223</v>
      </c>
      <c r="B61">
        <v>1605.1409999999989</v>
      </c>
      <c r="C61">
        <v>30.868096153846132</v>
      </c>
      <c r="D61" s="20" t="s">
        <v>828</v>
      </c>
      <c r="E61" s="20" t="s">
        <v>829</v>
      </c>
      <c r="H61">
        <v>12.27</v>
      </c>
      <c r="I61">
        <v>7.99</v>
      </c>
      <c r="K61">
        <v>13.01</v>
      </c>
      <c r="N61">
        <v>13.59</v>
      </c>
      <c r="O61">
        <v>6.49</v>
      </c>
      <c r="Q61">
        <v>16.440000000000001</v>
      </c>
      <c r="T61">
        <v>13.97</v>
      </c>
      <c r="V61">
        <v>9.27</v>
      </c>
      <c r="W61">
        <v>7.29</v>
      </c>
      <c r="Z61">
        <v>19.829999999999899</v>
      </c>
      <c r="AA61">
        <v>6.39</v>
      </c>
      <c r="AC61">
        <v>13.22</v>
      </c>
      <c r="AL61">
        <v>14.23</v>
      </c>
      <c r="AN61">
        <v>7.45</v>
      </c>
      <c r="AO61">
        <v>9.3699999999999903</v>
      </c>
      <c r="AR61">
        <v>14.68</v>
      </c>
      <c r="AU61">
        <v>15.36</v>
      </c>
      <c r="AX61">
        <v>7.4</v>
      </c>
      <c r="AY61">
        <v>16.760000000000002</v>
      </c>
      <c r="BA61">
        <v>15.11</v>
      </c>
      <c r="BD61">
        <v>14.44</v>
      </c>
      <c r="BF61">
        <v>10.0399999999999</v>
      </c>
      <c r="BG61">
        <v>13.92</v>
      </c>
      <c r="BJ61">
        <v>14.82</v>
      </c>
      <c r="BK61">
        <v>6.78</v>
      </c>
      <c r="BM61">
        <v>14.4</v>
      </c>
      <c r="BP61">
        <v>15.12</v>
      </c>
      <c r="BS61">
        <v>24.2</v>
      </c>
      <c r="BU61">
        <v>6.07</v>
      </c>
      <c r="BV61">
        <v>17.010000000000002</v>
      </c>
      <c r="BY61">
        <v>13.61</v>
      </c>
      <c r="CC61">
        <v>15.12</v>
      </c>
      <c r="CF61">
        <v>20.81</v>
      </c>
      <c r="CI61">
        <v>16.27</v>
      </c>
      <c r="CJ61">
        <v>7.09</v>
      </c>
      <c r="CL61">
        <v>14.89</v>
      </c>
      <c r="CO61">
        <v>14.86</v>
      </c>
      <c r="CR61">
        <v>18.25</v>
      </c>
      <c r="CU61">
        <v>20.72</v>
      </c>
      <c r="CW61">
        <v>5.56</v>
      </c>
      <c r="CX61">
        <v>14.55</v>
      </c>
      <c r="DA61">
        <v>21.38</v>
      </c>
      <c r="DD61">
        <v>14.12</v>
      </c>
      <c r="DG61">
        <v>14.12</v>
      </c>
      <c r="DJ61">
        <v>13.09</v>
      </c>
      <c r="DM61">
        <v>5.87</v>
      </c>
      <c r="DQ61">
        <v>14.83</v>
      </c>
      <c r="DT61">
        <v>14.09</v>
      </c>
      <c r="DV61">
        <v>11.521000000000001</v>
      </c>
      <c r="DW61">
        <v>6.84</v>
      </c>
      <c r="DY61">
        <v>7.77</v>
      </c>
      <c r="DZ61">
        <v>11.17</v>
      </c>
      <c r="EC61">
        <v>12.55</v>
      </c>
      <c r="ED61">
        <v>7.18</v>
      </c>
      <c r="EF61">
        <v>10.67</v>
      </c>
      <c r="EG61">
        <v>8.3000000000000007</v>
      </c>
      <c r="EI61">
        <v>13.02</v>
      </c>
      <c r="EJ61">
        <v>5.95</v>
      </c>
      <c r="EL61">
        <v>12.62</v>
      </c>
      <c r="EO61">
        <v>8.7200000000000006</v>
      </c>
      <c r="ER61">
        <v>8.8699999999999903</v>
      </c>
      <c r="EU61">
        <v>8.94</v>
      </c>
      <c r="FD61">
        <v>12.96</v>
      </c>
      <c r="FG61">
        <v>3.43</v>
      </c>
      <c r="FP61">
        <v>14.52</v>
      </c>
      <c r="FR61">
        <v>6.44</v>
      </c>
      <c r="FS61">
        <v>15.36</v>
      </c>
      <c r="FU61">
        <v>9.7200000000000006</v>
      </c>
      <c r="FX61">
        <v>7.74</v>
      </c>
      <c r="FZ61">
        <v>6.38</v>
      </c>
      <c r="GB61">
        <v>11.51</v>
      </c>
      <c r="GE61">
        <v>15.49</v>
      </c>
      <c r="GH61">
        <v>22.05</v>
      </c>
      <c r="GK61">
        <v>13.68</v>
      </c>
      <c r="GN61">
        <v>15.52</v>
      </c>
      <c r="GQ61">
        <v>7.34</v>
      </c>
      <c r="GT61">
        <v>21.73</v>
      </c>
      <c r="GW61">
        <v>25.03</v>
      </c>
      <c r="GZ61">
        <v>8.4</v>
      </c>
      <c r="HB61">
        <v>8.4</v>
      </c>
      <c r="HE61">
        <v>19.690000000000001</v>
      </c>
      <c r="HH61">
        <v>4.55</v>
      </c>
      <c r="HI61">
        <v>15.82</v>
      </c>
      <c r="HL61">
        <v>12.5</v>
      </c>
      <c r="HO61">
        <v>27.44</v>
      </c>
      <c r="HR61">
        <v>9.74</v>
      </c>
      <c r="HU61">
        <v>15</v>
      </c>
      <c r="HW61">
        <v>7.3</v>
      </c>
      <c r="HX61">
        <v>14.07</v>
      </c>
      <c r="IA61">
        <v>12.74</v>
      </c>
      <c r="ID61">
        <v>23.36</v>
      </c>
      <c r="IJ61">
        <v>11.98</v>
      </c>
      <c r="IM61">
        <v>15.1</v>
      </c>
      <c r="IO61">
        <v>16.32</v>
      </c>
      <c r="IP61">
        <v>7.75</v>
      </c>
      <c r="IS61">
        <v>22.9</v>
      </c>
      <c r="IV61">
        <v>9.77</v>
      </c>
      <c r="IW61">
        <v>7.75</v>
      </c>
      <c r="IY61">
        <v>16.32</v>
      </c>
      <c r="JB61">
        <v>11.08</v>
      </c>
      <c r="JH61">
        <v>12.19</v>
      </c>
      <c r="JI61">
        <v>8.32</v>
      </c>
      <c r="JK61">
        <v>16.59</v>
      </c>
      <c r="JN61">
        <v>17.7</v>
      </c>
      <c r="JQ61">
        <v>18.149999999999899</v>
      </c>
      <c r="JT61">
        <v>20.399999999999899</v>
      </c>
      <c r="JW61">
        <v>14.75</v>
      </c>
      <c r="JZ61">
        <v>18.47</v>
      </c>
      <c r="KC61">
        <v>16.399999999999899</v>
      </c>
      <c r="KF61">
        <v>18.5</v>
      </c>
      <c r="KG61">
        <v>5.96</v>
      </c>
      <c r="KI61">
        <v>15.66</v>
      </c>
      <c r="KJ61">
        <v>10.69</v>
      </c>
      <c r="KL61">
        <v>13.25</v>
      </c>
      <c r="KO61">
        <v>16.53</v>
      </c>
      <c r="KR61">
        <v>16.64</v>
      </c>
      <c r="KU61">
        <v>13.58</v>
      </c>
      <c r="KV61">
        <v>13.17</v>
      </c>
      <c r="KY61">
        <v>22.83</v>
      </c>
      <c r="LA61">
        <v>5.49</v>
      </c>
      <c r="LE61">
        <v>25.52</v>
      </c>
      <c r="LG61">
        <v>7.2</v>
      </c>
    </row>
    <row r="62" spans="1:319">
      <c r="A62" s="20" t="s">
        <v>91</v>
      </c>
      <c r="B62">
        <v>489.68000000000023</v>
      </c>
      <c r="C62">
        <v>9.4169230769230818</v>
      </c>
      <c r="D62" s="20" t="s">
        <v>828</v>
      </c>
      <c r="E62" s="20" t="s">
        <v>829</v>
      </c>
      <c r="K62">
        <v>7.87</v>
      </c>
      <c r="O62">
        <v>6.17</v>
      </c>
      <c r="S62">
        <v>6.99</v>
      </c>
      <c r="W62">
        <v>6.67</v>
      </c>
      <c r="X62">
        <v>3.82</v>
      </c>
      <c r="AC62">
        <v>7.95</v>
      </c>
      <c r="AK62">
        <v>7.35</v>
      </c>
      <c r="AO62">
        <v>6.17</v>
      </c>
      <c r="AS62">
        <v>6.75</v>
      </c>
      <c r="AW62">
        <v>7.19</v>
      </c>
      <c r="BA62">
        <v>5.79</v>
      </c>
      <c r="BB62">
        <v>5.54</v>
      </c>
      <c r="BG62">
        <v>8.68</v>
      </c>
      <c r="BK62">
        <v>7.38</v>
      </c>
      <c r="BO62">
        <v>5.91</v>
      </c>
      <c r="BS62">
        <v>8.77</v>
      </c>
      <c r="BV62">
        <v>8.23</v>
      </c>
      <c r="CD62">
        <v>8.76</v>
      </c>
      <c r="CJ62">
        <v>7.36</v>
      </c>
      <c r="CN62">
        <v>6.91</v>
      </c>
      <c r="CR62">
        <v>5.56</v>
      </c>
      <c r="CU62">
        <v>6.86</v>
      </c>
      <c r="CV62">
        <v>5.36</v>
      </c>
      <c r="CX62">
        <v>5.63</v>
      </c>
      <c r="CY62">
        <v>5.58</v>
      </c>
      <c r="DF62">
        <v>7.61</v>
      </c>
      <c r="DO62">
        <v>6.21</v>
      </c>
      <c r="DS62">
        <v>7.02</v>
      </c>
      <c r="DW62">
        <v>5.68</v>
      </c>
      <c r="EA62">
        <v>6.59</v>
      </c>
      <c r="ED62">
        <v>5.45</v>
      </c>
      <c r="EI62">
        <v>7.07</v>
      </c>
      <c r="EQ62">
        <v>6.98</v>
      </c>
      <c r="EU62">
        <v>6.61</v>
      </c>
      <c r="FF62">
        <v>5.55</v>
      </c>
      <c r="FN62">
        <v>6.26</v>
      </c>
      <c r="FS62">
        <v>7.39</v>
      </c>
      <c r="FW62">
        <v>7.06</v>
      </c>
      <c r="GA62">
        <v>6.02</v>
      </c>
      <c r="GE62">
        <v>6.66</v>
      </c>
      <c r="GI62">
        <v>6.69</v>
      </c>
      <c r="GM62">
        <v>5.1100000000000003</v>
      </c>
      <c r="GQ62">
        <v>7.68</v>
      </c>
      <c r="GU62">
        <v>7.24</v>
      </c>
      <c r="GY62">
        <v>5.97</v>
      </c>
      <c r="HC62">
        <v>5.15</v>
      </c>
      <c r="HG62">
        <v>8.81</v>
      </c>
      <c r="HK62">
        <v>6.83</v>
      </c>
      <c r="HO62">
        <v>6.7</v>
      </c>
      <c r="HR62">
        <v>5.89</v>
      </c>
      <c r="HW62">
        <v>6.66</v>
      </c>
      <c r="IA62">
        <v>6.3</v>
      </c>
      <c r="IB62">
        <v>5.76</v>
      </c>
      <c r="IE62">
        <v>7.42</v>
      </c>
      <c r="II62">
        <v>7.54</v>
      </c>
      <c r="IO62">
        <v>6.3</v>
      </c>
      <c r="IR62">
        <v>6.63</v>
      </c>
      <c r="IV62">
        <v>6.92</v>
      </c>
      <c r="JC62">
        <v>6.49</v>
      </c>
      <c r="JE62">
        <v>8.32</v>
      </c>
      <c r="JI62">
        <v>6.41</v>
      </c>
      <c r="JM62">
        <v>6.44</v>
      </c>
      <c r="JR62">
        <v>7.81</v>
      </c>
      <c r="JW62">
        <v>7.69</v>
      </c>
      <c r="JX62">
        <v>5.62</v>
      </c>
      <c r="KC62">
        <v>8.6</v>
      </c>
      <c r="KG62">
        <v>6.22</v>
      </c>
      <c r="KM62">
        <v>7.31</v>
      </c>
      <c r="KQ62">
        <v>7.33</v>
      </c>
      <c r="KU62">
        <v>5.88</v>
      </c>
      <c r="KY62">
        <v>5.8</v>
      </c>
      <c r="LC62">
        <v>6.07</v>
      </c>
      <c r="LG62">
        <v>6.68</v>
      </c>
    </row>
    <row r="63" spans="1:319">
      <c r="A63" s="20" t="s">
        <v>346</v>
      </c>
      <c r="B63">
        <v>1107.8100000000002</v>
      </c>
      <c r="C63">
        <v>21.304038461538465</v>
      </c>
      <c r="D63" s="20" t="s">
        <v>828</v>
      </c>
      <c r="E63" s="20" t="s">
        <v>829</v>
      </c>
      <c r="F63">
        <v>5.24</v>
      </c>
      <c r="H63">
        <v>6.79</v>
      </c>
      <c r="J63">
        <v>6.29</v>
      </c>
      <c r="L63">
        <v>6.75</v>
      </c>
      <c r="N63">
        <v>7.1</v>
      </c>
      <c r="P63">
        <v>6.37</v>
      </c>
      <c r="Q63">
        <v>5.65</v>
      </c>
      <c r="R63">
        <v>5.76</v>
      </c>
      <c r="T63">
        <v>7.3</v>
      </c>
      <c r="V63">
        <v>6.56</v>
      </c>
      <c r="X63">
        <v>6.24</v>
      </c>
      <c r="Z63">
        <v>12.47</v>
      </c>
      <c r="AB63">
        <v>6.63</v>
      </c>
      <c r="AC63">
        <v>4.67</v>
      </c>
      <c r="AK63">
        <v>7.58</v>
      </c>
      <c r="AM63">
        <v>7.28</v>
      </c>
      <c r="AN63">
        <v>5.91</v>
      </c>
      <c r="AP63">
        <v>7.4</v>
      </c>
      <c r="AT63">
        <v>9.11</v>
      </c>
      <c r="AV63">
        <v>7.75</v>
      </c>
      <c r="AW63">
        <v>8.39</v>
      </c>
      <c r="AZ63">
        <v>7.44</v>
      </c>
      <c r="BE63">
        <v>15.61</v>
      </c>
      <c r="BI63">
        <v>15.04</v>
      </c>
      <c r="BK63">
        <v>7.07</v>
      </c>
      <c r="BN63">
        <v>7.02</v>
      </c>
      <c r="BO63">
        <v>7.17</v>
      </c>
      <c r="BQ63">
        <v>6.66</v>
      </c>
      <c r="BU63">
        <v>9.57</v>
      </c>
      <c r="BV63">
        <v>7.43</v>
      </c>
      <c r="BX63">
        <v>7.16</v>
      </c>
      <c r="BY63">
        <v>7.12</v>
      </c>
      <c r="CB63">
        <v>13.9</v>
      </c>
      <c r="CE63">
        <v>8.23</v>
      </c>
      <c r="CG63">
        <v>7.06</v>
      </c>
      <c r="CH63">
        <v>8.32</v>
      </c>
      <c r="CJ63">
        <v>6.84</v>
      </c>
      <c r="CL63">
        <v>8.32</v>
      </c>
      <c r="CM63">
        <v>6.99</v>
      </c>
      <c r="CO63">
        <v>7.27</v>
      </c>
      <c r="CQ63">
        <v>5.72</v>
      </c>
      <c r="CR63">
        <v>7.09</v>
      </c>
      <c r="CT63">
        <v>6.88</v>
      </c>
      <c r="CU63">
        <v>6.34</v>
      </c>
      <c r="CX63">
        <v>7.29</v>
      </c>
      <c r="CY63">
        <v>5.43</v>
      </c>
      <c r="DA63">
        <v>7.18</v>
      </c>
      <c r="DC63">
        <v>6.7</v>
      </c>
      <c r="DE63">
        <v>6.26</v>
      </c>
      <c r="DF63">
        <v>5.94</v>
      </c>
      <c r="DG63">
        <v>8.98</v>
      </c>
      <c r="DJ63">
        <v>8.3800000000000008</v>
      </c>
      <c r="DL63">
        <v>6.73</v>
      </c>
      <c r="DN63">
        <v>7.27</v>
      </c>
      <c r="DP63">
        <v>6.84</v>
      </c>
      <c r="DT63">
        <v>6.95</v>
      </c>
      <c r="DU63">
        <v>8.0500000000000007</v>
      </c>
      <c r="DX63">
        <v>5.2</v>
      </c>
      <c r="DY63">
        <v>5.93</v>
      </c>
      <c r="EB63">
        <v>6.51</v>
      </c>
      <c r="ED63">
        <v>6.44</v>
      </c>
      <c r="EF63">
        <v>6.79</v>
      </c>
      <c r="EH63">
        <v>6.62</v>
      </c>
      <c r="EI63">
        <v>5.78</v>
      </c>
      <c r="EJ63">
        <v>5.63</v>
      </c>
      <c r="EM63">
        <v>11.63</v>
      </c>
      <c r="EP63">
        <v>5.84</v>
      </c>
      <c r="EQ63">
        <v>6.86</v>
      </c>
      <c r="ER63">
        <v>4.75</v>
      </c>
      <c r="EU63">
        <v>7.01</v>
      </c>
      <c r="FC63">
        <v>12.36</v>
      </c>
      <c r="FE63">
        <v>8.0399999999999903</v>
      </c>
      <c r="FG63">
        <v>7.74</v>
      </c>
      <c r="FN63">
        <v>9.7899999999999903</v>
      </c>
      <c r="FP63">
        <v>7.11</v>
      </c>
      <c r="FR63">
        <v>6.4</v>
      </c>
      <c r="FT63">
        <v>8.3699999999999903</v>
      </c>
      <c r="FV63">
        <v>7.78</v>
      </c>
      <c r="FX63">
        <v>6.07</v>
      </c>
      <c r="FZ63">
        <v>5.74</v>
      </c>
      <c r="GB63">
        <v>7.17</v>
      </c>
      <c r="GD63">
        <v>6.21</v>
      </c>
      <c r="GE63">
        <v>6.58</v>
      </c>
      <c r="GF63">
        <v>8.31</v>
      </c>
      <c r="GH63">
        <v>6.29</v>
      </c>
      <c r="GK63">
        <v>7.48</v>
      </c>
      <c r="GL63">
        <v>6.64</v>
      </c>
      <c r="GM63">
        <v>7.57</v>
      </c>
      <c r="GO63">
        <v>6.73</v>
      </c>
      <c r="GQ63">
        <v>5.5</v>
      </c>
      <c r="GR63">
        <v>6.33</v>
      </c>
      <c r="GT63">
        <v>7.01</v>
      </c>
      <c r="GW63">
        <v>8.56</v>
      </c>
      <c r="GX63">
        <v>8.41</v>
      </c>
      <c r="GZ63">
        <v>7.38</v>
      </c>
      <c r="HB63">
        <v>6.45</v>
      </c>
      <c r="HD63">
        <v>8.23</v>
      </c>
      <c r="HF63">
        <v>7.02</v>
      </c>
      <c r="HH63">
        <v>8.02</v>
      </c>
      <c r="HJ63">
        <v>8.32</v>
      </c>
      <c r="HL63">
        <v>6.55</v>
      </c>
      <c r="HN63">
        <v>7.28</v>
      </c>
      <c r="HP63">
        <v>8.67</v>
      </c>
      <c r="HQ63">
        <v>8.25</v>
      </c>
      <c r="HT63">
        <v>6.81</v>
      </c>
      <c r="HU63">
        <v>5.34</v>
      </c>
      <c r="HV63">
        <v>8.2899999999999903</v>
      </c>
      <c r="HX63">
        <v>8.32</v>
      </c>
      <c r="IA63">
        <v>6.74</v>
      </c>
      <c r="IF63">
        <v>6.93</v>
      </c>
      <c r="IH63">
        <v>8.25</v>
      </c>
      <c r="IJ63">
        <v>8.01</v>
      </c>
      <c r="IM63">
        <v>10.28</v>
      </c>
      <c r="IP63">
        <v>7.32</v>
      </c>
      <c r="IQ63">
        <v>5.73</v>
      </c>
      <c r="IS63">
        <v>8.0399999999999903</v>
      </c>
      <c r="IT63">
        <v>6.95</v>
      </c>
      <c r="IW63">
        <v>8.02</v>
      </c>
      <c r="IX63">
        <v>6.37</v>
      </c>
      <c r="IZ63">
        <v>7.1</v>
      </c>
      <c r="JD63">
        <v>8.32</v>
      </c>
      <c r="JE63">
        <v>5.72</v>
      </c>
      <c r="JF63">
        <v>6.38</v>
      </c>
      <c r="JI63">
        <v>18.45</v>
      </c>
      <c r="JK63">
        <v>7.1</v>
      </c>
      <c r="JM63">
        <v>6.33</v>
      </c>
      <c r="JN63">
        <v>6.95</v>
      </c>
      <c r="JP63">
        <v>7.24</v>
      </c>
      <c r="JQ63">
        <v>4.24</v>
      </c>
      <c r="JT63">
        <v>8.5500000000000007</v>
      </c>
      <c r="JV63">
        <v>6.63</v>
      </c>
      <c r="JW63">
        <v>7.98</v>
      </c>
      <c r="JX63">
        <v>8.86</v>
      </c>
      <c r="KB63">
        <v>7.67</v>
      </c>
      <c r="KD63">
        <v>5.34</v>
      </c>
      <c r="KG63">
        <v>9.4</v>
      </c>
      <c r="KK63">
        <v>7.07</v>
      </c>
      <c r="KN63">
        <v>7.14</v>
      </c>
      <c r="KO63">
        <v>7.96</v>
      </c>
      <c r="KP63">
        <v>13.15</v>
      </c>
      <c r="KS63">
        <v>7.01</v>
      </c>
      <c r="KT63">
        <v>6.76</v>
      </c>
      <c r="KV63">
        <v>7.48</v>
      </c>
      <c r="KX63">
        <v>8.56</v>
      </c>
      <c r="KZ63">
        <v>5.77</v>
      </c>
      <c r="LD63">
        <v>7.57</v>
      </c>
      <c r="LE63">
        <v>8.1300000000000008</v>
      </c>
      <c r="LG63">
        <v>8.7100000000000009</v>
      </c>
    </row>
    <row r="64" spans="1:319">
      <c r="A64" s="20" t="s">
        <v>132</v>
      </c>
      <c r="B64">
        <v>1908.2919999999988</v>
      </c>
      <c r="C64">
        <v>36.697923076923054</v>
      </c>
      <c r="D64" s="20" t="s">
        <v>828</v>
      </c>
      <c r="E64" s="20" t="s">
        <v>829</v>
      </c>
      <c r="F64">
        <v>6.56</v>
      </c>
      <c r="I64">
        <v>18.690000000000001</v>
      </c>
      <c r="J64">
        <v>17.350000000000001</v>
      </c>
      <c r="M64">
        <v>30.65</v>
      </c>
      <c r="Q64">
        <v>8.18</v>
      </c>
      <c r="R64">
        <v>16.489999999999899</v>
      </c>
      <c r="T64">
        <v>6.74</v>
      </c>
      <c r="U64">
        <v>19.260000000000002</v>
      </c>
      <c r="W64">
        <v>3.21</v>
      </c>
      <c r="Y64">
        <v>18.899999999999899</v>
      </c>
      <c r="Z64">
        <v>5.55</v>
      </c>
      <c r="AA64">
        <v>8.4499999999999904</v>
      </c>
      <c r="AB64">
        <v>8.35</v>
      </c>
      <c r="AC64">
        <v>7.22</v>
      </c>
      <c r="AJ64">
        <v>17.13</v>
      </c>
      <c r="AN64">
        <v>19.47</v>
      </c>
      <c r="AO64">
        <v>12.82</v>
      </c>
      <c r="AY64">
        <v>9.7200000000000006</v>
      </c>
      <c r="BA64">
        <v>8.75</v>
      </c>
      <c r="BE64">
        <v>19.64</v>
      </c>
      <c r="BG64">
        <v>22.75</v>
      </c>
      <c r="BI64">
        <v>23.1</v>
      </c>
      <c r="BK64">
        <v>9.32</v>
      </c>
      <c r="BM64">
        <v>9.86</v>
      </c>
      <c r="BN64">
        <v>10.220000000000001</v>
      </c>
      <c r="BP64">
        <v>14.51</v>
      </c>
      <c r="BR64">
        <v>7.86</v>
      </c>
      <c r="BS64">
        <v>18.29</v>
      </c>
      <c r="BU64">
        <v>10.9</v>
      </c>
      <c r="BV64">
        <v>10.48</v>
      </c>
      <c r="BX64">
        <v>17.02</v>
      </c>
      <c r="BY64">
        <v>5.9</v>
      </c>
      <c r="BZ64">
        <v>12.63</v>
      </c>
      <c r="CB64">
        <v>7.98</v>
      </c>
      <c r="CE64">
        <v>14.98</v>
      </c>
      <c r="CG64">
        <v>27.27</v>
      </c>
      <c r="CI64">
        <v>7.53</v>
      </c>
      <c r="CL64">
        <v>18.7</v>
      </c>
      <c r="CM64">
        <v>15.28</v>
      </c>
      <c r="CN64">
        <v>9.74</v>
      </c>
      <c r="CQ64">
        <v>16.399999999999899</v>
      </c>
      <c r="CR64">
        <v>7.15</v>
      </c>
      <c r="CS64">
        <v>7.66</v>
      </c>
      <c r="CU64">
        <v>6.22</v>
      </c>
      <c r="CV64">
        <v>22.54</v>
      </c>
      <c r="CX64">
        <v>7.71</v>
      </c>
      <c r="CY64">
        <v>11.28</v>
      </c>
      <c r="DA64">
        <v>7.3</v>
      </c>
      <c r="DB64">
        <v>9.17</v>
      </c>
      <c r="DC64">
        <v>8.41</v>
      </c>
      <c r="DG64">
        <v>8.86</v>
      </c>
      <c r="DI64">
        <v>8.7200000000000006</v>
      </c>
      <c r="DJ64">
        <v>8.5399999999999903</v>
      </c>
      <c r="DL64">
        <v>8.51</v>
      </c>
      <c r="DM64">
        <v>7.86</v>
      </c>
      <c r="DQ64">
        <v>17.542000000000002</v>
      </c>
      <c r="DS64">
        <v>18.899999999999899</v>
      </c>
      <c r="DT64">
        <v>7.04</v>
      </c>
      <c r="DV64">
        <v>6.85</v>
      </c>
      <c r="DW64">
        <v>8.77</v>
      </c>
      <c r="DX64">
        <v>16.43</v>
      </c>
      <c r="DY64">
        <v>7.35</v>
      </c>
      <c r="EC64">
        <v>26.2</v>
      </c>
      <c r="EF64">
        <v>14.98</v>
      </c>
      <c r="EG64">
        <v>8.34</v>
      </c>
      <c r="EI64">
        <v>17.03</v>
      </c>
      <c r="EJ64">
        <v>7.74</v>
      </c>
      <c r="EK64">
        <v>8.09</v>
      </c>
      <c r="EL64">
        <v>5.89</v>
      </c>
      <c r="EN64">
        <v>10.0399999999999</v>
      </c>
      <c r="EO64">
        <v>11.84</v>
      </c>
      <c r="ER64">
        <v>17.600000000000001</v>
      </c>
      <c r="ES64">
        <v>6.99</v>
      </c>
      <c r="FC64">
        <v>17.059999999999899</v>
      </c>
      <c r="FE64">
        <v>12.86</v>
      </c>
      <c r="FF64">
        <v>6.43</v>
      </c>
      <c r="FO64">
        <v>15.31</v>
      </c>
      <c r="FP64">
        <v>11.59</v>
      </c>
      <c r="FR64">
        <v>5.0199999999999898</v>
      </c>
      <c r="FS64">
        <v>7.88</v>
      </c>
      <c r="FU64">
        <v>8.9499999999999904</v>
      </c>
      <c r="FV64">
        <v>14.24</v>
      </c>
      <c r="FW64">
        <v>7.35</v>
      </c>
      <c r="GA64">
        <v>37.9</v>
      </c>
      <c r="GD64">
        <v>15.77</v>
      </c>
      <c r="GE64">
        <v>8.0299999999999905</v>
      </c>
      <c r="GF64">
        <v>39.64</v>
      </c>
      <c r="GJ64">
        <v>9.8699999999999903</v>
      </c>
      <c r="GK64">
        <v>11.73</v>
      </c>
      <c r="GM64">
        <v>7.04</v>
      </c>
      <c r="GN64">
        <v>17.170000000000002</v>
      </c>
      <c r="GQ64">
        <v>6.19</v>
      </c>
      <c r="GS64">
        <v>14.47</v>
      </c>
      <c r="GT64">
        <v>8.31</v>
      </c>
      <c r="GU64">
        <v>7.22</v>
      </c>
      <c r="GW64">
        <v>8.2899999999999903</v>
      </c>
      <c r="GX64">
        <v>7.3</v>
      </c>
      <c r="GY64">
        <v>16.440000000000001</v>
      </c>
      <c r="HC64">
        <v>8.36</v>
      </c>
      <c r="HD64">
        <v>11.74</v>
      </c>
      <c r="HF64">
        <v>7.09</v>
      </c>
      <c r="HH64">
        <v>15.88</v>
      </c>
      <c r="HI64">
        <v>5.68</v>
      </c>
      <c r="HK64">
        <v>15.76</v>
      </c>
      <c r="HL64">
        <v>6.03</v>
      </c>
      <c r="HO64">
        <v>8.9600000000000009</v>
      </c>
      <c r="HP64">
        <v>18.71</v>
      </c>
      <c r="HQ64">
        <v>7.67</v>
      </c>
      <c r="HT64">
        <v>7.46</v>
      </c>
      <c r="HU64">
        <v>18.25</v>
      </c>
      <c r="HV64">
        <v>5.71</v>
      </c>
      <c r="HX64">
        <v>9.98</v>
      </c>
      <c r="HY64">
        <v>16.52</v>
      </c>
      <c r="HZ64">
        <v>5.05</v>
      </c>
      <c r="IB64">
        <v>9.69</v>
      </c>
      <c r="IH64">
        <v>15.61</v>
      </c>
      <c r="IK64">
        <v>14.6</v>
      </c>
      <c r="IM64">
        <v>9.0399999999999903</v>
      </c>
      <c r="IO64">
        <v>17.309999999999899</v>
      </c>
      <c r="IP64">
        <v>11.02</v>
      </c>
      <c r="IS64">
        <v>17.079999999999899</v>
      </c>
      <c r="IT64">
        <v>8.43</v>
      </c>
      <c r="IU64">
        <v>5.18</v>
      </c>
      <c r="IV64">
        <v>9.5500000000000007</v>
      </c>
      <c r="IX64">
        <v>4.84</v>
      </c>
      <c r="IY64">
        <v>17.649999999999899</v>
      </c>
      <c r="IZ64">
        <v>14.14</v>
      </c>
      <c r="JA64">
        <v>6.25</v>
      </c>
      <c r="JC64">
        <v>6.76</v>
      </c>
      <c r="JD64">
        <v>9.0500000000000007</v>
      </c>
      <c r="JJ64">
        <v>9.3699999999999903</v>
      </c>
      <c r="JK64">
        <v>30.45</v>
      </c>
      <c r="JO64">
        <v>29.76</v>
      </c>
      <c r="JP64">
        <v>4.58</v>
      </c>
      <c r="JR64">
        <v>7.51</v>
      </c>
      <c r="JU64">
        <v>20.09</v>
      </c>
      <c r="JV64">
        <v>8.41</v>
      </c>
      <c r="JZ64">
        <v>8.9600000000000009</v>
      </c>
      <c r="KA64">
        <v>11.15</v>
      </c>
      <c r="KC64">
        <v>25.76</v>
      </c>
      <c r="KF64">
        <v>8.76</v>
      </c>
      <c r="KI64">
        <v>24.94</v>
      </c>
      <c r="KJ64">
        <v>9.01</v>
      </c>
      <c r="KM64">
        <v>9.11</v>
      </c>
      <c r="KN64">
        <v>8.1199999999999903</v>
      </c>
      <c r="KS64">
        <v>22.37</v>
      </c>
      <c r="KU64">
        <v>19.920000000000002</v>
      </c>
      <c r="KX64">
        <v>17.36</v>
      </c>
      <c r="KZ64">
        <v>15.72</v>
      </c>
      <c r="LC64">
        <v>16.75</v>
      </c>
      <c r="LF64">
        <v>16.7</v>
      </c>
      <c r="LG64">
        <v>14.98</v>
      </c>
    </row>
    <row r="65" spans="1:319">
      <c r="A65" s="20" t="s">
        <v>123</v>
      </c>
      <c r="B65">
        <v>1013.3100000000003</v>
      </c>
      <c r="C65">
        <v>19.486730769230775</v>
      </c>
      <c r="D65" s="20" t="s">
        <v>828</v>
      </c>
      <c r="E65" s="20" t="s">
        <v>829</v>
      </c>
      <c r="H65">
        <v>8.4700000000000006</v>
      </c>
      <c r="I65">
        <v>7.98</v>
      </c>
      <c r="K65">
        <v>6.5</v>
      </c>
      <c r="N65">
        <v>6.38</v>
      </c>
      <c r="O65">
        <v>9.76</v>
      </c>
      <c r="Q65">
        <v>6.19</v>
      </c>
      <c r="S65">
        <v>8.3699999999999903</v>
      </c>
      <c r="U65">
        <v>7.74</v>
      </c>
      <c r="W65">
        <v>5.82</v>
      </c>
      <c r="Y65">
        <v>7.85</v>
      </c>
      <c r="Z65">
        <v>7.53</v>
      </c>
      <c r="AA65">
        <v>6.62</v>
      </c>
      <c r="AC65">
        <v>6.53</v>
      </c>
      <c r="AK65">
        <v>8.2200000000000006</v>
      </c>
      <c r="AN65">
        <v>8.0500000000000007</v>
      </c>
      <c r="AP65">
        <v>6.75</v>
      </c>
      <c r="AR65">
        <v>7.93</v>
      </c>
      <c r="AT65">
        <v>4.57</v>
      </c>
      <c r="AV65">
        <v>6.96</v>
      </c>
      <c r="AX65">
        <v>6.77</v>
      </c>
      <c r="BA65">
        <v>5.75</v>
      </c>
      <c r="BB65">
        <v>5.86</v>
      </c>
      <c r="BD65">
        <v>7.34</v>
      </c>
      <c r="BF65">
        <v>6.86</v>
      </c>
      <c r="BH65">
        <v>7.08</v>
      </c>
      <c r="BJ65">
        <v>7.94</v>
      </c>
      <c r="BL65">
        <v>5.85</v>
      </c>
      <c r="BN65">
        <v>7.87</v>
      </c>
      <c r="BP65">
        <v>6.99</v>
      </c>
      <c r="BS65">
        <v>7.68</v>
      </c>
      <c r="BT65">
        <v>6.26</v>
      </c>
      <c r="BV65">
        <v>8.2799999999999905</v>
      </c>
      <c r="BX65">
        <v>5.9</v>
      </c>
      <c r="CA65">
        <v>8.18</v>
      </c>
      <c r="CC65">
        <v>8.11</v>
      </c>
      <c r="CE65">
        <v>4.05</v>
      </c>
      <c r="CH65">
        <v>7.82</v>
      </c>
      <c r="CK65">
        <v>8.91</v>
      </c>
      <c r="CM65">
        <v>8.64</v>
      </c>
      <c r="CO65">
        <v>7.32</v>
      </c>
      <c r="CR65">
        <v>8.27</v>
      </c>
      <c r="CT65">
        <v>8.7899999999999903</v>
      </c>
      <c r="CW65">
        <v>5.17</v>
      </c>
      <c r="CY65">
        <v>8.9</v>
      </c>
      <c r="DA65">
        <v>8.4</v>
      </c>
      <c r="DC65">
        <v>5.85</v>
      </c>
      <c r="DD65">
        <v>8.3800000000000008</v>
      </c>
      <c r="DE65">
        <v>7.36</v>
      </c>
      <c r="DI65">
        <v>8.52</v>
      </c>
      <c r="DL65">
        <v>4.7699999999999898</v>
      </c>
      <c r="DN65">
        <v>8.1999999999999904</v>
      </c>
      <c r="DP65">
        <v>6.17</v>
      </c>
      <c r="DR65">
        <v>7.74</v>
      </c>
      <c r="DT65">
        <v>7.37</v>
      </c>
      <c r="DV65">
        <v>7.14</v>
      </c>
      <c r="DY65">
        <v>7.35</v>
      </c>
      <c r="EA65">
        <v>5.19</v>
      </c>
      <c r="ED65">
        <v>7.62</v>
      </c>
      <c r="EF65">
        <v>7.01</v>
      </c>
      <c r="EH65">
        <v>5.28</v>
      </c>
      <c r="EJ65">
        <v>7.43</v>
      </c>
      <c r="EM65">
        <v>8.84</v>
      </c>
      <c r="EO65">
        <v>6.34</v>
      </c>
      <c r="EP65">
        <v>8.57</v>
      </c>
      <c r="ER65">
        <v>7.99</v>
      </c>
      <c r="FB65">
        <v>7.12</v>
      </c>
      <c r="FD65">
        <v>9.24</v>
      </c>
      <c r="FF65">
        <v>6.85</v>
      </c>
      <c r="FP65">
        <v>9.3800000000000008</v>
      </c>
      <c r="FR65">
        <v>4.8600000000000003</v>
      </c>
      <c r="FT65">
        <v>7.74</v>
      </c>
      <c r="FV65">
        <v>9.8800000000000008</v>
      </c>
      <c r="FX65">
        <v>5.52</v>
      </c>
      <c r="FZ65">
        <v>7.39</v>
      </c>
      <c r="GB65">
        <v>8.39</v>
      </c>
      <c r="GD65">
        <v>6.37</v>
      </c>
      <c r="GF65">
        <v>9.57</v>
      </c>
      <c r="GH65">
        <v>8.24</v>
      </c>
      <c r="GK65">
        <v>8.33</v>
      </c>
      <c r="GM65">
        <v>9.1</v>
      </c>
      <c r="GN65">
        <v>3.55</v>
      </c>
      <c r="GP65">
        <v>8.1199999999999903</v>
      </c>
      <c r="GR65">
        <v>7.7</v>
      </c>
      <c r="GT65">
        <v>7.48</v>
      </c>
      <c r="GV65">
        <v>6.13</v>
      </c>
      <c r="GX65">
        <v>7.74</v>
      </c>
      <c r="GZ65">
        <v>6.99</v>
      </c>
      <c r="HB65">
        <v>6.48</v>
      </c>
      <c r="HD65">
        <v>7.93</v>
      </c>
      <c r="HG65">
        <v>10.1999999999999</v>
      </c>
      <c r="HJ65">
        <v>9.09</v>
      </c>
      <c r="HL65">
        <v>6.57</v>
      </c>
      <c r="HN65">
        <v>6.26</v>
      </c>
      <c r="HP65">
        <v>8.1999999999999904</v>
      </c>
      <c r="HR65">
        <v>6.7</v>
      </c>
      <c r="HT65">
        <v>6.35</v>
      </c>
      <c r="HV65">
        <v>7.92</v>
      </c>
      <c r="HZ65">
        <v>7.87</v>
      </c>
      <c r="IB65">
        <v>8.64</v>
      </c>
      <c r="ID65">
        <v>7.22</v>
      </c>
      <c r="IH65">
        <v>9.31</v>
      </c>
      <c r="IJ65">
        <v>7.58</v>
      </c>
      <c r="IL65">
        <v>5.5</v>
      </c>
      <c r="IN65">
        <v>7.33</v>
      </c>
      <c r="IP65">
        <v>7.51</v>
      </c>
      <c r="IR65">
        <v>4.95</v>
      </c>
      <c r="IT65">
        <v>5.39</v>
      </c>
      <c r="IV65">
        <v>8.0500000000000007</v>
      </c>
      <c r="IX65">
        <v>6.71</v>
      </c>
      <c r="IZ65">
        <v>8.48</v>
      </c>
      <c r="JC65">
        <v>7.06</v>
      </c>
      <c r="JE65">
        <v>8.5399999999999903</v>
      </c>
      <c r="JH65">
        <v>8.68</v>
      </c>
      <c r="JI65">
        <v>9.84</v>
      </c>
      <c r="JJ65">
        <v>7.02</v>
      </c>
      <c r="JL65">
        <v>8.0399999999999903</v>
      </c>
      <c r="JN65">
        <v>7.09</v>
      </c>
      <c r="JP65">
        <v>7.69</v>
      </c>
      <c r="JR65">
        <v>7.36</v>
      </c>
      <c r="JT65">
        <v>7.53</v>
      </c>
      <c r="JV65">
        <v>5.08</v>
      </c>
      <c r="JX65">
        <v>8.2899999999999903</v>
      </c>
      <c r="JZ65">
        <v>7.42</v>
      </c>
      <c r="KB65">
        <v>6.15</v>
      </c>
      <c r="KE65">
        <v>8.81</v>
      </c>
      <c r="KG65">
        <v>6.75</v>
      </c>
      <c r="KI65">
        <v>4.97</v>
      </c>
      <c r="KJ65">
        <v>8.19</v>
      </c>
      <c r="KL65">
        <v>5.7</v>
      </c>
      <c r="KN65">
        <v>6.19</v>
      </c>
      <c r="KQ65">
        <v>7.51</v>
      </c>
      <c r="KT65">
        <v>8.76</v>
      </c>
      <c r="KV65">
        <v>7.94</v>
      </c>
      <c r="KX65">
        <v>7.71</v>
      </c>
      <c r="KZ65">
        <v>5.57</v>
      </c>
      <c r="LB65">
        <v>8.59</v>
      </c>
      <c r="LE65">
        <v>8.26</v>
      </c>
      <c r="LG65">
        <v>6.31</v>
      </c>
    </row>
    <row r="66" spans="1:319">
      <c r="A66" s="20" t="s">
        <v>39</v>
      </c>
      <c r="B66">
        <v>1188.7399999999993</v>
      </c>
      <c r="C66">
        <v>22.860384615384604</v>
      </c>
      <c r="D66" s="20" t="s">
        <v>828</v>
      </c>
      <c r="E66" s="20" t="s">
        <v>829</v>
      </c>
      <c r="G66">
        <v>8.61</v>
      </c>
      <c r="J66">
        <v>9.24</v>
      </c>
      <c r="K66">
        <v>5.82</v>
      </c>
      <c r="O66">
        <v>7.31</v>
      </c>
      <c r="Q66">
        <v>5.6</v>
      </c>
      <c r="R66">
        <v>8.4700000000000006</v>
      </c>
      <c r="W66">
        <v>18.739999999999899</v>
      </c>
      <c r="X66">
        <v>7.52</v>
      </c>
      <c r="Y66">
        <v>6.64</v>
      </c>
      <c r="Z66">
        <v>8.7899999999999903</v>
      </c>
      <c r="AC66">
        <v>7.14</v>
      </c>
      <c r="AK66">
        <v>7.14</v>
      </c>
      <c r="AL66">
        <v>8.59</v>
      </c>
      <c r="AM66">
        <v>4.09</v>
      </c>
      <c r="AO66">
        <v>17.16</v>
      </c>
      <c r="AR66">
        <v>7.89</v>
      </c>
      <c r="AW66">
        <v>8.48</v>
      </c>
      <c r="BA66">
        <v>9.86</v>
      </c>
      <c r="BD66">
        <v>6.84</v>
      </c>
      <c r="BE66">
        <v>9.59</v>
      </c>
      <c r="BF66">
        <v>9.3699999999999903</v>
      </c>
      <c r="BG66">
        <v>9.77</v>
      </c>
      <c r="BH66">
        <v>7.24</v>
      </c>
      <c r="BI66">
        <v>8.1999999999999904</v>
      </c>
      <c r="BJ66">
        <v>5.78</v>
      </c>
      <c r="BM66">
        <v>9.01</v>
      </c>
      <c r="BN66">
        <v>8.14</v>
      </c>
      <c r="BQ66">
        <v>8.49</v>
      </c>
      <c r="BR66">
        <v>8.98</v>
      </c>
      <c r="BT66">
        <v>15.15</v>
      </c>
      <c r="BV66">
        <v>11.85</v>
      </c>
      <c r="BY66">
        <v>9.91</v>
      </c>
      <c r="CC66">
        <v>7.97</v>
      </c>
      <c r="CF66">
        <v>7.32</v>
      </c>
      <c r="CG66">
        <v>2.73</v>
      </c>
      <c r="CJ66">
        <v>5.6</v>
      </c>
      <c r="CL66">
        <v>9.09</v>
      </c>
      <c r="CN66">
        <v>8.3800000000000008</v>
      </c>
      <c r="CO66">
        <v>7.46</v>
      </c>
      <c r="CQ66">
        <v>4.38</v>
      </c>
      <c r="CR66">
        <v>8.93</v>
      </c>
      <c r="CS66">
        <v>6.71</v>
      </c>
      <c r="CT66">
        <v>6.73</v>
      </c>
      <c r="CV66">
        <v>11.69</v>
      </c>
      <c r="CX66">
        <v>3.71</v>
      </c>
      <c r="CZ66">
        <v>8.64</v>
      </c>
      <c r="DA66">
        <v>9.61</v>
      </c>
      <c r="DD66">
        <v>8.42</v>
      </c>
      <c r="DE66">
        <v>18.579999999999899</v>
      </c>
      <c r="DH66">
        <v>9.2200000000000006</v>
      </c>
      <c r="DI66">
        <v>7.16</v>
      </c>
      <c r="DJ66">
        <v>8.09</v>
      </c>
      <c r="DN66">
        <v>6.06</v>
      </c>
      <c r="DR66">
        <v>8.1999999999999904</v>
      </c>
      <c r="DS66">
        <v>17.559999999999899</v>
      </c>
      <c r="DW66">
        <v>8.0399999999999903</v>
      </c>
      <c r="DY66">
        <v>8.42</v>
      </c>
      <c r="DZ66">
        <v>7.37</v>
      </c>
      <c r="EE66">
        <v>6.15</v>
      </c>
      <c r="EG66">
        <v>8.43</v>
      </c>
      <c r="EI66">
        <v>8.3000000000000007</v>
      </c>
      <c r="EM66">
        <v>9.5299999999999905</v>
      </c>
      <c r="EN66">
        <v>17.8</v>
      </c>
      <c r="EP66">
        <v>4.8600000000000003</v>
      </c>
      <c r="EQ66">
        <v>5.59</v>
      </c>
      <c r="ET66">
        <v>8.9499999999999904</v>
      </c>
      <c r="FB66">
        <v>16.989999999999899</v>
      </c>
      <c r="FG66">
        <v>10.58</v>
      </c>
      <c r="FN66">
        <v>7.16</v>
      </c>
      <c r="FS66">
        <v>9.73</v>
      </c>
      <c r="FT66">
        <v>17.14</v>
      </c>
      <c r="FX66">
        <v>9.25</v>
      </c>
      <c r="FY66">
        <v>10.35</v>
      </c>
      <c r="FZ66">
        <v>6.63</v>
      </c>
      <c r="GC66">
        <v>9.92</v>
      </c>
      <c r="GI66">
        <v>9.4700000000000006</v>
      </c>
      <c r="GL66">
        <v>8.2899999999999903</v>
      </c>
      <c r="GQ66">
        <v>10.29</v>
      </c>
      <c r="GS66">
        <v>9.76</v>
      </c>
      <c r="GT66">
        <v>8.41</v>
      </c>
      <c r="GU66">
        <v>7.17</v>
      </c>
      <c r="GW66">
        <v>9.11</v>
      </c>
      <c r="GX66">
        <v>6.26</v>
      </c>
      <c r="HA66">
        <v>19.77</v>
      </c>
      <c r="HC66">
        <v>9.19</v>
      </c>
      <c r="HE66">
        <v>10.53</v>
      </c>
      <c r="HI66">
        <v>8.1300000000000008</v>
      </c>
      <c r="HJ66">
        <v>3.22</v>
      </c>
      <c r="HL66">
        <v>9.8800000000000008</v>
      </c>
      <c r="HN66">
        <v>8.93</v>
      </c>
      <c r="HO66">
        <v>4.43</v>
      </c>
      <c r="HP66">
        <v>10.38</v>
      </c>
      <c r="HU66">
        <v>17.96</v>
      </c>
      <c r="HV66">
        <v>8.7899999999999903</v>
      </c>
      <c r="HY66">
        <v>6.79</v>
      </c>
      <c r="IA66">
        <v>10.39</v>
      </c>
      <c r="ID66">
        <v>10.55</v>
      </c>
      <c r="IH66">
        <v>7.68</v>
      </c>
      <c r="IJ66">
        <v>7.38</v>
      </c>
      <c r="IL66">
        <v>3.55</v>
      </c>
      <c r="IN66">
        <v>10.91</v>
      </c>
      <c r="IP66">
        <v>7.53</v>
      </c>
      <c r="IQ66">
        <v>9.58</v>
      </c>
      <c r="IS66">
        <v>10.61</v>
      </c>
      <c r="IU66">
        <v>11.11</v>
      </c>
      <c r="IY66">
        <v>10.01</v>
      </c>
      <c r="JC66">
        <v>9.23</v>
      </c>
      <c r="JD66">
        <v>10.68</v>
      </c>
      <c r="JH66">
        <v>6.94</v>
      </c>
      <c r="JJ66">
        <v>10.09</v>
      </c>
      <c r="JL66">
        <v>9.6</v>
      </c>
      <c r="JO66">
        <v>9.24</v>
      </c>
      <c r="JP66">
        <v>7.99</v>
      </c>
      <c r="JQ66">
        <v>10.32</v>
      </c>
      <c r="JS66">
        <v>9.15</v>
      </c>
      <c r="JV66">
        <v>9.57</v>
      </c>
      <c r="JY66">
        <v>18.489999999999899</v>
      </c>
      <c r="KC66">
        <v>14.75</v>
      </c>
      <c r="KD66">
        <v>8.7100000000000009</v>
      </c>
      <c r="KH66">
        <v>10.79</v>
      </c>
      <c r="KI66">
        <v>8.75</v>
      </c>
      <c r="KK66">
        <v>7.98</v>
      </c>
      <c r="KM66">
        <v>6.83</v>
      </c>
      <c r="KO66">
        <v>14.63</v>
      </c>
      <c r="KR66">
        <v>8.7100000000000009</v>
      </c>
      <c r="KW66">
        <v>7.91</v>
      </c>
      <c r="LA66">
        <v>16.89</v>
      </c>
      <c r="LC66">
        <v>7.61</v>
      </c>
      <c r="LF66">
        <v>8.98</v>
      </c>
    </row>
    <row r="67" spans="1:319">
      <c r="A67" s="20" t="s">
        <v>831</v>
      </c>
      <c r="B67">
        <v>184.68999999999997</v>
      </c>
      <c r="C67">
        <v>3.5517307692307685</v>
      </c>
      <c r="D67" s="20" t="s">
        <v>828</v>
      </c>
      <c r="E67" s="20" t="s">
        <v>832</v>
      </c>
      <c r="O67">
        <v>9.8800000000000008</v>
      </c>
      <c r="R67">
        <v>5.26</v>
      </c>
      <c r="AC67">
        <v>6.97</v>
      </c>
      <c r="AN67">
        <v>7.62</v>
      </c>
      <c r="AY67">
        <v>10.44</v>
      </c>
      <c r="BM67">
        <v>5.77</v>
      </c>
      <c r="BX67">
        <v>9.16</v>
      </c>
      <c r="CR67">
        <v>6.27</v>
      </c>
      <c r="CU67">
        <v>7.73</v>
      </c>
      <c r="DC67">
        <v>9.09</v>
      </c>
      <c r="DN67">
        <v>7.89</v>
      </c>
      <c r="EO67">
        <v>8.32</v>
      </c>
      <c r="FG67">
        <v>8.1</v>
      </c>
      <c r="FP67">
        <v>5.63</v>
      </c>
      <c r="GO67">
        <v>6.91</v>
      </c>
      <c r="HC67">
        <v>9.34</v>
      </c>
      <c r="HD67">
        <v>7.16</v>
      </c>
      <c r="II67">
        <v>6.48</v>
      </c>
      <c r="IV67">
        <v>6.28</v>
      </c>
      <c r="JI67">
        <v>8.9499999999999904</v>
      </c>
      <c r="JT67">
        <v>7.45</v>
      </c>
      <c r="KG67">
        <v>6.62</v>
      </c>
      <c r="LA67">
        <v>9.85</v>
      </c>
      <c r="LE67">
        <v>7.52</v>
      </c>
    </row>
    <row r="68" spans="1:319">
      <c r="A68" s="20" t="s">
        <v>105</v>
      </c>
      <c r="B68">
        <v>556.07999999999993</v>
      </c>
      <c r="C68">
        <v>10.693846153846152</v>
      </c>
      <c r="D68" s="20" t="s">
        <v>828</v>
      </c>
      <c r="E68" s="20" t="s">
        <v>832</v>
      </c>
      <c r="J68">
        <v>6.12</v>
      </c>
      <c r="N68">
        <v>9.3800000000000008</v>
      </c>
      <c r="R68">
        <v>7.86</v>
      </c>
      <c r="W68">
        <v>9.9700000000000006</v>
      </c>
      <c r="Y68">
        <v>9.0500000000000007</v>
      </c>
      <c r="AC68">
        <v>7.94</v>
      </c>
      <c r="AN68">
        <v>10.55</v>
      </c>
      <c r="AS68">
        <v>10.14</v>
      </c>
      <c r="AY68">
        <v>10.87</v>
      </c>
      <c r="BE68">
        <v>10.34</v>
      </c>
      <c r="BI68">
        <v>7.08</v>
      </c>
      <c r="BL68">
        <v>8.61</v>
      </c>
      <c r="BQ68">
        <v>9.52</v>
      </c>
      <c r="BX68">
        <v>10.69</v>
      </c>
      <c r="CD68">
        <v>9.4600000000000009</v>
      </c>
      <c r="CG68">
        <v>8.8000000000000007</v>
      </c>
      <c r="CK68">
        <v>8.58</v>
      </c>
      <c r="CO68">
        <v>8.6300000000000008</v>
      </c>
      <c r="CV68">
        <v>8.16</v>
      </c>
      <c r="DC68">
        <v>10.19</v>
      </c>
      <c r="DH68">
        <v>10.6</v>
      </c>
      <c r="DN68">
        <v>9.73</v>
      </c>
      <c r="DR68">
        <v>8.4499999999999904</v>
      </c>
      <c r="DW68">
        <v>8.42</v>
      </c>
      <c r="EB68">
        <v>8.27</v>
      </c>
      <c r="EF68">
        <v>10.07</v>
      </c>
      <c r="EL68">
        <v>9.68</v>
      </c>
      <c r="EU68">
        <v>9.07</v>
      </c>
      <c r="FC68">
        <v>6.37</v>
      </c>
      <c r="FG68">
        <v>8.25</v>
      </c>
      <c r="FR68">
        <v>10.66</v>
      </c>
      <c r="FW68">
        <v>10.31</v>
      </c>
      <c r="GE68">
        <v>9.8800000000000008</v>
      </c>
      <c r="GK68">
        <v>10.42</v>
      </c>
      <c r="GQ68">
        <v>12.27</v>
      </c>
      <c r="GU68">
        <v>10.0299999999999</v>
      </c>
      <c r="GY68">
        <v>8.8699999999999903</v>
      </c>
      <c r="HC68">
        <v>7.06</v>
      </c>
      <c r="HD68">
        <v>7.45</v>
      </c>
      <c r="HI68">
        <v>9.4499999999999904</v>
      </c>
      <c r="HM68">
        <v>9.49</v>
      </c>
      <c r="HR68">
        <v>10.88</v>
      </c>
      <c r="HX68">
        <v>10.18</v>
      </c>
      <c r="ID68">
        <v>11.02</v>
      </c>
      <c r="II68">
        <v>12.05</v>
      </c>
      <c r="IM68">
        <v>8.1</v>
      </c>
      <c r="IQ68">
        <v>8.76</v>
      </c>
      <c r="IV68">
        <v>10.14</v>
      </c>
      <c r="JB68">
        <v>10.18</v>
      </c>
      <c r="JH68">
        <v>11.68</v>
      </c>
      <c r="JM68">
        <v>8.83</v>
      </c>
      <c r="JQ68">
        <v>7.28</v>
      </c>
      <c r="JU68">
        <v>9.2100000000000009</v>
      </c>
      <c r="JY68">
        <v>9.5299999999999905</v>
      </c>
      <c r="KF68">
        <v>9.48</v>
      </c>
      <c r="KL68">
        <v>10.86</v>
      </c>
      <c r="KR68">
        <v>10.35</v>
      </c>
      <c r="KX68">
        <v>10.210000000000001</v>
      </c>
      <c r="LD68">
        <v>10.6</v>
      </c>
    </row>
    <row r="69" spans="1:319">
      <c r="A69" s="20" t="s">
        <v>204</v>
      </c>
      <c r="B69">
        <v>1031.6999999999994</v>
      </c>
      <c r="C69">
        <v>19.840384615384604</v>
      </c>
      <c r="D69" s="20" t="s">
        <v>828</v>
      </c>
      <c r="E69" s="20" t="s">
        <v>832</v>
      </c>
      <c r="I69">
        <v>14.55</v>
      </c>
      <c r="K69">
        <v>8.2799999999999905</v>
      </c>
      <c r="M69">
        <v>3.83</v>
      </c>
      <c r="O69">
        <v>8.23</v>
      </c>
      <c r="Q69">
        <v>8.74</v>
      </c>
      <c r="V69">
        <v>15.01</v>
      </c>
      <c r="Z69">
        <v>5.43</v>
      </c>
      <c r="AA69">
        <v>7.37</v>
      </c>
      <c r="AC69">
        <v>13.94</v>
      </c>
      <c r="AK69">
        <v>12.48</v>
      </c>
      <c r="AM69">
        <v>7.16</v>
      </c>
      <c r="AS69">
        <v>6.3</v>
      </c>
      <c r="AU69">
        <v>7.44</v>
      </c>
      <c r="AZ69">
        <v>7.32</v>
      </c>
      <c r="BA69">
        <v>8.1999999999999904</v>
      </c>
      <c r="BE69">
        <v>8.08</v>
      </c>
      <c r="BG69">
        <v>14.08</v>
      </c>
      <c r="BK69">
        <v>15.04</v>
      </c>
      <c r="BM69">
        <v>7.19</v>
      </c>
      <c r="BO69">
        <v>15.53</v>
      </c>
      <c r="BW69">
        <v>8.81</v>
      </c>
      <c r="BX69">
        <v>8.76</v>
      </c>
      <c r="BY69">
        <v>16.53</v>
      </c>
      <c r="CD69">
        <v>6.7</v>
      </c>
      <c r="CG69">
        <v>14.22</v>
      </c>
      <c r="CK69">
        <v>7.54</v>
      </c>
      <c r="CL69">
        <v>7.02</v>
      </c>
      <c r="CM69">
        <v>7.43</v>
      </c>
      <c r="CQ69">
        <v>15.12</v>
      </c>
      <c r="CU69">
        <v>6</v>
      </c>
      <c r="CV69">
        <v>6.42</v>
      </c>
      <c r="CW69">
        <v>4.4000000000000004</v>
      </c>
      <c r="CZ69">
        <v>6.99</v>
      </c>
      <c r="DB69">
        <v>15.15</v>
      </c>
      <c r="DD69">
        <v>6.08</v>
      </c>
      <c r="DE69">
        <v>7.43</v>
      </c>
      <c r="DH69">
        <v>7.83</v>
      </c>
      <c r="DJ69">
        <v>7.96</v>
      </c>
      <c r="DL69">
        <v>7.08</v>
      </c>
      <c r="DP69">
        <v>6.77</v>
      </c>
      <c r="DS69">
        <v>16.25</v>
      </c>
      <c r="DU69">
        <v>7.06</v>
      </c>
      <c r="DX69">
        <v>7.77</v>
      </c>
      <c r="EB69">
        <v>8.26</v>
      </c>
      <c r="EC69">
        <v>7.96</v>
      </c>
      <c r="EG69">
        <v>15.29</v>
      </c>
      <c r="EI69">
        <v>7.47</v>
      </c>
      <c r="EJ69">
        <v>7.02</v>
      </c>
      <c r="EM69">
        <v>10.51</v>
      </c>
      <c r="EP69">
        <v>6.14</v>
      </c>
      <c r="ES69">
        <v>17.41</v>
      </c>
      <c r="FB69">
        <v>7.9</v>
      </c>
      <c r="FD69">
        <v>15.87</v>
      </c>
      <c r="FF69">
        <v>11.68</v>
      </c>
      <c r="FN69">
        <v>6.96</v>
      </c>
      <c r="FQ69">
        <v>8.6300000000000008</v>
      </c>
      <c r="FT69">
        <v>7.06</v>
      </c>
      <c r="FW69">
        <v>13.21</v>
      </c>
      <c r="FZ69">
        <v>8.57</v>
      </c>
      <c r="GC69">
        <v>5.17</v>
      </c>
      <c r="GI69">
        <v>27.47</v>
      </c>
      <c r="GO69">
        <v>24.55</v>
      </c>
      <c r="GR69">
        <v>7.75</v>
      </c>
      <c r="GS69">
        <v>14.3</v>
      </c>
      <c r="GT69">
        <v>7.77</v>
      </c>
      <c r="GU69">
        <v>8.66</v>
      </c>
      <c r="GV69">
        <v>7.96</v>
      </c>
      <c r="GX69">
        <v>10.24</v>
      </c>
      <c r="HA69">
        <v>7.06</v>
      </c>
      <c r="HE69">
        <v>17.62</v>
      </c>
      <c r="HK69">
        <v>16.079999999999899</v>
      </c>
      <c r="HP69">
        <v>13.89</v>
      </c>
      <c r="HS69">
        <v>8.35</v>
      </c>
      <c r="HV69">
        <v>7.67</v>
      </c>
      <c r="HX69">
        <v>7.6</v>
      </c>
      <c r="HZ69">
        <v>7.99</v>
      </c>
      <c r="IK69">
        <v>14.77</v>
      </c>
      <c r="IL69">
        <v>9.52</v>
      </c>
      <c r="IR69">
        <v>26.55</v>
      </c>
      <c r="IV69">
        <v>8.5500000000000007</v>
      </c>
      <c r="IY69">
        <v>8.5299999999999905</v>
      </c>
      <c r="JC69">
        <v>15.03</v>
      </c>
      <c r="JE69">
        <v>6.91</v>
      </c>
      <c r="JF69">
        <v>18.079999999999899</v>
      </c>
      <c r="JJ69">
        <v>5.72</v>
      </c>
      <c r="JO69">
        <v>15.11</v>
      </c>
      <c r="JP69">
        <v>8.0500000000000007</v>
      </c>
      <c r="JV69">
        <v>12.15</v>
      </c>
      <c r="JZ69">
        <v>7.89</v>
      </c>
      <c r="KA69">
        <v>14.85</v>
      </c>
      <c r="KF69">
        <v>8.76</v>
      </c>
      <c r="KG69">
        <v>7.44</v>
      </c>
      <c r="KM69">
        <v>17.73</v>
      </c>
      <c r="KR69">
        <v>7.43</v>
      </c>
      <c r="KT69">
        <v>8.09</v>
      </c>
      <c r="KV69">
        <v>8.59</v>
      </c>
      <c r="KZ69">
        <v>7.21</v>
      </c>
      <c r="LD69">
        <v>16.559999999999899</v>
      </c>
      <c r="LF69">
        <v>18.59</v>
      </c>
    </row>
    <row r="70" spans="1:319">
      <c r="A70" s="20" t="s">
        <v>833</v>
      </c>
      <c r="B70">
        <v>1957.5699999999997</v>
      </c>
      <c r="C70">
        <v>37.645576923076916</v>
      </c>
      <c r="D70" s="20" t="s">
        <v>828</v>
      </c>
      <c r="E70" s="20" t="s">
        <v>832</v>
      </c>
      <c r="H70">
        <v>30.33</v>
      </c>
      <c r="K70">
        <v>20.23</v>
      </c>
      <c r="N70">
        <v>20.92</v>
      </c>
      <c r="Q70">
        <v>17.61</v>
      </c>
      <c r="T70">
        <v>20.86</v>
      </c>
      <c r="W70">
        <v>13.29</v>
      </c>
      <c r="Z70">
        <v>25.78</v>
      </c>
      <c r="AC70">
        <v>12.65</v>
      </c>
      <c r="AL70">
        <v>19.399999999999899</v>
      </c>
      <c r="AO70">
        <v>20.64</v>
      </c>
      <c r="AR70">
        <v>12.94</v>
      </c>
      <c r="AU70">
        <v>14.21</v>
      </c>
      <c r="AX70">
        <v>21.74</v>
      </c>
      <c r="BA70">
        <v>15.42</v>
      </c>
      <c r="BD70">
        <v>26.06</v>
      </c>
      <c r="BG70">
        <v>22.02</v>
      </c>
      <c r="BJ70">
        <v>21.94</v>
      </c>
      <c r="BM70">
        <v>7.9</v>
      </c>
      <c r="BP70">
        <v>21</v>
      </c>
      <c r="BS70">
        <v>31.62</v>
      </c>
      <c r="BV70">
        <v>24.13</v>
      </c>
      <c r="BY70">
        <v>20.149999999999899</v>
      </c>
      <c r="CC70">
        <v>26.19</v>
      </c>
      <c r="CF70">
        <v>15</v>
      </c>
      <c r="CI70">
        <v>22.76</v>
      </c>
      <c r="CL70">
        <v>13.86</v>
      </c>
      <c r="CM70">
        <v>13.79</v>
      </c>
      <c r="CN70">
        <v>6.76</v>
      </c>
      <c r="CO70">
        <v>13.53</v>
      </c>
      <c r="CR70">
        <v>20.45</v>
      </c>
      <c r="CV70">
        <v>13.86</v>
      </c>
      <c r="DA70">
        <v>19.8</v>
      </c>
      <c r="DD70">
        <v>14.66</v>
      </c>
      <c r="DF70">
        <v>14.39</v>
      </c>
      <c r="DG70">
        <v>6.29</v>
      </c>
      <c r="DJ70">
        <v>12.15</v>
      </c>
      <c r="DN70">
        <v>15.75</v>
      </c>
      <c r="DQ70">
        <v>19.43</v>
      </c>
      <c r="DT70">
        <v>26.57</v>
      </c>
      <c r="DW70">
        <v>12.67</v>
      </c>
      <c r="DZ70">
        <v>21.61</v>
      </c>
      <c r="EC70">
        <v>20.73</v>
      </c>
      <c r="EE70">
        <v>13.84</v>
      </c>
      <c r="EF70">
        <v>13.09</v>
      </c>
      <c r="EI70">
        <v>8</v>
      </c>
      <c r="EL70">
        <v>19.670000000000002</v>
      </c>
      <c r="EO70">
        <v>15.46</v>
      </c>
      <c r="ER70">
        <v>23.01</v>
      </c>
      <c r="EU70">
        <v>19.77</v>
      </c>
      <c r="FC70">
        <v>20.440000000000001</v>
      </c>
      <c r="FF70">
        <v>11.28</v>
      </c>
      <c r="FG70">
        <v>16.13</v>
      </c>
      <c r="FO70">
        <v>30.45</v>
      </c>
      <c r="FS70">
        <v>23</v>
      </c>
      <c r="FV70">
        <v>25.67</v>
      </c>
      <c r="FY70">
        <v>18.16</v>
      </c>
      <c r="FZ70">
        <v>12.45</v>
      </c>
      <c r="GB70">
        <v>17.46</v>
      </c>
      <c r="GE70">
        <v>19.63</v>
      </c>
      <c r="GH70">
        <v>22.04</v>
      </c>
      <c r="GK70">
        <v>17.510000000000002</v>
      </c>
      <c r="GN70">
        <v>23.74</v>
      </c>
      <c r="GQ70">
        <v>17.54</v>
      </c>
      <c r="GT70">
        <v>23.86</v>
      </c>
      <c r="GW70">
        <v>19.47</v>
      </c>
      <c r="GZ70">
        <v>24.33</v>
      </c>
      <c r="HC70">
        <v>18.04</v>
      </c>
      <c r="HF70">
        <v>25.38</v>
      </c>
      <c r="HI70">
        <v>14.06</v>
      </c>
      <c r="HK70">
        <v>7.54</v>
      </c>
      <c r="HL70">
        <v>15.55</v>
      </c>
      <c r="HO70">
        <v>14.86</v>
      </c>
      <c r="HP70">
        <v>12.45</v>
      </c>
      <c r="HR70">
        <v>14.41</v>
      </c>
      <c r="HT70">
        <v>5.65</v>
      </c>
      <c r="HU70">
        <v>7.31</v>
      </c>
      <c r="HX70">
        <v>23.4</v>
      </c>
      <c r="IA70">
        <v>18.809999999999899</v>
      </c>
      <c r="IB70">
        <v>14.68</v>
      </c>
      <c r="ID70">
        <v>7.68</v>
      </c>
      <c r="IK70">
        <v>27.55</v>
      </c>
      <c r="IM70">
        <v>13.84</v>
      </c>
      <c r="IP70">
        <v>23.83</v>
      </c>
      <c r="IS70">
        <v>12.9</v>
      </c>
      <c r="IV70">
        <v>26.25</v>
      </c>
      <c r="IY70">
        <v>17.98</v>
      </c>
      <c r="IZ70">
        <v>8.6300000000000008</v>
      </c>
      <c r="JA70">
        <v>6.63</v>
      </c>
      <c r="JB70">
        <v>7.12</v>
      </c>
      <c r="JE70">
        <v>12.45</v>
      </c>
      <c r="JH70">
        <v>17.2</v>
      </c>
      <c r="JI70">
        <v>9.01</v>
      </c>
      <c r="JK70">
        <v>14.8</v>
      </c>
      <c r="JN70">
        <v>25.31</v>
      </c>
      <c r="JQ70">
        <v>17.87</v>
      </c>
      <c r="JT70">
        <v>23.09</v>
      </c>
      <c r="JW70">
        <v>16.41</v>
      </c>
      <c r="JY70">
        <v>9.23</v>
      </c>
      <c r="JZ70">
        <v>15.02</v>
      </c>
      <c r="KC70">
        <v>17.43</v>
      </c>
      <c r="KF70">
        <v>22.01</v>
      </c>
      <c r="KI70">
        <v>22.9</v>
      </c>
      <c r="KL70">
        <v>24.5</v>
      </c>
      <c r="KO70">
        <v>16.100000000000001</v>
      </c>
      <c r="KR70">
        <v>25.75</v>
      </c>
      <c r="KV70">
        <v>8.66</v>
      </c>
      <c r="KW70">
        <v>7.62</v>
      </c>
      <c r="KX70">
        <v>9</v>
      </c>
      <c r="LA70">
        <v>24.62</v>
      </c>
      <c r="LD70">
        <v>31.41</v>
      </c>
      <c r="LG70">
        <v>15.54</v>
      </c>
    </row>
    <row r="71" spans="1:319">
      <c r="A71" s="20" t="s">
        <v>31</v>
      </c>
      <c r="B71">
        <v>1564.75</v>
      </c>
      <c r="C71">
        <v>30.091346153846153</v>
      </c>
      <c r="D71" s="20" t="s">
        <v>828</v>
      </c>
      <c r="E71" s="20" t="s">
        <v>832</v>
      </c>
      <c r="F71">
        <v>9.2200000000000006</v>
      </c>
      <c r="I71">
        <v>4.96</v>
      </c>
      <c r="K71">
        <v>5.58</v>
      </c>
      <c r="L71">
        <v>11.82</v>
      </c>
      <c r="O71">
        <v>13.45</v>
      </c>
      <c r="R71">
        <v>15.44</v>
      </c>
      <c r="U71">
        <v>12.85</v>
      </c>
      <c r="W71">
        <v>7.93</v>
      </c>
      <c r="Z71">
        <v>17.899999999999899</v>
      </c>
      <c r="AA71">
        <v>8.4499999999999904</v>
      </c>
      <c r="AB71">
        <v>15.54</v>
      </c>
      <c r="AJ71">
        <v>18.09</v>
      </c>
      <c r="AM71">
        <v>15.48</v>
      </c>
      <c r="AP71">
        <v>14.64</v>
      </c>
      <c r="AS71">
        <v>14.56</v>
      </c>
      <c r="AV71">
        <v>15.06</v>
      </c>
      <c r="AY71">
        <v>16.47</v>
      </c>
      <c r="BB71">
        <v>15.76</v>
      </c>
      <c r="BE71">
        <v>7.17</v>
      </c>
      <c r="BF71">
        <v>6.78</v>
      </c>
      <c r="BH71">
        <v>24.55</v>
      </c>
      <c r="BN71">
        <v>25.48</v>
      </c>
      <c r="BP71">
        <v>15.45</v>
      </c>
      <c r="BR71">
        <v>7.27</v>
      </c>
      <c r="BS71">
        <v>6.55</v>
      </c>
      <c r="BT71">
        <v>16.98</v>
      </c>
      <c r="BW71">
        <v>16.3</v>
      </c>
      <c r="BY71">
        <v>8.93</v>
      </c>
      <c r="CA71">
        <v>17.11</v>
      </c>
      <c r="CD71">
        <v>13.75</v>
      </c>
      <c r="CG71">
        <v>7.05</v>
      </c>
      <c r="CI71">
        <v>7.15</v>
      </c>
      <c r="CJ71">
        <v>14.17</v>
      </c>
      <c r="CM71">
        <v>15.3</v>
      </c>
      <c r="CP71">
        <v>13.58</v>
      </c>
      <c r="CS71">
        <v>16.77</v>
      </c>
      <c r="CV71">
        <v>12.96</v>
      </c>
      <c r="CW71">
        <v>14.23</v>
      </c>
      <c r="CX71">
        <v>12.01</v>
      </c>
      <c r="CY71">
        <v>15.26</v>
      </c>
      <c r="DB71">
        <v>14.21</v>
      </c>
      <c r="DE71">
        <v>11.66</v>
      </c>
      <c r="DH71">
        <v>8.73</v>
      </c>
      <c r="DJ71">
        <v>7.06</v>
      </c>
      <c r="DN71">
        <v>15.06</v>
      </c>
      <c r="DO71">
        <v>6.34</v>
      </c>
      <c r="DQ71">
        <v>12.06</v>
      </c>
      <c r="DT71">
        <v>14.32</v>
      </c>
      <c r="DW71">
        <v>11.87</v>
      </c>
      <c r="DX71">
        <v>14.06</v>
      </c>
      <c r="EB71">
        <v>14.77</v>
      </c>
      <c r="ED71">
        <v>9.1</v>
      </c>
      <c r="EF71">
        <v>7.9</v>
      </c>
      <c r="EG71">
        <v>13.03</v>
      </c>
      <c r="EI71">
        <v>6.02</v>
      </c>
      <c r="EJ71">
        <v>7.06</v>
      </c>
      <c r="EL71">
        <v>7.57</v>
      </c>
      <c r="EM71">
        <v>6.56</v>
      </c>
      <c r="EO71">
        <v>7.54</v>
      </c>
      <c r="EP71">
        <v>12.28</v>
      </c>
      <c r="ES71">
        <v>13.96</v>
      </c>
      <c r="EU71">
        <v>6.96</v>
      </c>
      <c r="FB71">
        <v>7.4</v>
      </c>
      <c r="FE71">
        <v>15.01</v>
      </c>
      <c r="FG71">
        <v>16.899999999999899</v>
      </c>
      <c r="FT71">
        <v>14.27</v>
      </c>
      <c r="FW71">
        <v>15.31</v>
      </c>
      <c r="FZ71">
        <v>12.05</v>
      </c>
      <c r="GC71">
        <v>15.41</v>
      </c>
      <c r="GF71">
        <v>16.98</v>
      </c>
      <c r="GI71">
        <v>13.74</v>
      </c>
      <c r="GL71">
        <v>14.69</v>
      </c>
      <c r="GO71">
        <v>15.48</v>
      </c>
      <c r="GR71">
        <v>21.84</v>
      </c>
      <c r="GU71">
        <v>12.85</v>
      </c>
      <c r="GW71">
        <v>8.07</v>
      </c>
      <c r="GY71">
        <v>6.61</v>
      </c>
      <c r="HA71">
        <v>15.45</v>
      </c>
      <c r="HC71">
        <v>4.07</v>
      </c>
      <c r="HD71">
        <v>15.22</v>
      </c>
      <c r="HG71">
        <v>15.87</v>
      </c>
      <c r="HJ71">
        <v>14.68</v>
      </c>
      <c r="HM71">
        <v>14.3</v>
      </c>
      <c r="HP71">
        <v>15.47</v>
      </c>
      <c r="HS71">
        <v>15.6</v>
      </c>
      <c r="HU71">
        <v>6.11</v>
      </c>
      <c r="HV71">
        <v>14.93</v>
      </c>
      <c r="HY71">
        <v>8.1999999999999904</v>
      </c>
      <c r="IA71">
        <v>15.88</v>
      </c>
      <c r="IE71">
        <v>16.940000000000001</v>
      </c>
      <c r="IH71">
        <v>14.3</v>
      </c>
      <c r="IK71">
        <v>17.57</v>
      </c>
      <c r="IM71">
        <v>9</v>
      </c>
      <c r="IN71">
        <v>15.19</v>
      </c>
      <c r="IQ71">
        <v>8.76</v>
      </c>
      <c r="IT71">
        <v>15.67</v>
      </c>
      <c r="IX71">
        <v>15.42</v>
      </c>
      <c r="IZ71">
        <v>15.79</v>
      </c>
      <c r="JC71">
        <v>14.69</v>
      </c>
      <c r="JF71">
        <v>24.57</v>
      </c>
      <c r="JJ71">
        <v>15.7</v>
      </c>
      <c r="JK71">
        <v>9.6300000000000008</v>
      </c>
      <c r="JL71">
        <v>9.43</v>
      </c>
      <c r="JO71">
        <v>13.34</v>
      </c>
      <c r="JR71">
        <v>18.350000000000001</v>
      </c>
      <c r="JU71">
        <v>7.46</v>
      </c>
      <c r="JV71">
        <v>8.85</v>
      </c>
      <c r="JX71">
        <v>14.62</v>
      </c>
      <c r="KA71">
        <v>16.47</v>
      </c>
      <c r="KD71">
        <v>7.93</v>
      </c>
      <c r="KG71">
        <v>27.06</v>
      </c>
      <c r="KJ71">
        <v>16.91</v>
      </c>
      <c r="KM71">
        <v>16.260000000000002</v>
      </c>
      <c r="KP71">
        <v>15.22</v>
      </c>
      <c r="KS71">
        <v>17.79</v>
      </c>
      <c r="KV71">
        <v>15.69</v>
      </c>
      <c r="KY71">
        <v>6.34</v>
      </c>
      <c r="KZ71">
        <v>9.39</v>
      </c>
      <c r="LB71">
        <v>16.97</v>
      </c>
      <c r="LE71">
        <v>14.93</v>
      </c>
    </row>
    <row r="72" spans="1:319">
      <c r="A72" s="20" t="s">
        <v>222</v>
      </c>
      <c r="B72">
        <v>806.83999999999992</v>
      </c>
      <c r="C72">
        <v>15.516153846153845</v>
      </c>
      <c r="D72" s="20" t="s">
        <v>828</v>
      </c>
      <c r="E72" s="20" t="s">
        <v>832</v>
      </c>
      <c r="I72">
        <v>7.78</v>
      </c>
      <c r="K72">
        <v>6.76</v>
      </c>
      <c r="M72">
        <v>7.38</v>
      </c>
      <c r="Q72">
        <v>7.42</v>
      </c>
      <c r="R72">
        <v>7.1</v>
      </c>
      <c r="V72">
        <v>6.47</v>
      </c>
      <c r="W72">
        <v>6.57</v>
      </c>
      <c r="Z72">
        <v>7.37</v>
      </c>
      <c r="AA72">
        <v>7.71</v>
      </c>
      <c r="AC72">
        <v>6.93</v>
      </c>
      <c r="AK72">
        <v>7.88</v>
      </c>
      <c r="AP72">
        <v>14.23</v>
      </c>
      <c r="AS72">
        <v>6.35</v>
      </c>
      <c r="AV72">
        <v>14.89</v>
      </c>
      <c r="AZ72">
        <v>6.78</v>
      </c>
      <c r="BE72">
        <v>7.37</v>
      </c>
      <c r="BH72">
        <v>13.11</v>
      </c>
      <c r="BK72">
        <v>7.15</v>
      </c>
      <c r="BM72">
        <v>6.41</v>
      </c>
      <c r="BP72">
        <v>14.47</v>
      </c>
      <c r="BT72">
        <v>9.1</v>
      </c>
      <c r="BU72">
        <v>7.84</v>
      </c>
      <c r="BY72">
        <v>16.25</v>
      </c>
      <c r="BZ72">
        <v>6.04</v>
      </c>
      <c r="CC72">
        <v>7.65</v>
      </c>
      <c r="CF72">
        <v>6.68</v>
      </c>
      <c r="CG72">
        <v>7.15</v>
      </c>
      <c r="CI72">
        <v>6.93</v>
      </c>
      <c r="CL72">
        <v>7.19</v>
      </c>
      <c r="CM72">
        <v>6.83</v>
      </c>
      <c r="CQ72">
        <v>7.79</v>
      </c>
      <c r="CR72">
        <v>6.62</v>
      </c>
      <c r="CU72">
        <v>13.51</v>
      </c>
      <c r="CX72">
        <v>4.75</v>
      </c>
      <c r="CZ72">
        <v>7.11</v>
      </c>
      <c r="DD72">
        <v>6.31</v>
      </c>
      <c r="DE72">
        <v>6.31</v>
      </c>
      <c r="DG72">
        <v>6.54</v>
      </c>
      <c r="DI72">
        <v>7.53</v>
      </c>
      <c r="DL72">
        <v>7.24</v>
      </c>
      <c r="DP72">
        <v>7.55</v>
      </c>
      <c r="DS72">
        <v>14.57</v>
      </c>
      <c r="DW72">
        <v>6.11</v>
      </c>
      <c r="DX72">
        <v>6.55</v>
      </c>
      <c r="EC72">
        <v>6.48</v>
      </c>
      <c r="EG72">
        <v>6.12</v>
      </c>
      <c r="EI72">
        <v>7.27</v>
      </c>
      <c r="EL72">
        <v>15.02</v>
      </c>
      <c r="FB72">
        <v>13.51</v>
      </c>
      <c r="FC72">
        <v>8.0299999999999905</v>
      </c>
      <c r="FE72">
        <v>8.15</v>
      </c>
      <c r="FN72">
        <v>8.66</v>
      </c>
      <c r="FQ72">
        <v>14.97</v>
      </c>
      <c r="FS72">
        <v>8.5</v>
      </c>
      <c r="FW72">
        <v>8</v>
      </c>
      <c r="FZ72">
        <v>8.2899999999999903</v>
      </c>
      <c r="GC72">
        <v>14.64</v>
      </c>
      <c r="GI72">
        <v>7.7</v>
      </c>
      <c r="GL72">
        <v>7.46</v>
      </c>
      <c r="GX72">
        <v>8.02</v>
      </c>
      <c r="HA72">
        <v>8.39</v>
      </c>
      <c r="HE72">
        <v>8.25</v>
      </c>
      <c r="HF72">
        <v>7.62</v>
      </c>
      <c r="HH72">
        <v>7.62</v>
      </c>
      <c r="HK72">
        <v>6.34</v>
      </c>
      <c r="HM72">
        <v>7.85</v>
      </c>
      <c r="HO72">
        <v>7.26</v>
      </c>
      <c r="HS72">
        <v>16.37</v>
      </c>
      <c r="IA72">
        <v>8.57</v>
      </c>
      <c r="IK72">
        <v>7.93</v>
      </c>
      <c r="IQ72">
        <v>17.559999999999899</v>
      </c>
      <c r="IV72">
        <v>9.52</v>
      </c>
      <c r="IX72">
        <v>7.08</v>
      </c>
      <c r="JB72">
        <v>17.579999999999899</v>
      </c>
      <c r="JC72">
        <v>9.27</v>
      </c>
      <c r="JF72">
        <v>7.42</v>
      </c>
      <c r="JG72">
        <v>8.14</v>
      </c>
      <c r="JK72">
        <v>9.07</v>
      </c>
      <c r="JO72">
        <v>16.440000000000001</v>
      </c>
      <c r="JQ72">
        <v>7.64</v>
      </c>
      <c r="JT72">
        <v>7.54</v>
      </c>
      <c r="JZ72">
        <v>8.0299999999999905</v>
      </c>
      <c r="KE72">
        <v>7.7</v>
      </c>
      <c r="KF72">
        <v>6.98</v>
      </c>
      <c r="KJ72">
        <v>7.54</v>
      </c>
      <c r="KN72">
        <v>7.47</v>
      </c>
      <c r="KR72">
        <v>7.46</v>
      </c>
      <c r="KU72">
        <v>14.89</v>
      </c>
      <c r="KX72">
        <v>8.52</v>
      </c>
      <c r="LB72">
        <v>6.61</v>
      </c>
      <c r="LD72">
        <v>8.9700000000000006</v>
      </c>
      <c r="LF72">
        <v>8.11</v>
      </c>
    </row>
    <row r="73" spans="1:319">
      <c r="A73" s="20" t="s">
        <v>47</v>
      </c>
      <c r="B73">
        <v>853.42999999999984</v>
      </c>
      <c r="C73">
        <v>16.412115384615383</v>
      </c>
      <c r="D73" s="20" t="s">
        <v>828</v>
      </c>
      <c r="E73" s="20" t="s">
        <v>832</v>
      </c>
      <c r="G73">
        <v>9.61</v>
      </c>
      <c r="K73">
        <v>8.33</v>
      </c>
      <c r="N73">
        <v>8.32</v>
      </c>
      <c r="Q73">
        <v>9.07</v>
      </c>
      <c r="U73">
        <v>8.99</v>
      </c>
      <c r="W73">
        <v>8.99</v>
      </c>
      <c r="Z73">
        <v>9.07</v>
      </c>
      <c r="AA73">
        <v>9.36</v>
      </c>
      <c r="AC73">
        <v>8.64</v>
      </c>
      <c r="AL73">
        <v>11.35</v>
      </c>
      <c r="AO73">
        <v>6.77</v>
      </c>
      <c r="AR73">
        <v>7.92</v>
      </c>
      <c r="AV73">
        <v>9.25</v>
      </c>
      <c r="BD73">
        <v>9.26</v>
      </c>
      <c r="BG73">
        <v>8.59</v>
      </c>
      <c r="BL73">
        <v>9.42</v>
      </c>
      <c r="BP73">
        <v>9.48</v>
      </c>
      <c r="BS73">
        <v>9.9</v>
      </c>
      <c r="BT73">
        <v>8.4700000000000006</v>
      </c>
      <c r="BV73">
        <v>10.44</v>
      </c>
      <c r="CC73">
        <v>10.14</v>
      </c>
      <c r="CI73">
        <v>9.3699999999999903</v>
      </c>
      <c r="CL73">
        <v>8.98</v>
      </c>
      <c r="CN73">
        <v>8.4499999999999904</v>
      </c>
      <c r="CR73">
        <v>8.6300000000000008</v>
      </c>
      <c r="CT73">
        <v>16.88</v>
      </c>
      <c r="CX73">
        <v>7.69</v>
      </c>
      <c r="DA73">
        <v>8.33</v>
      </c>
      <c r="DD73">
        <v>9.81</v>
      </c>
      <c r="DG73">
        <v>9.6300000000000008</v>
      </c>
      <c r="DJ73">
        <v>7.43</v>
      </c>
      <c r="DN73">
        <v>10.11</v>
      </c>
      <c r="DQ73">
        <v>7.93</v>
      </c>
      <c r="DT73">
        <v>9.0500000000000007</v>
      </c>
      <c r="DW73">
        <v>9.85</v>
      </c>
      <c r="DZ73">
        <v>9.32</v>
      </c>
      <c r="EC73">
        <v>8.86</v>
      </c>
      <c r="EE73">
        <v>9.06</v>
      </c>
      <c r="EF73">
        <v>8.4499999999999904</v>
      </c>
      <c r="EI73">
        <v>8.43</v>
      </c>
      <c r="EJ73">
        <v>6.48</v>
      </c>
      <c r="EM73">
        <v>8.6300000000000008</v>
      </c>
      <c r="EO73">
        <v>6.38</v>
      </c>
      <c r="ER73">
        <v>9.6999999999999904</v>
      </c>
      <c r="EU73">
        <v>7.57</v>
      </c>
      <c r="FD73">
        <v>8.09</v>
      </c>
      <c r="FG73">
        <v>9.4</v>
      </c>
      <c r="FP73">
        <v>8.75</v>
      </c>
      <c r="FS73">
        <v>7.09</v>
      </c>
      <c r="FV73">
        <v>10.64</v>
      </c>
      <c r="FY73">
        <v>9.14</v>
      </c>
      <c r="GB73">
        <v>9.7100000000000009</v>
      </c>
      <c r="GE73">
        <v>9.6199999999999903</v>
      </c>
      <c r="GH73">
        <v>10.3</v>
      </c>
      <c r="GK73">
        <v>8.3800000000000008</v>
      </c>
      <c r="GO73">
        <v>10.39</v>
      </c>
      <c r="GQ73">
        <v>7.4</v>
      </c>
      <c r="GT73">
        <v>10.1999999999999</v>
      </c>
      <c r="GW73">
        <v>9.1</v>
      </c>
      <c r="GZ73">
        <v>9.5</v>
      </c>
      <c r="HC73">
        <v>9.4499999999999904</v>
      </c>
      <c r="HF73">
        <v>10.08</v>
      </c>
      <c r="HI73">
        <v>8.99</v>
      </c>
      <c r="HL73">
        <v>9.18</v>
      </c>
      <c r="HO73">
        <v>8.57</v>
      </c>
      <c r="HR73">
        <v>9.18</v>
      </c>
      <c r="HU73">
        <v>8.23</v>
      </c>
      <c r="HX73">
        <v>10.34</v>
      </c>
      <c r="IA73">
        <v>9.6199999999999903</v>
      </c>
      <c r="IJ73">
        <v>9.43</v>
      </c>
      <c r="IM73">
        <v>10.17</v>
      </c>
      <c r="IP73">
        <v>9.42</v>
      </c>
      <c r="IS73">
        <v>9.49</v>
      </c>
      <c r="IV73">
        <v>10.29</v>
      </c>
      <c r="IY73">
        <v>9.6300000000000008</v>
      </c>
      <c r="JB73">
        <v>8.07</v>
      </c>
      <c r="JE73">
        <v>8.69</v>
      </c>
      <c r="JH73">
        <v>9.81</v>
      </c>
      <c r="JK73">
        <v>9.52</v>
      </c>
      <c r="JN73">
        <v>10.210000000000001</v>
      </c>
      <c r="JQ73">
        <v>7.03</v>
      </c>
      <c r="JT73">
        <v>9.7899999999999903</v>
      </c>
      <c r="JW73">
        <v>9.25</v>
      </c>
      <c r="JZ73">
        <v>7.85</v>
      </c>
      <c r="KC73">
        <v>9.01</v>
      </c>
      <c r="KD73">
        <v>10.47</v>
      </c>
      <c r="KF73">
        <v>9.33</v>
      </c>
      <c r="KL73">
        <v>9.98</v>
      </c>
      <c r="KO73">
        <v>6.93</v>
      </c>
      <c r="KS73">
        <v>20.52</v>
      </c>
      <c r="KX73">
        <v>10.56</v>
      </c>
      <c r="LD73">
        <v>10.24</v>
      </c>
    </row>
    <row r="74" spans="1:319">
      <c r="A74" s="20" t="s">
        <v>41</v>
      </c>
      <c r="B74">
        <v>958.7999999999995</v>
      </c>
      <c r="C74">
        <v>18.438461538461528</v>
      </c>
      <c r="D74" s="20" t="s">
        <v>828</v>
      </c>
      <c r="E74" s="20" t="s">
        <v>832</v>
      </c>
      <c r="F74">
        <v>12.02</v>
      </c>
      <c r="I74">
        <v>6.48</v>
      </c>
      <c r="N74">
        <v>19.579999999999899</v>
      </c>
      <c r="S74">
        <v>15.53</v>
      </c>
      <c r="V74">
        <v>5.86</v>
      </c>
      <c r="Z74">
        <v>7.28</v>
      </c>
      <c r="AA74">
        <v>9.6300000000000008</v>
      </c>
      <c r="AL74">
        <v>19.22</v>
      </c>
      <c r="AQ74">
        <v>7.86</v>
      </c>
      <c r="AS74">
        <v>9.67</v>
      </c>
      <c r="AT74">
        <v>7.01</v>
      </c>
      <c r="AW74">
        <v>8.77</v>
      </c>
      <c r="AY74">
        <v>8.4499999999999904</v>
      </c>
      <c r="BD74">
        <v>17.989999999999899</v>
      </c>
      <c r="BJ74">
        <v>8.8800000000000008</v>
      </c>
      <c r="BV74">
        <v>17.649999999999899</v>
      </c>
      <c r="CF74">
        <v>15.93</v>
      </c>
      <c r="CK74">
        <v>19.68</v>
      </c>
      <c r="CP74">
        <v>8.83</v>
      </c>
      <c r="CQ74">
        <v>5.94</v>
      </c>
      <c r="CV74">
        <v>7.29</v>
      </c>
      <c r="CW74">
        <v>0.92</v>
      </c>
      <c r="DC74">
        <v>15.87</v>
      </c>
      <c r="DE74">
        <v>10.85</v>
      </c>
      <c r="DL74">
        <v>14.93</v>
      </c>
      <c r="DQ74">
        <v>16.239999999999899</v>
      </c>
      <c r="DT74">
        <v>7.74</v>
      </c>
      <c r="DU74">
        <v>8.02</v>
      </c>
      <c r="DX74">
        <v>8.82</v>
      </c>
      <c r="EB74">
        <v>9.1199999999999903</v>
      </c>
      <c r="EF74">
        <v>17.11</v>
      </c>
      <c r="EJ74">
        <v>8.64</v>
      </c>
      <c r="EM74">
        <v>9.5299999999999905</v>
      </c>
      <c r="EQ74">
        <v>7.41</v>
      </c>
      <c r="ER74">
        <v>10.08</v>
      </c>
      <c r="FB74">
        <v>7.89</v>
      </c>
      <c r="FD74">
        <v>10.85</v>
      </c>
      <c r="FN74">
        <v>8.23</v>
      </c>
      <c r="FO74">
        <v>7.87</v>
      </c>
      <c r="FR74">
        <v>14.35</v>
      </c>
      <c r="FS74">
        <v>7.33</v>
      </c>
      <c r="FW74">
        <v>6.44</v>
      </c>
      <c r="FX74">
        <v>11.94</v>
      </c>
      <c r="FZ74">
        <v>7.8</v>
      </c>
      <c r="GB74">
        <v>15.53</v>
      </c>
      <c r="GD74">
        <v>6.67</v>
      </c>
      <c r="GF74">
        <v>7.76</v>
      </c>
      <c r="GI74">
        <v>7.02</v>
      </c>
      <c r="GL74">
        <v>11.77</v>
      </c>
      <c r="GO74">
        <v>7.68</v>
      </c>
      <c r="GR74">
        <v>10.98</v>
      </c>
      <c r="GS74">
        <v>7.32</v>
      </c>
      <c r="GU74">
        <v>7.57</v>
      </c>
      <c r="GZ74">
        <v>8.0500000000000007</v>
      </c>
      <c r="HB74">
        <v>9.64</v>
      </c>
      <c r="HE74">
        <v>8.4600000000000009</v>
      </c>
      <c r="HH74">
        <v>10.17</v>
      </c>
      <c r="HJ74">
        <v>9.4499999999999904</v>
      </c>
      <c r="HN74">
        <v>15.86</v>
      </c>
      <c r="HS74">
        <v>10.97</v>
      </c>
      <c r="HX74">
        <v>7.36</v>
      </c>
      <c r="HZ74">
        <v>10.36</v>
      </c>
      <c r="ID74">
        <v>8.76</v>
      </c>
      <c r="IH74">
        <v>8.51</v>
      </c>
      <c r="IK74">
        <v>10.73</v>
      </c>
      <c r="IL74">
        <v>6.65</v>
      </c>
      <c r="IM74">
        <v>6.42</v>
      </c>
      <c r="IP74">
        <v>17.579999999999899</v>
      </c>
      <c r="IU74">
        <v>8.74</v>
      </c>
      <c r="IV74">
        <v>8.51</v>
      </c>
      <c r="IW74">
        <v>10.33</v>
      </c>
      <c r="IY74">
        <v>8.48</v>
      </c>
      <c r="IZ74">
        <v>7.49</v>
      </c>
      <c r="JB74">
        <v>17.05</v>
      </c>
      <c r="JE74">
        <v>12.45</v>
      </c>
      <c r="JG74">
        <v>7.8</v>
      </c>
      <c r="JH74">
        <v>10.52</v>
      </c>
      <c r="JL74">
        <v>8.84</v>
      </c>
      <c r="JN74">
        <v>11.03</v>
      </c>
      <c r="JP74">
        <v>9.08</v>
      </c>
      <c r="JT74">
        <v>15.29</v>
      </c>
      <c r="JW74">
        <v>8.3699999999999903</v>
      </c>
      <c r="JZ74">
        <v>15.3</v>
      </c>
      <c r="KD74">
        <v>10.79</v>
      </c>
      <c r="KH74">
        <v>11.46</v>
      </c>
      <c r="KK74">
        <v>8.84</v>
      </c>
      <c r="KL74">
        <v>9.06</v>
      </c>
      <c r="KP74">
        <v>8.91</v>
      </c>
      <c r="KR74">
        <v>8.35</v>
      </c>
      <c r="KT74">
        <v>7.44</v>
      </c>
      <c r="KX74">
        <v>8</v>
      </c>
      <c r="KY74">
        <v>9.06</v>
      </c>
      <c r="LC74">
        <v>9.02</v>
      </c>
      <c r="LE74">
        <v>9.7899999999999903</v>
      </c>
    </row>
    <row r="75" spans="1:319">
      <c r="A75" s="20" t="s">
        <v>834</v>
      </c>
      <c r="B75">
        <v>721.99</v>
      </c>
      <c r="C75">
        <v>13.884423076923078</v>
      </c>
      <c r="D75" s="20" t="s">
        <v>828</v>
      </c>
      <c r="E75" s="20" t="s">
        <v>835</v>
      </c>
      <c r="F75">
        <v>6.1</v>
      </c>
      <c r="H75">
        <v>5.07</v>
      </c>
      <c r="S75">
        <v>15.67</v>
      </c>
      <c r="U75">
        <v>8.91</v>
      </c>
      <c r="W75">
        <v>10.89</v>
      </c>
      <c r="Z75">
        <v>8.51</v>
      </c>
      <c r="AB75">
        <v>7.24</v>
      </c>
      <c r="AJ75">
        <v>9.83</v>
      </c>
      <c r="AN75">
        <v>8.44</v>
      </c>
      <c r="AP75">
        <v>8.6999999999999904</v>
      </c>
      <c r="AU75">
        <v>8.2100000000000009</v>
      </c>
      <c r="BA75">
        <v>8.9499999999999904</v>
      </c>
      <c r="BB75">
        <v>9.89</v>
      </c>
      <c r="BC75">
        <v>9</v>
      </c>
      <c r="BF75">
        <v>6.48</v>
      </c>
      <c r="BJ75">
        <v>8.6300000000000008</v>
      </c>
      <c r="BO75">
        <v>9.69</v>
      </c>
      <c r="BS75">
        <v>8.14</v>
      </c>
      <c r="BX75">
        <v>9.6300000000000008</v>
      </c>
      <c r="CD75">
        <v>7.96</v>
      </c>
      <c r="CI75">
        <v>9.5</v>
      </c>
      <c r="CL75">
        <v>8.6</v>
      </c>
      <c r="CN75">
        <v>7.66</v>
      </c>
      <c r="CR75">
        <v>8.23</v>
      </c>
      <c r="CU75">
        <v>5.78</v>
      </c>
      <c r="CW75">
        <v>5.29</v>
      </c>
      <c r="DB75">
        <v>8.7100000000000009</v>
      </c>
      <c r="DD75">
        <v>7.03</v>
      </c>
      <c r="DF75">
        <v>7.54</v>
      </c>
      <c r="DJ75">
        <v>7.09</v>
      </c>
      <c r="DP75">
        <v>15.06</v>
      </c>
      <c r="DT75">
        <v>6.66</v>
      </c>
      <c r="DV75">
        <v>5.8</v>
      </c>
      <c r="DZ75">
        <v>5.64</v>
      </c>
      <c r="EB75">
        <v>7.44</v>
      </c>
      <c r="EF75">
        <v>6.54</v>
      </c>
      <c r="EJ75">
        <v>6.53</v>
      </c>
      <c r="EN75">
        <v>5.5</v>
      </c>
      <c r="EQ75">
        <v>7.25</v>
      </c>
      <c r="ET75">
        <v>8.18</v>
      </c>
      <c r="FE75">
        <v>7.63</v>
      </c>
      <c r="FG75">
        <v>7.99</v>
      </c>
      <c r="FQ75">
        <v>6.75</v>
      </c>
      <c r="FV75">
        <v>14</v>
      </c>
      <c r="GC75">
        <v>8.32</v>
      </c>
      <c r="GD75">
        <v>4.6900000000000004</v>
      </c>
      <c r="GJ75">
        <v>13.52</v>
      </c>
      <c r="GO75">
        <v>6.91</v>
      </c>
      <c r="GR75">
        <v>7.55</v>
      </c>
      <c r="GU75">
        <v>8.08</v>
      </c>
      <c r="GY75">
        <v>8.4499999999999904</v>
      </c>
      <c r="HA75">
        <v>9.16</v>
      </c>
      <c r="HC75">
        <v>7.32</v>
      </c>
      <c r="HF75">
        <v>8.73</v>
      </c>
      <c r="HG75">
        <v>8.07</v>
      </c>
      <c r="HK75">
        <v>6.74</v>
      </c>
      <c r="HL75">
        <v>6.78</v>
      </c>
      <c r="HO75">
        <v>6.24</v>
      </c>
      <c r="HR75">
        <v>7.86</v>
      </c>
      <c r="HT75">
        <v>6.67</v>
      </c>
      <c r="HX75">
        <v>7.75</v>
      </c>
      <c r="HZ75">
        <v>9.26</v>
      </c>
      <c r="ID75">
        <v>9.86</v>
      </c>
      <c r="II75">
        <v>8.42</v>
      </c>
      <c r="IK75">
        <v>7.34</v>
      </c>
      <c r="IO75">
        <v>8.6999999999999904</v>
      </c>
      <c r="IR75">
        <v>9.18</v>
      </c>
      <c r="IW75">
        <v>7.27</v>
      </c>
      <c r="JD75">
        <v>14.47</v>
      </c>
      <c r="JE75">
        <v>7.77</v>
      </c>
      <c r="JH75">
        <v>8.27</v>
      </c>
      <c r="JJ75">
        <v>8.5299999999999905</v>
      </c>
      <c r="JL75">
        <v>7.97</v>
      </c>
      <c r="JO75">
        <v>4.99</v>
      </c>
      <c r="JQ75">
        <v>5.5</v>
      </c>
      <c r="JS75">
        <v>7.13</v>
      </c>
      <c r="JV75">
        <v>6.21</v>
      </c>
      <c r="JZ75">
        <v>14.44</v>
      </c>
      <c r="KG75">
        <v>15.31</v>
      </c>
      <c r="KJ75">
        <v>5.51</v>
      </c>
      <c r="KM75">
        <v>5.83</v>
      </c>
      <c r="KN75">
        <v>6.38</v>
      </c>
      <c r="KR75">
        <v>7.09</v>
      </c>
      <c r="KT75">
        <v>8.65</v>
      </c>
      <c r="KV75">
        <v>8.3699999999999903</v>
      </c>
      <c r="LA75">
        <v>7.98</v>
      </c>
      <c r="LF75">
        <v>16.38</v>
      </c>
    </row>
    <row r="76" spans="1:319">
      <c r="A76" s="20" t="s">
        <v>361</v>
      </c>
      <c r="B76">
        <v>716.91999999999985</v>
      </c>
      <c r="C76">
        <v>13.786923076923074</v>
      </c>
      <c r="D76" s="20" t="s">
        <v>828</v>
      </c>
      <c r="E76" s="20" t="s">
        <v>836</v>
      </c>
      <c r="I76">
        <v>7.26</v>
      </c>
      <c r="K76">
        <v>5.93</v>
      </c>
      <c r="O76">
        <v>8.56</v>
      </c>
      <c r="Q76">
        <v>6.82</v>
      </c>
      <c r="U76">
        <v>8.36</v>
      </c>
      <c r="W76">
        <v>6.17</v>
      </c>
      <c r="AA76">
        <v>5.55</v>
      </c>
      <c r="AC76">
        <v>5.68</v>
      </c>
      <c r="AN76">
        <v>13.12</v>
      </c>
      <c r="AT76">
        <v>14.7</v>
      </c>
      <c r="BA76">
        <v>14.95</v>
      </c>
      <c r="BF76">
        <v>16.690000000000001</v>
      </c>
      <c r="BL76">
        <v>15.32</v>
      </c>
      <c r="BR76">
        <v>16.03</v>
      </c>
      <c r="BX76">
        <v>16.54</v>
      </c>
      <c r="CE76">
        <v>6.85</v>
      </c>
      <c r="CF76">
        <v>8.4</v>
      </c>
      <c r="CL76">
        <v>16.66</v>
      </c>
      <c r="CQ76">
        <v>14.1</v>
      </c>
      <c r="CW76">
        <v>10.91</v>
      </c>
      <c r="DC76">
        <v>15.08</v>
      </c>
      <c r="DH76">
        <v>7.38</v>
      </c>
      <c r="DJ76">
        <v>5.05</v>
      </c>
      <c r="DO76">
        <v>5.39</v>
      </c>
      <c r="DQ76">
        <v>8.4700000000000006</v>
      </c>
      <c r="DU76">
        <v>7.19</v>
      </c>
      <c r="DW76">
        <v>8.5299999999999905</v>
      </c>
      <c r="EA76">
        <v>7.87</v>
      </c>
      <c r="EC76">
        <v>4.87</v>
      </c>
      <c r="EH76">
        <v>6.67</v>
      </c>
      <c r="EM76">
        <v>5.78</v>
      </c>
      <c r="EO76">
        <v>10.9</v>
      </c>
      <c r="EP76">
        <v>4.13</v>
      </c>
      <c r="ES76">
        <v>8.0299999999999905</v>
      </c>
      <c r="EU76">
        <v>5.33</v>
      </c>
      <c r="FE76">
        <v>8.7799999999999905</v>
      </c>
      <c r="FG76">
        <v>6.68</v>
      </c>
      <c r="FQ76">
        <v>7.62</v>
      </c>
      <c r="FS76">
        <v>6.28</v>
      </c>
      <c r="FW76">
        <v>5.97</v>
      </c>
      <c r="FY76">
        <v>8.57</v>
      </c>
      <c r="GC76">
        <v>9.08</v>
      </c>
      <c r="GE76">
        <v>6.93</v>
      </c>
      <c r="GI76">
        <v>6.68</v>
      </c>
      <c r="GL76">
        <v>8.2100000000000009</v>
      </c>
      <c r="GO76">
        <v>7.15</v>
      </c>
      <c r="GQ76">
        <v>6.3</v>
      </c>
      <c r="GU76">
        <v>7.12</v>
      </c>
      <c r="GW76">
        <v>8.01</v>
      </c>
      <c r="HA76">
        <v>7.4</v>
      </c>
      <c r="HC76">
        <v>7.38</v>
      </c>
      <c r="HG76">
        <v>7.19</v>
      </c>
      <c r="HI76">
        <v>8.81</v>
      </c>
      <c r="HM76">
        <v>6.05</v>
      </c>
      <c r="HO76">
        <v>8.35</v>
      </c>
      <c r="HS76">
        <v>7.69</v>
      </c>
      <c r="HU76">
        <v>6.52</v>
      </c>
      <c r="HY76">
        <v>8.0299999999999905</v>
      </c>
      <c r="IA76">
        <v>6.75</v>
      </c>
      <c r="IC76">
        <v>7.81</v>
      </c>
      <c r="IH76">
        <v>9.81</v>
      </c>
      <c r="IM76">
        <v>7.56</v>
      </c>
      <c r="IQ76">
        <v>9.18</v>
      </c>
      <c r="IS76">
        <v>7.32</v>
      </c>
      <c r="IW76">
        <v>9.6</v>
      </c>
      <c r="IY76">
        <v>7.48</v>
      </c>
      <c r="JD76">
        <v>8.92</v>
      </c>
      <c r="JE76">
        <v>8.92</v>
      </c>
      <c r="JI76">
        <v>9.68</v>
      </c>
      <c r="JK76">
        <v>5.23</v>
      </c>
      <c r="JO76">
        <v>7.71</v>
      </c>
      <c r="JQ76">
        <v>6.57</v>
      </c>
      <c r="JU76">
        <v>7.55</v>
      </c>
      <c r="JW76">
        <v>8.6199999999999903</v>
      </c>
      <c r="KA76">
        <v>9.44</v>
      </c>
      <c r="KC76">
        <v>7.28</v>
      </c>
      <c r="KH76">
        <v>8.48</v>
      </c>
      <c r="KI76">
        <v>7.57</v>
      </c>
      <c r="KL76">
        <v>6.94</v>
      </c>
      <c r="KO76">
        <v>6.49</v>
      </c>
      <c r="KT76">
        <v>15.34</v>
      </c>
      <c r="KZ76">
        <v>13.38</v>
      </c>
      <c r="LF76">
        <v>13.22</v>
      </c>
    </row>
    <row r="77" spans="1:319">
      <c r="A77" s="20" t="s">
        <v>837</v>
      </c>
      <c r="B77">
        <v>511.1699999999999</v>
      </c>
      <c r="C77">
        <v>9.8301923076923057</v>
      </c>
      <c r="D77" s="20" t="s">
        <v>828</v>
      </c>
      <c r="E77" s="20" t="s">
        <v>836</v>
      </c>
      <c r="G77">
        <v>6.65</v>
      </c>
      <c r="O77">
        <v>7.85</v>
      </c>
      <c r="Q77">
        <v>7.17</v>
      </c>
      <c r="AC77">
        <v>6.14</v>
      </c>
      <c r="AJ77">
        <v>7.21</v>
      </c>
      <c r="AM77">
        <v>6.93</v>
      </c>
      <c r="AO77">
        <v>6.87</v>
      </c>
      <c r="AS77">
        <v>6.22</v>
      </c>
      <c r="AU77">
        <v>8.43</v>
      </c>
      <c r="BA77">
        <v>7.73</v>
      </c>
      <c r="BG77">
        <v>14.09</v>
      </c>
      <c r="BK77">
        <v>8.06</v>
      </c>
      <c r="BM77">
        <v>5.68</v>
      </c>
      <c r="BQ77">
        <v>8.99</v>
      </c>
      <c r="BS77">
        <v>6.95</v>
      </c>
      <c r="BW77">
        <v>6.75</v>
      </c>
      <c r="BY77">
        <v>9.76</v>
      </c>
      <c r="CD77">
        <v>8.85</v>
      </c>
      <c r="CF77">
        <v>6.09</v>
      </c>
      <c r="CJ77">
        <v>8.66</v>
      </c>
      <c r="CL77">
        <v>7.68</v>
      </c>
      <c r="CP77">
        <v>8.36</v>
      </c>
      <c r="CR77">
        <v>6.94</v>
      </c>
      <c r="CX77">
        <v>4.67</v>
      </c>
      <c r="DB77">
        <v>8.57</v>
      </c>
      <c r="DD77">
        <v>6.01</v>
      </c>
      <c r="DG77">
        <v>4.0999999999999899</v>
      </c>
      <c r="DM77">
        <v>8.0299999999999905</v>
      </c>
      <c r="DQ77">
        <v>5.2</v>
      </c>
      <c r="DY77">
        <v>4.7699999999999898</v>
      </c>
      <c r="EC77">
        <v>8.69</v>
      </c>
      <c r="EE77">
        <v>7.53</v>
      </c>
      <c r="EJ77">
        <v>8.14</v>
      </c>
      <c r="EL77">
        <v>4.63</v>
      </c>
      <c r="EN77">
        <v>5.97</v>
      </c>
      <c r="FF77">
        <v>17.89</v>
      </c>
      <c r="FP77">
        <v>8.06</v>
      </c>
      <c r="FR77">
        <v>7.89</v>
      </c>
      <c r="FW77">
        <v>7.71</v>
      </c>
      <c r="GI77">
        <v>8.99</v>
      </c>
      <c r="GM77">
        <v>9.36</v>
      </c>
      <c r="GP77">
        <v>6.97</v>
      </c>
      <c r="GU77">
        <v>8.73</v>
      </c>
      <c r="GW77">
        <v>8.65</v>
      </c>
      <c r="HA77">
        <v>8.83</v>
      </c>
      <c r="HF77">
        <v>8.0500000000000007</v>
      </c>
      <c r="HM77">
        <v>9.32</v>
      </c>
      <c r="HU77">
        <v>8.48</v>
      </c>
      <c r="HY77">
        <v>9.6</v>
      </c>
      <c r="IN77">
        <v>9.6</v>
      </c>
      <c r="IQ77">
        <v>7.26</v>
      </c>
      <c r="JE77">
        <v>9.09</v>
      </c>
      <c r="JI77">
        <v>8.5299999999999905</v>
      </c>
      <c r="JO77">
        <v>7.93</v>
      </c>
      <c r="JW77">
        <v>9.3800000000000008</v>
      </c>
      <c r="KA77">
        <v>15.03</v>
      </c>
      <c r="KG77">
        <v>4.05</v>
      </c>
      <c r="KI77">
        <v>10.34</v>
      </c>
      <c r="KN77">
        <v>6.78</v>
      </c>
      <c r="KS77">
        <v>6.73</v>
      </c>
      <c r="KU77">
        <v>8.56</v>
      </c>
      <c r="KY77">
        <v>5.94</v>
      </c>
      <c r="LA77">
        <v>6.5</v>
      </c>
      <c r="LD77">
        <v>7.79</v>
      </c>
      <c r="LG77">
        <v>4.76</v>
      </c>
    </row>
    <row r="78" spans="1:319">
      <c r="A78" s="20" t="s">
        <v>382</v>
      </c>
      <c r="B78">
        <v>132.38999999999996</v>
      </c>
      <c r="C78">
        <v>2.5459615384615377</v>
      </c>
      <c r="D78" s="20" t="s">
        <v>828</v>
      </c>
      <c r="E78" s="20" t="s">
        <v>836</v>
      </c>
      <c r="AN78">
        <v>7</v>
      </c>
      <c r="AS78">
        <v>6.2</v>
      </c>
      <c r="AW78">
        <v>7.13</v>
      </c>
      <c r="BA78">
        <v>8.27</v>
      </c>
      <c r="BD78">
        <v>6.95</v>
      </c>
      <c r="BK78">
        <v>8.2799999999999905</v>
      </c>
      <c r="BM78">
        <v>8.06</v>
      </c>
      <c r="BP78">
        <v>6.3</v>
      </c>
      <c r="BX78">
        <v>7.96</v>
      </c>
      <c r="CC78">
        <v>5.43</v>
      </c>
      <c r="CI78">
        <v>7.64</v>
      </c>
      <c r="CL78">
        <v>4.43</v>
      </c>
      <c r="CR78">
        <v>6.91</v>
      </c>
      <c r="CU78">
        <v>4.99</v>
      </c>
      <c r="CX78">
        <v>5.58</v>
      </c>
      <c r="DA78">
        <v>6.21</v>
      </c>
      <c r="KG78">
        <v>6.96</v>
      </c>
      <c r="KT78">
        <v>9.1</v>
      </c>
      <c r="LE78">
        <v>8.99</v>
      </c>
    </row>
    <row r="79" spans="1:319">
      <c r="A79" s="20" t="s">
        <v>121</v>
      </c>
      <c r="B79">
        <v>267.78000000000003</v>
      </c>
      <c r="C79">
        <v>5.1496153846153856</v>
      </c>
      <c r="D79" s="20" t="s">
        <v>828</v>
      </c>
      <c r="E79" s="20" t="s">
        <v>838</v>
      </c>
      <c r="H79">
        <v>7.83</v>
      </c>
      <c r="Q79">
        <v>8.09</v>
      </c>
      <c r="W79">
        <v>7.03</v>
      </c>
      <c r="AN79">
        <v>6.78</v>
      </c>
      <c r="AU79">
        <v>6.7</v>
      </c>
      <c r="AW79">
        <v>7.76</v>
      </c>
      <c r="BF79">
        <v>6.86</v>
      </c>
      <c r="BM79">
        <v>7.77</v>
      </c>
      <c r="BS79">
        <v>5.71</v>
      </c>
      <c r="BX79">
        <v>5.55</v>
      </c>
      <c r="CF79">
        <v>7.67</v>
      </c>
      <c r="CU79">
        <v>7.57</v>
      </c>
      <c r="CZ79">
        <v>6.59</v>
      </c>
      <c r="DE79">
        <v>6.93</v>
      </c>
      <c r="DG79">
        <v>6.85</v>
      </c>
      <c r="DH79">
        <v>6.62</v>
      </c>
      <c r="DJ79">
        <v>5.67</v>
      </c>
      <c r="DQ79">
        <v>6.45</v>
      </c>
      <c r="EE79">
        <v>6.58</v>
      </c>
      <c r="EU79">
        <v>5.3</v>
      </c>
      <c r="FO79">
        <v>6.31</v>
      </c>
      <c r="FY79">
        <v>7.52</v>
      </c>
      <c r="GD79">
        <v>9.2899999999999903</v>
      </c>
      <c r="GX79">
        <v>9.6</v>
      </c>
      <c r="HC79">
        <v>6.15</v>
      </c>
      <c r="HF79">
        <v>8.2899999999999903</v>
      </c>
      <c r="HO79">
        <v>6.63</v>
      </c>
      <c r="IM79">
        <v>7.02</v>
      </c>
      <c r="IU79">
        <v>8.73</v>
      </c>
      <c r="JE79">
        <v>8.66</v>
      </c>
      <c r="JF79">
        <v>10.51</v>
      </c>
      <c r="JM79">
        <v>6.58</v>
      </c>
      <c r="JW79">
        <v>9.31</v>
      </c>
      <c r="KG79">
        <v>8.89</v>
      </c>
      <c r="KT79">
        <v>7.05</v>
      </c>
      <c r="KY79">
        <v>5.8</v>
      </c>
      <c r="LB79">
        <v>5.13</v>
      </c>
    </row>
    <row r="80" spans="1:319">
      <c r="A80" s="20" t="s">
        <v>839</v>
      </c>
      <c r="B80">
        <v>483.96999999999974</v>
      </c>
      <c r="C80">
        <v>9.3071153846153791</v>
      </c>
      <c r="D80" s="20" t="s">
        <v>828</v>
      </c>
      <c r="E80" s="20" t="s">
        <v>838</v>
      </c>
      <c r="G80">
        <v>5.85</v>
      </c>
      <c r="M80">
        <v>7.62</v>
      </c>
      <c r="Q80">
        <v>6.39</v>
      </c>
      <c r="V80">
        <v>7.12</v>
      </c>
      <c r="AA80">
        <v>7.44</v>
      </c>
      <c r="AL80">
        <v>7.16</v>
      </c>
      <c r="AR80">
        <v>6.94</v>
      </c>
      <c r="AU80">
        <v>7.55</v>
      </c>
      <c r="AX80">
        <v>7.98</v>
      </c>
      <c r="BC80">
        <v>7.88</v>
      </c>
      <c r="BF80">
        <v>7.54</v>
      </c>
      <c r="BK80">
        <v>7.75</v>
      </c>
      <c r="BN80">
        <v>7.59</v>
      </c>
      <c r="BQ80">
        <v>6.6</v>
      </c>
      <c r="BW80">
        <v>8.1300000000000008</v>
      </c>
      <c r="CA80">
        <v>7.77</v>
      </c>
      <c r="CB80">
        <v>7.43</v>
      </c>
      <c r="CE80">
        <v>6.43</v>
      </c>
      <c r="CH80">
        <v>7.88</v>
      </c>
      <c r="CL80">
        <v>6.78</v>
      </c>
      <c r="CO80">
        <v>7.21</v>
      </c>
      <c r="CR80">
        <v>5.13</v>
      </c>
      <c r="CU80">
        <v>6.65</v>
      </c>
      <c r="CX80">
        <v>5.63</v>
      </c>
      <c r="DA80">
        <v>6.41</v>
      </c>
      <c r="DG80">
        <v>6.96</v>
      </c>
      <c r="DL80">
        <v>7.39</v>
      </c>
      <c r="DS80">
        <v>6.52</v>
      </c>
      <c r="DW80">
        <v>6.56</v>
      </c>
      <c r="EC80">
        <v>4.66</v>
      </c>
      <c r="ED80">
        <v>7.39</v>
      </c>
      <c r="EG80">
        <v>6.67</v>
      </c>
      <c r="EO80">
        <v>7.12</v>
      </c>
      <c r="ES80">
        <v>8.5</v>
      </c>
      <c r="FC80">
        <v>6.5</v>
      </c>
      <c r="FG80">
        <v>8.6999999999999904</v>
      </c>
      <c r="FQ80">
        <v>8</v>
      </c>
      <c r="FV80">
        <v>8.0299999999999905</v>
      </c>
      <c r="GB80">
        <v>7.82</v>
      </c>
      <c r="GI80">
        <v>8.2799999999999905</v>
      </c>
      <c r="GN80">
        <v>9.1</v>
      </c>
      <c r="GS80">
        <v>8.76</v>
      </c>
      <c r="HD80">
        <v>8.49</v>
      </c>
      <c r="HH80">
        <v>7.69</v>
      </c>
      <c r="HL80">
        <v>8.69</v>
      </c>
      <c r="HS80">
        <v>9.57</v>
      </c>
      <c r="HX80">
        <v>9.01</v>
      </c>
      <c r="IC80">
        <v>9.64</v>
      </c>
      <c r="IL80">
        <v>8.82</v>
      </c>
      <c r="IV80">
        <v>7.64</v>
      </c>
      <c r="IY80">
        <v>9.14</v>
      </c>
      <c r="JE80">
        <v>8.82</v>
      </c>
      <c r="JI80">
        <v>9.1300000000000008</v>
      </c>
      <c r="JM80">
        <v>7.75</v>
      </c>
      <c r="JR80">
        <v>7.42</v>
      </c>
      <c r="JW80">
        <v>9.94</v>
      </c>
      <c r="JY80">
        <v>7.9</v>
      </c>
      <c r="KC80">
        <v>8.1999999999999904</v>
      </c>
      <c r="KE80">
        <v>9.08</v>
      </c>
      <c r="KI80">
        <v>7.62</v>
      </c>
      <c r="KN80">
        <v>8.4</v>
      </c>
      <c r="KT80">
        <v>9.11</v>
      </c>
      <c r="KY80">
        <v>8.09</v>
      </c>
    </row>
    <row r="81" spans="1:319">
      <c r="A81" s="20" t="s">
        <v>273</v>
      </c>
      <c r="B81">
        <v>241.29</v>
      </c>
      <c r="C81">
        <v>4.6401923076923079</v>
      </c>
      <c r="D81" s="20" t="s">
        <v>828</v>
      </c>
      <c r="E81" s="20" t="s">
        <v>840</v>
      </c>
      <c r="L81">
        <v>7.97</v>
      </c>
      <c r="U81">
        <v>8.3699999999999903</v>
      </c>
      <c r="Y81">
        <v>6.68</v>
      </c>
      <c r="AK81">
        <v>6.4</v>
      </c>
      <c r="AT81">
        <v>7.66</v>
      </c>
      <c r="BA81">
        <v>5.72</v>
      </c>
      <c r="BI81">
        <v>7</v>
      </c>
      <c r="BP81">
        <v>6.63</v>
      </c>
      <c r="BY81">
        <v>7.21</v>
      </c>
      <c r="CI81">
        <v>7.7</v>
      </c>
      <c r="CL81">
        <v>6.67</v>
      </c>
      <c r="CN81">
        <v>6.39</v>
      </c>
      <c r="CV81">
        <v>6.66</v>
      </c>
      <c r="DF81">
        <v>7.43</v>
      </c>
      <c r="DQ81">
        <v>8.4700000000000006</v>
      </c>
      <c r="EG81">
        <v>7.27</v>
      </c>
      <c r="EO81">
        <v>7.87</v>
      </c>
      <c r="FC81">
        <v>7.74</v>
      </c>
      <c r="FT81">
        <v>7.87</v>
      </c>
      <c r="GB81">
        <v>7.18</v>
      </c>
      <c r="GI81">
        <v>6.49</v>
      </c>
      <c r="GP81">
        <v>5.38</v>
      </c>
      <c r="GW81">
        <v>7.01</v>
      </c>
      <c r="GZ81">
        <v>8.0500000000000007</v>
      </c>
      <c r="HE81">
        <v>6.5</v>
      </c>
      <c r="IN81">
        <v>7.09</v>
      </c>
      <c r="IR81">
        <v>9.18</v>
      </c>
      <c r="IU81">
        <v>5.77</v>
      </c>
      <c r="JD81">
        <v>7.36</v>
      </c>
      <c r="JO81">
        <v>4.95</v>
      </c>
      <c r="KC81">
        <v>5.38</v>
      </c>
      <c r="KD81">
        <v>8.2100000000000009</v>
      </c>
      <c r="KR81">
        <v>7.64</v>
      </c>
      <c r="LA81">
        <v>7.39</v>
      </c>
    </row>
    <row r="82" spans="1:319">
      <c r="A82" s="20" t="s">
        <v>276</v>
      </c>
      <c r="B82">
        <v>295.87</v>
      </c>
      <c r="C82">
        <v>5.6898076923076921</v>
      </c>
      <c r="D82" s="20" t="s">
        <v>828</v>
      </c>
      <c r="E82" s="20" t="s">
        <v>841</v>
      </c>
      <c r="L82">
        <v>7.69</v>
      </c>
      <c r="S82">
        <v>8.7100000000000009</v>
      </c>
      <c r="AC82">
        <v>8.0500000000000007</v>
      </c>
      <c r="BA82">
        <v>5.42</v>
      </c>
      <c r="BF82">
        <v>8.42</v>
      </c>
      <c r="BM82">
        <v>8.42</v>
      </c>
      <c r="BS82">
        <v>7</v>
      </c>
      <c r="BU82">
        <v>5.76</v>
      </c>
      <c r="CF82">
        <v>5.81</v>
      </c>
      <c r="CL82">
        <v>7.19</v>
      </c>
      <c r="CR82">
        <v>5.53</v>
      </c>
      <c r="DD82">
        <v>5.85</v>
      </c>
      <c r="DJ82">
        <v>8.17</v>
      </c>
      <c r="DR82">
        <v>6.87</v>
      </c>
      <c r="EA82">
        <v>8.17</v>
      </c>
      <c r="EG82">
        <v>7.91</v>
      </c>
      <c r="EN82">
        <v>6.95</v>
      </c>
      <c r="EU82">
        <v>7.33</v>
      </c>
      <c r="FS82">
        <v>8.09</v>
      </c>
      <c r="FX82">
        <v>5.57</v>
      </c>
      <c r="GE82">
        <v>7.15</v>
      </c>
      <c r="GK82">
        <v>6.52</v>
      </c>
      <c r="GQ82">
        <v>7.04</v>
      </c>
      <c r="GW82">
        <v>5.61</v>
      </c>
      <c r="HC82">
        <v>8.3699999999999903</v>
      </c>
      <c r="HI82">
        <v>5.25</v>
      </c>
      <c r="HO82">
        <v>6.68</v>
      </c>
      <c r="HU82">
        <v>5.31</v>
      </c>
      <c r="IA82">
        <v>6.4</v>
      </c>
      <c r="IM82">
        <v>7.89</v>
      </c>
      <c r="IT82">
        <v>8.4700000000000006</v>
      </c>
      <c r="IY82">
        <v>5.22</v>
      </c>
      <c r="JE82">
        <v>5.98</v>
      </c>
      <c r="JI82">
        <v>6.82</v>
      </c>
      <c r="JN82">
        <v>5.99</v>
      </c>
      <c r="JS82">
        <v>8.35</v>
      </c>
      <c r="JW82">
        <v>5.64</v>
      </c>
      <c r="KC82">
        <v>6.95</v>
      </c>
      <c r="KI82">
        <v>6</v>
      </c>
      <c r="KN82">
        <v>8.0500000000000007</v>
      </c>
      <c r="KU82">
        <v>6.8</v>
      </c>
      <c r="LA82">
        <v>5.32</v>
      </c>
      <c r="LG82">
        <v>7.15</v>
      </c>
    </row>
    <row r="83" spans="1:319">
      <c r="A83" s="20" t="s">
        <v>342</v>
      </c>
      <c r="B83">
        <v>1454.8219999999999</v>
      </c>
      <c r="C83">
        <v>27.977346153846153</v>
      </c>
      <c r="D83" s="20" t="s">
        <v>828</v>
      </c>
      <c r="E83" s="20" t="s">
        <v>841</v>
      </c>
      <c r="F83">
        <v>12.65</v>
      </c>
      <c r="I83">
        <v>10.74</v>
      </c>
      <c r="K83">
        <v>7.24</v>
      </c>
      <c r="L83">
        <v>12.65</v>
      </c>
      <c r="O83">
        <v>11.96</v>
      </c>
      <c r="Q83">
        <v>6.02</v>
      </c>
      <c r="S83">
        <v>12.29</v>
      </c>
      <c r="U83">
        <v>11</v>
      </c>
      <c r="W83">
        <v>6.88</v>
      </c>
      <c r="X83">
        <v>7.56</v>
      </c>
      <c r="AA83">
        <v>17.36</v>
      </c>
      <c r="AC83">
        <v>6.22</v>
      </c>
      <c r="AJ83">
        <v>15.77</v>
      </c>
      <c r="AM83">
        <v>13.31</v>
      </c>
      <c r="AP83">
        <v>9.69</v>
      </c>
      <c r="AS83">
        <v>14.76</v>
      </c>
      <c r="AV83">
        <v>9.24</v>
      </c>
      <c r="AW83">
        <v>6.57</v>
      </c>
      <c r="AY83">
        <v>15.67</v>
      </c>
      <c r="BB83">
        <v>16.14</v>
      </c>
      <c r="BE83">
        <v>11.5</v>
      </c>
      <c r="BH83">
        <v>15.65</v>
      </c>
      <c r="BL83">
        <v>14.05</v>
      </c>
      <c r="BM83">
        <v>9.49</v>
      </c>
      <c r="BN83">
        <v>12.83</v>
      </c>
      <c r="BQ83">
        <v>13.67</v>
      </c>
      <c r="BT83">
        <v>8.48</v>
      </c>
      <c r="BU83">
        <v>5.69</v>
      </c>
      <c r="BW83">
        <v>12.95</v>
      </c>
      <c r="CA83">
        <v>14.72</v>
      </c>
      <c r="CD83">
        <v>13.38</v>
      </c>
      <c r="CG83">
        <v>17.82</v>
      </c>
      <c r="CK83">
        <v>13.91</v>
      </c>
      <c r="CM83">
        <v>14.62</v>
      </c>
      <c r="CP83">
        <v>6.53</v>
      </c>
      <c r="CQ83">
        <v>6.66</v>
      </c>
      <c r="CS83">
        <v>13.81</v>
      </c>
      <c r="CV83">
        <v>11.66</v>
      </c>
      <c r="CX83">
        <v>6.78</v>
      </c>
      <c r="CY83">
        <v>14.95</v>
      </c>
      <c r="DB83">
        <v>15.14</v>
      </c>
      <c r="DE83">
        <v>13.78</v>
      </c>
      <c r="DG83">
        <v>8.36</v>
      </c>
      <c r="DI83">
        <v>6.79</v>
      </c>
      <c r="DL83">
        <v>15.15</v>
      </c>
      <c r="DO83">
        <v>12.74</v>
      </c>
      <c r="DR83">
        <v>5.6</v>
      </c>
      <c r="DU83">
        <v>7.73</v>
      </c>
      <c r="DX83">
        <v>11.112</v>
      </c>
      <c r="EA83">
        <v>11.92</v>
      </c>
      <c r="ED83">
        <v>14.34</v>
      </c>
      <c r="EG83">
        <v>13.17</v>
      </c>
      <c r="EI83">
        <v>3.42</v>
      </c>
      <c r="EM83">
        <v>15.02</v>
      </c>
      <c r="EP83">
        <v>15.64</v>
      </c>
      <c r="EQ83">
        <v>7.46</v>
      </c>
      <c r="ET83">
        <v>17.170000000000002</v>
      </c>
      <c r="FB83">
        <v>13.87</v>
      </c>
      <c r="FE83">
        <v>14.93</v>
      </c>
      <c r="FG83">
        <v>14.35</v>
      </c>
      <c r="FN83">
        <v>15.43</v>
      </c>
      <c r="FQ83">
        <v>10.39</v>
      </c>
      <c r="FT83">
        <v>15.09</v>
      </c>
      <c r="FW83">
        <v>17.55</v>
      </c>
      <c r="FZ83">
        <v>14.07</v>
      </c>
      <c r="GB83">
        <v>12.75</v>
      </c>
      <c r="GF83">
        <v>13.47</v>
      </c>
      <c r="GI83">
        <v>15.79</v>
      </c>
      <c r="GL83">
        <v>14.31</v>
      </c>
      <c r="GO83">
        <v>15.16</v>
      </c>
      <c r="GQ83">
        <v>6.98</v>
      </c>
      <c r="GR83">
        <v>7.69</v>
      </c>
      <c r="GT83">
        <v>7.4</v>
      </c>
      <c r="GU83">
        <v>8.94</v>
      </c>
      <c r="GX83">
        <v>13.54</v>
      </c>
      <c r="HA83">
        <v>9.3699999999999903</v>
      </c>
      <c r="HB83">
        <v>8.1199999999999903</v>
      </c>
      <c r="HD83">
        <v>14.42</v>
      </c>
      <c r="HG83">
        <v>12.52</v>
      </c>
      <c r="HJ83">
        <v>17.16</v>
      </c>
      <c r="HM83">
        <v>15</v>
      </c>
      <c r="HP83">
        <v>16.93</v>
      </c>
      <c r="HS83">
        <v>14.08</v>
      </c>
      <c r="HV83">
        <v>17.68</v>
      </c>
      <c r="HZ83">
        <v>15.2</v>
      </c>
      <c r="IB83">
        <v>16.5</v>
      </c>
      <c r="IE83">
        <v>13.41</v>
      </c>
      <c r="II83">
        <v>18.329999999999899</v>
      </c>
      <c r="IK83">
        <v>8.8000000000000007</v>
      </c>
      <c r="IN83">
        <v>14.63</v>
      </c>
      <c r="IQ83">
        <v>12.47</v>
      </c>
      <c r="IT83">
        <v>16.149999999999899</v>
      </c>
      <c r="IX83">
        <v>15.77</v>
      </c>
      <c r="IZ83">
        <v>17.690000000000001</v>
      </c>
      <c r="JC83">
        <v>14.29</v>
      </c>
      <c r="JF83">
        <v>17.22</v>
      </c>
      <c r="JI83">
        <v>15.7</v>
      </c>
      <c r="JL83">
        <v>17.88</v>
      </c>
      <c r="JO83">
        <v>15.02</v>
      </c>
      <c r="JR83">
        <v>17.39</v>
      </c>
      <c r="JU83">
        <v>8.81</v>
      </c>
      <c r="JV83">
        <v>8.35</v>
      </c>
      <c r="JX83">
        <v>16.5</v>
      </c>
      <c r="KA83">
        <v>10.93</v>
      </c>
      <c r="KD83">
        <v>17.28</v>
      </c>
      <c r="KG83">
        <v>12.14</v>
      </c>
      <c r="KJ83">
        <v>17.22</v>
      </c>
      <c r="KM83">
        <v>13.28</v>
      </c>
      <c r="KP83">
        <v>15.93</v>
      </c>
      <c r="KS83">
        <v>14.18</v>
      </c>
      <c r="KV83">
        <v>16.41</v>
      </c>
      <c r="KY83">
        <v>11.32</v>
      </c>
      <c r="LB83">
        <v>16.809999999999899</v>
      </c>
      <c r="LE83">
        <v>14.81</v>
      </c>
    </row>
    <row r="84" spans="1:319">
      <c r="A84" s="20" t="s">
        <v>73</v>
      </c>
      <c r="B84">
        <v>1379.8399999999997</v>
      </c>
      <c r="C84">
        <v>26.535384615384608</v>
      </c>
      <c r="D84" s="20" t="s">
        <v>828</v>
      </c>
      <c r="E84" s="20" t="s">
        <v>842</v>
      </c>
      <c r="F84">
        <v>6.31</v>
      </c>
      <c r="G84">
        <v>10.46</v>
      </c>
      <c r="I84">
        <v>5.88</v>
      </c>
      <c r="J84">
        <v>4.8</v>
      </c>
      <c r="K84">
        <v>7.01</v>
      </c>
      <c r="L84">
        <v>7.87</v>
      </c>
      <c r="N84">
        <v>11.45</v>
      </c>
      <c r="P84">
        <v>7.39</v>
      </c>
      <c r="S84">
        <v>16.87</v>
      </c>
      <c r="V84">
        <v>7.92</v>
      </c>
      <c r="W84">
        <v>7.45</v>
      </c>
      <c r="Y84">
        <v>7.57</v>
      </c>
      <c r="Z84">
        <v>7.89</v>
      </c>
      <c r="AB84">
        <v>13.54</v>
      </c>
      <c r="AJ84">
        <v>6.64</v>
      </c>
      <c r="AL84">
        <v>7.12</v>
      </c>
      <c r="AM84">
        <v>7.99</v>
      </c>
      <c r="AN84">
        <v>5.0599999999999898</v>
      </c>
      <c r="AP84">
        <v>5.51</v>
      </c>
      <c r="AQ84">
        <v>7.87</v>
      </c>
      <c r="AS84">
        <v>7.41</v>
      </c>
      <c r="AT84">
        <v>9.52</v>
      </c>
      <c r="AW84">
        <v>7.75</v>
      </c>
      <c r="AX84">
        <v>6.69</v>
      </c>
      <c r="AZ84">
        <v>9.34</v>
      </c>
      <c r="BA84">
        <v>7.17</v>
      </c>
      <c r="BC84">
        <v>8.4499999999999904</v>
      </c>
      <c r="BE84">
        <v>13.33</v>
      </c>
      <c r="BG84">
        <v>8.73</v>
      </c>
      <c r="BI84">
        <v>7.42</v>
      </c>
      <c r="BJ84">
        <v>6.37</v>
      </c>
      <c r="BK84">
        <v>6.51</v>
      </c>
      <c r="BL84">
        <v>12.59</v>
      </c>
      <c r="BO84">
        <v>7.68</v>
      </c>
      <c r="BQ84">
        <v>15.39</v>
      </c>
      <c r="BS84">
        <v>7.5</v>
      </c>
      <c r="BT84">
        <v>7.74</v>
      </c>
      <c r="BV84">
        <v>6.76</v>
      </c>
      <c r="BW84">
        <v>4.0199999999999898</v>
      </c>
      <c r="CB84">
        <v>7.39</v>
      </c>
      <c r="CC84">
        <v>7.46</v>
      </c>
      <c r="CE84">
        <v>6.01</v>
      </c>
      <c r="CG84">
        <v>6.1</v>
      </c>
      <c r="CH84">
        <v>7.44</v>
      </c>
      <c r="CJ84">
        <v>13.79</v>
      </c>
      <c r="CM84">
        <v>13.13</v>
      </c>
      <c r="CN84">
        <v>7.48</v>
      </c>
      <c r="CQ84">
        <v>8.4700000000000006</v>
      </c>
      <c r="CR84">
        <v>6.14</v>
      </c>
      <c r="CS84">
        <v>6.88</v>
      </c>
      <c r="CV84">
        <v>20.12</v>
      </c>
      <c r="CX84">
        <v>6.25</v>
      </c>
      <c r="CY84">
        <v>7.76</v>
      </c>
      <c r="DA84">
        <v>14.19</v>
      </c>
      <c r="DC84">
        <v>7.55</v>
      </c>
      <c r="DD84">
        <v>7.19</v>
      </c>
      <c r="DF84">
        <v>13.53</v>
      </c>
      <c r="DI84">
        <v>8.1300000000000008</v>
      </c>
      <c r="DM84">
        <v>8.34</v>
      </c>
      <c r="DN84">
        <v>6.73</v>
      </c>
      <c r="DP84">
        <v>7.83</v>
      </c>
      <c r="DQ84">
        <v>6.85</v>
      </c>
      <c r="DR84">
        <v>8.09</v>
      </c>
      <c r="DT84">
        <v>6.5</v>
      </c>
      <c r="DW84">
        <v>5.34</v>
      </c>
      <c r="DY84">
        <v>8.06</v>
      </c>
      <c r="DZ84">
        <v>5.82</v>
      </c>
      <c r="EA84">
        <v>5.14</v>
      </c>
      <c r="EC84">
        <v>7.37</v>
      </c>
      <c r="EE84">
        <v>8.02</v>
      </c>
      <c r="EF84">
        <v>5.98</v>
      </c>
      <c r="EI84">
        <v>6.64</v>
      </c>
      <c r="EJ84">
        <v>12.52</v>
      </c>
      <c r="EL84">
        <v>7.25</v>
      </c>
      <c r="EM84">
        <v>3.09</v>
      </c>
      <c r="EO84">
        <v>13.3</v>
      </c>
      <c r="EQ84">
        <v>7.22</v>
      </c>
      <c r="ES84">
        <v>5.64</v>
      </c>
      <c r="ET84">
        <v>5.71</v>
      </c>
      <c r="EU84">
        <v>6.7</v>
      </c>
      <c r="FB84">
        <v>6.56</v>
      </c>
      <c r="FC84">
        <v>13.68</v>
      </c>
      <c r="FD84">
        <v>5.28</v>
      </c>
      <c r="FF84">
        <v>7.97</v>
      </c>
      <c r="FN84">
        <v>6.38</v>
      </c>
      <c r="FP84">
        <v>7.27</v>
      </c>
      <c r="FQ84">
        <v>7.83</v>
      </c>
      <c r="FS84">
        <v>6.91</v>
      </c>
      <c r="FT84">
        <v>7.2</v>
      </c>
      <c r="FV84">
        <v>8.09</v>
      </c>
      <c r="FX84">
        <v>6.96</v>
      </c>
      <c r="FY84">
        <v>9.01</v>
      </c>
      <c r="FZ84">
        <v>14.8</v>
      </c>
      <c r="GB84">
        <v>7.92</v>
      </c>
      <c r="GD84">
        <v>7.23</v>
      </c>
      <c r="GH84">
        <v>9.42</v>
      </c>
      <c r="GI84">
        <v>8.14</v>
      </c>
      <c r="GJ84">
        <v>5.91</v>
      </c>
      <c r="GL84">
        <v>6.9</v>
      </c>
      <c r="GM84">
        <v>6.74</v>
      </c>
      <c r="GN84">
        <v>7.4</v>
      </c>
      <c r="GP84">
        <v>7.83</v>
      </c>
      <c r="GT84">
        <v>26.35</v>
      </c>
      <c r="GV84">
        <v>8.14</v>
      </c>
      <c r="GY84">
        <v>7.7</v>
      </c>
      <c r="HA84">
        <v>7.75</v>
      </c>
      <c r="HC84">
        <v>7.34</v>
      </c>
      <c r="HD84">
        <v>7.86</v>
      </c>
      <c r="HE84">
        <v>7.79</v>
      </c>
      <c r="HG84">
        <v>8.75</v>
      </c>
      <c r="HH84">
        <v>6.7</v>
      </c>
      <c r="HJ84">
        <v>6.95</v>
      </c>
      <c r="HL84">
        <v>7.63</v>
      </c>
      <c r="HN84">
        <v>7.6</v>
      </c>
      <c r="HO84">
        <v>8.5399999999999903</v>
      </c>
      <c r="HQ84">
        <v>8.3699999999999903</v>
      </c>
      <c r="HR84">
        <v>7.87</v>
      </c>
      <c r="HT84">
        <v>8.17</v>
      </c>
      <c r="HU84">
        <v>7.08</v>
      </c>
      <c r="HV84">
        <v>8.07</v>
      </c>
      <c r="HY84">
        <v>8.09</v>
      </c>
      <c r="HZ84">
        <v>8.42</v>
      </c>
      <c r="IF84">
        <v>6.12</v>
      </c>
      <c r="IJ84">
        <v>18.48</v>
      </c>
      <c r="IL84">
        <v>7.75</v>
      </c>
      <c r="IM84">
        <v>7.31</v>
      </c>
      <c r="IO84">
        <v>8.94</v>
      </c>
      <c r="IP84">
        <v>8.36</v>
      </c>
      <c r="IS84">
        <v>7.47</v>
      </c>
      <c r="IV84">
        <v>7.77</v>
      </c>
      <c r="IW84">
        <v>16.399999999999899</v>
      </c>
      <c r="IY84">
        <v>5.45</v>
      </c>
      <c r="JA84">
        <v>6.71</v>
      </c>
      <c r="JB84">
        <v>15.51</v>
      </c>
      <c r="JE84">
        <v>6.52</v>
      </c>
      <c r="JG84">
        <v>6.56</v>
      </c>
      <c r="JH84">
        <v>9.14</v>
      </c>
      <c r="JJ84">
        <v>7.2</v>
      </c>
      <c r="JL84">
        <v>6.97</v>
      </c>
      <c r="JM84">
        <v>6.71</v>
      </c>
      <c r="JN84">
        <v>5.61</v>
      </c>
      <c r="JP84">
        <v>6.56</v>
      </c>
      <c r="JS84">
        <v>17.11</v>
      </c>
      <c r="JU84">
        <v>7.12</v>
      </c>
      <c r="JW84">
        <v>6.57</v>
      </c>
      <c r="JY84">
        <v>6.5</v>
      </c>
      <c r="KA84">
        <v>15.32</v>
      </c>
      <c r="KC84">
        <v>17.38</v>
      </c>
      <c r="KD84">
        <v>7.85</v>
      </c>
      <c r="KE84">
        <v>6.82</v>
      </c>
      <c r="KG84">
        <v>8.7200000000000006</v>
      </c>
      <c r="KI84">
        <v>7.07</v>
      </c>
      <c r="KJ84">
        <v>8.01</v>
      </c>
      <c r="KK84">
        <v>6.03</v>
      </c>
      <c r="KL84">
        <v>6.66</v>
      </c>
      <c r="KN84">
        <v>6.02</v>
      </c>
      <c r="KQ84">
        <v>9.25</v>
      </c>
      <c r="KR84">
        <v>8.0399999999999903</v>
      </c>
      <c r="KT84">
        <v>7.15</v>
      </c>
      <c r="KW84">
        <v>15.91</v>
      </c>
      <c r="KZ84">
        <v>3.26</v>
      </c>
      <c r="LB84">
        <v>7.43</v>
      </c>
      <c r="LE84">
        <v>15.24</v>
      </c>
      <c r="LG84">
        <v>8.1199999999999903</v>
      </c>
    </row>
    <row r="85" spans="1:319">
      <c r="A85" s="20" t="s">
        <v>843</v>
      </c>
      <c r="B85">
        <v>1528.5800000000004</v>
      </c>
      <c r="C85">
        <v>29.39576923076924</v>
      </c>
      <c r="D85" s="20" t="s">
        <v>828</v>
      </c>
      <c r="E85" s="20" t="s">
        <v>842</v>
      </c>
      <c r="H85">
        <v>7.34</v>
      </c>
      <c r="I85">
        <v>22.46</v>
      </c>
      <c r="M85">
        <v>8.34</v>
      </c>
      <c r="P85">
        <v>15.03</v>
      </c>
      <c r="Q85">
        <v>6.62</v>
      </c>
      <c r="T85">
        <v>15.25</v>
      </c>
      <c r="W85">
        <v>13.96</v>
      </c>
      <c r="Y85">
        <v>12.42</v>
      </c>
      <c r="AB85">
        <v>14.05</v>
      </c>
      <c r="AK85">
        <v>13.23</v>
      </c>
      <c r="AN85">
        <v>14.21</v>
      </c>
      <c r="AO85">
        <v>13.37</v>
      </c>
      <c r="AQ85">
        <v>13.24</v>
      </c>
      <c r="AU85">
        <v>13.54</v>
      </c>
      <c r="AV85">
        <v>6.71</v>
      </c>
      <c r="AW85">
        <v>12.77</v>
      </c>
      <c r="AZ85">
        <v>12.87</v>
      </c>
      <c r="BA85">
        <v>6.3</v>
      </c>
      <c r="BC85">
        <v>14.38</v>
      </c>
      <c r="BF85">
        <v>14.55</v>
      </c>
      <c r="BI85">
        <v>16.32</v>
      </c>
      <c r="BL85">
        <v>22.23</v>
      </c>
      <c r="BO85">
        <v>15.24</v>
      </c>
      <c r="BR85">
        <v>20.23</v>
      </c>
      <c r="BU85">
        <v>15.06</v>
      </c>
      <c r="BX85">
        <v>15.5</v>
      </c>
      <c r="BY85">
        <v>6.73</v>
      </c>
      <c r="CB85">
        <v>15.23</v>
      </c>
      <c r="CC85">
        <v>14.41</v>
      </c>
      <c r="CE85">
        <v>5.16</v>
      </c>
      <c r="CJ85">
        <v>14.18</v>
      </c>
      <c r="CN85">
        <v>21.1</v>
      </c>
      <c r="CQ85">
        <v>12.91</v>
      </c>
      <c r="CT85">
        <v>14.85</v>
      </c>
      <c r="CU85">
        <v>14.53</v>
      </c>
      <c r="CZ85">
        <v>14.44</v>
      </c>
      <c r="DC85">
        <v>14.44</v>
      </c>
      <c r="DG85">
        <v>14.56</v>
      </c>
      <c r="DJ85">
        <v>14</v>
      </c>
      <c r="DM85">
        <v>18.88</v>
      </c>
      <c r="DP85">
        <v>14.63</v>
      </c>
      <c r="DS85">
        <v>14.74</v>
      </c>
      <c r="DU85">
        <v>8.7799999999999905</v>
      </c>
      <c r="DV85">
        <v>14.36</v>
      </c>
      <c r="DY85">
        <v>14.11</v>
      </c>
      <c r="EB85">
        <v>15.13</v>
      </c>
      <c r="EE85">
        <v>21.57</v>
      </c>
      <c r="EI85">
        <v>14.71</v>
      </c>
      <c r="EM85">
        <v>6.32</v>
      </c>
      <c r="EN85">
        <v>5.39</v>
      </c>
      <c r="EO85">
        <v>16.48</v>
      </c>
      <c r="EQ85">
        <v>7.53</v>
      </c>
      <c r="ET85">
        <v>14.22</v>
      </c>
      <c r="FC85">
        <v>12.63</v>
      </c>
      <c r="FF85">
        <v>14.41</v>
      </c>
      <c r="FO85">
        <v>15.47</v>
      </c>
      <c r="FP85">
        <v>8.4</v>
      </c>
      <c r="FR85">
        <v>5.2</v>
      </c>
      <c r="FU85">
        <v>20.6</v>
      </c>
      <c r="FX85">
        <v>15.55</v>
      </c>
      <c r="GA85">
        <v>13.81</v>
      </c>
      <c r="GC85">
        <v>8.7200000000000006</v>
      </c>
      <c r="GD85">
        <v>15.33</v>
      </c>
      <c r="GF85">
        <v>17.010000000000002</v>
      </c>
      <c r="GI85">
        <v>13.74</v>
      </c>
      <c r="GN85">
        <v>16.739999999999899</v>
      </c>
      <c r="GP85">
        <v>14.1</v>
      </c>
      <c r="GS85">
        <v>16.190000000000001</v>
      </c>
      <c r="GV85">
        <v>16.96</v>
      </c>
      <c r="GY85">
        <v>15.06</v>
      </c>
      <c r="HF85">
        <v>11.9</v>
      </c>
      <c r="HG85">
        <v>16.59</v>
      </c>
      <c r="HK85">
        <v>15.25</v>
      </c>
      <c r="HN85">
        <v>13.68</v>
      </c>
      <c r="HQ85">
        <v>17.14</v>
      </c>
      <c r="HT85">
        <v>14.33</v>
      </c>
      <c r="HW85">
        <v>15.14</v>
      </c>
      <c r="HZ85">
        <v>14.51</v>
      </c>
      <c r="IC85">
        <v>9.44</v>
      </c>
      <c r="IF85">
        <v>4.92</v>
      </c>
      <c r="IL85">
        <v>15.69</v>
      </c>
      <c r="IM85">
        <v>15.83</v>
      </c>
      <c r="IO85">
        <v>14.04</v>
      </c>
      <c r="IR85">
        <v>14.71</v>
      </c>
      <c r="IU85">
        <v>7.84</v>
      </c>
      <c r="IV85">
        <v>6.54</v>
      </c>
      <c r="IX85">
        <v>12.82</v>
      </c>
      <c r="IY85">
        <v>6.48</v>
      </c>
      <c r="JA85">
        <v>14.48</v>
      </c>
      <c r="JE85">
        <v>28.93</v>
      </c>
      <c r="JG85">
        <v>25.16</v>
      </c>
      <c r="JK85">
        <v>4.87</v>
      </c>
      <c r="JM85">
        <v>20.100000000000001</v>
      </c>
      <c r="JP85">
        <v>15.76</v>
      </c>
      <c r="JS85">
        <v>23.3</v>
      </c>
      <c r="JV85">
        <v>15.15</v>
      </c>
      <c r="JY85">
        <v>14.38</v>
      </c>
      <c r="KB85">
        <v>14.57</v>
      </c>
      <c r="KE85">
        <v>15.45</v>
      </c>
      <c r="KF85">
        <v>5.58</v>
      </c>
      <c r="KH85">
        <v>16.649999999999899</v>
      </c>
      <c r="KK85">
        <v>12.84</v>
      </c>
      <c r="KN85">
        <v>14.89</v>
      </c>
      <c r="KQ85">
        <v>14.66</v>
      </c>
      <c r="KR85">
        <v>7.28</v>
      </c>
      <c r="KT85">
        <v>11.96</v>
      </c>
      <c r="KW85">
        <v>14.47</v>
      </c>
      <c r="KZ85">
        <v>12.31</v>
      </c>
      <c r="LC85">
        <v>17.100000000000001</v>
      </c>
      <c r="LD85">
        <v>8.16</v>
      </c>
      <c r="LF85">
        <v>15.15</v>
      </c>
    </row>
    <row r="86" spans="1:319">
      <c r="A86" s="20" t="s">
        <v>200</v>
      </c>
      <c r="B86">
        <v>2101.4700000000003</v>
      </c>
      <c r="C86">
        <v>40.41288461538462</v>
      </c>
      <c r="D86" s="20" t="s">
        <v>828</v>
      </c>
      <c r="E86" s="20" t="s">
        <v>842</v>
      </c>
      <c r="G86">
        <v>26.1</v>
      </c>
      <c r="I86">
        <v>11.92</v>
      </c>
      <c r="K86">
        <v>11.29</v>
      </c>
      <c r="M86">
        <v>12.79</v>
      </c>
      <c r="N86">
        <v>19.82</v>
      </c>
      <c r="O86">
        <v>4.8</v>
      </c>
      <c r="Q86">
        <v>13.48</v>
      </c>
      <c r="R86">
        <v>6.58</v>
      </c>
      <c r="S86">
        <v>7.36</v>
      </c>
      <c r="U86">
        <v>14.5</v>
      </c>
      <c r="W86">
        <v>14.01</v>
      </c>
      <c r="Z86">
        <v>13.11</v>
      </c>
      <c r="AA86">
        <v>14.59</v>
      </c>
      <c r="AB86">
        <v>13.24</v>
      </c>
      <c r="AC86">
        <v>11.29</v>
      </c>
      <c r="AK86">
        <v>13.69</v>
      </c>
      <c r="AM86">
        <v>13.87</v>
      </c>
      <c r="AO86">
        <v>12.78</v>
      </c>
      <c r="AQ86">
        <v>11.13</v>
      </c>
      <c r="AR86">
        <v>6.39</v>
      </c>
      <c r="AS86">
        <v>7.23</v>
      </c>
      <c r="AU86">
        <v>7.01</v>
      </c>
      <c r="AW86">
        <v>13.79</v>
      </c>
      <c r="AY86">
        <v>14.46</v>
      </c>
      <c r="BA86">
        <v>14.47</v>
      </c>
      <c r="BD86">
        <v>12.06</v>
      </c>
      <c r="BE86">
        <v>15.35</v>
      </c>
      <c r="BJ86">
        <v>16.38</v>
      </c>
      <c r="BK86">
        <v>17.149999999999899</v>
      </c>
      <c r="BL86">
        <v>7.9</v>
      </c>
      <c r="BM86">
        <v>16.399999999999899</v>
      </c>
      <c r="BO86">
        <v>14.25</v>
      </c>
      <c r="BP86">
        <v>12.98</v>
      </c>
      <c r="BQ86">
        <v>7.37</v>
      </c>
      <c r="BS86">
        <v>15.85</v>
      </c>
      <c r="BU86">
        <v>7.8</v>
      </c>
      <c r="BV86">
        <v>4.6900000000000004</v>
      </c>
      <c r="BW86">
        <v>14.28</v>
      </c>
      <c r="BX86">
        <v>7.85</v>
      </c>
      <c r="BY86">
        <v>12.84</v>
      </c>
      <c r="BZ86">
        <v>20.78</v>
      </c>
      <c r="CB86">
        <v>14.53</v>
      </c>
      <c r="CC86">
        <v>6.75</v>
      </c>
      <c r="CD86">
        <v>12.46</v>
      </c>
      <c r="CF86">
        <v>10.31</v>
      </c>
      <c r="CH86">
        <v>22.95</v>
      </c>
      <c r="CJ86">
        <v>15.04</v>
      </c>
      <c r="CL86">
        <v>13.19</v>
      </c>
      <c r="CN86">
        <v>12.17</v>
      </c>
      <c r="CP86">
        <v>13.2</v>
      </c>
      <c r="CR86">
        <v>6</v>
      </c>
      <c r="CT86">
        <v>10.57</v>
      </c>
      <c r="CU86">
        <v>6.52</v>
      </c>
      <c r="CV86">
        <v>19.25</v>
      </c>
      <c r="CX86">
        <v>13.79</v>
      </c>
      <c r="CZ86">
        <v>11.83</v>
      </c>
      <c r="DB86">
        <v>15.03</v>
      </c>
      <c r="DF86">
        <v>12.37</v>
      </c>
      <c r="DG86">
        <v>6.51</v>
      </c>
      <c r="DH86">
        <v>12.97</v>
      </c>
      <c r="DM86">
        <v>13.25</v>
      </c>
      <c r="DO86">
        <v>14.26</v>
      </c>
      <c r="DQ86">
        <v>14.34</v>
      </c>
      <c r="DS86">
        <v>10.73</v>
      </c>
      <c r="DU86">
        <v>14.1</v>
      </c>
      <c r="DW86">
        <v>13.35</v>
      </c>
      <c r="DY86">
        <v>11.86</v>
      </c>
      <c r="EA86">
        <v>13.66</v>
      </c>
      <c r="EC86">
        <v>12.57</v>
      </c>
      <c r="EE86">
        <v>11.86</v>
      </c>
      <c r="EG86">
        <v>12.32</v>
      </c>
      <c r="EI86">
        <v>21.85</v>
      </c>
      <c r="EJ86">
        <v>5.26</v>
      </c>
      <c r="EK86">
        <v>11.28</v>
      </c>
      <c r="EO86">
        <v>5.93</v>
      </c>
      <c r="EP86">
        <v>7.99</v>
      </c>
      <c r="EQ86">
        <v>7.47</v>
      </c>
      <c r="ES86">
        <v>13.44</v>
      </c>
      <c r="ET86">
        <v>17.73</v>
      </c>
      <c r="FB86">
        <v>5.56</v>
      </c>
      <c r="FC86">
        <v>5.68</v>
      </c>
      <c r="FE86">
        <v>23.18</v>
      </c>
      <c r="FG86">
        <v>14.33</v>
      </c>
      <c r="FN86">
        <v>6.69</v>
      </c>
      <c r="FO86">
        <v>13.07</v>
      </c>
      <c r="FQ86">
        <v>18.47</v>
      </c>
      <c r="FR86">
        <v>5.91</v>
      </c>
      <c r="FS86">
        <v>11.35</v>
      </c>
      <c r="FU86">
        <v>12.24</v>
      </c>
      <c r="FV86">
        <v>6.55</v>
      </c>
      <c r="FW86">
        <v>7.18</v>
      </c>
      <c r="FY86">
        <v>13.3</v>
      </c>
      <c r="GA86">
        <v>15.1</v>
      </c>
      <c r="GC86">
        <v>13.65</v>
      </c>
      <c r="GE86">
        <v>18.329999999999899</v>
      </c>
      <c r="GF86">
        <v>4.96</v>
      </c>
      <c r="GG86">
        <v>14.56</v>
      </c>
      <c r="GI86">
        <v>15.24</v>
      </c>
      <c r="GK86">
        <v>14.21</v>
      </c>
      <c r="GM86">
        <v>16.04</v>
      </c>
      <c r="GN86">
        <v>12.81</v>
      </c>
      <c r="GO86">
        <v>4</v>
      </c>
      <c r="GQ86">
        <v>12.64</v>
      </c>
      <c r="GS86">
        <v>12.09</v>
      </c>
      <c r="GU86">
        <v>16.12</v>
      </c>
      <c r="GW86">
        <v>13.41</v>
      </c>
      <c r="GY86">
        <v>13.17</v>
      </c>
      <c r="HA86">
        <v>20.9</v>
      </c>
      <c r="HC86">
        <v>4.2</v>
      </c>
      <c r="HE86">
        <v>15.56</v>
      </c>
      <c r="HF86">
        <v>5.42</v>
      </c>
      <c r="HH86">
        <v>15.75</v>
      </c>
      <c r="HJ86">
        <v>5.7</v>
      </c>
      <c r="HK86">
        <v>8.2100000000000009</v>
      </c>
      <c r="HL86">
        <v>13.01</v>
      </c>
      <c r="HN86">
        <v>6.72</v>
      </c>
      <c r="HO86">
        <v>13.53</v>
      </c>
      <c r="HQ86">
        <v>19.52</v>
      </c>
      <c r="HS86">
        <v>14.81</v>
      </c>
      <c r="HU86">
        <v>15.93</v>
      </c>
      <c r="HW86">
        <v>14.57</v>
      </c>
      <c r="HY86">
        <v>12.91</v>
      </c>
      <c r="HZ86">
        <v>8.17</v>
      </c>
      <c r="IA86">
        <v>11.21</v>
      </c>
      <c r="IC86">
        <v>15.43</v>
      </c>
      <c r="IE86">
        <v>13.59</v>
      </c>
      <c r="II86">
        <v>14.28</v>
      </c>
      <c r="IK86">
        <v>15.61</v>
      </c>
      <c r="IM86">
        <v>15.44</v>
      </c>
      <c r="IO86">
        <v>11.89</v>
      </c>
      <c r="IQ86">
        <v>14.33</v>
      </c>
      <c r="IR86">
        <v>7.6</v>
      </c>
      <c r="IS86">
        <v>6.55</v>
      </c>
      <c r="IT86">
        <v>7.99</v>
      </c>
      <c r="IU86">
        <v>8.31</v>
      </c>
      <c r="IW86">
        <v>11.8</v>
      </c>
      <c r="IY86">
        <v>15.21</v>
      </c>
      <c r="JA86">
        <v>5.39</v>
      </c>
      <c r="JC86">
        <v>3.95</v>
      </c>
      <c r="JD86">
        <v>6.71</v>
      </c>
      <c r="JG86">
        <v>21.53</v>
      </c>
      <c r="JI86">
        <v>13.89</v>
      </c>
      <c r="JK86">
        <v>13.58</v>
      </c>
      <c r="JM86">
        <v>12.43</v>
      </c>
      <c r="JO86">
        <v>21.02</v>
      </c>
      <c r="JQ86">
        <v>12.42</v>
      </c>
      <c r="JS86">
        <v>14.43</v>
      </c>
      <c r="JU86">
        <v>13.18</v>
      </c>
      <c r="JW86">
        <v>14.67</v>
      </c>
      <c r="JY86">
        <v>15.24</v>
      </c>
      <c r="KA86">
        <v>13.14</v>
      </c>
      <c r="KC86">
        <v>14.43</v>
      </c>
      <c r="KE86">
        <v>12.73</v>
      </c>
      <c r="KG86">
        <v>12.39</v>
      </c>
      <c r="KI86">
        <v>13.66</v>
      </c>
      <c r="KK86">
        <v>14.23</v>
      </c>
      <c r="KL86">
        <v>7.78</v>
      </c>
      <c r="KM86">
        <v>14.54</v>
      </c>
      <c r="KO86">
        <v>6.96</v>
      </c>
      <c r="KQ86">
        <v>16.73</v>
      </c>
      <c r="KS86">
        <v>14.33</v>
      </c>
      <c r="KU86">
        <v>13.06</v>
      </c>
      <c r="KW86">
        <v>15.12</v>
      </c>
      <c r="KY86">
        <v>12.87</v>
      </c>
      <c r="LA86">
        <v>15.5</v>
      </c>
      <c r="LB86">
        <v>6.1</v>
      </c>
      <c r="LC86">
        <v>15.08</v>
      </c>
      <c r="LE86">
        <v>14.07</v>
      </c>
      <c r="LG86">
        <v>14</v>
      </c>
    </row>
    <row r="87" spans="1:319">
      <c r="A87" s="20" t="s">
        <v>114</v>
      </c>
      <c r="B87">
        <v>1022.5600000000005</v>
      </c>
      <c r="C87">
        <v>19.664615384615395</v>
      </c>
      <c r="D87" s="20" t="s">
        <v>828</v>
      </c>
      <c r="E87" s="20" t="s">
        <v>842</v>
      </c>
      <c r="F87">
        <v>10.75</v>
      </c>
      <c r="H87">
        <v>4.99</v>
      </c>
      <c r="J87">
        <v>5.39</v>
      </c>
      <c r="L87">
        <v>15.41</v>
      </c>
      <c r="P87">
        <v>14.57</v>
      </c>
      <c r="R87">
        <v>6.21</v>
      </c>
      <c r="T87">
        <v>3.84</v>
      </c>
      <c r="V87">
        <v>6.17</v>
      </c>
      <c r="W87">
        <v>6.06</v>
      </c>
      <c r="X87">
        <v>13.68</v>
      </c>
      <c r="Z87">
        <v>6.2</v>
      </c>
      <c r="AB87">
        <v>6.8</v>
      </c>
      <c r="AJ87">
        <v>15.93</v>
      </c>
      <c r="AL87">
        <v>6.68</v>
      </c>
      <c r="AO87">
        <v>5.62</v>
      </c>
      <c r="AP87">
        <v>8.91</v>
      </c>
      <c r="AR87">
        <v>5.92</v>
      </c>
      <c r="AT87">
        <v>5.12</v>
      </c>
      <c r="AV87">
        <v>5.29</v>
      </c>
      <c r="BD87">
        <v>8.06</v>
      </c>
      <c r="BG87">
        <v>9.19</v>
      </c>
      <c r="BH87">
        <v>4.5999999999999899</v>
      </c>
      <c r="BK87">
        <v>10.57</v>
      </c>
      <c r="BP87">
        <v>7.13</v>
      </c>
      <c r="BR87">
        <v>7.72</v>
      </c>
      <c r="BT87">
        <v>4.51</v>
      </c>
      <c r="BV87">
        <v>6.63</v>
      </c>
      <c r="BX87">
        <v>9.1</v>
      </c>
      <c r="BZ87">
        <v>1.95</v>
      </c>
      <c r="CG87">
        <v>6.37</v>
      </c>
      <c r="CH87">
        <v>6.13</v>
      </c>
      <c r="CI87">
        <v>6.8</v>
      </c>
      <c r="CL87">
        <v>5.24</v>
      </c>
      <c r="CP87">
        <v>6.85</v>
      </c>
      <c r="CT87">
        <v>5.52</v>
      </c>
      <c r="CV87">
        <v>6.68</v>
      </c>
      <c r="CX87">
        <v>6.74</v>
      </c>
      <c r="CY87">
        <v>6.11</v>
      </c>
      <c r="DB87">
        <v>6.51</v>
      </c>
      <c r="DE87">
        <v>6.93</v>
      </c>
      <c r="DG87">
        <v>6.85</v>
      </c>
      <c r="DJ87">
        <v>5.67</v>
      </c>
      <c r="DL87">
        <v>4.3</v>
      </c>
      <c r="DN87">
        <v>5.59</v>
      </c>
      <c r="DP87">
        <v>7.48</v>
      </c>
      <c r="DR87">
        <v>8.42</v>
      </c>
      <c r="DT87">
        <v>10.62</v>
      </c>
      <c r="DV87">
        <v>6.3</v>
      </c>
      <c r="DX87">
        <v>3.95</v>
      </c>
      <c r="DZ87">
        <v>5.81</v>
      </c>
      <c r="EB87">
        <v>6.99</v>
      </c>
      <c r="EC87">
        <v>5.6</v>
      </c>
      <c r="ED87">
        <v>5.42</v>
      </c>
      <c r="EF87">
        <v>5.55</v>
      </c>
      <c r="EH87">
        <v>6.19</v>
      </c>
      <c r="EP87">
        <v>6.49</v>
      </c>
      <c r="EQ87">
        <v>8.75</v>
      </c>
      <c r="ER87">
        <v>5.66</v>
      </c>
      <c r="ES87">
        <v>8.84</v>
      </c>
      <c r="EU87">
        <v>7.27</v>
      </c>
      <c r="FB87">
        <v>6.88</v>
      </c>
      <c r="FD87">
        <v>7.14</v>
      </c>
      <c r="FF87">
        <v>6.13</v>
      </c>
      <c r="FN87">
        <v>7.03</v>
      </c>
      <c r="FP87">
        <v>6.32</v>
      </c>
      <c r="FR87">
        <v>8.1300000000000008</v>
      </c>
      <c r="FS87">
        <v>6.38</v>
      </c>
      <c r="FT87">
        <v>6.1</v>
      </c>
      <c r="FV87">
        <v>6.59</v>
      </c>
      <c r="FX87">
        <v>5.77</v>
      </c>
      <c r="FZ87">
        <v>8.2799999999999905</v>
      </c>
      <c r="GB87">
        <v>5.98</v>
      </c>
      <c r="GD87">
        <v>9.2100000000000009</v>
      </c>
      <c r="GF87">
        <v>8.08</v>
      </c>
      <c r="GH87">
        <v>6.73</v>
      </c>
      <c r="GJ87">
        <v>7.51</v>
      </c>
      <c r="GL87">
        <v>10</v>
      </c>
      <c r="GN87">
        <v>7.27</v>
      </c>
      <c r="GP87">
        <v>6.39</v>
      </c>
      <c r="GQ87">
        <v>5.72</v>
      </c>
      <c r="GR87">
        <v>6.97</v>
      </c>
      <c r="GT87">
        <v>6.6</v>
      </c>
      <c r="GV87">
        <v>10.32</v>
      </c>
      <c r="GX87">
        <v>5.68</v>
      </c>
      <c r="GY87">
        <v>13.22</v>
      </c>
      <c r="HB87">
        <v>13.67</v>
      </c>
      <c r="HD87">
        <v>9.64</v>
      </c>
      <c r="HF87">
        <v>5.73</v>
      </c>
      <c r="HH87">
        <v>8.3699999999999903</v>
      </c>
      <c r="HJ87">
        <v>6.43</v>
      </c>
      <c r="HL87">
        <v>6.07</v>
      </c>
      <c r="HN87">
        <v>5.94</v>
      </c>
      <c r="HP87">
        <v>14.83</v>
      </c>
      <c r="HR87">
        <v>6.54</v>
      </c>
      <c r="HT87">
        <v>7.15</v>
      </c>
      <c r="HX87">
        <v>14.85</v>
      </c>
      <c r="HZ87">
        <v>6.55</v>
      </c>
      <c r="IB87">
        <v>7.2</v>
      </c>
      <c r="IF87">
        <v>4.34</v>
      </c>
      <c r="IH87">
        <v>6.1</v>
      </c>
      <c r="IJ87">
        <v>6.61</v>
      </c>
      <c r="IL87">
        <v>6.77</v>
      </c>
      <c r="IN87">
        <v>7.06</v>
      </c>
      <c r="IP87">
        <v>5.84</v>
      </c>
      <c r="IR87">
        <v>5.74</v>
      </c>
      <c r="IT87">
        <v>6.66</v>
      </c>
      <c r="IV87">
        <v>7.98</v>
      </c>
      <c r="IW87">
        <v>9.15</v>
      </c>
      <c r="IX87">
        <v>5.66</v>
      </c>
      <c r="IZ87">
        <v>10.95</v>
      </c>
      <c r="JB87">
        <v>5.56</v>
      </c>
      <c r="JD87">
        <v>4.83</v>
      </c>
      <c r="JF87">
        <v>7.69</v>
      </c>
      <c r="JJ87">
        <v>18.690000000000001</v>
      </c>
      <c r="JL87">
        <v>7.61</v>
      </c>
      <c r="JN87">
        <v>4.4000000000000004</v>
      </c>
      <c r="JP87">
        <v>5.86</v>
      </c>
      <c r="JR87">
        <v>9.83</v>
      </c>
      <c r="JT87">
        <v>7.74</v>
      </c>
      <c r="JV87">
        <v>11.2</v>
      </c>
      <c r="JX87">
        <v>4.91</v>
      </c>
      <c r="JZ87">
        <v>6.88</v>
      </c>
      <c r="KB87">
        <v>5.04</v>
      </c>
      <c r="KD87">
        <v>6.92</v>
      </c>
      <c r="KF87">
        <v>9.57</v>
      </c>
      <c r="KH87">
        <v>7.07</v>
      </c>
      <c r="KJ87">
        <v>7.11</v>
      </c>
      <c r="KL87">
        <v>8.41</v>
      </c>
      <c r="KN87">
        <v>7.19</v>
      </c>
      <c r="KP87">
        <v>7.23</v>
      </c>
      <c r="KR87">
        <v>6.65</v>
      </c>
      <c r="KT87">
        <v>10.07</v>
      </c>
      <c r="KV87">
        <v>7.19</v>
      </c>
      <c r="KX87">
        <v>10.62</v>
      </c>
      <c r="KZ87">
        <v>3.51</v>
      </c>
      <c r="LB87">
        <v>9.1999999999999904</v>
      </c>
      <c r="LD87">
        <v>6.63</v>
      </c>
      <c r="LF87">
        <v>10.06</v>
      </c>
    </row>
    <row r="88" spans="1:319">
      <c r="A88" s="20" t="s">
        <v>363</v>
      </c>
      <c r="B88">
        <v>1270.0999999999995</v>
      </c>
      <c r="C88">
        <v>24.42499999999999</v>
      </c>
      <c r="D88" s="20" t="s">
        <v>828</v>
      </c>
      <c r="E88" s="20" t="s">
        <v>842</v>
      </c>
      <c r="F88">
        <v>8.23</v>
      </c>
      <c r="G88">
        <v>13.74</v>
      </c>
      <c r="J88">
        <v>7.39</v>
      </c>
      <c r="K88">
        <v>10.32</v>
      </c>
      <c r="O88">
        <v>15.02</v>
      </c>
      <c r="S88">
        <v>16.53</v>
      </c>
      <c r="W88">
        <v>7.45</v>
      </c>
      <c r="X88">
        <v>14.04</v>
      </c>
      <c r="AB88">
        <v>8.1999999999999904</v>
      </c>
      <c r="AC88">
        <v>8.39</v>
      </c>
      <c r="AL88">
        <v>8.68</v>
      </c>
      <c r="AR88">
        <v>17.3</v>
      </c>
      <c r="AS88">
        <v>13.63</v>
      </c>
      <c r="AX88">
        <v>15.42</v>
      </c>
      <c r="AY88">
        <v>7.94</v>
      </c>
      <c r="BA88">
        <v>16.55</v>
      </c>
      <c r="BB88">
        <v>9.35</v>
      </c>
      <c r="BF88">
        <v>8.65</v>
      </c>
      <c r="BG88">
        <v>11.45</v>
      </c>
      <c r="BK88">
        <v>14.84</v>
      </c>
      <c r="BL88">
        <v>8.31</v>
      </c>
      <c r="BO88">
        <v>8.0299999999999905</v>
      </c>
      <c r="BP88">
        <v>8.11</v>
      </c>
      <c r="BQ88">
        <v>15.92</v>
      </c>
      <c r="BT88">
        <v>16.12</v>
      </c>
      <c r="BW88">
        <v>9.18</v>
      </c>
      <c r="BY88">
        <v>14.97</v>
      </c>
      <c r="CB88">
        <v>16.350000000000001</v>
      </c>
      <c r="CE88">
        <v>14.75</v>
      </c>
      <c r="CH88">
        <v>33.47</v>
      </c>
      <c r="CL88">
        <v>15.53</v>
      </c>
      <c r="CN88">
        <v>16.079999999999899</v>
      </c>
      <c r="CP88">
        <v>7.64</v>
      </c>
      <c r="CQ88">
        <v>14.46</v>
      </c>
      <c r="CT88">
        <v>15.65</v>
      </c>
      <c r="CX88">
        <v>6.86</v>
      </c>
      <c r="CY88">
        <v>8.07</v>
      </c>
      <c r="DA88">
        <v>7.12</v>
      </c>
      <c r="DD88">
        <v>15.09</v>
      </c>
      <c r="DN88">
        <v>7.61</v>
      </c>
      <c r="DO88">
        <v>3.6</v>
      </c>
      <c r="DR88">
        <v>7.38</v>
      </c>
      <c r="DT88">
        <v>17.18</v>
      </c>
      <c r="DV88">
        <v>8.66</v>
      </c>
      <c r="DY88">
        <v>7.42</v>
      </c>
      <c r="DZ88">
        <v>7.78</v>
      </c>
      <c r="EE88">
        <v>15.13</v>
      </c>
      <c r="EI88">
        <v>7.74</v>
      </c>
      <c r="EO88">
        <v>15.66</v>
      </c>
      <c r="EQ88">
        <v>7.04</v>
      </c>
      <c r="ES88">
        <v>7.94</v>
      </c>
      <c r="FF88">
        <v>7.3</v>
      </c>
      <c r="FN88">
        <v>15.31</v>
      </c>
      <c r="FP88">
        <v>8.35</v>
      </c>
      <c r="FS88">
        <v>15.32</v>
      </c>
      <c r="FV88">
        <v>7.29</v>
      </c>
      <c r="FX88">
        <v>5.65</v>
      </c>
      <c r="FZ88">
        <v>35.32</v>
      </c>
      <c r="GC88">
        <v>5.8</v>
      </c>
      <c r="GE88">
        <v>14.31</v>
      </c>
      <c r="GF88">
        <v>24.38</v>
      </c>
      <c r="GI88">
        <v>6.87</v>
      </c>
      <c r="GL88">
        <v>7.95</v>
      </c>
      <c r="GN88">
        <v>8.49</v>
      </c>
      <c r="GO88">
        <v>8.7100000000000009</v>
      </c>
      <c r="GS88">
        <v>8.3699999999999903</v>
      </c>
      <c r="GT88">
        <v>18.13</v>
      </c>
      <c r="GV88">
        <v>8.65</v>
      </c>
      <c r="GY88">
        <v>16.84</v>
      </c>
      <c r="HE88">
        <v>7.13</v>
      </c>
      <c r="HF88">
        <v>17.079999999999899</v>
      </c>
      <c r="HG88">
        <v>8.2100000000000009</v>
      </c>
      <c r="HK88">
        <v>7.17</v>
      </c>
      <c r="HM88">
        <v>7.52</v>
      </c>
      <c r="HO88">
        <v>7.26</v>
      </c>
      <c r="HP88">
        <v>8.3699999999999903</v>
      </c>
      <c r="HS88">
        <v>10.15</v>
      </c>
      <c r="HU88">
        <v>17.940000000000001</v>
      </c>
      <c r="HV88">
        <v>8.31</v>
      </c>
      <c r="HY88">
        <v>7.45</v>
      </c>
      <c r="IF88">
        <v>9.67</v>
      </c>
      <c r="IH88">
        <v>17</v>
      </c>
      <c r="IJ88">
        <v>8.73</v>
      </c>
      <c r="IO88">
        <v>18.07</v>
      </c>
      <c r="IP88">
        <v>7.56</v>
      </c>
      <c r="IS88">
        <v>18.72</v>
      </c>
      <c r="IV88">
        <v>8.57</v>
      </c>
      <c r="IY88">
        <v>7.47</v>
      </c>
      <c r="JE88">
        <v>19.670000000000002</v>
      </c>
      <c r="JG88">
        <v>16.62</v>
      </c>
      <c r="JJ88">
        <v>8.09</v>
      </c>
      <c r="JN88">
        <v>17.54</v>
      </c>
      <c r="JP88">
        <v>9.07</v>
      </c>
      <c r="JU88">
        <v>17.100000000000001</v>
      </c>
      <c r="JW88">
        <v>8.89</v>
      </c>
      <c r="JY88">
        <v>9.09</v>
      </c>
      <c r="JZ88">
        <v>8.41</v>
      </c>
      <c r="KB88">
        <v>8.43</v>
      </c>
      <c r="KG88">
        <v>25.56</v>
      </c>
      <c r="KM88">
        <v>27.82</v>
      </c>
      <c r="KP88">
        <v>15.66</v>
      </c>
      <c r="KT88">
        <v>9.23</v>
      </c>
      <c r="KW88">
        <v>6.6</v>
      </c>
      <c r="KY88">
        <v>14.2</v>
      </c>
      <c r="LC88">
        <v>8.25</v>
      </c>
      <c r="LF88">
        <v>16.48</v>
      </c>
    </row>
    <row r="89" spans="1:319">
      <c r="A89" s="20" t="s">
        <v>217</v>
      </c>
      <c r="B89">
        <v>1717.8799999999999</v>
      </c>
      <c r="C89">
        <v>33.036153846153844</v>
      </c>
      <c r="D89" s="20" t="s">
        <v>828</v>
      </c>
      <c r="E89" s="20" t="s">
        <v>844</v>
      </c>
      <c r="H89">
        <v>12.17</v>
      </c>
      <c r="K89">
        <v>13.4</v>
      </c>
      <c r="N89">
        <v>34.119999999999898</v>
      </c>
      <c r="Q89">
        <v>13.82</v>
      </c>
      <c r="S89">
        <v>6.13</v>
      </c>
      <c r="T89">
        <v>13.65</v>
      </c>
      <c r="U89">
        <v>7.09</v>
      </c>
      <c r="W89">
        <v>13.2</v>
      </c>
      <c r="Z89">
        <v>19.39</v>
      </c>
      <c r="AC89">
        <v>17.73</v>
      </c>
      <c r="AL89">
        <v>18.38</v>
      </c>
      <c r="AO89">
        <v>14.53</v>
      </c>
      <c r="AQ89">
        <v>5.48</v>
      </c>
      <c r="AR89">
        <v>18.63</v>
      </c>
      <c r="AS89">
        <v>4.68</v>
      </c>
      <c r="AX89">
        <v>6.97</v>
      </c>
      <c r="AY89">
        <v>7.97</v>
      </c>
      <c r="BA89">
        <v>16.04</v>
      </c>
      <c r="BD89">
        <v>17.21</v>
      </c>
      <c r="BG89">
        <v>7.06</v>
      </c>
      <c r="BH89">
        <v>15.36</v>
      </c>
      <c r="BJ89">
        <v>6.79</v>
      </c>
      <c r="BK89">
        <v>14.75</v>
      </c>
      <c r="BN89">
        <v>16.989999999999899</v>
      </c>
      <c r="BP89">
        <v>14.88</v>
      </c>
      <c r="BS89">
        <v>24.22</v>
      </c>
      <c r="BU89">
        <v>7.1</v>
      </c>
      <c r="BW89">
        <v>15.02</v>
      </c>
      <c r="BX89">
        <v>8.3000000000000007</v>
      </c>
      <c r="BY89">
        <v>16.690000000000001</v>
      </c>
      <c r="BZ89">
        <v>8.19</v>
      </c>
      <c r="CC89">
        <v>14.48</v>
      </c>
      <c r="CF89">
        <v>15.54</v>
      </c>
      <c r="CI89">
        <v>14.08</v>
      </c>
      <c r="CL89">
        <v>15.87</v>
      </c>
      <c r="CO89">
        <v>20.99</v>
      </c>
      <c r="CR89">
        <v>13.02</v>
      </c>
      <c r="CS89">
        <v>11.33</v>
      </c>
      <c r="CX89">
        <v>21.02</v>
      </c>
      <c r="CY89">
        <v>7.32</v>
      </c>
      <c r="DA89">
        <v>15.63</v>
      </c>
      <c r="DD89">
        <v>13.69</v>
      </c>
      <c r="DG89">
        <v>35.119999999999898</v>
      </c>
      <c r="DJ89">
        <v>10.59</v>
      </c>
      <c r="DN89">
        <v>19.82</v>
      </c>
      <c r="DQ89">
        <v>11.14</v>
      </c>
      <c r="DT89">
        <v>11.87</v>
      </c>
      <c r="DW89">
        <v>14.17</v>
      </c>
      <c r="EA89">
        <v>12.06</v>
      </c>
      <c r="EC89">
        <v>17.37</v>
      </c>
      <c r="EF89">
        <v>21.65</v>
      </c>
      <c r="EI89">
        <v>9.69</v>
      </c>
      <c r="EL89">
        <v>22.69</v>
      </c>
      <c r="EO89">
        <v>13.45</v>
      </c>
      <c r="ER89">
        <v>19.07</v>
      </c>
      <c r="EU89">
        <v>5.82</v>
      </c>
      <c r="FB89">
        <v>5.45</v>
      </c>
      <c r="FC89">
        <v>7.04</v>
      </c>
      <c r="FD89">
        <v>14.07</v>
      </c>
      <c r="FG89">
        <v>21.64</v>
      </c>
      <c r="FP89">
        <v>23.46</v>
      </c>
      <c r="FS89">
        <v>21.82</v>
      </c>
      <c r="FV89">
        <v>6.72</v>
      </c>
      <c r="FW89">
        <v>5.23</v>
      </c>
      <c r="FY89">
        <v>14.9</v>
      </c>
      <c r="GB89">
        <v>14.72</v>
      </c>
      <c r="GC89">
        <v>4.9400000000000004</v>
      </c>
      <c r="GE89">
        <v>15.13</v>
      </c>
      <c r="GF89">
        <v>21.65</v>
      </c>
      <c r="GH89">
        <v>14.21</v>
      </c>
      <c r="GK89">
        <v>16.88</v>
      </c>
      <c r="GN89">
        <v>5.72</v>
      </c>
      <c r="GO89">
        <v>14.28</v>
      </c>
      <c r="GQ89">
        <v>19.05</v>
      </c>
      <c r="GT89">
        <v>12.7</v>
      </c>
      <c r="GW89">
        <v>7.6</v>
      </c>
      <c r="GZ89">
        <v>20.86</v>
      </c>
      <c r="HF89">
        <v>14.04</v>
      </c>
      <c r="HI89">
        <v>13.46</v>
      </c>
      <c r="HL89">
        <v>5.9</v>
      </c>
      <c r="HM89">
        <v>7.1</v>
      </c>
      <c r="HO89">
        <v>8.18</v>
      </c>
      <c r="HR89">
        <v>14.08</v>
      </c>
      <c r="HU89">
        <v>24.21</v>
      </c>
      <c r="HX89">
        <v>22.59</v>
      </c>
      <c r="IA89">
        <v>19.3</v>
      </c>
      <c r="ID89">
        <v>19.89</v>
      </c>
      <c r="IJ89">
        <v>14.6</v>
      </c>
      <c r="IM89">
        <v>21.86</v>
      </c>
      <c r="IP89">
        <v>16.170000000000002</v>
      </c>
      <c r="IS89">
        <v>20.03</v>
      </c>
      <c r="IV89">
        <v>15.09</v>
      </c>
      <c r="IY89">
        <v>21.46</v>
      </c>
      <c r="JB89">
        <v>21.91</v>
      </c>
      <c r="JE89">
        <v>19.38</v>
      </c>
      <c r="JF89">
        <v>16.21</v>
      </c>
      <c r="JJ89">
        <v>6.52</v>
      </c>
      <c r="JK89">
        <v>18</v>
      </c>
      <c r="JN89">
        <v>18.079999999999899</v>
      </c>
      <c r="JQ89">
        <v>16.3</v>
      </c>
      <c r="JT89">
        <v>23.24</v>
      </c>
      <c r="JW89">
        <v>13.88</v>
      </c>
      <c r="KA89">
        <v>25.85</v>
      </c>
      <c r="KD89">
        <v>12.74</v>
      </c>
      <c r="KF89">
        <v>15.15</v>
      </c>
      <c r="KI89">
        <v>15.91</v>
      </c>
      <c r="KJ89">
        <v>7.57</v>
      </c>
      <c r="KL89">
        <v>17.09</v>
      </c>
      <c r="KO89">
        <v>24.41</v>
      </c>
      <c r="KR89">
        <v>22.65</v>
      </c>
      <c r="KU89">
        <v>13.86</v>
      </c>
      <c r="KY89">
        <v>14.81</v>
      </c>
      <c r="LA89">
        <v>21.46</v>
      </c>
      <c r="LD89">
        <v>15.6</v>
      </c>
      <c r="LG89">
        <v>7.81</v>
      </c>
    </row>
    <row r="90" spans="1:319">
      <c r="A90" s="20" t="s">
        <v>317</v>
      </c>
      <c r="B90">
        <v>860.12000000000035</v>
      </c>
      <c r="C90">
        <v>16.540769230769236</v>
      </c>
      <c r="D90" s="20" t="s">
        <v>828</v>
      </c>
      <c r="E90" s="20" t="s">
        <v>845</v>
      </c>
      <c r="G90">
        <v>14.72</v>
      </c>
      <c r="J90">
        <v>7.28</v>
      </c>
      <c r="M90">
        <v>7.99</v>
      </c>
      <c r="P90">
        <v>8.58</v>
      </c>
      <c r="S90">
        <v>7.73</v>
      </c>
      <c r="V90">
        <v>6.27</v>
      </c>
      <c r="W90">
        <v>9.0399999999999903</v>
      </c>
      <c r="Y90">
        <v>8.34</v>
      </c>
      <c r="AB90">
        <v>8.36</v>
      </c>
      <c r="AK90">
        <v>8.24</v>
      </c>
      <c r="AN90">
        <v>8.77</v>
      </c>
      <c r="AO90">
        <v>8.4499999999999904</v>
      </c>
      <c r="AQ90">
        <v>8.02</v>
      </c>
      <c r="AT90">
        <v>7.51</v>
      </c>
      <c r="AW90">
        <v>8.23</v>
      </c>
      <c r="BA90">
        <v>8.35</v>
      </c>
      <c r="BC90">
        <v>6.61</v>
      </c>
      <c r="BF90">
        <v>8.36</v>
      </c>
      <c r="BH90">
        <v>8.08</v>
      </c>
      <c r="BL90">
        <v>7.81</v>
      </c>
      <c r="BN90">
        <v>7.85</v>
      </c>
      <c r="BR90">
        <v>17.5</v>
      </c>
      <c r="BU90">
        <v>9.65</v>
      </c>
      <c r="BX90">
        <v>8.73</v>
      </c>
      <c r="BZ90">
        <v>12.22</v>
      </c>
      <c r="CE90">
        <v>7.92</v>
      </c>
      <c r="CH90">
        <v>9.19</v>
      </c>
      <c r="CK90">
        <v>8.0299999999999905</v>
      </c>
      <c r="CL90">
        <v>7.6</v>
      </c>
      <c r="CN90">
        <v>6.5</v>
      </c>
      <c r="CR90">
        <v>8.18</v>
      </c>
      <c r="CS90">
        <v>7.57</v>
      </c>
      <c r="CW90">
        <v>8.3000000000000007</v>
      </c>
      <c r="CZ90">
        <v>8.26</v>
      </c>
      <c r="DC90">
        <v>7.98</v>
      </c>
      <c r="DE90">
        <v>7.3</v>
      </c>
      <c r="DF90">
        <v>3.73</v>
      </c>
      <c r="DJ90">
        <v>6.57</v>
      </c>
      <c r="DP90">
        <v>6.46</v>
      </c>
      <c r="DS90">
        <v>7.8</v>
      </c>
      <c r="DV90">
        <v>7.01</v>
      </c>
      <c r="DY90">
        <v>7.17</v>
      </c>
      <c r="EB90">
        <v>7.08</v>
      </c>
      <c r="EE90">
        <v>7.62</v>
      </c>
      <c r="EH90">
        <v>7.89</v>
      </c>
      <c r="EJ90">
        <v>6.46</v>
      </c>
      <c r="EO90">
        <v>15.82</v>
      </c>
      <c r="EQ90">
        <v>7.31</v>
      </c>
      <c r="ET90">
        <v>7.68</v>
      </c>
      <c r="FC90">
        <v>6.56</v>
      </c>
      <c r="FF90">
        <v>16.36</v>
      </c>
      <c r="FO90">
        <v>8.75</v>
      </c>
      <c r="FR90">
        <v>7.93</v>
      </c>
      <c r="FU90">
        <v>8.5399999999999903</v>
      </c>
      <c r="FX90">
        <v>8.2100000000000009</v>
      </c>
      <c r="GA90">
        <v>8.4600000000000009</v>
      </c>
      <c r="GD90">
        <v>8.33</v>
      </c>
      <c r="GG90">
        <v>10.42</v>
      </c>
      <c r="GJ90">
        <v>17.48</v>
      </c>
      <c r="GN90">
        <v>9.36</v>
      </c>
      <c r="GP90">
        <v>8.6999999999999904</v>
      </c>
      <c r="GS90">
        <v>8.6</v>
      </c>
      <c r="GV90">
        <v>8.9</v>
      </c>
      <c r="GY90">
        <v>8.8800000000000008</v>
      </c>
      <c r="HB90">
        <v>8.9700000000000006</v>
      </c>
      <c r="HE90">
        <v>8.8699999999999903</v>
      </c>
      <c r="HH90">
        <v>7.63</v>
      </c>
      <c r="HK90">
        <v>9.11</v>
      </c>
      <c r="HN90">
        <v>8.18</v>
      </c>
      <c r="HQ90">
        <v>9.4</v>
      </c>
      <c r="HT90">
        <v>8.34</v>
      </c>
      <c r="HW90">
        <v>9.1</v>
      </c>
      <c r="HZ90">
        <v>9.1999999999999904</v>
      </c>
      <c r="IC90">
        <v>8.44</v>
      </c>
      <c r="IL90">
        <v>6.45</v>
      </c>
      <c r="IO90">
        <v>8.4700000000000006</v>
      </c>
      <c r="IR90">
        <v>7.99</v>
      </c>
      <c r="IX90">
        <v>8.2100000000000009</v>
      </c>
      <c r="JA90">
        <v>7.21</v>
      </c>
      <c r="JB90">
        <v>5.79</v>
      </c>
      <c r="JG90">
        <v>6.96</v>
      </c>
      <c r="JJ90">
        <v>8.57</v>
      </c>
      <c r="JM90">
        <v>8.3800000000000008</v>
      </c>
      <c r="JP90">
        <v>8.7200000000000006</v>
      </c>
      <c r="JS90">
        <v>9.8800000000000008</v>
      </c>
      <c r="JT90">
        <v>9.1</v>
      </c>
      <c r="JV90">
        <v>8.35</v>
      </c>
      <c r="JY90">
        <v>15.98</v>
      </c>
      <c r="KC90">
        <v>8.91</v>
      </c>
      <c r="KE90">
        <v>8.4700000000000006</v>
      </c>
      <c r="KF90">
        <v>8.15</v>
      </c>
      <c r="KK90">
        <v>6.32</v>
      </c>
      <c r="KN90">
        <v>7.91</v>
      </c>
      <c r="KP90">
        <v>7.2</v>
      </c>
      <c r="KQ90">
        <v>7.49</v>
      </c>
      <c r="KT90">
        <v>9.01</v>
      </c>
      <c r="KW90">
        <v>3.74</v>
      </c>
      <c r="KX90">
        <v>8.4</v>
      </c>
      <c r="LA90">
        <v>5.94</v>
      </c>
      <c r="LC90">
        <v>8.75</v>
      </c>
      <c r="LG90">
        <v>8.93</v>
      </c>
    </row>
    <row r="91" spans="1:319">
      <c r="A91" s="20" t="s">
        <v>353</v>
      </c>
      <c r="B91">
        <v>647.0300000000002</v>
      </c>
      <c r="C91">
        <v>12.442884615384619</v>
      </c>
      <c r="D91" s="20" t="s">
        <v>828</v>
      </c>
      <c r="E91" s="20" t="s">
        <v>845</v>
      </c>
      <c r="G91">
        <v>6.69</v>
      </c>
      <c r="I91">
        <v>6.09</v>
      </c>
      <c r="K91">
        <v>5.0999999999999899</v>
      </c>
      <c r="M91">
        <v>7.61</v>
      </c>
      <c r="O91">
        <v>5.15</v>
      </c>
      <c r="S91">
        <v>8.41</v>
      </c>
      <c r="U91">
        <v>7.19</v>
      </c>
      <c r="W91">
        <v>5.72</v>
      </c>
      <c r="Y91">
        <v>7.47</v>
      </c>
      <c r="AB91">
        <v>8.16</v>
      </c>
      <c r="AK91">
        <v>6.76</v>
      </c>
      <c r="AQ91">
        <v>7.38</v>
      </c>
      <c r="AT91">
        <v>6.76</v>
      </c>
      <c r="AU91">
        <v>6.44</v>
      </c>
      <c r="AW91">
        <v>5.15</v>
      </c>
      <c r="BA91">
        <v>6.42</v>
      </c>
      <c r="BC91">
        <v>5.84</v>
      </c>
      <c r="BF91">
        <v>8.3699999999999903</v>
      </c>
      <c r="BI91">
        <v>7.12</v>
      </c>
      <c r="BJ91">
        <v>7.77</v>
      </c>
      <c r="BN91">
        <v>7.37</v>
      </c>
      <c r="BP91">
        <v>6.29</v>
      </c>
      <c r="BU91">
        <v>6.5</v>
      </c>
      <c r="BX91">
        <v>7.7</v>
      </c>
      <c r="CB91">
        <v>14</v>
      </c>
      <c r="CF91">
        <v>5.84</v>
      </c>
      <c r="CG91">
        <v>14.31</v>
      </c>
      <c r="CJ91">
        <v>6.18</v>
      </c>
      <c r="CN91">
        <v>5.81</v>
      </c>
      <c r="CR91">
        <v>13.01</v>
      </c>
      <c r="CU91">
        <v>6.92</v>
      </c>
      <c r="CV91">
        <v>7.32</v>
      </c>
      <c r="CX91">
        <v>5.86</v>
      </c>
      <c r="CZ91">
        <v>4.4800000000000004</v>
      </c>
      <c r="DC91">
        <v>6.5</v>
      </c>
      <c r="DG91">
        <v>7.51</v>
      </c>
      <c r="DJ91">
        <v>7.19</v>
      </c>
      <c r="DR91">
        <v>5.55</v>
      </c>
      <c r="DT91">
        <v>6.98</v>
      </c>
      <c r="DW91">
        <v>6.88</v>
      </c>
      <c r="DX91">
        <v>6.99</v>
      </c>
      <c r="EB91">
        <v>5.86</v>
      </c>
      <c r="ED91">
        <v>5</v>
      </c>
      <c r="EG91">
        <v>7.06</v>
      </c>
      <c r="EU91">
        <v>6.17</v>
      </c>
      <c r="FF91">
        <v>6.34</v>
      </c>
      <c r="FO91">
        <v>7.29</v>
      </c>
      <c r="FR91">
        <v>6.95</v>
      </c>
      <c r="FU91">
        <v>7.35</v>
      </c>
      <c r="FX91">
        <v>7.21</v>
      </c>
      <c r="GA91">
        <v>8.16</v>
      </c>
      <c r="GD91">
        <v>7.01</v>
      </c>
      <c r="GI91">
        <v>8.3800000000000008</v>
      </c>
      <c r="GM91">
        <v>9.65</v>
      </c>
      <c r="GP91">
        <v>6.09</v>
      </c>
      <c r="GS91">
        <v>7.92</v>
      </c>
      <c r="GV91">
        <v>7.37</v>
      </c>
      <c r="GY91">
        <v>7.61</v>
      </c>
      <c r="HC91">
        <v>8.36</v>
      </c>
      <c r="HE91">
        <v>6.83</v>
      </c>
      <c r="HH91">
        <v>6.57</v>
      </c>
      <c r="HM91">
        <v>7.93</v>
      </c>
      <c r="HQ91">
        <v>7.9</v>
      </c>
      <c r="HW91">
        <v>8.2799999999999905</v>
      </c>
      <c r="IA91">
        <v>7.96</v>
      </c>
      <c r="ID91">
        <v>8.6999999999999904</v>
      </c>
      <c r="II91">
        <v>9.43</v>
      </c>
      <c r="IL91">
        <v>7.52</v>
      </c>
      <c r="IO91">
        <v>9.24</v>
      </c>
      <c r="IR91">
        <v>5.51</v>
      </c>
      <c r="IU91">
        <v>5.18</v>
      </c>
      <c r="IX91">
        <v>4.84</v>
      </c>
      <c r="JA91">
        <v>6.09</v>
      </c>
      <c r="JD91">
        <v>5.73</v>
      </c>
      <c r="JK91">
        <v>3</v>
      </c>
      <c r="JQ91">
        <v>7.12</v>
      </c>
      <c r="JS91">
        <v>6.08</v>
      </c>
      <c r="JW91">
        <v>6.44</v>
      </c>
      <c r="JY91">
        <v>6.47</v>
      </c>
      <c r="KE91">
        <v>8.31</v>
      </c>
      <c r="KF91">
        <v>7.98</v>
      </c>
      <c r="KI91">
        <v>8.56</v>
      </c>
      <c r="KL91">
        <v>8.49</v>
      </c>
      <c r="KO91">
        <v>6.58</v>
      </c>
      <c r="KQ91">
        <v>6.87</v>
      </c>
      <c r="KT91">
        <v>5.36</v>
      </c>
      <c r="KW91">
        <v>6.58</v>
      </c>
      <c r="KY91">
        <v>6.98</v>
      </c>
      <c r="LA91">
        <v>5.72</v>
      </c>
      <c r="LD91">
        <v>7.35</v>
      </c>
      <c r="LF91">
        <v>6.86</v>
      </c>
    </row>
    <row r="92" spans="1:319">
      <c r="A92" s="20" t="s">
        <v>210</v>
      </c>
      <c r="B92">
        <v>1146.5</v>
      </c>
      <c r="C92">
        <v>22.048076923076923</v>
      </c>
      <c r="D92" s="20" t="s">
        <v>828</v>
      </c>
      <c r="E92" s="20" t="s">
        <v>845</v>
      </c>
      <c r="F92">
        <v>6.38</v>
      </c>
      <c r="H92">
        <v>4.53</v>
      </c>
      <c r="J92">
        <v>4.5</v>
      </c>
      <c r="N92">
        <v>21.51</v>
      </c>
      <c r="R92">
        <v>14.49</v>
      </c>
      <c r="S92">
        <v>7.5</v>
      </c>
      <c r="U92">
        <v>7.07</v>
      </c>
      <c r="W92">
        <v>7.88</v>
      </c>
      <c r="X92">
        <v>7.49</v>
      </c>
      <c r="AA92">
        <v>6.49</v>
      </c>
      <c r="AC92">
        <v>14.85</v>
      </c>
      <c r="AN92">
        <v>14.67</v>
      </c>
      <c r="AP92">
        <v>5.4</v>
      </c>
      <c r="AQ92">
        <v>5.31</v>
      </c>
      <c r="AS92">
        <v>4.96</v>
      </c>
      <c r="AW92">
        <v>13.55</v>
      </c>
      <c r="AZ92">
        <v>6.39</v>
      </c>
      <c r="BA92">
        <v>6.07</v>
      </c>
      <c r="BE92">
        <v>7.31</v>
      </c>
      <c r="BG92">
        <v>6.39</v>
      </c>
      <c r="BI92">
        <v>7.44</v>
      </c>
      <c r="BK92">
        <v>15.02</v>
      </c>
      <c r="BN92">
        <v>6.32</v>
      </c>
      <c r="BO92">
        <v>13.43</v>
      </c>
      <c r="BR92">
        <v>5.38</v>
      </c>
      <c r="BS92">
        <v>8.07</v>
      </c>
      <c r="BT92">
        <v>7.26</v>
      </c>
      <c r="BU92">
        <v>14.24</v>
      </c>
      <c r="BX92">
        <v>8.2200000000000006</v>
      </c>
      <c r="BY92">
        <v>13.56</v>
      </c>
      <c r="BZ92">
        <v>6.31</v>
      </c>
      <c r="CA92">
        <v>6.76</v>
      </c>
      <c r="CB92">
        <v>7.82</v>
      </c>
      <c r="CH92">
        <v>12.87</v>
      </c>
      <c r="CI92">
        <v>6.93</v>
      </c>
      <c r="CK92">
        <v>6.6</v>
      </c>
      <c r="CO92">
        <v>18.739999999999899</v>
      </c>
      <c r="CQ92">
        <v>6.25</v>
      </c>
      <c r="CR92">
        <v>5.66</v>
      </c>
      <c r="CU92">
        <v>13.98</v>
      </c>
      <c r="CW92">
        <v>3.75</v>
      </c>
      <c r="CX92">
        <v>6.62</v>
      </c>
      <c r="CZ92">
        <v>12.01</v>
      </c>
      <c r="DD92">
        <v>12.12</v>
      </c>
      <c r="DF92">
        <v>5.94</v>
      </c>
      <c r="DH92">
        <v>6.18</v>
      </c>
      <c r="DJ92">
        <v>6.03</v>
      </c>
      <c r="DM92">
        <v>6.86</v>
      </c>
      <c r="DP92">
        <v>7.96</v>
      </c>
      <c r="DQ92">
        <v>6.5</v>
      </c>
      <c r="DR92">
        <v>4.7699999999999898</v>
      </c>
      <c r="DT92">
        <v>4.0199999999999898</v>
      </c>
      <c r="DU92">
        <v>4.83</v>
      </c>
      <c r="DW92">
        <v>6.42</v>
      </c>
      <c r="DY92">
        <v>11.69</v>
      </c>
      <c r="EB92">
        <v>4.62</v>
      </c>
      <c r="EC92">
        <v>6.09</v>
      </c>
      <c r="ED92">
        <v>5.5</v>
      </c>
      <c r="EG92">
        <v>13.38</v>
      </c>
      <c r="EJ92">
        <v>7.05</v>
      </c>
      <c r="EK92">
        <v>7.13</v>
      </c>
      <c r="EO92">
        <v>7.74</v>
      </c>
      <c r="ER92">
        <v>19.97</v>
      </c>
      <c r="ET92">
        <v>10.78</v>
      </c>
      <c r="EU92">
        <v>4.25</v>
      </c>
      <c r="FD92">
        <v>6.99</v>
      </c>
      <c r="FF92">
        <v>11.44</v>
      </c>
      <c r="FN92">
        <v>13.63</v>
      </c>
      <c r="FP92">
        <v>7.86</v>
      </c>
      <c r="FR92">
        <v>6.91</v>
      </c>
      <c r="FT92">
        <v>7.3</v>
      </c>
      <c r="FV92">
        <v>14.76</v>
      </c>
      <c r="FY92">
        <v>7.5</v>
      </c>
      <c r="FZ92">
        <v>5.39</v>
      </c>
      <c r="GA92">
        <v>4.2699999999999898</v>
      </c>
      <c r="GB92">
        <v>3.33</v>
      </c>
      <c r="GE92">
        <v>6.74</v>
      </c>
      <c r="GG92">
        <v>14.1</v>
      </c>
      <c r="GI92">
        <v>8.0299999999999905</v>
      </c>
      <c r="GJ92">
        <v>7.53</v>
      </c>
      <c r="GM92">
        <v>6.87</v>
      </c>
      <c r="GN92">
        <v>6.82</v>
      </c>
      <c r="GO92">
        <v>8.39</v>
      </c>
      <c r="GT92">
        <v>14.93</v>
      </c>
      <c r="GU92">
        <v>6.12</v>
      </c>
      <c r="GY92">
        <v>6.85</v>
      </c>
      <c r="HA92">
        <v>12.92</v>
      </c>
      <c r="HG92">
        <v>22.57</v>
      </c>
      <c r="HK92">
        <v>13.58</v>
      </c>
      <c r="HM92">
        <v>6.47</v>
      </c>
      <c r="HN92">
        <v>6.59</v>
      </c>
      <c r="HR92">
        <v>7.89</v>
      </c>
      <c r="HT92">
        <v>8.43</v>
      </c>
      <c r="HU92">
        <v>7.84</v>
      </c>
      <c r="HX92">
        <v>8.27</v>
      </c>
      <c r="HY92">
        <v>15.07</v>
      </c>
      <c r="IC92">
        <v>6.87</v>
      </c>
      <c r="IE92">
        <v>7.49</v>
      </c>
      <c r="IK92">
        <v>12.87</v>
      </c>
      <c r="IP92">
        <v>7.31</v>
      </c>
      <c r="IQ92">
        <v>7.32</v>
      </c>
      <c r="IU92">
        <v>14.74</v>
      </c>
      <c r="IV92">
        <v>6.72</v>
      </c>
      <c r="JC92">
        <v>7.11</v>
      </c>
      <c r="JD92">
        <v>1.55</v>
      </c>
      <c r="JE92">
        <v>7.12</v>
      </c>
      <c r="JG92">
        <v>14.13</v>
      </c>
      <c r="JJ92">
        <v>7.2</v>
      </c>
      <c r="JL92">
        <v>14.69</v>
      </c>
      <c r="JN92">
        <v>6.06</v>
      </c>
      <c r="JP92">
        <v>14.03</v>
      </c>
      <c r="JU92">
        <v>15.56</v>
      </c>
      <c r="JW92">
        <v>4.3899999999999899</v>
      </c>
      <c r="JX92">
        <v>13.54</v>
      </c>
      <c r="KB92">
        <v>7.4</v>
      </c>
      <c r="KC92">
        <v>6.99</v>
      </c>
      <c r="KD92">
        <v>12.35</v>
      </c>
      <c r="KE92">
        <v>5.64</v>
      </c>
      <c r="KG92">
        <v>7.84</v>
      </c>
      <c r="KI92">
        <v>6.13</v>
      </c>
      <c r="KK92">
        <v>14.44</v>
      </c>
      <c r="KM92">
        <v>5.29</v>
      </c>
      <c r="KO92">
        <v>7.4</v>
      </c>
      <c r="KR92">
        <v>12.52</v>
      </c>
      <c r="KT92">
        <v>7.61</v>
      </c>
      <c r="KW92">
        <v>6.71</v>
      </c>
      <c r="KY92">
        <v>7.13</v>
      </c>
      <c r="KZ92">
        <v>7.24</v>
      </c>
      <c r="LA92">
        <v>5.0599999999999898</v>
      </c>
      <c r="LD92">
        <v>8.32</v>
      </c>
      <c r="LE92">
        <v>8.5299999999999905</v>
      </c>
    </row>
    <row r="93" spans="1:319">
      <c r="A93" s="20" t="s">
        <v>846</v>
      </c>
      <c r="B93">
        <v>350.90999999999991</v>
      </c>
      <c r="C93">
        <v>6.7482692307692291</v>
      </c>
      <c r="D93" s="20" t="s">
        <v>828</v>
      </c>
      <c r="E93" s="20" t="s">
        <v>845</v>
      </c>
      <c r="H93">
        <v>6.11</v>
      </c>
      <c r="I93">
        <v>6.58</v>
      </c>
      <c r="Q93">
        <v>6.51</v>
      </c>
      <c r="U93">
        <v>6.85</v>
      </c>
      <c r="Y93">
        <v>7.94</v>
      </c>
      <c r="AJ93">
        <v>6.72</v>
      </c>
      <c r="AO93">
        <v>7.14</v>
      </c>
      <c r="AV93">
        <v>7.24</v>
      </c>
      <c r="BD93">
        <v>7.33</v>
      </c>
      <c r="BF93">
        <v>2.74</v>
      </c>
      <c r="BJ93">
        <v>6.77</v>
      </c>
      <c r="BW93">
        <v>14.8</v>
      </c>
      <c r="BZ93">
        <v>4.68</v>
      </c>
      <c r="CI93">
        <v>7.18</v>
      </c>
      <c r="CR93">
        <v>7.94</v>
      </c>
      <c r="CW93">
        <v>5.74</v>
      </c>
      <c r="DA93">
        <v>6.07</v>
      </c>
      <c r="DS93">
        <v>6.4</v>
      </c>
      <c r="DV93">
        <v>6.43</v>
      </c>
      <c r="EC93">
        <v>7.61</v>
      </c>
      <c r="EH93">
        <v>13.33</v>
      </c>
      <c r="ET93">
        <v>14.91</v>
      </c>
      <c r="FQ93">
        <v>7.38</v>
      </c>
      <c r="FS93">
        <v>5.21</v>
      </c>
      <c r="FV93">
        <v>7.18</v>
      </c>
      <c r="GB93">
        <v>8.08</v>
      </c>
      <c r="GN93">
        <v>15.78</v>
      </c>
      <c r="HC93">
        <v>7.3</v>
      </c>
      <c r="HI93">
        <v>6.89</v>
      </c>
      <c r="HM93">
        <v>5.95</v>
      </c>
      <c r="HU93">
        <v>7.72</v>
      </c>
      <c r="HZ93">
        <v>16.260000000000002</v>
      </c>
      <c r="IH93">
        <v>16.239999999999899</v>
      </c>
      <c r="IQ93">
        <v>7.22</v>
      </c>
      <c r="IT93">
        <v>6.74</v>
      </c>
      <c r="JI93">
        <v>5.28</v>
      </c>
      <c r="JK93">
        <v>7.26</v>
      </c>
      <c r="JT93">
        <v>7.38</v>
      </c>
      <c r="KB93">
        <v>7.23</v>
      </c>
      <c r="KF93">
        <v>7.31</v>
      </c>
      <c r="KS93">
        <v>7.78</v>
      </c>
      <c r="KZ93">
        <v>7.45</v>
      </c>
      <c r="LE93">
        <v>16.25</v>
      </c>
    </row>
    <row r="94" spans="1:319">
      <c r="A94" s="20" t="s">
        <v>304</v>
      </c>
      <c r="B94">
        <v>503.9700000000002</v>
      </c>
      <c r="C94">
        <v>9.691730769230773</v>
      </c>
      <c r="D94" s="20" t="s">
        <v>828</v>
      </c>
      <c r="E94" s="20" t="s">
        <v>845</v>
      </c>
      <c r="I94">
        <v>6.3</v>
      </c>
      <c r="O94">
        <v>7.88</v>
      </c>
      <c r="T94">
        <v>16.05</v>
      </c>
      <c r="AA94">
        <v>8</v>
      </c>
      <c r="AJ94">
        <v>8.4700000000000006</v>
      </c>
      <c r="AO94">
        <v>5.24</v>
      </c>
      <c r="AQ94">
        <v>7.5</v>
      </c>
      <c r="BA94">
        <v>15.93</v>
      </c>
      <c r="BB94">
        <v>7.99</v>
      </c>
      <c r="BJ94">
        <v>7.22</v>
      </c>
      <c r="BO94">
        <v>6.26</v>
      </c>
      <c r="BS94">
        <v>6.05</v>
      </c>
      <c r="BT94">
        <v>7.53</v>
      </c>
      <c r="BW94">
        <v>7.35</v>
      </c>
      <c r="CA94">
        <v>6.82</v>
      </c>
      <c r="CI94">
        <v>7.21</v>
      </c>
      <c r="CM94">
        <v>5.93</v>
      </c>
      <c r="CQ94">
        <v>8.2100000000000009</v>
      </c>
      <c r="CV94">
        <v>7.49</v>
      </c>
      <c r="CX94">
        <v>5.91</v>
      </c>
      <c r="DA94">
        <v>5.57</v>
      </c>
      <c r="DE94">
        <v>4.09</v>
      </c>
      <c r="DS94">
        <v>6.8</v>
      </c>
      <c r="DT94">
        <v>7.02</v>
      </c>
      <c r="EC94">
        <v>11.58</v>
      </c>
      <c r="EH94">
        <v>12.2</v>
      </c>
      <c r="EN94">
        <v>7.98</v>
      </c>
      <c r="ES94">
        <v>7.18</v>
      </c>
      <c r="FC94">
        <v>6.69</v>
      </c>
      <c r="FP94">
        <v>7.33</v>
      </c>
      <c r="FQ94">
        <v>6.79</v>
      </c>
      <c r="GA94">
        <v>5.97</v>
      </c>
      <c r="GB94">
        <v>7.64</v>
      </c>
      <c r="GG94">
        <v>8.74</v>
      </c>
      <c r="GN94">
        <v>7.76</v>
      </c>
      <c r="GQ94">
        <v>6.56</v>
      </c>
      <c r="GV94">
        <v>9.2200000000000006</v>
      </c>
      <c r="GW94">
        <v>9.16</v>
      </c>
      <c r="GX94">
        <v>5.04</v>
      </c>
      <c r="GZ94">
        <v>6.42</v>
      </c>
      <c r="HD94">
        <v>7.05</v>
      </c>
      <c r="HI94">
        <v>7.11</v>
      </c>
      <c r="HM94">
        <v>8.23</v>
      </c>
      <c r="HQ94">
        <v>7.05</v>
      </c>
      <c r="HU94">
        <v>8.77</v>
      </c>
      <c r="HZ94">
        <v>7.93</v>
      </c>
      <c r="IE94">
        <v>17.170000000000002</v>
      </c>
      <c r="IH94">
        <v>6.5</v>
      </c>
      <c r="IM94">
        <v>7.68</v>
      </c>
      <c r="IN94">
        <v>5.52</v>
      </c>
      <c r="IQ94">
        <v>7.83</v>
      </c>
      <c r="IT94">
        <v>4.75</v>
      </c>
      <c r="IX94">
        <v>5.37</v>
      </c>
      <c r="JH94">
        <v>14.67</v>
      </c>
      <c r="JO94">
        <v>7.76</v>
      </c>
      <c r="JU94">
        <v>7.93</v>
      </c>
      <c r="JX94">
        <v>6.29</v>
      </c>
      <c r="KI94">
        <v>7.08</v>
      </c>
      <c r="KJ94">
        <v>7.06</v>
      </c>
      <c r="KK94">
        <v>7.15</v>
      </c>
      <c r="KS94">
        <v>6.55</v>
      </c>
      <c r="KZ94">
        <v>15.12</v>
      </c>
      <c r="LG94">
        <v>14.32</v>
      </c>
    </row>
    <row r="95" spans="1:319">
      <c r="A95" s="20" t="s">
        <v>328</v>
      </c>
      <c r="B95">
        <v>800.38999999999987</v>
      </c>
      <c r="C95">
        <v>15.392115384615382</v>
      </c>
      <c r="D95" s="20" t="s">
        <v>828</v>
      </c>
      <c r="E95" s="20" t="s">
        <v>845</v>
      </c>
      <c r="F95">
        <v>5.51</v>
      </c>
      <c r="H95">
        <v>5.49</v>
      </c>
      <c r="L95">
        <v>8.6</v>
      </c>
      <c r="O95">
        <v>7.57</v>
      </c>
      <c r="S95">
        <v>8.74</v>
      </c>
      <c r="V95">
        <v>8.2100000000000009</v>
      </c>
      <c r="X95">
        <v>6.26</v>
      </c>
      <c r="AB95">
        <v>8.73</v>
      </c>
      <c r="AK95">
        <v>7.89</v>
      </c>
      <c r="AO95">
        <v>7.71</v>
      </c>
      <c r="AS95">
        <v>7</v>
      </c>
      <c r="AZ95">
        <v>8.69</v>
      </c>
      <c r="BC95">
        <v>7.09</v>
      </c>
      <c r="BG95">
        <v>8</v>
      </c>
      <c r="BJ95">
        <v>8.3000000000000007</v>
      </c>
      <c r="BM95">
        <v>6.75</v>
      </c>
      <c r="BP95">
        <v>8</v>
      </c>
      <c r="BS95">
        <v>8.48</v>
      </c>
      <c r="BU95">
        <v>8.57</v>
      </c>
      <c r="BX95">
        <v>8.5399999999999903</v>
      </c>
      <c r="CB95">
        <v>7.29</v>
      </c>
      <c r="CE95">
        <v>7.23</v>
      </c>
      <c r="CH95">
        <v>7.72</v>
      </c>
      <c r="CJ95">
        <v>7.41</v>
      </c>
      <c r="CN95">
        <v>7.37</v>
      </c>
      <c r="CQ95">
        <v>8.01</v>
      </c>
      <c r="CU95">
        <v>6.86</v>
      </c>
      <c r="CX95">
        <v>7.53</v>
      </c>
      <c r="CZ95">
        <v>7.63</v>
      </c>
      <c r="DB95">
        <v>8.31</v>
      </c>
      <c r="DF95">
        <v>8.1999999999999904</v>
      </c>
      <c r="DG95">
        <v>5.0599999999999898</v>
      </c>
      <c r="DJ95">
        <v>5.62</v>
      </c>
      <c r="DM95">
        <v>4.6100000000000003</v>
      </c>
      <c r="DP95">
        <v>6.08</v>
      </c>
      <c r="DS95">
        <v>8.15</v>
      </c>
      <c r="DW95">
        <v>6.27</v>
      </c>
      <c r="DX95">
        <v>5.42</v>
      </c>
      <c r="EB95">
        <v>6.55</v>
      </c>
      <c r="EF95">
        <v>7.27</v>
      </c>
      <c r="EG95">
        <v>7.47</v>
      </c>
      <c r="EI95">
        <v>7.27</v>
      </c>
      <c r="EK95">
        <v>8.43</v>
      </c>
      <c r="EN95">
        <v>10.79</v>
      </c>
      <c r="EQ95">
        <v>16.420000000000002</v>
      </c>
      <c r="ES95">
        <v>13.1</v>
      </c>
      <c r="FC95">
        <v>8.1300000000000008</v>
      </c>
      <c r="FF95">
        <v>7.65</v>
      </c>
      <c r="FO95">
        <v>8.76</v>
      </c>
      <c r="FV95">
        <v>8.64</v>
      </c>
      <c r="FY95">
        <v>8.57</v>
      </c>
      <c r="GA95">
        <v>7.77</v>
      </c>
      <c r="GD95">
        <v>8.18</v>
      </c>
      <c r="GG95">
        <v>9.91</v>
      </c>
      <c r="GI95">
        <v>6.76</v>
      </c>
      <c r="GM95">
        <v>10.46</v>
      </c>
      <c r="GP95">
        <v>7.4</v>
      </c>
      <c r="GQ95">
        <v>7.87</v>
      </c>
      <c r="GT95">
        <v>9.5500000000000007</v>
      </c>
      <c r="GZ95">
        <v>7.4</v>
      </c>
      <c r="HB95">
        <v>7.94</v>
      </c>
      <c r="HE95">
        <v>9.24</v>
      </c>
      <c r="HK95">
        <v>8.5500000000000007</v>
      </c>
      <c r="HN95">
        <v>9.5500000000000007</v>
      </c>
      <c r="HQ95">
        <v>9.01</v>
      </c>
      <c r="HT95">
        <v>8.41</v>
      </c>
      <c r="HX95">
        <v>8.77</v>
      </c>
      <c r="HZ95">
        <v>8.1300000000000008</v>
      </c>
      <c r="IB95">
        <v>6.59</v>
      </c>
      <c r="IC95">
        <v>10.33</v>
      </c>
      <c r="IE95">
        <v>17.66</v>
      </c>
      <c r="IF95">
        <v>8.64</v>
      </c>
      <c r="II95">
        <v>8.2899999999999903</v>
      </c>
      <c r="IL95">
        <v>8.18</v>
      </c>
      <c r="IP95">
        <v>8.23</v>
      </c>
      <c r="IS95">
        <v>7.17</v>
      </c>
      <c r="IV95">
        <v>8.92</v>
      </c>
      <c r="IY95">
        <v>7.04</v>
      </c>
      <c r="IZ95">
        <v>7.76</v>
      </c>
      <c r="JE95">
        <v>8.74</v>
      </c>
      <c r="JG95">
        <v>9.57</v>
      </c>
      <c r="JI95">
        <v>7.98</v>
      </c>
      <c r="JK95">
        <v>7.97</v>
      </c>
      <c r="JM95">
        <v>8.18</v>
      </c>
      <c r="JO95">
        <v>8.73</v>
      </c>
      <c r="JQ95">
        <v>8.65</v>
      </c>
      <c r="JT95">
        <v>8.61</v>
      </c>
      <c r="JW95">
        <v>7.05</v>
      </c>
      <c r="JZ95">
        <v>8.35</v>
      </c>
      <c r="KB95">
        <v>7.61</v>
      </c>
      <c r="KE95">
        <v>8.82</v>
      </c>
      <c r="KH95">
        <v>7.72</v>
      </c>
      <c r="KL95">
        <v>7.68</v>
      </c>
      <c r="KO95">
        <v>6.33</v>
      </c>
      <c r="KQ95">
        <v>8.15</v>
      </c>
      <c r="KU95">
        <v>8.26</v>
      </c>
      <c r="KX95">
        <v>6.86</v>
      </c>
      <c r="KZ95">
        <v>5.76</v>
      </c>
      <c r="LE95">
        <v>7.71</v>
      </c>
    </row>
    <row r="96" spans="1:319">
      <c r="A96" s="20" t="s">
        <v>201</v>
      </c>
      <c r="B96">
        <v>1977.9999999999991</v>
      </c>
      <c r="C96">
        <v>38.038461538461519</v>
      </c>
      <c r="D96" s="20" t="s">
        <v>828</v>
      </c>
      <c r="E96" s="20" t="s">
        <v>845</v>
      </c>
      <c r="G96">
        <v>14.03</v>
      </c>
      <c r="J96">
        <v>14.14</v>
      </c>
      <c r="M96">
        <v>15.63</v>
      </c>
      <c r="P96">
        <v>16.5</v>
      </c>
      <c r="S96">
        <v>39.93</v>
      </c>
      <c r="V96">
        <v>14.33</v>
      </c>
      <c r="W96">
        <v>17.170000000000002</v>
      </c>
      <c r="X96">
        <v>7.59</v>
      </c>
      <c r="Y96">
        <v>14.96</v>
      </c>
      <c r="AB96">
        <v>8.48</v>
      </c>
      <c r="AC96">
        <v>16.079999999999899</v>
      </c>
      <c r="AL96">
        <v>23.15</v>
      </c>
      <c r="AO96">
        <v>18.71</v>
      </c>
      <c r="AQ96">
        <v>16.3</v>
      </c>
      <c r="AS96">
        <v>5.99</v>
      </c>
      <c r="AU96">
        <v>13.06</v>
      </c>
      <c r="AW96">
        <v>7.23</v>
      </c>
      <c r="AX96">
        <v>14.72</v>
      </c>
      <c r="BA96">
        <v>24.48</v>
      </c>
      <c r="BC96">
        <v>15.06</v>
      </c>
      <c r="BD96">
        <v>7.25</v>
      </c>
      <c r="BF96">
        <v>20.73</v>
      </c>
      <c r="BI96">
        <v>20.88</v>
      </c>
      <c r="BL96">
        <v>13.57</v>
      </c>
      <c r="BM96">
        <v>6.19</v>
      </c>
      <c r="BO96">
        <v>21.88</v>
      </c>
      <c r="BR96">
        <v>12.04</v>
      </c>
      <c r="BU96">
        <v>17</v>
      </c>
      <c r="BX96">
        <v>26.82</v>
      </c>
      <c r="CC96">
        <v>23.45</v>
      </c>
      <c r="CF96">
        <v>14.07</v>
      </c>
      <c r="CH96">
        <v>24.2</v>
      </c>
      <c r="CI96">
        <v>15.72</v>
      </c>
      <c r="CK96">
        <v>12.5</v>
      </c>
      <c r="CN96">
        <v>23.31</v>
      </c>
      <c r="CO96">
        <v>14.08</v>
      </c>
      <c r="CR96">
        <v>13.24</v>
      </c>
      <c r="CT96">
        <v>13.15</v>
      </c>
      <c r="CW96">
        <v>20.18</v>
      </c>
      <c r="CY96">
        <v>8.01</v>
      </c>
      <c r="CZ96">
        <v>13.56</v>
      </c>
      <c r="DC96">
        <v>14.08</v>
      </c>
      <c r="DD96">
        <v>6</v>
      </c>
      <c r="DG96">
        <v>15.12</v>
      </c>
      <c r="DI96">
        <v>7.63</v>
      </c>
      <c r="DM96">
        <v>14.34</v>
      </c>
      <c r="DN96">
        <v>13.57</v>
      </c>
      <c r="DP96">
        <v>15.93</v>
      </c>
      <c r="DT96">
        <v>14.11</v>
      </c>
      <c r="DU96">
        <v>15.4</v>
      </c>
      <c r="DV96">
        <v>7.51</v>
      </c>
      <c r="DY96">
        <v>8.08</v>
      </c>
      <c r="EB96">
        <v>16</v>
      </c>
      <c r="EC96">
        <v>21.75</v>
      </c>
      <c r="EE96">
        <v>13.31</v>
      </c>
      <c r="EH96">
        <v>13.21</v>
      </c>
      <c r="EK96">
        <v>16.170000000000002</v>
      </c>
      <c r="EM96">
        <v>8.3000000000000007</v>
      </c>
      <c r="EO96">
        <v>7.88</v>
      </c>
      <c r="EQ96">
        <v>25.04</v>
      </c>
      <c r="ER96">
        <v>15.38</v>
      </c>
      <c r="ET96">
        <v>6.36</v>
      </c>
      <c r="EU96">
        <v>7.21</v>
      </c>
      <c r="FC96">
        <v>14.64</v>
      </c>
      <c r="FF96">
        <v>6.78</v>
      </c>
      <c r="FN96">
        <v>6.99</v>
      </c>
      <c r="FR96">
        <v>31.04</v>
      </c>
      <c r="FS96">
        <v>8.25</v>
      </c>
      <c r="FU96">
        <v>17.100000000000001</v>
      </c>
      <c r="GB96">
        <v>47.69</v>
      </c>
      <c r="GD96">
        <v>12.17</v>
      </c>
      <c r="GG96">
        <v>7.64</v>
      </c>
      <c r="GH96">
        <v>17.12</v>
      </c>
      <c r="GI96">
        <v>8.61</v>
      </c>
      <c r="GJ96">
        <v>7.8</v>
      </c>
      <c r="GN96">
        <v>33.26</v>
      </c>
      <c r="GP96">
        <v>14.54</v>
      </c>
      <c r="GR96">
        <v>8.4700000000000006</v>
      </c>
      <c r="GS96">
        <v>7.62</v>
      </c>
      <c r="GV96">
        <v>16.47</v>
      </c>
      <c r="GX96">
        <v>17.600000000000001</v>
      </c>
      <c r="GY96">
        <v>18.91</v>
      </c>
      <c r="GZ96">
        <v>8.1999999999999904</v>
      </c>
      <c r="HB96">
        <v>16.87</v>
      </c>
      <c r="HE96">
        <v>24.13</v>
      </c>
      <c r="HH96">
        <v>7.08</v>
      </c>
      <c r="HI96">
        <v>8.02</v>
      </c>
      <c r="HL96">
        <v>16.2</v>
      </c>
      <c r="HN96">
        <v>22.89</v>
      </c>
      <c r="HQ96">
        <v>15.86</v>
      </c>
      <c r="HT96">
        <v>24.23</v>
      </c>
      <c r="HW96">
        <v>17.899999999999899</v>
      </c>
      <c r="HZ96">
        <v>17.21</v>
      </c>
      <c r="IA96">
        <v>16.489999999999899</v>
      </c>
      <c r="IF96">
        <v>2.98</v>
      </c>
      <c r="IH96">
        <v>7.3</v>
      </c>
      <c r="II96">
        <v>7</v>
      </c>
      <c r="IJ96">
        <v>16.350000000000001</v>
      </c>
      <c r="IL96">
        <v>15.1</v>
      </c>
      <c r="IN96">
        <v>8.61</v>
      </c>
      <c r="IO96">
        <v>16.510000000000002</v>
      </c>
      <c r="IQ96">
        <v>9.66</v>
      </c>
      <c r="IR96">
        <v>15.81</v>
      </c>
      <c r="IU96">
        <v>25.29</v>
      </c>
      <c r="IX96">
        <v>15.22</v>
      </c>
      <c r="IZ96">
        <v>12.42</v>
      </c>
      <c r="JB96">
        <v>7.35</v>
      </c>
      <c r="JC96">
        <v>15.1</v>
      </c>
      <c r="JD96">
        <v>7.14</v>
      </c>
      <c r="JH96">
        <v>16.899999999999899</v>
      </c>
      <c r="JJ96">
        <v>16.37</v>
      </c>
      <c r="JM96">
        <v>15.07</v>
      </c>
      <c r="JP96">
        <v>15.64</v>
      </c>
      <c r="JQ96">
        <v>9.41</v>
      </c>
      <c r="JS96">
        <v>25.36</v>
      </c>
      <c r="JW96">
        <v>16.420000000000002</v>
      </c>
      <c r="JY96">
        <v>23.61</v>
      </c>
      <c r="KB96">
        <v>14.1</v>
      </c>
      <c r="KC96">
        <v>8.48</v>
      </c>
      <c r="KF96">
        <v>16.87</v>
      </c>
      <c r="KH96">
        <v>19.43</v>
      </c>
      <c r="KJ96">
        <v>6.72</v>
      </c>
      <c r="KK96">
        <v>8.1</v>
      </c>
      <c r="KL96">
        <v>7.97</v>
      </c>
      <c r="KN96">
        <v>13.33</v>
      </c>
      <c r="KQ96">
        <v>7.63</v>
      </c>
      <c r="KT96">
        <v>23.29</v>
      </c>
      <c r="KU96">
        <v>15.13</v>
      </c>
      <c r="KW96">
        <v>14.72</v>
      </c>
      <c r="LA96">
        <v>13.89</v>
      </c>
      <c r="LC96">
        <v>15.99</v>
      </c>
      <c r="LD96">
        <v>8.5500000000000007</v>
      </c>
      <c r="LG96">
        <v>23.65</v>
      </c>
    </row>
    <row r="97" spans="1:319">
      <c r="A97" s="20" t="s">
        <v>303</v>
      </c>
      <c r="B97">
        <v>224.44</v>
      </c>
      <c r="C97">
        <v>4.3161538461538465</v>
      </c>
      <c r="D97" s="20" t="s">
        <v>847</v>
      </c>
      <c r="E97" s="20" t="s">
        <v>848</v>
      </c>
      <c r="F97">
        <v>4.2</v>
      </c>
      <c r="R97">
        <v>7.6</v>
      </c>
      <c r="Z97">
        <v>9.09</v>
      </c>
      <c r="AT97">
        <v>5.77</v>
      </c>
      <c r="BD97">
        <v>6.95</v>
      </c>
      <c r="BR97">
        <v>7.44</v>
      </c>
      <c r="CF97">
        <v>4.21</v>
      </c>
      <c r="CT97">
        <v>6.99</v>
      </c>
      <c r="DA97">
        <v>7.13</v>
      </c>
      <c r="DD97">
        <v>5.09</v>
      </c>
      <c r="DT97">
        <v>9.1</v>
      </c>
      <c r="DY97">
        <v>5.57</v>
      </c>
      <c r="EF97">
        <v>8.33</v>
      </c>
      <c r="EJ97">
        <v>6.49</v>
      </c>
      <c r="EU97">
        <v>8.5399999999999903</v>
      </c>
      <c r="EY97">
        <v>6.76</v>
      </c>
      <c r="FD97">
        <v>8.5500000000000007</v>
      </c>
      <c r="FO97">
        <v>9.0500000000000007</v>
      </c>
      <c r="FW97">
        <v>7.48</v>
      </c>
      <c r="GC97">
        <v>8.3800000000000008</v>
      </c>
      <c r="GJ97">
        <v>8.58</v>
      </c>
      <c r="GM97">
        <v>6.52</v>
      </c>
      <c r="GS97">
        <v>4.97</v>
      </c>
      <c r="HE97">
        <v>6.62</v>
      </c>
      <c r="HO97">
        <v>8.68</v>
      </c>
      <c r="HU97">
        <v>6.13</v>
      </c>
      <c r="IH97">
        <v>9.0299999999999905</v>
      </c>
      <c r="IV97">
        <v>8.74</v>
      </c>
      <c r="JF97">
        <v>2.61</v>
      </c>
      <c r="JM97">
        <v>5.98</v>
      </c>
      <c r="JY97">
        <v>3.87</v>
      </c>
      <c r="LD97">
        <v>6.89</v>
      </c>
      <c r="LF97">
        <v>3.1</v>
      </c>
    </row>
    <row r="98" spans="1:319">
      <c r="A98" s="20" t="s">
        <v>384</v>
      </c>
      <c r="B98">
        <v>680.98999999999955</v>
      </c>
      <c r="C98">
        <v>13.09596153846153</v>
      </c>
      <c r="D98" s="20" t="s">
        <v>847</v>
      </c>
      <c r="E98" s="20" t="s">
        <v>848</v>
      </c>
      <c r="G98">
        <v>6.78</v>
      </c>
      <c r="J98">
        <v>5.83</v>
      </c>
      <c r="M98">
        <v>7.34</v>
      </c>
      <c r="S98">
        <v>7.12</v>
      </c>
      <c r="V98">
        <v>4.99</v>
      </c>
      <c r="Y98">
        <v>9.61</v>
      </c>
      <c r="AB98">
        <v>6.02</v>
      </c>
      <c r="AE98">
        <v>5.03</v>
      </c>
      <c r="AH98">
        <v>5.09</v>
      </c>
      <c r="AK98">
        <v>7.19</v>
      </c>
      <c r="AN98">
        <v>4.88</v>
      </c>
      <c r="AQ98">
        <v>7.09</v>
      </c>
      <c r="AT98">
        <v>5.3</v>
      </c>
      <c r="AU98">
        <v>10.050000000000001</v>
      </c>
      <c r="AX98">
        <v>8.17</v>
      </c>
      <c r="AZ98">
        <v>4.99</v>
      </c>
      <c r="BC98">
        <v>7.64</v>
      </c>
      <c r="BF98">
        <v>7.49</v>
      </c>
      <c r="BI98">
        <v>6.63</v>
      </c>
      <c r="BL98">
        <v>4.5199999999999898</v>
      </c>
      <c r="BO98">
        <v>7.9</v>
      </c>
      <c r="BR98">
        <v>9.82</v>
      </c>
      <c r="BU98">
        <v>6.76</v>
      </c>
      <c r="BX98">
        <v>4.87</v>
      </c>
      <c r="CB98">
        <v>7.35</v>
      </c>
      <c r="CE98">
        <v>5.56</v>
      </c>
      <c r="CH98">
        <v>8.93</v>
      </c>
      <c r="CK98">
        <v>5.64</v>
      </c>
      <c r="CN98">
        <v>6.86</v>
      </c>
      <c r="CQ98">
        <v>5.26</v>
      </c>
      <c r="CT98">
        <v>7.01</v>
      </c>
      <c r="CW98">
        <v>7.05</v>
      </c>
      <c r="CZ98">
        <v>8.49</v>
      </c>
      <c r="DC98">
        <v>5.21</v>
      </c>
      <c r="DF98">
        <v>7.37</v>
      </c>
      <c r="DP98">
        <v>9.2200000000000006</v>
      </c>
      <c r="DS98">
        <v>6.78</v>
      </c>
      <c r="DV98">
        <v>5.41</v>
      </c>
      <c r="DY98">
        <v>8.24</v>
      </c>
      <c r="EB98">
        <v>4.04</v>
      </c>
      <c r="EE98">
        <v>8.58</v>
      </c>
      <c r="EI98">
        <v>8.82</v>
      </c>
      <c r="EK98">
        <v>7.07</v>
      </c>
      <c r="EM98">
        <v>3.84</v>
      </c>
      <c r="EQ98">
        <v>9.06</v>
      </c>
      <c r="ET98">
        <v>7.7</v>
      </c>
      <c r="EW98">
        <v>7.95</v>
      </c>
      <c r="EZ98">
        <v>4.34</v>
      </c>
      <c r="FC98">
        <v>9.56</v>
      </c>
      <c r="FF98">
        <v>6.57</v>
      </c>
      <c r="FI98">
        <v>10.64</v>
      </c>
      <c r="FL98">
        <v>5.17</v>
      </c>
      <c r="FO98">
        <v>8.39</v>
      </c>
      <c r="FR98">
        <v>5.61</v>
      </c>
      <c r="FU98">
        <v>8.09</v>
      </c>
      <c r="FX98">
        <v>4.71</v>
      </c>
      <c r="GA98">
        <v>10.47</v>
      </c>
      <c r="GD98">
        <v>10.130000000000001</v>
      </c>
      <c r="GG98">
        <v>7.75</v>
      </c>
      <c r="GJ98">
        <v>5.31</v>
      </c>
      <c r="GM98">
        <v>7.78</v>
      </c>
      <c r="GP98">
        <v>4.01</v>
      </c>
      <c r="GS98">
        <v>9.32</v>
      </c>
      <c r="GV98">
        <v>4.79</v>
      </c>
      <c r="GY98">
        <v>7.16</v>
      </c>
      <c r="HB98">
        <v>5.29</v>
      </c>
      <c r="HE98">
        <v>7.52</v>
      </c>
      <c r="HH98">
        <v>5.97</v>
      </c>
      <c r="HK98">
        <v>7.03</v>
      </c>
      <c r="HM98">
        <v>4.16</v>
      </c>
      <c r="HN98">
        <v>4.57</v>
      </c>
      <c r="HQ98">
        <v>7.84</v>
      </c>
      <c r="HT98">
        <v>5.94</v>
      </c>
      <c r="HW98">
        <v>8.44</v>
      </c>
      <c r="HZ98">
        <v>5.78</v>
      </c>
      <c r="IC98">
        <v>6.43</v>
      </c>
      <c r="IF98">
        <v>5.22</v>
      </c>
      <c r="II98">
        <v>7.13</v>
      </c>
      <c r="IL98">
        <v>5.03</v>
      </c>
      <c r="IO98">
        <v>5.65</v>
      </c>
      <c r="IR98">
        <v>5.16</v>
      </c>
      <c r="IU98">
        <v>4.9800000000000004</v>
      </c>
      <c r="JD98">
        <v>7.3</v>
      </c>
      <c r="JG98">
        <v>6.65</v>
      </c>
      <c r="JJ98">
        <v>4.71</v>
      </c>
      <c r="JM98">
        <v>8.15</v>
      </c>
      <c r="JP98">
        <v>3.64</v>
      </c>
      <c r="JS98">
        <v>7.13</v>
      </c>
      <c r="JU98">
        <v>3.89</v>
      </c>
      <c r="JV98">
        <v>5.63</v>
      </c>
      <c r="JY98">
        <v>10.52</v>
      </c>
      <c r="KB98">
        <v>4.55</v>
      </c>
      <c r="KE98">
        <v>5.98</v>
      </c>
      <c r="KH98">
        <v>7.94</v>
      </c>
      <c r="KK98">
        <v>5.0199999999999898</v>
      </c>
      <c r="KN98">
        <v>3.93</v>
      </c>
      <c r="KQ98">
        <v>8.1300000000000008</v>
      </c>
      <c r="KT98">
        <v>5.64</v>
      </c>
      <c r="KW98">
        <v>7.18</v>
      </c>
      <c r="KZ98">
        <v>6.06</v>
      </c>
      <c r="LC98">
        <v>6.94</v>
      </c>
      <c r="LG98">
        <v>7.51</v>
      </c>
    </row>
    <row r="99" spans="1:319">
      <c r="A99" s="20" t="s">
        <v>849</v>
      </c>
      <c r="B99">
        <v>265.63</v>
      </c>
      <c r="C99">
        <v>5.1082692307692303</v>
      </c>
      <c r="D99" s="20" t="s">
        <v>847</v>
      </c>
      <c r="E99" s="20" t="s">
        <v>850</v>
      </c>
      <c r="I99">
        <v>5.8</v>
      </c>
      <c r="P99">
        <v>7.48</v>
      </c>
      <c r="W99">
        <v>8.08</v>
      </c>
      <c r="Y99">
        <v>8.2899999999999903</v>
      </c>
      <c r="AE99">
        <v>4.37</v>
      </c>
      <c r="AM99">
        <v>6.77</v>
      </c>
      <c r="AW99">
        <v>6.57</v>
      </c>
      <c r="BE99">
        <v>8.08</v>
      </c>
      <c r="BO99">
        <v>8.0500000000000007</v>
      </c>
      <c r="CB99">
        <v>7.02</v>
      </c>
      <c r="CL99">
        <v>9.14</v>
      </c>
      <c r="CQ99">
        <v>5.29</v>
      </c>
      <c r="CW99">
        <v>5.43</v>
      </c>
      <c r="DP99">
        <v>5.01</v>
      </c>
      <c r="DW99">
        <v>6.65</v>
      </c>
      <c r="EB99">
        <v>5.8</v>
      </c>
      <c r="EI99">
        <v>5.05</v>
      </c>
      <c r="EP99">
        <v>6.71</v>
      </c>
      <c r="FA99">
        <v>5.53</v>
      </c>
      <c r="FC99">
        <v>6.07</v>
      </c>
      <c r="FO99">
        <v>8.51</v>
      </c>
      <c r="FX99">
        <v>7.05</v>
      </c>
      <c r="GC99">
        <v>7.95</v>
      </c>
      <c r="GO99">
        <v>8.84</v>
      </c>
      <c r="HB99">
        <v>6.45</v>
      </c>
      <c r="HH99">
        <v>6.27</v>
      </c>
      <c r="HP99">
        <v>7.05</v>
      </c>
      <c r="HX99">
        <v>9.6999999999999904</v>
      </c>
      <c r="IC99">
        <v>5.99</v>
      </c>
      <c r="IL99">
        <v>6.82</v>
      </c>
      <c r="IR99">
        <v>5.16</v>
      </c>
      <c r="IY99">
        <v>6.05</v>
      </c>
      <c r="JC99">
        <v>6.98</v>
      </c>
      <c r="JG99">
        <v>7.46</v>
      </c>
      <c r="JO99">
        <v>7.1</v>
      </c>
      <c r="JW99">
        <v>6.6</v>
      </c>
      <c r="KH99">
        <v>4.17</v>
      </c>
      <c r="KO99">
        <v>4.78</v>
      </c>
      <c r="KU99">
        <v>5.59</v>
      </c>
      <c r="LG99">
        <v>5.92</v>
      </c>
    </row>
    <row r="100" spans="1:319">
      <c r="A100" s="20" t="s">
        <v>202</v>
      </c>
      <c r="B100">
        <v>1337.15</v>
      </c>
      <c r="C100">
        <v>25.714423076923079</v>
      </c>
      <c r="D100" s="20" t="s">
        <v>847</v>
      </c>
      <c r="E100" s="20" t="s">
        <v>850</v>
      </c>
      <c r="F100">
        <v>12.34</v>
      </c>
      <c r="I100">
        <v>10.1</v>
      </c>
      <c r="L100">
        <v>6.28</v>
      </c>
      <c r="N100">
        <v>10.5</v>
      </c>
      <c r="O100">
        <v>11.65</v>
      </c>
      <c r="R100">
        <v>10.16</v>
      </c>
      <c r="U100">
        <v>10.58</v>
      </c>
      <c r="X100">
        <v>14.3</v>
      </c>
      <c r="AA100">
        <v>19.100000000000001</v>
      </c>
      <c r="AD100">
        <v>12.15</v>
      </c>
      <c r="AG100">
        <v>14.31</v>
      </c>
      <c r="AJ100">
        <v>13.52</v>
      </c>
      <c r="AM100">
        <v>12.16</v>
      </c>
      <c r="AP100">
        <v>13.44</v>
      </c>
      <c r="AS100">
        <v>10.86</v>
      </c>
      <c r="AV100">
        <v>13.04</v>
      </c>
      <c r="AY100">
        <v>11.2</v>
      </c>
      <c r="BB100">
        <v>15.08</v>
      </c>
      <c r="BE100">
        <v>9.15</v>
      </c>
      <c r="BH100">
        <v>16.940000000000001</v>
      </c>
      <c r="BK100">
        <v>12.96</v>
      </c>
      <c r="BN100">
        <v>12.95</v>
      </c>
      <c r="BQ100">
        <v>13.2</v>
      </c>
      <c r="BT100">
        <v>14.03</v>
      </c>
      <c r="BW100">
        <v>12.56</v>
      </c>
      <c r="CA100">
        <v>4.72</v>
      </c>
      <c r="CD100">
        <v>13.75</v>
      </c>
      <c r="CG100">
        <v>16.010000000000002</v>
      </c>
      <c r="CJ100">
        <v>13.84</v>
      </c>
      <c r="CM100">
        <v>7.34</v>
      </c>
      <c r="CP100">
        <v>14.28</v>
      </c>
      <c r="CS100">
        <v>13.85</v>
      </c>
      <c r="CV100">
        <v>11.39</v>
      </c>
      <c r="CY100">
        <v>13.77</v>
      </c>
      <c r="DB100">
        <v>12.87</v>
      </c>
      <c r="DE100">
        <v>10.99</v>
      </c>
      <c r="DJ100">
        <v>7.13</v>
      </c>
      <c r="DL100">
        <v>13.7</v>
      </c>
      <c r="DM100">
        <v>6.81</v>
      </c>
      <c r="DO100">
        <v>12.51</v>
      </c>
      <c r="DR100">
        <v>5.75</v>
      </c>
      <c r="DU100">
        <v>10.45</v>
      </c>
      <c r="DX100">
        <v>12.47</v>
      </c>
      <c r="EA100">
        <v>8.76</v>
      </c>
      <c r="ED100">
        <v>11.66</v>
      </c>
      <c r="EG100">
        <v>18.3</v>
      </c>
      <c r="EJ100">
        <v>10.75</v>
      </c>
      <c r="EL100">
        <v>7.61</v>
      </c>
      <c r="EP100">
        <v>11.75</v>
      </c>
      <c r="ES100">
        <v>8.85</v>
      </c>
      <c r="EV100">
        <v>12.88</v>
      </c>
      <c r="EY100">
        <v>11.11</v>
      </c>
      <c r="FB100">
        <v>10.47</v>
      </c>
      <c r="FE100">
        <v>12.21</v>
      </c>
      <c r="FH100">
        <v>11.96</v>
      </c>
      <c r="FK100">
        <v>13.27</v>
      </c>
      <c r="FN100">
        <v>14.84</v>
      </c>
      <c r="FQ100">
        <v>12.31</v>
      </c>
      <c r="FT100">
        <v>11.25</v>
      </c>
      <c r="FW100">
        <v>13</v>
      </c>
      <c r="FZ100">
        <v>7.75</v>
      </c>
      <c r="GC100">
        <v>14.46</v>
      </c>
      <c r="GF100">
        <v>13.54</v>
      </c>
      <c r="GI100">
        <v>11.14</v>
      </c>
      <c r="GL100">
        <v>13.33</v>
      </c>
      <c r="GO100">
        <v>12.65</v>
      </c>
      <c r="GR100">
        <v>13.26</v>
      </c>
      <c r="GU100">
        <v>12.67</v>
      </c>
      <c r="GX100">
        <v>10.01</v>
      </c>
      <c r="GY100">
        <v>6.9</v>
      </c>
      <c r="HA100">
        <v>9.7100000000000009</v>
      </c>
      <c r="HD100">
        <v>14.83</v>
      </c>
      <c r="HG100">
        <v>11.46</v>
      </c>
      <c r="HH100">
        <v>14.77</v>
      </c>
      <c r="HJ100">
        <v>12.98</v>
      </c>
      <c r="HM100">
        <v>12.15</v>
      </c>
      <c r="HP100">
        <v>9.9499999999999904</v>
      </c>
      <c r="HQ100">
        <v>8.9499999999999904</v>
      </c>
      <c r="HS100">
        <v>4.34</v>
      </c>
      <c r="HV100">
        <v>11.91</v>
      </c>
      <c r="HY100">
        <v>13.16</v>
      </c>
      <c r="IB100">
        <v>14.41</v>
      </c>
      <c r="IE100">
        <v>12.97</v>
      </c>
      <c r="IH100">
        <v>8.58</v>
      </c>
      <c r="II100">
        <v>5.09</v>
      </c>
      <c r="IK100">
        <v>12.75</v>
      </c>
      <c r="IM100">
        <v>2.2400000000000002</v>
      </c>
      <c r="IN100">
        <v>13.39</v>
      </c>
      <c r="IQ100">
        <v>11.36</v>
      </c>
      <c r="IT100">
        <v>13.64</v>
      </c>
      <c r="IW100">
        <v>10.01</v>
      </c>
      <c r="IZ100">
        <v>14.76</v>
      </c>
      <c r="JC100">
        <v>11.36</v>
      </c>
      <c r="JF100">
        <v>18.11</v>
      </c>
      <c r="JI100">
        <v>12.4</v>
      </c>
      <c r="JL100">
        <v>12.59</v>
      </c>
      <c r="JO100">
        <v>6.96</v>
      </c>
      <c r="JP100">
        <v>16.399999999999899</v>
      </c>
      <c r="JR100">
        <v>17.760000000000002</v>
      </c>
      <c r="JU100">
        <v>13.33</v>
      </c>
      <c r="JX100">
        <v>15.95</v>
      </c>
      <c r="KA100">
        <v>8.91</v>
      </c>
      <c r="KD100">
        <v>13.71</v>
      </c>
      <c r="KG100">
        <v>12.72</v>
      </c>
      <c r="KJ100">
        <v>14.99</v>
      </c>
      <c r="KM100">
        <v>12.96</v>
      </c>
      <c r="KP100">
        <v>13.01</v>
      </c>
      <c r="KS100">
        <v>12.69</v>
      </c>
      <c r="KV100">
        <v>13.46</v>
      </c>
      <c r="KY100">
        <v>11.38</v>
      </c>
      <c r="LB100">
        <v>8.44</v>
      </c>
      <c r="LE100">
        <v>15.73</v>
      </c>
    </row>
    <row r="101" spans="1:319">
      <c r="A101" s="20" t="s">
        <v>207</v>
      </c>
      <c r="B101">
        <v>1726.3099999999986</v>
      </c>
      <c r="C101">
        <v>33.198269230769206</v>
      </c>
      <c r="D101" s="20" t="s">
        <v>847</v>
      </c>
      <c r="E101" s="20" t="s">
        <v>850</v>
      </c>
      <c r="G101">
        <v>17.34</v>
      </c>
      <c r="J101">
        <v>17.45</v>
      </c>
      <c r="K101">
        <v>8.5399999999999903</v>
      </c>
      <c r="M101">
        <v>15.1</v>
      </c>
      <c r="P101">
        <v>18.510000000000002</v>
      </c>
      <c r="S101">
        <v>18.760000000000002</v>
      </c>
      <c r="V101">
        <v>16.22</v>
      </c>
      <c r="Y101">
        <v>18.77</v>
      </c>
      <c r="AB101">
        <v>18.39</v>
      </c>
      <c r="AE101">
        <v>17.79</v>
      </c>
      <c r="AH101">
        <v>15.61</v>
      </c>
      <c r="AK101">
        <v>17.489999999999899</v>
      </c>
      <c r="AN101">
        <v>15.87</v>
      </c>
      <c r="AQ101">
        <v>16.989999999999899</v>
      </c>
      <c r="AT101">
        <v>14.39</v>
      </c>
      <c r="AW101">
        <v>17.96</v>
      </c>
      <c r="AZ101">
        <v>7.54</v>
      </c>
      <c r="BA101">
        <v>7.39</v>
      </c>
      <c r="BC101">
        <v>18.59</v>
      </c>
      <c r="BF101">
        <v>9.7799999999999905</v>
      </c>
      <c r="BI101">
        <v>17.95</v>
      </c>
      <c r="BJ101">
        <v>9.01</v>
      </c>
      <c r="BL101">
        <v>16.25</v>
      </c>
      <c r="BO101">
        <v>17.78</v>
      </c>
      <c r="BR101">
        <v>17.37</v>
      </c>
      <c r="BU101">
        <v>10.41</v>
      </c>
      <c r="BX101">
        <v>18.68</v>
      </c>
      <c r="CB101">
        <v>16.739999999999899</v>
      </c>
      <c r="CE101">
        <v>22.88</v>
      </c>
      <c r="CH101">
        <v>18.190000000000001</v>
      </c>
      <c r="CK101">
        <v>16.95</v>
      </c>
      <c r="CN101">
        <v>17.21</v>
      </c>
      <c r="CQ101">
        <v>7.32</v>
      </c>
      <c r="CR101">
        <v>8.49</v>
      </c>
      <c r="CS101">
        <v>7.38</v>
      </c>
      <c r="CT101">
        <v>8.01</v>
      </c>
      <c r="CW101">
        <v>14.65</v>
      </c>
      <c r="CZ101">
        <v>17.670000000000002</v>
      </c>
      <c r="DC101">
        <v>16.28</v>
      </c>
      <c r="DF101">
        <v>17.82</v>
      </c>
      <c r="DJ101">
        <v>8.48</v>
      </c>
      <c r="DM101">
        <v>17.37</v>
      </c>
      <c r="DP101">
        <v>17.309999999999899</v>
      </c>
      <c r="DR101">
        <v>5.7</v>
      </c>
      <c r="DS101">
        <v>8.9</v>
      </c>
      <c r="DV101">
        <v>16.47</v>
      </c>
      <c r="DY101">
        <v>17.350000000000001</v>
      </c>
      <c r="EB101">
        <v>18.64</v>
      </c>
      <c r="EE101">
        <v>14.42</v>
      </c>
      <c r="EI101">
        <v>9.68</v>
      </c>
      <c r="EL101">
        <v>10.91</v>
      </c>
      <c r="EM101">
        <v>17.02</v>
      </c>
      <c r="EO101">
        <v>9.5299999999999905</v>
      </c>
      <c r="EQ101">
        <v>9.01</v>
      </c>
      <c r="ER101">
        <v>9.0299999999999905</v>
      </c>
      <c r="ET101">
        <v>24.68</v>
      </c>
      <c r="EW101">
        <v>18.05</v>
      </c>
      <c r="EZ101">
        <v>15.66</v>
      </c>
      <c r="FC101">
        <v>18.55</v>
      </c>
      <c r="FF101">
        <v>16.22</v>
      </c>
      <c r="FI101">
        <v>18.260000000000002</v>
      </c>
      <c r="FL101">
        <v>14.98</v>
      </c>
      <c r="FO101">
        <v>17.79</v>
      </c>
      <c r="FR101">
        <v>16.47</v>
      </c>
      <c r="FU101">
        <v>18.37</v>
      </c>
      <c r="FX101">
        <v>14.47</v>
      </c>
      <c r="GA101">
        <v>18.420000000000002</v>
      </c>
      <c r="GD101">
        <v>16.72</v>
      </c>
      <c r="GG101">
        <v>16.63</v>
      </c>
      <c r="GJ101">
        <v>17.809999999999899</v>
      </c>
      <c r="GM101">
        <v>18.57</v>
      </c>
      <c r="GP101">
        <v>15.6</v>
      </c>
      <c r="GS101">
        <v>17.43</v>
      </c>
      <c r="GV101">
        <v>16.84</v>
      </c>
      <c r="GY101">
        <v>17.350000000000001</v>
      </c>
      <c r="HB101">
        <v>14.89</v>
      </c>
      <c r="HE101">
        <v>18.899999999999899</v>
      </c>
      <c r="HK101">
        <v>17.78</v>
      </c>
      <c r="HN101">
        <v>15.11</v>
      </c>
      <c r="HQ101">
        <v>18.87</v>
      </c>
      <c r="HT101">
        <v>14.4</v>
      </c>
      <c r="HW101">
        <v>17.510000000000002</v>
      </c>
      <c r="HZ101">
        <v>15.07</v>
      </c>
      <c r="IC101">
        <v>18.809999999999899</v>
      </c>
      <c r="IF101">
        <v>14.58</v>
      </c>
      <c r="II101">
        <v>19.43</v>
      </c>
      <c r="IL101">
        <v>14.05</v>
      </c>
      <c r="IO101">
        <v>18.95</v>
      </c>
      <c r="IR101">
        <v>15.12</v>
      </c>
      <c r="IU101">
        <v>18.940000000000001</v>
      </c>
      <c r="IX101">
        <v>14.58</v>
      </c>
      <c r="JA101">
        <v>18.27</v>
      </c>
      <c r="JD101">
        <v>14.51</v>
      </c>
      <c r="JG101">
        <v>20.82</v>
      </c>
      <c r="JJ101">
        <v>14.05</v>
      </c>
      <c r="JM101">
        <v>18.68</v>
      </c>
      <c r="JS101">
        <v>19.170000000000002</v>
      </c>
      <c r="JV101">
        <v>14.76</v>
      </c>
      <c r="JY101">
        <v>18.7</v>
      </c>
      <c r="KB101">
        <v>13.4</v>
      </c>
      <c r="KE101">
        <v>18.600000000000001</v>
      </c>
      <c r="KH101">
        <v>12.81</v>
      </c>
      <c r="KK101">
        <v>18.14</v>
      </c>
      <c r="KN101">
        <v>15.84</v>
      </c>
      <c r="KQ101">
        <v>18.420000000000002</v>
      </c>
      <c r="KT101">
        <v>12.86</v>
      </c>
      <c r="KW101">
        <v>17.010000000000002</v>
      </c>
      <c r="KZ101">
        <v>15.15</v>
      </c>
      <c r="LC101">
        <v>17.78</v>
      </c>
      <c r="LF101">
        <v>16.14</v>
      </c>
    </row>
    <row r="102" spans="1:319">
      <c r="A102" s="20" t="s">
        <v>383</v>
      </c>
      <c r="B102">
        <v>1647.1599999999996</v>
      </c>
      <c r="C102">
        <v>31.676153846153838</v>
      </c>
      <c r="D102" s="20" t="s">
        <v>847</v>
      </c>
      <c r="E102" s="20" t="s">
        <v>850</v>
      </c>
      <c r="F102">
        <v>8.8000000000000007</v>
      </c>
      <c r="G102">
        <v>4.46</v>
      </c>
      <c r="J102">
        <v>18.739999999999899</v>
      </c>
      <c r="L102">
        <v>9.1300000000000008</v>
      </c>
      <c r="M102">
        <v>9.09</v>
      </c>
      <c r="P102">
        <v>14.77</v>
      </c>
      <c r="R102">
        <v>7.21</v>
      </c>
      <c r="S102">
        <v>6.65</v>
      </c>
      <c r="V102">
        <v>17.850000000000001</v>
      </c>
      <c r="X102">
        <v>7.39</v>
      </c>
      <c r="Y102">
        <v>9.32</v>
      </c>
      <c r="AB102">
        <v>18.95</v>
      </c>
      <c r="AD102">
        <v>6.42</v>
      </c>
      <c r="AE102">
        <v>7.81</v>
      </c>
      <c r="AH102">
        <v>19.04</v>
      </c>
      <c r="AJ102">
        <v>7.07</v>
      </c>
      <c r="AK102">
        <v>6.23</v>
      </c>
      <c r="AN102">
        <v>16.61</v>
      </c>
      <c r="AP102">
        <v>6.85</v>
      </c>
      <c r="AQ102">
        <v>6.72</v>
      </c>
      <c r="AR102">
        <v>7.59</v>
      </c>
      <c r="AT102">
        <v>11.24</v>
      </c>
      <c r="AV102">
        <v>6.68</v>
      </c>
      <c r="AW102">
        <v>6.85</v>
      </c>
      <c r="AZ102">
        <v>16.739999999999899</v>
      </c>
      <c r="BB102">
        <v>7.33</v>
      </c>
      <c r="BC102">
        <v>8.99</v>
      </c>
      <c r="BF102">
        <v>16.3</v>
      </c>
      <c r="BH102">
        <v>8.27</v>
      </c>
      <c r="BI102">
        <v>5.55</v>
      </c>
      <c r="BL102">
        <v>16.09</v>
      </c>
      <c r="BN102">
        <v>8.3800000000000008</v>
      </c>
      <c r="BO102">
        <v>8.77</v>
      </c>
      <c r="BR102">
        <v>18.420000000000002</v>
      </c>
      <c r="BT102">
        <v>7.92</v>
      </c>
      <c r="BU102">
        <v>6.97</v>
      </c>
      <c r="BX102">
        <v>18.7</v>
      </c>
      <c r="CA102">
        <v>8.67</v>
      </c>
      <c r="CB102">
        <v>7.75</v>
      </c>
      <c r="CE102">
        <v>14.75</v>
      </c>
      <c r="CG102">
        <v>7.72</v>
      </c>
      <c r="CH102">
        <v>9.36</v>
      </c>
      <c r="CI102">
        <v>10.11</v>
      </c>
      <c r="CK102">
        <v>17.8</v>
      </c>
      <c r="CM102">
        <v>7.03</v>
      </c>
      <c r="CN102">
        <v>7.52</v>
      </c>
      <c r="CQ102">
        <v>13.89</v>
      </c>
      <c r="CR102">
        <v>4.71</v>
      </c>
      <c r="CT102">
        <v>15.74</v>
      </c>
      <c r="CV102">
        <v>9.16</v>
      </c>
      <c r="CW102">
        <v>10.48</v>
      </c>
      <c r="CY102">
        <v>8.6199999999999903</v>
      </c>
      <c r="CZ102">
        <v>7.34</v>
      </c>
      <c r="DB102">
        <v>5.98</v>
      </c>
      <c r="DD102">
        <v>8.2899999999999903</v>
      </c>
      <c r="DE102">
        <v>6.86</v>
      </c>
      <c r="DF102">
        <v>7.91</v>
      </c>
      <c r="DL102">
        <v>5.65</v>
      </c>
      <c r="DM102">
        <v>6.11</v>
      </c>
      <c r="DP102">
        <v>13.35</v>
      </c>
      <c r="DR102">
        <v>5.65</v>
      </c>
      <c r="DS102">
        <v>7.65</v>
      </c>
      <c r="DV102">
        <v>15.96</v>
      </c>
      <c r="DX102">
        <v>4.1900000000000004</v>
      </c>
      <c r="DY102">
        <v>8.74</v>
      </c>
      <c r="EB102">
        <v>16.18</v>
      </c>
      <c r="ED102">
        <v>6.43</v>
      </c>
      <c r="EE102">
        <v>7.61</v>
      </c>
      <c r="EI102">
        <v>7.64</v>
      </c>
      <c r="EJ102">
        <v>4.99</v>
      </c>
      <c r="EL102">
        <v>8.7100000000000009</v>
      </c>
      <c r="EM102">
        <v>15.21</v>
      </c>
      <c r="EO102">
        <v>9.32</v>
      </c>
      <c r="EP102">
        <v>10.01</v>
      </c>
      <c r="EQ102">
        <v>5.35</v>
      </c>
      <c r="ET102">
        <v>20.34</v>
      </c>
      <c r="EU102">
        <v>16.559999999999899</v>
      </c>
      <c r="EV102">
        <v>4.74</v>
      </c>
      <c r="EW102">
        <v>9.82</v>
      </c>
      <c r="EZ102">
        <v>17.34</v>
      </c>
      <c r="FB102">
        <v>7.68</v>
      </c>
      <c r="FC102">
        <v>6.95</v>
      </c>
      <c r="FF102">
        <v>8.82</v>
      </c>
      <c r="FG102">
        <v>9.91</v>
      </c>
      <c r="FH102">
        <v>7.9</v>
      </c>
      <c r="FI102">
        <v>8.41</v>
      </c>
      <c r="FL102">
        <v>16.27</v>
      </c>
      <c r="FN102">
        <v>6.83</v>
      </c>
      <c r="FO102">
        <v>9.07</v>
      </c>
      <c r="FR102">
        <v>16.71</v>
      </c>
      <c r="FT102">
        <v>5.6</v>
      </c>
      <c r="FU102">
        <v>7.93</v>
      </c>
      <c r="FX102">
        <v>16.600000000000001</v>
      </c>
      <c r="FZ102">
        <v>10.44</v>
      </c>
      <c r="GA102">
        <v>17.690000000000001</v>
      </c>
      <c r="GD102">
        <v>17.66</v>
      </c>
      <c r="GF102">
        <v>4.2</v>
      </c>
      <c r="GG102">
        <v>7.43</v>
      </c>
      <c r="GJ102">
        <v>18.21</v>
      </c>
      <c r="GL102">
        <v>8.8000000000000007</v>
      </c>
      <c r="GM102">
        <v>4.28</v>
      </c>
      <c r="GP102">
        <v>17.760000000000002</v>
      </c>
      <c r="GR102">
        <v>5.25</v>
      </c>
      <c r="GS102">
        <v>5.19</v>
      </c>
      <c r="GV102">
        <v>19.87</v>
      </c>
      <c r="GX102">
        <v>7.61</v>
      </c>
      <c r="GY102">
        <v>8.6199999999999903</v>
      </c>
      <c r="HB102">
        <v>14.8</v>
      </c>
      <c r="HD102">
        <v>6.28</v>
      </c>
      <c r="HE102">
        <v>7.81</v>
      </c>
      <c r="HH102">
        <v>18.07</v>
      </c>
      <c r="HJ102">
        <v>7.16</v>
      </c>
      <c r="HK102">
        <v>5.46</v>
      </c>
      <c r="HN102">
        <v>13.54</v>
      </c>
      <c r="HP102">
        <v>7.78</v>
      </c>
      <c r="HQ102">
        <v>8.5299999999999905</v>
      </c>
      <c r="HT102">
        <v>17.46</v>
      </c>
      <c r="HV102">
        <v>6.68</v>
      </c>
      <c r="HW102">
        <v>8.23</v>
      </c>
      <c r="HZ102">
        <v>8.94</v>
      </c>
      <c r="IB102">
        <v>6.78</v>
      </c>
      <c r="IC102">
        <v>9.6</v>
      </c>
      <c r="IF102">
        <v>12.49</v>
      </c>
      <c r="IH102">
        <v>6.88</v>
      </c>
      <c r="II102">
        <v>8.84</v>
      </c>
      <c r="IL102">
        <v>6.36</v>
      </c>
      <c r="IN102">
        <v>7.37</v>
      </c>
      <c r="IO102">
        <v>9.6199999999999903</v>
      </c>
      <c r="IR102">
        <v>16.63</v>
      </c>
      <c r="IT102">
        <v>7.45</v>
      </c>
      <c r="IU102">
        <v>8.93</v>
      </c>
      <c r="IX102">
        <v>16.489999999999899</v>
      </c>
      <c r="IZ102">
        <v>8.61</v>
      </c>
      <c r="JA102">
        <v>4.6399999999999899</v>
      </c>
      <c r="JD102">
        <v>17.3</v>
      </c>
      <c r="JF102">
        <v>6.53</v>
      </c>
      <c r="JG102">
        <v>9.15</v>
      </c>
      <c r="JJ102">
        <v>15.48</v>
      </c>
      <c r="JL102">
        <v>6.25</v>
      </c>
      <c r="JM102">
        <v>9.01</v>
      </c>
      <c r="JP102">
        <v>17.38</v>
      </c>
      <c r="JR102">
        <v>5.66</v>
      </c>
      <c r="JS102">
        <v>7.77</v>
      </c>
      <c r="JV102">
        <v>19.05</v>
      </c>
      <c r="JX102">
        <v>6.74</v>
      </c>
      <c r="JY102">
        <v>8.35</v>
      </c>
      <c r="KB102">
        <v>15.62</v>
      </c>
      <c r="KD102">
        <v>8.1999999999999904</v>
      </c>
      <c r="KE102">
        <v>6.87</v>
      </c>
      <c r="KH102">
        <v>16.22</v>
      </c>
      <c r="KJ102">
        <v>7.85</v>
      </c>
      <c r="KK102">
        <v>6.36</v>
      </c>
      <c r="KN102">
        <v>15.68</v>
      </c>
      <c r="KP102">
        <v>7.47</v>
      </c>
      <c r="KQ102">
        <v>6.45</v>
      </c>
      <c r="KT102">
        <v>16.170000000000002</v>
      </c>
      <c r="KV102">
        <v>6.62</v>
      </c>
      <c r="KW102">
        <v>6.18</v>
      </c>
      <c r="KZ102">
        <v>18</v>
      </c>
      <c r="LB102">
        <v>5.7</v>
      </c>
      <c r="LC102">
        <v>8.4600000000000009</v>
      </c>
      <c r="LF102">
        <v>16.38</v>
      </c>
    </row>
    <row r="103" spans="1:319">
      <c r="A103" s="20" t="s">
        <v>199</v>
      </c>
      <c r="B103">
        <v>939.36999999999955</v>
      </c>
      <c r="C103">
        <v>18.064807692307685</v>
      </c>
      <c r="D103" s="20" t="s">
        <v>847</v>
      </c>
      <c r="E103" s="20" t="s">
        <v>851</v>
      </c>
      <c r="G103">
        <v>5.39</v>
      </c>
      <c r="I103">
        <v>14.06</v>
      </c>
      <c r="K103">
        <v>6.91</v>
      </c>
      <c r="M103">
        <v>8.7200000000000006</v>
      </c>
      <c r="O103">
        <v>5.79</v>
      </c>
      <c r="S103">
        <v>8.77</v>
      </c>
      <c r="U103">
        <v>4.99</v>
      </c>
      <c r="Y103">
        <v>14.05</v>
      </c>
      <c r="AA103">
        <v>6.29</v>
      </c>
      <c r="AE103">
        <v>9.68</v>
      </c>
      <c r="AG103">
        <v>7.24</v>
      </c>
      <c r="AK103">
        <v>9.4600000000000009</v>
      </c>
      <c r="AM103">
        <v>8.56</v>
      </c>
      <c r="AQ103">
        <v>8.48</v>
      </c>
      <c r="AS103">
        <v>7.92</v>
      </c>
      <c r="AW103">
        <v>7.38</v>
      </c>
      <c r="AY103">
        <v>6.7</v>
      </c>
      <c r="BD103">
        <v>8.01</v>
      </c>
      <c r="BE103">
        <v>8.67</v>
      </c>
      <c r="BI103">
        <v>7.83</v>
      </c>
      <c r="BK103">
        <v>7.67</v>
      </c>
      <c r="BO103">
        <v>16.62</v>
      </c>
      <c r="BQ103">
        <v>5.52</v>
      </c>
      <c r="BU103">
        <v>9.48</v>
      </c>
      <c r="BW103">
        <v>9.2799999999999905</v>
      </c>
      <c r="CB103">
        <v>7.99</v>
      </c>
      <c r="CD103">
        <v>7.41</v>
      </c>
      <c r="CH103">
        <v>8.66</v>
      </c>
      <c r="CJ103">
        <v>8.0500000000000007</v>
      </c>
      <c r="CN103">
        <v>8.18</v>
      </c>
      <c r="CP103">
        <v>7.25</v>
      </c>
      <c r="CT103">
        <v>8.23</v>
      </c>
      <c r="CU103">
        <v>6.26</v>
      </c>
      <c r="CV103">
        <v>5.57</v>
      </c>
      <c r="CZ103">
        <v>8.42</v>
      </c>
      <c r="DB103">
        <v>7.9</v>
      </c>
      <c r="DF103">
        <v>8.06</v>
      </c>
      <c r="DJ103">
        <v>9.36</v>
      </c>
      <c r="DM103">
        <v>5.0199999999999898</v>
      </c>
      <c r="DO103">
        <v>9.4</v>
      </c>
      <c r="DQ103">
        <v>7.7</v>
      </c>
      <c r="DS103">
        <v>5.27</v>
      </c>
      <c r="DU103">
        <v>6.18</v>
      </c>
      <c r="DY103">
        <v>8.7100000000000009</v>
      </c>
      <c r="EA103">
        <v>7.82</v>
      </c>
      <c r="EE103">
        <v>7.63</v>
      </c>
      <c r="EG103">
        <v>6.79</v>
      </c>
      <c r="EL103">
        <v>10.67</v>
      </c>
      <c r="EQ103">
        <v>8.76</v>
      </c>
      <c r="ES103">
        <v>7.58</v>
      </c>
      <c r="EW103">
        <v>8.81</v>
      </c>
      <c r="EX103">
        <v>7.06</v>
      </c>
      <c r="EY103">
        <v>7.26</v>
      </c>
      <c r="EZ103">
        <v>4.71</v>
      </c>
      <c r="FC103">
        <v>9.24</v>
      </c>
      <c r="FE103">
        <v>9.2100000000000009</v>
      </c>
      <c r="FI103">
        <v>8.19</v>
      </c>
      <c r="FK103">
        <v>7.7</v>
      </c>
      <c r="FO103">
        <v>9.01</v>
      </c>
      <c r="FQ103">
        <v>8.7799999999999905</v>
      </c>
      <c r="FU103">
        <v>8.66</v>
      </c>
      <c r="FW103">
        <v>9.2899999999999903</v>
      </c>
      <c r="GA103">
        <v>9.17</v>
      </c>
      <c r="GC103">
        <v>9.02</v>
      </c>
      <c r="GD103">
        <v>5.91</v>
      </c>
      <c r="GG103">
        <v>10.11</v>
      </c>
      <c r="GI103">
        <v>8.5</v>
      </c>
      <c r="GM103">
        <v>9.0500000000000007</v>
      </c>
      <c r="GO103">
        <v>8.85</v>
      </c>
      <c r="GS103">
        <v>9.41</v>
      </c>
      <c r="GU103">
        <v>8.76</v>
      </c>
      <c r="GY103">
        <v>8.16</v>
      </c>
      <c r="HA103">
        <v>7.42</v>
      </c>
      <c r="HE103">
        <v>10.59</v>
      </c>
      <c r="HG103">
        <v>8.02</v>
      </c>
      <c r="HK103">
        <v>10.38</v>
      </c>
      <c r="HM103">
        <v>8.9499999999999904</v>
      </c>
      <c r="HQ103">
        <v>10.19</v>
      </c>
      <c r="HS103">
        <v>9.98</v>
      </c>
      <c r="HW103">
        <v>9.92</v>
      </c>
      <c r="HY103">
        <v>8.75</v>
      </c>
      <c r="IC103">
        <v>9.57</v>
      </c>
      <c r="IE103">
        <v>7.54</v>
      </c>
      <c r="II103">
        <v>10.36</v>
      </c>
      <c r="IK103">
        <v>10.11</v>
      </c>
      <c r="IO103">
        <v>9.86</v>
      </c>
      <c r="IQ103">
        <v>8.0399999999999903</v>
      </c>
      <c r="IU103">
        <v>10.130000000000001</v>
      </c>
      <c r="IW103">
        <v>8.5500000000000007</v>
      </c>
      <c r="JA103">
        <v>10.49</v>
      </c>
      <c r="JC103">
        <v>7.26</v>
      </c>
      <c r="JG103">
        <v>9.6300000000000008</v>
      </c>
      <c r="JI103">
        <v>9.75</v>
      </c>
      <c r="JM103">
        <v>9.35</v>
      </c>
      <c r="JO103">
        <v>7.94</v>
      </c>
      <c r="JS103">
        <v>10.23</v>
      </c>
      <c r="JU103">
        <v>8.42</v>
      </c>
      <c r="JY103">
        <v>9.34</v>
      </c>
      <c r="KA103">
        <v>9.01</v>
      </c>
      <c r="KG103">
        <v>8.92</v>
      </c>
      <c r="KK103">
        <v>8.8000000000000007</v>
      </c>
      <c r="KL103">
        <v>8.0500000000000007</v>
      </c>
      <c r="KM103">
        <v>8.0500000000000007</v>
      </c>
      <c r="KQ103">
        <v>9.77</v>
      </c>
      <c r="KS103">
        <v>9.3000000000000007</v>
      </c>
      <c r="KW103">
        <v>8.77</v>
      </c>
      <c r="KY103">
        <v>8.44</v>
      </c>
      <c r="LA103">
        <v>9.68</v>
      </c>
      <c r="LC103">
        <v>9.4499999999999904</v>
      </c>
      <c r="LE103">
        <v>9.16</v>
      </c>
    </row>
    <row r="104" spans="1:319">
      <c r="A104" s="20" t="s">
        <v>852</v>
      </c>
      <c r="B104">
        <v>1113.72</v>
      </c>
      <c r="C104">
        <v>21.41769230769231</v>
      </c>
      <c r="D104" s="20" t="s">
        <v>847</v>
      </c>
      <c r="E104" s="20" t="s">
        <v>848</v>
      </c>
      <c r="G104">
        <v>8.99</v>
      </c>
      <c r="I104">
        <v>8.33</v>
      </c>
      <c r="K104">
        <v>8.68</v>
      </c>
      <c r="M104">
        <v>6.35</v>
      </c>
      <c r="O104">
        <v>8.48</v>
      </c>
      <c r="Q104">
        <v>7.45</v>
      </c>
      <c r="S104">
        <v>7.38</v>
      </c>
      <c r="U104">
        <v>7.5</v>
      </c>
      <c r="W104">
        <v>6.75</v>
      </c>
      <c r="Y104">
        <v>8.6</v>
      </c>
      <c r="AA104">
        <v>8.84</v>
      </c>
      <c r="AC104">
        <v>8.14</v>
      </c>
      <c r="AE104">
        <v>8.5299999999999905</v>
      </c>
      <c r="AG104">
        <v>6.84</v>
      </c>
      <c r="AI104">
        <v>6.1</v>
      </c>
      <c r="AK104">
        <v>8.6300000000000008</v>
      </c>
      <c r="AM104">
        <v>6.13</v>
      </c>
      <c r="AO104">
        <v>6.04</v>
      </c>
      <c r="AQ104">
        <v>8.74</v>
      </c>
      <c r="AS104">
        <v>6.68</v>
      </c>
      <c r="AU104">
        <v>7.84</v>
      </c>
      <c r="AW104">
        <v>8.7100000000000009</v>
      </c>
      <c r="AY104">
        <v>6.29</v>
      </c>
      <c r="BA104">
        <v>4.7300000000000004</v>
      </c>
      <c r="BC104">
        <v>7.6</v>
      </c>
      <c r="BE104">
        <v>8.52</v>
      </c>
      <c r="BG104">
        <v>5.19</v>
      </c>
      <c r="BI104">
        <v>7.23</v>
      </c>
      <c r="BK104">
        <v>8.8699999999999903</v>
      </c>
      <c r="BM104">
        <v>7.7</v>
      </c>
      <c r="BO104">
        <v>9.3000000000000007</v>
      </c>
      <c r="BQ104">
        <v>7.73</v>
      </c>
      <c r="BS104">
        <v>9.7799999999999905</v>
      </c>
      <c r="BU104">
        <v>8.98</v>
      </c>
      <c r="BW104">
        <v>6.33</v>
      </c>
      <c r="BY104">
        <v>6.61</v>
      </c>
      <c r="CB104">
        <v>7.97</v>
      </c>
      <c r="CD104">
        <v>8.2100000000000009</v>
      </c>
      <c r="CF104">
        <v>6.79</v>
      </c>
      <c r="CH104">
        <v>9.5500000000000007</v>
      </c>
      <c r="CJ104">
        <v>7.94</v>
      </c>
      <c r="CL104">
        <v>8.1199999999999903</v>
      </c>
      <c r="CN104">
        <v>7.5</v>
      </c>
      <c r="CP104">
        <v>6.95</v>
      </c>
      <c r="CR104">
        <v>6.75</v>
      </c>
      <c r="CT104">
        <v>6.23</v>
      </c>
      <c r="CV104">
        <v>5.7</v>
      </c>
      <c r="CX104">
        <v>8.17</v>
      </c>
      <c r="CZ104">
        <v>8.2200000000000006</v>
      </c>
      <c r="DB104">
        <v>7.31</v>
      </c>
      <c r="DD104">
        <v>8.17</v>
      </c>
      <c r="DF104">
        <v>8.84</v>
      </c>
      <c r="DJ104">
        <v>7.44</v>
      </c>
      <c r="DO104">
        <v>8.41</v>
      </c>
      <c r="DR104">
        <v>9.5</v>
      </c>
      <c r="DS104">
        <v>4.49</v>
      </c>
      <c r="DU104">
        <v>8.24</v>
      </c>
      <c r="DW104">
        <v>10.34</v>
      </c>
      <c r="EA104">
        <v>9.02</v>
      </c>
      <c r="EC104">
        <v>8.7100000000000009</v>
      </c>
      <c r="EE104">
        <v>7.87</v>
      </c>
      <c r="EG104">
        <v>9.17</v>
      </c>
      <c r="EI104">
        <v>8.76</v>
      </c>
      <c r="EL104">
        <v>11.09</v>
      </c>
      <c r="EN104">
        <v>8.3699999999999903</v>
      </c>
      <c r="EQ104">
        <v>8.43</v>
      </c>
      <c r="ES104">
        <v>8.09</v>
      </c>
      <c r="EU104">
        <v>5.98</v>
      </c>
      <c r="EW104">
        <v>7.93</v>
      </c>
      <c r="EY104">
        <v>6.05</v>
      </c>
      <c r="FA104">
        <v>9.7799999999999905</v>
      </c>
      <c r="FC104">
        <v>7.79</v>
      </c>
      <c r="FE104">
        <v>5.09</v>
      </c>
      <c r="FG104">
        <v>9.1199999999999903</v>
      </c>
      <c r="FK104">
        <v>6.71</v>
      </c>
      <c r="FM104">
        <v>6.94</v>
      </c>
      <c r="FO104">
        <v>8.41</v>
      </c>
      <c r="FQ104">
        <v>5.65</v>
      </c>
      <c r="FS104">
        <v>6.56</v>
      </c>
      <c r="FU104">
        <v>8.9700000000000006</v>
      </c>
      <c r="FW104">
        <v>6.25</v>
      </c>
      <c r="FY104">
        <v>6.17</v>
      </c>
      <c r="GA104">
        <v>9.6999999999999904</v>
      </c>
      <c r="GC104">
        <v>6.93</v>
      </c>
      <c r="GE104">
        <v>6.26</v>
      </c>
      <c r="GG104">
        <v>8.82</v>
      </c>
      <c r="GI104">
        <v>7.34</v>
      </c>
      <c r="GK104">
        <v>6.45</v>
      </c>
      <c r="GM104">
        <v>9.8000000000000007</v>
      </c>
      <c r="GO104">
        <v>6.3</v>
      </c>
      <c r="GQ104">
        <v>4.83</v>
      </c>
      <c r="GS104">
        <v>8.67</v>
      </c>
      <c r="GU104">
        <v>6.25</v>
      </c>
      <c r="GW104">
        <v>10.88</v>
      </c>
      <c r="GY104">
        <v>8.32</v>
      </c>
      <c r="HA104">
        <v>7.2</v>
      </c>
      <c r="HC104">
        <v>5.58</v>
      </c>
      <c r="HE104">
        <v>8.5299999999999905</v>
      </c>
      <c r="HG104">
        <v>7.06</v>
      </c>
      <c r="HI104">
        <v>5.72</v>
      </c>
      <c r="HK104">
        <v>11.13</v>
      </c>
      <c r="HM104">
        <v>9.4</v>
      </c>
      <c r="HO104">
        <v>6.08</v>
      </c>
      <c r="HQ104">
        <v>8.9700000000000006</v>
      </c>
      <c r="HS104">
        <v>6.83</v>
      </c>
      <c r="HU104">
        <v>6.44</v>
      </c>
      <c r="HW104">
        <v>6.49</v>
      </c>
      <c r="HY104">
        <v>5.96</v>
      </c>
      <c r="IA104">
        <v>6.74</v>
      </c>
      <c r="IC104">
        <v>8.7100000000000009</v>
      </c>
      <c r="IG104">
        <v>6.07</v>
      </c>
      <c r="II104">
        <v>7.12</v>
      </c>
      <c r="IK104">
        <v>9</v>
      </c>
      <c r="IM104">
        <v>6.05</v>
      </c>
      <c r="IO104">
        <v>8.43</v>
      </c>
      <c r="IQ104">
        <v>6.53</v>
      </c>
      <c r="IS104">
        <v>5.86</v>
      </c>
      <c r="IU104">
        <v>6.61</v>
      </c>
      <c r="IW104">
        <v>6</v>
      </c>
      <c r="IY104">
        <v>5.04</v>
      </c>
      <c r="JA104">
        <v>7.9</v>
      </c>
      <c r="JC104">
        <v>5.66</v>
      </c>
      <c r="JE104">
        <v>6.06</v>
      </c>
      <c r="JG104">
        <v>8.4600000000000009</v>
      </c>
      <c r="JI104">
        <v>5.61</v>
      </c>
      <c r="JK104">
        <v>5.85</v>
      </c>
      <c r="JM104">
        <v>9.15</v>
      </c>
      <c r="JO104">
        <v>7.39</v>
      </c>
      <c r="JQ104">
        <v>4.78</v>
      </c>
      <c r="JS104">
        <v>8.31</v>
      </c>
      <c r="JU104">
        <v>6.12</v>
      </c>
      <c r="JW104">
        <v>7.99</v>
      </c>
      <c r="JY104">
        <v>8.5299999999999905</v>
      </c>
      <c r="KA104">
        <v>5.54</v>
      </c>
      <c r="KC104">
        <v>4.2</v>
      </c>
      <c r="KE104">
        <v>9.56</v>
      </c>
      <c r="KG104">
        <v>6.02</v>
      </c>
      <c r="KI104">
        <v>4.34</v>
      </c>
      <c r="KK104">
        <v>8.99</v>
      </c>
      <c r="KM104">
        <v>5.88</v>
      </c>
      <c r="KO104">
        <v>5.99</v>
      </c>
      <c r="KQ104">
        <v>7.56</v>
      </c>
      <c r="KS104">
        <v>6.27</v>
      </c>
      <c r="KU104">
        <v>4.84</v>
      </c>
      <c r="KW104">
        <v>6.28</v>
      </c>
      <c r="KY104">
        <v>6.6</v>
      </c>
      <c r="LA104">
        <v>6.39</v>
      </c>
      <c r="LC104">
        <v>8.93</v>
      </c>
      <c r="LE104">
        <v>8.6300000000000008</v>
      </c>
      <c r="LG104">
        <v>5.45</v>
      </c>
    </row>
    <row r="105" spans="1:319">
      <c r="A105" s="20" t="s">
        <v>37</v>
      </c>
      <c r="B105">
        <v>1047.6300000000003</v>
      </c>
      <c r="C105">
        <v>20.146730769230775</v>
      </c>
      <c r="D105" s="20" t="s">
        <v>847</v>
      </c>
      <c r="E105" s="20" t="s">
        <v>851</v>
      </c>
      <c r="F105">
        <v>7.2</v>
      </c>
      <c r="H105">
        <v>6.9</v>
      </c>
      <c r="K105">
        <v>8.07</v>
      </c>
      <c r="L105">
        <v>5.51</v>
      </c>
      <c r="N105">
        <v>6.75</v>
      </c>
      <c r="Q105">
        <v>7.37</v>
      </c>
      <c r="R105">
        <v>7.26</v>
      </c>
      <c r="T105">
        <v>6.33</v>
      </c>
      <c r="W105">
        <v>6.65</v>
      </c>
      <c r="X105">
        <v>6.23</v>
      </c>
      <c r="Z105">
        <v>7.96</v>
      </c>
      <c r="AC105">
        <v>6.27</v>
      </c>
      <c r="AD105">
        <v>6.02</v>
      </c>
      <c r="AF105">
        <v>6.51</v>
      </c>
      <c r="AI105">
        <v>7.65</v>
      </c>
      <c r="AJ105">
        <v>7.06</v>
      </c>
      <c r="AL105">
        <v>6.16</v>
      </c>
      <c r="AO105">
        <v>6.51</v>
      </c>
      <c r="AP105">
        <v>6.51</v>
      </c>
      <c r="AR105">
        <v>6.66</v>
      </c>
      <c r="AU105">
        <v>6.06</v>
      </c>
      <c r="AV105">
        <v>5.95</v>
      </c>
      <c r="AX105">
        <v>6.2</v>
      </c>
      <c r="BA105">
        <v>7.79</v>
      </c>
      <c r="BB105">
        <v>5.17</v>
      </c>
      <c r="BD105">
        <v>6.93</v>
      </c>
      <c r="BG105">
        <v>7.13</v>
      </c>
      <c r="BH105">
        <v>5.75</v>
      </c>
      <c r="BJ105">
        <v>6.74</v>
      </c>
      <c r="BM105">
        <v>7.39</v>
      </c>
      <c r="BN105">
        <v>7.02</v>
      </c>
      <c r="BP105">
        <v>6.51</v>
      </c>
      <c r="BS105">
        <v>6.68</v>
      </c>
      <c r="BT105">
        <v>7.65</v>
      </c>
      <c r="BV105">
        <v>5.63</v>
      </c>
      <c r="BY105">
        <v>8.3699999999999903</v>
      </c>
      <c r="CA105">
        <v>6.8</v>
      </c>
      <c r="CC105">
        <v>7.09</v>
      </c>
      <c r="CF105">
        <v>7.31</v>
      </c>
      <c r="CG105">
        <v>8.48</v>
      </c>
      <c r="CI105">
        <v>6.88</v>
      </c>
      <c r="CL105">
        <v>7.75</v>
      </c>
      <c r="CM105">
        <v>5.97</v>
      </c>
      <c r="CO105">
        <v>7.42</v>
      </c>
      <c r="CR105">
        <v>6.74</v>
      </c>
      <c r="CS105">
        <v>6.92</v>
      </c>
      <c r="CU105">
        <v>6.64</v>
      </c>
      <c r="CX105">
        <v>6.59</v>
      </c>
      <c r="CY105">
        <v>7.32</v>
      </c>
      <c r="DA105">
        <v>6.14</v>
      </c>
      <c r="DD105">
        <v>7.73</v>
      </c>
      <c r="DE105">
        <v>5.28</v>
      </c>
      <c r="DG105">
        <v>6.49</v>
      </c>
      <c r="DL105">
        <v>4.9000000000000004</v>
      </c>
      <c r="DN105">
        <v>6.92</v>
      </c>
      <c r="DQ105">
        <v>6.73</v>
      </c>
      <c r="DR105">
        <v>7.2</v>
      </c>
      <c r="DT105">
        <v>5.96</v>
      </c>
      <c r="DW105">
        <v>7.36</v>
      </c>
      <c r="DX105">
        <v>5.19</v>
      </c>
      <c r="DZ105">
        <v>6.2</v>
      </c>
      <c r="EC105">
        <v>6.14</v>
      </c>
      <c r="ED105">
        <v>6.67</v>
      </c>
      <c r="EF105">
        <v>7.16</v>
      </c>
      <c r="EI105">
        <v>7.65</v>
      </c>
      <c r="EJ105">
        <v>7.55</v>
      </c>
      <c r="EL105">
        <v>9.19</v>
      </c>
      <c r="EN105">
        <v>7.33</v>
      </c>
      <c r="EP105">
        <v>6.98</v>
      </c>
      <c r="ER105">
        <v>6.22</v>
      </c>
      <c r="EU105">
        <v>7.18</v>
      </c>
      <c r="EV105">
        <v>6.34</v>
      </c>
      <c r="EX105">
        <v>6.71</v>
      </c>
      <c r="FA105">
        <v>7.64</v>
      </c>
      <c r="FB105">
        <v>5.22</v>
      </c>
      <c r="FD105">
        <v>7.25</v>
      </c>
      <c r="FG105">
        <v>7.28</v>
      </c>
      <c r="FH105">
        <v>6.29</v>
      </c>
      <c r="FJ105">
        <v>3.17</v>
      </c>
      <c r="FM105">
        <v>6.57</v>
      </c>
      <c r="FN105">
        <v>6.12</v>
      </c>
      <c r="FP105">
        <v>6.75</v>
      </c>
      <c r="FS105">
        <v>7.97</v>
      </c>
      <c r="FT105">
        <v>6.98</v>
      </c>
      <c r="FV105">
        <v>5.4</v>
      </c>
      <c r="FY105">
        <v>7.7</v>
      </c>
      <c r="FZ105">
        <v>6.45</v>
      </c>
      <c r="GB105">
        <v>10.84</v>
      </c>
      <c r="GE105">
        <v>7.67</v>
      </c>
      <c r="GF105">
        <v>6.27</v>
      </c>
      <c r="GH105">
        <v>6.58</v>
      </c>
      <c r="GK105">
        <v>7.7</v>
      </c>
      <c r="GL105">
        <v>6.72</v>
      </c>
      <c r="GN105">
        <v>5.45</v>
      </c>
      <c r="GQ105">
        <v>6.63</v>
      </c>
      <c r="GR105">
        <v>6.37</v>
      </c>
      <c r="GT105">
        <v>7.34</v>
      </c>
      <c r="GW105">
        <v>7.44</v>
      </c>
      <c r="GX105">
        <v>6.39</v>
      </c>
      <c r="HA105">
        <v>5.99</v>
      </c>
      <c r="HC105">
        <v>7.07</v>
      </c>
      <c r="HD105">
        <v>6.45</v>
      </c>
      <c r="HF105">
        <v>5.85</v>
      </c>
      <c r="HI105">
        <v>7.38</v>
      </c>
      <c r="HJ105">
        <v>6.99</v>
      </c>
      <c r="HL105">
        <v>5.37</v>
      </c>
      <c r="HO105">
        <v>8.4499999999999904</v>
      </c>
      <c r="HP105">
        <v>6.09</v>
      </c>
      <c r="HR105">
        <v>6.49</v>
      </c>
      <c r="HU105">
        <v>7.62</v>
      </c>
      <c r="HV105">
        <v>4.62</v>
      </c>
      <c r="HX105">
        <v>6.9</v>
      </c>
      <c r="IA105">
        <v>8.3000000000000007</v>
      </c>
      <c r="IB105">
        <v>7.76</v>
      </c>
      <c r="ID105">
        <v>5.71</v>
      </c>
      <c r="IG105">
        <v>6.22</v>
      </c>
      <c r="IH105">
        <v>8.51</v>
      </c>
      <c r="IJ105">
        <v>6.54</v>
      </c>
      <c r="IM105">
        <v>7.41</v>
      </c>
      <c r="IN105">
        <v>6.34</v>
      </c>
      <c r="IP105">
        <v>6.81</v>
      </c>
      <c r="IS105">
        <v>6.75</v>
      </c>
      <c r="IT105">
        <v>8.1300000000000008</v>
      </c>
      <c r="IV105">
        <v>6.57</v>
      </c>
      <c r="IY105">
        <v>7.7</v>
      </c>
      <c r="IZ105">
        <v>6.15</v>
      </c>
      <c r="JB105">
        <v>6.53</v>
      </c>
      <c r="JE105">
        <v>7.63</v>
      </c>
      <c r="JF105">
        <v>7.14</v>
      </c>
      <c r="JH105">
        <v>5.24</v>
      </c>
      <c r="JK105">
        <v>7.73</v>
      </c>
      <c r="JL105">
        <v>7.38</v>
      </c>
      <c r="JN105">
        <v>7.28</v>
      </c>
      <c r="JQ105">
        <v>6.39</v>
      </c>
      <c r="JR105">
        <v>7.68</v>
      </c>
      <c r="JT105">
        <v>6.17</v>
      </c>
      <c r="JW105">
        <v>7.78</v>
      </c>
      <c r="JX105">
        <v>6.44</v>
      </c>
      <c r="JZ105">
        <v>5.71</v>
      </c>
      <c r="KC105">
        <v>7.97</v>
      </c>
      <c r="KD105">
        <v>6.48</v>
      </c>
      <c r="KF105">
        <v>5.39</v>
      </c>
      <c r="KI105">
        <v>8.02</v>
      </c>
      <c r="KJ105">
        <v>5.87</v>
      </c>
      <c r="KL105">
        <v>5.52</v>
      </c>
      <c r="KP105">
        <v>7.15</v>
      </c>
      <c r="KR105">
        <v>4.29</v>
      </c>
      <c r="KU105">
        <v>7.9</v>
      </c>
      <c r="KV105">
        <v>6.38</v>
      </c>
      <c r="KX105">
        <v>6.51</v>
      </c>
      <c r="LA105">
        <v>6.8</v>
      </c>
      <c r="LD105">
        <v>8.41</v>
      </c>
      <c r="LE105">
        <v>8.39</v>
      </c>
      <c r="LG105">
        <v>7.41</v>
      </c>
    </row>
    <row r="106" spans="1:319">
      <c r="A106" s="20" t="s">
        <v>38</v>
      </c>
      <c r="B106">
        <v>1675.8699999999997</v>
      </c>
      <c r="C106">
        <v>32.228269230769222</v>
      </c>
      <c r="D106" s="20" t="s">
        <v>847</v>
      </c>
      <c r="E106" s="20" t="s">
        <v>851</v>
      </c>
      <c r="F106">
        <v>16.71</v>
      </c>
      <c r="H106">
        <v>14.09</v>
      </c>
      <c r="J106">
        <v>6.87</v>
      </c>
      <c r="N106">
        <v>9.4700000000000006</v>
      </c>
      <c r="O106">
        <v>7.64</v>
      </c>
      <c r="P106">
        <v>7.9</v>
      </c>
      <c r="Q106">
        <v>7.71</v>
      </c>
      <c r="R106">
        <v>13.93</v>
      </c>
      <c r="T106">
        <v>16.89</v>
      </c>
      <c r="W106">
        <v>8.2100000000000009</v>
      </c>
      <c r="X106">
        <v>16.38</v>
      </c>
      <c r="Z106">
        <v>14.29</v>
      </c>
      <c r="AB106">
        <v>7.77</v>
      </c>
      <c r="AD106">
        <v>14.53</v>
      </c>
      <c r="AF106">
        <v>10.98</v>
      </c>
      <c r="AH106">
        <v>6.95</v>
      </c>
      <c r="AJ106">
        <v>13.2</v>
      </c>
      <c r="AL106">
        <v>10.74</v>
      </c>
      <c r="AN106">
        <v>6.87</v>
      </c>
      <c r="AP106">
        <v>13.29</v>
      </c>
      <c r="AR106">
        <v>11.85</v>
      </c>
      <c r="AT106">
        <v>8.09</v>
      </c>
      <c r="AV106">
        <v>13.33</v>
      </c>
      <c r="AX106">
        <v>14.11</v>
      </c>
      <c r="AZ106">
        <v>3.98</v>
      </c>
      <c r="BB106">
        <v>12.08</v>
      </c>
      <c r="BD106">
        <v>13.25</v>
      </c>
      <c r="BF106">
        <v>8.4600000000000009</v>
      </c>
      <c r="BH106">
        <v>7.56</v>
      </c>
      <c r="BJ106">
        <v>8.43</v>
      </c>
      <c r="BL106">
        <v>6.82</v>
      </c>
      <c r="BN106">
        <v>12.66</v>
      </c>
      <c r="BP106">
        <v>12.85</v>
      </c>
      <c r="BR106">
        <v>7.43</v>
      </c>
      <c r="BS106">
        <v>8.57</v>
      </c>
      <c r="BT106">
        <v>13.09</v>
      </c>
      <c r="BV106">
        <v>11.75</v>
      </c>
      <c r="CA106">
        <v>7.78</v>
      </c>
      <c r="CC106">
        <v>7.44</v>
      </c>
      <c r="CE106">
        <v>7.49</v>
      </c>
      <c r="CG106">
        <v>7.92</v>
      </c>
      <c r="CI106">
        <v>8.2799999999999905</v>
      </c>
      <c r="CK106">
        <v>8.6199999999999903</v>
      </c>
      <c r="CM106">
        <v>8.16</v>
      </c>
      <c r="CO106">
        <v>6.62</v>
      </c>
      <c r="CQ106">
        <v>7.76</v>
      </c>
      <c r="CS106">
        <v>15.88</v>
      </c>
      <c r="CU106">
        <v>13.35</v>
      </c>
      <c r="CW106">
        <v>4.5199999999999898</v>
      </c>
      <c r="CY106">
        <v>8.24</v>
      </c>
      <c r="DA106">
        <v>8.8000000000000007</v>
      </c>
      <c r="DC106">
        <v>8.2899999999999903</v>
      </c>
      <c r="DE106">
        <v>14.51</v>
      </c>
      <c r="DG106">
        <v>12.91</v>
      </c>
      <c r="DL106">
        <v>17.64</v>
      </c>
      <c r="DN106">
        <v>16.420000000000002</v>
      </c>
      <c r="DP106">
        <v>8.89</v>
      </c>
      <c r="DR106">
        <v>13.22</v>
      </c>
      <c r="DT106">
        <v>14.93</v>
      </c>
      <c r="DV106">
        <v>8.1999999999999904</v>
      </c>
      <c r="DX106">
        <v>12.01</v>
      </c>
      <c r="DZ106">
        <v>11.29</v>
      </c>
      <c r="EB106">
        <v>6.43</v>
      </c>
      <c r="ED106">
        <v>15.91</v>
      </c>
      <c r="EF106">
        <v>13.89</v>
      </c>
      <c r="EI106">
        <v>8.48</v>
      </c>
      <c r="EJ106">
        <v>14.93</v>
      </c>
      <c r="EK106">
        <v>5.0199999999999898</v>
      </c>
      <c r="EM106">
        <v>8.77</v>
      </c>
      <c r="EP106">
        <v>15.77</v>
      </c>
      <c r="ER106">
        <v>12.92</v>
      </c>
      <c r="ET106">
        <v>5.58</v>
      </c>
      <c r="EU106">
        <v>7.22</v>
      </c>
      <c r="EV106">
        <v>16.46</v>
      </c>
      <c r="EW106">
        <v>6.37</v>
      </c>
      <c r="EX106">
        <v>2.2400000000000002</v>
      </c>
      <c r="EZ106">
        <v>8.02</v>
      </c>
      <c r="FB106">
        <v>15.7</v>
      </c>
      <c r="FD106">
        <v>14.63</v>
      </c>
      <c r="FF106">
        <v>6.63</v>
      </c>
      <c r="FH106">
        <v>12.77</v>
      </c>
      <c r="FJ106">
        <v>13.06</v>
      </c>
      <c r="FL106">
        <v>5.43</v>
      </c>
      <c r="FN106">
        <v>17.55</v>
      </c>
      <c r="FP106">
        <v>14.93</v>
      </c>
      <c r="FR106">
        <v>9.34</v>
      </c>
      <c r="FT106">
        <v>13.47</v>
      </c>
      <c r="FV106">
        <v>11.06</v>
      </c>
      <c r="FX106">
        <v>7.44</v>
      </c>
      <c r="FZ106">
        <v>12.4</v>
      </c>
      <c r="GB106">
        <v>8.41</v>
      </c>
      <c r="GD106">
        <v>7.24</v>
      </c>
      <c r="GE106">
        <v>7.73</v>
      </c>
      <c r="GF106">
        <v>16.09</v>
      </c>
      <c r="GH106">
        <v>14.33</v>
      </c>
      <c r="GJ106">
        <v>6.2</v>
      </c>
      <c r="GL106">
        <v>17.670000000000002</v>
      </c>
      <c r="GN106">
        <v>13.15</v>
      </c>
      <c r="GP106">
        <v>5.71</v>
      </c>
      <c r="GR106">
        <v>17.09</v>
      </c>
      <c r="GT106">
        <v>10.49</v>
      </c>
      <c r="GV106">
        <v>6.84</v>
      </c>
      <c r="GX106">
        <v>17.079999999999899</v>
      </c>
      <c r="GZ106">
        <v>13.08</v>
      </c>
      <c r="HB106">
        <v>8.49</v>
      </c>
      <c r="HD106">
        <v>7.89</v>
      </c>
      <c r="HF106">
        <v>15.41</v>
      </c>
      <c r="HH106">
        <v>4.3</v>
      </c>
      <c r="HJ106">
        <v>13.93</v>
      </c>
      <c r="HL106">
        <v>10.28</v>
      </c>
      <c r="HN106">
        <v>4</v>
      </c>
      <c r="HP106">
        <v>9.42</v>
      </c>
      <c r="HR106">
        <v>13.8</v>
      </c>
      <c r="HT106">
        <v>6.84</v>
      </c>
      <c r="HV106">
        <v>18.600000000000001</v>
      </c>
      <c r="HX106">
        <v>12.14</v>
      </c>
      <c r="HZ106">
        <v>7.39</v>
      </c>
      <c r="IB106">
        <v>19.829999999999899</v>
      </c>
      <c r="ID106">
        <v>13.69</v>
      </c>
      <c r="IF106">
        <v>6.73</v>
      </c>
      <c r="IH106">
        <v>14.85</v>
      </c>
      <c r="IJ106">
        <v>8.33</v>
      </c>
      <c r="IL106">
        <v>7.7</v>
      </c>
      <c r="IM106">
        <v>6.76</v>
      </c>
      <c r="IN106">
        <v>7.83</v>
      </c>
      <c r="IP106">
        <v>13.25</v>
      </c>
      <c r="IR106">
        <v>5.7</v>
      </c>
      <c r="IT106">
        <v>11.71</v>
      </c>
      <c r="IV106">
        <v>6.93</v>
      </c>
      <c r="IX106">
        <v>9.52</v>
      </c>
      <c r="IZ106">
        <v>16.37</v>
      </c>
      <c r="JB106">
        <v>10.7</v>
      </c>
      <c r="JD106">
        <v>7.43</v>
      </c>
      <c r="JF106">
        <v>11.88</v>
      </c>
      <c r="JH106">
        <v>8.36</v>
      </c>
      <c r="JJ106">
        <v>7.68</v>
      </c>
      <c r="JL106">
        <v>12.68</v>
      </c>
      <c r="JN106">
        <v>7.37</v>
      </c>
      <c r="JP106">
        <v>6.16</v>
      </c>
      <c r="JR106">
        <v>12.82</v>
      </c>
      <c r="JT106">
        <v>11.65</v>
      </c>
      <c r="JV106">
        <v>8.06</v>
      </c>
      <c r="JX106">
        <v>13.02</v>
      </c>
      <c r="JZ106">
        <v>14.15</v>
      </c>
      <c r="KB106">
        <v>6.43</v>
      </c>
      <c r="KD106">
        <v>14.68</v>
      </c>
      <c r="KF106">
        <v>12.11</v>
      </c>
      <c r="KH106">
        <v>5.87</v>
      </c>
      <c r="KL106">
        <v>11.17</v>
      </c>
      <c r="KN106">
        <v>7.74</v>
      </c>
      <c r="KP106">
        <v>17.670000000000002</v>
      </c>
      <c r="KR106">
        <v>11.5</v>
      </c>
      <c r="KT106">
        <v>6.7</v>
      </c>
      <c r="KV106">
        <v>13.1</v>
      </c>
      <c r="KX106">
        <v>10.54</v>
      </c>
      <c r="KZ106">
        <v>6.82</v>
      </c>
      <c r="LB106">
        <v>9.17</v>
      </c>
      <c r="LF106">
        <v>7.29</v>
      </c>
    </row>
    <row r="107" spans="1:319">
      <c r="A107" s="20" t="s">
        <v>42</v>
      </c>
      <c r="B107">
        <v>1181.9799999999998</v>
      </c>
      <c r="C107">
        <v>22.730384615384612</v>
      </c>
      <c r="D107" s="20" t="s">
        <v>847</v>
      </c>
      <c r="E107" s="20" t="s">
        <v>851</v>
      </c>
      <c r="G107">
        <v>8.19</v>
      </c>
      <c r="I107">
        <v>6.22</v>
      </c>
      <c r="K107">
        <v>9.74</v>
      </c>
      <c r="M107">
        <v>7.46</v>
      </c>
      <c r="O107">
        <v>7.38</v>
      </c>
      <c r="Q107">
        <v>9.0299999999999905</v>
      </c>
      <c r="S107">
        <v>7.48</v>
      </c>
      <c r="U107">
        <v>9.32</v>
      </c>
      <c r="W107">
        <v>7.23</v>
      </c>
      <c r="Y107">
        <v>7.79</v>
      </c>
      <c r="AA107">
        <v>16.600000000000001</v>
      </c>
      <c r="AC107">
        <v>7.94</v>
      </c>
      <c r="AE107">
        <v>9.83</v>
      </c>
      <c r="AI107">
        <v>8.7100000000000009</v>
      </c>
      <c r="AK107">
        <v>6.45</v>
      </c>
      <c r="AM107">
        <v>10.7</v>
      </c>
      <c r="AO107">
        <v>8.3000000000000007</v>
      </c>
      <c r="AQ107">
        <v>9.3699999999999903</v>
      </c>
      <c r="AS107">
        <v>5.39</v>
      </c>
      <c r="AU107">
        <v>10.17</v>
      </c>
      <c r="AZ107">
        <v>16.79</v>
      </c>
      <c r="BC107">
        <v>9.9</v>
      </c>
      <c r="BE107">
        <v>7.06</v>
      </c>
      <c r="BG107">
        <v>9.06</v>
      </c>
      <c r="BI107">
        <v>6.74</v>
      </c>
      <c r="BK107">
        <v>7.68</v>
      </c>
      <c r="BM107">
        <v>7.1</v>
      </c>
      <c r="BO107">
        <v>9.67</v>
      </c>
      <c r="BQ107">
        <v>8.24</v>
      </c>
      <c r="BS107">
        <v>9.59</v>
      </c>
      <c r="BU107">
        <v>8.06</v>
      </c>
      <c r="BW107">
        <v>9.44</v>
      </c>
      <c r="BY107">
        <v>6.57</v>
      </c>
      <c r="CB107">
        <v>7.78</v>
      </c>
      <c r="CF107">
        <v>7.66</v>
      </c>
      <c r="CH107">
        <v>9.86</v>
      </c>
      <c r="CJ107">
        <v>8.1</v>
      </c>
      <c r="CL107">
        <v>8.65</v>
      </c>
      <c r="CN107">
        <v>7.23</v>
      </c>
      <c r="CR107">
        <v>5.21</v>
      </c>
      <c r="CT107">
        <v>6.21</v>
      </c>
      <c r="CZ107">
        <v>5.74</v>
      </c>
      <c r="DB107">
        <v>9.23</v>
      </c>
      <c r="DD107">
        <v>8.7200000000000006</v>
      </c>
      <c r="DF107">
        <v>5.18</v>
      </c>
      <c r="DJ107">
        <v>8.41</v>
      </c>
      <c r="DM107">
        <v>7.04</v>
      </c>
      <c r="DO107">
        <v>9.4600000000000009</v>
      </c>
      <c r="DV107">
        <v>17.23</v>
      </c>
      <c r="DW107">
        <v>3.39</v>
      </c>
      <c r="DY107">
        <v>9.1199999999999903</v>
      </c>
      <c r="EA107">
        <v>7.04</v>
      </c>
      <c r="EC107">
        <v>8.5500000000000007</v>
      </c>
      <c r="EE107">
        <v>7.51</v>
      </c>
      <c r="EG107">
        <v>6.62</v>
      </c>
      <c r="EI107">
        <v>5.94</v>
      </c>
      <c r="EK107">
        <v>8.52</v>
      </c>
      <c r="EM107">
        <v>9.85</v>
      </c>
      <c r="EN107">
        <v>6.32</v>
      </c>
      <c r="EQ107">
        <v>8.19</v>
      </c>
      <c r="ES107">
        <v>4.97</v>
      </c>
      <c r="EU107">
        <v>7.9</v>
      </c>
      <c r="EW107">
        <v>8.09</v>
      </c>
      <c r="EY107">
        <v>7.94</v>
      </c>
      <c r="FA107">
        <v>5.89</v>
      </c>
      <c r="FC107">
        <v>6.95</v>
      </c>
      <c r="FE107">
        <v>6.75</v>
      </c>
      <c r="FG107">
        <v>9.94</v>
      </c>
      <c r="FI107">
        <v>8.31</v>
      </c>
      <c r="FK107">
        <v>8.6</v>
      </c>
      <c r="FM107">
        <v>1.67</v>
      </c>
      <c r="FO107">
        <v>8.92</v>
      </c>
      <c r="FQ107">
        <v>9.34</v>
      </c>
      <c r="FS107">
        <v>7.18</v>
      </c>
      <c r="FU107">
        <v>9.8800000000000008</v>
      </c>
      <c r="FW107">
        <v>7.03</v>
      </c>
      <c r="FY107">
        <v>9.4700000000000006</v>
      </c>
      <c r="GA107">
        <v>7.88</v>
      </c>
      <c r="GC107">
        <v>7.72</v>
      </c>
      <c r="GE107">
        <v>8.3699999999999903</v>
      </c>
      <c r="GG107">
        <v>7.5</v>
      </c>
      <c r="GI107">
        <v>9.42</v>
      </c>
      <c r="GK107">
        <v>8.51</v>
      </c>
      <c r="GM107">
        <v>9.14</v>
      </c>
      <c r="GO107">
        <v>6.02</v>
      </c>
      <c r="GS107">
        <v>9.36</v>
      </c>
      <c r="GU107">
        <v>9.1</v>
      </c>
      <c r="GW107">
        <v>10.67</v>
      </c>
      <c r="GY107">
        <v>9.6</v>
      </c>
      <c r="HA107">
        <v>7.56</v>
      </c>
      <c r="HC107">
        <v>6.78</v>
      </c>
      <c r="HE107">
        <v>9.66</v>
      </c>
      <c r="HG107">
        <v>7.71</v>
      </c>
      <c r="HI107">
        <v>8.75</v>
      </c>
      <c r="HK107">
        <v>7.14</v>
      </c>
      <c r="HM107">
        <v>6.19</v>
      </c>
      <c r="HO107">
        <v>8.35</v>
      </c>
      <c r="HQ107">
        <v>10.220000000000001</v>
      </c>
      <c r="HS107">
        <v>6.82</v>
      </c>
      <c r="HU107">
        <v>9.17</v>
      </c>
      <c r="HW107">
        <v>8.25</v>
      </c>
      <c r="HY107">
        <v>8.11</v>
      </c>
      <c r="IA107">
        <v>8.36</v>
      </c>
      <c r="IC107">
        <v>9.4600000000000009</v>
      </c>
      <c r="IE107">
        <v>7.87</v>
      </c>
      <c r="IG107">
        <v>6.37</v>
      </c>
      <c r="II107">
        <v>5.95</v>
      </c>
      <c r="IK107">
        <v>10.92</v>
      </c>
      <c r="IM107">
        <v>8.92</v>
      </c>
      <c r="IO107">
        <v>8.34</v>
      </c>
      <c r="IQ107">
        <v>7.55</v>
      </c>
      <c r="IS107">
        <v>5.97</v>
      </c>
      <c r="IU107">
        <v>9.35</v>
      </c>
      <c r="IW107">
        <v>8.4600000000000009</v>
      </c>
      <c r="IY107">
        <v>7.93</v>
      </c>
      <c r="JA107">
        <v>9.49</v>
      </c>
      <c r="JC107">
        <v>7.45</v>
      </c>
      <c r="JE107">
        <v>7.89</v>
      </c>
      <c r="JG107">
        <v>9.5399999999999903</v>
      </c>
      <c r="JI107">
        <v>9.25</v>
      </c>
      <c r="JK107">
        <v>5.97</v>
      </c>
      <c r="JM107">
        <v>10.5</v>
      </c>
      <c r="JO107">
        <v>7.02</v>
      </c>
      <c r="JQ107">
        <v>9.39</v>
      </c>
      <c r="JS107">
        <v>9.7100000000000009</v>
      </c>
      <c r="JU107">
        <v>9.94</v>
      </c>
      <c r="JW107">
        <v>6.55</v>
      </c>
      <c r="JY107">
        <v>7.64</v>
      </c>
      <c r="KA107">
        <v>6.78</v>
      </c>
      <c r="KC107">
        <v>10.15</v>
      </c>
      <c r="KE107">
        <v>8.99</v>
      </c>
      <c r="KG107">
        <v>8.0399999999999903</v>
      </c>
      <c r="KI107">
        <v>5.25</v>
      </c>
      <c r="KK107">
        <v>9.08</v>
      </c>
      <c r="KM107">
        <v>7.54</v>
      </c>
      <c r="KO107">
        <v>3.55</v>
      </c>
      <c r="KQ107">
        <v>9.6199999999999903</v>
      </c>
      <c r="KS107">
        <v>8.66</v>
      </c>
      <c r="KU107">
        <v>9.82</v>
      </c>
      <c r="KW107">
        <v>7.2</v>
      </c>
      <c r="KZ107">
        <v>5.85</v>
      </c>
      <c r="LC107">
        <v>9.31</v>
      </c>
      <c r="LE107">
        <v>6.23</v>
      </c>
      <c r="LG107">
        <v>11.33</v>
      </c>
    </row>
    <row r="108" spans="1:319">
      <c r="A108" s="20" t="s">
        <v>853</v>
      </c>
      <c r="B108">
        <v>755.29999999999984</v>
      </c>
      <c r="C108">
        <v>14.524999999999997</v>
      </c>
      <c r="D108" s="20" t="s">
        <v>847</v>
      </c>
      <c r="E108" s="20" t="s">
        <v>848</v>
      </c>
      <c r="H108">
        <v>8.98</v>
      </c>
      <c r="K108">
        <v>7.16</v>
      </c>
      <c r="N108">
        <v>9.3000000000000007</v>
      </c>
      <c r="Q108">
        <v>6.42</v>
      </c>
      <c r="T108">
        <v>10.52</v>
      </c>
      <c r="W108">
        <v>8.4600000000000009</v>
      </c>
      <c r="Z108">
        <v>9.33</v>
      </c>
      <c r="AC108">
        <v>7.83</v>
      </c>
      <c r="AF108">
        <v>6.99</v>
      </c>
      <c r="AI108">
        <v>7.61</v>
      </c>
      <c r="AL108">
        <v>7.76</v>
      </c>
      <c r="AO108">
        <v>9.02</v>
      </c>
      <c r="AR108">
        <v>5.43</v>
      </c>
      <c r="AU108">
        <v>8.59</v>
      </c>
      <c r="AX108">
        <v>6.73</v>
      </c>
      <c r="BA108">
        <v>6.16</v>
      </c>
      <c r="BD108">
        <v>6.16</v>
      </c>
      <c r="BG108">
        <v>5.9</v>
      </c>
      <c r="BJ108">
        <v>7.06</v>
      </c>
      <c r="BM108">
        <v>7.73</v>
      </c>
      <c r="BP108">
        <v>6.59</v>
      </c>
      <c r="BS108">
        <v>8.09</v>
      </c>
      <c r="BV108">
        <v>7.15</v>
      </c>
      <c r="CC108">
        <v>7.61</v>
      </c>
      <c r="CF108">
        <v>5.75</v>
      </c>
      <c r="CI108">
        <v>7.35</v>
      </c>
      <c r="CL108">
        <v>9.15</v>
      </c>
      <c r="CO108">
        <v>7.59</v>
      </c>
      <c r="CR108">
        <v>6.83</v>
      </c>
      <c r="CU108">
        <v>6.82</v>
      </c>
      <c r="CX108">
        <v>7.09</v>
      </c>
      <c r="DA108">
        <v>7.42</v>
      </c>
      <c r="DG108">
        <v>8.9600000000000009</v>
      </c>
      <c r="DL108">
        <v>7.63</v>
      </c>
      <c r="DN108">
        <v>5.99</v>
      </c>
      <c r="DQ108">
        <v>8.1199999999999903</v>
      </c>
      <c r="DT108">
        <v>7.12</v>
      </c>
      <c r="DW108">
        <v>6.6</v>
      </c>
      <c r="DZ108">
        <v>7.59</v>
      </c>
      <c r="EC108">
        <v>5.73</v>
      </c>
      <c r="EE108">
        <v>6.8</v>
      </c>
      <c r="EF108">
        <v>7.92</v>
      </c>
      <c r="EI108">
        <v>7.06</v>
      </c>
      <c r="EK108">
        <v>6.23</v>
      </c>
      <c r="EN108">
        <v>7.68</v>
      </c>
      <c r="ER108">
        <v>7.36</v>
      </c>
      <c r="EU108">
        <v>7.25</v>
      </c>
      <c r="EX108">
        <v>7.25</v>
      </c>
      <c r="FA108">
        <v>6.83</v>
      </c>
      <c r="FD108">
        <v>6.16</v>
      </c>
      <c r="FG108">
        <v>8</v>
      </c>
      <c r="FJ108">
        <v>9.23</v>
      </c>
      <c r="FM108">
        <v>8.66</v>
      </c>
      <c r="FP108">
        <v>7.7</v>
      </c>
      <c r="FS108">
        <v>6.37</v>
      </c>
      <c r="FV108">
        <v>9.49</v>
      </c>
      <c r="FY108">
        <v>6.24</v>
      </c>
      <c r="GB108">
        <v>7.08</v>
      </c>
      <c r="GE108">
        <v>9.5399999999999903</v>
      </c>
      <c r="GH108">
        <v>6.83</v>
      </c>
      <c r="GK108">
        <v>5.96</v>
      </c>
      <c r="GN108">
        <v>8.07</v>
      </c>
      <c r="GQ108">
        <v>7.38</v>
      </c>
      <c r="GT108">
        <v>4.3099999999999898</v>
      </c>
      <c r="GW108">
        <v>10.1199999999999</v>
      </c>
      <c r="GZ108">
        <v>10.66</v>
      </c>
      <c r="HC108">
        <v>5.98</v>
      </c>
      <c r="HF108">
        <v>13.21</v>
      </c>
      <c r="HL108">
        <v>7.41</v>
      </c>
      <c r="HO108">
        <v>5.0599999999999898</v>
      </c>
      <c r="HR108">
        <v>7.54</v>
      </c>
      <c r="HU108">
        <v>6.8</v>
      </c>
      <c r="HX108">
        <v>8.76</v>
      </c>
      <c r="IA108">
        <v>10.1199999999999</v>
      </c>
      <c r="ID108">
        <v>5.55</v>
      </c>
      <c r="IG108">
        <v>5.57</v>
      </c>
      <c r="IJ108">
        <v>8.08</v>
      </c>
      <c r="IM108">
        <v>7.14</v>
      </c>
      <c r="IP108">
        <v>6.65</v>
      </c>
      <c r="IY108">
        <v>7.69</v>
      </c>
      <c r="JB108">
        <v>7.96</v>
      </c>
      <c r="JE108">
        <v>5.74</v>
      </c>
      <c r="JH108">
        <v>6.63</v>
      </c>
      <c r="JK108">
        <v>10.25</v>
      </c>
      <c r="JN108">
        <v>9.3699999999999903</v>
      </c>
      <c r="JQ108">
        <v>9.66</v>
      </c>
      <c r="JT108">
        <v>7.08</v>
      </c>
      <c r="JW108">
        <v>6.54</v>
      </c>
      <c r="JZ108">
        <v>7.13</v>
      </c>
      <c r="KC108">
        <v>9.68</v>
      </c>
      <c r="KF108">
        <v>5.25</v>
      </c>
      <c r="KI108">
        <v>6.66</v>
      </c>
      <c r="KL108">
        <v>9.09</v>
      </c>
      <c r="KO108">
        <v>8</v>
      </c>
      <c r="KR108">
        <v>6.32</v>
      </c>
      <c r="KU108">
        <v>9.9600000000000009</v>
      </c>
      <c r="KX108">
        <v>5.68</v>
      </c>
      <c r="LA108">
        <v>7.45</v>
      </c>
      <c r="LD108">
        <v>8.06</v>
      </c>
      <c r="LG108">
        <v>8.73</v>
      </c>
    </row>
    <row r="109" spans="1:319">
      <c r="A109" s="20" t="s">
        <v>257</v>
      </c>
      <c r="B109">
        <v>389.49000000000012</v>
      </c>
      <c r="C109">
        <v>7.4901923076923103</v>
      </c>
      <c r="D109" s="20" t="s">
        <v>847</v>
      </c>
      <c r="E109" s="20" t="s">
        <v>851</v>
      </c>
      <c r="H109">
        <v>7.45</v>
      </c>
      <c r="N109">
        <v>8.6</v>
      </c>
      <c r="T109">
        <v>8.4700000000000006</v>
      </c>
      <c r="Z109">
        <v>8.24</v>
      </c>
      <c r="AF109">
        <v>7.3</v>
      </c>
      <c r="AL109">
        <v>4.6399999999999899</v>
      </c>
      <c r="AR109">
        <v>4.8</v>
      </c>
      <c r="AX109">
        <v>6.89</v>
      </c>
      <c r="BD109">
        <v>9.27</v>
      </c>
      <c r="BJ109">
        <v>5.48</v>
      </c>
      <c r="BP109">
        <v>8.56</v>
      </c>
      <c r="BV109">
        <v>5.63</v>
      </c>
      <c r="CC109">
        <v>2.12</v>
      </c>
      <c r="CO109">
        <v>4.57</v>
      </c>
      <c r="CU109">
        <v>4.4000000000000004</v>
      </c>
      <c r="CV109">
        <v>3.84</v>
      </c>
      <c r="CX109">
        <v>3.92</v>
      </c>
      <c r="DA109">
        <v>7.82</v>
      </c>
      <c r="DG109">
        <v>6.78</v>
      </c>
      <c r="DN109">
        <v>8.48</v>
      </c>
      <c r="DT109">
        <v>7.87</v>
      </c>
      <c r="DZ109">
        <v>8.0500000000000007</v>
      </c>
      <c r="EF109">
        <v>7.81</v>
      </c>
      <c r="EK109">
        <v>8.86</v>
      </c>
      <c r="ER109">
        <v>8.75</v>
      </c>
      <c r="EX109">
        <v>8.2100000000000009</v>
      </c>
      <c r="FD109">
        <v>8.99</v>
      </c>
      <c r="FJ109">
        <v>9.68</v>
      </c>
      <c r="FP109">
        <v>8.15</v>
      </c>
      <c r="FV109">
        <v>8.41</v>
      </c>
      <c r="GB109">
        <v>9.01</v>
      </c>
      <c r="GH109">
        <v>8.68</v>
      </c>
      <c r="GN109">
        <v>8.67</v>
      </c>
      <c r="GT109">
        <v>7.25</v>
      </c>
      <c r="GZ109">
        <v>7.77</v>
      </c>
      <c r="HF109">
        <v>7.21</v>
      </c>
      <c r="HL109">
        <v>7.08</v>
      </c>
      <c r="HR109">
        <v>9.24</v>
      </c>
      <c r="HX109">
        <v>7.67</v>
      </c>
      <c r="ID109">
        <v>7.16</v>
      </c>
      <c r="IJ109">
        <v>6.1</v>
      </c>
      <c r="IP109">
        <v>8.14</v>
      </c>
      <c r="IV109">
        <v>6.51</v>
      </c>
      <c r="JB109">
        <v>7.59</v>
      </c>
      <c r="JH109">
        <v>6.06</v>
      </c>
      <c r="JN109">
        <v>8.66</v>
      </c>
      <c r="JT109">
        <v>9.99</v>
      </c>
      <c r="JZ109">
        <v>8.7200000000000006</v>
      </c>
      <c r="KF109">
        <v>7.06</v>
      </c>
      <c r="KL109">
        <v>7.78</v>
      </c>
      <c r="KR109">
        <v>5.51</v>
      </c>
      <c r="KY109">
        <v>7.73</v>
      </c>
      <c r="LD109">
        <v>7.86</v>
      </c>
    </row>
    <row r="110" spans="1:319">
      <c r="A110" s="20" t="s">
        <v>45</v>
      </c>
      <c r="B110">
        <v>1565.5299999999991</v>
      </c>
      <c r="C110">
        <v>30.106346153846136</v>
      </c>
      <c r="D110" s="20" t="s">
        <v>847</v>
      </c>
      <c r="E110" s="20" t="s">
        <v>851</v>
      </c>
      <c r="G110">
        <v>17.38</v>
      </c>
      <c r="J110">
        <v>14.61</v>
      </c>
      <c r="M110">
        <v>15.36</v>
      </c>
      <c r="P110">
        <v>11.92</v>
      </c>
      <c r="Q110">
        <v>5.82</v>
      </c>
      <c r="S110">
        <v>16.89</v>
      </c>
      <c r="V110">
        <v>12.24</v>
      </c>
      <c r="Y110">
        <v>10.1999999999999</v>
      </c>
      <c r="Z110">
        <v>7.18</v>
      </c>
      <c r="AB110">
        <v>17.16</v>
      </c>
      <c r="AE110">
        <v>15.43</v>
      </c>
      <c r="AH110">
        <v>14.03</v>
      </c>
      <c r="AK110">
        <v>15.61</v>
      </c>
      <c r="AN110">
        <v>12.82</v>
      </c>
      <c r="AQ110">
        <v>15.62</v>
      </c>
      <c r="AT110">
        <v>12.31</v>
      </c>
      <c r="AW110">
        <v>16.29</v>
      </c>
      <c r="AX110">
        <v>9.4600000000000009</v>
      </c>
      <c r="AZ110">
        <v>11.05</v>
      </c>
      <c r="BC110">
        <v>15.1</v>
      </c>
      <c r="BF110">
        <v>11.37</v>
      </c>
      <c r="BI110">
        <v>14.13</v>
      </c>
      <c r="BL110">
        <v>14.38</v>
      </c>
      <c r="BO110">
        <v>28.05</v>
      </c>
      <c r="BR110">
        <v>14.05</v>
      </c>
      <c r="BU110">
        <v>15.31</v>
      </c>
      <c r="BX110">
        <v>10.7</v>
      </c>
      <c r="CA110">
        <v>5.99</v>
      </c>
      <c r="CB110">
        <v>12.46</v>
      </c>
      <c r="CE110">
        <v>9.2799999999999905</v>
      </c>
      <c r="CH110">
        <v>17.47</v>
      </c>
      <c r="CK110">
        <v>13.62</v>
      </c>
      <c r="CL110">
        <v>8.42</v>
      </c>
      <c r="CN110">
        <v>22.81</v>
      </c>
      <c r="CQ110">
        <v>14.57</v>
      </c>
      <c r="CT110">
        <v>7.3</v>
      </c>
      <c r="CU110">
        <v>7.33</v>
      </c>
      <c r="CV110">
        <v>5.79</v>
      </c>
      <c r="CW110">
        <v>14.58</v>
      </c>
      <c r="CZ110">
        <v>15.06</v>
      </c>
      <c r="DC110">
        <v>14.61</v>
      </c>
      <c r="DF110">
        <v>16.12</v>
      </c>
      <c r="DJ110">
        <v>6.01</v>
      </c>
      <c r="DM110">
        <v>13.11</v>
      </c>
      <c r="DP110">
        <v>12.77</v>
      </c>
      <c r="DS110">
        <v>14.77</v>
      </c>
      <c r="DV110">
        <v>12.91</v>
      </c>
      <c r="DY110">
        <v>17.66</v>
      </c>
      <c r="EB110">
        <v>11.55</v>
      </c>
      <c r="EE110">
        <v>15.73</v>
      </c>
      <c r="EI110">
        <v>7.16</v>
      </c>
      <c r="EM110">
        <v>6.6</v>
      </c>
      <c r="EN110">
        <v>6.12</v>
      </c>
      <c r="EO110">
        <v>17.600000000000001</v>
      </c>
      <c r="EQ110">
        <v>13.98</v>
      </c>
      <c r="ET110">
        <v>13.58</v>
      </c>
      <c r="EU110">
        <v>9.9700000000000006</v>
      </c>
      <c r="EW110">
        <v>15.94</v>
      </c>
      <c r="EZ110">
        <v>14.18</v>
      </c>
      <c r="FC110">
        <v>17.239999999999899</v>
      </c>
      <c r="FF110">
        <v>11.4</v>
      </c>
      <c r="FI110">
        <v>8.2899999999999903</v>
      </c>
      <c r="FL110">
        <v>15.1</v>
      </c>
      <c r="FO110">
        <v>14.21</v>
      </c>
      <c r="FR110">
        <v>12.52</v>
      </c>
      <c r="FS110">
        <v>8.5500000000000007</v>
      </c>
      <c r="FU110">
        <v>13.48</v>
      </c>
      <c r="FX110">
        <v>9.06</v>
      </c>
      <c r="GA110">
        <v>14.8</v>
      </c>
      <c r="GD110">
        <v>13.27</v>
      </c>
      <c r="GE110">
        <v>8.56</v>
      </c>
      <c r="GG110">
        <v>24.05</v>
      </c>
      <c r="GJ110">
        <v>12.43</v>
      </c>
      <c r="GM110">
        <v>13.08</v>
      </c>
      <c r="GP110">
        <v>8.1199999999999903</v>
      </c>
      <c r="GS110">
        <v>14.08</v>
      </c>
      <c r="GV110">
        <v>31.43</v>
      </c>
      <c r="GY110">
        <v>12.75</v>
      </c>
      <c r="HB110">
        <v>13.6</v>
      </c>
      <c r="HE110">
        <v>15.97</v>
      </c>
      <c r="HH110">
        <v>13.84</v>
      </c>
      <c r="HK110">
        <v>15.41</v>
      </c>
      <c r="HN110">
        <v>13.56</v>
      </c>
      <c r="HQ110">
        <v>15.79</v>
      </c>
      <c r="HT110">
        <v>13.62</v>
      </c>
      <c r="HW110">
        <v>12.55</v>
      </c>
      <c r="HZ110">
        <v>12.41</v>
      </c>
      <c r="IC110">
        <v>16.239999999999899</v>
      </c>
      <c r="IF110">
        <v>11.77</v>
      </c>
      <c r="II110">
        <v>17.760000000000002</v>
      </c>
      <c r="IJ110">
        <v>7.9</v>
      </c>
      <c r="IL110">
        <v>12.92</v>
      </c>
      <c r="IO110">
        <v>17.27</v>
      </c>
      <c r="IR110">
        <v>12.17</v>
      </c>
      <c r="IU110">
        <v>15.55</v>
      </c>
      <c r="IX110">
        <v>14.56</v>
      </c>
      <c r="JA110">
        <v>14.36</v>
      </c>
      <c r="JD110">
        <v>11.09</v>
      </c>
      <c r="JG110">
        <v>16.7</v>
      </c>
      <c r="JJ110">
        <v>11.78</v>
      </c>
      <c r="JM110">
        <v>17.559999999999899</v>
      </c>
      <c r="JP110">
        <v>14.1</v>
      </c>
      <c r="JS110">
        <v>14.44</v>
      </c>
      <c r="JV110">
        <v>12.76</v>
      </c>
      <c r="JY110">
        <v>14.06</v>
      </c>
      <c r="KB110">
        <v>10.54</v>
      </c>
      <c r="KE110">
        <v>15.51</v>
      </c>
      <c r="KH110">
        <v>16.170000000000002</v>
      </c>
      <c r="KK110">
        <v>16.68</v>
      </c>
      <c r="KN110">
        <v>16.399999999999899</v>
      </c>
      <c r="KQ110">
        <v>16.98</v>
      </c>
      <c r="KT110">
        <v>10.210000000000001</v>
      </c>
      <c r="KW110">
        <v>14.5</v>
      </c>
      <c r="KZ110">
        <v>9.85</v>
      </c>
      <c r="LC110">
        <v>15.12</v>
      </c>
      <c r="LF110">
        <v>11.89</v>
      </c>
    </row>
    <row r="111" spans="1:319">
      <c r="A111" s="20" t="s">
        <v>46</v>
      </c>
      <c r="B111">
        <v>1365.3399999999997</v>
      </c>
      <c r="C111">
        <v>26.256538461538454</v>
      </c>
      <c r="D111" s="20" t="s">
        <v>847</v>
      </c>
      <c r="E111" s="20" t="s">
        <v>851</v>
      </c>
      <c r="F111">
        <v>6.5</v>
      </c>
      <c r="H111">
        <v>8.2899999999999903</v>
      </c>
      <c r="J111">
        <v>9.91</v>
      </c>
      <c r="L111">
        <v>9.1</v>
      </c>
      <c r="N111">
        <v>7.81</v>
      </c>
      <c r="P111">
        <v>7.9</v>
      </c>
      <c r="R111">
        <v>8.99</v>
      </c>
      <c r="T111">
        <v>7.68</v>
      </c>
      <c r="V111">
        <v>9.81</v>
      </c>
      <c r="X111">
        <v>8.41</v>
      </c>
      <c r="Z111">
        <v>9.93</v>
      </c>
      <c r="AB111">
        <v>8.9600000000000009</v>
      </c>
      <c r="AD111">
        <v>8.91</v>
      </c>
      <c r="AF111">
        <v>9.57</v>
      </c>
      <c r="AG111">
        <v>9.07</v>
      </c>
      <c r="AH111">
        <v>5.24</v>
      </c>
      <c r="AJ111">
        <v>8.14</v>
      </c>
      <c r="AL111">
        <v>9.41</v>
      </c>
      <c r="AN111">
        <v>8.6300000000000008</v>
      </c>
      <c r="AP111">
        <v>8.93</v>
      </c>
      <c r="AR111">
        <v>8.11</v>
      </c>
      <c r="AT111">
        <v>8.93</v>
      </c>
      <c r="AV111">
        <v>9.68</v>
      </c>
      <c r="AX111">
        <v>10.0299999999999</v>
      </c>
      <c r="AZ111">
        <v>17.47</v>
      </c>
      <c r="BB111">
        <v>9.85</v>
      </c>
      <c r="BD111">
        <v>9.16</v>
      </c>
      <c r="BF111">
        <v>9.4600000000000009</v>
      </c>
      <c r="BH111">
        <v>8.7799999999999905</v>
      </c>
      <c r="BJ111">
        <v>6.99</v>
      </c>
      <c r="BL111">
        <v>7.79</v>
      </c>
      <c r="BN111">
        <v>8.92</v>
      </c>
      <c r="BP111">
        <v>9.17</v>
      </c>
      <c r="BR111">
        <v>8.82</v>
      </c>
      <c r="BS111">
        <v>8.7899999999999903</v>
      </c>
      <c r="BT111">
        <v>10.0299999999999</v>
      </c>
      <c r="BV111">
        <v>9.74</v>
      </c>
      <c r="BX111">
        <v>8.0399999999999903</v>
      </c>
      <c r="CA111">
        <v>8.27</v>
      </c>
      <c r="CC111">
        <v>7.43</v>
      </c>
      <c r="CD111">
        <v>7.88</v>
      </c>
      <c r="CE111">
        <v>6.03</v>
      </c>
      <c r="CG111">
        <v>10.01</v>
      </c>
      <c r="CI111">
        <v>8.06</v>
      </c>
      <c r="CK111">
        <v>6.52</v>
      </c>
      <c r="CM111">
        <v>8.25</v>
      </c>
      <c r="CO111">
        <v>7.33</v>
      </c>
      <c r="CP111">
        <v>5.71</v>
      </c>
      <c r="CQ111">
        <v>8.32</v>
      </c>
      <c r="CS111">
        <v>8.91</v>
      </c>
      <c r="CU111">
        <v>8.82</v>
      </c>
      <c r="CW111">
        <v>8.5399999999999903</v>
      </c>
      <c r="CY111">
        <v>8.82</v>
      </c>
      <c r="DA111">
        <v>9.16</v>
      </c>
      <c r="DC111">
        <v>9.07</v>
      </c>
      <c r="DE111">
        <v>8.01</v>
      </c>
      <c r="DG111">
        <v>7.25</v>
      </c>
      <c r="DL111">
        <v>9.8699999999999903</v>
      </c>
      <c r="DN111">
        <v>9.07</v>
      </c>
      <c r="DP111">
        <v>8.41</v>
      </c>
      <c r="DR111">
        <v>9.48</v>
      </c>
      <c r="DV111">
        <v>17.64</v>
      </c>
      <c r="DX111">
        <v>8.2100000000000009</v>
      </c>
      <c r="DZ111">
        <v>7.48</v>
      </c>
      <c r="EB111">
        <v>7.33</v>
      </c>
      <c r="ED111">
        <v>7.66</v>
      </c>
      <c r="EF111">
        <v>6.83</v>
      </c>
      <c r="EJ111">
        <v>9.66</v>
      </c>
      <c r="EK111">
        <v>8.24</v>
      </c>
      <c r="EM111">
        <v>8.76</v>
      </c>
      <c r="EO111">
        <v>8.2200000000000006</v>
      </c>
      <c r="EP111">
        <v>9.2200000000000006</v>
      </c>
      <c r="ER111">
        <v>17.079999999999899</v>
      </c>
      <c r="ET111">
        <v>7.12</v>
      </c>
      <c r="EV111">
        <v>8.8699999999999903</v>
      </c>
      <c r="EX111">
        <v>6.96</v>
      </c>
      <c r="EY111">
        <v>8.07</v>
      </c>
      <c r="EZ111">
        <v>7.71</v>
      </c>
      <c r="FB111">
        <v>8.7799999999999905</v>
      </c>
      <c r="FD111">
        <v>8.01</v>
      </c>
      <c r="FF111">
        <v>9.42</v>
      </c>
      <c r="FH111">
        <v>6.5</v>
      </c>
      <c r="FJ111">
        <v>7.61</v>
      </c>
      <c r="FL111">
        <v>6.33</v>
      </c>
      <c r="FN111">
        <v>5.14</v>
      </c>
      <c r="FP111">
        <v>9.57</v>
      </c>
      <c r="FQ111">
        <v>7.06</v>
      </c>
      <c r="FR111">
        <v>8.86</v>
      </c>
      <c r="FT111">
        <v>6.03</v>
      </c>
      <c r="FV111">
        <v>9.6</v>
      </c>
      <c r="FX111">
        <v>8.82</v>
      </c>
      <c r="FZ111">
        <v>8.7799999999999905</v>
      </c>
      <c r="GB111">
        <v>15.15</v>
      </c>
      <c r="GD111">
        <v>5.93</v>
      </c>
      <c r="GF111">
        <v>10.3</v>
      </c>
      <c r="GH111">
        <v>9.25</v>
      </c>
      <c r="GJ111">
        <v>8.1</v>
      </c>
      <c r="GL111">
        <v>6.22</v>
      </c>
      <c r="GN111">
        <v>8.49</v>
      </c>
      <c r="GP111">
        <v>7.17</v>
      </c>
      <c r="GR111">
        <v>9.07</v>
      </c>
      <c r="GS111">
        <v>8.2200000000000006</v>
      </c>
      <c r="GT111">
        <v>5.28</v>
      </c>
      <c r="GV111">
        <v>7.98</v>
      </c>
      <c r="GX111">
        <v>7.57</v>
      </c>
      <c r="GZ111">
        <v>9.7799999999999905</v>
      </c>
      <c r="HB111">
        <v>5.59</v>
      </c>
      <c r="HF111">
        <v>10.36</v>
      </c>
      <c r="HJ111">
        <v>5.58</v>
      </c>
      <c r="HL111">
        <v>8.75</v>
      </c>
      <c r="HN111">
        <v>7.28</v>
      </c>
      <c r="HP111">
        <v>9.89</v>
      </c>
      <c r="HR111">
        <v>7.68</v>
      </c>
      <c r="HT111">
        <v>5.66</v>
      </c>
      <c r="HV111">
        <v>9.44</v>
      </c>
      <c r="HX111">
        <v>8.4</v>
      </c>
      <c r="HZ111">
        <v>9.35</v>
      </c>
      <c r="IB111">
        <v>9.36</v>
      </c>
      <c r="ID111">
        <v>7.03</v>
      </c>
      <c r="IF111">
        <v>6.3</v>
      </c>
      <c r="IH111">
        <v>10.57</v>
      </c>
      <c r="IJ111">
        <v>10.33</v>
      </c>
      <c r="IL111">
        <v>10.17</v>
      </c>
      <c r="IN111">
        <v>8.1300000000000008</v>
      </c>
      <c r="IP111">
        <v>7.53</v>
      </c>
      <c r="IR111">
        <v>7.26</v>
      </c>
      <c r="IT111">
        <v>9.7100000000000009</v>
      </c>
      <c r="IV111">
        <v>9.93</v>
      </c>
      <c r="IX111">
        <v>6.24</v>
      </c>
      <c r="IZ111">
        <v>9.2899999999999903</v>
      </c>
      <c r="JB111">
        <v>7.65</v>
      </c>
      <c r="JD111">
        <v>9.17</v>
      </c>
      <c r="JF111">
        <v>10.24</v>
      </c>
      <c r="JH111">
        <v>10.69</v>
      </c>
      <c r="JJ111">
        <v>8.7100000000000009</v>
      </c>
      <c r="JL111">
        <v>7.72</v>
      </c>
      <c r="JN111">
        <v>8.1199999999999903</v>
      </c>
      <c r="JP111">
        <v>5.44</v>
      </c>
      <c r="JR111">
        <v>10.11</v>
      </c>
      <c r="JT111">
        <v>9.89</v>
      </c>
      <c r="JV111">
        <v>8.74</v>
      </c>
      <c r="JX111">
        <v>9.3699999999999903</v>
      </c>
      <c r="JZ111">
        <v>8.9700000000000006</v>
      </c>
      <c r="KB111">
        <v>7.09</v>
      </c>
      <c r="KD111">
        <v>7.9</v>
      </c>
      <c r="KF111">
        <v>8.51</v>
      </c>
      <c r="KH111">
        <v>6.77</v>
      </c>
      <c r="KI111">
        <v>2.19</v>
      </c>
      <c r="KJ111">
        <v>8.61</v>
      </c>
      <c r="KL111">
        <v>6.96</v>
      </c>
      <c r="KN111">
        <v>9.5299999999999905</v>
      </c>
      <c r="KP111">
        <v>6.61</v>
      </c>
      <c r="KR111">
        <v>8.65</v>
      </c>
      <c r="KT111">
        <v>10.02</v>
      </c>
      <c r="KV111">
        <v>8.81</v>
      </c>
      <c r="KX111">
        <v>9.61</v>
      </c>
      <c r="LA111">
        <v>10.1199999999999</v>
      </c>
      <c r="LB111">
        <v>9.68</v>
      </c>
      <c r="LD111">
        <v>8.02</v>
      </c>
      <c r="LF111">
        <v>7.36</v>
      </c>
    </row>
    <row r="112" spans="1:319">
      <c r="A112" s="20" t="s">
        <v>854</v>
      </c>
      <c r="B112">
        <v>1364.089999999999</v>
      </c>
      <c r="C112">
        <v>26.23249999999998</v>
      </c>
      <c r="D112" s="20" t="s">
        <v>847</v>
      </c>
      <c r="E112" s="20" t="s">
        <v>848</v>
      </c>
      <c r="F112">
        <v>5.28</v>
      </c>
      <c r="H112">
        <v>8.77</v>
      </c>
      <c r="I112">
        <v>4.8499999999999899</v>
      </c>
      <c r="K112">
        <v>6.14</v>
      </c>
      <c r="L112">
        <v>5.62</v>
      </c>
      <c r="N112">
        <v>6.83</v>
      </c>
      <c r="O112">
        <v>7.84</v>
      </c>
      <c r="Q112">
        <v>6.65</v>
      </c>
      <c r="R112">
        <v>8.92</v>
      </c>
      <c r="T112">
        <v>9.16</v>
      </c>
      <c r="U112">
        <v>6.63</v>
      </c>
      <c r="W112">
        <v>5.31</v>
      </c>
      <c r="X112">
        <v>7.12</v>
      </c>
      <c r="Z112">
        <v>9.77</v>
      </c>
      <c r="AA112">
        <v>7.01</v>
      </c>
      <c r="AC112">
        <v>7.32</v>
      </c>
      <c r="AI112">
        <v>8.34</v>
      </c>
      <c r="AJ112">
        <v>6.16</v>
      </c>
      <c r="AL112">
        <v>9.5</v>
      </c>
      <c r="AM112">
        <v>4.08</v>
      </c>
      <c r="AO112">
        <v>6.71</v>
      </c>
      <c r="AP112">
        <v>5.95</v>
      </c>
      <c r="AR112">
        <v>10.06</v>
      </c>
      <c r="AS112">
        <v>3.33</v>
      </c>
      <c r="AV112">
        <v>1.49</v>
      </c>
      <c r="BB112">
        <v>7.04</v>
      </c>
      <c r="BD112">
        <v>9.2799999999999905</v>
      </c>
      <c r="BE112">
        <v>6.05</v>
      </c>
      <c r="BG112">
        <v>6.86</v>
      </c>
      <c r="BH112">
        <v>6.59</v>
      </c>
      <c r="BJ112">
        <v>9.5500000000000007</v>
      </c>
      <c r="BK112">
        <v>6.58</v>
      </c>
      <c r="BM112">
        <v>7.93</v>
      </c>
      <c r="BN112">
        <v>6.41</v>
      </c>
      <c r="BP112">
        <v>8.58</v>
      </c>
      <c r="BR112">
        <v>6.15</v>
      </c>
      <c r="BS112">
        <v>5.55</v>
      </c>
      <c r="BT112">
        <v>8.1199999999999903</v>
      </c>
      <c r="BV112">
        <v>9.77</v>
      </c>
      <c r="BX112">
        <v>6.44</v>
      </c>
      <c r="BY112">
        <v>4.82</v>
      </c>
      <c r="CA112">
        <v>8.3699999999999903</v>
      </c>
      <c r="CC112">
        <v>8</v>
      </c>
      <c r="CD112">
        <v>5.01</v>
      </c>
      <c r="CF112">
        <v>5.29</v>
      </c>
      <c r="CG112">
        <v>6.34</v>
      </c>
      <c r="CH112">
        <v>6.57</v>
      </c>
      <c r="CJ112">
        <v>6.87</v>
      </c>
      <c r="CL112">
        <v>7.18</v>
      </c>
      <c r="CM112">
        <v>6.4</v>
      </c>
      <c r="CO112">
        <v>8.25</v>
      </c>
      <c r="CP112">
        <v>8.48</v>
      </c>
      <c r="CR112">
        <v>7.47</v>
      </c>
      <c r="CS112">
        <v>7.55</v>
      </c>
      <c r="CU112">
        <v>9.25</v>
      </c>
      <c r="CV112">
        <v>6.42</v>
      </c>
      <c r="CX112">
        <v>7.38</v>
      </c>
      <c r="CY112">
        <v>5.26</v>
      </c>
      <c r="CZ112">
        <v>5.38</v>
      </c>
      <c r="DA112">
        <v>3.06</v>
      </c>
      <c r="DB112">
        <v>4.4000000000000004</v>
      </c>
      <c r="DE112">
        <v>4.63</v>
      </c>
      <c r="DG112">
        <v>15.57</v>
      </c>
      <c r="DJ112">
        <v>8.83</v>
      </c>
      <c r="DL112">
        <v>5.0599999999999898</v>
      </c>
      <c r="DN112">
        <v>8.75</v>
      </c>
      <c r="DO112">
        <v>4.18</v>
      </c>
      <c r="DR112">
        <v>7.24</v>
      </c>
      <c r="DT112">
        <v>7.73</v>
      </c>
      <c r="DU112">
        <v>6.24</v>
      </c>
      <c r="DV112">
        <v>8.16</v>
      </c>
      <c r="DW112">
        <v>6.68</v>
      </c>
      <c r="DX112">
        <v>7.53</v>
      </c>
      <c r="DZ112">
        <v>5.32</v>
      </c>
      <c r="EA112">
        <v>4.38</v>
      </c>
      <c r="EB112">
        <v>3.3</v>
      </c>
      <c r="EC112">
        <v>3.95</v>
      </c>
      <c r="ED112">
        <v>6.37</v>
      </c>
      <c r="EF112">
        <v>8.2200000000000006</v>
      </c>
      <c r="EG112">
        <v>5.38</v>
      </c>
      <c r="EI112">
        <v>6.91</v>
      </c>
      <c r="EJ112">
        <v>6.36</v>
      </c>
      <c r="EK112">
        <v>6.08</v>
      </c>
      <c r="EL112">
        <v>5.42</v>
      </c>
      <c r="EN112">
        <v>8.58</v>
      </c>
      <c r="EP112">
        <v>8.51</v>
      </c>
      <c r="EQ112">
        <v>7.18</v>
      </c>
      <c r="ER112">
        <v>4.4000000000000004</v>
      </c>
      <c r="ES112">
        <v>2.88</v>
      </c>
      <c r="EU112">
        <v>8.42</v>
      </c>
      <c r="EV112">
        <v>4.87</v>
      </c>
      <c r="EX112">
        <v>8.93</v>
      </c>
      <c r="EY112">
        <v>3.23</v>
      </c>
      <c r="FA112">
        <v>8.0299999999999905</v>
      </c>
      <c r="FB112">
        <v>6.46</v>
      </c>
      <c r="FD112">
        <v>8.15</v>
      </c>
      <c r="FE112">
        <v>2.5</v>
      </c>
      <c r="FG112">
        <v>6.94</v>
      </c>
      <c r="FH112">
        <v>5.0999999999999899</v>
      </c>
      <c r="FJ112">
        <v>6.86</v>
      </c>
      <c r="FK112">
        <v>8.66</v>
      </c>
      <c r="FM112">
        <v>9.49</v>
      </c>
      <c r="FN112">
        <v>5.53</v>
      </c>
      <c r="FP112">
        <v>8.2799999999999905</v>
      </c>
      <c r="FQ112">
        <v>5.0199999999999898</v>
      </c>
      <c r="FS112">
        <v>6.71</v>
      </c>
      <c r="FT112">
        <v>6.26</v>
      </c>
      <c r="FV112">
        <v>8.41</v>
      </c>
      <c r="FW112">
        <v>8.7899999999999903</v>
      </c>
      <c r="FX112">
        <v>10.49</v>
      </c>
      <c r="FY112">
        <v>10.18</v>
      </c>
      <c r="FZ112">
        <v>3.55</v>
      </c>
      <c r="GB112">
        <v>7.87</v>
      </c>
      <c r="GC112">
        <v>3.55</v>
      </c>
      <c r="GE112">
        <v>7.57</v>
      </c>
      <c r="GF112">
        <v>4.63</v>
      </c>
      <c r="GH112">
        <v>9.18</v>
      </c>
      <c r="GI112">
        <v>6.12</v>
      </c>
      <c r="GK112">
        <v>8.41</v>
      </c>
      <c r="GL112">
        <v>9.41</v>
      </c>
      <c r="GN112">
        <v>9.44</v>
      </c>
      <c r="GO112">
        <v>4.7300000000000004</v>
      </c>
      <c r="GQ112">
        <v>6.29</v>
      </c>
      <c r="GR112">
        <v>6.52</v>
      </c>
      <c r="GT112">
        <v>9.84</v>
      </c>
      <c r="GU112">
        <v>8.1300000000000008</v>
      </c>
      <c r="GW112">
        <v>8.35</v>
      </c>
      <c r="GX112">
        <v>7.31</v>
      </c>
      <c r="GZ112">
        <v>8.14</v>
      </c>
      <c r="HA112">
        <v>4.21</v>
      </c>
      <c r="HC112">
        <v>8.23</v>
      </c>
      <c r="HD112">
        <v>2.62</v>
      </c>
      <c r="HN112">
        <v>6.67</v>
      </c>
      <c r="HO112">
        <v>8.48</v>
      </c>
      <c r="HP112">
        <v>6.24</v>
      </c>
      <c r="HR112">
        <v>6.83</v>
      </c>
      <c r="HS112">
        <v>5.1100000000000003</v>
      </c>
      <c r="HU112">
        <v>7.89</v>
      </c>
      <c r="HV112">
        <v>6.29</v>
      </c>
      <c r="HX112">
        <v>5.19</v>
      </c>
      <c r="HY112">
        <v>3.98</v>
      </c>
      <c r="IB112">
        <v>8.3000000000000007</v>
      </c>
      <c r="ID112">
        <v>9.17</v>
      </c>
      <c r="IE112">
        <v>8.93</v>
      </c>
      <c r="IG112">
        <v>6.48</v>
      </c>
      <c r="IH112">
        <v>9.58</v>
      </c>
      <c r="IJ112">
        <v>9.76</v>
      </c>
      <c r="IK112">
        <v>6.75</v>
      </c>
      <c r="IM112">
        <v>6.9</v>
      </c>
      <c r="IN112">
        <v>6.31</v>
      </c>
      <c r="IP112">
        <v>9.09</v>
      </c>
      <c r="IQ112">
        <v>8.0500000000000007</v>
      </c>
      <c r="IS112">
        <v>7.58</v>
      </c>
      <c r="IT112">
        <v>5.75</v>
      </c>
      <c r="IV112">
        <v>8.74</v>
      </c>
      <c r="IW112">
        <v>8.0299999999999905</v>
      </c>
      <c r="IY112">
        <v>9.2200000000000006</v>
      </c>
      <c r="IZ112">
        <v>8.34</v>
      </c>
      <c r="JB112">
        <v>7.83</v>
      </c>
      <c r="JC112">
        <v>4.18</v>
      </c>
      <c r="JE112">
        <v>5.43</v>
      </c>
      <c r="JF112">
        <v>7.99</v>
      </c>
      <c r="JH112">
        <v>7.03</v>
      </c>
      <c r="JI112">
        <v>7.5</v>
      </c>
      <c r="JK112">
        <v>5.59</v>
      </c>
      <c r="JL112">
        <v>8.99</v>
      </c>
      <c r="JN112">
        <v>6.01</v>
      </c>
      <c r="JO112">
        <v>8.39</v>
      </c>
      <c r="JQ112">
        <v>5.01</v>
      </c>
      <c r="JR112">
        <v>7.67</v>
      </c>
      <c r="JT112">
        <v>9</v>
      </c>
      <c r="JU112">
        <v>5.54</v>
      </c>
      <c r="JW112">
        <v>7.6</v>
      </c>
      <c r="JX112">
        <v>4.7699999999999898</v>
      </c>
      <c r="JZ112">
        <v>7.32</v>
      </c>
      <c r="KA112">
        <v>6.29</v>
      </c>
      <c r="KC112">
        <v>7.77</v>
      </c>
      <c r="KD112">
        <v>7.56</v>
      </c>
      <c r="KF112">
        <v>9.09</v>
      </c>
      <c r="KG112">
        <v>7.74</v>
      </c>
      <c r="KI112">
        <v>4.75</v>
      </c>
      <c r="KJ112">
        <v>7.87</v>
      </c>
      <c r="KL112">
        <v>6.66</v>
      </c>
      <c r="KM112">
        <v>5.58</v>
      </c>
      <c r="KO112">
        <v>7.34</v>
      </c>
      <c r="KP112">
        <v>4.7699999999999898</v>
      </c>
      <c r="KQ112">
        <v>4.0999999999999899</v>
      </c>
      <c r="KR112">
        <v>10.210000000000001</v>
      </c>
      <c r="KS112">
        <v>4.26</v>
      </c>
      <c r="KU112">
        <v>8.4600000000000009</v>
      </c>
      <c r="KV112">
        <v>4.63</v>
      </c>
      <c r="KX112">
        <v>5.23</v>
      </c>
      <c r="KY112">
        <v>5.08</v>
      </c>
      <c r="LA112">
        <v>6.46</v>
      </c>
      <c r="LD112">
        <v>19.309999999999899</v>
      </c>
      <c r="LG112">
        <v>8.68</v>
      </c>
    </row>
    <row r="113" spans="1:319">
      <c r="A113" s="20" t="s">
        <v>855</v>
      </c>
      <c r="B113">
        <v>1199.94</v>
      </c>
      <c r="C113">
        <v>23.075769230769232</v>
      </c>
      <c r="D113" s="20" t="s">
        <v>847</v>
      </c>
      <c r="E113" s="20" t="s">
        <v>848</v>
      </c>
      <c r="G113">
        <v>7.22</v>
      </c>
      <c r="I113">
        <v>8.09</v>
      </c>
      <c r="K113">
        <v>7.39</v>
      </c>
      <c r="M113">
        <v>8.41</v>
      </c>
      <c r="O113">
        <v>6.83</v>
      </c>
      <c r="Q113">
        <v>8.5399999999999903</v>
      </c>
      <c r="S113">
        <v>6.67</v>
      </c>
      <c r="U113">
        <v>8.81</v>
      </c>
      <c r="W113">
        <v>7.51</v>
      </c>
      <c r="Y113">
        <v>7.64</v>
      </c>
      <c r="AA113">
        <v>7.32</v>
      </c>
      <c r="AC113">
        <v>7.93</v>
      </c>
      <c r="AE113">
        <v>6.87</v>
      </c>
      <c r="AG113">
        <v>8.85</v>
      </c>
      <c r="AI113">
        <v>6.88</v>
      </c>
      <c r="AK113">
        <v>8.81</v>
      </c>
      <c r="AM113">
        <v>6.49</v>
      </c>
      <c r="AO113">
        <v>8.5500000000000007</v>
      </c>
      <c r="AQ113">
        <v>8.2200000000000006</v>
      </c>
      <c r="AS113">
        <v>6.98</v>
      </c>
      <c r="AW113">
        <v>9.2899999999999903</v>
      </c>
      <c r="AY113">
        <v>5.27</v>
      </c>
      <c r="BA113">
        <v>13.51</v>
      </c>
      <c r="BC113">
        <v>8.32</v>
      </c>
      <c r="BE113">
        <v>6.71</v>
      </c>
      <c r="BG113">
        <v>8.68</v>
      </c>
      <c r="BI113">
        <v>7.96</v>
      </c>
      <c r="BJ113">
        <v>4.3899999999999899</v>
      </c>
      <c r="BK113">
        <v>7.13</v>
      </c>
      <c r="BM113">
        <v>8.61</v>
      </c>
      <c r="BO113">
        <v>8.82</v>
      </c>
      <c r="BQ113">
        <v>6.97</v>
      </c>
      <c r="BS113">
        <v>8.51</v>
      </c>
      <c r="BU113">
        <v>6.39</v>
      </c>
      <c r="BW113">
        <v>8.82</v>
      </c>
      <c r="BY113">
        <v>6.55</v>
      </c>
      <c r="CB113">
        <v>7.11</v>
      </c>
      <c r="CC113">
        <v>9.0500000000000007</v>
      </c>
      <c r="CD113">
        <v>5.23</v>
      </c>
      <c r="CF113">
        <v>6.2</v>
      </c>
      <c r="CH113">
        <v>7.66</v>
      </c>
      <c r="CJ113">
        <v>8.1300000000000008</v>
      </c>
      <c r="CL113">
        <v>7.8</v>
      </c>
      <c r="CN113">
        <v>7.2</v>
      </c>
      <c r="CP113">
        <v>8.2200000000000006</v>
      </c>
      <c r="CR113">
        <v>5.46</v>
      </c>
      <c r="CT113">
        <v>7.61</v>
      </c>
      <c r="CV113">
        <v>11.34</v>
      </c>
      <c r="CX113">
        <v>6.86</v>
      </c>
      <c r="CZ113">
        <v>8.08</v>
      </c>
      <c r="DB113">
        <v>7.76</v>
      </c>
      <c r="DD113">
        <v>9.2200000000000006</v>
      </c>
      <c r="DF113">
        <v>6.66</v>
      </c>
      <c r="DJ113">
        <v>7.56</v>
      </c>
      <c r="DM113">
        <v>7.91</v>
      </c>
      <c r="DO113">
        <v>7.83</v>
      </c>
      <c r="DQ113">
        <v>6.76</v>
      </c>
      <c r="DS113">
        <v>5.03</v>
      </c>
      <c r="DU113">
        <v>6.77</v>
      </c>
      <c r="DW113">
        <v>8.8699999999999903</v>
      </c>
      <c r="DY113">
        <v>8.6999999999999904</v>
      </c>
      <c r="EA113">
        <v>6.65</v>
      </c>
      <c r="EC113">
        <v>8.32</v>
      </c>
      <c r="EE113">
        <v>6.49</v>
      </c>
      <c r="EG113">
        <v>6.33</v>
      </c>
      <c r="EI113">
        <v>5.84</v>
      </c>
      <c r="EL113">
        <v>8.9600000000000009</v>
      </c>
      <c r="EN113">
        <v>6.98</v>
      </c>
      <c r="EQ113">
        <v>6.7</v>
      </c>
      <c r="ES113">
        <v>7.16</v>
      </c>
      <c r="EU113">
        <v>9.26</v>
      </c>
      <c r="EW113">
        <v>7.83</v>
      </c>
      <c r="EY113">
        <v>7.18</v>
      </c>
      <c r="FA113">
        <v>6.98</v>
      </c>
      <c r="FC113">
        <v>6.47</v>
      </c>
      <c r="FE113">
        <v>8.27</v>
      </c>
      <c r="FG113">
        <v>8.7799999999999905</v>
      </c>
      <c r="FI113">
        <v>13.63</v>
      </c>
      <c r="FK113">
        <v>6.18</v>
      </c>
      <c r="FM113">
        <v>8.48</v>
      </c>
      <c r="FO113">
        <v>7.24</v>
      </c>
      <c r="FQ113">
        <v>12.33</v>
      </c>
      <c r="FS113">
        <v>7.66</v>
      </c>
      <c r="FU113">
        <v>8.42</v>
      </c>
      <c r="FW113">
        <v>7.45</v>
      </c>
      <c r="FY113">
        <v>7.74</v>
      </c>
      <c r="GA113">
        <v>9.7799999999999905</v>
      </c>
      <c r="GB113">
        <v>7.94</v>
      </c>
      <c r="GC113">
        <v>8.3800000000000008</v>
      </c>
      <c r="GE113">
        <v>13.89</v>
      </c>
      <c r="GG113">
        <v>8.7899999999999903</v>
      </c>
      <c r="GI113">
        <v>6.7</v>
      </c>
      <c r="GK113">
        <v>9.0500000000000007</v>
      </c>
      <c r="GM113">
        <v>6.81</v>
      </c>
      <c r="GO113">
        <v>8.7100000000000009</v>
      </c>
      <c r="GQ113">
        <v>6.31</v>
      </c>
      <c r="GS113">
        <v>9.1</v>
      </c>
      <c r="GU113">
        <v>3.2</v>
      </c>
      <c r="GW113">
        <v>8.5500000000000007</v>
      </c>
      <c r="GY113">
        <v>6.03</v>
      </c>
      <c r="HA113">
        <v>9.0299999999999905</v>
      </c>
      <c r="HC113">
        <v>7.15</v>
      </c>
      <c r="HE113">
        <v>8.61</v>
      </c>
      <c r="HG113">
        <v>8.2899999999999903</v>
      </c>
      <c r="HI113">
        <v>9.08</v>
      </c>
      <c r="HK113">
        <v>6.96</v>
      </c>
      <c r="HM113">
        <v>8.49</v>
      </c>
      <c r="HO113">
        <v>6.31</v>
      </c>
      <c r="HQ113">
        <v>8.93</v>
      </c>
      <c r="HS113">
        <v>7.3</v>
      </c>
      <c r="HU113">
        <v>8.89</v>
      </c>
      <c r="HW113">
        <v>9.2200000000000006</v>
      </c>
      <c r="HY113">
        <v>3.83</v>
      </c>
      <c r="IA113">
        <v>6.46</v>
      </c>
      <c r="IC113">
        <v>7.4</v>
      </c>
      <c r="IE113">
        <v>8.2899999999999903</v>
      </c>
      <c r="IG113">
        <v>7.1</v>
      </c>
      <c r="II113">
        <v>4.97</v>
      </c>
      <c r="IK113">
        <v>8.4600000000000009</v>
      </c>
      <c r="IM113">
        <v>6.58</v>
      </c>
      <c r="IO113">
        <v>8.33</v>
      </c>
      <c r="IQ113">
        <v>6.7</v>
      </c>
      <c r="IS113">
        <v>7.88</v>
      </c>
      <c r="IU113">
        <v>5.91</v>
      </c>
      <c r="IW113">
        <v>7.39</v>
      </c>
      <c r="IY113">
        <v>6.21</v>
      </c>
      <c r="JA113">
        <v>5.7</v>
      </c>
      <c r="JC113">
        <v>7.77</v>
      </c>
      <c r="JE113">
        <v>8.7200000000000006</v>
      </c>
      <c r="JG113">
        <v>5.96</v>
      </c>
      <c r="JI113">
        <v>7.22</v>
      </c>
      <c r="JK113">
        <v>6.55</v>
      </c>
      <c r="JM113">
        <v>7.17</v>
      </c>
      <c r="JO113">
        <v>7.16</v>
      </c>
      <c r="JQ113">
        <v>9.66</v>
      </c>
      <c r="JS113">
        <v>6.8</v>
      </c>
      <c r="JU113">
        <v>8.89</v>
      </c>
      <c r="JW113">
        <v>6.44</v>
      </c>
      <c r="JY113">
        <v>8.48</v>
      </c>
      <c r="KA113">
        <v>6.18</v>
      </c>
      <c r="KC113">
        <v>9.19</v>
      </c>
      <c r="KE113">
        <v>10</v>
      </c>
      <c r="KG113">
        <v>8.48</v>
      </c>
      <c r="KI113">
        <v>6.75</v>
      </c>
      <c r="KK113">
        <v>7.64</v>
      </c>
      <c r="KM113">
        <v>7.36</v>
      </c>
      <c r="KO113">
        <v>7.83</v>
      </c>
      <c r="KQ113">
        <v>8.7100000000000009</v>
      </c>
      <c r="KS113">
        <v>5.65</v>
      </c>
      <c r="KU113">
        <v>9.08</v>
      </c>
      <c r="KW113">
        <v>6.28</v>
      </c>
      <c r="KY113">
        <v>8.09</v>
      </c>
      <c r="LA113">
        <v>7.31</v>
      </c>
      <c r="LC113">
        <v>6.39</v>
      </c>
      <c r="LE113">
        <v>8.84</v>
      </c>
      <c r="LG113">
        <v>6.34</v>
      </c>
    </row>
    <row r="114" spans="1:319">
      <c r="A114" s="20" t="s">
        <v>296</v>
      </c>
      <c r="B114">
        <v>1234.2</v>
      </c>
      <c r="C114">
        <v>23.734615384615385</v>
      </c>
      <c r="D114" s="20" t="s">
        <v>847</v>
      </c>
      <c r="E114" s="20" t="s">
        <v>856</v>
      </c>
      <c r="F114">
        <v>8.86</v>
      </c>
      <c r="G114">
        <v>6.62</v>
      </c>
      <c r="H114">
        <v>9.52</v>
      </c>
      <c r="J114">
        <v>8.49</v>
      </c>
      <c r="L114">
        <v>7.74</v>
      </c>
      <c r="N114">
        <v>7.8</v>
      </c>
      <c r="P114">
        <v>8.5</v>
      </c>
      <c r="R114">
        <v>8.89</v>
      </c>
      <c r="T114">
        <v>9.1300000000000008</v>
      </c>
      <c r="V114">
        <v>9.61</v>
      </c>
      <c r="X114">
        <v>8.48</v>
      </c>
      <c r="Z114">
        <v>8</v>
      </c>
      <c r="AB114">
        <v>8.64</v>
      </c>
      <c r="AD114">
        <v>9.23</v>
      </c>
      <c r="AF114">
        <v>9.1</v>
      </c>
      <c r="AH114">
        <v>8.73</v>
      </c>
      <c r="AJ114">
        <v>7.89</v>
      </c>
      <c r="AL114">
        <v>8.66</v>
      </c>
      <c r="AN114">
        <v>9.44</v>
      </c>
      <c r="AT114">
        <v>8.57</v>
      </c>
      <c r="AV114">
        <v>7.81</v>
      </c>
      <c r="AX114">
        <v>7.66</v>
      </c>
      <c r="BA114">
        <v>6.2</v>
      </c>
      <c r="BB114">
        <v>8.39</v>
      </c>
      <c r="BD114">
        <v>7.77</v>
      </c>
      <c r="BF114">
        <v>9.17</v>
      </c>
      <c r="BH114">
        <v>9.0299999999999905</v>
      </c>
      <c r="BJ114">
        <v>8.42</v>
      </c>
      <c r="BL114">
        <v>8.9</v>
      </c>
      <c r="BN114">
        <v>7.85</v>
      </c>
      <c r="BP114">
        <v>9.2200000000000006</v>
      </c>
      <c r="BR114">
        <v>9.52</v>
      </c>
      <c r="BT114">
        <v>9.81</v>
      </c>
      <c r="BV114">
        <v>8.41</v>
      </c>
      <c r="BX114">
        <v>12.2</v>
      </c>
      <c r="CA114">
        <v>8.36</v>
      </c>
      <c r="CC114">
        <v>9.26</v>
      </c>
      <c r="CE114">
        <v>8.82</v>
      </c>
      <c r="CG114">
        <v>9.09</v>
      </c>
      <c r="CI114">
        <v>9.57</v>
      </c>
      <c r="CK114">
        <v>9.6199999999999903</v>
      </c>
      <c r="CM114">
        <v>6.97</v>
      </c>
      <c r="CO114">
        <v>8.35</v>
      </c>
      <c r="CQ114">
        <v>8.7899999999999903</v>
      </c>
      <c r="CS114">
        <v>7.73</v>
      </c>
      <c r="CU114">
        <v>16.52</v>
      </c>
      <c r="CW114">
        <v>7.41</v>
      </c>
      <c r="CY114">
        <v>8.15</v>
      </c>
      <c r="DA114">
        <v>8.43</v>
      </c>
      <c r="DC114">
        <v>8.25</v>
      </c>
      <c r="DE114">
        <v>8.4600000000000009</v>
      </c>
      <c r="DG114">
        <v>7.56</v>
      </c>
      <c r="DL114">
        <v>8</v>
      </c>
      <c r="DP114">
        <v>6.4</v>
      </c>
      <c r="DQ114">
        <v>8.61</v>
      </c>
      <c r="DR114">
        <v>7.46</v>
      </c>
      <c r="DT114">
        <v>7.43</v>
      </c>
      <c r="DV114">
        <v>7.9</v>
      </c>
      <c r="DX114">
        <v>7.01</v>
      </c>
      <c r="DZ114">
        <v>7.67</v>
      </c>
      <c r="EB114">
        <v>8.0299999999999905</v>
      </c>
      <c r="ED114">
        <v>8.08</v>
      </c>
      <c r="EF114">
        <v>7.97</v>
      </c>
      <c r="EJ114">
        <v>8.06</v>
      </c>
      <c r="EK114">
        <v>9.06</v>
      </c>
      <c r="EP114">
        <v>8.52</v>
      </c>
      <c r="ER114">
        <v>8.93</v>
      </c>
      <c r="EU114">
        <v>7.08</v>
      </c>
      <c r="EV114">
        <v>4.51</v>
      </c>
      <c r="EX114">
        <v>7.34</v>
      </c>
      <c r="EZ114">
        <v>8.69</v>
      </c>
      <c r="FB114">
        <v>7.3</v>
      </c>
      <c r="FD114">
        <v>8.2899999999999903</v>
      </c>
      <c r="FF114">
        <v>7.56</v>
      </c>
      <c r="FH114">
        <v>10.34</v>
      </c>
      <c r="FK114">
        <v>7.96</v>
      </c>
      <c r="FL114">
        <v>8.0500000000000007</v>
      </c>
      <c r="FN114">
        <v>5.75</v>
      </c>
      <c r="FP114">
        <v>9.6199999999999903</v>
      </c>
      <c r="FR114">
        <v>8.65</v>
      </c>
      <c r="FT114">
        <v>6.33</v>
      </c>
      <c r="FV114">
        <v>9.65</v>
      </c>
      <c r="FY114">
        <v>9.2200000000000006</v>
      </c>
      <c r="FZ114">
        <v>9.51</v>
      </c>
      <c r="GB114">
        <v>7.1</v>
      </c>
      <c r="GE114">
        <v>8.07</v>
      </c>
      <c r="GF114">
        <v>7.24</v>
      </c>
      <c r="GH114">
        <v>9.01</v>
      </c>
      <c r="GJ114">
        <v>6.45</v>
      </c>
      <c r="GL114">
        <v>9.99</v>
      </c>
      <c r="GN114">
        <v>5.34</v>
      </c>
      <c r="GP114">
        <v>9.9700000000000006</v>
      </c>
      <c r="GR114">
        <v>8.67</v>
      </c>
      <c r="GT114">
        <v>10.25</v>
      </c>
      <c r="GX114">
        <v>8.41</v>
      </c>
      <c r="GZ114">
        <v>8.09</v>
      </c>
      <c r="HB114">
        <v>7.15</v>
      </c>
      <c r="HD114">
        <v>6.67</v>
      </c>
      <c r="HF114">
        <v>8.9499999999999904</v>
      </c>
      <c r="HH114">
        <v>5.26</v>
      </c>
      <c r="HJ114">
        <v>8.25</v>
      </c>
      <c r="HL114">
        <v>9.33</v>
      </c>
      <c r="HN114">
        <v>8.1199999999999903</v>
      </c>
      <c r="HP114">
        <v>8.93</v>
      </c>
      <c r="HR114">
        <v>8.57</v>
      </c>
      <c r="HT114">
        <v>5.17</v>
      </c>
      <c r="HV114">
        <v>8.66</v>
      </c>
      <c r="HX114">
        <v>9.35</v>
      </c>
      <c r="IB114">
        <v>9.31</v>
      </c>
      <c r="IE114">
        <v>10.3</v>
      </c>
      <c r="IG114">
        <v>5.09</v>
      </c>
      <c r="IH114">
        <v>8.4600000000000009</v>
      </c>
      <c r="IJ114">
        <v>9.6300000000000008</v>
      </c>
      <c r="IL114">
        <v>8.4499999999999904</v>
      </c>
      <c r="IN114">
        <v>8.3000000000000007</v>
      </c>
      <c r="IP114">
        <v>8.4700000000000006</v>
      </c>
      <c r="IR114">
        <v>8.94</v>
      </c>
      <c r="IT114">
        <v>8.8699999999999903</v>
      </c>
      <c r="IV114">
        <v>8.94</v>
      </c>
      <c r="IX114">
        <v>10.79</v>
      </c>
      <c r="JB114">
        <v>0.78</v>
      </c>
      <c r="JD114">
        <v>8.7899999999999903</v>
      </c>
      <c r="JF114">
        <v>7.47</v>
      </c>
      <c r="JH114">
        <v>9.51</v>
      </c>
      <c r="JJ114">
        <v>7.8</v>
      </c>
      <c r="JL114">
        <v>8.43</v>
      </c>
      <c r="JN114">
        <v>10.08</v>
      </c>
      <c r="JP114">
        <v>6.11</v>
      </c>
      <c r="JR114">
        <v>8.16</v>
      </c>
      <c r="JV114">
        <v>10.19</v>
      </c>
      <c r="JX114">
        <v>9.0399999999999903</v>
      </c>
      <c r="JZ114">
        <v>7.54</v>
      </c>
      <c r="KB114">
        <v>6.2</v>
      </c>
      <c r="KD114">
        <v>7.61</v>
      </c>
      <c r="KF114">
        <v>9.8000000000000007</v>
      </c>
      <c r="KH114">
        <v>10.19</v>
      </c>
      <c r="KJ114">
        <v>9.68</v>
      </c>
      <c r="KL114">
        <v>8.49</v>
      </c>
      <c r="KN114">
        <v>9.2799999999999905</v>
      </c>
      <c r="KP114">
        <v>9.43</v>
      </c>
      <c r="KR114">
        <v>7.76</v>
      </c>
      <c r="KT114">
        <v>8.43</v>
      </c>
      <c r="KV114">
        <v>5.4</v>
      </c>
      <c r="KX114">
        <v>6.22</v>
      </c>
      <c r="KZ114">
        <v>7.52</v>
      </c>
      <c r="LB114">
        <v>8.98</v>
      </c>
      <c r="LD114">
        <v>8.43</v>
      </c>
      <c r="LF114">
        <v>9.75</v>
      </c>
    </row>
    <row r="115" spans="1:319">
      <c r="A115" s="20" t="s">
        <v>857</v>
      </c>
      <c r="B115">
        <v>1512.42</v>
      </c>
      <c r="C115">
        <v>29.085000000000001</v>
      </c>
      <c r="D115" s="20" t="s">
        <v>847</v>
      </c>
      <c r="E115" s="20" t="s">
        <v>858</v>
      </c>
      <c r="F115">
        <v>15.76</v>
      </c>
      <c r="H115">
        <v>6.45</v>
      </c>
      <c r="I115">
        <v>7.99</v>
      </c>
      <c r="M115">
        <v>15.02</v>
      </c>
      <c r="N115">
        <v>6.21</v>
      </c>
      <c r="O115">
        <v>7.87</v>
      </c>
      <c r="R115">
        <v>17.21</v>
      </c>
      <c r="T115">
        <v>5.73</v>
      </c>
      <c r="U115">
        <v>8.35</v>
      </c>
      <c r="Y115">
        <v>8.0299999999999905</v>
      </c>
      <c r="Z115">
        <v>8.4499999999999904</v>
      </c>
      <c r="AA115">
        <v>8.14</v>
      </c>
      <c r="AE115">
        <v>7.94</v>
      </c>
      <c r="AF115">
        <v>13.72</v>
      </c>
      <c r="AG115">
        <v>4.5999999999999899</v>
      </c>
      <c r="AJ115">
        <v>13.94</v>
      </c>
      <c r="AL115">
        <v>4.76</v>
      </c>
      <c r="AM115">
        <v>4.37</v>
      </c>
      <c r="AP115">
        <v>13.63</v>
      </c>
      <c r="AR115">
        <v>7.72</v>
      </c>
      <c r="AS115">
        <v>5.32</v>
      </c>
      <c r="AV115">
        <v>15.49</v>
      </c>
      <c r="AX115">
        <v>6.1</v>
      </c>
      <c r="AY115">
        <v>6.33</v>
      </c>
      <c r="BB115">
        <v>10.5</v>
      </c>
      <c r="BD115">
        <v>7.54</v>
      </c>
      <c r="BF115">
        <v>7.6</v>
      </c>
      <c r="BH115">
        <v>16.079999999999899</v>
      </c>
      <c r="BJ115">
        <v>7.5</v>
      </c>
      <c r="BK115">
        <v>6.69</v>
      </c>
      <c r="BM115">
        <v>5.79</v>
      </c>
      <c r="BN115">
        <v>7.7</v>
      </c>
      <c r="BP115">
        <v>6</v>
      </c>
      <c r="BQ115">
        <v>6.48</v>
      </c>
      <c r="BT115">
        <v>16.66</v>
      </c>
      <c r="BV115">
        <v>6.65</v>
      </c>
      <c r="BW115">
        <v>7.81</v>
      </c>
      <c r="BY115">
        <v>6.89</v>
      </c>
      <c r="CA115">
        <v>7.17</v>
      </c>
      <c r="CB115">
        <v>8.1</v>
      </c>
      <c r="CC115">
        <v>7.02</v>
      </c>
      <c r="CD115">
        <v>4.2</v>
      </c>
      <c r="CG115">
        <v>17.600000000000001</v>
      </c>
      <c r="CI115">
        <v>8.4499999999999904</v>
      </c>
      <c r="CJ115">
        <v>8.5500000000000007</v>
      </c>
      <c r="CK115">
        <v>8.3699999999999903</v>
      </c>
      <c r="CL115">
        <v>7.34</v>
      </c>
      <c r="CM115">
        <v>12.48</v>
      </c>
      <c r="CP115">
        <v>14.47</v>
      </c>
      <c r="CS115">
        <v>8.14</v>
      </c>
      <c r="CT115">
        <v>6.87</v>
      </c>
      <c r="CU115">
        <v>7.7</v>
      </c>
      <c r="CV115">
        <v>6.78</v>
      </c>
      <c r="CX115">
        <v>5.51</v>
      </c>
      <c r="CY115">
        <v>12.36</v>
      </c>
      <c r="DA115">
        <v>5.78</v>
      </c>
      <c r="DB115">
        <v>5.9</v>
      </c>
      <c r="DC115">
        <v>6.57</v>
      </c>
      <c r="DE115">
        <v>15.94</v>
      </c>
      <c r="DG115">
        <v>8.65</v>
      </c>
      <c r="DJ115">
        <v>5.26</v>
      </c>
      <c r="DL115">
        <v>12.64</v>
      </c>
      <c r="DN115">
        <v>7.86</v>
      </c>
      <c r="DO115">
        <v>8.58</v>
      </c>
      <c r="DS115">
        <v>7.49</v>
      </c>
      <c r="DT115">
        <v>8.0299999999999905</v>
      </c>
      <c r="DU115">
        <v>7.67</v>
      </c>
      <c r="DX115">
        <v>14.83</v>
      </c>
      <c r="DZ115">
        <v>7.71</v>
      </c>
      <c r="EA115">
        <v>7.43</v>
      </c>
      <c r="ED115">
        <v>13.95</v>
      </c>
      <c r="EF115">
        <v>5.47</v>
      </c>
      <c r="EG115">
        <v>5.89</v>
      </c>
      <c r="EJ115">
        <v>12.76</v>
      </c>
      <c r="EP115">
        <v>6.72</v>
      </c>
      <c r="EQ115">
        <v>3.33</v>
      </c>
      <c r="ER115">
        <v>4.82</v>
      </c>
      <c r="ES115">
        <v>8.36</v>
      </c>
      <c r="EV115">
        <v>7.17</v>
      </c>
      <c r="EW115">
        <v>8.06</v>
      </c>
      <c r="EX115">
        <v>8.5500000000000007</v>
      </c>
      <c r="EY115">
        <v>7</v>
      </c>
      <c r="FA115">
        <v>6.98</v>
      </c>
      <c r="FB115">
        <v>18.05</v>
      </c>
      <c r="FD115">
        <v>7.85</v>
      </c>
      <c r="FE115">
        <v>6.07</v>
      </c>
      <c r="FH115">
        <v>18.79</v>
      </c>
      <c r="FJ115">
        <v>7.32</v>
      </c>
      <c r="FK115">
        <v>6</v>
      </c>
      <c r="FM115">
        <v>7.37</v>
      </c>
      <c r="FN115">
        <v>15.6</v>
      </c>
      <c r="FP115">
        <v>7.99</v>
      </c>
      <c r="FQ115">
        <v>5.15</v>
      </c>
      <c r="FT115">
        <v>8.18</v>
      </c>
      <c r="FU115">
        <v>8.61</v>
      </c>
      <c r="FV115">
        <v>5.83</v>
      </c>
      <c r="FW115">
        <v>4.88</v>
      </c>
      <c r="FZ115">
        <v>17.579999999999899</v>
      </c>
      <c r="GB115">
        <v>7.8</v>
      </c>
      <c r="GC115">
        <v>4.4400000000000004</v>
      </c>
      <c r="GF115">
        <v>14.31</v>
      </c>
      <c r="GH115">
        <v>7.16</v>
      </c>
      <c r="GI115">
        <v>5.93</v>
      </c>
      <c r="GL115">
        <v>16.25</v>
      </c>
      <c r="GN115">
        <v>8.68</v>
      </c>
      <c r="GO115">
        <v>5.33</v>
      </c>
      <c r="GR115">
        <v>13.75</v>
      </c>
      <c r="GT115">
        <v>10.3</v>
      </c>
      <c r="GU115">
        <v>7.8</v>
      </c>
      <c r="GW115">
        <v>7.93</v>
      </c>
      <c r="GX115">
        <v>12.32</v>
      </c>
      <c r="GZ115">
        <v>8.84</v>
      </c>
      <c r="HA115">
        <v>6.66</v>
      </c>
      <c r="HD115">
        <v>12.9</v>
      </c>
      <c r="HF115">
        <v>7.97</v>
      </c>
      <c r="HG115">
        <v>9.19</v>
      </c>
      <c r="HJ115">
        <v>15.88</v>
      </c>
      <c r="HM115">
        <v>9.31</v>
      </c>
      <c r="HO115">
        <v>8.57</v>
      </c>
      <c r="HP115">
        <v>11.11</v>
      </c>
      <c r="HS115">
        <v>8.1300000000000008</v>
      </c>
      <c r="HV115">
        <v>7.88</v>
      </c>
      <c r="HW115">
        <v>6.09</v>
      </c>
      <c r="HY115">
        <v>6.03</v>
      </c>
      <c r="IB115">
        <v>17.940000000000001</v>
      </c>
      <c r="ID115">
        <v>6.81</v>
      </c>
      <c r="IE115">
        <v>6.39</v>
      </c>
      <c r="IG115">
        <v>5.54</v>
      </c>
      <c r="IH115">
        <v>8.81</v>
      </c>
      <c r="IK115">
        <v>6.8</v>
      </c>
      <c r="IN115">
        <v>14.2</v>
      </c>
      <c r="IP115">
        <v>4.99</v>
      </c>
      <c r="IQ115">
        <v>15.42</v>
      </c>
      <c r="IT115">
        <v>6.62</v>
      </c>
      <c r="IV115">
        <v>6.5</v>
      </c>
      <c r="IW115">
        <v>6.85</v>
      </c>
      <c r="IZ115">
        <v>17.27</v>
      </c>
      <c r="JB115">
        <v>4.91</v>
      </c>
      <c r="JC115">
        <v>6.89</v>
      </c>
      <c r="JE115">
        <v>9.16</v>
      </c>
      <c r="JF115">
        <v>18.28</v>
      </c>
      <c r="JH115">
        <v>7.32</v>
      </c>
      <c r="JI115">
        <v>9.65</v>
      </c>
      <c r="JL115">
        <v>15.25</v>
      </c>
      <c r="JN115">
        <v>8.77</v>
      </c>
      <c r="JO115">
        <v>9.65</v>
      </c>
      <c r="JR115">
        <v>13.33</v>
      </c>
      <c r="JT115">
        <v>6.68</v>
      </c>
      <c r="JU115">
        <v>6.09</v>
      </c>
      <c r="JX115">
        <v>17.170000000000002</v>
      </c>
      <c r="JZ115">
        <v>5.72</v>
      </c>
      <c r="KA115">
        <v>6.65</v>
      </c>
      <c r="KD115">
        <v>12.98</v>
      </c>
      <c r="KF115">
        <v>9.17</v>
      </c>
      <c r="KG115">
        <v>5.63</v>
      </c>
      <c r="KJ115">
        <v>15.48</v>
      </c>
      <c r="KL115">
        <v>8.5299999999999905</v>
      </c>
      <c r="KM115">
        <v>4.6900000000000004</v>
      </c>
      <c r="KP115">
        <v>17.059999999999899</v>
      </c>
      <c r="KR115">
        <v>8.65</v>
      </c>
      <c r="KS115">
        <v>7.58</v>
      </c>
      <c r="KV115">
        <v>16.239999999999899</v>
      </c>
      <c r="KX115">
        <v>6.6</v>
      </c>
      <c r="KY115">
        <v>6.42</v>
      </c>
      <c r="LC115">
        <v>10.81</v>
      </c>
      <c r="LE115">
        <v>7.56</v>
      </c>
    </row>
    <row r="116" spans="1:319">
      <c r="A116" s="20" t="s">
        <v>859</v>
      </c>
      <c r="B116">
        <v>1438.5299999999995</v>
      </c>
      <c r="C116">
        <v>27.664038461538453</v>
      </c>
      <c r="D116" s="20" t="s">
        <v>847</v>
      </c>
      <c r="E116" s="20" t="s">
        <v>860</v>
      </c>
      <c r="H116">
        <v>5.1100000000000003</v>
      </c>
      <c r="K116">
        <v>7.54</v>
      </c>
      <c r="M116">
        <v>23.43</v>
      </c>
      <c r="P116">
        <v>15.81</v>
      </c>
      <c r="R116">
        <v>15.4</v>
      </c>
      <c r="V116">
        <v>15.94</v>
      </c>
      <c r="Z116">
        <v>15.03</v>
      </c>
      <c r="AC116">
        <v>14.28</v>
      </c>
      <c r="AD116">
        <v>6.94</v>
      </c>
      <c r="AE116">
        <v>8.26</v>
      </c>
      <c r="AG116">
        <v>8.42</v>
      </c>
      <c r="AK116">
        <v>17.48</v>
      </c>
      <c r="AN116">
        <v>15.28</v>
      </c>
      <c r="AQ116">
        <v>7.96</v>
      </c>
      <c r="AT116">
        <v>8.49</v>
      </c>
      <c r="AV116">
        <v>9.08</v>
      </c>
      <c r="AX116">
        <v>15.28</v>
      </c>
      <c r="AZ116">
        <v>7.8</v>
      </c>
      <c r="BC116">
        <v>14.27</v>
      </c>
      <c r="BF116">
        <v>7.94</v>
      </c>
      <c r="BI116">
        <v>12.17</v>
      </c>
      <c r="BL116">
        <v>7.82</v>
      </c>
      <c r="BM116">
        <v>6.95</v>
      </c>
      <c r="BO116">
        <v>14.64</v>
      </c>
      <c r="BQ116">
        <v>8.0500000000000007</v>
      </c>
      <c r="BR116">
        <v>7.93</v>
      </c>
      <c r="BT116">
        <v>7.87</v>
      </c>
      <c r="BU116">
        <v>15.57</v>
      </c>
      <c r="BX116">
        <v>13.92</v>
      </c>
      <c r="CB116">
        <v>15.73</v>
      </c>
      <c r="CE116">
        <v>6.43</v>
      </c>
      <c r="CG116">
        <v>8.0500000000000007</v>
      </c>
      <c r="CH116">
        <v>7.37</v>
      </c>
      <c r="CI116">
        <v>8.16</v>
      </c>
      <c r="CK116">
        <v>7.34</v>
      </c>
      <c r="CM116">
        <v>6.97</v>
      </c>
      <c r="CN116">
        <v>6.78</v>
      </c>
      <c r="CQ116">
        <v>7.42</v>
      </c>
      <c r="CR116">
        <v>7.8</v>
      </c>
      <c r="CT116">
        <v>7.49</v>
      </c>
      <c r="CU116">
        <v>9.2100000000000009</v>
      </c>
      <c r="CW116">
        <v>13.38</v>
      </c>
      <c r="DA116">
        <v>6.48</v>
      </c>
      <c r="DB116">
        <v>8.1300000000000008</v>
      </c>
      <c r="DD116">
        <v>7.87</v>
      </c>
      <c r="DG116">
        <v>14.07</v>
      </c>
      <c r="DJ116">
        <v>7.82</v>
      </c>
      <c r="DM116">
        <v>15.59</v>
      </c>
      <c r="DQ116">
        <v>7.4</v>
      </c>
      <c r="DS116">
        <v>15.88</v>
      </c>
      <c r="DW116">
        <v>14.94</v>
      </c>
      <c r="DZ116">
        <v>15.6</v>
      </c>
      <c r="EC116">
        <v>12.76</v>
      </c>
      <c r="EE116">
        <v>13.81</v>
      </c>
      <c r="EI116">
        <v>6.4</v>
      </c>
      <c r="EK116">
        <v>6.99</v>
      </c>
      <c r="EO116">
        <v>5.63</v>
      </c>
      <c r="EQ116">
        <v>14.45</v>
      </c>
      <c r="ET116">
        <v>14.28</v>
      </c>
      <c r="EU116">
        <v>17.079999999999899</v>
      </c>
      <c r="EW116">
        <v>16.27</v>
      </c>
      <c r="EZ116">
        <v>13.89</v>
      </c>
      <c r="FC116">
        <v>13.91</v>
      </c>
      <c r="FF116">
        <v>15.32</v>
      </c>
      <c r="FJ116">
        <v>7.16</v>
      </c>
      <c r="FL116">
        <v>14.34</v>
      </c>
      <c r="FO116">
        <v>6.7</v>
      </c>
      <c r="FP116">
        <v>9.33</v>
      </c>
      <c r="FR116">
        <v>14.27</v>
      </c>
      <c r="FU116">
        <v>15.36</v>
      </c>
      <c r="FX116">
        <v>9.7200000000000006</v>
      </c>
      <c r="GA116">
        <v>15.36</v>
      </c>
      <c r="GD116">
        <v>8.65</v>
      </c>
      <c r="GE116">
        <v>7.63</v>
      </c>
      <c r="GG116">
        <v>17.239999999999899</v>
      </c>
      <c r="GK116">
        <v>18.18</v>
      </c>
      <c r="GM116">
        <v>9.74</v>
      </c>
      <c r="GP116">
        <v>18.27</v>
      </c>
      <c r="GS116">
        <v>15.91</v>
      </c>
      <c r="GV116">
        <v>9.3000000000000007</v>
      </c>
      <c r="GY116">
        <v>18.13</v>
      </c>
      <c r="HB116">
        <v>16.100000000000001</v>
      </c>
      <c r="HE116">
        <v>8.2100000000000009</v>
      </c>
      <c r="HH116">
        <v>19.309999999999899</v>
      </c>
      <c r="HK116">
        <v>17.489999999999899</v>
      </c>
      <c r="HN116">
        <v>8.86</v>
      </c>
      <c r="HQ116">
        <v>17.79</v>
      </c>
      <c r="HU116">
        <v>16.7</v>
      </c>
      <c r="HW116">
        <v>19.309999999999899</v>
      </c>
      <c r="HZ116">
        <v>17.23</v>
      </c>
      <c r="IC116">
        <v>9</v>
      </c>
      <c r="ID116">
        <v>8.94</v>
      </c>
      <c r="IF116">
        <v>5.92</v>
      </c>
      <c r="II116">
        <v>17.04</v>
      </c>
      <c r="IL116">
        <v>17.5</v>
      </c>
      <c r="IO116">
        <v>9.06</v>
      </c>
      <c r="IR116">
        <v>15</v>
      </c>
      <c r="IU116">
        <v>16.25</v>
      </c>
      <c r="IX116">
        <v>18.78</v>
      </c>
      <c r="JA116">
        <v>7.79</v>
      </c>
      <c r="JB116">
        <v>8.07</v>
      </c>
      <c r="JD116">
        <v>8.9</v>
      </c>
      <c r="JG116">
        <v>17.37</v>
      </c>
      <c r="JJ116">
        <v>15.8</v>
      </c>
      <c r="JM116">
        <v>8.4700000000000006</v>
      </c>
      <c r="JN116">
        <v>6.29</v>
      </c>
      <c r="JP116">
        <v>8.7100000000000009</v>
      </c>
      <c r="JS116">
        <v>15.27</v>
      </c>
      <c r="JV116">
        <v>15.84</v>
      </c>
      <c r="JY116">
        <v>16.47</v>
      </c>
      <c r="KB116">
        <v>17.41</v>
      </c>
      <c r="KE116">
        <v>15.33</v>
      </c>
      <c r="KG116">
        <v>5.77</v>
      </c>
      <c r="KI116">
        <v>7.25</v>
      </c>
      <c r="KK116">
        <v>8.33</v>
      </c>
      <c r="KN116">
        <v>15.36</v>
      </c>
      <c r="KQ116">
        <v>8.34</v>
      </c>
      <c r="KS116">
        <v>8.17</v>
      </c>
      <c r="KT116">
        <v>8</v>
      </c>
      <c r="KW116">
        <v>14.91</v>
      </c>
      <c r="KY116">
        <v>7.15</v>
      </c>
      <c r="LF116">
        <v>8.39</v>
      </c>
    </row>
    <row r="117" spans="1:319">
      <c r="A117" s="20" t="s">
        <v>249</v>
      </c>
      <c r="B117">
        <v>1697.4099999999987</v>
      </c>
      <c r="C117">
        <v>32.642499999999977</v>
      </c>
      <c r="D117" s="20" t="s">
        <v>847</v>
      </c>
      <c r="E117" s="20" t="s">
        <v>860</v>
      </c>
      <c r="H117">
        <v>8.16</v>
      </c>
      <c r="I117">
        <v>12.23</v>
      </c>
      <c r="J117">
        <v>7.99</v>
      </c>
      <c r="K117">
        <v>8.3800000000000008</v>
      </c>
      <c r="N117">
        <v>7.45</v>
      </c>
      <c r="O117">
        <v>16.760000000000002</v>
      </c>
      <c r="P117">
        <v>8.59</v>
      </c>
      <c r="T117">
        <v>8.11</v>
      </c>
      <c r="U117">
        <v>16.27</v>
      </c>
      <c r="V117">
        <v>5.51</v>
      </c>
      <c r="Z117">
        <v>8.2100000000000009</v>
      </c>
      <c r="AA117">
        <v>15.15</v>
      </c>
      <c r="AB117">
        <v>8.5299999999999905</v>
      </c>
      <c r="AF117">
        <v>9.4600000000000009</v>
      </c>
      <c r="AG117">
        <v>18.2</v>
      </c>
      <c r="AH117">
        <v>8.6</v>
      </c>
      <c r="AL117">
        <v>8.66</v>
      </c>
      <c r="AM117">
        <v>18.149999999999899</v>
      </c>
      <c r="AN117">
        <v>7.43</v>
      </c>
      <c r="AO117">
        <v>7.3</v>
      </c>
      <c r="AR117">
        <v>8.9700000000000006</v>
      </c>
      <c r="AS117">
        <v>9.52</v>
      </c>
      <c r="AT117">
        <v>5.63</v>
      </c>
      <c r="AU117">
        <v>7.81</v>
      </c>
      <c r="AX117">
        <v>8.25</v>
      </c>
      <c r="AY117">
        <v>15.63</v>
      </c>
      <c r="AZ117">
        <v>6.5</v>
      </c>
      <c r="BD117">
        <v>7.21</v>
      </c>
      <c r="BF117">
        <v>9.6</v>
      </c>
      <c r="BG117">
        <v>14.48</v>
      </c>
      <c r="BJ117">
        <v>7.59</v>
      </c>
      <c r="BK117">
        <v>14.35</v>
      </c>
      <c r="BL117">
        <v>5.89</v>
      </c>
      <c r="BN117">
        <v>9.2100000000000009</v>
      </c>
      <c r="BP117">
        <v>8.07</v>
      </c>
      <c r="BQ117">
        <v>7.76</v>
      </c>
      <c r="BR117">
        <v>7.73</v>
      </c>
      <c r="BS117">
        <v>8.91</v>
      </c>
      <c r="BV117">
        <v>10.23</v>
      </c>
      <c r="BW117">
        <v>16.77</v>
      </c>
      <c r="BX117">
        <v>7.23</v>
      </c>
      <c r="CC117">
        <v>8.3800000000000008</v>
      </c>
      <c r="CD117">
        <v>13.23</v>
      </c>
      <c r="CE117">
        <v>6.21</v>
      </c>
      <c r="CH117">
        <v>8.31</v>
      </c>
      <c r="CI117">
        <v>9.0500000000000007</v>
      </c>
      <c r="CJ117">
        <v>15.79</v>
      </c>
      <c r="CK117">
        <v>4.22</v>
      </c>
      <c r="CO117">
        <v>7.47</v>
      </c>
      <c r="CP117">
        <v>15.75</v>
      </c>
      <c r="CQ117">
        <v>7.71</v>
      </c>
      <c r="CT117">
        <v>7.68</v>
      </c>
      <c r="CU117">
        <v>8.8000000000000007</v>
      </c>
      <c r="CV117">
        <v>14.61</v>
      </c>
      <c r="CW117">
        <v>5.73</v>
      </c>
      <c r="CZ117">
        <v>14.77</v>
      </c>
      <c r="DA117">
        <v>7.63</v>
      </c>
      <c r="DB117">
        <v>13.79</v>
      </c>
      <c r="DC117">
        <v>8.2899999999999903</v>
      </c>
      <c r="DG117">
        <v>8.42</v>
      </c>
      <c r="DJ117">
        <v>7.82</v>
      </c>
      <c r="DL117">
        <v>12.51</v>
      </c>
      <c r="DM117">
        <v>8.23</v>
      </c>
      <c r="DN117">
        <v>7.14</v>
      </c>
      <c r="DO117">
        <v>15.8</v>
      </c>
      <c r="DP117">
        <v>3.95</v>
      </c>
      <c r="DT117">
        <v>8.6300000000000008</v>
      </c>
      <c r="DU117">
        <v>14.75</v>
      </c>
      <c r="DV117">
        <v>7.05</v>
      </c>
      <c r="DZ117">
        <v>8.2200000000000006</v>
      </c>
      <c r="EA117">
        <v>13.17</v>
      </c>
      <c r="EB117">
        <v>5.91</v>
      </c>
      <c r="EF117">
        <v>8.43</v>
      </c>
      <c r="EG117">
        <v>13</v>
      </c>
      <c r="EI117">
        <v>7.6</v>
      </c>
      <c r="EK117">
        <v>7.51</v>
      </c>
      <c r="EL117">
        <v>17.22</v>
      </c>
      <c r="EM117">
        <v>7.64</v>
      </c>
      <c r="ER117">
        <v>7.83</v>
      </c>
      <c r="ES117">
        <v>17.5</v>
      </c>
      <c r="ET117">
        <v>7.42</v>
      </c>
      <c r="EX117">
        <v>8.36</v>
      </c>
      <c r="EY117">
        <v>13.56</v>
      </c>
      <c r="EZ117">
        <v>6.27</v>
      </c>
      <c r="FB117">
        <v>7.78</v>
      </c>
      <c r="FD117">
        <v>7.84</v>
      </c>
      <c r="FE117">
        <v>16.239999999999899</v>
      </c>
      <c r="FF117">
        <v>6.61</v>
      </c>
      <c r="FJ117">
        <v>8.3000000000000007</v>
      </c>
      <c r="FK117">
        <v>16.27</v>
      </c>
      <c r="FL117">
        <v>5.75</v>
      </c>
      <c r="FP117">
        <v>8.9600000000000009</v>
      </c>
      <c r="FQ117">
        <v>15.11</v>
      </c>
      <c r="FR117">
        <v>6.35</v>
      </c>
      <c r="FV117">
        <v>7.63</v>
      </c>
      <c r="FW117">
        <v>17.100000000000001</v>
      </c>
      <c r="FX117">
        <v>6.61</v>
      </c>
      <c r="GB117">
        <v>7.54</v>
      </c>
      <c r="GC117">
        <v>15.93</v>
      </c>
      <c r="GE117">
        <v>7.23</v>
      </c>
      <c r="GH117">
        <v>9.41</v>
      </c>
      <c r="GI117">
        <v>15.26</v>
      </c>
      <c r="GJ117">
        <v>8.5500000000000007</v>
      </c>
      <c r="GN117">
        <v>8.9600000000000009</v>
      </c>
      <c r="GO117">
        <v>17.53</v>
      </c>
      <c r="GP117">
        <v>5.57</v>
      </c>
      <c r="GT117">
        <v>8.81</v>
      </c>
      <c r="GU117">
        <v>17.82</v>
      </c>
      <c r="GV117">
        <v>5.43</v>
      </c>
      <c r="GY117">
        <v>8.8800000000000008</v>
      </c>
      <c r="GZ117">
        <v>8.0399999999999903</v>
      </c>
      <c r="HA117">
        <v>17.46</v>
      </c>
      <c r="HB117">
        <v>6.33</v>
      </c>
      <c r="HF117">
        <v>9.89</v>
      </c>
      <c r="HG117">
        <v>18.489999999999899</v>
      </c>
      <c r="HH117">
        <v>4.3600000000000003</v>
      </c>
      <c r="HL117">
        <v>9.2899999999999903</v>
      </c>
      <c r="HM117">
        <v>17.760000000000002</v>
      </c>
      <c r="HR117">
        <v>10.54</v>
      </c>
      <c r="HS117">
        <v>15.81</v>
      </c>
      <c r="HT117">
        <v>5.64</v>
      </c>
      <c r="HX117">
        <v>9.1199999999999903</v>
      </c>
      <c r="HY117">
        <v>17.57</v>
      </c>
      <c r="HZ117">
        <v>6.74</v>
      </c>
      <c r="ID117">
        <v>8.35</v>
      </c>
      <c r="IE117">
        <v>17.850000000000001</v>
      </c>
      <c r="IF117">
        <v>6.66</v>
      </c>
      <c r="IJ117">
        <v>8.32</v>
      </c>
      <c r="IK117">
        <v>20.22</v>
      </c>
      <c r="IP117">
        <v>10.26</v>
      </c>
      <c r="IQ117">
        <v>17.61</v>
      </c>
      <c r="IT117">
        <v>8.8800000000000008</v>
      </c>
      <c r="IV117">
        <v>10.26</v>
      </c>
      <c r="IW117">
        <v>17.53</v>
      </c>
      <c r="IX117">
        <v>7.83</v>
      </c>
      <c r="JB117">
        <v>9.94</v>
      </c>
      <c r="JC117">
        <v>18.649999999999899</v>
      </c>
      <c r="JD117">
        <v>4.5999999999999899</v>
      </c>
      <c r="JH117">
        <v>8.91</v>
      </c>
      <c r="JI117">
        <v>20.65</v>
      </c>
      <c r="JJ117">
        <v>5.24</v>
      </c>
      <c r="JO117">
        <v>20.059999999999899</v>
      </c>
      <c r="JP117">
        <v>9.48</v>
      </c>
      <c r="JU117">
        <v>9.2899999999999903</v>
      </c>
      <c r="JV117">
        <v>7.7</v>
      </c>
      <c r="JZ117">
        <v>6.94</v>
      </c>
      <c r="KA117">
        <v>16.829999999999899</v>
      </c>
      <c r="KB117">
        <v>6.26</v>
      </c>
      <c r="KF117">
        <v>9.1999999999999904</v>
      </c>
      <c r="KG117">
        <v>8.0500000000000007</v>
      </c>
      <c r="KH117">
        <v>25.17</v>
      </c>
      <c r="KL117">
        <v>9.5500000000000007</v>
      </c>
      <c r="KM117">
        <v>18.579999999999899</v>
      </c>
      <c r="KN117">
        <v>7.75</v>
      </c>
      <c r="KR117">
        <v>9.43</v>
      </c>
      <c r="KS117">
        <v>15.3</v>
      </c>
      <c r="KT117">
        <v>4.83</v>
      </c>
      <c r="KX117">
        <v>9.82</v>
      </c>
      <c r="KY117">
        <v>5.72</v>
      </c>
      <c r="KZ117">
        <v>11.15</v>
      </c>
      <c r="LD117">
        <v>8.7100000000000009</v>
      </c>
      <c r="LE117">
        <v>16.649999999999899</v>
      </c>
      <c r="LF117">
        <v>6.83</v>
      </c>
    </row>
    <row r="118" spans="1:319">
      <c r="A118" s="20" t="s">
        <v>341</v>
      </c>
      <c r="B118">
        <v>1764.6100000000008</v>
      </c>
      <c r="C118">
        <v>33.934807692307707</v>
      </c>
      <c r="D118" s="20" t="s">
        <v>847</v>
      </c>
      <c r="E118" s="20" t="s">
        <v>860</v>
      </c>
      <c r="F118">
        <v>7.99</v>
      </c>
      <c r="H118">
        <v>6.58</v>
      </c>
      <c r="I118">
        <v>6.74</v>
      </c>
      <c r="K118">
        <v>8.7200000000000006</v>
      </c>
      <c r="L118">
        <v>8.25</v>
      </c>
      <c r="M118">
        <v>6.61</v>
      </c>
      <c r="N118">
        <v>7.14</v>
      </c>
      <c r="O118">
        <v>6.93</v>
      </c>
      <c r="P118">
        <v>8.69</v>
      </c>
      <c r="Q118">
        <v>6.63</v>
      </c>
      <c r="R118">
        <v>5.97</v>
      </c>
      <c r="T118">
        <v>8.41</v>
      </c>
      <c r="W118">
        <v>8.94</v>
      </c>
      <c r="Y118">
        <v>5.24</v>
      </c>
      <c r="AA118">
        <v>7.36</v>
      </c>
      <c r="AC118">
        <v>7.76</v>
      </c>
      <c r="AE118">
        <v>6.88</v>
      </c>
      <c r="AF118">
        <v>9.52</v>
      </c>
      <c r="AG118">
        <v>9.3000000000000007</v>
      </c>
      <c r="AI118">
        <v>14.16</v>
      </c>
      <c r="AJ118">
        <v>8.82</v>
      </c>
      <c r="AL118">
        <v>8.19</v>
      </c>
      <c r="AM118">
        <v>7.88</v>
      </c>
      <c r="AO118">
        <v>7.58</v>
      </c>
      <c r="AP118">
        <v>4.1900000000000004</v>
      </c>
      <c r="AR118">
        <v>7.32</v>
      </c>
      <c r="AS118">
        <v>8.34</v>
      </c>
      <c r="AU118">
        <v>5.32</v>
      </c>
      <c r="AV118">
        <v>7.72</v>
      </c>
      <c r="AX118">
        <v>8.0500000000000007</v>
      </c>
      <c r="AY118">
        <v>8.6</v>
      </c>
      <c r="BA118">
        <v>8.64</v>
      </c>
      <c r="BB118">
        <v>7.88</v>
      </c>
      <c r="BD118">
        <v>5.85</v>
      </c>
      <c r="BG118">
        <v>7.84</v>
      </c>
      <c r="BH118">
        <v>6.55</v>
      </c>
      <c r="BJ118">
        <v>9.17</v>
      </c>
      <c r="BK118">
        <v>8.2799999999999905</v>
      </c>
      <c r="BM118">
        <v>8.24</v>
      </c>
      <c r="BN118">
        <v>6.92</v>
      </c>
      <c r="BP118">
        <v>7.47</v>
      </c>
      <c r="BQ118">
        <v>6.89</v>
      </c>
      <c r="BS118">
        <v>7.66</v>
      </c>
      <c r="BT118">
        <v>8.39</v>
      </c>
      <c r="BV118">
        <v>9.17</v>
      </c>
      <c r="BW118">
        <v>8.1</v>
      </c>
      <c r="BX118">
        <v>5.6</v>
      </c>
      <c r="BY118">
        <v>8.5500000000000007</v>
      </c>
      <c r="CA118">
        <v>6.87</v>
      </c>
      <c r="CB118">
        <v>7.75</v>
      </c>
      <c r="CC118">
        <v>8.0399999999999903</v>
      </c>
      <c r="CD118">
        <v>6.88</v>
      </c>
      <c r="CF118">
        <v>6.42</v>
      </c>
      <c r="CG118">
        <v>13.93</v>
      </c>
      <c r="CI118">
        <v>8.64</v>
      </c>
      <c r="CJ118">
        <v>8.4499999999999904</v>
      </c>
      <c r="CK118">
        <v>6.44</v>
      </c>
      <c r="CL118">
        <v>8.02</v>
      </c>
      <c r="CM118">
        <v>5.9</v>
      </c>
      <c r="CO118">
        <v>8.08</v>
      </c>
      <c r="CP118">
        <v>7.44</v>
      </c>
      <c r="CR118">
        <v>6.78</v>
      </c>
      <c r="CS118">
        <v>5.94</v>
      </c>
      <c r="CU118">
        <v>8.77</v>
      </c>
      <c r="CV118">
        <v>8.11</v>
      </c>
      <c r="CX118">
        <v>7.78</v>
      </c>
      <c r="CY118">
        <v>7.24</v>
      </c>
      <c r="DA118">
        <v>8.31</v>
      </c>
      <c r="DB118">
        <v>7.55</v>
      </c>
      <c r="DD118">
        <v>8.0299999999999905</v>
      </c>
      <c r="DE118">
        <v>7.1</v>
      </c>
      <c r="DG118">
        <v>7.67</v>
      </c>
      <c r="DJ118">
        <v>10.0399999999999</v>
      </c>
      <c r="DL118">
        <v>7.43</v>
      </c>
      <c r="DN118">
        <v>8.8000000000000007</v>
      </c>
      <c r="DO118">
        <v>7.19</v>
      </c>
      <c r="DQ118">
        <v>15.62</v>
      </c>
      <c r="DS118">
        <v>8.57</v>
      </c>
      <c r="DT118">
        <v>7.98</v>
      </c>
      <c r="DU118">
        <v>7.91</v>
      </c>
      <c r="DW118">
        <v>7.32</v>
      </c>
      <c r="DX118">
        <v>7.76</v>
      </c>
      <c r="DZ118">
        <v>7.5</v>
      </c>
      <c r="EA118">
        <v>7.9</v>
      </c>
      <c r="EC118">
        <v>7.57</v>
      </c>
      <c r="ED118">
        <v>7.59</v>
      </c>
      <c r="EF118">
        <v>6.36</v>
      </c>
      <c r="EG118">
        <v>7.41</v>
      </c>
      <c r="EI118">
        <v>6.74</v>
      </c>
      <c r="EJ118">
        <v>7.74</v>
      </c>
      <c r="EK118">
        <v>7.27</v>
      </c>
      <c r="EL118">
        <v>8.9700000000000006</v>
      </c>
      <c r="EN118">
        <v>7.41</v>
      </c>
      <c r="ER118">
        <v>8.0399999999999903</v>
      </c>
      <c r="ES118">
        <v>7.93</v>
      </c>
      <c r="EU118">
        <v>18.89</v>
      </c>
      <c r="EV118">
        <v>7.45</v>
      </c>
      <c r="EW118">
        <v>8.07</v>
      </c>
      <c r="EX118">
        <v>6.68</v>
      </c>
      <c r="EY118">
        <v>8.02</v>
      </c>
      <c r="FA118">
        <v>8.76</v>
      </c>
      <c r="FB118">
        <v>7.15</v>
      </c>
      <c r="FD118">
        <v>8.39</v>
      </c>
      <c r="FE118">
        <v>7.95</v>
      </c>
      <c r="FG118">
        <v>6.87</v>
      </c>
      <c r="FH118">
        <v>8.81</v>
      </c>
      <c r="FJ118">
        <v>7.3</v>
      </c>
      <c r="FK118">
        <v>8.09</v>
      </c>
      <c r="FL118">
        <v>7</v>
      </c>
      <c r="FM118">
        <v>9.3800000000000008</v>
      </c>
      <c r="FP118">
        <v>7.83</v>
      </c>
      <c r="FQ118">
        <v>17.38</v>
      </c>
      <c r="FS118">
        <v>8.89</v>
      </c>
      <c r="FT118">
        <v>8.48</v>
      </c>
      <c r="FV118">
        <v>8.3800000000000008</v>
      </c>
      <c r="FW118">
        <v>9.31</v>
      </c>
      <c r="FX118">
        <v>7.09</v>
      </c>
      <c r="FY118">
        <v>5.67</v>
      </c>
      <c r="FZ118">
        <v>8.25</v>
      </c>
      <c r="GB118">
        <v>7.92</v>
      </c>
      <c r="GC118">
        <v>8.24</v>
      </c>
      <c r="GE118">
        <v>15.74</v>
      </c>
      <c r="GF118">
        <v>7.02</v>
      </c>
      <c r="GH118">
        <v>6.84</v>
      </c>
      <c r="GI118">
        <v>8.8800000000000008</v>
      </c>
      <c r="GK118">
        <v>7.24</v>
      </c>
      <c r="GL118">
        <v>3.74</v>
      </c>
      <c r="GN118">
        <v>8.1300000000000008</v>
      </c>
      <c r="GQ118">
        <v>9.5500000000000007</v>
      </c>
      <c r="GR118">
        <v>7.67</v>
      </c>
      <c r="GT118">
        <v>17.940000000000001</v>
      </c>
      <c r="GU118">
        <v>8.9499999999999904</v>
      </c>
      <c r="GW118">
        <v>8.1300000000000008</v>
      </c>
      <c r="GX118">
        <v>8.1999999999999904</v>
      </c>
      <c r="GZ118">
        <v>8.09</v>
      </c>
      <c r="HA118">
        <v>8.52</v>
      </c>
      <c r="HC118">
        <v>14.94</v>
      </c>
      <c r="HD118">
        <v>13.64</v>
      </c>
      <c r="HG118">
        <v>18.18</v>
      </c>
      <c r="HI118">
        <v>7.86</v>
      </c>
      <c r="HJ118">
        <v>8.5500000000000007</v>
      </c>
      <c r="HL118">
        <v>9.1300000000000008</v>
      </c>
      <c r="HM118">
        <v>7.37</v>
      </c>
      <c r="HO118">
        <v>7</v>
      </c>
      <c r="HP118">
        <v>7.57</v>
      </c>
      <c r="HR118">
        <v>9.2799999999999905</v>
      </c>
      <c r="HS118">
        <v>11.48</v>
      </c>
      <c r="HU118">
        <v>8.6999999999999904</v>
      </c>
      <c r="HV118">
        <v>10.01</v>
      </c>
      <c r="HX118">
        <v>5.82</v>
      </c>
      <c r="HY118">
        <v>8.8699999999999903</v>
      </c>
      <c r="IA118">
        <v>9.4</v>
      </c>
      <c r="IB118">
        <v>9.75</v>
      </c>
      <c r="ID118">
        <v>8.27</v>
      </c>
      <c r="IE118">
        <v>9.67</v>
      </c>
      <c r="IF118">
        <v>6.15</v>
      </c>
      <c r="IG118">
        <v>8.36</v>
      </c>
      <c r="IH118">
        <v>9.31</v>
      </c>
      <c r="IJ118">
        <v>8.4</v>
      </c>
      <c r="IK118">
        <v>9.01</v>
      </c>
      <c r="IM118">
        <v>9.52</v>
      </c>
      <c r="IN118">
        <v>8.19</v>
      </c>
      <c r="IP118">
        <v>8.1999999999999904</v>
      </c>
      <c r="IQ118">
        <v>8.3800000000000008</v>
      </c>
      <c r="IS118">
        <v>9.7200000000000006</v>
      </c>
      <c r="IT118">
        <v>10.09</v>
      </c>
      <c r="IV118">
        <v>9.18</v>
      </c>
      <c r="IW118">
        <v>8.01</v>
      </c>
      <c r="IY118">
        <v>8.16</v>
      </c>
      <c r="IZ118">
        <v>7.47</v>
      </c>
      <c r="JB118">
        <v>7.98</v>
      </c>
      <c r="JC118">
        <v>5.07</v>
      </c>
      <c r="JD118">
        <v>5.94</v>
      </c>
      <c r="JE118">
        <v>9.4</v>
      </c>
      <c r="JF118">
        <v>9.24</v>
      </c>
      <c r="JH118">
        <v>8.92</v>
      </c>
      <c r="JI118">
        <v>9.41</v>
      </c>
      <c r="JK118">
        <v>9.06</v>
      </c>
      <c r="JL118">
        <v>7.61</v>
      </c>
      <c r="JN118">
        <v>8.1999999999999904</v>
      </c>
      <c r="JP118">
        <v>8.17</v>
      </c>
      <c r="JQ118">
        <v>9.48</v>
      </c>
      <c r="JR118">
        <v>8.26</v>
      </c>
      <c r="JT118">
        <v>13.32</v>
      </c>
      <c r="JU118">
        <v>8.19</v>
      </c>
      <c r="JW118">
        <v>8.1999999999999904</v>
      </c>
      <c r="JX118">
        <v>7.9</v>
      </c>
      <c r="JZ118">
        <v>8.49</v>
      </c>
      <c r="KA118">
        <v>8.1999999999999904</v>
      </c>
      <c r="KC118">
        <v>8.1300000000000008</v>
      </c>
      <c r="KD118">
        <v>7.71</v>
      </c>
      <c r="KF118">
        <v>7.6</v>
      </c>
      <c r="KG118">
        <v>7.98</v>
      </c>
      <c r="KI118">
        <v>7.97</v>
      </c>
      <c r="KJ118">
        <v>7.22</v>
      </c>
      <c r="KL118">
        <v>8.44</v>
      </c>
      <c r="KM118">
        <v>9.02</v>
      </c>
      <c r="KO118">
        <v>13.17</v>
      </c>
      <c r="KP118">
        <v>9.1999999999999904</v>
      </c>
      <c r="KR118">
        <v>6.38</v>
      </c>
      <c r="KS118">
        <v>7.94</v>
      </c>
      <c r="KU118">
        <v>8.02</v>
      </c>
      <c r="KV118">
        <v>7.75</v>
      </c>
      <c r="KX118">
        <v>8.94</v>
      </c>
      <c r="KY118">
        <v>8.14</v>
      </c>
      <c r="LA118">
        <v>9.1</v>
      </c>
      <c r="LB118">
        <v>9.0299999999999905</v>
      </c>
      <c r="LD118">
        <v>8.1199999999999903</v>
      </c>
      <c r="LE118">
        <v>15.74</v>
      </c>
      <c r="LG118">
        <v>9.2200000000000006</v>
      </c>
    </row>
    <row r="119" spans="1:319">
      <c r="A119" s="20" t="s">
        <v>354</v>
      </c>
      <c r="B119">
        <v>336.05</v>
      </c>
      <c r="C119">
        <v>6.4625000000000004</v>
      </c>
      <c r="D119" s="20" t="s">
        <v>847</v>
      </c>
      <c r="E119" s="20" t="s">
        <v>860</v>
      </c>
      <c r="I119">
        <v>6.81</v>
      </c>
      <c r="O119">
        <v>6.14</v>
      </c>
      <c r="U119">
        <v>7.84</v>
      </c>
      <c r="AA119">
        <v>8.0500000000000007</v>
      </c>
      <c r="AG119">
        <v>7.47</v>
      </c>
      <c r="AM119">
        <v>6.95</v>
      </c>
      <c r="AS119">
        <v>6.67</v>
      </c>
      <c r="AY119">
        <v>6.8</v>
      </c>
      <c r="BE119">
        <v>7.11</v>
      </c>
      <c r="BK119">
        <v>7.26</v>
      </c>
      <c r="BR119">
        <v>8.2899999999999903</v>
      </c>
      <c r="BW119">
        <v>8.09</v>
      </c>
      <c r="BX119">
        <v>3.88</v>
      </c>
      <c r="CD119">
        <v>7.15</v>
      </c>
      <c r="CJ119">
        <v>7.45</v>
      </c>
      <c r="CP119">
        <v>7.13</v>
      </c>
      <c r="CV119">
        <v>6.15</v>
      </c>
      <c r="DB119">
        <v>6.93</v>
      </c>
      <c r="DJ119">
        <v>6.44</v>
      </c>
      <c r="DO119">
        <v>5.0199999999999898</v>
      </c>
      <c r="DU119">
        <v>6.62</v>
      </c>
      <c r="EA119">
        <v>5.66</v>
      </c>
      <c r="EG119">
        <v>7.38</v>
      </c>
      <c r="EL119">
        <v>8.93</v>
      </c>
      <c r="ES119">
        <v>6.38</v>
      </c>
      <c r="EY119">
        <v>7.05</v>
      </c>
      <c r="FE119">
        <v>6.87</v>
      </c>
      <c r="FK119">
        <v>6.38</v>
      </c>
      <c r="FQ119">
        <v>8.4499999999999904</v>
      </c>
      <c r="FW119">
        <v>7.11</v>
      </c>
      <c r="GC119">
        <v>6.97</v>
      </c>
      <c r="GI119">
        <v>7.08</v>
      </c>
      <c r="GO119">
        <v>5.91</v>
      </c>
      <c r="GU119">
        <v>4.7699999999999898</v>
      </c>
      <c r="HA119">
        <v>5.84</v>
      </c>
      <c r="HG119">
        <v>2.14</v>
      </c>
      <c r="HY119">
        <v>6.55</v>
      </c>
      <c r="IE119">
        <v>6.58</v>
      </c>
      <c r="IK119">
        <v>7.36</v>
      </c>
      <c r="IQ119">
        <v>3.78</v>
      </c>
      <c r="JC119">
        <v>7.13</v>
      </c>
      <c r="JI119">
        <v>6.24</v>
      </c>
      <c r="JO119">
        <v>7.67</v>
      </c>
      <c r="JU119">
        <v>6.94</v>
      </c>
      <c r="KA119">
        <v>7.01</v>
      </c>
      <c r="KG119">
        <v>7.38</v>
      </c>
      <c r="KM119">
        <v>7.19</v>
      </c>
      <c r="KS119">
        <v>7</v>
      </c>
      <c r="KY119">
        <v>6.79</v>
      </c>
      <c r="LE119">
        <v>7.26</v>
      </c>
    </row>
    <row r="120" spans="1:319">
      <c r="A120" s="20" t="s">
        <v>297</v>
      </c>
      <c r="D120" s="20" t="s">
        <v>847</v>
      </c>
      <c r="E120" s="20" t="s">
        <v>856</v>
      </c>
    </row>
    <row r="121" spans="1:319">
      <c r="A121" s="20" t="s">
        <v>326</v>
      </c>
      <c r="B121">
        <v>1150.6099999999999</v>
      </c>
      <c r="C121">
        <v>22.127115384615383</v>
      </c>
      <c r="D121" s="20" t="s">
        <v>861</v>
      </c>
      <c r="E121" s="20" t="s">
        <v>862</v>
      </c>
      <c r="G121">
        <v>7.47</v>
      </c>
      <c r="I121">
        <v>14.28</v>
      </c>
      <c r="K121">
        <v>6.38</v>
      </c>
      <c r="M121">
        <v>2.72</v>
      </c>
      <c r="O121">
        <v>8.41</v>
      </c>
      <c r="Q121">
        <v>5.95</v>
      </c>
      <c r="S121">
        <v>7.41</v>
      </c>
      <c r="U121">
        <v>6.55</v>
      </c>
      <c r="W121">
        <v>5.87</v>
      </c>
      <c r="Y121">
        <v>5.04</v>
      </c>
      <c r="AA121">
        <v>7.71</v>
      </c>
      <c r="AC121">
        <v>7.53</v>
      </c>
      <c r="AG121">
        <v>8.6300000000000008</v>
      </c>
      <c r="AI121">
        <v>7.47</v>
      </c>
      <c r="AK121">
        <v>5.89</v>
      </c>
      <c r="AM121">
        <v>16.690000000000001</v>
      </c>
      <c r="AO121">
        <v>6.69</v>
      </c>
      <c r="AQ121">
        <v>7.2</v>
      </c>
      <c r="AS121">
        <v>6.53</v>
      </c>
      <c r="AU121">
        <v>6.42</v>
      </c>
      <c r="AW121">
        <v>8.02</v>
      </c>
      <c r="AY121">
        <v>7.72</v>
      </c>
      <c r="BA121">
        <v>7.13</v>
      </c>
      <c r="BD121">
        <v>7.74</v>
      </c>
      <c r="BE121">
        <v>6.99</v>
      </c>
      <c r="BG121">
        <v>9.1999999999999904</v>
      </c>
      <c r="BI121">
        <v>8.0500000000000007</v>
      </c>
      <c r="BK121">
        <v>8.9499999999999904</v>
      </c>
      <c r="BM121">
        <v>6.18</v>
      </c>
      <c r="BO121">
        <v>7.96</v>
      </c>
      <c r="BS121">
        <v>7.97</v>
      </c>
      <c r="BU121">
        <v>9.15</v>
      </c>
      <c r="BY121">
        <v>17.079999999999899</v>
      </c>
      <c r="CB121">
        <v>6.59</v>
      </c>
      <c r="CD121">
        <v>7.57</v>
      </c>
      <c r="CF121">
        <v>5.7</v>
      </c>
      <c r="CG121">
        <v>9.18</v>
      </c>
      <c r="CH121">
        <v>8.17</v>
      </c>
      <c r="CL121">
        <v>7.93</v>
      </c>
      <c r="CN121">
        <v>7.82</v>
      </c>
      <c r="CP121">
        <v>12.27</v>
      </c>
      <c r="CR121">
        <v>7.85</v>
      </c>
      <c r="CT121">
        <v>7.57</v>
      </c>
      <c r="CV121">
        <v>5.0599999999999898</v>
      </c>
      <c r="CX121">
        <v>5.9</v>
      </c>
      <c r="CZ121">
        <v>8.73</v>
      </c>
      <c r="DB121">
        <v>6.52</v>
      </c>
      <c r="DD121">
        <v>8.9</v>
      </c>
      <c r="DF121">
        <v>6.68</v>
      </c>
      <c r="DL121">
        <v>13.16</v>
      </c>
      <c r="DM121">
        <v>6.57</v>
      </c>
      <c r="DO121">
        <v>5.67</v>
      </c>
      <c r="DQ121">
        <v>5.38</v>
      </c>
      <c r="DS121">
        <v>8.2899999999999903</v>
      </c>
      <c r="DU121">
        <v>12.89</v>
      </c>
      <c r="DW121">
        <v>5.62</v>
      </c>
      <c r="DY121">
        <v>7.9</v>
      </c>
      <c r="EA121">
        <v>11.41</v>
      </c>
      <c r="EC121">
        <v>6.02</v>
      </c>
      <c r="EE121">
        <v>4.7699999999999898</v>
      </c>
      <c r="EG121">
        <v>8.0500000000000007</v>
      </c>
      <c r="EI121">
        <v>5.49</v>
      </c>
      <c r="EM121">
        <v>16.39</v>
      </c>
      <c r="EO121">
        <v>6.23</v>
      </c>
      <c r="EQ121">
        <v>8.26</v>
      </c>
      <c r="ES121">
        <v>12.14</v>
      </c>
      <c r="EU121">
        <v>6.53</v>
      </c>
      <c r="EW121">
        <v>4.7699999999999898</v>
      </c>
      <c r="EY121">
        <v>8.0500000000000007</v>
      </c>
      <c r="FA121">
        <v>5.49</v>
      </c>
      <c r="FC121">
        <v>5.97</v>
      </c>
      <c r="FE121">
        <v>6.89</v>
      </c>
      <c r="FG121">
        <v>9.14</v>
      </c>
      <c r="FI121">
        <v>8.66</v>
      </c>
      <c r="FK121">
        <v>12.44</v>
      </c>
      <c r="FM121">
        <v>6.6</v>
      </c>
      <c r="FO121">
        <v>6.24</v>
      </c>
      <c r="FQ121">
        <v>7.56</v>
      </c>
      <c r="FS121">
        <v>7.24</v>
      </c>
      <c r="FU121">
        <v>7.45</v>
      </c>
      <c r="FW121">
        <v>13.61</v>
      </c>
      <c r="FY121">
        <v>5.57</v>
      </c>
      <c r="GA121">
        <v>8.67</v>
      </c>
      <c r="GC121">
        <v>6.33</v>
      </c>
      <c r="GE121">
        <v>7.1</v>
      </c>
      <c r="GG121">
        <v>5.49</v>
      </c>
      <c r="GI121">
        <v>9.65</v>
      </c>
      <c r="GK121">
        <v>8.5</v>
      </c>
      <c r="GS121">
        <v>7.14</v>
      </c>
      <c r="GU121">
        <v>4.9800000000000004</v>
      </c>
      <c r="GW121">
        <v>9.33</v>
      </c>
      <c r="GY121">
        <v>8.89</v>
      </c>
      <c r="HA121">
        <v>5.14</v>
      </c>
      <c r="HC121">
        <v>8.34</v>
      </c>
      <c r="HE121">
        <v>6.87</v>
      </c>
      <c r="HG121">
        <v>9.68</v>
      </c>
      <c r="HI121">
        <v>5.45</v>
      </c>
      <c r="HK121">
        <v>9.3000000000000007</v>
      </c>
      <c r="HM121">
        <v>8.6999999999999904</v>
      </c>
      <c r="HO121">
        <v>4.63</v>
      </c>
      <c r="HQ121">
        <v>6.25</v>
      </c>
      <c r="HS121">
        <v>9.1199999999999903</v>
      </c>
      <c r="HU121">
        <v>6.36</v>
      </c>
      <c r="HW121">
        <v>9.91</v>
      </c>
      <c r="HY121">
        <v>7.8</v>
      </c>
      <c r="IA121">
        <v>6.59</v>
      </c>
      <c r="IC121">
        <v>8.98</v>
      </c>
      <c r="IE121">
        <v>7.51</v>
      </c>
      <c r="IG121">
        <v>6.62</v>
      </c>
      <c r="II121">
        <v>6.96</v>
      </c>
      <c r="IK121">
        <v>9</v>
      </c>
      <c r="IM121">
        <v>8.66</v>
      </c>
      <c r="IO121">
        <v>6.11</v>
      </c>
      <c r="IQ121">
        <v>5.98</v>
      </c>
      <c r="IS121">
        <v>10.19</v>
      </c>
      <c r="IU121">
        <v>6.11</v>
      </c>
      <c r="IW121">
        <v>7.94</v>
      </c>
      <c r="IY121">
        <v>9.81</v>
      </c>
      <c r="JB121">
        <v>6.94</v>
      </c>
      <c r="JE121">
        <v>9.6199999999999903</v>
      </c>
      <c r="JG121">
        <v>9.39</v>
      </c>
      <c r="JI121">
        <v>8.01</v>
      </c>
      <c r="JK121">
        <v>5.51</v>
      </c>
      <c r="JM121">
        <v>9.1300000000000008</v>
      </c>
      <c r="JO121">
        <v>9.2899999999999903</v>
      </c>
      <c r="JQ121">
        <v>7.41</v>
      </c>
      <c r="JS121">
        <v>7.92</v>
      </c>
      <c r="JU121">
        <v>6.08</v>
      </c>
      <c r="JW121">
        <v>7.35</v>
      </c>
      <c r="JY121">
        <v>5.91</v>
      </c>
      <c r="KA121">
        <v>6.81</v>
      </c>
      <c r="KC121">
        <v>10.24</v>
      </c>
      <c r="KE121">
        <v>6.14</v>
      </c>
      <c r="KG121">
        <v>5.43</v>
      </c>
      <c r="KI121">
        <v>8.85</v>
      </c>
      <c r="KK121">
        <v>8.27</v>
      </c>
      <c r="KM121">
        <v>6.18</v>
      </c>
      <c r="KO121">
        <v>6.83</v>
      </c>
      <c r="KQ121">
        <v>8.5</v>
      </c>
      <c r="KS121">
        <v>6.52</v>
      </c>
      <c r="KU121">
        <v>8.85</v>
      </c>
      <c r="KW121">
        <v>8.65</v>
      </c>
      <c r="KY121">
        <v>13.29</v>
      </c>
      <c r="LA121">
        <v>4.83</v>
      </c>
      <c r="LC121">
        <v>6.96</v>
      </c>
      <c r="LE121">
        <v>8.14</v>
      </c>
      <c r="LG121">
        <v>7.6</v>
      </c>
    </row>
    <row r="122" spans="1:319">
      <c r="A122" s="20" t="s">
        <v>863</v>
      </c>
      <c r="D122" s="20" t="s">
        <v>861</v>
      </c>
      <c r="E122" s="20" t="s">
        <v>862</v>
      </c>
    </row>
    <row r="123" spans="1:319">
      <c r="A123" s="20" t="s">
        <v>864</v>
      </c>
      <c r="D123" s="20" t="s">
        <v>861</v>
      </c>
      <c r="E123" s="20" t="s">
        <v>862</v>
      </c>
    </row>
    <row r="124" spans="1:319">
      <c r="A124" s="20" t="s">
        <v>213</v>
      </c>
      <c r="B124">
        <v>1320.9599999999994</v>
      </c>
      <c r="C124">
        <v>25.40307692307691</v>
      </c>
      <c r="D124" s="20" t="s">
        <v>861</v>
      </c>
      <c r="E124" s="20" t="s">
        <v>862</v>
      </c>
      <c r="G124">
        <v>6.73</v>
      </c>
      <c r="H124">
        <v>5.0599999999999898</v>
      </c>
      <c r="I124">
        <v>6.9</v>
      </c>
      <c r="K124">
        <v>7.94</v>
      </c>
      <c r="M124">
        <v>6.49</v>
      </c>
      <c r="N124">
        <v>5.44</v>
      </c>
      <c r="O124">
        <v>7.03</v>
      </c>
      <c r="Q124">
        <v>7.15</v>
      </c>
      <c r="S124">
        <v>7.35</v>
      </c>
      <c r="T124">
        <v>6.97</v>
      </c>
      <c r="U124">
        <v>5.23</v>
      </c>
      <c r="W124">
        <v>5.87</v>
      </c>
      <c r="Y124">
        <v>13.62</v>
      </c>
      <c r="Z124">
        <v>6.86</v>
      </c>
      <c r="AA124">
        <v>7.87</v>
      </c>
      <c r="AC124">
        <v>6.49</v>
      </c>
      <c r="AE124">
        <v>8.66</v>
      </c>
      <c r="AF124">
        <v>8.64</v>
      </c>
      <c r="AG124">
        <v>4.93</v>
      </c>
      <c r="AI124">
        <v>6.97</v>
      </c>
      <c r="AK124">
        <v>7.12</v>
      </c>
      <c r="AL124">
        <v>8.84</v>
      </c>
      <c r="AO124">
        <v>7.09</v>
      </c>
      <c r="AP124">
        <v>7.65</v>
      </c>
      <c r="AQ124">
        <v>6.83</v>
      </c>
      <c r="AR124">
        <v>6.49</v>
      </c>
      <c r="AU124">
        <v>7.91</v>
      </c>
      <c r="AW124">
        <v>6.36</v>
      </c>
      <c r="AX124">
        <v>7.62</v>
      </c>
      <c r="BA124">
        <v>5.91</v>
      </c>
      <c r="BD124">
        <v>7.17</v>
      </c>
      <c r="BE124">
        <v>7.71</v>
      </c>
      <c r="BG124">
        <v>9.14</v>
      </c>
      <c r="BI124">
        <v>8.15</v>
      </c>
      <c r="BJ124">
        <v>7.35</v>
      </c>
      <c r="BK124">
        <v>7.34</v>
      </c>
      <c r="BM124">
        <v>7.16</v>
      </c>
      <c r="BO124">
        <v>8.01</v>
      </c>
      <c r="BP124">
        <v>7.32</v>
      </c>
      <c r="BS124">
        <v>7.31</v>
      </c>
      <c r="BU124">
        <v>7.98</v>
      </c>
      <c r="BV124">
        <v>8.66</v>
      </c>
      <c r="BW124">
        <v>6.42</v>
      </c>
      <c r="BY124">
        <v>7.26</v>
      </c>
      <c r="CB124">
        <v>7.93</v>
      </c>
      <c r="CC124">
        <v>7.52</v>
      </c>
      <c r="CF124">
        <v>8.24</v>
      </c>
      <c r="CH124">
        <v>9.6</v>
      </c>
      <c r="CI124">
        <v>6.78</v>
      </c>
      <c r="CJ124">
        <v>5.34</v>
      </c>
      <c r="CL124">
        <v>6.67</v>
      </c>
      <c r="CM124">
        <v>8.07</v>
      </c>
      <c r="CN124">
        <v>6.91</v>
      </c>
      <c r="CP124">
        <v>8.2200000000000006</v>
      </c>
      <c r="CR124">
        <v>6.19</v>
      </c>
      <c r="CT124">
        <v>9.5299999999999905</v>
      </c>
      <c r="CU124">
        <v>6.1</v>
      </c>
      <c r="CV124">
        <v>6.35</v>
      </c>
      <c r="CX124">
        <v>6.42</v>
      </c>
      <c r="CZ124">
        <v>6.65</v>
      </c>
      <c r="DA124">
        <v>9.1300000000000008</v>
      </c>
      <c r="DD124">
        <v>7.52</v>
      </c>
      <c r="DE124">
        <v>6.05</v>
      </c>
      <c r="DF124">
        <v>5.58</v>
      </c>
      <c r="DG124">
        <v>4.96</v>
      </c>
      <c r="DJ124">
        <v>6.39</v>
      </c>
      <c r="DL124">
        <v>5.6</v>
      </c>
      <c r="DM124">
        <v>6.48</v>
      </c>
      <c r="DN124">
        <v>4.51</v>
      </c>
      <c r="DO124">
        <v>6.01</v>
      </c>
      <c r="DQ124">
        <v>8.11</v>
      </c>
      <c r="DS124">
        <v>6.51</v>
      </c>
      <c r="DT124">
        <v>5.13</v>
      </c>
      <c r="DU124">
        <v>5.76</v>
      </c>
      <c r="DW124">
        <v>6.66</v>
      </c>
      <c r="DY124">
        <v>6.24</v>
      </c>
      <c r="DZ124">
        <v>10.0299999999999</v>
      </c>
      <c r="EA124">
        <v>6.27</v>
      </c>
      <c r="EE124">
        <v>7.29</v>
      </c>
      <c r="EF124">
        <v>6.61</v>
      </c>
      <c r="EG124">
        <v>4.16</v>
      </c>
      <c r="EI124">
        <v>7.99</v>
      </c>
      <c r="EJ124">
        <v>5.43</v>
      </c>
      <c r="EM124">
        <v>7.52</v>
      </c>
      <c r="EN124">
        <v>8.8000000000000007</v>
      </c>
      <c r="EO124">
        <v>5.77</v>
      </c>
      <c r="EQ124">
        <v>9.4499999999999904</v>
      </c>
      <c r="ER124">
        <v>6.31</v>
      </c>
      <c r="ES124">
        <v>6.52</v>
      </c>
      <c r="EU124">
        <v>5.47</v>
      </c>
      <c r="EW124">
        <v>7.29</v>
      </c>
      <c r="EX124">
        <v>6.61</v>
      </c>
      <c r="EY124">
        <v>4.16</v>
      </c>
      <c r="FA124">
        <v>7.99</v>
      </c>
      <c r="FC124">
        <v>6.34</v>
      </c>
      <c r="FD124">
        <v>6.99</v>
      </c>
      <c r="FE124">
        <v>11.16</v>
      </c>
      <c r="FG124">
        <v>6.7</v>
      </c>
      <c r="FI124">
        <v>8.4600000000000009</v>
      </c>
      <c r="FJ124">
        <v>7.23</v>
      </c>
      <c r="FK124">
        <v>7.3</v>
      </c>
      <c r="FM124">
        <v>5.38</v>
      </c>
      <c r="FO124">
        <v>7.46</v>
      </c>
      <c r="FP124">
        <v>6.67</v>
      </c>
      <c r="FS124">
        <v>7.61</v>
      </c>
      <c r="FT124">
        <v>6.04</v>
      </c>
      <c r="FU124">
        <v>7.74</v>
      </c>
      <c r="FV124">
        <v>9.64</v>
      </c>
      <c r="FW124">
        <v>4.8899999999999899</v>
      </c>
      <c r="FY124">
        <v>7.63</v>
      </c>
      <c r="GA124">
        <v>8.51</v>
      </c>
      <c r="GB124">
        <v>7.32</v>
      </c>
      <c r="GC124">
        <v>7.12</v>
      </c>
      <c r="GE124">
        <v>5.29</v>
      </c>
      <c r="GF124">
        <v>7.17</v>
      </c>
      <c r="GG124">
        <v>6.58</v>
      </c>
      <c r="GH124">
        <v>8.2799999999999905</v>
      </c>
      <c r="GI124">
        <v>3.41</v>
      </c>
      <c r="GS124">
        <v>7.15</v>
      </c>
      <c r="GT124">
        <v>7.6</v>
      </c>
      <c r="GV124">
        <v>8.5</v>
      </c>
      <c r="GW124">
        <v>5.84</v>
      </c>
      <c r="GY124">
        <v>7.89</v>
      </c>
      <c r="HA124">
        <v>3.47</v>
      </c>
      <c r="HC124">
        <v>7.97</v>
      </c>
      <c r="HE124">
        <v>8.02</v>
      </c>
      <c r="HG124">
        <v>8.0399999999999903</v>
      </c>
      <c r="HI124">
        <v>7.07</v>
      </c>
      <c r="HK124">
        <v>8.27</v>
      </c>
      <c r="HL124">
        <v>8.2799999999999905</v>
      </c>
      <c r="HN124">
        <v>7.23</v>
      </c>
      <c r="HO124">
        <v>7.11</v>
      </c>
      <c r="HQ124">
        <v>7.34</v>
      </c>
      <c r="HS124">
        <v>7.52</v>
      </c>
      <c r="HU124">
        <v>8.5399999999999903</v>
      </c>
      <c r="HW124">
        <v>9.43</v>
      </c>
      <c r="HX124">
        <v>4.2</v>
      </c>
      <c r="HZ124">
        <v>4.2300000000000004</v>
      </c>
      <c r="IA124">
        <v>7.72</v>
      </c>
      <c r="IC124">
        <v>7.39</v>
      </c>
      <c r="ID124">
        <v>8.59</v>
      </c>
      <c r="IE124">
        <v>8.32</v>
      </c>
      <c r="IG124">
        <v>8.31</v>
      </c>
      <c r="IK124">
        <v>7.83</v>
      </c>
      <c r="IM124">
        <v>7.53</v>
      </c>
      <c r="IO124">
        <v>8.02</v>
      </c>
      <c r="IP124">
        <v>7.1</v>
      </c>
      <c r="IQ124">
        <v>8.7799999999999905</v>
      </c>
      <c r="IS124">
        <v>7.11</v>
      </c>
      <c r="IU124">
        <v>9.06</v>
      </c>
      <c r="IV124">
        <v>7.24</v>
      </c>
      <c r="IX124">
        <v>6.31</v>
      </c>
      <c r="JB124">
        <v>8.2100000000000009</v>
      </c>
      <c r="JE124">
        <v>9.02</v>
      </c>
      <c r="JG124">
        <v>7.96</v>
      </c>
      <c r="JH124">
        <v>7.32</v>
      </c>
      <c r="JI124">
        <v>4.72</v>
      </c>
      <c r="JM124">
        <v>9.4499999999999904</v>
      </c>
      <c r="JN124">
        <v>6.74</v>
      </c>
      <c r="JQ124">
        <v>7.46</v>
      </c>
      <c r="JR124">
        <v>7.48</v>
      </c>
      <c r="JS124">
        <v>6.11</v>
      </c>
      <c r="JT124">
        <v>7.25</v>
      </c>
      <c r="JW124">
        <v>6.15</v>
      </c>
      <c r="JY124">
        <v>6.39</v>
      </c>
      <c r="JZ124">
        <v>6.44</v>
      </c>
      <c r="KA124">
        <v>6.83</v>
      </c>
      <c r="KC124">
        <v>7.73</v>
      </c>
      <c r="KE124">
        <v>6.5</v>
      </c>
      <c r="KF124">
        <v>5.05</v>
      </c>
      <c r="KI124">
        <v>9.61</v>
      </c>
      <c r="KK124">
        <v>4.95</v>
      </c>
      <c r="KL124">
        <v>7.35</v>
      </c>
      <c r="KO124">
        <v>8.02</v>
      </c>
      <c r="KQ124">
        <v>7.2</v>
      </c>
      <c r="KR124">
        <v>8.61</v>
      </c>
      <c r="KS124">
        <v>8.27</v>
      </c>
      <c r="KU124">
        <v>6.43</v>
      </c>
      <c r="KW124">
        <v>7.93</v>
      </c>
      <c r="KX124">
        <v>7.6</v>
      </c>
      <c r="LA124">
        <v>6.59</v>
      </c>
      <c r="LC124">
        <v>10.18</v>
      </c>
      <c r="LD124">
        <v>8.41</v>
      </c>
      <c r="LG124">
        <v>7.24</v>
      </c>
    </row>
    <row r="125" spans="1:319">
      <c r="A125" s="20" t="s">
        <v>214</v>
      </c>
      <c r="B125">
        <v>1309.2800000000007</v>
      </c>
      <c r="C125">
        <v>25.178461538461551</v>
      </c>
      <c r="D125" s="20" t="s">
        <v>861</v>
      </c>
      <c r="E125" s="20" t="s">
        <v>862</v>
      </c>
      <c r="G125">
        <v>4.82</v>
      </c>
      <c r="H125">
        <v>3.37</v>
      </c>
      <c r="I125">
        <v>6.67</v>
      </c>
      <c r="K125">
        <v>7.9</v>
      </c>
      <c r="M125">
        <v>6.55</v>
      </c>
      <c r="N125">
        <v>5.77</v>
      </c>
      <c r="O125">
        <v>5.68</v>
      </c>
      <c r="Q125">
        <v>7.26</v>
      </c>
      <c r="S125">
        <v>7.23</v>
      </c>
      <c r="T125">
        <v>3.54</v>
      </c>
      <c r="U125">
        <v>6.38</v>
      </c>
      <c r="W125">
        <v>7.86</v>
      </c>
      <c r="AC125">
        <v>7.72</v>
      </c>
      <c r="AE125">
        <v>5.68</v>
      </c>
      <c r="AF125">
        <v>10.19</v>
      </c>
      <c r="AI125">
        <v>9.2899999999999903</v>
      </c>
      <c r="AK125">
        <v>9.7100000000000009</v>
      </c>
      <c r="AL125">
        <v>7.28</v>
      </c>
      <c r="AO125">
        <v>8.73</v>
      </c>
      <c r="AQ125">
        <v>8.43</v>
      </c>
      <c r="AR125">
        <v>9.48</v>
      </c>
      <c r="AU125">
        <v>6.06</v>
      </c>
      <c r="AW125">
        <v>8.73</v>
      </c>
      <c r="AX125">
        <v>6.24</v>
      </c>
      <c r="AZ125">
        <v>7.62</v>
      </c>
      <c r="BD125">
        <v>9.9</v>
      </c>
      <c r="BE125">
        <v>8.0299999999999905</v>
      </c>
      <c r="BG125">
        <v>4.78</v>
      </c>
      <c r="BI125">
        <v>5.5</v>
      </c>
      <c r="BJ125">
        <v>8.35</v>
      </c>
      <c r="BM125">
        <v>9.06</v>
      </c>
      <c r="BO125">
        <v>8.94</v>
      </c>
      <c r="BP125">
        <v>7.8</v>
      </c>
      <c r="BS125">
        <v>7.48</v>
      </c>
      <c r="BU125">
        <v>8.41</v>
      </c>
      <c r="BV125">
        <v>9.24</v>
      </c>
      <c r="BY125">
        <v>9.19</v>
      </c>
      <c r="CA125">
        <v>6.83</v>
      </c>
      <c r="CB125">
        <v>14.72</v>
      </c>
      <c r="CF125">
        <v>8.0299999999999905</v>
      </c>
      <c r="CG125">
        <v>8.91</v>
      </c>
      <c r="CH125">
        <v>8.01</v>
      </c>
      <c r="CI125">
        <v>6.67</v>
      </c>
      <c r="CL125">
        <v>14.82</v>
      </c>
      <c r="CM125">
        <v>5.87</v>
      </c>
      <c r="CN125">
        <v>7.53</v>
      </c>
      <c r="CQ125">
        <v>8.65</v>
      </c>
      <c r="CR125">
        <v>6.75</v>
      </c>
      <c r="CT125">
        <v>7.92</v>
      </c>
      <c r="CU125">
        <v>8.0500000000000007</v>
      </c>
      <c r="CX125">
        <v>6.23</v>
      </c>
      <c r="CZ125">
        <v>8.9</v>
      </c>
      <c r="DA125">
        <v>7.13</v>
      </c>
      <c r="DD125">
        <v>9.49</v>
      </c>
      <c r="DF125">
        <v>7.48</v>
      </c>
      <c r="DG125">
        <v>3.57</v>
      </c>
      <c r="DJ125">
        <v>9.56</v>
      </c>
      <c r="DL125">
        <v>7.35</v>
      </c>
      <c r="DM125">
        <v>9.36</v>
      </c>
      <c r="DN125">
        <v>4.9400000000000004</v>
      </c>
      <c r="DO125">
        <v>3.81</v>
      </c>
      <c r="DQ125">
        <v>5.79</v>
      </c>
      <c r="DS125">
        <v>6.93</v>
      </c>
      <c r="DT125">
        <v>6.9</v>
      </c>
      <c r="DU125">
        <v>3.69</v>
      </c>
      <c r="DW125">
        <v>5.89</v>
      </c>
      <c r="DY125">
        <v>8.68</v>
      </c>
      <c r="DZ125">
        <v>7.08</v>
      </c>
      <c r="EA125">
        <v>7.92</v>
      </c>
      <c r="EC125">
        <v>8.8000000000000007</v>
      </c>
      <c r="EE125">
        <v>9.24</v>
      </c>
      <c r="EF125">
        <v>6.48</v>
      </c>
      <c r="EG125">
        <v>6.78</v>
      </c>
      <c r="EI125">
        <v>6.81</v>
      </c>
      <c r="EJ125">
        <v>8.31</v>
      </c>
      <c r="EM125">
        <v>5.19</v>
      </c>
      <c r="EN125">
        <v>7.1</v>
      </c>
      <c r="EO125">
        <v>8.57</v>
      </c>
      <c r="EQ125">
        <v>7.67</v>
      </c>
      <c r="ER125">
        <v>5.77</v>
      </c>
      <c r="ES125">
        <v>4.63</v>
      </c>
      <c r="EU125">
        <v>7.07</v>
      </c>
      <c r="EW125">
        <v>9.24</v>
      </c>
      <c r="EX125">
        <v>6.48</v>
      </c>
      <c r="EY125">
        <v>6.78</v>
      </c>
      <c r="FA125">
        <v>6.81</v>
      </c>
      <c r="FC125">
        <v>9.09</v>
      </c>
      <c r="FD125">
        <v>6.58</v>
      </c>
      <c r="FE125">
        <v>7.09</v>
      </c>
      <c r="FG125">
        <v>8.17</v>
      </c>
      <c r="FI125">
        <v>5.72</v>
      </c>
      <c r="FJ125">
        <v>9.9499999999999904</v>
      </c>
      <c r="FK125">
        <v>7.63</v>
      </c>
      <c r="FM125">
        <v>8.06</v>
      </c>
      <c r="FO125">
        <v>8.11</v>
      </c>
      <c r="FP125">
        <v>7.19</v>
      </c>
      <c r="FS125">
        <v>3.71</v>
      </c>
      <c r="FU125">
        <v>10.24</v>
      </c>
      <c r="FV125">
        <v>7.39</v>
      </c>
      <c r="FW125">
        <v>7.03</v>
      </c>
      <c r="FY125">
        <v>7.05</v>
      </c>
      <c r="GA125">
        <v>6.63</v>
      </c>
      <c r="GB125">
        <v>8.81</v>
      </c>
      <c r="GE125">
        <v>4.3600000000000003</v>
      </c>
      <c r="GG125">
        <v>8.16</v>
      </c>
      <c r="GH125">
        <v>5.43</v>
      </c>
      <c r="GI125">
        <v>3.87</v>
      </c>
      <c r="GK125">
        <v>7.31</v>
      </c>
      <c r="GS125">
        <v>6.14</v>
      </c>
      <c r="GT125">
        <v>6.73</v>
      </c>
      <c r="GV125">
        <v>7.07</v>
      </c>
      <c r="GW125">
        <v>6.51</v>
      </c>
      <c r="GY125">
        <v>7.5</v>
      </c>
      <c r="HA125">
        <v>5.66</v>
      </c>
      <c r="HC125">
        <v>7.6</v>
      </c>
      <c r="HE125">
        <v>6.25</v>
      </c>
      <c r="HG125">
        <v>6.81</v>
      </c>
      <c r="HI125">
        <v>9.84</v>
      </c>
      <c r="HK125">
        <v>7.8</v>
      </c>
      <c r="HL125">
        <v>5.71</v>
      </c>
      <c r="HN125">
        <v>4.0999999999999899</v>
      </c>
      <c r="HO125">
        <v>7.05</v>
      </c>
      <c r="HQ125">
        <v>9.64</v>
      </c>
      <c r="HS125">
        <v>9.75</v>
      </c>
      <c r="HU125">
        <v>8.19</v>
      </c>
      <c r="HW125">
        <v>6.76</v>
      </c>
      <c r="HX125">
        <v>7.76</v>
      </c>
      <c r="HZ125">
        <v>5.68</v>
      </c>
      <c r="IA125">
        <v>6.53</v>
      </c>
      <c r="IC125">
        <v>10.4</v>
      </c>
      <c r="ID125">
        <v>4.84</v>
      </c>
      <c r="IG125">
        <v>5.61</v>
      </c>
      <c r="II125">
        <v>17.649999999999899</v>
      </c>
      <c r="IK125">
        <v>11.32</v>
      </c>
      <c r="IM125">
        <v>4.9000000000000004</v>
      </c>
      <c r="IO125">
        <v>9.7899999999999903</v>
      </c>
      <c r="IP125">
        <v>9.19</v>
      </c>
      <c r="IS125">
        <v>6.19</v>
      </c>
      <c r="IU125">
        <v>6.41</v>
      </c>
      <c r="IV125">
        <v>9.14</v>
      </c>
      <c r="IX125">
        <v>9.4700000000000006</v>
      </c>
      <c r="IY125">
        <v>6.44</v>
      </c>
      <c r="JB125">
        <v>7.25</v>
      </c>
      <c r="JE125">
        <v>10.3</v>
      </c>
      <c r="JG125">
        <v>9.84</v>
      </c>
      <c r="JH125">
        <v>7.14</v>
      </c>
      <c r="JM125">
        <v>7.7</v>
      </c>
      <c r="JN125">
        <v>9.19</v>
      </c>
      <c r="JQ125">
        <v>9.0299999999999905</v>
      </c>
      <c r="JS125">
        <v>9.65</v>
      </c>
      <c r="JT125">
        <v>6.22</v>
      </c>
      <c r="JW125">
        <v>8.68</v>
      </c>
      <c r="JY125">
        <v>8.11</v>
      </c>
      <c r="JZ125">
        <v>6.54</v>
      </c>
      <c r="KC125">
        <v>10.38</v>
      </c>
      <c r="KE125">
        <v>11</v>
      </c>
      <c r="KF125">
        <v>9.1300000000000008</v>
      </c>
      <c r="KI125">
        <v>7.2</v>
      </c>
      <c r="KK125">
        <v>6.9</v>
      </c>
      <c r="KL125">
        <v>7.83</v>
      </c>
      <c r="KO125">
        <v>7.65</v>
      </c>
      <c r="KQ125">
        <v>9.7200000000000006</v>
      </c>
      <c r="KR125">
        <v>8.92</v>
      </c>
      <c r="KU125">
        <v>8.92</v>
      </c>
      <c r="KW125">
        <v>8.66</v>
      </c>
      <c r="KX125">
        <v>8.43</v>
      </c>
      <c r="KY125">
        <v>8.6</v>
      </c>
      <c r="LA125">
        <v>7.23</v>
      </c>
      <c r="LC125">
        <v>7.99</v>
      </c>
      <c r="LD125">
        <v>8.5</v>
      </c>
      <c r="LE125">
        <v>7.49</v>
      </c>
      <c r="LG125">
        <v>7.01</v>
      </c>
    </row>
    <row r="126" spans="1:319">
      <c r="A126" s="20" t="s">
        <v>865</v>
      </c>
      <c r="B126">
        <v>14.559999999999999</v>
      </c>
      <c r="C126">
        <v>0.27999999999999997</v>
      </c>
      <c r="D126" s="20" t="s">
        <v>861</v>
      </c>
      <c r="E126" s="20" t="s">
        <v>862</v>
      </c>
      <c r="IG126">
        <v>8.86</v>
      </c>
      <c r="IY126">
        <v>5.7</v>
      </c>
    </row>
    <row r="127" spans="1:319">
      <c r="A127" s="20" t="s">
        <v>260</v>
      </c>
      <c r="B127">
        <v>741.06</v>
      </c>
      <c r="C127">
        <v>14.251153846153844</v>
      </c>
      <c r="D127" s="20" t="s">
        <v>861</v>
      </c>
      <c r="E127" s="20" t="s">
        <v>862</v>
      </c>
      <c r="G127">
        <v>6.84</v>
      </c>
      <c r="K127">
        <v>5.45</v>
      </c>
      <c r="M127">
        <v>8.48</v>
      </c>
      <c r="Q127">
        <v>7.35</v>
      </c>
      <c r="S127">
        <v>7.96</v>
      </c>
      <c r="W127">
        <v>7.8</v>
      </c>
      <c r="Y127">
        <v>6.65</v>
      </c>
      <c r="AC127">
        <v>7.1</v>
      </c>
      <c r="AE127">
        <v>7.53</v>
      </c>
      <c r="AI127">
        <v>5.57</v>
      </c>
      <c r="AK127">
        <v>6.8</v>
      </c>
      <c r="AO127">
        <v>5.87</v>
      </c>
      <c r="AQ127">
        <v>7.98</v>
      </c>
      <c r="AU127">
        <v>9.2799999999999905</v>
      </c>
      <c r="AW127">
        <v>7.48</v>
      </c>
      <c r="AY127">
        <v>7.97</v>
      </c>
      <c r="BD127">
        <v>7.53</v>
      </c>
      <c r="BG127">
        <v>7.55</v>
      </c>
      <c r="BI127">
        <v>7.35</v>
      </c>
      <c r="BM127">
        <v>7.15</v>
      </c>
      <c r="BO127">
        <v>7.93</v>
      </c>
      <c r="BS127">
        <v>7.74</v>
      </c>
      <c r="BW127">
        <v>7.19</v>
      </c>
      <c r="CB127">
        <v>8.42</v>
      </c>
      <c r="CF127">
        <v>8.2100000000000009</v>
      </c>
      <c r="CH127">
        <v>8.1199999999999903</v>
      </c>
      <c r="CL127">
        <v>7.79</v>
      </c>
      <c r="CN127">
        <v>7.8</v>
      </c>
      <c r="CR127">
        <v>5.18</v>
      </c>
      <c r="CT127">
        <v>7.55</v>
      </c>
      <c r="CX127">
        <v>5.85</v>
      </c>
      <c r="CZ127">
        <v>7.93</v>
      </c>
      <c r="DD127">
        <v>7.47</v>
      </c>
      <c r="DF127">
        <v>7.32</v>
      </c>
      <c r="DL127">
        <v>6.79</v>
      </c>
      <c r="DM127">
        <v>7.91</v>
      </c>
      <c r="DQ127">
        <v>5.96</v>
      </c>
      <c r="DS127">
        <v>7.22</v>
      </c>
      <c r="DW127">
        <v>7.14</v>
      </c>
      <c r="DY127">
        <v>7.66</v>
      </c>
      <c r="EC127">
        <v>7.18</v>
      </c>
      <c r="EE127">
        <v>7</v>
      </c>
      <c r="EI127">
        <v>7.1</v>
      </c>
      <c r="EM127">
        <v>8.09</v>
      </c>
      <c r="EO127">
        <v>8.41</v>
      </c>
      <c r="EQ127">
        <v>8.1300000000000008</v>
      </c>
      <c r="EU127">
        <v>7.03</v>
      </c>
      <c r="EW127">
        <v>7</v>
      </c>
      <c r="FA127">
        <v>7.1</v>
      </c>
      <c r="FC127">
        <v>7.33</v>
      </c>
      <c r="FG127">
        <v>5.19</v>
      </c>
      <c r="FI127">
        <v>7.51</v>
      </c>
      <c r="FM127">
        <v>5.5</v>
      </c>
      <c r="FO127">
        <v>8.51</v>
      </c>
      <c r="FS127">
        <v>8.11</v>
      </c>
      <c r="FU127">
        <v>8.4700000000000006</v>
      </c>
      <c r="FY127">
        <v>4.2699999999999898</v>
      </c>
      <c r="GA127">
        <v>7.84</v>
      </c>
      <c r="GE127">
        <v>6.53</v>
      </c>
      <c r="GG127">
        <v>8.4700000000000006</v>
      </c>
      <c r="GK127">
        <v>6.02</v>
      </c>
      <c r="GS127">
        <v>8.1999999999999904</v>
      </c>
      <c r="GW127">
        <v>9.26</v>
      </c>
      <c r="GY127">
        <v>9.4</v>
      </c>
      <c r="HC127">
        <v>8.25</v>
      </c>
      <c r="HE127">
        <v>8.68</v>
      </c>
      <c r="HI127">
        <v>9.56</v>
      </c>
      <c r="HK127">
        <v>6.3</v>
      </c>
      <c r="HO127">
        <v>8.68</v>
      </c>
      <c r="HQ127">
        <v>8.77</v>
      </c>
      <c r="HU127">
        <v>9.17</v>
      </c>
      <c r="HW127">
        <v>6.62</v>
      </c>
      <c r="IA127">
        <v>6.08</v>
      </c>
      <c r="IC127">
        <v>5.53</v>
      </c>
      <c r="IG127">
        <v>7.5</v>
      </c>
      <c r="IM127">
        <v>7.89</v>
      </c>
      <c r="IO127">
        <v>9.41</v>
      </c>
      <c r="IS127">
        <v>9.2899999999999903</v>
      </c>
      <c r="IU127">
        <v>6.72</v>
      </c>
      <c r="JB127">
        <v>8.4</v>
      </c>
      <c r="JE127">
        <v>8.0299999999999905</v>
      </c>
      <c r="JG127">
        <v>5.12</v>
      </c>
      <c r="JK127">
        <v>8.34</v>
      </c>
      <c r="JM127">
        <v>9.23</v>
      </c>
      <c r="JQ127">
        <v>6.27</v>
      </c>
      <c r="JS127">
        <v>6.94</v>
      </c>
      <c r="JW127">
        <v>8.86</v>
      </c>
      <c r="JY127">
        <v>9.15</v>
      </c>
      <c r="KC127">
        <v>8.85</v>
      </c>
      <c r="KE127">
        <v>7.94</v>
      </c>
      <c r="KI127">
        <v>9.2899999999999903</v>
      </c>
      <c r="KK127">
        <v>7.82</v>
      </c>
      <c r="KO127">
        <v>8.36</v>
      </c>
      <c r="KQ127">
        <v>4.09</v>
      </c>
      <c r="KU127">
        <v>5.92</v>
      </c>
      <c r="KW127">
        <v>5.14</v>
      </c>
      <c r="LA127">
        <v>9.16</v>
      </c>
      <c r="LC127">
        <v>6.9</v>
      </c>
      <c r="LG127">
        <v>8.2799999999999905</v>
      </c>
    </row>
    <row r="128" spans="1:319">
      <c r="A128" s="20" t="s">
        <v>306</v>
      </c>
      <c r="B128">
        <v>620.67000000000007</v>
      </c>
      <c r="C128">
        <v>11.935961538461539</v>
      </c>
      <c r="D128" s="20" t="s">
        <v>861</v>
      </c>
      <c r="E128" s="20" t="s">
        <v>866</v>
      </c>
      <c r="G128">
        <v>7.21</v>
      </c>
      <c r="K128">
        <v>6.21</v>
      </c>
      <c r="M128">
        <v>3.55</v>
      </c>
      <c r="Q128">
        <v>5.61</v>
      </c>
      <c r="S128">
        <v>4.0599999999999898</v>
      </c>
      <c r="W128">
        <v>4.6900000000000004</v>
      </c>
      <c r="Y128">
        <v>5.96</v>
      </c>
      <c r="AC128">
        <v>7.06</v>
      </c>
      <c r="AE128">
        <v>4.5599999999999898</v>
      </c>
      <c r="AI128">
        <v>8.7899999999999903</v>
      </c>
      <c r="AK128">
        <v>6.87</v>
      </c>
      <c r="AO128">
        <v>7.57</v>
      </c>
      <c r="AQ128">
        <v>6.22</v>
      </c>
      <c r="AU128">
        <v>5.37</v>
      </c>
      <c r="AW128">
        <v>6.39</v>
      </c>
      <c r="BA128">
        <v>6.57</v>
      </c>
      <c r="BF128">
        <v>7.78</v>
      </c>
      <c r="BI128">
        <v>7.26</v>
      </c>
      <c r="BM128">
        <v>8.07</v>
      </c>
      <c r="BO128">
        <v>7.69</v>
      </c>
      <c r="BS128">
        <v>6.01</v>
      </c>
      <c r="BY128">
        <v>6.77</v>
      </c>
      <c r="CB128">
        <v>7.29</v>
      </c>
      <c r="CF128">
        <v>3.79</v>
      </c>
      <c r="CH128">
        <v>7.13</v>
      </c>
      <c r="CL128">
        <v>7.44</v>
      </c>
      <c r="CN128">
        <v>7.04</v>
      </c>
      <c r="CR128">
        <v>5.94</v>
      </c>
      <c r="CT128">
        <v>3.68</v>
      </c>
      <c r="CX128">
        <v>4.43</v>
      </c>
      <c r="CZ128">
        <v>6.69</v>
      </c>
      <c r="DD128">
        <v>7.22</v>
      </c>
      <c r="DF128">
        <v>7.66</v>
      </c>
      <c r="DL128">
        <v>4.6100000000000003</v>
      </c>
      <c r="DM128">
        <v>6.63</v>
      </c>
      <c r="DQ128">
        <v>3.2</v>
      </c>
      <c r="DW128">
        <v>7.92</v>
      </c>
      <c r="DY128">
        <v>8.48</v>
      </c>
      <c r="EC128">
        <v>3.99</v>
      </c>
      <c r="EE128">
        <v>6.82</v>
      </c>
      <c r="EI128">
        <v>7.67</v>
      </c>
      <c r="EL128">
        <v>13.29</v>
      </c>
      <c r="EO128">
        <v>5.32</v>
      </c>
      <c r="EQ128">
        <v>3.22</v>
      </c>
      <c r="EU128">
        <v>6.04</v>
      </c>
      <c r="EW128">
        <v>6.82</v>
      </c>
      <c r="FA128">
        <v>7.67</v>
      </c>
      <c r="FC128">
        <v>5.44</v>
      </c>
      <c r="FG128">
        <v>7.6</v>
      </c>
      <c r="FI128">
        <v>4.9400000000000004</v>
      </c>
      <c r="FM128">
        <v>6.69</v>
      </c>
      <c r="FO128">
        <v>7.82</v>
      </c>
      <c r="FS128">
        <v>4.7699999999999898</v>
      </c>
      <c r="FU128">
        <v>5.9</v>
      </c>
      <c r="FY128">
        <v>9.09</v>
      </c>
      <c r="GA128">
        <v>6.57</v>
      </c>
      <c r="GE128">
        <v>7.97</v>
      </c>
      <c r="GG128">
        <v>7.13</v>
      </c>
      <c r="GK128">
        <v>9</v>
      </c>
      <c r="GS128">
        <v>6.83</v>
      </c>
      <c r="GW128">
        <v>5.68</v>
      </c>
      <c r="GY128">
        <v>5.22</v>
      </c>
      <c r="HC128">
        <v>6.42</v>
      </c>
      <c r="HE128">
        <v>5.33</v>
      </c>
      <c r="HI128">
        <v>6.35</v>
      </c>
      <c r="HL128">
        <v>5.64</v>
      </c>
      <c r="HO128">
        <v>5.61</v>
      </c>
      <c r="HQ128">
        <v>4.3499999999999899</v>
      </c>
      <c r="HU128">
        <v>6.69</v>
      </c>
      <c r="IA128">
        <v>7</v>
      </c>
      <c r="IC128">
        <v>5.81</v>
      </c>
      <c r="IG128">
        <v>7.25</v>
      </c>
      <c r="II128">
        <v>3.79</v>
      </c>
      <c r="IM128">
        <v>7.1</v>
      </c>
      <c r="IO128">
        <v>4.95</v>
      </c>
      <c r="IS128">
        <v>5.65</v>
      </c>
      <c r="IU128">
        <v>6.1</v>
      </c>
      <c r="JB128">
        <v>5.78</v>
      </c>
      <c r="JE128">
        <v>7.55</v>
      </c>
      <c r="JG128">
        <v>5.04</v>
      </c>
      <c r="JK128">
        <v>5.22</v>
      </c>
      <c r="JM128">
        <v>5.95</v>
      </c>
      <c r="JQ128">
        <v>6.32</v>
      </c>
      <c r="JS128">
        <v>7.66</v>
      </c>
      <c r="JW128">
        <v>7.31</v>
      </c>
      <c r="JY128">
        <v>4.13</v>
      </c>
      <c r="KC128">
        <v>5.89</v>
      </c>
      <c r="KE128">
        <v>7.04</v>
      </c>
      <c r="KI128">
        <v>7.97</v>
      </c>
      <c r="KK128">
        <v>6.54</v>
      </c>
      <c r="KO128">
        <v>7.32</v>
      </c>
      <c r="KQ128">
        <v>8.14</v>
      </c>
      <c r="KU128">
        <v>7.46</v>
      </c>
      <c r="KW128">
        <v>5.14</v>
      </c>
      <c r="LA128">
        <v>8.7200000000000006</v>
      </c>
      <c r="LC128">
        <v>4.45</v>
      </c>
      <c r="LG128">
        <v>8.09</v>
      </c>
    </row>
    <row r="129" spans="1:319">
      <c r="A129" s="20" t="s">
        <v>193</v>
      </c>
      <c r="B129">
        <v>1718.2999999999993</v>
      </c>
      <c r="C129">
        <v>33.044230769230758</v>
      </c>
      <c r="D129" s="20" t="s">
        <v>861</v>
      </c>
      <c r="E129" s="20" t="s">
        <v>866</v>
      </c>
      <c r="G129">
        <v>16.059999999999899</v>
      </c>
      <c r="J129">
        <v>17.170000000000002</v>
      </c>
      <c r="M129">
        <v>17.37</v>
      </c>
      <c r="P129">
        <v>17.260000000000002</v>
      </c>
      <c r="S129">
        <v>18.579999999999899</v>
      </c>
      <c r="V129">
        <v>17.47</v>
      </c>
      <c r="W129">
        <v>8.08</v>
      </c>
      <c r="Y129">
        <v>16.98</v>
      </c>
      <c r="AA129">
        <v>8.41</v>
      </c>
      <c r="AB129">
        <v>18.239999999999899</v>
      </c>
      <c r="AE129">
        <v>15.94</v>
      </c>
      <c r="AI129">
        <v>17.64</v>
      </c>
      <c r="AK129">
        <v>15.38</v>
      </c>
      <c r="AN129">
        <v>9.3800000000000008</v>
      </c>
      <c r="AP129">
        <v>7.44</v>
      </c>
      <c r="AQ129">
        <v>17.63</v>
      </c>
      <c r="AT129">
        <v>15.3</v>
      </c>
      <c r="AW129">
        <v>16.37</v>
      </c>
      <c r="AZ129">
        <v>18.48</v>
      </c>
      <c r="BB129">
        <v>18.3</v>
      </c>
      <c r="BF129">
        <v>19.37</v>
      </c>
      <c r="BI129">
        <v>25.04</v>
      </c>
      <c r="BO129">
        <v>18.350000000000001</v>
      </c>
      <c r="BR129">
        <v>18.989999999999899</v>
      </c>
      <c r="BU129">
        <v>13.65</v>
      </c>
      <c r="BX129">
        <v>14.579999999999901</v>
      </c>
      <c r="CB129">
        <v>17.59</v>
      </c>
      <c r="CE129">
        <v>8.7799999999999905</v>
      </c>
      <c r="CF129">
        <v>9.99</v>
      </c>
      <c r="CH129">
        <v>15.94</v>
      </c>
      <c r="CK129">
        <v>18.53</v>
      </c>
      <c r="CN129">
        <v>16.100000000000001</v>
      </c>
      <c r="CT129">
        <v>16.72</v>
      </c>
      <c r="CX129">
        <v>19.07</v>
      </c>
      <c r="CZ129">
        <v>17.77</v>
      </c>
      <c r="DC129">
        <v>17.66</v>
      </c>
      <c r="DF129">
        <v>17.34</v>
      </c>
      <c r="DJ129">
        <v>9.16</v>
      </c>
      <c r="DL129">
        <v>8.73</v>
      </c>
      <c r="DM129">
        <v>17.420000000000002</v>
      </c>
      <c r="DN129">
        <v>8.36</v>
      </c>
      <c r="DP129">
        <v>17.600000000000001</v>
      </c>
      <c r="DS129">
        <v>14.93</v>
      </c>
      <c r="DV129">
        <v>8.77</v>
      </c>
      <c r="DW129">
        <v>7.49</v>
      </c>
      <c r="DY129">
        <v>14.49</v>
      </c>
      <c r="EB129">
        <v>11.2</v>
      </c>
      <c r="EE129">
        <v>15.57</v>
      </c>
      <c r="EH129">
        <v>14.21</v>
      </c>
      <c r="EJ129">
        <v>8.75</v>
      </c>
      <c r="EL129">
        <v>8.51</v>
      </c>
      <c r="EM129">
        <v>8.84</v>
      </c>
      <c r="EN129">
        <v>16.87</v>
      </c>
      <c r="EQ129">
        <v>15.96</v>
      </c>
      <c r="ET129">
        <v>16.260000000000002</v>
      </c>
      <c r="EW129">
        <v>15.57</v>
      </c>
      <c r="EZ129">
        <v>14.21</v>
      </c>
      <c r="FB129">
        <v>7.59</v>
      </c>
      <c r="FD129">
        <v>18.2</v>
      </c>
      <c r="FF129">
        <v>19.05</v>
      </c>
      <c r="FI129">
        <v>13.57</v>
      </c>
      <c r="FM129">
        <v>16.72</v>
      </c>
      <c r="FO129">
        <v>16.34</v>
      </c>
      <c r="FR129">
        <v>19.68</v>
      </c>
      <c r="FU129">
        <v>17.329999999999899</v>
      </c>
      <c r="FX129">
        <v>15.35</v>
      </c>
      <c r="GA129">
        <v>19.350000000000001</v>
      </c>
      <c r="GD129">
        <v>16.32</v>
      </c>
      <c r="GG129">
        <v>12.62</v>
      </c>
      <c r="GJ129">
        <v>11.9</v>
      </c>
      <c r="GS129">
        <v>17.920000000000002</v>
      </c>
      <c r="GV129">
        <v>17.54</v>
      </c>
      <c r="GY129">
        <v>18.79</v>
      </c>
      <c r="HB129">
        <v>11.28</v>
      </c>
      <c r="HE129">
        <v>19.899999999999899</v>
      </c>
      <c r="HH129">
        <v>21.28</v>
      </c>
      <c r="HK129">
        <v>17.329999999999899</v>
      </c>
      <c r="HO129">
        <v>22.46</v>
      </c>
      <c r="HQ129">
        <v>16.8</v>
      </c>
      <c r="HT129">
        <v>15.65</v>
      </c>
      <c r="HW129">
        <v>13.66</v>
      </c>
      <c r="HY129">
        <v>19.690000000000001</v>
      </c>
      <c r="IC129">
        <v>20.399999999999899</v>
      </c>
      <c r="II129">
        <v>19.68</v>
      </c>
      <c r="IL129">
        <v>16</v>
      </c>
      <c r="IO129">
        <v>18.59</v>
      </c>
      <c r="IR129">
        <v>7.82</v>
      </c>
      <c r="IS129">
        <v>6.98</v>
      </c>
      <c r="IU129">
        <v>15.84</v>
      </c>
      <c r="IX129">
        <v>18.61</v>
      </c>
      <c r="IZ129">
        <v>9.23</v>
      </c>
      <c r="JB129">
        <v>8.5299999999999905</v>
      </c>
      <c r="JD129">
        <v>15.57</v>
      </c>
      <c r="JG129">
        <v>14.85</v>
      </c>
      <c r="JI129">
        <v>10.46</v>
      </c>
      <c r="JJ129">
        <v>20.68</v>
      </c>
      <c r="JK129">
        <v>12.47</v>
      </c>
      <c r="JM129">
        <v>20.77</v>
      </c>
      <c r="JP129">
        <v>17.12</v>
      </c>
      <c r="JS129">
        <v>18.27</v>
      </c>
      <c r="JV129">
        <v>15.41</v>
      </c>
      <c r="JY129">
        <v>16.88</v>
      </c>
      <c r="KB129">
        <v>18.87</v>
      </c>
      <c r="KE129">
        <v>9.19</v>
      </c>
      <c r="KF129">
        <v>11.02</v>
      </c>
      <c r="KH129">
        <v>14.28</v>
      </c>
      <c r="KK129">
        <v>19.579999999999899</v>
      </c>
      <c r="KQ129">
        <v>17.54</v>
      </c>
      <c r="KT129">
        <v>7.82</v>
      </c>
      <c r="KW129">
        <v>7.17</v>
      </c>
      <c r="KX129">
        <v>11.37</v>
      </c>
      <c r="LA129">
        <v>15.72</v>
      </c>
      <c r="LC129">
        <v>19.41</v>
      </c>
    </row>
    <row r="130" spans="1:319">
      <c r="A130" s="20" t="s">
        <v>367</v>
      </c>
      <c r="B130">
        <v>707.55</v>
      </c>
      <c r="C130">
        <v>13.606730769230769</v>
      </c>
      <c r="D130" s="20" t="s">
        <v>861</v>
      </c>
      <c r="E130" s="20" t="s">
        <v>866</v>
      </c>
      <c r="G130">
        <v>6.62</v>
      </c>
      <c r="K130">
        <v>8.8699999999999903</v>
      </c>
      <c r="P130">
        <v>7.24</v>
      </c>
      <c r="Q130">
        <v>14.23</v>
      </c>
      <c r="S130">
        <v>6.79</v>
      </c>
      <c r="AA130">
        <v>13.34</v>
      </c>
      <c r="AC130">
        <v>9.34</v>
      </c>
      <c r="AP130">
        <v>10.56</v>
      </c>
      <c r="AQ130">
        <v>8.23</v>
      </c>
      <c r="AT130">
        <v>6.45</v>
      </c>
      <c r="BA130">
        <v>14.08</v>
      </c>
      <c r="BF130">
        <v>15.01</v>
      </c>
      <c r="BK130">
        <v>8.9</v>
      </c>
      <c r="BM130">
        <v>6.71</v>
      </c>
      <c r="BU130">
        <v>8.25</v>
      </c>
      <c r="BY130">
        <v>7.51</v>
      </c>
      <c r="CB130">
        <v>9.18</v>
      </c>
      <c r="CH130">
        <v>8.09</v>
      </c>
      <c r="CL130">
        <v>2.87</v>
      </c>
      <c r="CN130">
        <v>10.98</v>
      </c>
      <c r="CV130">
        <v>5.85</v>
      </c>
      <c r="CW130">
        <v>4.2699999999999898</v>
      </c>
      <c r="CZ130">
        <v>16.04</v>
      </c>
      <c r="DF130">
        <v>6.76</v>
      </c>
      <c r="DL130">
        <v>8.33</v>
      </c>
      <c r="DM130">
        <v>5.31</v>
      </c>
      <c r="DP130">
        <v>12.58</v>
      </c>
      <c r="DS130">
        <v>3.31</v>
      </c>
      <c r="DW130">
        <v>8.3699999999999903</v>
      </c>
      <c r="DY130">
        <v>6</v>
      </c>
      <c r="EC130">
        <v>6.73</v>
      </c>
      <c r="EF130">
        <v>4.84</v>
      </c>
      <c r="EH130">
        <v>5.79</v>
      </c>
      <c r="EJ130">
        <v>5.29</v>
      </c>
      <c r="EL130">
        <v>5.43</v>
      </c>
      <c r="EN130">
        <v>5.78</v>
      </c>
      <c r="EO130">
        <v>15.04</v>
      </c>
      <c r="EQ130">
        <v>4.2699999999999898</v>
      </c>
      <c r="EU130">
        <v>7.32</v>
      </c>
      <c r="EX130">
        <v>4.84</v>
      </c>
      <c r="EZ130">
        <v>5.79</v>
      </c>
      <c r="FC130">
        <v>2.5</v>
      </c>
      <c r="FG130">
        <v>15</v>
      </c>
      <c r="FM130">
        <v>9.02</v>
      </c>
      <c r="FN130">
        <v>7.38</v>
      </c>
      <c r="FS130">
        <v>7.58</v>
      </c>
      <c r="FT130">
        <v>4.07</v>
      </c>
      <c r="FU130">
        <v>4.8899999999999899</v>
      </c>
      <c r="FY130">
        <v>7</v>
      </c>
      <c r="FZ130">
        <v>7.73</v>
      </c>
      <c r="GA130">
        <v>5.21</v>
      </c>
      <c r="GD130">
        <v>7.32</v>
      </c>
      <c r="GF130">
        <v>4.91</v>
      </c>
      <c r="GG130">
        <v>4.88</v>
      </c>
      <c r="GK130">
        <v>8.4700000000000006</v>
      </c>
      <c r="GR130">
        <v>4.88</v>
      </c>
      <c r="GS130">
        <v>7.8</v>
      </c>
      <c r="GT130">
        <v>5.97</v>
      </c>
      <c r="GU130">
        <v>6.23</v>
      </c>
      <c r="GY130">
        <v>3.13</v>
      </c>
      <c r="HC130">
        <v>16.690000000000001</v>
      </c>
      <c r="HE130">
        <v>6.34</v>
      </c>
      <c r="HI130">
        <v>8.0299999999999905</v>
      </c>
      <c r="HP130">
        <v>8.58</v>
      </c>
      <c r="HQ130">
        <v>9.1</v>
      </c>
      <c r="HT130">
        <v>4.26</v>
      </c>
      <c r="HW130">
        <v>3.5</v>
      </c>
      <c r="IA130">
        <v>10.67</v>
      </c>
      <c r="IC130">
        <v>6.64</v>
      </c>
      <c r="IG130">
        <v>4.57</v>
      </c>
      <c r="II130">
        <v>6.84</v>
      </c>
      <c r="IM130">
        <v>8.02</v>
      </c>
      <c r="IU130">
        <v>6.43</v>
      </c>
      <c r="IY130">
        <v>16.010000000000002</v>
      </c>
      <c r="JC130">
        <v>10.26</v>
      </c>
      <c r="JE130">
        <v>11.02</v>
      </c>
      <c r="JQ130">
        <v>14.64</v>
      </c>
      <c r="JS130">
        <v>7.76</v>
      </c>
      <c r="JU130">
        <v>3.58</v>
      </c>
      <c r="JW130">
        <v>8.1999999999999904</v>
      </c>
      <c r="KC130">
        <v>8.68</v>
      </c>
      <c r="KI130">
        <v>7.89</v>
      </c>
      <c r="KN130">
        <v>12.54</v>
      </c>
      <c r="KO130">
        <v>15</v>
      </c>
      <c r="KU130">
        <v>7.59</v>
      </c>
      <c r="KW130">
        <v>6.71</v>
      </c>
      <c r="LA130">
        <v>13.77</v>
      </c>
      <c r="LG130">
        <v>9.07</v>
      </c>
    </row>
    <row r="131" spans="1:319">
      <c r="A131" s="20" t="s">
        <v>209</v>
      </c>
      <c r="B131">
        <v>7.36</v>
      </c>
      <c r="C131">
        <v>0.14153846153846156</v>
      </c>
      <c r="D131" s="20" t="s">
        <v>861</v>
      </c>
      <c r="E131" s="20" t="s">
        <v>867</v>
      </c>
      <c r="HG131">
        <v>7.36</v>
      </c>
    </row>
    <row r="132" spans="1:319">
      <c r="A132" s="20" t="s">
        <v>196</v>
      </c>
      <c r="B132">
        <v>2305.0000000000009</v>
      </c>
      <c r="C132">
        <v>44.326923076923094</v>
      </c>
      <c r="D132" s="20" t="s">
        <v>861</v>
      </c>
      <c r="E132" s="20" t="s">
        <v>867</v>
      </c>
      <c r="F132">
        <v>13.63</v>
      </c>
      <c r="H132">
        <v>21.12</v>
      </c>
      <c r="J132">
        <v>15.3</v>
      </c>
      <c r="M132">
        <v>13.32</v>
      </c>
      <c r="N132">
        <v>17.41</v>
      </c>
      <c r="O132">
        <v>9.0500000000000007</v>
      </c>
      <c r="P132">
        <v>13.86</v>
      </c>
      <c r="R132">
        <v>12.45</v>
      </c>
      <c r="T132">
        <v>23.7</v>
      </c>
      <c r="V132">
        <v>14.85</v>
      </c>
      <c r="Y132">
        <v>15.22</v>
      </c>
      <c r="Z132">
        <v>16.09</v>
      </c>
      <c r="AA132">
        <v>8.2899999999999903</v>
      </c>
      <c r="AB132">
        <v>18.920000000000002</v>
      </c>
      <c r="AE132">
        <v>12.59</v>
      </c>
      <c r="AF132">
        <v>13.58</v>
      </c>
      <c r="AH132">
        <v>14.26</v>
      </c>
      <c r="AJ132">
        <v>6.13</v>
      </c>
      <c r="AL132">
        <v>15.36</v>
      </c>
      <c r="AM132">
        <v>8.3800000000000008</v>
      </c>
      <c r="AN132">
        <v>7.13</v>
      </c>
      <c r="AP132">
        <v>13.15</v>
      </c>
      <c r="AQ132">
        <v>7.7</v>
      </c>
      <c r="AR132">
        <v>14.57</v>
      </c>
      <c r="AT132">
        <v>20.21</v>
      </c>
      <c r="AW132">
        <v>14</v>
      </c>
      <c r="AX132">
        <v>24.1</v>
      </c>
      <c r="AZ132">
        <v>12.65</v>
      </c>
      <c r="BB132">
        <v>16.309999999999899</v>
      </c>
      <c r="BD132">
        <v>16.579999999999899</v>
      </c>
      <c r="BF132">
        <v>6.92</v>
      </c>
      <c r="BH132">
        <v>11.18</v>
      </c>
      <c r="BJ132">
        <v>22.94</v>
      </c>
      <c r="BL132">
        <v>12.1</v>
      </c>
      <c r="BM132">
        <v>8.33</v>
      </c>
      <c r="BN132">
        <v>13.69</v>
      </c>
      <c r="BP132">
        <v>21.24</v>
      </c>
      <c r="BT132">
        <v>10.69</v>
      </c>
      <c r="BV132">
        <v>16.16</v>
      </c>
      <c r="BX132">
        <v>11.17</v>
      </c>
      <c r="CA132">
        <v>21.32</v>
      </c>
      <c r="CC132">
        <v>13.7</v>
      </c>
      <c r="CE132">
        <v>13.13</v>
      </c>
      <c r="CG132">
        <v>16.829999999999899</v>
      </c>
      <c r="CI132">
        <v>15.65</v>
      </c>
      <c r="CK132">
        <v>16.64</v>
      </c>
      <c r="CM132">
        <v>14</v>
      </c>
      <c r="CO132">
        <v>13.4</v>
      </c>
      <c r="CQ132">
        <v>12.66</v>
      </c>
      <c r="CT132">
        <v>13.29</v>
      </c>
      <c r="CU132">
        <v>12.66</v>
      </c>
      <c r="CW132">
        <v>11.83</v>
      </c>
      <c r="CY132">
        <v>14.74</v>
      </c>
      <c r="DA132">
        <v>21.48</v>
      </c>
      <c r="DC132">
        <v>15.39</v>
      </c>
      <c r="DE132">
        <v>11.02</v>
      </c>
      <c r="DG132">
        <v>14.9</v>
      </c>
      <c r="DJ132">
        <v>13.03</v>
      </c>
      <c r="DL132">
        <v>12.26</v>
      </c>
      <c r="DN132">
        <v>13.55</v>
      </c>
      <c r="DP132">
        <v>9.15</v>
      </c>
      <c r="DQ132">
        <v>3.68</v>
      </c>
      <c r="DS132">
        <v>4.9000000000000004</v>
      </c>
      <c r="DT132">
        <v>11.2</v>
      </c>
      <c r="DV132">
        <v>15.01</v>
      </c>
      <c r="DX132">
        <v>23.43</v>
      </c>
      <c r="DZ132">
        <v>15.26</v>
      </c>
      <c r="EB132">
        <v>14.57</v>
      </c>
      <c r="ED132">
        <v>12.95</v>
      </c>
      <c r="EF132">
        <v>15.14</v>
      </c>
      <c r="EG132">
        <v>7.73</v>
      </c>
      <c r="EJ132">
        <v>14.35</v>
      </c>
      <c r="EL132">
        <v>21.19</v>
      </c>
      <c r="EO132">
        <v>31.43</v>
      </c>
      <c r="EP132">
        <v>13.91</v>
      </c>
      <c r="ER132">
        <v>8.66</v>
      </c>
      <c r="ET132">
        <v>15.05</v>
      </c>
      <c r="EV132">
        <v>12.95</v>
      </c>
      <c r="EX132">
        <v>15.14</v>
      </c>
      <c r="EY132">
        <v>7.73</v>
      </c>
      <c r="FB132">
        <v>24.6</v>
      </c>
      <c r="FD132">
        <v>12.59</v>
      </c>
      <c r="FF132">
        <v>26.56</v>
      </c>
      <c r="FH132">
        <v>12.27</v>
      </c>
      <c r="FJ132">
        <v>14.27</v>
      </c>
      <c r="FL132">
        <v>22.15</v>
      </c>
      <c r="FN132">
        <v>12.91</v>
      </c>
      <c r="FP132">
        <v>17.68</v>
      </c>
      <c r="FR132">
        <v>13.16</v>
      </c>
      <c r="FT132">
        <v>14.52</v>
      </c>
      <c r="FV132">
        <v>20.87</v>
      </c>
      <c r="FX132">
        <v>8.7899999999999903</v>
      </c>
      <c r="FZ132">
        <v>12.14</v>
      </c>
      <c r="GB132">
        <v>17.53</v>
      </c>
      <c r="GD132">
        <v>13.13</v>
      </c>
      <c r="GF132">
        <v>12.88</v>
      </c>
      <c r="GG132">
        <v>9.06</v>
      </c>
      <c r="GH132">
        <v>13.57</v>
      </c>
      <c r="GJ132">
        <v>12.97</v>
      </c>
      <c r="GR132">
        <v>20.61</v>
      </c>
      <c r="GT132">
        <v>12.92</v>
      </c>
      <c r="GV132">
        <v>11</v>
      </c>
      <c r="GX132">
        <v>16.190000000000001</v>
      </c>
      <c r="GZ132">
        <v>10.130000000000001</v>
      </c>
      <c r="HA132">
        <v>9.5500000000000007</v>
      </c>
      <c r="HB132">
        <v>15.38</v>
      </c>
      <c r="HD132">
        <v>15.15</v>
      </c>
      <c r="HF132">
        <v>23.29</v>
      </c>
      <c r="HH132">
        <v>15.21</v>
      </c>
      <c r="HJ132">
        <v>15.65</v>
      </c>
      <c r="HL132">
        <v>19.12</v>
      </c>
      <c r="HN132">
        <v>11.97</v>
      </c>
      <c r="HP132">
        <v>10.19</v>
      </c>
      <c r="HR132">
        <v>14.75</v>
      </c>
      <c r="HT132">
        <v>11.88</v>
      </c>
      <c r="HW132">
        <v>16.190000000000001</v>
      </c>
      <c r="HX132">
        <v>13.19</v>
      </c>
      <c r="HZ132">
        <v>11.45</v>
      </c>
      <c r="IB132">
        <v>15.99</v>
      </c>
      <c r="ID132">
        <v>20.65</v>
      </c>
      <c r="IF132">
        <v>11.49</v>
      </c>
      <c r="IH132">
        <v>13.12</v>
      </c>
      <c r="IJ132">
        <v>13.3</v>
      </c>
      <c r="IL132">
        <v>14.33</v>
      </c>
      <c r="IN132">
        <v>15.31</v>
      </c>
      <c r="IP132">
        <v>14.37</v>
      </c>
      <c r="IR132">
        <v>11.45</v>
      </c>
      <c r="IT132">
        <v>14.01</v>
      </c>
      <c r="IV132">
        <v>14.17</v>
      </c>
      <c r="IX132">
        <v>12.85</v>
      </c>
      <c r="IZ132">
        <v>24.01</v>
      </c>
      <c r="JB132">
        <v>5.12</v>
      </c>
      <c r="JD132">
        <v>13.73</v>
      </c>
      <c r="JF132">
        <v>14.47</v>
      </c>
      <c r="JH132">
        <v>15.39</v>
      </c>
      <c r="JJ132">
        <v>15.72</v>
      </c>
      <c r="JL132">
        <v>25.03</v>
      </c>
      <c r="JN132">
        <v>15.61</v>
      </c>
      <c r="JP132">
        <v>21.13</v>
      </c>
      <c r="JR132">
        <v>10.91</v>
      </c>
      <c r="JT132">
        <v>12.23</v>
      </c>
      <c r="JV132">
        <v>18.12</v>
      </c>
      <c r="JX132">
        <v>20.02</v>
      </c>
      <c r="JZ132">
        <v>4.84</v>
      </c>
      <c r="KB132">
        <v>6.78</v>
      </c>
      <c r="KC132">
        <v>7.47</v>
      </c>
      <c r="KD132">
        <v>12.82</v>
      </c>
      <c r="KF132">
        <v>21.96</v>
      </c>
      <c r="KH132">
        <v>12.04</v>
      </c>
      <c r="KJ132">
        <v>14.38</v>
      </c>
      <c r="KL132">
        <v>14.61</v>
      </c>
      <c r="KN132">
        <v>11.54</v>
      </c>
      <c r="KP132">
        <v>13.62</v>
      </c>
      <c r="KR132">
        <v>6.66</v>
      </c>
      <c r="KT132">
        <v>15.06</v>
      </c>
      <c r="KV132">
        <v>6.59</v>
      </c>
      <c r="KX132">
        <v>25.53</v>
      </c>
      <c r="KZ132">
        <v>12.53</v>
      </c>
      <c r="LC132">
        <v>13.02</v>
      </c>
      <c r="LD132">
        <v>14.12</v>
      </c>
      <c r="LF132">
        <v>14.19</v>
      </c>
    </row>
    <row r="133" spans="1:319">
      <c r="A133" s="20" t="s">
        <v>231</v>
      </c>
      <c r="B133">
        <v>1495.75</v>
      </c>
      <c r="C133">
        <v>28.764423076923077</v>
      </c>
      <c r="D133" s="20" t="s">
        <v>861</v>
      </c>
      <c r="E133" s="20" t="s">
        <v>868</v>
      </c>
      <c r="H133">
        <v>14.82</v>
      </c>
      <c r="J133">
        <v>19.850000000000001</v>
      </c>
      <c r="N133">
        <v>15.34</v>
      </c>
      <c r="P133">
        <v>14.89</v>
      </c>
      <c r="T133">
        <v>16.91</v>
      </c>
      <c r="V133">
        <v>17.260000000000002</v>
      </c>
      <c r="Z133">
        <v>22.93</v>
      </c>
      <c r="AB133">
        <v>14.47</v>
      </c>
      <c r="AF133">
        <v>16.3</v>
      </c>
      <c r="AH133">
        <v>12.13</v>
      </c>
      <c r="AL133">
        <v>15.32</v>
      </c>
      <c r="AN133">
        <v>6.81</v>
      </c>
      <c r="AR133">
        <v>14.75</v>
      </c>
      <c r="AT133">
        <v>12.72</v>
      </c>
      <c r="AW133">
        <v>5.84</v>
      </c>
      <c r="AX133">
        <v>14.8</v>
      </c>
      <c r="AZ133">
        <v>11.86</v>
      </c>
      <c r="BD133">
        <v>14.7</v>
      </c>
      <c r="BF133">
        <v>15.67</v>
      </c>
      <c r="BJ133">
        <v>14.58</v>
      </c>
      <c r="BL133">
        <v>14.51</v>
      </c>
      <c r="BP133">
        <v>15.63</v>
      </c>
      <c r="BV133">
        <v>15.08</v>
      </c>
      <c r="BX133">
        <v>7.11</v>
      </c>
      <c r="CC133">
        <v>14.2</v>
      </c>
      <c r="CE133">
        <v>12.13</v>
      </c>
      <c r="CI133">
        <v>17.02</v>
      </c>
      <c r="CK133">
        <v>16.52</v>
      </c>
      <c r="CO133">
        <v>13.88</v>
      </c>
      <c r="CQ133">
        <v>14.17</v>
      </c>
      <c r="CU133">
        <v>15.39</v>
      </c>
      <c r="CW133">
        <v>15.17</v>
      </c>
      <c r="CY133">
        <v>8.0299999999999905</v>
      </c>
      <c r="DA133">
        <v>13.36</v>
      </c>
      <c r="DC133">
        <v>14.56</v>
      </c>
      <c r="DG133">
        <v>21.92</v>
      </c>
      <c r="DL133">
        <v>12.39</v>
      </c>
      <c r="DN133">
        <v>14.07</v>
      </c>
      <c r="DP133">
        <v>10.33</v>
      </c>
      <c r="DT133">
        <v>14.28</v>
      </c>
      <c r="DV133">
        <v>11.76</v>
      </c>
      <c r="DY133">
        <v>8.07</v>
      </c>
      <c r="DZ133">
        <v>7.96</v>
      </c>
      <c r="EB133">
        <v>13.28</v>
      </c>
      <c r="EF133">
        <v>6.97</v>
      </c>
      <c r="EG133">
        <v>8.59</v>
      </c>
      <c r="EH133">
        <v>13.25</v>
      </c>
      <c r="EL133">
        <v>14.25</v>
      </c>
      <c r="EN133">
        <v>15.5</v>
      </c>
      <c r="ER133">
        <v>15.82</v>
      </c>
      <c r="ET133">
        <v>14.07</v>
      </c>
      <c r="EX133">
        <v>6.97</v>
      </c>
      <c r="EY133">
        <v>8.59</v>
      </c>
      <c r="EZ133">
        <v>13.25</v>
      </c>
      <c r="FD133">
        <v>16.62</v>
      </c>
      <c r="FF133">
        <v>15.21</v>
      </c>
      <c r="FJ133">
        <v>15.96</v>
      </c>
      <c r="FL133">
        <v>15.25</v>
      </c>
      <c r="FP133">
        <v>16.350000000000001</v>
      </c>
      <c r="FR133">
        <v>14.42</v>
      </c>
      <c r="FV133">
        <v>15.38</v>
      </c>
      <c r="FX133">
        <v>14.2</v>
      </c>
      <c r="GB133">
        <v>16.329999999999899</v>
      </c>
      <c r="GD133">
        <v>15.58</v>
      </c>
      <c r="GH133">
        <v>17.11</v>
      </c>
      <c r="GJ133">
        <v>12.63</v>
      </c>
      <c r="GT133">
        <v>15.37</v>
      </c>
      <c r="GV133">
        <v>14.2</v>
      </c>
      <c r="GZ133">
        <v>13.37</v>
      </c>
      <c r="HB133">
        <v>13.86</v>
      </c>
      <c r="HF133">
        <v>17.34</v>
      </c>
      <c r="HH133">
        <v>11.37</v>
      </c>
      <c r="HL133">
        <v>16.8</v>
      </c>
      <c r="HN133">
        <v>11.95</v>
      </c>
      <c r="HR133">
        <v>17.559999999999899</v>
      </c>
      <c r="HT133">
        <v>12.2</v>
      </c>
      <c r="HX133">
        <v>16.850000000000001</v>
      </c>
      <c r="HZ133">
        <v>12.04</v>
      </c>
      <c r="ID133">
        <v>17.27</v>
      </c>
      <c r="IF133">
        <v>14.54</v>
      </c>
      <c r="IJ133">
        <v>18.45</v>
      </c>
      <c r="IL133">
        <v>14.27</v>
      </c>
      <c r="IP133">
        <v>15.6</v>
      </c>
      <c r="IR133">
        <v>12.22</v>
      </c>
      <c r="IW133">
        <v>17.309999999999899</v>
      </c>
      <c r="IX133">
        <v>6.89</v>
      </c>
      <c r="IY133">
        <v>8.35</v>
      </c>
      <c r="JB133">
        <v>24.6</v>
      </c>
      <c r="JD133">
        <v>12.81</v>
      </c>
      <c r="JH133">
        <v>16.43</v>
      </c>
      <c r="JJ133">
        <v>13.7</v>
      </c>
      <c r="JN133">
        <v>15.98</v>
      </c>
      <c r="JP133">
        <v>13.66</v>
      </c>
      <c r="JT133">
        <v>18.239999999999899</v>
      </c>
      <c r="JV133">
        <v>12.03</v>
      </c>
      <c r="JZ133">
        <v>12.58</v>
      </c>
      <c r="KB133">
        <v>13.56</v>
      </c>
      <c r="KF133">
        <v>17.7</v>
      </c>
      <c r="KL133">
        <v>16.03</v>
      </c>
      <c r="KN133">
        <v>13.43</v>
      </c>
      <c r="KR133">
        <v>16.34</v>
      </c>
      <c r="KT133">
        <v>11.53</v>
      </c>
      <c r="KX133">
        <v>17.309999999999899</v>
      </c>
      <c r="KZ133">
        <v>5.68</v>
      </c>
      <c r="LD133">
        <v>16.57</v>
      </c>
      <c r="LF133">
        <v>14.69</v>
      </c>
    </row>
    <row r="134" spans="1:319">
      <c r="A134" s="20" t="s">
        <v>188</v>
      </c>
      <c r="B134">
        <v>1713.0300000000002</v>
      </c>
      <c r="C134">
        <v>32.942884615384621</v>
      </c>
      <c r="D134" s="20" t="s">
        <v>861</v>
      </c>
      <c r="E134" s="20" t="s">
        <v>868</v>
      </c>
      <c r="F134">
        <v>9.76</v>
      </c>
      <c r="H134">
        <v>3.56</v>
      </c>
      <c r="J134">
        <v>13.98</v>
      </c>
      <c r="M134">
        <v>8.15</v>
      </c>
      <c r="N134">
        <v>11.59</v>
      </c>
      <c r="P134">
        <v>11.26</v>
      </c>
      <c r="R134">
        <v>14.82</v>
      </c>
      <c r="T134">
        <v>11.23</v>
      </c>
      <c r="V134">
        <v>7.8</v>
      </c>
      <c r="Y134">
        <v>7.68</v>
      </c>
      <c r="Z134">
        <v>13.34</v>
      </c>
      <c r="AB134">
        <v>15.07</v>
      </c>
      <c r="AE134">
        <v>7.81</v>
      </c>
      <c r="AF134">
        <v>7.98</v>
      </c>
      <c r="AH134">
        <v>8.2899999999999903</v>
      </c>
      <c r="AI134">
        <v>8.1</v>
      </c>
      <c r="AJ134">
        <v>7.34</v>
      </c>
      <c r="AL134">
        <v>8.19</v>
      </c>
      <c r="AN134">
        <v>13.88</v>
      </c>
      <c r="AP134">
        <v>8.7899999999999903</v>
      </c>
      <c r="AR134">
        <v>6.76</v>
      </c>
      <c r="AT134">
        <v>7.85</v>
      </c>
      <c r="AV134">
        <v>16.690000000000001</v>
      </c>
      <c r="AX134">
        <v>7.86</v>
      </c>
      <c r="AZ134">
        <v>7.99</v>
      </c>
      <c r="BA134">
        <v>6.81</v>
      </c>
      <c r="BB134">
        <v>6.66</v>
      </c>
      <c r="BD134">
        <v>9.08</v>
      </c>
      <c r="BF134">
        <v>16.71</v>
      </c>
      <c r="BJ134">
        <v>15.3</v>
      </c>
      <c r="BL134">
        <v>15.46</v>
      </c>
      <c r="BN134">
        <v>15.23</v>
      </c>
      <c r="BP134">
        <v>7.54</v>
      </c>
      <c r="BR134">
        <v>5.45</v>
      </c>
      <c r="BT134">
        <v>8.84</v>
      </c>
      <c r="BU134">
        <v>7.48</v>
      </c>
      <c r="BV134">
        <v>8.74</v>
      </c>
      <c r="BX134">
        <v>8.73</v>
      </c>
      <c r="CA134">
        <v>15.29</v>
      </c>
      <c r="CC134">
        <v>13.65</v>
      </c>
      <c r="CE134">
        <v>13.12</v>
      </c>
      <c r="CG134">
        <v>14.97</v>
      </c>
      <c r="CI134">
        <v>15.93</v>
      </c>
      <c r="CK134">
        <v>16.46</v>
      </c>
      <c r="CO134">
        <v>14.33</v>
      </c>
      <c r="CQ134">
        <v>14.53</v>
      </c>
      <c r="CU134">
        <v>15.03</v>
      </c>
      <c r="CW134">
        <v>13.35</v>
      </c>
      <c r="CY134">
        <v>16.21</v>
      </c>
      <c r="DA134">
        <v>7.69</v>
      </c>
      <c r="DC134">
        <v>15.96</v>
      </c>
      <c r="DE134">
        <v>10.92</v>
      </c>
      <c r="DG134">
        <v>14.27</v>
      </c>
      <c r="DJ134">
        <v>5.33</v>
      </c>
      <c r="DL134">
        <v>5.94</v>
      </c>
      <c r="DN134">
        <v>13.52</v>
      </c>
      <c r="DP134">
        <v>12.78</v>
      </c>
      <c r="DT134">
        <v>19.25</v>
      </c>
      <c r="DV134">
        <v>14.12</v>
      </c>
      <c r="DX134">
        <v>10.72</v>
      </c>
      <c r="DZ134">
        <v>5.38</v>
      </c>
      <c r="EB134">
        <v>11.84</v>
      </c>
      <c r="ED134">
        <v>15.28</v>
      </c>
      <c r="EF134">
        <v>13.23</v>
      </c>
      <c r="EH134">
        <v>7.7</v>
      </c>
      <c r="EJ134">
        <v>13.59</v>
      </c>
      <c r="EN134">
        <v>14.71</v>
      </c>
      <c r="EP134">
        <v>14.99</v>
      </c>
      <c r="ER134">
        <v>14.4</v>
      </c>
      <c r="ET134">
        <v>13.93</v>
      </c>
      <c r="EV134">
        <v>15.28</v>
      </c>
      <c r="EX134">
        <v>13.23</v>
      </c>
      <c r="EZ134">
        <v>7.7</v>
      </c>
      <c r="FB134">
        <v>14.21</v>
      </c>
      <c r="FD134">
        <v>6.15</v>
      </c>
      <c r="FF134">
        <v>12.94</v>
      </c>
      <c r="FH134">
        <v>11.85</v>
      </c>
      <c r="FJ134">
        <v>16.29</v>
      </c>
      <c r="FL134">
        <v>12.64</v>
      </c>
      <c r="FN134">
        <v>9.67</v>
      </c>
      <c r="FP134">
        <v>12.07</v>
      </c>
      <c r="FR134">
        <v>13.3</v>
      </c>
      <c r="FT134">
        <v>12.76</v>
      </c>
      <c r="FX134">
        <v>13.3</v>
      </c>
      <c r="FZ134">
        <v>12.08</v>
      </c>
      <c r="GB134">
        <v>8.99</v>
      </c>
      <c r="GD134">
        <v>14.42</v>
      </c>
      <c r="GF134">
        <v>10.78</v>
      </c>
      <c r="GH134">
        <v>14.48</v>
      </c>
      <c r="GJ134">
        <v>9.89</v>
      </c>
      <c r="GR134">
        <v>15.24</v>
      </c>
      <c r="GV134">
        <v>15.05</v>
      </c>
      <c r="GX134">
        <v>14.99</v>
      </c>
      <c r="GZ134">
        <v>15.01</v>
      </c>
      <c r="HB134">
        <v>7.4</v>
      </c>
      <c r="HD134">
        <v>14.5</v>
      </c>
      <c r="HH134">
        <v>13.74</v>
      </c>
      <c r="HJ134">
        <v>12.54</v>
      </c>
      <c r="HL134">
        <v>7.39</v>
      </c>
      <c r="HN134">
        <v>17.100000000000001</v>
      </c>
      <c r="HP134">
        <v>18.399999999999899</v>
      </c>
      <c r="HR134">
        <v>15.48</v>
      </c>
      <c r="HT134">
        <v>6.29</v>
      </c>
      <c r="HW134">
        <v>17.86</v>
      </c>
      <c r="HZ134">
        <v>15.5</v>
      </c>
      <c r="IB134">
        <v>17.670000000000002</v>
      </c>
      <c r="IF134">
        <v>15.56</v>
      </c>
      <c r="IH134">
        <v>12.86</v>
      </c>
      <c r="IJ134">
        <v>8.23</v>
      </c>
      <c r="IL134">
        <v>14.96</v>
      </c>
      <c r="IN134">
        <v>9.8000000000000007</v>
      </c>
      <c r="IP134">
        <v>8.9499999999999904</v>
      </c>
      <c r="IR134">
        <v>16.12</v>
      </c>
      <c r="IT134">
        <v>15.64</v>
      </c>
      <c r="IV134">
        <v>7.95</v>
      </c>
      <c r="IX134">
        <v>15.69</v>
      </c>
      <c r="IZ134">
        <v>17.62</v>
      </c>
      <c r="JB134">
        <v>9.07</v>
      </c>
      <c r="JD134">
        <v>14.28</v>
      </c>
      <c r="JH134">
        <v>5.83</v>
      </c>
      <c r="JJ134">
        <v>16.12</v>
      </c>
      <c r="JL134">
        <v>14.13</v>
      </c>
      <c r="JN134">
        <v>16.690000000000001</v>
      </c>
      <c r="JP134">
        <v>5.79</v>
      </c>
      <c r="JR134">
        <v>15.2</v>
      </c>
      <c r="JT134">
        <v>7.24</v>
      </c>
      <c r="JV134">
        <v>7.01</v>
      </c>
      <c r="JX134">
        <v>14.61</v>
      </c>
      <c r="JZ134">
        <v>7.52</v>
      </c>
      <c r="KB134">
        <v>7.91</v>
      </c>
      <c r="KD134">
        <v>16.21</v>
      </c>
      <c r="KF134">
        <v>7.88</v>
      </c>
      <c r="KH134">
        <v>14.22</v>
      </c>
      <c r="KJ134">
        <v>7.74</v>
      </c>
      <c r="KL134">
        <v>15.08</v>
      </c>
      <c r="KN134">
        <v>17.82</v>
      </c>
      <c r="KP134">
        <v>9.9600000000000009</v>
      </c>
      <c r="KR134">
        <v>9.16</v>
      </c>
      <c r="KT134">
        <v>15.82</v>
      </c>
      <c r="KV134">
        <v>16.39</v>
      </c>
      <c r="KX134">
        <v>5.82</v>
      </c>
      <c r="KZ134">
        <v>4.1399999999999899</v>
      </c>
      <c r="LC134">
        <v>8.9</v>
      </c>
      <c r="LD134">
        <v>8.3000000000000007</v>
      </c>
      <c r="LF134">
        <v>8.4</v>
      </c>
    </row>
    <row r="135" spans="1:319">
      <c r="A135" s="20" t="s">
        <v>325</v>
      </c>
      <c r="B135">
        <v>1165.5899999999999</v>
      </c>
      <c r="C135">
        <v>22.415192307692305</v>
      </c>
      <c r="D135" s="20" t="s">
        <v>861</v>
      </c>
      <c r="E135" s="20" t="s">
        <v>868</v>
      </c>
      <c r="F135">
        <v>5.72</v>
      </c>
      <c r="I135">
        <v>8.44</v>
      </c>
      <c r="K135">
        <v>13.38</v>
      </c>
      <c r="O135">
        <v>7.06</v>
      </c>
      <c r="Q135">
        <v>7.42</v>
      </c>
      <c r="R135">
        <v>8.0299999999999905</v>
      </c>
      <c r="U135">
        <v>14.11</v>
      </c>
      <c r="W135">
        <v>3.33</v>
      </c>
      <c r="Y135">
        <v>5.3</v>
      </c>
      <c r="AA135">
        <v>12.83</v>
      </c>
      <c r="AB135">
        <v>7.2</v>
      </c>
      <c r="AF135">
        <v>7.52</v>
      </c>
      <c r="AG135">
        <v>7.57</v>
      </c>
      <c r="AI135">
        <v>6.37</v>
      </c>
      <c r="AJ135">
        <v>6.82</v>
      </c>
      <c r="AM135">
        <v>7.5</v>
      </c>
      <c r="AO135">
        <v>6.39</v>
      </c>
      <c r="AP135">
        <v>6.64</v>
      </c>
      <c r="AS135">
        <v>13.74</v>
      </c>
      <c r="AU135">
        <v>6.52</v>
      </c>
      <c r="AV135">
        <v>7.96</v>
      </c>
      <c r="AY135">
        <v>7.55</v>
      </c>
      <c r="BA135">
        <v>7.5</v>
      </c>
      <c r="BB135">
        <v>6.73</v>
      </c>
      <c r="BE135">
        <v>6.89</v>
      </c>
      <c r="BG135">
        <v>6.16</v>
      </c>
      <c r="BH135">
        <v>7.47</v>
      </c>
      <c r="BJ135">
        <v>6.88</v>
      </c>
      <c r="BL135">
        <v>11.01</v>
      </c>
      <c r="BM135">
        <v>13.19</v>
      </c>
      <c r="BN135">
        <v>12.37</v>
      </c>
      <c r="BT135">
        <v>7.87</v>
      </c>
      <c r="BW135">
        <v>7.98</v>
      </c>
      <c r="BY135">
        <v>6.28</v>
      </c>
      <c r="CA135">
        <v>8.0299999999999905</v>
      </c>
      <c r="CD135">
        <v>7.38</v>
      </c>
      <c r="CF135">
        <v>7.65</v>
      </c>
      <c r="CG135">
        <v>7.33</v>
      </c>
      <c r="CJ135">
        <v>15.78</v>
      </c>
      <c r="CL135">
        <v>7.75</v>
      </c>
      <c r="CM135">
        <v>7.9</v>
      </c>
      <c r="CP135">
        <v>7.1</v>
      </c>
      <c r="CR135">
        <v>6.66</v>
      </c>
      <c r="CT135">
        <v>7.33</v>
      </c>
      <c r="CV135">
        <v>5.5</v>
      </c>
      <c r="CX135">
        <v>6.44</v>
      </c>
      <c r="CY135">
        <v>6.37</v>
      </c>
      <c r="DB135">
        <v>6.92</v>
      </c>
      <c r="DD135">
        <v>7.3</v>
      </c>
      <c r="DE135">
        <v>5.08</v>
      </c>
      <c r="DJ135">
        <v>12.95</v>
      </c>
      <c r="DL135">
        <v>7.24</v>
      </c>
      <c r="DO135">
        <v>5.49</v>
      </c>
      <c r="DP135">
        <v>8.6</v>
      </c>
      <c r="DQ135">
        <v>6.65</v>
      </c>
      <c r="DU135">
        <v>5.33</v>
      </c>
      <c r="DW135">
        <v>8.19</v>
      </c>
      <c r="DX135">
        <v>6.05</v>
      </c>
      <c r="EA135">
        <v>5.74</v>
      </c>
      <c r="EC135">
        <v>11.33</v>
      </c>
      <c r="ED135">
        <v>6.91</v>
      </c>
      <c r="EG135">
        <v>6.23</v>
      </c>
      <c r="EH135">
        <v>13.13</v>
      </c>
      <c r="EI135">
        <v>7.96</v>
      </c>
      <c r="EJ135">
        <v>9.52</v>
      </c>
      <c r="EL135">
        <v>13.4</v>
      </c>
      <c r="EO135">
        <v>6.4</v>
      </c>
      <c r="EP135">
        <v>13.6</v>
      </c>
      <c r="ES135">
        <v>11.23</v>
      </c>
      <c r="EU135">
        <v>6.86</v>
      </c>
      <c r="EV135">
        <v>6.91</v>
      </c>
      <c r="EY135">
        <v>6.23</v>
      </c>
      <c r="EZ135">
        <v>13.13</v>
      </c>
      <c r="FA135">
        <v>7.96</v>
      </c>
      <c r="FB135">
        <v>5.2</v>
      </c>
      <c r="FE135">
        <v>7.71</v>
      </c>
      <c r="FG135">
        <v>7.12</v>
      </c>
      <c r="FK135">
        <v>9.77</v>
      </c>
      <c r="FM135">
        <v>12.11</v>
      </c>
      <c r="FN135">
        <v>7.24</v>
      </c>
      <c r="FQ135">
        <v>12.09</v>
      </c>
      <c r="FS135">
        <v>7.41</v>
      </c>
      <c r="FT135">
        <v>6.48</v>
      </c>
      <c r="FW135">
        <v>6.45</v>
      </c>
      <c r="FY135">
        <v>6.01</v>
      </c>
      <c r="FZ135">
        <v>4.8</v>
      </c>
      <c r="GC135">
        <v>7.13</v>
      </c>
      <c r="GE135">
        <v>9.76</v>
      </c>
      <c r="GF135">
        <v>7.64</v>
      </c>
      <c r="GI135">
        <v>14.18</v>
      </c>
      <c r="GK135">
        <v>6.52</v>
      </c>
      <c r="GR135">
        <v>4.7</v>
      </c>
      <c r="GT135">
        <v>5.42</v>
      </c>
      <c r="GW135">
        <v>12.57</v>
      </c>
      <c r="GX135">
        <v>8.43</v>
      </c>
      <c r="HA135">
        <v>5.95</v>
      </c>
      <c r="HC135">
        <v>7.39</v>
      </c>
      <c r="HD135">
        <v>6.25</v>
      </c>
      <c r="HG135">
        <v>6.74</v>
      </c>
      <c r="HI135">
        <v>7.44</v>
      </c>
      <c r="HJ135">
        <v>6.33</v>
      </c>
      <c r="HM135">
        <v>8.32</v>
      </c>
      <c r="HO135">
        <v>6.47</v>
      </c>
      <c r="HP135">
        <v>6.56</v>
      </c>
      <c r="HS135">
        <v>5.54</v>
      </c>
      <c r="HU135">
        <v>8.24</v>
      </c>
      <c r="HY135">
        <v>13.78</v>
      </c>
      <c r="IA135">
        <v>9.81</v>
      </c>
      <c r="IB135">
        <v>6.73</v>
      </c>
      <c r="IE135">
        <v>8.1999999999999904</v>
      </c>
      <c r="IH135">
        <v>7.91</v>
      </c>
      <c r="IK135">
        <v>14.19</v>
      </c>
      <c r="IN135">
        <v>6.99</v>
      </c>
      <c r="IQ135">
        <v>6.9</v>
      </c>
      <c r="IS135">
        <v>7.36</v>
      </c>
      <c r="IT135">
        <v>7.15</v>
      </c>
      <c r="IW135">
        <v>8.7200000000000006</v>
      </c>
      <c r="IX135">
        <v>6.71</v>
      </c>
      <c r="IZ135">
        <v>5.44</v>
      </c>
      <c r="JC135">
        <v>7.25</v>
      </c>
      <c r="JE135">
        <v>6.64</v>
      </c>
      <c r="JG135">
        <v>14.66</v>
      </c>
      <c r="JI135">
        <v>6.7</v>
      </c>
      <c r="JL135">
        <v>5.84</v>
      </c>
      <c r="JO135">
        <v>7.1</v>
      </c>
      <c r="JQ135">
        <v>8.5399999999999903</v>
      </c>
      <c r="JR135">
        <v>7.58</v>
      </c>
      <c r="JU135">
        <v>6.53</v>
      </c>
      <c r="JW135">
        <v>6.27</v>
      </c>
      <c r="JX135">
        <v>6.68</v>
      </c>
      <c r="KA135">
        <v>7.59</v>
      </c>
      <c r="KC135">
        <v>7.33</v>
      </c>
      <c r="KD135">
        <v>8.31</v>
      </c>
      <c r="KG135">
        <v>9.64</v>
      </c>
      <c r="KI135">
        <v>7.25</v>
      </c>
      <c r="KJ135">
        <v>7.58</v>
      </c>
      <c r="KM135">
        <v>7.69</v>
      </c>
      <c r="KO135">
        <v>8.1</v>
      </c>
      <c r="KP135">
        <v>5.83</v>
      </c>
      <c r="KS135">
        <v>6.39</v>
      </c>
      <c r="KU135">
        <v>7.3</v>
      </c>
      <c r="KV135">
        <v>4.55</v>
      </c>
      <c r="KY135">
        <v>13.79</v>
      </c>
      <c r="LC135">
        <v>6.26</v>
      </c>
      <c r="LE135">
        <v>15.04</v>
      </c>
    </row>
    <row r="136" spans="1:319">
      <c r="A136" s="20" t="s">
        <v>392</v>
      </c>
      <c r="B136">
        <v>1210.4999999999995</v>
      </c>
      <c r="C136">
        <v>23.278846153846146</v>
      </c>
      <c r="D136" s="20" t="s">
        <v>861</v>
      </c>
      <c r="E136" s="20" t="s">
        <v>869</v>
      </c>
      <c r="G136">
        <v>13.68</v>
      </c>
      <c r="I136">
        <v>7.63</v>
      </c>
      <c r="K136">
        <v>10.32</v>
      </c>
      <c r="M136">
        <v>12.96</v>
      </c>
      <c r="O136">
        <v>9.5</v>
      </c>
      <c r="Q136">
        <v>15.09</v>
      </c>
      <c r="S136">
        <v>13.55</v>
      </c>
      <c r="U136">
        <v>9.3800000000000008</v>
      </c>
      <c r="Y136">
        <v>6.66</v>
      </c>
      <c r="Z136">
        <v>6.07</v>
      </c>
      <c r="AA136">
        <v>6.03</v>
      </c>
      <c r="AC136">
        <v>7.25</v>
      </c>
      <c r="AG136">
        <v>16.47</v>
      </c>
      <c r="AI136">
        <v>7.09</v>
      </c>
      <c r="AK136">
        <v>16.03</v>
      </c>
      <c r="AM136">
        <v>7.99</v>
      </c>
      <c r="AO136">
        <v>6.19</v>
      </c>
      <c r="AQ136">
        <v>13.07</v>
      </c>
      <c r="AS136">
        <v>3.9</v>
      </c>
      <c r="BB136">
        <v>8.3800000000000008</v>
      </c>
      <c r="BD136">
        <v>8.39</v>
      </c>
      <c r="BF136">
        <v>9.3800000000000008</v>
      </c>
      <c r="BI136">
        <v>8.1199999999999903</v>
      </c>
      <c r="BK136">
        <v>7.01</v>
      </c>
      <c r="BM136">
        <v>10.01</v>
      </c>
      <c r="BO136">
        <v>16.25</v>
      </c>
      <c r="BS136">
        <v>15.9</v>
      </c>
      <c r="BU136">
        <v>12.53</v>
      </c>
      <c r="BY136">
        <v>10.27</v>
      </c>
      <c r="CB136">
        <v>5.93</v>
      </c>
      <c r="CD136">
        <v>6.13</v>
      </c>
      <c r="CF136">
        <v>9.59</v>
      </c>
      <c r="CH136">
        <v>15.45</v>
      </c>
      <c r="CJ136">
        <v>6.97</v>
      </c>
      <c r="CL136">
        <v>6.4</v>
      </c>
      <c r="CN136">
        <v>13.6</v>
      </c>
      <c r="CP136">
        <v>6.33</v>
      </c>
      <c r="CR136">
        <v>9.1999999999999904</v>
      </c>
      <c r="CT136">
        <v>6.65</v>
      </c>
      <c r="CU136">
        <v>6.56</v>
      </c>
      <c r="CV136">
        <v>8.39</v>
      </c>
      <c r="CX136">
        <v>6.99</v>
      </c>
      <c r="CZ136">
        <v>15.02</v>
      </c>
      <c r="DB136">
        <v>7</v>
      </c>
      <c r="DD136">
        <v>5.97</v>
      </c>
      <c r="DF136">
        <v>14.34</v>
      </c>
      <c r="DJ136">
        <v>13.8</v>
      </c>
      <c r="DM136">
        <v>15.78</v>
      </c>
      <c r="DO136">
        <v>9.02</v>
      </c>
      <c r="DQ136">
        <v>12.74</v>
      </c>
      <c r="DS136">
        <v>5.99</v>
      </c>
      <c r="DU136">
        <v>7.47</v>
      </c>
      <c r="DW136">
        <v>10.4</v>
      </c>
      <c r="EA136">
        <v>6.66</v>
      </c>
      <c r="EC136">
        <v>7.24</v>
      </c>
      <c r="EE136">
        <v>15.48</v>
      </c>
      <c r="EG136">
        <v>8.1999999999999904</v>
      </c>
      <c r="EI136">
        <v>14.43</v>
      </c>
      <c r="EJ136">
        <v>3.82</v>
      </c>
      <c r="EM136">
        <v>16.88</v>
      </c>
      <c r="EN136">
        <v>3.99</v>
      </c>
      <c r="EO136">
        <v>5.0999999999999899</v>
      </c>
      <c r="EP136">
        <v>7.57</v>
      </c>
      <c r="EQ136">
        <v>11.01</v>
      </c>
      <c r="ES136">
        <v>7.16</v>
      </c>
      <c r="EU136">
        <v>7.19</v>
      </c>
      <c r="EW136">
        <v>15.48</v>
      </c>
      <c r="EY136">
        <v>8.1999999999999904</v>
      </c>
      <c r="FA136">
        <v>14.43</v>
      </c>
      <c r="FC136">
        <v>12.83</v>
      </c>
      <c r="FE136">
        <v>7.04</v>
      </c>
      <c r="FG136">
        <v>7.05</v>
      </c>
      <c r="FH136">
        <v>6.91</v>
      </c>
      <c r="FI136">
        <v>5.43</v>
      </c>
      <c r="FK136">
        <v>6.08</v>
      </c>
      <c r="FM136">
        <v>10.17</v>
      </c>
      <c r="FN136">
        <v>5.81</v>
      </c>
      <c r="FO136">
        <v>4.57</v>
      </c>
      <c r="FQ136">
        <v>9.0299999999999905</v>
      </c>
      <c r="FS136">
        <v>10.55</v>
      </c>
      <c r="FU136">
        <v>6.89</v>
      </c>
      <c r="FW136">
        <v>5.9</v>
      </c>
      <c r="FY136">
        <v>10.15</v>
      </c>
      <c r="FZ136">
        <v>7.09</v>
      </c>
      <c r="GA136">
        <v>6.86</v>
      </c>
      <c r="GC136">
        <v>6.89</v>
      </c>
      <c r="GG136">
        <v>13.35</v>
      </c>
      <c r="GI136">
        <v>7.45</v>
      </c>
      <c r="GK136">
        <v>8.6</v>
      </c>
      <c r="GS136">
        <v>11.52</v>
      </c>
      <c r="GU136">
        <v>9.31</v>
      </c>
      <c r="GW136">
        <v>4.6399999999999899</v>
      </c>
      <c r="GY136">
        <v>10.72</v>
      </c>
      <c r="HA136">
        <v>7.02</v>
      </c>
      <c r="HE136">
        <v>17.25</v>
      </c>
      <c r="HG136">
        <v>5.23</v>
      </c>
      <c r="HI136">
        <v>7.7</v>
      </c>
      <c r="HK136">
        <v>10.49</v>
      </c>
      <c r="HM136">
        <v>5.31</v>
      </c>
      <c r="HO136">
        <v>7.31</v>
      </c>
      <c r="HP136">
        <v>9.1300000000000008</v>
      </c>
      <c r="HR136">
        <v>5.61</v>
      </c>
      <c r="HW136">
        <v>7.56</v>
      </c>
      <c r="HY136">
        <v>7.62</v>
      </c>
      <c r="IA136">
        <v>10.91</v>
      </c>
      <c r="IC136">
        <v>18.600000000000001</v>
      </c>
      <c r="IE136">
        <v>8.34</v>
      </c>
      <c r="IG136">
        <v>10.98</v>
      </c>
      <c r="II136">
        <v>16.12</v>
      </c>
      <c r="IK136">
        <v>7.58</v>
      </c>
      <c r="IM136">
        <v>5.33</v>
      </c>
      <c r="IO136">
        <v>15.35</v>
      </c>
      <c r="IQ136">
        <v>8.93</v>
      </c>
      <c r="IS136">
        <v>7.01</v>
      </c>
      <c r="IU136">
        <v>6.08</v>
      </c>
      <c r="IW136">
        <v>5.57</v>
      </c>
      <c r="IY136">
        <v>7.22</v>
      </c>
      <c r="IZ136">
        <v>8.1</v>
      </c>
      <c r="JC136">
        <v>8.0500000000000007</v>
      </c>
      <c r="JG136">
        <v>10.34</v>
      </c>
      <c r="JJ136">
        <v>7.11</v>
      </c>
      <c r="JM136">
        <v>8.94</v>
      </c>
      <c r="JO136">
        <v>6.67</v>
      </c>
      <c r="JQ136">
        <v>4.13</v>
      </c>
      <c r="JS136">
        <v>6.22</v>
      </c>
      <c r="JU136">
        <v>3</v>
      </c>
      <c r="JW136">
        <v>9.11</v>
      </c>
      <c r="JY136">
        <v>8.66</v>
      </c>
      <c r="KB136">
        <v>7.46</v>
      </c>
      <c r="KN136">
        <v>5.01</v>
      </c>
      <c r="KO136">
        <v>10.41</v>
      </c>
      <c r="LC136">
        <v>8.6300000000000008</v>
      </c>
      <c r="LE136">
        <v>5.59</v>
      </c>
      <c r="LF136">
        <v>6.32</v>
      </c>
    </row>
    <row r="137" spans="1:319">
      <c r="A137" s="20" t="s">
        <v>870</v>
      </c>
      <c r="B137">
        <v>610.64999999999986</v>
      </c>
      <c r="C137">
        <v>11.743269230769227</v>
      </c>
      <c r="D137" s="20" t="s">
        <v>861</v>
      </c>
      <c r="E137" s="20" t="s">
        <v>869</v>
      </c>
      <c r="G137">
        <v>6.66</v>
      </c>
      <c r="J137">
        <v>5.27</v>
      </c>
      <c r="M137">
        <v>5.94</v>
      </c>
      <c r="P137">
        <v>4.66</v>
      </c>
      <c r="S137">
        <v>5.99</v>
      </c>
      <c r="W137">
        <v>9.0399999999999903</v>
      </c>
      <c r="Y137">
        <v>7.09</v>
      </c>
      <c r="AB137">
        <v>8.33</v>
      </c>
      <c r="AE137">
        <v>7.09</v>
      </c>
      <c r="AH137">
        <v>6.34</v>
      </c>
      <c r="AK137">
        <v>6.64</v>
      </c>
      <c r="AO137">
        <v>5.49</v>
      </c>
      <c r="AQ137">
        <v>5.98</v>
      </c>
      <c r="AT137">
        <v>4.5999999999999899</v>
      </c>
      <c r="AW137">
        <v>7.28</v>
      </c>
      <c r="AZ137">
        <v>5.96</v>
      </c>
      <c r="BB137">
        <v>6.24</v>
      </c>
      <c r="BG137">
        <v>8.77</v>
      </c>
      <c r="BK137">
        <v>7.86</v>
      </c>
      <c r="BN137">
        <v>9.0500000000000007</v>
      </c>
      <c r="BR137">
        <v>8.74</v>
      </c>
      <c r="BV137">
        <v>9.32</v>
      </c>
      <c r="CA137">
        <v>8.86</v>
      </c>
      <c r="CE137">
        <v>6.91</v>
      </c>
      <c r="CH137">
        <v>9.94</v>
      </c>
      <c r="CK137">
        <v>5.27</v>
      </c>
      <c r="CN137">
        <v>7.91</v>
      </c>
      <c r="CQ137">
        <v>7.81</v>
      </c>
      <c r="CT137">
        <v>7.63</v>
      </c>
      <c r="CW137">
        <v>8.2100000000000009</v>
      </c>
      <c r="CZ137">
        <v>7.64</v>
      </c>
      <c r="DF137">
        <v>6.48</v>
      </c>
      <c r="DN137">
        <v>6.09</v>
      </c>
      <c r="DV137">
        <v>7.31</v>
      </c>
      <c r="DY137">
        <v>4.7300000000000004</v>
      </c>
      <c r="EB137">
        <v>5.28</v>
      </c>
      <c r="EE137">
        <v>6.98</v>
      </c>
      <c r="EH137">
        <v>5.09</v>
      </c>
      <c r="EJ137">
        <v>8.7899999999999903</v>
      </c>
      <c r="EM137">
        <v>7.35</v>
      </c>
      <c r="EQ137">
        <v>7.87</v>
      </c>
      <c r="ET137">
        <v>5.86</v>
      </c>
      <c r="EW137">
        <v>6.98</v>
      </c>
      <c r="EZ137">
        <v>5.09</v>
      </c>
      <c r="FC137">
        <v>7.52</v>
      </c>
      <c r="FF137">
        <v>5.49</v>
      </c>
      <c r="FL137">
        <v>6.15</v>
      </c>
      <c r="FO137">
        <v>6.09</v>
      </c>
      <c r="FR137">
        <v>5.69</v>
      </c>
      <c r="FU137">
        <v>6.5</v>
      </c>
      <c r="FX137">
        <v>4.9800000000000004</v>
      </c>
      <c r="GA137">
        <v>8.3800000000000008</v>
      </c>
      <c r="GD137">
        <v>5.69</v>
      </c>
      <c r="GG137">
        <v>7.15</v>
      </c>
      <c r="GJ137">
        <v>5.33</v>
      </c>
      <c r="GS137">
        <v>6.66</v>
      </c>
      <c r="GV137">
        <v>5.38</v>
      </c>
      <c r="GY137">
        <v>6.57</v>
      </c>
      <c r="HB137">
        <v>5.41</v>
      </c>
      <c r="HE137">
        <v>7.99</v>
      </c>
      <c r="HH137">
        <v>6.74</v>
      </c>
      <c r="HK137">
        <v>6.23</v>
      </c>
      <c r="HN137">
        <v>5.64</v>
      </c>
      <c r="HQ137">
        <v>6.95</v>
      </c>
      <c r="HT137">
        <v>4.97</v>
      </c>
      <c r="HW137">
        <v>6.17</v>
      </c>
      <c r="HZ137">
        <v>5.54</v>
      </c>
      <c r="IC137">
        <v>8.66</v>
      </c>
      <c r="IF137">
        <v>5.2</v>
      </c>
      <c r="II137">
        <v>9.0399999999999903</v>
      </c>
      <c r="IL137">
        <v>5.77</v>
      </c>
      <c r="IO137">
        <v>7.2</v>
      </c>
      <c r="IR137">
        <v>5.49</v>
      </c>
      <c r="IU137">
        <v>7.52</v>
      </c>
      <c r="IX137">
        <v>5.22</v>
      </c>
      <c r="JC137">
        <v>8.81</v>
      </c>
      <c r="JG137">
        <v>6.56</v>
      </c>
      <c r="JJ137">
        <v>6.43</v>
      </c>
      <c r="JM137">
        <v>6.7</v>
      </c>
      <c r="JP137">
        <v>5.38</v>
      </c>
      <c r="JS137">
        <v>6.62</v>
      </c>
      <c r="JY137">
        <v>5.12</v>
      </c>
      <c r="KB137">
        <v>5.13</v>
      </c>
      <c r="KE137">
        <v>8.61</v>
      </c>
      <c r="KH137">
        <v>4.62</v>
      </c>
      <c r="KK137">
        <v>9.17</v>
      </c>
      <c r="KQ137">
        <v>7.23</v>
      </c>
      <c r="KT137">
        <v>5.63</v>
      </c>
      <c r="KW137">
        <v>6.98</v>
      </c>
      <c r="KZ137">
        <v>5.03</v>
      </c>
      <c r="LD137">
        <v>8.89</v>
      </c>
    </row>
    <row r="138" spans="1:319">
      <c r="A138" s="20" t="s">
        <v>270</v>
      </c>
      <c r="B138">
        <v>953.48100000000034</v>
      </c>
      <c r="C138">
        <v>18.336173076923082</v>
      </c>
      <c r="D138" s="20" t="s">
        <v>861</v>
      </c>
      <c r="E138" s="20" t="s">
        <v>869</v>
      </c>
      <c r="F138">
        <v>5.18</v>
      </c>
      <c r="I138">
        <v>8.36</v>
      </c>
      <c r="K138">
        <v>12.87</v>
      </c>
      <c r="O138">
        <v>6.79</v>
      </c>
      <c r="Q138">
        <v>8.8800000000000008</v>
      </c>
      <c r="R138">
        <v>6.47</v>
      </c>
      <c r="U138">
        <v>7.38</v>
      </c>
      <c r="W138">
        <v>6.73</v>
      </c>
      <c r="Z138">
        <v>9.23</v>
      </c>
      <c r="AA138">
        <v>8.91</v>
      </c>
      <c r="AC138">
        <v>8.86</v>
      </c>
      <c r="AE138">
        <v>7.26</v>
      </c>
      <c r="AG138">
        <v>7.99</v>
      </c>
      <c r="AK138">
        <v>8.9909999999999908</v>
      </c>
      <c r="AM138">
        <v>5.47</v>
      </c>
      <c r="AO138">
        <v>6.81</v>
      </c>
      <c r="AQ138">
        <v>8.2100000000000009</v>
      </c>
      <c r="AS138">
        <v>5.73</v>
      </c>
      <c r="AU138">
        <v>5.93</v>
      </c>
      <c r="AW138">
        <v>7.38</v>
      </c>
      <c r="AY138">
        <v>4.47</v>
      </c>
      <c r="BA138">
        <v>9.92</v>
      </c>
      <c r="BD138">
        <v>8.77</v>
      </c>
      <c r="BE138">
        <v>9.27</v>
      </c>
      <c r="BG138">
        <v>7.18</v>
      </c>
      <c r="BI138">
        <v>8.2899999999999903</v>
      </c>
      <c r="BL138">
        <v>5.6</v>
      </c>
      <c r="BM138">
        <v>6.88</v>
      </c>
      <c r="BO138">
        <v>8.41</v>
      </c>
      <c r="BU138">
        <v>8.8699999999999903</v>
      </c>
      <c r="BW138">
        <v>5.79</v>
      </c>
      <c r="CB138">
        <v>7.87</v>
      </c>
      <c r="CD138">
        <v>9.1199999999999903</v>
      </c>
      <c r="CF138">
        <v>5.54</v>
      </c>
      <c r="CH138">
        <v>6.73</v>
      </c>
      <c r="CJ138">
        <v>8.4</v>
      </c>
      <c r="CL138">
        <v>7.98</v>
      </c>
      <c r="CN138">
        <v>7.49</v>
      </c>
      <c r="CP138">
        <v>5.42</v>
      </c>
      <c r="CR138">
        <v>5.3</v>
      </c>
      <c r="CT138">
        <v>6.18</v>
      </c>
      <c r="CV138">
        <v>7.11</v>
      </c>
      <c r="CX138">
        <v>6.93</v>
      </c>
      <c r="CZ138">
        <v>7.67</v>
      </c>
      <c r="DB138">
        <v>6.8</v>
      </c>
      <c r="DE138">
        <v>6.55</v>
      </c>
      <c r="DL138">
        <v>24.03</v>
      </c>
      <c r="DO138">
        <v>7.5</v>
      </c>
      <c r="DQ138">
        <v>9.15</v>
      </c>
      <c r="DU138">
        <v>8.6300000000000008</v>
      </c>
      <c r="DW138">
        <v>6.36</v>
      </c>
      <c r="DX138">
        <v>5.28</v>
      </c>
      <c r="EA138">
        <v>6.26</v>
      </c>
      <c r="EC138">
        <v>7.6</v>
      </c>
      <c r="ED138">
        <v>6.06</v>
      </c>
      <c r="EG138">
        <v>6.74</v>
      </c>
      <c r="EI138">
        <v>8.34</v>
      </c>
      <c r="EJ138">
        <v>4.8499999999999899</v>
      </c>
      <c r="EL138">
        <v>6.85</v>
      </c>
      <c r="EO138">
        <v>9.4700000000000006</v>
      </c>
      <c r="EP138">
        <v>5.54</v>
      </c>
      <c r="ER138">
        <v>8.08</v>
      </c>
      <c r="EV138">
        <v>6.06</v>
      </c>
      <c r="EY138">
        <v>6.74</v>
      </c>
      <c r="FA138">
        <v>8.34</v>
      </c>
      <c r="FT138">
        <v>5.41</v>
      </c>
      <c r="FU138">
        <v>10.16</v>
      </c>
      <c r="FW138">
        <v>7.22</v>
      </c>
      <c r="FY138">
        <v>8.5399999999999903</v>
      </c>
      <c r="GF138">
        <v>5.95</v>
      </c>
      <c r="GI138">
        <v>6.93</v>
      </c>
      <c r="GK138">
        <v>7.19</v>
      </c>
      <c r="GR138">
        <v>6.87</v>
      </c>
      <c r="GU138">
        <v>6.04</v>
      </c>
      <c r="GW138">
        <v>8.3699999999999903</v>
      </c>
      <c r="HA138">
        <v>9.5299999999999905</v>
      </c>
      <c r="HC138">
        <v>8.11</v>
      </c>
      <c r="HD138">
        <v>8.14</v>
      </c>
      <c r="HG138">
        <v>8.99</v>
      </c>
      <c r="HI138">
        <v>6.69</v>
      </c>
      <c r="HM138">
        <v>10.31</v>
      </c>
      <c r="HO138">
        <v>8.31</v>
      </c>
      <c r="HP138">
        <v>5.55</v>
      </c>
      <c r="HS138">
        <v>4.5999999999999899</v>
      </c>
      <c r="HU138">
        <v>7.93</v>
      </c>
      <c r="HY138">
        <v>7.85</v>
      </c>
      <c r="IA138">
        <v>6.44</v>
      </c>
      <c r="IB138">
        <v>5.69</v>
      </c>
      <c r="IE138">
        <v>9.33</v>
      </c>
      <c r="IH138">
        <v>5.69</v>
      </c>
      <c r="IK138">
        <v>8.69</v>
      </c>
      <c r="IM138">
        <v>8.35</v>
      </c>
      <c r="IO138">
        <v>10.54</v>
      </c>
      <c r="IQ138">
        <v>9.59</v>
      </c>
      <c r="IS138">
        <v>6.87</v>
      </c>
      <c r="IU138">
        <v>8.58</v>
      </c>
      <c r="IW138">
        <v>6.5</v>
      </c>
      <c r="IY138">
        <v>4.07</v>
      </c>
      <c r="IZ138">
        <v>6.58</v>
      </c>
      <c r="JB138">
        <v>3.04</v>
      </c>
      <c r="JC138">
        <v>8.66</v>
      </c>
      <c r="JE138">
        <v>6.19</v>
      </c>
      <c r="JG138">
        <v>9.0399999999999903</v>
      </c>
      <c r="JI138">
        <v>9.2200000000000006</v>
      </c>
      <c r="JK138">
        <v>6.1</v>
      </c>
      <c r="JM138">
        <v>7.31</v>
      </c>
      <c r="JO138">
        <v>6.97</v>
      </c>
      <c r="JQ138">
        <v>5.61</v>
      </c>
      <c r="JS138">
        <v>7.18</v>
      </c>
      <c r="JU138">
        <v>7.68</v>
      </c>
      <c r="JW138">
        <v>7.37</v>
      </c>
      <c r="JY138">
        <v>6.35</v>
      </c>
      <c r="KC138">
        <v>7.28</v>
      </c>
      <c r="KE138">
        <v>10.23</v>
      </c>
      <c r="KG138">
        <v>5.09</v>
      </c>
      <c r="KI138">
        <v>6.95</v>
      </c>
      <c r="KK138">
        <v>8.99</v>
      </c>
      <c r="KO138">
        <v>9.34</v>
      </c>
      <c r="KQ138">
        <v>7.64</v>
      </c>
      <c r="KS138">
        <v>6.65</v>
      </c>
      <c r="KU138">
        <v>5.09</v>
      </c>
      <c r="KW138">
        <v>7.49</v>
      </c>
      <c r="KZ138">
        <v>5.0199999999999898</v>
      </c>
      <c r="LA138">
        <v>5.79</v>
      </c>
      <c r="LC138">
        <v>6.38</v>
      </c>
      <c r="LE138">
        <v>10.66</v>
      </c>
      <c r="LG138">
        <v>10.7</v>
      </c>
    </row>
    <row r="139" spans="1:319">
      <c r="A139" s="20" t="s">
        <v>373</v>
      </c>
      <c r="B139">
        <v>1127.4800000000005</v>
      </c>
      <c r="C139">
        <v>21.682307692307702</v>
      </c>
      <c r="D139" s="20" t="s">
        <v>861</v>
      </c>
      <c r="E139" s="20" t="s">
        <v>869</v>
      </c>
      <c r="F139">
        <v>14.6</v>
      </c>
      <c r="G139">
        <v>13.06</v>
      </c>
      <c r="H139">
        <v>5.94</v>
      </c>
      <c r="J139">
        <v>15.89</v>
      </c>
      <c r="M139">
        <v>6.56</v>
      </c>
      <c r="N139">
        <v>12.97</v>
      </c>
      <c r="P139">
        <v>13.89</v>
      </c>
      <c r="R139">
        <v>14.31</v>
      </c>
      <c r="T139">
        <v>6.84</v>
      </c>
      <c r="V139">
        <v>14.28</v>
      </c>
      <c r="Y139">
        <v>5.74</v>
      </c>
      <c r="Z139">
        <v>15.32</v>
      </c>
      <c r="AB139">
        <v>16.190000000000001</v>
      </c>
      <c r="AE139">
        <v>8.76</v>
      </c>
      <c r="AH139">
        <v>16.13</v>
      </c>
      <c r="AJ139">
        <v>12.66</v>
      </c>
      <c r="AN139">
        <v>13.72</v>
      </c>
      <c r="AP139">
        <v>6.99</v>
      </c>
      <c r="AR139">
        <v>6.61</v>
      </c>
      <c r="AV139">
        <v>12.85</v>
      </c>
      <c r="AZ139">
        <v>12.86</v>
      </c>
      <c r="BD139">
        <v>15.42</v>
      </c>
      <c r="BJ139">
        <v>8.48</v>
      </c>
      <c r="BM139">
        <v>6.09</v>
      </c>
      <c r="BN139">
        <v>6.72</v>
      </c>
      <c r="BP139">
        <v>7.72</v>
      </c>
      <c r="BR139">
        <v>7.12</v>
      </c>
      <c r="BT139">
        <v>13.75</v>
      </c>
      <c r="BX139">
        <v>15</v>
      </c>
      <c r="CA139">
        <v>12.49</v>
      </c>
      <c r="CG139">
        <v>8.77</v>
      </c>
      <c r="CK139">
        <v>16.16</v>
      </c>
      <c r="CM139">
        <v>5.08</v>
      </c>
      <c r="CO139">
        <v>5.95</v>
      </c>
      <c r="CT139">
        <v>6.58</v>
      </c>
      <c r="CW139">
        <v>13.68</v>
      </c>
      <c r="CY139">
        <v>5.91</v>
      </c>
      <c r="DA139">
        <v>8.09</v>
      </c>
      <c r="DC139">
        <v>6.72</v>
      </c>
      <c r="DE139">
        <v>16.059999999999899</v>
      </c>
      <c r="DG139">
        <v>6.08</v>
      </c>
      <c r="DL139">
        <v>23.14</v>
      </c>
      <c r="DN139">
        <v>6.99</v>
      </c>
      <c r="DP139">
        <v>6.3</v>
      </c>
      <c r="DS139">
        <v>13.31</v>
      </c>
      <c r="DT139">
        <v>7.29</v>
      </c>
      <c r="DV139">
        <v>11.38</v>
      </c>
      <c r="DX139">
        <v>13.13</v>
      </c>
      <c r="DZ139">
        <v>5.49</v>
      </c>
      <c r="EB139">
        <v>7.11</v>
      </c>
      <c r="ED139">
        <v>13.13</v>
      </c>
      <c r="EF139">
        <v>6.93</v>
      </c>
      <c r="EH139">
        <v>13.07</v>
      </c>
      <c r="EJ139">
        <v>14.29</v>
      </c>
      <c r="EL139">
        <v>12.13</v>
      </c>
      <c r="EN139">
        <v>6.98</v>
      </c>
      <c r="EP139">
        <v>6.34</v>
      </c>
      <c r="ER139">
        <v>6.69</v>
      </c>
      <c r="ET139">
        <v>8.25</v>
      </c>
      <c r="EV139">
        <v>13.13</v>
      </c>
      <c r="EX139">
        <v>6.93</v>
      </c>
      <c r="EZ139">
        <v>13.07</v>
      </c>
      <c r="FB139">
        <v>10.67</v>
      </c>
      <c r="FD139">
        <v>6.45</v>
      </c>
      <c r="FF139">
        <v>12.45</v>
      </c>
      <c r="FH139">
        <v>7.66</v>
      </c>
      <c r="FJ139">
        <v>11.81</v>
      </c>
      <c r="FL139">
        <v>15.67</v>
      </c>
      <c r="FN139">
        <v>6.83</v>
      </c>
      <c r="FO139">
        <v>5.53</v>
      </c>
      <c r="FP139">
        <v>7.05</v>
      </c>
      <c r="FR139">
        <v>14.32</v>
      </c>
      <c r="FV139">
        <v>7.93</v>
      </c>
      <c r="FX139">
        <v>13.75</v>
      </c>
      <c r="FZ139">
        <v>6.64</v>
      </c>
      <c r="GA139">
        <v>6.98</v>
      </c>
      <c r="GB139">
        <v>9.36</v>
      </c>
      <c r="GD139">
        <v>16.37</v>
      </c>
      <c r="GF139">
        <v>14.15</v>
      </c>
      <c r="GJ139">
        <v>7.49</v>
      </c>
      <c r="GR139">
        <v>7.07</v>
      </c>
      <c r="GT139">
        <v>7.7</v>
      </c>
      <c r="GV139">
        <v>7.66</v>
      </c>
      <c r="GX139">
        <v>13.21</v>
      </c>
      <c r="HB139">
        <v>6.12</v>
      </c>
      <c r="HD139">
        <v>9.01</v>
      </c>
      <c r="HH139">
        <v>8.8699999999999903</v>
      </c>
      <c r="HJ139">
        <v>8.19</v>
      </c>
      <c r="HN139">
        <v>8.94</v>
      </c>
      <c r="HW139">
        <v>17.32</v>
      </c>
      <c r="JF139">
        <v>9.5299999999999905</v>
      </c>
      <c r="JG139">
        <v>7.49</v>
      </c>
      <c r="JJ139">
        <v>6.06</v>
      </c>
      <c r="JK139">
        <v>10.53</v>
      </c>
      <c r="JL139">
        <v>5.9</v>
      </c>
      <c r="JN139">
        <v>6.76</v>
      </c>
      <c r="JR139">
        <v>18.84</v>
      </c>
      <c r="JT139">
        <v>8.1</v>
      </c>
      <c r="JV139">
        <v>8.5</v>
      </c>
      <c r="JZ139">
        <v>6.38</v>
      </c>
      <c r="KC139">
        <v>6.07</v>
      </c>
      <c r="KD139">
        <v>15.16</v>
      </c>
      <c r="KF139">
        <v>5.99</v>
      </c>
      <c r="KH139">
        <v>6.47</v>
      </c>
      <c r="KJ139">
        <v>12.35</v>
      </c>
      <c r="KN139">
        <v>6.71</v>
      </c>
      <c r="KP139">
        <v>10.94</v>
      </c>
      <c r="KT139">
        <v>6.39</v>
      </c>
      <c r="KV139">
        <v>11.32</v>
      </c>
      <c r="KZ139">
        <v>7.47</v>
      </c>
      <c r="LC139">
        <v>7.31</v>
      </c>
      <c r="LF139">
        <v>14.89</v>
      </c>
    </row>
    <row r="140" spans="1:319">
      <c r="A140" s="20" t="s">
        <v>206</v>
      </c>
      <c r="B140">
        <v>815.66999999999973</v>
      </c>
      <c r="C140">
        <v>15.685961538461534</v>
      </c>
      <c r="D140" s="20" t="s">
        <v>861</v>
      </c>
      <c r="E140" s="20" t="s">
        <v>869</v>
      </c>
      <c r="G140">
        <v>4.17</v>
      </c>
      <c r="J140">
        <v>9.36</v>
      </c>
      <c r="M140">
        <v>8.7100000000000009</v>
      </c>
      <c r="P140">
        <v>9.44</v>
      </c>
      <c r="S140">
        <v>9.33</v>
      </c>
      <c r="T140">
        <v>8.2899999999999903</v>
      </c>
      <c r="V140">
        <v>8.33</v>
      </c>
      <c r="Y140">
        <v>8.69</v>
      </c>
      <c r="AA140">
        <v>6.03</v>
      </c>
      <c r="AC140">
        <v>6.76</v>
      </c>
      <c r="AE140">
        <v>8.2200000000000006</v>
      </c>
      <c r="AH140">
        <v>9.9499999999999904</v>
      </c>
      <c r="AJ140">
        <v>7.47</v>
      </c>
      <c r="AN140">
        <v>13.8</v>
      </c>
      <c r="AP140">
        <v>6.38</v>
      </c>
      <c r="AT140">
        <v>6.77</v>
      </c>
      <c r="AV140">
        <v>7.49</v>
      </c>
      <c r="AZ140">
        <v>7.48</v>
      </c>
      <c r="BB140">
        <v>6.89</v>
      </c>
      <c r="BF140">
        <v>8.81</v>
      </c>
      <c r="BH140">
        <v>9.76</v>
      </c>
      <c r="BL140">
        <v>8.59</v>
      </c>
      <c r="BO140">
        <v>8.4600000000000009</v>
      </c>
      <c r="BR140">
        <v>8.94</v>
      </c>
      <c r="BT140">
        <v>7.17</v>
      </c>
      <c r="BX140">
        <v>8.61</v>
      </c>
      <c r="CA140">
        <v>8.3800000000000008</v>
      </c>
      <c r="CE140">
        <v>8.52</v>
      </c>
      <c r="CG140">
        <v>17.79</v>
      </c>
      <c r="CK140">
        <v>9.51</v>
      </c>
      <c r="CM140">
        <v>7.14</v>
      </c>
      <c r="CQ140">
        <v>5.67</v>
      </c>
      <c r="CW140">
        <v>7.35</v>
      </c>
      <c r="CY140">
        <v>8.19</v>
      </c>
      <c r="DC140">
        <v>8.0299999999999905</v>
      </c>
      <c r="DF140">
        <v>7.34</v>
      </c>
      <c r="DJ140">
        <v>7.85</v>
      </c>
      <c r="DL140">
        <v>6.77</v>
      </c>
      <c r="DM140">
        <v>6.44</v>
      </c>
      <c r="DO140">
        <v>6.4</v>
      </c>
      <c r="DS140">
        <v>7.98</v>
      </c>
      <c r="DV140">
        <v>9.5399999999999903</v>
      </c>
      <c r="EB140">
        <v>5.72</v>
      </c>
      <c r="EE140">
        <v>7.59</v>
      </c>
      <c r="EJ140">
        <v>8.23</v>
      </c>
      <c r="EL140">
        <v>6.15</v>
      </c>
      <c r="EN140">
        <v>4.97</v>
      </c>
      <c r="EQ140">
        <v>8.2200000000000006</v>
      </c>
      <c r="ET140">
        <v>8.15</v>
      </c>
      <c r="EW140">
        <v>7.59</v>
      </c>
      <c r="FC140">
        <v>7.65</v>
      </c>
      <c r="FF140">
        <v>8.44</v>
      </c>
      <c r="FI140">
        <v>8.4499999999999904</v>
      </c>
      <c r="FL140">
        <v>8.61</v>
      </c>
      <c r="FO140">
        <v>8.6</v>
      </c>
      <c r="FR140">
        <v>8.0399999999999903</v>
      </c>
      <c r="FU140">
        <v>9.18</v>
      </c>
      <c r="FX140">
        <v>8.99</v>
      </c>
      <c r="GA140">
        <v>7.12</v>
      </c>
      <c r="GD140">
        <v>10.0399999999999</v>
      </c>
      <c r="GG140">
        <v>9.01</v>
      </c>
      <c r="GJ140">
        <v>8.02</v>
      </c>
      <c r="GS140">
        <v>6.05</v>
      </c>
      <c r="GV140">
        <v>8.68</v>
      </c>
      <c r="GY140">
        <v>9.4600000000000009</v>
      </c>
      <c r="HB140">
        <v>5.77</v>
      </c>
      <c r="HE140">
        <v>7.16</v>
      </c>
      <c r="HH140">
        <v>9.18</v>
      </c>
      <c r="HK140">
        <v>9.25</v>
      </c>
      <c r="HN140">
        <v>8.08</v>
      </c>
      <c r="HQ140">
        <v>8.6</v>
      </c>
      <c r="HS140">
        <v>7.07</v>
      </c>
      <c r="HW140">
        <v>5.45</v>
      </c>
      <c r="HZ140">
        <v>9.09</v>
      </c>
      <c r="IC140">
        <v>8.1199999999999903</v>
      </c>
      <c r="II140">
        <v>8.4</v>
      </c>
      <c r="IL140">
        <v>10.84</v>
      </c>
      <c r="IN140">
        <v>8.51</v>
      </c>
      <c r="IR140">
        <v>6.31</v>
      </c>
      <c r="IT140">
        <v>9.92</v>
      </c>
      <c r="IX140">
        <v>9.1199999999999903</v>
      </c>
      <c r="IZ140">
        <v>8.83</v>
      </c>
      <c r="JD140">
        <v>9.8699999999999903</v>
      </c>
      <c r="JF140">
        <v>9.5</v>
      </c>
      <c r="JJ140">
        <v>5.05</v>
      </c>
      <c r="JL140">
        <v>8.09</v>
      </c>
      <c r="JP140">
        <v>9.34</v>
      </c>
      <c r="JR140">
        <v>7.75</v>
      </c>
      <c r="JV140">
        <v>5.94</v>
      </c>
      <c r="JX140">
        <v>8.9700000000000006</v>
      </c>
      <c r="KB140">
        <v>8.0299999999999905</v>
      </c>
      <c r="KD140">
        <v>4.96</v>
      </c>
      <c r="KH140">
        <v>8.6</v>
      </c>
      <c r="KJ140">
        <v>4.92</v>
      </c>
      <c r="KK140">
        <v>8.93</v>
      </c>
      <c r="KN140">
        <v>6.93</v>
      </c>
      <c r="KP140">
        <v>8.25</v>
      </c>
      <c r="KT140">
        <v>7.86</v>
      </c>
      <c r="KW140">
        <v>7.68</v>
      </c>
      <c r="KZ140">
        <v>7.61</v>
      </c>
      <c r="LC140">
        <v>7.93</v>
      </c>
    </row>
    <row r="141" spans="1:319">
      <c r="A141" s="20" t="s">
        <v>301</v>
      </c>
      <c r="B141">
        <v>655.01</v>
      </c>
      <c r="C141">
        <v>12.596346153846154</v>
      </c>
      <c r="D141" s="20" t="s">
        <v>861</v>
      </c>
      <c r="E141" s="20" t="s">
        <v>871</v>
      </c>
      <c r="F141">
        <v>6.9</v>
      </c>
      <c r="I141">
        <v>8.1</v>
      </c>
      <c r="M141">
        <v>9.17</v>
      </c>
      <c r="O141">
        <v>5.26</v>
      </c>
      <c r="R141">
        <v>15.1</v>
      </c>
      <c r="U141">
        <v>8.42</v>
      </c>
      <c r="Y141">
        <v>8.59</v>
      </c>
      <c r="AA141">
        <v>14.65</v>
      </c>
      <c r="AE141">
        <v>7.54</v>
      </c>
      <c r="AJ141">
        <v>8.89</v>
      </c>
      <c r="AM141">
        <v>9.48</v>
      </c>
      <c r="AP141">
        <v>8.52</v>
      </c>
      <c r="AS141">
        <v>6.84</v>
      </c>
      <c r="AV141">
        <v>8.19</v>
      </c>
      <c r="BD141">
        <v>8.19</v>
      </c>
      <c r="BH141">
        <v>5.32</v>
      </c>
      <c r="BL141">
        <v>7.54</v>
      </c>
      <c r="BO141">
        <v>6.95</v>
      </c>
      <c r="BT141">
        <v>7.11</v>
      </c>
      <c r="BW141">
        <v>7.54</v>
      </c>
      <c r="CG141">
        <v>7.1</v>
      </c>
      <c r="CJ141">
        <v>9.19</v>
      </c>
      <c r="CP141">
        <v>7.04</v>
      </c>
      <c r="CT141">
        <v>7.96</v>
      </c>
      <c r="CZ141">
        <v>7.96</v>
      </c>
      <c r="DB141">
        <v>8.7100000000000009</v>
      </c>
      <c r="DE141">
        <v>8.1</v>
      </c>
      <c r="DG141">
        <v>6.68</v>
      </c>
      <c r="DL141">
        <v>6.66</v>
      </c>
      <c r="DO141">
        <v>7.19</v>
      </c>
      <c r="DS141">
        <v>7.2</v>
      </c>
      <c r="DU141">
        <v>4.9800000000000004</v>
      </c>
      <c r="DX141">
        <v>8.75</v>
      </c>
      <c r="DZ141">
        <v>6.49</v>
      </c>
      <c r="ED141">
        <v>7.05</v>
      </c>
      <c r="EH141">
        <v>7.34</v>
      </c>
      <c r="EJ141">
        <v>5.35</v>
      </c>
      <c r="EP141">
        <v>5.95</v>
      </c>
      <c r="ES141">
        <v>6.74</v>
      </c>
      <c r="EV141">
        <v>7.05</v>
      </c>
      <c r="EZ141">
        <v>7.34</v>
      </c>
      <c r="FC141">
        <v>7.72</v>
      </c>
      <c r="FE141">
        <v>7.89</v>
      </c>
      <c r="FI141">
        <v>5.93</v>
      </c>
      <c r="FK141">
        <v>6.21</v>
      </c>
      <c r="FO141">
        <v>8.23</v>
      </c>
      <c r="FR141">
        <v>7.19</v>
      </c>
      <c r="FT141">
        <v>5.84</v>
      </c>
      <c r="FX141">
        <v>8.93</v>
      </c>
      <c r="GC141">
        <v>6.83</v>
      </c>
      <c r="GF141">
        <v>8.01</v>
      </c>
      <c r="GJ141">
        <v>7.22</v>
      </c>
      <c r="GR141">
        <v>6.95</v>
      </c>
      <c r="GU141">
        <v>7.92</v>
      </c>
      <c r="HA141">
        <v>4.5199999999999898</v>
      </c>
      <c r="HD141">
        <v>4.03</v>
      </c>
      <c r="HG141">
        <v>4.51</v>
      </c>
      <c r="HM141">
        <v>8.4</v>
      </c>
      <c r="HP141">
        <v>6.61</v>
      </c>
      <c r="HS141">
        <v>8.5500000000000007</v>
      </c>
      <c r="HX141">
        <v>7.1</v>
      </c>
      <c r="HZ141">
        <v>7.07</v>
      </c>
      <c r="IB141">
        <v>8.5500000000000007</v>
      </c>
      <c r="IE141">
        <v>7.65</v>
      </c>
      <c r="IH141">
        <v>8.7200000000000006</v>
      </c>
      <c r="IK141">
        <v>6.43</v>
      </c>
      <c r="IM141">
        <v>7.6</v>
      </c>
      <c r="IN141">
        <v>4.88</v>
      </c>
      <c r="IQ141">
        <v>7.17</v>
      </c>
      <c r="IT141">
        <v>6.56</v>
      </c>
      <c r="IW141">
        <v>3.83</v>
      </c>
      <c r="IZ141">
        <v>6.92</v>
      </c>
      <c r="JC141">
        <v>7.42</v>
      </c>
      <c r="JF141">
        <v>6.37</v>
      </c>
      <c r="JJ141">
        <v>8.19</v>
      </c>
      <c r="JO141">
        <v>8.81</v>
      </c>
      <c r="JU141">
        <v>9.44</v>
      </c>
      <c r="JX141">
        <v>8.76</v>
      </c>
      <c r="KA141">
        <v>7.39</v>
      </c>
      <c r="KE141">
        <v>9.64</v>
      </c>
      <c r="KG141">
        <v>8.67</v>
      </c>
      <c r="KJ141">
        <v>6.95</v>
      </c>
      <c r="KM141">
        <v>7.32</v>
      </c>
      <c r="KS141">
        <v>7.07</v>
      </c>
      <c r="KV141">
        <v>9.7799999999999905</v>
      </c>
      <c r="KY141">
        <v>7.83</v>
      </c>
      <c r="LC141">
        <v>8.27</v>
      </c>
    </row>
    <row r="142" spans="1:319">
      <c r="A142" s="20" t="s">
        <v>307</v>
      </c>
      <c r="B142">
        <v>152.35</v>
      </c>
      <c r="C142">
        <v>2.9298076923076923</v>
      </c>
      <c r="D142" s="20" t="s">
        <v>861</v>
      </c>
      <c r="E142" s="20" t="s">
        <v>871</v>
      </c>
      <c r="J142">
        <v>8.8699999999999903</v>
      </c>
      <c r="AK142">
        <v>8.68</v>
      </c>
      <c r="BK142">
        <v>5.48</v>
      </c>
      <c r="BY142">
        <v>6.41</v>
      </c>
      <c r="CP142">
        <v>6.67</v>
      </c>
      <c r="CV142">
        <v>7.29</v>
      </c>
      <c r="CZ142">
        <v>8.01</v>
      </c>
      <c r="DJ142">
        <v>4.67</v>
      </c>
      <c r="DV142">
        <v>5.98</v>
      </c>
      <c r="DY142">
        <v>8.3000000000000007</v>
      </c>
      <c r="EN142">
        <v>8.27</v>
      </c>
      <c r="FG142">
        <v>8.17</v>
      </c>
      <c r="FR142">
        <v>5.63</v>
      </c>
      <c r="FW142">
        <v>4.62</v>
      </c>
      <c r="HG142">
        <v>8.49</v>
      </c>
      <c r="HS142">
        <v>5.82</v>
      </c>
      <c r="IP142">
        <v>6.15</v>
      </c>
      <c r="JC142">
        <v>5.96</v>
      </c>
      <c r="JT142">
        <v>8.0299999999999905</v>
      </c>
      <c r="KA142">
        <v>6.33</v>
      </c>
      <c r="KE142">
        <v>8.4600000000000009</v>
      </c>
      <c r="KV142">
        <v>6.06</v>
      </c>
    </row>
    <row r="143" spans="1:319">
      <c r="A143" s="20" t="s">
        <v>244</v>
      </c>
      <c r="B143">
        <v>701.89000000000033</v>
      </c>
      <c r="C143">
        <v>13.497884615384622</v>
      </c>
      <c r="D143" s="20" t="s">
        <v>861</v>
      </c>
      <c r="E143" s="20" t="s">
        <v>871</v>
      </c>
      <c r="G143">
        <v>6.61</v>
      </c>
      <c r="J143">
        <v>7.97</v>
      </c>
      <c r="M143">
        <v>6.84</v>
      </c>
      <c r="P143">
        <v>9.3800000000000008</v>
      </c>
      <c r="S143">
        <v>8.34</v>
      </c>
      <c r="V143">
        <v>6.96</v>
      </c>
      <c r="Y143">
        <v>5.38</v>
      </c>
      <c r="AE143">
        <v>6.71</v>
      </c>
      <c r="AG143">
        <v>7.29</v>
      </c>
      <c r="AJ143">
        <v>2.54</v>
      </c>
      <c r="AM143">
        <v>9.74</v>
      </c>
      <c r="AP143">
        <v>8.51</v>
      </c>
      <c r="AU143">
        <v>7.67</v>
      </c>
      <c r="AV143">
        <v>8.67</v>
      </c>
      <c r="AY143">
        <v>5.25</v>
      </c>
      <c r="BF143">
        <v>7.66</v>
      </c>
      <c r="BH143">
        <v>6.33</v>
      </c>
      <c r="BK143">
        <v>7</v>
      </c>
      <c r="BO143">
        <v>6.71</v>
      </c>
      <c r="BR143">
        <v>7.8</v>
      </c>
      <c r="BW143">
        <v>9.5500000000000007</v>
      </c>
      <c r="CA143">
        <v>8.5500000000000007</v>
      </c>
      <c r="CD143">
        <v>8.1</v>
      </c>
      <c r="CG143">
        <v>7.76</v>
      </c>
      <c r="CJ143">
        <v>6.43</v>
      </c>
      <c r="CM143">
        <v>4.97</v>
      </c>
      <c r="CO143">
        <v>7.57</v>
      </c>
      <c r="CT143">
        <v>6.86</v>
      </c>
      <c r="CV143">
        <v>8.64</v>
      </c>
      <c r="DA143">
        <v>6.89</v>
      </c>
      <c r="DF143">
        <v>6.19</v>
      </c>
      <c r="DJ143">
        <v>8.32</v>
      </c>
      <c r="DL143">
        <v>6.42</v>
      </c>
      <c r="DP143">
        <v>5.46</v>
      </c>
      <c r="DS143">
        <v>6.81</v>
      </c>
      <c r="DV143">
        <v>7.12</v>
      </c>
      <c r="DY143">
        <v>7.95</v>
      </c>
      <c r="EB143">
        <v>7.73</v>
      </c>
      <c r="EE143">
        <v>8.4700000000000006</v>
      </c>
      <c r="EH143">
        <v>7.45</v>
      </c>
      <c r="EJ143">
        <v>7.15</v>
      </c>
      <c r="EN143">
        <v>7.2</v>
      </c>
      <c r="EQ143">
        <v>8.16</v>
      </c>
      <c r="ET143">
        <v>6.89</v>
      </c>
      <c r="EW143">
        <v>8.4700000000000006</v>
      </c>
      <c r="EZ143">
        <v>7.45</v>
      </c>
      <c r="FC143">
        <v>8.61</v>
      </c>
      <c r="FI143">
        <v>9.3699999999999903</v>
      </c>
      <c r="FN143">
        <v>7.61</v>
      </c>
      <c r="FS143">
        <v>10.14</v>
      </c>
      <c r="FU143">
        <v>3.31</v>
      </c>
      <c r="FZ143">
        <v>8.65</v>
      </c>
      <c r="GC143">
        <v>6.95</v>
      </c>
      <c r="GF143">
        <v>9.2799999999999905</v>
      </c>
      <c r="GI143">
        <v>8.39</v>
      </c>
      <c r="GR143">
        <v>6.95</v>
      </c>
      <c r="GU143">
        <v>7.9</v>
      </c>
      <c r="GX143">
        <v>9.16</v>
      </c>
      <c r="HA143">
        <v>11.38</v>
      </c>
      <c r="HD143">
        <v>4.79</v>
      </c>
      <c r="HJ143">
        <v>10.95</v>
      </c>
      <c r="HM143">
        <v>10.25</v>
      </c>
      <c r="HQ143">
        <v>8.7899999999999903</v>
      </c>
      <c r="HS143">
        <v>8.09</v>
      </c>
      <c r="HX143">
        <v>6.35</v>
      </c>
      <c r="HY143">
        <v>7.43</v>
      </c>
      <c r="IB143">
        <v>7.46</v>
      </c>
      <c r="IE143">
        <v>6.52</v>
      </c>
      <c r="IH143">
        <v>10.32</v>
      </c>
      <c r="IK143">
        <v>10.48</v>
      </c>
      <c r="IN143">
        <v>8.08</v>
      </c>
      <c r="IQ143">
        <v>5.61</v>
      </c>
      <c r="IT143">
        <v>6.95</v>
      </c>
      <c r="IW143">
        <v>9.39</v>
      </c>
      <c r="IZ143">
        <v>8.6999999999999904</v>
      </c>
      <c r="JF143">
        <v>5.09</v>
      </c>
      <c r="JI143">
        <v>7.54</v>
      </c>
      <c r="JL143">
        <v>5.92</v>
      </c>
      <c r="JO143">
        <v>6.33</v>
      </c>
      <c r="JR143">
        <v>8.6999999999999904</v>
      </c>
      <c r="JU143">
        <v>6</v>
      </c>
      <c r="JX143">
        <v>7.93</v>
      </c>
      <c r="KA143">
        <v>8.25</v>
      </c>
      <c r="KD143">
        <v>6.97</v>
      </c>
      <c r="KG143">
        <v>7.98</v>
      </c>
      <c r="KJ143">
        <v>6.23</v>
      </c>
      <c r="KM143">
        <v>8.4600000000000009</v>
      </c>
      <c r="KP143">
        <v>6.27</v>
      </c>
      <c r="KS143">
        <v>7.77</v>
      </c>
      <c r="KV143">
        <v>4.5</v>
      </c>
      <c r="KY143">
        <v>8.52</v>
      </c>
      <c r="LC143">
        <v>8.58</v>
      </c>
      <c r="LG143">
        <v>7.07</v>
      </c>
    </row>
    <row r="144" spans="1:319">
      <c r="A144" s="20" t="s">
        <v>872</v>
      </c>
      <c r="B144">
        <v>1601.5599999999995</v>
      </c>
      <c r="C144">
        <v>30.799230769230761</v>
      </c>
      <c r="D144" s="20" t="s">
        <v>861</v>
      </c>
      <c r="E144" s="20" t="s">
        <v>871</v>
      </c>
      <c r="H144">
        <v>17.88</v>
      </c>
      <c r="K144">
        <v>15.32</v>
      </c>
      <c r="N144">
        <v>14.02</v>
      </c>
      <c r="Q144">
        <v>16.670000000000002</v>
      </c>
      <c r="T144">
        <v>16.489999999999899</v>
      </c>
      <c r="W144">
        <v>8.35</v>
      </c>
      <c r="Y144">
        <v>2.25999999999999</v>
      </c>
      <c r="Z144">
        <v>13.41</v>
      </c>
      <c r="AB144">
        <v>6.61</v>
      </c>
      <c r="AC144">
        <v>12.21</v>
      </c>
      <c r="AF144">
        <v>17.670000000000002</v>
      </c>
      <c r="AG144">
        <v>8.57</v>
      </c>
      <c r="AI144">
        <v>16.690000000000001</v>
      </c>
      <c r="AK144">
        <v>5.95</v>
      </c>
      <c r="AL144">
        <v>17.46</v>
      </c>
      <c r="AO144">
        <v>16.72</v>
      </c>
      <c r="AR144">
        <v>13.73</v>
      </c>
      <c r="AU144">
        <v>10.83</v>
      </c>
      <c r="AX144">
        <v>10.91</v>
      </c>
      <c r="BA144">
        <v>18.57</v>
      </c>
      <c r="BD144">
        <v>15.91</v>
      </c>
      <c r="BG144">
        <v>16.5</v>
      </c>
      <c r="BJ144">
        <v>15.72</v>
      </c>
      <c r="BM144">
        <v>7.48</v>
      </c>
      <c r="BO144">
        <v>16.149999999999899</v>
      </c>
      <c r="BS144">
        <v>16.77</v>
      </c>
      <c r="BT144">
        <v>7.11</v>
      </c>
      <c r="BV144">
        <v>16.41</v>
      </c>
      <c r="BX144">
        <v>8.17</v>
      </c>
      <c r="BY144">
        <v>16.32</v>
      </c>
      <c r="CC144">
        <v>16.579999999999899</v>
      </c>
      <c r="CF144">
        <v>13.93</v>
      </c>
      <c r="CI144">
        <v>22.38</v>
      </c>
      <c r="CL144">
        <v>17.05</v>
      </c>
      <c r="CO144">
        <v>13.9</v>
      </c>
      <c r="CR144">
        <v>14.46</v>
      </c>
      <c r="CU144">
        <v>15.81</v>
      </c>
      <c r="CX144">
        <v>12.6</v>
      </c>
      <c r="DA144">
        <v>10.11</v>
      </c>
      <c r="DD144">
        <v>13.68</v>
      </c>
      <c r="DG144">
        <v>21.73</v>
      </c>
      <c r="DN144">
        <v>3.42</v>
      </c>
      <c r="DQ144">
        <v>16.28</v>
      </c>
      <c r="DS144">
        <v>8.65</v>
      </c>
      <c r="DT144">
        <v>11.41</v>
      </c>
      <c r="DW144">
        <v>16.77</v>
      </c>
      <c r="EA144">
        <v>20.47</v>
      </c>
      <c r="EC144">
        <v>14.05</v>
      </c>
      <c r="EF144">
        <v>15.42</v>
      </c>
      <c r="EI144">
        <v>15.09</v>
      </c>
      <c r="EM144">
        <v>11.27</v>
      </c>
      <c r="EO144">
        <v>14.77</v>
      </c>
      <c r="ER144">
        <v>13.09</v>
      </c>
      <c r="EU144">
        <v>12.53</v>
      </c>
      <c r="EX144">
        <v>15.42</v>
      </c>
      <c r="FA144">
        <v>15.09</v>
      </c>
      <c r="FD144">
        <v>14.97</v>
      </c>
      <c r="FG144">
        <v>8.83</v>
      </c>
      <c r="FJ144">
        <v>20.36</v>
      </c>
      <c r="FN144">
        <v>8.81</v>
      </c>
      <c r="FO144">
        <v>8.2899999999999903</v>
      </c>
      <c r="FP144">
        <v>12.42</v>
      </c>
      <c r="FS144">
        <v>25.189999999999898</v>
      </c>
      <c r="FV144">
        <v>13.88</v>
      </c>
      <c r="FY144">
        <v>15.21</v>
      </c>
      <c r="GB144">
        <v>15.08</v>
      </c>
      <c r="GE144">
        <v>13.69</v>
      </c>
      <c r="GH144">
        <v>13.28</v>
      </c>
      <c r="GK144">
        <v>13.62</v>
      </c>
      <c r="GT144">
        <v>17.600000000000001</v>
      </c>
      <c r="GW144">
        <v>12.15</v>
      </c>
      <c r="GX144">
        <v>7.12</v>
      </c>
      <c r="GZ144">
        <v>13.68</v>
      </c>
      <c r="HC144">
        <v>12.11</v>
      </c>
      <c r="HF144">
        <v>14.52</v>
      </c>
      <c r="HI144">
        <v>15.24</v>
      </c>
      <c r="HL144">
        <v>12.26</v>
      </c>
      <c r="HO144">
        <v>14.74</v>
      </c>
      <c r="HR144">
        <v>20.13</v>
      </c>
      <c r="HU144">
        <v>17.45</v>
      </c>
      <c r="HX144">
        <v>17.04</v>
      </c>
      <c r="HY144">
        <v>3.88</v>
      </c>
      <c r="IA144">
        <v>13.78</v>
      </c>
      <c r="ID144">
        <v>15.29</v>
      </c>
      <c r="IG144">
        <v>8.01</v>
      </c>
      <c r="IJ144">
        <v>15.68</v>
      </c>
      <c r="IM144">
        <v>18.25</v>
      </c>
      <c r="IN144">
        <v>8.59</v>
      </c>
      <c r="IP144">
        <v>9.31</v>
      </c>
      <c r="IS144">
        <v>19.53</v>
      </c>
      <c r="IV144">
        <v>19.62</v>
      </c>
      <c r="IY144">
        <v>14.98</v>
      </c>
      <c r="JB144">
        <v>14.17</v>
      </c>
      <c r="JE144">
        <v>15.78</v>
      </c>
      <c r="JF144">
        <v>9.0399999999999903</v>
      </c>
      <c r="JG144">
        <v>10.210000000000001</v>
      </c>
      <c r="JK144">
        <v>19.77</v>
      </c>
      <c r="JN144">
        <v>18.95</v>
      </c>
      <c r="JQ144">
        <v>19.29</v>
      </c>
      <c r="JT144">
        <v>8.01</v>
      </c>
      <c r="JW144">
        <v>19.36</v>
      </c>
      <c r="JZ144">
        <v>8.84</v>
      </c>
      <c r="KB144">
        <v>7.68</v>
      </c>
      <c r="KF144">
        <v>18.3</v>
      </c>
      <c r="KI144">
        <v>10.95</v>
      </c>
      <c r="KL144">
        <v>18.579999999999899</v>
      </c>
      <c r="KO144">
        <v>18.29</v>
      </c>
      <c r="KR144">
        <v>17.190000000000001</v>
      </c>
      <c r="KU144">
        <v>18.64</v>
      </c>
      <c r="KX144">
        <v>16.309999999999899</v>
      </c>
      <c r="LA144">
        <v>19.36</v>
      </c>
      <c r="LD144">
        <v>15.42</v>
      </c>
      <c r="LG144">
        <v>20.010000000000002</v>
      </c>
    </row>
    <row r="145" spans="1:319">
      <c r="A145" s="20" t="s">
        <v>272</v>
      </c>
      <c r="B145">
        <v>1481.0399999999993</v>
      </c>
      <c r="C145">
        <v>28.481538461538449</v>
      </c>
      <c r="D145" s="20" t="s">
        <v>873</v>
      </c>
      <c r="E145" s="20" t="s">
        <v>874</v>
      </c>
      <c r="H145">
        <v>15.49</v>
      </c>
      <c r="I145">
        <v>6.53</v>
      </c>
      <c r="J145">
        <v>7.09</v>
      </c>
      <c r="K145">
        <v>6.9</v>
      </c>
      <c r="N145">
        <v>7.65</v>
      </c>
      <c r="O145">
        <v>7</v>
      </c>
      <c r="P145">
        <v>4.37</v>
      </c>
      <c r="S145">
        <v>7.85</v>
      </c>
      <c r="U145">
        <v>12.95</v>
      </c>
      <c r="W145">
        <v>14.97</v>
      </c>
      <c r="X145">
        <v>8.33</v>
      </c>
      <c r="AA145">
        <v>13.95</v>
      </c>
      <c r="AC145">
        <v>14.98</v>
      </c>
      <c r="AE145">
        <v>7.21</v>
      </c>
      <c r="AF145">
        <v>4.6900000000000004</v>
      </c>
      <c r="AG145">
        <v>6.44</v>
      </c>
      <c r="AH145">
        <v>7.18</v>
      </c>
      <c r="AK145">
        <v>16.43</v>
      </c>
      <c r="AM145">
        <v>5.33</v>
      </c>
      <c r="AN145">
        <v>6.92</v>
      </c>
      <c r="AQ145">
        <v>12.89</v>
      </c>
      <c r="AT145">
        <v>12.37</v>
      </c>
      <c r="AU145">
        <v>6.6</v>
      </c>
      <c r="AW145">
        <v>3.75</v>
      </c>
      <c r="AX145">
        <v>6.56</v>
      </c>
      <c r="AZ145">
        <v>8.7799999999999994</v>
      </c>
      <c r="BA145">
        <v>5.37</v>
      </c>
      <c r="BB145">
        <v>6.03</v>
      </c>
      <c r="BD145">
        <v>8.31</v>
      </c>
      <c r="BE145">
        <v>6.64</v>
      </c>
      <c r="BG145">
        <v>3.72</v>
      </c>
      <c r="BH145">
        <v>7.83</v>
      </c>
      <c r="BI145">
        <v>6.49</v>
      </c>
      <c r="BJ145">
        <v>4.62</v>
      </c>
      <c r="BL145">
        <v>11.62</v>
      </c>
      <c r="BN145">
        <v>7.36</v>
      </c>
      <c r="BP145">
        <v>14.63</v>
      </c>
      <c r="BR145">
        <v>6.79</v>
      </c>
      <c r="BU145">
        <v>7.91</v>
      </c>
      <c r="BW145">
        <v>8.33</v>
      </c>
      <c r="BX145">
        <v>5.9</v>
      </c>
      <c r="CC145">
        <v>7.12</v>
      </c>
      <c r="CD145">
        <v>6.85</v>
      </c>
      <c r="CF145">
        <v>6.6</v>
      </c>
      <c r="CH145">
        <v>14.96</v>
      </c>
      <c r="CK145">
        <v>11.99</v>
      </c>
      <c r="CL145">
        <v>7.24</v>
      </c>
      <c r="CO145">
        <v>14.86</v>
      </c>
      <c r="CQ145">
        <v>6.15</v>
      </c>
      <c r="CT145">
        <v>6.97</v>
      </c>
      <c r="CU145">
        <v>16.07</v>
      </c>
      <c r="CV145">
        <v>7.39</v>
      </c>
      <c r="CX145">
        <v>4.8600000000000003</v>
      </c>
      <c r="CZ145">
        <v>8.75</v>
      </c>
      <c r="DA145">
        <v>6.21</v>
      </c>
      <c r="DB145">
        <v>7.21</v>
      </c>
      <c r="DD145">
        <v>7.62</v>
      </c>
      <c r="DF145">
        <v>12.04</v>
      </c>
      <c r="DK145">
        <v>21.12</v>
      </c>
      <c r="DM145">
        <v>8.27</v>
      </c>
      <c r="DO145">
        <v>6.68</v>
      </c>
      <c r="DP145">
        <v>5.81</v>
      </c>
      <c r="DS145">
        <v>6.9</v>
      </c>
      <c r="DT145">
        <v>5.88</v>
      </c>
      <c r="DV145">
        <v>8.16</v>
      </c>
      <c r="DW145">
        <v>6.08</v>
      </c>
      <c r="DX145">
        <v>7.4</v>
      </c>
      <c r="EA145">
        <v>12.48</v>
      </c>
      <c r="EB145">
        <v>7.48</v>
      </c>
      <c r="ED145">
        <v>3.97</v>
      </c>
      <c r="EE145">
        <v>7.38</v>
      </c>
      <c r="EG145">
        <v>15.43</v>
      </c>
      <c r="EI145">
        <v>6.83</v>
      </c>
      <c r="EK145">
        <v>6.07</v>
      </c>
      <c r="EL145">
        <v>5.68</v>
      </c>
      <c r="EN145">
        <v>12.56</v>
      </c>
      <c r="EP145">
        <v>8.1</v>
      </c>
      <c r="EQ145">
        <v>6.7</v>
      </c>
      <c r="ER145">
        <v>7.13</v>
      </c>
      <c r="ET145">
        <v>4.76</v>
      </c>
      <c r="EV145">
        <v>11.47</v>
      </c>
      <c r="EY145">
        <v>14.01</v>
      </c>
      <c r="EZ145">
        <v>7.64</v>
      </c>
      <c r="FB145">
        <v>9.56</v>
      </c>
      <c r="FE145">
        <v>15.39</v>
      </c>
      <c r="FF145">
        <v>9.64</v>
      </c>
      <c r="FJ145">
        <v>14.77</v>
      </c>
      <c r="FM145">
        <v>12.83</v>
      </c>
      <c r="FN145">
        <v>7.3</v>
      </c>
      <c r="FO145">
        <v>6.21</v>
      </c>
      <c r="FQ145">
        <v>4.8600000000000003</v>
      </c>
      <c r="FS145">
        <v>5.29</v>
      </c>
      <c r="FT145">
        <v>12.57</v>
      </c>
      <c r="FW145">
        <v>7.87</v>
      </c>
      <c r="FY145">
        <v>16.71</v>
      </c>
      <c r="FZ145">
        <v>8.23</v>
      </c>
      <c r="GA145">
        <v>4.08</v>
      </c>
      <c r="GC145">
        <v>14.3</v>
      </c>
      <c r="GE145">
        <v>7.49</v>
      </c>
      <c r="GG145">
        <v>11.62</v>
      </c>
      <c r="GI145">
        <v>7.09</v>
      </c>
      <c r="GJ145">
        <v>7.91</v>
      </c>
      <c r="GL145">
        <v>6.46</v>
      </c>
      <c r="GM145">
        <v>7.55</v>
      </c>
      <c r="GO145">
        <v>4.55</v>
      </c>
      <c r="GP145">
        <v>6.95</v>
      </c>
      <c r="GQ145">
        <v>6.13</v>
      </c>
      <c r="GS145">
        <v>7.7</v>
      </c>
      <c r="GT145">
        <v>5.84</v>
      </c>
      <c r="GU145">
        <v>6.57</v>
      </c>
      <c r="GW145">
        <v>6.53</v>
      </c>
      <c r="GY145">
        <v>7.45</v>
      </c>
      <c r="GZ145">
        <v>6.14</v>
      </c>
      <c r="HB145">
        <v>6.25</v>
      </c>
      <c r="HD145">
        <v>5.96</v>
      </c>
      <c r="HF145">
        <v>12.18</v>
      </c>
      <c r="HI145">
        <v>5.72</v>
      </c>
      <c r="HJ145">
        <v>6.98</v>
      </c>
      <c r="HK145">
        <v>6.31</v>
      </c>
      <c r="HM145">
        <v>7.02</v>
      </c>
      <c r="HN145">
        <v>5.63</v>
      </c>
      <c r="HP145">
        <v>14.59</v>
      </c>
      <c r="HS145">
        <v>9.6199999999999992</v>
      </c>
      <c r="HU145">
        <v>8.27</v>
      </c>
      <c r="HW145">
        <v>6.86</v>
      </c>
      <c r="HZ145">
        <v>14.92</v>
      </c>
      <c r="ID145">
        <v>17.170000000000002</v>
      </c>
      <c r="IG145">
        <v>15.19</v>
      </c>
      <c r="IH145">
        <v>7.34</v>
      </c>
      <c r="IJ145">
        <v>7.14</v>
      </c>
      <c r="IL145">
        <v>5.12</v>
      </c>
      <c r="IM145">
        <v>10.55</v>
      </c>
      <c r="IN145">
        <v>8.56</v>
      </c>
      <c r="IP145">
        <v>7.15</v>
      </c>
      <c r="IR145">
        <v>8.89</v>
      </c>
      <c r="IS145">
        <v>5.61</v>
      </c>
      <c r="IU145">
        <v>15.34</v>
      </c>
      <c r="IW145">
        <v>6.31</v>
      </c>
      <c r="IY145">
        <v>7.62</v>
      </c>
      <c r="IZ145">
        <v>5.32</v>
      </c>
      <c r="JB145">
        <v>5.32</v>
      </c>
      <c r="JE145">
        <v>13.75</v>
      </c>
      <c r="JG145">
        <v>6.54</v>
      </c>
      <c r="JH145">
        <v>6.31</v>
      </c>
      <c r="JK145">
        <v>15.87</v>
      </c>
      <c r="JM145">
        <v>13.39</v>
      </c>
      <c r="JP145">
        <v>17.46</v>
      </c>
      <c r="JR145">
        <v>8.18</v>
      </c>
      <c r="JS145">
        <v>7.95</v>
      </c>
      <c r="JV145">
        <v>13.56</v>
      </c>
      <c r="JX145">
        <v>4.4400000000000004</v>
      </c>
      <c r="KA145">
        <v>13.72</v>
      </c>
      <c r="KC145">
        <v>8.6999999999999993</v>
      </c>
      <c r="KE145">
        <v>5.74</v>
      </c>
      <c r="KG145">
        <v>7.61</v>
      </c>
      <c r="KH145">
        <v>10.119999999999999</v>
      </c>
      <c r="KJ145">
        <v>10.7</v>
      </c>
      <c r="KL145">
        <v>6.53</v>
      </c>
      <c r="KM145">
        <v>8.69</v>
      </c>
      <c r="KO145">
        <v>10.039999999999999</v>
      </c>
      <c r="KP145">
        <v>10.49</v>
      </c>
      <c r="KS145">
        <v>7.07</v>
      </c>
      <c r="KT145">
        <v>8.11</v>
      </c>
      <c r="KW145">
        <v>14.58</v>
      </c>
      <c r="KY145">
        <v>6.68</v>
      </c>
      <c r="KZ145">
        <v>6.86</v>
      </c>
      <c r="LD145">
        <v>13.99</v>
      </c>
      <c r="LG145">
        <v>13.79</v>
      </c>
    </row>
    <row r="146" spans="1:319">
      <c r="A146" s="20" t="s">
        <v>875</v>
      </c>
      <c r="B146">
        <v>2753.3199999999983</v>
      </c>
      <c r="C146">
        <v>52.948461538461508</v>
      </c>
      <c r="D146" s="20" t="s">
        <v>873</v>
      </c>
      <c r="E146" s="20" t="s">
        <v>874</v>
      </c>
      <c r="F146">
        <v>14.56</v>
      </c>
      <c r="H146">
        <v>11.76</v>
      </c>
      <c r="K146">
        <v>17.829999999999998</v>
      </c>
      <c r="M146">
        <v>17.09</v>
      </c>
      <c r="N146">
        <v>20.52</v>
      </c>
      <c r="Q146">
        <v>21.89</v>
      </c>
      <c r="R146">
        <v>13.17</v>
      </c>
      <c r="T146">
        <v>8.26</v>
      </c>
      <c r="U146">
        <v>12.83</v>
      </c>
      <c r="W146">
        <v>19.59</v>
      </c>
      <c r="X146">
        <v>13.54</v>
      </c>
      <c r="Z146">
        <v>15.93</v>
      </c>
      <c r="AA146">
        <v>8.4499999999999993</v>
      </c>
      <c r="AB146">
        <v>10.11</v>
      </c>
      <c r="AC146">
        <v>4.45</v>
      </c>
      <c r="AE146">
        <v>14.75</v>
      </c>
      <c r="AF146">
        <v>9.11</v>
      </c>
      <c r="AG146">
        <v>14.29</v>
      </c>
      <c r="AI146">
        <v>7.51</v>
      </c>
      <c r="AK146">
        <v>26.89</v>
      </c>
      <c r="AL146">
        <v>9.09</v>
      </c>
      <c r="AM146">
        <v>7.95</v>
      </c>
      <c r="AN146">
        <v>8.26</v>
      </c>
      <c r="AP146">
        <v>16.38</v>
      </c>
      <c r="AR146">
        <v>17.09</v>
      </c>
      <c r="AT146">
        <v>8.5500000000000007</v>
      </c>
      <c r="AU146">
        <v>9.74</v>
      </c>
      <c r="AW146">
        <v>8.0500000000000007</v>
      </c>
      <c r="AX146">
        <v>24.24</v>
      </c>
      <c r="AY146">
        <v>11.08</v>
      </c>
      <c r="BA146">
        <v>7.52</v>
      </c>
      <c r="BD146">
        <v>22.51</v>
      </c>
      <c r="BE146">
        <v>7.92</v>
      </c>
      <c r="BG146">
        <v>7.91</v>
      </c>
      <c r="BI146">
        <v>24.79</v>
      </c>
      <c r="BJ146">
        <v>12.85</v>
      </c>
      <c r="BK146">
        <v>8.1</v>
      </c>
      <c r="BL146">
        <v>7.59</v>
      </c>
      <c r="BM146">
        <v>6.71</v>
      </c>
      <c r="BN146">
        <v>14.73</v>
      </c>
      <c r="BO146">
        <v>7.95</v>
      </c>
      <c r="BP146">
        <v>8.1</v>
      </c>
      <c r="BS146">
        <v>34.71</v>
      </c>
      <c r="BT146">
        <v>8.86</v>
      </c>
      <c r="BU146">
        <v>17.43</v>
      </c>
      <c r="BV146">
        <v>16.97</v>
      </c>
      <c r="BY146">
        <v>21.23</v>
      </c>
      <c r="CA146">
        <v>15.18</v>
      </c>
      <c r="CD146">
        <v>12.28</v>
      </c>
      <c r="CE146">
        <v>11.53</v>
      </c>
      <c r="CF146">
        <v>13.94</v>
      </c>
      <c r="CH146">
        <v>14.9</v>
      </c>
      <c r="CI146">
        <v>14.3</v>
      </c>
      <c r="CJ146">
        <v>15.74</v>
      </c>
      <c r="CL146">
        <v>14.78</v>
      </c>
      <c r="CM146">
        <v>12.86</v>
      </c>
      <c r="CN146">
        <v>5.12</v>
      </c>
      <c r="CO146">
        <v>8.4499999999999993</v>
      </c>
      <c r="CP146">
        <v>15.92</v>
      </c>
      <c r="CQ146">
        <v>5.58</v>
      </c>
      <c r="CR146">
        <v>15.45</v>
      </c>
      <c r="CU146">
        <v>20.11</v>
      </c>
      <c r="CV146">
        <v>12.35</v>
      </c>
      <c r="CX146">
        <v>6.14</v>
      </c>
      <c r="CY146">
        <v>5.2</v>
      </c>
      <c r="CZ146">
        <v>6.77</v>
      </c>
      <c r="DA146">
        <v>7.63</v>
      </c>
      <c r="DB146">
        <v>8.33</v>
      </c>
      <c r="DC146">
        <v>15.12</v>
      </c>
      <c r="DE146">
        <v>14.3</v>
      </c>
      <c r="DG146">
        <v>11.73</v>
      </c>
      <c r="DK146">
        <v>22.16</v>
      </c>
      <c r="DL146">
        <v>7.36</v>
      </c>
      <c r="DM146">
        <v>24.77</v>
      </c>
      <c r="DO146">
        <v>14.13</v>
      </c>
      <c r="DQ146">
        <v>11.03</v>
      </c>
      <c r="DT146">
        <v>30.48</v>
      </c>
      <c r="DV146">
        <v>15.81</v>
      </c>
      <c r="DX146">
        <v>5.8</v>
      </c>
      <c r="DY146">
        <v>8.44</v>
      </c>
      <c r="DZ146">
        <v>5.37</v>
      </c>
      <c r="EA146">
        <v>14.92</v>
      </c>
      <c r="EC146">
        <v>13.15</v>
      </c>
      <c r="ED146">
        <v>14.25</v>
      </c>
      <c r="EE146">
        <v>15.46</v>
      </c>
      <c r="EG146">
        <v>12.21</v>
      </c>
      <c r="EI146">
        <v>15.08</v>
      </c>
      <c r="EK146">
        <v>6.59</v>
      </c>
      <c r="EL146">
        <v>19.07</v>
      </c>
      <c r="EN146">
        <v>16.809999999999999</v>
      </c>
      <c r="EP146">
        <v>23.75</v>
      </c>
      <c r="EQ146">
        <v>15.71</v>
      </c>
      <c r="ES146">
        <v>16.77</v>
      </c>
      <c r="EU146">
        <v>15.52</v>
      </c>
      <c r="EV146">
        <v>15.94</v>
      </c>
      <c r="EW146">
        <v>14.98</v>
      </c>
      <c r="EY146">
        <v>14.87</v>
      </c>
      <c r="FA146">
        <v>8.8800000000000008</v>
      </c>
      <c r="FC146">
        <v>15.35</v>
      </c>
      <c r="FD146">
        <v>16.36</v>
      </c>
      <c r="FG146">
        <v>18.36</v>
      </c>
      <c r="FH146">
        <v>16.72</v>
      </c>
      <c r="FI146">
        <v>5.78</v>
      </c>
      <c r="FJ146">
        <v>6.45</v>
      </c>
      <c r="FK146">
        <v>15.57</v>
      </c>
      <c r="FM146">
        <v>7.92</v>
      </c>
      <c r="FN146">
        <v>16.78</v>
      </c>
      <c r="FP146">
        <v>17.12</v>
      </c>
      <c r="FQ146">
        <v>7.83</v>
      </c>
      <c r="FS146">
        <v>16.170000000000002</v>
      </c>
      <c r="FT146">
        <v>17.989999999999998</v>
      </c>
      <c r="FV146">
        <v>16.809999999999999</v>
      </c>
      <c r="FX146">
        <v>15.42</v>
      </c>
      <c r="FZ146">
        <v>16.100000000000001</v>
      </c>
      <c r="GB146">
        <v>17.61</v>
      </c>
      <c r="GD146">
        <v>7.59</v>
      </c>
      <c r="GE146">
        <v>8.83</v>
      </c>
      <c r="GF146">
        <v>19.86</v>
      </c>
      <c r="GH146">
        <v>8.75</v>
      </c>
      <c r="GI146">
        <v>15.13</v>
      </c>
      <c r="GK146">
        <v>15.82</v>
      </c>
      <c r="GM146">
        <v>7.35</v>
      </c>
      <c r="GN146">
        <v>18.2</v>
      </c>
      <c r="GO146">
        <v>8.81</v>
      </c>
      <c r="GQ146">
        <v>17.600000000000001</v>
      </c>
      <c r="GS146">
        <v>7.9</v>
      </c>
      <c r="GT146">
        <v>14.78</v>
      </c>
      <c r="GU146">
        <v>8.0500000000000007</v>
      </c>
      <c r="GV146">
        <v>14.09</v>
      </c>
      <c r="GW146">
        <v>7.74</v>
      </c>
      <c r="GX146">
        <v>14.95</v>
      </c>
      <c r="GY146">
        <v>7.8</v>
      </c>
      <c r="GZ146">
        <v>8.1999999999999993</v>
      </c>
      <c r="HB146">
        <v>17.34</v>
      </c>
      <c r="HD146">
        <v>8.18</v>
      </c>
      <c r="HF146">
        <v>22.91</v>
      </c>
      <c r="HH146">
        <v>18.399999999999999</v>
      </c>
      <c r="HK146">
        <v>22.48</v>
      </c>
      <c r="HL146">
        <v>8.4600000000000009</v>
      </c>
      <c r="HN146">
        <v>7.88</v>
      </c>
      <c r="HO146">
        <v>7.15</v>
      </c>
      <c r="HP146">
        <v>8.75</v>
      </c>
      <c r="HR146">
        <v>17.57</v>
      </c>
      <c r="HS146">
        <v>26.8</v>
      </c>
      <c r="HU146">
        <v>15.51</v>
      </c>
      <c r="HW146">
        <v>13.8</v>
      </c>
      <c r="HX146">
        <v>7.97</v>
      </c>
      <c r="HY146">
        <v>9.14</v>
      </c>
      <c r="HZ146">
        <v>8.06</v>
      </c>
      <c r="IA146">
        <v>14.98</v>
      </c>
      <c r="IB146">
        <v>7.05</v>
      </c>
      <c r="ID146">
        <v>17.61</v>
      </c>
      <c r="IE146">
        <v>8.2899999999999991</v>
      </c>
      <c r="IF146">
        <v>15.53</v>
      </c>
      <c r="IH146">
        <v>9.65</v>
      </c>
      <c r="IJ146">
        <v>7.35</v>
      </c>
      <c r="IK146">
        <v>7.05</v>
      </c>
      <c r="IL146">
        <v>17.28</v>
      </c>
      <c r="IM146">
        <v>13.43</v>
      </c>
      <c r="IO146">
        <v>19.350000000000001</v>
      </c>
      <c r="IP146">
        <v>8.27</v>
      </c>
      <c r="IQ146">
        <v>9.19</v>
      </c>
      <c r="IS146">
        <v>7.45</v>
      </c>
      <c r="IT146">
        <v>17.399999999999999</v>
      </c>
      <c r="IU146">
        <v>15.33</v>
      </c>
      <c r="IV146">
        <v>9.76</v>
      </c>
      <c r="IW146">
        <v>7.3</v>
      </c>
      <c r="IX146">
        <v>7.95</v>
      </c>
      <c r="IZ146">
        <v>14.94</v>
      </c>
      <c r="JC146">
        <v>8.39</v>
      </c>
      <c r="JD146">
        <v>27.12</v>
      </c>
      <c r="JE146">
        <v>8.1999999999999993</v>
      </c>
      <c r="JG146">
        <v>6.95</v>
      </c>
      <c r="JH146">
        <v>27.21</v>
      </c>
      <c r="JI146">
        <v>8.7899999999999991</v>
      </c>
      <c r="JJ146">
        <v>9.49</v>
      </c>
      <c r="JM146">
        <v>25.47</v>
      </c>
      <c r="JN146">
        <v>19.12</v>
      </c>
      <c r="JO146">
        <v>6.35</v>
      </c>
      <c r="JP146">
        <v>9.2799999999999994</v>
      </c>
      <c r="JQ146">
        <v>6.53</v>
      </c>
      <c r="JR146">
        <v>7.87</v>
      </c>
      <c r="JS146">
        <v>14.92</v>
      </c>
      <c r="JT146">
        <v>14.54</v>
      </c>
      <c r="JV146">
        <v>14.12</v>
      </c>
      <c r="JX146">
        <v>6.74</v>
      </c>
      <c r="JZ146">
        <v>23.22</v>
      </c>
      <c r="KA146">
        <v>17.89</v>
      </c>
      <c r="KD146">
        <v>8.98</v>
      </c>
      <c r="KE146">
        <v>6.15</v>
      </c>
      <c r="KF146">
        <v>15.31</v>
      </c>
      <c r="KG146">
        <v>7.77</v>
      </c>
      <c r="KH146">
        <v>7.09</v>
      </c>
      <c r="KI146">
        <v>8.73</v>
      </c>
      <c r="KJ146">
        <v>16.760000000000002</v>
      </c>
      <c r="KL146">
        <v>10.14</v>
      </c>
      <c r="KO146">
        <v>17.48</v>
      </c>
      <c r="KR146">
        <v>27.88</v>
      </c>
      <c r="KS146">
        <v>8.06</v>
      </c>
      <c r="KU146">
        <v>8.6300000000000008</v>
      </c>
      <c r="KV146">
        <v>15.17</v>
      </c>
      <c r="KW146">
        <v>12.24</v>
      </c>
      <c r="KX146">
        <v>15.48</v>
      </c>
      <c r="LA146">
        <v>16.010000000000002</v>
      </c>
      <c r="LB146">
        <v>9.1300000000000008</v>
      </c>
      <c r="LC146">
        <v>17.079999999999998</v>
      </c>
      <c r="LD146">
        <v>8.15</v>
      </c>
      <c r="LE146">
        <v>6.24</v>
      </c>
      <c r="LG146">
        <v>15.43</v>
      </c>
    </row>
    <row r="147" spans="1:319">
      <c r="A147" s="20" t="s">
        <v>212</v>
      </c>
      <c r="B147">
        <v>1959.65</v>
      </c>
      <c r="C147">
        <v>37.685576923076923</v>
      </c>
      <c r="D147" s="20" t="s">
        <v>873</v>
      </c>
      <c r="E147" s="20" t="s">
        <v>874</v>
      </c>
      <c r="F147">
        <v>13.54</v>
      </c>
      <c r="H147">
        <v>5.63</v>
      </c>
      <c r="I147">
        <v>5.99</v>
      </c>
      <c r="J147">
        <v>12.82</v>
      </c>
      <c r="K147">
        <v>4.47</v>
      </c>
      <c r="M147">
        <v>14.16</v>
      </c>
      <c r="P147">
        <v>17.170000000000002</v>
      </c>
      <c r="Q147">
        <v>9.35</v>
      </c>
      <c r="R147">
        <v>11.13</v>
      </c>
      <c r="T147">
        <v>5.2</v>
      </c>
      <c r="U147">
        <v>7.15</v>
      </c>
      <c r="W147">
        <v>13.79</v>
      </c>
      <c r="X147">
        <v>7.57</v>
      </c>
      <c r="Y147">
        <v>11.47</v>
      </c>
      <c r="Z147">
        <v>7.18</v>
      </c>
      <c r="AB147">
        <v>4.87</v>
      </c>
      <c r="AC147">
        <v>8.0500000000000007</v>
      </c>
      <c r="AE147">
        <v>15.52</v>
      </c>
      <c r="AH147">
        <v>13.47</v>
      </c>
      <c r="AI147">
        <v>10.83</v>
      </c>
      <c r="AK147">
        <v>9.19</v>
      </c>
      <c r="AL147">
        <v>6.52</v>
      </c>
      <c r="AN147">
        <v>11.97</v>
      </c>
      <c r="AO147">
        <v>11.38</v>
      </c>
      <c r="AS147">
        <v>13.41</v>
      </c>
      <c r="AT147">
        <v>8.0399999999999991</v>
      </c>
      <c r="AU147">
        <v>11.99</v>
      </c>
      <c r="AV147">
        <v>10.63</v>
      </c>
      <c r="AW147">
        <v>3.93</v>
      </c>
      <c r="AX147">
        <v>7.34</v>
      </c>
      <c r="AY147">
        <v>8.19</v>
      </c>
      <c r="BA147">
        <v>11.98</v>
      </c>
      <c r="BB147">
        <v>12.17</v>
      </c>
      <c r="BD147">
        <v>7.46</v>
      </c>
      <c r="BF147">
        <v>7.69</v>
      </c>
      <c r="BG147">
        <v>7.48</v>
      </c>
      <c r="BH147">
        <v>13.49</v>
      </c>
      <c r="BI147">
        <v>6.65</v>
      </c>
      <c r="BJ147">
        <v>6.43</v>
      </c>
      <c r="BK147">
        <v>13.69</v>
      </c>
      <c r="BM147">
        <v>13.01</v>
      </c>
      <c r="BO147">
        <v>6.15</v>
      </c>
      <c r="BR147">
        <v>6.78</v>
      </c>
      <c r="BS147">
        <v>14.97</v>
      </c>
      <c r="BT147">
        <v>6.03</v>
      </c>
      <c r="BV147">
        <v>12.28</v>
      </c>
      <c r="BW147">
        <v>7.09</v>
      </c>
      <c r="BX147">
        <v>7.09</v>
      </c>
      <c r="CC147">
        <v>9.9</v>
      </c>
      <c r="CD147">
        <v>6.68</v>
      </c>
      <c r="CE147">
        <v>6.86</v>
      </c>
      <c r="CG147">
        <v>7.78</v>
      </c>
      <c r="CI147">
        <v>7.85</v>
      </c>
      <c r="CJ147">
        <v>6.79</v>
      </c>
      <c r="CK147">
        <v>11.76</v>
      </c>
      <c r="CL147">
        <v>11.05</v>
      </c>
      <c r="CM147">
        <v>4.97</v>
      </c>
      <c r="CO147">
        <v>14.28</v>
      </c>
      <c r="CP147">
        <v>5.85</v>
      </c>
      <c r="CQ147">
        <v>6.05</v>
      </c>
      <c r="CR147">
        <v>6.91</v>
      </c>
      <c r="CT147">
        <v>5.0599999999999996</v>
      </c>
      <c r="CU147">
        <v>11.69</v>
      </c>
      <c r="CV147">
        <v>5.46</v>
      </c>
      <c r="CX147">
        <v>6.58</v>
      </c>
      <c r="DA147">
        <v>11.47</v>
      </c>
      <c r="DB147">
        <v>7.31</v>
      </c>
      <c r="DC147">
        <v>7.37</v>
      </c>
      <c r="DD147">
        <v>12.28</v>
      </c>
      <c r="DF147">
        <v>10.83</v>
      </c>
      <c r="DJ147">
        <v>16.09</v>
      </c>
      <c r="DK147">
        <v>4.91</v>
      </c>
      <c r="DL147">
        <v>8.86</v>
      </c>
      <c r="DM147">
        <v>11.47</v>
      </c>
      <c r="DP147">
        <v>13.56</v>
      </c>
      <c r="DS147">
        <v>13.5</v>
      </c>
      <c r="DT147">
        <v>7.25</v>
      </c>
      <c r="DV147">
        <v>12.83</v>
      </c>
      <c r="DX147">
        <v>5.45</v>
      </c>
      <c r="DY147">
        <v>5.76</v>
      </c>
      <c r="DZ147">
        <v>5.69</v>
      </c>
      <c r="EA147">
        <v>11.34</v>
      </c>
      <c r="EC147">
        <v>10.91</v>
      </c>
      <c r="ED147">
        <v>6.1</v>
      </c>
      <c r="EE147">
        <v>11.2</v>
      </c>
      <c r="EI147">
        <v>21.26</v>
      </c>
      <c r="EL147">
        <v>11.39</v>
      </c>
      <c r="EN147">
        <v>14.22</v>
      </c>
      <c r="EO147">
        <v>6.61</v>
      </c>
      <c r="EP147">
        <v>4.34</v>
      </c>
      <c r="EQ147">
        <v>13.57</v>
      </c>
      <c r="ER147">
        <v>7.53</v>
      </c>
      <c r="ES147">
        <v>5.98</v>
      </c>
      <c r="ET147">
        <v>4.95</v>
      </c>
      <c r="EU147">
        <v>5.67</v>
      </c>
      <c r="EV147">
        <v>13.03</v>
      </c>
      <c r="EW147">
        <v>6.88</v>
      </c>
      <c r="EY147">
        <v>14.47</v>
      </c>
      <c r="FB147">
        <v>5.76</v>
      </c>
      <c r="FC147">
        <v>6.25</v>
      </c>
      <c r="FD147">
        <v>6.89</v>
      </c>
      <c r="FE147">
        <v>7.21</v>
      </c>
      <c r="FF147">
        <v>6.27</v>
      </c>
      <c r="FG147">
        <v>26.47</v>
      </c>
      <c r="FH147">
        <v>6.87</v>
      </c>
      <c r="FI147">
        <v>8.4499999999999993</v>
      </c>
      <c r="FK147">
        <v>13.39</v>
      </c>
      <c r="FM147">
        <v>5.13</v>
      </c>
      <c r="FN147">
        <v>5.74</v>
      </c>
      <c r="FO147">
        <v>12.53</v>
      </c>
      <c r="FP147">
        <v>5.99</v>
      </c>
      <c r="FR147">
        <v>7.78</v>
      </c>
      <c r="FS147">
        <v>10.75</v>
      </c>
      <c r="FU147">
        <v>12.06</v>
      </c>
      <c r="FX147">
        <v>13.27</v>
      </c>
      <c r="FY147">
        <v>8.57</v>
      </c>
      <c r="FZ147">
        <v>8.23</v>
      </c>
      <c r="GA147">
        <v>8.02</v>
      </c>
      <c r="GC147">
        <v>13.28</v>
      </c>
      <c r="GD147">
        <v>5.01</v>
      </c>
      <c r="GE147">
        <v>5.94</v>
      </c>
      <c r="GG147">
        <v>7.85</v>
      </c>
      <c r="GH147">
        <v>12.73</v>
      </c>
      <c r="GJ147">
        <v>12.43</v>
      </c>
      <c r="GL147">
        <v>12.49</v>
      </c>
      <c r="GN147">
        <v>6.62</v>
      </c>
      <c r="GO147">
        <v>13.47</v>
      </c>
      <c r="GQ147">
        <v>8.9600000000000009</v>
      </c>
      <c r="GR147">
        <v>5.99</v>
      </c>
      <c r="GS147">
        <v>6.29</v>
      </c>
      <c r="GU147">
        <v>13.57</v>
      </c>
      <c r="GV147">
        <v>6.5</v>
      </c>
      <c r="GW147">
        <v>5.22</v>
      </c>
      <c r="GX147">
        <v>9.7100000000000009</v>
      </c>
      <c r="GZ147">
        <v>6.13</v>
      </c>
      <c r="HA147">
        <v>6.82</v>
      </c>
      <c r="HB147">
        <v>4.59</v>
      </c>
      <c r="HC147">
        <v>12.44</v>
      </c>
      <c r="HE147">
        <v>15</v>
      </c>
      <c r="HF147">
        <v>7.26</v>
      </c>
      <c r="HJ147">
        <v>32.04</v>
      </c>
      <c r="HM147">
        <v>12.57</v>
      </c>
      <c r="HO147">
        <v>11.96</v>
      </c>
      <c r="HP147">
        <v>5.4</v>
      </c>
      <c r="HR147">
        <v>6.2</v>
      </c>
      <c r="HT147">
        <v>21.96</v>
      </c>
      <c r="HU147">
        <v>4.09</v>
      </c>
      <c r="HX147">
        <v>12.46</v>
      </c>
      <c r="HY147">
        <v>13.95</v>
      </c>
      <c r="IA147">
        <v>6.45</v>
      </c>
      <c r="IB147">
        <v>5.23</v>
      </c>
      <c r="IE147">
        <v>7</v>
      </c>
      <c r="IF147">
        <v>4.8600000000000003</v>
      </c>
      <c r="IG147">
        <v>14.54</v>
      </c>
      <c r="IH147">
        <v>5.52</v>
      </c>
      <c r="IJ147">
        <v>5.6</v>
      </c>
      <c r="IK147">
        <v>6.58</v>
      </c>
      <c r="IL147">
        <v>11.91</v>
      </c>
      <c r="IM147">
        <v>8.31</v>
      </c>
      <c r="IN147">
        <v>7.64</v>
      </c>
      <c r="IP147">
        <v>10.77</v>
      </c>
      <c r="IQ147">
        <v>9.8800000000000008</v>
      </c>
      <c r="IS147">
        <v>11.66</v>
      </c>
      <c r="IT147">
        <v>4.92</v>
      </c>
      <c r="IV147">
        <v>5.32</v>
      </c>
      <c r="IW147">
        <v>14.61</v>
      </c>
      <c r="IY147">
        <v>8.1199999999999992</v>
      </c>
      <c r="IZ147">
        <v>6.1</v>
      </c>
      <c r="JB147">
        <v>13.71</v>
      </c>
      <c r="JC147">
        <v>9.9700000000000006</v>
      </c>
      <c r="JE147">
        <v>11.69</v>
      </c>
      <c r="JH147">
        <v>14.61</v>
      </c>
      <c r="JM147">
        <v>25.11</v>
      </c>
      <c r="JN147">
        <v>6.1</v>
      </c>
      <c r="JO147">
        <v>15.39</v>
      </c>
      <c r="JP147">
        <v>7.14</v>
      </c>
      <c r="JQ147">
        <v>7.62</v>
      </c>
      <c r="JR147">
        <v>15.64</v>
      </c>
      <c r="JU147">
        <v>13.55</v>
      </c>
      <c r="JW147">
        <v>13.69</v>
      </c>
      <c r="JX147">
        <v>7.1</v>
      </c>
      <c r="JY147">
        <v>13.18</v>
      </c>
      <c r="KB147">
        <v>5.87</v>
      </c>
      <c r="KC147">
        <v>5.38</v>
      </c>
      <c r="KE147">
        <v>16.87</v>
      </c>
      <c r="KG147">
        <v>3.46</v>
      </c>
      <c r="KH147">
        <v>6.76</v>
      </c>
      <c r="KI147">
        <v>11.04</v>
      </c>
      <c r="KJ147">
        <v>10.66</v>
      </c>
      <c r="KM147">
        <v>21.07</v>
      </c>
      <c r="KO147">
        <v>6.61</v>
      </c>
      <c r="KQ147">
        <v>10.97</v>
      </c>
      <c r="KS147">
        <v>10.51</v>
      </c>
      <c r="KU147">
        <v>9.93</v>
      </c>
      <c r="KW147">
        <v>9.86</v>
      </c>
      <c r="KY147">
        <v>6.96</v>
      </c>
      <c r="KZ147">
        <v>11.24</v>
      </c>
      <c r="LA147">
        <v>7.03</v>
      </c>
      <c r="LB147">
        <v>11.22</v>
      </c>
      <c r="LC147">
        <v>7.14</v>
      </c>
      <c r="LD147">
        <v>6.63</v>
      </c>
      <c r="LE147">
        <v>12.92</v>
      </c>
      <c r="LG147">
        <v>11.45</v>
      </c>
    </row>
    <row r="148" spans="1:319">
      <c r="A148" s="20" t="s">
        <v>271</v>
      </c>
      <c r="B148">
        <v>1334.5000000000007</v>
      </c>
      <c r="C148">
        <v>25.663461538461551</v>
      </c>
      <c r="D148" s="20" t="s">
        <v>873</v>
      </c>
      <c r="E148" s="20" t="s">
        <v>874</v>
      </c>
      <c r="F148">
        <v>8.41</v>
      </c>
      <c r="H148">
        <v>5.61</v>
      </c>
      <c r="I148">
        <v>8.92</v>
      </c>
      <c r="M148">
        <v>10.11</v>
      </c>
      <c r="N148">
        <v>8.4499999999999993</v>
      </c>
      <c r="Q148">
        <v>8.56</v>
      </c>
      <c r="S148">
        <v>17.920000000000002</v>
      </c>
      <c r="W148">
        <v>17.77</v>
      </c>
      <c r="Y148">
        <v>7.53</v>
      </c>
      <c r="AA148">
        <v>14.9</v>
      </c>
      <c r="AF148">
        <v>8.35</v>
      </c>
      <c r="AG148">
        <v>10.46</v>
      </c>
      <c r="AJ148">
        <v>8.17</v>
      </c>
      <c r="AK148">
        <v>8.66</v>
      </c>
      <c r="AN148">
        <v>9.2200000000000006</v>
      </c>
      <c r="AP148">
        <v>8.8000000000000007</v>
      </c>
      <c r="AQ148">
        <v>8.1</v>
      </c>
      <c r="AS148">
        <v>9.2100000000000009</v>
      </c>
      <c r="AX148">
        <v>18.04</v>
      </c>
      <c r="BA148">
        <v>9.06</v>
      </c>
      <c r="BB148">
        <v>8.41</v>
      </c>
      <c r="BD148">
        <v>8.75</v>
      </c>
      <c r="BF148">
        <v>8.8000000000000007</v>
      </c>
      <c r="BH148">
        <v>6.68</v>
      </c>
      <c r="BJ148">
        <v>8.5</v>
      </c>
      <c r="BN148">
        <v>25.71</v>
      </c>
      <c r="BR148">
        <v>8.06</v>
      </c>
      <c r="BS148">
        <v>8.9499999999999993</v>
      </c>
      <c r="BT148">
        <v>8.67</v>
      </c>
      <c r="BV148">
        <v>10.029999999999999</v>
      </c>
      <c r="BY148">
        <v>7.64</v>
      </c>
      <c r="CB148">
        <v>8.4</v>
      </c>
      <c r="CC148">
        <v>6.32</v>
      </c>
      <c r="CE148">
        <v>7.28</v>
      </c>
      <c r="CG148">
        <v>4.17</v>
      </c>
      <c r="CI148">
        <v>7.73</v>
      </c>
      <c r="CJ148">
        <v>7.41</v>
      </c>
      <c r="CN148">
        <v>14.79</v>
      </c>
      <c r="CQ148">
        <v>6.66</v>
      </c>
      <c r="CR148">
        <v>11.47</v>
      </c>
      <c r="CT148">
        <v>6.91</v>
      </c>
      <c r="CV148">
        <v>6.03</v>
      </c>
      <c r="CX148">
        <v>7.27</v>
      </c>
      <c r="CY148">
        <v>16.63</v>
      </c>
      <c r="DB148">
        <v>8.6300000000000008</v>
      </c>
      <c r="DC148">
        <v>8.09</v>
      </c>
      <c r="DE148">
        <v>6.82</v>
      </c>
      <c r="DK148">
        <v>16.260000000000002</v>
      </c>
      <c r="DN148">
        <v>6.73</v>
      </c>
      <c r="DS148">
        <v>23.29</v>
      </c>
      <c r="DV148">
        <v>6.86</v>
      </c>
      <c r="DW148">
        <v>8.08</v>
      </c>
      <c r="DY148">
        <v>5.62</v>
      </c>
      <c r="DZ148">
        <v>7.24</v>
      </c>
      <c r="EB148">
        <v>5.1100000000000003</v>
      </c>
      <c r="EF148">
        <v>16.52</v>
      </c>
      <c r="EI148">
        <v>7.65</v>
      </c>
      <c r="EJ148">
        <v>5.0199999999999996</v>
      </c>
      <c r="EO148">
        <v>8.25</v>
      </c>
      <c r="EP148">
        <v>8.32</v>
      </c>
      <c r="ER148">
        <v>15.61</v>
      </c>
      <c r="ET148">
        <v>5.98</v>
      </c>
      <c r="EU148">
        <v>6.31</v>
      </c>
      <c r="EV148">
        <v>6.42</v>
      </c>
      <c r="EW148">
        <v>5.28</v>
      </c>
      <c r="EX148">
        <v>6.37</v>
      </c>
      <c r="EZ148">
        <v>4.6399999999999997</v>
      </c>
      <c r="FC148">
        <v>7.34</v>
      </c>
      <c r="FD148">
        <v>14.22</v>
      </c>
      <c r="FH148">
        <v>16.87</v>
      </c>
      <c r="FJ148">
        <v>6.14</v>
      </c>
      <c r="FL148">
        <v>7.58</v>
      </c>
      <c r="FN148">
        <v>8.6199999999999992</v>
      </c>
      <c r="FQ148">
        <v>17.21</v>
      </c>
      <c r="FT148">
        <v>7.12</v>
      </c>
      <c r="FU148">
        <v>8.31</v>
      </c>
      <c r="FV148">
        <v>5.07</v>
      </c>
      <c r="FY148">
        <v>10.28</v>
      </c>
      <c r="FZ148">
        <v>5.84</v>
      </c>
      <c r="GA148">
        <v>8.73</v>
      </c>
      <c r="GD148">
        <v>7.1</v>
      </c>
      <c r="GG148">
        <v>20.329999999999998</v>
      </c>
      <c r="GI148">
        <v>10.3</v>
      </c>
      <c r="GK148">
        <v>8.9499999999999993</v>
      </c>
      <c r="GO148">
        <v>15.54</v>
      </c>
      <c r="GP148">
        <v>7.83</v>
      </c>
      <c r="GT148">
        <v>15.38</v>
      </c>
      <c r="GU148">
        <v>8.32</v>
      </c>
      <c r="GZ148">
        <v>8.7899999999999991</v>
      </c>
      <c r="HD148">
        <v>7.46</v>
      </c>
      <c r="HF148">
        <v>7.59</v>
      </c>
      <c r="HH148">
        <v>7.75</v>
      </c>
      <c r="HI148">
        <v>8.2899999999999991</v>
      </c>
      <c r="HM148">
        <v>14.26</v>
      </c>
      <c r="HN148">
        <v>8.1300000000000008</v>
      </c>
      <c r="HS148">
        <v>18.36</v>
      </c>
      <c r="HU148">
        <v>17.66</v>
      </c>
      <c r="HX148">
        <v>9.86</v>
      </c>
      <c r="HY148">
        <v>13.72</v>
      </c>
      <c r="ID148">
        <v>10.26</v>
      </c>
      <c r="IE148">
        <v>7.11</v>
      </c>
      <c r="IJ148">
        <v>18.87</v>
      </c>
      <c r="IL148">
        <v>7.78</v>
      </c>
      <c r="IN148">
        <v>8.0399999999999991</v>
      </c>
      <c r="IO148">
        <v>5.44</v>
      </c>
      <c r="IQ148">
        <v>9.93</v>
      </c>
      <c r="IU148">
        <v>9.27</v>
      </c>
      <c r="IX148">
        <v>19.579999999999998</v>
      </c>
      <c r="IZ148">
        <v>15.18</v>
      </c>
      <c r="JD148">
        <v>13.75</v>
      </c>
      <c r="JF148">
        <v>6.82</v>
      </c>
      <c r="JI148">
        <v>9.4499999999999993</v>
      </c>
      <c r="JJ148">
        <v>8.5</v>
      </c>
      <c r="JM148">
        <v>16.7</v>
      </c>
      <c r="JQ148">
        <v>9.6</v>
      </c>
      <c r="JR148">
        <v>8.84</v>
      </c>
      <c r="JS148">
        <v>14.68</v>
      </c>
      <c r="JW148">
        <v>8.85</v>
      </c>
      <c r="KA148">
        <v>17.760000000000002</v>
      </c>
      <c r="KC148">
        <v>7.95</v>
      </c>
      <c r="KE148">
        <v>9.52</v>
      </c>
      <c r="KF148">
        <v>8.01</v>
      </c>
      <c r="KH148">
        <v>6.9</v>
      </c>
      <c r="KL148">
        <v>17.93</v>
      </c>
      <c r="KO148">
        <v>9.1999999999999993</v>
      </c>
      <c r="KQ148">
        <v>17.239999999999998</v>
      </c>
      <c r="KT148">
        <v>8.3800000000000008</v>
      </c>
      <c r="KV148">
        <v>5.63</v>
      </c>
      <c r="KX148">
        <v>8.9499999999999993</v>
      </c>
      <c r="KZ148">
        <v>7.03</v>
      </c>
      <c r="LA148">
        <v>8.2200000000000006</v>
      </c>
      <c r="LC148">
        <v>8.68</v>
      </c>
      <c r="LE148">
        <v>18.88</v>
      </c>
    </row>
    <row r="149" spans="1:319">
      <c r="A149" s="20" t="s">
        <v>338</v>
      </c>
      <c r="B149">
        <v>481.06999999999994</v>
      </c>
      <c r="C149">
        <v>9.2513461538461534</v>
      </c>
      <c r="D149" s="20" t="s">
        <v>873</v>
      </c>
      <c r="E149" s="20" t="s">
        <v>876</v>
      </c>
      <c r="W149">
        <v>7.75</v>
      </c>
      <c r="AE149">
        <v>9.92</v>
      </c>
      <c r="AL149">
        <v>10.65</v>
      </c>
      <c r="AR149">
        <v>10.08</v>
      </c>
      <c r="AW149">
        <v>8.16</v>
      </c>
      <c r="BB149">
        <v>8.8699999999999992</v>
      </c>
      <c r="BH149">
        <v>9.17</v>
      </c>
      <c r="BN149">
        <v>10.44</v>
      </c>
      <c r="BV149">
        <v>9.75</v>
      </c>
      <c r="CB149">
        <v>7.85</v>
      </c>
      <c r="CI149">
        <v>7.31</v>
      </c>
      <c r="CM149">
        <v>5.73</v>
      </c>
      <c r="CR149">
        <v>7.76</v>
      </c>
      <c r="CV149">
        <v>6.26</v>
      </c>
      <c r="CX149">
        <v>7.03</v>
      </c>
      <c r="CZ149">
        <v>7.76</v>
      </c>
      <c r="DJ149">
        <v>8.89</v>
      </c>
      <c r="DQ149">
        <v>7.56</v>
      </c>
      <c r="DV149">
        <v>8.51</v>
      </c>
      <c r="EB149">
        <v>5.81</v>
      </c>
      <c r="EF149">
        <v>8.27</v>
      </c>
      <c r="EL149">
        <v>8.82</v>
      </c>
      <c r="EP149">
        <v>8.31</v>
      </c>
      <c r="EY149">
        <v>8.2200000000000006</v>
      </c>
      <c r="FB149">
        <v>9.1199999999999992</v>
      </c>
      <c r="FF149">
        <v>9.0299999999999994</v>
      </c>
      <c r="FJ149">
        <v>9.5399999999999991</v>
      </c>
      <c r="FN149">
        <v>9.4</v>
      </c>
      <c r="FR149">
        <v>7.15</v>
      </c>
      <c r="FW149">
        <v>8.64</v>
      </c>
      <c r="GC149">
        <v>10.18</v>
      </c>
      <c r="GH149">
        <v>9.4600000000000009</v>
      </c>
      <c r="GM149">
        <v>8.8000000000000007</v>
      </c>
      <c r="GT149">
        <v>9.73</v>
      </c>
      <c r="HA149">
        <v>9.83</v>
      </c>
      <c r="HD149">
        <v>9.82</v>
      </c>
      <c r="HJ149">
        <v>6.91</v>
      </c>
      <c r="HO149">
        <v>9.6999999999999993</v>
      </c>
      <c r="HU149">
        <v>11.12</v>
      </c>
      <c r="HW149">
        <v>9.7100000000000009</v>
      </c>
      <c r="IG149">
        <v>10.57</v>
      </c>
      <c r="IL149">
        <v>10.32</v>
      </c>
      <c r="IR149">
        <v>9.44</v>
      </c>
      <c r="IV149">
        <v>10.78</v>
      </c>
      <c r="JE149">
        <v>10.83</v>
      </c>
      <c r="JI149">
        <v>8.8000000000000007</v>
      </c>
      <c r="JO149">
        <v>6.92</v>
      </c>
      <c r="JS149">
        <v>8.1300000000000008</v>
      </c>
      <c r="KE149">
        <v>11.04</v>
      </c>
      <c r="KK149">
        <v>10.96</v>
      </c>
      <c r="KQ149">
        <v>11.33</v>
      </c>
      <c r="KT149">
        <v>5.95</v>
      </c>
      <c r="KY149">
        <v>9.18</v>
      </c>
      <c r="LC149">
        <v>9.8000000000000007</v>
      </c>
    </row>
    <row r="150" spans="1:319">
      <c r="A150" s="20" t="s">
        <v>211</v>
      </c>
      <c r="B150">
        <v>1887.4500000000007</v>
      </c>
      <c r="C150">
        <v>36.297115384615395</v>
      </c>
      <c r="D150" s="20" t="s">
        <v>873</v>
      </c>
      <c r="E150" s="20" t="s">
        <v>877</v>
      </c>
      <c r="G150">
        <v>17.2</v>
      </c>
      <c r="I150">
        <v>4.68</v>
      </c>
      <c r="J150">
        <v>5.08</v>
      </c>
      <c r="K150">
        <v>11.49</v>
      </c>
      <c r="N150">
        <v>20.54</v>
      </c>
      <c r="Q150">
        <v>20.54</v>
      </c>
      <c r="T150">
        <v>19.309999999999999</v>
      </c>
      <c r="W150">
        <v>15.38</v>
      </c>
      <c r="X150">
        <v>19.43</v>
      </c>
      <c r="AA150">
        <v>15.08</v>
      </c>
      <c r="AB150">
        <v>9.32</v>
      </c>
      <c r="AE150">
        <v>14.8</v>
      </c>
      <c r="AG150">
        <v>14.6</v>
      </c>
      <c r="AI150">
        <v>12.52</v>
      </c>
      <c r="AL150">
        <v>20.57</v>
      </c>
      <c r="AM150">
        <v>13.09</v>
      </c>
      <c r="AO150">
        <v>9.84</v>
      </c>
      <c r="AQ150">
        <v>12.99</v>
      </c>
      <c r="AS150">
        <v>5.82</v>
      </c>
      <c r="AT150">
        <v>10.38</v>
      </c>
      <c r="AW150">
        <v>14.64</v>
      </c>
      <c r="AY150">
        <v>7.71</v>
      </c>
      <c r="AZ150">
        <v>12.94</v>
      </c>
      <c r="BB150">
        <v>17.29</v>
      </c>
      <c r="BD150">
        <v>6.59</v>
      </c>
      <c r="BF150">
        <v>18.12</v>
      </c>
      <c r="BI150">
        <v>15.74</v>
      </c>
      <c r="BJ150">
        <v>7.45</v>
      </c>
      <c r="BL150">
        <v>16.09</v>
      </c>
      <c r="BO150">
        <v>12.36</v>
      </c>
      <c r="BP150">
        <v>9.67</v>
      </c>
      <c r="BR150">
        <v>6.75</v>
      </c>
      <c r="BV150">
        <v>23.32</v>
      </c>
      <c r="BW150">
        <v>16.11</v>
      </c>
      <c r="CB150">
        <v>13.54</v>
      </c>
      <c r="CC150">
        <v>10.02</v>
      </c>
      <c r="CD150">
        <v>6.29</v>
      </c>
      <c r="CF150">
        <v>10.64</v>
      </c>
      <c r="CG150">
        <v>12.47</v>
      </c>
      <c r="CH150">
        <v>19.829999999999998</v>
      </c>
      <c r="CK150">
        <v>16.73</v>
      </c>
      <c r="CM150">
        <v>5.46</v>
      </c>
      <c r="CN150">
        <v>10.18</v>
      </c>
      <c r="CO150">
        <v>4.66</v>
      </c>
      <c r="CP150">
        <v>12.42</v>
      </c>
      <c r="CR150">
        <v>11.02</v>
      </c>
      <c r="CT150">
        <v>5.55</v>
      </c>
      <c r="CU150">
        <v>4.8600000000000003</v>
      </c>
      <c r="CV150">
        <v>7.48</v>
      </c>
      <c r="CW150">
        <v>6.67</v>
      </c>
      <c r="CX150">
        <v>12.69</v>
      </c>
      <c r="CZ150">
        <v>12.85</v>
      </c>
      <c r="DB150">
        <v>11.59</v>
      </c>
      <c r="DD150">
        <v>6.66</v>
      </c>
      <c r="DF150">
        <v>17.54</v>
      </c>
      <c r="DH150">
        <v>9.66</v>
      </c>
      <c r="DL150">
        <v>17.14</v>
      </c>
      <c r="DP150">
        <v>28.37</v>
      </c>
      <c r="DT150">
        <v>5.87</v>
      </c>
      <c r="DU150">
        <v>23.65</v>
      </c>
      <c r="DX150">
        <v>12.14</v>
      </c>
      <c r="DZ150">
        <v>14.27</v>
      </c>
      <c r="EC150">
        <v>9.99</v>
      </c>
      <c r="EE150">
        <v>15.51</v>
      </c>
      <c r="EF150">
        <v>7.71</v>
      </c>
      <c r="EI150">
        <v>10.42</v>
      </c>
      <c r="EK150">
        <v>12.21</v>
      </c>
      <c r="EL150">
        <v>6.82</v>
      </c>
      <c r="EM150">
        <v>7.8</v>
      </c>
      <c r="EO150">
        <v>7.05</v>
      </c>
      <c r="EP150">
        <v>5.61</v>
      </c>
      <c r="EQ150">
        <v>10.51</v>
      </c>
      <c r="ES150">
        <v>10.44</v>
      </c>
      <c r="EV150">
        <v>4.2300000000000004</v>
      </c>
      <c r="EW150">
        <v>13.26</v>
      </c>
      <c r="EY150">
        <v>16.87</v>
      </c>
      <c r="FA150">
        <v>4.8</v>
      </c>
      <c r="FB150">
        <v>7.35</v>
      </c>
      <c r="FC150">
        <v>20.38</v>
      </c>
      <c r="FE150">
        <v>14.47</v>
      </c>
      <c r="FF150">
        <v>11.99</v>
      </c>
      <c r="FH150">
        <v>8.7200000000000006</v>
      </c>
      <c r="FI150">
        <v>17.55</v>
      </c>
      <c r="FL150">
        <v>20.170000000000002</v>
      </c>
      <c r="FN150">
        <v>9.14</v>
      </c>
      <c r="FP150">
        <v>7.38</v>
      </c>
      <c r="FR150">
        <v>14.12</v>
      </c>
      <c r="FS150">
        <v>12.66</v>
      </c>
      <c r="FV150">
        <v>10.86</v>
      </c>
      <c r="FW150">
        <v>12.49</v>
      </c>
      <c r="FY150">
        <v>13.19</v>
      </c>
      <c r="GA150">
        <v>15.34</v>
      </c>
      <c r="GC150">
        <v>15.95</v>
      </c>
      <c r="GE150">
        <v>7.79</v>
      </c>
      <c r="GG150">
        <v>7.24</v>
      </c>
      <c r="GH150">
        <v>11.8</v>
      </c>
      <c r="GK150">
        <v>6.18</v>
      </c>
      <c r="GM150">
        <v>29.82</v>
      </c>
      <c r="GP150">
        <v>10.71</v>
      </c>
      <c r="GQ150">
        <v>10.51</v>
      </c>
      <c r="GS150">
        <v>10.94</v>
      </c>
      <c r="GU150">
        <v>16.399999999999999</v>
      </c>
      <c r="GW150">
        <v>11.41</v>
      </c>
      <c r="GY150">
        <v>5.66</v>
      </c>
      <c r="GZ150">
        <v>13.51</v>
      </c>
      <c r="HC150">
        <v>13.41</v>
      </c>
      <c r="HD150">
        <v>13.38</v>
      </c>
      <c r="HF150">
        <v>5.0199999999999996</v>
      </c>
      <c r="HG150">
        <v>5.35</v>
      </c>
      <c r="HH150">
        <v>7.07</v>
      </c>
      <c r="HK150">
        <v>13.71</v>
      </c>
      <c r="HM150">
        <v>17.989999999999998</v>
      </c>
      <c r="HP150">
        <v>14.49</v>
      </c>
      <c r="HQ150">
        <v>11.23</v>
      </c>
      <c r="HU150">
        <v>16.5</v>
      </c>
      <c r="HX150">
        <v>11.87</v>
      </c>
      <c r="IA150">
        <v>14.06</v>
      </c>
      <c r="IB150">
        <v>13.14</v>
      </c>
      <c r="IE150">
        <v>14.1</v>
      </c>
      <c r="II150">
        <v>27.93</v>
      </c>
      <c r="IQ150">
        <v>31.7</v>
      </c>
      <c r="IR150">
        <v>7.46</v>
      </c>
      <c r="IV150">
        <v>19.03</v>
      </c>
      <c r="IW150">
        <v>10.38</v>
      </c>
      <c r="IZ150">
        <v>16.53</v>
      </c>
      <c r="JD150">
        <v>25.15</v>
      </c>
      <c r="JF150">
        <v>8.2799999999999994</v>
      </c>
      <c r="JJ150">
        <v>7.94</v>
      </c>
      <c r="JL150">
        <v>6.95</v>
      </c>
      <c r="JN150">
        <v>23.26</v>
      </c>
      <c r="JO150">
        <v>8.19</v>
      </c>
      <c r="JR150">
        <v>14.18</v>
      </c>
      <c r="JW150">
        <v>31.95</v>
      </c>
      <c r="JY150">
        <v>8.7899999999999991</v>
      </c>
      <c r="JZ150">
        <v>7.82</v>
      </c>
      <c r="KA150">
        <v>7.61</v>
      </c>
      <c r="KF150">
        <v>19.670000000000002</v>
      </c>
      <c r="KG150">
        <v>2.5499999999999998</v>
      </c>
      <c r="KI150">
        <v>6.98</v>
      </c>
      <c r="KL150">
        <v>7.29</v>
      </c>
      <c r="KM150">
        <v>20.79</v>
      </c>
      <c r="KO150">
        <v>11.01</v>
      </c>
      <c r="KR150">
        <v>25.44</v>
      </c>
      <c r="KV150">
        <v>16.64</v>
      </c>
      <c r="KW150">
        <v>11.71</v>
      </c>
      <c r="LA150">
        <v>16.079999999999998</v>
      </c>
      <c r="LD150">
        <v>13.07</v>
      </c>
      <c r="LF150">
        <v>8.68</v>
      </c>
      <c r="LG150">
        <v>8.42</v>
      </c>
    </row>
    <row r="151" spans="1:319">
      <c r="A151" s="20" t="s">
        <v>300</v>
      </c>
      <c r="B151">
        <v>458.04</v>
      </c>
      <c r="C151">
        <v>8.8084615384615397</v>
      </c>
      <c r="D151" s="20" t="s">
        <v>873</v>
      </c>
      <c r="E151" s="20" t="s">
        <v>878</v>
      </c>
      <c r="K151">
        <v>7.1</v>
      </c>
      <c r="Q151">
        <v>6.39</v>
      </c>
      <c r="W151">
        <v>8.11</v>
      </c>
      <c r="AC151">
        <v>8.01</v>
      </c>
      <c r="AI151">
        <v>13.38</v>
      </c>
      <c r="AO151">
        <v>7.38</v>
      </c>
      <c r="AU151">
        <v>11.81</v>
      </c>
      <c r="BA151">
        <v>7.61</v>
      </c>
      <c r="BG151">
        <v>7.04</v>
      </c>
      <c r="BM151">
        <v>13.46</v>
      </c>
      <c r="BS151">
        <v>7.63</v>
      </c>
      <c r="BY151">
        <v>7.43</v>
      </c>
      <c r="CL151">
        <v>13.91</v>
      </c>
      <c r="CR151">
        <v>6.69</v>
      </c>
      <c r="CX151">
        <v>6.53</v>
      </c>
      <c r="DD151">
        <v>6.72</v>
      </c>
      <c r="DJ151">
        <v>12.17</v>
      </c>
      <c r="DQ151">
        <v>6.44</v>
      </c>
      <c r="DW151">
        <v>13.27</v>
      </c>
      <c r="EC151">
        <v>7.41</v>
      </c>
      <c r="EI151">
        <v>11.56</v>
      </c>
      <c r="EO151">
        <v>7.84</v>
      </c>
      <c r="EU151">
        <v>6.49</v>
      </c>
      <c r="FA151">
        <v>6.89</v>
      </c>
      <c r="FG151">
        <v>7.21</v>
      </c>
      <c r="FM151">
        <v>12.32</v>
      </c>
      <c r="FS151">
        <v>5.75</v>
      </c>
      <c r="GE151">
        <v>8.8699999999999992</v>
      </c>
      <c r="GK151">
        <v>6.27</v>
      </c>
      <c r="GQ151">
        <v>11.21</v>
      </c>
      <c r="GW151">
        <v>7.62</v>
      </c>
      <c r="GX151">
        <v>12.5</v>
      </c>
      <c r="HC151">
        <v>6.32</v>
      </c>
      <c r="HI151">
        <v>9.51</v>
      </c>
      <c r="HO151">
        <v>10.91</v>
      </c>
      <c r="HU151">
        <v>8.34</v>
      </c>
      <c r="IA151">
        <v>6.13</v>
      </c>
      <c r="IG151">
        <v>6.84</v>
      </c>
      <c r="IM151">
        <v>8.27</v>
      </c>
      <c r="IS151">
        <v>8.2799999999999994</v>
      </c>
      <c r="IY151">
        <v>8.5399999999999991</v>
      </c>
      <c r="JE151">
        <v>12.51</v>
      </c>
      <c r="JK151">
        <v>6.73</v>
      </c>
      <c r="JQ151">
        <v>7.6</v>
      </c>
      <c r="JW151">
        <v>13.72</v>
      </c>
      <c r="KC151">
        <v>12.81</v>
      </c>
      <c r="KI151">
        <v>5.99</v>
      </c>
      <c r="KO151">
        <v>8.26</v>
      </c>
      <c r="KS151">
        <v>3.46</v>
      </c>
      <c r="KU151">
        <v>7.39</v>
      </c>
      <c r="LA151">
        <v>11.1</v>
      </c>
      <c r="LG151">
        <v>12.31</v>
      </c>
    </row>
    <row r="152" spans="1:319">
      <c r="A152" s="20" t="s">
        <v>879</v>
      </c>
      <c r="B152">
        <v>187.96</v>
      </c>
      <c r="C152">
        <v>3.6146153846153846</v>
      </c>
      <c r="D152" s="20" t="s">
        <v>873</v>
      </c>
      <c r="E152" s="20" t="s">
        <v>878</v>
      </c>
      <c r="F152">
        <v>7</v>
      </c>
      <c r="H152">
        <v>4.05</v>
      </c>
      <c r="K152">
        <v>7.44</v>
      </c>
      <c r="M152">
        <v>5.26</v>
      </c>
      <c r="P152">
        <v>7.75</v>
      </c>
      <c r="S152">
        <v>12.49</v>
      </c>
      <c r="V152">
        <v>3.02</v>
      </c>
      <c r="Y152">
        <v>19.850000000000001</v>
      </c>
      <c r="AA152">
        <v>10.58</v>
      </c>
      <c r="AE152">
        <v>5.25</v>
      </c>
      <c r="AF152">
        <v>4.6399999999999997</v>
      </c>
      <c r="BB152">
        <v>4.0999999999999996</v>
      </c>
      <c r="BH152">
        <v>0.65</v>
      </c>
      <c r="BJ152">
        <v>3.95</v>
      </c>
      <c r="BP152">
        <v>12.04</v>
      </c>
      <c r="BW152">
        <v>4.78</v>
      </c>
      <c r="CD152">
        <v>4.5999999999999996</v>
      </c>
      <c r="CH152">
        <v>4.79</v>
      </c>
      <c r="CJ152">
        <v>5.65</v>
      </c>
      <c r="CU152">
        <v>2.97</v>
      </c>
      <c r="CV152">
        <v>5.04</v>
      </c>
      <c r="DA152">
        <v>5.53</v>
      </c>
      <c r="DT152">
        <v>5.51</v>
      </c>
      <c r="DY152">
        <v>6.2</v>
      </c>
      <c r="EB152">
        <v>5.19</v>
      </c>
      <c r="GH152">
        <v>6.82</v>
      </c>
      <c r="GQ152">
        <v>3.82</v>
      </c>
      <c r="HH152">
        <v>4.04</v>
      </c>
      <c r="HK152">
        <v>8.7799999999999994</v>
      </c>
      <c r="JF152">
        <v>0.74</v>
      </c>
      <c r="JQ152">
        <v>3.13</v>
      </c>
      <c r="KB152">
        <v>2.2999999999999998</v>
      </c>
    </row>
    <row r="153" spans="1:319">
      <c r="A153" s="20" t="s">
        <v>880</v>
      </c>
      <c r="B153">
        <v>920.05000000000018</v>
      </c>
      <c r="C153">
        <v>17.693269230769236</v>
      </c>
      <c r="D153" s="20" t="s">
        <v>873</v>
      </c>
      <c r="E153" s="20" t="s">
        <v>878</v>
      </c>
      <c r="I153">
        <v>7.23</v>
      </c>
      <c r="N153">
        <v>7.02</v>
      </c>
      <c r="S153">
        <v>7.96</v>
      </c>
      <c r="V153">
        <v>6.58</v>
      </c>
      <c r="Y153">
        <v>5.77</v>
      </c>
      <c r="AC153">
        <v>5.25</v>
      </c>
      <c r="AE153">
        <v>6.07</v>
      </c>
      <c r="AG153">
        <v>7.76</v>
      </c>
      <c r="AI153">
        <v>4.42</v>
      </c>
      <c r="AJ153">
        <v>5.35</v>
      </c>
      <c r="AL153">
        <v>6.68</v>
      </c>
      <c r="AN153">
        <v>5.31</v>
      </c>
      <c r="AO153">
        <v>6.19</v>
      </c>
      <c r="AQ153">
        <v>4.8899999999999997</v>
      </c>
      <c r="AS153">
        <v>8.36</v>
      </c>
      <c r="AU153">
        <v>6.55</v>
      </c>
      <c r="AV153">
        <v>6.36</v>
      </c>
      <c r="AY153">
        <v>6.61</v>
      </c>
      <c r="AZ153">
        <v>7.19</v>
      </c>
      <c r="BB153">
        <v>7.55</v>
      </c>
      <c r="BD153">
        <v>6.96</v>
      </c>
      <c r="BF153">
        <v>6.7</v>
      </c>
      <c r="BI153">
        <v>10.199999999999999</v>
      </c>
      <c r="BP153">
        <v>7.24</v>
      </c>
      <c r="BR153">
        <v>7.41</v>
      </c>
      <c r="BT153">
        <v>5.48</v>
      </c>
      <c r="BX153">
        <v>6.58</v>
      </c>
      <c r="CC153">
        <v>5</v>
      </c>
      <c r="CD153">
        <v>5.99</v>
      </c>
      <c r="CH153">
        <v>6.73</v>
      </c>
      <c r="CI153">
        <v>9.01</v>
      </c>
      <c r="CN153">
        <v>4.72</v>
      </c>
      <c r="CP153">
        <v>7.89</v>
      </c>
      <c r="CR153">
        <v>7.31</v>
      </c>
      <c r="CU153">
        <v>6.69</v>
      </c>
      <c r="CW153">
        <v>5.6</v>
      </c>
      <c r="CX153">
        <v>6.74</v>
      </c>
      <c r="CZ153">
        <v>14.25</v>
      </c>
      <c r="DC153">
        <v>7.56</v>
      </c>
      <c r="DE153">
        <v>6.32</v>
      </c>
      <c r="DK153">
        <v>6.69</v>
      </c>
      <c r="DL153">
        <v>5.15</v>
      </c>
      <c r="DN153">
        <v>5.79</v>
      </c>
      <c r="DR153">
        <v>7.65</v>
      </c>
      <c r="DT153">
        <v>6.96</v>
      </c>
      <c r="DV153">
        <v>7.23</v>
      </c>
      <c r="DZ153">
        <v>6.86</v>
      </c>
      <c r="ED153">
        <v>6.79</v>
      </c>
      <c r="EF153">
        <v>5.62</v>
      </c>
      <c r="EI153">
        <v>6.53</v>
      </c>
      <c r="EJ153">
        <v>4.7699999999999996</v>
      </c>
      <c r="EK153">
        <v>6.81</v>
      </c>
      <c r="EO153">
        <v>11.32</v>
      </c>
      <c r="EP153">
        <v>6.25</v>
      </c>
      <c r="ER153">
        <v>6.72</v>
      </c>
      <c r="ET153">
        <v>6.75</v>
      </c>
      <c r="EV153">
        <v>7.55</v>
      </c>
      <c r="EX153">
        <v>7.55</v>
      </c>
      <c r="FA153">
        <v>6.5</v>
      </c>
      <c r="FB153">
        <v>5.9</v>
      </c>
      <c r="FE153">
        <v>7.8</v>
      </c>
      <c r="FF153">
        <v>7.2</v>
      </c>
      <c r="FI153">
        <v>5.69</v>
      </c>
      <c r="FJ153">
        <v>6.5</v>
      </c>
      <c r="FL153">
        <v>6.63</v>
      </c>
      <c r="FN153">
        <v>6.01</v>
      </c>
      <c r="FO153">
        <v>5.97</v>
      </c>
      <c r="FQ153">
        <v>6.6</v>
      </c>
      <c r="FS153">
        <v>8.11</v>
      </c>
      <c r="FU153">
        <v>5.43</v>
      </c>
      <c r="FW153">
        <v>8.23</v>
      </c>
      <c r="FY153">
        <v>6.83</v>
      </c>
      <c r="GA153">
        <v>7.54</v>
      </c>
      <c r="GC153">
        <v>7.89</v>
      </c>
      <c r="GD153">
        <v>7.4</v>
      </c>
      <c r="GH153">
        <v>3.96</v>
      </c>
      <c r="GK153">
        <v>6.65</v>
      </c>
      <c r="GM153">
        <v>5.12</v>
      </c>
      <c r="GN153">
        <v>6.21</v>
      </c>
      <c r="GS153">
        <v>15.32</v>
      </c>
      <c r="GV153">
        <v>6.76</v>
      </c>
      <c r="GW153">
        <v>5.29</v>
      </c>
      <c r="GY153">
        <v>6.76</v>
      </c>
      <c r="HA153">
        <v>7.99</v>
      </c>
      <c r="HC153">
        <v>5.74</v>
      </c>
      <c r="HE153">
        <v>8.26</v>
      </c>
      <c r="HF153">
        <v>5.78</v>
      </c>
      <c r="HK153">
        <v>4.1500000000000004</v>
      </c>
      <c r="HL153">
        <v>7.36</v>
      </c>
      <c r="HO153">
        <v>5.2</v>
      </c>
      <c r="HP153">
        <v>7.62</v>
      </c>
      <c r="HR153">
        <v>5.34</v>
      </c>
      <c r="HU153">
        <v>6.73</v>
      </c>
      <c r="HY153">
        <v>14.65</v>
      </c>
      <c r="IB153">
        <v>6.29</v>
      </c>
      <c r="IG153">
        <v>7.2</v>
      </c>
      <c r="II153">
        <v>7.65</v>
      </c>
      <c r="IK153">
        <v>6.11</v>
      </c>
      <c r="IN153">
        <v>8.69</v>
      </c>
      <c r="IO153">
        <v>7.43</v>
      </c>
      <c r="IQ153">
        <v>6.58</v>
      </c>
      <c r="IS153">
        <v>7.89</v>
      </c>
      <c r="IU153">
        <v>7.57</v>
      </c>
      <c r="IW153">
        <v>7.07</v>
      </c>
      <c r="IY153">
        <v>6.76</v>
      </c>
      <c r="IZ153">
        <v>7.83</v>
      </c>
      <c r="JB153">
        <v>7.25</v>
      </c>
      <c r="JE153">
        <v>6.85</v>
      </c>
      <c r="JF153">
        <v>6.52</v>
      </c>
      <c r="JJ153">
        <v>7.81</v>
      </c>
      <c r="JL153">
        <v>4.91</v>
      </c>
      <c r="JN153">
        <v>7.01</v>
      </c>
      <c r="JP153">
        <v>9.11</v>
      </c>
      <c r="JQ153">
        <v>6.06</v>
      </c>
      <c r="JS153">
        <v>4.1399999999999997</v>
      </c>
      <c r="JT153">
        <v>7.25</v>
      </c>
      <c r="JW153">
        <v>8.0299999999999994</v>
      </c>
      <c r="JZ153">
        <v>5.59</v>
      </c>
      <c r="KA153">
        <v>9.34</v>
      </c>
      <c r="KB153">
        <v>5.28</v>
      </c>
      <c r="KE153">
        <v>7.33</v>
      </c>
      <c r="KG153">
        <v>6.55</v>
      </c>
      <c r="KI153">
        <v>7.36</v>
      </c>
      <c r="KJ153">
        <v>6.6</v>
      </c>
      <c r="KM153">
        <v>7.15</v>
      </c>
      <c r="KO153">
        <v>6.94</v>
      </c>
      <c r="KP153">
        <v>6.36</v>
      </c>
      <c r="KU153">
        <v>15.25</v>
      </c>
      <c r="KW153">
        <v>7.66</v>
      </c>
      <c r="KY153">
        <v>6.77</v>
      </c>
      <c r="LC153">
        <v>6.37</v>
      </c>
      <c r="LF153">
        <v>5.9</v>
      </c>
    </row>
    <row r="154" spans="1:319">
      <c r="A154" s="20" t="s">
        <v>881</v>
      </c>
      <c r="B154">
        <v>139.58000000000001</v>
      </c>
      <c r="C154">
        <v>2.6842307692307696</v>
      </c>
      <c r="D154" s="20" t="s">
        <v>873</v>
      </c>
      <c r="E154" s="20" t="s">
        <v>878</v>
      </c>
      <c r="I154">
        <v>6.8</v>
      </c>
      <c r="AC154">
        <v>2.58</v>
      </c>
      <c r="AY154">
        <v>10.029999999999999</v>
      </c>
      <c r="BB154">
        <v>11.47</v>
      </c>
      <c r="CJ154">
        <v>10.33</v>
      </c>
      <c r="CP154">
        <v>7.14</v>
      </c>
      <c r="DU154">
        <v>7.99</v>
      </c>
      <c r="EA154">
        <v>7.89</v>
      </c>
      <c r="EG154">
        <v>7.64</v>
      </c>
      <c r="ES154">
        <v>7.22</v>
      </c>
      <c r="FW154">
        <v>8.56</v>
      </c>
      <c r="GC154">
        <v>8</v>
      </c>
      <c r="GL154">
        <v>8.3000000000000007</v>
      </c>
      <c r="HG154">
        <v>9.1300000000000008</v>
      </c>
      <c r="HS154">
        <v>7.29</v>
      </c>
      <c r="IT154">
        <v>10.97</v>
      </c>
      <c r="JI154">
        <v>8.24</v>
      </c>
    </row>
    <row r="155" spans="1:319">
      <c r="A155" s="20" t="s">
        <v>194</v>
      </c>
      <c r="B155">
        <v>653.38999999999976</v>
      </c>
      <c r="C155">
        <v>12.565192307692303</v>
      </c>
      <c r="D155" s="20" t="s">
        <v>873</v>
      </c>
      <c r="E155" s="20" t="s">
        <v>871</v>
      </c>
      <c r="H155">
        <v>7.52</v>
      </c>
      <c r="J155">
        <v>8.1</v>
      </c>
      <c r="N155">
        <v>7.96</v>
      </c>
      <c r="Q155">
        <v>7.76</v>
      </c>
      <c r="T155">
        <v>6.33</v>
      </c>
      <c r="Z155">
        <v>5.82</v>
      </c>
      <c r="AB155">
        <v>6.99</v>
      </c>
      <c r="AE155">
        <v>9.61</v>
      </c>
      <c r="AH155">
        <v>8.59</v>
      </c>
      <c r="AL155">
        <v>10.050000000000001</v>
      </c>
      <c r="AO155">
        <v>8.09</v>
      </c>
      <c r="AR155">
        <v>8.41</v>
      </c>
      <c r="BE155">
        <v>8.5</v>
      </c>
      <c r="BH155">
        <v>8.64</v>
      </c>
      <c r="BK155">
        <v>7.35</v>
      </c>
      <c r="BO155">
        <v>7.7</v>
      </c>
      <c r="BT155">
        <v>7.18</v>
      </c>
      <c r="BX155">
        <v>8.59</v>
      </c>
      <c r="CD155">
        <v>6.77</v>
      </c>
      <c r="CF155">
        <v>5.41</v>
      </c>
      <c r="CI155">
        <v>9.39</v>
      </c>
      <c r="CL155">
        <v>7.43</v>
      </c>
      <c r="CN155">
        <v>3.98</v>
      </c>
      <c r="CP155">
        <v>8.35</v>
      </c>
      <c r="CT155">
        <v>7.71</v>
      </c>
      <c r="CX155">
        <v>7.1</v>
      </c>
      <c r="CZ155">
        <v>7.41</v>
      </c>
      <c r="DC155">
        <v>7.4</v>
      </c>
      <c r="DG155">
        <v>7.28</v>
      </c>
      <c r="DM155">
        <v>8.9</v>
      </c>
      <c r="DN155">
        <v>7.1</v>
      </c>
      <c r="DS155">
        <v>4.09</v>
      </c>
      <c r="DT155">
        <v>7.51</v>
      </c>
      <c r="DW155">
        <v>6.53</v>
      </c>
      <c r="DX155">
        <v>8.67</v>
      </c>
      <c r="EC155">
        <v>7.46</v>
      </c>
      <c r="EI155">
        <v>15.8</v>
      </c>
      <c r="EN155">
        <v>7.3</v>
      </c>
      <c r="EO155">
        <v>7.64</v>
      </c>
      <c r="ES155">
        <v>7.16</v>
      </c>
      <c r="EZ155">
        <v>8.3800000000000008</v>
      </c>
      <c r="FE155">
        <v>14.46</v>
      </c>
      <c r="FI155">
        <v>8.94</v>
      </c>
      <c r="FM155">
        <v>8.11</v>
      </c>
      <c r="FR155">
        <v>8.34</v>
      </c>
      <c r="FV155">
        <v>9.07</v>
      </c>
      <c r="GB155">
        <v>8.2100000000000009</v>
      </c>
      <c r="GD155">
        <v>7.87</v>
      </c>
      <c r="GI155">
        <v>8.19</v>
      </c>
      <c r="GK155">
        <v>8.5500000000000007</v>
      </c>
      <c r="GQ155">
        <v>8.8000000000000007</v>
      </c>
      <c r="GS155">
        <v>9.27</v>
      </c>
      <c r="GZ155">
        <v>10.17</v>
      </c>
      <c r="HB155">
        <v>7.96</v>
      </c>
      <c r="HE155">
        <v>8.5500000000000007</v>
      </c>
      <c r="HI155">
        <v>8.84</v>
      </c>
      <c r="HQ155">
        <v>10.51</v>
      </c>
      <c r="HR155">
        <v>9.51</v>
      </c>
      <c r="IC155">
        <v>9.9</v>
      </c>
      <c r="IG155">
        <v>9.39</v>
      </c>
      <c r="IJ155">
        <v>8.8800000000000008</v>
      </c>
      <c r="IQ155">
        <v>7.9</v>
      </c>
      <c r="IU155">
        <v>8</v>
      </c>
      <c r="IY155">
        <v>7.72</v>
      </c>
      <c r="JE155">
        <v>9.02</v>
      </c>
      <c r="JI155">
        <v>9.31</v>
      </c>
      <c r="JL155">
        <v>7.88</v>
      </c>
      <c r="JO155">
        <v>8.61</v>
      </c>
      <c r="JS155">
        <v>8.69</v>
      </c>
      <c r="JW155">
        <v>9.7799999999999994</v>
      </c>
      <c r="JZ155">
        <v>8.11</v>
      </c>
      <c r="KH155">
        <v>8.83</v>
      </c>
      <c r="KL155">
        <v>8.8000000000000007</v>
      </c>
      <c r="KQ155">
        <v>7.35</v>
      </c>
      <c r="KS155">
        <v>10.28</v>
      </c>
      <c r="KY155">
        <v>8.8000000000000007</v>
      </c>
      <c r="LA155">
        <v>5.0599999999999996</v>
      </c>
      <c r="LF155">
        <v>17.77</v>
      </c>
    </row>
    <row r="156" spans="1:319">
      <c r="A156" s="20" t="s">
        <v>308</v>
      </c>
      <c r="B156">
        <v>195.62999999999997</v>
      </c>
      <c r="C156">
        <v>3.7621153846153841</v>
      </c>
      <c r="D156" s="20" t="s">
        <v>882</v>
      </c>
      <c r="E156" s="20" t="s">
        <v>883</v>
      </c>
      <c r="G156">
        <v>2.79</v>
      </c>
      <c r="M156">
        <v>6.26</v>
      </c>
      <c r="R156">
        <v>2.2799999999999998</v>
      </c>
      <c r="Y156">
        <v>2.79</v>
      </c>
      <c r="AE156">
        <v>8.06</v>
      </c>
      <c r="AP156">
        <v>6.53</v>
      </c>
      <c r="AT156">
        <v>3.45</v>
      </c>
      <c r="BD156">
        <v>8.93</v>
      </c>
      <c r="BF156">
        <v>3.99</v>
      </c>
      <c r="BN156">
        <v>4.58</v>
      </c>
      <c r="CY156">
        <v>4.92</v>
      </c>
      <c r="DE156">
        <v>3.26</v>
      </c>
      <c r="DL156">
        <v>2.2400000000000002</v>
      </c>
      <c r="DS156">
        <v>3.97</v>
      </c>
      <c r="DX156">
        <v>3.69</v>
      </c>
      <c r="ED156">
        <v>5.14</v>
      </c>
      <c r="EJ156">
        <v>4.8</v>
      </c>
      <c r="EP156">
        <v>3.05</v>
      </c>
      <c r="EV156">
        <v>2.82</v>
      </c>
      <c r="FB156">
        <v>5.28</v>
      </c>
      <c r="FH156">
        <v>4.96</v>
      </c>
      <c r="FN156">
        <v>3.89</v>
      </c>
      <c r="FT156">
        <v>4.79</v>
      </c>
      <c r="FZ156">
        <v>3.86</v>
      </c>
      <c r="GF156">
        <v>4.25</v>
      </c>
      <c r="GL156">
        <v>3.65</v>
      </c>
      <c r="GR156">
        <v>2.83</v>
      </c>
      <c r="GX156">
        <v>3.4</v>
      </c>
      <c r="HD156">
        <v>3.25</v>
      </c>
      <c r="HJ156">
        <v>3.25</v>
      </c>
      <c r="HP156">
        <v>4.74</v>
      </c>
      <c r="HW156">
        <v>4.6100000000000003</v>
      </c>
      <c r="IB156">
        <v>4.3499999999999996</v>
      </c>
      <c r="IH156">
        <v>4.7300000000000004</v>
      </c>
      <c r="IN156">
        <v>4.17</v>
      </c>
      <c r="IT156">
        <v>3.6</v>
      </c>
      <c r="IZ156">
        <v>5.0199999999999996</v>
      </c>
      <c r="JF156">
        <v>3.79</v>
      </c>
      <c r="JL156">
        <v>5.03</v>
      </c>
      <c r="JX156">
        <v>3.28</v>
      </c>
      <c r="KD156">
        <v>8.9499999999999993</v>
      </c>
      <c r="KJ156">
        <v>7.7</v>
      </c>
      <c r="KV156">
        <v>8.6999999999999993</v>
      </c>
    </row>
    <row r="157" spans="1:319">
      <c r="A157" s="20" t="s">
        <v>344</v>
      </c>
      <c r="B157">
        <v>689.43000000000006</v>
      </c>
      <c r="C157">
        <v>13.258269230769232</v>
      </c>
      <c r="D157" s="20" t="s">
        <v>882</v>
      </c>
      <c r="E157" s="20" t="s">
        <v>883</v>
      </c>
      <c r="G157">
        <v>9.64</v>
      </c>
      <c r="J157">
        <v>5.98</v>
      </c>
      <c r="M157">
        <v>7.87</v>
      </c>
      <c r="P157">
        <v>5.79</v>
      </c>
      <c r="R157">
        <v>3.8</v>
      </c>
      <c r="S157">
        <v>3.32</v>
      </c>
      <c r="Y157">
        <v>9.64</v>
      </c>
      <c r="AB157">
        <v>5.98</v>
      </c>
      <c r="AE157">
        <v>5.23</v>
      </c>
      <c r="AH157">
        <v>7.51</v>
      </c>
      <c r="AK157">
        <v>6.75</v>
      </c>
      <c r="AN157">
        <v>7.19</v>
      </c>
      <c r="AQ157">
        <v>6.4</v>
      </c>
      <c r="AT157">
        <v>7.19</v>
      </c>
      <c r="AW157">
        <v>4.99</v>
      </c>
      <c r="AZ157">
        <v>7.09</v>
      </c>
      <c r="BD157">
        <v>8.3699999999999992</v>
      </c>
      <c r="BF157">
        <v>7.28</v>
      </c>
      <c r="BI157">
        <v>6.04</v>
      </c>
      <c r="BO157">
        <v>5.95</v>
      </c>
      <c r="BR157">
        <v>7.86</v>
      </c>
      <c r="CB157">
        <v>7.46</v>
      </c>
      <c r="CD157">
        <v>5.17</v>
      </c>
      <c r="CE157">
        <v>4.51</v>
      </c>
      <c r="CH157">
        <v>8.5</v>
      </c>
      <c r="CJ157">
        <v>6.1</v>
      </c>
      <c r="CK157">
        <v>5.0199999999999996</v>
      </c>
      <c r="CN157">
        <v>7.46</v>
      </c>
      <c r="CP157">
        <v>5.17</v>
      </c>
      <c r="CQ157">
        <v>4.51</v>
      </c>
      <c r="CT157">
        <v>6.91</v>
      </c>
      <c r="CU157">
        <v>5.12</v>
      </c>
      <c r="CW157">
        <v>5.51</v>
      </c>
      <c r="CZ157">
        <v>5.48</v>
      </c>
      <c r="DC157">
        <v>8.2100000000000009</v>
      </c>
      <c r="DE157">
        <v>3.5</v>
      </c>
      <c r="DF157">
        <v>3.41</v>
      </c>
      <c r="DJ157">
        <v>5.96</v>
      </c>
      <c r="DL157">
        <v>4.78</v>
      </c>
      <c r="DM157">
        <v>2.35</v>
      </c>
      <c r="DP157">
        <v>3.95</v>
      </c>
      <c r="DS157">
        <v>12.89</v>
      </c>
      <c r="DW157">
        <v>5.36</v>
      </c>
      <c r="DX157">
        <v>3.06</v>
      </c>
      <c r="DY157">
        <v>3.75</v>
      </c>
      <c r="EB157">
        <v>5.09</v>
      </c>
      <c r="ED157">
        <v>4.4000000000000004</v>
      </c>
      <c r="EE157">
        <v>4.1100000000000003</v>
      </c>
      <c r="EI157">
        <v>6.2</v>
      </c>
      <c r="EJ157">
        <v>4.91</v>
      </c>
      <c r="EL157">
        <v>2.04</v>
      </c>
      <c r="EN157">
        <v>4.3899999999999997</v>
      </c>
      <c r="EP157">
        <v>3.86</v>
      </c>
      <c r="EQ157">
        <v>4.76</v>
      </c>
      <c r="ET157">
        <v>5.42</v>
      </c>
      <c r="EV157">
        <v>3.95</v>
      </c>
      <c r="EW157">
        <v>7.74</v>
      </c>
      <c r="EZ157">
        <v>5.39</v>
      </c>
      <c r="FB157">
        <v>3.88</v>
      </c>
      <c r="FC157">
        <v>4.6100000000000003</v>
      </c>
      <c r="FF157">
        <v>5.04</v>
      </c>
      <c r="FI157">
        <v>4.91</v>
      </c>
      <c r="FL157">
        <v>5.55</v>
      </c>
      <c r="FN157">
        <v>3.56</v>
      </c>
      <c r="FO157">
        <v>3.49</v>
      </c>
      <c r="FR157">
        <v>5.84</v>
      </c>
      <c r="FT157">
        <v>3.56</v>
      </c>
      <c r="FU157">
        <v>3.45</v>
      </c>
      <c r="FX157">
        <v>5.58</v>
      </c>
      <c r="FZ157">
        <v>4.32</v>
      </c>
      <c r="GA157">
        <v>3.89</v>
      </c>
      <c r="GD157">
        <v>6.21</v>
      </c>
      <c r="GG157">
        <v>4.59</v>
      </c>
      <c r="GJ157">
        <v>5.3</v>
      </c>
      <c r="GL157">
        <v>3.76</v>
      </c>
      <c r="GM157">
        <v>3.76</v>
      </c>
      <c r="GP157">
        <v>5.42</v>
      </c>
      <c r="GR157">
        <v>4.07</v>
      </c>
      <c r="GS157">
        <v>3.61</v>
      </c>
      <c r="GV157">
        <v>5.85</v>
      </c>
      <c r="GY157">
        <v>7.77</v>
      </c>
      <c r="HB157">
        <v>5.35</v>
      </c>
      <c r="HD157">
        <v>3.37</v>
      </c>
      <c r="HE157">
        <v>3.66</v>
      </c>
      <c r="HH157">
        <v>5.82</v>
      </c>
      <c r="HJ157">
        <v>3.37</v>
      </c>
      <c r="HK157">
        <v>3.66</v>
      </c>
      <c r="HN157">
        <v>5.82</v>
      </c>
      <c r="HP157">
        <v>3.47</v>
      </c>
      <c r="HQ157">
        <v>5.34</v>
      </c>
      <c r="HT157">
        <v>5.78</v>
      </c>
      <c r="HW157">
        <v>8.0500000000000007</v>
      </c>
      <c r="HZ157">
        <v>5.67</v>
      </c>
      <c r="IB157">
        <v>3.68</v>
      </c>
      <c r="IC157">
        <v>4.6100000000000003</v>
      </c>
      <c r="IF157">
        <v>5.3</v>
      </c>
      <c r="II157">
        <v>5.85</v>
      </c>
      <c r="IL157">
        <v>4.92</v>
      </c>
      <c r="IO157">
        <v>7.52</v>
      </c>
      <c r="IR157">
        <v>4.4800000000000004</v>
      </c>
      <c r="IU157">
        <v>8.25</v>
      </c>
      <c r="IX157">
        <v>7.58</v>
      </c>
      <c r="JB157">
        <v>4.3600000000000003</v>
      </c>
      <c r="JD157">
        <v>7.17</v>
      </c>
      <c r="JG157">
        <v>6.77</v>
      </c>
      <c r="JJ157">
        <v>7.68</v>
      </c>
      <c r="JM157">
        <v>6.19</v>
      </c>
      <c r="JP157">
        <v>7.13</v>
      </c>
      <c r="JS157">
        <v>6.15</v>
      </c>
      <c r="JV157">
        <v>7.33</v>
      </c>
      <c r="JY157">
        <v>8.26</v>
      </c>
      <c r="KB157">
        <v>6.84</v>
      </c>
      <c r="KE157">
        <v>7.55</v>
      </c>
      <c r="KH157">
        <v>8.14</v>
      </c>
      <c r="KK157">
        <v>6.72</v>
      </c>
      <c r="KN157">
        <v>5.95</v>
      </c>
      <c r="KQ157">
        <v>4.24</v>
      </c>
      <c r="KT157">
        <v>9.6</v>
      </c>
      <c r="KW157">
        <v>4.6399999999999997</v>
      </c>
      <c r="KZ157">
        <v>6.21</v>
      </c>
      <c r="LC157">
        <v>3.79</v>
      </c>
      <c r="LF157">
        <v>8.8699999999999992</v>
      </c>
    </row>
    <row r="158" spans="1:319">
      <c r="A158" s="20" t="s">
        <v>357</v>
      </c>
      <c r="B158">
        <v>556.00000000000023</v>
      </c>
      <c r="C158">
        <v>10.692307692307697</v>
      </c>
      <c r="D158" s="20" t="s">
        <v>882</v>
      </c>
      <c r="E158" s="20" t="s">
        <v>883</v>
      </c>
      <c r="G158">
        <v>6.4</v>
      </c>
      <c r="I158">
        <v>4.8</v>
      </c>
      <c r="M158">
        <v>5.65</v>
      </c>
      <c r="O158">
        <v>6.75</v>
      </c>
      <c r="R158">
        <v>7.14</v>
      </c>
      <c r="U158">
        <v>4.1500000000000004</v>
      </c>
      <c r="Y158">
        <v>6.4</v>
      </c>
      <c r="AA158">
        <v>4.8</v>
      </c>
      <c r="AE158">
        <v>4.32</v>
      </c>
      <c r="AG158">
        <v>4.57</v>
      </c>
      <c r="AJ158">
        <v>6.12</v>
      </c>
      <c r="AM158">
        <v>5.79</v>
      </c>
      <c r="AP158">
        <v>3.84</v>
      </c>
      <c r="AS158">
        <v>4.28</v>
      </c>
      <c r="AV158">
        <v>4.33</v>
      </c>
      <c r="AY158">
        <v>6.23</v>
      </c>
      <c r="BH158">
        <v>9.7200000000000006</v>
      </c>
      <c r="BK158">
        <v>6.18</v>
      </c>
      <c r="BN158">
        <v>6.37</v>
      </c>
      <c r="BR158">
        <v>7.03</v>
      </c>
      <c r="CA158">
        <v>7.08</v>
      </c>
      <c r="CD158">
        <v>5.49</v>
      </c>
      <c r="CG158">
        <v>8.1</v>
      </c>
      <c r="CJ158">
        <v>6.27</v>
      </c>
      <c r="CM158">
        <v>7.08</v>
      </c>
      <c r="CP158">
        <v>5.49</v>
      </c>
      <c r="CT158">
        <v>6.43</v>
      </c>
      <c r="CV158">
        <v>7.01</v>
      </c>
      <c r="CW158">
        <v>4.13</v>
      </c>
      <c r="CY158">
        <v>6.39</v>
      </c>
      <c r="DB158">
        <v>7.41</v>
      </c>
      <c r="DE158">
        <v>6.17</v>
      </c>
      <c r="DJ158">
        <v>5.31</v>
      </c>
      <c r="DL158">
        <v>6.79</v>
      </c>
      <c r="DO158">
        <v>6.67</v>
      </c>
      <c r="DS158">
        <v>4.08</v>
      </c>
      <c r="DU158">
        <v>4.25</v>
      </c>
      <c r="DX158">
        <v>5.05</v>
      </c>
      <c r="EA158">
        <v>3.72</v>
      </c>
      <c r="ED158">
        <v>3.46</v>
      </c>
      <c r="EG158">
        <v>5.43</v>
      </c>
      <c r="EJ158">
        <v>4.63</v>
      </c>
      <c r="EM158">
        <v>5.97</v>
      </c>
      <c r="EP158">
        <v>5.15</v>
      </c>
      <c r="ES158">
        <v>4.8099999999999996</v>
      </c>
      <c r="EV158">
        <v>4.24</v>
      </c>
      <c r="EY158">
        <v>4.79</v>
      </c>
      <c r="FB158">
        <v>4.04</v>
      </c>
      <c r="FE158">
        <v>5.72</v>
      </c>
      <c r="FK158">
        <v>9.84</v>
      </c>
      <c r="FN158">
        <v>5.32</v>
      </c>
      <c r="FQ158">
        <v>5.42</v>
      </c>
      <c r="FT158">
        <v>4.4400000000000004</v>
      </c>
      <c r="FW158">
        <v>5.58</v>
      </c>
      <c r="FZ158">
        <v>4.67</v>
      </c>
      <c r="GC158">
        <v>5.47</v>
      </c>
      <c r="GF158">
        <v>4.5199999999999996</v>
      </c>
      <c r="GI158">
        <v>6.32</v>
      </c>
      <c r="GL158">
        <v>6.25</v>
      </c>
      <c r="GO158">
        <v>4.68</v>
      </c>
      <c r="GR158">
        <v>5.14</v>
      </c>
      <c r="GU158">
        <v>5.79</v>
      </c>
      <c r="GX158">
        <v>5.48</v>
      </c>
      <c r="HA158">
        <v>6.19</v>
      </c>
      <c r="HD158">
        <v>6.13</v>
      </c>
      <c r="HG158">
        <v>4.0599999999999996</v>
      </c>
      <c r="HJ158">
        <v>6.13</v>
      </c>
      <c r="HM158">
        <v>4.0599999999999996</v>
      </c>
      <c r="HP158">
        <v>4.55</v>
      </c>
      <c r="HS158">
        <v>5.4</v>
      </c>
      <c r="HW158">
        <v>6.64</v>
      </c>
      <c r="HY158">
        <v>4.97</v>
      </c>
      <c r="IB158">
        <v>5.39</v>
      </c>
      <c r="IE158">
        <v>5.8</v>
      </c>
      <c r="IH158">
        <v>5.0199999999999996</v>
      </c>
      <c r="IK158">
        <v>7.01</v>
      </c>
      <c r="IN158">
        <v>8.26</v>
      </c>
      <c r="IQ158">
        <v>5.24</v>
      </c>
      <c r="IT158">
        <v>5.54</v>
      </c>
      <c r="IW158">
        <v>6.96</v>
      </c>
      <c r="IZ158">
        <v>5.21</v>
      </c>
      <c r="JC158">
        <v>5.35</v>
      </c>
      <c r="JF158">
        <v>4.9800000000000004</v>
      </c>
      <c r="JI158">
        <v>4.79</v>
      </c>
      <c r="JL158">
        <v>7.25</v>
      </c>
      <c r="JO158">
        <v>4.12</v>
      </c>
      <c r="JR158">
        <v>4.8099999999999996</v>
      </c>
      <c r="JU158">
        <v>7.72</v>
      </c>
      <c r="JX158">
        <v>5.42</v>
      </c>
      <c r="KA158">
        <v>4.8099999999999996</v>
      </c>
      <c r="KD158">
        <v>4.72</v>
      </c>
      <c r="KG158">
        <v>5.34</v>
      </c>
      <c r="KJ158">
        <v>5.51</v>
      </c>
      <c r="KM158">
        <v>3.3</v>
      </c>
      <c r="KP158">
        <v>4.62</v>
      </c>
      <c r="KS158">
        <v>5.4</v>
      </c>
      <c r="KV158">
        <v>5.32</v>
      </c>
      <c r="KY158">
        <v>4.34</v>
      </c>
      <c r="LC158">
        <v>5.83</v>
      </c>
      <c r="LE158">
        <v>4.8600000000000003</v>
      </c>
    </row>
    <row r="159" spans="1:319">
      <c r="A159" s="20" t="s">
        <v>365</v>
      </c>
      <c r="B159">
        <v>739.08999999999958</v>
      </c>
      <c r="C159">
        <v>14.213269230769223</v>
      </c>
      <c r="D159" s="20" t="s">
        <v>882</v>
      </c>
      <c r="E159" s="20" t="s">
        <v>883</v>
      </c>
      <c r="G159">
        <v>7.01</v>
      </c>
      <c r="H159">
        <v>5.88</v>
      </c>
      <c r="I159">
        <v>5.01</v>
      </c>
      <c r="M159">
        <v>6.71</v>
      </c>
      <c r="N159">
        <v>6.71</v>
      </c>
      <c r="O159">
        <v>3.55</v>
      </c>
      <c r="R159">
        <v>8.18</v>
      </c>
      <c r="T159">
        <v>5.18</v>
      </c>
      <c r="U159">
        <v>2.4500000000000002</v>
      </c>
      <c r="Y159">
        <v>7.01</v>
      </c>
      <c r="Z159">
        <v>5.88</v>
      </c>
      <c r="AA159">
        <v>5.01</v>
      </c>
      <c r="AE159">
        <v>7.79</v>
      </c>
      <c r="AG159">
        <v>6.77</v>
      </c>
      <c r="AJ159">
        <v>6.3</v>
      </c>
      <c r="AM159">
        <v>5.24</v>
      </c>
      <c r="AP159">
        <v>5.67</v>
      </c>
      <c r="AS159">
        <v>11.92</v>
      </c>
      <c r="AV159">
        <v>5.09</v>
      </c>
      <c r="AW159">
        <v>7.64</v>
      </c>
      <c r="AY159">
        <v>5.38</v>
      </c>
      <c r="BB159">
        <v>3.93</v>
      </c>
      <c r="BE159">
        <v>7.5</v>
      </c>
      <c r="BH159">
        <v>8.07</v>
      </c>
      <c r="BJ159">
        <v>7.1</v>
      </c>
      <c r="BK159">
        <v>4.33</v>
      </c>
      <c r="BN159">
        <v>5.57</v>
      </c>
      <c r="BP159">
        <v>6.63</v>
      </c>
      <c r="CA159">
        <v>6.48</v>
      </c>
      <c r="CD159">
        <v>6.79</v>
      </c>
      <c r="CG159">
        <v>6.59</v>
      </c>
      <c r="CJ159">
        <v>5.97</v>
      </c>
      <c r="CK159">
        <v>6.99</v>
      </c>
      <c r="CM159">
        <v>6.48</v>
      </c>
      <c r="CP159">
        <v>6.79</v>
      </c>
      <c r="CV159">
        <v>5.78</v>
      </c>
      <c r="CY159">
        <v>6.64</v>
      </c>
      <c r="DB159">
        <v>6.91</v>
      </c>
      <c r="DE159">
        <v>7.27</v>
      </c>
      <c r="DG159">
        <v>3.99</v>
      </c>
      <c r="DJ159">
        <v>2.8</v>
      </c>
      <c r="DL159">
        <v>6.29</v>
      </c>
      <c r="DN159">
        <v>4.87</v>
      </c>
      <c r="DO159">
        <v>3.7</v>
      </c>
      <c r="DS159">
        <v>5.54</v>
      </c>
      <c r="DT159">
        <v>4.3499999999999996</v>
      </c>
      <c r="DU159">
        <v>4.2699999999999996</v>
      </c>
      <c r="DX159">
        <v>5.71</v>
      </c>
      <c r="DZ159">
        <v>5.22</v>
      </c>
      <c r="EA159">
        <v>3.24</v>
      </c>
      <c r="ED159">
        <v>5.41</v>
      </c>
      <c r="EF159">
        <v>1.95</v>
      </c>
      <c r="EI159">
        <v>4.28</v>
      </c>
      <c r="EJ159">
        <v>6.69</v>
      </c>
      <c r="EM159">
        <v>6.34</v>
      </c>
      <c r="EN159">
        <v>5.73</v>
      </c>
      <c r="EP159">
        <v>5.3</v>
      </c>
      <c r="ER159">
        <v>3.44</v>
      </c>
      <c r="ES159">
        <v>2.0699999999999998</v>
      </c>
      <c r="EV159">
        <v>9.2799999999999994</v>
      </c>
      <c r="EX159">
        <v>4.66</v>
      </c>
      <c r="EZ159">
        <v>4.2699999999999996</v>
      </c>
      <c r="FB159">
        <v>6.51</v>
      </c>
      <c r="FD159">
        <v>4.57</v>
      </c>
      <c r="FE159">
        <v>4.49</v>
      </c>
      <c r="FH159">
        <v>8.18</v>
      </c>
      <c r="FJ159">
        <v>4.2699999999999996</v>
      </c>
      <c r="FK159">
        <v>3.07</v>
      </c>
      <c r="FN159">
        <v>4.07</v>
      </c>
      <c r="FP159">
        <v>4.9000000000000004</v>
      </c>
      <c r="FQ159">
        <v>2.72</v>
      </c>
      <c r="FT159">
        <v>5.94</v>
      </c>
      <c r="FU159">
        <v>4</v>
      </c>
      <c r="FW159">
        <v>3.39</v>
      </c>
      <c r="FZ159">
        <v>4.2699999999999996</v>
      </c>
      <c r="GB159">
        <v>5.23</v>
      </c>
      <c r="GC159">
        <v>5.53</v>
      </c>
      <c r="GF159">
        <v>6.54</v>
      </c>
      <c r="GH159">
        <v>11</v>
      </c>
      <c r="GI159">
        <v>2.99</v>
      </c>
      <c r="GL159">
        <v>4.16</v>
      </c>
      <c r="GN159">
        <v>5.98</v>
      </c>
      <c r="GO159">
        <v>3.45</v>
      </c>
      <c r="GR159">
        <v>7.5</v>
      </c>
      <c r="GT159">
        <v>4.58</v>
      </c>
      <c r="GU159">
        <v>1.88</v>
      </c>
      <c r="GX159">
        <v>6.83</v>
      </c>
      <c r="GZ159">
        <v>4.7699999999999996</v>
      </c>
      <c r="HA159">
        <v>4.1900000000000004</v>
      </c>
      <c r="HD159">
        <v>6.14</v>
      </c>
      <c r="HF159">
        <v>5.71</v>
      </c>
      <c r="HG159">
        <v>2.4900000000000002</v>
      </c>
      <c r="HJ159">
        <v>6.14</v>
      </c>
      <c r="HL159">
        <v>5.71</v>
      </c>
      <c r="HM159">
        <v>2.4900000000000002</v>
      </c>
      <c r="HP159">
        <v>5.08</v>
      </c>
      <c r="HR159">
        <v>5.55</v>
      </c>
      <c r="HS159">
        <v>3.06</v>
      </c>
      <c r="HW159">
        <v>8.09</v>
      </c>
      <c r="HX159">
        <v>4.12</v>
      </c>
      <c r="HY159">
        <v>3.57</v>
      </c>
      <c r="IB159">
        <v>3.38</v>
      </c>
      <c r="ID159">
        <v>5.94</v>
      </c>
      <c r="IF159">
        <v>5.16</v>
      </c>
      <c r="IH159">
        <v>3.82</v>
      </c>
      <c r="IL159">
        <v>4.05</v>
      </c>
      <c r="IN159">
        <v>6.68</v>
      </c>
      <c r="IQ159">
        <v>5.4</v>
      </c>
      <c r="IT159">
        <v>7.91</v>
      </c>
      <c r="IV159">
        <v>5.15</v>
      </c>
      <c r="IX159">
        <v>4.0999999999999996</v>
      </c>
      <c r="IZ159">
        <v>6.64</v>
      </c>
      <c r="JB159">
        <v>4.3</v>
      </c>
      <c r="JD159">
        <v>6.06</v>
      </c>
      <c r="JF159">
        <v>5.53</v>
      </c>
      <c r="JI159">
        <v>7.12</v>
      </c>
      <c r="JL159">
        <v>4.2</v>
      </c>
      <c r="JO159">
        <v>7.76</v>
      </c>
      <c r="JR159">
        <v>6.02</v>
      </c>
      <c r="JU159">
        <v>6.62</v>
      </c>
      <c r="JV159">
        <v>8.43</v>
      </c>
      <c r="JX159">
        <v>4.1500000000000004</v>
      </c>
      <c r="KA159">
        <v>6.13</v>
      </c>
      <c r="KD159">
        <v>5.52</v>
      </c>
      <c r="KE159">
        <v>7.02</v>
      </c>
      <c r="KG159">
        <v>4.59</v>
      </c>
      <c r="KJ159">
        <v>4.2699999999999996</v>
      </c>
      <c r="KM159">
        <v>5.53</v>
      </c>
      <c r="KP159">
        <v>6.74</v>
      </c>
      <c r="KS159">
        <v>5.21</v>
      </c>
      <c r="KV159">
        <v>7</v>
      </c>
      <c r="KY159">
        <v>5.07</v>
      </c>
      <c r="LC159">
        <v>7.55</v>
      </c>
      <c r="LE159">
        <v>7.28</v>
      </c>
    </row>
    <row r="160" spans="1:319">
      <c r="A160" s="20" t="s">
        <v>380</v>
      </c>
      <c r="B160">
        <v>362.25000000000006</v>
      </c>
      <c r="C160">
        <v>6.9663461538461551</v>
      </c>
      <c r="D160" s="20" t="s">
        <v>882</v>
      </c>
      <c r="E160" s="20" t="s">
        <v>883</v>
      </c>
      <c r="G160">
        <v>5.32</v>
      </c>
      <c r="M160">
        <v>4.2699999999999996</v>
      </c>
      <c r="S160">
        <v>6.68</v>
      </c>
      <c r="Y160">
        <v>5.32</v>
      </c>
      <c r="AE160">
        <v>6.96</v>
      </c>
      <c r="AK160">
        <v>7.05</v>
      </c>
      <c r="AQ160">
        <v>5.79</v>
      </c>
      <c r="AW160">
        <v>6.3</v>
      </c>
      <c r="BD160">
        <v>7.46</v>
      </c>
      <c r="BH160">
        <v>4.47</v>
      </c>
      <c r="BO160">
        <v>7.33</v>
      </c>
      <c r="CB160">
        <v>7.26</v>
      </c>
      <c r="CH160">
        <v>7.27</v>
      </c>
      <c r="CN160">
        <v>7.26</v>
      </c>
      <c r="CT160">
        <v>6.04</v>
      </c>
      <c r="CZ160">
        <v>6.5</v>
      </c>
      <c r="DF160">
        <v>4.92</v>
      </c>
      <c r="DM160">
        <v>6.29</v>
      </c>
      <c r="DO160">
        <v>6.86</v>
      </c>
      <c r="DQ160">
        <v>6.24</v>
      </c>
      <c r="DS160">
        <v>5.21</v>
      </c>
      <c r="DY160">
        <v>6.38</v>
      </c>
      <c r="EE160">
        <v>4.76</v>
      </c>
      <c r="EL160">
        <v>6.44</v>
      </c>
      <c r="EQ160">
        <v>6.06</v>
      </c>
      <c r="EW160">
        <v>6.91</v>
      </c>
      <c r="FC160">
        <v>6.23</v>
      </c>
      <c r="FI160">
        <v>6.64</v>
      </c>
      <c r="FO160">
        <v>6.2</v>
      </c>
      <c r="FU160">
        <v>4.74</v>
      </c>
      <c r="GA160">
        <v>6.3</v>
      </c>
      <c r="GG160">
        <v>6.51</v>
      </c>
      <c r="GM160">
        <v>4.95</v>
      </c>
      <c r="GS160">
        <v>8.52</v>
      </c>
      <c r="GY160">
        <v>7.8</v>
      </c>
      <c r="HE160">
        <v>6.42</v>
      </c>
      <c r="HK160">
        <v>6.42</v>
      </c>
      <c r="HQ160">
        <v>5.94</v>
      </c>
      <c r="HW160">
        <v>8.15</v>
      </c>
      <c r="IC160">
        <v>6.31</v>
      </c>
      <c r="II160">
        <v>7.67</v>
      </c>
      <c r="IJ160">
        <v>5.86</v>
      </c>
      <c r="IO160">
        <v>6.27</v>
      </c>
      <c r="IQ160">
        <v>6.84</v>
      </c>
      <c r="IU160">
        <v>8.74</v>
      </c>
      <c r="IW160">
        <v>5.61</v>
      </c>
      <c r="JB160">
        <v>6.55</v>
      </c>
      <c r="JG160">
        <v>4.07</v>
      </c>
      <c r="JM160">
        <v>7.8</v>
      </c>
      <c r="JS160">
        <v>7.57</v>
      </c>
      <c r="JY160">
        <v>8.43</v>
      </c>
      <c r="KE160">
        <v>5.63</v>
      </c>
      <c r="KG160">
        <v>3.35</v>
      </c>
      <c r="KK160">
        <v>5.67</v>
      </c>
      <c r="KQ160">
        <v>7.41</v>
      </c>
      <c r="KW160">
        <v>7</v>
      </c>
      <c r="LE160">
        <v>5.3</v>
      </c>
    </row>
    <row r="161" spans="1:316">
      <c r="A161" s="20" t="s">
        <v>381</v>
      </c>
      <c r="B161">
        <v>295.30999999999989</v>
      </c>
      <c r="C161">
        <v>5.6790384615384593</v>
      </c>
      <c r="D161" s="20" t="s">
        <v>882</v>
      </c>
      <c r="E161" s="20" t="s">
        <v>883</v>
      </c>
      <c r="I161">
        <v>7.31</v>
      </c>
      <c r="O161">
        <v>7.28</v>
      </c>
      <c r="U161">
        <v>8.16</v>
      </c>
      <c r="AA161">
        <v>7.31</v>
      </c>
      <c r="AG161">
        <v>6.57</v>
      </c>
      <c r="AM161">
        <v>6.73</v>
      </c>
      <c r="AS161">
        <v>6.04</v>
      </c>
      <c r="AY161">
        <v>5.43</v>
      </c>
      <c r="BE161">
        <v>6.95</v>
      </c>
      <c r="BK161">
        <v>5.35</v>
      </c>
      <c r="BR161">
        <v>7.22</v>
      </c>
      <c r="CD161">
        <v>6.96</v>
      </c>
      <c r="CJ161">
        <v>7.55</v>
      </c>
      <c r="CP161">
        <v>6.96</v>
      </c>
      <c r="CV161">
        <v>4.6399999999999997</v>
      </c>
      <c r="DB161">
        <v>7.37</v>
      </c>
      <c r="DU161">
        <v>6.21</v>
      </c>
      <c r="EA161">
        <v>6.66</v>
      </c>
      <c r="EG161">
        <v>6.85</v>
      </c>
      <c r="EM161">
        <v>6.28</v>
      </c>
      <c r="ES161">
        <v>5.03</v>
      </c>
      <c r="EY161">
        <v>5.85</v>
      </c>
      <c r="FE161">
        <v>8.07</v>
      </c>
      <c r="FK161">
        <v>5.0599999999999996</v>
      </c>
      <c r="FQ161">
        <v>7.4</v>
      </c>
      <c r="FW161">
        <v>8.11</v>
      </c>
      <c r="GC161">
        <v>7.27</v>
      </c>
      <c r="GI161">
        <v>6.95</v>
      </c>
      <c r="GO161">
        <v>5.69</v>
      </c>
      <c r="GU161">
        <v>6.25</v>
      </c>
      <c r="HA161">
        <v>4.04</v>
      </c>
      <c r="HG161">
        <v>6.81</v>
      </c>
      <c r="HM161">
        <v>6.81</v>
      </c>
      <c r="HS161">
        <v>6.49</v>
      </c>
      <c r="HY161">
        <v>4.76</v>
      </c>
      <c r="IE161">
        <v>6.9</v>
      </c>
      <c r="IK161">
        <v>4.37</v>
      </c>
      <c r="JC161">
        <v>5.74</v>
      </c>
      <c r="JI161">
        <v>7.46</v>
      </c>
      <c r="JO161">
        <v>6.21</v>
      </c>
      <c r="JU161">
        <v>5.66</v>
      </c>
      <c r="KA161">
        <v>3.83</v>
      </c>
      <c r="KM161">
        <v>6.21</v>
      </c>
      <c r="KS161">
        <v>6.59</v>
      </c>
      <c r="KY161">
        <v>5.14</v>
      </c>
      <c r="LC161">
        <v>8.7799999999999994</v>
      </c>
    </row>
    <row r="162" spans="1:316">
      <c r="A162" s="20" t="s">
        <v>232</v>
      </c>
      <c r="B162">
        <v>445.15999999999997</v>
      </c>
      <c r="C162">
        <v>8.56076923076923</v>
      </c>
      <c r="D162" s="20" t="s">
        <v>882</v>
      </c>
      <c r="E162" s="20" t="s">
        <v>884</v>
      </c>
      <c r="G162">
        <v>5.4</v>
      </c>
      <c r="J162">
        <v>4.33</v>
      </c>
      <c r="M162">
        <v>4.8099999999999996</v>
      </c>
      <c r="P162">
        <v>4.0999999999999996</v>
      </c>
      <c r="S162">
        <v>5.21</v>
      </c>
      <c r="Y162">
        <v>5.4</v>
      </c>
      <c r="AB162">
        <v>4.33</v>
      </c>
      <c r="AE162">
        <v>8.31</v>
      </c>
      <c r="AK162">
        <v>5.32</v>
      </c>
      <c r="AN162">
        <v>6.99</v>
      </c>
      <c r="AQ162">
        <v>4.47</v>
      </c>
      <c r="AX162">
        <v>7.44</v>
      </c>
      <c r="BD162">
        <v>7.09</v>
      </c>
      <c r="BI162">
        <v>7.94</v>
      </c>
      <c r="BO162">
        <v>6.53</v>
      </c>
      <c r="BR162">
        <v>7.26</v>
      </c>
      <c r="CB162">
        <v>5.13</v>
      </c>
      <c r="CE162">
        <v>4.2699999999999996</v>
      </c>
      <c r="CH162">
        <v>7.56</v>
      </c>
      <c r="CK162">
        <v>5.17</v>
      </c>
      <c r="CN162">
        <v>5.13</v>
      </c>
      <c r="CQ162">
        <v>4.2699999999999996</v>
      </c>
      <c r="CT162">
        <v>4.03</v>
      </c>
      <c r="CW162">
        <v>5.81</v>
      </c>
      <c r="CZ162">
        <v>5.56</v>
      </c>
      <c r="DC162">
        <v>4.68</v>
      </c>
      <c r="DF162">
        <v>5.08</v>
      </c>
      <c r="DM162">
        <v>3.4</v>
      </c>
      <c r="DP162">
        <v>4.72</v>
      </c>
      <c r="DQ162">
        <v>5.0599999999999996</v>
      </c>
      <c r="DS162">
        <v>4.58</v>
      </c>
      <c r="DW162">
        <v>3.58</v>
      </c>
      <c r="DY162">
        <v>4.93</v>
      </c>
      <c r="EB162">
        <v>4.2</v>
      </c>
      <c r="EE162">
        <v>5.45</v>
      </c>
      <c r="EI162">
        <v>3.5</v>
      </c>
      <c r="EL162">
        <v>5.09</v>
      </c>
      <c r="EN162">
        <v>3.43</v>
      </c>
      <c r="EQ162">
        <v>5.66</v>
      </c>
      <c r="ET162">
        <v>4.03</v>
      </c>
      <c r="EW162">
        <v>5.07</v>
      </c>
      <c r="EZ162">
        <v>3.5</v>
      </c>
      <c r="FC162">
        <v>5.79</v>
      </c>
      <c r="FF162">
        <v>3.5</v>
      </c>
      <c r="FI162">
        <v>5.39</v>
      </c>
      <c r="FS162">
        <v>7.62</v>
      </c>
      <c r="FV162">
        <v>6.38</v>
      </c>
      <c r="FX162">
        <v>2.75</v>
      </c>
      <c r="GA162">
        <v>5.29</v>
      </c>
      <c r="GD162">
        <v>3.44</v>
      </c>
      <c r="GG162">
        <v>5.49</v>
      </c>
      <c r="GJ162">
        <v>4.0999999999999996</v>
      </c>
      <c r="GM162">
        <v>4.8899999999999997</v>
      </c>
      <c r="GP162">
        <v>3.25</v>
      </c>
      <c r="GS162">
        <v>5.12</v>
      </c>
      <c r="GV162">
        <v>3.89</v>
      </c>
      <c r="GY162">
        <v>4.8899999999999997</v>
      </c>
      <c r="HB162">
        <v>3.64</v>
      </c>
      <c r="HE162">
        <v>4.26</v>
      </c>
      <c r="HH162">
        <v>3.87</v>
      </c>
      <c r="HK162">
        <v>4.26</v>
      </c>
      <c r="HN162">
        <v>3.87</v>
      </c>
      <c r="HQ162">
        <v>6.07</v>
      </c>
      <c r="HT162">
        <v>2.48</v>
      </c>
      <c r="HW162">
        <v>4.47</v>
      </c>
      <c r="HZ162">
        <v>4.43</v>
      </c>
      <c r="IC162">
        <v>5.47</v>
      </c>
      <c r="IF162">
        <v>3.98</v>
      </c>
      <c r="II162">
        <v>4.3099999999999996</v>
      </c>
      <c r="IO162">
        <v>5.33</v>
      </c>
      <c r="IR162">
        <v>3.56</v>
      </c>
      <c r="IU162">
        <v>5.25</v>
      </c>
      <c r="IX162">
        <v>3.27</v>
      </c>
      <c r="JB162">
        <v>6.34</v>
      </c>
      <c r="JD162">
        <v>2.56</v>
      </c>
      <c r="JG162">
        <v>5.49</v>
      </c>
      <c r="JJ162">
        <v>5.59</v>
      </c>
      <c r="JM162">
        <v>5.68</v>
      </c>
      <c r="JS162">
        <v>6.63</v>
      </c>
      <c r="JY162">
        <v>5.21</v>
      </c>
      <c r="KB162">
        <v>3.9</v>
      </c>
      <c r="KE162">
        <v>7.85</v>
      </c>
      <c r="KK162">
        <v>8.2799999999999994</v>
      </c>
      <c r="KN162">
        <v>6.67</v>
      </c>
      <c r="KQ162">
        <v>8.4600000000000009</v>
      </c>
      <c r="KW162">
        <v>7.39</v>
      </c>
      <c r="LD162">
        <v>6.98</v>
      </c>
    </row>
    <row r="163" spans="1:316">
      <c r="A163" s="20" t="s">
        <v>255</v>
      </c>
      <c r="B163">
        <v>437.50999999999982</v>
      </c>
      <c r="C163">
        <v>8.4136538461538422</v>
      </c>
      <c r="D163" s="20" t="s">
        <v>882</v>
      </c>
      <c r="E163" s="20" t="s">
        <v>884</v>
      </c>
      <c r="G163">
        <v>5.28</v>
      </c>
      <c r="J163">
        <v>4.13</v>
      </c>
      <c r="M163">
        <v>4.3899999999999997</v>
      </c>
      <c r="P163">
        <v>3.46</v>
      </c>
      <c r="S163">
        <v>4.66</v>
      </c>
      <c r="Y163">
        <v>5.28</v>
      </c>
      <c r="AB163">
        <v>4.13</v>
      </c>
      <c r="AE163">
        <v>8.19</v>
      </c>
      <c r="AK163">
        <v>8.66</v>
      </c>
      <c r="AQ163">
        <v>7.5</v>
      </c>
      <c r="AW163">
        <v>7.7</v>
      </c>
      <c r="BD163">
        <v>9.58</v>
      </c>
      <c r="BI163">
        <v>7.99</v>
      </c>
      <c r="BO163">
        <v>9.16</v>
      </c>
      <c r="CB163">
        <v>8.6</v>
      </c>
      <c r="CH163">
        <v>7.98</v>
      </c>
      <c r="CN163">
        <v>8.6</v>
      </c>
      <c r="CT163">
        <v>8.1999999999999993</v>
      </c>
      <c r="CZ163">
        <v>9.43</v>
      </c>
      <c r="DF163">
        <v>4.25</v>
      </c>
      <c r="DM163">
        <v>2.2599999999999998</v>
      </c>
      <c r="DP163">
        <v>3.09</v>
      </c>
      <c r="DQ163">
        <v>6.02</v>
      </c>
      <c r="DS163">
        <v>3.9</v>
      </c>
      <c r="DW163">
        <v>5.24</v>
      </c>
      <c r="DY163">
        <v>4.49</v>
      </c>
      <c r="EB163">
        <v>3.09</v>
      </c>
      <c r="EE163">
        <v>5.57</v>
      </c>
      <c r="EI163">
        <v>4.99</v>
      </c>
      <c r="EL163">
        <v>3.74</v>
      </c>
      <c r="EN163">
        <v>3.02</v>
      </c>
      <c r="EQ163">
        <v>4.8899999999999997</v>
      </c>
      <c r="ET163">
        <v>2.93</v>
      </c>
      <c r="EW163">
        <v>4.8600000000000003</v>
      </c>
      <c r="EZ163">
        <v>7.27</v>
      </c>
      <c r="FC163">
        <v>5.07</v>
      </c>
      <c r="FF163">
        <v>4.03</v>
      </c>
      <c r="FI163">
        <v>5.04</v>
      </c>
      <c r="FL163">
        <v>3.96</v>
      </c>
      <c r="FO163">
        <v>6.06</v>
      </c>
      <c r="FR163">
        <v>4.04</v>
      </c>
      <c r="FU163">
        <v>10.75</v>
      </c>
      <c r="FX163">
        <v>4.29</v>
      </c>
      <c r="GA163">
        <v>5.2</v>
      </c>
      <c r="GD163">
        <v>3.99</v>
      </c>
      <c r="GG163">
        <v>5.73</v>
      </c>
      <c r="GJ163">
        <v>3.19</v>
      </c>
      <c r="GM163">
        <v>5.08</v>
      </c>
      <c r="GP163">
        <v>3.67</v>
      </c>
      <c r="GS163">
        <v>4.8600000000000003</v>
      </c>
      <c r="GV163">
        <v>3.58</v>
      </c>
      <c r="GY163">
        <v>4.4400000000000004</v>
      </c>
      <c r="HB163">
        <v>3.89</v>
      </c>
      <c r="HE163">
        <v>5.54</v>
      </c>
      <c r="HH163">
        <v>2.82</v>
      </c>
      <c r="HK163">
        <v>5.54</v>
      </c>
      <c r="HN163">
        <v>2.82</v>
      </c>
      <c r="HQ163">
        <v>5.38</v>
      </c>
      <c r="HT163">
        <v>3.24</v>
      </c>
      <c r="HW163">
        <v>4.6500000000000004</v>
      </c>
      <c r="HZ163">
        <v>3.78</v>
      </c>
      <c r="IC163">
        <v>4.6900000000000004</v>
      </c>
      <c r="IF163">
        <v>3.45</v>
      </c>
      <c r="II163">
        <v>5.53</v>
      </c>
      <c r="IL163">
        <v>3.53</v>
      </c>
      <c r="IO163">
        <v>4.7699999999999996</v>
      </c>
      <c r="IR163">
        <v>3.68</v>
      </c>
      <c r="IU163">
        <v>5.08</v>
      </c>
      <c r="IX163">
        <v>3.99</v>
      </c>
      <c r="JB163">
        <v>5.98</v>
      </c>
      <c r="JD163">
        <v>2.78</v>
      </c>
      <c r="JG163">
        <v>9.27</v>
      </c>
      <c r="JJ163">
        <v>3.71</v>
      </c>
      <c r="JM163">
        <v>4.6399999999999997</v>
      </c>
      <c r="JS163">
        <v>8.34</v>
      </c>
      <c r="JY163">
        <v>5.07</v>
      </c>
      <c r="KE163">
        <v>7.36</v>
      </c>
      <c r="KK163">
        <v>7.9</v>
      </c>
      <c r="KQ163">
        <v>7.34</v>
      </c>
      <c r="KW163">
        <v>8.1199999999999992</v>
      </c>
      <c r="LC163">
        <v>9.11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7"/>
  <dimension ref="A1:AY325"/>
  <sheetViews>
    <sheetView workbookViewId="0">
      <pane xSplit="2" ySplit="2" topLeftCell="W3" activePane="bottomRight" state="frozen"/>
      <selection pane="bottomRight" activeCell="Y18" sqref="Y18"/>
      <selection pane="bottomLeft" activeCell="A3" sqref="A3"/>
      <selection pane="topRight" activeCell="C1" sqref="C1"/>
    </sheetView>
  </sheetViews>
  <sheetFormatPr defaultColWidth="8.7109375" defaultRowHeight="14.45"/>
  <cols>
    <col min="1" max="1" width="13.28515625" bestFit="1" customWidth="1"/>
    <col min="2" max="2" width="53.28515625" bestFit="1" customWidth="1"/>
    <col min="3" max="3" width="25.42578125" bestFit="1" customWidth="1"/>
    <col min="4" max="4" width="7.85546875" bestFit="1" customWidth="1"/>
    <col min="5" max="5" width="21.28515625" bestFit="1" customWidth="1"/>
    <col min="6" max="6" width="21.140625" bestFit="1" customWidth="1"/>
    <col min="7" max="7" width="18" bestFit="1" customWidth="1"/>
    <col min="8" max="8" width="57.28515625" bestFit="1" customWidth="1"/>
    <col min="9" max="9" width="25.85546875" bestFit="1" customWidth="1"/>
    <col min="10" max="10" width="14.5703125" bestFit="1" customWidth="1"/>
    <col min="11" max="11" width="16" bestFit="1" customWidth="1"/>
    <col min="12" max="12" width="46.7109375" bestFit="1" customWidth="1"/>
    <col min="13" max="13" width="34.7109375" bestFit="1" customWidth="1"/>
    <col min="14" max="14" width="32.28515625" bestFit="1" customWidth="1"/>
    <col min="15" max="15" width="28" bestFit="1" customWidth="1"/>
    <col min="16" max="16" width="28.85546875" bestFit="1" customWidth="1"/>
    <col min="17" max="17" width="35.140625" bestFit="1" customWidth="1"/>
    <col min="18" max="18" width="29.85546875" bestFit="1" customWidth="1"/>
    <col min="19" max="19" width="20.5703125" bestFit="1" customWidth="1"/>
    <col min="20" max="20" width="37.28515625" bestFit="1" customWidth="1"/>
    <col min="21" max="21" width="36.28515625" bestFit="1" customWidth="1"/>
    <col min="22" max="22" width="31.28515625" bestFit="1" customWidth="1"/>
    <col min="23" max="23" width="36.140625" bestFit="1" customWidth="1"/>
    <col min="24" max="24" width="24.42578125" bestFit="1" customWidth="1"/>
    <col min="25" max="25" width="21.28515625" bestFit="1" customWidth="1"/>
    <col min="26" max="26" width="18.85546875" bestFit="1" customWidth="1"/>
    <col min="27" max="27" width="8.7109375" bestFit="1" customWidth="1"/>
    <col min="28" max="28" width="20.7109375" bestFit="1" customWidth="1"/>
    <col min="29" max="29" width="24.28515625" bestFit="1" customWidth="1"/>
    <col min="30" max="30" width="22.7109375" bestFit="1" customWidth="1"/>
    <col min="31" max="31" width="15.5703125" bestFit="1" customWidth="1"/>
    <col min="32" max="32" width="19.42578125" bestFit="1" customWidth="1"/>
    <col min="33" max="33" width="10.28515625" bestFit="1" customWidth="1"/>
    <col min="34" max="34" width="21.28515625" bestFit="1" customWidth="1"/>
    <col min="35" max="35" width="19.7109375" bestFit="1" customWidth="1"/>
    <col min="36" max="36" width="27.28515625" bestFit="1" customWidth="1"/>
    <col min="37" max="37" width="23.28515625" bestFit="1" customWidth="1"/>
    <col min="38" max="38" width="24.42578125" bestFit="1" customWidth="1"/>
    <col min="39" max="39" width="23.5703125" bestFit="1" customWidth="1"/>
    <col min="40" max="40" width="21.28515625" bestFit="1" customWidth="1"/>
    <col min="41" max="41" width="13.85546875" bestFit="1" customWidth="1"/>
    <col min="42" max="42" width="22.7109375" bestFit="1" customWidth="1"/>
    <col min="43" max="43" width="28.85546875" bestFit="1" customWidth="1"/>
    <col min="44" max="44" width="26.5703125" bestFit="1" customWidth="1"/>
    <col min="45" max="45" width="29.140625" bestFit="1" customWidth="1"/>
    <col min="46" max="46" width="26.140625" bestFit="1" customWidth="1"/>
    <col min="47" max="47" width="19.7109375" bestFit="1" customWidth="1"/>
    <col min="48" max="48" width="28.140625" bestFit="1" customWidth="1"/>
    <col min="49" max="49" width="23.140625" bestFit="1" customWidth="1"/>
    <col min="50" max="50" width="30.7109375" bestFit="1" customWidth="1"/>
    <col min="51" max="51" width="24.140625" bestFit="1" customWidth="1"/>
  </cols>
  <sheetData>
    <row r="1" spans="1:51" s="60" customFormat="1">
      <c r="B1" s="60">
        <v>1</v>
      </c>
      <c r="C1" s="60">
        <v>2</v>
      </c>
      <c r="D1" s="60">
        <v>3</v>
      </c>
      <c r="E1" s="60">
        <v>4</v>
      </c>
      <c r="F1" s="60">
        <v>5</v>
      </c>
      <c r="G1" s="60">
        <v>6</v>
      </c>
      <c r="H1" s="60">
        <v>7</v>
      </c>
      <c r="I1" s="60">
        <v>8</v>
      </c>
      <c r="J1" s="60">
        <v>9</v>
      </c>
      <c r="K1" s="60">
        <v>10</v>
      </c>
      <c r="L1" s="60">
        <v>11</v>
      </c>
      <c r="M1" s="60">
        <v>12</v>
      </c>
      <c r="N1" s="60">
        <v>13</v>
      </c>
      <c r="O1" s="60">
        <v>14</v>
      </c>
      <c r="P1" s="60">
        <v>15</v>
      </c>
      <c r="Q1" s="60">
        <v>16</v>
      </c>
      <c r="R1" s="60">
        <v>17</v>
      </c>
      <c r="S1" s="60">
        <v>18</v>
      </c>
      <c r="T1" s="60">
        <v>19</v>
      </c>
      <c r="U1" s="60">
        <v>20</v>
      </c>
      <c r="V1" s="60">
        <v>21</v>
      </c>
      <c r="W1" s="60">
        <v>22</v>
      </c>
      <c r="X1" s="60">
        <v>23</v>
      </c>
      <c r="Y1" s="60">
        <v>24</v>
      </c>
      <c r="Z1" s="60">
        <v>25</v>
      </c>
      <c r="AA1" s="60">
        <v>26</v>
      </c>
      <c r="AB1" s="60">
        <v>27</v>
      </c>
      <c r="AC1" s="60">
        <v>28</v>
      </c>
      <c r="AD1" s="60">
        <v>29</v>
      </c>
      <c r="AE1" s="60">
        <v>30</v>
      </c>
      <c r="AF1" s="60">
        <v>31</v>
      </c>
      <c r="AG1" s="60">
        <v>32</v>
      </c>
      <c r="AH1" s="60">
        <v>33</v>
      </c>
      <c r="AI1" s="60">
        <v>34</v>
      </c>
      <c r="AJ1" s="60">
        <v>35</v>
      </c>
      <c r="AK1" s="60">
        <v>36</v>
      </c>
      <c r="AL1" s="60">
        <v>37</v>
      </c>
      <c r="AM1" s="60">
        <v>38</v>
      </c>
      <c r="AN1" s="60">
        <v>39</v>
      </c>
      <c r="AO1" s="60">
        <v>40</v>
      </c>
      <c r="AP1" s="60">
        <v>41</v>
      </c>
      <c r="AQ1" s="60">
        <v>42</v>
      </c>
      <c r="AR1" s="60">
        <v>43</v>
      </c>
      <c r="AS1" s="60">
        <v>44</v>
      </c>
      <c r="AT1" s="60">
        <v>45</v>
      </c>
      <c r="AU1" s="60">
        <v>46</v>
      </c>
      <c r="AV1" s="60">
        <v>47</v>
      </c>
      <c r="AW1" s="60">
        <v>48</v>
      </c>
      <c r="AX1" s="60">
        <v>49</v>
      </c>
      <c r="AY1" s="60">
        <v>50</v>
      </c>
    </row>
    <row r="2" spans="1:51">
      <c r="A2" t="s">
        <v>885</v>
      </c>
      <c r="B2" t="s">
        <v>7</v>
      </c>
      <c r="C2" t="s">
        <v>886</v>
      </c>
      <c r="D2" t="s">
        <v>887</v>
      </c>
      <c r="E2" t="s">
        <v>888</v>
      </c>
      <c r="F2" t="s">
        <v>889</v>
      </c>
      <c r="G2" t="s">
        <v>890</v>
      </c>
      <c r="H2" t="s">
        <v>891</v>
      </c>
      <c r="I2" t="s">
        <v>156</v>
      </c>
      <c r="J2" t="s">
        <v>892</v>
      </c>
      <c r="K2" t="s">
        <v>893</v>
      </c>
      <c r="L2" t="s">
        <v>894</v>
      </c>
      <c r="M2" t="s">
        <v>895</v>
      </c>
      <c r="N2" t="s">
        <v>896</v>
      </c>
      <c r="O2" t="s">
        <v>897</v>
      </c>
      <c r="P2" t="s">
        <v>898</v>
      </c>
      <c r="Q2" t="s">
        <v>899</v>
      </c>
      <c r="R2" t="s">
        <v>900</v>
      </c>
      <c r="S2" t="s">
        <v>901</v>
      </c>
      <c r="T2" t="s">
        <v>902</v>
      </c>
      <c r="U2" t="s">
        <v>903</v>
      </c>
      <c r="V2" t="s">
        <v>904</v>
      </c>
      <c r="W2" t="s">
        <v>905</v>
      </c>
      <c r="X2" t="s">
        <v>906</v>
      </c>
      <c r="Y2" t="s">
        <v>907</v>
      </c>
      <c r="Z2" t="s">
        <v>908</v>
      </c>
      <c r="AA2" t="s">
        <v>909</v>
      </c>
      <c r="AB2" t="s">
        <v>910</v>
      </c>
      <c r="AC2" t="s">
        <v>911</v>
      </c>
      <c r="AD2" t="s">
        <v>912</v>
      </c>
      <c r="AE2" t="s">
        <v>913</v>
      </c>
      <c r="AF2" t="s">
        <v>914</v>
      </c>
      <c r="AG2" t="s">
        <v>915</v>
      </c>
      <c r="AH2" t="s">
        <v>916</v>
      </c>
      <c r="AI2" t="s">
        <v>917</v>
      </c>
      <c r="AJ2" t="s">
        <v>918</v>
      </c>
      <c r="AK2" t="s">
        <v>919</v>
      </c>
      <c r="AL2" t="s">
        <v>920</v>
      </c>
      <c r="AM2" t="s">
        <v>921</v>
      </c>
      <c r="AN2" t="s">
        <v>922</v>
      </c>
      <c r="AO2" t="s">
        <v>5</v>
      </c>
      <c r="AP2" t="s">
        <v>923</v>
      </c>
      <c r="AQ2" t="s">
        <v>924</v>
      </c>
      <c r="AR2" t="s">
        <v>925</v>
      </c>
      <c r="AS2" t="s">
        <v>926</v>
      </c>
      <c r="AT2" t="s">
        <v>927</v>
      </c>
      <c r="AU2" t="s">
        <v>928</v>
      </c>
      <c r="AV2" t="s">
        <v>929</v>
      </c>
      <c r="AW2" t="s">
        <v>930</v>
      </c>
      <c r="AX2" t="s">
        <v>931</v>
      </c>
      <c r="AY2" t="s">
        <v>932</v>
      </c>
    </row>
    <row r="3" spans="1:51">
      <c r="A3" s="27">
        <v>43466</v>
      </c>
      <c r="B3" s="20" t="s">
        <v>291</v>
      </c>
      <c r="C3" s="20" t="s">
        <v>933</v>
      </c>
      <c r="D3">
        <v>180</v>
      </c>
      <c r="E3">
        <v>180</v>
      </c>
      <c r="F3">
        <v>289</v>
      </c>
      <c r="G3">
        <v>289</v>
      </c>
      <c r="H3" s="20" t="s">
        <v>934</v>
      </c>
      <c r="I3" s="20" t="s">
        <v>935</v>
      </c>
      <c r="J3" s="20" t="s">
        <v>936</v>
      </c>
      <c r="K3" s="20" t="s">
        <v>937</v>
      </c>
      <c r="M3">
        <v>218</v>
      </c>
      <c r="N3">
        <v>220</v>
      </c>
      <c r="O3">
        <v>918</v>
      </c>
      <c r="P3">
        <v>4.21</v>
      </c>
      <c r="R3">
        <v>450</v>
      </c>
      <c r="S3">
        <v>450</v>
      </c>
      <c r="T3">
        <v>89</v>
      </c>
      <c r="U3">
        <v>0.41799999999999998</v>
      </c>
      <c r="V3">
        <v>1</v>
      </c>
      <c r="W3">
        <v>0</v>
      </c>
      <c r="X3">
        <v>1</v>
      </c>
      <c r="Y3">
        <v>21</v>
      </c>
      <c r="Z3">
        <v>88172</v>
      </c>
      <c r="AA3">
        <v>2.02</v>
      </c>
      <c r="AB3">
        <v>88172</v>
      </c>
      <c r="AC3">
        <v>2.02</v>
      </c>
      <c r="AD3">
        <v>14961</v>
      </c>
      <c r="AE3">
        <v>1841787</v>
      </c>
      <c r="AF3">
        <v>0.16969999999999999</v>
      </c>
      <c r="AG3">
        <v>223</v>
      </c>
      <c r="AH3">
        <v>5031405</v>
      </c>
      <c r="AI3">
        <v>5341</v>
      </c>
      <c r="AJ3">
        <v>503</v>
      </c>
      <c r="AK3" s="20" t="s">
        <v>938</v>
      </c>
      <c r="AL3" s="20" t="s">
        <v>939</v>
      </c>
      <c r="AM3" s="20" t="s">
        <v>940</v>
      </c>
      <c r="AN3" s="20" t="s">
        <v>941</v>
      </c>
      <c r="AO3" s="20" t="s">
        <v>942</v>
      </c>
      <c r="AP3">
        <v>6</v>
      </c>
      <c r="AQ3">
        <v>15</v>
      </c>
      <c r="AR3">
        <v>32</v>
      </c>
      <c r="AS3">
        <v>87</v>
      </c>
      <c r="AT3">
        <v>15</v>
      </c>
      <c r="AU3" s="27">
        <v>26023</v>
      </c>
      <c r="AV3" s="20"/>
      <c r="AW3" s="20"/>
      <c r="AX3" s="20"/>
      <c r="AY3" s="20"/>
    </row>
    <row r="4" spans="1:51">
      <c r="A4" s="27">
        <v>43466</v>
      </c>
      <c r="B4" s="20" t="s">
        <v>292</v>
      </c>
      <c r="C4" s="20" t="s">
        <v>943</v>
      </c>
      <c r="D4">
        <v>242</v>
      </c>
      <c r="E4">
        <v>167</v>
      </c>
      <c r="F4">
        <v>361</v>
      </c>
      <c r="G4">
        <v>283</v>
      </c>
      <c r="H4" s="20" t="s">
        <v>944</v>
      </c>
      <c r="I4" s="20" t="s">
        <v>935</v>
      </c>
      <c r="J4" s="20" t="s">
        <v>945</v>
      </c>
      <c r="K4" s="20" t="s">
        <v>937</v>
      </c>
      <c r="M4">
        <v>30</v>
      </c>
      <c r="N4">
        <v>30</v>
      </c>
      <c r="O4">
        <v>131</v>
      </c>
      <c r="P4">
        <v>4.37</v>
      </c>
      <c r="R4">
        <v>65</v>
      </c>
      <c r="S4">
        <v>65</v>
      </c>
      <c r="T4">
        <v>5</v>
      </c>
      <c r="U4">
        <v>0.17199999999999999</v>
      </c>
      <c r="V4">
        <v>1</v>
      </c>
      <c r="W4">
        <v>0</v>
      </c>
      <c r="X4">
        <v>1</v>
      </c>
      <c r="Y4">
        <v>4</v>
      </c>
      <c r="Z4">
        <v>10000</v>
      </c>
      <c r="AA4">
        <v>0.23</v>
      </c>
      <c r="AB4">
        <v>10000</v>
      </c>
      <c r="AC4">
        <v>0.23</v>
      </c>
      <c r="AD4">
        <v>6983</v>
      </c>
      <c r="AE4">
        <v>351238</v>
      </c>
      <c r="AF4">
        <v>0.69830000000000003</v>
      </c>
      <c r="AG4">
        <v>283</v>
      </c>
      <c r="AH4">
        <v>839110</v>
      </c>
      <c r="AI4">
        <v>6505</v>
      </c>
      <c r="AJ4">
        <v>643</v>
      </c>
      <c r="AK4" s="20" t="s">
        <v>946</v>
      </c>
      <c r="AL4" s="20" t="s">
        <v>947</v>
      </c>
      <c r="AM4" s="20" t="s">
        <v>948</v>
      </c>
      <c r="AN4" s="20" t="s">
        <v>949</v>
      </c>
      <c r="AO4" s="20" t="s">
        <v>950</v>
      </c>
      <c r="AP4">
        <v>16</v>
      </c>
      <c r="AQ4">
        <v>9</v>
      </c>
      <c r="AR4">
        <v>20</v>
      </c>
      <c r="AS4">
        <v>55</v>
      </c>
      <c r="AT4">
        <v>41</v>
      </c>
      <c r="AU4" s="27">
        <v>26603</v>
      </c>
      <c r="AV4" s="20"/>
      <c r="AW4" s="20"/>
      <c r="AX4" s="20"/>
      <c r="AY4" s="20"/>
    </row>
    <row r="5" spans="1:51">
      <c r="A5" s="27">
        <v>43466</v>
      </c>
      <c r="B5" s="20" t="s">
        <v>293</v>
      </c>
      <c r="C5" s="20" t="s">
        <v>951</v>
      </c>
      <c r="D5">
        <v>233</v>
      </c>
      <c r="E5">
        <v>308</v>
      </c>
      <c r="F5">
        <v>354</v>
      </c>
      <c r="G5">
        <v>344</v>
      </c>
      <c r="H5" s="20" t="s">
        <v>952</v>
      </c>
      <c r="I5" s="20" t="s">
        <v>935</v>
      </c>
      <c r="J5" s="20" t="s">
        <v>945</v>
      </c>
      <c r="K5" s="20" t="s">
        <v>953</v>
      </c>
      <c r="M5">
        <v>65</v>
      </c>
      <c r="N5">
        <v>66</v>
      </c>
      <c r="O5">
        <v>293.5</v>
      </c>
      <c r="P5">
        <v>4.5199999999999996</v>
      </c>
      <c r="R5">
        <v>170</v>
      </c>
      <c r="S5">
        <v>170</v>
      </c>
      <c r="T5">
        <v>21</v>
      </c>
      <c r="U5">
        <v>0.32800000000000001</v>
      </c>
      <c r="V5">
        <v>1</v>
      </c>
      <c r="W5">
        <v>0</v>
      </c>
      <c r="X5">
        <v>1</v>
      </c>
      <c r="Y5">
        <v>6</v>
      </c>
      <c r="Z5">
        <v>18987</v>
      </c>
      <c r="AA5">
        <v>0.44</v>
      </c>
      <c r="AB5">
        <v>18987</v>
      </c>
      <c r="AC5">
        <v>0.44</v>
      </c>
      <c r="AD5">
        <v>12231</v>
      </c>
      <c r="AE5">
        <v>851926</v>
      </c>
      <c r="AF5">
        <v>0.64419999999999999</v>
      </c>
      <c r="AG5">
        <v>386</v>
      </c>
      <c r="AH5">
        <v>2205187</v>
      </c>
      <c r="AI5">
        <v>7302</v>
      </c>
      <c r="AJ5">
        <v>440</v>
      </c>
      <c r="AK5" s="20" t="s">
        <v>954</v>
      </c>
      <c r="AL5" s="20" t="s">
        <v>955</v>
      </c>
      <c r="AM5" s="20" t="s">
        <v>956</v>
      </c>
      <c r="AN5" s="20" t="s">
        <v>957</v>
      </c>
      <c r="AO5" s="20" t="s">
        <v>942</v>
      </c>
      <c r="AP5">
        <v>3</v>
      </c>
      <c r="AQ5">
        <v>15</v>
      </c>
      <c r="AR5">
        <v>32</v>
      </c>
      <c r="AS5">
        <v>79</v>
      </c>
      <c r="AT5">
        <v>16</v>
      </c>
      <c r="AU5" s="27">
        <v>27759</v>
      </c>
      <c r="AV5" s="20"/>
      <c r="AW5" s="20"/>
      <c r="AX5" s="20"/>
      <c r="AY5" s="20"/>
    </row>
    <row r="6" spans="1:51">
      <c r="A6" s="27">
        <v>43466</v>
      </c>
      <c r="B6" s="20" t="s">
        <v>67</v>
      </c>
      <c r="C6" s="20" t="s">
        <v>958</v>
      </c>
      <c r="D6">
        <v>154</v>
      </c>
      <c r="E6">
        <v>97</v>
      </c>
      <c r="F6">
        <v>264</v>
      </c>
      <c r="G6">
        <v>261</v>
      </c>
      <c r="H6" s="20" t="s">
        <v>959</v>
      </c>
      <c r="I6" s="20" t="s">
        <v>935</v>
      </c>
      <c r="J6" s="20" t="s">
        <v>936</v>
      </c>
      <c r="K6" s="20" t="s">
        <v>937</v>
      </c>
      <c r="M6">
        <v>98</v>
      </c>
      <c r="N6">
        <v>100</v>
      </c>
      <c r="O6">
        <v>386</v>
      </c>
      <c r="P6">
        <v>3.94</v>
      </c>
      <c r="R6">
        <v>165</v>
      </c>
      <c r="S6">
        <v>165</v>
      </c>
      <c r="T6">
        <v>41</v>
      </c>
      <c r="U6">
        <v>0.42699999999999999</v>
      </c>
      <c r="V6">
        <v>1</v>
      </c>
      <c r="W6">
        <v>0</v>
      </c>
      <c r="X6">
        <v>1</v>
      </c>
      <c r="Y6">
        <v>17</v>
      </c>
      <c r="Z6">
        <v>29359</v>
      </c>
      <c r="AA6">
        <v>0.67</v>
      </c>
      <c r="AB6">
        <v>29359</v>
      </c>
      <c r="AC6">
        <v>0.67</v>
      </c>
      <c r="AD6">
        <v>5759</v>
      </c>
      <c r="AE6">
        <v>771591</v>
      </c>
      <c r="AF6">
        <v>0.19620000000000001</v>
      </c>
      <c r="AG6">
        <v>246</v>
      </c>
      <c r="AH6">
        <v>1880013</v>
      </c>
      <c r="AI6">
        <v>4694</v>
      </c>
      <c r="AJ6">
        <v>529</v>
      </c>
      <c r="AK6" s="20" t="s">
        <v>960</v>
      </c>
      <c r="AL6" s="20" t="s">
        <v>961</v>
      </c>
      <c r="AM6" s="20" t="s">
        <v>962</v>
      </c>
      <c r="AN6" s="20"/>
      <c r="AO6" s="20" t="s">
        <v>963</v>
      </c>
      <c r="AP6">
        <v>10</v>
      </c>
      <c r="AQ6">
        <v>13</v>
      </c>
      <c r="AR6">
        <v>30</v>
      </c>
      <c r="AS6">
        <v>70</v>
      </c>
      <c r="AT6">
        <v>9</v>
      </c>
      <c r="AU6" s="27">
        <v>23832</v>
      </c>
      <c r="AV6" s="20"/>
      <c r="AW6" s="20"/>
      <c r="AX6" s="20"/>
      <c r="AY6" s="20"/>
    </row>
    <row r="7" spans="1:51">
      <c r="A7" s="27">
        <v>43466</v>
      </c>
      <c r="B7" s="20" t="s">
        <v>227</v>
      </c>
      <c r="C7" s="20" t="s">
        <v>964</v>
      </c>
      <c r="D7">
        <v>214</v>
      </c>
      <c r="E7">
        <v>67</v>
      </c>
      <c r="F7">
        <v>332</v>
      </c>
      <c r="G7">
        <v>222</v>
      </c>
      <c r="H7" s="20" t="s">
        <v>965</v>
      </c>
      <c r="I7" s="20" t="s">
        <v>935</v>
      </c>
      <c r="J7" s="20" t="s">
        <v>945</v>
      </c>
      <c r="K7" s="20" t="s">
        <v>937</v>
      </c>
      <c r="M7">
        <v>96</v>
      </c>
      <c r="N7">
        <v>96</v>
      </c>
      <c r="O7">
        <v>386</v>
      </c>
      <c r="P7">
        <v>4.0199999999999996</v>
      </c>
      <c r="R7">
        <v>156</v>
      </c>
      <c r="S7">
        <v>156</v>
      </c>
      <c r="T7">
        <v>47</v>
      </c>
      <c r="U7">
        <v>0.505</v>
      </c>
      <c r="V7">
        <v>1</v>
      </c>
      <c r="W7">
        <v>0</v>
      </c>
      <c r="X7">
        <v>1</v>
      </c>
      <c r="Y7">
        <v>6</v>
      </c>
      <c r="Z7">
        <v>39937</v>
      </c>
      <c r="AA7">
        <v>0.92</v>
      </c>
      <c r="AB7">
        <v>39937</v>
      </c>
      <c r="AC7">
        <v>0.92</v>
      </c>
      <c r="AD7">
        <v>13337</v>
      </c>
      <c r="AE7">
        <v>810629</v>
      </c>
      <c r="AF7">
        <v>0.33400000000000002</v>
      </c>
      <c r="AG7">
        <v>170</v>
      </c>
      <c r="AH7">
        <v>2278928</v>
      </c>
      <c r="AI7">
        <v>5814</v>
      </c>
      <c r="AJ7">
        <v>452</v>
      </c>
      <c r="AK7" s="20" t="s">
        <v>966</v>
      </c>
      <c r="AL7" s="20" t="s">
        <v>967</v>
      </c>
      <c r="AM7" s="20" t="s">
        <v>968</v>
      </c>
      <c r="AN7" s="20"/>
      <c r="AO7" s="20" t="s">
        <v>942</v>
      </c>
      <c r="AP7">
        <v>9</v>
      </c>
      <c r="AQ7">
        <v>15</v>
      </c>
      <c r="AR7">
        <v>32</v>
      </c>
      <c r="AS7">
        <v>85</v>
      </c>
      <c r="AT7">
        <v>17</v>
      </c>
      <c r="AU7" s="27">
        <v>25933</v>
      </c>
      <c r="AV7" s="20"/>
      <c r="AW7" s="20"/>
      <c r="AX7" s="20"/>
      <c r="AY7" s="20"/>
    </row>
    <row r="8" spans="1:51">
      <c r="A8" s="27">
        <v>43466</v>
      </c>
      <c r="B8" s="20" t="s">
        <v>229</v>
      </c>
      <c r="C8" s="20" t="s">
        <v>969</v>
      </c>
      <c r="D8">
        <v>359</v>
      </c>
      <c r="E8">
        <v>359</v>
      </c>
      <c r="F8">
        <v>840</v>
      </c>
      <c r="G8">
        <v>840</v>
      </c>
      <c r="H8" s="20" t="s">
        <v>970</v>
      </c>
      <c r="I8" s="20" t="s">
        <v>935</v>
      </c>
      <c r="J8" s="20" t="s">
        <v>945</v>
      </c>
      <c r="K8" s="20" t="s">
        <v>937</v>
      </c>
      <c r="M8">
        <v>35</v>
      </c>
      <c r="N8">
        <v>35</v>
      </c>
      <c r="O8">
        <v>157.5</v>
      </c>
      <c r="P8">
        <v>4.5</v>
      </c>
      <c r="R8">
        <v>74</v>
      </c>
      <c r="S8">
        <v>74</v>
      </c>
      <c r="T8">
        <v>7</v>
      </c>
      <c r="U8">
        <v>0.2</v>
      </c>
      <c r="V8">
        <v>1</v>
      </c>
      <c r="W8">
        <v>0</v>
      </c>
      <c r="X8">
        <v>1</v>
      </c>
      <c r="Y8">
        <v>7</v>
      </c>
      <c r="Z8">
        <v>9621</v>
      </c>
      <c r="AA8">
        <v>0.22</v>
      </c>
      <c r="AB8">
        <v>9621</v>
      </c>
      <c r="AC8">
        <v>0.22</v>
      </c>
      <c r="AD8">
        <v>5774</v>
      </c>
      <c r="AE8">
        <v>361857</v>
      </c>
      <c r="AF8">
        <v>0.60009999999999997</v>
      </c>
      <c r="AG8">
        <v>336</v>
      </c>
      <c r="AH8">
        <v>4503296</v>
      </c>
      <c r="AI8">
        <v>28412</v>
      </c>
      <c r="AJ8">
        <v>644</v>
      </c>
      <c r="AK8" s="20" t="s">
        <v>971</v>
      </c>
      <c r="AL8" s="20" t="s">
        <v>972</v>
      </c>
      <c r="AM8" s="20" t="s">
        <v>973</v>
      </c>
      <c r="AN8" s="20"/>
      <c r="AO8" s="20" t="s">
        <v>963</v>
      </c>
      <c r="AP8">
        <v>7</v>
      </c>
      <c r="AQ8">
        <v>10</v>
      </c>
      <c r="AR8">
        <v>29</v>
      </c>
      <c r="AS8">
        <v>69</v>
      </c>
      <c r="AT8">
        <v>6</v>
      </c>
      <c r="AU8" s="27">
        <v>35155</v>
      </c>
      <c r="AV8" s="20"/>
      <c r="AW8" s="20"/>
      <c r="AX8" s="20" t="s">
        <v>974</v>
      </c>
      <c r="AY8" s="20" t="s">
        <v>974</v>
      </c>
    </row>
    <row r="9" spans="1:51">
      <c r="A9" s="27">
        <v>43466</v>
      </c>
      <c r="B9" s="20" t="s">
        <v>118</v>
      </c>
      <c r="C9" s="20" t="s">
        <v>975</v>
      </c>
      <c r="D9">
        <v>156</v>
      </c>
      <c r="E9">
        <v>73</v>
      </c>
      <c r="F9">
        <v>267</v>
      </c>
      <c r="G9">
        <v>267</v>
      </c>
      <c r="H9" s="20" t="s">
        <v>976</v>
      </c>
      <c r="I9" s="20" t="s">
        <v>935</v>
      </c>
      <c r="J9" s="20" t="s">
        <v>936</v>
      </c>
      <c r="K9" s="20" t="s">
        <v>937</v>
      </c>
      <c r="M9">
        <v>234</v>
      </c>
      <c r="N9">
        <v>234</v>
      </c>
      <c r="O9">
        <v>1101</v>
      </c>
      <c r="P9">
        <v>4.71</v>
      </c>
      <c r="R9">
        <v>541</v>
      </c>
      <c r="S9">
        <v>541</v>
      </c>
      <c r="T9">
        <v>100</v>
      </c>
      <c r="U9">
        <v>0.43099999999999999</v>
      </c>
      <c r="V9">
        <v>1</v>
      </c>
      <c r="W9">
        <v>0</v>
      </c>
      <c r="X9">
        <v>1</v>
      </c>
      <c r="Y9">
        <v>24</v>
      </c>
      <c r="Z9">
        <v>110000</v>
      </c>
      <c r="AA9">
        <v>2.5299999999999998</v>
      </c>
      <c r="AB9">
        <v>110000</v>
      </c>
      <c r="AC9">
        <v>2.5299999999999998</v>
      </c>
      <c r="AD9">
        <v>11311</v>
      </c>
      <c r="AE9">
        <v>2207369</v>
      </c>
      <c r="AF9">
        <v>0.1028</v>
      </c>
      <c r="AG9">
        <v>214</v>
      </c>
      <c r="AH9">
        <v>4703702</v>
      </c>
      <c r="AI9">
        <v>4272</v>
      </c>
      <c r="AJ9">
        <v>511</v>
      </c>
      <c r="AK9" s="20" t="s">
        <v>977</v>
      </c>
      <c r="AL9" s="20" t="s">
        <v>978</v>
      </c>
      <c r="AM9" s="20" t="s">
        <v>979</v>
      </c>
      <c r="AN9" s="20"/>
      <c r="AO9" s="20" t="s">
        <v>950</v>
      </c>
      <c r="AP9">
        <v>3</v>
      </c>
      <c r="AQ9">
        <v>8</v>
      </c>
      <c r="AR9">
        <v>18</v>
      </c>
      <c r="AS9">
        <v>54</v>
      </c>
      <c r="AT9">
        <v>36</v>
      </c>
      <c r="AU9" s="27">
        <v>24623</v>
      </c>
      <c r="AV9" s="20"/>
      <c r="AW9" s="20"/>
      <c r="AX9" s="20"/>
      <c r="AY9" s="20"/>
    </row>
    <row r="10" spans="1:51">
      <c r="A10" s="27">
        <v>43466</v>
      </c>
      <c r="B10" s="20" t="s">
        <v>69</v>
      </c>
      <c r="C10" s="20" t="s">
        <v>980</v>
      </c>
      <c r="D10">
        <v>203</v>
      </c>
      <c r="E10">
        <v>64</v>
      </c>
      <c r="F10">
        <v>320</v>
      </c>
      <c r="G10">
        <v>219</v>
      </c>
      <c r="H10" s="20" t="s">
        <v>981</v>
      </c>
      <c r="I10" s="20" t="s">
        <v>935</v>
      </c>
      <c r="J10" s="20" t="s">
        <v>945</v>
      </c>
      <c r="K10" s="20" t="s">
        <v>937</v>
      </c>
      <c r="M10">
        <v>66</v>
      </c>
      <c r="N10">
        <v>66</v>
      </c>
      <c r="O10">
        <v>259</v>
      </c>
      <c r="P10">
        <v>3.92</v>
      </c>
      <c r="R10">
        <v>114</v>
      </c>
      <c r="S10">
        <v>114</v>
      </c>
      <c r="T10">
        <v>33</v>
      </c>
      <c r="U10">
        <v>0.5</v>
      </c>
      <c r="V10">
        <v>1</v>
      </c>
      <c r="W10">
        <v>0</v>
      </c>
      <c r="X10">
        <v>1</v>
      </c>
      <c r="Y10">
        <v>6</v>
      </c>
      <c r="Z10">
        <v>20205</v>
      </c>
      <c r="AA10">
        <v>0.46</v>
      </c>
      <c r="AB10">
        <v>20205</v>
      </c>
      <c r="AC10">
        <v>0.46</v>
      </c>
      <c r="AD10">
        <v>9143</v>
      </c>
      <c r="AE10">
        <v>530550</v>
      </c>
      <c r="AF10">
        <v>0.45250000000000001</v>
      </c>
      <c r="AG10">
        <v>248</v>
      </c>
      <c r="AH10">
        <v>1241825</v>
      </c>
      <c r="AI10">
        <v>4651</v>
      </c>
      <c r="AJ10">
        <v>482</v>
      </c>
      <c r="AK10" s="20" t="s">
        <v>982</v>
      </c>
      <c r="AL10" s="20" t="s">
        <v>983</v>
      </c>
      <c r="AM10" s="20" t="s">
        <v>984</v>
      </c>
      <c r="AN10" s="20" t="s">
        <v>985</v>
      </c>
      <c r="AO10" s="20" t="s">
        <v>963</v>
      </c>
      <c r="AP10">
        <v>11</v>
      </c>
      <c r="AQ10">
        <v>13</v>
      </c>
      <c r="AR10">
        <v>29</v>
      </c>
      <c r="AS10">
        <v>68</v>
      </c>
      <c r="AT10">
        <v>8</v>
      </c>
      <c r="AU10" s="27">
        <v>25384</v>
      </c>
      <c r="AV10" s="20"/>
      <c r="AW10" s="20"/>
      <c r="AX10" s="20"/>
      <c r="AY10" s="20"/>
    </row>
    <row r="11" spans="1:51">
      <c r="A11" s="27">
        <v>43466</v>
      </c>
      <c r="B11" s="20" t="s">
        <v>282</v>
      </c>
      <c r="C11" s="20" t="s">
        <v>986</v>
      </c>
      <c r="D11">
        <v>185</v>
      </c>
      <c r="E11">
        <v>153</v>
      </c>
      <c r="F11">
        <v>452</v>
      </c>
      <c r="G11">
        <v>452</v>
      </c>
      <c r="H11" s="20" t="s">
        <v>987</v>
      </c>
      <c r="I11" s="20" t="s">
        <v>988</v>
      </c>
      <c r="J11" s="20" t="s">
        <v>936</v>
      </c>
      <c r="K11" s="20" t="s">
        <v>937</v>
      </c>
      <c r="L11">
        <v>73</v>
      </c>
      <c r="M11">
        <v>225</v>
      </c>
      <c r="N11">
        <v>225</v>
      </c>
      <c r="O11">
        <v>985.5</v>
      </c>
      <c r="P11">
        <v>4.38</v>
      </c>
      <c r="Q11">
        <v>146</v>
      </c>
      <c r="R11">
        <v>281</v>
      </c>
      <c r="S11">
        <v>427</v>
      </c>
      <c r="T11">
        <v>111</v>
      </c>
      <c r="U11">
        <v>0.502</v>
      </c>
      <c r="V11">
        <v>1</v>
      </c>
      <c r="W11">
        <v>0</v>
      </c>
      <c r="X11">
        <v>1</v>
      </c>
      <c r="Y11">
        <v>26</v>
      </c>
      <c r="Z11">
        <v>44644</v>
      </c>
      <c r="AA11">
        <v>1.02</v>
      </c>
      <c r="AB11">
        <v>44644</v>
      </c>
      <c r="AC11">
        <v>1.02</v>
      </c>
      <c r="AD11">
        <v>7889</v>
      </c>
      <c r="AE11">
        <v>1946457</v>
      </c>
      <c r="AF11">
        <v>0.1767</v>
      </c>
      <c r="AG11">
        <v>419</v>
      </c>
      <c r="AH11">
        <v>4980000</v>
      </c>
      <c r="AI11">
        <v>5053</v>
      </c>
      <c r="AJ11">
        <v>516</v>
      </c>
      <c r="AK11" s="20" t="s">
        <v>989</v>
      </c>
      <c r="AL11" s="20" t="s">
        <v>990</v>
      </c>
      <c r="AM11" s="20" t="s">
        <v>991</v>
      </c>
      <c r="AN11" s="20" t="s">
        <v>984</v>
      </c>
      <c r="AO11" s="20" t="s">
        <v>963</v>
      </c>
      <c r="AP11">
        <v>6</v>
      </c>
      <c r="AQ11">
        <v>12</v>
      </c>
      <c r="AR11">
        <v>27</v>
      </c>
      <c r="AS11">
        <v>74</v>
      </c>
      <c r="AT11">
        <v>2</v>
      </c>
      <c r="AU11" s="27">
        <v>26023</v>
      </c>
      <c r="AV11" s="20"/>
      <c r="AW11" s="20"/>
      <c r="AX11" s="20"/>
      <c r="AY11" s="20"/>
    </row>
    <row r="12" spans="1:51">
      <c r="A12" s="27">
        <v>43466</v>
      </c>
      <c r="B12" s="20" t="s">
        <v>57</v>
      </c>
      <c r="C12" s="20" t="s">
        <v>992</v>
      </c>
      <c r="D12">
        <v>265</v>
      </c>
      <c r="E12">
        <v>100</v>
      </c>
      <c r="F12">
        <v>380</v>
      </c>
      <c r="G12">
        <v>312</v>
      </c>
      <c r="H12" s="20" t="s">
        <v>993</v>
      </c>
      <c r="I12" s="20" t="s">
        <v>935</v>
      </c>
      <c r="J12" s="20" t="s">
        <v>945</v>
      </c>
      <c r="K12" s="20" t="s">
        <v>937</v>
      </c>
      <c r="M12">
        <v>107</v>
      </c>
      <c r="N12">
        <v>107</v>
      </c>
      <c r="O12">
        <v>537.5</v>
      </c>
      <c r="P12">
        <v>5.0199999999999996</v>
      </c>
      <c r="R12">
        <v>237</v>
      </c>
      <c r="S12">
        <v>237</v>
      </c>
      <c r="T12">
        <v>46</v>
      </c>
      <c r="U12">
        <v>0.442</v>
      </c>
      <c r="V12">
        <v>1</v>
      </c>
      <c r="W12">
        <v>1</v>
      </c>
      <c r="X12">
        <v>2</v>
      </c>
      <c r="Y12">
        <v>14</v>
      </c>
      <c r="Z12">
        <v>39609</v>
      </c>
      <c r="AA12">
        <v>0.91</v>
      </c>
      <c r="AB12">
        <v>39609</v>
      </c>
      <c r="AC12">
        <v>0.91</v>
      </c>
      <c r="AD12">
        <v>8031</v>
      </c>
      <c r="AE12">
        <v>950162</v>
      </c>
      <c r="AF12">
        <v>0.20280000000000001</v>
      </c>
      <c r="AG12">
        <v>260</v>
      </c>
      <c r="AH12">
        <v>4290021</v>
      </c>
      <c r="AI12">
        <v>7981</v>
      </c>
      <c r="AJ12">
        <v>687</v>
      </c>
      <c r="AK12" s="20" t="s">
        <v>994</v>
      </c>
      <c r="AL12" s="20" t="s">
        <v>995</v>
      </c>
      <c r="AM12" s="20" t="s">
        <v>996</v>
      </c>
      <c r="AN12" s="20" t="s">
        <v>997</v>
      </c>
      <c r="AO12" s="20" t="s">
        <v>963</v>
      </c>
      <c r="AP12">
        <v>3</v>
      </c>
      <c r="AQ12">
        <v>7</v>
      </c>
      <c r="AR12">
        <v>26</v>
      </c>
      <c r="AS12">
        <v>65</v>
      </c>
      <c r="AT12">
        <v>1</v>
      </c>
      <c r="AU12" s="27">
        <v>27241</v>
      </c>
      <c r="AV12" s="20"/>
      <c r="AW12" s="20"/>
      <c r="AX12" s="20"/>
      <c r="AY12" s="20"/>
    </row>
    <row r="13" spans="1:51">
      <c r="A13" s="27">
        <v>43466</v>
      </c>
      <c r="B13" s="20" t="s">
        <v>294</v>
      </c>
      <c r="C13" s="20" t="s">
        <v>998</v>
      </c>
      <c r="D13">
        <v>196</v>
      </c>
      <c r="E13">
        <v>163</v>
      </c>
      <c r="F13">
        <v>307</v>
      </c>
      <c r="G13">
        <v>272</v>
      </c>
      <c r="H13" s="20" t="s">
        <v>999</v>
      </c>
      <c r="I13" s="20" t="s">
        <v>935</v>
      </c>
      <c r="J13" s="20" t="s">
        <v>945</v>
      </c>
      <c r="K13" s="20" t="s">
        <v>937</v>
      </c>
      <c r="M13">
        <v>200</v>
      </c>
      <c r="N13">
        <v>200</v>
      </c>
      <c r="O13">
        <v>815</v>
      </c>
      <c r="P13">
        <v>4.08</v>
      </c>
      <c r="R13">
        <v>375</v>
      </c>
      <c r="S13">
        <v>375</v>
      </c>
      <c r="T13">
        <v>84</v>
      </c>
      <c r="U13">
        <v>0.42</v>
      </c>
      <c r="V13">
        <v>1</v>
      </c>
      <c r="W13">
        <v>1</v>
      </c>
      <c r="X13">
        <v>2</v>
      </c>
      <c r="Y13">
        <v>6</v>
      </c>
      <c r="Z13">
        <v>81700</v>
      </c>
      <c r="AA13">
        <v>1.88</v>
      </c>
      <c r="AB13">
        <v>81700</v>
      </c>
      <c r="AC13">
        <v>1.88</v>
      </c>
      <c r="AD13">
        <v>28530</v>
      </c>
      <c r="AE13">
        <v>1726301</v>
      </c>
      <c r="AF13">
        <v>0.34920000000000001</v>
      </c>
      <c r="AG13">
        <v>199</v>
      </c>
      <c r="AH13">
        <v>5984598</v>
      </c>
      <c r="AI13">
        <v>7116</v>
      </c>
      <c r="AJ13">
        <v>536</v>
      </c>
      <c r="AK13" s="20" t="s">
        <v>1000</v>
      </c>
      <c r="AL13" s="20" t="s">
        <v>1001</v>
      </c>
      <c r="AM13" s="20" t="s">
        <v>956</v>
      </c>
      <c r="AN13" s="20" t="s">
        <v>1002</v>
      </c>
      <c r="AO13" s="20" t="s">
        <v>950</v>
      </c>
      <c r="AP13">
        <v>6</v>
      </c>
      <c r="AQ13">
        <v>7</v>
      </c>
      <c r="AR13">
        <v>25</v>
      </c>
      <c r="AS13">
        <v>52</v>
      </c>
      <c r="AT13">
        <v>33</v>
      </c>
      <c r="AU13" s="27">
        <v>26542</v>
      </c>
      <c r="AV13" s="20"/>
      <c r="AW13" s="20"/>
      <c r="AX13" s="20"/>
      <c r="AY13" s="20"/>
    </row>
    <row r="14" spans="1:51">
      <c r="A14" s="27">
        <v>43466</v>
      </c>
      <c r="B14" s="20" t="s">
        <v>295</v>
      </c>
      <c r="C14" s="20" t="s">
        <v>1003</v>
      </c>
      <c r="D14">
        <v>150</v>
      </c>
      <c r="E14">
        <v>82</v>
      </c>
      <c r="F14">
        <v>258</v>
      </c>
      <c r="G14">
        <v>258</v>
      </c>
      <c r="H14" s="20" t="s">
        <v>1004</v>
      </c>
      <c r="I14" s="20" t="s">
        <v>935</v>
      </c>
      <c r="J14" s="20" t="s">
        <v>936</v>
      </c>
      <c r="K14" s="20" t="s">
        <v>937</v>
      </c>
      <c r="M14">
        <v>158</v>
      </c>
      <c r="N14">
        <v>159</v>
      </c>
      <c r="O14">
        <v>724</v>
      </c>
      <c r="P14">
        <v>4.58</v>
      </c>
      <c r="R14">
        <v>351</v>
      </c>
      <c r="S14">
        <v>351</v>
      </c>
      <c r="T14">
        <v>63</v>
      </c>
      <c r="U14">
        <v>0.40400000000000003</v>
      </c>
      <c r="V14">
        <v>1</v>
      </c>
      <c r="W14">
        <v>0</v>
      </c>
      <c r="X14">
        <v>1</v>
      </c>
      <c r="Y14">
        <v>20</v>
      </c>
      <c r="Z14">
        <v>28690</v>
      </c>
      <c r="AA14">
        <v>0.66</v>
      </c>
      <c r="AB14">
        <v>28690</v>
      </c>
      <c r="AC14">
        <v>0.66</v>
      </c>
      <c r="AD14">
        <v>7750</v>
      </c>
      <c r="AE14">
        <v>1375740</v>
      </c>
      <c r="AF14">
        <v>0.27010000000000001</v>
      </c>
      <c r="AG14">
        <v>532</v>
      </c>
      <c r="AH14">
        <v>3631814</v>
      </c>
      <c r="AI14">
        <v>4992</v>
      </c>
      <c r="AJ14">
        <v>492</v>
      </c>
      <c r="AK14" s="20" t="s">
        <v>1005</v>
      </c>
      <c r="AL14" s="20" t="s">
        <v>971</v>
      </c>
      <c r="AM14" s="20" t="s">
        <v>1006</v>
      </c>
      <c r="AN14" s="20"/>
      <c r="AO14" s="20" t="s">
        <v>963</v>
      </c>
      <c r="AP14">
        <v>7</v>
      </c>
      <c r="AQ14">
        <v>10</v>
      </c>
      <c r="AR14">
        <v>30</v>
      </c>
      <c r="AS14">
        <v>69</v>
      </c>
      <c r="AT14">
        <v>7</v>
      </c>
      <c r="AU14" s="27">
        <v>23985</v>
      </c>
      <c r="AV14" s="20"/>
      <c r="AW14" s="20"/>
      <c r="AX14" s="20"/>
      <c r="AY14" s="20"/>
    </row>
    <row r="15" spans="1:51">
      <c r="A15" s="27">
        <v>43466</v>
      </c>
      <c r="B15" s="20" t="s">
        <v>278</v>
      </c>
      <c r="C15" s="20" t="s">
        <v>1007</v>
      </c>
      <c r="D15">
        <v>118</v>
      </c>
      <c r="E15">
        <v>118</v>
      </c>
      <c r="F15">
        <v>248</v>
      </c>
      <c r="G15">
        <v>248</v>
      </c>
      <c r="H15" s="20" t="s">
        <v>1008</v>
      </c>
      <c r="I15" s="20" t="s">
        <v>935</v>
      </c>
      <c r="J15" s="20" t="s">
        <v>936</v>
      </c>
      <c r="K15" s="20" t="s">
        <v>937</v>
      </c>
      <c r="M15">
        <v>924</v>
      </c>
      <c r="N15">
        <v>925</v>
      </c>
      <c r="O15">
        <v>4306</v>
      </c>
      <c r="P15">
        <v>4.66</v>
      </c>
      <c r="R15">
        <v>2310</v>
      </c>
      <c r="S15">
        <v>2310</v>
      </c>
      <c r="T15">
        <v>335</v>
      </c>
      <c r="U15">
        <v>0.36399999999999999</v>
      </c>
      <c r="V15">
        <v>7</v>
      </c>
      <c r="W15">
        <v>0</v>
      </c>
      <c r="X15">
        <v>7</v>
      </c>
      <c r="Y15" t="s">
        <v>1009</v>
      </c>
      <c r="Z15">
        <v>408888</v>
      </c>
      <c r="AA15">
        <v>9.39</v>
      </c>
      <c r="AB15">
        <v>383068</v>
      </c>
      <c r="AC15">
        <v>8.7899999999999991</v>
      </c>
      <c r="AD15">
        <v>56283</v>
      </c>
      <c r="AE15">
        <v>8181502</v>
      </c>
      <c r="AF15">
        <v>0.1376</v>
      </c>
      <c r="AG15">
        <v>246</v>
      </c>
      <c r="AH15">
        <v>17878818</v>
      </c>
      <c r="AI15">
        <v>4149</v>
      </c>
      <c r="AJ15">
        <v>497</v>
      </c>
      <c r="AK15" s="20" t="s">
        <v>1010</v>
      </c>
      <c r="AL15" s="20" t="s">
        <v>1011</v>
      </c>
      <c r="AM15" s="20" t="s">
        <v>1012</v>
      </c>
      <c r="AN15" s="20"/>
      <c r="AO15" s="20" t="s">
        <v>942</v>
      </c>
      <c r="AP15">
        <v>1</v>
      </c>
      <c r="AQ15">
        <v>15</v>
      </c>
      <c r="AR15">
        <v>29</v>
      </c>
      <c r="AS15">
        <v>84</v>
      </c>
      <c r="AT15">
        <v>17</v>
      </c>
      <c r="AU15" s="27">
        <v>23620</v>
      </c>
      <c r="AV15" s="20"/>
      <c r="AW15" s="20"/>
      <c r="AX15" s="20"/>
      <c r="AY15" s="20"/>
    </row>
    <row r="16" spans="1:51">
      <c r="A16" s="27">
        <v>43466</v>
      </c>
      <c r="B16" s="20" t="s">
        <v>296</v>
      </c>
      <c r="C16" s="20" t="s">
        <v>1013</v>
      </c>
      <c r="D16">
        <v>31</v>
      </c>
      <c r="E16">
        <v>31</v>
      </c>
      <c r="F16">
        <v>524</v>
      </c>
      <c r="G16">
        <v>524</v>
      </c>
      <c r="H16" s="20" t="s">
        <v>1014</v>
      </c>
      <c r="I16" s="20" t="s">
        <v>935</v>
      </c>
      <c r="J16" s="20" t="s">
        <v>936</v>
      </c>
      <c r="K16" s="20" t="s">
        <v>937</v>
      </c>
      <c r="M16">
        <v>823</v>
      </c>
      <c r="N16">
        <v>829</v>
      </c>
      <c r="O16">
        <v>3777.5</v>
      </c>
      <c r="P16">
        <v>4.59</v>
      </c>
      <c r="R16">
        <v>1886</v>
      </c>
      <c r="S16">
        <v>1886</v>
      </c>
      <c r="T16">
        <v>267</v>
      </c>
      <c r="U16">
        <v>0.32700000000000001</v>
      </c>
      <c r="V16">
        <v>6</v>
      </c>
      <c r="W16">
        <v>0</v>
      </c>
      <c r="X16">
        <v>6</v>
      </c>
      <c r="Y16">
        <v>14</v>
      </c>
      <c r="Z16">
        <v>388389</v>
      </c>
      <c r="AA16">
        <v>8.92</v>
      </c>
      <c r="AB16">
        <v>388389</v>
      </c>
      <c r="AC16">
        <v>8.92</v>
      </c>
      <c r="AD16">
        <v>58455</v>
      </c>
      <c r="AE16">
        <v>7082630</v>
      </c>
      <c r="AF16">
        <v>0.15049999999999999</v>
      </c>
      <c r="AG16">
        <v>211</v>
      </c>
      <c r="AH16">
        <v>8951000</v>
      </c>
      <c r="AI16">
        <v>2356</v>
      </c>
      <c r="AJ16">
        <v>565</v>
      </c>
      <c r="AK16" s="20" t="s">
        <v>1015</v>
      </c>
      <c r="AL16" s="20" t="s">
        <v>1016</v>
      </c>
      <c r="AM16" s="20" t="s">
        <v>1017</v>
      </c>
      <c r="AN16" s="20" t="s">
        <v>1018</v>
      </c>
      <c r="AO16" s="20" t="s">
        <v>950</v>
      </c>
      <c r="AP16">
        <v>8</v>
      </c>
      <c r="AQ16">
        <v>9</v>
      </c>
      <c r="AR16">
        <v>25</v>
      </c>
      <c r="AS16">
        <v>56</v>
      </c>
      <c r="AT16">
        <v>36</v>
      </c>
      <c r="AU16" s="27">
        <v>18550</v>
      </c>
      <c r="AV16" s="20" t="s">
        <v>1019</v>
      </c>
      <c r="AW16" s="20"/>
      <c r="AX16" s="20"/>
      <c r="AY16" s="20"/>
    </row>
    <row r="17" spans="1:51">
      <c r="A17" s="27">
        <v>43466</v>
      </c>
      <c r="B17" s="20" t="s">
        <v>297</v>
      </c>
      <c r="C17" s="20" t="s">
        <v>1013</v>
      </c>
      <c r="D17">
        <v>85</v>
      </c>
      <c r="E17">
        <v>31</v>
      </c>
      <c r="F17">
        <v>524</v>
      </c>
      <c r="G17">
        <v>524</v>
      </c>
      <c r="H17" s="20" t="s">
        <v>1014</v>
      </c>
      <c r="I17" s="20" t="s">
        <v>935</v>
      </c>
      <c r="J17" s="20" t="s">
        <v>936</v>
      </c>
      <c r="K17" s="20" t="s">
        <v>937</v>
      </c>
      <c r="M17">
        <v>400</v>
      </c>
      <c r="N17">
        <v>400</v>
      </c>
      <c r="O17">
        <v>1848</v>
      </c>
      <c r="P17">
        <v>4.62</v>
      </c>
      <c r="R17">
        <v>985</v>
      </c>
      <c r="S17">
        <v>985</v>
      </c>
      <c r="T17">
        <v>130</v>
      </c>
      <c r="U17">
        <v>0.33100000000000002</v>
      </c>
      <c r="V17">
        <v>3</v>
      </c>
      <c r="W17">
        <v>0</v>
      </c>
      <c r="X17">
        <v>3</v>
      </c>
      <c r="Y17" t="s">
        <v>1020</v>
      </c>
      <c r="Z17">
        <v>214594</v>
      </c>
      <c r="AA17">
        <v>4.93</v>
      </c>
      <c r="AB17">
        <v>214594</v>
      </c>
      <c r="AC17">
        <v>4.93</v>
      </c>
      <c r="AD17">
        <v>26053</v>
      </c>
      <c r="AE17">
        <v>3249689</v>
      </c>
      <c r="AF17">
        <v>0.12139999999999999</v>
      </c>
      <c r="AG17">
        <v>200</v>
      </c>
      <c r="AH17">
        <v>4666000</v>
      </c>
      <c r="AI17">
        <v>2540</v>
      </c>
      <c r="AJ17">
        <v>542</v>
      </c>
      <c r="AK17" s="20" t="s">
        <v>1021</v>
      </c>
      <c r="AL17" s="20" t="s">
        <v>1017</v>
      </c>
      <c r="AM17" s="20" t="s">
        <v>1022</v>
      </c>
      <c r="AN17" s="20" t="s">
        <v>1015</v>
      </c>
      <c r="AO17" s="20" t="s">
        <v>950</v>
      </c>
      <c r="AP17">
        <v>8</v>
      </c>
      <c r="AQ17">
        <v>9</v>
      </c>
      <c r="AR17">
        <v>25</v>
      </c>
      <c r="AS17">
        <v>56</v>
      </c>
      <c r="AT17">
        <v>36</v>
      </c>
      <c r="AU17" s="27">
        <v>20858</v>
      </c>
      <c r="AV17" s="20" t="s">
        <v>1019</v>
      </c>
      <c r="AW17" s="20"/>
      <c r="AX17" s="20"/>
      <c r="AY17" s="20"/>
    </row>
    <row r="18" spans="1:51">
      <c r="A18" s="27">
        <v>43466</v>
      </c>
      <c r="B18" s="20" t="s">
        <v>261</v>
      </c>
      <c r="C18" s="20" t="s">
        <v>1023</v>
      </c>
      <c r="D18">
        <v>22</v>
      </c>
      <c r="E18">
        <v>22</v>
      </c>
      <c r="F18">
        <v>530</v>
      </c>
      <c r="G18">
        <v>530</v>
      </c>
      <c r="H18" s="20" t="s">
        <v>1024</v>
      </c>
      <c r="I18" s="20" t="s">
        <v>935</v>
      </c>
      <c r="J18" s="20" t="s">
        <v>936</v>
      </c>
      <c r="K18" s="20" t="s">
        <v>937</v>
      </c>
      <c r="M18">
        <v>1084</v>
      </c>
      <c r="N18">
        <v>1084</v>
      </c>
      <c r="O18">
        <v>5129</v>
      </c>
      <c r="P18">
        <v>4.7300000000000004</v>
      </c>
      <c r="R18">
        <v>2270</v>
      </c>
      <c r="S18">
        <v>2270</v>
      </c>
      <c r="T18">
        <v>468</v>
      </c>
      <c r="U18">
        <v>0.435</v>
      </c>
      <c r="V18">
        <v>13</v>
      </c>
      <c r="W18">
        <v>0</v>
      </c>
      <c r="X18">
        <v>24</v>
      </c>
      <c r="Y18">
        <v>43629</v>
      </c>
      <c r="Z18">
        <v>446172</v>
      </c>
      <c r="AA18">
        <v>10.24</v>
      </c>
      <c r="AB18">
        <v>413534</v>
      </c>
      <c r="AC18">
        <v>9.49</v>
      </c>
      <c r="AD18">
        <v>100358</v>
      </c>
      <c r="AE18">
        <v>8233310</v>
      </c>
      <c r="AF18">
        <v>0.22489999999999999</v>
      </c>
      <c r="AG18">
        <v>222</v>
      </c>
      <c r="AH18">
        <v>12262000</v>
      </c>
      <c r="AI18">
        <v>2391</v>
      </c>
      <c r="AJ18">
        <v>544</v>
      </c>
      <c r="AK18" s="20" t="s">
        <v>1025</v>
      </c>
      <c r="AL18" s="20" t="s">
        <v>1026</v>
      </c>
      <c r="AM18" s="20" t="s">
        <v>1027</v>
      </c>
      <c r="AN18" s="20" t="s">
        <v>971</v>
      </c>
      <c r="AO18" s="20" t="s">
        <v>963</v>
      </c>
      <c r="AP18">
        <v>7</v>
      </c>
      <c r="AQ18">
        <v>10</v>
      </c>
      <c r="AR18">
        <v>31</v>
      </c>
      <c r="AS18">
        <v>67</v>
      </c>
      <c r="AT18">
        <v>6</v>
      </c>
      <c r="AU18" s="27">
        <v>17884</v>
      </c>
      <c r="AV18" s="20" t="s">
        <v>1028</v>
      </c>
      <c r="AW18" s="20"/>
      <c r="AX18" s="20"/>
      <c r="AY18" s="20"/>
    </row>
    <row r="19" spans="1:51">
      <c r="A19" s="27">
        <v>43466</v>
      </c>
      <c r="B19" s="20" t="s">
        <v>262</v>
      </c>
      <c r="C19" s="20" t="s">
        <v>1029</v>
      </c>
      <c r="D19">
        <v>187</v>
      </c>
      <c r="E19">
        <v>22</v>
      </c>
      <c r="F19">
        <v>453</v>
      </c>
      <c r="G19">
        <v>453</v>
      </c>
      <c r="H19" s="20" t="s">
        <v>1030</v>
      </c>
      <c r="I19" s="20" t="s">
        <v>1031</v>
      </c>
      <c r="J19" s="20" t="s">
        <v>936</v>
      </c>
      <c r="K19" s="20" t="s">
        <v>937</v>
      </c>
      <c r="L19">
        <v>26</v>
      </c>
      <c r="M19">
        <v>175</v>
      </c>
      <c r="N19">
        <v>175</v>
      </c>
      <c r="O19">
        <v>762.5</v>
      </c>
      <c r="P19">
        <v>4.3600000000000003</v>
      </c>
      <c r="Q19">
        <v>66</v>
      </c>
      <c r="R19">
        <v>287</v>
      </c>
      <c r="S19">
        <v>353</v>
      </c>
      <c r="T19">
        <v>97</v>
      </c>
      <c r="U19">
        <v>0.55700000000000005</v>
      </c>
      <c r="V19">
        <v>1</v>
      </c>
      <c r="W19">
        <v>0</v>
      </c>
      <c r="X19">
        <v>1</v>
      </c>
      <c r="Y19">
        <v>27</v>
      </c>
      <c r="Z19">
        <v>36154</v>
      </c>
      <c r="AA19">
        <v>0.83</v>
      </c>
      <c r="AB19">
        <v>36154</v>
      </c>
      <c r="AC19">
        <v>0.83</v>
      </c>
      <c r="AD19">
        <v>17562</v>
      </c>
      <c r="AE19">
        <v>1825587</v>
      </c>
      <c r="AF19">
        <v>0.48580000000000001</v>
      </c>
      <c r="AG19">
        <v>425</v>
      </c>
      <c r="AH19">
        <v>7053000</v>
      </c>
      <c r="AI19">
        <v>9250</v>
      </c>
      <c r="AJ19">
        <v>510</v>
      </c>
      <c r="AK19" s="20" t="s">
        <v>1026</v>
      </c>
      <c r="AL19" s="20" t="s">
        <v>1032</v>
      </c>
      <c r="AM19" s="20" t="s">
        <v>971</v>
      </c>
      <c r="AN19" s="20" t="s">
        <v>1027</v>
      </c>
      <c r="AO19" s="20" t="s">
        <v>963</v>
      </c>
      <c r="AP19">
        <v>7</v>
      </c>
      <c r="AQ19">
        <v>10</v>
      </c>
      <c r="AR19">
        <v>31</v>
      </c>
      <c r="AS19">
        <v>67</v>
      </c>
      <c r="AT19">
        <v>6</v>
      </c>
      <c r="AU19" s="27">
        <v>27060</v>
      </c>
      <c r="AV19" s="20"/>
      <c r="AW19" s="20"/>
      <c r="AX19" s="20"/>
      <c r="AY19" s="20"/>
    </row>
    <row r="20" spans="1:51">
      <c r="A20" s="27">
        <v>43466</v>
      </c>
      <c r="B20" s="20" t="s">
        <v>298</v>
      </c>
      <c r="C20" s="20" t="s">
        <v>1033</v>
      </c>
      <c r="D20">
        <v>210</v>
      </c>
      <c r="E20">
        <v>210</v>
      </c>
      <c r="F20">
        <v>325</v>
      </c>
      <c r="G20">
        <v>325</v>
      </c>
      <c r="H20" s="20" t="s">
        <v>1034</v>
      </c>
      <c r="I20" s="20" t="s">
        <v>935</v>
      </c>
      <c r="J20" s="20" t="s">
        <v>936</v>
      </c>
      <c r="K20" s="20" t="s">
        <v>937</v>
      </c>
      <c r="M20">
        <v>369</v>
      </c>
      <c r="N20">
        <v>371</v>
      </c>
      <c r="O20">
        <v>1763.5</v>
      </c>
      <c r="P20">
        <v>4.78</v>
      </c>
      <c r="R20">
        <v>977</v>
      </c>
      <c r="S20">
        <v>977</v>
      </c>
      <c r="T20">
        <v>143</v>
      </c>
      <c r="U20">
        <v>0.39</v>
      </c>
      <c r="V20">
        <v>11</v>
      </c>
      <c r="W20">
        <v>1</v>
      </c>
      <c r="X20">
        <v>58</v>
      </c>
      <c r="Y20">
        <v>38780</v>
      </c>
      <c r="Z20">
        <v>245481</v>
      </c>
      <c r="AA20">
        <v>5.64</v>
      </c>
      <c r="AB20">
        <v>245481</v>
      </c>
      <c r="AC20">
        <v>5.64</v>
      </c>
      <c r="AD20">
        <v>94311</v>
      </c>
      <c r="AE20">
        <v>4800020</v>
      </c>
      <c r="AF20">
        <v>0.38419999999999999</v>
      </c>
      <c r="AG20">
        <v>173</v>
      </c>
      <c r="AH20">
        <v>14648872</v>
      </c>
      <c r="AI20">
        <v>8129</v>
      </c>
      <c r="AJ20">
        <v>581</v>
      </c>
      <c r="AK20" s="20" t="s">
        <v>1035</v>
      </c>
      <c r="AL20" s="20" t="s">
        <v>1036</v>
      </c>
      <c r="AM20" s="20" t="s">
        <v>1037</v>
      </c>
      <c r="AN20" s="20" t="s">
        <v>1038</v>
      </c>
      <c r="AO20" s="20" t="s">
        <v>950</v>
      </c>
      <c r="AP20">
        <v>3</v>
      </c>
      <c r="AQ20">
        <v>8</v>
      </c>
      <c r="AR20">
        <v>25</v>
      </c>
      <c r="AS20" t="s">
        <v>1039</v>
      </c>
      <c r="AT20">
        <v>36</v>
      </c>
      <c r="AU20" s="27">
        <v>26815</v>
      </c>
      <c r="AV20" s="20"/>
      <c r="AW20" s="20" t="s">
        <v>1040</v>
      </c>
      <c r="AX20" s="20"/>
      <c r="AY20" s="20"/>
    </row>
    <row r="21" spans="1:51">
      <c r="A21" s="27">
        <v>43466</v>
      </c>
      <c r="B21" s="20" t="s">
        <v>230</v>
      </c>
      <c r="C21" s="20" t="s">
        <v>1033</v>
      </c>
      <c r="D21">
        <v>228</v>
      </c>
      <c r="E21">
        <v>210</v>
      </c>
      <c r="F21">
        <v>355</v>
      </c>
      <c r="G21">
        <v>325</v>
      </c>
      <c r="H21" s="20" t="s">
        <v>1041</v>
      </c>
      <c r="I21" s="20" t="s">
        <v>935</v>
      </c>
      <c r="J21" s="20" t="s">
        <v>945</v>
      </c>
      <c r="K21" s="20" t="s">
        <v>937</v>
      </c>
      <c r="M21">
        <v>248</v>
      </c>
      <c r="N21">
        <v>248</v>
      </c>
      <c r="O21">
        <v>1276</v>
      </c>
      <c r="P21">
        <v>5.15</v>
      </c>
      <c r="R21">
        <v>702</v>
      </c>
      <c r="S21">
        <v>702</v>
      </c>
      <c r="T21">
        <v>58</v>
      </c>
      <c r="U21">
        <v>0.23799999999999999</v>
      </c>
      <c r="V21">
        <v>5</v>
      </c>
      <c r="W21">
        <v>1</v>
      </c>
      <c r="X21">
        <v>17</v>
      </c>
      <c r="Y21">
        <v>4</v>
      </c>
      <c r="Z21">
        <v>162118</v>
      </c>
      <c r="AA21">
        <v>3.72</v>
      </c>
      <c r="AB21">
        <v>162118</v>
      </c>
      <c r="AC21">
        <v>3.72</v>
      </c>
      <c r="AD21">
        <v>67372</v>
      </c>
      <c r="AE21">
        <v>3123424</v>
      </c>
      <c r="AF21">
        <v>0.41560000000000002</v>
      </c>
      <c r="AG21">
        <v>189</v>
      </c>
      <c r="AH21">
        <v>7802067</v>
      </c>
      <c r="AI21">
        <v>6114</v>
      </c>
      <c r="AJ21">
        <v>600</v>
      </c>
      <c r="AK21" s="20" t="s">
        <v>1042</v>
      </c>
      <c r="AL21" s="20" t="s">
        <v>1037</v>
      </c>
      <c r="AM21" s="20" t="s">
        <v>1043</v>
      </c>
      <c r="AN21" s="20" t="s">
        <v>1036</v>
      </c>
      <c r="AO21" s="20" t="s">
        <v>950</v>
      </c>
      <c r="AP21">
        <v>3</v>
      </c>
      <c r="AQ21">
        <v>8</v>
      </c>
      <c r="AR21">
        <v>25</v>
      </c>
      <c r="AS21">
        <v>56</v>
      </c>
      <c r="AT21">
        <v>36</v>
      </c>
      <c r="AU21" s="27">
        <v>27333</v>
      </c>
      <c r="AV21" s="20"/>
      <c r="AW21" s="20"/>
      <c r="AX21" s="20"/>
      <c r="AY21" s="20"/>
    </row>
    <row r="22" spans="1:51">
      <c r="A22" s="27">
        <v>43466</v>
      </c>
      <c r="B22" s="20" t="s">
        <v>272</v>
      </c>
      <c r="C22" s="20" t="s">
        <v>1044</v>
      </c>
      <c r="D22">
        <v>26</v>
      </c>
      <c r="E22">
        <v>26</v>
      </c>
      <c r="F22">
        <v>517</v>
      </c>
      <c r="G22">
        <v>517</v>
      </c>
      <c r="H22" s="20" t="s">
        <v>1045</v>
      </c>
      <c r="I22" s="20" t="s">
        <v>935</v>
      </c>
      <c r="J22" s="20" t="s">
        <v>936</v>
      </c>
      <c r="K22" s="20" t="s">
        <v>937</v>
      </c>
      <c r="M22">
        <v>1104</v>
      </c>
      <c r="N22">
        <v>1104</v>
      </c>
      <c r="O22">
        <v>5607</v>
      </c>
      <c r="P22">
        <v>5.08</v>
      </c>
      <c r="R22">
        <v>3032</v>
      </c>
      <c r="S22">
        <v>3032</v>
      </c>
      <c r="T22">
        <v>366</v>
      </c>
      <c r="U22">
        <v>0.33300000000000002</v>
      </c>
      <c r="V22">
        <v>22</v>
      </c>
      <c r="W22">
        <v>1</v>
      </c>
      <c r="X22">
        <v>22</v>
      </c>
      <c r="Y22">
        <v>43623</v>
      </c>
      <c r="Z22">
        <v>1406832</v>
      </c>
      <c r="AA22">
        <v>32.299999999999997</v>
      </c>
      <c r="AB22">
        <v>1151484</v>
      </c>
      <c r="AC22">
        <v>26.43</v>
      </c>
      <c r="AD22">
        <v>173434</v>
      </c>
      <c r="AE22">
        <v>10826559</v>
      </c>
      <c r="AF22">
        <v>0.12330000000000001</v>
      </c>
      <c r="AG22">
        <v>94</v>
      </c>
      <c r="AH22">
        <v>14122000</v>
      </c>
      <c r="AI22">
        <v>2519</v>
      </c>
      <c r="AJ22">
        <v>593</v>
      </c>
      <c r="AK22" s="20" t="s">
        <v>1046</v>
      </c>
      <c r="AL22" s="20" t="s">
        <v>1047</v>
      </c>
      <c r="AM22" s="20" t="s">
        <v>1048</v>
      </c>
      <c r="AN22" s="20" t="s">
        <v>78</v>
      </c>
      <c r="AO22" s="20" t="s">
        <v>1049</v>
      </c>
      <c r="AP22">
        <v>1</v>
      </c>
      <c r="AQ22">
        <v>12</v>
      </c>
      <c r="AR22">
        <v>12</v>
      </c>
      <c r="AS22">
        <v>37</v>
      </c>
      <c r="AT22">
        <v>22</v>
      </c>
      <c r="AU22" s="27">
        <v>18941</v>
      </c>
      <c r="AV22" s="20" t="s">
        <v>1050</v>
      </c>
      <c r="AW22" s="20"/>
      <c r="AX22" s="20"/>
      <c r="AY22" s="20"/>
    </row>
    <row r="23" spans="1:51">
      <c r="A23" s="27">
        <v>43466</v>
      </c>
      <c r="B23" s="20" t="s">
        <v>299</v>
      </c>
      <c r="C23" s="20" t="s">
        <v>998</v>
      </c>
      <c r="D23">
        <v>256</v>
      </c>
      <c r="E23">
        <v>163</v>
      </c>
      <c r="F23">
        <v>384</v>
      </c>
      <c r="G23">
        <v>272</v>
      </c>
      <c r="H23" s="20" t="s">
        <v>1051</v>
      </c>
      <c r="I23" s="20" t="s">
        <v>935</v>
      </c>
      <c r="J23" s="20" t="s">
        <v>945</v>
      </c>
      <c r="K23" s="20" t="s">
        <v>937</v>
      </c>
      <c r="M23">
        <v>299</v>
      </c>
      <c r="N23">
        <v>300</v>
      </c>
      <c r="O23">
        <v>1237.5</v>
      </c>
      <c r="P23">
        <v>4.1399999999999997</v>
      </c>
      <c r="R23">
        <v>582</v>
      </c>
      <c r="S23">
        <v>582</v>
      </c>
      <c r="T23">
        <v>121</v>
      </c>
      <c r="U23">
        <v>0.41</v>
      </c>
      <c r="V23">
        <v>1</v>
      </c>
      <c r="W23">
        <v>0</v>
      </c>
      <c r="X23">
        <v>1</v>
      </c>
      <c r="Y23">
        <v>31</v>
      </c>
      <c r="Z23">
        <v>88155</v>
      </c>
      <c r="AA23">
        <v>2.02</v>
      </c>
      <c r="AB23">
        <v>88155</v>
      </c>
      <c r="AC23">
        <v>2.02</v>
      </c>
      <c r="AD23">
        <v>15382</v>
      </c>
      <c r="AE23">
        <v>2464800</v>
      </c>
      <c r="AF23">
        <v>0.17449999999999999</v>
      </c>
      <c r="AG23">
        <v>288</v>
      </c>
      <c r="AH23">
        <v>10797972</v>
      </c>
      <c r="AI23">
        <v>8489</v>
      </c>
      <c r="AJ23">
        <v>562</v>
      </c>
      <c r="AK23" s="20" t="s">
        <v>1052</v>
      </c>
      <c r="AL23" s="20" t="s">
        <v>1053</v>
      </c>
      <c r="AM23" s="20" t="s">
        <v>1054</v>
      </c>
      <c r="AN23" s="20" t="s">
        <v>1055</v>
      </c>
      <c r="AO23" s="20" t="s">
        <v>950</v>
      </c>
      <c r="AP23">
        <v>2</v>
      </c>
      <c r="AQ23">
        <v>8</v>
      </c>
      <c r="AR23">
        <v>25</v>
      </c>
      <c r="AS23">
        <v>57</v>
      </c>
      <c r="AT23">
        <v>35</v>
      </c>
      <c r="AU23" s="27">
        <v>27880</v>
      </c>
      <c r="AV23" s="20"/>
      <c r="AW23" s="20"/>
      <c r="AX23" s="20"/>
      <c r="AY23" s="20"/>
    </row>
    <row r="24" spans="1:51">
      <c r="A24" s="27">
        <v>43466</v>
      </c>
      <c r="B24" s="20" t="s">
        <v>70</v>
      </c>
      <c r="C24" s="20" t="s">
        <v>1056</v>
      </c>
      <c r="D24">
        <v>125</v>
      </c>
      <c r="E24">
        <v>3</v>
      </c>
      <c r="F24">
        <v>444</v>
      </c>
      <c r="G24">
        <v>444</v>
      </c>
      <c r="H24" s="20" t="s">
        <v>1057</v>
      </c>
      <c r="I24" s="20" t="s">
        <v>935</v>
      </c>
      <c r="J24" s="20" t="s">
        <v>936</v>
      </c>
      <c r="K24" s="20" t="s">
        <v>937</v>
      </c>
      <c r="M24">
        <v>167</v>
      </c>
      <c r="N24">
        <v>168</v>
      </c>
      <c r="O24">
        <v>826.5</v>
      </c>
      <c r="P24">
        <v>4.95</v>
      </c>
      <c r="R24">
        <v>446</v>
      </c>
      <c r="S24">
        <v>446</v>
      </c>
      <c r="T24">
        <v>64</v>
      </c>
      <c r="U24">
        <v>0.38800000000000001</v>
      </c>
      <c r="V24">
        <v>1</v>
      </c>
      <c r="W24">
        <v>0</v>
      </c>
      <c r="X24">
        <v>1</v>
      </c>
      <c r="Y24">
        <v>20</v>
      </c>
      <c r="Z24">
        <v>27477</v>
      </c>
      <c r="AA24">
        <v>0.63</v>
      </c>
      <c r="AB24">
        <v>27477</v>
      </c>
      <c r="AC24">
        <v>0.63</v>
      </c>
      <c r="AD24">
        <v>9043</v>
      </c>
      <c r="AE24">
        <v>1585892</v>
      </c>
      <c r="AF24">
        <v>0.3291</v>
      </c>
      <c r="AG24">
        <v>708</v>
      </c>
      <c r="AH24">
        <v>2817000</v>
      </c>
      <c r="AI24">
        <v>3382</v>
      </c>
      <c r="AJ24">
        <v>578</v>
      </c>
      <c r="AK24" s="20" t="s">
        <v>1058</v>
      </c>
      <c r="AL24" s="20" t="s">
        <v>1059</v>
      </c>
      <c r="AM24" s="20" t="s">
        <v>971</v>
      </c>
      <c r="AN24" s="20"/>
      <c r="AO24" s="20" t="s">
        <v>963</v>
      </c>
      <c r="AP24">
        <v>9</v>
      </c>
      <c r="AQ24">
        <v>13</v>
      </c>
      <c r="AR24">
        <v>30</v>
      </c>
      <c r="AS24">
        <v>71</v>
      </c>
      <c r="AT24">
        <v>7</v>
      </c>
      <c r="AU24" s="27">
        <v>22766</v>
      </c>
      <c r="AV24" s="20" t="s">
        <v>1060</v>
      </c>
      <c r="AW24" s="20"/>
      <c r="AX24" s="20"/>
      <c r="AY24" s="20"/>
    </row>
    <row r="25" spans="1:51">
      <c r="A25" s="27">
        <v>43466</v>
      </c>
      <c r="B25" s="20" t="s">
        <v>273</v>
      </c>
      <c r="C25" s="20" t="s">
        <v>1061</v>
      </c>
      <c r="D25">
        <v>202</v>
      </c>
      <c r="E25">
        <v>197</v>
      </c>
      <c r="F25">
        <v>311</v>
      </c>
      <c r="G25">
        <v>311</v>
      </c>
      <c r="H25" s="20" t="s">
        <v>1062</v>
      </c>
      <c r="I25" s="20" t="s">
        <v>935</v>
      </c>
      <c r="J25" s="20" t="s">
        <v>936</v>
      </c>
      <c r="K25" s="20" t="s">
        <v>937</v>
      </c>
      <c r="M25">
        <v>232</v>
      </c>
      <c r="N25">
        <v>233</v>
      </c>
      <c r="O25">
        <v>976</v>
      </c>
      <c r="P25">
        <v>4.21</v>
      </c>
      <c r="R25">
        <v>455</v>
      </c>
      <c r="S25">
        <v>455</v>
      </c>
      <c r="T25">
        <v>89</v>
      </c>
      <c r="U25">
        <v>0.38700000000000001</v>
      </c>
      <c r="V25">
        <v>1</v>
      </c>
      <c r="W25">
        <v>0</v>
      </c>
      <c r="X25">
        <v>1</v>
      </c>
      <c r="Y25">
        <v>20</v>
      </c>
      <c r="Z25">
        <v>99606</v>
      </c>
      <c r="AA25">
        <v>2.29</v>
      </c>
      <c r="AB25">
        <v>99606</v>
      </c>
      <c r="AC25">
        <v>2.29</v>
      </c>
      <c r="AD25">
        <v>13621</v>
      </c>
      <c r="AE25">
        <v>1877893</v>
      </c>
      <c r="AF25">
        <v>0.13669999999999999</v>
      </c>
      <c r="AG25">
        <v>199</v>
      </c>
      <c r="AH25">
        <v>8091156</v>
      </c>
      <c r="AI25">
        <v>8173</v>
      </c>
      <c r="AJ25">
        <v>493</v>
      </c>
      <c r="AK25" s="20" t="s">
        <v>1063</v>
      </c>
      <c r="AL25" s="20" t="s">
        <v>1064</v>
      </c>
      <c r="AM25" s="20" t="s">
        <v>1065</v>
      </c>
      <c r="AN25" s="20"/>
      <c r="AO25" s="20" t="s">
        <v>942</v>
      </c>
      <c r="AP25">
        <v>7</v>
      </c>
      <c r="AQ25">
        <v>13</v>
      </c>
      <c r="AR25">
        <v>33</v>
      </c>
      <c r="AS25">
        <v>86</v>
      </c>
      <c r="AT25">
        <v>14</v>
      </c>
      <c r="AU25" s="27">
        <v>26815</v>
      </c>
      <c r="AV25" s="20"/>
      <c r="AW25" s="20"/>
      <c r="AX25" s="20"/>
      <c r="AY25" s="20"/>
    </row>
    <row r="26" spans="1:51">
      <c r="A26" s="27">
        <v>43466</v>
      </c>
      <c r="B26" s="20" t="s">
        <v>300</v>
      </c>
      <c r="C26" s="20" t="s">
        <v>1066</v>
      </c>
      <c r="D26">
        <v>91</v>
      </c>
      <c r="E26">
        <v>91</v>
      </c>
      <c r="F26">
        <v>240</v>
      </c>
      <c r="G26">
        <v>240</v>
      </c>
      <c r="H26" s="20" t="s">
        <v>1067</v>
      </c>
      <c r="I26" s="20" t="s">
        <v>935</v>
      </c>
      <c r="J26" s="20" t="s">
        <v>936</v>
      </c>
      <c r="K26" s="20" t="s">
        <v>937</v>
      </c>
      <c r="M26">
        <v>381</v>
      </c>
      <c r="N26">
        <v>386</v>
      </c>
      <c r="O26">
        <v>1779.5</v>
      </c>
      <c r="P26">
        <v>4.67</v>
      </c>
      <c r="R26">
        <v>947</v>
      </c>
      <c r="S26">
        <v>947</v>
      </c>
      <c r="T26">
        <v>143</v>
      </c>
      <c r="U26">
        <v>0.377</v>
      </c>
      <c r="V26">
        <v>5</v>
      </c>
      <c r="W26">
        <v>1</v>
      </c>
      <c r="X26">
        <v>8</v>
      </c>
      <c r="Y26">
        <v>8</v>
      </c>
      <c r="Z26">
        <v>325713</v>
      </c>
      <c r="AA26">
        <v>7.48</v>
      </c>
      <c r="AB26">
        <v>325713</v>
      </c>
      <c r="AC26">
        <v>7.48</v>
      </c>
      <c r="AD26">
        <v>54504</v>
      </c>
      <c r="AE26">
        <v>3529560</v>
      </c>
      <c r="AF26">
        <v>0.1673</v>
      </c>
      <c r="AG26">
        <v>127</v>
      </c>
      <c r="AH26">
        <v>5856304</v>
      </c>
      <c r="AI26">
        <v>3246</v>
      </c>
      <c r="AJ26">
        <v>548</v>
      </c>
      <c r="AK26" s="20" t="s">
        <v>1068</v>
      </c>
      <c r="AL26" s="20" t="s">
        <v>1069</v>
      </c>
      <c r="AM26" s="20" t="s">
        <v>1070</v>
      </c>
      <c r="AN26" s="20" t="s">
        <v>1071</v>
      </c>
      <c r="AO26" s="20" t="s">
        <v>1049</v>
      </c>
      <c r="AP26">
        <v>12</v>
      </c>
      <c r="AQ26">
        <v>5</v>
      </c>
      <c r="AR26" t="s">
        <v>1072</v>
      </c>
      <c r="AS26">
        <v>32</v>
      </c>
      <c r="AT26">
        <v>28</v>
      </c>
      <c r="AU26" s="27">
        <v>22401</v>
      </c>
      <c r="AV26" s="20"/>
      <c r="AW26" s="20"/>
      <c r="AX26" s="20"/>
      <c r="AY26" s="20"/>
    </row>
    <row r="27" spans="1:51">
      <c r="A27" s="27">
        <v>43466</v>
      </c>
      <c r="B27" s="20" t="s">
        <v>58</v>
      </c>
      <c r="C27" s="20" t="s">
        <v>1073</v>
      </c>
      <c r="D27">
        <v>60</v>
      </c>
      <c r="E27">
        <v>60</v>
      </c>
      <c r="F27">
        <v>215</v>
      </c>
      <c r="G27">
        <v>215</v>
      </c>
      <c r="H27" s="20" t="s">
        <v>1074</v>
      </c>
      <c r="I27" s="20" t="s">
        <v>935</v>
      </c>
      <c r="J27" s="20" t="s">
        <v>936</v>
      </c>
      <c r="K27" s="20" t="s">
        <v>937</v>
      </c>
      <c r="M27">
        <v>2193</v>
      </c>
      <c r="N27">
        <v>2194</v>
      </c>
      <c r="O27">
        <v>10240.5</v>
      </c>
      <c r="P27">
        <v>4.67</v>
      </c>
      <c r="R27">
        <v>4872</v>
      </c>
      <c r="S27">
        <v>4872</v>
      </c>
      <c r="T27">
        <v>962</v>
      </c>
      <c r="U27">
        <v>0.44500000000000001</v>
      </c>
      <c r="V27">
        <v>17</v>
      </c>
      <c r="W27">
        <v>1</v>
      </c>
      <c r="X27">
        <v>35</v>
      </c>
      <c r="Y27">
        <v>41833</v>
      </c>
      <c r="Z27">
        <v>1196115</v>
      </c>
      <c r="AA27">
        <v>27.46</v>
      </c>
      <c r="AB27">
        <v>1101503</v>
      </c>
      <c r="AC27">
        <v>25.29</v>
      </c>
      <c r="AD27">
        <v>160098</v>
      </c>
      <c r="AE27">
        <v>17784205</v>
      </c>
      <c r="AF27">
        <v>0.1338</v>
      </c>
      <c r="AG27">
        <v>177</v>
      </c>
      <c r="AH27">
        <v>36411155</v>
      </c>
      <c r="AI27">
        <v>3553</v>
      </c>
      <c r="AJ27">
        <v>534</v>
      </c>
      <c r="AK27" s="20" t="s">
        <v>1075</v>
      </c>
      <c r="AL27" s="20" t="s">
        <v>1076</v>
      </c>
      <c r="AM27" s="20" t="s">
        <v>1077</v>
      </c>
      <c r="AN27" s="20" t="s">
        <v>1078</v>
      </c>
      <c r="AO27" s="20" t="s">
        <v>963</v>
      </c>
      <c r="AP27">
        <v>3</v>
      </c>
      <c r="AQ27">
        <v>7</v>
      </c>
      <c r="AR27">
        <v>26</v>
      </c>
      <c r="AS27">
        <v>74</v>
      </c>
      <c r="AT27">
        <v>2</v>
      </c>
      <c r="AU27" s="27">
        <v>21768</v>
      </c>
      <c r="AV27" s="20"/>
      <c r="AW27" s="20"/>
      <c r="AX27" s="20"/>
      <c r="AY27" s="20"/>
    </row>
    <row r="28" spans="1:51">
      <c r="A28" s="27">
        <v>43466</v>
      </c>
      <c r="B28" s="20" t="s">
        <v>48</v>
      </c>
      <c r="C28" s="20" t="s">
        <v>1073</v>
      </c>
      <c r="D28">
        <v>198</v>
      </c>
      <c r="E28">
        <v>60</v>
      </c>
      <c r="F28">
        <v>383</v>
      </c>
      <c r="G28">
        <v>215</v>
      </c>
      <c r="H28" s="20" t="s">
        <v>1079</v>
      </c>
      <c r="I28" s="20" t="s">
        <v>935</v>
      </c>
      <c r="J28" s="20" t="s">
        <v>936</v>
      </c>
      <c r="K28" s="20" t="s">
        <v>1080</v>
      </c>
      <c r="M28">
        <v>197</v>
      </c>
      <c r="N28">
        <v>197</v>
      </c>
      <c r="O28">
        <v>646.5</v>
      </c>
      <c r="P28">
        <v>3.28</v>
      </c>
      <c r="R28">
        <v>242</v>
      </c>
      <c r="S28">
        <v>242</v>
      </c>
      <c r="T28">
        <v>179</v>
      </c>
      <c r="U28">
        <v>0.92300000000000004</v>
      </c>
      <c r="V28">
        <v>1</v>
      </c>
      <c r="W28">
        <v>0</v>
      </c>
      <c r="X28">
        <v>1</v>
      </c>
      <c r="Y28">
        <v>23</v>
      </c>
      <c r="Z28">
        <v>47204</v>
      </c>
      <c r="AA28">
        <v>1.08</v>
      </c>
      <c r="AB28">
        <v>47204</v>
      </c>
      <c r="AC28">
        <v>1.08</v>
      </c>
      <c r="AD28">
        <v>6149</v>
      </c>
      <c r="AE28">
        <v>1268931</v>
      </c>
      <c r="AF28">
        <v>0.1303</v>
      </c>
      <c r="AG28">
        <v>224</v>
      </c>
      <c r="AH28">
        <v>6622549</v>
      </c>
      <c r="AI28">
        <v>9907</v>
      </c>
      <c r="AJ28">
        <v>302</v>
      </c>
      <c r="AK28" s="20" t="s">
        <v>1078</v>
      </c>
      <c r="AL28" s="20" t="s">
        <v>1077</v>
      </c>
      <c r="AM28" s="20" t="s">
        <v>1075</v>
      </c>
      <c r="AN28" s="20" t="s">
        <v>1076</v>
      </c>
      <c r="AO28" s="20" t="s">
        <v>963</v>
      </c>
      <c r="AP28">
        <v>3</v>
      </c>
      <c r="AQ28">
        <v>7</v>
      </c>
      <c r="AR28">
        <v>26</v>
      </c>
      <c r="AS28">
        <v>74</v>
      </c>
      <c r="AT28">
        <v>2</v>
      </c>
      <c r="AU28" s="27">
        <v>28245</v>
      </c>
      <c r="AV28" s="20"/>
      <c r="AW28" s="20" t="s">
        <v>1081</v>
      </c>
      <c r="AX28" s="20"/>
      <c r="AY28" s="20"/>
    </row>
    <row r="29" spans="1:51">
      <c r="A29" s="27">
        <v>43466</v>
      </c>
      <c r="B29" s="20" t="s">
        <v>231</v>
      </c>
      <c r="C29" s="20" t="s">
        <v>1082</v>
      </c>
      <c r="D29">
        <v>92</v>
      </c>
      <c r="E29">
        <v>92</v>
      </c>
      <c r="F29">
        <v>670</v>
      </c>
      <c r="G29">
        <v>670</v>
      </c>
      <c r="H29" s="20" t="s">
        <v>1083</v>
      </c>
      <c r="I29" s="20" t="s">
        <v>1031</v>
      </c>
      <c r="J29" s="20" t="s">
        <v>936</v>
      </c>
      <c r="K29" s="20" t="s">
        <v>937</v>
      </c>
      <c r="L29">
        <v>340</v>
      </c>
      <c r="M29">
        <v>1609</v>
      </c>
      <c r="N29">
        <v>1610</v>
      </c>
      <c r="O29">
        <v>7310.5</v>
      </c>
      <c r="P29">
        <v>4.54</v>
      </c>
      <c r="Q29">
        <v>871</v>
      </c>
      <c r="R29">
        <v>2635</v>
      </c>
      <c r="S29">
        <v>3506</v>
      </c>
      <c r="T29">
        <v>620</v>
      </c>
      <c r="U29">
        <v>0.38800000000000001</v>
      </c>
      <c r="V29">
        <v>23</v>
      </c>
      <c r="W29">
        <v>2</v>
      </c>
      <c r="X29">
        <v>26</v>
      </c>
      <c r="Y29">
        <v>8</v>
      </c>
      <c r="Z29">
        <v>1481844</v>
      </c>
      <c r="AA29">
        <v>34.020000000000003</v>
      </c>
      <c r="AB29">
        <v>1459244</v>
      </c>
      <c r="AC29">
        <v>33.5</v>
      </c>
      <c r="AD29">
        <v>228305</v>
      </c>
      <c r="AE29">
        <v>14262296</v>
      </c>
      <c r="AF29">
        <v>0.15409999999999999</v>
      </c>
      <c r="AG29">
        <v>103</v>
      </c>
      <c r="AH29">
        <v>19575470</v>
      </c>
      <c r="AI29">
        <v>2676</v>
      </c>
      <c r="AJ29">
        <v>529</v>
      </c>
      <c r="AK29" s="20" t="s">
        <v>1084</v>
      </c>
      <c r="AL29" s="20" t="s">
        <v>1085</v>
      </c>
      <c r="AM29" s="20" t="s">
        <v>1086</v>
      </c>
      <c r="AN29" s="20" t="s">
        <v>1087</v>
      </c>
      <c r="AO29" s="20" t="s">
        <v>950</v>
      </c>
      <c r="AP29">
        <v>18</v>
      </c>
      <c r="AQ29">
        <v>8</v>
      </c>
      <c r="AR29">
        <v>19</v>
      </c>
      <c r="AS29">
        <v>59</v>
      </c>
      <c r="AT29">
        <v>46</v>
      </c>
      <c r="AU29" s="27">
        <v>20613</v>
      </c>
      <c r="AV29" s="20"/>
      <c r="AW29" s="20"/>
      <c r="AX29" s="20"/>
      <c r="AY29" s="20"/>
    </row>
    <row r="30" spans="1:51">
      <c r="A30" s="27">
        <v>43466</v>
      </c>
      <c r="B30" s="20" t="s">
        <v>301</v>
      </c>
      <c r="C30" s="20" t="s">
        <v>1088</v>
      </c>
      <c r="D30">
        <v>165</v>
      </c>
      <c r="E30">
        <v>165</v>
      </c>
      <c r="F30">
        <v>282</v>
      </c>
      <c r="G30">
        <v>282</v>
      </c>
      <c r="H30" s="20" t="s">
        <v>1089</v>
      </c>
      <c r="I30" s="20" t="s">
        <v>935</v>
      </c>
      <c r="J30" s="20" t="s">
        <v>936</v>
      </c>
      <c r="K30" s="20" t="s">
        <v>937</v>
      </c>
      <c r="M30">
        <v>712</v>
      </c>
      <c r="N30">
        <v>712</v>
      </c>
      <c r="O30">
        <v>3106</v>
      </c>
      <c r="P30">
        <v>4.3600000000000003</v>
      </c>
      <c r="R30">
        <v>1622</v>
      </c>
      <c r="S30">
        <v>1622</v>
      </c>
      <c r="T30">
        <v>233</v>
      </c>
      <c r="U30">
        <v>0.33500000000000002</v>
      </c>
      <c r="V30">
        <v>4</v>
      </c>
      <c r="W30">
        <v>1</v>
      </c>
      <c r="X30">
        <v>7</v>
      </c>
      <c r="Y30">
        <v>13</v>
      </c>
      <c r="Z30">
        <v>580000</v>
      </c>
      <c r="AA30">
        <v>13.31</v>
      </c>
      <c r="AB30">
        <v>580000</v>
      </c>
      <c r="AC30">
        <v>13.31</v>
      </c>
      <c r="AD30">
        <v>66756</v>
      </c>
      <c r="AE30">
        <v>6385727</v>
      </c>
      <c r="AF30">
        <v>0.11509999999999999</v>
      </c>
      <c r="AG30">
        <v>122</v>
      </c>
      <c r="AH30">
        <v>24811000</v>
      </c>
      <c r="AI30">
        <v>7988</v>
      </c>
      <c r="AJ30">
        <v>470</v>
      </c>
      <c r="AK30" s="20" t="s">
        <v>1090</v>
      </c>
      <c r="AL30" s="20" t="s">
        <v>1091</v>
      </c>
      <c r="AM30" s="20" t="s">
        <v>1092</v>
      </c>
      <c r="AN30" s="20" t="s">
        <v>1093</v>
      </c>
      <c r="AO30" s="20" t="s">
        <v>1049</v>
      </c>
      <c r="AP30">
        <v>14</v>
      </c>
      <c r="AQ30">
        <v>5</v>
      </c>
      <c r="AR30">
        <v>10</v>
      </c>
      <c r="AS30">
        <v>31</v>
      </c>
      <c r="AT30">
        <v>31</v>
      </c>
      <c r="AU30" s="27">
        <v>26998</v>
      </c>
      <c r="AV30" s="20"/>
      <c r="AW30" s="20"/>
      <c r="AX30" s="20"/>
      <c r="AY30" s="20"/>
    </row>
    <row r="31" spans="1:51">
      <c r="A31" s="27">
        <v>43466</v>
      </c>
      <c r="B31" s="20" t="s">
        <v>142</v>
      </c>
      <c r="C31" s="20" t="s">
        <v>975</v>
      </c>
      <c r="D31">
        <v>311</v>
      </c>
      <c r="E31">
        <v>73</v>
      </c>
      <c r="F31">
        <v>266</v>
      </c>
      <c r="G31">
        <v>538</v>
      </c>
      <c r="H31" s="20" t="s">
        <v>1094</v>
      </c>
      <c r="I31" s="20" t="s">
        <v>935</v>
      </c>
      <c r="J31" s="20" t="s">
        <v>945</v>
      </c>
      <c r="K31" s="20" t="s">
        <v>953</v>
      </c>
      <c r="M31">
        <v>84</v>
      </c>
      <c r="N31">
        <v>85</v>
      </c>
      <c r="O31">
        <v>381</v>
      </c>
      <c r="P31">
        <v>4.54</v>
      </c>
      <c r="R31">
        <v>180</v>
      </c>
      <c r="S31">
        <v>180</v>
      </c>
      <c r="T31">
        <v>29</v>
      </c>
      <c r="U31">
        <v>0.34899999999999998</v>
      </c>
      <c r="V31">
        <v>3</v>
      </c>
      <c r="W31">
        <v>0</v>
      </c>
      <c r="X31">
        <v>5</v>
      </c>
      <c r="Y31">
        <v>43561</v>
      </c>
      <c r="Z31">
        <v>26000</v>
      </c>
      <c r="AA31">
        <v>0.6</v>
      </c>
      <c r="AB31">
        <v>26000</v>
      </c>
      <c r="AC31">
        <v>0.6</v>
      </c>
      <c r="AD31">
        <v>18283</v>
      </c>
      <c r="AE31">
        <v>856611</v>
      </c>
      <c r="AF31">
        <v>0.70320000000000005</v>
      </c>
      <c r="AG31">
        <v>300</v>
      </c>
      <c r="AH31">
        <v>5219763</v>
      </c>
      <c r="AI31">
        <v>13316</v>
      </c>
      <c r="AJ31">
        <v>579</v>
      </c>
      <c r="AK31" s="20" t="s">
        <v>1095</v>
      </c>
      <c r="AL31" s="20" t="s">
        <v>977</v>
      </c>
      <c r="AM31" s="20" t="s">
        <v>978</v>
      </c>
      <c r="AN31" s="20" t="s">
        <v>1096</v>
      </c>
      <c r="AO31" s="20" t="s">
        <v>950</v>
      </c>
      <c r="AP31">
        <v>3</v>
      </c>
      <c r="AQ31">
        <v>8</v>
      </c>
      <c r="AR31">
        <v>18</v>
      </c>
      <c r="AS31">
        <v>54</v>
      </c>
      <c r="AT31">
        <v>36</v>
      </c>
      <c r="AU31" s="27">
        <v>30467</v>
      </c>
      <c r="AV31" s="20"/>
      <c r="AW31" s="20"/>
      <c r="AX31" s="20" t="s">
        <v>974</v>
      </c>
      <c r="AY31" s="20"/>
    </row>
    <row r="32" spans="1:51">
      <c r="A32" s="27">
        <v>43466</v>
      </c>
      <c r="B32" s="20" t="s">
        <v>302</v>
      </c>
      <c r="C32" s="20" t="s">
        <v>1097</v>
      </c>
      <c r="D32">
        <v>345</v>
      </c>
      <c r="E32">
        <v>46</v>
      </c>
      <c r="F32">
        <v>761</v>
      </c>
      <c r="G32">
        <v>761</v>
      </c>
      <c r="H32" s="20" t="s">
        <v>1098</v>
      </c>
      <c r="I32" s="20" t="s">
        <v>935</v>
      </c>
      <c r="J32" s="20" t="s">
        <v>945</v>
      </c>
      <c r="K32" s="20" t="s">
        <v>937</v>
      </c>
      <c r="M32">
        <v>72</v>
      </c>
      <c r="N32">
        <v>72</v>
      </c>
      <c r="O32">
        <v>336</v>
      </c>
      <c r="P32">
        <v>4.67</v>
      </c>
      <c r="R32">
        <v>189</v>
      </c>
      <c r="S32">
        <v>189</v>
      </c>
      <c r="T32">
        <v>21</v>
      </c>
      <c r="U32">
        <v>0.29199999999999998</v>
      </c>
      <c r="V32">
        <v>3</v>
      </c>
      <c r="W32">
        <v>0</v>
      </c>
      <c r="X32">
        <v>8</v>
      </c>
      <c r="Y32">
        <v>3</v>
      </c>
      <c r="Z32">
        <v>80000</v>
      </c>
      <c r="AA32">
        <v>1.84</v>
      </c>
      <c r="AB32">
        <v>80000</v>
      </c>
      <c r="AC32">
        <v>1.84</v>
      </c>
      <c r="AD32">
        <v>24395</v>
      </c>
      <c r="AE32">
        <v>889912</v>
      </c>
      <c r="AF32">
        <v>0.3049</v>
      </c>
      <c r="AG32">
        <v>103</v>
      </c>
      <c r="AH32">
        <v>5373534</v>
      </c>
      <c r="AI32">
        <v>15993</v>
      </c>
      <c r="AJ32">
        <v>577</v>
      </c>
      <c r="AK32" s="20" t="s">
        <v>1099</v>
      </c>
      <c r="AL32" s="20" t="s">
        <v>1100</v>
      </c>
      <c r="AM32" s="20" t="s">
        <v>948</v>
      </c>
      <c r="AN32" s="20" t="s">
        <v>1101</v>
      </c>
      <c r="AO32" s="20" t="s">
        <v>950</v>
      </c>
      <c r="AP32">
        <v>5</v>
      </c>
      <c r="AQ32">
        <v>8</v>
      </c>
      <c r="AR32">
        <v>19</v>
      </c>
      <c r="AS32">
        <v>60</v>
      </c>
      <c r="AT32">
        <v>42</v>
      </c>
      <c r="AU32" s="27">
        <v>31471</v>
      </c>
      <c r="AV32" s="20"/>
      <c r="AW32" s="20"/>
      <c r="AX32" s="20" t="s">
        <v>974</v>
      </c>
      <c r="AY32" s="20"/>
    </row>
    <row r="33" spans="1:51">
      <c r="A33" s="27">
        <v>43466</v>
      </c>
      <c r="B33" s="20" t="s">
        <v>232</v>
      </c>
      <c r="C33" s="20" t="s">
        <v>1102</v>
      </c>
      <c r="D33">
        <v>52</v>
      </c>
      <c r="E33">
        <v>52</v>
      </c>
      <c r="F33">
        <v>587</v>
      </c>
      <c r="G33">
        <v>587</v>
      </c>
      <c r="H33" s="20" t="s">
        <v>1103</v>
      </c>
      <c r="I33" s="20" t="s">
        <v>935</v>
      </c>
      <c r="J33" s="20" t="s">
        <v>936</v>
      </c>
      <c r="K33" s="20" t="s">
        <v>937</v>
      </c>
      <c r="M33">
        <v>506</v>
      </c>
      <c r="N33">
        <v>506</v>
      </c>
      <c r="O33">
        <v>2129</v>
      </c>
      <c r="P33">
        <v>4.21</v>
      </c>
      <c r="R33">
        <v>944</v>
      </c>
      <c r="S33">
        <v>944</v>
      </c>
      <c r="T33">
        <v>220</v>
      </c>
      <c r="U33">
        <v>0.439</v>
      </c>
      <c r="V33">
        <v>8</v>
      </c>
      <c r="W33">
        <v>1</v>
      </c>
      <c r="X33">
        <v>17</v>
      </c>
      <c r="Y33">
        <v>6</v>
      </c>
      <c r="Z33">
        <v>604913</v>
      </c>
      <c r="AA33">
        <v>13.89</v>
      </c>
      <c r="AB33">
        <v>511178</v>
      </c>
      <c r="AC33">
        <v>11.74</v>
      </c>
      <c r="AD33">
        <v>77152</v>
      </c>
      <c r="AE33">
        <v>4520277</v>
      </c>
      <c r="AF33">
        <v>0.1275</v>
      </c>
      <c r="AG33">
        <v>68</v>
      </c>
      <c r="AH33">
        <v>5929376</v>
      </c>
      <c r="AI33">
        <v>2785</v>
      </c>
      <c r="AJ33">
        <v>511</v>
      </c>
      <c r="AK33" s="20" t="s">
        <v>1104</v>
      </c>
      <c r="AL33" s="20" t="s">
        <v>1105</v>
      </c>
      <c r="AM33" s="20" t="s">
        <v>1106</v>
      </c>
      <c r="AN33" s="20" t="s">
        <v>1107</v>
      </c>
      <c r="AO33" s="20" t="s">
        <v>1108</v>
      </c>
      <c r="AP33">
        <v>2</v>
      </c>
      <c r="AQ33">
        <v>11</v>
      </c>
      <c r="AR33">
        <v>24</v>
      </c>
      <c r="AS33">
        <v>63</v>
      </c>
      <c r="AT33">
        <v>50</v>
      </c>
      <c r="AU33" s="27">
        <v>18563</v>
      </c>
      <c r="AV33" s="20" t="s">
        <v>1109</v>
      </c>
      <c r="AW33" s="20"/>
      <c r="AX33" s="20"/>
      <c r="AY33" s="20"/>
    </row>
    <row r="34" spans="1:51">
      <c r="A34" s="27">
        <v>43466</v>
      </c>
      <c r="B34" s="20" t="s">
        <v>303</v>
      </c>
      <c r="C34" s="20" t="s">
        <v>1110</v>
      </c>
      <c r="D34">
        <v>357</v>
      </c>
      <c r="E34">
        <v>131</v>
      </c>
      <c r="F34">
        <v>777</v>
      </c>
      <c r="G34">
        <v>777</v>
      </c>
      <c r="H34" s="20" t="s">
        <v>1111</v>
      </c>
      <c r="I34" s="20" t="s">
        <v>935</v>
      </c>
      <c r="J34" s="20" t="s">
        <v>945</v>
      </c>
      <c r="K34" s="20" t="s">
        <v>937</v>
      </c>
      <c r="M34">
        <v>150</v>
      </c>
      <c r="N34">
        <v>150</v>
      </c>
      <c r="O34">
        <v>711</v>
      </c>
      <c r="P34">
        <v>4.74</v>
      </c>
      <c r="R34">
        <v>370</v>
      </c>
      <c r="S34">
        <v>370</v>
      </c>
      <c r="T34">
        <v>44</v>
      </c>
      <c r="U34">
        <v>0.29899999999999999</v>
      </c>
      <c r="V34">
        <v>4</v>
      </c>
      <c r="W34">
        <v>0</v>
      </c>
      <c r="X34">
        <v>15</v>
      </c>
      <c r="Y34">
        <v>43530</v>
      </c>
      <c r="Z34">
        <v>129228</v>
      </c>
      <c r="AA34">
        <v>2.97</v>
      </c>
      <c r="AB34">
        <v>129228</v>
      </c>
      <c r="AC34">
        <v>2.97</v>
      </c>
      <c r="AD34">
        <v>39559</v>
      </c>
      <c r="AE34">
        <v>1341343</v>
      </c>
      <c r="AF34">
        <v>0.30609999999999998</v>
      </c>
      <c r="AG34">
        <v>125</v>
      </c>
      <c r="AH34">
        <v>17062418</v>
      </c>
      <c r="AI34">
        <v>23999</v>
      </c>
      <c r="AJ34">
        <v>627</v>
      </c>
      <c r="AK34" s="20" t="s">
        <v>1112</v>
      </c>
      <c r="AL34" s="20" t="s">
        <v>1113</v>
      </c>
      <c r="AM34" s="20" t="s">
        <v>1114</v>
      </c>
      <c r="AN34" s="20" t="s">
        <v>1115</v>
      </c>
      <c r="AO34" s="20" t="s">
        <v>950</v>
      </c>
      <c r="AP34">
        <v>1</v>
      </c>
      <c r="AQ34">
        <v>7</v>
      </c>
      <c r="AR34">
        <v>18</v>
      </c>
      <c r="AS34">
        <v>50</v>
      </c>
      <c r="AT34">
        <v>33</v>
      </c>
      <c r="AU34" s="27">
        <v>34972</v>
      </c>
      <c r="AV34" s="20"/>
      <c r="AW34" s="20"/>
      <c r="AX34" s="20" t="s">
        <v>974</v>
      </c>
      <c r="AY34" s="20"/>
    </row>
    <row r="35" spans="1:51">
      <c r="A35" s="27">
        <v>43466</v>
      </c>
      <c r="B35" s="20" t="s">
        <v>71</v>
      </c>
      <c r="C35" s="20" t="s">
        <v>1056</v>
      </c>
      <c r="D35">
        <v>160</v>
      </c>
      <c r="E35">
        <v>3</v>
      </c>
      <c r="F35">
        <v>271</v>
      </c>
      <c r="G35">
        <v>271</v>
      </c>
      <c r="H35" s="20" t="s">
        <v>1116</v>
      </c>
      <c r="I35" s="20" t="s">
        <v>935</v>
      </c>
      <c r="J35" s="20" t="s">
        <v>936</v>
      </c>
      <c r="K35" s="20" t="s">
        <v>1080</v>
      </c>
      <c r="M35">
        <v>210</v>
      </c>
      <c r="N35">
        <v>210</v>
      </c>
      <c r="O35">
        <v>735</v>
      </c>
      <c r="P35">
        <v>3.5</v>
      </c>
      <c r="R35">
        <v>260</v>
      </c>
      <c r="S35">
        <v>260</v>
      </c>
      <c r="T35">
        <v>185</v>
      </c>
      <c r="U35">
        <v>0.88500000000000001</v>
      </c>
      <c r="V35">
        <v>1</v>
      </c>
      <c r="W35">
        <v>0</v>
      </c>
      <c r="X35">
        <v>1</v>
      </c>
      <c r="Y35">
        <v>22</v>
      </c>
      <c r="Z35">
        <v>63546</v>
      </c>
      <c r="AA35">
        <v>1.46</v>
      </c>
      <c r="AB35">
        <v>63546</v>
      </c>
      <c r="AC35">
        <v>1.46</v>
      </c>
      <c r="AD35">
        <v>7751</v>
      </c>
      <c r="AE35">
        <v>1393115</v>
      </c>
      <c r="AF35">
        <v>0.122</v>
      </c>
      <c r="AG35">
        <v>178</v>
      </c>
      <c r="AH35">
        <v>3785397</v>
      </c>
      <c r="AI35">
        <v>5007</v>
      </c>
      <c r="AJ35">
        <v>337</v>
      </c>
      <c r="AK35" s="20" t="s">
        <v>1117</v>
      </c>
      <c r="AL35" s="20" t="s">
        <v>960</v>
      </c>
      <c r="AM35" s="20" t="s">
        <v>971</v>
      </c>
      <c r="AN35" s="20"/>
      <c r="AO35" s="20" t="s">
        <v>963</v>
      </c>
      <c r="AP35">
        <v>12</v>
      </c>
      <c r="AQ35">
        <v>13</v>
      </c>
      <c r="AR35">
        <v>30</v>
      </c>
      <c r="AS35">
        <v>71</v>
      </c>
      <c r="AT35">
        <v>7</v>
      </c>
      <c r="AU35" s="27">
        <v>24562</v>
      </c>
      <c r="AV35" s="20"/>
      <c r="AW35" s="20" t="s">
        <v>1081</v>
      </c>
      <c r="AX35" s="20"/>
      <c r="AY35" s="20"/>
    </row>
    <row r="36" spans="1:51">
      <c r="A36" s="27">
        <v>43466</v>
      </c>
      <c r="B36" s="20" t="s">
        <v>233</v>
      </c>
      <c r="C36" s="20" t="s">
        <v>1118</v>
      </c>
      <c r="D36">
        <v>54</v>
      </c>
      <c r="E36">
        <v>186</v>
      </c>
      <c r="F36">
        <v>519</v>
      </c>
      <c r="G36">
        <v>519</v>
      </c>
      <c r="H36" s="20" t="s">
        <v>1119</v>
      </c>
      <c r="I36" s="20" t="s">
        <v>935</v>
      </c>
      <c r="J36" s="20" t="s">
        <v>936</v>
      </c>
      <c r="K36" s="20" t="s">
        <v>937</v>
      </c>
      <c r="M36">
        <v>399</v>
      </c>
      <c r="N36">
        <v>400</v>
      </c>
      <c r="O36">
        <v>1850.5</v>
      </c>
      <c r="P36">
        <v>4.6399999999999997</v>
      </c>
      <c r="R36">
        <v>863</v>
      </c>
      <c r="S36">
        <v>863</v>
      </c>
      <c r="T36">
        <v>167</v>
      </c>
      <c r="U36">
        <v>0.42299999999999999</v>
      </c>
      <c r="V36">
        <v>5</v>
      </c>
      <c r="W36">
        <v>0</v>
      </c>
      <c r="X36">
        <v>5</v>
      </c>
      <c r="Y36">
        <v>10</v>
      </c>
      <c r="Z36">
        <v>269800</v>
      </c>
      <c r="AA36">
        <v>6.19</v>
      </c>
      <c r="AB36">
        <v>245785</v>
      </c>
      <c r="AC36">
        <v>5.64</v>
      </c>
      <c r="AD36">
        <v>43237</v>
      </c>
      <c r="AE36">
        <v>3668503</v>
      </c>
      <c r="AF36">
        <v>0.1603</v>
      </c>
      <c r="AG36">
        <v>139</v>
      </c>
      <c r="AH36">
        <v>5925000</v>
      </c>
      <c r="AI36">
        <v>3205</v>
      </c>
      <c r="AJ36">
        <v>585</v>
      </c>
      <c r="AK36" s="20" t="s">
        <v>1120</v>
      </c>
      <c r="AL36" s="20" t="s">
        <v>1121</v>
      </c>
      <c r="AM36" s="20" t="s">
        <v>1122</v>
      </c>
      <c r="AN36" s="20" t="s">
        <v>1068</v>
      </c>
      <c r="AO36" s="20" t="s">
        <v>1049</v>
      </c>
      <c r="AP36">
        <v>7</v>
      </c>
      <c r="AQ36">
        <v>6</v>
      </c>
      <c r="AR36">
        <v>11</v>
      </c>
      <c r="AS36">
        <v>40</v>
      </c>
      <c r="AT36">
        <v>20</v>
      </c>
      <c r="AU36" s="27">
        <v>19122</v>
      </c>
      <c r="AV36" s="20" t="s">
        <v>1050</v>
      </c>
      <c r="AW36" s="20"/>
      <c r="AX36" s="20"/>
      <c r="AY36" s="20"/>
    </row>
    <row r="37" spans="1:51">
      <c r="A37" s="27">
        <v>43466</v>
      </c>
      <c r="B37" s="20" t="s">
        <v>119</v>
      </c>
      <c r="C37" s="20" t="s">
        <v>1123</v>
      </c>
      <c r="D37">
        <v>243</v>
      </c>
      <c r="E37">
        <v>243</v>
      </c>
      <c r="F37">
        <v>353</v>
      </c>
      <c r="G37">
        <v>353</v>
      </c>
      <c r="H37" s="20" t="s">
        <v>1124</v>
      </c>
      <c r="I37" s="20" t="s">
        <v>935</v>
      </c>
      <c r="J37" s="20" t="s">
        <v>945</v>
      </c>
      <c r="K37" s="20" t="s">
        <v>937</v>
      </c>
      <c r="M37">
        <v>509</v>
      </c>
      <c r="N37">
        <v>509</v>
      </c>
      <c r="O37">
        <v>2359.5</v>
      </c>
      <c r="P37">
        <v>4.6399999999999997</v>
      </c>
      <c r="R37">
        <v>1123</v>
      </c>
      <c r="S37">
        <v>1123</v>
      </c>
      <c r="T37">
        <v>270</v>
      </c>
      <c r="U37">
        <v>0.53900000000000003</v>
      </c>
      <c r="V37">
        <v>8</v>
      </c>
      <c r="W37">
        <v>2</v>
      </c>
      <c r="X37">
        <v>10</v>
      </c>
      <c r="Y37">
        <v>7</v>
      </c>
      <c r="Z37">
        <v>250875</v>
      </c>
      <c r="AA37">
        <v>5.76</v>
      </c>
      <c r="AB37">
        <v>250875</v>
      </c>
      <c r="AC37">
        <v>5.76</v>
      </c>
      <c r="AD37">
        <v>96902</v>
      </c>
      <c r="AE37">
        <v>4544080</v>
      </c>
      <c r="AF37">
        <v>0.38629999999999998</v>
      </c>
      <c r="AG37">
        <v>195</v>
      </c>
      <c r="AH37">
        <v>15625047</v>
      </c>
      <c r="AI37">
        <v>6556</v>
      </c>
      <c r="AJ37">
        <v>539</v>
      </c>
      <c r="AK37" s="20" t="s">
        <v>1125</v>
      </c>
      <c r="AL37" s="20" t="s">
        <v>1126</v>
      </c>
      <c r="AM37" s="20" t="s">
        <v>1127</v>
      </c>
      <c r="AN37" s="20" t="s">
        <v>1128</v>
      </c>
      <c r="AO37" s="20" t="s">
        <v>950</v>
      </c>
      <c r="AP37">
        <v>1</v>
      </c>
      <c r="AQ37">
        <v>7</v>
      </c>
      <c r="AR37">
        <v>18</v>
      </c>
      <c r="AS37">
        <v>53</v>
      </c>
      <c r="AT37">
        <v>34</v>
      </c>
      <c r="AU37" s="27">
        <v>27453</v>
      </c>
      <c r="AV37" s="20"/>
      <c r="AW37" s="20" t="s">
        <v>1040</v>
      </c>
      <c r="AX37" s="20"/>
      <c r="AY37" s="20"/>
    </row>
    <row r="38" spans="1:51">
      <c r="A38" s="27">
        <v>43466</v>
      </c>
      <c r="B38" s="20" t="s">
        <v>72</v>
      </c>
      <c r="C38" s="20" t="s">
        <v>1123</v>
      </c>
      <c r="D38">
        <v>271</v>
      </c>
      <c r="E38">
        <v>243</v>
      </c>
      <c r="F38">
        <v>390</v>
      </c>
      <c r="G38">
        <v>353</v>
      </c>
      <c r="H38" s="20" t="s">
        <v>1129</v>
      </c>
      <c r="I38" s="20" t="s">
        <v>935</v>
      </c>
      <c r="J38" s="20" t="s">
        <v>945</v>
      </c>
      <c r="K38" s="20" t="s">
        <v>937</v>
      </c>
      <c r="M38">
        <v>425</v>
      </c>
      <c r="N38">
        <v>425</v>
      </c>
      <c r="O38">
        <v>2265.5</v>
      </c>
      <c r="P38">
        <v>5.33</v>
      </c>
      <c r="R38">
        <v>1123</v>
      </c>
      <c r="S38">
        <v>1123</v>
      </c>
      <c r="T38">
        <v>149</v>
      </c>
      <c r="U38">
        <v>0.35099999999999998</v>
      </c>
      <c r="V38">
        <v>7</v>
      </c>
      <c r="W38">
        <v>0</v>
      </c>
      <c r="X38">
        <v>7</v>
      </c>
      <c r="Y38">
        <v>7</v>
      </c>
      <c r="Z38">
        <v>184000</v>
      </c>
      <c r="AA38">
        <v>4.22</v>
      </c>
      <c r="AB38">
        <v>184000</v>
      </c>
      <c r="AC38">
        <v>4.22</v>
      </c>
      <c r="AD38">
        <v>61115</v>
      </c>
      <c r="AE38">
        <v>4223000</v>
      </c>
      <c r="AF38">
        <v>0.33210000000000001</v>
      </c>
      <c r="AG38">
        <v>266</v>
      </c>
      <c r="AH38">
        <v>16411918</v>
      </c>
      <c r="AI38">
        <v>7244</v>
      </c>
      <c r="AJ38">
        <v>612</v>
      </c>
      <c r="AK38" s="20" t="s">
        <v>1126</v>
      </c>
      <c r="AL38" s="20" t="s">
        <v>1130</v>
      </c>
      <c r="AM38" s="20" t="s">
        <v>1131</v>
      </c>
      <c r="AN38" s="20" t="s">
        <v>1127</v>
      </c>
      <c r="AO38" s="20" t="s">
        <v>950</v>
      </c>
      <c r="AP38">
        <v>1</v>
      </c>
      <c r="AQ38">
        <v>7</v>
      </c>
      <c r="AR38">
        <v>18</v>
      </c>
      <c r="AS38">
        <v>53</v>
      </c>
      <c r="AT38">
        <v>34</v>
      </c>
      <c r="AU38" s="27">
        <v>27759</v>
      </c>
      <c r="AV38" s="20"/>
      <c r="AW38" s="20"/>
      <c r="AX38" s="20"/>
      <c r="AY38" s="20"/>
    </row>
    <row r="39" spans="1:51">
      <c r="A39" s="27">
        <v>43466</v>
      </c>
      <c r="B39" s="20" t="s">
        <v>234</v>
      </c>
      <c r="C39" s="20" t="s">
        <v>1132</v>
      </c>
      <c r="D39">
        <v>189</v>
      </c>
      <c r="E39">
        <v>39</v>
      </c>
      <c r="F39">
        <v>304</v>
      </c>
      <c r="G39">
        <v>304</v>
      </c>
      <c r="H39" s="20" t="s">
        <v>1133</v>
      </c>
      <c r="I39" s="20" t="s">
        <v>935</v>
      </c>
      <c r="J39" s="20" t="s">
        <v>936</v>
      </c>
      <c r="K39" s="20" t="s">
        <v>1080</v>
      </c>
      <c r="M39">
        <v>232</v>
      </c>
      <c r="N39">
        <v>235</v>
      </c>
      <c r="O39">
        <v>814</v>
      </c>
      <c r="P39">
        <v>3.51</v>
      </c>
      <c r="R39">
        <v>276</v>
      </c>
      <c r="S39">
        <v>276</v>
      </c>
      <c r="T39">
        <v>207</v>
      </c>
      <c r="U39">
        <v>0.89200000000000002</v>
      </c>
      <c r="V39">
        <v>1</v>
      </c>
      <c r="W39">
        <v>1</v>
      </c>
      <c r="X39">
        <v>2</v>
      </c>
      <c r="Y39">
        <v>20</v>
      </c>
      <c r="Z39">
        <v>84416</v>
      </c>
      <c r="AA39">
        <v>1.94</v>
      </c>
      <c r="AB39">
        <v>84416</v>
      </c>
      <c r="AC39">
        <v>1.94</v>
      </c>
      <c r="AD39">
        <v>15045</v>
      </c>
      <c r="AE39">
        <v>1589318</v>
      </c>
      <c r="AF39">
        <v>0.1782</v>
      </c>
      <c r="AG39">
        <v>142</v>
      </c>
      <c r="AH39">
        <v>7125145</v>
      </c>
      <c r="AI39">
        <v>8452</v>
      </c>
      <c r="AJ39">
        <v>368</v>
      </c>
      <c r="AK39" s="20" t="s">
        <v>1134</v>
      </c>
      <c r="AL39" s="20" t="s">
        <v>1135</v>
      </c>
      <c r="AM39" s="20" t="s">
        <v>1136</v>
      </c>
      <c r="AN39" s="20" t="s">
        <v>941</v>
      </c>
      <c r="AO39" s="20" t="s">
        <v>942</v>
      </c>
      <c r="AP39">
        <v>11</v>
      </c>
      <c r="AQ39">
        <v>14</v>
      </c>
      <c r="AR39">
        <v>34</v>
      </c>
      <c r="AS39">
        <v>80</v>
      </c>
      <c r="AT39">
        <v>13</v>
      </c>
      <c r="AU39" s="27">
        <v>26542</v>
      </c>
      <c r="AV39" s="20"/>
      <c r="AW39" s="20" t="s">
        <v>1081</v>
      </c>
      <c r="AX39" s="20"/>
      <c r="AY39" s="20"/>
    </row>
    <row r="40" spans="1:51">
      <c r="A40" s="27">
        <v>43466</v>
      </c>
      <c r="B40" s="20" t="s">
        <v>304</v>
      </c>
      <c r="C40" s="20" t="s">
        <v>1137</v>
      </c>
      <c r="D40">
        <v>138</v>
      </c>
      <c r="E40">
        <v>138</v>
      </c>
      <c r="F40">
        <v>254</v>
      </c>
      <c r="G40">
        <v>254</v>
      </c>
      <c r="H40" s="20" t="s">
        <v>1138</v>
      </c>
      <c r="I40" s="20" t="s">
        <v>935</v>
      </c>
      <c r="J40" s="20" t="s">
        <v>936</v>
      </c>
      <c r="K40" s="20" t="s">
        <v>937</v>
      </c>
      <c r="M40">
        <v>538</v>
      </c>
      <c r="N40">
        <v>538</v>
      </c>
      <c r="O40">
        <v>2487</v>
      </c>
      <c r="P40">
        <v>4.62</v>
      </c>
      <c r="R40">
        <v>1322</v>
      </c>
      <c r="S40">
        <v>1322</v>
      </c>
      <c r="T40">
        <v>184</v>
      </c>
      <c r="U40">
        <v>0.34599999999999997</v>
      </c>
      <c r="V40">
        <v>4</v>
      </c>
      <c r="W40">
        <v>2</v>
      </c>
      <c r="X40">
        <v>5</v>
      </c>
      <c r="Y40" t="s">
        <v>1139</v>
      </c>
      <c r="Z40">
        <v>612889</v>
      </c>
      <c r="AA40">
        <v>14.07</v>
      </c>
      <c r="AB40">
        <v>612889</v>
      </c>
      <c r="AC40">
        <v>14.07</v>
      </c>
      <c r="AD40">
        <v>36181</v>
      </c>
      <c r="AE40">
        <v>4849474</v>
      </c>
      <c r="AF40">
        <v>5.8999999999999997E-2</v>
      </c>
      <c r="AG40">
        <v>94</v>
      </c>
      <c r="AH40">
        <v>11894964</v>
      </c>
      <c r="AI40">
        <v>4778</v>
      </c>
      <c r="AJ40">
        <v>566</v>
      </c>
      <c r="AK40" s="20" t="s">
        <v>1140</v>
      </c>
      <c r="AL40" s="20" t="s">
        <v>941</v>
      </c>
      <c r="AM40" s="20" t="s">
        <v>1141</v>
      </c>
      <c r="AN40" s="20"/>
      <c r="AO40" s="20" t="s">
        <v>942</v>
      </c>
      <c r="AP40">
        <v>12</v>
      </c>
      <c r="AQ40">
        <v>16</v>
      </c>
      <c r="AR40">
        <v>36</v>
      </c>
      <c r="AS40">
        <v>83</v>
      </c>
      <c r="AT40">
        <v>12</v>
      </c>
      <c r="AU40" s="27">
        <v>25323</v>
      </c>
      <c r="AV40" s="20"/>
      <c r="AW40" s="20"/>
      <c r="AX40" s="20"/>
      <c r="AY40" s="20"/>
    </row>
    <row r="41" spans="1:51">
      <c r="A41" s="27">
        <v>43466</v>
      </c>
      <c r="B41" s="20" t="s">
        <v>226</v>
      </c>
      <c r="C41" s="20" t="s">
        <v>1142</v>
      </c>
      <c r="D41">
        <v>46</v>
      </c>
      <c r="E41">
        <v>46</v>
      </c>
      <c r="F41">
        <v>637</v>
      </c>
      <c r="G41">
        <v>637</v>
      </c>
      <c r="H41" s="20" t="s">
        <v>1143</v>
      </c>
      <c r="I41" s="20" t="s">
        <v>988</v>
      </c>
      <c r="J41" s="20" t="s">
        <v>936</v>
      </c>
      <c r="K41" s="20" t="s">
        <v>937</v>
      </c>
      <c r="L41">
        <v>438</v>
      </c>
      <c r="M41">
        <v>1424</v>
      </c>
      <c r="N41">
        <v>1441</v>
      </c>
      <c r="O41">
        <v>5992</v>
      </c>
      <c r="P41">
        <v>4.21</v>
      </c>
      <c r="Q41">
        <v>846</v>
      </c>
      <c r="R41">
        <v>1850</v>
      </c>
      <c r="S41">
        <v>2696</v>
      </c>
      <c r="T41">
        <v>581</v>
      </c>
      <c r="U41">
        <v>0.41599999999999998</v>
      </c>
      <c r="V41">
        <v>18</v>
      </c>
      <c r="W41">
        <v>0</v>
      </c>
      <c r="X41">
        <v>30</v>
      </c>
      <c r="Y41">
        <v>43630</v>
      </c>
      <c r="Z41">
        <v>1127650</v>
      </c>
      <c r="AA41">
        <v>25.89</v>
      </c>
      <c r="AB41">
        <v>1127650</v>
      </c>
      <c r="AC41">
        <v>25.89</v>
      </c>
      <c r="AD41">
        <v>170051</v>
      </c>
      <c r="AE41">
        <v>12141094</v>
      </c>
      <c r="AF41">
        <v>0.15079999999999999</v>
      </c>
      <c r="AG41">
        <v>104</v>
      </c>
      <c r="AH41">
        <v>13645438</v>
      </c>
      <c r="AI41">
        <v>2247</v>
      </c>
      <c r="AJ41">
        <v>518</v>
      </c>
      <c r="AK41" s="20" t="s">
        <v>1144</v>
      </c>
      <c r="AL41" s="20" t="s">
        <v>1145</v>
      </c>
      <c r="AM41" s="20" t="s">
        <v>1146</v>
      </c>
      <c r="AN41" s="20" t="s">
        <v>1147</v>
      </c>
      <c r="AO41" s="20" t="s">
        <v>950</v>
      </c>
      <c r="AP41">
        <v>5</v>
      </c>
      <c r="AQ41">
        <v>8</v>
      </c>
      <c r="AR41">
        <v>19</v>
      </c>
      <c r="AS41">
        <v>60</v>
      </c>
      <c r="AT41">
        <v>42</v>
      </c>
      <c r="AU41" s="27">
        <v>18709</v>
      </c>
      <c r="AV41" s="20"/>
      <c r="AW41" s="20"/>
      <c r="AX41" s="20"/>
      <c r="AY41" s="20"/>
    </row>
    <row r="42" spans="1:51">
      <c r="A42" s="27">
        <v>43466</v>
      </c>
      <c r="B42" s="20" t="s">
        <v>187</v>
      </c>
      <c r="C42" s="20" t="s">
        <v>1148</v>
      </c>
      <c r="D42">
        <v>346</v>
      </c>
      <c r="E42">
        <v>32</v>
      </c>
      <c r="F42">
        <v>767</v>
      </c>
      <c r="G42">
        <v>533</v>
      </c>
      <c r="H42" s="20" t="s">
        <v>1149</v>
      </c>
      <c r="I42" s="20" t="s">
        <v>935</v>
      </c>
      <c r="J42" s="20" t="s">
        <v>945</v>
      </c>
      <c r="K42" s="20" t="s">
        <v>953</v>
      </c>
      <c r="M42">
        <v>82</v>
      </c>
      <c r="N42">
        <v>82</v>
      </c>
      <c r="O42">
        <v>367</v>
      </c>
      <c r="P42">
        <v>4.4800000000000004</v>
      </c>
      <c r="R42">
        <v>182</v>
      </c>
      <c r="S42">
        <v>182</v>
      </c>
      <c r="T42">
        <v>29</v>
      </c>
      <c r="U42">
        <v>0.35799999999999998</v>
      </c>
      <c r="V42">
        <v>3</v>
      </c>
      <c r="W42">
        <v>0</v>
      </c>
      <c r="X42">
        <v>3</v>
      </c>
      <c r="Y42">
        <v>43561</v>
      </c>
      <c r="Z42">
        <v>30000</v>
      </c>
      <c r="AA42">
        <v>0.69</v>
      </c>
      <c r="AB42">
        <v>30000</v>
      </c>
      <c r="AC42">
        <v>0.69</v>
      </c>
      <c r="AD42">
        <v>16455</v>
      </c>
      <c r="AE42">
        <v>999600</v>
      </c>
      <c r="AF42">
        <v>0.54849999999999999</v>
      </c>
      <c r="AG42">
        <v>264</v>
      </c>
      <c r="AH42">
        <v>4943129</v>
      </c>
      <c r="AI42">
        <v>13396</v>
      </c>
      <c r="AJ42">
        <v>476</v>
      </c>
      <c r="AK42" s="20" t="s">
        <v>966</v>
      </c>
      <c r="AL42" s="20" t="s">
        <v>1150</v>
      </c>
      <c r="AM42" s="20" t="s">
        <v>1151</v>
      </c>
      <c r="AN42" s="20" t="s">
        <v>1152</v>
      </c>
      <c r="AO42" s="20" t="s">
        <v>942</v>
      </c>
      <c r="AP42">
        <v>9</v>
      </c>
      <c r="AQ42">
        <v>15</v>
      </c>
      <c r="AR42">
        <v>32</v>
      </c>
      <c r="AS42">
        <v>85</v>
      </c>
      <c r="AT42">
        <v>18</v>
      </c>
      <c r="AU42" s="27">
        <v>31281</v>
      </c>
      <c r="AV42" s="20"/>
      <c r="AW42" s="20"/>
      <c r="AX42" s="20" t="s">
        <v>974</v>
      </c>
      <c r="AY42" s="20"/>
    </row>
    <row r="43" spans="1:51">
      <c r="A43" s="27">
        <v>43466</v>
      </c>
      <c r="B43" s="20" t="s">
        <v>59</v>
      </c>
      <c r="C43" s="20" t="s">
        <v>1153</v>
      </c>
      <c r="D43">
        <v>264</v>
      </c>
      <c r="E43">
        <v>337</v>
      </c>
      <c r="F43">
        <v>379</v>
      </c>
      <c r="G43">
        <v>370</v>
      </c>
      <c r="H43" s="20" t="s">
        <v>1154</v>
      </c>
      <c r="I43" s="20" t="s">
        <v>935</v>
      </c>
      <c r="J43" s="20" t="s">
        <v>945</v>
      </c>
      <c r="K43" s="20" t="s">
        <v>937</v>
      </c>
      <c r="M43">
        <v>108</v>
      </c>
      <c r="N43">
        <v>108</v>
      </c>
      <c r="O43">
        <v>538</v>
      </c>
      <c r="P43">
        <v>4.9800000000000004</v>
      </c>
      <c r="R43">
        <v>257</v>
      </c>
      <c r="S43">
        <v>257</v>
      </c>
      <c r="T43">
        <v>47</v>
      </c>
      <c r="U43">
        <v>0.439</v>
      </c>
      <c r="V43">
        <v>1</v>
      </c>
      <c r="W43">
        <v>0</v>
      </c>
      <c r="X43">
        <v>2</v>
      </c>
      <c r="Y43">
        <v>7</v>
      </c>
      <c r="Z43">
        <v>44353</v>
      </c>
      <c r="AA43">
        <v>1.02</v>
      </c>
      <c r="AB43">
        <v>44353</v>
      </c>
      <c r="AC43">
        <v>1.02</v>
      </c>
      <c r="AD43">
        <v>18790</v>
      </c>
      <c r="AE43">
        <v>1216072</v>
      </c>
      <c r="AF43">
        <v>0.42359999999999998</v>
      </c>
      <c r="AG43">
        <v>252</v>
      </c>
      <c r="AH43">
        <v>4364419</v>
      </c>
      <c r="AI43">
        <v>8008</v>
      </c>
      <c r="AJ43">
        <v>596</v>
      </c>
      <c r="AK43" s="20" t="s">
        <v>1155</v>
      </c>
      <c r="AL43" s="20" t="s">
        <v>1156</v>
      </c>
      <c r="AM43" s="20" t="s">
        <v>1157</v>
      </c>
      <c r="AN43" s="20" t="s">
        <v>1158</v>
      </c>
      <c r="AO43" s="20" t="s">
        <v>963</v>
      </c>
      <c r="AP43">
        <v>3</v>
      </c>
      <c r="AQ43">
        <v>12</v>
      </c>
      <c r="AR43">
        <v>26</v>
      </c>
      <c r="AS43">
        <v>74</v>
      </c>
      <c r="AT43">
        <v>2</v>
      </c>
      <c r="AU43" s="27">
        <v>27180</v>
      </c>
      <c r="AV43" s="20"/>
      <c r="AW43" s="20"/>
      <c r="AX43" s="20"/>
      <c r="AY43" s="20"/>
    </row>
    <row r="44" spans="1:51">
      <c r="A44" s="27">
        <v>43466</v>
      </c>
      <c r="B44" s="20" t="s">
        <v>188</v>
      </c>
      <c r="C44" s="20" t="s">
        <v>1159</v>
      </c>
      <c r="D44">
        <v>56</v>
      </c>
      <c r="E44">
        <v>56</v>
      </c>
      <c r="F44">
        <v>212</v>
      </c>
      <c r="G44">
        <v>212</v>
      </c>
      <c r="H44" s="20" t="s">
        <v>1160</v>
      </c>
      <c r="I44" s="20" t="s">
        <v>935</v>
      </c>
      <c r="J44" s="20" t="s">
        <v>936</v>
      </c>
      <c r="K44" s="20" t="s">
        <v>937</v>
      </c>
      <c r="M44">
        <v>1592</v>
      </c>
      <c r="N44">
        <v>1595</v>
      </c>
      <c r="O44">
        <v>7460</v>
      </c>
      <c r="P44">
        <v>4.6900000000000004</v>
      </c>
      <c r="R44">
        <v>3476</v>
      </c>
      <c r="S44">
        <v>3476</v>
      </c>
      <c r="T44">
        <v>539</v>
      </c>
      <c r="U44">
        <v>0.34300000000000003</v>
      </c>
      <c r="V44">
        <v>30</v>
      </c>
      <c r="W44">
        <v>2</v>
      </c>
      <c r="X44">
        <v>97</v>
      </c>
      <c r="Y44">
        <v>43531</v>
      </c>
      <c r="Z44">
        <v>2830416</v>
      </c>
      <c r="AA44">
        <v>64.98</v>
      </c>
      <c r="AB44">
        <v>2141741</v>
      </c>
      <c r="AC44">
        <v>49.17</v>
      </c>
      <c r="AD44">
        <v>360423</v>
      </c>
      <c r="AE44">
        <v>14297000</v>
      </c>
      <c r="AF44">
        <v>0.1273</v>
      </c>
      <c r="AG44">
        <v>53</v>
      </c>
      <c r="AH44">
        <v>18410273</v>
      </c>
      <c r="AI44">
        <v>2464</v>
      </c>
      <c r="AJ44">
        <v>544</v>
      </c>
      <c r="AK44" s="20" t="s">
        <v>1161</v>
      </c>
      <c r="AL44" s="20" t="s">
        <v>1162</v>
      </c>
      <c r="AM44" s="20" t="s">
        <v>1163</v>
      </c>
      <c r="AN44" s="20" t="s">
        <v>1164</v>
      </c>
      <c r="AO44" s="20" t="s">
        <v>950</v>
      </c>
      <c r="AP44">
        <v>18</v>
      </c>
      <c r="AQ44">
        <v>8</v>
      </c>
      <c r="AR44">
        <v>19</v>
      </c>
      <c r="AS44" t="s">
        <v>1165</v>
      </c>
      <c r="AT44">
        <v>42</v>
      </c>
      <c r="AU44" s="27">
        <v>19304</v>
      </c>
      <c r="AV44" s="20"/>
      <c r="AW44" s="20"/>
      <c r="AX44" s="20"/>
      <c r="AY44" s="20"/>
    </row>
    <row r="45" spans="1:51">
      <c r="A45" s="27">
        <v>43466</v>
      </c>
      <c r="B45" s="20" t="s">
        <v>199</v>
      </c>
      <c r="C45" s="20" t="s">
        <v>1166</v>
      </c>
      <c r="D45">
        <v>65</v>
      </c>
      <c r="E45">
        <v>65</v>
      </c>
      <c r="F45">
        <v>213</v>
      </c>
      <c r="G45">
        <v>213</v>
      </c>
      <c r="H45" s="20" t="s">
        <v>1167</v>
      </c>
      <c r="I45" s="20" t="s">
        <v>935</v>
      </c>
      <c r="J45" s="20" t="s">
        <v>936</v>
      </c>
      <c r="K45" s="20" t="s">
        <v>937</v>
      </c>
      <c r="M45">
        <v>894</v>
      </c>
      <c r="N45">
        <v>896</v>
      </c>
      <c r="O45">
        <v>4187</v>
      </c>
      <c r="P45">
        <v>4.68</v>
      </c>
      <c r="R45">
        <v>1918</v>
      </c>
      <c r="S45">
        <v>1918</v>
      </c>
      <c r="T45">
        <v>330</v>
      </c>
      <c r="U45">
        <v>0.371</v>
      </c>
      <c r="V45">
        <v>13</v>
      </c>
      <c r="W45">
        <v>1</v>
      </c>
      <c r="X45">
        <v>27</v>
      </c>
      <c r="Y45">
        <v>7</v>
      </c>
      <c r="Z45">
        <v>751896</v>
      </c>
      <c r="AA45">
        <v>17.260000000000002</v>
      </c>
      <c r="AB45">
        <v>687188</v>
      </c>
      <c r="AC45">
        <v>15.78</v>
      </c>
      <c r="AD45">
        <v>121363</v>
      </c>
      <c r="AE45">
        <v>7735916</v>
      </c>
      <c r="AF45">
        <v>0.16139999999999999</v>
      </c>
      <c r="AG45">
        <v>111</v>
      </c>
      <c r="AH45">
        <v>11831887</v>
      </c>
      <c r="AI45">
        <v>2849</v>
      </c>
      <c r="AJ45">
        <v>571</v>
      </c>
      <c r="AK45" s="20" t="s">
        <v>1168</v>
      </c>
      <c r="AL45" s="20" t="s">
        <v>1169</v>
      </c>
      <c r="AM45" s="20" t="s">
        <v>1055</v>
      </c>
      <c r="AN45" s="20" t="s">
        <v>1170</v>
      </c>
      <c r="AO45" s="20" t="s">
        <v>950</v>
      </c>
      <c r="AP45">
        <v>3</v>
      </c>
      <c r="AQ45">
        <v>8</v>
      </c>
      <c r="AR45">
        <v>25</v>
      </c>
      <c r="AS45">
        <v>55</v>
      </c>
      <c r="AT45">
        <v>41</v>
      </c>
      <c r="AU45" s="27">
        <v>20311</v>
      </c>
      <c r="AV45" s="20"/>
      <c r="AW45" s="20"/>
      <c r="AX45" s="20"/>
      <c r="AY45" s="20"/>
    </row>
    <row r="46" spans="1:51">
      <c r="A46" s="27">
        <v>43466</v>
      </c>
      <c r="B46" s="20" t="s">
        <v>73</v>
      </c>
      <c r="C46" s="20" t="s">
        <v>1148</v>
      </c>
      <c r="D46">
        <v>32</v>
      </c>
      <c r="E46">
        <v>32</v>
      </c>
      <c r="F46">
        <v>533</v>
      </c>
      <c r="G46">
        <v>533</v>
      </c>
      <c r="H46" s="20" t="s">
        <v>1171</v>
      </c>
      <c r="I46" s="20" t="s">
        <v>935</v>
      </c>
      <c r="J46" s="20" t="s">
        <v>936</v>
      </c>
      <c r="K46" s="20" t="s">
        <v>937</v>
      </c>
      <c r="M46">
        <v>1245</v>
      </c>
      <c r="N46">
        <v>1246</v>
      </c>
      <c r="O46">
        <v>5942.5</v>
      </c>
      <c r="P46">
        <v>4.7699999999999996</v>
      </c>
      <c r="R46">
        <v>2998</v>
      </c>
      <c r="S46">
        <v>2998</v>
      </c>
      <c r="T46">
        <v>464</v>
      </c>
      <c r="U46">
        <v>0.375</v>
      </c>
      <c r="V46">
        <v>9</v>
      </c>
      <c r="W46">
        <v>1</v>
      </c>
      <c r="X46">
        <v>10</v>
      </c>
      <c r="Y46">
        <v>14</v>
      </c>
      <c r="Z46">
        <v>607297</v>
      </c>
      <c r="AA46">
        <v>13.94</v>
      </c>
      <c r="AB46">
        <v>563737</v>
      </c>
      <c r="AC46">
        <v>12.94</v>
      </c>
      <c r="AD46">
        <v>84235</v>
      </c>
      <c r="AE46">
        <v>10772413</v>
      </c>
      <c r="AF46">
        <v>0.13869999999999999</v>
      </c>
      <c r="AG46">
        <v>215</v>
      </c>
      <c r="AH46">
        <v>12719000</v>
      </c>
      <c r="AI46">
        <v>2131</v>
      </c>
      <c r="AJ46">
        <v>512</v>
      </c>
      <c r="AK46" s="20" t="s">
        <v>1172</v>
      </c>
      <c r="AL46" s="20" t="s">
        <v>1173</v>
      </c>
      <c r="AM46" s="20" t="s">
        <v>1174</v>
      </c>
      <c r="AN46" s="20"/>
      <c r="AO46" s="20" t="s">
        <v>942</v>
      </c>
      <c r="AP46">
        <v>9</v>
      </c>
      <c r="AQ46">
        <v>15</v>
      </c>
      <c r="AR46">
        <v>32</v>
      </c>
      <c r="AS46">
        <v>85</v>
      </c>
      <c r="AT46">
        <v>18</v>
      </c>
      <c r="AU46" s="27">
        <v>18687</v>
      </c>
      <c r="AV46" s="20" t="s">
        <v>1028</v>
      </c>
      <c r="AW46" s="20"/>
      <c r="AX46" s="20"/>
      <c r="AY46" s="20"/>
    </row>
    <row r="47" spans="1:51">
      <c r="A47" s="27">
        <v>43466</v>
      </c>
      <c r="B47" s="20" t="s">
        <v>189</v>
      </c>
      <c r="C47" s="20" t="s">
        <v>1148</v>
      </c>
      <c r="D47">
        <v>157</v>
      </c>
      <c r="E47">
        <v>32</v>
      </c>
      <c r="F47">
        <v>533</v>
      </c>
      <c r="G47">
        <v>533</v>
      </c>
      <c r="H47" s="20" t="s">
        <v>1171</v>
      </c>
      <c r="I47" s="20" t="s">
        <v>935</v>
      </c>
      <c r="J47" s="20" t="s">
        <v>936</v>
      </c>
      <c r="K47" s="20" t="s">
        <v>1080</v>
      </c>
      <c r="M47">
        <v>226</v>
      </c>
      <c r="N47">
        <v>226</v>
      </c>
      <c r="O47">
        <v>640</v>
      </c>
      <c r="P47">
        <v>2.83</v>
      </c>
      <c r="R47">
        <v>241</v>
      </c>
      <c r="S47">
        <v>241</v>
      </c>
      <c r="T47">
        <v>206</v>
      </c>
      <c r="U47">
        <v>0.92800000000000005</v>
      </c>
      <c r="V47">
        <v>2</v>
      </c>
      <c r="W47">
        <v>0</v>
      </c>
      <c r="X47">
        <v>2</v>
      </c>
      <c r="Y47">
        <v>43630</v>
      </c>
      <c r="Z47">
        <v>62500</v>
      </c>
      <c r="AA47">
        <v>1.43</v>
      </c>
      <c r="AB47">
        <v>62500</v>
      </c>
      <c r="AC47">
        <v>1.43</v>
      </c>
      <c r="AD47">
        <v>12286</v>
      </c>
      <c r="AE47">
        <v>1529115</v>
      </c>
      <c r="AF47">
        <v>0.1966</v>
      </c>
      <c r="AG47">
        <v>169</v>
      </c>
      <c r="AH47">
        <v>3928000</v>
      </c>
      <c r="AI47">
        <v>6128</v>
      </c>
      <c r="AJ47">
        <v>290</v>
      </c>
      <c r="AK47" s="20" t="s">
        <v>1175</v>
      </c>
      <c r="AL47" s="20" t="s">
        <v>1174</v>
      </c>
      <c r="AM47" s="20" t="s">
        <v>1176</v>
      </c>
      <c r="AN47" s="20" t="s">
        <v>1173</v>
      </c>
      <c r="AO47" s="20" t="s">
        <v>942</v>
      </c>
      <c r="AP47">
        <v>9</v>
      </c>
      <c r="AQ47">
        <v>15</v>
      </c>
      <c r="AR47">
        <v>32</v>
      </c>
      <c r="AS47">
        <v>85</v>
      </c>
      <c r="AT47">
        <v>18</v>
      </c>
      <c r="AU47" s="27">
        <v>24166</v>
      </c>
      <c r="AV47" s="20" t="s">
        <v>1028</v>
      </c>
      <c r="AW47" s="20" t="s">
        <v>1081</v>
      </c>
      <c r="AX47" s="20"/>
      <c r="AY47" s="20"/>
    </row>
    <row r="48" spans="1:51">
      <c r="A48" s="27">
        <v>43466</v>
      </c>
      <c r="B48" s="20" t="s">
        <v>305</v>
      </c>
      <c r="C48" s="20" t="s">
        <v>1177</v>
      </c>
      <c r="D48">
        <v>325</v>
      </c>
      <c r="E48">
        <v>252</v>
      </c>
      <c r="F48">
        <v>336</v>
      </c>
      <c r="G48">
        <v>336</v>
      </c>
      <c r="H48" s="20" t="s">
        <v>1178</v>
      </c>
      <c r="I48" s="20" t="s">
        <v>935</v>
      </c>
      <c r="J48" s="20" t="s">
        <v>945</v>
      </c>
      <c r="K48" s="20" t="s">
        <v>1080</v>
      </c>
      <c r="M48">
        <v>200</v>
      </c>
      <c r="N48">
        <v>200</v>
      </c>
      <c r="O48">
        <v>700</v>
      </c>
      <c r="P48">
        <v>3.5</v>
      </c>
      <c r="R48">
        <v>220</v>
      </c>
      <c r="S48">
        <v>220</v>
      </c>
      <c r="T48">
        <v>179</v>
      </c>
      <c r="U48">
        <v>0.90400000000000003</v>
      </c>
      <c r="V48">
        <v>2</v>
      </c>
      <c r="W48">
        <v>0</v>
      </c>
      <c r="X48">
        <v>2</v>
      </c>
      <c r="Y48">
        <v>6</v>
      </c>
      <c r="Z48">
        <v>99460</v>
      </c>
      <c r="AA48">
        <v>2.2799999999999998</v>
      </c>
      <c r="AB48">
        <v>99460</v>
      </c>
      <c r="AC48">
        <v>2.2799999999999998</v>
      </c>
      <c r="AD48">
        <v>29354</v>
      </c>
      <c r="AE48">
        <v>1493904</v>
      </c>
      <c r="AF48">
        <v>0.29509999999999997</v>
      </c>
      <c r="AG48">
        <v>96</v>
      </c>
      <c r="AH48">
        <v>13425060</v>
      </c>
      <c r="AI48">
        <v>19179</v>
      </c>
      <c r="AJ48">
        <v>368</v>
      </c>
      <c r="AK48" s="20" t="s">
        <v>1179</v>
      </c>
      <c r="AL48" s="20" t="s">
        <v>1180</v>
      </c>
      <c r="AM48" s="20" t="s">
        <v>1181</v>
      </c>
      <c r="AN48" s="20" t="s">
        <v>1016</v>
      </c>
      <c r="AO48" s="20" t="s">
        <v>950</v>
      </c>
      <c r="AP48">
        <v>16</v>
      </c>
      <c r="AQ48">
        <v>8</v>
      </c>
      <c r="AR48">
        <v>20</v>
      </c>
      <c r="AS48">
        <v>55</v>
      </c>
      <c r="AT48">
        <v>41</v>
      </c>
      <c r="AU48" s="27">
        <v>31251</v>
      </c>
      <c r="AV48" s="20"/>
      <c r="AW48" s="20" t="s">
        <v>1081</v>
      </c>
      <c r="AX48" s="20" t="s">
        <v>974</v>
      </c>
      <c r="AY48" s="20"/>
    </row>
    <row r="49" spans="1:51">
      <c r="A49" s="27">
        <v>43466</v>
      </c>
      <c r="B49" s="20" t="s">
        <v>392</v>
      </c>
      <c r="C49" s="20" t="s">
        <v>1182</v>
      </c>
      <c r="D49">
        <v>16</v>
      </c>
      <c r="E49">
        <v>16</v>
      </c>
      <c r="F49">
        <v>512</v>
      </c>
      <c r="G49">
        <v>512</v>
      </c>
      <c r="H49" s="20" t="s">
        <v>1183</v>
      </c>
      <c r="I49" s="20" t="s">
        <v>935</v>
      </c>
      <c r="J49" s="20" t="s">
        <v>936</v>
      </c>
      <c r="K49" s="20" t="s">
        <v>937</v>
      </c>
      <c r="M49">
        <v>1336</v>
      </c>
      <c r="N49">
        <v>1338</v>
      </c>
      <c r="O49">
        <v>6279</v>
      </c>
      <c r="P49">
        <v>4.7</v>
      </c>
      <c r="R49">
        <v>3166</v>
      </c>
      <c r="S49">
        <v>3166</v>
      </c>
      <c r="T49">
        <v>416</v>
      </c>
      <c r="U49">
        <v>0.316</v>
      </c>
      <c r="V49">
        <v>27</v>
      </c>
      <c r="W49">
        <v>0</v>
      </c>
      <c r="X49">
        <v>46</v>
      </c>
      <c r="Y49">
        <v>43623</v>
      </c>
      <c r="Z49">
        <v>819997</v>
      </c>
      <c r="AA49">
        <v>18.82</v>
      </c>
      <c r="AB49">
        <v>732841</v>
      </c>
      <c r="AC49">
        <v>16.82</v>
      </c>
      <c r="AD49">
        <v>188564</v>
      </c>
      <c r="AE49">
        <v>10371638</v>
      </c>
      <c r="AF49">
        <v>0.23</v>
      </c>
      <c r="AG49">
        <v>168</v>
      </c>
      <c r="AH49">
        <v>12898000</v>
      </c>
      <c r="AI49">
        <v>2054</v>
      </c>
      <c r="AJ49">
        <v>520</v>
      </c>
      <c r="AK49" s="20" t="s">
        <v>948</v>
      </c>
      <c r="AL49" s="20" t="s">
        <v>1184</v>
      </c>
      <c r="AM49" s="20" t="s">
        <v>1185</v>
      </c>
      <c r="AN49" s="20" t="s">
        <v>1186</v>
      </c>
      <c r="AO49" s="20" t="s">
        <v>950</v>
      </c>
      <c r="AP49">
        <v>16</v>
      </c>
      <c r="AQ49">
        <v>9</v>
      </c>
      <c r="AR49">
        <v>20</v>
      </c>
      <c r="AS49">
        <v>55</v>
      </c>
      <c r="AT49">
        <v>41</v>
      </c>
      <c r="AU49" s="27">
        <v>17639</v>
      </c>
      <c r="AV49" s="20" t="s">
        <v>1050</v>
      </c>
      <c r="AW49" s="20"/>
      <c r="AX49" s="20"/>
      <c r="AY49" s="20"/>
    </row>
    <row r="50" spans="1:51">
      <c r="A50" s="27">
        <v>43466</v>
      </c>
      <c r="B50" s="20" t="s">
        <v>283</v>
      </c>
      <c r="C50" s="20" t="s">
        <v>1187</v>
      </c>
      <c r="D50">
        <v>235</v>
      </c>
      <c r="E50">
        <v>530</v>
      </c>
      <c r="F50">
        <v>352</v>
      </c>
      <c r="G50">
        <v>748</v>
      </c>
      <c r="H50" s="20" t="s">
        <v>1188</v>
      </c>
      <c r="I50" s="20" t="s">
        <v>935</v>
      </c>
      <c r="J50" s="20" t="s">
        <v>945</v>
      </c>
      <c r="K50" s="20" t="s">
        <v>937</v>
      </c>
      <c r="M50">
        <v>72</v>
      </c>
      <c r="N50">
        <v>72</v>
      </c>
      <c r="O50">
        <v>284</v>
      </c>
      <c r="P50">
        <v>3.94</v>
      </c>
      <c r="R50">
        <v>135</v>
      </c>
      <c r="S50">
        <v>135</v>
      </c>
      <c r="T50">
        <v>33</v>
      </c>
      <c r="U50">
        <v>0.46500000000000002</v>
      </c>
      <c r="V50">
        <v>1</v>
      </c>
      <c r="W50">
        <v>0</v>
      </c>
      <c r="X50">
        <v>1</v>
      </c>
      <c r="Y50">
        <v>6</v>
      </c>
      <c r="Z50">
        <v>22500</v>
      </c>
      <c r="AA50">
        <v>0.52</v>
      </c>
      <c r="AB50">
        <v>22500</v>
      </c>
      <c r="AC50">
        <v>0.52</v>
      </c>
      <c r="AD50">
        <v>9879</v>
      </c>
      <c r="AE50">
        <v>672864</v>
      </c>
      <c r="AF50">
        <v>0.43909999999999999</v>
      </c>
      <c r="AG50">
        <v>260</v>
      </c>
      <c r="AH50">
        <v>2132334</v>
      </c>
      <c r="AI50">
        <v>7315</v>
      </c>
      <c r="AJ50">
        <v>519</v>
      </c>
      <c r="AK50" s="20" t="s">
        <v>1174</v>
      </c>
      <c r="AL50" s="20" t="s">
        <v>939</v>
      </c>
      <c r="AM50" s="20" t="s">
        <v>1189</v>
      </c>
      <c r="AN50" s="20" t="s">
        <v>1190</v>
      </c>
      <c r="AO50" s="20" t="s">
        <v>942</v>
      </c>
      <c r="AP50">
        <v>3</v>
      </c>
      <c r="AQ50">
        <v>15</v>
      </c>
      <c r="AR50">
        <v>32</v>
      </c>
      <c r="AS50">
        <v>79</v>
      </c>
      <c r="AT50">
        <v>17</v>
      </c>
      <c r="AU50" s="27">
        <v>26542</v>
      </c>
      <c r="AV50" s="20"/>
      <c r="AW50" s="20"/>
      <c r="AX50" s="20"/>
      <c r="AY50" s="20" t="s">
        <v>974</v>
      </c>
    </row>
    <row r="51" spans="1:51">
      <c r="A51" s="27">
        <v>43466</v>
      </c>
      <c r="B51" s="20" t="s">
        <v>26</v>
      </c>
      <c r="C51" s="20" t="s">
        <v>1191</v>
      </c>
      <c r="D51">
        <v>86</v>
      </c>
      <c r="E51">
        <v>86</v>
      </c>
      <c r="F51">
        <v>430</v>
      </c>
      <c r="G51">
        <v>430</v>
      </c>
      <c r="H51" s="20" t="s">
        <v>1192</v>
      </c>
      <c r="I51" s="20" t="s">
        <v>1031</v>
      </c>
      <c r="J51" s="20" t="s">
        <v>936</v>
      </c>
      <c r="K51" s="20" t="s">
        <v>937</v>
      </c>
      <c r="L51">
        <v>209</v>
      </c>
      <c r="M51">
        <v>1219</v>
      </c>
      <c r="N51">
        <v>1220</v>
      </c>
      <c r="O51">
        <v>5669.5</v>
      </c>
      <c r="P51">
        <v>4.6500000000000004</v>
      </c>
      <c r="Q51">
        <v>555</v>
      </c>
      <c r="R51">
        <v>2288</v>
      </c>
      <c r="S51">
        <v>2843</v>
      </c>
      <c r="T51">
        <v>499</v>
      </c>
      <c r="U51">
        <v>0.41299999999999998</v>
      </c>
      <c r="V51">
        <v>8</v>
      </c>
      <c r="W51">
        <v>0</v>
      </c>
      <c r="X51">
        <v>8</v>
      </c>
      <c r="Y51" t="s">
        <v>1193</v>
      </c>
      <c r="Z51">
        <v>697736</v>
      </c>
      <c r="AA51">
        <v>16.02</v>
      </c>
      <c r="AB51">
        <v>639260</v>
      </c>
      <c r="AC51">
        <v>14.68</v>
      </c>
      <c r="AD51">
        <v>78768</v>
      </c>
      <c r="AE51">
        <v>11288105</v>
      </c>
      <c r="AF51">
        <v>0.1129</v>
      </c>
      <c r="AG51">
        <v>177</v>
      </c>
      <c r="AH51">
        <v>20346000</v>
      </c>
      <c r="AI51">
        <v>3599</v>
      </c>
      <c r="AJ51">
        <v>541</v>
      </c>
      <c r="AK51" s="20" t="s">
        <v>1130</v>
      </c>
      <c r="AL51" s="20" t="s">
        <v>1194</v>
      </c>
      <c r="AM51" s="20" t="s">
        <v>1127</v>
      </c>
      <c r="AN51" s="20" t="s">
        <v>1195</v>
      </c>
      <c r="AO51" s="20" t="s">
        <v>950</v>
      </c>
      <c r="AP51">
        <v>1</v>
      </c>
      <c r="AQ51">
        <v>7</v>
      </c>
      <c r="AR51">
        <v>18</v>
      </c>
      <c r="AS51">
        <v>53</v>
      </c>
      <c r="AT51">
        <v>34</v>
      </c>
      <c r="AU51" s="27">
        <v>22007</v>
      </c>
      <c r="AV51" s="20"/>
      <c r="AW51" s="20"/>
      <c r="AX51" s="20"/>
      <c r="AY51" s="20"/>
    </row>
    <row r="52" spans="1:51">
      <c r="A52" s="27">
        <v>43466</v>
      </c>
      <c r="B52" s="20" t="s">
        <v>1196</v>
      </c>
      <c r="C52" s="20" t="s">
        <v>1197</v>
      </c>
      <c r="D52">
        <v>302</v>
      </c>
      <c r="E52">
        <v>247</v>
      </c>
      <c r="F52">
        <v>565</v>
      </c>
      <c r="G52">
        <v>546</v>
      </c>
      <c r="H52" s="20" t="s">
        <v>1198</v>
      </c>
      <c r="I52" s="20" t="s">
        <v>935</v>
      </c>
      <c r="J52" s="20" t="s">
        <v>945</v>
      </c>
      <c r="K52" s="20" t="s">
        <v>937</v>
      </c>
      <c r="M52">
        <v>299</v>
      </c>
      <c r="N52">
        <v>300</v>
      </c>
      <c r="O52">
        <v>1446.5</v>
      </c>
      <c r="P52">
        <v>4.84</v>
      </c>
      <c r="R52">
        <v>716</v>
      </c>
      <c r="S52">
        <v>716</v>
      </c>
      <c r="T52">
        <v>125</v>
      </c>
      <c r="U52">
        <v>0.41799999999999998</v>
      </c>
      <c r="V52">
        <v>25</v>
      </c>
      <c r="W52">
        <v>0</v>
      </c>
      <c r="X52">
        <v>25</v>
      </c>
      <c r="Y52">
        <v>3</v>
      </c>
      <c r="Z52">
        <v>402930</v>
      </c>
      <c r="AA52">
        <v>9.25</v>
      </c>
      <c r="AB52">
        <v>402930</v>
      </c>
      <c r="AC52">
        <v>9.25</v>
      </c>
      <c r="AD52">
        <v>102600</v>
      </c>
      <c r="AE52">
        <v>3200584</v>
      </c>
      <c r="AF52">
        <v>0.25459999999999999</v>
      </c>
      <c r="AG52">
        <v>77</v>
      </c>
      <c r="AH52">
        <v>20840392</v>
      </c>
      <c r="AI52">
        <v>14235</v>
      </c>
      <c r="AJ52">
        <v>607</v>
      </c>
      <c r="AK52" s="20" t="s">
        <v>1199</v>
      </c>
      <c r="AL52" s="20" t="s">
        <v>1200</v>
      </c>
      <c r="AM52" s="20" t="s">
        <v>1201</v>
      </c>
      <c r="AN52" s="20" t="s">
        <v>1202</v>
      </c>
      <c r="AO52" s="20" t="s">
        <v>950</v>
      </c>
      <c r="AP52">
        <v>4</v>
      </c>
      <c r="AQ52" t="s">
        <v>1203</v>
      </c>
      <c r="AR52">
        <v>18</v>
      </c>
      <c r="AS52" t="s">
        <v>1204</v>
      </c>
      <c r="AT52" t="s">
        <v>1205</v>
      </c>
      <c r="AU52" s="27">
        <v>30882</v>
      </c>
      <c r="AV52" s="20"/>
      <c r="AW52" s="20"/>
      <c r="AX52" s="20" t="s">
        <v>974</v>
      </c>
      <c r="AY52" s="20"/>
    </row>
    <row r="53" spans="1:51">
      <c r="A53" s="27">
        <v>43466</v>
      </c>
      <c r="B53" s="20" t="s">
        <v>1206</v>
      </c>
      <c r="C53" s="20" t="s">
        <v>1197</v>
      </c>
      <c r="D53">
        <v>303</v>
      </c>
      <c r="E53">
        <v>247</v>
      </c>
      <c r="F53">
        <v>566</v>
      </c>
      <c r="G53">
        <v>546</v>
      </c>
      <c r="H53" s="20" t="s">
        <v>1207</v>
      </c>
      <c r="I53" s="20" t="s">
        <v>935</v>
      </c>
      <c r="J53" s="20" t="s">
        <v>945</v>
      </c>
      <c r="K53" s="20" t="s">
        <v>937</v>
      </c>
      <c r="M53">
        <v>300</v>
      </c>
      <c r="N53">
        <v>300</v>
      </c>
      <c r="O53">
        <v>1450</v>
      </c>
      <c r="P53">
        <v>4.83</v>
      </c>
      <c r="R53">
        <v>702</v>
      </c>
      <c r="S53">
        <v>702</v>
      </c>
      <c r="T53">
        <v>121</v>
      </c>
      <c r="U53">
        <v>0.40500000000000003</v>
      </c>
      <c r="V53">
        <v>25</v>
      </c>
      <c r="W53">
        <v>1</v>
      </c>
      <c r="X53">
        <v>27</v>
      </c>
      <c r="Y53">
        <v>3</v>
      </c>
      <c r="Z53">
        <v>440392</v>
      </c>
      <c r="AA53">
        <v>10.11</v>
      </c>
      <c r="AB53">
        <v>440392</v>
      </c>
      <c r="AC53">
        <v>10.11</v>
      </c>
      <c r="AD53">
        <v>102600</v>
      </c>
      <c r="AE53">
        <v>3200584</v>
      </c>
      <c r="AF53">
        <v>0.23300000000000001</v>
      </c>
      <c r="AG53">
        <v>69</v>
      </c>
      <c r="AH53">
        <v>19608177</v>
      </c>
      <c r="AI53">
        <v>13339</v>
      </c>
      <c r="AJ53">
        <v>584</v>
      </c>
      <c r="AK53" s="20" t="s">
        <v>1037</v>
      </c>
      <c r="AL53" s="20" t="s">
        <v>1208</v>
      </c>
      <c r="AM53" s="20" t="s">
        <v>1209</v>
      </c>
      <c r="AN53" s="20" t="s">
        <v>968</v>
      </c>
      <c r="AO53" s="20" t="s">
        <v>950</v>
      </c>
      <c r="AP53">
        <v>4</v>
      </c>
      <c r="AQ53">
        <v>7</v>
      </c>
      <c r="AR53">
        <v>18</v>
      </c>
      <c r="AS53" t="s">
        <v>1204</v>
      </c>
      <c r="AT53" t="s">
        <v>1205</v>
      </c>
      <c r="AU53" s="27">
        <v>30868</v>
      </c>
      <c r="AV53" s="20"/>
      <c r="AW53" s="20"/>
      <c r="AX53" s="20" t="s">
        <v>974</v>
      </c>
      <c r="AY53" s="20"/>
    </row>
    <row r="54" spans="1:51">
      <c r="A54" s="27">
        <v>43466</v>
      </c>
      <c r="B54" s="20" t="s">
        <v>1210</v>
      </c>
      <c r="C54" s="20" t="s">
        <v>1197</v>
      </c>
      <c r="D54">
        <v>324</v>
      </c>
      <c r="E54">
        <v>247</v>
      </c>
      <c r="F54">
        <v>758</v>
      </c>
      <c r="G54">
        <v>546</v>
      </c>
      <c r="H54" s="20" t="s">
        <v>1211</v>
      </c>
      <c r="I54" s="20" t="s">
        <v>935</v>
      </c>
      <c r="J54" s="20" t="s">
        <v>945</v>
      </c>
      <c r="K54" s="20" t="s">
        <v>937</v>
      </c>
      <c r="M54">
        <v>276</v>
      </c>
      <c r="N54">
        <v>276</v>
      </c>
      <c r="O54">
        <v>1212</v>
      </c>
      <c r="P54">
        <v>4.3899999999999997</v>
      </c>
      <c r="R54">
        <v>555</v>
      </c>
      <c r="S54">
        <v>555</v>
      </c>
      <c r="T54">
        <v>153</v>
      </c>
      <c r="U54">
        <v>0.55800000000000005</v>
      </c>
      <c r="V54">
        <v>5</v>
      </c>
      <c r="W54">
        <v>0</v>
      </c>
      <c r="X54">
        <v>37</v>
      </c>
      <c r="Y54">
        <v>3</v>
      </c>
      <c r="Z54">
        <v>300000</v>
      </c>
      <c r="AA54">
        <v>6.89</v>
      </c>
      <c r="AB54">
        <v>300000</v>
      </c>
      <c r="AC54">
        <v>6.89</v>
      </c>
      <c r="AD54">
        <v>84230</v>
      </c>
      <c r="AE54">
        <v>2198403</v>
      </c>
      <c r="AF54">
        <v>0.28079999999999999</v>
      </c>
      <c r="AG54">
        <v>81</v>
      </c>
      <c r="AH54">
        <v>20078888</v>
      </c>
      <c r="AI54">
        <v>16539</v>
      </c>
      <c r="AJ54">
        <v>543</v>
      </c>
      <c r="AK54" s="20" t="s">
        <v>1212</v>
      </c>
      <c r="AL54" s="20" t="s">
        <v>1208</v>
      </c>
      <c r="AM54" s="20" t="s">
        <v>1037</v>
      </c>
      <c r="AN54" s="20" t="s">
        <v>1213</v>
      </c>
      <c r="AO54" s="20" t="s">
        <v>950</v>
      </c>
      <c r="AP54">
        <v>4</v>
      </c>
      <c r="AQ54">
        <v>7</v>
      </c>
      <c r="AR54">
        <v>18</v>
      </c>
      <c r="AS54">
        <v>53</v>
      </c>
      <c r="AT54">
        <v>37</v>
      </c>
      <c r="AU54" s="27">
        <v>31756</v>
      </c>
      <c r="AV54" s="20"/>
      <c r="AW54" s="20"/>
      <c r="AX54" s="20" t="s">
        <v>974</v>
      </c>
      <c r="AY54" s="20"/>
    </row>
    <row r="55" spans="1:51">
      <c r="A55" s="27">
        <v>43466</v>
      </c>
      <c r="B55" s="20" t="s">
        <v>31</v>
      </c>
      <c r="C55" s="20" t="s">
        <v>1214</v>
      </c>
      <c r="D55">
        <v>113</v>
      </c>
      <c r="E55">
        <v>113</v>
      </c>
      <c r="F55">
        <v>435</v>
      </c>
      <c r="G55">
        <v>435</v>
      </c>
      <c r="H55" s="20" t="s">
        <v>1215</v>
      </c>
      <c r="I55" s="20" t="s">
        <v>935</v>
      </c>
      <c r="J55" s="20" t="s">
        <v>936</v>
      </c>
      <c r="K55" s="20" t="s">
        <v>937</v>
      </c>
      <c r="M55">
        <v>1476</v>
      </c>
      <c r="N55">
        <v>1492</v>
      </c>
      <c r="O55">
        <v>7217</v>
      </c>
      <c r="P55">
        <v>4.8899999999999997</v>
      </c>
      <c r="R55">
        <v>4297</v>
      </c>
      <c r="S55">
        <v>4297</v>
      </c>
      <c r="T55">
        <v>446</v>
      </c>
      <c r="U55">
        <v>0.30399999999999999</v>
      </c>
      <c r="V55">
        <v>6</v>
      </c>
      <c r="W55">
        <v>1</v>
      </c>
      <c r="X55">
        <v>7</v>
      </c>
      <c r="Y55">
        <v>21</v>
      </c>
      <c r="Z55">
        <v>558096</v>
      </c>
      <c r="AA55">
        <v>12.81</v>
      </c>
      <c r="AB55">
        <v>558096</v>
      </c>
      <c r="AC55">
        <v>12.81</v>
      </c>
      <c r="AD55">
        <v>88255</v>
      </c>
      <c r="AE55">
        <v>13527100</v>
      </c>
      <c r="AF55">
        <v>0.15809999999999999</v>
      </c>
      <c r="AG55">
        <v>335</v>
      </c>
      <c r="AH55">
        <v>29633000</v>
      </c>
      <c r="AI55">
        <v>4068</v>
      </c>
      <c r="AJ55">
        <v>507</v>
      </c>
      <c r="AK55" s="20" t="s">
        <v>1216</v>
      </c>
      <c r="AL55" s="20" t="s">
        <v>1217</v>
      </c>
      <c r="AM55" s="20" t="s">
        <v>1218</v>
      </c>
      <c r="AN55" s="20" t="s">
        <v>1219</v>
      </c>
      <c r="AO55" s="20" t="s">
        <v>942</v>
      </c>
      <c r="AP55">
        <v>3</v>
      </c>
      <c r="AQ55">
        <v>15</v>
      </c>
      <c r="AR55">
        <v>33</v>
      </c>
      <c r="AS55">
        <v>79</v>
      </c>
      <c r="AT55">
        <v>16</v>
      </c>
      <c r="AU55" s="27">
        <v>23742</v>
      </c>
      <c r="AV55" s="20" t="s">
        <v>1060</v>
      </c>
      <c r="AW55" s="20"/>
      <c r="AX55" s="20"/>
      <c r="AY55" s="20"/>
    </row>
    <row r="56" spans="1:51">
      <c r="A56" s="27">
        <v>43466</v>
      </c>
      <c r="B56" s="20" t="s">
        <v>60</v>
      </c>
      <c r="C56" s="20" t="s">
        <v>1220</v>
      </c>
      <c r="D56">
        <v>286</v>
      </c>
      <c r="E56">
        <v>337</v>
      </c>
      <c r="F56">
        <v>593</v>
      </c>
      <c r="G56">
        <v>593</v>
      </c>
      <c r="H56" s="20" t="s">
        <v>1221</v>
      </c>
      <c r="I56" s="20" t="s">
        <v>935</v>
      </c>
      <c r="J56" s="20" t="s">
        <v>936</v>
      </c>
      <c r="K56" s="20" t="s">
        <v>937</v>
      </c>
      <c r="M56">
        <v>224</v>
      </c>
      <c r="N56">
        <v>224</v>
      </c>
      <c r="O56">
        <v>1088</v>
      </c>
      <c r="P56">
        <v>4.8600000000000003</v>
      </c>
      <c r="R56">
        <v>508</v>
      </c>
      <c r="S56">
        <v>508</v>
      </c>
      <c r="T56">
        <v>105</v>
      </c>
      <c r="U56">
        <v>0.46899999999999997</v>
      </c>
      <c r="V56">
        <v>2</v>
      </c>
      <c r="W56">
        <v>0</v>
      </c>
      <c r="X56">
        <v>3</v>
      </c>
      <c r="Y56">
        <v>43725</v>
      </c>
      <c r="Z56">
        <v>93155</v>
      </c>
      <c r="AA56">
        <v>2.14</v>
      </c>
      <c r="AB56">
        <v>93155</v>
      </c>
      <c r="AC56">
        <v>2.14</v>
      </c>
      <c r="AD56">
        <v>29149</v>
      </c>
      <c r="AE56">
        <v>2470285</v>
      </c>
      <c r="AF56">
        <v>0.31290000000000001</v>
      </c>
      <c r="AG56">
        <v>237</v>
      </c>
      <c r="AH56">
        <v>17601547</v>
      </c>
      <c r="AI56">
        <v>16193</v>
      </c>
      <c r="AJ56">
        <v>627</v>
      </c>
      <c r="AK56" s="20" t="s">
        <v>1158</v>
      </c>
      <c r="AL56" s="20" t="s">
        <v>1222</v>
      </c>
      <c r="AM56" s="20" t="s">
        <v>1156</v>
      </c>
      <c r="AN56" s="20" t="s">
        <v>1223</v>
      </c>
      <c r="AO56" s="20" t="s">
        <v>963</v>
      </c>
      <c r="AP56">
        <v>3</v>
      </c>
      <c r="AQ56">
        <v>12</v>
      </c>
      <c r="AR56">
        <v>27</v>
      </c>
      <c r="AS56">
        <v>74</v>
      </c>
      <c r="AT56">
        <v>2</v>
      </c>
      <c r="AU56" s="27">
        <v>30436</v>
      </c>
      <c r="AV56" s="20"/>
      <c r="AW56" s="20"/>
      <c r="AX56" s="20" t="s">
        <v>974</v>
      </c>
      <c r="AY56" s="20"/>
    </row>
    <row r="57" spans="1:51">
      <c r="A57" s="27">
        <v>43466</v>
      </c>
      <c r="B57" s="20" t="s">
        <v>306</v>
      </c>
      <c r="C57" s="20" t="s">
        <v>1224</v>
      </c>
      <c r="D57">
        <v>166</v>
      </c>
      <c r="E57">
        <v>166</v>
      </c>
      <c r="F57">
        <v>288</v>
      </c>
      <c r="G57">
        <v>288</v>
      </c>
      <c r="H57" s="20" t="s">
        <v>1225</v>
      </c>
      <c r="I57" s="20" t="s">
        <v>935</v>
      </c>
      <c r="J57" s="20" t="s">
        <v>936</v>
      </c>
      <c r="K57" s="20" t="s">
        <v>937</v>
      </c>
      <c r="M57">
        <v>682</v>
      </c>
      <c r="N57">
        <v>683</v>
      </c>
      <c r="O57">
        <v>3095</v>
      </c>
      <c r="P57">
        <v>4.54</v>
      </c>
      <c r="R57">
        <v>1632</v>
      </c>
      <c r="S57">
        <v>1632</v>
      </c>
      <c r="T57">
        <v>284</v>
      </c>
      <c r="U57">
        <v>0.41899999999999998</v>
      </c>
      <c r="V57">
        <v>3</v>
      </c>
      <c r="W57">
        <v>2</v>
      </c>
      <c r="X57">
        <v>5</v>
      </c>
      <c r="Y57" t="s">
        <v>1226</v>
      </c>
      <c r="Z57">
        <v>364406</v>
      </c>
      <c r="AA57">
        <v>8.3699999999999992</v>
      </c>
      <c r="AB57">
        <v>364406</v>
      </c>
      <c r="AC57">
        <v>8.3699999999999992</v>
      </c>
      <c r="AD57">
        <v>58078</v>
      </c>
      <c r="AE57">
        <v>6234149</v>
      </c>
      <c r="AF57">
        <v>0.15939999999999999</v>
      </c>
      <c r="AG57">
        <v>195</v>
      </c>
      <c r="AH57">
        <v>16996504</v>
      </c>
      <c r="AI57">
        <v>5476</v>
      </c>
      <c r="AJ57">
        <v>486</v>
      </c>
      <c r="AK57" s="20" t="s">
        <v>1227</v>
      </c>
      <c r="AL57" s="20" t="s">
        <v>1228</v>
      </c>
      <c r="AM57" s="20" t="s">
        <v>1229</v>
      </c>
      <c r="AN57" s="20" t="s">
        <v>1230</v>
      </c>
      <c r="AO57" s="20" t="s">
        <v>950</v>
      </c>
      <c r="AP57">
        <v>13</v>
      </c>
      <c r="AQ57">
        <v>8</v>
      </c>
      <c r="AR57">
        <v>23</v>
      </c>
      <c r="AS57">
        <v>46</v>
      </c>
      <c r="AT57">
        <v>47</v>
      </c>
      <c r="AU57" s="27">
        <v>25902</v>
      </c>
      <c r="AV57" s="20"/>
      <c r="AW57" s="20"/>
      <c r="AX57" s="20"/>
      <c r="AY57" s="20"/>
    </row>
    <row r="58" spans="1:51">
      <c r="A58" s="27">
        <v>43466</v>
      </c>
      <c r="B58" s="20" t="s">
        <v>307</v>
      </c>
      <c r="C58" s="20" t="s">
        <v>1231</v>
      </c>
      <c r="D58">
        <v>164</v>
      </c>
      <c r="E58">
        <v>75</v>
      </c>
      <c r="F58">
        <v>270</v>
      </c>
      <c r="G58">
        <v>226</v>
      </c>
      <c r="H58" s="20" t="s">
        <v>1232</v>
      </c>
      <c r="I58" s="20" t="s">
        <v>935</v>
      </c>
      <c r="J58" s="20" t="s">
        <v>936</v>
      </c>
      <c r="K58" s="20" t="s">
        <v>937</v>
      </c>
      <c r="M58">
        <v>169</v>
      </c>
      <c r="N58">
        <v>174</v>
      </c>
      <c r="O58">
        <v>728.5</v>
      </c>
      <c r="P58">
        <v>4.3099999999999996</v>
      </c>
      <c r="R58">
        <v>357</v>
      </c>
      <c r="S58">
        <v>357</v>
      </c>
      <c r="T58">
        <v>53</v>
      </c>
      <c r="U58">
        <v>0.315</v>
      </c>
      <c r="V58">
        <v>1</v>
      </c>
      <c r="W58">
        <v>0</v>
      </c>
      <c r="X58">
        <v>1</v>
      </c>
      <c r="Y58">
        <v>11</v>
      </c>
      <c r="Z58">
        <v>145011</v>
      </c>
      <c r="AA58">
        <v>3.33</v>
      </c>
      <c r="AB58">
        <v>145011</v>
      </c>
      <c r="AC58">
        <v>3.33</v>
      </c>
      <c r="AD58">
        <v>14051</v>
      </c>
      <c r="AE58">
        <v>1386194</v>
      </c>
      <c r="AF58">
        <v>9.69E-2</v>
      </c>
      <c r="AG58">
        <v>107</v>
      </c>
      <c r="AH58">
        <v>3373126</v>
      </c>
      <c r="AI58">
        <v>4498</v>
      </c>
      <c r="AJ58">
        <v>506</v>
      </c>
      <c r="AK58" s="20" t="s">
        <v>1233</v>
      </c>
      <c r="AL58" s="20" t="s">
        <v>1234</v>
      </c>
      <c r="AM58" s="20"/>
      <c r="AN58" s="20"/>
      <c r="AO58" s="20" t="s">
        <v>1049</v>
      </c>
      <c r="AP58">
        <v>14</v>
      </c>
      <c r="AQ58">
        <v>5</v>
      </c>
      <c r="AR58">
        <v>10</v>
      </c>
      <c r="AS58">
        <v>31</v>
      </c>
      <c r="AT58">
        <v>31</v>
      </c>
      <c r="AU58" s="27">
        <v>24562</v>
      </c>
      <c r="AV58" s="20"/>
      <c r="AW58" s="20"/>
      <c r="AX58" s="20"/>
      <c r="AY58" s="20"/>
    </row>
    <row r="59" spans="1:51">
      <c r="A59" s="27">
        <v>43466</v>
      </c>
      <c r="B59" s="20" t="s">
        <v>120</v>
      </c>
      <c r="C59" s="20" t="s">
        <v>1235</v>
      </c>
      <c r="D59">
        <v>58</v>
      </c>
      <c r="E59">
        <v>58</v>
      </c>
      <c r="F59">
        <v>534</v>
      </c>
      <c r="G59">
        <v>534</v>
      </c>
      <c r="H59" s="20" t="s">
        <v>1236</v>
      </c>
      <c r="I59" s="20" t="s">
        <v>935</v>
      </c>
      <c r="J59" s="20" t="s">
        <v>936</v>
      </c>
      <c r="K59" s="20" t="s">
        <v>937</v>
      </c>
      <c r="M59">
        <v>1244</v>
      </c>
      <c r="N59">
        <v>1246</v>
      </c>
      <c r="O59">
        <v>5761</v>
      </c>
      <c r="P59">
        <v>4.63</v>
      </c>
      <c r="R59">
        <v>2586</v>
      </c>
      <c r="S59">
        <v>2586</v>
      </c>
      <c r="T59">
        <v>502</v>
      </c>
      <c r="U59">
        <v>0.41</v>
      </c>
      <c r="V59">
        <v>13</v>
      </c>
      <c r="W59">
        <v>0</v>
      </c>
      <c r="X59">
        <v>13</v>
      </c>
      <c r="Y59">
        <v>43631</v>
      </c>
      <c r="Z59">
        <v>637132</v>
      </c>
      <c r="AA59">
        <v>14.63</v>
      </c>
      <c r="AB59">
        <v>594887</v>
      </c>
      <c r="AC59">
        <v>13.66</v>
      </c>
      <c r="AD59">
        <v>97568</v>
      </c>
      <c r="AE59">
        <v>10275141</v>
      </c>
      <c r="AF59">
        <v>0.15310000000000001</v>
      </c>
      <c r="AG59">
        <v>177</v>
      </c>
      <c r="AH59">
        <v>24155000</v>
      </c>
      <c r="AI59">
        <v>4145</v>
      </c>
      <c r="AJ59">
        <v>590</v>
      </c>
      <c r="AK59" s="20" t="s">
        <v>1237</v>
      </c>
      <c r="AL59" s="20" t="s">
        <v>1219</v>
      </c>
      <c r="AM59" s="20" t="s">
        <v>1209</v>
      </c>
      <c r="AN59" s="20" t="s">
        <v>1238</v>
      </c>
      <c r="AO59" s="20" t="s">
        <v>963</v>
      </c>
      <c r="AP59">
        <v>11</v>
      </c>
      <c r="AQ59">
        <v>13</v>
      </c>
      <c r="AR59">
        <v>30</v>
      </c>
      <c r="AS59">
        <v>68</v>
      </c>
      <c r="AT59">
        <v>8</v>
      </c>
      <c r="AU59" s="27">
        <v>21230</v>
      </c>
      <c r="AV59" s="20" t="s">
        <v>1028</v>
      </c>
      <c r="AW59" s="20"/>
      <c r="AX59" s="20"/>
      <c r="AY59" s="20"/>
    </row>
    <row r="60" spans="1:51">
      <c r="A60" s="27">
        <v>43466</v>
      </c>
      <c r="B60" s="20" t="s">
        <v>308</v>
      </c>
      <c r="C60" s="20" t="s">
        <v>1239</v>
      </c>
      <c r="D60">
        <v>206</v>
      </c>
      <c r="E60">
        <v>117</v>
      </c>
      <c r="F60">
        <v>319</v>
      </c>
      <c r="G60">
        <v>241</v>
      </c>
      <c r="H60" s="20" t="s">
        <v>1240</v>
      </c>
      <c r="I60" s="20" t="s">
        <v>935</v>
      </c>
      <c r="J60" s="20" t="s">
        <v>945</v>
      </c>
      <c r="K60" s="20" t="s">
        <v>1080</v>
      </c>
      <c r="M60">
        <v>378</v>
      </c>
      <c r="N60">
        <v>380</v>
      </c>
      <c r="O60">
        <v>1248</v>
      </c>
      <c r="P60">
        <v>3.3</v>
      </c>
      <c r="R60">
        <v>439</v>
      </c>
      <c r="S60">
        <v>439</v>
      </c>
      <c r="T60">
        <v>323</v>
      </c>
      <c r="U60">
        <v>0.878</v>
      </c>
      <c r="V60">
        <v>4</v>
      </c>
      <c r="W60">
        <v>1</v>
      </c>
      <c r="X60">
        <v>5</v>
      </c>
      <c r="Y60">
        <v>6</v>
      </c>
      <c r="Z60">
        <v>224294</v>
      </c>
      <c r="AA60">
        <v>5.15</v>
      </c>
      <c r="AB60">
        <v>224294</v>
      </c>
      <c r="AC60">
        <v>5.15</v>
      </c>
      <c r="AD60">
        <v>54589</v>
      </c>
      <c r="AE60">
        <v>2858593</v>
      </c>
      <c r="AF60">
        <v>0.24340000000000001</v>
      </c>
      <c r="AG60">
        <v>85</v>
      </c>
      <c r="AH60">
        <v>6866904</v>
      </c>
      <c r="AI60">
        <v>5315</v>
      </c>
      <c r="AJ60">
        <v>323</v>
      </c>
      <c r="AK60" s="20" t="s">
        <v>1241</v>
      </c>
      <c r="AL60" s="20" t="s">
        <v>1242</v>
      </c>
      <c r="AM60" s="20" t="s">
        <v>1243</v>
      </c>
      <c r="AN60" s="20" t="s">
        <v>1244</v>
      </c>
      <c r="AO60" s="20" t="s">
        <v>1108</v>
      </c>
      <c r="AP60">
        <v>1</v>
      </c>
      <c r="AQ60">
        <v>11</v>
      </c>
      <c r="AR60">
        <v>23</v>
      </c>
      <c r="AS60">
        <v>61</v>
      </c>
      <c r="AT60">
        <v>49</v>
      </c>
      <c r="AU60" s="27">
        <v>26206</v>
      </c>
      <c r="AV60" s="20"/>
      <c r="AW60" s="20" t="s">
        <v>1081</v>
      </c>
      <c r="AX60" s="20"/>
      <c r="AY60" s="20"/>
    </row>
    <row r="61" spans="1:51">
      <c r="A61" s="27">
        <v>43466</v>
      </c>
      <c r="B61" s="20" t="s">
        <v>200</v>
      </c>
      <c r="C61" s="20" t="s">
        <v>1245</v>
      </c>
      <c r="D61">
        <v>80</v>
      </c>
      <c r="E61">
        <v>80</v>
      </c>
      <c r="F61">
        <v>431</v>
      </c>
      <c r="G61">
        <v>431</v>
      </c>
      <c r="H61" s="20" t="s">
        <v>1246</v>
      </c>
      <c r="I61" s="20" t="s">
        <v>1031</v>
      </c>
      <c r="J61" s="20" t="s">
        <v>936</v>
      </c>
      <c r="K61" s="20" t="s">
        <v>937</v>
      </c>
      <c r="L61">
        <v>406</v>
      </c>
      <c r="M61">
        <v>2022</v>
      </c>
      <c r="N61">
        <v>2025</v>
      </c>
      <c r="O61">
        <v>9759</v>
      </c>
      <c r="P61">
        <v>4.83</v>
      </c>
      <c r="Q61">
        <v>1151</v>
      </c>
      <c r="R61">
        <v>3729</v>
      </c>
      <c r="S61">
        <v>4880</v>
      </c>
      <c r="T61">
        <v>796</v>
      </c>
      <c r="U61">
        <v>0.40100000000000002</v>
      </c>
      <c r="V61">
        <v>14</v>
      </c>
      <c r="W61">
        <v>0</v>
      </c>
      <c r="X61">
        <v>14</v>
      </c>
      <c r="Y61">
        <v>43819</v>
      </c>
      <c r="Z61">
        <v>1801346</v>
      </c>
      <c r="AA61">
        <v>41.35</v>
      </c>
      <c r="AB61">
        <v>1757585</v>
      </c>
      <c r="AC61">
        <v>40.35</v>
      </c>
      <c r="AD61">
        <v>176917</v>
      </c>
      <c r="AE61">
        <v>19247987</v>
      </c>
      <c r="AF61">
        <v>9.8199999999999996E-2</v>
      </c>
      <c r="AG61">
        <v>118</v>
      </c>
      <c r="AH61">
        <v>28454000</v>
      </c>
      <c r="AI61">
        <v>2915</v>
      </c>
      <c r="AJ61">
        <v>485</v>
      </c>
      <c r="AK61" s="20" t="s">
        <v>1247</v>
      </c>
      <c r="AL61" s="20" t="s">
        <v>1248</v>
      </c>
      <c r="AM61" s="20" t="s">
        <v>1249</v>
      </c>
      <c r="AN61" s="20" t="s">
        <v>1250</v>
      </c>
      <c r="AO61" s="20" t="s">
        <v>942</v>
      </c>
      <c r="AP61">
        <v>9</v>
      </c>
      <c r="AQ61">
        <v>15</v>
      </c>
      <c r="AR61">
        <v>32</v>
      </c>
      <c r="AS61">
        <v>87</v>
      </c>
      <c r="AT61">
        <v>18</v>
      </c>
      <c r="AU61" s="27">
        <v>22265</v>
      </c>
      <c r="AV61" s="20"/>
      <c r="AW61" s="20"/>
      <c r="AX61" s="20"/>
      <c r="AY61" s="20"/>
    </row>
    <row r="62" spans="1:51">
      <c r="A62" s="27">
        <v>43466</v>
      </c>
      <c r="B62" s="20" t="s">
        <v>309</v>
      </c>
      <c r="C62" s="20" t="s">
        <v>1251</v>
      </c>
      <c r="D62">
        <v>134</v>
      </c>
      <c r="E62">
        <v>134</v>
      </c>
      <c r="F62">
        <v>446</v>
      </c>
      <c r="G62">
        <v>446</v>
      </c>
      <c r="H62" s="20" t="s">
        <v>1252</v>
      </c>
      <c r="I62" s="20" t="s">
        <v>1031</v>
      </c>
      <c r="J62" s="20" t="s">
        <v>936</v>
      </c>
      <c r="K62" s="20" t="s">
        <v>937</v>
      </c>
      <c r="L62">
        <v>68</v>
      </c>
      <c r="M62">
        <v>425</v>
      </c>
      <c r="N62">
        <v>425</v>
      </c>
      <c r="O62">
        <v>1914.5</v>
      </c>
      <c r="P62">
        <v>4.5</v>
      </c>
      <c r="Q62">
        <v>177</v>
      </c>
      <c r="R62">
        <v>733</v>
      </c>
      <c r="S62">
        <v>910</v>
      </c>
      <c r="T62">
        <v>181</v>
      </c>
      <c r="U62">
        <v>0.43</v>
      </c>
      <c r="V62">
        <v>2</v>
      </c>
      <c r="W62">
        <v>0</v>
      </c>
      <c r="X62">
        <v>4</v>
      </c>
      <c r="Y62">
        <v>21</v>
      </c>
      <c r="Z62">
        <v>74488</v>
      </c>
      <c r="AA62">
        <v>1.71</v>
      </c>
      <c r="AB62">
        <v>74488</v>
      </c>
      <c r="AC62">
        <v>1.71</v>
      </c>
      <c r="AD62">
        <v>18557</v>
      </c>
      <c r="AE62">
        <v>3689065</v>
      </c>
      <c r="AF62">
        <v>0.24909999999999999</v>
      </c>
      <c r="AG62">
        <v>532</v>
      </c>
      <c r="AH62">
        <v>8776000</v>
      </c>
      <c r="AI62">
        <v>4584</v>
      </c>
      <c r="AJ62">
        <v>583</v>
      </c>
      <c r="AK62" s="20" t="s">
        <v>1253</v>
      </c>
      <c r="AL62" s="20" t="s">
        <v>1254</v>
      </c>
      <c r="AM62" s="20" t="s">
        <v>1255</v>
      </c>
      <c r="AN62" s="20"/>
      <c r="AO62" s="20" t="s">
        <v>963</v>
      </c>
      <c r="AP62">
        <v>4</v>
      </c>
      <c r="AQ62">
        <v>10</v>
      </c>
      <c r="AR62">
        <v>27</v>
      </c>
      <c r="AS62">
        <v>75</v>
      </c>
      <c r="AT62">
        <v>3</v>
      </c>
      <c r="AU62" s="27">
        <v>23528</v>
      </c>
      <c r="AV62" s="20"/>
      <c r="AW62" s="20"/>
      <c r="AX62" s="20"/>
      <c r="AY62" s="20"/>
    </row>
    <row r="63" spans="1:51">
      <c r="A63" s="27">
        <v>43466</v>
      </c>
      <c r="B63" s="20" t="s">
        <v>274</v>
      </c>
      <c r="C63" s="20" t="s">
        <v>1256</v>
      </c>
      <c r="D63">
        <v>176</v>
      </c>
      <c r="E63">
        <v>134</v>
      </c>
      <c r="F63">
        <v>451</v>
      </c>
      <c r="G63">
        <v>451</v>
      </c>
      <c r="H63" s="20" t="s">
        <v>1257</v>
      </c>
      <c r="I63" s="20" t="s">
        <v>935</v>
      </c>
      <c r="J63" s="20" t="s">
        <v>936</v>
      </c>
      <c r="K63" s="20" t="s">
        <v>1080</v>
      </c>
      <c r="M63">
        <v>96</v>
      </c>
      <c r="N63">
        <v>96</v>
      </c>
      <c r="O63">
        <v>336</v>
      </c>
      <c r="P63">
        <v>3.5</v>
      </c>
      <c r="R63">
        <v>114</v>
      </c>
      <c r="S63">
        <v>114</v>
      </c>
      <c r="T63">
        <v>88</v>
      </c>
      <c r="U63">
        <v>0.92600000000000005</v>
      </c>
      <c r="V63">
        <v>1</v>
      </c>
      <c r="W63">
        <v>0</v>
      </c>
      <c r="X63">
        <v>1</v>
      </c>
      <c r="Y63">
        <v>14</v>
      </c>
      <c r="Z63">
        <v>44921</v>
      </c>
      <c r="AA63">
        <v>1.03</v>
      </c>
      <c r="AB63">
        <v>44921</v>
      </c>
      <c r="AC63">
        <v>1.03</v>
      </c>
      <c r="AD63">
        <v>14475</v>
      </c>
      <c r="AE63">
        <v>1021739</v>
      </c>
      <c r="AF63">
        <v>0.32219999999999999</v>
      </c>
      <c r="AG63">
        <v>111</v>
      </c>
      <c r="AH63">
        <v>2402000</v>
      </c>
      <c r="AI63">
        <v>7149</v>
      </c>
      <c r="AJ63">
        <v>337</v>
      </c>
      <c r="AK63" s="20" t="s">
        <v>1258</v>
      </c>
      <c r="AL63" s="20" t="s">
        <v>1254</v>
      </c>
      <c r="AM63" s="20" t="s">
        <v>1259</v>
      </c>
      <c r="AN63" s="20"/>
      <c r="AO63" s="20" t="s">
        <v>963</v>
      </c>
      <c r="AP63">
        <v>4</v>
      </c>
      <c r="AQ63">
        <v>10</v>
      </c>
      <c r="AR63">
        <v>31</v>
      </c>
      <c r="AS63">
        <v>75</v>
      </c>
      <c r="AT63">
        <v>3</v>
      </c>
      <c r="AU63" s="27">
        <v>24958</v>
      </c>
      <c r="AV63" s="20" t="s">
        <v>1060</v>
      </c>
      <c r="AW63" s="20" t="s">
        <v>1081</v>
      </c>
      <c r="AX63" s="20"/>
      <c r="AY63" s="20"/>
    </row>
    <row r="64" spans="1:51">
      <c r="A64" s="27">
        <v>43466</v>
      </c>
      <c r="B64" s="20" t="s">
        <v>124</v>
      </c>
      <c r="C64" s="20" t="s">
        <v>1260</v>
      </c>
      <c r="D64">
        <v>334</v>
      </c>
      <c r="E64">
        <v>342</v>
      </c>
      <c r="F64">
        <v>779</v>
      </c>
      <c r="G64">
        <v>753</v>
      </c>
      <c r="H64" s="20" t="s">
        <v>1261</v>
      </c>
      <c r="I64" s="20" t="s">
        <v>935</v>
      </c>
      <c r="J64" s="20" t="s">
        <v>945</v>
      </c>
      <c r="K64" s="20" t="s">
        <v>937</v>
      </c>
      <c r="M64">
        <v>187</v>
      </c>
      <c r="N64">
        <v>188</v>
      </c>
      <c r="O64">
        <v>729.5</v>
      </c>
      <c r="P64">
        <v>3.9</v>
      </c>
      <c r="R64">
        <v>279</v>
      </c>
      <c r="S64">
        <v>279</v>
      </c>
      <c r="T64">
        <v>130</v>
      </c>
      <c r="U64">
        <v>0.70699999999999996</v>
      </c>
      <c r="V64">
        <v>3</v>
      </c>
      <c r="W64">
        <v>0</v>
      </c>
      <c r="X64">
        <v>13</v>
      </c>
      <c r="Y64">
        <v>43531</v>
      </c>
      <c r="Z64">
        <v>134390</v>
      </c>
      <c r="AA64">
        <v>3.09</v>
      </c>
      <c r="AB64">
        <v>134390</v>
      </c>
      <c r="AC64">
        <v>3.09</v>
      </c>
      <c r="AD64">
        <v>35258</v>
      </c>
      <c r="AE64">
        <v>1584850</v>
      </c>
      <c r="AF64">
        <v>0.26240000000000002</v>
      </c>
      <c r="AG64">
        <v>90</v>
      </c>
      <c r="AH64">
        <v>12645913</v>
      </c>
      <c r="AI64">
        <v>17252</v>
      </c>
      <c r="AJ64">
        <v>403</v>
      </c>
      <c r="AK64" s="20" t="s">
        <v>1262</v>
      </c>
      <c r="AL64" s="20" t="s">
        <v>1263</v>
      </c>
      <c r="AM64" s="20" t="s">
        <v>1217</v>
      </c>
      <c r="AN64" s="20" t="s">
        <v>956</v>
      </c>
      <c r="AO64" s="20" t="s">
        <v>942</v>
      </c>
      <c r="AP64">
        <v>3</v>
      </c>
      <c r="AQ64">
        <v>15</v>
      </c>
      <c r="AR64">
        <v>33</v>
      </c>
      <c r="AS64">
        <v>79</v>
      </c>
      <c r="AT64">
        <v>16</v>
      </c>
      <c r="AU64" s="27">
        <v>31762</v>
      </c>
      <c r="AV64" s="20"/>
      <c r="AW64" s="20" t="s">
        <v>1040</v>
      </c>
      <c r="AX64" s="20" t="s">
        <v>974</v>
      </c>
      <c r="AY64" s="20"/>
    </row>
    <row r="65" spans="1:51">
      <c r="A65" s="27">
        <v>43466</v>
      </c>
      <c r="B65" s="20" t="s">
        <v>143</v>
      </c>
      <c r="C65" s="20" t="s">
        <v>951</v>
      </c>
      <c r="D65">
        <v>307</v>
      </c>
      <c r="E65">
        <v>308</v>
      </c>
      <c r="F65">
        <v>330</v>
      </c>
      <c r="G65">
        <v>750</v>
      </c>
      <c r="H65" s="20" t="s">
        <v>1264</v>
      </c>
      <c r="I65" s="20" t="s">
        <v>935</v>
      </c>
      <c r="J65" s="20" t="s">
        <v>945</v>
      </c>
      <c r="K65" s="20" t="s">
        <v>953</v>
      </c>
      <c r="M65">
        <v>106</v>
      </c>
      <c r="N65">
        <v>107</v>
      </c>
      <c r="O65">
        <v>455</v>
      </c>
      <c r="P65">
        <v>4.29</v>
      </c>
      <c r="R65">
        <v>251</v>
      </c>
      <c r="S65">
        <v>251</v>
      </c>
      <c r="T65">
        <v>35</v>
      </c>
      <c r="U65">
        <v>0.33700000000000002</v>
      </c>
      <c r="V65">
        <v>6</v>
      </c>
      <c r="W65">
        <v>0</v>
      </c>
      <c r="X65">
        <v>6</v>
      </c>
      <c r="Y65">
        <v>43591</v>
      </c>
      <c r="Z65">
        <v>31874</v>
      </c>
      <c r="AA65">
        <v>0.73</v>
      </c>
      <c r="AB65">
        <v>31874</v>
      </c>
      <c r="AC65">
        <v>0.73</v>
      </c>
      <c r="AD65">
        <v>21948</v>
      </c>
      <c r="AE65">
        <v>3488634</v>
      </c>
      <c r="AF65">
        <v>0.68859999999999999</v>
      </c>
      <c r="AG65">
        <v>344</v>
      </c>
      <c r="AH65">
        <v>11430362</v>
      </c>
      <c r="AI65">
        <v>24822</v>
      </c>
      <c r="AJ65">
        <v>457</v>
      </c>
      <c r="AK65" s="20" t="s">
        <v>1265</v>
      </c>
      <c r="AL65" s="20" t="s">
        <v>1216</v>
      </c>
      <c r="AM65" s="20" t="s">
        <v>1218</v>
      </c>
      <c r="AN65" s="20" t="s">
        <v>1266</v>
      </c>
      <c r="AO65" s="20" t="s">
        <v>942</v>
      </c>
      <c r="AP65">
        <v>4</v>
      </c>
      <c r="AQ65">
        <v>15</v>
      </c>
      <c r="AR65">
        <v>32</v>
      </c>
      <c r="AS65">
        <v>77</v>
      </c>
      <c r="AT65">
        <v>16</v>
      </c>
      <c r="AU65" s="27">
        <v>32142</v>
      </c>
      <c r="AV65" s="20"/>
      <c r="AW65" s="20"/>
      <c r="AX65" s="20" t="s">
        <v>974</v>
      </c>
      <c r="AY65" s="20"/>
    </row>
    <row r="66" spans="1:51">
      <c r="A66" s="27">
        <v>43466</v>
      </c>
      <c r="B66" s="20" t="s">
        <v>32</v>
      </c>
      <c r="C66" s="20" t="s">
        <v>951</v>
      </c>
      <c r="D66">
        <v>308</v>
      </c>
      <c r="E66">
        <v>308</v>
      </c>
      <c r="F66">
        <v>750</v>
      </c>
      <c r="G66">
        <v>750</v>
      </c>
      <c r="H66" s="20" t="s">
        <v>1267</v>
      </c>
      <c r="I66" s="20" t="s">
        <v>935</v>
      </c>
      <c r="J66" s="20" t="s">
        <v>945</v>
      </c>
      <c r="K66" s="20" t="s">
        <v>953</v>
      </c>
      <c r="M66">
        <v>107</v>
      </c>
      <c r="N66">
        <v>115</v>
      </c>
      <c r="O66">
        <v>470.5</v>
      </c>
      <c r="P66">
        <v>4.4000000000000004</v>
      </c>
      <c r="R66">
        <v>263</v>
      </c>
      <c r="S66">
        <v>263</v>
      </c>
      <c r="T66">
        <v>27</v>
      </c>
      <c r="U66">
        <v>0.252</v>
      </c>
      <c r="V66">
        <v>5</v>
      </c>
      <c r="W66">
        <v>0</v>
      </c>
      <c r="X66">
        <v>5</v>
      </c>
      <c r="Y66">
        <v>5</v>
      </c>
      <c r="Z66">
        <v>35423</v>
      </c>
      <c r="AA66">
        <v>0.81</v>
      </c>
      <c r="AB66">
        <v>35423</v>
      </c>
      <c r="AC66">
        <v>0.81</v>
      </c>
      <c r="AD66">
        <v>21985</v>
      </c>
      <c r="AE66">
        <v>1538950</v>
      </c>
      <c r="AF66">
        <v>0.62060000000000004</v>
      </c>
      <c r="AG66">
        <v>325</v>
      </c>
      <c r="AH66">
        <v>7234594</v>
      </c>
      <c r="AI66">
        <v>14061</v>
      </c>
      <c r="AJ66">
        <v>495</v>
      </c>
      <c r="AK66" s="20" t="s">
        <v>954</v>
      </c>
      <c r="AL66" s="20" t="s">
        <v>1268</v>
      </c>
      <c r="AM66" s="20" t="s">
        <v>1269</v>
      </c>
      <c r="AN66" s="20" t="s">
        <v>1270</v>
      </c>
      <c r="AO66" s="20" t="s">
        <v>942</v>
      </c>
      <c r="AP66">
        <v>4</v>
      </c>
      <c r="AQ66">
        <v>15</v>
      </c>
      <c r="AR66">
        <v>32</v>
      </c>
      <c r="AS66">
        <v>77</v>
      </c>
      <c r="AT66">
        <v>16</v>
      </c>
      <c r="AU66" s="27">
        <v>31106</v>
      </c>
      <c r="AV66" s="20"/>
      <c r="AW66" s="20"/>
      <c r="AX66" s="20" t="s">
        <v>974</v>
      </c>
      <c r="AY66" s="20"/>
    </row>
    <row r="67" spans="1:51">
      <c r="A67" s="27">
        <v>43466</v>
      </c>
      <c r="B67" s="20" t="s">
        <v>34</v>
      </c>
      <c r="C67" s="20" t="s">
        <v>951</v>
      </c>
      <c r="D67">
        <v>335</v>
      </c>
      <c r="E67">
        <v>308</v>
      </c>
      <c r="F67">
        <v>751</v>
      </c>
      <c r="G67">
        <v>750</v>
      </c>
      <c r="H67" s="20" t="s">
        <v>1271</v>
      </c>
      <c r="I67" s="20" t="s">
        <v>935</v>
      </c>
      <c r="J67" s="20" t="s">
        <v>945</v>
      </c>
      <c r="K67" s="20" t="s">
        <v>953</v>
      </c>
      <c r="M67">
        <v>147</v>
      </c>
      <c r="N67">
        <v>150</v>
      </c>
      <c r="O67">
        <v>647.5</v>
      </c>
      <c r="P67">
        <v>4.4000000000000004</v>
      </c>
      <c r="R67">
        <v>342</v>
      </c>
      <c r="S67">
        <v>342</v>
      </c>
      <c r="T67">
        <v>50</v>
      </c>
      <c r="U67">
        <v>0.34</v>
      </c>
      <c r="V67">
        <v>9</v>
      </c>
      <c r="W67">
        <v>0</v>
      </c>
      <c r="X67">
        <v>9</v>
      </c>
      <c r="Y67">
        <v>43560</v>
      </c>
      <c r="Z67">
        <v>45636</v>
      </c>
      <c r="AA67">
        <v>1.05</v>
      </c>
      <c r="AB67">
        <v>45636</v>
      </c>
      <c r="AC67">
        <v>1.05</v>
      </c>
      <c r="AD67">
        <v>29519</v>
      </c>
      <c r="AE67">
        <v>2656710</v>
      </c>
      <c r="AF67">
        <v>0.64680000000000004</v>
      </c>
      <c r="AG67">
        <v>326</v>
      </c>
      <c r="AH67">
        <v>10283674</v>
      </c>
      <c r="AI67">
        <v>15605</v>
      </c>
      <c r="AJ67">
        <v>464</v>
      </c>
      <c r="AK67" s="20" t="s">
        <v>1216</v>
      </c>
      <c r="AL67" s="20" t="s">
        <v>1265</v>
      </c>
      <c r="AM67" s="20" t="s">
        <v>1269</v>
      </c>
      <c r="AN67" s="20" t="s">
        <v>1270</v>
      </c>
      <c r="AO67" s="20" t="s">
        <v>942</v>
      </c>
      <c r="AP67">
        <v>4</v>
      </c>
      <c r="AQ67">
        <v>15</v>
      </c>
      <c r="AR67">
        <v>32</v>
      </c>
      <c r="AS67">
        <v>77</v>
      </c>
      <c r="AT67">
        <v>16</v>
      </c>
      <c r="AU67" s="27">
        <v>31708</v>
      </c>
      <c r="AV67" s="20"/>
      <c r="AW67" s="20"/>
      <c r="AX67" s="20" t="s">
        <v>974</v>
      </c>
      <c r="AY67" s="20"/>
    </row>
    <row r="68" spans="1:51">
      <c r="A68" s="27">
        <v>43466</v>
      </c>
      <c r="B68" s="20" t="s">
        <v>144</v>
      </c>
      <c r="C68" s="20" t="s">
        <v>951</v>
      </c>
      <c r="D68">
        <v>336</v>
      </c>
      <c r="E68">
        <v>308</v>
      </c>
      <c r="F68">
        <v>752</v>
      </c>
      <c r="G68">
        <v>750</v>
      </c>
      <c r="H68" s="20" t="s">
        <v>1272</v>
      </c>
      <c r="I68" s="20" t="s">
        <v>935</v>
      </c>
      <c r="J68" s="20" t="s">
        <v>945</v>
      </c>
      <c r="K68" s="20" t="s">
        <v>953</v>
      </c>
      <c r="M68">
        <v>129</v>
      </c>
      <c r="N68">
        <v>135</v>
      </c>
      <c r="O68">
        <v>560.5</v>
      </c>
      <c r="P68">
        <v>4.34</v>
      </c>
      <c r="R68">
        <v>304</v>
      </c>
      <c r="S68">
        <v>304</v>
      </c>
      <c r="T68">
        <v>40</v>
      </c>
      <c r="U68">
        <v>0.31</v>
      </c>
      <c r="V68">
        <v>3</v>
      </c>
      <c r="W68">
        <v>0</v>
      </c>
      <c r="X68">
        <v>3</v>
      </c>
      <c r="Y68">
        <v>5</v>
      </c>
      <c r="Z68">
        <v>53898</v>
      </c>
      <c r="AA68">
        <v>1.24</v>
      </c>
      <c r="AB68">
        <v>53898</v>
      </c>
      <c r="AC68">
        <v>1.24</v>
      </c>
      <c r="AD68">
        <v>28605</v>
      </c>
      <c r="AE68">
        <v>2927721</v>
      </c>
      <c r="AF68">
        <v>0.53069999999999995</v>
      </c>
      <c r="AG68">
        <v>245</v>
      </c>
      <c r="AH68">
        <v>8551169</v>
      </c>
      <c r="AI68">
        <v>14555</v>
      </c>
      <c r="AJ68">
        <v>506</v>
      </c>
      <c r="AK68" s="20" t="s">
        <v>1273</v>
      </c>
      <c r="AL68" s="20" t="s">
        <v>954</v>
      </c>
      <c r="AM68" s="20" t="s">
        <v>1270</v>
      </c>
      <c r="AN68" s="20" t="s">
        <v>1266</v>
      </c>
      <c r="AO68" s="20" t="s">
        <v>942</v>
      </c>
      <c r="AP68">
        <v>4</v>
      </c>
      <c r="AQ68">
        <v>15</v>
      </c>
      <c r="AR68">
        <v>32</v>
      </c>
      <c r="AS68">
        <v>77</v>
      </c>
      <c r="AT68">
        <v>16</v>
      </c>
      <c r="AU68" s="27">
        <v>31381</v>
      </c>
      <c r="AV68" s="20"/>
      <c r="AW68" s="20"/>
      <c r="AX68" s="20" t="s">
        <v>974</v>
      </c>
      <c r="AY68" s="20"/>
    </row>
    <row r="69" spans="1:51">
      <c r="A69" s="27">
        <v>43466</v>
      </c>
      <c r="B69" s="20" t="s">
        <v>310</v>
      </c>
      <c r="C69" s="20" t="s">
        <v>1274</v>
      </c>
      <c r="D69">
        <v>11</v>
      </c>
      <c r="E69">
        <v>280</v>
      </c>
      <c r="F69">
        <v>208</v>
      </c>
      <c r="G69">
        <v>506</v>
      </c>
      <c r="H69" s="20" t="s">
        <v>1275</v>
      </c>
      <c r="I69" s="20" t="s">
        <v>935</v>
      </c>
      <c r="J69" s="20" t="s">
        <v>936</v>
      </c>
      <c r="K69" s="20" t="s">
        <v>937</v>
      </c>
      <c r="M69">
        <v>401</v>
      </c>
      <c r="N69">
        <v>401</v>
      </c>
      <c r="O69">
        <v>1893.5</v>
      </c>
      <c r="P69">
        <v>4.72</v>
      </c>
      <c r="R69">
        <v>861</v>
      </c>
      <c r="S69">
        <v>861</v>
      </c>
      <c r="T69">
        <v>173</v>
      </c>
      <c r="U69">
        <v>0.438</v>
      </c>
      <c r="V69">
        <v>46</v>
      </c>
      <c r="W69">
        <v>0</v>
      </c>
      <c r="X69">
        <v>192</v>
      </c>
      <c r="Y69">
        <v>2</v>
      </c>
      <c r="Z69">
        <v>742013</v>
      </c>
      <c r="AA69">
        <v>17.03</v>
      </c>
      <c r="AB69">
        <v>742013</v>
      </c>
      <c r="AC69">
        <v>17.03</v>
      </c>
      <c r="AD69">
        <v>154304</v>
      </c>
      <c r="AE69">
        <v>3388939</v>
      </c>
      <c r="AF69">
        <v>0.20799999999999999</v>
      </c>
      <c r="AG69">
        <v>51</v>
      </c>
      <c r="AH69">
        <v>2067000</v>
      </c>
      <c r="AI69">
        <v>1116</v>
      </c>
      <c r="AJ69">
        <v>612</v>
      </c>
      <c r="AK69" s="20" t="s">
        <v>1276</v>
      </c>
      <c r="AL69" s="20" t="s">
        <v>1277</v>
      </c>
      <c r="AM69" s="20" t="s">
        <v>1278</v>
      </c>
      <c r="AN69" s="20" t="s">
        <v>1279</v>
      </c>
      <c r="AO69" s="20" t="s">
        <v>942</v>
      </c>
      <c r="AP69">
        <v>9</v>
      </c>
      <c r="AQ69">
        <v>15</v>
      </c>
      <c r="AR69">
        <v>34</v>
      </c>
      <c r="AS69">
        <v>85</v>
      </c>
      <c r="AT69">
        <v>18</v>
      </c>
      <c r="AU69" s="27">
        <v>15330</v>
      </c>
      <c r="AV69" s="20"/>
      <c r="AW69" s="20"/>
      <c r="AX69" s="20"/>
      <c r="AY69" s="20"/>
    </row>
    <row r="70" spans="1:51">
      <c r="A70" s="27">
        <v>43466</v>
      </c>
      <c r="B70" s="20" t="s">
        <v>129</v>
      </c>
      <c r="C70" s="20" t="s">
        <v>1280</v>
      </c>
      <c r="D70">
        <v>123</v>
      </c>
      <c r="E70">
        <v>123</v>
      </c>
      <c r="F70">
        <v>245</v>
      </c>
      <c r="G70">
        <v>245</v>
      </c>
      <c r="H70" s="20" t="s">
        <v>1281</v>
      </c>
      <c r="I70" s="20" t="s">
        <v>935</v>
      </c>
      <c r="J70" s="20" t="s">
        <v>936</v>
      </c>
      <c r="K70" s="20" t="s">
        <v>937</v>
      </c>
      <c r="M70">
        <v>748</v>
      </c>
      <c r="N70">
        <v>749</v>
      </c>
      <c r="O70">
        <v>3523</v>
      </c>
      <c r="P70">
        <v>4.71</v>
      </c>
      <c r="R70">
        <v>1720</v>
      </c>
      <c r="S70">
        <v>1720</v>
      </c>
      <c r="T70">
        <v>330</v>
      </c>
      <c r="U70">
        <v>0.45</v>
      </c>
      <c r="V70">
        <v>6</v>
      </c>
      <c r="W70">
        <v>2</v>
      </c>
      <c r="X70">
        <v>8</v>
      </c>
      <c r="Y70">
        <v>43726</v>
      </c>
      <c r="Z70">
        <v>243770</v>
      </c>
      <c r="AA70">
        <v>5.6</v>
      </c>
      <c r="AB70">
        <v>232673</v>
      </c>
      <c r="AC70">
        <v>5.34</v>
      </c>
      <c r="AD70">
        <v>51879</v>
      </c>
      <c r="AE70">
        <v>6740935</v>
      </c>
      <c r="AF70">
        <v>0.21279999999999999</v>
      </c>
      <c r="AG70">
        <v>307</v>
      </c>
      <c r="AH70">
        <v>16774779</v>
      </c>
      <c r="AI70">
        <v>4756</v>
      </c>
      <c r="AJ70">
        <v>529</v>
      </c>
      <c r="AK70" s="20" t="s">
        <v>1282</v>
      </c>
      <c r="AL70" s="20" t="s">
        <v>1283</v>
      </c>
      <c r="AM70" s="20" t="s">
        <v>1284</v>
      </c>
      <c r="AN70" s="20" t="s">
        <v>1285</v>
      </c>
      <c r="AO70" s="20" t="s">
        <v>963</v>
      </c>
      <c r="AP70">
        <v>11</v>
      </c>
      <c r="AQ70">
        <v>13</v>
      </c>
      <c r="AR70">
        <v>30</v>
      </c>
      <c r="AS70">
        <v>68</v>
      </c>
      <c r="AT70">
        <v>8</v>
      </c>
      <c r="AU70" s="27">
        <v>24046</v>
      </c>
      <c r="AV70" s="20"/>
      <c r="AW70" s="20"/>
      <c r="AX70" s="20"/>
      <c r="AY70" s="20"/>
    </row>
    <row r="71" spans="1:51">
      <c r="A71" s="27">
        <v>43466</v>
      </c>
      <c r="B71" s="20" t="s">
        <v>145</v>
      </c>
      <c r="C71" s="20" t="s">
        <v>951</v>
      </c>
      <c r="D71">
        <v>236</v>
      </c>
      <c r="E71">
        <v>308</v>
      </c>
      <c r="F71">
        <v>351</v>
      </c>
      <c r="G71">
        <v>344</v>
      </c>
      <c r="H71" s="20" t="s">
        <v>1286</v>
      </c>
      <c r="I71" s="20" t="s">
        <v>935</v>
      </c>
      <c r="J71" s="20" t="s">
        <v>945</v>
      </c>
      <c r="K71" s="20" t="s">
        <v>1080</v>
      </c>
      <c r="M71">
        <v>95</v>
      </c>
      <c r="N71">
        <v>95</v>
      </c>
      <c r="O71">
        <v>307.5</v>
      </c>
      <c r="P71">
        <v>3.24</v>
      </c>
      <c r="R71">
        <v>102</v>
      </c>
      <c r="S71">
        <v>102</v>
      </c>
      <c r="T71">
        <v>84</v>
      </c>
      <c r="U71">
        <v>0.89400000000000002</v>
      </c>
      <c r="V71">
        <v>1</v>
      </c>
      <c r="W71">
        <v>0</v>
      </c>
      <c r="X71">
        <v>1</v>
      </c>
      <c r="Y71">
        <v>6</v>
      </c>
      <c r="Z71">
        <v>22146</v>
      </c>
      <c r="AA71">
        <v>0.51</v>
      </c>
      <c r="AB71">
        <v>22146</v>
      </c>
      <c r="AC71">
        <v>0.51</v>
      </c>
      <c r="AD71">
        <v>10022</v>
      </c>
      <c r="AE71">
        <v>784399</v>
      </c>
      <c r="AF71">
        <v>0.45250000000000001</v>
      </c>
      <c r="AG71">
        <v>200</v>
      </c>
      <c r="AH71">
        <v>2518156</v>
      </c>
      <c r="AI71">
        <v>7869</v>
      </c>
      <c r="AJ71">
        <v>288</v>
      </c>
      <c r="AK71" s="20" t="s">
        <v>1266</v>
      </c>
      <c r="AL71" s="20" t="s">
        <v>1270</v>
      </c>
      <c r="AM71" s="20" t="s">
        <v>1269</v>
      </c>
      <c r="AN71" s="20" t="s">
        <v>1273</v>
      </c>
      <c r="AO71" s="20" t="s">
        <v>942</v>
      </c>
      <c r="AP71">
        <v>4</v>
      </c>
      <c r="AQ71">
        <v>15</v>
      </c>
      <c r="AR71">
        <v>32</v>
      </c>
      <c r="AS71">
        <v>77</v>
      </c>
      <c r="AT71">
        <v>16</v>
      </c>
      <c r="AU71" s="27">
        <v>26511</v>
      </c>
      <c r="AV71" s="20"/>
      <c r="AW71" s="20" t="s">
        <v>1081</v>
      </c>
      <c r="AX71" s="20"/>
      <c r="AY71" s="20"/>
    </row>
    <row r="72" spans="1:51">
      <c r="A72" s="27">
        <v>43466</v>
      </c>
      <c r="B72" s="20" t="s">
        <v>235</v>
      </c>
      <c r="C72" s="20" t="s">
        <v>1287</v>
      </c>
      <c r="D72">
        <v>94</v>
      </c>
      <c r="E72">
        <v>170</v>
      </c>
      <c r="F72">
        <v>671</v>
      </c>
      <c r="G72">
        <v>671</v>
      </c>
      <c r="H72" s="20" t="s">
        <v>1288</v>
      </c>
      <c r="I72" s="20" t="s">
        <v>935</v>
      </c>
      <c r="J72" s="20" t="s">
        <v>936</v>
      </c>
      <c r="K72" s="20" t="s">
        <v>937</v>
      </c>
      <c r="M72">
        <v>530</v>
      </c>
      <c r="N72">
        <v>534</v>
      </c>
      <c r="O72">
        <v>2426</v>
      </c>
      <c r="P72">
        <v>4.58</v>
      </c>
      <c r="R72">
        <v>1121</v>
      </c>
      <c r="S72">
        <v>1121</v>
      </c>
      <c r="T72">
        <v>211</v>
      </c>
      <c r="U72">
        <v>0.40100000000000002</v>
      </c>
      <c r="V72">
        <v>5</v>
      </c>
      <c r="W72">
        <v>0</v>
      </c>
      <c r="X72">
        <v>5</v>
      </c>
      <c r="Y72">
        <v>14</v>
      </c>
      <c r="Z72">
        <v>298874</v>
      </c>
      <c r="AA72">
        <v>6.86</v>
      </c>
      <c r="AB72">
        <v>239429</v>
      </c>
      <c r="AC72">
        <v>5.5</v>
      </c>
      <c r="AD72">
        <v>38119</v>
      </c>
      <c r="AE72">
        <v>4912800</v>
      </c>
      <c r="AF72">
        <v>0.1275</v>
      </c>
      <c r="AG72">
        <v>163</v>
      </c>
      <c r="AH72">
        <v>7728534</v>
      </c>
      <c r="AI72">
        <v>3165</v>
      </c>
      <c r="AJ72">
        <v>599</v>
      </c>
      <c r="AK72" s="20" t="s">
        <v>1230</v>
      </c>
      <c r="AL72" s="20" t="s">
        <v>1289</v>
      </c>
      <c r="AM72" s="20" t="s">
        <v>1290</v>
      </c>
      <c r="AN72" s="20" t="s">
        <v>1291</v>
      </c>
      <c r="AO72" s="20" t="s">
        <v>950</v>
      </c>
      <c r="AP72">
        <v>13</v>
      </c>
      <c r="AQ72">
        <v>8</v>
      </c>
      <c r="AR72">
        <v>23</v>
      </c>
      <c r="AS72">
        <v>46</v>
      </c>
      <c r="AT72">
        <v>47</v>
      </c>
      <c r="AU72" s="27">
        <v>20876</v>
      </c>
      <c r="AV72" s="20" t="s">
        <v>1060</v>
      </c>
      <c r="AW72" s="20"/>
      <c r="AX72" s="20"/>
      <c r="AY72" s="20"/>
    </row>
    <row r="73" spans="1:51">
      <c r="A73" s="27">
        <v>43466</v>
      </c>
      <c r="B73" s="20" t="s">
        <v>311</v>
      </c>
      <c r="C73" s="20" t="s">
        <v>1224</v>
      </c>
      <c r="D73">
        <v>239</v>
      </c>
      <c r="E73">
        <v>166</v>
      </c>
      <c r="F73">
        <v>335</v>
      </c>
      <c r="G73">
        <v>288</v>
      </c>
      <c r="H73" s="20" t="s">
        <v>1292</v>
      </c>
      <c r="I73" s="20" t="s">
        <v>935</v>
      </c>
      <c r="J73" s="20" t="s">
        <v>945</v>
      </c>
      <c r="K73" s="20" t="s">
        <v>937</v>
      </c>
      <c r="M73">
        <v>192</v>
      </c>
      <c r="N73">
        <v>193</v>
      </c>
      <c r="O73">
        <v>952</v>
      </c>
      <c r="P73">
        <v>4.96</v>
      </c>
      <c r="R73">
        <v>512</v>
      </c>
      <c r="S73">
        <v>512</v>
      </c>
      <c r="T73">
        <v>73</v>
      </c>
      <c r="U73">
        <v>0.38200000000000001</v>
      </c>
      <c r="V73">
        <v>1</v>
      </c>
      <c r="W73">
        <v>0</v>
      </c>
      <c r="X73">
        <v>1</v>
      </c>
      <c r="Y73">
        <v>18</v>
      </c>
      <c r="Z73">
        <v>93061</v>
      </c>
      <c r="AA73">
        <v>2.14</v>
      </c>
      <c r="AB73">
        <v>93061</v>
      </c>
      <c r="AC73">
        <v>2.14</v>
      </c>
      <c r="AD73">
        <v>14078</v>
      </c>
      <c r="AE73">
        <v>1876990</v>
      </c>
      <c r="AF73">
        <v>0.15129999999999999</v>
      </c>
      <c r="AG73">
        <v>239</v>
      </c>
      <c r="AH73">
        <v>7531412</v>
      </c>
      <c r="AI73">
        <v>7829</v>
      </c>
      <c r="AJ73">
        <v>552</v>
      </c>
      <c r="AK73" s="20" t="s">
        <v>1293</v>
      </c>
      <c r="AL73" s="20" t="s">
        <v>1294</v>
      </c>
      <c r="AM73" s="20" t="s">
        <v>1230</v>
      </c>
      <c r="AN73" s="20" t="s">
        <v>1295</v>
      </c>
      <c r="AO73" s="20" t="s">
        <v>950</v>
      </c>
      <c r="AP73">
        <v>13</v>
      </c>
      <c r="AQ73">
        <v>8</v>
      </c>
      <c r="AR73">
        <v>23</v>
      </c>
      <c r="AS73">
        <v>46</v>
      </c>
      <c r="AT73">
        <v>47</v>
      </c>
      <c r="AU73" s="27">
        <v>26815</v>
      </c>
      <c r="AV73" s="20"/>
      <c r="AW73" s="20"/>
      <c r="AX73" s="20"/>
      <c r="AY73" s="20"/>
    </row>
    <row r="74" spans="1:51">
      <c r="A74" s="27">
        <v>43466</v>
      </c>
      <c r="B74" s="20" t="s">
        <v>236</v>
      </c>
      <c r="C74" s="20" t="s">
        <v>1296</v>
      </c>
      <c r="D74">
        <v>238</v>
      </c>
      <c r="E74">
        <v>172</v>
      </c>
      <c r="F74">
        <v>334</v>
      </c>
      <c r="G74">
        <v>334</v>
      </c>
      <c r="H74" s="20" t="s">
        <v>1297</v>
      </c>
      <c r="I74" s="20" t="s">
        <v>935</v>
      </c>
      <c r="J74" s="20" t="s">
        <v>945</v>
      </c>
      <c r="K74" s="20" t="s">
        <v>937</v>
      </c>
      <c r="M74">
        <v>124</v>
      </c>
      <c r="N74">
        <v>125</v>
      </c>
      <c r="O74">
        <v>626</v>
      </c>
      <c r="P74">
        <v>5.05</v>
      </c>
      <c r="R74">
        <v>361</v>
      </c>
      <c r="S74">
        <v>361</v>
      </c>
      <c r="T74">
        <v>37</v>
      </c>
      <c r="U74">
        <v>0.30599999999999999</v>
      </c>
      <c r="V74">
        <v>1</v>
      </c>
      <c r="W74">
        <v>0</v>
      </c>
      <c r="X74">
        <v>2</v>
      </c>
      <c r="Y74">
        <v>14</v>
      </c>
      <c r="Z74">
        <v>61483</v>
      </c>
      <c r="AA74">
        <v>1.41</v>
      </c>
      <c r="AB74">
        <v>61483</v>
      </c>
      <c r="AC74">
        <v>1.41</v>
      </c>
      <c r="AD74">
        <v>11970</v>
      </c>
      <c r="AE74">
        <v>1187936</v>
      </c>
      <c r="AF74">
        <v>0.19470000000000001</v>
      </c>
      <c r="AG74">
        <v>256</v>
      </c>
      <c r="AH74">
        <v>5853893</v>
      </c>
      <c r="AI74">
        <v>9255</v>
      </c>
      <c r="AJ74">
        <v>559</v>
      </c>
      <c r="AK74" s="20" t="s">
        <v>1298</v>
      </c>
      <c r="AL74" s="20" t="s">
        <v>1299</v>
      </c>
      <c r="AM74" s="20" t="s">
        <v>1230</v>
      </c>
      <c r="AN74" s="20" t="s">
        <v>1295</v>
      </c>
      <c r="AO74" s="20" t="s">
        <v>950</v>
      </c>
      <c r="AP74">
        <v>13</v>
      </c>
      <c r="AQ74">
        <v>8</v>
      </c>
      <c r="AR74">
        <v>23</v>
      </c>
      <c r="AS74">
        <v>46</v>
      </c>
      <c r="AT74">
        <v>47</v>
      </c>
      <c r="AU74" s="27">
        <v>27029</v>
      </c>
      <c r="AV74" s="20"/>
      <c r="AW74" s="20"/>
      <c r="AX74" s="20"/>
      <c r="AY74" s="20"/>
    </row>
    <row r="75" spans="1:51">
      <c r="A75" s="27">
        <v>43466</v>
      </c>
      <c r="B75" s="20" t="s">
        <v>312</v>
      </c>
      <c r="C75" s="20" t="s">
        <v>1287</v>
      </c>
      <c r="D75">
        <v>216</v>
      </c>
      <c r="E75">
        <v>170</v>
      </c>
      <c r="F75">
        <v>328</v>
      </c>
      <c r="G75">
        <v>278</v>
      </c>
      <c r="H75" s="20" t="s">
        <v>1300</v>
      </c>
      <c r="I75" s="20" t="s">
        <v>935</v>
      </c>
      <c r="J75" s="20" t="s">
        <v>945</v>
      </c>
      <c r="K75" s="20" t="s">
        <v>937</v>
      </c>
      <c r="M75">
        <v>376</v>
      </c>
      <c r="N75">
        <v>376</v>
      </c>
      <c r="O75">
        <v>1879</v>
      </c>
      <c r="P75">
        <v>5</v>
      </c>
      <c r="R75">
        <v>1029</v>
      </c>
      <c r="S75">
        <v>1029</v>
      </c>
      <c r="T75">
        <v>103</v>
      </c>
      <c r="U75">
        <v>0.27900000000000003</v>
      </c>
      <c r="V75">
        <v>1</v>
      </c>
      <c r="W75">
        <v>1</v>
      </c>
      <c r="X75">
        <v>6</v>
      </c>
      <c r="Y75">
        <v>17</v>
      </c>
      <c r="Z75">
        <v>187318</v>
      </c>
      <c r="AA75">
        <v>4.3</v>
      </c>
      <c r="AB75">
        <v>187318</v>
      </c>
      <c r="AC75">
        <v>4.3</v>
      </c>
      <c r="AD75">
        <v>38750</v>
      </c>
      <c r="AE75">
        <v>4017326</v>
      </c>
      <c r="AF75">
        <v>0.2069</v>
      </c>
      <c r="AG75">
        <v>239</v>
      </c>
      <c r="AH75">
        <v>16603000</v>
      </c>
      <c r="AI75">
        <v>8808</v>
      </c>
      <c r="AJ75">
        <v>595</v>
      </c>
      <c r="AK75" s="20" t="s">
        <v>1295</v>
      </c>
      <c r="AL75" s="20" t="s">
        <v>1253</v>
      </c>
      <c r="AM75" s="20" t="s">
        <v>1230</v>
      </c>
      <c r="AN75" s="20" t="s">
        <v>1301</v>
      </c>
      <c r="AO75" s="20" t="s">
        <v>950</v>
      </c>
      <c r="AP75">
        <v>13</v>
      </c>
      <c r="AQ75">
        <v>8</v>
      </c>
      <c r="AR75">
        <v>23</v>
      </c>
      <c r="AS75">
        <v>46</v>
      </c>
      <c r="AT75">
        <v>47</v>
      </c>
      <c r="AU75" s="27">
        <v>27241</v>
      </c>
      <c r="AV75" s="20"/>
      <c r="AW75" s="20"/>
      <c r="AX75" s="20"/>
      <c r="AY75" s="20"/>
    </row>
    <row r="76" spans="1:51">
      <c r="A76" s="27">
        <v>43466</v>
      </c>
      <c r="B76" s="20" t="s">
        <v>313</v>
      </c>
      <c r="C76" s="20" t="s">
        <v>1066</v>
      </c>
      <c r="D76">
        <v>232</v>
      </c>
      <c r="E76">
        <v>91</v>
      </c>
      <c r="F76">
        <v>347</v>
      </c>
      <c r="G76">
        <v>240</v>
      </c>
      <c r="H76" s="20" t="s">
        <v>1302</v>
      </c>
      <c r="I76" s="20" t="s">
        <v>935</v>
      </c>
      <c r="J76" s="20" t="s">
        <v>945</v>
      </c>
      <c r="K76" s="20" t="s">
        <v>1080</v>
      </c>
      <c r="M76">
        <v>214</v>
      </c>
      <c r="N76">
        <v>216</v>
      </c>
      <c r="O76">
        <v>701</v>
      </c>
      <c r="P76">
        <v>3.28</v>
      </c>
      <c r="R76">
        <v>240</v>
      </c>
      <c r="S76">
        <v>240</v>
      </c>
      <c r="T76">
        <v>192</v>
      </c>
      <c r="U76">
        <v>0.91</v>
      </c>
      <c r="V76">
        <v>1</v>
      </c>
      <c r="W76">
        <v>0</v>
      </c>
      <c r="X76">
        <v>1</v>
      </c>
      <c r="Y76">
        <v>13</v>
      </c>
      <c r="Z76">
        <v>51873</v>
      </c>
      <c r="AA76">
        <v>1.19</v>
      </c>
      <c r="AB76">
        <v>51873</v>
      </c>
      <c r="AC76">
        <v>1.19</v>
      </c>
      <c r="AD76">
        <v>11294</v>
      </c>
      <c r="AE76">
        <v>1325412</v>
      </c>
      <c r="AF76">
        <v>0.2177</v>
      </c>
      <c r="AG76">
        <v>202</v>
      </c>
      <c r="AH76">
        <v>5835896</v>
      </c>
      <c r="AI76">
        <v>7973</v>
      </c>
      <c r="AJ76">
        <v>352</v>
      </c>
      <c r="AK76" s="20" t="s">
        <v>1303</v>
      </c>
      <c r="AL76" s="20" t="s">
        <v>1304</v>
      </c>
      <c r="AM76" s="20" t="s">
        <v>1305</v>
      </c>
      <c r="AN76" s="20" t="s">
        <v>1306</v>
      </c>
      <c r="AO76" s="20" t="s">
        <v>1049</v>
      </c>
      <c r="AP76">
        <v>12</v>
      </c>
      <c r="AQ76">
        <v>5</v>
      </c>
      <c r="AR76">
        <v>14</v>
      </c>
      <c r="AS76">
        <v>29</v>
      </c>
      <c r="AT76">
        <v>27</v>
      </c>
      <c r="AU76" s="27">
        <v>26754</v>
      </c>
      <c r="AV76" s="20"/>
      <c r="AW76" s="20" t="s">
        <v>1081</v>
      </c>
      <c r="AX76" s="20"/>
      <c r="AY76" s="20"/>
    </row>
    <row r="77" spans="1:51">
      <c r="A77" s="27">
        <v>43466</v>
      </c>
      <c r="B77" s="20" t="s">
        <v>190</v>
      </c>
      <c r="C77" s="20" t="s">
        <v>1307</v>
      </c>
      <c r="D77">
        <v>69</v>
      </c>
      <c r="E77">
        <v>69</v>
      </c>
      <c r="F77">
        <v>223</v>
      </c>
      <c r="G77">
        <v>223</v>
      </c>
      <c r="H77" s="20" t="s">
        <v>1308</v>
      </c>
      <c r="I77" s="20" t="s">
        <v>935</v>
      </c>
      <c r="J77" s="20" t="s">
        <v>936</v>
      </c>
      <c r="K77" s="20" t="s">
        <v>937</v>
      </c>
      <c r="M77">
        <v>700</v>
      </c>
      <c r="N77">
        <v>700</v>
      </c>
      <c r="O77">
        <v>3281</v>
      </c>
      <c r="P77">
        <v>4.6900000000000004</v>
      </c>
      <c r="R77">
        <v>1554</v>
      </c>
      <c r="S77">
        <v>1554</v>
      </c>
      <c r="T77">
        <v>301</v>
      </c>
      <c r="U77">
        <v>0.434</v>
      </c>
      <c r="V77">
        <v>11</v>
      </c>
      <c r="W77">
        <v>0</v>
      </c>
      <c r="X77">
        <v>13</v>
      </c>
      <c r="Y77">
        <v>7</v>
      </c>
      <c r="Z77">
        <v>528967</v>
      </c>
      <c r="AA77">
        <v>12.14</v>
      </c>
      <c r="AB77">
        <v>496296</v>
      </c>
      <c r="AC77">
        <v>11.39</v>
      </c>
      <c r="AD77">
        <v>86767</v>
      </c>
      <c r="AE77">
        <v>5878957</v>
      </c>
      <c r="AF77">
        <v>0.16400000000000001</v>
      </c>
      <c r="AG77">
        <v>128</v>
      </c>
      <c r="AH77">
        <v>7702277</v>
      </c>
      <c r="AI77">
        <v>2346</v>
      </c>
      <c r="AJ77">
        <v>541</v>
      </c>
      <c r="AK77" s="20" t="s">
        <v>1309</v>
      </c>
      <c r="AL77" s="20" t="s">
        <v>1310</v>
      </c>
      <c r="AM77" s="20" t="s">
        <v>1311</v>
      </c>
      <c r="AN77" s="20" t="s">
        <v>1312</v>
      </c>
      <c r="AO77" s="20" t="s">
        <v>950</v>
      </c>
      <c r="AP77">
        <v>1</v>
      </c>
      <c r="AQ77">
        <v>12</v>
      </c>
      <c r="AR77">
        <v>18</v>
      </c>
      <c r="AS77">
        <v>50</v>
      </c>
      <c r="AT77">
        <v>34</v>
      </c>
      <c r="AU77" s="27">
        <v>19535</v>
      </c>
      <c r="AV77" s="20"/>
      <c r="AW77" s="20"/>
      <c r="AX77" s="20"/>
      <c r="AY77" s="20"/>
    </row>
    <row r="78" spans="1:51">
      <c r="A78" s="27">
        <v>43466</v>
      </c>
      <c r="B78" s="20" t="s">
        <v>74</v>
      </c>
      <c r="C78" s="20" t="s">
        <v>980</v>
      </c>
      <c r="D78">
        <v>199</v>
      </c>
      <c r="E78">
        <v>64</v>
      </c>
      <c r="F78">
        <v>359</v>
      </c>
      <c r="G78">
        <v>219</v>
      </c>
      <c r="H78" s="20" t="s">
        <v>1313</v>
      </c>
      <c r="I78" s="20" t="s">
        <v>935</v>
      </c>
      <c r="J78" s="20" t="s">
        <v>936</v>
      </c>
      <c r="K78" s="20" t="s">
        <v>1080</v>
      </c>
      <c r="M78">
        <v>171</v>
      </c>
      <c r="N78">
        <v>171</v>
      </c>
      <c r="O78">
        <v>512.5</v>
      </c>
      <c r="P78">
        <v>3</v>
      </c>
      <c r="R78">
        <v>186</v>
      </c>
      <c r="S78">
        <v>186</v>
      </c>
      <c r="T78">
        <v>144</v>
      </c>
      <c r="U78">
        <v>0.86699999999999999</v>
      </c>
      <c r="V78">
        <v>1</v>
      </c>
      <c r="W78">
        <v>0</v>
      </c>
      <c r="X78">
        <v>1</v>
      </c>
      <c r="Y78">
        <v>16</v>
      </c>
      <c r="Z78">
        <v>32004</v>
      </c>
      <c r="AA78">
        <v>0.73</v>
      </c>
      <c r="AB78">
        <v>32004</v>
      </c>
      <c r="AC78">
        <v>0.73</v>
      </c>
      <c r="AD78">
        <v>20446</v>
      </c>
      <c r="AE78">
        <v>1361650</v>
      </c>
      <c r="AF78">
        <v>0.63890000000000002</v>
      </c>
      <c r="AG78">
        <v>255</v>
      </c>
      <c r="AH78">
        <v>6600521</v>
      </c>
      <c r="AI78">
        <v>11882</v>
      </c>
      <c r="AJ78">
        <v>303</v>
      </c>
      <c r="AK78" s="20" t="s">
        <v>1314</v>
      </c>
      <c r="AL78" s="20" t="s">
        <v>1315</v>
      </c>
      <c r="AM78" s="20" t="s">
        <v>984</v>
      </c>
      <c r="AN78" s="20" t="s">
        <v>982</v>
      </c>
      <c r="AO78" s="20" t="s">
        <v>963</v>
      </c>
      <c r="AP78">
        <v>11</v>
      </c>
      <c r="AQ78">
        <v>13</v>
      </c>
      <c r="AR78">
        <v>29</v>
      </c>
      <c r="AS78">
        <v>68</v>
      </c>
      <c r="AT78">
        <v>8</v>
      </c>
      <c r="AU78" s="27">
        <v>26998</v>
      </c>
      <c r="AV78" s="20"/>
      <c r="AW78" s="20" t="s">
        <v>1081</v>
      </c>
      <c r="AX78" s="20"/>
      <c r="AY78" s="20"/>
    </row>
    <row r="79" spans="1:51">
      <c r="A79" s="27">
        <v>43466</v>
      </c>
      <c r="B79" s="20" t="s">
        <v>314</v>
      </c>
      <c r="C79" s="20" t="s">
        <v>1316</v>
      </c>
      <c r="D79">
        <v>312</v>
      </c>
      <c r="E79">
        <v>351</v>
      </c>
      <c r="F79">
        <v>331</v>
      </c>
      <c r="G79">
        <v>765</v>
      </c>
      <c r="H79" s="20" t="s">
        <v>1317</v>
      </c>
      <c r="I79" s="20" t="s">
        <v>935</v>
      </c>
      <c r="J79" s="20" t="s">
        <v>945</v>
      </c>
      <c r="K79" s="20" t="s">
        <v>953</v>
      </c>
      <c r="M79">
        <v>121</v>
      </c>
      <c r="N79">
        <v>121</v>
      </c>
      <c r="O79">
        <v>527.5</v>
      </c>
      <c r="P79">
        <v>4.3600000000000003</v>
      </c>
      <c r="R79">
        <v>241</v>
      </c>
      <c r="S79">
        <v>241</v>
      </c>
      <c r="T79">
        <v>33</v>
      </c>
      <c r="U79">
        <v>0.27500000000000002</v>
      </c>
      <c r="V79">
        <v>8</v>
      </c>
      <c r="W79">
        <v>0</v>
      </c>
      <c r="X79">
        <v>8</v>
      </c>
      <c r="Y79">
        <v>4</v>
      </c>
      <c r="Z79">
        <v>51255</v>
      </c>
      <c r="AA79">
        <v>1.18</v>
      </c>
      <c r="AB79">
        <v>51255</v>
      </c>
      <c r="AC79">
        <v>1.18</v>
      </c>
      <c r="AD79">
        <v>31650</v>
      </c>
      <c r="AE79">
        <v>1139400</v>
      </c>
      <c r="AF79">
        <v>0.61750000000000005</v>
      </c>
      <c r="AG79">
        <v>204</v>
      </c>
      <c r="AH79">
        <v>7974650</v>
      </c>
      <c r="AI79">
        <v>15118</v>
      </c>
      <c r="AJ79">
        <v>625</v>
      </c>
      <c r="AK79" s="20" t="s">
        <v>1318</v>
      </c>
      <c r="AL79" s="20" t="s">
        <v>1021</v>
      </c>
      <c r="AM79" s="20" t="s">
        <v>1169</v>
      </c>
      <c r="AN79" s="20" t="s">
        <v>1319</v>
      </c>
      <c r="AO79" s="20" t="s">
        <v>950</v>
      </c>
      <c r="AP79">
        <v>8</v>
      </c>
      <c r="AQ79" t="s">
        <v>1320</v>
      </c>
      <c r="AR79" t="s">
        <v>1321</v>
      </c>
      <c r="AS79" t="s">
        <v>1322</v>
      </c>
      <c r="AT79">
        <v>41</v>
      </c>
      <c r="AU79" s="27">
        <v>31659</v>
      </c>
      <c r="AV79" s="20"/>
      <c r="AW79" s="20"/>
      <c r="AX79" s="20" t="s">
        <v>974</v>
      </c>
      <c r="AY79" s="20"/>
    </row>
    <row r="80" spans="1:51">
      <c r="A80" s="27">
        <v>43466</v>
      </c>
      <c r="B80" s="20" t="s">
        <v>315</v>
      </c>
      <c r="C80" s="20" t="s">
        <v>1323</v>
      </c>
      <c r="D80">
        <v>70</v>
      </c>
      <c r="E80">
        <v>70</v>
      </c>
      <c r="F80">
        <v>536</v>
      </c>
      <c r="G80">
        <v>536</v>
      </c>
      <c r="H80" s="20" t="s">
        <v>1324</v>
      </c>
      <c r="I80" s="20" t="s">
        <v>935</v>
      </c>
      <c r="J80" s="20" t="s">
        <v>936</v>
      </c>
      <c r="K80" s="20" t="s">
        <v>937</v>
      </c>
      <c r="M80">
        <v>1439</v>
      </c>
      <c r="N80">
        <v>1444</v>
      </c>
      <c r="O80">
        <v>6588.5</v>
      </c>
      <c r="P80">
        <v>4.58</v>
      </c>
      <c r="R80">
        <v>3250</v>
      </c>
      <c r="S80">
        <v>3250</v>
      </c>
      <c r="T80">
        <v>519</v>
      </c>
      <c r="U80">
        <v>0.36399999999999999</v>
      </c>
      <c r="V80">
        <v>15</v>
      </c>
      <c r="W80">
        <v>0</v>
      </c>
      <c r="X80">
        <v>30</v>
      </c>
      <c r="Y80">
        <v>7</v>
      </c>
      <c r="Z80">
        <v>1264130</v>
      </c>
      <c r="AA80">
        <v>29.02</v>
      </c>
      <c r="AB80">
        <v>1264130</v>
      </c>
      <c r="AC80">
        <v>29.02</v>
      </c>
      <c r="AD80">
        <v>223364</v>
      </c>
      <c r="AE80">
        <v>12338237</v>
      </c>
      <c r="AF80">
        <v>0.1767</v>
      </c>
      <c r="AG80">
        <v>112</v>
      </c>
      <c r="AH80">
        <v>14773000</v>
      </c>
      <c r="AI80">
        <v>2247</v>
      </c>
      <c r="AJ80">
        <v>517</v>
      </c>
      <c r="AK80" s="20" t="s">
        <v>948</v>
      </c>
      <c r="AL80" s="20" t="s">
        <v>1325</v>
      </c>
      <c r="AM80" s="20" t="s">
        <v>1144</v>
      </c>
      <c r="AN80" s="20" t="s">
        <v>1326</v>
      </c>
      <c r="AO80" s="20" t="s">
        <v>950</v>
      </c>
      <c r="AP80">
        <v>5</v>
      </c>
      <c r="AQ80">
        <v>8</v>
      </c>
      <c r="AR80" t="s">
        <v>1327</v>
      </c>
      <c r="AS80">
        <v>60</v>
      </c>
      <c r="AT80">
        <v>42</v>
      </c>
      <c r="AU80" s="27">
        <v>20234</v>
      </c>
      <c r="AV80" s="20" t="s">
        <v>1028</v>
      </c>
      <c r="AW80" s="20"/>
      <c r="AX80" s="20"/>
      <c r="AY80" s="20"/>
    </row>
    <row r="81" spans="1:51">
      <c r="A81" s="27">
        <v>43466</v>
      </c>
      <c r="B81" s="20" t="s">
        <v>105</v>
      </c>
      <c r="C81" s="20" t="s">
        <v>1260</v>
      </c>
      <c r="D81">
        <v>190</v>
      </c>
      <c r="E81">
        <v>342</v>
      </c>
      <c r="F81">
        <v>301</v>
      </c>
      <c r="G81">
        <v>301</v>
      </c>
      <c r="H81" s="20" t="s">
        <v>1328</v>
      </c>
      <c r="I81" s="20" t="s">
        <v>935</v>
      </c>
      <c r="J81" s="20" t="s">
        <v>936</v>
      </c>
      <c r="K81" s="20" t="s">
        <v>937</v>
      </c>
      <c r="M81">
        <v>175</v>
      </c>
      <c r="N81">
        <v>175</v>
      </c>
      <c r="O81">
        <v>841.5</v>
      </c>
      <c r="P81">
        <v>4.8099999999999996</v>
      </c>
      <c r="R81">
        <v>479</v>
      </c>
      <c r="S81">
        <v>479</v>
      </c>
      <c r="T81">
        <v>69</v>
      </c>
      <c r="U81">
        <v>0.39400000000000002</v>
      </c>
      <c r="V81">
        <v>1</v>
      </c>
      <c r="W81">
        <v>0</v>
      </c>
      <c r="X81">
        <v>2</v>
      </c>
      <c r="Y81">
        <v>8</v>
      </c>
      <c r="Z81">
        <v>82967</v>
      </c>
      <c r="AA81">
        <v>1.9</v>
      </c>
      <c r="AB81">
        <v>82967</v>
      </c>
      <c r="AC81">
        <v>1.9</v>
      </c>
      <c r="AD81">
        <v>24796</v>
      </c>
      <c r="AE81">
        <v>1647000</v>
      </c>
      <c r="AF81">
        <v>0.2989</v>
      </c>
      <c r="AG81">
        <v>252</v>
      </c>
      <c r="AH81">
        <v>8704709</v>
      </c>
      <c r="AI81">
        <v>10259</v>
      </c>
      <c r="AJ81">
        <v>544</v>
      </c>
      <c r="AK81" s="20" t="s">
        <v>1329</v>
      </c>
      <c r="AL81" s="20" t="s">
        <v>1330</v>
      </c>
      <c r="AM81" s="20" t="s">
        <v>1331</v>
      </c>
      <c r="AN81" s="20" t="s">
        <v>1011</v>
      </c>
      <c r="AO81" s="20" t="s">
        <v>942</v>
      </c>
      <c r="AP81">
        <v>3</v>
      </c>
      <c r="AQ81">
        <v>15</v>
      </c>
      <c r="AR81">
        <v>32</v>
      </c>
      <c r="AS81">
        <v>79</v>
      </c>
      <c r="AT81">
        <v>17</v>
      </c>
      <c r="AU81" s="27">
        <v>26907</v>
      </c>
      <c r="AV81" s="20"/>
      <c r="AW81" s="20" t="s">
        <v>1040</v>
      </c>
      <c r="AX81" s="20"/>
      <c r="AY81" s="20"/>
    </row>
    <row r="82" spans="1:51">
      <c r="A82" s="27">
        <v>43466</v>
      </c>
      <c r="B82" s="20" t="s">
        <v>263</v>
      </c>
      <c r="C82" s="20" t="s">
        <v>1332</v>
      </c>
      <c r="D82">
        <v>155</v>
      </c>
      <c r="E82">
        <v>127</v>
      </c>
      <c r="F82">
        <v>265</v>
      </c>
      <c r="G82">
        <v>259</v>
      </c>
      <c r="H82" s="20" t="s">
        <v>1333</v>
      </c>
      <c r="I82" s="20" t="s">
        <v>935</v>
      </c>
      <c r="J82" s="20" t="s">
        <v>936</v>
      </c>
      <c r="K82" s="20" t="s">
        <v>937</v>
      </c>
      <c r="M82">
        <v>219</v>
      </c>
      <c r="N82">
        <v>223</v>
      </c>
      <c r="O82">
        <v>953.5</v>
      </c>
      <c r="P82">
        <v>4.3499999999999996</v>
      </c>
      <c r="R82">
        <v>453</v>
      </c>
      <c r="S82">
        <v>453</v>
      </c>
      <c r="T82">
        <v>87</v>
      </c>
      <c r="U82">
        <v>0.40699999999999997</v>
      </c>
      <c r="V82">
        <v>1</v>
      </c>
      <c r="W82">
        <v>0</v>
      </c>
      <c r="X82">
        <v>1</v>
      </c>
      <c r="Y82">
        <v>22</v>
      </c>
      <c r="Z82">
        <v>32690</v>
      </c>
      <c r="AA82">
        <v>0.75</v>
      </c>
      <c r="AB82">
        <v>32690</v>
      </c>
      <c r="AC82">
        <v>0.75</v>
      </c>
      <c r="AD82">
        <v>10319</v>
      </c>
      <c r="AE82">
        <v>1794597</v>
      </c>
      <c r="AF82">
        <v>0.31569999999999998</v>
      </c>
      <c r="AG82">
        <v>604</v>
      </c>
      <c r="AH82">
        <v>4044899</v>
      </c>
      <c r="AI82">
        <v>4130</v>
      </c>
      <c r="AJ82">
        <v>532</v>
      </c>
      <c r="AK82" s="20" t="s">
        <v>971</v>
      </c>
      <c r="AL82" s="20" t="s">
        <v>1334</v>
      </c>
      <c r="AM82" s="20" t="s">
        <v>1335</v>
      </c>
      <c r="AN82" s="20" t="s">
        <v>1336</v>
      </c>
      <c r="AO82" s="20" t="s">
        <v>963</v>
      </c>
      <c r="AP82">
        <v>7</v>
      </c>
      <c r="AQ82">
        <v>10</v>
      </c>
      <c r="AR82">
        <v>30</v>
      </c>
      <c r="AS82">
        <v>69</v>
      </c>
      <c r="AT82">
        <v>6</v>
      </c>
      <c r="AU82" s="27">
        <v>25290</v>
      </c>
      <c r="AV82" s="20"/>
      <c r="AW82" s="20"/>
      <c r="AX82" s="20"/>
      <c r="AY82" s="20"/>
    </row>
    <row r="83" spans="1:51">
      <c r="A83" s="27">
        <v>43466</v>
      </c>
      <c r="B83" s="20" t="s">
        <v>820</v>
      </c>
      <c r="C83" s="20"/>
      <c r="D83" t="s">
        <v>1337</v>
      </c>
      <c r="E83">
        <v>82</v>
      </c>
      <c r="F83">
        <v>569</v>
      </c>
      <c r="G83">
        <v>569</v>
      </c>
      <c r="H83" s="20" t="s">
        <v>1338</v>
      </c>
      <c r="I83" s="20" t="s">
        <v>935</v>
      </c>
      <c r="J83" s="20" t="s">
        <v>936</v>
      </c>
      <c r="K83" s="20" t="s">
        <v>937</v>
      </c>
      <c r="M83">
        <v>2054</v>
      </c>
      <c r="N83">
        <v>2058</v>
      </c>
      <c r="O83">
        <v>9269</v>
      </c>
      <c r="P83">
        <v>4.51</v>
      </c>
      <c r="R83">
        <v>4240</v>
      </c>
      <c r="S83">
        <v>4240</v>
      </c>
      <c r="T83">
        <v>850</v>
      </c>
      <c r="U83">
        <v>0.41599999999999998</v>
      </c>
      <c r="V83">
        <v>17</v>
      </c>
      <c r="W83">
        <v>0</v>
      </c>
      <c r="X83">
        <v>17</v>
      </c>
      <c r="Y83" t="s">
        <v>1339</v>
      </c>
      <c r="Z83">
        <v>947991</v>
      </c>
      <c r="AA83">
        <v>21.76</v>
      </c>
      <c r="AB83">
        <v>863250</v>
      </c>
      <c r="AC83">
        <v>19.82</v>
      </c>
      <c r="AD83">
        <v>138552</v>
      </c>
      <c r="AE83">
        <v>17567741</v>
      </c>
      <c r="AF83">
        <v>0.1462</v>
      </c>
      <c r="AG83">
        <v>195</v>
      </c>
      <c r="AH83">
        <v>37441000</v>
      </c>
      <c r="AI83">
        <v>4062</v>
      </c>
      <c r="AJ83">
        <v>564</v>
      </c>
      <c r="AK83" s="20" t="s">
        <v>1340</v>
      </c>
      <c r="AL83" s="20" t="s">
        <v>1125</v>
      </c>
      <c r="AM83" s="20" t="s">
        <v>1006</v>
      </c>
      <c r="AN83" s="20" t="s">
        <v>971</v>
      </c>
      <c r="AO83" s="20" t="s">
        <v>963</v>
      </c>
      <c r="AP83">
        <v>7</v>
      </c>
      <c r="AQ83">
        <v>13</v>
      </c>
      <c r="AR83">
        <v>30</v>
      </c>
      <c r="AS83">
        <v>69</v>
      </c>
      <c r="AT83">
        <v>7</v>
      </c>
      <c r="AU83" s="27">
        <v>21453</v>
      </c>
      <c r="AV83" s="20" t="s">
        <v>1341</v>
      </c>
      <c r="AW83" s="20"/>
      <c r="AX83" s="20"/>
      <c r="AY83" s="20"/>
    </row>
    <row r="84" spans="1:51">
      <c r="A84" s="27">
        <v>43466</v>
      </c>
      <c r="B84" s="20" t="s">
        <v>75</v>
      </c>
      <c r="C84" s="20" t="s">
        <v>1003</v>
      </c>
      <c r="D84">
        <v>148</v>
      </c>
      <c r="E84">
        <v>82</v>
      </c>
      <c r="F84">
        <v>569</v>
      </c>
      <c r="G84">
        <v>569</v>
      </c>
      <c r="H84" s="20" t="s">
        <v>1338</v>
      </c>
      <c r="I84" s="20" t="s">
        <v>935</v>
      </c>
      <c r="J84" s="20" t="s">
        <v>936</v>
      </c>
      <c r="K84" s="20" t="s">
        <v>937</v>
      </c>
      <c r="M84">
        <v>135</v>
      </c>
      <c r="N84">
        <v>135</v>
      </c>
      <c r="O84">
        <v>667.5</v>
      </c>
      <c r="P84">
        <v>4.9400000000000004</v>
      </c>
      <c r="R84">
        <v>337</v>
      </c>
      <c r="S84">
        <v>337</v>
      </c>
      <c r="T84">
        <v>50</v>
      </c>
      <c r="U84">
        <v>0.37</v>
      </c>
      <c r="V84">
        <v>1</v>
      </c>
      <c r="W84">
        <v>0</v>
      </c>
      <c r="X84">
        <v>1</v>
      </c>
      <c r="Y84">
        <v>16</v>
      </c>
      <c r="Z84">
        <v>23957</v>
      </c>
      <c r="AA84">
        <v>0.55000000000000004</v>
      </c>
      <c r="AB84">
        <v>23957</v>
      </c>
      <c r="AC84">
        <v>0.55000000000000004</v>
      </c>
      <c r="AD84">
        <v>8884</v>
      </c>
      <c r="AE84">
        <v>1289500</v>
      </c>
      <c r="AF84">
        <v>0.37080000000000002</v>
      </c>
      <c r="AG84">
        <v>613</v>
      </c>
      <c r="AH84">
        <v>3783000</v>
      </c>
      <c r="AI84">
        <v>5667</v>
      </c>
      <c r="AJ84">
        <v>600</v>
      </c>
      <c r="AK84" s="20" t="s">
        <v>1342</v>
      </c>
      <c r="AL84" s="20" t="s">
        <v>1343</v>
      </c>
      <c r="AM84" s="20" t="s">
        <v>971</v>
      </c>
      <c r="AN84" s="20"/>
      <c r="AO84" s="20" t="s">
        <v>963</v>
      </c>
      <c r="AP84">
        <v>7</v>
      </c>
      <c r="AQ84">
        <v>10</v>
      </c>
      <c r="AR84">
        <v>30</v>
      </c>
      <c r="AS84">
        <v>69</v>
      </c>
      <c r="AT84">
        <v>7</v>
      </c>
      <c r="AU84" s="27">
        <v>23923</v>
      </c>
      <c r="AV84" s="20" t="s">
        <v>1341</v>
      </c>
      <c r="AW84" s="20"/>
      <c r="AX84" s="20"/>
      <c r="AY84" s="20"/>
    </row>
    <row r="85" spans="1:51">
      <c r="A85" s="27">
        <v>43466</v>
      </c>
      <c r="B85" s="20" t="s">
        <v>130</v>
      </c>
      <c r="C85" s="20" t="s">
        <v>1003</v>
      </c>
      <c r="D85">
        <v>82</v>
      </c>
      <c r="E85">
        <v>82</v>
      </c>
      <c r="F85">
        <v>569</v>
      </c>
      <c r="G85">
        <v>569</v>
      </c>
      <c r="H85" s="20" t="s">
        <v>1338</v>
      </c>
      <c r="I85" s="20" t="s">
        <v>935</v>
      </c>
      <c r="J85" s="20" t="s">
        <v>936</v>
      </c>
      <c r="K85" s="20" t="s">
        <v>937</v>
      </c>
      <c r="M85">
        <v>1302</v>
      </c>
      <c r="N85">
        <v>1305</v>
      </c>
      <c r="O85">
        <v>5806</v>
      </c>
      <c r="P85">
        <v>4.46</v>
      </c>
      <c r="R85">
        <v>2651</v>
      </c>
      <c r="S85">
        <v>2651</v>
      </c>
      <c r="T85">
        <v>543</v>
      </c>
      <c r="U85">
        <v>0.42</v>
      </c>
      <c r="V85">
        <v>11</v>
      </c>
      <c r="W85">
        <v>0</v>
      </c>
      <c r="X85">
        <v>11</v>
      </c>
      <c r="Y85" t="s">
        <v>1344</v>
      </c>
      <c r="Z85">
        <v>533018</v>
      </c>
      <c r="AA85">
        <v>12.24</v>
      </c>
      <c r="AB85">
        <v>533018</v>
      </c>
      <c r="AC85">
        <v>12.24</v>
      </c>
      <c r="AD85">
        <v>94508</v>
      </c>
      <c r="AE85">
        <v>10999163</v>
      </c>
      <c r="AF85">
        <v>0.17730000000000001</v>
      </c>
      <c r="AG85">
        <v>217</v>
      </c>
      <c r="AH85">
        <v>22701754</v>
      </c>
      <c r="AI85">
        <v>3933</v>
      </c>
      <c r="AJ85">
        <v>549</v>
      </c>
      <c r="AK85" s="20" t="s">
        <v>1340</v>
      </c>
      <c r="AL85" s="20" t="s">
        <v>1125</v>
      </c>
      <c r="AM85" s="20" t="s">
        <v>1006</v>
      </c>
      <c r="AN85" s="20" t="s">
        <v>973</v>
      </c>
      <c r="AO85" s="20" t="s">
        <v>963</v>
      </c>
      <c r="AP85">
        <v>7</v>
      </c>
      <c r="AQ85">
        <v>13</v>
      </c>
      <c r="AR85">
        <v>30</v>
      </c>
      <c r="AS85">
        <v>69</v>
      </c>
      <c r="AT85">
        <v>7</v>
      </c>
      <c r="AU85" s="27">
        <v>21453</v>
      </c>
      <c r="AV85" s="20" t="s">
        <v>1341</v>
      </c>
      <c r="AW85" s="20"/>
      <c r="AX85" s="20"/>
      <c r="AY85" s="20"/>
    </row>
    <row r="86" spans="1:51">
      <c r="A86" s="27">
        <v>43466</v>
      </c>
      <c r="B86" s="20" t="s">
        <v>76</v>
      </c>
      <c r="C86" s="20" t="s">
        <v>1003</v>
      </c>
      <c r="D86">
        <v>582</v>
      </c>
      <c r="E86">
        <v>82</v>
      </c>
      <c r="F86">
        <v>569</v>
      </c>
      <c r="G86">
        <v>569</v>
      </c>
      <c r="H86" s="20" t="s">
        <v>1338</v>
      </c>
      <c r="I86" s="20" t="s">
        <v>935</v>
      </c>
      <c r="J86" s="20" t="s">
        <v>936</v>
      </c>
      <c r="K86" s="20" t="s">
        <v>937</v>
      </c>
      <c r="M86">
        <v>752</v>
      </c>
      <c r="N86">
        <v>753</v>
      </c>
      <c r="O86">
        <v>3463</v>
      </c>
      <c r="P86">
        <v>4.6100000000000003</v>
      </c>
      <c r="R86">
        <v>1589</v>
      </c>
      <c r="S86">
        <v>1589</v>
      </c>
      <c r="T86">
        <v>307</v>
      </c>
      <c r="U86">
        <v>0.41</v>
      </c>
      <c r="V86">
        <v>6</v>
      </c>
      <c r="W86">
        <v>0</v>
      </c>
      <c r="X86">
        <v>6</v>
      </c>
      <c r="Y86" t="s">
        <v>1345</v>
      </c>
      <c r="Z86">
        <v>414973</v>
      </c>
      <c r="AA86">
        <v>9.5299999999999994</v>
      </c>
      <c r="AB86">
        <v>330232</v>
      </c>
      <c r="AC86">
        <v>7.58</v>
      </c>
      <c r="AD86">
        <v>44044</v>
      </c>
      <c r="AE86">
        <v>6568578</v>
      </c>
      <c r="AF86">
        <v>0.1061</v>
      </c>
      <c r="AG86">
        <v>167</v>
      </c>
      <c r="AH86">
        <v>14739246</v>
      </c>
      <c r="AI86">
        <v>4277</v>
      </c>
      <c r="AJ86">
        <v>589</v>
      </c>
      <c r="AK86" s="20" t="s">
        <v>1340</v>
      </c>
      <c r="AL86" s="20" t="s">
        <v>973</v>
      </c>
      <c r="AM86" s="20" t="s">
        <v>1006</v>
      </c>
      <c r="AN86" s="20" t="s">
        <v>971</v>
      </c>
      <c r="AO86" s="20" t="s">
        <v>963</v>
      </c>
      <c r="AP86">
        <v>7</v>
      </c>
      <c r="AQ86">
        <v>13</v>
      </c>
      <c r="AR86">
        <v>30</v>
      </c>
      <c r="AS86">
        <v>69</v>
      </c>
      <c r="AT86">
        <v>7</v>
      </c>
      <c r="AU86" s="27">
        <v>21453</v>
      </c>
      <c r="AV86" s="20" t="s">
        <v>1341</v>
      </c>
      <c r="AW86" s="20"/>
      <c r="AX86" s="20"/>
      <c r="AY86" s="20"/>
    </row>
    <row r="87" spans="1:51">
      <c r="A87" s="27">
        <v>43466</v>
      </c>
      <c r="B87" s="20" t="s">
        <v>77</v>
      </c>
      <c r="C87" s="20" t="s">
        <v>1346</v>
      </c>
      <c r="D87">
        <v>111</v>
      </c>
      <c r="E87">
        <v>111</v>
      </c>
      <c r="F87">
        <v>434</v>
      </c>
      <c r="G87">
        <v>434</v>
      </c>
      <c r="H87" s="20" t="s">
        <v>1347</v>
      </c>
      <c r="I87" s="20" t="s">
        <v>1031</v>
      </c>
      <c r="J87" s="20" t="s">
        <v>936</v>
      </c>
      <c r="K87" s="20" t="s">
        <v>937</v>
      </c>
      <c r="L87">
        <v>278</v>
      </c>
      <c r="M87">
        <v>1211</v>
      </c>
      <c r="N87">
        <v>1217</v>
      </c>
      <c r="O87">
        <v>5344.5</v>
      </c>
      <c r="P87">
        <v>4.41</v>
      </c>
      <c r="Q87">
        <v>631</v>
      </c>
      <c r="R87">
        <v>2169</v>
      </c>
      <c r="S87">
        <v>2800</v>
      </c>
      <c r="T87">
        <v>474</v>
      </c>
      <c r="U87">
        <v>0.4</v>
      </c>
      <c r="V87">
        <v>5</v>
      </c>
      <c r="W87">
        <v>0</v>
      </c>
      <c r="X87">
        <v>5</v>
      </c>
      <c r="Y87">
        <v>21</v>
      </c>
      <c r="Z87">
        <v>312188</v>
      </c>
      <c r="AA87">
        <v>7.17</v>
      </c>
      <c r="AB87">
        <v>292159</v>
      </c>
      <c r="AC87">
        <v>6.71</v>
      </c>
      <c r="AD87">
        <v>74433</v>
      </c>
      <c r="AE87">
        <v>9889060</v>
      </c>
      <c r="AF87">
        <v>0.2384</v>
      </c>
      <c r="AG87">
        <v>391</v>
      </c>
      <c r="AH87">
        <v>25146000</v>
      </c>
      <c r="AI87">
        <v>4687</v>
      </c>
      <c r="AJ87">
        <v>482</v>
      </c>
      <c r="AK87" s="20" t="s">
        <v>1348</v>
      </c>
      <c r="AL87" s="20" t="s">
        <v>1349</v>
      </c>
      <c r="AM87" s="20" t="s">
        <v>1350</v>
      </c>
      <c r="AN87" s="20" t="s">
        <v>1351</v>
      </c>
      <c r="AO87" s="20" t="s">
        <v>963</v>
      </c>
      <c r="AP87">
        <v>10</v>
      </c>
      <c r="AQ87">
        <v>13</v>
      </c>
      <c r="AR87">
        <v>30</v>
      </c>
      <c r="AS87">
        <v>70</v>
      </c>
      <c r="AT87">
        <v>9</v>
      </c>
      <c r="AU87" s="27">
        <v>24015</v>
      </c>
      <c r="AV87" s="20"/>
      <c r="AW87" s="20"/>
      <c r="AX87" s="20"/>
      <c r="AY87" s="20"/>
    </row>
    <row r="88" spans="1:51">
      <c r="A88" s="27">
        <v>43466</v>
      </c>
      <c r="B88" s="20" t="s">
        <v>279</v>
      </c>
      <c r="C88" s="20" t="s">
        <v>1352</v>
      </c>
      <c r="D88">
        <v>41</v>
      </c>
      <c r="E88">
        <v>41</v>
      </c>
      <c r="F88">
        <v>373</v>
      </c>
      <c r="G88">
        <v>373</v>
      </c>
      <c r="H88" s="20" t="s">
        <v>1353</v>
      </c>
      <c r="I88" s="20" t="s">
        <v>935</v>
      </c>
      <c r="J88" s="20" t="s">
        <v>936</v>
      </c>
      <c r="K88" s="20" t="s">
        <v>937</v>
      </c>
      <c r="M88">
        <v>1167</v>
      </c>
      <c r="N88">
        <v>1167</v>
      </c>
      <c r="O88">
        <v>5054.5</v>
      </c>
      <c r="P88">
        <v>4.33</v>
      </c>
      <c r="R88">
        <v>2270</v>
      </c>
      <c r="S88">
        <v>2270</v>
      </c>
      <c r="T88">
        <v>532</v>
      </c>
      <c r="U88">
        <v>0.45900000000000002</v>
      </c>
      <c r="V88">
        <v>7</v>
      </c>
      <c r="W88">
        <v>1</v>
      </c>
      <c r="X88">
        <v>8</v>
      </c>
      <c r="Y88">
        <v>14</v>
      </c>
      <c r="Z88">
        <v>613884</v>
      </c>
      <c r="AA88">
        <v>14.09</v>
      </c>
      <c r="AB88">
        <v>570318</v>
      </c>
      <c r="AC88">
        <v>13.09</v>
      </c>
      <c r="AD88">
        <v>80457</v>
      </c>
      <c r="AE88">
        <v>9780114</v>
      </c>
      <c r="AF88">
        <v>0.13109999999999999</v>
      </c>
      <c r="AG88">
        <v>161</v>
      </c>
      <c r="AH88">
        <v>14202915</v>
      </c>
      <c r="AI88">
        <v>2812</v>
      </c>
      <c r="AJ88">
        <v>543</v>
      </c>
      <c r="AK88" s="20" t="s">
        <v>1354</v>
      </c>
      <c r="AL88" s="20" t="s">
        <v>1355</v>
      </c>
      <c r="AM88" s="20" t="s">
        <v>1356</v>
      </c>
      <c r="AN88" s="20" t="s">
        <v>1259</v>
      </c>
      <c r="AO88" s="20" t="s">
        <v>963</v>
      </c>
      <c r="AP88">
        <v>12</v>
      </c>
      <c r="AQ88">
        <v>13</v>
      </c>
      <c r="AR88">
        <v>31</v>
      </c>
      <c r="AS88">
        <v>72</v>
      </c>
      <c r="AT88">
        <v>10</v>
      </c>
      <c r="AU88" s="27">
        <v>18743</v>
      </c>
      <c r="AV88" s="20" t="s">
        <v>1357</v>
      </c>
      <c r="AW88" s="20"/>
      <c r="AX88" s="20"/>
      <c r="AY88" s="20"/>
    </row>
    <row r="89" spans="1:51">
      <c r="A89" s="27">
        <v>43466</v>
      </c>
      <c r="B89" s="20" t="s">
        <v>264</v>
      </c>
      <c r="C89" s="20" t="s">
        <v>1358</v>
      </c>
      <c r="D89">
        <v>224</v>
      </c>
      <c r="E89">
        <v>59</v>
      </c>
      <c r="F89">
        <v>343</v>
      </c>
      <c r="G89">
        <v>236</v>
      </c>
      <c r="H89" s="20" t="s">
        <v>1359</v>
      </c>
      <c r="I89" s="20" t="s">
        <v>935</v>
      </c>
      <c r="J89" s="20" t="s">
        <v>945</v>
      </c>
      <c r="K89" s="20" t="s">
        <v>937</v>
      </c>
      <c r="M89">
        <v>65</v>
      </c>
      <c r="N89">
        <v>66</v>
      </c>
      <c r="O89">
        <v>273.5</v>
      </c>
      <c r="P89">
        <v>4.21</v>
      </c>
      <c r="R89">
        <v>125</v>
      </c>
      <c r="S89">
        <v>125</v>
      </c>
      <c r="T89">
        <v>23</v>
      </c>
      <c r="U89">
        <v>0.35399999999999998</v>
      </c>
      <c r="V89">
        <v>1</v>
      </c>
      <c r="W89">
        <v>0</v>
      </c>
      <c r="X89">
        <v>1</v>
      </c>
      <c r="Y89">
        <v>6</v>
      </c>
      <c r="Z89">
        <v>28125</v>
      </c>
      <c r="AA89">
        <v>0.65</v>
      </c>
      <c r="AB89">
        <v>28125</v>
      </c>
      <c r="AC89">
        <v>0.65</v>
      </c>
      <c r="AD89">
        <v>9828</v>
      </c>
      <c r="AE89">
        <v>598000</v>
      </c>
      <c r="AF89">
        <v>0.34939999999999999</v>
      </c>
      <c r="AG89">
        <v>192</v>
      </c>
      <c r="AH89">
        <v>1710901</v>
      </c>
      <c r="AI89">
        <v>6078</v>
      </c>
      <c r="AJ89">
        <v>472</v>
      </c>
      <c r="AK89" s="20" t="s">
        <v>1360</v>
      </c>
      <c r="AL89" s="20" t="s">
        <v>1361</v>
      </c>
      <c r="AM89" s="20" t="s">
        <v>956</v>
      </c>
      <c r="AN89" s="20" t="s">
        <v>1362</v>
      </c>
      <c r="AO89" s="20" t="s">
        <v>942</v>
      </c>
      <c r="AP89">
        <v>3</v>
      </c>
      <c r="AQ89">
        <v>15</v>
      </c>
      <c r="AR89">
        <v>32</v>
      </c>
      <c r="AS89">
        <v>79</v>
      </c>
      <c r="AT89">
        <v>17</v>
      </c>
      <c r="AU89" s="27">
        <v>26084</v>
      </c>
      <c r="AV89" s="20"/>
      <c r="AW89" s="20"/>
      <c r="AX89" s="20"/>
      <c r="AY89" s="20"/>
    </row>
    <row r="90" spans="1:51">
      <c r="A90" s="27">
        <v>43466</v>
      </c>
      <c r="B90" s="20" t="s">
        <v>275</v>
      </c>
      <c r="C90" s="20" t="s">
        <v>1363</v>
      </c>
      <c r="D90">
        <v>237</v>
      </c>
      <c r="E90">
        <v>28</v>
      </c>
      <c r="F90">
        <v>360</v>
      </c>
      <c r="G90">
        <v>360</v>
      </c>
      <c r="H90" s="20" t="s">
        <v>1364</v>
      </c>
      <c r="I90" s="20" t="s">
        <v>935</v>
      </c>
      <c r="J90" s="20" t="s">
        <v>945</v>
      </c>
      <c r="K90" s="20" t="s">
        <v>937</v>
      </c>
      <c r="M90">
        <v>221</v>
      </c>
      <c r="N90">
        <v>221</v>
      </c>
      <c r="O90">
        <v>913.5</v>
      </c>
      <c r="P90">
        <v>4.13</v>
      </c>
      <c r="R90">
        <v>382</v>
      </c>
      <c r="S90">
        <v>382</v>
      </c>
      <c r="T90">
        <v>144</v>
      </c>
      <c r="U90">
        <v>0.65200000000000002</v>
      </c>
      <c r="V90">
        <v>2</v>
      </c>
      <c r="W90">
        <v>0</v>
      </c>
      <c r="X90">
        <v>2</v>
      </c>
      <c r="Y90">
        <v>43783</v>
      </c>
      <c r="Z90">
        <v>63175</v>
      </c>
      <c r="AA90">
        <v>1.45</v>
      </c>
      <c r="AB90">
        <v>63175</v>
      </c>
      <c r="AC90">
        <v>1.45</v>
      </c>
      <c r="AD90">
        <v>21301</v>
      </c>
      <c r="AE90">
        <v>1801668</v>
      </c>
      <c r="AF90">
        <v>0.3372</v>
      </c>
      <c r="AG90">
        <v>263</v>
      </c>
      <c r="AH90">
        <v>7717944</v>
      </c>
      <c r="AI90">
        <v>8330</v>
      </c>
      <c r="AJ90">
        <v>423</v>
      </c>
      <c r="AK90" s="20" t="s">
        <v>1365</v>
      </c>
      <c r="AL90" s="20" t="s">
        <v>1366</v>
      </c>
      <c r="AM90" s="20" t="s">
        <v>1367</v>
      </c>
      <c r="AN90" s="20" t="s">
        <v>1368</v>
      </c>
      <c r="AO90" s="20" t="s">
        <v>942</v>
      </c>
      <c r="AP90">
        <v>1</v>
      </c>
      <c r="AQ90">
        <v>15</v>
      </c>
      <c r="AR90">
        <v>32</v>
      </c>
      <c r="AS90">
        <v>84</v>
      </c>
      <c r="AT90">
        <v>17</v>
      </c>
      <c r="AU90" s="27">
        <v>26907</v>
      </c>
      <c r="AV90" s="20"/>
      <c r="AW90" s="20" t="s">
        <v>1040</v>
      </c>
      <c r="AX90" s="20"/>
      <c r="AY90" s="20"/>
    </row>
    <row r="91" spans="1:51">
      <c r="A91" s="27">
        <v>43466</v>
      </c>
      <c r="B91" s="20" t="s">
        <v>280</v>
      </c>
      <c r="C91" s="20" t="s">
        <v>1187</v>
      </c>
      <c r="D91">
        <v>304</v>
      </c>
      <c r="E91">
        <v>530</v>
      </c>
      <c r="F91">
        <v>552</v>
      </c>
      <c r="G91">
        <v>748</v>
      </c>
      <c r="H91" s="20" t="s">
        <v>1369</v>
      </c>
      <c r="I91" s="20" t="s">
        <v>935</v>
      </c>
      <c r="J91" s="20" t="s">
        <v>945</v>
      </c>
      <c r="K91" s="20" t="s">
        <v>937</v>
      </c>
      <c r="M91">
        <v>111</v>
      </c>
      <c r="N91">
        <v>111</v>
      </c>
      <c r="O91">
        <v>588.5</v>
      </c>
      <c r="P91">
        <v>5.3</v>
      </c>
      <c r="R91">
        <v>362</v>
      </c>
      <c r="S91">
        <v>362</v>
      </c>
      <c r="T91">
        <v>21</v>
      </c>
      <c r="U91">
        <v>0.191</v>
      </c>
      <c r="V91">
        <v>5</v>
      </c>
      <c r="W91">
        <v>0</v>
      </c>
      <c r="X91">
        <v>19</v>
      </c>
      <c r="Y91">
        <v>3</v>
      </c>
      <c r="Z91">
        <v>137566</v>
      </c>
      <c r="AA91">
        <v>3.16</v>
      </c>
      <c r="AB91">
        <v>137566</v>
      </c>
      <c r="AC91">
        <v>3.16</v>
      </c>
      <c r="AD91">
        <v>41134</v>
      </c>
      <c r="AE91">
        <v>1286795</v>
      </c>
      <c r="AF91">
        <v>0.29899999999999999</v>
      </c>
      <c r="AG91">
        <v>115</v>
      </c>
      <c r="AH91">
        <v>8178643</v>
      </c>
      <c r="AI91">
        <v>13874</v>
      </c>
      <c r="AJ91">
        <v>729</v>
      </c>
      <c r="AK91" s="20" t="s">
        <v>1010</v>
      </c>
      <c r="AL91" s="20" t="s">
        <v>1370</v>
      </c>
      <c r="AM91" s="20" t="s">
        <v>1371</v>
      </c>
      <c r="AN91" s="20" t="s">
        <v>1372</v>
      </c>
      <c r="AO91" s="20" t="s">
        <v>942</v>
      </c>
      <c r="AP91">
        <v>2</v>
      </c>
      <c r="AQ91">
        <v>15</v>
      </c>
      <c r="AR91">
        <v>32</v>
      </c>
      <c r="AS91">
        <v>85</v>
      </c>
      <c r="AT91">
        <v>17</v>
      </c>
      <c r="AU91" s="27">
        <v>32081</v>
      </c>
      <c r="AV91" s="20"/>
      <c r="AW91" s="20"/>
      <c r="AX91" s="20" t="s">
        <v>974</v>
      </c>
      <c r="AY91" s="20" t="s">
        <v>974</v>
      </c>
    </row>
    <row r="92" spans="1:51">
      <c r="A92" s="27">
        <v>43466</v>
      </c>
      <c r="B92" s="20" t="s">
        <v>284</v>
      </c>
      <c r="C92" s="20" t="s">
        <v>1187</v>
      </c>
      <c r="D92">
        <v>338</v>
      </c>
      <c r="E92">
        <v>530</v>
      </c>
      <c r="F92">
        <v>778</v>
      </c>
      <c r="G92">
        <v>748</v>
      </c>
      <c r="H92" s="20" t="s">
        <v>1373</v>
      </c>
      <c r="I92" s="20" t="s">
        <v>935</v>
      </c>
      <c r="J92" s="20" t="s">
        <v>945</v>
      </c>
      <c r="K92" s="20" t="s">
        <v>937</v>
      </c>
      <c r="M92">
        <v>168</v>
      </c>
      <c r="N92">
        <v>168</v>
      </c>
      <c r="O92">
        <v>758</v>
      </c>
      <c r="P92">
        <v>4.51</v>
      </c>
      <c r="R92">
        <v>403</v>
      </c>
      <c r="S92">
        <v>403</v>
      </c>
      <c r="T92">
        <v>52</v>
      </c>
      <c r="U92">
        <v>0.313</v>
      </c>
      <c r="V92">
        <v>7</v>
      </c>
      <c r="W92">
        <v>0</v>
      </c>
      <c r="X92">
        <v>28</v>
      </c>
      <c r="Y92">
        <v>3</v>
      </c>
      <c r="Z92">
        <v>196060</v>
      </c>
      <c r="AA92">
        <v>4.5</v>
      </c>
      <c r="AB92">
        <v>196060</v>
      </c>
      <c r="AC92">
        <v>4.5</v>
      </c>
      <c r="AD92">
        <v>59524</v>
      </c>
      <c r="AE92">
        <v>1547624</v>
      </c>
      <c r="AF92">
        <v>0.28460000000000002</v>
      </c>
      <c r="AG92">
        <v>90</v>
      </c>
      <c r="AH92">
        <v>12629936</v>
      </c>
      <c r="AI92">
        <v>16684</v>
      </c>
      <c r="AJ92">
        <v>562</v>
      </c>
      <c r="AK92" s="20" t="s">
        <v>1374</v>
      </c>
      <c r="AL92" s="20" t="s">
        <v>1189</v>
      </c>
      <c r="AM92" s="20" t="s">
        <v>1190</v>
      </c>
      <c r="AN92" s="20" t="s">
        <v>1375</v>
      </c>
      <c r="AO92" s="20" t="s">
        <v>942</v>
      </c>
      <c r="AP92">
        <v>3</v>
      </c>
      <c r="AQ92">
        <v>15</v>
      </c>
      <c r="AR92">
        <v>32</v>
      </c>
      <c r="AS92">
        <v>79</v>
      </c>
      <c r="AT92">
        <v>17</v>
      </c>
      <c r="AU92" s="27">
        <v>32081</v>
      </c>
      <c r="AV92" s="20"/>
      <c r="AW92" s="20"/>
      <c r="AX92" s="20" t="s">
        <v>974</v>
      </c>
      <c r="AY92" s="20" t="s">
        <v>974</v>
      </c>
    </row>
    <row r="93" spans="1:51">
      <c r="A93" s="27">
        <v>43466</v>
      </c>
      <c r="B93" s="20" t="s">
        <v>121</v>
      </c>
      <c r="C93" s="20" t="s">
        <v>1376</v>
      </c>
      <c r="D93">
        <v>208</v>
      </c>
      <c r="E93">
        <v>180</v>
      </c>
      <c r="F93">
        <v>323</v>
      </c>
      <c r="G93">
        <v>363</v>
      </c>
      <c r="H93" s="20" t="s">
        <v>1377</v>
      </c>
      <c r="I93" s="20" t="s">
        <v>935</v>
      </c>
      <c r="J93" s="20" t="s">
        <v>936</v>
      </c>
      <c r="K93" s="20" t="s">
        <v>937</v>
      </c>
      <c r="M93">
        <v>239</v>
      </c>
      <c r="N93">
        <v>239</v>
      </c>
      <c r="O93">
        <v>1052.5</v>
      </c>
      <c r="P93">
        <v>4.4000000000000004</v>
      </c>
      <c r="R93">
        <v>531</v>
      </c>
      <c r="S93">
        <v>531</v>
      </c>
      <c r="T93">
        <v>88</v>
      </c>
      <c r="U93">
        <v>0.373</v>
      </c>
      <c r="V93">
        <v>1</v>
      </c>
      <c r="W93">
        <v>1</v>
      </c>
      <c r="X93">
        <v>3</v>
      </c>
      <c r="Y93">
        <v>10</v>
      </c>
      <c r="Z93">
        <v>78743</v>
      </c>
      <c r="AA93">
        <v>1.81</v>
      </c>
      <c r="AB93">
        <v>78743</v>
      </c>
      <c r="AC93">
        <v>1.81</v>
      </c>
      <c r="AD93">
        <v>30800</v>
      </c>
      <c r="AE93">
        <v>2072776</v>
      </c>
      <c r="AF93">
        <v>0.3911</v>
      </c>
      <c r="AG93">
        <v>293</v>
      </c>
      <c r="AH93">
        <v>8727000</v>
      </c>
      <c r="AI93">
        <v>8221</v>
      </c>
      <c r="AJ93">
        <v>531</v>
      </c>
      <c r="AK93" s="20" t="s">
        <v>1378</v>
      </c>
      <c r="AL93" s="20" t="s">
        <v>1379</v>
      </c>
      <c r="AM93" s="20" t="s">
        <v>1380</v>
      </c>
      <c r="AN93" s="20" t="s">
        <v>1381</v>
      </c>
      <c r="AO93" s="20" t="s">
        <v>942</v>
      </c>
      <c r="AP93">
        <v>6</v>
      </c>
      <c r="AQ93">
        <v>15</v>
      </c>
      <c r="AR93">
        <v>33</v>
      </c>
      <c r="AS93">
        <v>86</v>
      </c>
      <c r="AT93">
        <v>15</v>
      </c>
      <c r="AU93" s="27">
        <v>26937</v>
      </c>
      <c r="AV93" s="20"/>
      <c r="AW93" s="20"/>
      <c r="AX93" s="20"/>
      <c r="AY93" s="20"/>
    </row>
    <row r="94" spans="1:51">
      <c r="A94" s="27">
        <v>43466</v>
      </c>
      <c r="B94" s="20" t="s">
        <v>316</v>
      </c>
      <c r="C94" s="20" t="s">
        <v>1323</v>
      </c>
      <c r="D94">
        <v>263</v>
      </c>
      <c r="E94">
        <v>70</v>
      </c>
      <c r="F94">
        <v>378</v>
      </c>
      <c r="G94">
        <v>378</v>
      </c>
      <c r="H94" s="20" t="s">
        <v>1382</v>
      </c>
      <c r="I94" s="20" t="s">
        <v>935</v>
      </c>
      <c r="J94" s="20" t="s">
        <v>945</v>
      </c>
      <c r="K94" s="20" t="s">
        <v>937</v>
      </c>
      <c r="M94">
        <v>66</v>
      </c>
      <c r="N94">
        <v>66</v>
      </c>
      <c r="O94">
        <v>409</v>
      </c>
      <c r="P94">
        <v>6.2</v>
      </c>
      <c r="R94">
        <v>258</v>
      </c>
      <c r="S94">
        <v>258</v>
      </c>
      <c r="T94">
        <v>19</v>
      </c>
      <c r="U94">
        <v>0.29199999999999998</v>
      </c>
      <c r="V94">
        <v>33</v>
      </c>
      <c r="W94">
        <v>0</v>
      </c>
      <c r="X94">
        <v>33</v>
      </c>
      <c r="Y94">
        <v>3</v>
      </c>
      <c r="Z94">
        <v>84400</v>
      </c>
      <c r="AA94">
        <v>1.94</v>
      </c>
      <c r="AB94">
        <v>84400</v>
      </c>
      <c r="AC94">
        <v>1.94</v>
      </c>
      <c r="AD94">
        <v>26943</v>
      </c>
      <c r="AE94">
        <v>719300</v>
      </c>
      <c r="AF94">
        <v>0.31919999999999998</v>
      </c>
      <c r="AG94">
        <v>133</v>
      </c>
      <c r="AH94">
        <v>2774644</v>
      </c>
      <c r="AI94">
        <v>6784</v>
      </c>
      <c r="AJ94">
        <v>633</v>
      </c>
      <c r="AK94" s="20" t="s">
        <v>1326</v>
      </c>
      <c r="AL94" s="20" t="s">
        <v>1383</v>
      </c>
      <c r="AM94" s="20" t="s">
        <v>1384</v>
      </c>
      <c r="AN94" s="20"/>
      <c r="AO94" s="20" t="s">
        <v>950</v>
      </c>
      <c r="AP94">
        <v>5</v>
      </c>
      <c r="AQ94">
        <v>8</v>
      </c>
      <c r="AR94">
        <v>19</v>
      </c>
      <c r="AS94">
        <v>60</v>
      </c>
      <c r="AT94">
        <v>42</v>
      </c>
      <c r="AU94" s="27">
        <v>27850</v>
      </c>
      <c r="AV94" s="20"/>
      <c r="AW94" s="20"/>
      <c r="AX94" s="20"/>
      <c r="AY94" s="20"/>
    </row>
    <row r="95" spans="1:51">
      <c r="A95" s="27">
        <v>43466</v>
      </c>
      <c r="B95" s="20" t="s">
        <v>78</v>
      </c>
      <c r="C95" s="20" t="s">
        <v>1385</v>
      </c>
      <c r="D95">
        <v>9</v>
      </c>
      <c r="E95">
        <v>9</v>
      </c>
      <c r="F95">
        <v>207</v>
      </c>
      <c r="G95">
        <v>207</v>
      </c>
      <c r="H95" s="20" t="s">
        <v>1386</v>
      </c>
      <c r="I95" s="20" t="s">
        <v>935</v>
      </c>
      <c r="J95" s="20" t="s">
        <v>936</v>
      </c>
      <c r="K95" s="20" t="s">
        <v>937</v>
      </c>
      <c r="M95">
        <v>1156</v>
      </c>
      <c r="N95">
        <v>1170</v>
      </c>
      <c r="O95">
        <v>4846</v>
      </c>
      <c r="P95">
        <v>4.1900000000000004</v>
      </c>
      <c r="R95">
        <v>2284</v>
      </c>
      <c r="S95">
        <v>2284</v>
      </c>
      <c r="T95">
        <v>470</v>
      </c>
      <c r="U95">
        <v>0.41699999999999998</v>
      </c>
      <c r="V95">
        <v>10</v>
      </c>
      <c r="W95">
        <v>1</v>
      </c>
      <c r="X95">
        <v>30</v>
      </c>
      <c r="Y95">
        <v>40704</v>
      </c>
      <c r="Z95">
        <v>512822</v>
      </c>
      <c r="AA95">
        <v>11.77</v>
      </c>
      <c r="AB95">
        <v>466607</v>
      </c>
      <c r="AC95">
        <v>10.71</v>
      </c>
      <c r="AD95">
        <v>112140</v>
      </c>
      <c r="AE95">
        <v>7963515</v>
      </c>
      <c r="AF95">
        <v>0.21870000000000001</v>
      </c>
      <c r="AG95">
        <v>194</v>
      </c>
      <c r="AH95">
        <v>5304700</v>
      </c>
      <c r="AI95">
        <v>1086</v>
      </c>
      <c r="AJ95">
        <v>466</v>
      </c>
      <c r="AK95" s="20" t="s">
        <v>984</v>
      </c>
      <c r="AL95" s="20" t="s">
        <v>1076</v>
      </c>
      <c r="AM95" s="20" t="s">
        <v>1085</v>
      </c>
      <c r="AN95" s="20" t="s">
        <v>1387</v>
      </c>
      <c r="AO95" s="20" t="s">
        <v>963</v>
      </c>
      <c r="AP95">
        <v>11</v>
      </c>
      <c r="AQ95">
        <v>13</v>
      </c>
      <c r="AR95">
        <v>30</v>
      </c>
      <c r="AS95">
        <v>68</v>
      </c>
      <c r="AT95">
        <v>8</v>
      </c>
      <c r="AU95" s="27">
        <v>15116</v>
      </c>
      <c r="AV95" s="20"/>
      <c r="AW95" s="20"/>
      <c r="AX95" s="20"/>
      <c r="AY95" s="20"/>
    </row>
    <row r="96" spans="1:51">
      <c r="A96" s="27">
        <v>43466</v>
      </c>
      <c r="B96" s="20" t="s">
        <v>317</v>
      </c>
      <c r="C96" s="20" t="s">
        <v>1388</v>
      </c>
      <c r="D96">
        <v>34</v>
      </c>
      <c r="E96">
        <v>34</v>
      </c>
      <c r="F96">
        <v>313</v>
      </c>
      <c r="G96">
        <v>313</v>
      </c>
      <c r="H96" s="20" t="s">
        <v>1389</v>
      </c>
      <c r="I96" s="20" t="s">
        <v>935</v>
      </c>
      <c r="J96" s="20" t="s">
        <v>936</v>
      </c>
      <c r="K96" s="20" t="s">
        <v>937</v>
      </c>
      <c r="M96">
        <v>877</v>
      </c>
      <c r="N96">
        <v>877</v>
      </c>
      <c r="O96">
        <v>4249.5</v>
      </c>
      <c r="P96">
        <v>4.8499999999999996</v>
      </c>
      <c r="R96">
        <v>2051</v>
      </c>
      <c r="S96">
        <v>2051</v>
      </c>
      <c r="T96">
        <v>323</v>
      </c>
      <c r="U96">
        <v>0.371</v>
      </c>
      <c r="V96">
        <v>10</v>
      </c>
      <c r="W96">
        <v>0</v>
      </c>
      <c r="X96">
        <v>15</v>
      </c>
      <c r="Y96">
        <v>43654</v>
      </c>
      <c r="Z96">
        <v>653856</v>
      </c>
      <c r="AA96">
        <v>15.01</v>
      </c>
      <c r="AB96">
        <v>607396</v>
      </c>
      <c r="AC96">
        <v>13.94</v>
      </c>
      <c r="AD96">
        <v>115918</v>
      </c>
      <c r="AE96">
        <v>7891470</v>
      </c>
      <c r="AF96">
        <v>0.17730000000000001</v>
      </c>
      <c r="AG96">
        <v>137</v>
      </c>
      <c r="AH96">
        <v>9514000</v>
      </c>
      <c r="AI96">
        <v>2244</v>
      </c>
      <c r="AJ96">
        <v>551</v>
      </c>
      <c r="AK96" s="20" t="s">
        <v>1390</v>
      </c>
      <c r="AL96" s="20" t="s">
        <v>1391</v>
      </c>
      <c r="AM96" s="20" t="s">
        <v>1392</v>
      </c>
      <c r="AN96" s="20" t="s">
        <v>1393</v>
      </c>
      <c r="AO96" s="20" t="s">
        <v>942</v>
      </c>
      <c r="AP96">
        <v>11</v>
      </c>
      <c r="AQ96">
        <v>16</v>
      </c>
      <c r="AR96">
        <v>36</v>
      </c>
      <c r="AS96">
        <v>83</v>
      </c>
      <c r="AT96">
        <v>12</v>
      </c>
      <c r="AU96" s="27">
        <v>18415</v>
      </c>
      <c r="AV96" s="20" t="s">
        <v>1394</v>
      </c>
      <c r="AW96" s="20"/>
      <c r="AX96" s="20"/>
      <c r="AY96" s="20"/>
    </row>
    <row r="97" spans="1:51">
      <c r="A97" s="27">
        <v>43466</v>
      </c>
      <c r="B97" s="20" t="s">
        <v>201</v>
      </c>
      <c r="C97" s="20" t="s">
        <v>1395</v>
      </c>
      <c r="D97">
        <v>57</v>
      </c>
      <c r="E97">
        <v>57</v>
      </c>
      <c r="F97">
        <v>214</v>
      </c>
      <c r="G97">
        <v>214</v>
      </c>
      <c r="H97" s="20" t="s">
        <v>1396</v>
      </c>
      <c r="I97" s="20" t="s">
        <v>935</v>
      </c>
      <c r="J97" s="20" t="s">
        <v>936</v>
      </c>
      <c r="K97" s="20" t="s">
        <v>937</v>
      </c>
      <c r="M97">
        <v>2035</v>
      </c>
      <c r="N97">
        <v>2039</v>
      </c>
      <c r="O97">
        <v>9675.5</v>
      </c>
      <c r="P97">
        <v>4.75</v>
      </c>
      <c r="R97">
        <v>4852</v>
      </c>
      <c r="S97">
        <v>4852</v>
      </c>
      <c r="T97">
        <v>596</v>
      </c>
      <c r="U97">
        <v>0.29699999999999999</v>
      </c>
      <c r="V97">
        <v>40</v>
      </c>
      <c r="W97">
        <v>2</v>
      </c>
      <c r="X97">
        <v>71</v>
      </c>
      <c r="Y97">
        <v>43538</v>
      </c>
      <c r="Z97">
        <v>2129275</v>
      </c>
      <c r="AA97">
        <v>48.88</v>
      </c>
      <c r="AB97">
        <v>2023005</v>
      </c>
      <c r="AC97">
        <v>46.44</v>
      </c>
      <c r="AD97">
        <v>344433</v>
      </c>
      <c r="AE97">
        <v>17847449</v>
      </c>
      <c r="AF97">
        <v>0.1618</v>
      </c>
      <c r="AG97">
        <v>99</v>
      </c>
      <c r="AH97">
        <v>22862156</v>
      </c>
      <c r="AI97">
        <v>2359</v>
      </c>
      <c r="AJ97">
        <v>564</v>
      </c>
      <c r="AK97" s="20" t="s">
        <v>1397</v>
      </c>
      <c r="AL97" s="20" t="s">
        <v>1398</v>
      </c>
      <c r="AM97" s="20" t="s">
        <v>1399</v>
      </c>
      <c r="AN97" s="20" t="s">
        <v>1400</v>
      </c>
      <c r="AO97" s="20" t="s">
        <v>942</v>
      </c>
      <c r="AP97">
        <v>12</v>
      </c>
      <c r="AQ97">
        <v>16</v>
      </c>
      <c r="AR97">
        <v>36</v>
      </c>
      <c r="AS97">
        <v>83</v>
      </c>
      <c r="AT97">
        <v>12</v>
      </c>
      <c r="AU97" s="27">
        <v>19662</v>
      </c>
      <c r="AV97" s="20"/>
      <c r="AW97" s="20"/>
      <c r="AX97" s="20"/>
      <c r="AY97" s="20"/>
    </row>
    <row r="98" spans="1:51">
      <c r="A98" s="27">
        <v>43466</v>
      </c>
      <c r="B98" s="20" t="s">
        <v>221</v>
      </c>
      <c r="C98" s="20" t="s">
        <v>1256</v>
      </c>
      <c r="D98">
        <v>15</v>
      </c>
      <c r="E98">
        <v>134</v>
      </c>
      <c r="F98">
        <v>367</v>
      </c>
      <c r="G98">
        <v>367</v>
      </c>
      <c r="H98" s="20" t="s">
        <v>1401</v>
      </c>
      <c r="I98" s="20" t="s">
        <v>935</v>
      </c>
      <c r="J98" s="20" t="s">
        <v>936</v>
      </c>
      <c r="K98" s="20" t="s">
        <v>937</v>
      </c>
      <c r="M98">
        <v>606</v>
      </c>
      <c r="N98">
        <v>608</v>
      </c>
      <c r="O98">
        <v>2843</v>
      </c>
      <c r="P98">
        <v>4.6900000000000004</v>
      </c>
      <c r="R98">
        <v>1355</v>
      </c>
      <c r="S98">
        <v>1355</v>
      </c>
      <c r="T98">
        <v>223</v>
      </c>
      <c r="U98">
        <v>0.38300000000000001</v>
      </c>
      <c r="V98">
        <v>4</v>
      </c>
      <c r="W98">
        <v>0</v>
      </c>
      <c r="X98">
        <v>8</v>
      </c>
      <c r="Y98">
        <v>43781</v>
      </c>
      <c r="Z98">
        <v>204530</v>
      </c>
      <c r="AA98">
        <v>4.7</v>
      </c>
      <c r="AB98">
        <v>204530</v>
      </c>
      <c r="AC98">
        <v>4.7</v>
      </c>
      <c r="AD98">
        <v>45023</v>
      </c>
      <c r="AE98">
        <v>4301454</v>
      </c>
      <c r="AF98">
        <v>0.22009999999999999</v>
      </c>
      <c r="AG98">
        <v>288</v>
      </c>
      <c r="AH98">
        <v>5042342</v>
      </c>
      <c r="AI98">
        <v>1808</v>
      </c>
      <c r="AJ98">
        <v>577</v>
      </c>
      <c r="AK98" s="20" t="s">
        <v>1253</v>
      </c>
      <c r="AL98" s="20" t="s">
        <v>1258</v>
      </c>
      <c r="AM98" s="20" t="s">
        <v>1255</v>
      </c>
      <c r="AN98" s="20" t="s">
        <v>1259</v>
      </c>
      <c r="AO98" s="20" t="s">
        <v>963</v>
      </c>
      <c r="AP98">
        <v>4</v>
      </c>
      <c r="AQ98">
        <v>10</v>
      </c>
      <c r="AR98" t="s">
        <v>1402</v>
      </c>
      <c r="AS98">
        <v>75</v>
      </c>
      <c r="AT98">
        <v>3</v>
      </c>
      <c r="AU98" s="27">
        <v>17363</v>
      </c>
      <c r="AV98" s="20" t="s">
        <v>1357</v>
      </c>
      <c r="AW98" s="20"/>
      <c r="AX98" s="20"/>
      <c r="AY98" s="20"/>
    </row>
    <row r="99" spans="1:51">
      <c r="A99" s="27">
        <v>43466</v>
      </c>
      <c r="B99" s="20" t="s">
        <v>202</v>
      </c>
      <c r="C99" s="20" t="s">
        <v>1403</v>
      </c>
      <c r="D99">
        <v>29</v>
      </c>
      <c r="E99">
        <v>29</v>
      </c>
      <c r="F99">
        <v>532</v>
      </c>
      <c r="G99">
        <v>532</v>
      </c>
      <c r="H99" s="20" t="s">
        <v>1404</v>
      </c>
      <c r="I99" s="20" t="s">
        <v>935</v>
      </c>
      <c r="J99" s="20" t="s">
        <v>936</v>
      </c>
      <c r="K99" s="20" t="s">
        <v>937</v>
      </c>
      <c r="M99">
        <v>1389</v>
      </c>
      <c r="N99">
        <v>1390</v>
      </c>
      <c r="O99">
        <v>6512.5</v>
      </c>
      <c r="P99">
        <v>4.6900000000000004</v>
      </c>
      <c r="R99">
        <v>3185</v>
      </c>
      <c r="S99">
        <v>3185</v>
      </c>
      <c r="T99">
        <v>537</v>
      </c>
      <c r="U99">
        <v>0.38800000000000001</v>
      </c>
      <c r="V99">
        <v>10</v>
      </c>
      <c r="W99">
        <v>0</v>
      </c>
      <c r="X99">
        <v>10</v>
      </c>
      <c r="Y99">
        <v>14</v>
      </c>
      <c r="Z99">
        <v>723570</v>
      </c>
      <c r="AA99">
        <v>16.61</v>
      </c>
      <c r="AB99">
        <v>723570</v>
      </c>
      <c r="AC99">
        <v>16.61</v>
      </c>
      <c r="AD99">
        <v>100746</v>
      </c>
      <c r="AE99">
        <v>11639930</v>
      </c>
      <c r="AF99">
        <v>0.13919999999999999</v>
      </c>
      <c r="AG99">
        <v>192</v>
      </c>
      <c r="AH99">
        <v>15187000</v>
      </c>
      <c r="AI99">
        <v>2324</v>
      </c>
      <c r="AJ99">
        <v>532</v>
      </c>
      <c r="AK99" s="20" t="s">
        <v>1405</v>
      </c>
      <c r="AL99" s="20" t="s">
        <v>1406</v>
      </c>
      <c r="AM99" s="20" t="s">
        <v>1407</v>
      </c>
      <c r="AN99" s="20" t="s">
        <v>1408</v>
      </c>
      <c r="AO99" s="20" t="s">
        <v>950</v>
      </c>
      <c r="AP99">
        <v>2</v>
      </c>
      <c r="AQ99">
        <v>8</v>
      </c>
      <c r="AR99">
        <v>25</v>
      </c>
      <c r="AS99">
        <v>57</v>
      </c>
      <c r="AT99">
        <v>35</v>
      </c>
      <c r="AU99" s="27">
        <v>19121</v>
      </c>
      <c r="AV99" s="20" t="s">
        <v>1028</v>
      </c>
      <c r="AW99" s="20"/>
      <c r="AX99" s="20"/>
      <c r="AY99" s="20"/>
    </row>
    <row r="100" spans="1:51">
      <c r="A100" s="27">
        <v>43466</v>
      </c>
      <c r="B100" s="20" t="s">
        <v>318</v>
      </c>
      <c r="C100" s="20" t="s">
        <v>943</v>
      </c>
      <c r="D100">
        <v>205</v>
      </c>
      <c r="E100">
        <v>167</v>
      </c>
      <c r="F100">
        <v>322</v>
      </c>
      <c r="G100">
        <v>283</v>
      </c>
      <c r="H100" s="20" t="s">
        <v>1409</v>
      </c>
      <c r="I100" s="20" t="s">
        <v>935</v>
      </c>
      <c r="J100" s="20" t="s">
        <v>945</v>
      </c>
      <c r="K100" s="20" t="s">
        <v>937</v>
      </c>
      <c r="M100">
        <v>36</v>
      </c>
      <c r="N100">
        <v>36</v>
      </c>
      <c r="O100">
        <v>180</v>
      </c>
      <c r="P100">
        <v>5</v>
      </c>
      <c r="R100">
        <v>98</v>
      </c>
      <c r="S100">
        <v>98</v>
      </c>
      <c r="T100">
        <v>12</v>
      </c>
      <c r="U100">
        <v>0.33300000000000002</v>
      </c>
      <c r="V100">
        <v>18</v>
      </c>
      <c r="W100">
        <v>0</v>
      </c>
      <c r="X100">
        <v>18</v>
      </c>
      <c r="Y100">
        <v>2</v>
      </c>
      <c r="Z100">
        <v>33705</v>
      </c>
      <c r="AA100">
        <v>0.77</v>
      </c>
      <c r="AB100">
        <v>33705</v>
      </c>
      <c r="AC100">
        <v>0.77</v>
      </c>
      <c r="AD100">
        <v>20339</v>
      </c>
      <c r="AE100">
        <v>564300</v>
      </c>
      <c r="AF100">
        <v>0.60340000000000005</v>
      </c>
      <c r="AG100">
        <v>127</v>
      </c>
      <c r="AH100">
        <v>633673</v>
      </c>
      <c r="AI100">
        <v>3520</v>
      </c>
      <c r="AJ100">
        <v>741</v>
      </c>
      <c r="AK100" s="20" t="s">
        <v>1410</v>
      </c>
      <c r="AL100" s="20" t="s">
        <v>1017</v>
      </c>
      <c r="AM100" s="20" t="s">
        <v>1411</v>
      </c>
      <c r="AN100" s="20" t="s">
        <v>1412</v>
      </c>
      <c r="AO100" s="20" t="s">
        <v>950</v>
      </c>
      <c r="AP100">
        <v>9</v>
      </c>
      <c r="AQ100">
        <v>9</v>
      </c>
      <c r="AR100">
        <v>20</v>
      </c>
      <c r="AS100">
        <v>43</v>
      </c>
      <c r="AT100" t="s">
        <v>1413</v>
      </c>
      <c r="AU100" s="27">
        <v>25476</v>
      </c>
      <c r="AV100" s="20"/>
      <c r="AW100" s="20"/>
      <c r="AX100" s="20" t="s">
        <v>974</v>
      </c>
      <c r="AY100" s="20"/>
    </row>
    <row r="101" spans="1:51">
      <c r="A101" s="27">
        <v>43466</v>
      </c>
      <c r="B101" s="20" t="s">
        <v>319</v>
      </c>
      <c r="C101" s="20" t="s">
        <v>1414</v>
      </c>
      <c r="D101">
        <v>209</v>
      </c>
      <c r="E101">
        <v>91</v>
      </c>
      <c r="F101">
        <v>324</v>
      </c>
      <c r="G101">
        <v>324</v>
      </c>
      <c r="H101" s="20" t="s">
        <v>1415</v>
      </c>
      <c r="I101" s="20" t="s">
        <v>935</v>
      </c>
      <c r="J101" s="20" t="s">
        <v>936</v>
      </c>
      <c r="K101" s="20" t="s">
        <v>953</v>
      </c>
      <c r="M101">
        <v>21</v>
      </c>
      <c r="N101">
        <v>29</v>
      </c>
      <c r="O101">
        <v>111.5</v>
      </c>
      <c r="P101">
        <v>5.31</v>
      </c>
      <c r="S101">
        <v>35</v>
      </c>
      <c r="V101">
        <v>26</v>
      </c>
      <c r="Y101">
        <v>43467</v>
      </c>
      <c r="Z101">
        <v>109109</v>
      </c>
      <c r="AA101">
        <v>2.5</v>
      </c>
      <c r="AB101">
        <v>109109</v>
      </c>
      <c r="AC101">
        <v>2.5</v>
      </c>
      <c r="AG101">
        <v>14</v>
      </c>
      <c r="AH101">
        <v>815005</v>
      </c>
      <c r="AI101">
        <v>6.56</v>
      </c>
      <c r="AJ101">
        <v>812</v>
      </c>
      <c r="AK101" s="20" t="s">
        <v>1416</v>
      </c>
      <c r="AL101" s="20"/>
      <c r="AM101" s="20"/>
      <c r="AN101" s="20"/>
      <c r="AO101" s="20"/>
      <c r="AU101" s="27">
        <v>25507</v>
      </c>
      <c r="AV101" s="20"/>
      <c r="AW101" s="20"/>
      <c r="AX101" s="20"/>
      <c r="AY101" s="20"/>
    </row>
    <row r="102" spans="1:51">
      <c r="A102" s="27">
        <v>43466</v>
      </c>
      <c r="B102" s="20" t="s">
        <v>237</v>
      </c>
      <c r="C102" s="20" t="s">
        <v>1414</v>
      </c>
      <c r="D102">
        <v>212</v>
      </c>
      <c r="E102">
        <v>91</v>
      </c>
      <c r="F102">
        <v>327</v>
      </c>
      <c r="G102">
        <v>324</v>
      </c>
      <c r="H102" s="20" t="s">
        <v>1417</v>
      </c>
      <c r="I102" s="20" t="s">
        <v>935</v>
      </c>
      <c r="J102" s="20" t="s">
        <v>936</v>
      </c>
      <c r="K102" s="20" t="s">
        <v>953</v>
      </c>
      <c r="M102">
        <v>10</v>
      </c>
      <c r="N102">
        <v>14</v>
      </c>
      <c r="O102">
        <v>54</v>
      </c>
      <c r="P102">
        <v>5.4</v>
      </c>
      <c r="S102">
        <v>25</v>
      </c>
      <c r="V102">
        <v>12</v>
      </c>
      <c r="Y102">
        <v>37623</v>
      </c>
      <c r="Z102">
        <v>71102</v>
      </c>
      <c r="AA102">
        <v>1.63</v>
      </c>
      <c r="AB102">
        <v>71102</v>
      </c>
      <c r="AC102">
        <v>1.63</v>
      </c>
      <c r="AG102">
        <v>15</v>
      </c>
      <c r="AH102">
        <v>594100</v>
      </c>
      <c r="AI102">
        <v>6.93</v>
      </c>
      <c r="AJ102">
        <v>920</v>
      </c>
      <c r="AK102" s="20" t="s">
        <v>1418</v>
      </c>
      <c r="AL102" s="20" t="s">
        <v>1419</v>
      </c>
      <c r="AM102" s="20"/>
      <c r="AN102" s="20"/>
      <c r="AO102" s="20"/>
      <c r="AU102" s="27">
        <v>25841</v>
      </c>
      <c r="AV102" s="20"/>
      <c r="AW102" s="20"/>
      <c r="AX102" s="20"/>
      <c r="AY102" s="20"/>
    </row>
    <row r="103" spans="1:51">
      <c r="A103" s="27">
        <v>43466</v>
      </c>
      <c r="B103" s="20" t="s">
        <v>238</v>
      </c>
      <c r="C103" s="20" t="s">
        <v>1414</v>
      </c>
      <c r="D103">
        <v>213</v>
      </c>
      <c r="E103">
        <v>91</v>
      </c>
      <c r="F103">
        <v>340</v>
      </c>
      <c r="G103">
        <v>324</v>
      </c>
      <c r="H103" s="20" t="s">
        <v>1420</v>
      </c>
      <c r="I103" s="20" t="s">
        <v>935</v>
      </c>
      <c r="J103" s="20" t="s">
        <v>936</v>
      </c>
      <c r="K103" s="20" t="s">
        <v>953</v>
      </c>
      <c r="M103">
        <v>11</v>
      </c>
      <c r="N103">
        <v>13</v>
      </c>
      <c r="O103">
        <v>60.5</v>
      </c>
      <c r="P103">
        <v>5.5</v>
      </c>
      <c r="S103">
        <v>20</v>
      </c>
      <c r="V103">
        <v>12</v>
      </c>
      <c r="Y103">
        <v>43467</v>
      </c>
      <c r="Z103">
        <v>48377</v>
      </c>
      <c r="AA103">
        <v>1.1100000000000001</v>
      </c>
      <c r="AB103">
        <v>48377</v>
      </c>
      <c r="AC103">
        <v>1.1100000000000001</v>
      </c>
      <c r="AG103">
        <v>18</v>
      </c>
      <c r="AH103">
        <v>363764</v>
      </c>
      <c r="AI103">
        <v>7.52</v>
      </c>
      <c r="AJ103">
        <v>1089</v>
      </c>
      <c r="AK103" s="20" t="s">
        <v>1418</v>
      </c>
      <c r="AL103" s="20" t="s">
        <v>1419</v>
      </c>
      <c r="AM103" s="20"/>
      <c r="AN103" s="20"/>
      <c r="AO103" s="20"/>
      <c r="AU103" s="27">
        <v>26053</v>
      </c>
      <c r="AV103" s="20"/>
      <c r="AW103" s="20"/>
      <c r="AX103" s="20"/>
      <c r="AY103" s="20"/>
    </row>
    <row r="104" spans="1:51">
      <c r="A104" s="27">
        <v>43466</v>
      </c>
      <c r="B104" s="20" t="s">
        <v>239</v>
      </c>
      <c r="C104" s="20" t="s">
        <v>1414</v>
      </c>
      <c r="D104">
        <v>226</v>
      </c>
      <c r="E104">
        <v>91</v>
      </c>
      <c r="F104">
        <v>345</v>
      </c>
      <c r="G104">
        <v>324</v>
      </c>
      <c r="H104" s="20" t="s">
        <v>1421</v>
      </c>
      <c r="I104" s="20" t="s">
        <v>935</v>
      </c>
      <c r="J104" s="20" t="s">
        <v>936</v>
      </c>
      <c r="K104" s="20" t="s">
        <v>953</v>
      </c>
      <c r="M104">
        <v>10</v>
      </c>
      <c r="N104">
        <v>13</v>
      </c>
      <c r="O104">
        <v>59</v>
      </c>
      <c r="P104">
        <v>5.9</v>
      </c>
      <c r="S104">
        <v>20</v>
      </c>
      <c r="V104">
        <v>13</v>
      </c>
      <c r="Y104">
        <v>37623</v>
      </c>
      <c r="Z104">
        <v>59855</v>
      </c>
      <c r="AA104">
        <v>1.37</v>
      </c>
      <c r="AB104">
        <v>59855</v>
      </c>
      <c r="AC104">
        <v>1.37</v>
      </c>
      <c r="AG104">
        <v>15</v>
      </c>
      <c r="AH104">
        <v>500168</v>
      </c>
      <c r="AI104">
        <v>7.38</v>
      </c>
      <c r="AJ104">
        <v>943</v>
      </c>
      <c r="AK104" s="20" t="s">
        <v>1422</v>
      </c>
      <c r="AL104" s="20" t="s">
        <v>1419</v>
      </c>
      <c r="AM104" s="20"/>
      <c r="AN104" s="20"/>
      <c r="AO104" s="20"/>
      <c r="AU104" s="27">
        <v>26114</v>
      </c>
      <c r="AV104" s="20"/>
      <c r="AW104" s="20"/>
      <c r="AX104" s="20"/>
      <c r="AY104" s="20"/>
    </row>
    <row r="105" spans="1:51">
      <c r="A105" s="27">
        <v>43466</v>
      </c>
      <c r="B105" s="20" t="s">
        <v>240</v>
      </c>
      <c r="C105" s="20" t="s">
        <v>1414</v>
      </c>
      <c r="D105">
        <v>283</v>
      </c>
      <c r="E105">
        <v>91</v>
      </c>
      <c r="F105">
        <v>376</v>
      </c>
      <c r="G105">
        <v>324</v>
      </c>
      <c r="H105" s="20" t="s">
        <v>1423</v>
      </c>
      <c r="I105" s="20" t="s">
        <v>935</v>
      </c>
      <c r="J105" s="20" t="s">
        <v>936</v>
      </c>
      <c r="K105" s="20" t="s">
        <v>953</v>
      </c>
      <c r="M105">
        <v>16</v>
      </c>
      <c r="N105">
        <v>40</v>
      </c>
      <c r="O105">
        <v>79</v>
      </c>
      <c r="P105">
        <v>4.9400000000000004</v>
      </c>
      <c r="S105">
        <v>31</v>
      </c>
      <c r="V105">
        <v>16</v>
      </c>
      <c r="Y105" t="s">
        <v>1424</v>
      </c>
      <c r="Z105">
        <v>50476</v>
      </c>
      <c r="AA105">
        <v>1.1599999999999999</v>
      </c>
      <c r="AB105">
        <v>50476</v>
      </c>
      <c r="AC105">
        <v>1.1599999999999999</v>
      </c>
      <c r="AG105">
        <v>27</v>
      </c>
      <c r="AH105">
        <v>0</v>
      </c>
      <c r="AI105">
        <v>0</v>
      </c>
      <c r="AJ105">
        <v>1076</v>
      </c>
      <c r="AK105" s="20" t="s">
        <v>1425</v>
      </c>
      <c r="AL105" s="20" t="s">
        <v>1426</v>
      </c>
      <c r="AM105" s="20"/>
      <c r="AN105" s="20"/>
      <c r="AO105" s="20"/>
      <c r="AU105" s="27">
        <v>30132</v>
      </c>
      <c r="AV105" s="20"/>
      <c r="AW105" s="20"/>
      <c r="AX105" s="20"/>
      <c r="AY105" s="20"/>
    </row>
    <row r="106" spans="1:51">
      <c r="A106" s="27">
        <v>43466</v>
      </c>
      <c r="B106" s="20" t="s">
        <v>320</v>
      </c>
      <c r="C106" s="20" t="s">
        <v>1414</v>
      </c>
      <c r="D106">
        <v>260</v>
      </c>
      <c r="E106">
        <v>91</v>
      </c>
      <c r="F106">
        <v>397</v>
      </c>
      <c r="G106">
        <v>324</v>
      </c>
      <c r="H106" s="20" t="s">
        <v>1427</v>
      </c>
      <c r="I106" s="20" t="s">
        <v>935</v>
      </c>
      <c r="J106" s="20" t="s">
        <v>936</v>
      </c>
      <c r="K106" s="20" t="s">
        <v>953</v>
      </c>
      <c r="M106">
        <v>29</v>
      </c>
      <c r="N106">
        <v>36</v>
      </c>
      <c r="O106">
        <v>153.5</v>
      </c>
      <c r="P106">
        <v>5.29</v>
      </c>
      <c r="S106">
        <v>65</v>
      </c>
      <c r="V106">
        <v>31</v>
      </c>
      <c r="Y106">
        <v>37623</v>
      </c>
      <c r="Z106">
        <v>140965</v>
      </c>
      <c r="AA106">
        <v>3.24</v>
      </c>
      <c r="AB106">
        <v>140965</v>
      </c>
      <c r="AC106">
        <v>3.24</v>
      </c>
      <c r="AG106">
        <v>20</v>
      </c>
      <c r="AH106">
        <v>1123771</v>
      </c>
      <c r="AI106">
        <v>7.17</v>
      </c>
      <c r="AJ106">
        <v>833</v>
      </c>
      <c r="AK106" s="20" t="s">
        <v>1428</v>
      </c>
      <c r="AL106" s="20" t="s">
        <v>1429</v>
      </c>
      <c r="AM106" s="20"/>
      <c r="AN106" s="20"/>
      <c r="AO106" s="20"/>
      <c r="AU106" s="27">
        <v>26572</v>
      </c>
      <c r="AV106" s="20"/>
      <c r="AW106" s="20"/>
      <c r="AX106" s="20"/>
      <c r="AY106" s="20"/>
    </row>
    <row r="107" spans="1:51">
      <c r="A107" s="27">
        <v>43466</v>
      </c>
      <c r="B107" s="20" t="s">
        <v>321</v>
      </c>
      <c r="C107" s="20" t="s">
        <v>1414</v>
      </c>
      <c r="D107">
        <v>273</v>
      </c>
      <c r="E107">
        <v>91</v>
      </c>
      <c r="F107">
        <v>395</v>
      </c>
      <c r="G107">
        <v>324</v>
      </c>
      <c r="H107" s="20" t="s">
        <v>1430</v>
      </c>
      <c r="I107" s="20" t="s">
        <v>935</v>
      </c>
      <c r="J107" s="20" t="s">
        <v>936</v>
      </c>
      <c r="K107" s="20" t="s">
        <v>953</v>
      </c>
      <c r="M107">
        <v>6</v>
      </c>
      <c r="N107">
        <v>9</v>
      </c>
      <c r="O107">
        <v>32</v>
      </c>
      <c r="P107">
        <v>5.33</v>
      </c>
      <c r="S107">
        <v>11</v>
      </c>
      <c r="V107">
        <v>7</v>
      </c>
      <c r="Y107" t="s">
        <v>1431</v>
      </c>
      <c r="Z107">
        <v>46406</v>
      </c>
      <c r="AA107">
        <v>1.07</v>
      </c>
      <c r="AB107">
        <v>46406</v>
      </c>
      <c r="AC107">
        <v>1.07</v>
      </c>
      <c r="AG107">
        <v>10</v>
      </c>
      <c r="AH107">
        <v>339911</v>
      </c>
      <c r="AI107">
        <v>7.32</v>
      </c>
      <c r="AJ107">
        <v>750</v>
      </c>
      <c r="AK107" s="20" t="s">
        <v>1432</v>
      </c>
      <c r="AL107" s="20"/>
      <c r="AM107" s="20"/>
      <c r="AN107" s="20"/>
      <c r="AO107" s="20"/>
      <c r="AU107" s="27">
        <v>27972</v>
      </c>
      <c r="AV107" s="20"/>
      <c r="AW107" s="20"/>
      <c r="AX107" s="20"/>
      <c r="AY107" s="20"/>
    </row>
    <row r="108" spans="1:51">
      <c r="A108" s="27">
        <v>43466</v>
      </c>
      <c r="B108" s="20" t="s">
        <v>322</v>
      </c>
      <c r="C108" s="20" t="s">
        <v>1414</v>
      </c>
      <c r="D108">
        <v>274</v>
      </c>
      <c r="E108">
        <v>91</v>
      </c>
      <c r="F108">
        <v>396</v>
      </c>
      <c r="G108">
        <v>324</v>
      </c>
      <c r="H108" s="20" t="s">
        <v>1433</v>
      </c>
      <c r="I108" s="20" t="s">
        <v>935</v>
      </c>
      <c r="J108" s="20" t="s">
        <v>936</v>
      </c>
      <c r="K108" s="20" t="s">
        <v>953</v>
      </c>
      <c r="M108">
        <v>5</v>
      </c>
      <c r="N108">
        <v>8</v>
      </c>
      <c r="O108">
        <v>29.5</v>
      </c>
      <c r="P108">
        <v>5.9</v>
      </c>
      <c r="S108">
        <v>9</v>
      </c>
      <c r="V108">
        <v>8</v>
      </c>
      <c r="Y108" t="s">
        <v>1431</v>
      </c>
      <c r="Z108">
        <v>41138</v>
      </c>
      <c r="AA108">
        <v>0.94</v>
      </c>
      <c r="AB108">
        <v>41138</v>
      </c>
      <c r="AC108">
        <v>0.94</v>
      </c>
      <c r="AG108">
        <v>10</v>
      </c>
      <c r="AH108">
        <v>419377</v>
      </c>
      <c r="AI108">
        <v>8.26</v>
      </c>
      <c r="AJ108">
        <v>929</v>
      </c>
      <c r="AK108" s="20" t="s">
        <v>1434</v>
      </c>
      <c r="AL108" s="20"/>
      <c r="AM108" s="20"/>
      <c r="AN108" s="20"/>
      <c r="AO108" s="20"/>
      <c r="AU108" s="27">
        <v>27954</v>
      </c>
      <c r="AV108" s="20"/>
      <c r="AW108" s="20"/>
      <c r="AX108" s="20"/>
      <c r="AY108" s="20"/>
    </row>
    <row r="109" spans="1:51">
      <c r="A109" s="27">
        <v>43466</v>
      </c>
      <c r="B109" s="20" t="s">
        <v>241</v>
      </c>
      <c r="C109" s="20" t="s">
        <v>1414</v>
      </c>
      <c r="D109">
        <v>275</v>
      </c>
      <c r="E109">
        <v>91</v>
      </c>
      <c r="F109">
        <v>520</v>
      </c>
      <c r="G109">
        <v>324</v>
      </c>
      <c r="H109" s="20" t="s">
        <v>1435</v>
      </c>
      <c r="I109" s="20" t="s">
        <v>935</v>
      </c>
      <c r="J109" s="20" t="s">
        <v>936</v>
      </c>
      <c r="K109" s="20" t="s">
        <v>953</v>
      </c>
      <c r="M109">
        <v>5</v>
      </c>
      <c r="N109">
        <v>9</v>
      </c>
      <c r="O109">
        <v>29.5</v>
      </c>
      <c r="P109">
        <v>5.9</v>
      </c>
      <c r="S109">
        <v>16</v>
      </c>
      <c r="V109">
        <v>9</v>
      </c>
      <c r="Y109" t="s">
        <v>1431</v>
      </c>
      <c r="Z109">
        <v>34842</v>
      </c>
      <c r="AA109">
        <v>0.8</v>
      </c>
      <c r="AB109">
        <v>34842</v>
      </c>
      <c r="AC109">
        <v>0.8</v>
      </c>
      <c r="AG109">
        <v>20</v>
      </c>
      <c r="AH109">
        <v>298491</v>
      </c>
      <c r="AI109">
        <v>8.57</v>
      </c>
      <c r="AJ109">
        <v>1249</v>
      </c>
      <c r="AK109" s="20" t="s">
        <v>1436</v>
      </c>
      <c r="AL109" s="20"/>
      <c r="AM109" s="20"/>
      <c r="AN109" s="20"/>
      <c r="AO109" s="20"/>
      <c r="AU109" s="27">
        <v>27972</v>
      </c>
      <c r="AV109" s="20"/>
      <c r="AW109" s="20"/>
      <c r="AX109" s="20"/>
      <c r="AY109" s="20"/>
    </row>
    <row r="110" spans="1:51">
      <c r="A110" s="27">
        <v>43466</v>
      </c>
      <c r="B110" s="20" t="s">
        <v>323</v>
      </c>
      <c r="C110" s="20" t="s">
        <v>1414</v>
      </c>
      <c r="D110">
        <v>284</v>
      </c>
      <c r="E110">
        <v>91</v>
      </c>
      <c r="F110">
        <v>521</v>
      </c>
      <c r="G110">
        <v>324</v>
      </c>
      <c r="H110" s="20" t="s">
        <v>1437</v>
      </c>
      <c r="I110" s="20" t="s">
        <v>935</v>
      </c>
      <c r="J110" s="20" t="s">
        <v>936</v>
      </c>
      <c r="K110" s="20" t="s">
        <v>953</v>
      </c>
      <c r="M110">
        <v>16</v>
      </c>
      <c r="N110">
        <v>21</v>
      </c>
      <c r="O110">
        <v>87</v>
      </c>
      <c r="P110">
        <v>5.44</v>
      </c>
      <c r="S110">
        <v>37</v>
      </c>
      <c r="V110">
        <v>20</v>
      </c>
      <c r="Y110" t="s">
        <v>1431</v>
      </c>
      <c r="Z110">
        <v>99627</v>
      </c>
      <c r="AA110">
        <v>2.29</v>
      </c>
      <c r="AB110">
        <v>99627</v>
      </c>
      <c r="AC110">
        <v>2.29</v>
      </c>
      <c r="AG110">
        <v>16</v>
      </c>
      <c r="AH110">
        <v>850661</v>
      </c>
      <c r="AI110">
        <v>6.56</v>
      </c>
      <c r="AJ110">
        <v>713</v>
      </c>
      <c r="AK110" s="20" t="s">
        <v>1438</v>
      </c>
      <c r="AL110" s="20"/>
      <c r="AM110" s="20"/>
      <c r="AN110" s="20"/>
      <c r="AO110" s="20"/>
      <c r="AU110" s="27">
        <v>30132</v>
      </c>
      <c r="AV110" s="20"/>
      <c r="AW110" s="20"/>
      <c r="AX110" s="20"/>
      <c r="AY110" s="20"/>
    </row>
    <row r="111" spans="1:51">
      <c r="A111" s="27">
        <v>43466</v>
      </c>
      <c r="B111" s="20" t="s">
        <v>203</v>
      </c>
      <c r="C111" s="20" t="s">
        <v>1439</v>
      </c>
      <c r="D111">
        <v>207</v>
      </c>
      <c r="E111">
        <v>261</v>
      </c>
      <c r="F111">
        <v>375</v>
      </c>
      <c r="G111">
        <v>375</v>
      </c>
      <c r="H111" s="20" t="s">
        <v>1440</v>
      </c>
      <c r="I111" s="20" t="s">
        <v>935</v>
      </c>
      <c r="J111" s="20" t="s">
        <v>936</v>
      </c>
      <c r="K111" s="20" t="s">
        <v>937</v>
      </c>
      <c r="M111">
        <v>158</v>
      </c>
      <c r="N111">
        <v>160</v>
      </c>
      <c r="O111">
        <v>787</v>
      </c>
      <c r="P111">
        <v>4.9800000000000004</v>
      </c>
      <c r="R111">
        <v>443</v>
      </c>
      <c r="S111">
        <v>443</v>
      </c>
      <c r="T111">
        <v>31</v>
      </c>
      <c r="U111">
        <v>0.19700000000000001</v>
      </c>
      <c r="V111">
        <v>8</v>
      </c>
      <c r="W111">
        <v>0</v>
      </c>
      <c r="X111">
        <v>10</v>
      </c>
      <c r="Y111">
        <v>4</v>
      </c>
      <c r="Z111">
        <v>95000</v>
      </c>
      <c r="AA111">
        <v>2.1800000000000002</v>
      </c>
      <c r="AB111">
        <v>95000</v>
      </c>
      <c r="AC111">
        <v>2.1800000000000002</v>
      </c>
      <c r="AD111">
        <v>42189</v>
      </c>
      <c r="AE111">
        <v>1916306</v>
      </c>
      <c r="AF111">
        <v>0.44409999999999999</v>
      </c>
      <c r="AG111">
        <v>203</v>
      </c>
      <c r="AH111">
        <v>6138432</v>
      </c>
      <c r="AI111">
        <v>7712</v>
      </c>
      <c r="AJ111">
        <v>537</v>
      </c>
      <c r="AK111" s="20" t="s">
        <v>1441</v>
      </c>
      <c r="AL111" s="20" t="s">
        <v>1442</v>
      </c>
      <c r="AM111" s="20" t="s">
        <v>1443</v>
      </c>
      <c r="AN111" s="20" t="s">
        <v>1444</v>
      </c>
      <c r="AO111" s="20" t="s">
        <v>950</v>
      </c>
      <c r="AP111">
        <v>5</v>
      </c>
      <c r="AQ111">
        <v>8</v>
      </c>
      <c r="AR111">
        <v>19</v>
      </c>
      <c r="AS111">
        <v>55</v>
      </c>
      <c r="AT111">
        <v>37</v>
      </c>
      <c r="AU111" s="27">
        <v>26237</v>
      </c>
      <c r="AV111" s="20"/>
      <c r="AW111" s="20"/>
      <c r="AX111" s="20"/>
      <c r="AY111" s="20"/>
    </row>
    <row r="112" spans="1:51">
      <c r="A112" s="27">
        <v>43466</v>
      </c>
      <c r="B112" s="20" t="s">
        <v>242</v>
      </c>
      <c r="C112" s="20" t="s">
        <v>1153</v>
      </c>
      <c r="D112">
        <v>1</v>
      </c>
      <c r="E112">
        <v>337</v>
      </c>
      <c r="F112">
        <v>370</v>
      </c>
      <c r="G112">
        <v>370</v>
      </c>
      <c r="H112" s="20" t="s">
        <v>1445</v>
      </c>
      <c r="I112" s="20" t="s">
        <v>935</v>
      </c>
      <c r="J112" s="20" t="s">
        <v>936</v>
      </c>
      <c r="K112" s="20" t="s">
        <v>937</v>
      </c>
      <c r="M112">
        <v>126</v>
      </c>
      <c r="N112">
        <v>126</v>
      </c>
      <c r="O112">
        <v>448</v>
      </c>
      <c r="P112">
        <v>3.56</v>
      </c>
      <c r="R112">
        <v>178</v>
      </c>
      <c r="S112">
        <v>178</v>
      </c>
      <c r="T112">
        <v>56</v>
      </c>
      <c r="U112">
        <v>0.47099999999999997</v>
      </c>
      <c r="V112">
        <v>8</v>
      </c>
      <c r="W112">
        <v>0</v>
      </c>
      <c r="X112">
        <v>8</v>
      </c>
      <c r="Y112">
        <v>43560</v>
      </c>
      <c r="Z112">
        <v>53532</v>
      </c>
      <c r="AA112">
        <v>1.23</v>
      </c>
      <c r="AB112">
        <v>53532</v>
      </c>
      <c r="AC112">
        <v>1.23</v>
      </c>
      <c r="AD112">
        <v>24540</v>
      </c>
      <c r="AE112">
        <v>1411795</v>
      </c>
      <c r="AF112">
        <v>0.45839999999999997</v>
      </c>
      <c r="AG112">
        <v>145</v>
      </c>
      <c r="AH112">
        <v>1384643</v>
      </c>
      <c r="AI112">
        <v>3653</v>
      </c>
      <c r="AJ112">
        <v>500</v>
      </c>
      <c r="AK112" s="20" t="s">
        <v>1446</v>
      </c>
      <c r="AL112" s="20" t="s">
        <v>1155</v>
      </c>
      <c r="AM112" s="20" t="s">
        <v>1447</v>
      </c>
      <c r="AN112" s="20" t="s">
        <v>984</v>
      </c>
      <c r="AO112" s="20" t="s">
        <v>963</v>
      </c>
      <c r="AP112">
        <v>3</v>
      </c>
      <c r="AQ112">
        <v>12</v>
      </c>
      <c r="AR112">
        <v>26</v>
      </c>
      <c r="AS112">
        <v>74</v>
      </c>
      <c r="AT112">
        <v>2</v>
      </c>
      <c r="AU112" s="27">
        <v>13301</v>
      </c>
      <c r="AV112" s="20" t="s">
        <v>1357</v>
      </c>
      <c r="AW112" s="20"/>
      <c r="AX112" s="20" t="s">
        <v>974</v>
      </c>
      <c r="AY112" s="20"/>
    </row>
    <row r="113" spans="1:51">
      <c r="A113" s="27">
        <v>43466</v>
      </c>
      <c r="B113" s="20" t="s">
        <v>204</v>
      </c>
      <c r="C113" s="20" t="s">
        <v>1358</v>
      </c>
      <c r="D113">
        <v>59</v>
      </c>
      <c r="E113">
        <v>59</v>
      </c>
      <c r="F113">
        <v>535</v>
      </c>
      <c r="G113">
        <v>535</v>
      </c>
      <c r="H113" s="20" t="s">
        <v>1448</v>
      </c>
      <c r="I113" s="20" t="s">
        <v>935</v>
      </c>
      <c r="J113" s="20" t="s">
        <v>936</v>
      </c>
      <c r="K113" s="20" t="s">
        <v>937</v>
      </c>
      <c r="M113">
        <v>1348</v>
      </c>
      <c r="N113">
        <v>1350</v>
      </c>
      <c r="O113">
        <v>6154</v>
      </c>
      <c r="P113">
        <v>4.57</v>
      </c>
      <c r="R113">
        <v>3002</v>
      </c>
      <c r="S113">
        <v>3002</v>
      </c>
      <c r="T113">
        <v>498</v>
      </c>
      <c r="U113">
        <v>0.373</v>
      </c>
      <c r="V113">
        <v>15</v>
      </c>
      <c r="W113">
        <v>0</v>
      </c>
      <c r="X113">
        <v>15</v>
      </c>
      <c r="Y113">
        <v>41892</v>
      </c>
      <c r="Z113">
        <v>771920</v>
      </c>
      <c r="AA113">
        <v>17.72</v>
      </c>
      <c r="AB113">
        <v>700087</v>
      </c>
      <c r="AC113">
        <v>16.07</v>
      </c>
      <c r="AD113">
        <v>125002</v>
      </c>
      <c r="AE113">
        <v>11465400</v>
      </c>
      <c r="AF113">
        <v>0.16189999999999999</v>
      </c>
      <c r="AG113">
        <v>169</v>
      </c>
      <c r="AH113">
        <v>19576000</v>
      </c>
      <c r="AI113">
        <v>3186</v>
      </c>
      <c r="AJ113">
        <v>526</v>
      </c>
      <c r="AK113" s="20" t="s">
        <v>1449</v>
      </c>
      <c r="AL113" s="20" t="s">
        <v>1361</v>
      </c>
      <c r="AM113" s="20" t="s">
        <v>1450</v>
      </c>
      <c r="AN113" s="20" t="s">
        <v>1266</v>
      </c>
      <c r="AO113" s="20" t="s">
        <v>942</v>
      </c>
      <c r="AP113">
        <v>3</v>
      </c>
      <c r="AQ113">
        <v>15</v>
      </c>
      <c r="AR113">
        <v>32</v>
      </c>
      <c r="AS113">
        <v>79</v>
      </c>
      <c r="AT113">
        <v>16</v>
      </c>
      <c r="AU113" s="27">
        <v>20771</v>
      </c>
      <c r="AV113" s="20" t="s">
        <v>1028</v>
      </c>
      <c r="AW113" s="20"/>
      <c r="AX113" s="20"/>
      <c r="AY113" s="20"/>
    </row>
    <row r="114" spans="1:51">
      <c r="A114" s="27">
        <v>43466</v>
      </c>
      <c r="B114" s="20" t="s">
        <v>276</v>
      </c>
      <c r="C114" s="20" t="s">
        <v>1061</v>
      </c>
      <c r="D114">
        <v>197</v>
      </c>
      <c r="E114">
        <v>197</v>
      </c>
      <c r="F114">
        <v>308</v>
      </c>
      <c r="G114">
        <v>311</v>
      </c>
      <c r="H114" s="20" t="s">
        <v>1451</v>
      </c>
      <c r="I114" s="20" t="s">
        <v>935</v>
      </c>
      <c r="J114" s="20" t="s">
        <v>945</v>
      </c>
      <c r="K114" s="20" t="s">
        <v>937</v>
      </c>
      <c r="M114">
        <v>342</v>
      </c>
      <c r="N114">
        <v>344</v>
      </c>
      <c r="O114">
        <v>1509</v>
      </c>
      <c r="P114">
        <v>4.41</v>
      </c>
      <c r="R114">
        <v>733</v>
      </c>
      <c r="S114">
        <v>733</v>
      </c>
      <c r="T114">
        <v>117</v>
      </c>
      <c r="U114">
        <v>0.34699999999999998</v>
      </c>
      <c r="V114">
        <v>1</v>
      </c>
      <c r="W114">
        <v>0</v>
      </c>
      <c r="X114">
        <v>2</v>
      </c>
      <c r="Y114">
        <v>21</v>
      </c>
      <c r="Z114">
        <v>149152</v>
      </c>
      <c r="AA114">
        <v>3.42</v>
      </c>
      <c r="AB114">
        <v>149152</v>
      </c>
      <c r="AC114">
        <v>3.42</v>
      </c>
      <c r="AD114">
        <v>25162</v>
      </c>
      <c r="AE114">
        <v>3321343</v>
      </c>
      <c r="AF114">
        <v>0.16869999999999999</v>
      </c>
      <c r="AG114">
        <v>214</v>
      </c>
      <c r="AH114">
        <v>10566070</v>
      </c>
      <c r="AI114">
        <v>6933</v>
      </c>
      <c r="AJ114">
        <v>544</v>
      </c>
      <c r="AK114" s="20" t="s">
        <v>1452</v>
      </c>
      <c r="AL114" s="20" t="s">
        <v>1065</v>
      </c>
      <c r="AM114" s="20" t="s">
        <v>1063</v>
      </c>
      <c r="AN114" s="20" t="s">
        <v>1453</v>
      </c>
      <c r="AO114" s="20" t="s">
        <v>942</v>
      </c>
      <c r="AP114">
        <v>8</v>
      </c>
      <c r="AQ114">
        <v>13</v>
      </c>
      <c r="AR114">
        <v>33</v>
      </c>
      <c r="AS114">
        <v>81</v>
      </c>
      <c r="AT114">
        <v>14</v>
      </c>
      <c r="AU114" s="27">
        <v>27363</v>
      </c>
      <c r="AV114" s="20"/>
      <c r="AW114" s="20"/>
      <c r="AX114" s="20"/>
      <c r="AY114" s="20"/>
    </row>
    <row r="115" spans="1:51">
      <c r="A115" s="27">
        <v>43466</v>
      </c>
      <c r="B115" s="20" t="s">
        <v>79</v>
      </c>
      <c r="C115" s="20" t="s">
        <v>1454</v>
      </c>
      <c r="D115">
        <v>309</v>
      </c>
      <c r="E115">
        <v>309</v>
      </c>
      <c r="F115">
        <v>341</v>
      </c>
      <c r="G115">
        <v>341</v>
      </c>
      <c r="H115" s="20" t="s">
        <v>1455</v>
      </c>
      <c r="I115" s="20" t="s">
        <v>935</v>
      </c>
      <c r="J115" s="20" t="s">
        <v>945</v>
      </c>
      <c r="K115" s="20" t="s">
        <v>1456</v>
      </c>
      <c r="M115">
        <v>226</v>
      </c>
      <c r="N115">
        <v>226</v>
      </c>
      <c r="O115">
        <v>814</v>
      </c>
      <c r="P115">
        <v>3.6</v>
      </c>
      <c r="R115">
        <v>277</v>
      </c>
      <c r="S115">
        <v>277</v>
      </c>
      <c r="T115">
        <v>204</v>
      </c>
      <c r="U115">
        <v>0.90300000000000002</v>
      </c>
      <c r="V115">
        <v>1</v>
      </c>
      <c r="W115">
        <v>0</v>
      </c>
      <c r="X115">
        <v>2</v>
      </c>
      <c r="Y115">
        <v>7</v>
      </c>
      <c r="Z115">
        <v>112034</v>
      </c>
      <c r="AA115">
        <v>2.57</v>
      </c>
      <c r="AB115">
        <v>112034</v>
      </c>
      <c r="AC115">
        <v>2.57</v>
      </c>
      <c r="AD115">
        <v>43735</v>
      </c>
      <c r="AE115">
        <v>3690779</v>
      </c>
      <c r="AF115">
        <v>0.39040000000000002</v>
      </c>
      <c r="AG115">
        <v>108</v>
      </c>
      <c r="AH115">
        <v>16237236</v>
      </c>
      <c r="AI115">
        <v>19862</v>
      </c>
      <c r="AJ115">
        <v>327</v>
      </c>
      <c r="AK115" s="20" t="s">
        <v>1457</v>
      </c>
      <c r="AL115" s="20" t="s">
        <v>1458</v>
      </c>
      <c r="AM115" s="20" t="s">
        <v>1459</v>
      </c>
      <c r="AN115" s="20" t="s">
        <v>1460</v>
      </c>
      <c r="AO115" s="20" t="s">
        <v>963</v>
      </c>
      <c r="AP115">
        <v>12</v>
      </c>
      <c r="AQ115">
        <v>13</v>
      </c>
      <c r="AR115">
        <v>31</v>
      </c>
      <c r="AS115">
        <v>71</v>
      </c>
      <c r="AT115">
        <v>7</v>
      </c>
      <c r="AU115" s="27">
        <v>31321</v>
      </c>
      <c r="AV115" s="20"/>
      <c r="AW115" s="20" t="s">
        <v>1081</v>
      </c>
      <c r="AX115" s="20" t="s">
        <v>974</v>
      </c>
      <c r="AY115" s="20"/>
    </row>
    <row r="116" spans="1:51">
      <c r="A116" s="27">
        <v>43466</v>
      </c>
      <c r="B116" s="20" t="s">
        <v>111</v>
      </c>
      <c r="C116" s="20" t="s">
        <v>1461</v>
      </c>
      <c r="D116">
        <v>136</v>
      </c>
      <c r="E116">
        <v>136</v>
      </c>
      <c r="F116">
        <v>252</v>
      </c>
      <c r="G116">
        <v>252</v>
      </c>
      <c r="H116" s="20" t="s">
        <v>1462</v>
      </c>
      <c r="I116" s="20" t="s">
        <v>935</v>
      </c>
      <c r="J116" s="20" t="s">
        <v>936</v>
      </c>
      <c r="K116" s="20" t="s">
        <v>937</v>
      </c>
      <c r="M116">
        <v>944</v>
      </c>
      <c r="N116">
        <v>944</v>
      </c>
      <c r="O116">
        <v>4223</v>
      </c>
      <c r="P116">
        <v>4.47</v>
      </c>
      <c r="R116">
        <v>2166</v>
      </c>
      <c r="S116">
        <v>2166</v>
      </c>
      <c r="T116">
        <v>374</v>
      </c>
      <c r="U116">
        <v>0.39900000000000002</v>
      </c>
      <c r="V116">
        <v>11</v>
      </c>
      <c r="W116">
        <v>1</v>
      </c>
      <c r="X116">
        <v>12</v>
      </c>
      <c r="Y116">
        <v>43641</v>
      </c>
      <c r="Z116">
        <v>214139</v>
      </c>
      <c r="AA116">
        <v>4.92</v>
      </c>
      <c r="AB116">
        <v>214139</v>
      </c>
      <c r="AC116">
        <v>4.92</v>
      </c>
      <c r="AD116">
        <v>70645</v>
      </c>
      <c r="AE116">
        <v>8097991</v>
      </c>
      <c r="AF116">
        <v>0.25879999999999997</v>
      </c>
      <c r="AG116">
        <v>440</v>
      </c>
      <c r="AH116">
        <v>20727847</v>
      </c>
      <c r="AI116">
        <v>4866</v>
      </c>
      <c r="AJ116">
        <v>678</v>
      </c>
      <c r="AK116" s="20" t="s">
        <v>1463</v>
      </c>
      <c r="AL116" s="20" t="s">
        <v>1464</v>
      </c>
      <c r="AM116" s="20" t="s">
        <v>1255</v>
      </c>
      <c r="AN116" s="20"/>
      <c r="AO116" s="20" t="s">
        <v>963</v>
      </c>
      <c r="AP116">
        <v>4</v>
      </c>
      <c r="AQ116">
        <v>10</v>
      </c>
      <c r="AR116">
        <v>27</v>
      </c>
      <c r="AS116">
        <v>75</v>
      </c>
      <c r="AT116">
        <v>3</v>
      </c>
      <c r="AU116" s="27">
        <v>23832</v>
      </c>
      <c r="AV116" s="20"/>
      <c r="AW116" s="20"/>
      <c r="AX116" s="20"/>
      <c r="AY116" s="20"/>
    </row>
    <row r="117" spans="1:51">
      <c r="A117" s="27">
        <v>43466</v>
      </c>
      <c r="B117" s="20" t="s">
        <v>324</v>
      </c>
      <c r="C117" s="20" t="s">
        <v>1177</v>
      </c>
      <c r="D117">
        <v>252</v>
      </c>
      <c r="E117">
        <v>252</v>
      </c>
      <c r="F117">
        <v>381</v>
      </c>
      <c r="G117">
        <v>381</v>
      </c>
      <c r="H117" s="20" t="s">
        <v>1465</v>
      </c>
      <c r="I117" s="20" t="s">
        <v>935</v>
      </c>
      <c r="J117" s="20" t="s">
        <v>936</v>
      </c>
      <c r="K117" s="20" t="s">
        <v>937</v>
      </c>
      <c r="M117">
        <v>320</v>
      </c>
      <c r="N117">
        <v>321</v>
      </c>
      <c r="O117">
        <v>1525</v>
      </c>
      <c r="P117">
        <v>4.7699999999999996</v>
      </c>
      <c r="R117">
        <v>863</v>
      </c>
      <c r="S117">
        <v>863</v>
      </c>
      <c r="T117">
        <v>124</v>
      </c>
      <c r="U117">
        <v>0.39400000000000002</v>
      </c>
      <c r="V117">
        <v>3</v>
      </c>
      <c r="W117">
        <v>1</v>
      </c>
      <c r="X117">
        <v>6</v>
      </c>
      <c r="Y117" t="s">
        <v>1466</v>
      </c>
      <c r="Z117">
        <v>142730</v>
      </c>
      <c r="AA117">
        <v>3.28</v>
      </c>
      <c r="AB117">
        <v>142730</v>
      </c>
      <c r="AC117">
        <v>3.28</v>
      </c>
      <c r="AD117">
        <v>40745</v>
      </c>
      <c r="AE117">
        <v>3257257</v>
      </c>
      <c r="AF117">
        <v>0.28549999999999998</v>
      </c>
      <c r="AG117">
        <v>263</v>
      </c>
      <c r="AH117">
        <v>12599489</v>
      </c>
      <c r="AI117">
        <v>8168</v>
      </c>
      <c r="AJ117">
        <v>563</v>
      </c>
      <c r="AK117" s="20" t="s">
        <v>1467</v>
      </c>
      <c r="AL117" s="20" t="s">
        <v>1468</v>
      </c>
      <c r="AM117" s="20" t="s">
        <v>1443</v>
      </c>
      <c r="AN117" s="20"/>
      <c r="AO117" s="20" t="s">
        <v>950</v>
      </c>
      <c r="AP117">
        <v>16</v>
      </c>
      <c r="AQ117">
        <v>9</v>
      </c>
      <c r="AR117">
        <v>20</v>
      </c>
      <c r="AS117">
        <v>55</v>
      </c>
      <c r="AT117">
        <v>41</v>
      </c>
      <c r="AU117" s="27">
        <v>27453</v>
      </c>
      <c r="AV117" s="20"/>
      <c r="AW117" s="20" t="s">
        <v>1040</v>
      </c>
      <c r="AX117" s="20"/>
      <c r="AY117" s="20"/>
    </row>
    <row r="118" spans="1:51">
      <c r="A118" s="27">
        <v>43466</v>
      </c>
      <c r="B118" s="20" t="s">
        <v>243</v>
      </c>
      <c r="C118" s="20" t="s">
        <v>964</v>
      </c>
      <c r="D118">
        <v>225</v>
      </c>
      <c r="E118">
        <v>67</v>
      </c>
      <c r="F118">
        <v>342</v>
      </c>
      <c r="G118">
        <v>222</v>
      </c>
      <c r="H118" s="20" t="s">
        <v>1469</v>
      </c>
      <c r="I118" s="20" t="s">
        <v>935</v>
      </c>
      <c r="J118" s="20" t="s">
        <v>945</v>
      </c>
      <c r="K118" s="20" t="s">
        <v>1080</v>
      </c>
      <c r="M118">
        <v>131</v>
      </c>
      <c r="N118">
        <v>132</v>
      </c>
      <c r="O118">
        <v>434.5</v>
      </c>
      <c r="P118">
        <v>3.32</v>
      </c>
      <c r="R118">
        <v>143</v>
      </c>
      <c r="S118">
        <v>143</v>
      </c>
      <c r="T118">
        <v>124</v>
      </c>
      <c r="U118">
        <v>0.94699999999999995</v>
      </c>
      <c r="V118">
        <v>1</v>
      </c>
      <c r="W118">
        <v>0</v>
      </c>
      <c r="X118">
        <v>1</v>
      </c>
      <c r="Y118">
        <v>6</v>
      </c>
      <c r="Z118">
        <v>47204</v>
      </c>
      <c r="AA118">
        <v>1.08</v>
      </c>
      <c r="AB118">
        <v>47204</v>
      </c>
      <c r="AC118">
        <v>1.08</v>
      </c>
      <c r="AD118">
        <v>18734</v>
      </c>
      <c r="AE118">
        <v>1123122</v>
      </c>
      <c r="AF118">
        <v>0.39689999999999998</v>
      </c>
      <c r="AG118">
        <v>132</v>
      </c>
      <c r="AH118">
        <v>3356367</v>
      </c>
      <c r="AI118">
        <v>7467</v>
      </c>
      <c r="AJ118">
        <v>324</v>
      </c>
      <c r="AK118" s="20" t="s">
        <v>1470</v>
      </c>
      <c r="AL118" s="20" t="s">
        <v>1010</v>
      </c>
      <c r="AM118" s="20" t="s">
        <v>1471</v>
      </c>
      <c r="AN118" s="20" t="s">
        <v>1472</v>
      </c>
      <c r="AO118" s="20" t="s">
        <v>942</v>
      </c>
      <c r="AP118">
        <v>10</v>
      </c>
      <c r="AQ118">
        <v>14</v>
      </c>
      <c r="AR118">
        <v>34</v>
      </c>
      <c r="AS118">
        <v>87</v>
      </c>
      <c r="AT118">
        <v>18</v>
      </c>
      <c r="AU118" s="27">
        <v>26298</v>
      </c>
      <c r="AV118" s="20"/>
      <c r="AW118" s="20" t="s">
        <v>1081</v>
      </c>
      <c r="AX118" s="20"/>
      <c r="AY118" s="20"/>
    </row>
    <row r="119" spans="1:51">
      <c r="A119" s="27">
        <v>43466</v>
      </c>
      <c r="B119" s="20" t="s">
        <v>205</v>
      </c>
      <c r="C119" s="20" t="s">
        <v>1473</v>
      </c>
      <c r="D119">
        <v>171</v>
      </c>
      <c r="E119">
        <v>169</v>
      </c>
      <c r="F119">
        <v>581</v>
      </c>
      <c r="G119">
        <v>581</v>
      </c>
      <c r="H119" s="20" t="s">
        <v>1474</v>
      </c>
      <c r="I119" s="20" t="s">
        <v>935</v>
      </c>
      <c r="J119" s="20" t="s">
        <v>936</v>
      </c>
      <c r="K119" s="20" t="s">
        <v>937</v>
      </c>
      <c r="M119">
        <v>439</v>
      </c>
      <c r="N119">
        <v>440</v>
      </c>
      <c r="O119">
        <v>1701.5</v>
      </c>
      <c r="P119">
        <v>3.88</v>
      </c>
      <c r="R119">
        <v>823</v>
      </c>
      <c r="S119">
        <v>823</v>
      </c>
      <c r="T119">
        <v>189</v>
      </c>
      <c r="U119">
        <v>0.441</v>
      </c>
      <c r="V119">
        <v>4</v>
      </c>
      <c r="W119">
        <v>0</v>
      </c>
      <c r="X119">
        <v>4</v>
      </c>
      <c r="Y119">
        <v>45583</v>
      </c>
      <c r="Z119">
        <v>186180</v>
      </c>
      <c r="AA119">
        <v>4.2699999999999996</v>
      </c>
      <c r="AB119">
        <v>186180</v>
      </c>
      <c r="AC119">
        <v>4.2699999999999996</v>
      </c>
      <c r="AD119">
        <v>24838</v>
      </c>
      <c r="AE119">
        <v>4024811</v>
      </c>
      <c r="AF119">
        <v>0.13339999999999999</v>
      </c>
      <c r="AG119">
        <v>193</v>
      </c>
      <c r="AH119">
        <v>10600000</v>
      </c>
      <c r="AI119">
        <v>6221</v>
      </c>
      <c r="AJ119">
        <v>499</v>
      </c>
      <c r="AK119" s="20" t="s">
        <v>1443</v>
      </c>
      <c r="AL119" s="20" t="s">
        <v>1441</v>
      </c>
      <c r="AM119" s="20" t="s">
        <v>1475</v>
      </c>
      <c r="AN119" s="20" t="s">
        <v>1476</v>
      </c>
      <c r="AO119" s="20" t="s">
        <v>950</v>
      </c>
      <c r="AP119">
        <v>16</v>
      </c>
      <c r="AQ119">
        <v>8</v>
      </c>
      <c r="AR119">
        <v>19</v>
      </c>
      <c r="AS119">
        <v>55</v>
      </c>
      <c r="AT119">
        <v>37</v>
      </c>
      <c r="AU119" s="27">
        <v>24958</v>
      </c>
      <c r="AV119" s="20" t="s">
        <v>1477</v>
      </c>
      <c r="AW119" s="20"/>
      <c r="AX119" s="20"/>
      <c r="AY119" s="20"/>
    </row>
    <row r="120" spans="1:51">
      <c r="A120" s="27">
        <v>43466</v>
      </c>
      <c r="B120" s="20" t="s">
        <v>325</v>
      </c>
      <c r="C120" s="20" t="s">
        <v>1478</v>
      </c>
      <c r="D120">
        <v>44</v>
      </c>
      <c r="E120">
        <v>44</v>
      </c>
      <c r="F120">
        <v>584</v>
      </c>
      <c r="G120">
        <v>584</v>
      </c>
      <c r="H120" s="20" t="s">
        <v>1479</v>
      </c>
      <c r="I120" s="20" t="s">
        <v>935</v>
      </c>
      <c r="J120" s="20" t="s">
        <v>936</v>
      </c>
      <c r="K120" s="20" t="s">
        <v>937</v>
      </c>
      <c r="M120">
        <v>1186</v>
      </c>
      <c r="N120">
        <v>1188</v>
      </c>
      <c r="O120">
        <v>5207</v>
      </c>
      <c r="P120">
        <v>4.3899999999999997</v>
      </c>
      <c r="R120">
        <v>2512</v>
      </c>
      <c r="S120">
        <v>2512</v>
      </c>
      <c r="T120">
        <v>404</v>
      </c>
      <c r="U120">
        <v>0.34399999999999997</v>
      </c>
      <c r="V120">
        <v>20</v>
      </c>
      <c r="W120">
        <v>0</v>
      </c>
      <c r="X120">
        <v>40</v>
      </c>
      <c r="Y120">
        <v>6</v>
      </c>
      <c r="Z120">
        <v>975095</v>
      </c>
      <c r="AA120">
        <v>22.39</v>
      </c>
      <c r="AB120">
        <v>915230</v>
      </c>
      <c r="AC120">
        <v>21.01</v>
      </c>
      <c r="AD120">
        <v>183856</v>
      </c>
      <c r="AE120">
        <v>10242805</v>
      </c>
      <c r="AF120">
        <v>0.18859999999999999</v>
      </c>
      <c r="AG120">
        <v>112</v>
      </c>
      <c r="AH120">
        <v>12907133</v>
      </c>
      <c r="AI120">
        <v>2475</v>
      </c>
      <c r="AJ120">
        <v>599</v>
      </c>
      <c r="AK120" s="20" t="s">
        <v>1480</v>
      </c>
      <c r="AL120" s="20" t="s">
        <v>1481</v>
      </c>
      <c r="AM120" s="20" t="s">
        <v>1169</v>
      </c>
      <c r="AN120" s="20" t="s">
        <v>1482</v>
      </c>
      <c r="AO120" s="20" t="s">
        <v>950</v>
      </c>
      <c r="AP120">
        <v>18</v>
      </c>
      <c r="AQ120">
        <v>8</v>
      </c>
      <c r="AR120">
        <v>21</v>
      </c>
      <c r="AS120">
        <v>59</v>
      </c>
      <c r="AT120">
        <v>45</v>
      </c>
      <c r="AU120" s="27">
        <v>18458</v>
      </c>
      <c r="AV120" s="20" t="s">
        <v>1483</v>
      </c>
      <c r="AW120" s="20"/>
      <c r="AX120" s="20"/>
      <c r="AY120" s="20"/>
    </row>
    <row r="121" spans="1:51">
      <c r="A121" s="27">
        <v>43466</v>
      </c>
      <c r="B121" s="20" t="s">
        <v>61</v>
      </c>
      <c r="C121" s="20" t="s">
        <v>992</v>
      </c>
      <c r="D121">
        <v>100</v>
      </c>
      <c r="E121">
        <v>100</v>
      </c>
      <c r="F121">
        <v>237</v>
      </c>
      <c r="G121">
        <v>237</v>
      </c>
      <c r="H121" s="20" t="s">
        <v>1484</v>
      </c>
      <c r="I121" s="20" t="s">
        <v>935</v>
      </c>
      <c r="J121" s="20" t="s">
        <v>936</v>
      </c>
      <c r="K121" s="20" t="s">
        <v>937</v>
      </c>
      <c r="M121">
        <v>472</v>
      </c>
      <c r="N121">
        <v>474</v>
      </c>
      <c r="O121">
        <v>2193</v>
      </c>
      <c r="P121">
        <v>4.6500000000000004</v>
      </c>
      <c r="R121">
        <v>1067</v>
      </c>
      <c r="S121">
        <v>1067</v>
      </c>
      <c r="T121">
        <v>205</v>
      </c>
      <c r="U121">
        <v>0.442</v>
      </c>
      <c r="V121">
        <v>2</v>
      </c>
      <c r="W121">
        <v>2</v>
      </c>
      <c r="X121">
        <v>5</v>
      </c>
      <c r="Y121">
        <v>20</v>
      </c>
      <c r="Z121">
        <v>161016</v>
      </c>
      <c r="AA121">
        <v>3.7</v>
      </c>
      <c r="AB121">
        <v>161016</v>
      </c>
      <c r="AC121">
        <v>3.7</v>
      </c>
      <c r="AD121">
        <v>24555</v>
      </c>
      <c r="AE121">
        <v>4083496</v>
      </c>
      <c r="AF121">
        <v>0.1525</v>
      </c>
      <c r="AG121">
        <v>288</v>
      </c>
      <c r="AH121">
        <v>9322807</v>
      </c>
      <c r="AI121">
        <v>4240</v>
      </c>
      <c r="AJ121">
        <v>556</v>
      </c>
      <c r="AK121" s="20" t="s">
        <v>1485</v>
      </c>
      <c r="AL121" s="20" t="s">
        <v>1486</v>
      </c>
      <c r="AM121" s="20" t="s">
        <v>1487</v>
      </c>
      <c r="AN121" s="20"/>
      <c r="AO121" s="20" t="s">
        <v>963</v>
      </c>
      <c r="AP121">
        <v>3</v>
      </c>
      <c r="AQ121">
        <v>7</v>
      </c>
      <c r="AR121">
        <v>26</v>
      </c>
      <c r="AS121">
        <v>74</v>
      </c>
      <c r="AT121">
        <v>2</v>
      </c>
      <c r="AU121" s="27">
        <v>23497</v>
      </c>
      <c r="AV121" s="20"/>
      <c r="AW121" s="20"/>
      <c r="AX121" s="20"/>
      <c r="AY121" s="20"/>
    </row>
    <row r="122" spans="1:51">
      <c r="A122" s="27">
        <v>43466</v>
      </c>
      <c r="B122" s="20" t="s">
        <v>326</v>
      </c>
      <c r="C122" s="20" t="s">
        <v>1488</v>
      </c>
      <c r="D122">
        <v>25</v>
      </c>
      <c r="E122">
        <v>25</v>
      </c>
      <c r="F122">
        <v>515</v>
      </c>
      <c r="G122">
        <v>515</v>
      </c>
      <c r="H122" s="20" t="s">
        <v>1489</v>
      </c>
      <c r="I122" s="20" t="s">
        <v>935</v>
      </c>
      <c r="J122" s="20" t="s">
        <v>936</v>
      </c>
      <c r="K122" s="20" t="s">
        <v>937</v>
      </c>
      <c r="M122">
        <v>1137</v>
      </c>
      <c r="N122">
        <v>1139</v>
      </c>
      <c r="O122">
        <v>5436.5</v>
      </c>
      <c r="P122">
        <v>4.78</v>
      </c>
      <c r="R122">
        <v>2669</v>
      </c>
      <c r="S122">
        <v>2669</v>
      </c>
      <c r="T122">
        <v>455</v>
      </c>
      <c r="U122">
        <v>0.40400000000000003</v>
      </c>
      <c r="V122">
        <v>15</v>
      </c>
      <c r="W122">
        <v>1</v>
      </c>
      <c r="X122">
        <v>25</v>
      </c>
      <c r="Y122" t="s">
        <v>1490</v>
      </c>
      <c r="Z122">
        <v>547663</v>
      </c>
      <c r="AA122">
        <v>12.57</v>
      </c>
      <c r="AB122">
        <v>502216</v>
      </c>
      <c r="AC122">
        <v>11.53</v>
      </c>
      <c r="AD122">
        <v>105659</v>
      </c>
      <c r="AE122">
        <v>9028680</v>
      </c>
      <c r="AF122">
        <v>0.19289999999999999</v>
      </c>
      <c r="AG122">
        <v>212</v>
      </c>
      <c r="AH122">
        <v>11928000</v>
      </c>
      <c r="AI122">
        <v>2203</v>
      </c>
      <c r="AJ122">
        <v>556</v>
      </c>
      <c r="AK122" s="20" t="s">
        <v>1491</v>
      </c>
      <c r="AL122" s="20" t="s">
        <v>1492</v>
      </c>
      <c r="AM122" s="20" t="s">
        <v>1493</v>
      </c>
      <c r="AN122" s="20" t="s">
        <v>1494</v>
      </c>
      <c r="AO122" s="20" t="s">
        <v>950</v>
      </c>
      <c r="AP122">
        <v>6</v>
      </c>
      <c r="AQ122">
        <v>7</v>
      </c>
      <c r="AR122">
        <v>25</v>
      </c>
      <c r="AS122">
        <v>52</v>
      </c>
      <c r="AT122">
        <v>33</v>
      </c>
      <c r="AU122" s="27">
        <v>18073</v>
      </c>
      <c r="AV122" s="20" t="s">
        <v>1050</v>
      </c>
      <c r="AW122" s="20"/>
      <c r="AX122" s="20"/>
      <c r="AY122" s="20"/>
    </row>
    <row r="123" spans="1:51">
      <c r="A123" s="27">
        <v>43466</v>
      </c>
      <c r="B123" s="20" t="s">
        <v>80</v>
      </c>
      <c r="C123" s="20" t="s">
        <v>1495</v>
      </c>
      <c r="D123">
        <v>281</v>
      </c>
      <c r="E123">
        <v>30</v>
      </c>
      <c r="F123">
        <v>507</v>
      </c>
      <c r="G123">
        <v>503</v>
      </c>
      <c r="H123" s="20" t="s">
        <v>1496</v>
      </c>
      <c r="I123" s="20" t="s">
        <v>935</v>
      </c>
      <c r="J123" s="20" t="s">
        <v>936</v>
      </c>
      <c r="K123" s="20" t="s">
        <v>953</v>
      </c>
      <c r="M123">
        <v>35</v>
      </c>
      <c r="N123">
        <v>35</v>
      </c>
      <c r="O123">
        <v>155.5</v>
      </c>
      <c r="P123">
        <v>4.4400000000000004</v>
      </c>
      <c r="R123">
        <v>67</v>
      </c>
      <c r="S123">
        <v>67</v>
      </c>
      <c r="T123">
        <v>8</v>
      </c>
      <c r="U123">
        <v>0.24199999999999999</v>
      </c>
      <c r="V123">
        <v>1</v>
      </c>
      <c r="W123">
        <v>0</v>
      </c>
      <c r="X123">
        <v>1</v>
      </c>
      <c r="Y123">
        <v>7</v>
      </c>
      <c r="Z123">
        <v>7144</v>
      </c>
      <c r="AA123">
        <v>0.16</v>
      </c>
      <c r="AB123">
        <v>7144</v>
      </c>
      <c r="AC123">
        <v>0.16</v>
      </c>
      <c r="AD123">
        <v>5000</v>
      </c>
      <c r="AE123">
        <v>377500</v>
      </c>
      <c r="AF123">
        <v>0.69989999999999997</v>
      </c>
      <c r="AG123">
        <v>419</v>
      </c>
      <c r="AH123">
        <v>817621</v>
      </c>
      <c r="AI123">
        <v>5094</v>
      </c>
      <c r="AJ123">
        <v>522</v>
      </c>
      <c r="AK123" s="20" t="s">
        <v>1497</v>
      </c>
      <c r="AL123" s="20" t="s">
        <v>960</v>
      </c>
      <c r="AM123" s="20"/>
      <c r="AN123" s="20"/>
      <c r="AO123" s="20" t="s">
        <v>963</v>
      </c>
      <c r="AP123">
        <v>10</v>
      </c>
      <c r="AQ123">
        <v>13</v>
      </c>
      <c r="AR123">
        <v>30</v>
      </c>
      <c r="AS123">
        <v>70</v>
      </c>
      <c r="AT123">
        <v>9</v>
      </c>
      <c r="AU123" s="27">
        <v>28262</v>
      </c>
      <c r="AV123" s="20"/>
      <c r="AW123" s="20"/>
      <c r="AX123" s="20" t="s">
        <v>974</v>
      </c>
      <c r="AY123" s="20"/>
    </row>
    <row r="124" spans="1:51">
      <c r="A124" s="27">
        <v>43466</v>
      </c>
      <c r="B124" s="20" t="s">
        <v>81</v>
      </c>
      <c r="C124" s="20" t="s">
        <v>1498</v>
      </c>
      <c r="D124">
        <v>87</v>
      </c>
      <c r="E124">
        <v>87</v>
      </c>
      <c r="F124">
        <v>232</v>
      </c>
      <c r="G124">
        <v>232</v>
      </c>
      <c r="H124" s="20" t="s">
        <v>1499</v>
      </c>
      <c r="I124" s="20" t="s">
        <v>935</v>
      </c>
      <c r="J124" s="20" t="s">
        <v>936</v>
      </c>
      <c r="K124" s="20" t="s">
        <v>937</v>
      </c>
      <c r="M124">
        <v>1939</v>
      </c>
      <c r="N124">
        <v>1940</v>
      </c>
      <c r="O124">
        <v>9133.5</v>
      </c>
      <c r="P124">
        <v>4.71</v>
      </c>
      <c r="R124">
        <v>4282</v>
      </c>
      <c r="S124">
        <v>4282</v>
      </c>
      <c r="T124">
        <v>741</v>
      </c>
      <c r="U124">
        <v>0.39</v>
      </c>
      <c r="V124">
        <v>9</v>
      </c>
      <c r="W124">
        <v>1</v>
      </c>
      <c r="X124">
        <v>10</v>
      </c>
      <c r="Y124" t="s">
        <v>1500</v>
      </c>
      <c r="Z124">
        <v>655681</v>
      </c>
      <c r="AA124">
        <v>15.05</v>
      </c>
      <c r="AB124">
        <v>655681</v>
      </c>
      <c r="AC124">
        <v>15.05</v>
      </c>
      <c r="AD124">
        <v>101477</v>
      </c>
      <c r="AE124">
        <v>16701596</v>
      </c>
      <c r="AF124">
        <v>0.15479999999999999</v>
      </c>
      <c r="AG124">
        <v>285</v>
      </c>
      <c r="AH124">
        <v>28783425</v>
      </c>
      <c r="AI124">
        <v>3150</v>
      </c>
      <c r="AJ124">
        <v>565</v>
      </c>
      <c r="AK124" s="20" t="s">
        <v>1501</v>
      </c>
      <c r="AL124" s="20" t="s">
        <v>1502</v>
      </c>
      <c r="AM124" s="20" t="s">
        <v>1503</v>
      </c>
      <c r="AN124" s="20" t="s">
        <v>1335</v>
      </c>
      <c r="AO124" s="20" t="s">
        <v>963</v>
      </c>
      <c r="AP124">
        <v>9</v>
      </c>
      <c r="AQ124">
        <v>13</v>
      </c>
      <c r="AR124">
        <v>30</v>
      </c>
      <c r="AS124">
        <v>69</v>
      </c>
      <c r="AT124">
        <v>7</v>
      </c>
      <c r="AU124" s="27">
        <v>21124</v>
      </c>
      <c r="AV124" s="20"/>
      <c r="AW124" s="20"/>
      <c r="AX124" s="20"/>
      <c r="AY124" s="20"/>
    </row>
    <row r="125" spans="1:51">
      <c r="A125" s="27">
        <v>43466</v>
      </c>
      <c r="B125" s="20" t="s">
        <v>327</v>
      </c>
      <c r="C125" s="20" t="s">
        <v>1296</v>
      </c>
      <c r="D125">
        <v>68</v>
      </c>
      <c r="E125">
        <v>172</v>
      </c>
      <c r="F125">
        <v>225</v>
      </c>
      <c r="G125">
        <v>225</v>
      </c>
      <c r="H125" s="20" t="s">
        <v>1504</v>
      </c>
      <c r="I125" s="20" t="s">
        <v>935</v>
      </c>
      <c r="J125" s="20" t="s">
        <v>936</v>
      </c>
      <c r="K125" s="20" t="s">
        <v>937</v>
      </c>
      <c r="M125">
        <v>627</v>
      </c>
      <c r="N125">
        <v>634</v>
      </c>
      <c r="O125">
        <v>2915.5</v>
      </c>
      <c r="P125">
        <v>4.6500000000000004</v>
      </c>
      <c r="R125">
        <v>1463</v>
      </c>
      <c r="S125">
        <v>1463</v>
      </c>
      <c r="T125">
        <v>217</v>
      </c>
      <c r="U125">
        <v>0.35099999999999998</v>
      </c>
      <c r="V125">
        <v>15</v>
      </c>
      <c r="W125">
        <v>0</v>
      </c>
      <c r="X125">
        <v>15</v>
      </c>
      <c r="Y125">
        <v>7</v>
      </c>
      <c r="Z125">
        <v>540725</v>
      </c>
      <c r="AA125">
        <v>12.41</v>
      </c>
      <c r="AB125">
        <v>540725</v>
      </c>
      <c r="AC125">
        <v>12.41</v>
      </c>
      <c r="AD125">
        <v>92855</v>
      </c>
      <c r="AE125">
        <v>5356500</v>
      </c>
      <c r="AF125">
        <v>0.17169999999999999</v>
      </c>
      <c r="AG125">
        <v>118</v>
      </c>
      <c r="AH125">
        <v>7927996</v>
      </c>
      <c r="AI125">
        <v>2687</v>
      </c>
      <c r="AJ125">
        <v>494</v>
      </c>
      <c r="AK125" s="20" t="s">
        <v>1228</v>
      </c>
      <c r="AL125" s="20" t="s">
        <v>1505</v>
      </c>
      <c r="AM125" s="20" t="s">
        <v>1506</v>
      </c>
      <c r="AN125" s="20"/>
      <c r="AO125" s="20" t="s">
        <v>950</v>
      </c>
      <c r="AP125">
        <v>13</v>
      </c>
      <c r="AQ125">
        <v>8</v>
      </c>
      <c r="AR125">
        <v>23</v>
      </c>
      <c r="AS125">
        <v>46</v>
      </c>
      <c r="AT125">
        <v>47</v>
      </c>
      <c r="AU125" s="27">
        <v>19903</v>
      </c>
      <c r="AV125" s="20"/>
      <c r="AW125" s="20"/>
      <c r="AX125" s="20"/>
      <c r="AY125" s="20"/>
    </row>
    <row r="126" spans="1:51">
      <c r="A126" s="27">
        <v>43466</v>
      </c>
      <c r="B126" s="20" t="s">
        <v>328</v>
      </c>
      <c r="C126" s="20" t="s">
        <v>1507</v>
      </c>
      <c r="D126">
        <v>40</v>
      </c>
      <c r="E126">
        <v>40</v>
      </c>
      <c r="F126">
        <v>579</v>
      </c>
      <c r="G126">
        <v>579</v>
      </c>
      <c r="H126" s="20" t="s">
        <v>1508</v>
      </c>
      <c r="I126" s="20" t="s">
        <v>935</v>
      </c>
      <c r="J126" s="20" t="s">
        <v>936</v>
      </c>
      <c r="K126" s="20" t="s">
        <v>937</v>
      </c>
      <c r="M126">
        <v>732</v>
      </c>
      <c r="N126">
        <v>733</v>
      </c>
      <c r="O126">
        <v>3126</v>
      </c>
      <c r="P126">
        <v>4.2699999999999996</v>
      </c>
      <c r="R126">
        <v>1470</v>
      </c>
      <c r="S126">
        <v>1470</v>
      </c>
      <c r="T126">
        <v>283</v>
      </c>
      <c r="U126">
        <v>0.39100000000000001</v>
      </c>
      <c r="V126">
        <v>6</v>
      </c>
      <c r="W126">
        <v>0</v>
      </c>
      <c r="X126">
        <v>6</v>
      </c>
      <c r="Y126">
        <v>14</v>
      </c>
      <c r="Z126">
        <v>345256</v>
      </c>
      <c r="AA126">
        <v>7.93</v>
      </c>
      <c r="AB126">
        <v>314070</v>
      </c>
      <c r="AC126">
        <v>7.21</v>
      </c>
      <c r="AD126">
        <v>54684</v>
      </c>
      <c r="AE126">
        <v>6221645</v>
      </c>
      <c r="AF126">
        <v>0.15840000000000001</v>
      </c>
      <c r="AG126">
        <v>185</v>
      </c>
      <c r="AH126">
        <v>8709286</v>
      </c>
      <c r="AI126">
        <v>2784</v>
      </c>
      <c r="AJ126">
        <v>541</v>
      </c>
      <c r="AK126" s="20" t="s">
        <v>1135</v>
      </c>
      <c r="AL126" s="20" t="s">
        <v>1509</v>
      </c>
      <c r="AM126" s="20" t="s">
        <v>1510</v>
      </c>
      <c r="AN126" s="20" t="s">
        <v>1511</v>
      </c>
      <c r="AO126" s="20" t="s">
        <v>942</v>
      </c>
      <c r="AP126">
        <v>12</v>
      </c>
      <c r="AQ126">
        <v>16</v>
      </c>
      <c r="AR126">
        <v>36</v>
      </c>
      <c r="AS126">
        <v>83</v>
      </c>
      <c r="AT126">
        <v>12</v>
      </c>
      <c r="AU126" s="27">
        <v>18597</v>
      </c>
      <c r="AV126" s="20" t="s">
        <v>1477</v>
      </c>
      <c r="AW126" s="20"/>
      <c r="AX126" s="20"/>
      <c r="AY126" s="20"/>
    </row>
    <row r="127" spans="1:51">
      <c r="A127" s="27">
        <v>43466</v>
      </c>
      <c r="B127" s="20" t="s">
        <v>329</v>
      </c>
      <c r="C127" s="20" t="s">
        <v>1224</v>
      </c>
      <c r="D127">
        <v>142</v>
      </c>
      <c r="E127">
        <v>166</v>
      </c>
      <c r="F127">
        <v>589</v>
      </c>
      <c r="G127">
        <v>589</v>
      </c>
      <c r="H127" s="20" t="s">
        <v>1512</v>
      </c>
      <c r="I127" s="20" t="s">
        <v>935</v>
      </c>
      <c r="J127" s="20" t="s">
        <v>936</v>
      </c>
      <c r="K127" s="20" t="s">
        <v>1080</v>
      </c>
      <c r="M127">
        <v>380</v>
      </c>
      <c r="N127">
        <v>380</v>
      </c>
      <c r="O127">
        <v>1327</v>
      </c>
      <c r="P127">
        <v>3.49</v>
      </c>
      <c r="R127">
        <v>442</v>
      </c>
      <c r="S127">
        <v>442</v>
      </c>
      <c r="T127">
        <v>347</v>
      </c>
      <c r="U127">
        <v>0.92800000000000005</v>
      </c>
      <c r="V127">
        <v>3</v>
      </c>
      <c r="W127">
        <v>0</v>
      </c>
      <c r="X127">
        <v>3</v>
      </c>
      <c r="Y127">
        <v>14</v>
      </c>
      <c r="Z127">
        <v>134432</v>
      </c>
      <c r="AA127">
        <v>3.09</v>
      </c>
      <c r="AB127">
        <v>134432</v>
      </c>
      <c r="AC127">
        <v>3.09</v>
      </c>
      <c r="AD127">
        <v>23903</v>
      </c>
      <c r="AE127">
        <v>2547605</v>
      </c>
      <c r="AF127">
        <v>0.17780000000000001</v>
      </c>
      <c r="AG127">
        <v>143</v>
      </c>
      <c r="AH127">
        <v>7494000</v>
      </c>
      <c r="AI127">
        <v>5647</v>
      </c>
      <c r="AJ127">
        <v>295</v>
      </c>
      <c r="AK127" s="20" t="s">
        <v>1227</v>
      </c>
      <c r="AL127" s="20" t="s">
        <v>1230</v>
      </c>
      <c r="AM127" s="20" t="s">
        <v>1513</v>
      </c>
      <c r="AN127" s="20" t="s">
        <v>1253</v>
      </c>
      <c r="AO127" s="20" t="s">
        <v>950</v>
      </c>
      <c r="AP127">
        <v>13</v>
      </c>
      <c r="AQ127">
        <v>8</v>
      </c>
      <c r="AR127">
        <v>23</v>
      </c>
      <c r="AS127">
        <v>46</v>
      </c>
      <c r="AT127">
        <v>47</v>
      </c>
      <c r="AU127" s="27">
        <v>23923</v>
      </c>
      <c r="AV127" s="20" t="s">
        <v>1109</v>
      </c>
      <c r="AW127" s="20" t="s">
        <v>1081</v>
      </c>
      <c r="AX127" s="20"/>
      <c r="AY127" s="20"/>
    </row>
    <row r="128" spans="1:51">
      <c r="A128" s="27">
        <v>43466</v>
      </c>
      <c r="B128" s="20" t="s">
        <v>244</v>
      </c>
      <c r="C128" s="20" t="s">
        <v>1231</v>
      </c>
      <c r="D128">
        <v>75</v>
      </c>
      <c r="E128">
        <v>75</v>
      </c>
      <c r="F128">
        <v>226</v>
      </c>
      <c r="G128">
        <v>226</v>
      </c>
      <c r="H128" s="20" t="s">
        <v>1514</v>
      </c>
      <c r="I128" s="20" t="s">
        <v>935</v>
      </c>
      <c r="J128" s="20" t="s">
        <v>936</v>
      </c>
      <c r="K128" s="20" t="s">
        <v>937</v>
      </c>
      <c r="M128">
        <v>710</v>
      </c>
      <c r="N128">
        <v>712</v>
      </c>
      <c r="O128">
        <v>3296</v>
      </c>
      <c r="P128">
        <v>4.6399999999999997</v>
      </c>
      <c r="R128">
        <v>1790</v>
      </c>
      <c r="S128">
        <v>1790</v>
      </c>
      <c r="T128">
        <v>212</v>
      </c>
      <c r="U128">
        <v>0.30199999999999999</v>
      </c>
      <c r="V128">
        <v>14</v>
      </c>
      <c r="W128">
        <v>0</v>
      </c>
      <c r="X128">
        <v>14</v>
      </c>
      <c r="Y128">
        <v>7</v>
      </c>
      <c r="Z128">
        <v>616678</v>
      </c>
      <c r="AA128">
        <v>14.16</v>
      </c>
      <c r="AB128">
        <v>572678</v>
      </c>
      <c r="AC128">
        <v>13.15</v>
      </c>
      <c r="AD128">
        <v>107706</v>
      </c>
      <c r="AE128">
        <v>5991153</v>
      </c>
      <c r="AF128">
        <v>0.17469999999999999</v>
      </c>
      <c r="AG128">
        <v>126</v>
      </c>
      <c r="AH128">
        <v>9618901</v>
      </c>
      <c r="AI128">
        <v>2909</v>
      </c>
      <c r="AJ128">
        <v>453</v>
      </c>
      <c r="AK128" s="20" t="s">
        <v>1515</v>
      </c>
      <c r="AL128" s="20" t="s">
        <v>1516</v>
      </c>
      <c r="AM128" s="20" t="s">
        <v>1517</v>
      </c>
      <c r="AN128" s="20" t="s">
        <v>1518</v>
      </c>
      <c r="AO128" s="20" t="s">
        <v>1049</v>
      </c>
      <c r="AP128">
        <v>14</v>
      </c>
      <c r="AQ128">
        <v>5</v>
      </c>
      <c r="AR128">
        <v>10</v>
      </c>
      <c r="AS128">
        <v>31</v>
      </c>
      <c r="AT128">
        <v>31</v>
      </c>
      <c r="AU128" s="27">
        <v>20199</v>
      </c>
      <c r="AV128" s="20"/>
      <c r="AW128" s="20"/>
      <c r="AX128" s="20"/>
      <c r="AY128" s="20"/>
    </row>
    <row r="129" spans="1:51">
      <c r="A129" s="27">
        <v>43466</v>
      </c>
      <c r="B129" s="20" t="s">
        <v>265</v>
      </c>
      <c r="C129" s="20" t="s">
        <v>1023</v>
      </c>
      <c r="D129">
        <v>262</v>
      </c>
      <c r="E129">
        <v>22</v>
      </c>
      <c r="F129">
        <v>377</v>
      </c>
      <c r="G129">
        <v>377</v>
      </c>
      <c r="H129" s="20" t="s">
        <v>1519</v>
      </c>
      <c r="I129" s="20" t="s">
        <v>935</v>
      </c>
      <c r="J129" s="20" t="s">
        <v>945</v>
      </c>
      <c r="K129" s="20" t="s">
        <v>937</v>
      </c>
      <c r="M129">
        <v>377</v>
      </c>
      <c r="N129">
        <v>377</v>
      </c>
      <c r="O129">
        <v>1493.5</v>
      </c>
      <c r="P129">
        <v>3.96</v>
      </c>
      <c r="R129">
        <v>648</v>
      </c>
      <c r="S129">
        <v>648</v>
      </c>
      <c r="T129">
        <v>241</v>
      </c>
      <c r="U129">
        <v>0.65</v>
      </c>
      <c r="V129">
        <v>2</v>
      </c>
      <c r="W129">
        <v>0</v>
      </c>
      <c r="X129">
        <v>2</v>
      </c>
      <c r="Y129" t="s">
        <v>1520</v>
      </c>
      <c r="Z129">
        <v>120497</v>
      </c>
      <c r="AA129">
        <v>2.77</v>
      </c>
      <c r="AB129">
        <v>120497</v>
      </c>
      <c r="AC129">
        <v>2.77</v>
      </c>
      <c r="AD129">
        <v>22666</v>
      </c>
      <c r="AE129">
        <v>3139759</v>
      </c>
      <c r="AF129">
        <v>0.18809999999999999</v>
      </c>
      <c r="AG129">
        <v>234</v>
      </c>
      <c r="AH129">
        <v>16721224</v>
      </c>
      <c r="AI129">
        <v>10911</v>
      </c>
      <c r="AJ129">
        <v>522</v>
      </c>
      <c r="AK129" s="20" t="s">
        <v>1521</v>
      </c>
      <c r="AL129" s="20" t="s">
        <v>1522</v>
      </c>
      <c r="AM129" s="20" t="s">
        <v>1259</v>
      </c>
      <c r="AN129" s="20" t="s">
        <v>1523</v>
      </c>
      <c r="AO129" s="20" t="s">
        <v>963</v>
      </c>
      <c r="AP129">
        <v>4</v>
      </c>
      <c r="AQ129">
        <v>10</v>
      </c>
      <c r="AR129" t="s">
        <v>1402</v>
      </c>
      <c r="AS129">
        <v>67</v>
      </c>
      <c r="AT129">
        <v>6</v>
      </c>
      <c r="AU129" s="27">
        <v>28306</v>
      </c>
      <c r="AV129" s="20"/>
      <c r="AW129" s="20" t="s">
        <v>1040</v>
      </c>
      <c r="AX129" s="20"/>
      <c r="AY129" s="20"/>
    </row>
    <row r="130" spans="1:51">
      <c r="A130" s="27">
        <v>43466</v>
      </c>
      <c r="B130" s="20" t="s">
        <v>117</v>
      </c>
      <c r="C130" s="20" t="s">
        <v>1056</v>
      </c>
      <c r="D130">
        <v>3</v>
      </c>
      <c r="E130">
        <v>3</v>
      </c>
      <c r="F130">
        <v>201</v>
      </c>
      <c r="G130">
        <v>201</v>
      </c>
      <c r="H130" s="20" t="s">
        <v>1524</v>
      </c>
      <c r="I130" s="20" t="s">
        <v>935</v>
      </c>
      <c r="J130" s="20" t="s">
        <v>936</v>
      </c>
      <c r="K130" s="20" t="s">
        <v>937</v>
      </c>
      <c r="M130">
        <v>574</v>
      </c>
      <c r="N130">
        <v>577</v>
      </c>
      <c r="O130">
        <v>2231</v>
      </c>
      <c r="P130">
        <v>3.89</v>
      </c>
      <c r="R130">
        <v>1079</v>
      </c>
      <c r="S130">
        <v>1079</v>
      </c>
      <c r="T130">
        <v>181</v>
      </c>
      <c r="U130">
        <v>0.32300000000000001</v>
      </c>
      <c r="V130">
        <v>7</v>
      </c>
      <c r="W130">
        <v>0</v>
      </c>
      <c r="X130">
        <v>47</v>
      </c>
      <c r="Y130">
        <v>43560</v>
      </c>
      <c r="Z130">
        <v>322075</v>
      </c>
      <c r="AA130">
        <v>7.39</v>
      </c>
      <c r="AB130">
        <v>313137</v>
      </c>
      <c r="AC130">
        <v>7.19</v>
      </c>
      <c r="AD130">
        <v>103777</v>
      </c>
      <c r="AE130">
        <v>5237933</v>
      </c>
      <c r="AF130">
        <v>0.32219999999999999</v>
      </c>
      <c r="AG130">
        <v>146</v>
      </c>
      <c r="AH130">
        <v>4147782</v>
      </c>
      <c r="AI130">
        <v>2103</v>
      </c>
      <c r="AJ130">
        <v>548</v>
      </c>
      <c r="AK130" s="20" t="s">
        <v>1525</v>
      </c>
      <c r="AL130" s="20" t="s">
        <v>1526</v>
      </c>
      <c r="AM130" s="20" t="s">
        <v>1527</v>
      </c>
      <c r="AN130" s="20" t="s">
        <v>1528</v>
      </c>
      <c r="AO130" s="20" t="s">
        <v>963</v>
      </c>
      <c r="AP130">
        <v>10</v>
      </c>
      <c r="AQ130">
        <v>13</v>
      </c>
      <c r="AR130">
        <v>30</v>
      </c>
      <c r="AS130">
        <v>71</v>
      </c>
      <c r="AT130">
        <v>9</v>
      </c>
      <c r="AU130" s="27">
        <v>13789</v>
      </c>
      <c r="AV130" s="20"/>
      <c r="AW130" s="20"/>
      <c r="AX130" s="20"/>
      <c r="AY130" s="20"/>
    </row>
    <row r="131" spans="1:51">
      <c r="A131" s="27">
        <v>43466</v>
      </c>
      <c r="B131" s="20" t="s">
        <v>82</v>
      </c>
      <c r="C131" s="20" t="s">
        <v>1056</v>
      </c>
      <c r="D131">
        <v>147</v>
      </c>
      <c r="E131">
        <v>3</v>
      </c>
      <c r="F131">
        <v>256</v>
      </c>
      <c r="G131">
        <v>201</v>
      </c>
      <c r="H131" s="20" t="s">
        <v>1529</v>
      </c>
      <c r="I131" s="20" t="s">
        <v>935</v>
      </c>
      <c r="J131" s="20" t="s">
        <v>936</v>
      </c>
      <c r="K131" s="20" t="s">
        <v>937</v>
      </c>
      <c r="M131">
        <v>116</v>
      </c>
      <c r="N131">
        <v>116</v>
      </c>
      <c r="O131">
        <v>515</v>
      </c>
      <c r="P131">
        <v>4.4400000000000004</v>
      </c>
      <c r="R131">
        <v>272</v>
      </c>
      <c r="S131">
        <v>272</v>
      </c>
      <c r="T131">
        <v>40</v>
      </c>
      <c r="U131">
        <v>0.36</v>
      </c>
      <c r="V131">
        <v>1</v>
      </c>
      <c r="W131">
        <v>0</v>
      </c>
      <c r="X131">
        <v>1</v>
      </c>
      <c r="Y131">
        <v>15</v>
      </c>
      <c r="Z131">
        <v>28815</v>
      </c>
      <c r="AA131">
        <v>0.66</v>
      </c>
      <c r="AB131">
        <v>28815</v>
      </c>
      <c r="AC131">
        <v>0.66</v>
      </c>
      <c r="AD131">
        <v>7281</v>
      </c>
      <c r="AE131">
        <v>981227</v>
      </c>
      <c r="AF131">
        <v>0.25269999999999998</v>
      </c>
      <c r="AG131">
        <v>412</v>
      </c>
      <c r="AH131">
        <v>2605601</v>
      </c>
      <c r="AI131">
        <v>5059</v>
      </c>
      <c r="AJ131">
        <v>589</v>
      </c>
      <c r="AK131" s="20" t="s">
        <v>1351</v>
      </c>
      <c r="AL131" s="20" t="s">
        <v>1530</v>
      </c>
      <c r="AM131" s="20" t="s">
        <v>1525</v>
      </c>
      <c r="AN131" s="20" t="s">
        <v>1527</v>
      </c>
      <c r="AO131" s="20" t="s">
        <v>963</v>
      </c>
      <c r="AP131">
        <v>10</v>
      </c>
      <c r="AQ131">
        <v>13</v>
      </c>
      <c r="AR131">
        <v>30</v>
      </c>
      <c r="AS131">
        <v>71</v>
      </c>
      <c r="AT131">
        <v>9</v>
      </c>
      <c r="AU131" s="27">
        <v>24046</v>
      </c>
      <c r="AV131" s="20"/>
      <c r="AW131" s="20"/>
      <c r="AX131" s="20"/>
      <c r="AY131" s="20"/>
    </row>
    <row r="132" spans="1:51">
      <c r="A132" s="27">
        <v>43466</v>
      </c>
      <c r="B132" s="20" t="s">
        <v>330</v>
      </c>
      <c r="C132" s="20" t="s">
        <v>1531</v>
      </c>
      <c r="D132">
        <v>347</v>
      </c>
      <c r="E132">
        <v>341</v>
      </c>
      <c r="F132">
        <v>772</v>
      </c>
      <c r="G132">
        <v>762</v>
      </c>
      <c r="H132" s="20" t="s">
        <v>1532</v>
      </c>
      <c r="I132" s="20" t="s">
        <v>935</v>
      </c>
      <c r="J132" s="20" t="s">
        <v>945</v>
      </c>
      <c r="K132" s="20" t="s">
        <v>953</v>
      </c>
      <c r="M132">
        <v>34</v>
      </c>
      <c r="N132">
        <v>34</v>
      </c>
      <c r="O132">
        <v>146</v>
      </c>
      <c r="P132">
        <v>4.29</v>
      </c>
      <c r="R132">
        <v>75</v>
      </c>
      <c r="S132">
        <v>75</v>
      </c>
      <c r="T132">
        <v>11</v>
      </c>
      <c r="U132">
        <v>0.32400000000000001</v>
      </c>
      <c r="V132">
        <v>1</v>
      </c>
      <c r="W132">
        <v>0</v>
      </c>
      <c r="X132">
        <v>1</v>
      </c>
      <c r="Y132">
        <v>5</v>
      </c>
      <c r="Z132">
        <v>9167</v>
      </c>
      <c r="AA132">
        <v>0.21</v>
      </c>
      <c r="AB132">
        <v>9167</v>
      </c>
      <c r="AC132">
        <v>0.21</v>
      </c>
      <c r="AD132">
        <v>6698</v>
      </c>
      <c r="AE132">
        <v>404958</v>
      </c>
      <c r="AF132">
        <v>0.73070000000000002</v>
      </c>
      <c r="AG132">
        <v>357</v>
      </c>
      <c r="AH132">
        <v>2368803</v>
      </c>
      <c r="AI132">
        <v>16225</v>
      </c>
      <c r="AJ132">
        <v>486</v>
      </c>
      <c r="AK132" s="20" t="s">
        <v>1533</v>
      </c>
      <c r="AL132" s="20" t="s">
        <v>1534</v>
      </c>
      <c r="AM132" s="20" t="s">
        <v>1535</v>
      </c>
      <c r="AN132" s="20" t="s">
        <v>1536</v>
      </c>
      <c r="AO132" s="20" t="s">
        <v>942</v>
      </c>
      <c r="AP132">
        <v>5</v>
      </c>
      <c r="AQ132">
        <v>15</v>
      </c>
      <c r="AR132">
        <v>29</v>
      </c>
      <c r="AS132">
        <v>86</v>
      </c>
      <c r="AT132">
        <v>14</v>
      </c>
      <c r="AU132" s="27">
        <v>31656</v>
      </c>
      <c r="AV132" s="20"/>
      <c r="AW132" s="20"/>
      <c r="AX132" s="20" t="s">
        <v>974</v>
      </c>
      <c r="AY132" s="20" t="s">
        <v>974</v>
      </c>
    </row>
    <row r="133" spans="1:51">
      <c r="A133" s="27">
        <v>43466</v>
      </c>
      <c r="B133" s="20" t="s">
        <v>331</v>
      </c>
      <c r="C133" s="20" t="s">
        <v>1531</v>
      </c>
      <c r="D133">
        <v>547</v>
      </c>
      <c r="E133">
        <v>341</v>
      </c>
      <c r="F133">
        <v>773</v>
      </c>
      <c r="G133">
        <v>762</v>
      </c>
      <c r="H133" s="20" t="s">
        <v>1537</v>
      </c>
      <c r="I133" s="20" t="s">
        <v>935</v>
      </c>
      <c r="J133" s="20" t="s">
        <v>945</v>
      </c>
      <c r="K133" s="20" t="s">
        <v>953</v>
      </c>
      <c r="M133">
        <v>150</v>
      </c>
      <c r="N133">
        <v>150</v>
      </c>
      <c r="O133">
        <v>664</v>
      </c>
      <c r="P133">
        <v>4.43</v>
      </c>
      <c r="R133">
        <v>326</v>
      </c>
      <c r="S133">
        <v>326</v>
      </c>
      <c r="T133">
        <v>60</v>
      </c>
      <c r="U133">
        <v>0.40300000000000002</v>
      </c>
      <c r="V133">
        <v>4</v>
      </c>
      <c r="W133">
        <v>0</v>
      </c>
      <c r="X133">
        <v>4</v>
      </c>
      <c r="Y133">
        <v>43591</v>
      </c>
      <c r="Z133">
        <v>44753</v>
      </c>
      <c r="AA133">
        <v>1.03</v>
      </c>
      <c r="AB133">
        <v>44753</v>
      </c>
      <c r="AC133">
        <v>1.03</v>
      </c>
      <c r="AD133">
        <v>29954</v>
      </c>
      <c r="AE133">
        <v>1856310</v>
      </c>
      <c r="AF133">
        <v>0.66930000000000001</v>
      </c>
      <c r="AG133">
        <v>317</v>
      </c>
      <c r="AH133">
        <v>10059298</v>
      </c>
      <c r="AI133">
        <v>15150</v>
      </c>
      <c r="AJ133">
        <v>517</v>
      </c>
      <c r="AK133" s="20" t="s">
        <v>1538</v>
      </c>
      <c r="AL133" s="20" t="s">
        <v>1534</v>
      </c>
      <c r="AM133" s="20" t="s">
        <v>1535</v>
      </c>
      <c r="AN133" s="20" t="s">
        <v>1536</v>
      </c>
      <c r="AO133" s="20" t="s">
        <v>942</v>
      </c>
      <c r="AP133">
        <v>5</v>
      </c>
      <c r="AQ133">
        <v>15</v>
      </c>
      <c r="AR133">
        <v>29</v>
      </c>
      <c r="AS133">
        <v>86</v>
      </c>
      <c r="AT133">
        <v>14</v>
      </c>
      <c r="AU133" s="27">
        <v>31747</v>
      </c>
      <c r="AV133" s="20"/>
      <c r="AW133" s="20"/>
      <c r="AX133" s="20" t="s">
        <v>974</v>
      </c>
      <c r="AY133" s="20" t="s">
        <v>974</v>
      </c>
    </row>
    <row r="134" spans="1:51">
      <c r="A134" s="27">
        <v>43466</v>
      </c>
      <c r="B134" s="20" t="s">
        <v>266</v>
      </c>
      <c r="C134" s="20" t="s">
        <v>992</v>
      </c>
      <c r="D134">
        <v>184</v>
      </c>
      <c r="E134">
        <v>100</v>
      </c>
      <c r="F134">
        <v>286</v>
      </c>
      <c r="G134">
        <v>237</v>
      </c>
      <c r="H134" s="20" t="s">
        <v>1539</v>
      </c>
      <c r="I134" s="20" t="s">
        <v>935</v>
      </c>
      <c r="J134" s="20" t="s">
        <v>936</v>
      </c>
      <c r="K134" s="20" t="s">
        <v>937</v>
      </c>
      <c r="M134">
        <v>149</v>
      </c>
      <c r="N134">
        <v>149</v>
      </c>
      <c r="O134">
        <v>601.5</v>
      </c>
      <c r="P134">
        <v>4.04</v>
      </c>
      <c r="R134">
        <v>260</v>
      </c>
      <c r="S134">
        <v>260</v>
      </c>
      <c r="T134">
        <v>80</v>
      </c>
      <c r="U134">
        <v>0.54400000000000004</v>
      </c>
      <c r="V134">
        <v>1</v>
      </c>
      <c r="W134">
        <v>0</v>
      </c>
      <c r="X134">
        <v>1</v>
      </c>
      <c r="Y134">
        <v>17</v>
      </c>
      <c r="Z134">
        <v>44689</v>
      </c>
      <c r="AA134">
        <v>1.03</v>
      </c>
      <c r="AB134">
        <v>44689</v>
      </c>
      <c r="AC134">
        <v>1.03</v>
      </c>
      <c r="AD134">
        <v>13167</v>
      </c>
      <c r="AE134">
        <v>1293680</v>
      </c>
      <c r="AF134">
        <v>0.29459999999999997</v>
      </c>
      <c r="AG134">
        <v>252</v>
      </c>
      <c r="AH134">
        <v>3731491</v>
      </c>
      <c r="AI134">
        <v>6077</v>
      </c>
      <c r="AJ134">
        <v>524</v>
      </c>
      <c r="AK134" s="20" t="s">
        <v>995</v>
      </c>
      <c r="AL134" s="20" t="s">
        <v>1487</v>
      </c>
      <c r="AM134" s="20" t="s">
        <v>997</v>
      </c>
      <c r="AN134" s="20" t="s">
        <v>1075</v>
      </c>
      <c r="AO134" s="20" t="s">
        <v>963</v>
      </c>
      <c r="AP134">
        <v>3</v>
      </c>
      <c r="AQ134">
        <v>7</v>
      </c>
      <c r="AR134">
        <v>26</v>
      </c>
      <c r="AS134">
        <v>65</v>
      </c>
      <c r="AT134">
        <v>1</v>
      </c>
      <c r="AU134" s="27">
        <v>26176</v>
      </c>
      <c r="AV134" s="20"/>
      <c r="AW134" s="20"/>
      <c r="AX134" s="20"/>
      <c r="AY134" s="20"/>
    </row>
    <row r="135" spans="1:51">
      <c r="A135" s="27">
        <v>43466</v>
      </c>
      <c r="B135" s="20" t="s">
        <v>332</v>
      </c>
      <c r="C135" s="20" t="s">
        <v>1540</v>
      </c>
      <c r="D135">
        <v>78</v>
      </c>
      <c r="E135">
        <v>78</v>
      </c>
      <c r="F135">
        <v>229</v>
      </c>
      <c r="G135">
        <v>229</v>
      </c>
      <c r="H135" s="20" t="s">
        <v>1541</v>
      </c>
      <c r="I135" s="20" t="s">
        <v>935</v>
      </c>
      <c r="J135" s="20" t="s">
        <v>936</v>
      </c>
      <c r="K135" s="20" t="s">
        <v>937</v>
      </c>
      <c r="M135">
        <v>700</v>
      </c>
      <c r="N135">
        <v>700</v>
      </c>
      <c r="O135">
        <v>3252</v>
      </c>
      <c r="P135">
        <v>4.6500000000000004</v>
      </c>
      <c r="R135">
        <v>1601</v>
      </c>
      <c r="S135">
        <v>1601</v>
      </c>
      <c r="T135">
        <v>256</v>
      </c>
      <c r="U135">
        <v>0.372</v>
      </c>
      <c r="V135">
        <v>6</v>
      </c>
      <c r="W135">
        <v>0</v>
      </c>
      <c r="X135">
        <v>6</v>
      </c>
      <c r="Y135" t="s">
        <v>1020</v>
      </c>
      <c r="Z135">
        <v>496875</v>
      </c>
      <c r="AA135">
        <v>11.41</v>
      </c>
      <c r="AB135">
        <v>496875</v>
      </c>
      <c r="AC135">
        <v>11.41</v>
      </c>
      <c r="AD135">
        <v>55678</v>
      </c>
      <c r="AE135">
        <v>5837785</v>
      </c>
      <c r="AF135">
        <v>0.1012</v>
      </c>
      <c r="AG135">
        <v>140</v>
      </c>
      <c r="AH135">
        <v>7547875</v>
      </c>
      <c r="AI135">
        <v>2321</v>
      </c>
      <c r="AJ135">
        <v>521</v>
      </c>
      <c r="AK135" s="20" t="s">
        <v>1542</v>
      </c>
      <c r="AL135" s="20" t="s">
        <v>1543</v>
      </c>
      <c r="AM135" s="20" t="s">
        <v>1544</v>
      </c>
      <c r="AN135" s="20"/>
      <c r="AO135" s="20" t="s">
        <v>942</v>
      </c>
      <c r="AP135">
        <v>4</v>
      </c>
      <c r="AQ135">
        <v>15</v>
      </c>
      <c r="AR135">
        <v>29</v>
      </c>
      <c r="AS135">
        <v>77</v>
      </c>
      <c r="AT135">
        <v>16</v>
      </c>
      <c r="AU135" s="27">
        <v>19893</v>
      </c>
      <c r="AV135" s="20"/>
      <c r="AW135" s="20"/>
      <c r="AX135" s="20"/>
      <c r="AY135" s="20"/>
    </row>
    <row r="136" spans="1:51">
      <c r="A136" s="27">
        <v>43466</v>
      </c>
      <c r="B136" s="20" t="s">
        <v>285</v>
      </c>
      <c r="C136" s="20" t="s">
        <v>1187</v>
      </c>
      <c r="D136">
        <v>215</v>
      </c>
      <c r="E136">
        <v>530</v>
      </c>
      <c r="F136">
        <v>333</v>
      </c>
      <c r="G136">
        <v>748</v>
      </c>
      <c r="H136" s="20" t="s">
        <v>1545</v>
      </c>
      <c r="I136" s="20" t="s">
        <v>935</v>
      </c>
      <c r="J136" s="20" t="s">
        <v>945</v>
      </c>
      <c r="K136" s="20" t="s">
        <v>937</v>
      </c>
      <c r="M136">
        <v>65</v>
      </c>
      <c r="N136">
        <v>65</v>
      </c>
      <c r="O136">
        <v>270.5</v>
      </c>
      <c r="P136">
        <v>4.16</v>
      </c>
      <c r="R136">
        <v>144</v>
      </c>
      <c r="S136">
        <v>144</v>
      </c>
      <c r="T136">
        <v>22</v>
      </c>
      <c r="U136">
        <v>0.34399999999999997</v>
      </c>
      <c r="V136">
        <v>1</v>
      </c>
      <c r="W136">
        <v>0</v>
      </c>
      <c r="X136">
        <v>1</v>
      </c>
      <c r="Y136">
        <v>6</v>
      </c>
      <c r="Z136">
        <v>22000</v>
      </c>
      <c r="AA136">
        <v>0.51</v>
      </c>
      <c r="AB136">
        <v>22000</v>
      </c>
      <c r="AC136">
        <v>0.51</v>
      </c>
      <c r="AD136">
        <v>9242</v>
      </c>
      <c r="AE136">
        <v>602580</v>
      </c>
      <c r="AF136">
        <v>0.42009999999999997</v>
      </c>
      <c r="AG136">
        <v>282</v>
      </c>
      <c r="AH136">
        <v>1583566</v>
      </c>
      <c r="AI136">
        <v>5801</v>
      </c>
      <c r="AJ136">
        <v>505</v>
      </c>
      <c r="AK136" s="20" t="s">
        <v>1372</v>
      </c>
      <c r="AL136" s="20" t="s">
        <v>1189</v>
      </c>
      <c r="AM136" s="20" t="s">
        <v>1174</v>
      </c>
      <c r="AN136" s="20" t="s">
        <v>1190</v>
      </c>
      <c r="AO136" s="20" t="s">
        <v>942</v>
      </c>
      <c r="AP136">
        <v>3</v>
      </c>
      <c r="AQ136">
        <v>15</v>
      </c>
      <c r="AR136">
        <v>32</v>
      </c>
      <c r="AS136">
        <v>79</v>
      </c>
      <c r="AT136">
        <v>17</v>
      </c>
      <c r="AU136" s="27">
        <v>25933</v>
      </c>
      <c r="AV136" s="20"/>
      <c r="AW136" s="20"/>
      <c r="AX136" s="20"/>
      <c r="AY136" s="20" t="s">
        <v>974</v>
      </c>
    </row>
    <row r="137" spans="1:51">
      <c r="A137" s="27">
        <v>43466</v>
      </c>
      <c r="B137" s="20" t="s">
        <v>333</v>
      </c>
      <c r="C137" s="20" t="s">
        <v>1546</v>
      </c>
      <c r="D137">
        <v>159</v>
      </c>
      <c r="E137">
        <v>139</v>
      </c>
      <c r="F137">
        <v>277</v>
      </c>
      <c r="G137">
        <v>253</v>
      </c>
      <c r="H137" s="20" t="s">
        <v>1547</v>
      </c>
      <c r="I137" s="20" t="s">
        <v>935</v>
      </c>
      <c r="J137" s="20" t="s">
        <v>936</v>
      </c>
      <c r="K137" s="20" t="s">
        <v>937</v>
      </c>
      <c r="M137">
        <v>536</v>
      </c>
      <c r="N137">
        <v>537</v>
      </c>
      <c r="O137">
        <v>2070</v>
      </c>
      <c r="P137">
        <v>3.86</v>
      </c>
      <c r="R137">
        <v>941</v>
      </c>
      <c r="S137">
        <v>941</v>
      </c>
      <c r="T137">
        <v>257</v>
      </c>
      <c r="U137">
        <v>0.48099999999999998</v>
      </c>
      <c r="V137">
        <v>2</v>
      </c>
      <c r="W137">
        <v>0</v>
      </c>
      <c r="X137">
        <v>2</v>
      </c>
      <c r="Y137">
        <v>25</v>
      </c>
      <c r="Z137">
        <v>122341</v>
      </c>
      <c r="AA137">
        <v>2.81</v>
      </c>
      <c r="AB137">
        <v>122341</v>
      </c>
      <c r="AC137">
        <v>2.81</v>
      </c>
      <c r="AD137">
        <v>19872</v>
      </c>
      <c r="AE137">
        <v>3893920</v>
      </c>
      <c r="AF137">
        <v>0.16239999999999999</v>
      </c>
      <c r="AG137">
        <v>335</v>
      </c>
      <c r="AH137">
        <v>10435545</v>
      </c>
      <c r="AI137">
        <v>4952</v>
      </c>
      <c r="AJ137">
        <v>511</v>
      </c>
      <c r="AK137" s="20" t="s">
        <v>984</v>
      </c>
      <c r="AL137" s="20" t="s">
        <v>1548</v>
      </c>
      <c r="AM137" s="20" t="s">
        <v>1076</v>
      </c>
      <c r="AN137" s="20" t="s">
        <v>1549</v>
      </c>
      <c r="AO137" s="20" t="s">
        <v>963</v>
      </c>
      <c r="AP137">
        <v>8</v>
      </c>
      <c r="AQ137">
        <v>12</v>
      </c>
      <c r="AR137">
        <v>28</v>
      </c>
      <c r="AS137">
        <v>68</v>
      </c>
      <c r="AT137">
        <v>5</v>
      </c>
      <c r="AU137" s="27">
        <v>25323</v>
      </c>
      <c r="AV137" s="20"/>
      <c r="AW137" s="20"/>
      <c r="AX137" s="20"/>
      <c r="AY137" s="20"/>
    </row>
    <row r="138" spans="1:51">
      <c r="A138" s="27">
        <v>43466</v>
      </c>
      <c r="B138" s="20" t="s">
        <v>857</v>
      </c>
      <c r="C138" s="20" t="s">
        <v>1197</v>
      </c>
      <c r="D138">
        <v>247</v>
      </c>
      <c r="E138">
        <v>247</v>
      </c>
      <c r="F138">
        <v>546</v>
      </c>
      <c r="G138">
        <v>546</v>
      </c>
      <c r="H138" s="20" t="s">
        <v>1550</v>
      </c>
      <c r="I138" s="20" t="s">
        <v>935</v>
      </c>
      <c r="J138" s="20" t="s">
        <v>936</v>
      </c>
      <c r="K138" s="20" t="s">
        <v>937</v>
      </c>
      <c r="M138">
        <v>323</v>
      </c>
      <c r="N138">
        <v>324</v>
      </c>
      <c r="O138">
        <v>1404.5</v>
      </c>
      <c r="P138">
        <v>4.3499999999999996</v>
      </c>
      <c r="R138">
        <v>696</v>
      </c>
      <c r="S138">
        <v>696</v>
      </c>
      <c r="T138">
        <v>176</v>
      </c>
      <c r="U138">
        <v>0.54700000000000004</v>
      </c>
      <c r="V138">
        <v>4</v>
      </c>
      <c r="W138">
        <v>1</v>
      </c>
      <c r="X138">
        <v>4</v>
      </c>
      <c r="Y138">
        <v>43660</v>
      </c>
      <c r="Z138">
        <v>202500</v>
      </c>
      <c r="AA138">
        <v>4.6500000000000004</v>
      </c>
      <c r="AB138">
        <v>202500</v>
      </c>
      <c r="AC138">
        <v>4.6500000000000004</v>
      </c>
      <c r="AD138">
        <v>41000</v>
      </c>
      <c r="AE138">
        <v>351600</v>
      </c>
      <c r="AF138">
        <v>0.20250000000000001</v>
      </c>
      <c r="AG138">
        <v>150</v>
      </c>
      <c r="AH138">
        <v>20632339</v>
      </c>
      <c r="AI138">
        <v>14504</v>
      </c>
      <c r="AJ138">
        <v>511</v>
      </c>
      <c r="AK138" s="20" t="s">
        <v>1551</v>
      </c>
      <c r="AL138" s="20" t="s">
        <v>1208</v>
      </c>
      <c r="AM138" s="20" t="s">
        <v>1552</v>
      </c>
      <c r="AN138" s="20"/>
      <c r="AO138" s="20" t="s">
        <v>950</v>
      </c>
      <c r="AP138">
        <v>4</v>
      </c>
      <c r="AQ138">
        <v>7</v>
      </c>
      <c r="AR138">
        <v>18</v>
      </c>
      <c r="AS138">
        <v>53</v>
      </c>
      <c r="AT138">
        <v>37</v>
      </c>
      <c r="AU138" s="27">
        <v>29829</v>
      </c>
      <c r="AV138" s="20"/>
      <c r="AW138" s="20" t="s">
        <v>1040</v>
      </c>
      <c r="AX138" s="20" t="s">
        <v>974</v>
      </c>
      <c r="AY138" s="20"/>
    </row>
    <row r="139" spans="1:51">
      <c r="A139" s="27">
        <v>43466</v>
      </c>
      <c r="B139" s="20" t="s">
        <v>206</v>
      </c>
      <c r="C139" s="20" t="s">
        <v>1553</v>
      </c>
      <c r="D139">
        <v>72</v>
      </c>
      <c r="E139">
        <v>72</v>
      </c>
      <c r="F139">
        <v>568</v>
      </c>
      <c r="G139">
        <v>568</v>
      </c>
      <c r="H139" s="20" t="s">
        <v>1554</v>
      </c>
      <c r="I139" s="20" t="s">
        <v>935</v>
      </c>
      <c r="J139" s="20" t="s">
        <v>936</v>
      </c>
      <c r="K139" s="20" t="s">
        <v>937</v>
      </c>
      <c r="M139">
        <v>813</v>
      </c>
      <c r="N139">
        <v>815</v>
      </c>
      <c r="O139">
        <v>3699.5</v>
      </c>
      <c r="P139">
        <v>4.55</v>
      </c>
      <c r="R139">
        <v>1835</v>
      </c>
      <c r="S139">
        <v>1835</v>
      </c>
      <c r="T139">
        <v>279</v>
      </c>
      <c r="U139">
        <v>0.34799999999999998</v>
      </c>
      <c r="V139">
        <v>10</v>
      </c>
      <c r="W139">
        <v>0</v>
      </c>
      <c r="X139">
        <v>16</v>
      </c>
      <c r="Y139">
        <v>43659</v>
      </c>
      <c r="Z139">
        <v>664735</v>
      </c>
      <c r="AA139">
        <v>15.26</v>
      </c>
      <c r="AB139">
        <v>621176</v>
      </c>
      <c r="AC139">
        <v>14.26</v>
      </c>
      <c r="AD139">
        <v>87500</v>
      </c>
      <c r="AE139">
        <v>6943700</v>
      </c>
      <c r="AF139">
        <v>0.13159999999999999</v>
      </c>
      <c r="AG139">
        <v>120</v>
      </c>
      <c r="AH139">
        <v>11359000</v>
      </c>
      <c r="AI139">
        <v>3079</v>
      </c>
      <c r="AJ139">
        <v>504</v>
      </c>
      <c r="AK139" s="20" t="s">
        <v>1467</v>
      </c>
      <c r="AL139" s="20" t="s">
        <v>1185</v>
      </c>
      <c r="AM139" s="20" t="s">
        <v>1443</v>
      </c>
      <c r="AN139" s="20" t="s">
        <v>1186</v>
      </c>
      <c r="AO139" s="20" t="s">
        <v>950</v>
      </c>
      <c r="AP139">
        <v>16</v>
      </c>
      <c r="AQ139">
        <v>8</v>
      </c>
      <c r="AR139">
        <v>20</v>
      </c>
      <c r="AS139">
        <v>55</v>
      </c>
      <c r="AT139">
        <v>41</v>
      </c>
      <c r="AU139" s="27">
        <v>20453</v>
      </c>
      <c r="AV139" s="20" t="s">
        <v>1341</v>
      </c>
      <c r="AW139" s="20"/>
      <c r="AX139" s="20"/>
      <c r="AY139" s="20"/>
    </row>
    <row r="140" spans="1:51">
      <c r="A140" s="27">
        <v>43466</v>
      </c>
      <c r="B140" s="20" t="s">
        <v>245</v>
      </c>
      <c r="C140" s="20" t="s">
        <v>1316</v>
      </c>
      <c r="D140">
        <v>339</v>
      </c>
      <c r="E140">
        <v>351</v>
      </c>
      <c r="F140">
        <v>782</v>
      </c>
      <c r="G140">
        <v>765</v>
      </c>
      <c r="H140" s="20" t="s">
        <v>1555</v>
      </c>
      <c r="I140" s="20" t="s">
        <v>935</v>
      </c>
      <c r="J140" s="20" t="s">
        <v>945</v>
      </c>
      <c r="K140" s="20" t="s">
        <v>937</v>
      </c>
      <c r="M140">
        <v>148</v>
      </c>
      <c r="N140">
        <v>150</v>
      </c>
      <c r="O140">
        <v>669</v>
      </c>
      <c r="P140">
        <v>4.5199999999999996</v>
      </c>
      <c r="R140">
        <v>373</v>
      </c>
      <c r="S140">
        <v>373</v>
      </c>
      <c r="T140">
        <v>39</v>
      </c>
      <c r="U140">
        <v>0.26500000000000001</v>
      </c>
      <c r="V140">
        <v>5</v>
      </c>
      <c r="W140">
        <v>1</v>
      </c>
      <c r="X140">
        <v>25</v>
      </c>
      <c r="Y140">
        <v>3</v>
      </c>
      <c r="Z140">
        <v>132915</v>
      </c>
      <c r="AA140">
        <v>3.05</v>
      </c>
      <c r="AB140">
        <v>132915</v>
      </c>
      <c r="AC140">
        <v>3.05</v>
      </c>
      <c r="AD140">
        <v>50568</v>
      </c>
      <c r="AE140">
        <v>1536736</v>
      </c>
      <c r="AF140">
        <v>0.3805</v>
      </c>
      <c r="AG140">
        <v>122</v>
      </c>
      <c r="AH140">
        <v>11464557</v>
      </c>
      <c r="AI140">
        <v>15641</v>
      </c>
      <c r="AJ140">
        <v>663</v>
      </c>
      <c r="AK140" s="20" t="s">
        <v>1467</v>
      </c>
      <c r="AL140" s="20" t="s">
        <v>1556</v>
      </c>
      <c r="AM140" s="20" t="s">
        <v>948</v>
      </c>
      <c r="AN140" s="20" t="s">
        <v>946</v>
      </c>
      <c r="AO140" s="20" t="s">
        <v>950</v>
      </c>
      <c r="AP140">
        <v>16</v>
      </c>
      <c r="AQ140">
        <v>9</v>
      </c>
      <c r="AR140">
        <v>20</v>
      </c>
      <c r="AS140">
        <v>55</v>
      </c>
      <c r="AT140">
        <v>41</v>
      </c>
      <c r="AU140" s="27">
        <v>32356</v>
      </c>
      <c r="AV140" s="20"/>
      <c r="AW140" s="20"/>
      <c r="AX140" s="20" t="s">
        <v>974</v>
      </c>
      <c r="AY140" s="20"/>
    </row>
    <row r="141" spans="1:51">
      <c r="A141" s="27">
        <v>43466</v>
      </c>
      <c r="B141" s="20" t="s">
        <v>246</v>
      </c>
      <c r="C141" s="20" t="s">
        <v>1316</v>
      </c>
      <c r="D141">
        <v>365</v>
      </c>
      <c r="E141">
        <v>351</v>
      </c>
      <c r="F141">
        <v>551</v>
      </c>
      <c r="G141">
        <v>551</v>
      </c>
      <c r="H141" s="20" t="s">
        <v>1557</v>
      </c>
      <c r="I141" s="20" t="s">
        <v>935</v>
      </c>
      <c r="J141" s="20" t="s">
        <v>945</v>
      </c>
      <c r="K141" s="20" t="s">
        <v>937</v>
      </c>
      <c r="M141">
        <v>155</v>
      </c>
      <c r="N141">
        <v>156</v>
      </c>
      <c r="O141">
        <v>776.5</v>
      </c>
      <c r="P141">
        <v>5.01</v>
      </c>
      <c r="R141">
        <v>449</v>
      </c>
      <c r="S141">
        <v>449</v>
      </c>
      <c r="T141">
        <v>28</v>
      </c>
      <c r="U141">
        <v>0.182</v>
      </c>
      <c r="V141">
        <v>8</v>
      </c>
      <c r="W141">
        <v>0</v>
      </c>
      <c r="X141">
        <v>159</v>
      </c>
      <c r="Y141">
        <v>3</v>
      </c>
      <c r="Z141">
        <v>197563</v>
      </c>
      <c r="AA141">
        <v>4.54</v>
      </c>
      <c r="AB141">
        <v>197563</v>
      </c>
      <c r="AC141">
        <v>4.54</v>
      </c>
      <c r="AD141">
        <v>54978</v>
      </c>
      <c r="AE141">
        <v>1657275</v>
      </c>
      <c r="AF141">
        <v>0.27829999999999999</v>
      </c>
      <c r="AG141">
        <v>99</v>
      </c>
      <c r="AH141">
        <v>15843706</v>
      </c>
      <c r="AI141">
        <v>20286</v>
      </c>
      <c r="AJ141">
        <v>700</v>
      </c>
      <c r="AK141" s="20" t="s">
        <v>1558</v>
      </c>
      <c r="AL141" s="20" t="s">
        <v>1559</v>
      </c>
      <c r="AM141" s="20" t="s">
        <v>1179</v>
      </c>
      <c r="AN141" s="20" t="s">
        <v>1319</v>
      </c>
      <c r="AO141" s="20" t="s">
        <v>950</v>
      </c>
      <c r="AP141">
        <v>16</v>
      </c>
      <c r="AQ141">
        <v>9</v>
      </c>
      <c r="AR141" t="s">
        <v>1321</v>
      </c>
      <c r="AS141">
        <v>55</v>
      </c>
      <c r="AT141">
        <v>41</v>
      </c>
      <c r="AU141" s="27">
        <v>34577</v>
      </c>
      <c r="AV141" s="20"/>
      <c r="AW141" s="20"/>
      <c r="AX141" s="20" t="s">
        <v>974</v>
      </c>
      <c r="AY141" s="20"/>
    </row>
    <row r="142" spans="1:51">
      <c r="A142" s="27">
        <v>43466</v>
      </c>
      <c r="B142" s="20" t="s">
        <v>334</v>
      </c>
      <c r="C142" s="20" t="s">
        <v>1560</v>
      </c>
      <c r="D142">
        <v>168</v>
      </c>
      <c r="E142">
        <v>168</v>
      </c>
      <c r="F142">
        <v>275</v>
      </c>
      <c r="G142">
        <v>275</v>
      </c>
      <c r="H142" s="20" t="s">
        <v>1561</v>
      </c>
      <c r="I142" s="20" t="s">
        <v>935</v>
      </c>
      <c r="J142" s="20" t="s">
        <v>936</v>
      </c>
      <c r="K142" s="20" t="s">
        <v>937</v>
      </c>
      <c r="M142">
        <v>509</v>
      </c>
      <c r="N142">
        <v>513</v>
      </c>
      <c r="O142">
        <v>2421.5</v>
      </c>
      <c r="P142">
        <v>4.76</v>
      </c>
      <c r="R142">
        <v>1366</v>
      </c>
      <c r="S142">
        <v>1366</v>
      </c>
      <c r="T142">
        <v>135</v>
      </c>
      <c r="U142">
        <v>0.26800000000000002</v>
      </c>
      <c r="V142">
        <v>3</v>
      </c>
      <c r="W142">
        <v>1</v>
      </c>
      <c r="X142">
        <v>4</v>
      </c>
      <c r="Y142">
        <v>22</v>
      </c>
      <c r="Z142">
        <v>241990</v>
      </c>
      <c r="AA142">
        <v>5.56</v>
      </c>
      <c r="AB142">
        <v>241990</v>
      </c>
      <c r="AC142">
        <v>5.56</v>
      </c>
      <c r="AD142">
        <v>23502</v>
      </c>
      <c r="AE142">
        <v>4599540</v>
      </c>
      <c r="AF142">
        <v>9.7100000000000006E-2</v>
      </c>
      <c r="AG142">
        <v>246</v>
      </c>
      <c r="AH142">
        <v>10288064</v>
      </c>
      <c r="AI142">
        <v>4201</v>
      </c>
      <c r="AJ142">
        <v>585</v>
      </c>
      <c r="AK142" s="20" t="s">
        <v>1186</v>
      </c>
      <c r="AL142" s="20" t="s">
        <v>1185</v>
      </c>
      <c r="AM142" s="20" t="s">
        <v>948</v>
      </c>
      <c r="AN142" s="20" t="s">
        <v>1099</v>
      </c>
      <c r="AO142" s="20" t="s">
        <v>950</v>
      </c>
      <c r="AP142">
        <v>16</v>
      </c>
      <c r="AQ142">
        <v>9</v>
      </c>
      <c r="AR142">
        <v>20</v>
      </c>
      <c r="AS142">
        <v>55</v>
      </c>
      <c r="AT142">
        <v>41</v>
      </c>
      <c r="AU142" s="27">
        <v>25019</v>
      </c>
      <c r="AV142" s="20"/>
      <c r="AW142" s="20"/>
      <c r="AX142" s="20"/>
      <c r="AY142" s="20"/>
    </row>
    <row r="143" spans="1:51">
      <c r="A143" s="27">
        <v>43466</v>
      </c>
      <c r="B143" s="20" t="s">
        <v>286</v>
      </c>
      <c r="C143" s="20" t="s">
        <v>1187</v>
      </c>
      <c r="D143">
        <v>367</v>
      </c>
      <c r="E143">
        <v>530</v>
      </c>
      <c r="F143">
        <v>806</v>
      </c>
      <c r="G143">
        <v>748</v>
      </c>
      <c r="H143" s="20" t="s">
        <v>1562</v>
      </c>
      <c r="I143" s="20" t="s">
        <v>935</v>
      </c>
      <c r="J143" s="20" t="s">
        <v>945</v>
      </c>
      <c r="K143" s="20" t="s">
        <v>953</v>
      </c>
      <c r="M143">
        <v>131</v>
      </c>
      <c r="N143">
        <v>131</v>
      </c>
      <c r="O143">
        <v>605.5</v>
      </c>
      <c r="P143">
        <v>4.62</v>
      </c>
      <c r="R143">
        <v>314</v>
      </c>
      <c r="S143">
        <v>314</v>
      </c>
      <c r="T143">
        <v>35</v>
      </c>
      <c r="U143">
        <v>0.27300000000000002</v>
      </c>
      <c r="V143">
        <v>13</v>
      </c>
      <c r="W143">
        <v>0</v>
      </c>
      <c r="X143">
        <v>13</v>
      </c>
      <c r="Y143">
        <v>43560</v>
      </c>
      <c r="Z143">
        <v>58206</v>
      </c>
      <c r="AA143">
        <v>1.34</v>
      </c>
      <c r="AB143">
        <v>58206</v>
      </c>
      <c r="AC143">
        <v>1.34</v>
      </c>
      <c r="AD143">
        <v>35180</v>
      </c>
      <c r="AE143">
        <v>1540888</v>
      </c>
      <c r="AF143">
        <v>0.60440000000000005</v>
      </c>
      <c r="AG143">
        <v>234</v>
      </c>
      <c r="AH143">
        <v>13280604</v>
      </c>
      <c r="AI143">
        <v>21933</v>
      </c>
      <c r="AJ143">
        <v>568</v>
      </c>
      <c r="AK143" s="20" t="s">
        <v>1243</v>
      </c>
      <c r="AL143" s="20" t="s">
        <v>1563</v>
      </c>
      <c r="AM143" s="20" t="s">
        <v>1564</v>
      </c>
      <c r="AN143" s="20" t="s">
        <v>1565</v>
      </c>
      <c r="AO143" s="20" t="s">
        <v>942</v>
      </c>
      <c r="AP143">
        <v>2</v>
      </c>
      <c r="AQ143">
        <v>15</v>
      </c>
      <c r="AR143" t="s">
        <v>1566</v>
      </c>
      <c r="AS143">
        <v>85</v>
      </c>
      <c r="AT143">
        <v>17</v>
      </c>
      <c r="AU143" s="27">
        <v>33572</v>
      </c>
      <c r="AV143" s="20"/>
      <c r="AW143" s="20"/>
      <c r="AX143" s="20" t="s">
        <v>974</v>
      </c>
      <c r="AY143" s="20" t="s">
        <v>974</v>
      </c>
    </row>
    <row r="144" spans="1:51">
      <c r="A144" s="27">
        <v>43466</v>
      </c>
      <c r="B144" s="20" t="s">
        <v>139</v>
      </c>
      <c r="C144" s="20" t="s">
        <v>1567</v>
      </c>
      <c r="D144">
        <v>109</v>
      </c>
      <c r="E144">
        <v>86</v>
      </c>
      <c r="F144">
        <v>680</v>
      </c>
      <c r="G144">
        <v>680</v>
      </c>
      <c r="H144" s="20" t="s">
        <v>1568</v>
      </c>
      <c r="I144" s="20" t="s">
        <v>935</v>
      </c>
      <c r="J144" s="20" t="s">
        <v>936</v>
      </c>
      <c r="K144" s="20" t="s">
        <v>937</v>
      </c>
      <c r="M144">
        <v>209</v>
      </c>
      <c r="N144">
        <v>209</v>
      </c>
      <c r="O144">
        <v>933.5</v>
      </c>
      <c r="P144">
        <v>4.47</v>
      </c>
      <c r="R144">
        <v>456</v>
      </c>
      <c r="S144">
        <v>456</v>
      </c>
      <c r="T144">
        <v>82</v>
      </c>
      <c r="U144">
        <v>0.39400000000000002</v>
      </c>
      <c r="V144">
        <v>1</v>
      </c>
      <c r="W144">
        <v>0</v>
      </c>
      <c r="X144">
        <v>1</v>
      </c>
      <c r="Y144">
        <v>19</v>
      </c>
      <c r="Z144">
        <v>77658</v>
      </c>
      <c r="AA144">
        <v>1.78</v>
      </c>
      <c r="AB144">
        <v>77658</v>
      </c>
      <c r="AC144">
        <v>1.78</v>
      </c>
      <c r="AD144">
        <v>11403</v>
      </c>
      <c r="AE144">
        <v>1878400</v>
      </c>
      <c r="AF144">
        <v>0.14680000000000001</v>
      </c>
      <c r="AG144">
        <v>256</v>
      </c>
      <c r="AH144">
        <v>3945608</v>
      </c>
      <c r="AI144">
        <v>4240</v>
      </c>
      <c r="AJ144">
        <v>573</v>
      </c>
      <c r="AK144" s="20" t="s">
        <v>1194</v>
      </c>
      <c r="AL144" s="20" t="s">
        <v>1130</v>
      </c>
      <c r="AM144" s="20" t="s">
        <v>1131</v>
      </c>
      <c r="AN144" s="20" t="s">
        <v>1127</v>
      </c>
      <c r="AO144" s="20" t="s">
        <v>950</v>
      </c>
      <c r="AP144">
        <v>1</v>
      </c>
      <c r="AQ144">
        <v>7</v>
      </c>
      <c r="AR144">
        <v>18</v>
      </c>
      <c r="AS144">
        <v>53</v>
      </c>
      <c r="AT144">
        <v>34</v>
      </c>
      <c r="AU144" s="27">
        <v>22097</v>
      </c>
      <c r="AV144" s="20" t="s">
        <v>1060</v>
      </c>
      <c r="AW144" s="20"/>
      <c r="AX144" s="20"/>
      <c r="AY144" s="20"/>
    </row>
    <row r="145" spans="1:51">
      <c r="A145" s="27">
        <v>43466</v>
      </c>
      <c r="B145" s="20" t="s">
        <v>335</v>
      </c>
      <c r="C145" s="20" t="s">
        <v>1569</v>
      </c>
      <c r="D145">
        <v>140</v>
      </c>
      <c r="E145">
        <v>234</v>
      </c>
      <c r="F145">
        <v>442</v>
      </c>
      <c r="G145">
        <v>442</v>
      </c>
      <c r="H145" s="20" t="s">
        <v>1570</v>
      </c>
      <c r="I145" s="20" t="s">
        <v>988</v>
      </c>
      <c r="J145" s="20" t="s">
        <v>936</v>
      </c>
      <c r="K145" s="20" t="s">
        <v>937</v>
      </c>
      <c r="L145">
        <v>155</v>
      </c>
      <c r="M145">
        <v>741</v>
      </c>
      <c r="N145">
        <v>744</v>
      </c>
      <c r="O145">
        <v>3333.5</v>
      </c>
      <c r="P145">
        <v>4.5</v>
      </c>
      <c r="Q145">
        <v>354</v>
      </c>
      <c r="R145">
        <v>1360</v>
      </c>
      <c r="S145">
        <v>1714</v>
      </c>
      <c r="T145">
        <v>326</v>
      </c>
      <c r="U145">
        <v>0.44800000000000001</v>
      </c>
      <c r="V145">
        <v>6</v>
      </c>
      <c r="W145">
        <v>0</v>
      </c>
      <c r="X145">
        <v>6</v>
      </c>
      <c r="Y145">
        <v>21</v>
      </c>
      <c r="Z145">
        <v>232000</v>
      </c>
      <c r="AA145">
        <v>5.33</v>
      </c>
      <c r="AB145">
        <v>232000</v>
      </c>
      <c r="AC145">
        <v>5.33</v>
      </c>
      <c r="AD145">
        <v>44685</v>
      </c>
      <c r="AE145">
        <v>6457003</v>
      </c>
      <c r="AF145">
        <v>0.19259999999999999</v>
      </c>
      <c r="AG145">
        <v>322</v>
      </c>
      <c r="AH145">
        <v>14543000</v>
      </c>
      <c r="AI145">
        <v>4344</v>
      </c>
      <c r="AJ145">
        <v>470</v>
      </c>
      <c r="AK145" s="20" t="s">
        <v>1571</v>
      </c>
      <c r="AL145" s="20" t="s">
        <v>1572</v>
      </c>
      <c r="AM145" s="20" t="s">
        <v>1115</v>
      </c>
      <c r="AN145" s="20" t="s">
        <v>1038</v>
      </c>
      <c r="AO145" s="20" t="s">
        <v>950</v>
      </c>
      <c r="AP145">
        <v>1</v>
      </c>
      <c r="AQ145">
        <v>7</v>
      </c>
      <c r="AR145">
        <v>18</v>
      </c>
      <c r="AS145">
        <v>50</v>
      </c>
      <c r="AT145">
        <v>33</v>
      </c>
      <c r="AU145" s="27">
        <v>24046</v>
      </c>
      <c r="AV145" s="20"/>
      <c r="AW145" s="20"/>
      <c r="AX145" s="20"/>
      <c r="AY145" s="20"/>
    </row>
    <row r="146" spans="1:51">
      <c r="A146" s="27">
        <v>43466</v>
      </c>
      <c r="B146" s="20" t="s">
        <v>207</v>
      </c>
      <c r="C146" s="20" t="s">
        <v>1573</v>
      </c>
      <c r="D146">
        <v>14</v>
      </c>
      <c r="E146">
        <v>14</v>
      </c>
      <c r="F146">
        <v>510</v>
      </c>
      <c r="G146">
        <v>510</v>
      </c>
      <c r="H146" s="20" t="s">
        <v>1574</v>
      </c>
      <c r="I146" s="20" t="s">
        <v>935</v>
      </c>
      <c r="J146" s="20" t="s">
        <v>936</v>
      </c>
      <c r="K146" s="20" t="s">
        <v>937</v>
      </c>
      <c r="M146">
        <v>1830</v>
      </c>
      <c r="N146">
        <v>1840</v>
      </c>
      <c r="O146">
        <v>8698</v>
      </c>
      <c r="P146">
        <v>4.75</v>
      </c>
      <c r="R146">
        <v>4198</v>
      </c>
      <c r="S146">
        <v>4198</v>
      </c>
      <c r="T146">
        <v>493</v>
      </c>
      <c r="U146">
        <v>0.29199999999999998</v>
      </c>
      <c r="V146">
        <v>20</v>
      </c>
      <c r="W146">
        <v>1</v>
      </c>
      <c r="X146">
        <v>46</v>
      </c>
      <c r="Y146">
        <v>43627</v>
      </c>
      <c r="Z146">
        <v>884521</v>
      </c>
      <c r="AA146">
        <v>20.309999999999999</v>
      </c>
      <c r="AB146">
        <v>812641</v>
      </c>
      <c r="AC146">
        <v>18.66</v>
      </c>
      <c r="AD146">
        <v>175748</v>
      </c>
      <c r="AE146">
        <v>10226288</v>
      </c>
      <c r="AF146">
        <v>0.1762</v>
      </c>
      <c r="AG146">
        <v>207</v>
      </c>
      <c r="AH146">
        <v>12236672</v>
      </c>
      <c r="AI146">
        <v>1681</v>
      </c>
      <c r="AJ146">
        <v>577</v>
      </c>
      <c r="AK146" s="20" t="s">
        <v>1219</v>
      </c>
      <c r="AL146" s="20" t="s">
        <v>1575</v>
      </c>
      <c r="AM146" s="20" t="s">
        <v>979</v>
      </c>
      <c r="AN146" s="20" t="s">
        <v>1121</v>
      </c>
      <c r="AO146" s="20" t="s">
        <v>950</v>
      </c>
      <c r="AP146">
        <v>2</v>
      </c>
      <c r="AQ146">
        <v>8</v>
      </c>
      <c r="AR146">
        <v>25</v>
      </c>
      <c r="AS146">
        <v>57</v>
      </c>
      <c r="AT146">
        <v>35</v>
      </c>
      <c r="AU146" s="27">
        <v>16126</v>
      </c>
      <c r="AV146" s="20" t="s">
        <v>1050</v>
      </c>
      <c r="AW146" s="20"/>
      <c r="AX146" s="20"/>
      <c r="AY146" s="20"/>
    </row>
    <row r="147" spans="1:51">
      <c r="A147" s="27">
        <v>43466</v>
      </c>
      <c r="B147" s="20" t="s">
        <v>336</v>
      </c>
      <c r="C147" s="20" t="s">
        <v>1066</v>
      </c>
      <c r="D147">
        <v>316</v>
      </c>
      <c r="E147">
        <v>91</v>
      </c>
      <c r="F147">
        <v>296</v>
      </c>
      <c r="G147">
        <v>296</v>
      </c>
      <c r="H147" s="20" t="s">
        <v>1576</v>
      </c>
      <c r="I147" s="20" t="s">
        <v>935</v>
      </c>
      <c r="J147" s="20" t="s">
        <v>945</v>
      </c>
      <c r="K147" s="20" t="s">
        <v>1080</v>
      </c>
      <c r="M147">
        <v>146</v>
      </c>
      <c r="N147">
        <v>159</v>
      </c>
      <c r="O147">
        <v>520</v>
      </c>
      <c r="P147">
        <v>3.56</v>
      </c>
      <c r="R147">
        <v>179</v>
      </c>
      <c r="S147">
        <v>179</v>
      </c>
      <c r="T147">
        <v>131</v>
      </c>
      <c r="U147">
        <v>0.90300000000000002</v>
      </c>
      <c r="V147">
        <v>1</v>
      </c>
      <c r="W147">
        <v>0</v>
      </c>
      <c r="X147">
        <v>1</v>
      </c>
      <c r="Y147">
        <v>10</v>
      </c>
      <c r="Z147">
        <v>42500</v>
      </c>
      <c r="AA147">
        <v>0.98</v>
      </c>
      <c r="AB147">
        <v>42500</v>
      </c>
      <c r="AC147">
        <v>0.98</v>
      </c>
      <c r="AD147">
        <v>12689</v>
      </c>
      <c r="AE147">
        <v>1126314</v>
      </c>
      <c r="AF147">
        <v>0.29859999999999998</v>
      </c>
      <c r="AG147">
        <v>183</v>
      </c>
      <c r="AH147">
        <v>10992764</v>
      </c>
      <c r="AI147">
        <v>19269</v>
      </c>
      <c r="AJ147">
        <v>383</v>
      </c>
      <c r="AK147" s="20" t="s">
        <v>1303</v>
      </c>
      <c r="AL147" s="20" t="s">
        <v>1577</v>
      </c>
      <c r="AM147" s="20" t="s">
        <v>1578</v>
      </c>
      <c r="AN147" s="20" t="s">
        <v>1305</v>
      </c>
      <c r="AO147" s="20" t="s">
        <v>1049</v>
      </c>
      <c r="AP147">
        <v>12</v>
      </c>
      <c r="AQ147">
        <v>5</v>
      </c>
      <c r="AR147">
        <v>14</v>
      </c>
      <c r="AS147">
        <v>29</v>
      </c>
      <c r="AT147">
        <v>27</v>
      </c>
      <c r="AU147" s="27">
        <v>30467</v>
      </c>
      <c r="AV147" s="20"/>
      <c r="AW147" s="20" t="s">
        <v>1081</v>
      </c>
      <c r="AX147" s="20" t="s">
        <v>974</v>
      </c>
      <c r="AY147" s="20"/>
    </row>
    <row r="148" spans="1:51">
      <c r="A148" s="27">
        <v>43466</v>
      </c>
      <c r="B148" s="20" t="s">
        <v>337</v>
      </c>
      <c r="C148" s="20" t="s">
        <v>1546</v>
      </c>
      <c r="D148">
        <v>139</v>
      </c>
      <c r="E148">
        <v>139</v>
      </c>
      <c r="F148">
        <v>253</v>
      </c>
      <c r="G148">
        <v>253</v>
      </c>
      <c r="H148" s="20" t="s">
        <v>1579</v>
      </c>
      <c r="I148" s="20" t="s">
        <v>935</v>
      </c>
      <c r="J148" s="20" t="s">
        <v>936</v>
      </c>
      <c r="K148" s="20" t="s">
        <v>937</v>
      </c>
      <c r="M148">
        <v>634</v>
      </c>
      <c r="N148">
        <v>636</v>
      </c>
      <c r="O148">
        <v>2638</v>
      </c>
      <c r="P148">
        <v>4.16</v>
      </c>
      <c r="R148">
        <v>1250</v>
      </c>
      <c r="S148">
        <v>1250</v>
      </c>
      <c r="T148">
        <v>279</v>
      </c>
      <c r="U148">
        <v>0.441</v>
      </c>
      <c r="V148">
        <v>3</v>
      </c>
      <c r="W148">
        <v>1</v>
      </c>
      <c r="X148">
        <v>4</v>
      </c>
      <c r="Y148">
        <v>24</v>
      </c>
      <c r="Z148">
        <v>152173</v>
      </c>
      <c r="AA148">
        <v>3.49</v>
      </c>
      <c r="AB148">
        <v>152173</v>
      </c>
      <c r="AC148">
        <v>3.49</v>
      </c>
      <c r="AD148">
        <v>32645</v>
      </c>
      <c r="AE148">
        <v>4857894</v>
      </c>
      <c r="AF148">
        <v>0.2145</v>
      </c>
      <c r="AG148">
        <v>358</v>
      </c>
      <c r="AH148">
        <v>13251410</v>
      </c>
      <c r="AI148">
        <v>5009</v>
      </c>
      <c r="AJ148">
        <v>556</v>
      </c>
      <c r="AK148" s="20" t="s">
        <v>1580</v>
      </c>
      <c r="AL148" s="20" t="s">
        <v>984</v>
      </c>
      <c r="AM148" s="20" t="s">
        <v>1076</v>
      </c>
      <c r="AN148" s="20"/>
      <c r="AO148" s="20" t="s">
        <v>963</v>
      </c>
      <c r="AP148">
        <v>8</v>
      </c>
      <c r="AQ148">
        <v>12</v>
      </c>
      <c r="AR148">
        <v>29</v>
      </c>
      <c r="AS148">
        <v>68</v>
      </c>
      <c r="AT148">
        <v>5</v>
      </c>
      <c r="AU148" s="27">
        <v>23954</v>
      </c>
      <c r="AV148" s="20"/>
      <c r="AW148" s="20"/>
      <c r="AX148" s="20"/>
      <c r="AY148" s="20"/>
    </row>
    <row r="149" spans="1:51">
      <c r="A149" s="27">
        <v>43466</v>
      </c>
      <c r="B149" s="20" t="s">
        <v>35</v>
      </c>
      <c r="C149" s="20" t="s">
        <v>1581</v>
      </c>
      <c r="D149">
        <v>120</v>
      </c>
      <c r="E149">
        <v>267</v>
      </c>
      <c r="F149">
        <v>243</v>
      </c>
      <c r="G149">
        <v>243</v>
      </c>
      <c r="H149" s="20" t="s">
        <v>1582</v>
      </c>
      <c r="I149" s="20" t="s">
        <v>935</v>
      </c>
      <c r="J149" s="20" t="s">
        <v>936</v>
      </c>
      <c r="K149" s="20" t="s">
        <v>937</v>
      </c>
      <c r="M149">
        <v>868</v>
      </c>
      <c r="N149">
        <v>868</v>
      </c>
      <c r="O149">
        <v>4137</v>
      </c>
      <c r="P149">
        <v>4.7699999999999996</v>
      </c>
      <c r="R149">
        <v>2203</v>
      </c>
      <c r="S149">
        <v>2203</v>
      </c>
      <c r="T149">
        <v>289</v>
      </c>
      <c r="U149">
        <v>0.33800000000000002</v>
      </c>
      <c r="V149">
        <v>7</v>
      </c>
      <c r="W149">
        <v>1</v>
      </c>
      <c r="X149">
        <v>7</v>
      </c>
      <c r="Y149">
        <v>16</v>
      </c>
      <c r="Z149">
        <v>343403</v>
      </c>
      <c r="AA149">
        <v>7.88</v>
      </c>
      <c r="AB149">
        <v>343403</v>
      </c>
      <c r="AC149">
        <v>7.88</v>
      </c>
      <c r="AD149">
        <v>59552</v>
      </c>
      <c r="AE149">
        <v>7682714</v>
      </c>
      <c r="AF149">
        <v>0.1734</v>
      </c>
      <c r="AG149">
        <v>280</v>
      </c>
      <c r="AH149">
        <v>14850303</v>
      </c>
      <c r="AI149">
        <v>3590</v>
      </c>
      <c r="AJ149">
        <v>533</v>
      </c>
      <c r="AK149" s="20" t="s">
        <v>1219</v>
      </c>
      <c r="AL149" s="20" t="s">
        <v>1367</v>
      </c>
      <c r="AM149" s="20" t="s">
        <v>1583</v>
      </c>
      <c r="AN149" s="20" t="s">
        <v>1584</v>
      </c>
      <c r="AO149" s="20" t="s">
        <v>942</v>
      </c>
      <c r="AP149">
        <v>1</v>
      </c>
      <c r="AQ149">
        <v>15</v>
      </c>
      <c r="AR149">
        <v>32</v>
      </c>
      <c r="AS149">
        <v>79</v>
      </c>
      <c r="AT149">
        <v>17</v>
      </c>
      <c r="AU149" s="27">
        <v>23223</v>
      </c>
      <c r="AV149" s="20"/>
      <c r="AW149" s="20"/>
      <c r="AX149" s="20"/>
      <c r="AY149" s="20"/>
    </row>
    <row r="150" spans="1:51">
      <c r="A150" s="27">
        <v>43466</v>
      </c>
      <c r="B150" s="20" t="s">
        <v>112</v>
      </c>
      <c r="C150" s="20" t="s">
        <v>980</v>
      </c>
      <c r="D150">
        <v>64</v>
      </c>
      <c r="E150">
        <v>64</v>
      </c>
      <c r="F150">
        <v>219</v>
      </c>
      <c r="G150">
        <v>219</v>
      </c>
      <c r="H150" s="20" t="s">
        <v>1585</v>
      </c>
      <c r="I150" s="20" t="s">
        <v>935</v>
      </c>
      <c r="J150" s="20" t="s">
        <v>936</v>
      </c>
      <c r="K150" s="20" t="s">
        <v>937</v>
      </c>
      <c r="M150">
        <v>1486</v>
      </c>
      <c r="N150">
        <v>1493</v>
      </c>
      <c r="O150">
        <v>6945</v>
      </c>
      <c r="P150">
        <v>4.67</v>
      </c>
      <c r="R150">
        <v>3314</v>
      </c>
      <c r="S150">
        <v>3314</v>
      </c>
      <c r="T150">
        <v>570</v>
      </c>
      <c r="U150">
        <v>0.38700000000000001</v>
      </c>
      <c r="V150">
        <v>18</v>
      </c>
      <c r="W150">
        <v>1</v>
      </c>
      <c r="X150">
        <v>35</v>
      </c>
      <c r="Y150">
        <v>41833</v>
      </c>
      <c r="Z150">
        <v>757179</v>
      </c>
      <c r="AA150">
        <v>17.38</v>
      </c>
      <c r="AB150">
        <v>757179</v>
      </c>
      <c r="AC150">
        <v>17.38</v>
      </c>
      <c r="AD150">
        <v>149778</v>
      </c>
      <c r="AE150">
        <v>13032612</v>
      </c>
      <c r="AF150">
        <v>0.1978</v>
      </c>
      <c r="AG150">
        <v>191</v>
      </c>
      <c r="AH150">
        <v>26894981</v>
      </c>
      <c r="AI150">
        <v>3854</v>
      </c>
      <c r="AJ150">
        <v>565</v>
      </c>
      <c r="AK150" s="20" t="s">
        <v>985</v>
      </c>
      <c r="AL150" s="20" t="s">
        <v>956</v>
      </c>
      <c r="AM150" s="20" t="s">
        <v>1586</v>
      </c>
      <c r="AN150" s="20" t="s">
        <v>984</v>
      </c>
      <c r="AO150" s="20" t="s">
        <v>963</v>
      </c>
      <c r="AP150">
        <v>11</v>
      </c>
      <c r="AQ150">
        <v>13</v>
      </c>
      <c r="AR150">
        <v>30</v>
      </c>
      <c r="AS150">
        <v>68</v>
      </c>
      <c r="AT150">
        <v>8</v>
      </c>
      <c r="AU150" s="27">
        <v>21790</v>
      </c>
      <c r="AV150" s="20"/>
      <c r="AW150" s="20"/>
      <c r="AX150" s="20"/>
      <c r="AY150" s="20"/>
    </row>
    <row r="151" spans="1:51">
      <c r="A151" s="27">
        <v>43466</v>
      </c>
      <c r="B151" s="20" t="s">
        <v>83</v>
      </c>
      <c r="C151" s="20" t="s">
        <v>1587</v>
      </c>
      <c r="D151">
        <v>17</v>
      </c>
      <c r="E151">
        <v>17</v>
      </c>
      <c r="F151">
        <v>516</v>
      </c>
      <c r="G151">
        <v>516</v>
      </c>
      <c r="H151" s="20" t="s">
        <v>1588</v>
      </c>
      <c r="I151" s="20" t="s">
        <v>935</v>
      </c>
      <c r="J151" s="20" t="s">
        <v>936</v>
      </c>
      <c r="K151" s="20" t="s">
        <v>937</v>
      </c>
      <c r="M151">
        <v>1296</v>
      </c>
      <c r="N151">
        <v>1310</v>
      </c>
      <c r="O151">
        <v>6121</v>
      </c>
      <c r="P151">
        <v>4.72</v>
      </c>
      <c r="R151">
        <v>3076</v>
      </c>
      <c r="S151">
        <v>3076</v>
      </c>
      <c r="T151">
        <v>488</v>
      </c>
      <c r="U151">
        <v>0.38200000000000001</v>
      </c>
      <c r="V151">
        <v>10</v>
      </c>
      <c r="W151">
        <v>0</v>
      </c>
      <c r="X151">
        <v>17</v>
      </c>
      <c r="Y151">
        <v>14</v>
      </c>
      <c r="Z151">
        <v>517632</v>
      </c>
      <c r="AA151">
        <v>11.88</v>
      </c>
      <c r="AB151">
        <v>456630</v>
      </c>
      <c r="AC151">
        <v>10.48</v>
      </c>
      <c r="AD151">
        <v>97804</v>
      </c>
      <c r="AE151">
        <v>10582024</v>
      </c>
      <c r="AF151">
        <v>0.18890000000000001</v>
      </c>
      <c r="AG151">
        <v>259</v>
      </c>
      <c r="AH151">
        <v>14348000</v>
      </c>
      <c r="AI151">
        <v>2337</v>
      </c>
      <c r="AJ151">
        <v>573</v>
      </c>
      <c r="AK151" s="20" t="s">
        <v>985</v>
      </c>
      <c r="AL151" s="20" t="s">
        <v>1586</v>
      </c>
      <c r="AM151" s="20" t="s">
        <v>956</v>
      </c>
      <c r="AN151" s="20" t="s">
        <v>1219</v>
      </c>
      <c r="AO151" s="20" t="s">
        <v>963</v>
      </c>
      <c r="AP151">
        <v>11</v>
      </c>
      <c r="AQ151">
        <v>13</v>
      </c>
      <c r="AR151">
        <v>30</v>
      </c>
      <c r="AS151">
        <v>68</v>
      </c>
      <c r="AT151">
        <v>8</v>
      </c>
      <c r="AU151" s="27">
        <v>17894</v>
      </c>
      <c r="AV151" s="20" t="s">
        <v>1050</v>
      </c>
      <c r="AW151" s="20"/>
      <c r="AX151" s="20"/>
      <c r="AY151" s="20"/>
    </row>
    <row r="152" spans="1:51">
      <c r="A152" s="27">
        <v>43466</v>
      </c>
      <c r="B152" s="20" t="s">
        <v>131</v>
      </c>
      <c r="C152" s="20" t="s">
        <v>1495</v>
      </c>
      <c r="D152">
        <v>30</v>
      </c>
      <c r="E152">
        <v>30</v>
      </c>
      <c r="F152">
        <v>518</v>
      </c>
      <c r="G152">
        <v>518</v>
      </c>
      <c r="H152" s="20" t="s">
        <v>1589</v>
      </c>
      <c r="I152" s="20" t="s">
        <v>935</v>
      </c>
      <c r="J152" s="20" t="s">
        <v>936</v>
      </c>
      <c r="K152" s="20" t="s">
        <v>937</v>
      </c>
      <c r="M152">
        <v>1377</v>
      </c>
      <c r="N152">
        <v>1379</v>
      </c>
      <c r="O152">
        <v>6342.5</v>
      </c>
      <c r="P152">
        <v>4.6100000000000003</v>
      </c>
      <c r="R152">
        <v>3013</v>
      </c>
      <c r="S152">
        <v>3013</v>
      </c>
      <c r="T152">
        <v>511</v>
      </c>
      <c r="U152">
        <v>0.375</v>
      </c>
      <c r="V152">
        <v>10</v>
      </c>
      <c r="W152">
        <v>0</v>
      </c>
      <c r="X152">
        <v>10</v>
      </c>
      <c r="Y152" t="s">
        <v>1020</v>
      </c>
      <c r="Z152">
        <v>599120</v>
      </c>
      <c r="AA152">
        <v>13.75</v>
      </c>
      <c r="AB152">
        <v>555560</v>
      </c>
      <c r="AC152">
        <v>12.75</v>
      </c>
      <c r="AD152">
        <v>98822</v>
      </c>
      <c r="AE152">
        <v>11745000</v>
      </c>
      <c r="AF152">
        <v>0.16489999999999999</v>
      </c>
      <c r="AG152">
        <v>219</v>
      </c>
      <c r="AH152">
        <v>19859000</v>
      </c>
      <c r="AI152">
        <v>3135</v>
      </c>
      <c r="AJ152">
        <v>559</v>
      </c>
      <c r="AK152" s="20" t="s">
        <v>1590</v>
      </c>
      <c r="AL152" s="20" t="s">
        <v>1591</v>
      </c>
      <c r="AM152" s="20" t="s">
        <v>1592</v>
      </c>
      <c r="AN152" s="20" t="s">
        <v>1593</v>
      </c>
      <c r="AO152" s="20" t="s">
        <v>963</v>
      </c>
      <c r="AP152">
        <v>10</v>
      </c>
      <c r="AQ152">
        <v>13</v>
      </c>
      <c r="AR152">
        <v>30</v>
      </c>
      <c r="AS152">
        <v>68</v>
      </c>
      <c r="AT152">
        <v>9</v>
      </c>
      <c r="AU152" s="27">
        <v>20029</v>
      </c>
      <c r="AV152" s="20" t="s">
        <v>1050</v>
      </c>
      <c r="AW152" s="20"/>
      <c r="AX152" s="20"/>
      <c r="AY152" s="20"/>
    </row>
    <row r="153" spans="1:51">
      <c r="A153" s="27">
        <v>43466</v>
      </c>
      <c r="B153" s="20" t="s">
        <v>84</v>
      </c>
      <c r="C153" s="20" t="s">
        <v>1594</v>
      </c>
      <c r="D153">
        <v>10</v>
      </c>
      <c r="E153">
        <v>10</v>
      </c>
      <c r="F153">
        <v>205</v>
      </c>
      <c r="G153">
        <v>205</v>
      </c>
      <c r="H153" s="20" t="s">
        <v>1595</v>
      </c>
      <c r="I153" s="20" t="s">
        <v>935</v>
      </c>
      <c r="J153" s="20" t="s">
        <v>936</v>
      </c>
      <c r="K153" s="20" t="s">
        <v>937</v>
      </c>
      <c r="M153">
        <v>1154</v>
      </c>
      <c r="N153">
        <v>1165</v>
      </c>
      <c r="O153">
        <v>4711</v>
      </c>
      <c r="P153">
        <v>4.08</v>
      </c>
      <c r="R153">
        <v>2408</v>
      </c>
      <c r="S153">
        <v>2408</v>
      </c>
      <c r="T153">
        <v>409</v>
      </c>
      <c r="U153">
        <v>0.36499999999999999</v>
      </c>
      <c r="V153">
        <v>16</v>
      </c>
      <c r="W153">
        <v>0</v>
      </c>
      <c r="X153">
        <v>35</v>
      </c>
      <c r="Y153">
        <v>6</v>
      </c>
      <c r="Z153">
        <v>695544</v>
      </c>
      <c r="AA153">
        <v>15.97</v>
      </c>
      <c r="AB153">
        <v>665526</v>
      </c>
      <c r="AC153">
        <v>15.28</v>
      </c>
      <c r="AD153">
        <v>129189</v>
      </c>
      <c r="AE153">
        <v>8037853</v>
      </c>
      <c r="AF153">
        <v>0.1857</v>
      </c>
      <c r="AG153">
        <v>151</v>
      </c>
      <c r="AH153">
        <v>5175100</v>
      </c>
      <c r="AI153">
        <v>1107</v>
      </c>
      <c r="AJ153">
        <v>504</v>
      </c>
      <c r="AK153" s="20" t="s">
        <v>1169</v>
      </c>
      <c r="AL153" s="20" t="s">
        <v>1596</v>
      </c>
      <c r="AM153" s="20" t="s">
        <v>1021</v>
      </c>
      <c r="AN153" s="20" t="s">
        <v>1597</v>
      </c>
      <c r="AO153" s="20" t="s">
        <v>950</v>
      </c>
      <c r="AP153" t="s">
        <v>1598</v>
      </c>
      <c r="AQ153">
        <v>8</v>
      </c>
      <c r="AR153">
        <v>25</v>
      </c>
      <c r="AS153" t="s">
        <v>1322</v>
      </c>
      <c r="AT153">
        <v>41</v>
      </c>
      <c r="AU153" s="27">
        <v>15280</v>
      </c>
      <c r="AV153" s="20"/>
      <c r="AW153" s="20"/>
      <c r="AX153" s="20"/>
      <c r="AY153" s="20"/>
    </row>
    <row r="154" spans="1:51">
      <c r="A154" s="27">
        <v>43466</v>
      </c>
      <c r="B154" s="20" t="s">
        <v>191</v>
      </c>
      <c r="C154" s="20" t="s">
        <v>1594</v>
      </c>
      <c r="D154">
        <v>161</v>
      </c>
      <c r="E154">
        <v>10</v>
      </c>
      <c r="F154">
        <v>268</v>
      </c>
      <c r="G154">
        <v>205</v>
      </c>
      <c r="H154" s="20" t="s">
        <v>1599</v>
      </c>
      <c r="I154" s="20" t="s">
        <v>935</v>
      </c>
      <c r="J154" s="20" t="s">
        <v>936</v>
      </c>
      <c r="K154" s="20" t="s">
        <v>1080</v>
      </c>
      <c r="M154">
        <v>182</v>
      </c>
      <c r="N154">
        <v>184</v>
      </c>
      <c r="O154">
        <v>637</v>
      </c>
      <c r="P154">
        <v>3.5</v>
      </c>
      <c r="R154">
        <v>203</v>
      </c>
      <c r="S154">
        <v>203</v>
      </c>
      <c r="T154">
        <v>168</v>
      </c>
      <c r="U154">
        <v>0.92800000000000005</v>
      </c>
      <c r="V154">
        <v>1</v>
      </c>
      <c r="W154">
        <v>0</v>
      </c>
      <c r="X154">
        <v>1</v>
      </c>
      <c r="Y154">
        <v>25</v>
      </c>
      <c r="Z154">
        <v>63254</v>
      </c>
      <c r="AA154">
        <v>1.45</v>
      </c>
      <c r="AB154">
        <v>63254</v>
      </c>
      <c r="AC154">
        <v>1.45</v>
      </c>
      <c r="AD154">
        <v>7110</v>
      </c>
      <c r="AE154">
        <v>1224082</v>
      </c>
      <c r="AF154">
        <v>0.1124</v>
      </c>
      <c r="AG154">
        <v>140</v>
      </c>
      <c r="AH154">
        <v>2986383</v>
      </c>
      <c r="AI154">
        <v>4637</v>
      </c>
      <c r="AJ154">
        <v>343</v>
      </c>
      <c r="AK154" s="20" t="s">
        <v>1021</v>
      </c>
      <c r="AL154" s="20" t="s">
        <v>1596</v>
      </c>
      <c r="AM154" s="20" t="s">
        <v>1597</v>
      </c>
      <c r="AN154" s="20" t="s">
        <v>1169</v>
      </c>
      <c r="AO154" s="20" t="s">
        <v>950</v>
      </c>
      <c r="AP154">
        <v>8</v>
      </c>
      <c r="AQ154">
        <v>8</v>
      </c>
      <c r="AR154">
        <v>25</v>
      </c>
      <c r="AS154">
        <v>56</v>
      </c>
      <c r="AT154">
        <v>41</v>
      </c>
      <c r="AU154" s="27">
        <v>24258</v>
      </c>
      <c r="AV154" s="20"/>
      <c r="AW154" s="20" t="s">
        <v>1081</v>
      </c>
      <c r="AX154" s="20"/>
      <c r="AY154" s="20"/>
    </row>
    <row r="155" spans="1:51">
      <c r="A155" s="27">
        <v>43466</v>
      </c>
      <c r="B155" s="20" t="s">
        <v>36</v>
      </c>
      <c r="C155" s="20" t="s">
        <v>1600</v>
      </c>
      <c r="D155">
        <v>76</v>
      </c>
      <c r="E155">
        <v>76</v>
      </c>
      <c r="F155">
        <v>221</v>
      </c>
      <c r="G155">
        <v>221</v>
      </c>
      <c r="H155" s="20" t="s">
        <v>1601</v>
      </c>
      <c r="I155" s="20" t="s">
        <v>935</v>
      </c>
      <c r="J155" s="20" t="s">
        <v>936</v>
      </c>
      <c r="K155" s="20" t="s">
        <v>937</v>
      </c>
      <c r="M155">
        <v>1091</v>
      </c>
      <c r="N155">
        <v>1094</v>
      </c>
      <c r="O155">
        <v>5097.5</v>
      </c>
      <c r="P155">
        <v>4.67</v>
      </c>
      <c r="R155">
        <v>2458</v>
      </c>
      <c r="S155">
        <v>2458</v>
      </c>
      <c r="T155">
        <v>488</v>
      </c>
      <c r="U155">
        <v>0.45</v>
      </c>
      <c r="V155">
        <v>9</v>
      </c>
      <c r="W155">
        <v>0</v>
      </c>
      <c r="X155">
        <v>9</v>
      </c>
      <c r="Y155">
        <v>16</v>
      </c>
      <c r="Z155">
        <v>469672</v>
      </c>
      <c r="AA155">
        <v>10.78</v>
      </c>
      <c r="AB155">
        <v>415455</v>
      </c>
      <c r="AC155">
        <v>9.5399999999999991</v>
      </c>
      <c r="AD155">
        <v>63621</v>
      </c>
      <c r="AE155">
        <v>8909852</v>
      </c>
      <c r="AF155">
        <v>0.13550000000000001</v>
      </c>
      <c r="AG155">
        <v>228</v>
      </c>
      <c r="AH155">
        <v>17157591</v>
      </c>
      <c r="AI155">
        <v>3356</v>
      </c>
      <c r="AJ155">
        <v>585</v>
      </c>
      <c r="AK155" s="20" t="s">
        <v>1602</v>
      </c>
      <c r="AL155" s="20" t="s">
        <v>1603</v>
      </c>
      <c r="AM155" s="20" t="s">
        <v>1604</v>
      </c>
      <c r="AN155" s="20" t="s">
        <v>1605</v>
      </c>
      <c r="AO155" s="20" t="s">
        <v>963</v>
      </c>
      <c r="AP155">
        <v>3</v>
      </c>
      <c r="AQ155">
        <v>7</v>
      </c>
      <c r="AR155">
        <v>26</v>
      </c>
      <c r="AS155">
        <v>65</v>
      </c>
      <c r="AT155">
        <v>1</v>
      </c>
      <c r="AU155" s="27">
        <v>21040</v>
      </c>
      <c r="AV155" s="20"/>
      <c r="AW155" s="20"/>
      <c r="AX155" s="20"/>
      <c r="AY155" s="20"/>
    </row>
    <row r="156" spans="1:51">
      <c r="A156" s="27">
        <v>43466</v>
      </c>
      <c r="B156" s="20" t="s">
        <v>103</v>
      </c>
      <c r="C156" s="20" t="s">
        <v>1600</v>
      </c>
      <c r="D156">
        <v>152</v>
      </c>
      <c r="E156">
        <v>76</v>
      </c>
      <c r="F156">
        <v>262</v>
      </c>
      <c r="G156">
        <v>221</v>
      </c>
      <c r="H156" s="20" t="s">
        <v>1606</v>
      </c>
      <c r="I156" s="20" t="s">
        <v>935</v>
      </c>
      <c r="J156" s="20" t="s">
        <v>936</v>
      </c>
      <c r="K156" s="20" t="s">
        <v>1080</v>
      </c>
      <c r="M156">
        <v>149</v>
      </c>
      <c r="N156">
        <v>150</v>
      </c>
      <c r="O156">
        <v>491.5</v>
      </c>
      <c r="P156">
        <v>3.3</v>
      </c>
      <c r="R156">
        <v>193</v>
      </c>
      <c r="S156">
        <v>193</v>
      </c>
      <c r="T156">
        <v>142</v>
      </c>
      <c r="U156">
        <v>0.95299999999999996</v>
      </c>
      <c r="V156">
        <v>1</v>
      </c>
      <c r="W156">
        <v>0</v>
      </c>
      <c r="X156">
        <v>1</v>
      </c>
      <c r="Y156">
        <v>16</v>
      </c>
      <c r="Z156">
        <v>26052</v>
      </c>
      <c r="AA156">
        <v>0.6</v>
      </c>
      <c r="AB156">
        <v>26052</v>
      </c>
      <c r="AC156">
        <v>0.6</v>
      </c>
      <c r="AD156">
        <v>5618</v>
      </c>
      <c r="AE156">
        <v>914382</v>
      </c>
      <c r="AF156">
        <v>0.21560000000000001</v>
      </c>
      <c r="AG156">
        <v>322</v>
      </c>
      <c r="AH156">
        <v>2876132</v>
      </c>
      <c r="AI156">
        <v>5645</v>
      </c>
      <c r="AJ156">
        <v>297</v>
      </c>
      <c r="AK156" s="20" t="s">
        <v>1605</v>
      </c>
      <c r="AL156" s="20" t="s">
        <v>1603</v>
      </c>
      <c r="AM156" s="20" t="s">
        <v>1602</v>
      </c>
      <c r="AN156" s="20" t="s">
        <v>1604</v>
      </c>
      <c r="AO156" s="20" t="s">
        <v>963</v>
      </c>
      <c r="AP156">
        <v>3</v>
      </c>
      <c r="AQ156">
        <v>7</v>
      </c>
      <c r="AR156">
        <v>26</v>
      </c>
      <c r="AS156">
        <v>65</v>
      </c>
      <c r="AT156">
        <v>1</v>
      </c>
      <c r="AU156" s="27">
        <v>23985</v>
      </c>
      <c r="AV156" s="20"/>
      <c r="AW156" s="20" t="s">
        <v>1081</v>
      </c>
      <c r="AX156" s="20"/>
      <c r="AY156" s="20"/>
    </row>
    <row r="157" spans="1:51">
      <c r="A157" s="27">
        <v>43466</v>
      </c>
      <c r="B157" s="20" t="s">
        <v>37</v>
      </c>
      <c r="C157" s="20" t="s">
        <v>1607</v>
      </c>
      <c r="D157">
        <v>122</v>
      </c>
      <c r="E157">
        <v>122</v>
      </c>
      <c r="F157">
        <v>247</v>
      </c>
      <c r="G157">
        <v>247</v>
      </c>
      <c r="H157" s="20" t="s">
        <v>1608</v>
      </c>
      <c r="I157" s="20" t="s">
        <v>935</v>
      </c>
      <c r="J157" s="20" t="s">
        <v>936</v>
      </c>
      <c r="K157" s="20" t="s">
        <v>937</v>
      </c>
      <c r="M157">
        <v>882</v>
      </c>
      <c r="N157">
        <v>882</v>
      </c>
      <c r="O157">
        <v>4385</v>
      </c>
      <c r="P157">
        <v>4.97</v>
      </c>
      <c r="R157">
        <v>2422</v>
      </c>
      <c r="S157">
        <v>2422</v>
      </c>
      <c r="T157">
        <v>286</v>
      </c>
      <c r="U157">
        <v>0.32700000000000001</v>
      </c>
      <c r="V157">
        <v>7</v>
      </c>
      <c r="W157">
        <v>0</v>
      </c>
      <c r="X157">
        <v>7</v>
      </c>
      <c r="Y157" t="s">
        <v>1609</v>
      </c>
      <c r="Z157">
        <v>334323</v>
      </c>
      <c r="AA157">
        <v>7.68</v>
      </c>
      <c r="AB157">
        <v>304776</v>
      </c>
      <c r="AC157">
        <v>7</v>
      </c>
      <c r="AD157">
        <v>58504</v>
      </c>
      <c r="AE157">
        <v>8369220</v>
      </c>
      <c r="AF157">
        <v>0.17499999999999999</v>
      </c>
      <c r="AG157">
        <v>315</v>
      </c>
      <c r="AH157">
        <v>14689766</v>
      </c>
      <c r="AI157">
        <v>3350</v>
      </c>
      <c r="AJ157">
        <v>609</v>
      </c>
      <c r="AK157" s="20" t="s">
        <v>1243</v>
      </c>
      <c r="AL157" s="20" t="s">
        <v>1610</v>
      </c>
      <c r="AM157" s="20" t="s">
        <v>1611</v>
      </c>
      <c r="AN157" s="20" t="s">
        <v>1612</v>
      </c>
      <c r="AO157" s="20" t="s">
        <v>950</v>
      </c>
      <c r="AP157">
        <v>3</v>
      </c>
      <c r="AQ157">
        <v>8</v>
      </c>
      <c r="AR157">
        <v>25</v>
      </c>
      <c r="AS157">
        <v>57</v>
      </c>
      <c r="AT157">
        <v>35</v>
      </c>
      <c r="AU157" s="27">
        <v>22858</v>
      </c>
      <c r="AV157" s="20"/>
      <c r="AW157" s="20"/>
      <c r="AX157" s="20"/>
      <c r="AY157" s="20"/>
    </row>
    <row r="158" spans="1:51">
      <c r="A158" s="27">
        <v>43466</v>
      </c>
      <c r="B158" s="20" t="s">
        <v>338</v>
      </c>
      <c r="C158" s="20" t="s">
        <v>1118</v>
      </c>
      <c r="D158">
        <v>186</v>
      </c>
      <c r="E158">
        <v>186</v>
      </c>
      <c r="F158">
        <v>290</v>
      </c>
      <c r="G158">
        <v>290</v>
      </c>
      <c r="H158" s="20" t="s">
        <v>1613</v>
      </c>
      <c r="I158" s="20" t="s">
        <v>935</v>
      </c>
      <c r="J158" s="20" t="s">
        <v>936</v>
      </c>
      <c r="K158" s="20" t="s">
        <v>937</v>
      </c>
      <c r="M158">
        <v>423</v>
      </c>
      <c r="N158">
        <v>423</v>
      </c>
      <c r="O158">
        <v>1708.5</v>
      </c>
      <c r="P158">
        <v>4.04</v>
      </c>
      <c r="R158">
        <v>792</v>
      </c>
      <c r="S158">
        <v>792</v>
      </c>
      <c r="T158">
        <v>217</v>
      </c>
      <c r="U158">
        <v>0.51300000000000001</v>
      </c>
      <c r="V158">
        <v>4</v>
      </c>
      <c r="W158">
        <v>0</v>
      </c>
      <c r="X158">
        <v>4</v>
      </c>
      <c r="Y158">
        <v>10</v>
      </c>
      <c r="Z158">
        <v>167134</v>
      </c>
      <c r="AA158">
        <v>3.84</v>
      </c>
      <c r="AB158">
        <v>167134</v>
      </c>
      <c r="AC158">
        <v>3.84</v>
      </c>
      <c r="AD158">
        <v>40077</v>
      </c>
      <c r="AE158">
        <v>3430247</v>
      </c>
      <c r="AF158">
        <v>0.23980000000000001</v>
      </c>
      <c r="AG158">
        <v>206</v>
      </c>
      <c r="AH158">
        <v>9310959</v>
      </c>
      <c r="AI158">
        <v>5442</v>
      </c>
      <c r="AJ158">
        <v>526</v>
      </c>
      <c r="AK158" s="20" t="s">
        <v>1614</v>
      </c>
      <c r="AL158" s="20" t="s">
        <v>1615</v>
      </c>
      <c r="AM158" s="20" t="s">
        <v>1616</v>
      </c>
      <c r="AN158" s="20" t="s">
        <v>1617</v>
      </c>
      <c r="AO158" s="20" t="s">
        <v>1049</v>
      </c>
      <c r="AP158">
        <v>7</v>
      </c>
      <c r="AQ158">
        <v>6</v>
      </c>
      <c r="AR158">
        <v>11</v>
      </c>
      <c r="AS158">
        <v>40</v>
      </c>
      <c r="AT158">
        <v>20</v>
      </c>
      <c r="AU158" s="27">
        <v>25841</v>
      </c>
      <c r="AV158" s="20"/>
      <c r="AW158" s="20"/>
      <c r="AX158" s="20"/>
      <c r="AY158" s="20"/>
    </row>
    <row r="159" spans="1:51">
      <c r="A159" s="27">
        <v>43466</v>
      </c>
      <c r="B159" s="20" t="s">
        <v>1618</v>
      </c>
      <c r="C159" s="20" t="s">
        <v>1619</v>
      </c>
      <c r="D159">
        <v>310</v>
      </c>
      <c r="E159">
        <v>310</v>
      </c>
      <c r="F159">
        <v>578</v>
      </c>
      <c r="G159">
        <v>578</v>
      </c>
      <c r="H159" s="20" t="s">
        <v>1620</v>
      </c>
      <c r="I159" s="20" t="s">
        <v>935</v>
      </c>
      <c r="J159" s="20" t="s">
        <v>936</v>
      </c>
      <c r="K159" s="20" t="s">
        <v>953</v>
      </c>
      <c r="M159">
        <v>95</v>
      </c>
      <c r="N159">
        <v>104</v>
      </c>
      <c r="O159">
        <v>391.5</v>
      </c>
      <c r="P159">
        <v>4.12</v>
      </c>
      <c r="V159">
        <v>1</v>
      </c>
      <c r="X159">
        <v>6</v>
      </c>
      <c r="Y159">
        <v>6</v>
      </c>
      <c r="Z159">
        <v>23032</v>
      </c>
      <c r="AA159">
        <v>0.53</v>
      </c>
      <c r="AB159">
        <v>23032</v>
      </c>
      <c r="AC159">
        <v>0.53</v>
      </c>
      <c r="AD159">
        <v>12882</v>
      </c>
      <c r="AE159">
        <v>937200</v>
      </c>
      <c r="AF159">
        <v>0.55930000000000002</v>
      </c>
      <c r="AH159">
        <v>5742000</v>
      </c>
      <c r="AI159">
        <v>12903</v>
      </c>
      <c r="AK159" s="20" t="s">
        <v>1075</v>
      </c>
      <c r="AL159" s="20" t="s">
        <v>1621</v>
      </c>
      <c r="AM159" s="20" t="s">
        <v>1622</v>
      </c>
      <c r="AN159" s="20" t="s">
        <v>1623</v>
      </c>
      <c r="AO159" s="20" t="s">
        <v>963</v>
      </c>
      <c r="AP159">
        <v>3</v>
      </c>
      <c r="AQ159">
        <v>7</v>
      </c>
      <c r="AR159">
        <v>26</v>
      </c>
      <c r="AS159">
        <v>74</v>
      </c>
      <c r="AT159">
        <v>2</v>
      </c>
      <c r="AU159" s="27">
        <v>30951</v>
      </c>
      <c r="AV159" s="20"/>
      <c r="AW159" s="20"/>
      <c r="AX159" s="20"/>
      <c r="AY159" s="20"/>
    </row>
    <row r="160" spans="1:51">
      <c r="A160" s="27">
        <v>43466</v>
      </c>
      <c r="B160" s="20" t="s">
        <v>339</v>
      </c>
      <c r="C160" s="20" t="s">
        <v>1118</v>
      </c>
      <c r="D160">
        <v>201</v>
      </c>
      <c r="E160">
        <v>186</v>
      </c>
      <c r="F160">
        <v>386</v>
      </c>
      <c r="G160">
        <v>290</v>
      </c>
      <c r="H160" s="20" t="s">
        <v>1624</v>
      </c>
      <c r="I160" s="20" t="s">
        <v>935</v>
      </c>
      <c r="J160" s="20" t="s">
        <v>945</v>
      </c>
      <c r="K160" s="20" t="s">
        <v>1080</v>
      </c>
      <c r="M160">
        <v>83</v>
      </c>
      <c r="N160">
        <v>83</v>
      </c>
      <c r="O160">
        <v>272.5</v>
      </c>
      <c r="P160">
        <v>3.28</v>
      </c>
      <c r="R160">
        <v>104</v>
      </c>
      <c r="S160">
        <v>104</v>
      </c>
      <c r="T160">
        <v>76</v>
      </c>
      <c r="U160">
        <v>0.91600000000000004</v>
      </c>
      <c r="V160">
        <v>1</v>
      </c>
      <c r="W160">
        <v>0</v>
      </c>
      <c r="X160">
        <v>1</v>
      </c>
      <c r="Y160">
        <v>6</v>
      </c>
      <c r="Z160">
        <v>20013</v>
      </c>
      <c r="AA160">
        <v>0.46</v>
      </c>
      <c r="AB160">
        <v>20013</v>
      </c>
      <c r="AC160">
        <v>0.46</v>
      </c>
      <c r="AD160">
        <v>8465</v>
      </c>
      <c r="AE160">
        <v>571608</v>
      </c>
      <c r="AF160">
        <v>0.42299999999999999</v>
      </c>
      <c r="AG160">
        <v>226</v>
      </c>
      <c r="AH160">
        <v>2606744</v>
      </c>
      <c r="AI160">
        <v>9244</v>
      </c>
      <c r="AJ160">
        <v>309</v>
      </c>
      <c r="AK160" s="20" t="s">
        <v>1616</v>
      </c>
      <c r="AL160" s="20" t="s">
        <v>947</v>
      </c>
      <c r="AM160" s="20" t="s">
        <v>1625</v>
      </c>
      <c r="AN160" s="20" t="s">
        <v>1626</v>
      </c>
      <c r="AO160" s="20" t="s">
        <v>1049</v>
      </c>
      <c r="AP160">
        <v>7</v>
      </c>
      <c r="AQ160">
        <v>6</v>
      </c>
      <c r="AR160">
        <v>11</v>
      </c>
      <c r="AS160">
        <v>40</v>
      </c>
      <c r="AT160">
        <v>20</v>
      </c>
      <c r="AU160" s="27">
        <v>27333</v>
      </c>
      <c r="AV160" s="20"/>
      <c r="AW160" s="20" t="s">
        <v>1081</v>
      </c>
      <c r="AX160" s="20"/>
      <c r="AY160" s="20"/>
    </row>
    <row r="161" spans="1:51">
      <c r="A161" s="27">
        <v>43466</v>
      </c>
      <c r="B161" s="20" t="s">
        <v>146</v>
      </c>
      <c r="C161" s="20" t="s">
        <v>1627</v>
      </c>
      <c r="D161">
        <v>101</v>
      </c>
      <c r="E161">
        <v>101</v>
      </c>
      <c r="F161">
        <v>238</v>
      </c>
      <c r="G161">
        <v>238</v>
      </c>
      <c r="H161" s="20" t="s">
        <v>1628</v>
      </c>
      <c r="I161" s="20" t="s">
        <v>935</v>
      </c>
      <c r="J161" s="20" t="s">
        <v>936</v>
      </c>
      <c r="K161" s="20" t="s">
        <v>937</v>
      </c>
      <c r="M161">
        <v>617</v>
      </c>
      <c r="N161">
        <v>622</v>
      </c>
      <c r="O161">
        <v>2893.5</v>
      </c>
      <c r="P161">
        <v>4.6900000000000004</v>
      </c>
      <c r="R161">
        <v>1477</v>
      </c>
      <c r="S161">
        <v>1477</v>
      </c>
      <c r="T161">
        <v>237</v>
      </c>
      <c r="U161">
        <v>0.38500000000000001</v>
      </c>
      <c r="V161">
        <v>4</v>
      </c>
      <c r="W161">
        <v>1</v>
      </c>
      <c r="X161">
        <v>5</v>
      </c>
      <c r="Y161">
        <v>20</v>
      </c>
      <c r="Z161">
        <v>177426</v>
      </c>
      <c r="AA161">
        <v>4.07</v>
      </c>
      <c r="AB161">
        <v>177426</v>
      </c>
      <c r="AC161">
        <v>4.07</v>
      </c>
      <c r="AD161">
        <v>28904</v>
      </c>
      <c r="AE161">
        <v>5367611</v>
      </c>
      <c r="AF161">
        <v>0.16289999999999999</v>
      </c>
      <c r="AG161">
        <v>363</v>
      </c>
      <c r="AH161">
        <v>11549370</v>
      </c>
      <c r="AI161">
        <v>3959</v>
      </c>
      <c r="AJ161">
        <v>558</v>
      </c>
      <c r="AK161" s="20" t="s">
        <v>1209</v>
      </c>
      <c r="AL161" s="20" t="s">
        <v>1219</v>
      </c>
      <c r="AM161" s="20" t="s">
        <v>1238</v>
      </c>
      <c r="AN161" s="20" t="s">
        <v>1285</v>
      </c>
      <c r="AO161" s="20" t="s">
        <v>963</v>
      </c>
      <c r="AP161">
        <v>11</v>
      </c>
      <c r="AQ161">
        <v>13</v>
      </c>
      <c r="AR161">
        <v>30</v>
      </c>
      <c r="AS161">
        <v>68</v>
      </c>
      <c r="AT161">
        <v>8</v>
      </c>
      <c r="AU161" s="27">
        <v>23345</v>
      </c>
      <c r="AV161" s="20"/>
      <c r="AW161" s="20"/>
      <c r="AX161" s="20"/>
      <c r="AY161" s="20"/>
    </row>
    <row r="162" spans="1:51">
      <c r="A162" s="27">
        <v>43466</v>
      </c>
      <c r="B162" s="20" t="s">
        <v>340</v>
      </c>
      <c r="C162" s="20" t="s">
        <v>943</v>
      </c>
      <c r="D162">
        <v>348</v>
      </c>
      <c r="E162">
        <v>167</v>
      </c>
      <c r="F162">
        <v>763</v>
      </c>
      <c r="G162">
        <v>763</v>
      </c>
      <c r="H162" s="20" t="s">
        <v>1629</v>
      </c>
      <c r="I162" s="20" t="s">
        <v>935</v>
      </c>
      <c r="J162" s="20" t="s">
        <v>945</v>
      </c>
      <c r="K162" s="20" t="s">
        <v>953</v>
      </c>
      <c r="M162">
        <v>74</v>
      </c>
      <c r="N162">
        <v>74</v>
      </c>
      <c r="O162">
        <v>327</v>
      </c>
      <c r="P162">
        <v>4.42</v>
      </c>
      <c r="R162">
        <v>166</v>
      </c>
      <c r="S162">
        <v>166</v>
      </c>
      <c r="T162">
        <v>18</v>
      </c>
      <c r="U162">
        <v>0.24299999999999999</v>
      </c>
      <c r="V162">
        <v>3</v>
      </c>
      <c r="W162">
        <v>0</v>
      </c>
      <c r="X162">
        <v>3</v>
      </c>
      <c r="Y162">
        <v>4</v>
      </c>
      <c r="Z162">
        <v>24000</v>
      </c>
      <c r="AA162">
        <v>0.55000000000000004</v>
      </c>
      <c r="AB162">
        <v>24000</v>
      </c>
      <c r="AC162">
        <v>0.55000000000000004</v>
      </c>
      <c r="AD162">
        <v>18791</v>
      </c>
      <c r="AE162">
        <v>943450</v>
      </c>
      <c r="AF162">
        <v>0.78300000000000003</v>
      </c>
      <c r="AG162">
        <v>302</v>
      </c>
      <c r="AH162">
        <v>4669919</v>
      </c>
      <c r="AI162">
        <v>14281</v>
      </c>
      <c r="AJ162">
        <v>627</v>
      </c>
      <c r="AK162" s="20" t="s">
        <v>1630</v>
      </c>
      <c r="AL162" s="20" t="s">
        <v>1631</v>
      </c>
      <c r="AM162" s="20" t="s">
        <v>1632</v>
      </c>
      <c r="AN162" s="20" t="s">
        <v>1633</v>
      </c>
      <c r="AO162" s="20" t="s">
        <v>950</v>
      </c>
      <c r="AP162">
        <v>17</v>
      </c>
      <c r="AQ162">
        <v>9</v>
      </c>
      <c r="AR162">
        <v>20</v>
      </c>
      <c r="AS162" t="s">
        <v>1634</v>
      </c>
      <c r="AT162">
        <v>41</v>
      </c>
      <c r="AU162" s="27">
        <v>31291</v>
      </c>
      <c r="AV162" s="20"/>
      <c r="AW162" s="20"/>
      <c r="AX162" s="20" t="s">
        <v>974</v>
      </c>
      <c r="AY162" s="20"/>
    </row>
    <row r="163" spans="1:51">
      <c r="A163" s="27">
        <v>43466</v>
      </c>
      <c r="B163" s="20" t="s">
        <v>125</v>
      </c>
      <c r="C163" s="20" t="s">
        <v>1635</v>
      </c>
      <c r="D163">
        <v>50</v>
      </c>
      <c r="E163">
        <v>62</v>
      </c>
      <c r="F163">
        <v>374</v>
      </c>
      <c r="G163">
        <v>217</v>
      </c>
      <c r="H163" s="20" t="s">
        <v>1636</v>
      </c>
      <c r="I163" s="20" t="s">
        <v>935</v>
      </c>
      <c r="J163" s="20" t="s">
        <v>936</v>
      </c>
      <c r="K163" s="20" t="s">
        <v>937</v>
      </c>
      <c r="M163">
        <v>448</v>
      </c>
      <c r="N163">
        <v>448</v>
      </c>
      <c r="O163">
        <v>1901</v>
      </c>
      <c r="P163">
        <v>4.24</v>
      </c>
      <c r="R163">
        <v>817</v>
      </c>
      <c r="S163">
        <v>817</v>
      </c>
      <c r="T163">
        <v>209</v>
      </c>
      <c r="U163">
        <v>0.47099999999999997</v>
      </c>
      <c r="V163">
        <v>4</v>
      </c>
      <c r="W163">
        <v>0</v>
      </c>
      <c r="X163">
        <v>4</v>
      </c>
      <c r="Y163">
        <v>14</v>
      </c>
      <c r="Z163">
        <v>151467</v>
      </c>
      <c r="AA163">
        <v>3.48</v>
      </c>
      <c r="AB163">
        <v>151467</v>
      </c>
      <c r="AC163">
        <v>3.48</v>
      </c>
      <c r="AD163">
        <v>35222</v>
      </c>
      <c r="AE163">
        <v>3879000</v>
      </c>
      <c r="AF163">
        <v>0.23250000000000001</v>
      </c>
      <c r="AG163">
        <v>235</v>
      </c>
      <c r="AH163">
        <v>4780152</v>
      </c>
      <c r="AI163">
        <v>2515</v>
      </c>
      <c r="AJ163">
        <v>548</v>
      </c>
      <c r="AK163" s="20" t="s">
        <v>1631</v>
      </c>
      <c r="AL163" s="20" t="s">
        <v>956</v>
      </c>
      <c r="AM163" s="20" t="s">
        <v>1237</v>
      </c>
      <c r="AN163" s="20" t="s">
        <v>1219</v>
      </c>
      <c r="AO163" s="20" t="s">
        <v>963</v>
      </c>
      <c r="AP163">
        <v>11</v>
      </c>
      <c r="AQ163">
        <v>13</v>
      </c>
      <c r="AR163">
        <v>30</v>
      </c>
      <c r="AS163">
        <v>68</v>
      </c>
      <c r="AT163">
        <v>5</v>
      </c>
      <c r="AU163" s="27">
        <v>18703</v>
      </c>
      <c r="AV163" s="20" t="s">
        <v>1357</v>
      </c>
      <c r="AW163" s="20"/>
      <c r="AX163" s="20"/>
      <c r="AY163" s="20"/>
    </row>
    <row r="164" spans="1:51">
      <c r="A164" s="27">
        <v>43466</v>
      </c>
      <c r="B164" s="20" t="s">
        <v>113</v>
      </c>
      <c r="C164" s="20" t="s">
        <v>1637</v>
      </c>
      <c r="D164">
        <v>20</v>
      </c>
      <c r="E164">
        <v>20</v>
      </c>
      <c r="F164">
        <v>513</v>
      </c>
      <c r="G164">
        <v>513</v>
      </c>
      <c r="H164" s="20" t="s">
        <v>1638</v>
      </c>
      <c r="I164" s="20" t="s">
        <v>935</v>
      </c>
      <c r="J164" s="20" t="s">
        <v>936</v>
      </c>
      <c r="K164" s="20" t="s">
        <v>937</v>
      </c>
      <c r="M164">
        <v>1280</v>
      </c>
      <c r="N164">
        <v>1286</v>
      </c>
      <c r="O164">
        <v>6099</v>
      </c>
      <c r="P164">
        <v>4.76</v>
      </c>
      <c r="R164">
        <v>2986</v>
      </c>
      <c r="S164">
        <v>2986</v>
      </c>
      <c r="T164">
        <v>429</v>
      </c>
      <c r="U164">
        <v>0.33900000000000002</v>
      </c>
      <c r="V164">
        <v>14</v>
      </c>
      <c r="W164">
        <v>0</v>
      </c>
      <c r="X164">
        <v>20</v>
      </c>
      <c r="Y164">
        <v>43630</v>
      </c>
      <c r="Z164">
        <v>551740</v>
      </c>
      <c r="AA164">
        <v>12.67</v>
      </c>
      <c r="AB164">
        <v>508561</v>
      </c>
      <c r="AC164">
        <v>11.67</v>
      </c>
      <c r="AD164">
        <v>106738</v>
      </c>
      <c r="AE164">
        <v>10743035</v>
      </c>
      <c r="AF164">
        <v>0.19350000000000001</v>
      </c>
      <c r="AG164">
        <v>236</v>
      </c>
      <c r="AH164">
        <v>14324000</v>
      </c>
      <c r="AI164">
        <v>2358</v>
      </c>
      <c r="AJ164">
        <v>517</v>
      </c>
      <c r="AK164" s="20" t="s">
        <v>1639</v>
      </c>
      <c r="AL164" s="20" t="s">
        <v>1640</v>
      </c>
      <c r="AM164" s="20" t="s">
        <v>1593</v>
      </c>
      <c r="AN164" s="20" t="s">
        <v>1219</v>
      </c>
      <c r="AO164" s="20" t="s">
        <v>963</v>
      </c>
      <c r="AP164">
        <v>11</v>
      </c>
      <c r="AQ164">
        <v>13</v>
      </c>
      <c r="AR164">
        <v>30</v>
      </c>
      <c r="AS164">
        <v>70</v>
      </c>
      <c r="AT164">
        <v>9</v>
      </c>
      <c r="AU164" s="27">
        <v>17896</v>
      </c>
      <c r="AV164" s="20" t="s">
        <v>1050</v>
      </c>
      <c r="AW164" s="20"/>
      <c r="AX164" s="20"/>
      <c r="AY164" s="20"/>
    </row>
    <row r="165" spans="1:51">
      <c r="A165" s="27">
        <v>43466</v>
      </c>
      <c r="B165" s="20" t="s">
        <v>341</v>
      </c>
      <c r="C165" s="20" t="s">
        <v>1641</v>
      </c>
      <c r="D165">
        <v>95</v>
      </c>
      <c r="E165">
        <v>95</v>
      </c>
      <c r="F165">
        <v>672</v>
      </c>
      <c r="G165">
        <v>672</v>
      </c>
      <c r="H165" s="20" t="s">
        <v>1642</v>
      </c>
      <c r="I165" s="20" t="s">
        <v>988</v>
      </c>
      <c r="J165" s="20" t="s">
        <v>936</v>
      </c>
      <c r="K165" s="20" t="s">
        <v>937</v>
      </c>
      <c r="L165">
        <v>474</v>
      </c>
      <c r="M165">
        <v>1586</v>
      </c>
      <c r="N165">
        <v>1586</v>
      </c>
      <c r="O165">
        <v>7311</v>
      </c>
      <c r="P165">
        <v>4.6100000000000003</v>
      </c>
      <c r="Q165">
        <v>1298</v>
      </c>
      <c r="R165">
        <v>2313</v>
      </c>
      <c r="S165">
        <v>3611</v>
      </c>
      <c r="T165">
        <v>582</v>
      </c>
      <c r="U165">
        <v>0.379</v>
      </c>
      <c r="V165">
        <v>19</v>
      </c>
      <c r="W165">
        <v>2</v>
      </c>
      <c r="X165">
        <v>21</v>
      </c>
      <c r="Y165">
        <v>43691</v>
      </c>
      <c r="Z165">
        <v>1299426</v>
      </c>
      <c r="AA165">
        <v>29.83</v>
      </c>
      <c r="AB165">
        <v>1299426</v>
      </c>
      <c r="AC165">
        <v>29.83</v>
      </c>
      <c r="AD165">
        <v>173020</v>
      </c>
      <c r="AE165">
        <v>14333039</v>
      </c>
      <c r="AF165">
        <v>0.13059999999999999</v>
      </c>
      <c r="AG165">
        <v>121</v>
      </c>
      <c r="AH165">
        <v>20230969</v>
      </c>
      <c r="AI165">
        <v>2767</v>
      </c>
      <c r="AJ165">
        <v>563</v>
      </c>
      <c r="AK165" s="20" t="s">
        <v>1643</v>
      </c>
      <c r="AL165" s="20" t="s">
        <v>1161</v>
      </c>
      <c r="AM165" s="20" t="s">
        <v>1147</v>
      </c>
      <c r="AN165" s="20" t="s">
        <v>1644</v>
      </c>
      <c r="AO165" s="20" t="s">
        <v>950</v>
      </c>
      <c r="AP165">
        <v>5</v>
      </c>
      <c r="AQ165">
        <v>8</v>
      </c>
      <c r="AR165">
        <v>19</v>
      </c>
      <c r="AS165">
        <v>60</v>
      </c>
      <c r="AT165">
        <v>42</v>
      </c>
      <c r="AU165" s="27">
        <v>21383</v>
      </c>
      <c r="AV165" s="20"/>
      <c r="AW165" s="20"/>
      <c r="AX165" s="20"/>
      <c r="AY165" s="20"/>
    </row>
    <row r="166" spans="1:51">
      <c r="A166" s="27">
        <v>43466</v>
      </c>
      <c r="B166" s="20" t="s">
        <v>208</v>
      </c>
      <c r="C166" s="20" t="s">
        <v>1439</v>
      </c>
      <c r="D166">
        <v>276</v>
      </c>
      <c r="E166">
        <v>261</v>
      </c>
      <c r="F166">
        <v>502</v>
      </c>
      <c r="G166">
        <v>375</v>
      </c>
      <c r="H166" s="20" t="s">
        <v>1645</v>
      </c>
      <c r="I166" s="20" t="s">
        <v>935</v>
      </c>
      <c r="J166" s="20" t="s">
        <v>936</v>
      </c>
      <c r="K166" s="20" t="s">
        <v>953</v>
      </c>
      <c r="M166">
        <v>229</v>
      </c>
      <c r="N166">
        <v>232</v>
      </c>
      <c r="O166">
        <v>1039.5</v>
      </c>
      <c r="P166">
        <v>4.54</v>
      </c>
      <c r="R166">
        <v>526</v>
      </c>
      <c r="S166">
        <v>526</v>
      </c>
      <c r="T166">
        <v>63</v>
      </c>
      <c r="U166">
        <v>0.28299999999999997</v>
      </c>
      <c r="V166">
        <v>4</v>
      </c>
      <c r="W166">
        <v>0</v>
      </c>
      <c r="X166">
        <v>4</v>
      </c>
      <c r="Y166">
        <v>6</v>
      </c>
      <c r="Z166">
        <v>78700</v>
      </c>
      <c r="AA166">
        <v>1.81</v>
      </c>
      <c r="AB166">
        <v>78700</v>
      </c>
      <c r="AC166">
        <v>1.81</v>
      </c>
      <c r="AD166">
        <v>37700</v>
      </c>
      <c r="AE166">
        <v>2490500</v>
      </c>
      <c r="AF166">
        <v>0.47899999999999998</v>
      </c>
      <c r="AG166">
        <v>291</v>
      </c>
      <c r="AH166">
        <v>11627063</v>
      </c>
      <c r="AI166">
        <v>11010</v>
      </c>
      <c r="AJ166">
        <v>540</v>
      </c>
      <c r="AK166" s="20" t="s">
        <v>948</v>
      </c>
      <c r="AL166" s="20" t="s">
        <v>1646</v>
      </c>
      <c r="AM166" s="20" t="s">
        <v>1184</v>
      </c>
      <c r="AN166" s="20" t="s">
        <v>1647</v>
      </c>
      <c r="AO166" s="20" t="s">
        <v>950</v>
      </c>
      <c r="AP166">
        <v>5</v>
      </c>
      <c r="AQ166">
        <v>8</v>
      </c>
      <c r="AR166">
        <v>19</v>
      </c>
      <c r="AS166">
        <v>60</v>
      </c>
      <c r="AT166">
        <v>42</v>
      </c>
      <c r="AU166" s="27">
        <v>29767</v>
      </c>
      <c r="AV166" s="20"/>
      <c r="AW166" s="20"/>
      <c r="AX166" s="20" t="s">
        <v>974</v>
      </c>
      <c r="AY166" s="20"/>
    </row>
    <row r="167" spans="1:51">
      <c r="A167" s="27">
        <v>43466</v>
      </c>
      <c r="B167" s="20" t="s">
        <v>287</v>
      </c>
      <c r="C167" s="20" t="s">
        <v>1187</v>
      </c>
      <c r="D167">
        <v>362</v>
      </c>
      <c r="E167">
        <v>530</v>
      </c>
      <c r="F167">
        <v>794</v>
      </c>
      <c r="G167">
        <v>748</v>
      </c>
      <c r="H167" s="20" t="s">
        <v>1648</v>
      </c>
      <c r="I167" s="20" t="s">
        <v>935</v>
      </c>
      <c r="J167" s="20" t="s">
        <v>945</v>
      </c>
      <c r="K167" s="20" t="s">
        <v>953</v>
      </c>
      <c r="M167">
        <v>75</v>
      </c>
      <c r="N167">
        <v>75</v>
      </c>
      <c r="O167">
        <v>412.5</v>
      </c>
      <c r="P167">
        <v>5.5</v>
      </c>
      <c r="R167">
        <v>278</v>
      </c>
      <c r="S167">
        <v>278</v>
      </c>
      <c r="T167">
        <v>7</v>
      </c>
      <c r="U167">
        <v>9.5000000000000001E-2</v>
      </c>
      <c r="V167">
        <v>2</v>
      </c>
      <c r="W167">
        <v>0</v>
      </c>
      <c r="X167">
        <v>2</v>
      </c>
      <c r="Y167">
        <v>5</v>
      </c>
      <c r="Z167">
        <v>26724</v>
      </c>
      <c r="AA167">
        <v>0.61</v>
      </c>
      <c r="AB167">
        <v>26724</v>
      </c>
      <c r="AC167">
        <v>0.61</v>
      </c>
      <c r="AD167">
        <v>16773</v>
      </c>
      <c r="AE167">
        <v>1060415</v>
      </c>
      <c r="AF167">
        <v>0.62760000000000005</v>
      </c>
      <c r="AG167">
        <v>456</v>
      </c>
      <c r="AH167">
        <v>7044209</v>
      </c>
      <c r="AI167">
        <v>17077</v>
      </c>
      <c r="AJ167">
        <v>666</v>
      </c>
      <c r="AK167" s="20" t="s">
        <v>1010</v>
      </c>
      <c r="AL167" s="20" t="s">
        <v>1649</v>
      </c>
      <c r="AM167" s="20" t="s">
        <v>1269</v>
      </c>
      <c r="AN167" s="20" t="s">
        <v>939</v>
      </c>
      <c r="AO167" s="20" t="s">
        <v>942</v>
      </c>
      <c r="AP167">
        <v>2</v>
      </c>
      <c r="AQ167">
        <v>15</v>
      </c>
      <c r="AR167">
        <v>32</v>
      </c>
      <c r="AS167">
        <v>85</v>
      </c>
      <c r="AT167">
        <v>17</v>
      </c>
      <c r="AU167" s="27">
        <v>33177</v>
      </c>
      <c r="AV167" s="20"/>
      <c r="AW167" s="20"/>
      <c r="AX167" s="20" t="s">
        <v>974</v>
      </c>
      <c r="AY167" s="20" t="s">
        <v>974</v>
      </c>
    </row>
    <row r="168" spans="1:51">
      <c r="A168" s="27">
        <v>43466</v>
      </c>
      <c r="B168" s="20" t="s">
        <v>192</v>
      </c>
      <c r="C168" s="20" t="s">
        <v>1473</v>
      </c>
      <c r="D168">
        <v>169</v>
      </c>
      <c r="E168">
        <v>169</v>
      </c>
      <c r="F168">
        <v>276</v>
      </c>
      <c r="G168">
        <v>276</v>
      </c>
      <c r="H168" s="20" t="s">
        <v>1650</v>
      </c>
      <c r="I168" s="20" t="s">
        <v>935</v>
      </c>
      <c r="J168" s="20" t="s">
        <v>936</v>
      </c>
      <c r="K168" s="20" t="s">
        <v>937</v>
      </c>
      <c r="M168">
        <v>534</v>
      </c>
      <c r="N168">
        <v>536</v>
      </c>
      <c r="O168">
        <v>2542</v>
      </c>
      <c r="P168">
        <v>4.76</v>
      </c>
      <c r="R168">
        <v>1358</v>
      </c>
      <c r="S168">
        <v>1358</v>
      </c>
      <c r="T168">
        <v>156</v>
      </c>
      <c r="U168">
        <v>0.29699999999999999</v>
      </c>
      <c r="V168">
        <v>4</v>
      </c>
      <c r="W168">
        <v>0</v>
      </c>
      <c r="X168">
        <v>4</v>
      </c>
      <c r="Y168" t="s">
        <v>1651</v>
      </c>
      <c r="Z168">
        <v>256459</v>
      </c>
      <c r="AA168">
        <v>5.89</v>
      </c>
      <c r="AB168">
        <v>256459</v>
      </c>
      <c r="AC168">
        <v>5.89</v>
      </c>
      <c r="AD168">
        <v>45163</v>
      </c>
      <c r="AE168">
        <v>4802466</v>
      </c>
      <c r="AF168">
        <v>0.17610000000000001</v>
      </c>
      <c r="AG168">
        <v>231</v>
      </c>
      <c r="AH168">
        <v>10312262</v>
      </c>
      <c r="AI168">
        <v>4052</v>
      </c>
      <c r="AJ168">
        <v>507</v>
      </c>
      <c r="AK168" s="20" t="s">
        <v>1652</v>
      </c>
      <c r="AL168" s="20" t="s">
        <v>1476</v>
      </c>
      <c r="AM168" s="20" t="s">
        <v>1653</v>
      </c>
      <c r="AN168" s="20" t="s">
        <v>1443</v>
      </c>
      <c r="AO168" s="20" t="s">
        <v>950</v>
      </c>
      <c r="AP168">
        <v>16</v>
      </c>
      <c r="AQ168">
        <v>8</v>
      </c>
      <c r="AR168" t="s">
        <v>1654</v>
      </c>
      <c r="AS168">
        <v>55</v>
      </c>
      <c r="AT168">
        <v>41</v>
      </c>
      <c r="AU168" s="27">
        <v>24837</v>
      </c>
      <c r="AV168" s="20"/>
      <c r="AW168" s="20"/>
      <c r="AX168" s="20"/>
      <c r="AY168" s="20"/>
    </row>
    <row r="169" spans="1:51">
      <c r="A169" s="27">
        <v>43466</v>
      </c>
      <c r="B169" s="20" t="s">
        <v>62</v>
      </c>
      <c r="C169" s="20" t="s">
        <v>992</v>
      </c>
      <c r="D169">
        <v>326</v>
      </c>
      <c r="E169">
        <v>100</v>
      </c>
      <c r="F169">
        <v>784</v>
      </c>
      <c r="G169">
        <v>784</v>
      </c>
      <c r="H169" s="20" t="s">
        <v>1655</v>
      </c>
      <c r="I169" s="20" t="s">
        <v>935</v>
      </c>
      <c r="J169" s="20" t="s">
        <v>945</v>
      </c>
      <c r="K169" s="20" t="s">
        <v>937</v>
      </c>
      <c r="M169">
        <v>189</v>
      </c>
      <c r="N169">
        <v>189</v>
      </c>
      <c r="O169">
        <v>777.5</v>
      </c>
      <c r="P169">
        <v>4.1100000000000003</v>
      </c>
      <c r="R169">
        <v>361</v>
      </c>
      <c r="S169">
        <v>361</v>
      </c>
      <c r="T169">
        <v>105</v>
      </c>
      <c r="U169">
        <v>0.56799999999999995</v>
      </c>
      <c r="V169">
        <v>5</v>
      </c>
      <c r="W169">
        <v>0</v>
      </c>
      <c r="X169">
        <v>15</v>
      </c>
      <c r="Y169">
        <v>43564</v>
      </c>
      <c r="Z169">
        <v>86078</v>
      </c>
      <c r="AA169">
        <v>1.98</v>
      </c>
      <c r="AB169">
        <v>86078</v>
      </c>
      <c r="AC169">
        <v>1.98</v>
      </c>
      <c r="AD169">
        <v>37227</v>
      </c>
      <c r="AE169">
        <v>1657278</v>
      </c>
      <c r="AF169">
        <v>0.4325</v>
      </c>
      <c r="AG169">
        <v>182</v>
      </c>
      <c r="AH169">
        <v>14369576</v>
      </c>
      <c r="AI169">
        <v>18482</v>
      </c>
      <c r="AJ169">
        <v>512</v>
      </c>
      <c r="AK169" s="20" t="s">
        <v>1077</v>
      </c>
      <c r="AL169" s="20" t="s">
        <v>1656</v>
      </c>
      <c r="AM169" s="20" t="s">
        <v>1657</v>
      </c>
      <c r="AN169" s="20" t="s">
        <v>997</v>
      </c>
      <c r="AO169" s="20" t="s">
        <v>963</v>
      </c>
      <c r="AP169">
        <v>3</v>
      </c>
      <c r="AQ169">
        <v>7</v>
      </c>
      <c r="AR169">
        <v>26</v>
      </c>
      <c r="AS169">
        <v>65</v>
      </c>
      <c r="AT169">
        <v>1</v>
      </c>
      <c r="AU169" s="27">
        <v>32295</v>
      </c>
      <c r="AV169" s="20"/>
      <c r="AW169" s="20" t="s">
        <v>1040</v>
      </c>
      <c r="AX169" s="20" t="s">
        <v>974</v>
      </c>
      <c r="AY169" s="20"/>
    </row>
    <row r="170" spans="1:51">
      <c r="A170" s="27">
        <v>43466</v>
      </c>
      <c r="B170" s="20" t="s">
        <v>63</v>
      </c>
      <c r="C170" s="20" t="s">
        <v>1153</v>
      </c>
      <c r="D170">
        <v>337</v>
      </c>
      <c r="E170">
        <v>337</v>
      </c>
      <c r="F170">
        <v>783</v>
      </c>
      <c r="G170">
        <v>555</v>
      </c>
      <c r="H170" s="20" t="s">
        <v>1658</v>
      </c>
      <c r="I170" s="20" t="s">
        <v>935</v>
      </c>
      <c r="J170" s="20" t="s">
        <v>945</v>
      </c>
      <c r="K170" s="20" t="s">
        <v>937</v>
      </c>
      <c r="M170">
        <v>188</v>
      </c>
      <c r="N170">
        <v>188</v>
      </c>
      <c r="O170">
        <v>848</v>
      </c>
      <c r="P170">
        <v>4.51</v>
      </c>
      <c r="R170">
        <v>433</v>
      </c>
      <c r="S170">
        <v>433</v>
      </c>
      <c r="T170">
        <v>74</v>
      </c>
      <c r="U170">
        <v>0.4</v>
      </c>
      <c r="V170">
        <v>4</v>
      </c>
      <c r="W170">
        <v>1</v>
      </c>
      <c r="X170">
        <v>32</v>
      </c>
      <c r="Y170">
        <v>3</v>
      </c>
      <c r="Z170">
        <v>167568</v>
      </c>
      <c r="AA170">
        <v>3.85</v>
      </c>
      <c r="AB170">
        <v>167568</v>
      </c>
      <c r="AC170">
        <v>3.85</v>
      </c>
      <c r="AD170">
        <v>59808</v>
      </c>
      <c r="AE170">
        <v>1622292</v>
      </c>
      <c r="AF170">
        <v>0.3569</v>
      </c>
      <c r="AG170">
        <v>112</v>
      </c>
      <c r="AH170">
        <v>14709271</v>
      </c>
      <c r="AI170">
        <v>17346</v>
      </c>
      <c r="AJ170">
        <v>554</v>
      </c>
      <c r="AK170" s="20" t="s">
        <v>1659</v>
      </c>
      <c r="AL170" s="20" t="s">
        <v>1660</v>
      </c>
      <c r="AM170" s="20" t="s">
        <v>1661</v>
      </c>
      <c r="AN170" s="20" t="s">
        <v>1662</v>
      </c>
      <c r="AO170" s="20" t="s">
        <v>963</v>
      </c>
      <c r="AP170">
        <v>3</v>
      </c>
      <c r="AQ170">
        <v>12</v>
      </c>
      <c r="AR170">
        <v>26</v>
      </c>
      <c r="AS170">
        <v>74</v>
      </c>
      <c r="AT170">
        <v>2</v>
      </c>
      <c r="AU170" s="27">
        <v>32448</v>
      </c>
      <c r="AV170" s="20"/>
      <c r="AW170" s="20"/>
      <c r="AX170" s="20" t="s">
        <v>974</v>
      </c>
      <c r="AY170" s="20"/>
    </row>
    <row r="171" spans="1:51">
      <c r="A171" s="27">
        <v>43466</v>
      </c>
      <c r="B171" s="20" t="s">
        <v>247</v>
      </c>
      <c r="C171" s="20" t="s">
        <v>969</v>
      </c>
      <c r="D171">
        <v>364</v>
      </c>
      <c r="E171">
        <v>359</v>
      </c>
      <c r="F171">
        <v>548</v>
      </c>
      <c r="G171">
        <v>840</v>
      </c>
      <c r="H171" s="20" t="s">
        <v>1663</v>
      </c>
      <c r="I171" s="20" t="s">
        <v>935</v>
      </c>
      <c r="J171" s="20" t="s">
        <v>945</v>
      </c>
      <c r="K171" s="20" t="s">
        <v>937</v>
      </c>
      <c r="M171">
        <v>56</v>
      </c>
      <c r="N171">
        <v>56</v>
      </c>
      <c r="O171">
        <v>280</v>
      </c>
      <c r="P171">
        <v>5</v>
      </c>
      <c r="R171">
        <v>173</v>
      </c>
      <c r="S171">
        <v>173</v>
      </c>
      <c r="T171">
        <v>15</v>
      </c>
      <c r="U171">
        <v>0.26800000000000002</v>
      </c>
      <c r="V171">
        <v>2</v>
      </c>
      <c r="W171">
        <v>1</v>
      </c>
      <c r="X171">
        <v>3</v>
      </c>
      <c r="Y171">
        <v>4</v>
      </c>
      <c r="Z171">
        <v>42733</v>
      </c>
      <c r="AA171">
        <v>0.98</v>
      </c>
      <c r="AB171">
        <v>42733</v>
      </c>
      <c r="AC171">
        <v>0.98</v>
      </c>
      <c r="AD171">
        <v>22801</v>
      </c>
      <c r="AE171">
        <v>596573</v>
      </c>
      <c r="AF171">
        <v>0.53359999999999996</v>
      </c>
      <c r="AG171">
        <v>177</v>
      </c>
      <c r="AH171">
        <v>7324340</v>
      </c>
      <c r="AI171">
        <v>26158</v>
      </c>
      <c r="AJ171">
        <v>705</v>
      </c>
      <c r="AK171" s="20" t="s">
        <v>1664</v>
      </c>
      <c r="AL171" s="20" t="s">
        <v>1662</v>
      </c>
      <c r="AM171" s="20" t="s">
        <v>1665</v>
      </c>
      <c r="AN171" s="20" t="s">
        <v>1156</v>
      </c>
      <c r="AO171" s="20" t="s">
        <v>963</v>
      </c>
      <c r="AP171">
        <v>3</v>
      </c>
      <c r="AQ171">
        <v>12</v>
      </c>
      <c r="AR171">
        <v>27</v>
      </c>
      <c r="AS171">
        <v>74</v>
      </c>
      <c r="AT171">
        <v>2</v>
      </c>
      <c r="AU171" s="27">
        <v>35550</v>
      </c>
      <c r="AV171" s="20"/>
      <c r="AW171" s="20"/>
      <c r="AX171" s="20" t="s">
        <v>974</v>
      </c>
      <c r="AY171" s="20" t="s">
        <v>974</v>
      </c>
    </row>
    <row r="172" spans="1:51">
      <c r="A172" s="27">
        <v>43466</v>
      </c>
      <c r="B172" s="20" t="s">
        <v>64</v>
      </c>
      <c r="C172" s="20" t="s">
        <v>1153</v>
      </c>
      <c r="D172">
        <v>292</v>
      </c>
      <c r="E172">
        <v>337</v>
      </c>
      <c r="F172">
        <v>555</v>
      </c>
      <c r="G172">
        <v>555</v>
      </c>
      <c r="H172" s="20" t="s">
        <v>1666</v>
      </c>
      <c r="I172" s="20" t="s">
        <v>935</v>
      </c>
      <c r="J172" s="20" t="s">
        <v>945</v>
      </c>
      <c r="K172" s="20" t="s">
        <v>953</v>
      </c>
      <c r="M172">
        <v>55</v>
      </c>
      <c r="N172">
        <v>55</v>
      </c>
      <c r="O172">
        <v>229.5</v>
      </c>
      <c r="P172">
        <v>4.17</v>
      </c>
      <c r="R172">
        <v>119</v>
      </c>
      <c r="S172">
        <v>119</v>
      </c>
      <c r="T172">
        <v>17</v>
      </c>
      <c r="U172">
        <v>0.309</v>
      </c>
      <c r="V172">
        <v>2</v>
      </c>
      <c r="W172">
        <v>0</v>
      </c>
      <c r="X172">
        <v>2</v>
      </c>
      <c r="Y172">
        <v>6</v>
      </c>
      <c r="Z172">
        <v>17872</v>
      </c>
      <c r="AA172">
        <v>0.41</v>
      </c>
      <c r="AB172">
        <v>17872</v>
      </c>
      <c r="AC172">
        <v>0.41</v>
      </c>
      <c r="AD172">
        <v>10275</v>
      </c>
      <c r="AE172">
        <v>490400</v>
      </c>
      <c r="AF172">
        <v>0.57489999999999997</v>
      </c>
      <c r="AG172">
        <v>290</v>
      </c>
      <c r="AH172">
        <v>4322735</v>
      </c>
      <c r="AI172">
        <v>18795</v>
      </c>
      <c r="AJ172">
        <v>643</v>
      </c>
      <c r="AK172" s="20" t="s">
        <v>1156</v>
      </c>
      <c r="AL172" s="20" t="s">
        <v>1660</v>
      </c>
      <c r="AM172" s="20" t="s">
        <v>1667</v>
      </c>
      <c r="AN172" s="20"/>
      <c r="AO172" s="20" t="s">
        <v>963</v>
      </c>
      <c r="AP172">
        <v>3</v>
      </c>
      <c r="AQ172">
        <v>12</v>
      </c>
      <c r="AR172">
        <v>27</v>
      </c>
      <c r="AS172">
        <v>74</v>
      </c>
      <c r="AT172">
        <v>2</v>
      </c>
      <c r="AU172" s="27">
        <v>31747</v>
      </c>
      <c r="AV172" s="20"/>
      <c r="AW172" s="20"/>
      <c r="AX172" s="20" t="s">
        <v>974</v>
      </c>
      <c r="AY172" s="20"/>
    </row>
    <row r="173" spans="1:51">
      <c r="A173" s="27">
        <v>43466</v>
      </c>
      <c r="B173" s="20" t="s">
        <v>122</v>
      </c>
      <c r="C173" s="20" t="s">
        <v>1668</v>
      </c>
      <c r="D173">
        <v>81</v>
      </c>
      <c r="E173">
        <v>81</v>
      </c>
      <c r="F173">
        <v>429</v>
      </c>
      <c r="G173">
        <v>429</v>
      </c>
      <c r="H173" s="20" t="s">
        <v>1669</v>
      </c>
      <c r="I173" s="20" t="s">
        <v>1031</v>
      </c>
      <c r="J173" s="20" t="s">
        <v>936</v>
      </c>
      <c r="K173" s="20" t="s">
        <v>937</v>
      </c>
      <c r="L173">
        <v>204</v>
      </c>
      <c r="M173">
        <v>1272</v>
      </c>
      <c r="N173">
        <v>1272</v>
      </c>
      <c r="O173">
        <v>6004</v>
      </c>
      <c r="P173">
        <v>4.72</v>
      </c>
      <c r="Q173">
        <v>576</v>
      </c>
      <c r="R173">
        <v>2405</v>
      </c>
      <c r="S173">
        <v>2981</v>
      </c>
      <c r="T173">
        <v>494</v>
      </c>
      <c r="U173">
        <v>0.39500000000000002</v>
      </c>
      <c r="V173">
        <v>6</v>
      </c>
      <c r="W173">
        <v>0</v>
      </c>
      <c r="X173">
        <v>6</v>
      </c>
      <c r="Y173">
        <v>20</v>
      </c>
      <c r="Z173">
        <v>538367</v>
      </c>
      <c r="AA173">
        <v>12.36</v>
      </c>
      <c r="AB173">
        <v>538367</v>
      </c>
      <c r="AC173">
        <v>12.36</v>
      </c>
      <c r="AD173">
        <v>83754</v>
      </c>
      <c r="AE173">
        <v>11967873</v>
      </c>
      <c r="AF173">
        <v>0.15559999999999999</v>
      </c>
      <c r="AG173">
        <v>241</v>
      </c>
      <c r="AH173">
        <v>25774000</v>
      </c>
      <c r="AI173">
        <v>4306</v>
      </c>
      <c r="AJ173">
        <v>550</v>
      </c>
      <c r="AK173" s="20" t="s">
        <v>1670</v>
      </c>
      <c r="AL173" s="20" t="s">
        <v>1335</v>
      </c>
      <c r="AM173" s="20" t="s">
        <v>971</v>
      </c>
      <c r="AN173" s="20" t="s">
        <v>1671</v>
      </c>
      <c r="AO173" s="20" t="s">
        <v>963</v>
      </c>
      <c r="AP173">
        <v>9</v>
      </c>
      <c r="AQ173">
        <v>13</v>
      </c>
      <c r="AR173" t="s">
        <v>1672</v>
      </c>
      <c r="AS173">
        <v>70</v>
      </c>
      <c r="AT173">
        <v>7</v>
      </c>
      <c r="AU173" s="27">
        <v>22462</v>
      </c>
      <c r="AV173" s="20"/>
      <c r="AW173" s="20"/>
      <c r="AX173" s="20"/>
      <c r="AY173" s="20"/>
    </row>
    <row r="174" spans="1:51">
      <c r="A174" s="27">
        <v>43466</v>
      </c>
      <c r="B174" s="20" t="s">
        <v>87</v>
      </c>
      <c r="C174" s="20" t="s">
        <v>1673</v>
      </c>
      <c r="D174">
        <v>296</v>
      </c>
      <c r="E174">
        <v>81</v>
      </c>
      <c r="F174">
        <v>557</v>
      </c>
      <c r="G174">
        <v>558</v>
      </c>
      <c r="H174" s="20" t="s">
        <v>1674</v>
      </c>
      <c r="I174" s="20" t="s">
        <v>935</v>
      </c>
      <c r="J174" s="20" t="s">
        <v>936</v>
      </c>
      <c r="K174" s="20" t="s">
        <v>953</v>
      </c>
      <c r="M174">
        <v>46</v>
      </c>
      <c r="N174">
        <v>46</v>
      </c>
      <c r="O174">
        <v>187</v>
      </c>
      <c r="P174">
        <v>4.07</v>
      </c>
      <c r="R174">
        <v>87</v>
      </c>
      <c r="S174">
        <v>87</v>
      </c>
      <c r="T174">
        <v>21</v>
      </c>
      <c r="U174">
        <v>0.45700000000000002</v>
      </c>
      <c r="V174">
        <v>3</v>
      </c>
      <c r="W174">
        <v>0</v>
      </c>
      <c r="X174">
        <v>3</v>
      </c>
      <c r="Y174">
        <v>43591</v>
      </c>
      <c r="Z174">
        <v>11843</v>
      </c>
      <c r="AA174">
        <v>0.27</v>
      </c>
      <c r="AB174">
        <v>11843</v>
      </c>
      <c r="AC174">
        <v>0.27</v>
      </c>
      <c r="AD174">
        <v>8099</v>
      </c>
      <c r="AE174">
        <v>434570</v>
      </c>
      <c r="AF174">
        <v>0.68389999999999995</v>
      </c>
      <c r="AG174">
        <v>322</v>
      </c>
      <c r="AH174">
        <v>6002000</v>
      </c>
      <c r="AI174">
        <v>32096</v>
      </c>
      <c r="AJ174">
        <v>599</v>
      </c>
      <c r="AK174" s="20" t="s">
        <v>1335</v>
      </c>
      <c r="AL174" s="20" t="s">
        <v>1675</v>
      </c>
      <c r="AM174" s="20" t="s">
        <v>971</v>
      </c>
      <c r="AN174" s="20" t="s">
        <v>1676</v>
      </c>
      <c r="AO174" s="20" t="s">
        <v>963</v>
      </c>
      <c r="AP174">
        <v>9</v>
      </c>
      <c r="AQ174">
        <v>13</v>
      </c>
      <c r="AR174">
        <v>31</v>
      </c>
      <c r="AS174">
        <v>70</v>
      </c>
      <c r="AT174">
        <v>7</v>
      </c>
      <c r="AU174" s="27">
        <v>32448</v>
      </c>
      <c r="AV174" s="20"/>
      <c r="AW174" s="20"/>
      <c r="AX174" s="20" t="s">
        <v>974</v>
      </c>
      <c r="AY174" s="20"/>
    </row>
    <row r="175" spans="1:51">
      <c r="A175" s="27">
        <v>43466</v>
      </c>
      <c r="B175" s="20" t="s">
        <v>88</v>
      </c>
      <c r="C175" s="20" t="s">
        <v>1673</v>
      </c>
      <c r="D175">
        <v>297</v>
      </c>
      <c r="E175">
        <v>81</v>
      </c>
      <c r="F175">
        <v>558</v>
      </c>
      <c r="G175">
        <v>558</v>
      </c>
      <c r="H175" s="20" t="s">
        <v>1677</v>
      </c>
      <c r="I175" s="20" t="s">
        <v>935</v>
      </c>
      <c r="J175" s="20" t="s">
        <v>936</v>
      </c>
      <c r="K175" s="20" t="s">
        <v>953</v>
      </c>
      <c r="M175">
        <v>51</v>
      </c>
      <c r="N175">
        <v>51</v>
      </c>
      <c r="O175">
        <v>220.5</v>
      </c>
      <c r="P175">
        <v>4.32</v>
      </c>
      <c r="R175">
        <v>115</v>
      </c>
      <c r="S175">
        <v>115</v>
      </c>
      <c r="T175">
        <v>17</v>
      </c>
      <c r="U175">
        <v>0.33300000000000002</v>
      </c>
      <c r="V175">
        <v>2</v>
      </c>
      <c r="W175">
        <v>0</v>
      </c>
      <c r="X175">
        <v>2</v>
      </c>
      <c r="Y175">
        <v>43591</v>
      </c>
      <c r="Z175">
        <v>13988</v>
      </c>
      <c r="AA175">
        <v>0.32</v>
      </c>
      <c r="AB175">
        <v>13988</v>
      </c>
      <c r="AC175">
        <v>0.32</v>
      </c>
      <c r="AD175">
        <v>9930</v>
      </c>
      <c r="AE175">
        <v>547624</v>
      </c>
      <c r="AF175">
        <v>0.70989999999999998</v>
      </c>
      <c r="AG175">
        <v>359</v>
      </c>
      <c r="AH175">
        <v>3652758</v>
      </c>
      <c r="AI175">
        <v>16603</v>
      </c>
      <c r="AJ175">
        <v>453</v>
      </c>
      <c r="AK175" s="20" t="s">
        <v>1335</v>
      </c>
      <c r="AL175" s="20" t="s">
        <v>1670</v>
      </c>
      <c r="AM175" s="20" t="s">
        <v>971</v>
      </c>
      <c r="AN175" s="20" t="s">
        <v>1675</v>
      </c>
      <c r="AO175" s="20" t="s">
        <v>963</v>
      </c>
      <c r="AP175">
        <v>9</v>
      </c>
      <c r="AQ175">
        <v>13</v>
      </c>
      <c r="AR175">
        <v>31</v>
      </c>
      <c r="AS175">
        <v>70</v>
      </c>
      <c r="AT175">
        <v>7</v>
      </c>
      <c r="AU175" s="27">
        <v>30589</v>
      </c>
      <c r="AV175" s="20"/>
      <c r="AW175" s="20"/>
      <c r="AX175" s="20" t="s">
        <v>974</v>
      </c>
      <c r="AY175" s="20"/>
    </row>
    <row r="176" spans="1:51">
      <c r="A176" s="27">
        <v>43466</v>
      </c>
      <c r="B176" s="20" t="s">
        <v>342</v>
      </c>
      <c r="C176" s="20" t="s">
        <v>1678</v>
      </c>
      <c r="D176">
        <v>49</v>
      </c>
      <c r="E176">
        <v>49</v>
      </c>
      <c r="F176">
        <v>638</v>
      </c>
      <c r="G176">
        <v>638</v>
      </c>
      <c r="H176" s="20" t="s">
        <v>1679</v>
      </c>
      <c r="I176" s="20" t="s">
        <v>1031</v>
      </c>
      <c r="J176" s="20" t="s">
        <v>936</v>
      </c>
      <c r="K176" s="20" t="s">
        <v>937</v>
      </c>
      <c r="L176">
        <v>257</v>
      </c>
      <c r="M176">
        <v>1680</v>
      </c>
      <c r="N176">
        <v>1682</v>
      </c>
      <c r="O176">
        <v>7112</v>
      </c>
      <c r="P176">
        <v>4.2300000000000004</v>
      </c>
      <c r="Q176">
        <v>548</v>
      </c>
      <c r="R176">
        <v>2713</v>
      </c>
      <c r="S176">
        <v>3261</v>
      </c>
      <c r="T176">
        <v>737</v>
      </c>
      <c r="U176">
        <v>0.44500000000000001</v>
      </c>
      <c r="V176">
        <v>11</v>
      </c>
      <c r="W176">
        <v>1</v>
      </c>
      <c r="X176">
        <v>12</v>
      </c>
      <c r="Y176" t="s">
        <v>1520</v>
      </c>
      <c r="Z176">
        <v>724809</v>
      </c>
      <c r="AA176">
        <v>16.64</v>
      </c>
      <c r="AB176">
        <v>652495</v>
      </c>
      <c r="AC176">
        <v>14.98</v>
      </c>
      <c r="AD176">
        <v>111631</v>
      </c>
      <c r="AE176">
        <v>13300359</v>
      </c>
      <c r="AF176">
        <v>0.154</v>
      </c>
      <c r="AG176">
        <v>196</v>
      </c>
      <c r="AH176">
        <v>17882055</v>
      </c>
      <c r="AI176">
        <v>2539</v>
      </c>
      <c r="AJ176">
        <v>517</v>
      </c>
      <c r="AK176" s="20" t="s">
        <v>1680</v>
      </c>
      <c r="AL176" s="20" t="s">
        <v>1681</v>
      </c>
      <c r="AM176" s="20" t="s">
        <v>1335</v>
      </c>
      <c r="AN176" s="20" t="s">
        <v>1682</v>
      </c>
      <c r="AO176" s="20" t="s">
        <v>942</v>
      </c>
      <c r="AP176">
        <v>8</v>
      </c>
      <c r="AQ176">
        <v>13</v>
      </c>
      <c r="AR176" t="s">
        <v>1683</v>
      </c>
      <c r="AS176" t="s">
        <v>1684</v>
      </c>
      <c r="AT176" t="s">
        <v>1685</v>
      </c>
      <c r="AU176" s="27">
        <v>19059</v>
      </c>
      <c r="AV176" s="20"/>
      <c r="AW176" s="20"/>
      <c r="AX176" s="20"/>
      <c r="AY176" s="20"/>
    </row>
    <row r="177" spans="1:51">
      <c r="A177" s="27">
        <v>43466</v>
      </c>
      <c r="B177" s="20" t="s">
        <v>38</v>
      </c>
      <c r="C177" s="20" t="s">
        <v>1686</v>
      </c>
      <c r="D177">
        <v>21</v>
      </c>
      <c r="E177">
        <v>21</v>
      </c>
      <c r="F177">
        <v>514</v>
      </c>
      <c r="G177">
        <v>514</v>
      </c>
      <c r="H177" s="20" t="s">
        <v>1687</v>
      </c>
      <c r="I177" s="20" t="s">
        <v>935</v>
      </c>
      <c r="J177" s="20" t="s">
        <v>936</v>
      </c>
      <c r="K177" s="20" t="s">
        <v>937</v>
      </c>
      <c r="M177">
        <v>1716</v>
      </c>
      <c r="N177">
        <v>1717</v>
      </c>
      <c r="O177">
        <v>8268</v>
      </c>
      <c r="P177">
        <v>4.82</v>
      </c>
      <c r="R177">
        <v>4147</v>
      </c>
      <c r="S177">
        <v>4147</v>
      </c>
      <c r="T177">
        <v>607</v>
      </c>
      <c r="U177">
        <v>0.35799999999999998</v>
      </c>
      <c r="V177">
        <v>27</v>
      </c>
      <c r="W177">
        <v>1</v>
      </c>
      <c r="X177">
        <v>71</v>
      </c>
      <c r="Y177">
        <v>6</v>
      </c>
      <c r="Z177">
        <v>1241000</v>
      </c>
      <c r="AA177">
        <v>28.49</v>
      </c>
      <c r="AB177">
        <v>1101547</v>
      </c>
      <c r="AC177">
        <v>25.29</v>
      </c>
      <c r="AD177">
        <v>240198</v>
      </c>
      <c r="AE177">
        <v>13741160</v>
      </c>
      <c r="AF177">
        <v>0.19359999999999999</v>
      </c>
      <c r="AG177">
        <v>146</v>
      </c>
      <c r="AH177">
        <v>19420000</v>
      </c>
      <c r="AI177">
        <v>2347</v>
      </c>
      <c r="AJ177">
        <v>560</v>
      </c>
      <c r="AK177" s="20" t="s">
        <v>1195</v>
      </c>
      <c r="AL177" s="20" t="s">
        <v>1036</v>
      </c>
      <c r="AM177" s="20" t="s">
        <v>1412</v>
      </c>
      <c r="AN177" s="20" t="s">
        <v>979</v>
      </c>
      <c r="AO177" s="20" t="s">
        <v>950</v>
      </c>
      <c r="AP177">
        <v>3</v>
      </c>
      <c r="AQ177">
        <v>7</v>
      </c>
      <c r="AR177">
        <v>18</v>
      </c>
      <c r="AS177">
        <v>56</v>
      </c>
      <c r="AT177">
        <v>36</v>
      </c>
      <c r="AU177" s="27">
        <v>17917</v>
      </c>
      <c r="AV177" s="20" t="s">
        <v>1050</v>
      </c>
      <c r="AW177" s="20"/>
      <c r="AX177" s="20"/>
      <c r="AY177" s="20"/>
    </row>
    <row r="178" spans="1:51">
      <c r="A178" s="27">
        <v>43466</v>
      </c>
      <c r="B178" s="20" t="s">
        <v>343</v>
      </c>
      <c r="C178" s="20" t="s">
        <v>969</v>
      </c>
      <c r="D178">
        <v>363</v>
      </c>
      <c r="E178">
        <v>359</v>
      </c>
      <c r="F178">
        <v>803</v>
      </c>
      <c r="G178">
        <v>840</v>
      </c>
      <c r="H178" s="20" t="s">
        <v>1688</v>
      </c>
      <c r="I178" s="20" t="s">
        <v>935</v>
      </c>
      <c r="J178" s="20" t="s">
        <v>945</v>
      </c>
      <c r="K178" s="20" t="s">
        <v>937</v>
      </c>
      <c r="M178">
        <v>48</v>
      </c>
      <c r="N178">
        <v>48</v>
      </c>
      <c r="O178">
        <v>231</v>
      </c>
      <c r="P178">
        <v>4.8099999999999996</v>
      </c>
      <c r="R178">
        <v>123</v>
      </c>
      <c r="S178">
        <v>123</v>
      </c>
      <c r="T178">
        <v>13</v>
      </c>
      <c r="U178">
        <v>0.27700000000000002</v>
      </c>
      <c r="V178">
        <v>2</v>
      </c>
      <c r="W178">
        <v>0</v>
      </c>
      <c r="X178">
        <v>7</v>
      </c>
      <c r="Y178">
        <v>3</v>
      </c>
      <c r="Z178">
        <v>51104</v>
      </c>
      <c r="AA178">
        <v>1.17</v>
      </c>
      <c r="AB178">
        <v>51104</v>
      </c>
      <c r="AC178">
        <v>1.17</v>
      </c>
      <c r="AD178">
        <v>16354</v>
      </c>
      <c r="AE178">
        <v>434689</v>
      </c>
      <c r="AF178">
        <v>0.32</v>
      </c>
      <c r="AG178">
        <v>105</v>
      </c>
      <c r="AH178">
        <v>5042549</v>
      </c>
      <c r="AI178">
        <v>21829</v>
      </c>
      <c r="AJ178">
        <v>505</v>
      </c>
      <c r="AK178" s="20" t="s">
        <v>1042</v>
      </c>
      <c r="AL178" s="20" t="s">
        <v>1036</v>
      </c>
      <c r="AM178" s="20" t="s">
        <v>1412</v>
      </c>
      <c r="AN178" s="20" t="s">
        <v>1689</v>
      </c>
      <c r="AO178" s="20" t="s">
        <v>950</v>
      </c>
      <c r="AP178">
        <v>3</v>
      </c>
      <c r="AQ178">
        <v>8</v>
      </c>
      <c r="AR178">
        <v>25</v>
      </c>
      <c r="AS178">
        <v>56</v>
      </c>
      <c r="AT178">
        <v>36</v>
      </c>
      <c r="AU178" s="27">
        <v>35611</v>
      </c>
      <c r="AV178" s="20"/>
      <c r="AW178" s="20"/>
      <c r="AX178" s="20" t="s">
        <v>974</v>
      </c>
      <c r="AY178" s="20" t="s">
        <v>974</v>
      </c>
    </row>
    <row r="179" spans="1:51">
      <c r="A179" s="27">
        <v>43466</v>
      </c>
      <c r="B179" s="20" t="s">
        <v>248</v>
      </c>
      <c r="C179" s="20" t="s">
        <v>969</v>
      </c>
      <c r="D179">
        <v>358</v>
      </c>
      <c r="E179">
        <v>359</v>
      </c>
      <c r="F179">
        <v>804</v>
      </c>
      <c r="G179">
        <v>840</v>
      </c>
      <c r="H179" s="20" t="s">
        <v>1690</v>
      </c>
      <c r="I179" s="20" t="s">
        <v>935</v>
      </c>
      <c r="J179" s="20" t="s">
        <v>945</v>
      </c>
      <c r="K179" s="20" t="s">
        <v>937</v>
      </c>
      <c r="M179">
        <v>30</v>
      </c>
      <c r="N179">
        <v>30</v>
      </c>
      <c r="O179">
        <v>145</v>
      </c>
      <c r="P179">
        <v>4.83</v>
      </c>
      <c r="R179">
        <v>76</v>
      </c>
      <c r="S179">
        <v>76</v>
      </c>
      <c r="T179">
        <v>8</v>
      </c>
      <c r="U179">
        <v>0.26700000000000002</v>
      </c>
      <c r="V179">
        <v>1</v>
      </c>
      <c r="W179">
        <v>0</v>
      </c>
      <c r="X179">
        <v>5</v>
      </c>
      <c r="Y179">
        <v>3</v>
      </c>
      <c r="Z179">
        <v>36926</v>
      </c>
      <c r="AA179">
        <v>0.85</v>
      </c>
      <c r="AB179">
        <v>36926</v>
      </c>
      <c r="AC179">
        <v>0.85</v>
      </c>
      <c r="AD179">
        <v>10081</v>
      </c>
      <c r="AE179">
        <v>267953</v>
      </c>
      <c r="AF179">
        <v>0.27300000000000002</v>
      </c>
      <c r="AG179">
        <v>89</v>
      </c>
      <c r="AH179">
        <v>3168261</v>
      </c>
      <c r="AI179">
        <v>21850</v>
      </c>
      <c r="AJ179">
        <v>582</v>
      </c>
      <c r="AK179" s="20" t="s">
        <v>1042</v>
      </c>
      <c r="AL179" s="20" t="s">
        <v>1036</v>
      </c>
      <c r="AM179" s="20" t="s">
        <v>1412</v>
      </c>
      <c r="AN179" s="20" t="s">
        <v>1689</v>
      </c>
      <c r="AO179" s="20" t="s">
        <v>950</v>
      </c>
      <c r="AP179">
        <v>3</v>
      </c>
      <c r="AQ179">
        <v>8</v>
      </c>
      <c r="AR179">
        <v>25</v>
      </c>
      <c r="AS179">
        <v>56</v>
      </c>
      <c r="AT179">
        <v>36</v>
      </c>
      <c r="AU179" s="27">
        <v>35611</v>
      </c>
      <c r="AV179" s="20"/>
      <c r="AW179" s="20"/>
      <c r="AX179" s="20" t="s">
        <v>974</v>
      </c>
      <c r="AY179" s="20" t="s">
        <v>974</v>
      </c>
    </row>
    <row r="180" spans="1:51">
      <c r="A180" s="27">
        <v>43466</v>
      </c>
      <c r="B180" s="20" t="s">
        <v>344</v>
      </c>
      <c r="C180" s="20" t="s">
        <v>1691</v>
      </c>
      <c r="D180">
        <v>77</v>
      </c>
      <c r="E180">
        <v>77</v>
      </c>
      <c r="F180">
        <v>228</v>
      </c>
      <c r="G180">
        <v>228</v>
      </c>
      <c r="H180" s="20" t="s">
        <v>1692</v>
      </c>
      <c r="I180" s="20" t="s">
        <v>935</v>
      </c>
      <c r="J180" s="20" t="s">
        <v>936</v>
      </c>
      <c r="K180" s="20" t="s">
        <v>937</v>
      </c>
      <c r="M180">
        <v>606</v>
      </c>
      <c r="N180">
        <v>607</v>
      </c>
      <c r="O180">
        <v>2853</v>
      </c>
      <c r="P180">
        <v>4.71</v>
      </c>
      <c r="R180">
        <v>1515</v>
      </c>
      <c r="S180">
        <v>1515</v>
      </c>
      <c r="T180">
        <v>146</v>
      </c>
      <c r="U180">
        <v>0.24299999999999999</v>
      </c>
      <c r="V180">
        <v>22</v>
      </c>
      <c r="W180">
        <v>0</v>
      </c>
      <c r="X180">
        <v>32</v>
      </c>
      <c r="Y180">
        <v>43530</v>
      </c>
      <c r="Z180">
        <v>947622</v>
      </c>
      <c r="AA180">
        <v>21.75</v>
      </c>
      <c r="AB180">
        <v>816256</v>
      </c>
      <c r="AC180">
        <v>18.739999999999998</v>
      </c>
      <c r="AD180">
        <v>124890</v>
      </c>
      <c r="AE180">
        <v>5691790</v>
      </c>
      <c r="AF180">
        <v>0.1318</v>
      </c>
      <c r="AG180">
        <v>70</v>
      </c>
      <c r="AH180">
        <v>8072855</v>
      </c>
      <c r="AI180">
        <v>2826</v>
      </c>
      <c r="AJ180">
        <v>488</v>
      </c>
      <c r="AK180" s="20" t="s">
        <v>1693</v>
      </c>
      <c r="AL180" s="20" t="s">
        <v>1694</v>
      </c>
      <c r="AM180" s="20" t="s">
        <v>1695</v>
      </c>
      <c r="AN180" s="20" t="s">
        <v>1696</v>
      </c>
      <c r="AO180" s="20" t="s">
        <v>1108</v>
      </c>
      <c r="AP180">
        <v>1</v>
      </c>
      <c r="AQ180">
        <v>11</v>
      </c>
      <c r="AR180">
        <v>23</v>
      </c>
      <c r="AS180">
        <v>63</v>
      </c>
      <c r="AT180">
        <v>49</v>
      </c>
      <c r="AU180" s="27">
        <v>19970</v>
      </c>
      <c r="AV180" s="20"/>
      <c r="AW180" s="20"/>
      <c r="AX180" s="20"/>
      <c r="AY180" s="20"/>
    </row>
    <row r="181" spans="1:51">
      <c r="A181" s="27">
        <v>43466</v>
      </c>
      <c r="B181" s="20" t="s">
        <v>193</v>
      </c>
      <c r="C181" s="20" t="s">
        <v>1697</v>
      </c>
      <c r="D181">
        <v>83</v>
      </c>
      <c r="E181">
        <v>83</v>
      </c>
      <c r="F181">
        <v>426</v>
      </c>
      <c r="G181">
        <v>426</v>
      </c>
      <c r="H181" s="20" t="s">
        <v>1698</v>
      </c>
      <c r="I181" s="20" t="s">
        <v>1031</v>
      </c>
      <c r="J181" s="20" t="s">
        <v>936</v>
      </c>
      <c r="K181" s="20" t="s">
        <v>937</v>
      </c>
      <c r="L181">
        <v>348</v>
      </c>
      <c r="M181">
        <v>1764</v>
      </c>
      <c r="N181">
        <v>1765</v>
      </c>
      <c r="O181">
        <v>8248</v>
      </c>
      <c r="P181">
        <v>4.68</v>
      </c>
      <c r="Q181">
        <v>861</v>
      </c>
      <c r="R181">
        <v>3251</v>
      </c>
      <c r="S181">
        <v>4112</v>
      </c>
      <c r="T181">
        <v>671</v>
      </c>
      <c r="U181">
        <v>0.38700000000000001</v>
      </c>
      <c r="V181">
        <v>28</v>
      </c>
      <c r="W181">
        <v>2</v>
      </c>
      <c r="X181">
        <v>30</v>
      </c>
      <c r="Y181">
        <v>43662</v>
      </c>
      <c r="Z181">
        <v>1518505</v>
      </c>
      <c r="AA181">
        <v>34.86</v>
      </c>
      <c r="AB181">
        <v>1471805</v>
      </c>
      <c r="AC181">
        <v>33.79</v>
      </c>
      <c r="AD181">
        <v>202426</v>
      </c>
      <c r="AE181">
        <v>15183887</v>
      </c>
      <c r="AF181">
        <v>0.1333</v>
      </c>
      <c r="AG181">
        <v>118</v>
      </c>
      <c r="AH181">
        <v>22429000</v>
      </c>
      <c r="AI181">
        <v>2783</v>
      </c>
      <c r="AJ181">
        <v>551</v>
      </c>
      <c r="AK181" s="20" t="s">
        <v>1699</v>
      </c>
      <c r="AL181" s="20" t="s">
        <v>1700</v>
      </c>
      <c r="AM181" s="20" t="s">
        <v>1701</v>
      </c>
      <c r="AN181" s="20" t="s">
        <v>1702</v>
      </c>
      <c r="AO181" s="20" t="s">
        <v>950</v>
      </c>
      <c r="AP181">
        <v>13</v>
      </c>
      <c r="AQ181">
        <v>11</v>
      </c>
      <c r="AR181">
        <v>23</v>
      </c>
      <c r="AS181" t="s">
        <v>1703</v>
      </c>
      <c r="AT181">
        <v>47</v>
      </c>
      <c r="AU181" s="27">
        <v>21243</v>
      </c>
      <c r="AV181" s="20"/>
      <c r="AW181" s="20"/>
      <c r="AX181" s="20"/>
      <c r="AY181" s="20"/>
    </row>
    <row r="182" spans="1:51">
      <c r="A182" s="27">
        <v>43466</v>
      </c>
      <c r="B182" s="20" t="s">
        <v>89</v>
      </c>
      <c r="C182" s="20" t="s">
        <v>1056</v>
      </c>
      <c r="D182">
        <v>344</v>
      </c>
      <c r="E182">
        <v>3</v>
      </c>
      <c r="F182">
        <v>754</v>
      </c>
      <c r="G182">
        <v>754</v>
      </c>
      <c r="H182" s="20" t="s">
        <v>1704</v>
      </c>
      <c r="I182" s="20" t="s">
        <v>935</v>
      </c>
      <c r="J182" s="20" t="s">
        <v>945</v>
      </c>
      <c r="K182" s="20" t="s">
        <v>1080</v>
      </c>
      <c r="M182">
        <v>180</v>
      </c>
      <c r="N182">
        <v>180</v>
      </c>
      <c r="O182">
        <v>630</v>
      </c>
      <c r="P182">
        <v>3.5</v>
      </c>
      <c r="R182">
        <v>207</v>
      </c>
      <c r="S182">
        <v>207</v>
      </c>
      <c r="T182">
        <v>154</v>
      </c>
      <c r="U182">
        <v>0.89</v>
      </c>
      <c r="V182">
        <v>1</v>
      </c>
      <c r="W182">
        <v>0</v>
      </c>
      <c r="X182">
        <v>1</v>
      </c>
      <c r="Y182">
        <v>13</v>
      </c>
      <c r="Z182">
        <v>20083</v>
      </c>
      <c r="AA182">
        <v>0.46</v>
      </c>
      <c r="AB182">
        <v>20083</v>
      </c>
      <c r="AC182">
        <v>0.46</v>
      </c>
      <c r="AD182">
        <v>10354</v>
      </c>
      <c r="AE182">
        <v>1181481</v>
      </c>
      <c r="AF182">
        <v>0.51559999999999995</v>
      </c>
      <c r="AG182">
        <v>450</v>
      </c>
      <c r="AH182">
        <v>12233985</v>
      </c>
      <c r="AI182">
        <v>19419</v>
      </c>
      <c r="AJ182">
        <v>307</v>
      </c>
      <c r="AK182" s="20" t="s">
        <v>1335</v>
      </c>
      <c r="AL182" s="20" t="s">
        <v>1705</v>
      </c>
      <c r="AM182" s="20" t="s">
        <v>971</v>
      </c>
      <c r="AN182" s="20" t="s">
        <v>1706</v>
      </c>
      <c r="AO182" s="20" t="s">
        <v>963</v>
      </c>
      <c r="AP182">
        <v>12</v>
      </c>
      <c r="AQ182">
        <v>13</v>
      </c>
      <c r="AR182">
        <v>31</v>
      </c>
      <c r="AS182">
        <v>71</v>
      </c>
      <c r="AT182">
        <v>7</v>
      </c>
      <c r="AU182" s="27">
        <v>31593</v>
      </c>
      <c r="AV182" s="20"/>
      <c r="AW182" s="20" t="s">
        <v>1081</v>
      </c>
      <c r="AX182" s="20" t="s">
        <v>974</v>
      </c>
      <c r="AY182" s="20"/>
    </row>
    <row r="183" spans="1:51">
      <c r="A183" s="27">
        <v>43466</v>
      </c>
      <c r="B183" s="20" t="s">
        <v>222</v>
      </c>
      <c r="C183" s="20" t="s">
        <v>1358</v>
      </c>
      <c r="D183">
        <v>103</v>
      </c>
      <c r="E183">
        <v>59</v>
      </c>
      <c r="F183">
        <v>236</v>
      </c>
      <c r="G183">
        <v>236</v>
      </c>
      <c r="H183" s="20" t="s">
        <v>1707</v>
      </c>
      <c r="I183" s="20" t="s">
        <v>935</v>
      </c>
      <c r="J183" s="20" t="s">
        <v>936</v>
      </c>
      <c r="K183" s="20" t="s">
        <v>937</v>
      </c>
      <c r="M183">
        <v>615</v>
      </c>
      <c r="N183">
        <v>619</v>
      </c>
      <c r="O183">
        <v>2928.5</v>
      </c>
      <c r="P183">
        <v>4.76</v>
      </c>
      <c r="R183">
        <v>1441</v>
      </c>
      <c r="S183">
        <v>1441</v>
      </c>
      <c r="T183">
        <v>220</v>
      </c>
      <c r="U183">
        <v>0.35799999999999998</v>
      </c>
      <c r="V183">
        <v>5</v>
      </c>
      <c r="W183">
        <v>1</v>
      </c>
      <c r="X183">
        <v>5</v>
      </c>
      <c r="Y183">
        <v>16</v>
      </c>
      <c r="Z183">
        <v>289985</v>
      </c>
      <c r="AA183">
        <v>6.66</v>
      </c>
      <c r="AB183">
        <v>233735</v>
      </c>
      <c r="AC183">
        <v>5.37</v>
      </c>
      <c r="AD183">
        <v>41286</v>
      </c>
      <c r="AE183">
        <v>5580675</v>
      </c>
      <c r="AF183">
        <v>0.1424</v>
      </c>
      <c r="AG183">
        <v>216</v>
      </c>
      <c r="AH183">
        <v>10418410</v>
      </c>
      <c r="AI183">
        <v>3535</v>
      </c>
      <c r="AJ183">
        <v>528</v>
      </c>
      <c r="AK183" s="20" t="s">
        <v>1362</v>
      </c>
      <c r="AL183" s="20" t="s">
        <v>1361</v>
      </c>
      <c r="AM183" s="20" t="s">
        <v>1449</v>
      </c>
      <c r="AN183" s="20" t="s">
        <v>1536</v>
      </c>
      <c r="AO183" s="20" t="s">
        <v>942</v>
      </c>
      <c r="AP183">
        <v>3</v>
      </c>
      <c r="AQ183">
        <v>15</v>
      </c>
      <c r="AR183">
        <v>32</v>
      </c>
      <c r="AS183">
        <v>79</v>
      </c>
      <c r="AT183">
        <v>16</v>
      </c>
      <c r="AU183" s="27">
        <v>22858</v>
      </c>
      <c r="AV183" s="20"/>
      <c r="AW183" s="20"/>
      <c r="AX183" s="20"/>
      <c r="AY183" s="20"/>
    </row>
    <row r="184" spans="1:51">
      <c r="A184" s="27">
        <v>43466</v>
      </c>
      <c r="B184" s="20" t="s">
        <v>39</v>
      </c>
      <c r="C184" s="20" t="s">
        <v>1363</v>
      </c>
      <c r="D184">
        <v>28</v>
      </c>
      <c r="E184">
        <v>28</v>
      </c>
      <c r="F184">
        <v>523</v>
      </c>
      <c r="G184">
        <v>523</v>
      </c>
      <c r="H184" s="20" t="s">
        <v>1708</v>
      </c>
      <c r="I184" s="20" t="s">
        <v>935</v>
      </c>
      <c r="J184" s="20" t="s">
        <v>936</v>
      </c>
      <c r="K184" s="20" t="s">
        <v>937</v>
      </c>
      <c r="M184">
        <v>1021</v>
      </c>
      <c r="N184">
        <v>1023</v>
      </c>
      <c r="O184">
        <v>4854.5</v>
      </c>
      <c r="P184">
        <v>4.75</v>
      </c>
      <c r="R184">
        <v>2418</v>
      </c>
      <c r="S184">
        <v>2418</v>
      </c>
      <c r="T184">
        <v>363</v>
      </c>
      <c r="U184">
        <v>0.35799999999999998</v>
      </c>
      <c r="V184">
        <v>8</v>
      </c>
      <c r="W184">
        <v>1</v>
      </c>
      <c r="X184">
        <v>9</v>
      </c>
      <c r="Y184">
        <v>14</v>
      </c>
      <c r="Z184">
        <v>541687</v>
      </c>
      <c r="AA184">
        <v>12.44</v>
      </c>
      <c r="AB184">
        <v>498060</v>
      </c>
      <c r="AC184">
        <v>11.43</v>
      </c>
      <c r="AD184">
        <v>68826</v>
      </c>
      <c r="AE184">
        <v>8736312</v>
      </c>
      <c r="AF184">
        <v>0.12709999999999999</v>
      </c>
      <c r="AG184">
        <v>194</v>
      </c>
      <c r="AH184">
        <v>12236000</v>
      </c>
      <c r="AI184">
        <v>2515</v>
      </c>
      <c r="AJ184">
        <v>486</v>
      </c>
      <c r="AK184" s="20" t="s">
        <v>1709</v>
      </c>
      <c r="AL184" s="20" t="s">
        <v>1366</v>
      </c>
      <c r="AM184" s="20" t="s">
        <v>1367</v>
      </c>
      <c r="AN184" s="20" t="s">
        <v>1584</v>
      </c>
      <c r="AO184" s="20" t="s">
        <v>942</v>
      </c>
      <c r="AP184">
        <v>1</v>
      </c>
      <c r="AQ184">
        <v>15</v>
      </c>
      <c r="AR184">
        <v>32</v>
      </c>
      <c r="AS184" t="s">
        <v>1710</v>
      </c>
      <c r="AT184">
        <v>17</v>
      </c>
      <c r="AU184" s="27">
        <v>19165</v>
      </c>
      <c r="AV184" s="20" t="s">
        <v>1019</v>
      </c>
      <c r="AW184" s="20"/>
      <c r="AX184" s="20"/>
      <c r="AY184" s="20"/>
    </row>
    <row r="185" spans="1:51">
      <c r="A185" s="27">
        <v>43466</v>
      </c>
      <c r="B185" s="20" t="s">
        <v>50</v>
      </c>
      <c r="C185" s="20" t="s">
        <v>992</v>
      </c>
      <c r="D185">
        <v>183</v>
      </c>
      <c r="E185">
        <v>100</v>
      </c>
      <c r="F185">
        <v>286</v>
      </c>
      <c r="G185">
        <v>237</v>
      </c>
      <c r="H185" s="20" t="s">
        <v>1539</v>
      </c>
      <c r="I185" s="20" t="s">
        <v>935</v>
      </c>
      <c r="J185" s="20" t="s">
        <v>936</v>
      </c>
      <c r="K185" s="20" t="s">
        <v>1080</v>
      </c>
      <c r="M185">
        <v>229</v>
      </c>
      <c r="N185">
        <v>231</v>
      </c>
      <c r="O185">
        <v>686.5</v>
      </c>
      <c r="P185">
        <v>3</v>
      </c>
      <c r="R185">
        <v>247</v>
      </c>
      <c r="S185">
        <v>247</v>
      </c>
      <c r="T185">
        <v>199</v>
      </c>
      <c r="U185">
        <v>0.89600000000000002</v>
      </c>
      <c r="V185">
        <v>1</v>
      </c>
      <c r="W185">
        <v>0</v>
      </c>
      <c r="X185">
        <v>1</v>
      </c>
      <c r="Y185">
        <v>20</v>
      </c>
      <c r="Z185">
        <v>50180</v>
      </c>
      <c r="AA185">
        <v>1.1499999999999999</v>
      </c>
      <c r="AB185">
        <v>50180</v>
      </c>
      <c r="AC185">
        <v>1.1499999999999999</v>
      </c>
      <c r="AD185">
        <v>6910</v>
      </c>
      <c r="AE185">
        <v>1316253</v>
      </c>
      <c r="AF185">
        <v>0.13769999999999999</v>
      </c>
      <c r="AG185">
        <v>215</v>
      </c>
      <c r="AH185">
        <v>5622697</v>
      </c>
      <c r="AI185">
        <v>7487</v>
      </c>
      <c r="AJ185">
        <v>290</v>
      </c>
      <c r="AK185" s="20" t="s">
        <v>1711</v>
      </c>
      <c r="AL185" s="20" t="s">
        <v>984</v>
      </c>
      <c r="AM185" s="20" t="s">
        <v>1446</v>
      </c>
      <c r="AN185" s="20" t="s">
        <v>1447</v>
      </c>
      <c r="AO185" s="20" t="s">
        <v>963</v>
      </c>
      <c r="AP185">
        <v>3</v>
      </c>
      <c r="AQ185">
        <v>12</v>
      </c>
      <c r="AR185">
        <v>26</v>
      </c>
      <c r="AS185">
        <v>65</v>
      </c>
      <c r="AT185">
        <v>2</v>
      </c>
      <c r="AU185" s="27">
        <v>26176</v>
      </c>
      <c r="AV185" s="20"/>
      <c r="AW185" s="20" t="s">
        <v>1081</v>
      </c>
      <c r="AX185" s="20"/>
      <c r="AY185" s="20"/>
    </row>
    <row r="186" spans="1:51">
      <c r="A186" s="27">
        <v>43466</v>
      </c>
      <c r="B186" s="20" t="s">
        <v>90</v>
      </c>
      <c r="C186" s="20" t="s">
        <v>1385</v>
      </c>
      <c r="D186">
        <v>181</v>
      </c>
      <c r="E186">
        <v>112</v>
      </c>
      <c r="F186">
        <v>284</v>
      </c>
      <c r="G186">
        <v>284</v>
      </c>
      <c r="H186" s="20" t="s">
        <v>1712</v>
      </c>
      <c r="I186" s="20" t="s">
        <v>935</v>
      </c>
      <c r="J186" s="20" t="s">
        <v>936</v>
      </c>
      <c r="K186" s="20" t="s">
        <v>937</v>
      </c>
      <c r="M186">
        <v>271</v>
      </c>
      <c r="N186">
        <v>275</v>
      </c>
      <c r="O186">
        <v>1301.5</v>
      </c>
      <c r="P186">
        <v>4.8</v>
      </c>
      <c r="R186">
        <v>643</v>
      </c>
      <c r="S186">
        <v>643</v>
      </c>
      <c r="T186">
        <v>112</v>
      </c>
      <c r="U186">
        <v>0.41599999999999998</v>
      </c>
      <c r="V186">
        <v>3</v>
      </c>
      <c r="W186">
        <v>0</v>
      </c>
      <c r="X186">
        <v>3</v>
      </c>
      <c r="Y186">
        <v>40732</v>
      </c>
      <c r="Z186">
        <v>99827</v>
      </c>
      <c r="AA186">
        <v>2.29</v>
      </c>
      <c r="AB186">
        <v>99827</v>
      </c>
      <c r="AC186">
        <v>2.29</v>
      </c>
      <c r="AD186">
        <v>34752</v>
      </c>
      <c r="AE186">
        <v>2668090</v>
      </c>
      <c r="AF186">
        <v>0.34810000000000002</v>
      </c>
      <c r="AG186">
        <v>281</v>
      </c>
      <c r="AH186">
        <v>6733865</v>
      </c>
      <c r="AI186">
        <v>5105</v>
      </c>
      <c r="AJ186">
        <v>574</v>
      </c>
      <c r="AK186" s="20" t="s">
        <v>1713</v>
      </c>
      <c r="AL186" s="20" t="s">
        <v>984</v>
      </c>
      <c r="AM186" s="20" t="s">
        <v>1085</v>
      </c>
      <c r="AN186" s="20" t="s">
        <v>982</v>
      </c>
      <c r="AO186" s="20" t="s">
        <v>963</v>
      </c>
      <c r="AP186">
        <v>11</v>
      </c>
      <c r="AQ186">
        <v>13</v>
      </c>
      <c r="AR186">
        <v>29</v>
      </c>
      <c r="AS186">
        <v>68</v>
      </c>
      <c r="AT186">
        <v>8</v>
      </c>
      <c r="AU186" s="27">
        <v>26176</v>
      </c>
      <c r="AV186" s="20"/>
      <c r="AW186" s="20"/>
      <c r="AX186" s="20"/>
      <c r="AY186" s="20"/>
    </row>
    <row r="187" spans="1:51">
      <c r="A187" s="27">
        <v>43466</v>
      </c>
      <c r="B187" s="20" t="s">
        <v>345</v>
      </c>
      <c r="C187" s="20" t="s">
        <v>1388</v>
      </c>
      <c r="D187">
        <v>191</v>
      </c>
      <c r="E187">
        <v>34</v>
      </c>
      <c r="F187">
        <v>302</v>
      </c>
      <c r="G187">
        <v>313</v>
      </c>
      <c r="H187" s="20" t="s">
        <v>1714</v>
      </c>
      <c r="I187" s="20" t="s">
        <v>935</v>
      </c>
      <c r="J187" s="20" t="s">
        <v>936</v>
      </c>
      <c r="K187" s="20" t="s">
        <v>1080</v>
      </c>
      <c r="M187">
        <v>177</v>
      </c>
      <c r="N187">
        <v>179</v>
      </c>
      <c r="O187">
        <v>602.5</v>
      </c>
      <c r="P187">
        <v>3.4</v>
      </c>
      <c r="R187">
        <v>192</v>
      </c>
      <c r="S187">
        <v>192</v>
      </c>
      <c r="T187">
        <v>160</v>
      </c>
      <c r="U187">
        <v>0.91400000000000003</v>
      </c>
      <c r="V187">
        <v>1</v>
      </c>
      <c r="W187">
        <v>0</v>
      </c>
      <c r="X187">
        <v>1</v>
      </c>
      <c r="Y187">
        <v>15</v>
      </c>
      <c r="Z187">
        <v>49309</v>
      </c>
      <c r="AA187">
        <v>1.1299999999999999</v>
      </c>
      <c r="AB187">
        <v>49309</v>
      </c>
      <c r="AC187">
        <v>1.1299999999999999</v>
      </c>
      <c r="AD187">
        <v>10076</v>
      </c>
      <c r="AE187">
        <v>1078917</v>
      </c>
      <c r="AF187">
        <v>0.20430000000000001</v>
      </c>
      <c r="AG187">
        <v>170</v>
      </c>
      <c r="AH187">
        <v>6090291</v>
      </c>
      <c r="AI187">
        <v>9776</v>
      </c>
      <c r="AJ187">
        <v>313</v>
      </c>
      <c r="AK187" s="20" t="s">
        <v>1715</v>
      </c>
      <c r="AL187" s="20" t="s">
        <v>1716</v>
      </c>
      <c r="AM187" s="20" t="s">
        <v>1717</v>
      </c>
      <c r="AN187" s="20" t="s">
        <v>1718</v>
      </c>
      <c r="AO187" s="20" t="s">
        <v>942</v>
      </c>
      <c r="AP187">
        <v>10</v>
      </c>
      <c r="AQ187">
        <v>14</v>
      </c>
      <c r="AR187">
        <v>34</v>
      </c>
      <c r="AS187">
        <v>82</v>
      </c>
      <c r="AT187">
        <v>13</v>
      </c>
      <c r="AU187" s="27">
        <v>26907</v>
      </c>
      <c r="AV187" s="20"/>
      <c r="AW187" s="20" t="s">
        <v>1081</v>
      </c>
      <c r="AX187" s="20"/>
      <c r="AY187" s="20"/>
    </row>
    <row r="188" spans="1:51">
      <c r="A188" s="27">
        <v>43466</v>
      </c>
      <c r="B188" s="20" t="s">
        <v>267</v>
      </c>
      <c r="C188" s="20" t="s">
        <v>1719</v>
      </c>
      <c r="D188">
        <v>84</v>
      </c>
      <c r="E188">
        <v>84</v>
      </c>
      <c r="F188">
        <v>570</v>
      </c>
      <c r="G188">
        <v>570</v>
      </c>
      <c r="H188" s="20" t="s">
        <v>1720</v>
      </c>
      <c r="I188" s="20" t="s">
        <v>935</v>
      </c>
      <c r="J188" s="20" t="s">
        <v>936</v>
      </c>
      <c r="K188" s="20" t="s">
        <v>937</v>
      </c>
      <c r="M188">
        <v>1251</v>
      </c>
      <c r="N188">
        <v>1255</v>
      </c>
      <c r="O188">
        <v>5799.5</v>
      </c>
      <c r="P188">
        <v>4.6399999999999997</v>
      </c>
      <c r="R188">
        <v>2814</v>
      </c>
      <c r="S188">
        <v>2814</v>
      </c>
      <c r="T188">
        <v>484</v>
      </c>
      <c r="U188">
        <v>0.39200000000000002</v>
      </c>
      <c r="V188">
        <v>9</v>
      </c>
      <c r="W188">
        <v>0</v>
      </c>
      <c r="X188">
        <v>9</v>
      </c>
      <c r="Y188">
        <v>16</v>
      </c>
      <c r="Z188">
        <v>507592</v>
      </c>
      <c r="AA188">
        <v>11.65</v>
      </c>
      <c r="AB188">
        <v>463332</v>
      </c>
      <c r="AC188">
        <v>10.64</v>
      </c>
      <c r="AD188">
        <v>76410</v>
      </c>
      <c r="AE188">
        <v>10446587</v>
      </c>
      <c r="AF188">
        <v>0.14169999999999999</v>
      </c>
      <c r="AG188">
        <v>242</v>
      </c>
      <c r="AH188">
        <v>22176000</v>
      </c>
      <c r="AI188">
        <v>3898</v>
      </c>
      <c r="AJ188">
        <v>479</v>
      </c>
      <c r="AK188" s="20" t="s">
        <v>1640</v>
      </c>
      <c r="AL188" s="20" t="s">
        <v>1721</v>
      </c>
      <c r="AM188" s="20" t="s">
        <v>1722</v>
      </c>
      <c r="AN188" s="20" t="s">
        <v>1723</v>
      </c>
      <c r="AO188" s="20" t="s">
        <v>942</v>
      </c>
      <c r="AP188">
        <v>1</v>
      </c>
      <c r="AQ188">
        <v>15</v>
      </c>
      <c r="AR188">
        <v>29</v>
      </c>
      <c r="AS188">
        <v>84</v>
      </c>
      <c r="AT188">
        <v>8</v>
      </c>
      <c r="AU188" s="27">
        <v>21696</v>
      </c>
      <c r="AV188" s="20" t="s">
        <v>1341</v>
      </c>
      <c r="AW188" s="20"/>
      <c r="AX188" s="20"/>
      <c r="AY188" s="20"/>
    </row>
    <row r="189" spans="1:51">
      <c r="A189" s="27">
        <v>43466</v>
      </c>
      <c r="B189" s="20" t="s">
        <v>277</v>
      </c>
      <c r="C189" s="20" t="s">
        <v>1719</v>
      </c>
      <c r="D189">
        <v>132</v>
      </c>
      <c r="E189">
        <v>84</v>
      </c>
      <c r="F189">
        <v>570</v>
      </c>
      <c r="G189">
        <v>570</v>
      </c>
      <c r="H189" s="20" t="s">
        <v>1720</v>
      </c>
      <c r="I189" s="20" t="s">
        <v>935</v>
      </c>
      <c r="J189" s="20" t="s">
        <v>936</v>
      </c>
      <c r="K189" s="20" t="s">
        <v>937</v>
      </c>
      <c r="M189">
        <v>125</v>
      </c>
      <c r="N189">
        <v>125</v>
      </c>
      <c r="O189">
        <v>611.5</v>
      </c>
      <c r="P189">
        <v>4.8899999999999997</v>
      </c>
      <c r="R189">
        <v>297</v>
      </c>
      <c r="S189">
        <v>297</v>
      </c>
      <c r="T189">
        <v>54</v>
      </c>
      <c r="U189">
        <v>0.432</v>
      </c>
      <c r="V189">
        <v>1</v>
      </c>
      <c r="W189">
        <v>0</v>
      </c>
      <c r="X189">
        <v>1</v>
      </c>
      <c r="Y189">
        <v>16</v>
      </c>
      <c r="Z189">
        <v>22500</v>
      </c>
      <c r="AA189">
        <v>0.52</v>
      </c>
      <c r="AB189">
        <v>22500</v>
      </c>
      <c r="AC189">
        <v>0.52</v>
      </c>
      <c r="AD189">
        <v>8660</v>
      </c>
      <c r="AE189">
        <v>1130657</v>
      </c>
      <c r="AF189">
        <v>0.38490000000000002</v>
      </c>
      <c r="AG189">
        <v>571</v>
      </c>
      <c r="AH189">
        <v>1957000</v>
      </c>
      <c r="AI189">
        <v>3198</v>
      </c>
      <c r="AJ189">
        <v>462</v>
      </c>
      <c r="AK189" s="20" t="s">
        <v>1723</v>
      </c>
      <c r="AL189" s="20" t="s">
        <v>1640</v>
      </c>
      <c r="AM189" s="20" t="s">
        <v>1722</v>
      </c>
      <c r="AN189" s="20"/>
      <c r="AO189" s="20" t="s">
        <v>942</v>
      </c>
      <c r="AP189">
        <v>1</v>
      </c>
      <c r="AQ189">
        <v>15</v>
      </c>
      <c r="AR189">
        <v>29</v>
      </c>
      <c r="AS189">
        <v>84</v>
      </c>
      <c r="AT189">
        <v>8</v>
      </c>
      <c r="AU189" s="27">
        <v>22677</v>
      </c>
      <c r="AV189" s="20" t="s">
        <v>1341</v>
      </c>
      <c r="AW189" s="20"/>
      <c r="AX189" s="20"/>
      <c r="AY189" s="20"/>
    </row>
    <row r="190" spans="1:51">
      <c r="A190" s="27">
        <v>43466</v>
      </c>
      <c r="B190" s="20" t="s">
        <v>223</v>
      </c>
      <c r="C190" s="20" t="s">
        <v>1724</v>
      </c>
      <c r="D190">
        <v>145</v>
      </c>
      <c r="E190">
        <v>145</v>
      </c>
      <c r="F190">
        <v>249</v>
      </c>
      <c r="G190">
        <v>249</v>
      </c>
      <c r="H190" s="20" t="s">
        <v>1725</v>
      </c>
      <c r="I190" s="20" t="s">
        <v>935</v>
      </c>
      <c r="J190" s="20" t="s">
        <v>936</v>
      </c>
      <c r="K190" s="20" t="s">
        <v>937</v>
      </c>
      <c r="M190">
        <v>1732</v>
      </c>
      <c r="N190">
        <v>1732</v>
      </c>
      <c r="O190">
        <v>7554</v>
      </c>
      <c r="P190">
        <v>4.3600000000000003</v>
      </c>
      <c r="R190">
        <v>4010</v>
      </c>
      <c r="S190">
        <v>4010</v>
      </c>
      <c r="T190">
        <v>666</v>
      </c>
      <c r="U190">
        <v>0.39100000000000001</v>
      </c>
      <c r="V190">
        <v>10</v>
      </c>
      <c r="W190">
        <v>1</v>
      </c>
      <c r="X190">
        <v>12</v>
      </c>
      <c r="Y190" t="s">
        <v>1726</v>
      </c>
      <c r="Z190">
        <v>699494</v>
      </c>
      <c r="AA190">
        <v>16.059999999999999</v>
      </c>
      <c r="AB190">
        <v>653938</v>
      </c>
      <c r="AC190">
        <v>15.01</v>
      </c>
      <c r="AD190">
        <v>97114</v>
      </c>
      <c r="AE190">
        <v>14044919</v>
      </c>
      <c r="AF190">
        <v>0.13880000000000001</v>
      </c>
      <c r="AG190">
        <v>250</v>
      </c>
      <c r="AH190">
        <v>33012851</v>
      </c>
      <c r="AI190">
        <v>4350</v>
      </c>
      <c r="AJ190">
        <v>534</v>
      </c>
      <c r="AK190" s="20" t="s">
        <v>1727</v>
      </c>
      <c r="AL190" s="20" t="s">
        <v>1728</v>
      </c>
      <c r="AM190" s="20" t="s">
        <v>1729</v>
      </c>
      <c r="AN190" s="20" t="s">
        <v>1640</v>
      </c>
      <c r="AO190" s="20" t="s">
        <v>942</v>
      </c>
      <c r="AP190">
        <v>1</v>
      </c>
      <c r="AQ190">
        <v>15</v>
      </c>
      <c r="AR190">
        <v>29</v>
      </c>
      <c r="AS190">
        <v>84</v>
      </c>
      <c r="AT190">
        <v>8</v>
      </c>
      <c r="AU190" s="27">
        <v>24166</v>
      </c>
      <c r="AV190" s="20"/>
      <c r="AW190" s="20" t="s">
        <v>1040</v>
      </c>
      <c r="AX190" s="20"/>
      <c r="AY190" s="20"/>
    </row>
    <row r="191" spans="1:51">
      <c r="A191" s="27">
        <v>43466</v>
      </c>
      <c r="B191" s="20" t="s">
        <v>114</v>
      </c>
      <c r="C191" s="20" t="s">
        <v>1730</v>
      </c>
      <c r="D191">
        <v>88</v>
      </c>
      <c r="E191">
        <v>88</v>
      </c>
      <c r="F191">
        <v>234</v>
      </c>
      <c r="G191">
        <v>234</v>
      </c>
      <c r="H191" s="20" t="s">
        <v>1731</v>
      </c>
      <c r="I191" s="20" t="s">
        <v>935</v>
      </c>
      <c r="J191" s="20" t="s">
        <v>936</v>
      </c>
      <c r="K191" s="20" t="s">
        <v>937</v>
      </c>
      <c r="M191">
        <v>1100</v>
      </c>
      <c r="N191">
        <v>1102</v>
      </c>
      <c r="O191">
        <v>5299</v>
      </c>
      <c r="P191">
        <v>4.82</v>
      </c>
      <c r="R191">
        <v>2691</v>
      </c>
      <c r="S191">
        <v>2691</v>
      </c>
      <c r="T191">
        <v>403</v>
      </c>
      <c r="U191">
        <v>0.36899999999999999</v>
      </c>
      <c r="V191">
        <v>12</v>
      </c>
      <c r="W191">
        <v>1</v>
      </c>
      <c r="X191">
        <v>20</v>
      </c>
      <c r="Y191">
        <v>42230</v>
      </c>
      <c r="Z191">
        <v>805341</v>
      </c>
      <c r="AA191">
        <v>18.489999999999998</v>
      </c>
      <c r="AB191">
        <v>805341</v>
      </c>
      <c r="AC191">
        <v>18.489999999999998</v>
      </c>
      <c r="AD191">
        <v>118402</v>
      </c>
      <c r="AE191">
        <v>10177348</v>
      </c>
      <c r="AF191">
        <v>0.14699999999999999</v>
      </c>
      <c r="AG191">
        <v>146</v>
      </c>
      <c r="AH191">
        <v>16449659</v>
      </c>
      <c r="AI191">
        <v>3100</v>
      </c>
      <c r="AJ191">
        <v>526</v>
      </c>
      <c r="AK191" s="20" t="s">
        <v>1732</v>
      </c>
      <c r="AL191" s="20" t="s">
        <v>1276</v>
      </c>
      <c r="AM191" s="20" t="s">
        <v>1733</v>
      </c>
      <c r="AN191" s="20" t="s">
        <v>1243</v>
      </c>
      <c r="AO191" s="20" t="s">
        <v>942</v>
      </c>
      <c r="AP191">
        <v>9</v>
      </c>
      <c r="AQ191">
        <v>15</v>
      </c>
      <c r="AR191">
        <v>32</v>
      </c>
      <c r="AS191">
        <v>85</v>
      </c>
      <c r="AT191">
        <v>18</v>
      </c>
      <c r="AU191" s="27">
        <v>22587</v>
      </c>
      <c r="AV191" s="20"/>
      <c r="AW191" s="20"/>
      <c r="AX191" s="20"/>
      <c r="AY191" s="20"/>
    </row>
    <row r="192" spans="1:51">
      <c r="A192" s="27">
        <v>43466</v>
      </c>
      <c r="B192" s="20" t="s">
        <v>91</v>
      </c>
      <c r="C192" s="20" t="s">
        <v>1734</v>
      </c>
      <c r="D192">
        <v>129</v>
      </c>
      <c r="E192">
        <v>93</v>
      </c>
      <c r="F192">
        <v>251</v>
      </c>
      <c r="G192">
        <v>251</v>
      </c>
      <c r="H192" s="20" t="s">
        <v>1735</v>
      </c>
      <c r="I192" s="20" t="s">
        <v>935</v>
      </c>
      <c r="J192" s="20" t="s">
        <v>936</v>
      </c>
      <c r="K192" s="20" t="s">
        <v>937</v>
      </c>
      <c r="M192">
        <v>463</v>
      </c>
      <c r="N192">
        <v>463</v>
      </c>
      <c r="O192">
        <v>2165.5</v>
      </c>
      <c r="P192">
        <v>4.68</v>
      </c>
      <c r="R192">
        <v>1133</v>
      </c>
      <c r="S192">
        <v>1133</v>
      </c>
      <c r="T192">
        <v>157</v>
      </c>
      <c r="U192">
        <v>0.34300000000000003</v>
      </c>
      <c r="V192">
        <v>2</v>
      </c>
      <c r="W192">
        <v>0</v>
      </c>
      <c r="X192">
        <v>4</v>
      </c>
      <c r="Y192">
        <v>20</v>
      </c>
      <c r="Z192">
        <v>117000</v>
      </c>
      <c r="AA192">
        <v>2.69</v>
      </c>
      <c r="AB192">
        <v>117000</v>
      </c>
      <c r="AC192">
        <v>2.69</v>
      </c>
      <c r="AD192">
        <v>21826</v>
      </c>
      <c r="AE192">
        <v>4029275</v>
      </c>
      <c r="AF192">
        <v>0.1865</v>
      </c>
      <c r="AG192">
        <v>421</v>
      </c>
      <c r="AH192">
        <v>7256661</v>
      </c>
      <c r="AI192">
        <v>3350</v>
      </c>
      <c r="AJ192">
        <v>520</v>
      </c>
      <c r="AK192" s="20" t="s">
        <v>1736</v>
      </c>
      <c r="AL192" s="20" t="s">
        <v>1737</v>
      </c>
      <c r="AM192" s="20" t="s">
        <v>1738</v>
      </c>
      <c r="AN192" s="20" t="s">
        <v>1450</v>
      </c>
      <c r="AO192" s="20" t="s">
        <v>942</v>
      </c>
      <c r="AP192">
        <v>1</v>
      </c>
      <c r="AQ192">
        <v>15</v>
      </c>
      <c r="AR192">
        <v>29</v>
      </c>
      <c r="AS192">
        <v>84</v>
      </c>
      <c r="AT192">
        <v>8</v>
      </c>
      <c r="AU192" s="27">
        <v>23467</v>
      </c>
      <c r="AV192" s="20"/>
      <c r="AW192" s="20"/>
      <c r="AX192" s="20"/>
      <c r="AY192" s="20"/>
    </row>
    <row r="193" spans="1:51">
      <c r="A193" s="27">
        <v>43466</v>
      </c>
      <c r="B193" s="20" t="s">
        <v>40</v>
      </c>
      <c r="C193" s="20" t="s">
        <v>1739</v>
      </c>
      <c r="D193">
        <v>102</v>
      </c>
      <c r="E193">
        <v>102</v>
      </c>
      <c r="F193">
        <v>239</v>
      </c>
      <c r="G193">
        <v>239</v>
      </c>
      <c r="H193" s="20" t="s">
        <v>1740</v>
      </c>
      <c r="I193" s="20" t="s">
        <v>935</v>
      </c>
      <c r="J193" s="20" t="s">
        <v>936</v>
      </c>
      <c r="K193" s="20" t="s">
        <v>937</v>
      </c>
      <c r="M193">
        <v>1083</v>
      </c>
      <c r="N193">
        <v>1085</v>
      </c>
      <c r="O193">
        <v>5237.5</v>
      </c>
      <c r="P193">
        <v>4.84</v>
      </c>
      <c r="R193">
        <v>2889</v>
      </c>
      <c r="S193">
        <v>2889</v>
      </c>
      <c r="T193">
        <v>364</v>
      </c>
      <c r="U193">
        <v>0.33800000000000002</v>
      </c>
      <c r="V193">
        <v>10</v>
      </c>
      <c r="W193">
        <v>0</v>
      </c>
      <c r="X193">
        <v>10</v>
      </c>
      <c r="Y193" t="s">
        <v>1741</v>
      </c>
      <c r="Z193">
        <v>416831</v>
      </c>
      <c r="AA193">
        <v>9.57</v>
      </c>
      <c r="AB193">
        <v>416831</v>
      </c>
      <c r="AC193">
        <v>9.57</v>
      </c>
      <c r="AD193">
        <v>66594</v>
      </c>
      <c r="AE193">
        <v>9980542</v>
      </c>
      <c r="AF193">
        <v>0.1598</v>
      </c>
      <c r="AG193">
        <v>302</v>
      </c>
      <c r="AH193">
        <v>20735295</v>
      </c>
      <c r="AI193">
        <v>4008</v>
      </c>
      <c r="AJ193">
        <v>499</v>
      </c>
      <c r="AK193" s="20" t="s">
        <v>1219</v>
      </c>
      <c r="AL193" s="20" t="s">
        <v>1742</v>
      </c>
      <c r="AM193" s="20" t="s">
        <v>956</v>
      </c>
      <c r="AN193" s="20" t="s">
        <v>1216</v>
      </c>
      <c r="AO193" s="20" t="s">
        <v>942</v>
      </c>
      <c r="AP193">
        <v>3</v>
      </c>
      <c r="AQ193">
        <v>15</v>
      </c>
      <c r="AR193">
        <v>33</v>
      </c>
      <c r="AS193">
        <v>79</v>
      </c>
      <c r="AT193">
        <v>16</v>
      </c>
      <c r="AU193" s="27">
        <v>23985</v>
      </c>
      <c r="AV193" s="20"/>
      <c r="AW193" s="20"/>
      <c r="AX193" s="20"/>
      <c r="AY193" s="20"/>
    </row>
    <row r="194" spans="1:51">
      <c r="A194" s="27">
        <v>43466</v>
      </c>
      <c r="B194" s="20" t="s">
        <v>140</v>
      </c>
      <c r="C194" s="20" t="s">
        <v>1739</v>
      </c>
      <c r="D194">
        <v>502</v>
      </c>
      <c r="E194">
        <v>102</v>
      </c>
      <c r="F194">
        <v>280</v>
      </c>
      <c r="G194">
        <v>239</v>
      </c>
      <c r="H194" s="20" t="s">
        <v>1743</v>
      </c>
      <c r="I194" s="20" t="s">
        <v>935</v>
      </c>
      <c r="J194" s="20" t="s">
        <v>936</v>
      </c>
      <c r="K194" s="20" t="s">
        <v>937</v>
      </c>
      <c r="M194">
        <v>802</v>
      </c>
      <c r="N194">
        <v>802</v>
      </c>
      <c r="O194">
        <v>3765</v>
      </c>
      <c r="P194">
        <v>4.6900000000000004</v>
      </c>
      <c r="R194">
        <v>1989</v>
      </c>
      <c r="S194">
        <v>1989</v>
      </c>
      <c r="T194">
        <v>268</v>
      </c>
      <c r="U194">
        <v>0.33800000000000002</v>
      </c>
      <c r="V194">
        <v>7</v>
      </c>
      <c r="W194">
        <v>0</v>
      </c>
      <c r="X194">
        <v>7</v>
      </c>
      <c r="Y194" t="s">
        <v>1741</v>
      </c>
      <c r="Z194">
        <v>358843</v>
      </c>
      <c r="AA194">
        <v>8.24</v>
      </c>
      <c r="AB194">
        <v>313704</v>
      </c>
      <c r="AC194">
        <v>7.2</v>
      </c>
      <c r="AD194">
        <v>51875</v>
      </c>
      <c r="AE194">
        <v>7162265</v>
      </c>
      <c r="AF194">
        <v>0.14460000000000001</v>
      </c>
      <c r="AG194">
        <v>241</v>
      </c>
      <c r="AH194">
        <v>15391181</v>
      </c>
      <c r="AI194">
        <v>4008</v>
      </c>
      <c r="AJ194">
        <v>507</v>
      </c>
      <c r="AK194" s="20" t="s">
        <v>1219</v>
      </c>
      <c r="AL194" s="20" t="s">
        <v>1217</v>
      </c>
      <c r="AM194" s="20" t="s">
        <v>956</v>
      </c>
      <c r="AN194" s="20" t="s">
        <v>1742</v>
      </c>
      <c r="AO194" s="20" t="s">
        <v>942</v>
      </c>
      <c r="AP194">
        <v>3</v>
      </c>
      <c r="AQ194">
        <v>15</v>
      </c>
      <c r="AR194">
        <v>33</v>
      </c>
      <c r="AS194">
        <v>79</v>
      </c>
      <c r="AT194">
        <v>16</v>
      </c>
      <c r="AU194" s="27">
        <v>23985</v>
      </c>
      <c r="AV194" s="20"/>
      <c r="AW194" s="20"/>
      <c r="AX194" s="20"/>
      <c r="AY194" s="20"/>
    </row>
    <row r="195" spans="1:51">
      <c r="A195" s="27">
        <v>43466</v>
      </c>
      <c r="B195" s="20" t="s">
        <v>92</v>
      </c>
      <c r="C195" s="20" t="s">
        <v>1744</v>
      </c>
      <c r="D195">
        <v>277</v>
      </c>
      <c r="E195">
        <v>241</v>
      </c>
      <c r="F195">
        <v>504</v>
      </c>
      <c r="G195">
        <v>346</v>
      </c>
      <c r="H195" s="20" t="s">
        <v>1745</v>
      </c>
      <c r="I195" s="20" t="s">
        <v>935</v>
      </c>
      <c r="J195" s="20" t="s">
        <v>936</v>
      </c>
      <c r="K195" s="20" t="s">
        <v>1456</v>
      </c>
      <c r="M195">
        <v>97</v>
      </c>
      <c r="N195">
        <v>97</v>
      </c>
      <c r="O195">
        <v>296.5</v>
      </c>
      <c r="P195">
        <v>3.06</v>
      </c>
      <c r="R195">
        <v>103</v>
      </c>
      <c r="S195">
        <v>103</v>
      </c>
      <c r="T195">
        <v>83</v>
      </c>
      <c r="U195">
        <v>0.86499999999999999</v>
      </c>
      <c r="V195">
        <v>1</v>
      </c>
      <c r="W195">
        <v>0</v>
      </c>
      <c r="X195">
        <v>1</v>
      </c>
      <c r="Y195">
        <v>9</v>
      </c>
      <c r="Z195">
        <v>10000</v>
      </c>
      <c r="AA195">
        <v>0.23</v>
      </c>
      <c r="AB195">
        <v>10000</v>
      </c>
      <c r="AC195">
        <v>0.23</v>
      </c>
      <c r="AD195">
        <v>6491</v>
      </c>
      <c r="AE195">
        <v>561310</v>
      </c>
      <c r="AF195">
        <v>0.64910000000000001</v>
      </c>
      <c r="AG195">
        <v>448</v>
      </c>
      <c r="AH195">
        <v>1989852</v>
      </c>
      <c r="AI195">
        <v>6337</v>
      </c>
      <c r="AJ195">
        <v>302</v>
      </c>
      <c r="AK195" s="20" t="s">
        <v>1746</v>
      </c>
      <c r="AL195" s="20" t="s">
        <v>1209</v>
      </c>
      <c r="AM195" s="20" t="s">
        <v>1593</v>
      </c>
      <c r="AN195" s="20"/>
      <c r="AO195" s="20" t="s">
        <v>963</v>
      </c>
      <c r="AP195">
        <v>11</v>
      </c>
      <c r="AQ195">
        <v>13</v>
      </c>
      <c r="AR195">
        <v>30</v>
      </c>
      <c r="AS195">
        <v>68</v>
      </c>
      <c r="AT195">
        <v>9</v>
      </c>
      <c r="AU195" s="27">
        <v>28245</v>
      </c>
      <c r="AV195" s="20"/>
      <c r="AW195" s="20" t="s">
        <v>1081</v>
      </c>
      <c r="AX195" s="20" t="s">
        <v>974</v>
      </c>
      <c r="AY195" s="20"/>
    </row>
    <row r="196" spans="1:51">
      <c r="A196" s="27">
        <v>43466</v>
      </c>
      <c r="B196" s="20" t="s">
        <v>147</v>
      </c>
      <c r="C196" s="20" t="s">
        <v>1747</v>
      </c>
      <c r="D196">
        <v>130</v>
      </c>
      <c r="E196">
        <v>141</v>
      </c>
      <c r="F196">
        <v>250</v>
      </c>
      <c r="G196">
        <v>231</v>
      </c>
      <c r="H196" s="20" t="s">
        <v>1748</v>
      </c>
      <c r="I196" s="20" t="s">
        <v>935</v>
      </c>
      <c r="J196" s="20" t="s">
        <v>936</v>
      </c>
      <c r="K196" s="20" t="s">
        <v>937</v>
      </c>
      <c r="M196">
        <v>206</v>
      </c>
      <c r="N196">
        <v>206</v>
      </c>
      <c r="O196">
        <v>962</v>
      </c>
      <c r="P196">
        <v>4.67</v>
      </c>
      <c r="R196">
        <v>531</v>
      </c>
      <c r="S196">
        <v>531</v>
      </c>
      <c r="T196">
        <v>69</v>
      </c>
      <c r="U196">
        <v>0.34</v>
      </c>
      <c r="V196">
        <v>2</v>
      </c>
      <c r="W196">
        <v>0</v>
      </c>
      <c r="X196">
        <v>2</v>
      </c>
      <c r="Y196">
        <v>16</v>
      </c>
      <c r="Z196">
        <v>60890</v>
      </c>
      <c r="AA196">
        <v>1.4</v>
      </c>
      <c r="AB196">
        <v>60890</v>
      </c>
      <c r="AC196">
        <v>1.4</v>
      </c>
      <c r="AD196">
        <v>13024</v>
      </c>
      <c r="AE196">
        <v>1769693</v>
      </c>
      <c r="AF196">
        <v>0.21390000000000001</v>
      </c>
      <c r="AG196">
        <v>379</v>
      </c>
      <c r="AH196">
        <v>3742711</v>
      </c>
      <c r="AI196">
        <v>3891</v>
      </c>
      <c r="AJ196">
        <v>449</v>
      </c>
      <c r="AK196" s="20" t="s">
        <v>1216</v>
      </c>
      <c r="AL196" s="20" t="s">
        <v>957</v>
      </c>
      <c r="AM196" s="20" t="s">
        <v>1219</v>
      </c>
      <c r="AN196" s="20"/>
      <c r="AO196" s="20" t="s">
        <v>942</v>
      </c>
      <c r="AP196">
        <v>3</v>
      </c>
      <c r="AQ196">
        <v>15</v>
      </c>
      <c r="AR196">
        <v>32</v>
      </c>
      <c r="AS196">
        <v>79</v>
      </c>
      <c r="AT196">
        <v>16</v>
      </c>
      <c r="AU196" s="27">
        <v>23162</v>
      </c>
      <c r="AV196" s="20"/>
      <c r="AW196" s="20"/>
      <c r="AX196" s="20"/>
      <c r="AY196" s="20"/>
    </row>
    <row r="197" spans="1:51">
      <c r="A197" s="27">
        <v>43466</v>
      </c>
      <c r="B197" s="20" t="s">
        <v>41</v>
      </c>
      <c r="C197" s="20" t="s">
        <v>1581</v>
      </c>
      <c r="D197">
        <v>267</v>
      </c>
      <c r="E197">
        <v>267</v>
      </c>
      <c r="F197">
        <v>385</v>
      </c>
      <c r="G197">
        <v>385</v>
      </c>
      <c r="H197" s="20" t="s">
        <v>1749</v>
      </c>
      <c r="I197" s="20" t="s">
        <v>935</v>
      </c>
      <c r="J197" s="20" t="s">
        <v>945</v>
      </c>
      <c r="K197" s="20" t="s">
        <v>937</v>
      </c>
      <c r="M197">
        <v>841</v>
      </c>
      <c r="N197">
        <v>843</v>
      </c>
      <c r="O197">
        <v>3788.5</v>
      </c>
      <c r="P197">
        <v>4.5</v>
      </c>
      <c r="R197">
        <v>1681</v>
      </c>
      <c r="S197">
        <v>1681</v>
      </c>
      <c r="T197">
        <v>428</v>
      </c>
      <c r="U197">
        <v>0.52100000000000002</v>
      </c>
      <c r="V197">
        <v>3</v>
      </c>
      <c r="W197">
        <v>0</v>
      </c>
      <c r="X197">
        <v>5</v>
      </c>
      <c r="Y197" t="s">
        <v>1750</v>
      </c>
      <c r="Z197">
        <v>274300</v>
      </c>
      <c r="AA197">
        <v>6.3</v>
      </c>
      <c r="AB197">
        <v>274300</v>
      </c>
      <c r="AC197">
        <v>6.3</v>
      </c>
      <c r="AD197">
        <v>64435</v>
      </c>
      <c r="AE197">
        <v>11316800</v>
      </c>
      <c r="AF197">
        <v>0.2349</v>
      </c>
      <c r="AG197">
        <v>267</v>
      </c>
      <c r="AH197">
        <v>40272504</v>
      </c>
      <c r="AI197">
        <v>10584</v>
      </c>
      <c r="AJ197">
        <v>473</v>
      </c>
      <c r="AK197" s="20" t="s">
        <v>1219</v>
      </c>
      <c r="AL197" s="20" t="s">
        <v>1583</v>
      </c>
      <c r="AM197" s="20" t="s">
        <v>1362</v>
      </c>
      <c r="AN197" s="20" t="s">
        <v>1361</v>
      </c>
      <c r="AO197" s="20" t="s">
        <v>942</v>
      </c>
      <c r="AP197" t="s">
        <v>1751</v>
      </c>
      <c r="AQ197">
        <v>15</v>
      </c>
      <c r="AR197">
        <v>32</v>
      </c>
      <c r="AS197">
        <v>79</v>
      </c>
      <c r="AT197" t="s">
        <v>1752</v>
      </c>
      <c r="AU197" s="27">
        <v>29587</v>
      </c>
      <c r="AV197" s="20"/>
      <c r="AW197" s="20" t="s">
        <v>1040</v>
      </c>
      <c r="AX197" s="20"/>
      <c r="AY197" s="20"/>
    </row>
    <row r="198" spans="1:51">
      <c r="A198" s="27">
        <v>43466</v>
      </c>
      <c r="B198" s="20" t="s">
        <v>346</v>
      </c>
      <c r="C198" s="20" t="s">
        <v>1753</v>
      </c>
      <c r="D198">
        <v>121</v>
      </c>
      <c r="E198">
        <v>121</v>
      </c>
      <c r="F198">
        <v>244</v>
      </c>
      <c r="G198">
        <v>244</v>
      </c>
      <c r="H198" s="20" t="s">
        <v>1754</v>
      </c>
      <c r="I198" s="20" t="s">
        <v>935</v>
      </c>
      <c r="J198" s="20" t="s">
        <v>936</v>
      </c>
      <c r="K198" s="20" t="s">
        <v>937</v>
      </c>
      <c r="M198">
        <v>992</v>
      </c>
      <c r="N198">
        <v>993</v>
      </c>
      <c r="O198">
        <v>4634</v>
      </c>
      <c r="P198">
        <v>4.67</v>
      </c>
      <c r="R198">
        <v>2542</v>
      </c>
      <c r="S198">
        <v>2542</v>
      </c>
      <c r="T198">
        <v>313</v>
      </c>
      <c r="U198">
        <v>0.317</v>
      </c>
      <c r="V198">
        <v>8</v>
      </c>
      <c r="W198">
        <v>1</v>
      </c>
      <c r="X198">
        <v>9</v>
      </c>
      <c r="Y198" t="s">
        <v>1755</v>
      </c>
      <c r="Z198">
        <v>417367</v>
      </c>
      <c r="AA198">
        <v>9.58</v>
      </c>
      <c r="AB198">
        <v>386817</v>
      </c>
      <c r="AC198">
        <v>8.8800000000000008</v>
      </c>
      <c r="AD198">
        <v>78477</v>
      </c>
      <c r="AE198">
        <v>9236613</v>
      </c>
      <c r="AF198">
        <v>0.188</v>
      </c>
      <c r="AG198">
        <v>265</v>
      </c>
      <c r="AH198">
        <v>20670000</v>
      </c>
      <c r="AI198">
        <v>4456</v>
      </c>
      <c r="AJ198">
        <v>530</v>
      </c>
      <c r="AK198" s="20" t="s">
        <v>1756</v>
      </c>
      <c r="AL198" s="20" t="s">
        <v>1757</v>
      </c>
      <c r="AM198" s="20" t="s">
        <v>1758</v>
      </c>
      <c r="AN198" s="20" t="s">
        <v>1729</v>
      </c>
      <c r="AO198" s="20" t="s">
        <v>942</v>
      </c>
      <c r="AP198">
        <v>1</v>
      </c>
      <c r="AQ198">
        <v>15</v>
      </c>
      <c r="AR198">
        <v>29</v>
      </c>
      <c r="AS198">
        <v>84</v>
      </c>
      <c r="AT198">
        <v>8</v>
      </c>
      <c r="AU198" s="27">
        <v>23832</v>
      </c>
      <c r="AV198" s="20"/>
      <c r="AW198" s="20"/>
      <c r="AX198" s="20"/>
      <c r="AY198" s="20"/>
    </row>
    <row r="199" spans="1:51">
      <c r="A199" s="27">
        <v>43466</v>
      </c>
      <c r="B199" s="20" t="s">
        <v>347</v>
      </c>
      <c r="C199" s="20" t="s">
        <v>1759</v>
      </c>
      <c r="D199">
        <v>314</v>
      </c>
      <c r="E199">
        <v>35</v>
      </c>
      <c r="F199">
        <v>306</v>
      </c>
      <c r="G199">
        <v>306</v>
      </c>
      <c r="H199" s="20" t="s">
        <v>1760</v>
      </c>
      <c r="I199" s="20" t="s">
        <v>935</v>
      </c>
      <c r="J199" s="20" t="s">
        <v>945</v>
      </c>
      <c r="K199" s="20" t="s">
        <v>1080</v>
      </c>
      <c r="M199">
        <v>276</v>
      </c>
      <c r="N199">
        <v>277</v>
      </c>
      <c r="O199">
        <v>996</v>
      </c>
      <c r="P199">
        <v>3.61</v>
      </c>
      <c r="R199">
        <v>348</v>
      </c>
      <c r="S199">
        <v>348</v>
      </c>
      <c r="T199">
        <v>244</v>
      </c>
      <c r="U199">
        <v>0.89100000000000001</v>
      </c>
      <c r="V199">
        <v>1</v>
      </c>
      <c r="W199">
        <v>0</v>
      </c>
      <c r="X199">
        <v>2</v>
      </c>
      <c r="Y199">
        <v>10</v>
      </c>
      <c r="Z199">
        <v>120879</v>
      </c>
      <c r="AA199">
        <v>2.78</v>
      </c>
      <c r="AB199">
        <v>120879</v>
      </c>
      <c r="AC199">
        <v>2.78</v>
      </c>
      <c r="AD199">
        <v>29107</v>
      </c>
      <c r="AE199">
        <v>2204124</v>
      </c>
      <c r="AF199">
        <v>0.24079999999999999</v>
      </c>
      <c r="AG199">
        <v>125</v>
      </c>
      <c r="AH199">
        <v>18511313</v>
      </c>
      <c r="AI199">
        <v>18493</v>
      </c>
      <c r="AJ199">
        <v>327</v>
      </c>
      <c r="AK199" s="20" t="s">
        <v>1615</v>
      </c>
      <c r="AL199" s="20" t="s">
        <v>1761</v>
      </c>
      <c r="AM199" s="20" t="s">
        <v>1762</v>
      </c>
      <c r="AN199" s="20"/>
      <c r="AO199" s="20" t="s">
        <v>1108</v>
      </c>
      <c r="AP199">
        <v>1</v>
      </c>
      <c r="AQ199">
        <v>11</v>
      </c>
      <c r="AR199">
        <v>23</v>
      </c>
      <c r="AS199">
        <v>64</v>
      </c>
      <c r="AT199">
        <v>49</v>
      </c>
      <c r="AU199" s="27">
        <v>30875</v>
      </c>
      <c r="AV199" s="20"/>
      <c r="AW199" s="20" t="s">
        <v>1081</v>
      </c>
      <c r="AX199" s="20" t="s">
        <v>974</v>
      </c>
      <c r="AY199" s="20"/>
    </row>
    <row r="200" spans="1:51">
      <c r="A200" s="27">
        <v>43466</v>
      </c>
      <c r="B200" s="20" t="s">
        <v>209</v>
      </c>
      <c r="C200" s="20" t="s">
        <v>1763</v>
      </c>
      <c r="D200">
        <v>43</v>
      </c>
      <c r="E200">
        <v>36</v>
      </c>
      <c r="F200">
        <v>585</v>
      </c>
      <c r="G200">
        <v>585</v>
      </c>
      <c r="H200" s="20" t="s">
        <v>1764</v>
      </c>
      <c r="I200" s="20" t="s">
        <v>935</v>
      </c>
      <c r="J200" s="20" t="s">
        <v>936</v>
      </c>
      <c r="K200" s="20" t="s">
        <v>937</v>
      </c>
      <c r="M200">
        <v>1146</v>
      </c>
      <c r="N200">
        <v>1148</v>
      </c>
      <c r="O200">
        <v>4966</v>
      </c>
      <c r="P200">
        <v>4.33</v>
      </c>
      <c r="R200">
        <v>2327</v>
      </c>
      <c r="S200">
        <v>2327</v>
      </c>
      <c r="T200">
        <v>463</v>
      </c>
      <c r="U200">
        <v>0.41</v>
      </c>
      <c r="V200">
        <v>16</v>
      </c>
      <c r="W200">
        <v>1</v>
      </c>
      <c r="X200">
        <v>33</v>
      </c>
      <c r="Y200">
        <v>6</v>
      </c>
      <c r="Z200">
        <v>1036600</v>
      </c>
      <c r="AA200">
        <v>23.8</v>
      </c>
      <c r="AB200">
        <v>1036600</v>
      </c>
      <c r="AC200">
        <v>23.8</v>
      </c>
      <c r="AD200">
        <v>177223</v>
      </c>
      <c r="AE200">
        <v>9377365</v>
      </c>
      <c r="AF200">
        <v>0.17100000000000001</v>
      </c>
      <c r="AG200">
        <v>98</v>
      </c>
      <c r="AH200">
        <v>13817794</v>
      </c>
      <c r="AI200">
        <v>2779</v>
      </c>
      <c r="AJ200">
        <v>516</v>
      </c>
      <c r="AK200" s="20" t="s">
        <v>1700</v>
      </c>
      <c r="AL200" s="20" t="s">
        <v>1765</v>
      </c>
      <c r="AM200" s="20" t="s">
        <v>1702</v>
      </c>
      <c r="AN200" s="20" t="s">
        <v>1766</v>
      </c>
      <c r="AO200" s="20" t="s">
        <v>950</v>
      </c>
      <c r="AP200">
        <v>15</v>
      </c>
      <c r="AQ200">
        <v>9</v>
      </c>
      <c r="AR200">
        <v>19</v>
      </c>
      <c r="AS200">
        <v>41</v>
      </c>
      <c r="AT200">
        <v>46</v>
      </c>
      <c r="AU200" s="27">
        <v>18611</v>
      </c>
      <c r="AV200" s="20" t="s">
        <v>1483</v>
      </c>
      <c r="AW200" s="20"/>
      <c r="AX200" s="20"/>
      <c r="AY200" s="20"/>
    </row>
    <row r="201" spans="1:51">
      <c r="A201" s="27">
        <v>43466</v>
      </c>
      <c r="B201" s="20" t="s">
        <v>348</v>
      </c>
      <c r="C201" s="20" t="s">
        <v>1767</v>
      </c>
      <c r="D201">
        <v>51</v>
      </c>
      <c r="E201">
        <v>165</v>
      </c>
      <c r="F201">
        <v>573</v>
      </c>
      <c r="G201">
        <v>571</v>
      </c>
      <c r="H201" s="20" t="s">
        <v>1768</v>
      </c>
      <c r="I201" s="20" t="s">
        <v>935</v>
      </c>
      <c r="J201" s="20" t="s">
        <v>936</v>
      </c>
      <c r="K201" s="20" t="s">
        <v>937</v>
      </c>
      <c r="M201">
        <v>417</v>
      </c>
      <c r="N201">
        <v>418</v>
      </c>
      <c r="O201">
        <v>1766.5</v>
      </c>
      <c r="P201">
        <v>4.24</v>
      </c>
      <c r="R201">
        <v>837</v>
      </c>
      <c r="S201">
        <v>837</v>
      </c>
      <c r="T201">
        <v>140</v>
      </c>
      <c r="U201">
        <v>0.34</v>
      </c>
      <c r="V201">
        <v>7</v>
      </c>
      <c r="W201">
        <v>0</v>
      </c>
      <c r="X201">
        <v>14</v>
      </c>
      <c r="Y201">
        <v>6</v>
      </c>
      <c r="Z201">
        <v>354220</v>
      </c>
      <c r="AA201">
        <v>8.1300000000000008</v>
      </c>
      <c r="AB201">
        <v>310500</v>
      </c>
      <c r="AC201">
        <v>7.13</v>
      </c>
      <c r="AD201">
        <v>66101</v>
      </c>
      <c r="AE201">
        <v>3931321</v>
      </c>
      <c r="AF201">
        <v>0.18659999999999999</v>
      </c>
      <c r="AG201">
        <v>103</v>
      </c>
      <c r="AH201">
        <v>5137275</v>
      </c>
      <c r="AI201">
        <v>2901</v>
      </c>
      <c r="AJ201">
        <v>548</v>
      </c>
      <c r="AK201" s="20" t="s">
        <v>1769</v>
      </c>
      <c r="AL201" s="20" t="s">
        <v>1770</v>
      </c>
      <c r="AM201" s="20" t="s">
        <v>1234</v>
      </c>
      <c r="AN201" s="20" t="s">
        <v>1771</v>
      </c>
      <c r="AO201" s="20" t="s">
        <v>1049</v>
      </c>
      <c r="AP201">
        <v>14</v>
      </c>
      <c r="AQ201">
        <v>5</v>
      </c>
      <c r="AR201">
        <v>10</v>
      </c>
      <c r="AS201">
        <v>31</v>
      </c>
      <c r="AT201">
        <v>31</v>
      </c>
      <c r="AU201" s="27">
        <v>18687</v>
      </c>
      <c r="AV201" s="20" t="s">
        <v>1341</v>
      </c>
      <c r="AW201" s="20"/>
      <c r="AX201" s="20"/>
      <c r="AY201" s="20"/>
    </row>
    <row r="202" spans="1:51">
      <c r="A202" s="27">
        <v>43466</v>
      </c>
      <c r="B202" s="20" t="s">
        <v>349</v>
      </c>
      <c r="C202" s="20" t="s">
        <v>1772</v>
      </c>
      <c r="D202">
        <v>162</v>
      </c>
      <c r="E202">
        <v>162</v>
      </c>
      <c r="F202">
        <v>269</v>
      </c>
      <c r="G202">
        <v>269</v>
      </c>
      <c r="H202" s="20" t="s">
        <v>1773</v>
      </c>
      <c r="I202" s="20" t="s">
        <v>935</v>
      </c>
      <c r="J202" s="20" t="s">
        <v>936</v>
      </c>
      <c r="K202" s="20" t="s">
        <v>937</v>
      </c>
      <c r="M202">
        <v>238</v>
      </c>
      <c r="N202">
        <v>238</v>
      </c>
      <c r="O202">
        <v>1077</v>
      </c>
      <c r="P202">
        <v>4.53</v>
      </c>
      <c r="R202">
        <v>640</v>
      </c>
      <c r="S202">
        <v>640</v>
      </c>
      <c r="T202">
        <v>62</v>
      </c>
      <c r="U202">
        <v>0.26600000000000001</v>
      </c>
      <c r="V202">
        <v>3</v>
      </c>
      <c r="W202">
        <v>1</v>
      </c>
      <c r="X202">
        <v>4</v>
      </c>
      <c r="Y202">
        <v>14</v>
      </c>
      <c r="Z202">
        <v>112916</v>
      </c>
      <c r="AA202">
        <v>2.59</v>
      </c>
      <c r="AB202">
        <v>112916</v>
      </c>
      <c r="AC202">
        <v>2.59</v>
      </c>
      <c r="AD202">
        <v>16412</v>
      </c>
      <c r="AE202">
        <v>2178743</v>
      </c>
      <c r="AF202">
        <v>0.14530000000000001</v>
      </c>
      <c r="AG202">
        <v>247</v>
      </c>
      <c r="AH202">
        <v>4875929</v>
      </c>
      <c r="AI202">
        <v>4527</v>
      </c>
      <c r="AJ202">
        <v>684</v>
      </c>
      <c r="AK202" s="20" t="s">
        <v>1335</v>
      </c>
      <c r="AL202" s="20" t="s">
        <v>1774</v>
      </c>
      <c r="AM202" s="20" t="s">
        <v>1185</v>
      </c>
      <c r="AN202" s="20" t="s">
        <v>1605</v>
      </c>
      <c r="AO202" s="20" t="s">
        <v>950</v>
      </c>
      <c r="AP202">
        <v>16</v>
      </c>
      <c r="AQ202">
        <v>8</v>
      </c>
      <c r="AR202">
        <v>18</v>
      </c>
      <c r="AS202">
        <v>55</v>
      </c>
      <c r="AT202">
        <v>37</v>
      </c>
      <c r="AU202" s="27">
        <v>24928</v>
      </c>
      <c r="AV202" s="20"/>
      <c r="AW202" s="20"/>
      <c r="AX202" s="20"/>
      <c r="AY202" s="20"/>
    </row>
    <row r="203" spans="1:51">
      <c r="A203" s="27">
        <v>43466</v>
      </c>
      <c r="B203" s="20" t="s">
        <v>350</v>
      </c>
      <c r="C203" s="20" t="s">
        <v>1316</v>
      </c>
      <c r="D203">
        <v>313</v>
      </c>
      <c r="E203">
        <v>351</v>
      </c>
      <c r="F203">
        <v>287</v>
      </c>
      <c r="G203">
        <v>765</v>
      </c>
      <c r="H203" s="20" t="s">
        <v>1775</v>
      </c>
      <c r="I203" s="20" t="s">
        <v>935</v>
      </c>
      <c r="J203" s="20" t="s">
        <v>945</v>
      </c>
      <c r="K203" s="20" t="s">
        <v>953</v>
      </c>
      <c r="M203">
        <v>125</v>
      </c>
      <c r="N203">
        <v>125</v>
      </c>
      <c r="O203">
        <v>540.5</v>
      </c>
      <c r="P203">
        <v>4.32</v>
      </c>
      <c r="R203">
        <v>304</v>
      </c>
      <c r="S203">
        <v>304</v>
      </c>
      <c r="T203">
        <v>16</v>
      </c>
      <c r="U203">
        <v>0.13100000000000001</v>
      </c>
      <c r="V203">
        <v>5</v>
      </c>
      <c r="W203">
        <v>0</v>
      </c>
      <c r="X203">
        <v>5</v>
      </c>
      <c r="Y203">
        <v>4</v>
      </c>
      <c r="Z203">
        <v>242141</v>
      </c>
      <c r="AA203">
        <v>5.56</v>
      </c>
      <c r="AB203">
        <v>242141</v>
      </c>
      <c r="AC203">
        <v>5.56</v>
      </c>
      <c r="AD203">
        <v>78188</v>
      </c>
      <c r="AE203">
        <v>2000000</v>
      </c>
      <c r="AF203">
        <v>0.32290000000000002</v>
      </c>
      <c r="AG203">
        <v>55</v>
      </c>
      <c r="AH203">
        <v>8068686</v>
      </c>
      <c r="AI203">
        <v>14942</v>
      </c>
      <c r="AJ203">
        <v>599</v>
      </c>
      <c r="AK203" s="20" t="s">
        <v>1169</v>
      </c>
      <c r="AL203" s="20" t="s">
        <v>1053</v>
      </c>
      <c r="AM203" s="20" t="s">
        <v>1776</v>
      </c>
      <c r="AN203" s="20" t="s">
        <v>1777</v>
      </c>
      <c r="AO203" s="20" t="s">
        <v>950</v>
      </c>
      <c r="AP203">
        <v>16</v>
      </c>
      <c r="AQ203">
        <v>8</v>
      </c>
      <c r="AR203">
        <v>25</v>
      </c>
      <c r="AS203">
        <v>55</v>
      </c>
      <c r="AT203">
        <v>41</v>
      </c>
      <c r="AU203" s="27">
        <v>31726</v>
      </c>
      <c r="AV203" s="20"/>
      <c r="AW203" s="20"/>
      <c r="AX203" s="20" t="s">
        <v>974</v>
      </c>
      <c r="AY203" s="20"/>
    </row>
    <row r="204" spans="1:51">
      <c r="A204" s="27">
        <v>43466</v>
      </c>
      <c r="B204" s="20" t="s">
        <v>351</v>
      </c>
      <c r="C204" s="20" t="s">
        <v>1296</v>
      </c>
      <c r="D204">
        <v>172</v>
      </c>
      <c r="E204">
        <v>172</v>
      </c>
      <c r="F204">
        <v>582</v>
      </c>
      <c r="G204">
        <v>582</v>
      </c>
      <c r="H204" s="20" t="s">
        <v>1778</v>
      </c>
      <c r="I204" s="20" t="s">
        <v>935</v>
      </c>
      <c r="J204" s="20" t="s">
        <v>936</v>
      </c>
      <c r="K204" s="20" t="s">
        <v>937</v>
      </c>
      <c r="M204">
        <v>570</v>
      </c>
      <c r="N204">
        <v>573</v>
      </c>
      <c r="O204">
        <v>2204</v>
      </c>
      <c r="P204">
        <v>3.87</v>
      </c>
      <c r="R204">
        <v>947</v>
      </c>
      <c r="S204">
        <v>947</v>
      </c>
      <c r="T204">
        <v>305</v>
      </c>
      <c r="U204">
        <v>0.54400000000000004</v>
      </c>
      <c r="V204">
        <v>6</v>
      </c>
      <c r="W204">
        <v>1</v>
      </c>
      <c r="X204">
        <v>7</v>
      </c>
      <c r="Y204" t="s">
        <v>1779</v>
      </c>
      <c r="Z204">
        <v>276010</v>
      </c>
      <c r="AA204">
        <v>6.34</v>
      </c>
      <c r="AB204">
        <v>276010</v>
      </c>
      <c r="AC204">
        <v>6.34</v>
      </c>
      <c r="AD204">
        <v>34501</v>
      </c>
      <c r="AE204">
        <v>5421328</v>
      </c>
      <c r="AF204">
        <v>0.125</v>
      </c>
      <c r="AG204">
        <v>149</v>
      </c>
      <c r="AH204">
        <v>15000000</v>
      </c>
      <c r="AI204">
        <v>6649</v>
      </c>
      <c r="AJ204">
        <v>525</v>
      </c>
      <c r="AK204" s="20" t="s">
        <v>1289</v>
      </c>
      <c r="AL204" s="20" t="s">
        <v>1230</v>
      </c>
      <c r="AM204" s="20" t="s">
        <v>1298</v>
      </c>
      <c r="AN204" s="20" t="s">
        <v>1295</v>
      </c>
      <c r="AO204" s="20" t="s">
        <v>950</v>
      </c>
      <c r="AP204">
        <v>13</v>
      </c>
      <c r="AQ204">
        <v>8</v>
      </c>
      <c r="AR204">
        <v>23</v>
      </c>
      <c r="AS204">
        <v>46</v>
      </c>
      <c r="AT204">
        <v>47</v>
      </c>
      <c r="AU204" s="27">
        <v>25568</v>
      </c>
      <c r="AV204" s="20" t="s">
        <v>1477</v>
      </c>
      <c r="AW204" s="20"/>
      <c r="AX204" s="20"/>
      <c r="AY204" s="20"/>
    </row>
    <row r="205" spans="1:51">
      <c r="A205" s="27">
        <v>43466</v>
      </c>
      <c r="B205" s="20" t="s">
        <v>1780</v>
      </c>
      <c r="C205" s="20" t="s">
        <v>1197</v>
      </c>
      <c r="D205">
        <v>195</v>
      </c>
      <c r="E205">
        <v>247</v>
      </c>
      <c r="F205">
        <v>393</v>
      </c>
      <c r="G205">
        <v>393</v>
      </c>
      <c r="H205" s="20" t="s">
        <v>1781</v>
      </c>
      <c r="I205" s="20" t="s">
        <v>935</v>
      </c>
      <c r="J205" s="20" t="s">
        <v>945</v>
      </c>
      <c r="K205" s="20" t="s">
        <v>1080</v>
      </c>
      <c r="M205">
        <v>113</v>
      </c>
      <c r="N205">
        <v>115</v>
      </c>
      <c r="O205">
        <v>340.5</v>
      </c>
      <c r="P205">
        <v>3.01</v>
      </c>
      <c r="R205">
        <v>117</v>
      </c>
      <c r="S205">
        <v>117</v>
      </c>
      <c r="T205">
        <v>107</v>
      </c>
      <c r="U205">
        <v>0.95499999999999996</v>
      </c>
      <c r="V205">
        <v>1</v>
      </c>
      <c r="W205">
        <v>0</v>
      </c>
      <c r="X205">
        <v>1</v>
      </c>
      <c r="Y205">
        <v>6</v>
      </c>
      <c r="Z205">
        <v>27419</v>
      </c>
      <c r="AA205">
        <v>0.63</v>
      </c>
      <c r="AB205">
        <v>27419</v>
      </c>
      <c r="AC205">
        <v>0.63</v>
      </c>
      <c r="AD205">
        <v>12739</v>
      </c>
      <c r="AE205">
        <v>750300</v>
      </c>
      <c r="AF205">
        <v>0.46460000000000001</v>
      </c>
      <c r="AG205">
        <v>186</v>
      </c>
      <c r="AH205">
        <v>4584000</v>
      </c>
      <c r="AI205">
        <v>12257</v>
      </c>
      <c r="AJ205">
        <v>315</v>
      </c>
      <c r="AK205" s="20" t="s">
        <v>1782</v>
      </c>
      <c r="AL205" s="20" t="s">
        <v>1037</v>
      </c>
      <c r="AM205" s="20" t="s">
        <v>968</v>
      </c>
      <c r="AN205" s="20" t="s">
        <v>1127</v>
      </c>
      <c r="AO205" s="20" t="s">
        <v>950</v>
      </c>
      <c r="AP205">
        <v>4</v>
      </c>
      <c r="AQ205">
        <v>8</v>
      </c>
      <c r="AR205">
        <v>18</v>
      </c>
      <c r="AS205">
        <v>54</v>
      </c>
      <c r="AT205">
        <v>34</v>
      </c>
      <c r="AU205" s="27">
        <v>28215</v>
      </c>
      <c r="AV205" s="20"/>
      <c r="AW205" s="20" t="s">
        <v>1081</v>
      </c>
      <c r="AX205" s="20"/>
      <c r="AY205" s="20"/>
    </row>
    <row r="206" spans="1:51">
      <c r="A206" s="27">
        <v>43466</v>
      </c>
      <c r="B206" s="20" t="s">
        <v>93</v>
      </c>
      <c r="C206" s="20" t="s">
        <v>1744</v>
      </c>
      <c r="D206">
        <v>204</v>
      </c>
      <c r="E206">
        <v>241</v>
      </c>
      <c r="F206">
        <v>321</v>
      </c>
      <c r="G206">
        <v>346</v>
      </c>
      <c r="H206" s="20" t="s">
        <v>1783</v>
      </c>
      <c r="I206" s="20" t="s">
        <v>935</v>
      </c>
      <c r="J206" s="20" t="s">
        <v>945</v>
      </c>
      <c r="K206" s="20" t="s">
        <v>937</v>
      </c>
      <c r="M206">
        <v>90</v>
      </c>
      <c r="N206">
        <v>90</v>
      </c>
      <c r="O206">
        <v>419</v>
      </c>
      <c r="P206">
        <v>4.66</v>
      </c>
      <c r="R206">
        <v>205</v>
      </c>
      <c r="S206">
        <v>205</v>
      </c>
      <c r="T206">
        <v>37</v>
      </c>
      <c r="U206">
        <v>0.42</v>
      </c>
      <c r="V206">
        <v>2</v>
      </c>
      <c r="W206">
        <v>1</v>
      </c>
      <c r="X206">
        <v>2</v>
      </c>
      <c r="Y206">
        <v>6</v>
      </c>
      <c r="Z206">
        <v>32127</v>
      </c>
      <c r="AA206">
        <v>0.74</v>
      </c>
      <c r="AB206">
        <v>32127</v>
      </c>
      <c r="AC206">
        <v>0.74</v>
      </c>
      <c r="AD206">
        <v>14614</v>
      </c>
      <c r="AE206">
        <v>950094</v>
      </c>
      <c r="AF206">
        <v>0.45490000000000003</v>
      </c>
      <c r="AG206">
        <v>277</v>
      </c>
      <c r="AH206">
        <v>2101938</v>
      </c>
      <c r="AI206">
        <v>5017</v>
      </c>
      <c r="AJ206">
        <v>542</v>
      </c>
      <c r="AK206" s="20" t="s">
        <v>1784</v>
      </c>
      <c r="AL206" s="20" t="s">
        <v>1219</v>
      </c>
      <c r="AM206" s="20" t="s">
        <v>1785</v>
      </c>
      <c r="AN206" s="20" t="s">
        <v>1689</v>
      </c>
      <c r="AO206" s="20" t="s">
        <v>963</v>
      </c>
      <c r="AP206">
        <v>11</v>
      </c>
      <c r="AQ206">
        <v>13</v>
      </c>
      <c r="AR206">
        <v>30</v>
      </c>
      <c r="AS206">
        <v>68</v>
      </c>
      <c r="AT206">
        <v>9</v>
      </c>
      <c r="AU206" s="27">
        <v>25658</v>
      </c>
      <c r="AV206" s="20"/>
      <c r="AW206" s="20"/>
      <c r="AX206" s="20"/>
      <c r="AY206" s="20"/>
    </row>
    <row r="207" spans="1:51">
      <c r="A207" s="27">
        <v>43466</v>
      </c>
      <c r="B207" s="20" t="s">
        <v>352</v>
      </c>
      <c r="C207" s="20" t="s">
        <v>1316</v>
      </c>
      <c r="D207">
        <v>351</v>
      </c>
      <c r="E207">
        <v>351</v>
      </c>
      <c r="F207">
        <v>765</v>
      </c>
      <c r="G207">
        <v>765</v>
      </c>
      <c r="H207" s="20" t="s">
        <v>1786</v>
      </c>
      <c r="I207" s="20" t="s">
        <v>935</v>
      </c>
      <c r="J207" s="20" t="s">
        <v>945</v>
      </c>
      <c r="K207" s="20" t="s">
        <v>953</v>
      </c>
      <c r="M207">
        <v>134</v>
      </c>
      <c r="N207">
        <v>134</v>
      </c>
      <c r="O207">
        <v>582</v>
      </c>
      <c r="P207">
        <v>4.34</v>
      </c>
      <c r="R207">
        <v>319</v>
      </c>
      <c r="S207">
        <v>319</v>
      </c>
      <c r="T207">
        <v>31</v>
      </c>
      <c r="U207">
        <v>0.23499999999999999</v>
      </c>
      <c r="V207">
        <v>9</v>
      </c>
      <c r="W207">
        <v>0</v>
      </c>
      <c r="X207">
        <v>9</v>
      </c>
      <c r="Y207">
        <v>4</v>
      </c>
      <c r="Z207">
        <v>53914</v>
      </c>
      <c r="AA207">
        <v>1.24</v>
      </c>
      <c r="AB207">
        <v>53914</v>
      </c>
      <c r="AC207">
        <v>1.24</v>
      </c>
      <c r="AD207">
        <v>33105</v>
      </c>
      <c r="AE207">
        <v>166531</v>
      </c>
      <c r="AF207">
        <v>0.61399999999999999</v>
      </c>
      <c r="AG207">
        <v>257</v>
      </c>
      <c r="AH207">
        <v>10500000</v>
      </c>
      <c r="AI207">
        <v>18041</v>
      </c>
      <c r="AJ207">
        <v>679</v>
      </c>
      <c r="AK207" s="20" t="s">
        <v>1099</v>
      </c>
      <c r="AL207" s="20" t="s">
        <v>1100</v>
      </c>
      <c r="AM207" s="20" t="s">
        <v>948</v>
      </c>
      <c r="AN207" s="20" t="s">
        <v>1101</v>
      </c>
      <c r="AO207" s="20" t="s">
        <v>950</v>
      </c>
      <c r="AP207">
        <v>8</v>
      </c>
      <c r="AQ207">
        <v>9</v>
      </c>
      <c r="AR207" t="s">
        <v>1321</v>
      </c>
      <c r="AS207">
        <v>55</v>
      </c>
      <c r="AT207">
        <v>36</v>
      </c>
      <c r="AU207" s="27">
        <v>31656</v>
      </c>
      <c r="AV207" s="20"/>
      <c r="AW207" s="20"/>
      <c r="AX207" s="20" t="s">
        <v>974</v>
      </c>
      <c r="AY207" s="20"/>
    </row>
    <row r="208" spans="1:51">
      <c r="A208" s="27">
        <v>43466</v>
      </c>
      <c r="B208" s="20" t="s">
        <v>353</v>
      </c>
      <c r="C208" s="20" t="s">
        <v>1507</v>
      </c>
      <c r="D208">
        <v>47</v>
      </c>
      <c r="E208">
        <v>47</v>
      </c>
      <c r="F208">
        <v>580</v>
      </c>
      <c r="G208">
        <v>580</v>
      </c>
      <c r="H208" s="20" t="s">
        <v>1787</v>
      </c>
      <c r="I208" s="20" t="s">
        <v>935</v>
      </c>
      <c r="J208" s="20" t="s">
        <v>936</v>
      </c>
      <c r="K208" s="20" t="s">
        <v>937</v>
      </c>
      <c r="M208">
        <v>879</v>
      </c>
      <c r="N208">
        <v>879</v>
      </c>
      <c r="O208">
        <v>3712.5</v>
      </c>
      <c r="P208">
        <v>4.22</v>
      </c>
      <c r="R208">
        <v>1734</v>
      </c>
      <c r="S208">
        <v>1734</v>
      </c>
      <c r="T208">
        <v>359</v>
      </c>
      <c r="U208">
        <v>0.41299999999999998</v>
      </c>
      <c r="V208">
        <v>14</v>
      </c>
      <c r="W208">
        <v>0</v>
      </c>
      <c r="X208">
        <v>20</v>
      </c>
      <c r="Y208" t="s">
        <v>1788</v>
      </c>
      <c r="Z208">
        <v>485455</v>
      </c>
      <c r="AA208">
        <v>11.14</v>
      </c>
      <c r="AB208">
        <v>453178</v>
      </c>
      <c r="AC208">
        <v>10.4</v>
      </c>
      <c r="AD208">
        <v>96415</v>
      </c>
      <c r="AE208">
        <v>7454500</v>
      </c>
      <c r="AF208">
        <v>0.1986</v>
      </c>
      <c r="AG208">
        <v>156</v>
      </c>
      <c r="AH208">
        <v>9676316</v>
      </c>
      <c r="AI208">
        <v>2606</v>
      </c>
      <c r="AJ208">
        <v>506</v>
      </c>
      <c r="AK208" s="20" t="s">
        <v>1392</v>
      </c>
      <c r="AL208" s="20" t="s">
        <v>1509</v>
      </c>
      <c r="AM208" s="20" t="s">
        <v>1789</v>
      </c>
      <c r="AN208" s="20" t="s">
        <v>1790</v>
      </c>
      <c r="AO208" s="20" t="s">
        <v>942</v>
      </c>
      <c r="AP208">
        <v>11</v>
      </c>
      <c r="AQ208">
        <v>14</v>
      </c>
      <c r="AR208">
        <v>36</v>
      </c>
      <c r="AS208">
        <v>80</v>
      </c>
      <c r="AT208">
        <v>15</v>
      </c>
      <c r="AU208" s="27">
        <v>18791</v>
      </c>
      <c r="AV208" s="20" t="s">
        <v>1477</v>
      </c>
      <c r="AW208" s="20"/>
      <c r="AX208" s="20"/>
      <c r="AY208" s="20"/>
    </row>
    <row r="209" spans="1:51">
      <c r="A209" s="27">
        <v>43466</v>
      </c>
      <c r="B209" s="20" t="s">
        <v>132</v>
      </c>
      <c r="C209" s="20" t="s">
        <v>1791</v>
      </c>
      <c r="D209">
        <v>24</v>
      </c>
      <c r="E209">
        <v>24</v>
      </c>
      <c r="F209">
        <v>522</v>
      </c>
      <c r="G209">
        <v>522</v>
      </c>
      <c r="H209" s="20" t="s">
        <v>1792</v>
      </c>
      <c r="I209" s="20" t="s">
        <v>935</v>
      </c>
      <c r="J209" s="20" t="s">
        <v>936</v>
      </c>
      <c r="K209" s="20" t="s">
        <v>937</v>
      </c>
      <c r="M209">
        <v>1789</v>
      </c>
      <c r="N209">
        <v>1791</v>
      </c>
      <c r="O209">
        <v>8508.5</v>
      </c>
      <c r="P209">
        <v>4.76</v>
      </c>
      <c r="R209">
        <v>4194</v>
      </c>
      <c r="S209">
        <v>4194</v>
      </c>
      <c r="T209">
        <v>627</v>
      </c>
      <c r="U209">
        <v>0.35499999999999998</v>
      </c>
      <c r="V209">
        <v>15</v>
      </c>
      <c r="W209">
        <v>0</v>
      </c>
      <c r="X209">
        <v>25</v>
      </c>
      <c r="Y209">
        <v>43629</v>
      </c>
      <c r="Z209">
        <v>748573</v>
      </c>
      <c r="AA209">
        <v>17.18</v>
      </c>
      <c r="AB209">
        <v>702358</v>
      </c>
      <c r="AC209">
        <v>16.12</v>
      </c>
      <c r="AD209">
        <v>167841</v>
      </c>
      <c r="AE209">
        <v>14503544</v>
      </c>
      <c r="AF209">
        <v>0.22420000000000001</v>
      </c>
      <c r="AG209">
        <v>244</v>
      </c>
      <c r="AH209">
        <v>20731000</v>
      </c>
      <c r="AI209">
        <v>2433</v>
      </c>
      <c r="AJ209">
        <v>519</v>
      </c>
      <c r="AK209" s="20" t="s">
        <v>1709</v>
      </c>
      <c r="AL209" s="20" t="s">
        <v>956</v>
      </c>
      <c r="AM209" s="20" t="s">
        <v>1793</v>
      </c>
      <c r="AN209" s="20" t="s">
        <v>1794</v>
      </c>
      <c r="AO209" s="20" t="s">
        <v>942</v>
      </c>
      <c r="AP209">
        <v>1</v>
      </c>
      <c r="AQ209">
        <v>15</v>
      </c>
      <c r="AR209">
        <v>29</v>
      </c>
      <c r="AS209">
        <v>84</v>
      </c>
      <c r="AT209">
        <v>8</v>
      </c>
      <c r="AU209" s="27">
        <v>18628</v>
      </c>
      <c r="AV209" s="20" t="s">
        <v>1019</v>
      </c>
      <c r="AW209" s="20"/>
      <c r="AX209" s="20"/>
      <c r="AY209" s="20"/>
    </row>
    <row r="210" spans="1:51">
      <c r="A210" s="27">
        <v>43466</v>
      </c>
      <c r="B210" s="20" t="s">
        <v>210</v>
      </c>
      <c r="C210" s="20" t="s">
        <v>1132</v>
      </c>
      <c r="D210">
        <v>39</v>
      </c>
      <c r="E210">
        <v>39</v>
      </c>
      <c r="F210">
        <v>586</v>
      </c>
      <c r="G210">
        <v>586</v>
      </c>
      <c r="H210" s="20" t="s">
        <v>1795</v>
      </c>
      <c r="I210" s="20" t="s">
        <v>935</v>
      </c>
      <c r="J210" s="20" t="s">
        <v>936</v>
      </c>
      <c r="K210" s="20" t="s">
        <v>937</v>
      </c>
      <c r="M210">
        <v>1265</v>
      </c>
      <c r="N210">
        <v>1266</v>
      </c>
      <c r="O210">
        <v>5446.5</v>
      </c>
      <c r="P210">
        <v>4.3099999999999996</v>
      </c>
      <c r="R210">
        <v>2472</v>
      </c>
      <c r="S210">
        <v>2472</v>
      </c>
      <c r="T210">
        <v>528</v>
      </c>
      <c r="U210">
        <v>0.42199999999999999</v>
      </c>
      <c r="V210">
        <v>23</v>
      </c>
      <c r="W210">
        <v>0</v>
      </c>
      <c r="X210">
        <v>38</v>
      </c>
      <c r="Y210">
        <v>6</v>
      </c>
      <c r="Z210">
        <v>1034160</v>
      </c>
      <c r="AA210">
        <v>23.74</v>
      </c>
      <c r="AB210">
        <v>967252</v>
      </c>
      <c r="AC210">
        <v>22.21</v>
      </c>
      <c r="AD210">
        <v>184875</v>
      </c>
      <c r="AE210">
        <v>10665277</v>
      </c>
      <c r="AF210">
        <v>0.17879999999999999</v>
      </c>
      <c r="AG210">
        <v>104</v>
      </c>
      <c r="AH210">
        <v>15295753</v>
      </c>
      <c r="AI210">
        <v>2806</v>
      </c>
      <c r="AJ210">
        <v>541</v>
      </c>
      <c r="AK210" s="20" t="s">
        <v>1796</v>
      </c>
      <c r="AL210" s="20" t="s">
        <v>1797</v>
      </c>
      <c r="AM210" s="20" t="s">
        <v>1798</v>
      </c>
      <c r="AN210" s="20" t="s">
        <v>1134</v>
      </c>
      <c r="AO210" s="20" t="s">
        <v>942</v>
      </c>
      <c r="AP210">
        <v>11</v>
      </c>
      <c r="AQ210">
        <v>14</v>
      </c>
      <c r="AR210">
        <v>34</v>
      </c>
      <c r="AS210">
        <v>80</v>
      </c>
      <c r="AT210">
        <v>13</v>
      </c>
      <c r="AU210" s="27">
        <v>18444</v>
      </c>
      <c r="AV210" s="20" t="s">
        <v>1109</v>
      </c>
      <c r="AW210" s="20"/>
      <c r="AX210" s="20"/>
      <c r="AY210" s="20"/>
    </row>
    <row r="211" spans="1:51">
      <c r="A211" s="27">
        <v>43466</v>
      </c>
      <c r="B211" s="20" t="s">
        <v>354</v>
      </c>
      <c r="C211" s="20" t="s">
        <v>1799</v>
      </c>
      <c r="D211">
        <v>194</v>
      </c>
      <c r="E211">
        <v>194</v>
      </c>
      <c r="F211">
        <v>305</v>
      </c>
      <c r="G211">
        <v>305</v>
      </c>
      <c r="H211" s="20" t="s">
        <v>1800</v>
      </c>
      <c r="I211" s="20" t="s">
        <v>935</v>
      </c>
      <c r="J211" s="20" t="s">
        <v>936</v>
      </c>
      <c r="K211" s="20" t="s">
        <v>937</v>
      </c>
      <c r="M211">
        <v>336</v>
      </c>
      <c r="N211">
        <v>336</v>
      </c>
      <c r="O211">
        <v>1343</v>
      </c>
      <c r="P211">
        <v>4</v>
      </c>
      <c r="R211">
        <v>627</v>
      </c>
      <c r="S211">
        <v>627</v>
      </c>
      <c r="T211">
        <v>145</v>
      </c>
      <c r="U211">
        <v>0.438</v>
      </c>
      <c r="V211">
        <v>3</v>
      </c>
      <c r="W211">
        <v>1</v>
      </c>
      <c r="X211">
        <v>3</v>
      </c>
      <c r="Y211">
        <v>43693</v>
      </c>
      <c r="Z211">
        <v>236930</v>
      </c>
      <c r="AA211">
        <v>5.44</v>
      </c>
      <c r="AB211">
        <v>236930</v>
      </c>
      <c r="AC211">
        <v>5.44</v>
      </c>
      <c r="AD211">
        <v>40998</v>
      </c>
      <c r="AE211">
        <v>2712190</v>
      </c>
      <c r="AF211">
        <v>0.17299999999999999</v>
      </c>
      <c r="AG211">
        <v>115</v>
      </c>
      <c r="AH211">
        <v>11936021</v>
      </c>
      <c r="AI211">
        <v>8606</v>
      </c>
      <c r="AJ211">
        <v>462</v>
      </c>
      <c r="AK211" s="20" t="s">
        <v>1801</v>
      </c>
      <c r="AL211" s="20" t="s">
        <v>1146</v>
      </c>
      <c r="AM211" s="20" t="s">
        <v>1161</v>
      </c>
      <c r="AN211" s="20" t="s">
        <v>1643</v>
      </c>
      <c r="AO211" s="20" t="s">
        <v>950</v>
      </c>
      <c r="AP211">
        <v>5</v>
      </c>
      <c r="AQ211">
        <v>8</v>
      </c>
      <c r="AR211">
        <v>19</v>
      </c>
      <c r="AS211">
        <v>60</v>
      </c>
      <c r="AT211">
        <v>42</v>
      </c>
      <c r="AU211" s="27">
        <v>26572</v>
      </c>
      <c r="AV211" s="20"/>
      <c r="AW211" s="20"/>
      <c r="AX211" s="20"/>
      <c r="AY211" s="20"/>
    </row>
    <row r="212" spans="1:51">
      <c r="A212" s="27">
        <v>43466</v>
      </c>
      <c r="B212" s="20" t="s">
        <v>249</v>
      </c>
      <c r="C212" s="20" t="s">
        <v>1802</v>
      </c>
      <c r="D212">
        <v>89</v>
      </c>
      <c r="E212">
        <v>89</v>
      </c>
      <c r="F212">
        <v>235</v>
      </c>
      <c r="G212">
        <v>235</v>
      </c>
      <c r="H212" s="20" t="s">
        <v>1803</v>
      </c>
      <c r="I212" s="20" t="s">
        <v>935</v>
      </c>
      <c r="J212" s="20" t="s">
        <v>936</v>
      </c>
      <c r="K212" s="20" t="s">
        <v>937</v>
      </c>
      <c r="M212">
        <v>1500</v>
      </c>
      <c r="N212">
        <v>1500</v>
      </c>
      <c r="O212">
        <v>7098</v>
      </c>
      <c r="P212">
        <v>4.7300000000000004</v>
      </c>
      <c r="R212">
        <v>3651</v>
      </c>
      <c r="S212">
        <v>3651</v>
      </c>
      <c r="T212">
        <v>471</v>
      </c>
      <c r="U212">
        <v>0.317</v>
      </c>
      <c r="V212">
        <v>22</v>
      </c>
      <c r="W212">
        <v>2</v>
      </c>
      <c r="X212">
        <v>25</v>
      </c>
      <c r="Y212">
        <v>8</v>
      </c>
      <c r="Z212">
        <v>1354844</v>
      </c>
      <c r="AA212">
        <v>31.1</v>
      </c>
      <c r="AB212">
        <v>1311306</v>
      </c>
      <c r="AC212">
        <v>30.1</v>
      </c>
      <c r="AD212">
        <v>193511</v>
      </c>
      <c r="AE212">
        <v>13316063</v>
      </c>
      <c r="AF212">
        <v>0.14280000000000001</v>
      </c>
      <c r="AG212">
        <v>117</v>
      </c>
      <c r="AH212">
        <v>20134047</v>
      </c>
      <c r="AI212">
        <v>2835</v>
      </c>
      <c r="AJ212">
        <v>557</v>
      </c>
      <c r="AK212" s="20" t="s">
        <v>1804</v>
      </c>
      <c r="AL212" s="20" t="s">
        <v>1144</v>
      </c>
      <c r="AM212" s="20" t="s">
        <v>1805</v>
      </c>
      <c r="AN212" s="20" t="s">
        <v>1161</v>
      </c>
      <c r="AO212" s="20" t="s">
        <v>950</v>
      </c>
      <c r="AP212">
        <v>5</v>
      </c>
      <c r="AQ212">
        <v>8</v>
      </c>
      <c r="AR212">
        <v>19</v>
      </c>
      <c r="AS212">
        <v>60</v>
      </c>
      <c r="AT212">
        <v>42</v>
      </c>
      <c r="AU212" s="27">
        <v>21823</v>
      </c>
      <c r="AV212" s="20"/>
      <c r="AW212" s="20"/>
      <c r="AX212" s="20"/>
      <c r="AY212" s="20"/>
    </row>
    <row r="213" spans="1:51">
      <c r="A213" s="27">
        <v>43466</v>
      </c>
      <c r="B213" s="20" t="s">
        <v>133</v>
      </c>
      <c r="C213" s="20" t="s">
        <v>1806</v>
      </c>
      <c r="D213">
        <v>149</v>
      </c>
      <c r="E213">
        <v>149</v>
      </c>
      <c r="F213">
        <v>260</v>
      </c>
      <c r="G213">
        <v>260</v>
      </c>
      <c r="H213" s="20" t="s">
        <v>1807</v>
      </c>
      <c r="I213" s="20" t="s">
        <v>935</v>
      </c>
      <c r="J213" s="20" t="s">
        <v>936</v>
      </c>
      <c r="K213" s="20" t="s">
        <v>937</v>
      </c>
      <c r="M213">
        <v>1614</v>
      </c>
      <c r="N213">
        <v>1614</v>
      </c>
      <c r="O213">
        <v>7682</v>
      </c>
      <c r="P213">
        <v>4.76</v>
      </c>
      <c r="R213">
        <v>3941</v>
      </c>
      <c r="S213">
        <v>3941</v>
      </c>
      <c r="T213">
        <v>581</v>
      </c>
      <c r="U213">
        <v>0.36499999999999999</v>
      </c>
      <c r="V213">
        <v>4</v>
      </c>
      <c r="W213">
        <v>4</v>
      </c>
      <c r="X213">
        <v>12</v>
      </c>
      <c r="Y213">
        <v>30</v>
      </c>
      <c r="Z213">
        <v>659780</v>
      </c>
      <c r="AA213">
        <v>15.15</v>
      </c>
      <c r="AB213">
        <v>659780</v>
      </c>
      <c r="AC213">
        <v>15.15</v>
      </c>
      <c r="AD213">
        <v>83689</v>
      </c>
      <c r="AE213">
        <v>14904498</v>
      </c>
      <c r="AF213">
        <v>0.1268</v>
      </c>
      <c r="AG213">
        <v>260</v>
      </c>
      <c r="AH213">
        <v>32292784</v>
      </c>
      <c r="AI213">
        <v>4190</v>
      </c>
      <c r="AJ213">
        <v>545</v>
      </c>
      <c r="AK213" s="20" t="s">
        <v>1351</v>
      </c>
      <c r="AL213" s="20" t="s">
        <v>1059</v>
      </c>
      <c r="AM213" s="20" t="s">
        <v>1526</v>
      </c>
      <c r="AN213" s="20"/>
      <c r="AO213" s="20" t="s">
        <v>963</v>
      </c>
      <c r="AP213">
        <v>10</v>
      </c>
      <c r="AQ213">
        <v>13</v>
      </c>
      <c r="AR213">
        <v>30</v>
      </c>
      <c r="AS213">
        <v>71</v>
      </c>
      <c r="AT213">
        <v>9</v>
      </c>
      <c r="AU213" s="27">
        <v>25019</v>
      </c>
      <c r="AV213" s="20"/>
      <c r="AW213" s="20"/>
      <c r="AX213" s="20"/>
      <c r="AY213" s="20"/>
    </row>
    <row r="214" spans="1:51">
      <c r="A214" s="27">
        <v>43466</v>
      </c>
      <c r="B214" s="20" t="s">
        <v>211</v>
      </c>
      <c r="C214" s="20" t="s">
        <v>1808</v>
      </c>
      <c r="D214">
        <v>53</v>
      </c>
      <c r="E214">
        <v>53</v>
      </c>
      <c r="F214">
        <v>588</v>
      </c>
      <c r="G214">
        <v>588</v>
      </c>
      <c r="H214" s="20" t="s">
        <v>1809</v>
      </c>
      <c r="I214" s="20" t="s">
        <v>935</v>
      </c>
      <c r="J214" s="20" t="s">
        <v>936</v>
      </c>
      <c r="K214" s="20" t="s">
        <v>937</v>
      </c>
      <c r="M214">
        <v>2069</v>
      </c>
      <c r="N214">
        <v>2071</v>
      </c>
      <c r="O214">
        <v>8838.5</v>
      </c>
      <c r="P214">
        <v>4.2699999999999996</v>
      </c>
      <c r="R214">
        <v>4219</v>
      </c>
      <c r="S214">
        <v>4219</v>
      </c>
      <c r="T214">
        <v>839</v>
      </c>
      <c r="U214">
        <v>0.40899999999999997</v>
      </c>
      <c r="V214">
        <v>35</v>
      </c>
      <c r="W214">
        <v>0</v>
      </c>
      <c r="X214">
        <v>121</v>
      </c>
      <c r="Y214">
        <v>39514</v>
      </c>
      <c r="Z214">
        <v>2238984</v>
      </c>
      <c r="AA214">
        <v>51.4</v>
      </c>
      <c r="AB214">
        <v>2083475</v>
      </c>
      <c r="AC214">
        <v>47.83</v>
      </c>
      <c r="AD214">
        <v>369627</v>
      </c>
      <c r="AE214">
        <v>19315843</v>
      </c>
      <c r="AF214">
        <v>0.1651</v>
      </c>
      <c r="AG214">
        <v>82</v>
      </c>
      <c r="AH214">
        <v>21645342</v>
      </c>
      <c r="AI214">
        <v>2446</v>
      </c>
      <c r="AJ214">
        <v>563</v>
      </c>
      <c r="AK214" s="20" t="s">
        <v>1810</v>
      </c>
      <c r="AL214" s="20" t="s">
        <v>1811</v>
      </c>
      <c r="AM214" s="20" t="s">
        <v>1812</v>
      </c>
      <c r="AN214" s="20" t="s">
        <v>1813</v>
      </c>
      <c r="AO214" s="20" t="s">
        <v>1049</v>
      </c>
      <c r="AP214">
        <v>8</v>
      </c>
      <c r="AQ214">
        <v>6</v>
      </c>
      <c r="AR214">
        <v>16</v>
      </c>
      <c r="AS214">
        <v>27</v>
      </c>
      <c r="AT214">
        <v>24</v>
      </c>
      <c r="AU214" s="27">
        <v>19175</v>
      </c>
      <c r="AV214" s="20" t="s">
        <v>1109</v>
      </c>
      <c r="AW214" s="20"/>
      <c r="AX214" s="20"/>
      <c r="AY214" s="20"/>
    </row>
    <row r="215" spans="1:51">
      <c r="A215" s="27">
        <v>43466</v>
      </c>
      <c r="B215" s="20" t="s">
        <v>1814</v>
      </c>
      <c r="C215" s="20" t="s">
        <v>1815</v>
      </c>
      <c r="D215">
        <v>560</v>
      </c>
      <c r="E215">
        <v>560</v>
      </c>
      <c r="H215" s="20" t="s">
        <v>1816</v>
      </c>
      <c r="I215" s="20" t="s">
        <v>1817</v>
      </c>
      <c r="J215" s="20" t="s">
        <v>945</v>
      </c>
      <c r="K215" s="20" t="s">
        <v>937</v>
      </c>
      <c r="M215">
        <v>50</v>
      </c>
      <c r="N215">
        <v>51</v>
      </c>
      <c r="O215">
        <v>235</v>
      </c>
      <c r="P215">
        <v>4.7</v>
      </c>
      <c r="V215">
        <v>1</v>
      </c>
      <c r="W215">
        <v>0</v>
      </c>
      <c r="X215">
        <v>1</v>
      </c>
      <c r="Y215">
        <v>6</v>
      </c>
      <c r="Z215">
        <v>25595</v>
      </c>
      <c r="AA215">
        <v>0.59</v>
      </c>
      <c r="AB215">
        <v>25595</v>
      </c>
      <c r="AC215">
        <v>0.59</v>
      </c>
      <c r="AH215">
        <v>12020098</v>
      </c>
      <c r="AI215">
        <v>51149</v>
      </c>
      <c r="AK215" s="20" t="s">
        <v>1818</v>
      </c>
      <c r="AL215" s="20" t="s">
        <v>1819</v>
      </c>
      <c r="AM215" s="20" t="s">
        <v>1820</v>
      </c>
      <c r="AN215" s="20"/>
      <c r="AO215" s="20" t="s">
        <v>942</v>
      </c>
      <c r="AP215">
        <v>3</v>
      </c>
      <c r="AQ215">
        <v>15</v>
      </c>
      <c r="AR215">
        <v>32</v>
      </c>
      <c r="AS215">
        <v>79</v>
      </c>
      <c r="AT215">
        <v>17</v>
      </c>
      <c r="AU215" s="27">
        <v>38496</v>
      </c>
      <c r="AV215" s="20"/>
      <c r="AW215" s="20"/>
      <c r="AX215" s="20"/>
      <c r="AY215" s="20" t="s">
        <v>974</v>
      </c>
    </row>
    <row r="216" spans="1:51">
      <c r="A216" s="27">
        <v>43466</v>
      </c>
      <c r="B216" s="20" t="s">
        <v>94</v>
      </c>
      <c r="C216" s="20" t="s">
        <v>1821</v>
      </c>
      <c r="D216">
        <v>340</v>
      </c>
      <c r="E216">
        <v>111</v>
      </c>
      <c r="F216">
        <v>774</v>
      </c>
      <c r="G216">
        <v>774</v>
      </c>
      <c r="H216" s="20" t="s">
        <v>1822</v>
      </c>
      <c r="I216" s="20" t="s">
        <v>935</v>
      </c>
      <c r="J216" s="20" t="s">
        <v>945</v>
      </c>
      <c r="K216" s="20" t="s">
        <v>1456</v>
      </c>
      <c r="M216">
        <v>125</v>
      </c>
      <c r="N216">
        <v>125</v>
      </c>
      <c r="O216">
        <v>423.5</v>
      </c>
      <c r="P216">
        <v>3.39</v>
      </c>
      <c r="R216">
        <v>140</v>
      </c>
      <c r="S216">
        <v>140</v>
      </c>
      <c r="T216">
        <v>100</v>
      </c>
      <c r="U216">
        <v>0.81299999999999994</v>
      </c>
      <c r="V216">
        <v>1</v>
      </c>
      <c r="W216">
        <v>0</v>
      </c>
      <c r="X216">
        <v>2</v>
      </c>
      <c r="Y216">
        <v>5</v>
      </c>
      <c r="Z216">
        <v>64945</v>
      </c>
      <c r="AA216">
        <v>1.49</v>
      </c>
      <c r="AB216">
        <v>64945</v>
      </c>
      <c r="AC216">
        <v>1.49</v>
      </c>
      <c r="AD216">
        <v>26325</v>
      </c>
      <c r="AE216">
        <v>2943660</v>
      </c>
      <c r="AF216">
        <v>0.40529999999999999</v>
      </c>
      <c r="AG216">
        <v>94</v>
      </c>
      <c r="AH216">
        <v>7898759</v>
      </c>
      <c r="AI216">
        <v>18348</v>
      </c>
      <c r="AJ216">
        <v>393</v>
      </c>
      <c r="AK216" s="20" t="s">
        <v>1823</v>
      </c>
      <c r="AL216" s="20" t="s">
        <v>1350</v>
      </c>
      <c r="AM216" s="20" t="s">
        <v>1591</v>
      </c>
      <c r="AN216" s="20"/>
      <c r="AO216" s="20" t="s">
        <v>963</v>
      </c>
      <c r="AP216">
        <v>10</v>
      </c>
      <c r="AQ216">
        <v>13</v>
      </c>
      <c r="AR216">
        <v>30</v>
      </c>
      <c r="AS216">
        <v>70</v>
      </c>
      <c r="AT216">
        <v>9</v>
      </c>
      <c r="AU216" s="27">
        <v>31693</v>
      </c>
      <c r="AV216" s="20"/>
      <c r="AW216" s="20" t="s">
        <v>1081</v>
      </c>
      <c r="AX216" s="20" t="s">
        <v>974</v>
      </c>
      <c r="AY216" s="20"/>
    </row>
    <row r="217" spans="1:51">
      <c r="A217" s="27">
        <v>43466</v>
      </c>
      <c r="B217" s="20" t="s">
        <v>134</v>
      </c>
      <c r="C217" s="20" t="s">
        <v>1824</v>
      </c>
      <c r="D217">
        <v>505</v>
      </c>
      <c r="E217">
        <v>505</v>
      </c>
      <c r="F217">
        <v>398</v>
      </c>
      <c r="G217">
        <v>398</v>
      </c>
      <c r="H217" s="20" t="s">
        <v>1825</v>
      </c>
      <c r="I217" s="20" t="s">
        <v>935</v>
      </c>
      <c r="J217" s="20" t="s">
        <v>936</v>
      </c>
      <c r="K217" s="20" t="s">
        <v>937</v>
      </c>
      <c r="M217">
        <v>1542</v>
      </c>
      <c r="N217">
        <v>1543</v>
      </c>
      <c r="O217">
        <v>6337</v>
      </c>
      <c r="P217">
        <v>4.1100000000000003</v>
      </c>
      <c r="R217">
        <v>3129</v>
      </c>
      <c r="S217">
        <v>3129</v>
      </c>
      <c r="T217">
        <v>582</v>
      </c>
      <c r="U217">
        <v>0.38200000000000001</v>
      </c>
      <c r="V217">
        <v>13</v>
      </c>
      <c r="W217">
        <v>1</v>
      </c>
      <c r="X217">
        <v>48</v>
      </c>
      <c r="Y217">
        <v>6</v>
      </c>
      <c r="Z217">
        <v>886643</v>
      </c>
      <c r="AA217">
        <v>20.350000000000001</v>
      </c>
      <c r="AB217">
        <v>689843</v>
      </c>
      <c r="AC217">
        <v>15.84</v>
      </c>
      <c r="AD217">
        <v>191356</v>
      </c>
      <c r="AE217">
        <v>11314111</v>
      </c>
      <c r="AF217">
        <v>0.21579999999999999</v>
      </c>
      <c r="AG217">
        <v>154</v>
      </c>
      <c r="AH217">
        <v>6466805</v>
      </c>
      <c r="AI217">
        <v>1010</v>
      </c>
      <c r="AJ217">
        <v>556</v>
      </c>
      <c r="AK217" s="20" t="s">
        <v>1826</v>
      </c>
      <c r="AL217" s="20" t="s">
        <v>1827</v>
      </c>
      <c r="AM217" s="20" t="s">
        <v>1828</v>
      </c>
      <c r="AN217" s="20" t="s">
        <v>1829</v>
      </c>
      <c r="AO217" s="20" t="s">
        <v>1049</v>
      </c>
      <c r="AP217">
        <v>1</v>
      </c>
      <c r="AQ217">
        <v>12</v>
      </c>
      <c r="AR217">
        <v>12</v>
      </c>
      <c r="AS217">
        <v>37</v>
      </c>
      <c r="AT217">
        <v>26</v>
      </c>
      <c r="AU217" s="27">
        <v>14685</v>
      </c>
      <c r="AV217" s="20"/>
      <c r="AW217" s="20"/>
      <c r="AX217" s="20"/>
      <c r="AY217" s="20"/>
    </row>
    <row r="218" spans="1:51">
      <c r="A218" s="27">
        <v>43466</v>
      </c>
      <c r="B218" s="20" t="s">
        <v>135</v>
      </c>
      <c r="C218" s="20" t="s">
        <v>1830</v>
      </c>
      <c r="D218">
        <v>5</v>
      </c>
      <c r="E218">
        <v>5</v>
      </c>
      <c r="F218">
        <v>843</v>
      </c>
      <c r="G218">
        <v>843</v>
      </c>
      <c r="H218" s="20" t="s">
        <v>1831</v>
      </c>
      <c r="I218" s="20" t="s">
        <v>935</v>
      </c>
      <c r="J218" s="20" t="s">
        <v>936</v>
      </c>
      <c r="K218" s="20" t="s">
        <v>937</v>
      </c>
      <c r="M218">
        <v>1603</v>
      </c>
      <c r="N218">
        <v>1604</v>
      </c>
      <c r="O218">
        <v>6625.5</v>
      </c>
      <c r="P218">
        <v>4.13</v>
      </c>
      <c r="R218">
        <v>3284</v>
      </c>
      <c r="S218">
        <v>3284</v>
      </c>
      <c r="T218">
        <v>610</v>
      </c>
      <c r="U218">
        <v>0.38700000000000001</v>
      </c>
      <c r="V218">
        <v>13</v>
      </c>
      <c r="W218">
        <v>2</v>
      </c>
      <c r="X218">
        <v>50</v>
      </c>
      <c r="Y218">
        <v>6</v>
      </c>
      <c r="Z218">
        <v>1268298</v>
      </c>
      <c r="AA218">
        <v>29.12</v>
      </c>
      <c r="AB218">
        <v>820525</v>
      </c>
      <c r="AC218">
        <v>18.84</v>
      </c>
      <c r="AD218">
        <v>198609</v>
      </c>
      <c r="AE218">
        <v>11742973</v>
      </c>
      <c r="AF218">
        <v>0.15659999999999999</v>
      </c>
      <c r="AG218">
        <v>113</v>
      </c>
      <c r="AH218">
        <v>7054601</v>
      </c>
      <c r="AI218">
        <v>1057</v>
      </c>
      <c r="AJ218">
        <v>521</v>
      </c>
      <c r="AK218" s="20" t="s">
        <v>1826</v>
      </c>
      <c r="AL218" s="20" t="s">
        <v>1827</v>
      </c>
      <c r="AM218" s="20" t="s">
        <v>1832</v>
      </c>
      <c r="AN218" s="20" t="s">
        <v>1829</v>
      </c>
      <c r="AO218" s="20" t="s">
        <v>1049</v>
      </c>
      <c r="AP218">
        <v>1</v>
      </c>
      <c r="AQ218">
        <v>12</v>
      </c>
      <c r="AR218">
        <v>12</v>
      </c>
      <c r="AS218">
        <v>37</v>
      </c>
      <c r="AT218">
        <v>26</v>
      </c>
      <c r="AU218" s="27">
        <v>14685</v>
      </c>
      <c r="AV218" s="20"/>
      <c r="AW218" s="20"/>
      <c r="AX218" s="20"/>
      <c r="AY218" s="20"/>
    </row>
    <row r="219" spans="1:51">
      <c r="A219" s="27">
        <v>43466</v>
      </c>
      <c r="B219" s="20" t="s">
        <v>355</v>
      </c>
      <c r="C219" s="20" t="s">
        <v>943</v>
      </c>
      <c r="D219">
        <v>352</v>
      </c>
      <c r="E219">
        <v>167</v>
      </c>
      <c r="F219">
        <v>771</v>
      </c>
      <c r="G219">
        <v>763</v>
      </c>
      <c r="H219" s="20" t="s">
        <v>1833</v>
      </c>
      <c r="I219" s="20" t="s">
        <v>935</v>
      </c>
      <c r="J219" s="20" t="s">
        <v>945</v>
      </c>
      <c r="K219" s="20" t="s">
        <v>953</v>
      </c>
      <c r="M219">
        <v>118</v>
      </c>
      <c r="N219">
        <v>118</v>
      </c>
      <c r="O219">
        <v>529</v>
      </c>
      <c r="P219">
        <v>4.4800000000000004</v>
      </c>
      <c r="R219">
        <v>284</v>
      </c>
      <c r="S219">
        <v>284</v>
      </c>
      <c r="T219">
        <v>26</v>
      </c>
      <c r="U219">
        <v>0.22</v>
      </c>
      <c r="V219">
        <v>5</v>
      </c>
      <c r="W219">
        <v>0</v>
      </c>
      <c r="X219">
        <v>5</v>
      </c>
      <c r="Y219">
        <v>4</v>
      </c>
      <c r="Z219">
        <v>70486</v>
      </c>
      <c r="AA219">
        <v>1.62</v>
      </c>
      <c r="AB219">
        <v>70486</v>
      </c>
      <c r="AC219">
        <v>1.62</v>
      </c>
      <c r="AD219">
        <v>27982</v>
      </c>
      <c r="AE219">
        <v>3052668</v>
      </c>
      <c r="AF219">
        <v>0.39700000000000002</v>
      </c>
      <c r="AG219">
        <v>175</v>
      </c>
      <c r="AH219">
        <v>6714551</v>
      </c>
      <c r="AI219">
        <v>12693</v>
      </c>
      <c r="AJ219">
        <v>574</v>
      </c>
      <c r="AK219" s="20" t="s">
        <v>1467</v>
      </c>
      <c r="AL219" s="20" t="s">
        <v>1169</v>
      </c>
      <c r="AM219" s="20" t="s">
        <v>948</v>
      </c>
      <c r="AN219" s="20" t="s">
        <v>1631</v>
      </c>
      <c r="AO219" s="20" t="s">
        <v>950</v>
      </c>
      <c r="AP219">
        <v>16</v>
      </c>
      <c r="AQ219">
        <v>9</v>
      </c>
      <c r="AR219">
        <v>20</v>
      </c>
      <c r="AS219">
        <v>55</v>
      </c>
      <c r="AT219">
        <v>41</v>
      </c>
      <c r="AU219" s="27">
        <v>31769</v>
      </c>
      <c r="AV219" s="20"/>
      <c r="AW219" s="20"/>
      <c r="AX219" s="20" t="s">
        <v>974</v>
      </c>
      <c r="AY219" s="20"/>
    </row>
    <row r="220" spans="1:51">
      <c r="A220" s="27">
        <v>43466</v>
      </c>
      <c r="B220" s="20" t="s">
        <v>268</v>
      </c>
      <c r="C220" s="20" t="s">
        <v>1834</v>
      </c>
      <c r="D220">
        <v>245</v>
      </c>
      <c r="E220">
        <v>63</v>
      </c>
      <c r="F220">
        <v>364</v>
      </c>
      <c r="G220">
        <v>218</v>
      </c>
      <c r="H220" s="20" t="s">
        <v>1835</v>
      </c>
      <c r="I220" s="20" t="s">
        <v>935</v>
      </c>
      <c r="J220" s="20" t="s">
        <v>945</v>
      </c>
      <c r="K220" s="20" t="s">
        <v>1080</v>
      </c>
      <c r="M220">
        <v>251</v>
      </c>
      <c r="N220">
        <v>252</v>
      </c>
      <c r="O220">
        <v>823.5</v>
      </c>
      <c r="P220">
        <v>3.28</v>
      </c>
      <c r="R220">
        <v>276</v>
      </c>
      <c r="S220">
        <v>276</v>
      </c>
      <c r="T220">
        <v>217</v>
      </c>
      <c r="U220">
        <v>0.88600000000000001</v>
      </c>
      <c r="V220">
        <v>3</v>
      </c>
      <c r="W220">
        <v>0</v>
      </c>
      <c r="X220">
        <v>3</v>
      </c>
      <c r="Y220">
        <v>6</v>
      </c>
      <c r="Z220">
        <v>230000</v>
      </c>
      <c r="AA220">
        <v>5.28</v>
      </c>
      <c r="AB220">
        <v>230000</v>
      </c>
      <c r="AC220">
        <v>5.28</v>
      </c>
      <c r="AD220">
        <v>48175</v>
      </c>
      <c r="AE220">
        <v>1582410</v>
      </c>
      <c r="AF220">
        <v>0.20949999999999999</v>
      </c>
      <c r="AG220">
        <v>52</v>
      </c>
      <c r="AH220">
        <v>9186414</v>
      </c>
      <c r="AI220">
        <v>10757</v>
      </c>
      <c r="AJ220">
        <v>354</v>
      </c>
      <c r="AK220" s="20" t="s">
        <v>1836</v>
      </c>
      <c r="AL220" s="20" t="s">
        <v>1837</v>
      </c>
      <c r="AM220" s="20" t="s">
        <v>1838</v>
      </c>
      <c r="AN220" s="20" t="s">
        <v>1839</v>
      </c>
      <c r="AO220" s="20" t="s">
        <v>942</v>
      </c>
      <c r="AP220">
        <v>10</v>
      </c>
      <c r="AQ220">
        <v>14</v>
      </c>
      <c r="AR220">
        <v>34</v>
      </c>
      <c r="AS220">
        <v>82</v>
      </c>
      <c r="AT220">
        <v>13</v>
      </c>
      <c r="AU220" s="27">
        <v>28794</v>
      </c>
      <c r="AV220" s="20"/>
      <c r="AW220" s="20" t="s">
        <v>1081</v>
      </c>
      <c r="AX220" s="20"/>
      <c r="AY220" s="20"/>
    </row>
    <row r="221" spans="1:51">
      <c r="A221" s="27">
        <v>43466</v>
      </c>
      <c r="B221" s="20" t="s">
        <v>1840</v>
      </c>
      <c r="C221" s="20" t="s">
        <v>1841</v>
      </c>
      <c r="D221">
        <v>561</v>
      </c>
      <c r="H221" s="20"/>
      <c r="I221" s="20" t="s">
        <v>1842</v>
      </c>
      <c r="J221" s="20" t="s">
        <v>936</v>
      </c>
      <c r="K221" s="20" t="s">
        <v>1843</v>
      </c>
      <c r="M221">
        <v>147</v>
      </c>
      <c r="N221">
        <v>168</v>
      </c>
      <c r="V221">
        <v>2</v>
      </c>
      <c r="W221">
        <v>0</v>
      </c>
      <c r="Y221">
        <v>5</v>
      </c>
      <c r="Z221">
        <v>57935</v>
      </c>
      <c r="AK221" s="20" t="s">
        <v>1844</v>
      </c>
      <c r="AL221" s="20" t="s">
        <v>1845</v>
      </c>
      <c r="AM221" s="20"/>
      <c r="AN221" s="20"/>
      <c r="AO221" s="20" t="s">
        <v>963</v>
      </c>
      <c r="AP221">
        <v>10</v>
      </c>
      <c r="AQ221">
        <v>13</v>
      </c>
      <c r="AR221">
        <v>30</v>
      </c>
      <c r="AS221">
        <v>70</v>
      </c>
      <c r="AT221">
        <v>9</v>
      </c>
      <c r="AU221" s="27"/>
      <c r="AV221" s="20"/>
      <c r="AW221" s="20"/>
      <c r="AX221" s="20"/>
      <c r="AY221" s="20" t="s">
        <v>974</v>
      </c>
    </row>
    <row r="222" spans="1:51">
      <c r="A222" s="27">
        <v>43466</v>
      </c>
      <c r="B222" s="20" t="s">
        <v>115</v>
      </c>
      <c r="C222" s="20" t="s">
        <v>1846</v>
      </c>
      <c r="D222">
        <v>37</v>
      </c>
      <c r="E222">
        <v>37</v>
      </c>
      <c r="F222">
        <v>317</v>
      </c>
      <c r="G222">
        <v>317</v>
      </c>
      <c r="H222" s="20" t="s">
        <v>1847</v>
      </c>
      <c r="I222" s="20" t="s">
        <v>935</v>
      </c>
      <c r="J222" s="20" t="s">
        <v>936</v>
      </c>
      <c r="K222" s="20" t="s">
        <v>937</v>
      </c>
      <c r="M222">
        <v>982</v>
      </c>
      <c r="N222">
        <v>984</v>
      </c>
      <c r="O222">
        <v>4515</v>
      </c>
      <c r="P222">
        <v>4.5999999999999996</v>
      </c>
      <c r="R222">
        <v>2141</v>
      </c>
      <c r="S222">
        <v>2141</v>
      </c>
      <c r="T222">
        <v>339</v>
      </c>
      <c r="U222">
        <v>0.35699999999999998</v>
      </c>
      <c r="V222">
        <v>8</v>
      </c>
      <c r="W222">
        <v>0</v>
      </c>
      <c r="X222">
        <v>9</v>
      </c>
      <c r="Y222">
        <v>14</v>
      </c>
      <c r="Z222">
        <v>475672</v>
      </c>
      <c r="AA222">
        <v>10.92</v>
      </c>
      <c r="AB222">
        <v>475672</v>
      </c>
      <c r="AC222">
        <v>10.92</v>
      </c>
      <c r="AD222">
        <v>71671</v>
      </c>
      <c r="AE222">
        <v>7911809</v>
      </c>
      <c r="AF222">
        <v>0.1507</v>
      </c>
      <c r="AG222">
        <v>196</v>
      </c>
      <c r="AH222">
        <v>10613000</v>
      </c>
      <c r="AI222">
        <v>2373</v>
      </c>
      <c r="AJ222">
        <v>573</v>
      </c>
      <c r="AK222" s="20" t="s">
        <v>1526</v>
      </c>
      <c r="AL222" s="20" t="s">
        <v>133</v>
      </c>
      <c r="AM222" s="20" t="s">
        <v>1848</v>
      </c>
      <c r="AN222" s="20"/>
      <c r="AO222" s="20" t="s">
        <v>963</v>
      </c>
      <c r="AP222">
        <v>10</v>
      </c>
      <c r="AQ222">
        <v>13</v>
      </c>
      <c r="AR222">
        <v>30</v>
      </c>
      <c r="AS222">
        <v>71</v>
      </c>
      <c r="AT222">
        <v>9</v>
      </c>
      <c r="AU222" s="27">
        <v>18909</v>
      </c>
      <c r="AV222" s="20" t="s">
        <v>1394</v>
      </c>
      <c r="AW222" s="20"/>
      <c r="AX222" s="20"/>
      <c r="AY222" s="20"/>
    </row>
    <row r="223" spans="1:51">
      <c r="A223" s="27">
        <v>43466</v>
      </c>
      <c r="B223" s="20" t="s">
        <v>212</v>
      </c>
      <c r="C223" s="20" t="s">
        <v>1849</v>
      </c>
      <c r="D223">
        <v>48</v>
      </c>
      <c r="E223">
        <v>48</v>
      </c>
      <c r="F223">
        <v>369</v>
      </c>
      <c r="G223">
        <v>369</v>
      </c>
      <c r="H223" s="20" t="s">
        <v>1850</v>
      </c>
      <c r="I223" s="20" t="s">
        <v>935</v>
      </c>
      <c r="J223" s="20" t="s">
        <v>936</v>
      </c>
      <c r="K223" s="20" t="s">
        <v>937</v>
      </c>
      <c r="M223">
        <v>2164</v>
      </c>
      <c r="N223">
        <v>2166</v>
      </c>
      <c r="O223">
        <v>9134</v>
      </c>
      <c r="P223">
        <v>4.22</v>
      </c>
      <c r="R223">
        <v>4278</v>
      </c>
      <c r="S223">
        <v>4278</v>
      </c>
      <c r="T223">
        <v>871</v>
      </c>
      <c r="U223">
        <v>0.40600000000000003</v>
      </c>
      <c r="V223">
        <v>31</v>
      </c>
      <c r="W223">
        <v>0</v>
      </c>
      <c r="X223">
        <v>45</v>
      </c>
      <c r="Y223">
        <v>43623</v>
      </c>
      <c r="Z223">
        <v>1667814</v>
      </c>
      <c r="AA223">
        <v>38.29</v>
      </c>
      <c r="AB223">
        <v>1537135</v>
      </c>
      <c r="AC223">
        <v>35.29</v>
      </c>
      <c r="AD223">
        <v>346053</v>
      </c>
      <c r="AE223">
        <v>18107100</v>
      </c>
      <c r="AF223">
        <v>0.20749999999999999</v>
      </c>
      <c r="AG223">
        <v>112</v>
      </c>
      <c r="AH223">
        <v>21403996</v>
      </c>
      <c r="AI223">
        <v>2342</v>
      </c>
      <c r="AJ223">
        <v>588</v>
      </c>
      <c r="AK223" s="20" t="s">
        <v>1851</v>
      </c>
      <c r="AL223" s="20" t="s">
        <v>1625</v>
      </c>
      <c r="AM223" s="20" t="s">
        <v>1852</v>
      </c>
      <c r="AN223" s="20" t="s">
        <v>1853</v>
      </c>
      <c r="AO223" s="20" t="s">
        <v>1049</v>
      </c>
      <c r="AP223">
        <v>1</v>
      </c>
      <c r="AQ223">
        <v>12</v>
      </c>
      <c r="AR223">
        <v>12</v>
      </c>
      <c r="AS223">
        <v>37</v>
      </c>
      <c r="AT223">
        <v>26</v>
      </c>
      <c r="AU223" s="27">
        <v>18828</v>
      </c>
      <c r="AV223" s="20" t="s">
        <v>1854</v>
      </c>
      <c r="AW223" s="20"/>
      <c r="AX223" s="20"/>
      <c r="AY223" s="20"/>
    </row>
    <row r="224" spans="1:51">
      <c r="A224" s="27">
        <v>43466</v>
      </c>
      <c r="B224" s="20" t="s">
        <v>213</v>
      </c>
      <c r="C224" s="20" t="s">
        <v>1855</v>
      </c>
      <c r="D224">
        <v>4</v>
      </c>
      <c r="E224">
        <v>4</v>
      </c>
      <c r="F224">
        <v>202</v>
      </c>
      <c r="G224">
        <v>202</v>
      </c>
      <c r="H224" s="20" t="s">
        <v>1856</v>
      </c>
      <c r="I224" s="20" t="s">
        <v>935</v>
      </c>
      <c r="J224" s="20" t="s">
        <v>936</v>
      </c>
      <c r="K224" s="20" t="s">
        <v>937</v>
      </c>
      <c r="M224">
        <v>1404</v>
      </c>
      <c r="N224">
        <v>1411</v>
      </c>
      <c r="O224">
        <v>5888</v>
      </c>
      <c r="P224">
        <v>4.1900000000000004</v>
      </c>
      <c r="R224">
        <v>2832</v>
      </c>
      <c r="S224">
        <v>2832</v>
      </c>
      <c r="T224">
        <v>540</v>
      </c>
      <c r="U224">
        <v>0.39600000000000002</v>
      </c>
      <c r="V224">
        <v>16</v>
      </c>
      <c r="W224">
        <v>3</v>
      </c>
      <c r="X224">
        <v>51</v>
      </c>
      <c r="Y224">
        <v>43502</v>
      </c>
      <c r="Z224">
        <v>856003</v>
      </c>
      <c r="AA224">
        <v>19.649999999999999</v>
      </c>
      <c r="AB224">
        <v>856003</v>
      </c>
      <c r="AC224">
        <v>19.649999999999999</v>
      </c>
      <c r="AD224">
        <v>192198</v>
      </c>
      <c r="AE224">
        <v>10734477</v>
      </c>
      <c r="AF224">
        <v>0.22450000000000001</v>
      </c>
      <c r="AG224">
        <v>144</v>
      </c>
      <c r="AJ224">
        <v>525</v>
      </c>
      <c r="AK224" s="20" t="s">
        <v>1857</v>
      </c>
      <c r="AL224" s="20" t="s">
        <v>1858</v>
      </c>
      <c r="AM224" s="20" t="s">
        <v>1078</v>
      </c>
      <c r="AN224" s="20" t="s">
        <v>1859</v>
      </c>
      <c r="AO224" s="20" t="s">
        <v>950</v>
      </c>
      <c r="AP224">
        <v>6</v>
      </c>
      <c r="AQ224">
        <v>7</v>
      </c>
      <c r="AR224">
        <v>25</v>
      </c>
      <c r="AS224">
        <v>51</v>
      </c>
      <c r="AT224">
        <v>38</v>
      </c>
      <c r="AU224" s="27"/>
      <c r="AV224" s="20"/>
      <c r="AW224" s="20"/>
      <c r="AX224" s="20"/>
      <c r="AY224" s="20"/>
    </row>
    <row r="225" spans="1:51">
      <c r="A225" s="27">
        <v>43466</v>
      </c>
      <c r="B225" s="20" t="s">
        <v>864</v>
      </c>
      <c r="C225" s="20" t="s">
        <v>1860</v>
      </c>
      <c r="D225" t="s">
        <v>1861</v>
      </c>
      <c r="F225">
        <v>202</v>
      </c>
      <c r="H225" s="20" t="s">
        <v>1856</v>
      </c>
      <c r="I225" s="20" t="s">
        <v>935</v>
      </c>
      <c r="J225" s="20" t="s">
        <v>936</v>
      </c>
      <c r="K225" s="20" t="s">
        <v>937</v>
      </c>
      <c r="M225">
        <v>2531</v>
      </c>
      <c r="N225">
        <v>2545</v>
      </c>
      <c r="O225">
        <v>10591</v>
      </c>
      <c r="P225">
        <v>4.18</v>
      </c>
      <c r="R225">
        <v>5173</v>
      </c>
      <c r="S225">
        <v>5137</v>
      </c>
      <c r="T225">
        <v>975</v>
      </c>
      <c r="U225">
        <v>0.39700000000000002</v>
      </c>
      <c r="V225">
        <v>27</v>
      </c>
      <c r="W225">
        <v>3</v>
      </c>
      <c r="X225">
        <v>89</v>
      </c>
      <c r="Y225">
        <v>43502</v>
      </c>
      <c r="Z225">
        <v>1452438</v>
      </c>
      <c r="AA225">
        <v>33.340000000000003</v>
      </c>
      <c r="AB225">
        <v>1452438</v>
      </c>
      <c r="AC225">
        <v>33.340000000000003</v>
      </c>
      <c r="AD225">
        <v>326157</v>
      </c>
      <c r="AE225">
        <v>19292734</v>
      </c>
      <c r="AF225">
        <v>0.22459999999999999</v>
      </c>
      <c r="AG225">
        <v>154</v>
      </c>
      <c r="AH225">
        <v>12102930</v>
      </c>
      <c r="AI225">
        <v>1137</v>
      </c>
      <c r="AJ225">
        <v>517</v>
      </c>
      <c r="AK225" s="20" t="s">
        <v>1862</v>
      </c>
      <c r="AL225" s="20" t="s">
        <v>1857</v>
      </c>
      <c r="AM225" s="20" t="s">
        <v>1863</v>
      </c>
      <c r="AN225" s="20" t="s">
        <v>1858</v>
      </c>
      <c r="AO225" s="20" t="s">
        <v>950</v>
      </c>
      <c r="AP225">
        <v>6</v>
      </c>
      <c r="AQ225">
        <v>7</v>
      </c>
      <c r="AR225">
        <v>25</v>
      </c>
      <c r="AS225">
        <v>51</v>
      </c>
      <c r="AT225">
        <v>38</v>
      </c>
      <c r="AU225" s="27">
        <v>14569</v>
      </c>
      <c r="AV225" s="20"/>
      <c r="AW225" s="20"/>
      <c r="AX225" s="20"/>
      <c r="AY225" s="20"/>
    </row>
    <row r="226" spans="1:51">
      <c r="A226" s="27">
        <v>43466</v>
      </c>
      <c r="B226" s="20" t="s">
        <v>865</v>
      </c>
      <c r="C226" s="20" t="s">
        <v>1864</v>
      </c>
      <c r="D226" t="s">
        <v>1865</v>
      </c>
      <c r="E226">
        <v>79</v>
      </c>
      <c r="F226">
        <v>230</v>
      </c>
      <c r="G226">
        <v>230</v>
      </c>
      <c r="H226" s="20" t="s">
        <v>1866</v>
      </c>
      <c r="I226" s="20" t="s">
        <v>935</v>
      </c>
      <c r="J226" s="20" t="s">
        <v>936</v>
      </c>
      <c r="K226" s="20" t="s">
        <v>937</v>
      </c>
      <c r="M226">
        <v>344</v>
      </c>
      <c r="N226">
        <v>346</v>
      </c>
      <c r="O226">
        <v>1618</v>
      </c>
      <c r="P226">
        <v>4.7</v>
      </c>
      <c r="R226">
        <v>860</v>
      </c>
      <c r="S226">
        <v>860</v>
      </c>
      <c r="T226">
        <v>93</v>
      </c>
      <c r="U226">
        <v>0.27500000000000002</v>
      </c>
      <c r="V226">
        <v>3</v>
      </c>
      <c r="W226">
        <v>1</v>
      </c>
      <c r="X226">
        <v>12</v>
      </c>
      <c r="Y226">
        <v>43538</v>
      </c>
      <c r="Z226">
        <v>245292</v>
      </c>
      <c r="AA226">
        <v>5.63</v>
      </c>
      <c r="AB226">
        <v>245292</v>
      </c>
      <c r="AC226">
        <v>5.63</v>
      </c>
      <c r="AD226">
        <v>35301</v>
      </c>
      <c r="AE226">
        <v>2896000</v>
      </c>
      <c r="AF226">
        <v>0.1439</v>
      </c>
      <c r="AG226">
        <v>153</v>
      </c>
      <c r="AH226">
        <v>4517169</v>
      </c>
      <c r="AI226">
        <v>2776</v>
      </c>
      <c r="AJ226">
        <v>615</v>
      </c>
      <c r="AK226" s="20" t="s">
        <v>1867</v>
      </c>
      <c r="AL226" s="20" t="s">
        <v>1862</v>
      </c>
      <c r="AM226" s="20" t="s">
        <v>1868</v>
      </c>
      <c r="AN226" s="20" t="s">
        <v>1869</v>
      </c>
      <c r="AO226" s="20" t="s">
        <v>950</v>
      </c>
      <c r="AP226">
        <v>6</v>
      </c>
      <c r="AQ226">
        <v>7</v>
      </c>
      <c r="AR226">
        <v>25</v>
      </c>
      <c r="AS226">
        <v>51</v>
      </c>
      <c r="AT226">
        <v>38</v>
      </c>
      <c r="AU226" s="27">
        <v>20236</v>
      </c>
      <c r="AV226" s="20"/>
      <c r="AW226" s="20"/>
      <c r="AX226" s="20"/>
      <c r="AY226" s="20"/>
    </row>
    <row r="227" spans="1:51">
      <c r="A227" s="27">
        <v>43466</v>
      </c>
      <c r="B227" s="20" t="s">
        <v>214</v>
      </c>
      <c r="C227" s="20" t="s">
        <v>1864</v>
      </c>
      <c r="D227">
        <v>79</v>
      </c>
      <c r="E227">
        <v>79</v>
      </c>
      <c r="G227">
        <v>230</v>
      </c>
      <c r="H227" s="20" t="s">
        <v>1870</v>
      </c>
      <c r="I227" s="20" t="s">
        <v>935</v>
      </c>
      <c r="J227" s="20" t="s">
        <v>936</v>
      </c>
      <c r="K227" s="20" t="s">
        <v>937</v>
      </c>
      <c r="M227">
        <v>1471</v>
      </c>
      <c r="N227">
        <v>1480</v>
      </c>
      <c r="O227">
        <v>6320.5</v>
      </c>
      <c r="P227">
        <v>4.3</v>
      </c>
      <c r="R227">
        <v>3165</v>
      </c>
      <c r="S227">
        <v>3165</v>
      </c>
      <c r="T227">
        <v>528</v>
      </c>
      <c r="U227">
        <v>0.36899999999999999</v>
      </c>
      <c r="V227">
        <v>14</v>
      </c>
      <c r="W227">
        <v>1</v>
      </c>
      <c r="X227">
        <v>50</v>
      </c>
      <c r="Y227">
        <v>41704</v>
      </c>
      <c r="Z227">
        <v>841727</v>
      </c>
      <c r="AA227">
        <v>19.32</v>
      </c>
      <c r="AB227">
        <v>841727</v>
      </c>
      <c r="AC227">
        <v>19.32</v>
      </c>
      <c r="AD227">
        <v>169260</v>
      </c>
      <c r="AE227">
        <v>11454257</v>
      </c>
      <c r="AF227">
        <v>0.2011</v>
      </c>
      <c r="AG227">
        <v>164</v>
      </c>
      <c r="AJ227">
        <v>532</v>
      </c>
      <c r="AK227" s="20" t="s">
        <v>1867</v>
      </c>
      <c r="AL227" s="20" t="s">
        <v>1858</v>
      </c>
      <c r="AM227" s="20" t="s">
        <v>1871</v>
      </c>
      <c r="AN227" s="20" t="s">
        <v>1859</v>
      </c>
      <c r="AO227" s="20" t="s">
        <v>950</v>
      </c>
      <c r="AP227">
        <v>6</v>
      </c>
      <c r="AQ227">
        <v>7</v>
      </c>
      <c r="AR227">
        <v>25</v>
      </c>
      <c r="AS227">
        <v>51</v>
      </c>
      <c r="AT227">
        <v>38</v>
      </c>
      <c r="AU227" s="27"/>
      <c r="AV227" s="20"/>
      <c r="AW227" s="20"/>
      <c r="AX227" s="20"/>
      <c r="AY227" s="20"/>
    </row>
    <row r="228" spans="1:51">
      <c r="A228" s="27">
        <v>43466</v>
      </c>
      <c r="B228" s="20" t="s">
        <v>194</v>
      </c>
      <c r="C228" s="20" t="s">
        <v>1872</v>
      </c>
      <c r="D228">
        <v>55</v>
      </c>
      <c r="E228">
        <v>55</v>
      </c>
      <c r="F228">
        <v>525</v>
      </c>
      <c r="G228">
        <v>525</v>
      </c>
      <c r="H228" s="20" t="s">
        <v>1873</v>
      </c>
      <c r="I228" s="20" t="s">
        <v>935</v>
      </c>
      <c r="J228" s="20" t="s">
        <v>936</v>
      </c>
      <c r="K228" s="20" t="s">
        <v>937</v>
      </c>
      <c r="M228">
        <v>599</v>
      </c>
      <c r="N228">
        <v>604</v>
      </c>
      <c r="O228">
        <v>2908.5</v>
      </c>
      <c r="P228">
        <v>4.8600000000000003</v>
      </c>
      <c r="R228">
        <v>1573</v>
      </c>
      <c r="S228">
        <v>1573</v>
      </c>
      <c r="T228">
        <v>185</v>
      </c>
      <c r="U228">
        <v>0.315</v>
      </c>
      <c r="V228">
        <v>9</v>
      </c>
      <c r="W228">
        <v>0</v>
      </c>
      <c r="X228">
        <v>16</v>
      </c>
      <c r="Y228">
        <v>43623</v>
      </c>
      <c r="Z228">
        <v>817865</v>
      </c>
      <c r="AA228">
        <v>18.78</v>
      </c>
      <c r="AB228">
        <v>726038</v>
      </c>
      <c r="AC228">
        <v>16.670000000000002</v>
      </c>
      <c r="AD228">
        <v>95461</v>
      </c>
      <c r="AE228">
        <v>5602438</v>
      </c>
      <c r="AF228">
        <v>0.1167</v>
      </c>
      <c r="AG228">
        <v>84</v>
      </c>
      <c r="AH228">
        <v>9334000</v>
      </c>
      <c r="AI228">
        <v>3186</v>
      </c>
      <c r="AJ228">
        <v>506</v>
      </c>
      <c r="AK228" s="20" t="s">
        <v>1874</v>
      </c>
      <c r="AL228" s="20" t="s">
        <v>1875</v>
      </c>
      <c r="AM228" s="20" t="s">
        <v>1234</v>
      </c>
      <c r="AN228" s="20" t="s">
        <v>1876</v>
      </c>
      <c r="AO228" s="20" t="s">
        <v>1049</v>
      </c>
      <c r="AP228">
        <v>14</v>
      </c>
      <c r="AQ228">
        <v>5</v>
      </c>
      <c r="AR228">
        <v>10</v>
      </c>
      <c r="AS228">
        <v>31</v>
      </c>
      <c r="AT228">
        <v>31</v>
      </c>
      <c r="AU228" s="27">
        <v>21790</v>
      </c>
      <c r="AV228" s="20" t="s">
        <v>1019</v>
      </c>
      <c r="AW228" s="20"/>
      <c r="AX228" s="20"/>
      <c r="AY228" s="20"/>
    </row>
    <row r="229" spans="1:51">
      <c r="A229" s="27">
        <v>43466</v>
      </c>
      <c r="B229" s="20" t="s">
        <v>215</v>
      </c>
      <c r="C229" s="20" t="s">
        <v>1118</v>
      </c>
      <c r="D229">
        <v>143</v>
      </c>
      <c r="E229">
        <v>186</v>
      </c>
      <c r="F229">
        <v>297</v>
      </c>
      <c r="G229">
        <v>290</v>
      </c>
      <c r="H229" s="20" t="s">
        <v>1877</v>
      </c>
      <c r="I229" s="20" t="s">
        <v>935</v>
      </c>
      <c r="J229" s="20" t="s">
        <v>936</v>
      </c>
      <c r="K229" s="20" t="s">
        <v>1456</v>
      </c>
      <c r="M229">
        <v>13</v>
      </c>
      <c r="N229">
        <v>13</v>
      </c>
      <c r="O229">
        <v>32.5</v>
      </c>
      <c r="P229">
        <v>2.5</v>
      </c>
      <c r="R229">
        <v>13</v>
      </c>
      <c r="S229">
        <v>13</v>
      </c>
      <c r="T229">
        <v>12</v>
      </c>
      <c r="U229">
        <v>0.92300000000000004</v>
      </c>
      <c r="V229">
        <v>1</v>
      </c>
      <c r="W229">
        <v>0</v>
      </c>
      <c r="X229">
        <v>1</v>
      </c>
      <c r="Y229">
        <v>1</v>
      </c>
      <c r="Z229">
        <v>15000</v>
      </c>
      <c r="AA229">
        <v>0.34</v>
      </c>
      <c r="AB229">
        <v>15000</v>
      </c>
      <c r="AC229">
        <v>0.34</v>
      </c>
      <c r="AD229">
        <v>9320</v>
      </c>
      <c r="AE229">
        <v>115995</v>
      </c>
      <c r="AF229">
        <v>0.62129999999999996</v>
      </c>
      <c r="AG229">
        <v>38</v>
      </c>
      <c r="AH229">
        <v>5909934</v>
      </c>
      <c r="AI229">
        <v>4821</v>
      </c>
      <c r="AJ229">
        <v>235</v>
      </c>
      <c r="AK229" s="20" t="s">
        <v>1878</v>
      </c>
      <c r="AL229" s="20" t="s">
        <v>1879</v>
      </c>
      <c r="AM229" s="20" t="s">
        <v>1880</v>
      </c>
      <c r="AN229" s="20"/>
      <c r="AO229" s="20" t="s">
        <v>1049</v>
      </c>
      <c r="AP229">
        <v>7</v>
      </c>
      <c r="AQ229">
        <v>14</v>
      </c>
      <c r="AR229">
        <v>11</v>
      </c>
      <c r="AS229">
        <v>27</v>
      </c>
      <c r="AT229">
        <v>19</v>
      </c>
      <c r="AU229" s="27">
        <v>23407</v>
      </c>
      <c r="AV229" s="20"/>
      <c r="AW229" s="20" t="s">
        <v>1081</v>
      </c>
      <c r="AX229" s="20"/>
      <c r="AY229" s="20"/>
    </row>
    <row r="230" spans="1:51">
      <c r="A230" s="27">
        <v>43466</v>
      </c>
      <c r="B230" s="20" t="s">
        <v>250</v>
      </c>
      <c r="C230" s="20" t="s">
        <v>1881</v>
      </c>
      <c r="D230">
        <v>515</v>
      </c>
      <c r="E230">
        <v>359</v>
      </c>
      <c r="G230">
        <v>255</v>
      </c>
      <c r="H230" s="20" t="s">
        <v>1882</v>
      </c>
      <c r="I230" s="20" t="s">
        <v>935</v>
      </c>
      <c r="J230" s="20" t="s">
        <v>936</v>
      </c>
      <c r="K230" s="20" t="s">
        <v>953</v>
      </c>
      <c r="M230">
        <v>112</v>
      </c>
      <c r="N230">
        <v>112</v>
      </c>
      <c r="O230">
        <v>413</v>
      </c>
      <c r="P230">
        <v>3.69</v>
      </c>
      <c r="R230">
        <v>182</v>
      </c>
      <c r="S230">
        <v>182</v>
      </c>
      <c r="T230">
        <v>43</v>
      </c>
      <c r="U230">
        <v>0.38400000000000001</v>
      </c>
      <c r="V230">
        <v>4</v>
      </c>
      <c r="W230">
        <v>0</v>
      </c>
      <c r="X230">
        <v>9</v>
      </c>
      <c r="Y230">
        <v>39147</v>
      </c>
      <c r="Z230">
        <v>24462</v>
      </c>
      <c r="AA230">
        <v>0.56000000000000005</v>
      </c>
      <c r="AB230">
        <v>24462</v>
      </c>
      <c r="AC230">
        <v>0.56000000000000005</v>
      </c>
      <c r="AD230">
        <v>16326</v>
      </c>
      <c r="AE230">
        <v>1247684</v>
      </c>
      <c r="AF230">
        <v>0.66739999999999999</v>
      </c>
      <c r="AG230">
        <v>325</v>
      </c>
      <c r="AJ230">
        <v>543</v>
      </c>
      <c r="AK230" s="20" t="s">
        <v>1340</v>
      </c>
      <c r="AL230" s="20" t="s">
        <v>1335</v>
      </c>
      <c r="AM230" s="20" t="s">
        <v>1005</v>
      </c>
      <c r="AN230" s="20" t="s">
        <v>1027</v>
      </c>
      <c r="AO230" s="20" t="s">
        <v>963</v>
      </c>
      <c r="AP230">
        <v>7</v>
      </c>
      <c r="AQ230">
        <v>10</v>
      </c>
      <c r="AR230">
        <v>31</v>
      </c>
      <c r="AS230">
        <v>69</v>
      </c>
      <c r="AT230">
        <v>6</v>
      </c>
      <c r="AU230" s="27">
        <v>23407</v>
      </c>
      <c r="AV230" s="20"/>
      <c r="AW230" s="20"/>
      <c r="AX230" s="20"/>
      <c r="AY230" s="20" t="s">
        <v>974</v>
      </c>
    </row>
    <row r="231" spans="1:51">
      <c r="A231" s="27">
        <v>43466</v>
      </c>
      <c r="B231" s="20" t="s">
        <v>251</v>
      </c>
      <c r="C231" s="20" t="s">
        <v>1881</v>
      </c>
      <c r="D231">
        <v>516</v>
      </c>
      <c r="E231">
        <v>359</v>
      </c>
      <c r="G231">
        <v>295</v>
      </c>
      <c r="H231" s="20" t="s">
        <v>1883</v>
      </c>
      <c r="I231" s="20" t="s">
        <v>935</v>
      </c>
      <c r="J231" s="20" t="s">
        <v>936</v>
      </c>
      <c r="K231" s="20" t="s">
        <v>953</v>
      </c>
      <c r="M231">
        <v>156</v>
      </c>
      <c r="N231">
        <v>156</v>
      </c>
      <c r="O231">
        <v>602</v>
      </c>
      <c r="P231">
        <v>3.86</v>
      </c>
      <c r="R231">
        <v>290</v>
      </c>
      <c r="S231">
        <v>290</v>
      </c>
      <c r="T231">
        <v>44</v>
      </c>
      <c r="U231">
        <v>0.28399999999999997</v>
      </c>
      <c r="V231">
        <v>4</v>
      </c>
      <c r="W231">
        <v>0</v>
      </c>
      <c r="X231">
        <v>4</v>
      </c>
      <c r="Y231">
        <v>7</v>
      </c>
      <c r="Z231">
        <v>27171</v>
      </c>
      <c r="AA231">
        <v>0.62</v>
      </c>
      <c r="AB231">
        <v>27171</v>
      </c>
      <c r="AC231">
        <v>0.62</v>
      </c>
      <c r="AD231">
        <v>22914</v>
      </c>
      <c r="AE231">
        <v>1809773</v>
      </c>
      <c r="AF231">
        <v>0.84330000000000005</v>
      </c>
      <c r="AG231">
        <v>468</v>
      </c>
      <c r="AJ231">
        <v>540</v>
      </c>
      <c r="AK231" s="20" t="s">
        <v>960</v>
      </c>
      <c r="AL231" s="20" t="s">
        <v>1497</v>
      </c>
      <c r="AM231" s="20" t="s">
        <v>1591</v>
      </c>
      <c r="AN231" s="20" t="s">
        <v>1590</v>
      </c>
      <c r="AO231" s="20" t="s">
        <v>963</v>
      </c>
      <c r="AP231">
        <v>10</v>
      </c>
      <c r="AQ231">
        <v>13</v>
      </c>
      <c r="AR231">
        <v>30</v>
      </c>
      <c r="AS231">
        <v>70</v>
      </c>
      <c r="AT231">
        <v>9</v>
      </c>
      <c r="AU231" s="27">
        <v>23407</v>
      </c>
      <c r="AV231" s="20"/>
      <c r="AW231" s="20"/>
      <c r="AX231" s="20"/>
      <c r="AY231" s="20" t="s">
        <v>974</v>
      </c>
    </row>
    <row r="232" spans="1:51">
      <c r="A232" s="27">
        <v>43466</v>
      </c>
      <c r="B232" s="20" t="s">
        <v>252</v>
      </c>
      <c r="C232" s="20" t="s">
        <v>1332</v>
      </c>
      <c r="D232">
        <v>517</v>
      </c>
      <c r="E232">
        <v>127</v>
      </c>
      <c r="F232">
        <v>298</v>
      </c>
      <c r="G232">
        <v>259</v>
      </c>
      <c r="H232" s="20" t="s">
        <v>1884</v>
      </c>
      <c r="I232" s="20" t="s">
        <v>935</v>
      </c>
      <c r="J232" s="20" t="s">
        <v>936</v>
      </c>
      <c r="K232" s="20" t="s">
        <v>953</v>
      </c>
      <c r="M232">
        <v>40</v>
      </c>
      <c r="N232">
        <v>40</v>
      </c>
      <c r="O232">
        <v>159</v>
      </c>
      <c r="P232">
        <v>3.98</v>
      </c>
      <c r="R232">
        <v>67</v>
      </c>
      <c r="S232">
        <v>67</v>
      </c>
      <c r="T232">
        <v>18</v>
      </c>
      <c r="U232">
        <v>0.45</v>
      </c>
      <c r="V232">
        <v>1</v>
      </c>
      <c r="W232">
        <v>0</v>
      </c>
      <c r="X232">
        <v>1</v>
      </c>
      <c r="Y232">
        <v>5</v>
      </c>
      <c r="Z232">
        <v>10071</v>
      </c>
      <c r="AA232">
        <v>0.23</v>
      </c>
      <c r="AB232">
        <v>10071</v>
      </c>
      <c r="AC232">
        <v>0.23</v>
      </c>
      <c r="AD232">
        <v>7367</v>
      </c>
      <c r="AE232">
        <v>472901</v>
      </c>
      <c r="AF232">
        <v>0.73150000000000004</v>
      </c>
      <c r="AG232">
        <v>291</v>
      </c>
      <c r="AJ232">
        <v>628</v>
      </c>
      <c r="AK232" s="20" t="s">
        <v>973</v>
      </c>
      <c r="AL232" s="20" t="s">
        <v>1336</v>
      </c>
      <c r="AM232" s="20" t="s">
        <v>1885</v>
      </c>
      <c r="AN232" s="20" t="s">
        <v>1334</v>
      </c>
      <c r="AO232" s="20" t="s">
        <v>963</v>
      </c>
      <c r="AP232">
        <v>7</v>
      </c>
      <c r="AQ232">
        <v>10</v>
      </c>
      <c r="AR232">
        <v>30</v>
      </c>
      <c r="AS232">
        <v>69</v>
      </c>
      <c r="AT232">
        <v>6</v>
      </c>
      <c r="AU232" s="27">
        <v>23407</v>
      </c>
      <c r="AV232" s="20"/>
      <c r="AW232" s="20"/>
      <c r="AX232" s="20"/>
      <c r="AY232" s="20"/>
    </row>
    <row r="233" spans="1:51">
      <c r="A233" s="27">
        <v>43466</v>
      </c>
      <c r="B233" s="20" t="s">
        <v>356</v>
      </c>
      <c r="C233" s="20" t="s">
        <v>943</v>
      </c>
      <c r="D233">
        <v>167</v>
      </c>
      <c r="E233">
        <v>167</v>
      </c>
      <c r="F233">
        <v>283</v>
      </c>
      <c r="G233">
        <v>283</v>
      </c>
      <c r="H233" s="20" t="s">
        <v>1886</v>
      </c>
      <c r="I233" s="20" t="s">
        <v>935</v>
      </c>
      <c r="J233" s="20" t="s">
        <v>936</v>
      </c>
      <c r="K233" s="20" t="s">
        <v>1080</v>
      </c>
      <c r="M233">
        <v>227</v>
      </c>
      <c r="N233">
        <v>230</v>
      </c>
      <c r="O233">
        <v>681.5</v>
      </c>
      <c r="P233">
        <v>3</v>
      </c>
      <c r="R233">
        <v>235</v>
      </c>
      <c r="S233">
        <v>235</v>
      </c>
      <c r="T233">
        <v>206</v>
      </c>
      <c r="U233">
        <v>0.92</v>
      </c>
      <c r="V233">
        <v>1</v>
      </c>
      <c r="W233">
        <v>0</v>
      </c>
      <c r="X233">
        <v>1</v>
      </c>
      <c r="Y233">
        <v>20</v>
      </c>
      <c r="Z233">
        <v>68762</v>
      </c>
      <c r="AA233">
        <v>1.58</v>
      </c>
      <c r="AB233">
        <v>68762</v>
      </c>
      <c r="AC233">
        <v>1.58</v>
      </c>
      <c r="AD233">
        <v>13285</v>
      </c>
      <c r="AE233">
        <v>1397832</v>
      </c>
      <c r="AF233">
        <v>0.19320000000000001</v>
      </c>
      <c r="AG233">
        <v>149</v>
      </c>
      <c r="AH233">
        <v>3910160</v>
      </c>
      <c r="AI233">
        <v>5227</v>
      </c>
      <c r="AJ233">
        <v>318</v>
      </c>
      <c r="AK233" s="20" t="s">
        <v>1017</v>
      </c>
      <c r="AL233" s="20" t="s">
        <v>1015</v>
      </c>
      <c r="AM233" s="20" t="s">
        <v>1467</v>
      </c>
      <c r="AN233" s="20" t="s">
        <v>1887</v>
      </c>
      <c r="AO233" s="20" t="s">
        <v>950</v>
      </c>
      <c r="AP233">
        <v>9</v>
      </c>
      <c r="AQ233">
        <v>9</v>
      </c>
      <c r="AR233">
        <v>20</v>
      </c>
      <c r="AS233">
        <v>43</v>
      </c>
      <c r="AT233">
        <v>41</v>
      </c>
      <c r="AU233" s="27">
        <v>25537</v>
      </c>
      <c r="AV233" s="20"/>
      <c r="AW233" s="20" t="s">
        <v>1081</v>
      </c>
      <c r="AX233" s="20"/>
      <c r="AY233" s="20"/>
    </row>
    <row r="234" spans="1:51">
      <c r="A234" s="27">
        <v>43466</v>
      </c>
      <c r="B234" s="20" t="s">
        <v>357</v>
      </c>
      <c r="C234" s="20" t="s">
        <v>1239</v>
      </c>
      <c r="D234">
        <v>117</v>
      </c>
      <c r="E234">
        <v>117</v>
      </c>
      <c r="F234">
        <v>241</v>
      </c>
      <c r="G234">
        <v>241</v>
      </c>
      <c r="H234" s="20" t="s">
        <v>1888</v>
      </c>
      <c r="I234" s="20" t="s">
        <v>935</v>
      </c>
      <c r="J234" s="20" t="s">
        <v>936</v>
      </c>
      <c r="K234" s="20" t="s">
        <v>937</v>
      </c>
      <c r="M234">
        <v>488</v>
      </c>
      <c r="N234">
        <v>489</v>
      </c>
      <c r="O234">
        <v>2308</v>
      </c>
      <c r="P234">
        <v>4.7300000000000004</v>
      </c>
      <c r="R234">
        <v>1269</v>
      </c>
      <c r="S234">
        <v>1269</v>
      </c>
      <c r="T234">
        <v>137</v>
      </c>
      <c r="U234">
        <v>0.28399999999999997</v>
      </c>
      <c r="V234">
        <v>6</v>
      </c>
      <c r="W234">
        <v>1</v>
      </c>
      <c r="X234">
        <v>7</v>
      </c>
      <c r="Y234">
        <v>8</v>
      </c>
      <c r="Z234">
        <v>464184</v>
      </c>
      <c r="AA234">
        <v>10.66</v>
      </c>
      <c r="AB234">
        <v>440715</v>
      </c>
      <c r="AC234">
        <v>10.119999999999999</v>
      </c>
      <c r="AD234">
        <v>57285</v>
      </c>
      <c r="AE234">
        <v>4498022</v>
      </c>
      <c r="AF234">
        <v>0.1234</v>
      </c>
      <c r="AG234">
        <v>119</v>
      </c>
      <c r="AH234">
        <v>9551430</v>
      </c>
      <c r="AI234">
        <v>4129</v>
      </c>
      <c r="AJ234">
        <v>530</v>
      </c>
      <c r="AK234" s="20" t="s">
        <v>1889</v>
      </c>
      <c r="AL234" s="20" t="s">
        <v>1890</v>
      </c>
      <c r="AM234" s="20" t="s">
        <v>1891</v>
      </c>
      <c r="AN234" s="20"/>
      <c r="AO234" s="20" t="s">
        <v>1108</v>
      </c>
      <c r="AP234">
        <v>1</v>
      </c>
      <c r="AQ234">
        <v>11</v>
      </c>
      <c r="AR234">
        <v>23</v>
      </c>
      <c r="AS234">
        <v>61</v>
      </c>
      <c r="AT234">
        <v>49</v>
      </c>
      <c r="AU234" s="27">
        <v>23497</v>
      </c>
      <c r="AV234" s="20"/>
      <c r="AW234" s="20"/>
      <c r="AX234" s="20"/>
      <c r="AY234" s="20"/>
    </row>
    <row r="235" spans="1:51">
      <c r="A235" s="27">
        <v>43466</v>
      </c>
      <c r="B235" s="20" t="s">
        <v>55</v>
      </c>
      <c r="C235" s="20" t="s">
        <v>1892</v>
      </c>
      <c r="D235">
        <v>18</v>
      </c>
      <c r="E235">
        <v>18</v>
      </c>
      <c r="F235">
        <v>210</v>
      </c>
      <c r="G235">
        <v>210</v>
      </c>
      <c r="H235" s="20" t="s">
        <v>1893</v>
      </c>
      <c r="I235" s="20" t="s">
        <v>935</v>
      </c>
      <c r="J235" s="20" t="s">
        <v>936</v>
      </c>
      <c r="K235" s="20" t="s">
        <v>937</v>
      </c>
      <c r="M235">
        <v>1191</v>
      </c>
      <c r="N235">
        <v>1191</v>
      </c>
      <c r="O235">
        <v>5666.5</v>
      </c>
      <c r="P235">
        <v>4.76</v>
      </c>
      <c r="R235">
        <v>2715</v>
      </c>
      <c r="S235">
        <v>2715</v>
      </c>
      <c r="T235">
        <v>464</v>
      </c>
      <c r="U235">
        <v>0.39800000000000002</v>
      </c>
      <c r="V235">
        <v>13</v>
      </c>
      <c r="W235">
        <v>0</v>
      </c>
      <c r="X235">
        <v>18</v>
      </c>
      <c r="Y235">
        <v>41803</v>
      </c>
      <c r="Z235">
        <v>510926</v>
      </c>
      <c r="AA235">
        <v>11.73</v>
      </c>
      <c r="AB235">
        <v>510926</v>
      </c>
      <c r="AC235">
        <v>11.73</v>
      </c>
      <c r="AD235">
        <v>103446</v>
      </c>
      <c r="AE235">
        <v>9657260</v>
      </c>
      <c r="AF235">
        <v>0.20250000000000001</v>
      </c>
      <c r="AG235">
        <v>231</v>
      </c>
      <c r="AH235">
        <v>13510289</v>
      </c>
      <c r="AI235">
        <v>2411</v>
      </c>
      <c r="AJ235">
        <v>595</v>
      </c>
      <c r="AK235" s="20" t="s">
        <v>1894</v>
      </c>
      <c r="AL235" s="20" t="s">
        <v>1662</v>
      </c>
      <c r="AM235" s="20" t="s">
        <v>1665</v>
      </c>
      <c r="AN235" s="20" t="s">
        <v>1223</v>
      </c>
      <c r="AO235" s="20" t="s">
        <v>963</v>
      </c>
      <c r="AP235">
        <v>3</v>
      </c>
      <c r="AQ235">
        <v>7</v>
      </c>
      <c r="AR235">
        <v>27</v>
      </c>
      <c r="AS235">
        <v>74</v>
      </c>
      <c r="AT235">
        <v>2</v>
      </c>
      <c r="AU235" s="27">
        <v>17915</v>
      </c>
      <c r="AV235" s="20"/>
      <c r="AW235" s="20"/>
      <c r="AX235" s="20"/>
      <c r="AY235" s="20"/>
    </row>
    <row r="236" spans="1:51">
      <c r="A236" s="27">
        <v>43466</v>
      </c>
      <c r="B236" s="20" t="s">
        <v>104</v>
      </c>
      <c r="C236" s="20" t="s">
        <v>1892</v>
      </c>
      <c r="D236">
        <v>19</v>
      </c>
      <c r="E236">
        <v>18</v>
      </c>
      <c r="F236">
        <v>372</v>
      </c>
      <c r="G236">
        <v>210</v>
      </c>
      <c r="H236" s="20" t="s">
        <v>1895</v>
      </c>
      <c r="I236" s="20" t="s">
        <v>935</v>
      </c>
      <c r="J236" s="20" t="s">
        <v>936</v>
      </c>
      <c r="K236" s="20" t="s">
        <v>937</v>
      </c>
      <c r="M236">
        <v>577</v>
      </c>
      <c r="N236">
        <v>578</v>
      </c>
      <c r="O236">
        <v>2720.5</v>
      </c>
      <c r="P236">
        <v>4.71</v>
      </c>
      <c r="R236">
        <v>1271</v>
      </c>
      <c r="S236">
        <v>1271</v>
      </c>
      <c r="T236">
        <v>244</v>
      </c>
      <c r="U236">
        <v>0.42599999999999999</v>
      </c>
      <c r="V236">
        <v>6</v>
      </c>
      <c r="W236">
        <v>0</v>
      </c>
      <c r="X236">
        <v>8</v>
      </c>
      <c r="Y236">
        <v>41803</v>
      </c>
      <c r="Z236">
        <v>258562</v>
      </c>
      <c r="AA236">
        <v>5.94</v>
      </c>
      <c r="AB236">
        <v>258562</v>
      </c>
      <c r="AC236">
        <v>5.94</v>
      </c>
      <c r="AD236">
        <v>43916</v>
      </c>
      <c r="AE236">
        <v>4497120</v>
      </c>
      <c r="AF236">
        <v>0.16980000000000001</v>
      </c>
      <c r="AG236">
        <v>214</v>
      </c>
      <c r="AH236">
        <v>6339520</v>
      </c>
      <c r="AI236">
        <v>2344</v>
      </c>
      <c r="AJ236">
        <v>542</v>
      </c>
      <c r="AK236" s="20" t="s">
        <v>1894</v>
      </c>
      <c r="AL236" s="20" t="s">
        <v>1662</v>
      </c>
      <c r="AM236" s="20" t="s">
        <v>1896</v>
      </c>
      <c r="AN236" s="20" t="s">
        <v>1897</v>
      </c>
      <c r="AO236" s="20" t="s">
        <v>963</v>
      </c>
      <c r="AP236">
        <v>3</v>
      </c>
      <c r="AQ236">
        <v>7</v>
      </c>
      <c r="AR236">
        <v>27</v>
      </c>
      <c r="AS236">
        <v>74</v>
      </c>
      <c r="AT236">
        <v>2</v>
      </c>
      <c r="AU236" s="27">
        <v>17929</v>
      </c>
      <c r="AV236" s="20" t="s">
        <v>1357</v>
      </c>
      <c r="AW236" s="20"/>
      <c r="AX236" s="20"/>
      <c r="AY236" s="20"/>
    </row>
    <row r="237" spans="1:51">
      <c r="A237" s="27">
        <v>43466</v>
      </c>
      <c r="B237" s="20" t="s">
        <v>195</v>
      </c>
      <c r="C237" s="20" t="s">
        <v>1546</v>
      </c>
      <c r="D237">
        <v>218</v>
      </c>
      <c r="E237">
        <v>139</v>
      </c>
      <c r="F237">
        <v>329</v>
      </c>
      <c r="G237">
        <v>253</v>
      </c>
      <c r="H237" s="20" t="s">
        <v>1898</v>
      </c>
      <c r="I237" s="20" t="s">
        <v>935</v>
      </c>
      <c r="J237" s="20" t="s">
        <v>936</v>
      </c>
      <c r="K237" s="20" t="s">
        <v>1080</v>
      </c>
      <c r="M237">
        <v>150</v>
      </c>
      <c r="N237">
        <v>150</v>
      </c>
      <c r="O237">
        <v>470</v>
      </c>
      <c r="P237">
        <v>3.13</v>
      </c>
      <c r="R237">
        <v>160</v>
      </c>
      <c r="S237">
        <v>160</v>
      </c>
      <c r="T237">
        <v>136</v>
      </c>
      <c r="U237">
        <v>0.91900000000000004</v>
      </c>
      <c r="V237">
        <v>1</v>
      </c>
      <c r="W237">
        <v>0</v>
      </c>
      <c r="X237">
        <v>1</v>
      </c>
      <c r="Y237">
        <v>20</v>
      </c>
      <c r="Z237">
        <v>12553</v>
      </c>
      <c r="AA237">
        <v>0.28999999999999998</v>
      </c>
      <c r="AB237">
        <v>12553</v>
      </c>
      <c r="AC237">
        <v>0.28999999999999998</v>
      </c>
      <c r="AD237">
        <v>6773</v>
      </c>
      <c r="AE237">
        <v>974866</v>
      </c>
      <c r="AF237">
        <v>0.53959999999999997</v>
      </c>
      <c r="AG237">
        <v>552</v>
      </c>
      <c r="AH237">
        <v>4855905</v>
      </c>
      <c r="AI237">
        <v>9568</v>
      </c>
      <c r="AJ237">
        <v>340</v>
      </c>
      <c r="AK237" s="20" t="s">
        <v>1899</v>
      </c>
      <c r="AL237" s="20" t="s">
        <v>984</v>
      </c>
      <c r="AM237" s="20" t="s">
        <v>1900</v>
      </c>
      <c r="AN237" s="20" t="s">
        <v>982</v>
      </c>
      <c r="AO237" s="20" t="s">
        <v>963</v>
      </c>
      <c r="AP237">
        <v>8</v>
      </c>
      <c r="AQ237">
        <v>12</v>
      </c>
      <c r="AR237">
        <v>28</v>
      </c>
      <c r="AS237">
        <v>76</v>
      </c>
      <c r="AT237">
        <v>5</v>
      </c>
      <c r="AU237" s="27">
        <v>27453</v>
      </c>
      <c r="AV237" s="20"/>
      <c r="AW237" s="20" t="s">
        <v>1081</v>
      </c>
      <c r="AX237" s="20"/>
      <c r="AY237" s="20"/>
    </row>
    <row r="238" spans="1:51">
      <c r="A238" s="27">
        <v>43466</v>
      </c>
      <c r="B238" s="20" t="s">
        <v>107</v>
      </c>
      <c r="C238" s="20" t="s">
        <v>1744</v>
      </c>
      <c r="D238">
        <v>241</v>
      </c>
      <c r="E238">
        <v>241</v>
      </c>
      <c r="F238">
        <v>346</v>
      </c>
      <c r="G238">
        <v>346</v>
      </c>
      <c r="H238" s="20" t="s">
        <v>1901</v>
      </c>
      <c r="I238" s="20" t="s">
        <v>935</v>
      </c>
      <c r="J238" s="20" t="s">
        <v>945</v>
      </c>
      <c r="K238" s="20" t="s">
        <v>937</v>
      </c>
      <c r="M238">
        <v>188</v>
      </c>
      <c r="N238">
        <v>189</v>
      </c>
      <c r="O238">
        <v>834</v>
      </c>
      <c r="P238">
        <v>4.4400000000000004</v>
      </c>
      <c r="R238">
        <v>421</v>
      </c>
      <c r="S238">
        <v>421</v>
      </c>
      <c r="T238">
        <v>70</v>
      </c>
      <c r="U238">
        <v>0.376</v>
      </c>
      <c r="V238">
        <v>1</v>
      </c>
      <c r="W238">
        <v>0</v>
      </c>
      <c r="X238">
        <v>2</v>
      </c>
      <c r="Y238">
        <v>8</v>
      </c>
      <c r="Z238">
        <v>64945</v>
      </c>
      <c r="AA238">
        <v>1.49</v>
      </c>
      <c r="AB238">
        <v>64945</v>
      </c>
      <c r="AC238">
        <v>1.49</v>
      </c>
      <c r="AD238">
        <v>22776</v>
      </c>
      <c r="AE238">
        <v>1802766</v>
      </c>
      <c r="AF238">
        <v>0.35070000000000001</v>
      </c>
      <c r="AG238">
        <v>283</v>
      </c>
      <c r="AH238">
        <v>5990000</v>
      </c>
      <c r="AI238">
        <v>7068</v>
      </c>
      <c r="AJ238">
        <v>565</v>
      </c>
      <c r="AK238" s="20" t="s">
        <v>1902</v>
      </c>
      <c r="AL238" s="20" t="s">
        <v>1903</v>
      </c>
      <c r="AM238" s="20" t="s">
        <v>1689</v>
      </c>
      <c r="AN238" s="20" t="s">
        <v>1219</v>
      </c>
      <c r="AO238" s="20" t="s">
        <v>963</v>
      </c>
      <c r="AP238">
        <v>11</v>
      </c>
      <c r="AQ238">
        <v>13</v>
      </c>
      <c r="AR238">
        <v>30</v>
      </c>
      <c r="AS238">
        <v>68</v>
      </c>
      <c r="AT238">
        <v>9</v>
      </c>
      <c r="AU238" s="27">
        <v>26815</v>
      </c>
      <c r="AV238" s="20"/>
      <c r="AW238" s="20"/>
      <c r="AX238" s="20"/>
      <c r="AY238" s="20"/>
    </row>
    <row r="239" spans="1:51">
      <c r="A239" s="27">
        <v>43466</v>
      </c>
      <c r="B239" s="20" t="s">
        <v>42</v>
      </c>
      <c r="C239" s="20" t="s">
        <v>1904</v>
      </c>
      <c r="D239">
        <v>135</v>
      </c>
      <c r="E239">
        <v>135</v>
      </c>
      <c r="F239">
        <v>227</v>
      </c>
      <c r="G239">
        <v>227</v>
      </c>
      <c r="H239" s="20" t="s">
        <v>1905</v>
      </c>
      <c r="I239" s="20" t="s">
        <v>935</v>
      </c>
      <c r="J239" s="20" t="s">
        <v>936</v>
      </c>
      <c r="K239" s="20" t="s">
        <v>937</v>
      </c>
      <c r="M239">
        <v>761</v>
      </c>
      <c r="N239">
        <v>763</v>
      </c>
      <c r="O239">
        <v>3575.5</v>
      </c>
      <c r="P239">
        <v>4.7</v>
      </c>
      <c r="R239">
        <v>1814</v>
      </c>
      <c r="S239">
        <v>1814</v>
      </c>
      <c r="T239">
        <v>323</v>
      </c>
      <c r="U239">
        <v>0.42799999999999999</v>
      </c>
      <c r="V239">
        <v>6</v>
      </c>
      <c r="W239">
        <v>0</v>
      </c>
      <c r="X239">
        <v>6</v>
      </c>
      <c r="Y239" t="s">
        <v>1906</v>
      </c>
      <c r="Z239">
        <v>340000</v>
      </c>
      <c r="AA239">
        <v>7.81</v>
      </c>
      <c r="AB239">
        <v>340000</v>
      </c>
      <c r="AC239">
        <v>7.81</v>
      </c>
      <c r="AD239">
        <v>52168</v>
      </c>
      <c r="AE239">
        <v>6754320</v>
      </c>
      <c r="AF239">
        <v>0.15340000000000001</v>
      </c>
      <c r="AG239">
        <v>232</v>
      </c>
      <c r="AH239">
        <v>14017427</v>
      </c>
      <c r="AI239">
        <v>3914</v>
      </c>
      <c r="AJ239">
        <v>526</v>
      </c>
      <c r="AK239" s="20" t="s">
        <v>1907</v>
      </c>
      <c r="AL239" s="20" t="s">
        <v>1908</v>
      </c>
      <c r="AM239" s="20" t="s">
        <v>978</v>
      </c>
      <c r="AN239" s="20" t="s">
        <v>1909</v>
      </c>
      <c r="AO239" s="20" t="s">
        <v>950</v>
      </c>
      <c r="AP239">
        <v>3</v>
      </c>
      <c r="AQ239">
        <v>8</v>
      </c>
      <c r="AR239">
        <v>18</v>
      </c>
      <c r="AS239" t="s">
        <v>1910</v>
      </c>
      <c r="AT239">
        <v>36</v>
      </c>
      <c r="AU239" s="27">
        <v>23650</v>
      </c>
      <c r="AV239" s="20"/>
      <c r="AW239" s="20" t="s">
        <v>1040</v>
      </c>
      <c r="AX239" s="20"/>
      <c r="AY239" s="20"/>
    </row>
    <row r="240" spans="1:51">
      <c r="A240" s="27">
        <v>43466</v>
      </c>
      <c r="B240" s="20" t="s">
        <v>148</v>
      </c>
      <c r="C240" s="20" t="s">
        <v>1904</v>
      </c>
      <c r="D240">
        <v>177</v>
      </c>
      <c r="E240">
        <v>135</v>
      </c>
      <c r="F240">
        <v>281</v>
      </c>
      <c r="G240">
        <v>227</v>
      </c>
      <c r="H240" s="20" t="s">
        <v>1911</v>
      </c>
      <c r="I240" s="20" t="s">
        <v>935</v>
      </c>
      <c r="J240" s="20" t="s">
        <v>936</v>
      </c>
      <c r="K240" s="20" t="s">
        <v>937</v>
      </c>
      <c r="M240">
        <v>342</v>
      </c>
      <c r="N240">
        <v>342</v>
      </c>
      <c r="O240">
        <v>1496</v>
      </c>
      <c r="P240">
        <v>4.37</v>
      </c>
      <c r="R240">
        <v>727</v>
      </c>
      <c r="S240">
        <v>727</v>
      </c>
      <c r="T240">
        <v>139</v>
      </c>
      <c r="U240">
        <v>0.41</v>
      </c>
      <c r="V240">
        <v>3</v>
      </c>
      <c r="W240">
        <v>0</v>
      </c>
      <c r="X240">
        <v>3</v>
      </c>
      <c r="Y240" t="s">
        <v>1520</v>
      </c>
      <c r="Z240">
        <v>146506</v>
      </c>
      <c r="AA240">
        <v>3.36</v>
      </c>
      <c r="AB240">
        <v>146506</v>
      </c>
      <c r="AC240">
        <v>3.36</v>
      </c>
      <c r="AD240">
        <v>24067</v>
      </c>
      <c r="AE240">
        <v>2801874</v>
      </c>
      <c r="AF240">
        <v>0.1643</v>
      </c>
      <c r="AG240">
        <v>216</v>
      </c>
      <c r="AH240">
        <v>6450218</v>
      </c>
      <c r="AI240">
        <v>4312</v>
      </c>
      <c r="AJ240">
        <v>538</v>
      </c>
      <c r="AK240" s="20" t="s">
        <v>1912</v>
      </c>
      <c r="AL240" s="20" t="s">
        <v>1909</v>
      </c>
      <c r="AM240" s="20" t="s">
        <v>1096</v>
      </c>
      <c r="AN240" s="20" t="s">
        <v>1908</v>
      </c>
      <c r="AO240" s="20" t="s">
        <v>950</v>
      </c>
      <c r="AP240">
        <v>3</v>
      </c>
      <c r="AQ240">
        <v>8</v>
      </c>
      <c r="AR240">
        <v>18</v>
      </c>
      <c r="AS240">
        <v>54</v>
      </c>
      <c r="AT240">
        <v>36</v>
      </c>
      <c r="AU240" s="27">
        <v>24472</v>
      </c>
      <c r="AV240" s="20"/>
      <c r="AW240" s="20"/>
      <c r="AX240" s="20"/>
      <c r="AY240" s="20"/>
    </row>
    <row r="241" spans="1:51">
      <c r="A241" s="27">
        <v>43466</v>
      </c>
      <c r="B241" s="20" t="s">
        <v>43</v>
      </c>
      <c r="C241" s="20" t="s">
        <v>1913</v>
      </c>
      <c r="D241">
        <v>99</v>
      </c>
      <c r="E241">
        <v>99</v>
      </c>
      <c r="F241">
        <v>439</v>
      </c>
      <c r="G241">
        <v>439</v>
      </c>
      <c r="H241" s="20" t="s">
        <v>1914</v>
      </c>
      <c r="I241" s="20" t="s">
        <v>1031</v>
      </c>
      <c r="J241" s="20" t="s">
        <v>936</v>
      </c>
      <c r="K241" s="20" t="s">
        <v>937</v>
      </c>
      <c r="L241">
        <v>102</v>
      </c>
      <c r="M241">
        <v>721</v>
      </c>
      <c r="N241">
        <v>721</v>
      </c>
      <c r="O241">
        <v>3358.5</v>
      </c>
      <c r="P241">
        <v>4.66</v>
      </c>
      <c r="Q241">
        <v>26</v>
      </c>
      <c r="R241">
        <v>1325</v>
      </c>
      <c r="S241">
        <v>1585</v>
      </c>
      <c r="T241">
        <v>343</v>
      </c>
      <c r="U241">
        <v>0.48</v>
      </c>
      <c r="V241">
        <v>5</v>
      </c>
      <c r="W241">
        <v>0</v>
      </c>
      <c r="X241">
        <v>5</v>
      </c>
      <c r="Y241">
        <v>20</v>
      </c>
      <c r="Z241">
        <v>227341</v>
      </c>
      <c r="AA241">
        <v>5.22</v>
      </c>
      <c r="AB241">
        <v>227341</v>
      </c>
      <c r="AC241">
        <v>5.22</v>
      </c>
      <c r="AD241">
        <v>39355</v>
      </c>
      <c r="AE241">
        <v>5936573</v>
      </c>
      <c r="AF241">
        <v>0.1731</v>
      </c>
      <c r="AG241">
        <v>304</v>
      </c>
      <c r="AH241">
        <v>14090000</v>
      </c>
      <c r="AI241">
        <v>4277</v>
      </c>
      <c r="AJ241">
        <v>544</v>
      </c>
      <c r="AK241" s="20" t="s">
        <v>1605</v>
      </c>
      <c r="AL241" s="20" t="s">
        <v>1915</v>
      </c>
      <c r="AM241" s="20" t="s">
        <v>1603</v>
      </c>
      <c r="AN241" s="20" t="s">
        <v>1602</v>
      </c>
      <c r="AO241" s="20" t="s">
        <v>963</v>
      </c>
      <c r="AP241">
        <v>3</v>
      </c>
      <c r="AQ241">
        <v>7</v>
      </c>
      <c r="AR241">
        <v>26</v>
      </c>
      <c r="AS241">
        <v>65</v>
      </c>
      <c r="AT241">
        <v>1</v>
      </c>
      <c r="AU241" s="27">
        <v>23832</v>
      </c>
      <c r="AV241" s="20"/>
      <c r="AW241" s="20"/>
      <c r="AX241" s="20"/>
      <c r="AY241" s="20"/>
    </row>
    <row r="242" spans="1:51">
      <c r="A242" s="27">
        <v>43466</v>
      </c>
      <c r="B242" s="20" t="s">
        <v>216</v>
      </c>
      <c r="C242" s="20" t="s">
        <v>943</v>
      </c>
      <c r="D242">
        <v>282</v>
      </c>
      <c r="E242">
        <v>167</v>
      </c>
      <c r="F242">
        <v>508</v>
      </c>
      <c r="G242">
        <v>283</v>
      </c>
      <c r="H242" s="20" t="s">
        <v>1916</v>
      </c>
      <c r="I242" s="20" t="s">
        <v>935</v>
      </c>
      <c r="J242" s="20" t="s">
        <v>936</v>
      </c>
      <c r="K242" s="20" t="s">
        <v>953</v>
      </c>
      <c r="M242">
        <v>60</v>
      </c>
      <c r="N242">
        <v>61</v>
      </c>
      <c r="O242">
        <v>218</v>
      </c>
      <c r="P242">
        <v>3.63</v>
      </c>
      <c r="R242">
        <v>100</v>
      </c>
      <c r="S242">
        <v>100</v>
      </c>
      <c r="T242">
        <v>29</v>
      </c>
      <c r="U242">
        <v>0.49199999999999999</v>
      </c>
      <c r="V242">
        <v>1</v>
      </c>
      <c r="W242">
        <v>0</v>
      </c>
      <c r="X242">
        <v>1</v>
      </c>
      <c r="Y242">
        <v>6</v>
      </c>
      <c r="Z242">
        <v>19400</v>
      </c>
      <c r="AA242">
        <v>0.45</v>
      </c>
      <c r="AB242">
        <v>19400</v>
      </c>
      <c r="AC242">
        <v>0.45</v>
      </c>
      <c r="AD242">
        <v>13470</v>
      </c>
      <c r="AE242">
        <v>642963</v>
      </c>
      <c r="AF242">
        <v>0.69430000000000003</v>
      </c>
      <c r="AG242">
        <v>222</v>
      </c>
      <c r="AH242">
        <v>1594181</v>
      </c>
      <c r="AI242">
        <v>6727</v>
      </c>
      <c r="AJ242">
        <v>502</v>
      </c>
      <c r="AK242" s="20" t="s">
        <v>1467</v>
      </c>
      <c r="AL242" s="20" t="s">
        <v>1917</v>
      </c>
      <c r="AM242" s="20" t="s">
        <v>1549</v>
      </c>
      <c r="AN242" s="20" t="s">
        <v>1918</v>
      </c>
      <c r="AO242" s="20" t="s">
        <v>950</v>
      </c>
      <c r="AP242">
        <v>17</v>
      </c>
      <c r="AQ242">
        <v>9</v>
      </c>
      <c r="AR242">
        <v>20</v>
      </c>
      <c r="AS242">
        <v>58</v>
      </c>
      <c r="AT242">
        <v>41</v>
      </c>
      <c r="AU242" s="27">
        <v>28262</v>
      </c>
      <c r="AV242" s="20"/>
      <c r="AW242" s="20"/>
      <c r="AX242" s="20"/>
      <c r="AY242" s="20"/>
    </row>
    <row r="243" spans="1:51">
      <c r="A243" s="27">
        <v>43466</v>
      </c>
      <c r="B243" s="20" t="s">
        <v>253</v>
      </c>
      <c r="C243" s="20" t="s">
        <v>1274</v>
      </c>
      <c r="D243">
        <v>280</v>
      </c>
      <c r="E243">
        <v>280</v>
      </c>
      <c r="F243">
        <v>506</v>
      </c>
      <c r="G243">
        <v>506</v>
      </c>
      <c r="H243" s="20" t="s">
        <v>1919</v>
      </c>
      <c r="I243" s="20" t="s">
        <v>935</v>
      </c>
      <c r="J243" s="20" t="s">
        <v>936</v>
      </c>
      <c r="K243" s="20" t="s">
        <v>953</v>
      </c>
      <c r="M243">
        <v>411</v>
      </c>
      <c r="N243">
        <v>413</v>
      </c>
      <c r="O243">
        <v>1891.5</v>
      </c>
      <c r="P243">
        <v>4.5999999999999996</v>
      </c>
      <c r="R243">
        <v>864</v>
      </c>
      <c r="S243">
        <v>864</v>
      </c>
      <c r="T243">
        <v>166</v>
      </c>
      <c r="U243">
        <v>0.40899999999999997</v>
      </c>
      <c r="V243">
        <v>7</v>
      </c>
      <c r="W243">
        <v>1</v>
      </c>
      <c r="X243">
        <v>8</v>
      </c>
      <c r="Y243">
        <v>6</v>
      </c>
      <c r="Z243">
        <v>226969</v>
      </c>
      <c r="AA243">
        <v>5.21</v>
      </c>
      <c r="AB243">
        <v>226969</v>
      </c>
      <c r="AC243">
        <v>5.21</v>
      </c>
      <c r="AD243">
        <v>63056</v>
      </c>
      <c r="AE243">
        <v>3782352</v>
      </c>
      <c r="AF243">
        <v>0.27779999999999999</v>
      </c>
      <c r="AG243">
        <v>166</v>
      </c>
      <c r="AH243">
        <v>8699894</v>
      </c>
      <c r="AI243">
        <v>4528</v>
      </c>
      <c r="AJ243">
        <v>573</v>
      </c>
      <c r="AK243" s="20" t="s">
        <v>1920</v>
      </c>
      <c r="AL243" s="20" t="s">
        <v>1733</v>
      </c>
      <c r="AM243" s="20" t="s">
        <v>1278</v>
      </c>
      <c r="AN243" s="20" t="s">
        <v>1921</v>
      </c>
      <c r="AO243" s="20" t="s">
        <v>942</v>
      </c>
      <c r="AP243">
        <v>9</v>
      </c>
      <c r="AQ243">
        <v>15</v>
      </c>
      <c r="AR243">
        <v>34</v>
      </c>
      <c r="AS243">
        <v>85</v>
      </c>
      <c r="AT243">
        <v>18</v>
      </c>
      <c r="AU243" s="27">
        <v>28257</v>
      </c>
      <c r="AV243" s="20"/>
      <c r="AW243" s="20"/>
      <c r="AX243" s="20"/>
      <c r="AY243" s="20"/>
    </row>
    <row r="244" spans="1:51">
      <c r="A244" s="27">
        <v>43466</v>
      </c>
      <c r="B244" s="20" t="s">
        <v>123</v>
      </c>
      <c r="C244" s="20" t="s">
        <v>1922</v>
      </c>
      <c r="D244">
        <v>93</v>
      </c>
      <c r="E244">
        <v>93</v>
      </c>
      <c r="F244">
        <v>673</v>
      </c>
      <c r="G244">
        <v>673</v>
      </c>
      <c r="H244" s="20" t="s">
        <v>1923</v>
      </c>
      <c r="I244" s="20" t="s">
        <v>1031</v>
      </c>
      <c r="J244" s="20" t="s">
        <v>936</v>
      </c>
      <c r="K244" s="20" t="s">
        <v>937</v>
      </c>
      <c r="L244">
        <v>210</v>
      </c>
      <c r="M244">
        <v>1005</v>
      </c>
      <c r="N244">
        <v>1007</v>
      </c>
      <c r="O244">
        <v>4523.5</v>
      </c>
      <c r="P244">
        <v>4.5</v>
      </c>
      <c r="Q244">
        <v>539</v>
      </c>
      <c r="R244">
        <v>1760</v>
      </c>
      <c r="S244">
        <v>2299</v>
      </c>
      <c r="T244">
        <v>344</v>
      </c>
      <c r="U244">
        <v>0.34699999999999998</v>
      </c>
      <c r="V244">
        <v>6</v>
      </c>
      <c r="W244">
        <v>0</v>
      </c>
      <c r="X244">
        <v>6</v>
      </c>
      <c r="Y244">
        <v>21</v>
      </c>
      <c r="Z244">
        <v>588851</v>
      </c>
      <c r="AA244">
        <v>13.52</v>
      </c>
      <c r="AB244">
        <v>545801</v>
      </c>
      <c r="AC244">
        <v>12.53</v>
      </c>
      <c r="AD244">
        <v>57006</v>
      </c>
      <c r="AE244">
        <v>8922933</v>
      </c>
      <c r="AF244">
        <v>9.6799999999999997E-2</v>
      </c>
      <c r="AG244">
        <v>170</v>
      </c>
      <c r="AH244">
        <v>16351823</v>
      </c>
      <c r="AI244">
        <v>3607</v>
      </c>
      <c r="AJ244">
        <v>512</v>
      </c>
      <c r="AK244" s="20" t="s">
        <v>1924</v>
      </c>
      <c r="AL244" s="20" t="s">
        <v>1584</v>
      </c>
      <c r="AM244" s="20" t="s">
        <v>1010</v>
      </c>
      <c r="AN244" s="20" t="s">
        <v>1450</v>
      </c>
      <c r="AO244" s="20" t="s">
        <v>942</v>
      </c>
      <c r="AP244">
        <v>1</v>
      </c>
      <c r="AQ244">
        <v>15</v>
      </c>
      <c r="AR244" t="s">
        <v>1925</v>
      </c>
      <c r="AS244" t="s">
        <v>1710</v>
      </c>
      <c r="AT244">
        <v>17</v>
      </c>
      <c r="AU244" s="27">
        <v>21670</v>
      </c>
      <c r="AV244" s="20"/>
      <c r="AW244" s="20"/>
      <c r="AX244" s="20"/>
      <c r="AY244" s="20"/>
    </row>
    <row r="245" spans="1:51">
      <c r="A245" s="27">
        <v>43466</v>
      </c>
      <c r="B245" s="20" t="s">
        <v>136</v>
      </c>
      <c r="C245" s="20" t="s">
        <v>1926</v>
      </c>
      <c r="D245">
        <v>38</v>
      </c>
      <c r="E245">
        <v>38</v>
      </c>
      <c r="F245">
        <v>211</v>
      </c>
      <c r="G245">
        <v>211</v>
      </c>
      <c r="H245" s="20" t="s">
        <v>1927</v>
      </c>
      <c r="I245" s="20" t="s">
        <v>935</v>
      </c>
      <c r="J245" s="20" t="s">
        <v>936</v>
      </c>
      <c r="K245" s="20" t="s">
        <v>937</v>
      </c>
      <c r="M245">
        <v>1525</v>
      </c>
      <c r="N245">
        <v>1526</v>
      </c>
      <c r="O245">
        <v>7109.5</v>
      </c>
      <c r="P245">
        <v>4.66</v>
      </c>
      <c r="R245">
        <v>3426</v>
      </c>
      <c r="S245">
        <v>3426</v>
      </c>
      <c r="T245">
        <v>533</v>
      </c>
      <c r="U245">
        <v>0.35799999999999998</v>
      </c>
      <c r="V245">
        <v>13</v>
      </c>
      <c r="W245">
        <v>0</v>
      </c>
      <c r="X245">
        <v>14</v>
      </c>
      <c r="Y245">
        <v>14</v>
      </c>
      <c r="Z245">
        <v>680670</v>
      </c>
      <c r="AA245">
        <v>15.63</v>
      </c>
      <c r="AB245">
        <v>625559</v>
      </c>
      <c r="AC245">
        <v>14.36</v>
      </c>
      <c r="AD245">
        <v>105458</v>
      </c>
      <c r="AE245">
        <v>13112212</v>
      </c>
      <c r="AF245">
        <v>0.15490000000000001</v>
      </c>
      <c r="AG245">
        <v>219</v>
      </c>
      <c r="AH245">
        <v>20560063</v>
      </c>
      <c r="AI245">
        <v>2891</v>
      </c>
      <c r="AJ245">
        <v>529</v>
      </c>
      <c r="AK245" s="20" t="s">
        <v>1928</v>
      </c>
      <c r="AL245" s="20" t="s">
        <v>1351</v>
      </c>
      <c r="AM245" s="20" t="s">
        <v>1350</v>
      </c>
      <c r="AN245" s="20" t="s">
        <v>1929</v>
      </c>
      <c r="AO245" s="20" t="s">
        <v>963</v>
      </c>
      <c r="AP245">
        <v>10</v>
      </c>
      <c r="AQ245">
        <v>13</v>
      </c>
      <c r="AR245">
        <v>30</v>
      </c>
      <c r="AS245">
        <v>70</v>
      </c>
      <c r="AT245">
        <v>9</v>
      </c>
      <c r="AU245" s="27">
        <v>19997</v>
      </c>
      <c r="AV245" s="20"/>
      <c r="AW245" s="20"/>
      <c r="AX245" s="20"/>
      <c r="AY245" s="20"/>
    </row>
    <row r="246" spans="1:51">
      <c r="A246" s="27">
        <v>43466</v>
      </c>
      <c r="B246" s="20" t="s">
        <v>95</v>
      </c>
      <c r="C246" s="20" t="s">
        <v>1930</v>
      </c>
      <c r="D246">
        <v>377</v>
      </c>
      <c r="E246">
        <v>377</v>
      </c>
      <c r="F246">
        <v>650</v>
      </c>
      <c r="G246">
        <v>650</v>
      </c>
      <c r="H246" s="20" t="s">
        <v>1931</v>
      </c>
      <c r="I246" s="20" t="s">
        <v>1031</v>
      </c>
      <c r="J246" s="20" t="s">
        <v>936</v>
      </c>
      <c r="K246" s="20" t="s">
        <v>953</v>
      </c>
      <c r="L246">
        <v>105</v>
      </c>
      <c r="M246">
        <v>664</v>
      </c>
      <c r="N246">
        <v>664</v>
      </c>
      <c r="O246">
        <v>2824</v>
      </c>
      <c r="P246">
        <v>4.25</v>
      </c>
      <c r="Q246">
        <v>241</v>
      </c>
      <c r="R246">
        <v>1171</v>
      </c>
      <c r="S246">
        <v>1412</v>
      </c>
      <c r="T246">
        <v>173</v>
      </c>
      <c r="U246">
        <v>0.26500000000000001</v>
      </c>
      <c r="V246">
        <v>40</v>
      </c>
      <c r="W246">
        <v>2</v>
      </c>
      <c r="X246">
        <v>43</v>
      </c>
      <c r="Y246">
        <v>39208</v>
      </c>
      <c r="Z246">
        <v>201872</v>
      </c>
      <c r="AA246">
        <v>4.63</v>
      </c>
      <c r="AB246">
        <v>201872</v>
      </c>
      <c r="AC246">
        <v>4.63</v>
      </c>
      <c r="AD246">
        <v>116528</v>
      </c>
      <c r="AE246">
        <v>7142241</v>
      </c>
      <c r="AF246">
        <v>0.57720000000000005</v>
      </c>
      <c r="AG246">
        <v>305</v>
      </c>
      <c r="AH246">
        <v>0</v>
      </c>
      <c r="AJ246">
        <v>660</v>
      </c>
      <c r="AK246" s="20" t="s">
        <v>1591</v>
      </c>
      <c r="AL246" s="20" t="s">
        <v>1932</v>
      </c>
      <c r="AM246" s="20" t="s">
        <v>1933</v>
      </c>
      <c r="AN246" s="20" t="s">
        <v>1934</v>
      </c>
      <c r="AO246" s="20" t="s">
        <v>963</v>
      </c>
      <c r="AP246">
        <v>10</v>
      </c>
      <c r="AQ246">
        <v>13</v>
      </c>
      <c r="AR246">
        <v>30</v>
      </c>
      <c r="AS246" t="s">
        <v>1935</v>
      </c>
      <c r="AT246">
        <v>9</v>
      </c>
      <c r="AU246" s="27">
        <v>34577</v>
      </c>
      <c r="AV246" s="20"/>
      <c r="AW246" s="20"/>
      <c r="AX246" s="20" t="s">
        <v>974</v>
      </c>
      <c r="AY246" s="20"/>
    </row>
    <row r="247" spans="1:51">
      <c r="A247" s="27">
        <v>43466</v>
      </c>
      <c r="B247" s="20" t="s">
        <v>358</v>
      </c>
      <c r="C247" s="20" t="s">
        <v>1881</v>
      </c>
      <c r="D247">
        <v>389</v>
      </c>
      <c r="E247">
        <v>359</v>
      </c>
      <c r="F247">
        <v>847</v>
      </c>
      <c r="G247">
        <v>847</v>
      </c>
      <c r="H247" s="20" t="s">
        <v>1936</v>
      </c>
      <c r="I247" s="20" t="s">
        <v>1937</v>
      </c>
      <c r="J247" s="20" t="s">
        <v>936</v>
      </c>
      <c r="K247" s="20" t="s">
        <v>953</v>
      </c>
      <c r="M247">
        <v>24</v>
      </c>
      <c r="N247">
        <v>53</v>
      </c>
      <c r="O247">
        <v>108</v>
      </c>
      <c r="P247">
        <v>4.5</v>
      </c>
      <c r="R247">
        <v>38</v>
      </c>
      <c r="S247">
        <v>38</v>
      </c>
      <c r="T247">
        <v>10</v>
      </c>
      <c r="U247">
        <v>0.41699999999999998</v>
      </c>
      <c r="V247">
        <v>5</v>
      </c>
      <c r="W247">
        <v>0</v>
      </c>
      <c r="X247">
        <v>5</v>
      </c>
      <c r="Y247">
        <v>5</v>
      </c>
      <c r="Z247">
        <v>13819</v>
      </c>
      <c r="AA247">
        <v>0.32</v>
      </c>
      <c r="AB247">
        <v>13819</v>
      </c>
      <c r="AC247">
        <v>0.32</v>
      </c>
      <c r="AD247">
        <v>11274</v>
      </c>
      <c r="AE247">
        <v>607774</v>
      </c>
      <c r="AF247">
        <v>0.81579999999999997</v>
      </c>
      <c r="AG247">
        <v>119</v>
      </c>
      <c r="AH247">
        <v>4630200</v>
      </c>
      <c r="AI247">
        <v>19661</v>
      </c>
      <c r="AJ247">
        <v>800</v>
      </c>
      <c r="AK247" s="20" t="s">
        <v>1932</v>
      </c>
      <c r="AL247" s="20" t="s">
        <v>1934</v>
      </c>
      <c r="AM247" s="20" t="s">
        <v>1348</v>
      </c>
      <c r="AN247" s="20" t="s">
        <v>1591</v>
      </c>
      <c r="AO247" s="20" t="s">
        <v>963</v>
      </c>
      <c r="AP247">
        <v>10</v>
      </c>
      <c r="AQ247">
        <v>13</v>
      </c>
      <c r="AR247">
        <v>30</v>
      </c>
      <c r="AS247">
        <v>70</v>
      </c>
      <c r="AT247">
        <v>9</v>
      </c>
      <c r="AU247" s="27">
        <v>34365</v>
      </c>
      <c r="AV247" s="20"/>
      <c r="AW247" s="20"/>
      <c r="AX247" s="20" t="s">
        <v>974</v>
      </c>
      <c r="AY247" s="20" t="s">
        <v>974</v>
      </c>
    </row>
    <row r="248" spans="1:51">
      <c r="A248" s="27">
        <v>43466</v>
      </c>
      <c r="B248" s="20" t="s">
        <v>359</v>
      </c>
      <c r="C248" s="20" t="s">
        <v>1881</v>
      </c>
      <c r="D248">
        <v>398</v>
      </c>
      <c r="E248">
        <v>359</v>
      </c>
      <c r="F248">
        <v>871</v>
      </c>
      <c r="G248">
        <v>871</v>
      </c>
      <c r="H248" s="20" t="s">
        <v>1938</v>
      </c>
      <c r="I248" s="20" t="s">
        <v>1937</v>
      </c>
      <c r="J248" s="20" t="s">
        <v>936</v>
      </c>
      <c r="K248" s="20" t="s">
        <v>953</v>
      </c>
      <c r="M248">
        <v>4</v>
      </c>
      <c r="N248">
        <v>10</v>
      </c>
      <c r="O248">
        <v>20</v>
      </c>
      <c r="P248">
        <v>5</v>
      </c>
      <c r="R248">
        <v>12</v>
      </c>
      <c r="S248">
        <v>12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5</v>
      </c>
      <c r="Z248">
        <v>3098</v>
      </c>
      <c r="AA248">
        <v>7.0000000000000007E-2</v>
      </c>
      <c r="AB248">
        <v>3098</v>
      </c>
      <c r="AC248">
        <v>7.0000000000000007E-2</v>
      </c>
      <c r="AD248">
        <v>2326</v>
      </c>
      <c r="AE248">
        <v>114675</v>
      </c>
      <c r="AF248">
        <v>0.75080000000000002</v>
      </c>
      <c r="AG248">
        <v>171</v>
      </c>
      <c r="AH248">
        <v>967700</v>
      </c>
      <c r="AI248">
        <v>20160</v>
      </c>
      <c r="AJ248">
        <v>1036</v>
      </c>
      <c r="AK248" s="20" t="s">
        <v>1934</v>
      </c>
      <c r="AL248" s="20" t="s">
        <v>1932</v>
      </c>
      <c r="AM248" s="20" t="s">
        <v>1591</v>
      </c>
      <c r="AN248" s="20"/>
      <c r="AO248" s="20" t="s">
        <v>963</v>
      </c>
      <c r="AP248">
        <v>10</v>
      </c>
      <c r="AQ248">
        <v>13</v>
      </c>
      <c r="AR248">
        <v>30</v>
      </c>
      <c r="AS248">
        <v>70</v>
      </c>
      <c r="AT248">
        <v>9</v>
      </c>
      <c r="AU248" s="27">
        <v>34181</v>
      </c>
      <c r="AV248" s="20"/>
      <c r="AW248" s="20"/>
      <c r="AX248" s="20" t="s">
        <v>974</v>
      </c>
      <c r="AY248" s="20" t="s">
        <v>974</v>
      </c>
    </row>
    <row r="249" spans="1:51">
      <c r="A249" s="27">
        <v>43466</v>
      </c>
      <c r="B249" s="20" t="s">
        <v>360</v>
      </c>
      <c r="C249" s="20" t="s">
        <v>1881</v>
      </c>
      <c r="D249">
        <v>399</v>
      </c>
      <c r="E249">
        <v>359</v>
      </c>
      <c r="F249">
        <v>483</v>
      </c>
      <c r="G249">
        <v>483</v>
      </c>
      <c r="H249" s="20" t="s">
        <v>1939</v>
      </c>
      <c r="I249" s="20" t="s">
        <v>1937</v>
      </c>
      <c r="J249" s="20" t="s">
        <v>936</v>
      </c>
      <c r="K249" s="20" t="s">
        <v>953</v>
      </c>
      <c r="M249">
        <v>1</v>
      </c>
      <c r="N249">
        <v>10</v>
      </c>
      <c r="O249">
        <v>4.5</v>
      </c>
      <c r="P249">
        <v>4.5</v>
      </c>
      <c r="R249">
        <v>3</v>
      </c>
      <c r="S249">
        <v>3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5</v>
      </c>
      <c r="Z249">
        <v>5396</v>
      </c>
      <c r="AA249">
        <v>0.12</v>
      </c>
      <c r="AB249">
        <v>5396</v>
      </c>
      <c r="AC249">
        <v>0.12</v>
      </c>
      <c r="AD249">
        <v>1599</v>
      </c>
      <c r="AE249">
        <v>114675</v>
      </c>
      <c r="AF249">
        <v>0.29630000000000001</v>
      </c>
      <c r="AG249">
        <v>25</v>
      </c>
      <c r="AH249">
        <v>887005</v>
      </c>
      <c r="AI249">
        <v>20159</v>
      </c>
      <c r="AJ249">
        <v>1431</v>
      </c>
      <c r="AK249" s="20" t="s">
        <v>1934</v>
      </c>
      <c r="AL249" s="20" t="s">
        <v>1940</v>
      </c>
      <c r="AM249" s="20" t="s">
        <v>1591</v>
      </c>
      <c r="AN249" s="20"/>
      <c r="AO249" s="20" t="s">
        <v>963</v>
      </c>
      <c r="AP249">
        <v>10</v>
      </c>
      <c r="AQ249">
        <v>13</v>
      </c>
      <c r="AR249">
        <v>30</v>
      </c>
      <c r="AS249">
        <v>71</v>
      </c>
      <c r="AT249">
        <v>9</v>
      </c>
      <c r="AU249" s="27">
        <v>34880</v>
      </c>
      <c r="AV249" s="20"/>
      <c r="AW249" s="20"/>
      <c r="AX249" s="20" t="s">
        <v>974</v>
      </c>
      <c r="AY249" s="20" t="s">
        <v>974</v>
      </c>
    </row>
    <row r="250" spans="1:51">
      <c r="A250" s="27">
        <v>43466</v>
      </c>
      <c r="B250" s="20" t="s">
        <v>254</v>
      </c>
      <c r="C250" s="20" t="s">
        <v>1772</v>
      </c>
      <c r="D250">
        <v>158</v>
      </c>
      <c r="E250">
        <v>162</v>
      </c>
      <c r="F250">
        <v>274</v>
      </c>
      <c r="G250">
        <v>269</v>
      </c>
      <c r="H250" s="20" t="s">
        <v>1941</v>
      </c>
      <c r="I250" s="20" t="s">
        <v>935</v>
      </c>
      <c r="J250" s="20" t="s">
        <v>936</v>
      </c>
      <c r="K250" s="20" t="s">
        <v>937</v>
      </c>
      <c r="M250">
        <v>125</v>
      </c>
      <c r="N250">
        <v>125</v>
      </c>
      <c r="O250">
        <v>562.5</v>
      </c>
      <c r="P250">
        <v>4.5</v>
      </c>
      <c r="R250">
        <v>298</v>
      </c>
      <c r="S250">
        <v>298</v>
      </c>
      <c r="T250">
        <v>42</v>
      </c>
      <c r="U250">
        <v>0.33600000000000002</v>
      </c>
      <c r="V250">
        <v>1</v>
      </c>
      <c r="W250">
        <v>0</v>
      </c>
      <c r="X250">
        <v>1</v>
      </c>
      <c r="Y250">
        <v>16</v>
      </c>
      <c r="Z250">
        <v>54935</v>
      </c>
      <c r="AA250">
        <v>1.26</v>
      </c>
      <c r="AB250">
        <v>54935</v>
      </c>
      <c r="AC250">
        <v>1.26</v>
      </c>
      <c r="AD250">
        <v>6911</v>
      </c>
      <c r="AE250">
        <v>1037975</v>
      </c>
      <c r="AF250">
        <v>0.1258</v>
      </c>
      <c r="AG250">
        <v>237</v>
      </c>
      <c r="AH250">
        <v>2334676</v>
      </c>
      <c r="AI250">
        <v>4147</v>
      </c>
      <c r="AJ250">
        <v>613</v>
      </c>
      <c r="AK250" s="20" t="s">
        <v>1776</v>
      </c>
      <c r="AL250" s="20" t="s">
        <v>1942</v>
      </c>
      <c r="AM250" s="20" t="s">
        <v>1202</v>
      </c>
      <c r="AN250" s="20"/>
      <c r="AO250" s="20" t="s">
        <v>950</v>
      </c>
      <c r="AP250">
        <v>16</v>
      </c>
      <c r="AQ250">
        <v>8</v>
      </c>
      <c r="AR250">
        <v>18</v>
      </c>
      <c r="AS250">
        <v>55</v>
      </c>
      <c r="AT250">
        <v>41</v>
      </c>
      <c r="AU250" s="27">
        <v>24472</v>
      </c>
      <c r="AV250" s="20"/>
      <c r="AW250" s="20"/>
      <c r="AX250" s="20"/>
      <c r="AY250" s="20"/>
    </row>
    <row r="251" spans="1:51">
      <c r="A251" s="27">
        <v>43466</v>
      </c>
      <c r="B251" s="20" t="s">
        <v>361</v>
      </c>
      <c r="C251" s="20" t="s">
        <v>1943</v>
      </c>
      <c r="D251">
        <v>45</v>
      </c>
      <c r="E251">
        <v>45</v>
      </c>
      <c r="F251">
        <v>368</v>
      </c>
      <c r="G251">
        <v>368</v>
      </c>
      <c r="H251" s="20" t="s">
        <v>1944</v>
      </c>
      <c r="I251" s="20" t="s">
        <v>935</v>
      </c>
      <c r="J251" s="20" t="s">
        <v>936</v>
      </c>
      <c r="K251" s="20" t="s">
        <v>937</v>
      </c>
      <c r="M251">
        <v>783</v>
      </c>
      <c r="N251">
        <v>786</v>
      </c>
      <c r="O251">
        <v>3316.5</v>
      </c>
      <c r="P251">
        <v>4.24</v>
      </c>
      <c r="R251">
        <v>1457</v>
      </c>
      <c r="S251">
        <v>1457</v>
      </c>
      <c r="T251">
        <v>341</v>
      </c>
      <c r="U251">
        <v>0.439</v>
      </c>
      <c r="V251">
        <v>7</v>
      </c>
      <c r="W251">
        <v>0</v>
      </c>
      <c r="X251">
        <v>7</v>
      </c>
      <c r="Y251" t="s">
        <v>1520</v>
      </c>
      <c r="Z251">
        <v>319008</v>
      </c>
      <c r="AA251">
        <v>7.32</v>
      </c>
      <c r="AB251">
        <v>319008</v>
      </c>
      <c r="AC251">
        <v>7.32</v>
      </c>
      <c r="AD251">
        <v>59598</v>
      </c>
      <c r="AE251">
        <v>6642484</v>
      </c>
      <c r="AF251">
        <v>0.18679999999999999</v>
      </c>
      <c r="AG251">
        <v>199</v>
      </c>
      <c r="AH251">
        <v>8397841</v>
      </c>
      <c r="AI251">
        <v>2529</v>
      </c>
      <c r="AJ251">
        <v>491</v>
      </c>
      <c r="AK251" s="20" t="s">
        <v>1945</v>
      </c>
      <c r="AL251" s="20" t="s">
        <v>1946</v>
      </c>
      <c r="AM251" s="20" t="s">
        <v>1544</v>
      </c>
      <c r="AN251" s="20"/>
      <c r="AO251" s="20" t="s">
        <v>942</v>
      </c>
      <c r="AP251">
        <v>5</v>
      </c>
      <c r="AQ251">
        <v>13</v>
      </c>
      <c r="AR251">
        <v>29</v>
      </c>
      <c r="AS251">
        <v>77</v>
      </c>
      <c r="AT251">
        <v>16</v>
      </c>
      <c r="AU251" s="27">
        <v>18710</v>
      </c>
      <c r="AV251" s="20" t="s">
        <v>1357</v>
      </c>
      <c r="AW251" s="20"/>
      <c r="AX251" s="20"/>
      <c r="AY251" s="20"/>
    </row>
    <row r="252" spans="1:51">
      <c r="A252" s="27">
        <v>43466</v>
      </c>
      <c r="B252" s="20" t="s">
        <v>65</v>
      </c>
      <c r="C252" s="20" t="s">
        <v>992</v>
      </c>
      <c r="D252">
        <v>192</v>
      </c>
      <c r="E252">
        <v>100</v>
      </c>
      <c r="F252">
        <v>312</v>
      </c>
      <c r="G252">
        <v>312</v>
      </c>
      <c r="H252" s="20" t="s">
        <v>1947</v>
      </c>
      <c r="I252" s="20" t="s">
        <v>935</v>
      </c>
      <c r="J252" s="20" t="s">
        <v>936</v>
      </c>
      <c r="K252" s="20" t="s">
        <v>937</v>
      </c>
      <c r="M252">
        <v>360</v>
      </c>
      <c r="N252">
        <v>360</v>
      </c>
      <c r="O252">
        <v>1591</v>
      </c>
      <c r="P252">
        <v>4.42</v>
      </c>
      <c r="R252">
        <v>796</v>
      </c>
      <c r="S252">
        <v>796</v>
      </c>
      <c r="T252">
        <v>146</v>
      </c>
      <c r="U252">
        <v>0.41199999999999998</v>
      </c>
      <c r="V252">
        <v>2</v>
      </c>
      <c r="W252">
        <v>2</v>
      </c>
      <c r="X252">
        <v>5</v>
      </c>
      <c r="Y252">
        <v>23</v>
      </c>
      <c r="Z252">
        <v>90637</v>
      </c>
      <c r="AA252">
        <v>2.08</v>
      </c>
      <c r="AB252">
        <v>90637</v>
      </c>
      <c r="AC252">
        <v>2.08</v>
      </c>
      <c r="AD252">
        <v>23922</v>
      </c>
      <c r="AE252">
        <v>3370430</v>
      </c>
      <c r="AF252">
        <v>0.26390000000000002</v>
      </c>
      <c r="AG252">
        <v>383</v>
      </c>
      <c r="AH252">
        <v>11871465</v>
      </c>
      <c r="AI252">
        <v>7394</v>
      </c>
      <c r="AJ252">
        <v>511</v>
      </c>
      <c r="AK252" s="20" t="s">
        <v>1948</v>
      </c>
      <c r="AL252" s="20" t="s">
        <v>1949</v>
      </c>
      <c r="AM252" s="20" t="s">
        <v>994</v>
      </c>
      <c r="AN252" s="20" t="s">
        <v>1950</v>
      </c>
      <c r="AO252" s="20" t="s">
        <v>963</v>
      </c>
      <c r="AP252">
        <v>3</v>
      </c>
      <c r="AQ252">
        <v>12</v>
      </c>
      <c r="AR252">
        <v>26</v>
      </c>
      <c r="AS252">
        <v>65</v>
      </c>
      <c r="AT252">
        <v>1</v>
      </c>
      <c r="AU252" s="27">
        <v>26968</v>
      </c>
      <c r="AV252" s="20"/>
      <c r="AW252" s="20"/>
      <c r="AX252" s="20"/>
      <c r="AY252" s="20"/>
    </row>
    <row r="253" spans="1:51">
      <c r="A253" s="27">
        <v>43466</v>
      </c>
      <c r="B253" s="20" t="s">
        <v>196</v>
      </c>
      <c r="C253" s="20" t="s">
        <v>1763</v>
      </c>
      <c r="D253">
        <v>36</v>
      </c>
      <c r="E253">
        <v>36</v>
      </c>
      <c r="F253">
        <v>314</v>
      </c>
      <c r="G253">
        <v>314</v>
      </c>
      <c r="H253" s="20" t="s">
        <v>1951</v>
      </c>
      <c r="I253" s="20" t="s">
        <v>935</v>
      </c>
      <c r="J253" s="20" t="s">
        <v>936</v>
      </c>
      <c r="K253" s="20" t="s">
        <v>937</v>
      </c>
      <c r="M253">
        <v>1054</v>
      </c>
      <c r="N253">
        <v>1056</v>
      </c>
      <c r="O253">
        <v>4911</v>
      </c>
      <c r="P253">
        <v>4.66</v>
      </c>
      <c r="R253">
        <v>2383</v>
      </c>
      <c r="S253">
        <v>2383</v>
      </c>
      <c r="T253">
        <v>371</v>
      </c>
      <c r="U253">
        <v>0.35399999999999998</v>
      </c>
      <c r="V253">
        <v>18</v>
      </c>
      <c r="W253">
        <v>0</v>
      </c>
      <c r="X253">
        <v>36</v>
      </c>
      <c r="Y253">
        <v>6</v>
      </c>
      <c r="Z253">
        <v>1036600</v>
      </c>
      <c r="AA253">
        <v>23.8</v>
      </c>
      <c r="AB253">
        <v>953637</v>
      </c>
      <c r="AC253">
        <v>21.89</v>
      </c>
      <c r="AD253">
        <v>159727</v>
      </c>
      <c r="AE253">
        <v>10080777</v>
      </c>
      <c r="AF253">
        <v>0.15409999999999999</v>
      </c>
      <c r="AG253">
        <v>100</v>
      </c>
      <c r="AH253">
        <v>12596000</v>
      </c>
      <c r="AI253">
        <v>2573</v>
      </c>
      <c r="AJ253">
        <v>542</v>
      </c>
      <c r="AK253" s="20" t="s">
        <v>1702</v>
      </c>
      <c r="AL253" s="20" t="s">
        <v>1766</v>
      </c>
      <c r="AM253" s="20" t="s">
        <v>1700</v>
      </c>
      <c r="AN253" s="20" t="s">
        <v>1412</v>
      </c>
      <c r="AO253" s="20" t="s">
        <v>950</v>
      </c>
      <c r="AP253">
        <v>15</v>
      </c>
      <c r="AQ253">
        <v>9</v>
      </c>
      <c r="AR253">
        <v>19</v>
      </c>
      <c r="AS253">
        <v>41</v>
      </c>
      <c r="AT253">
        <v>46</v>
      </c>
      <c r="AU253" s="27">
        <v>18483</v>
      </c>
      <c r="AV253" s="20" t="s">
        <v>1394</v>
      </c>
      <c r="AW253" s="20"/>
      <c r="AX253" s="20"/>
      <c r="AY253" s="20"/>
    </row>
    <row r="254" spans="1:51">
      <c r="A254" s="27">
        <v>43466</v>
      </c>
      <c r="B254" s="20" t="s">
        <v>362</v>
      </c>
      <c r="C254" s="20" t="s">
        <v>1066</v>
      </c>
      <c r="D254">
        <v>279</v>
      </c>
      <c r="E254">
        <v>91</v>
      </c>
      <c r="F254">
        <v>505</v>
      </c>
      <c r="G254">
        <v>240</v>
      </c>
      <c r="H254" s="20" t="s">
        <v>1952</v>
      </c>
      <c r="I254" s="20" t="s">
        <v>935</v>
      </c>
      <c r="J254" s="20" t="s">
        <v>936</v>
      </c>
      <c r="K254" s="20" t="s">
        <v>1456</v>
      </c>
      <c r="M254">
        <v>153</v>
      </c>
      <c r="N254">
        <v>155</v>
      </c>
      <c r="O254">
        <v>475.5</v>
      </c>
      <c r="P254">
        <v>3.11</v>
      </c>
      <c r="R254">
        <v>164</v>
      </c>
      <c r="S254">
        <v>164</v>
      </c>
      <c r="T254">
        <v>138</v>
      </c>
      <c r="U254">
        <v>0.92</v>
      </c>
      <c r="V254">
        <v>1</v>
      </c>
      <c r="W254">
        <v>0</v>
      </c>
      <c r="X254">
        <v>1</v>
      </c>
      <c r="Y254">
        <v>12</v>
      </c>
      <c r="Z254">
        <v>21844</v>
      </c>
      <c r="AA254">
        <v>0.5</v>
      </c>
      <c r="AB254">
        <v>21844</v>
      </c>
      <c r="AC254">
        <v>0.5</v>
      </c>
      <c r="AD254">
        <v>14991</v>
      </c>
      <c r="AE254">
        <v>1287831</v>
      </c>
      <c r="AF254">
        <v>0.68630000000000002</v>
      </c>
      <c r="AG254">
        <v>328</v>
      </c>
      <c r="AH254">
        <v>3615000</v>
      </c>
      <c r="AI254">
        <v>7061</v>
      </c>
      <c r="AJ254">
        <v>325</v>
      </c>
      <c r="AK254" s="20" t="s">
        <v>1953</v>
      </c>
      <c r="AL254" s="20" t="s">
        <v>1954</v>
      </c>
      <c r="AM254" s="20" t="s">
        <v>1955</v>
      </c>
      <c r="AN254" s="20" t="s">
        <v>1305</v>
      </c>
      <c r="AO254" s="20" t="s">
        <v>1049</v>
      </c>
      <c r="AP254">
        <v>12</v>
      </c>
      <c r="AQ254">
        <v>5</v>
      </c>
      <c r="AR254">
        <v>14</v>
      </c>
      <c r="AS254">
        <v>32</v>
      </c>
      <c r="AT254">
        <v>24</v>
      </c>
      <c r="AU254" s="27">
        <v>28794</v>
      </c>
      <c r="AV254" s="20"/>
      <c r="AW254" s="20" t="s">
        <v>1081</v>
      </c>
      <c r="AX254" s="20" t="s">
        <v>974</v>
      </c>
      <c r="AY254" s="20"/>
    </row>
    <row r="255" spans="1:51">
      <c r="A255" s="27">
        <v>43466</v>
      </c>
      <c r="B255" s="20" t="s">
        <v>44</v>
      </c>
      <c r="C255" s="20" t="s">
        <v>1956</v>
      </c>
      <c r="D255">
        <v>27</v>
      </c>
      <c r="E255">
        <v>27</v>
      </c>
      <c r="F255">
        <v>531</v>
      </c>
      <c r="G255">
        <v>531</v>
      </c>
      <c r="H255" s="20" t="s">
        <v>1957</v>
      </c>
      <c r="I255" s="20" t="s">
        <v>935</v>
      </c>
      <c r="J255" s="20" t="s">
        <v>936</v>
      </c>
      <c r="K255" s="20" t="s">
        <v>937</v>
      </c>
      <c r="M255">
        <v>1934</v>
      </c>
      <c r="N255">
        <v>1935</v>
      </c>
      <c r="O255">
        <v>8988</v>
      </c>
      <c r="P255">
        <v>4.6500000000000004</v>
      </c>
      <c r="R255">
        <v>4126</v>
      </c>
      <c r="S255">
        <v>4126</v>
      </c>
      <c r="T255">
        <v>923</v>
      </c>
      <c r="U255">
        <v>0.48099999999999998</v>
      </c>
      <c r="V255">
        <v>12</v>
      </c>
      <c r="W255">
        <v>0</v>
      </c>
      <c r="X255">
        <v>12</v>
      </c>
      <c r="Y255">
        <v>17</v>
      </c>
      <c r="Z255">
        <v>947493</v>
      </c>
      <c r="AA255">
        <v>21.75</v>
      </c>
      <c r="AB255">
        <v>806175</v>
      </c>
      <c r="AC255">
        <v>18.510000000000002</v>
      </c>
      <c r="AD255">
        <v>126462</v>
      </c>
      <c r="AE255">
        <v>15937490</v>
      </c>
      <c r="AF255">
        <v>0.13350000000000001</v>
      </c>
      <c r="AG255">
        <v>190</v>
      </c>
      <c r="AH255">
        <v>29083000</v>
      </c>
      <c r="AI255">
        <v>3270</v>
      </c>
      <c r="AJ255">
        <v>551</v>
      </c>
      <c r="AK255" s="20" t="s">
        <v>1603</v>
      </c>
      <c r="AL255" s="20" t="s">
        <v>1958</v>
      </c>
      <c r="AM255" s="20" t="s">
        <v>1959</v>
      </c>
      <c r="AN255" s="20" t="s">
        <v>1960</v>
      </c>
      <c r="AO255" s="20" t="s">
        <v>963</v>
      </c>
      <c r="AP255">
        <v>3</v>
      </c>
      <c r="AQ255">
        <v>7</v>
      </c>
      <c r="AR255">
        <v>26</v>
      </c>
      <c r="AS255">
        <v>65</v>
      </c>
      <c r="AT255">
        <v>1</v>
      </c>
      <c r="AU255" s="27">
        <v>19476</v>
      </c>
      <c r="AV255" s="20" t="s">
        <v>1028</v>
      </c>
      <c r="AW255" s="20"/>
      <c r="AX255" s="20"/>
      <c r="AY255" s="20"/>
    </row>
    <row r="256" spans="1:51">
      <c r="A256" s="27">
        <v>43466</v>
      </c>
      <c r="B256" s="20" t="s">
        <v>197</v>
      </c>
      <c r="C256" s="20" t="s">
        <v>964</v>
      </c>
      <c r="D256">
        <v>67</v>
      </c>
      <c r="E256">
        <v>67</v>
      </c>
      <c r="F256">
        <v>222</v>
      </c>
      <c r="G256">
        <v>222</v>
      </c>
      <c r="H256" s="20" t="s">
        <v>1961</v>
      </c>
      <c r="I256" s="20" t="s">
        <v>935</v>
      </c>
      <c r="J256" s="20" t="s">
        <v>936</v>
      </c>
      <c r="K256" s="20" t="s">
        <v>937</v>
      </c>
      <c r="M256">
        <v>1495</v>
      </c>
      <c r="N256">
        <v>1497</v>
      </c>
      <c r="O256">
        <v>6963.5</v>
      </c>
      <c r="P256">
        <v>4.66</v>
      </c>
      <c r="R256">
        <v>3286</v>
      </c>
      <c r="S256">
        <v>3286</v>
      </c>
      <c r="T256">
        <v>567</v>
      </c>
      <c r="U256">
        <v>0.38400000000000001</v>
      </c>
      <c r="V256">
        <v>28</v>
      </c>
      <c r="W256">
        <v>3</v>
      </c>
      <c r="X256">
        <v>31</v>
      </c>
      <c r="Y256">
        <v>7</v>
      </c>
      <c r="Z256">
        <v>1340519</v>
      </c>
      <c r="AA256">
        <v>30.77</v>
      </c>
      <c r="AB256">
        <v>1340519</v>
      </c>
      <c r="AC256">
        <v>30.77</v>
      </c>
      <c r="AD256">
        <v>190435</v>
      </c>
      <c r="AE256">
        <v>12238008</v>
      </c>
      <c r="AF256">
        <v>0.1421</v>
      </c>
      <c r="AG256">
        <v>107</v>
      </c>
      <c r="AH256">
        <v>17963549</v>
      </c>
      <c r="AI256">
        <v>2564</v>
      </c>
      <c r="AJ256">
        <v>542</v>
      </c>
      <c r="AK256" s="20" t="s">
        <v>966</v>
      </c>
      <c r="AL256" s="20" t="s">
        <v>1151</v>
      </c>
      <c r="AM256" s="20" t="s">
        <v>1732</v>
      </c>
      <c r="AN256" s="20" t="s">
        <v>1962</v>
      </c>
      <c r="AO256" s="20" t="s">
        <v>942</v>
      </c>
      <c r="AP256">
        <v>9</v>
      </c>
      <c r="AQ256">
        <v>15</v>
      </c>
      <c r="AR256">
        <v>32</v>
      </c>
      <c r="AS256">
        <v>85</v>
      </c>
      <c r="AT256">
        <v>18</v>
      </c>
      <c r="AU256" s="27">
        <v>20148</v>
      </c>
      <c r="AV256" s="20"/>
      <c r="AW256" s="20"/>
      <c r="AX256" s="20"/>
      <c r="AY256" s="20"/>
    </row>
    <row r="257" spans="1:51">
      <c r="A257" s="27">
        <v>43466</v>
      </c>
      <c r="B257" s="20" t="s">
        <v>363</v>
      </c>
      <c r="C257" s="20" t="s">
        <v>1963</v>
      </c>
      <c r="D257">
        <v>71</v>
      </c>
      <c r="E257">
        <v>71</v>
      </c>
      <c r="F257">
        <v>537</v>
      </c>
      <c r="G257">
        <v>537</v>
      </c>
      <c r="H257" s="20" t="s">
        <v>1964</v>
      </c>
      <c r="I257" s="20" t="s">
        <v>935</v>
      </c>
      <c r="J257" s="20" t="s">
        <v>936</v>
      </c>
      <c r="K257" s="20" t="s">
        <v>937</v>
      </c>
      <c r="M257">
        <v>1258</v>
      </c>
      <c r="N257">
        <v>1259</v>
      </c>
      <c r="O257">
        <v>5863</v>
      </c>
      <c r="P257">
        <v>4.66</v>
      </c>
      <c r="R257">
        <v>2901</v>
      </c>
      <c r="S257">
        <v>2901</v>
      </c>
      <c r="T257">
        <v>493</v>
      </c>
      <c r="U257">
        <v>0.39600000000000002</v>
      </c>
      <c r="V257">
        <v>13</v>
      </c>
      <c r="W257">
        <v>2</v>
      </c>
      <c r="X257">
        <v>28</v>
      </c>
      <c r="Y257">
        <v>7</v>
      </c>
      <c r="Z257">
        <v>1076761</v>
      </c>
      <c r="AA257">
        <v>24.72</v>
      </c>
      <c r="AB257">
        <v>1076761</v>
      </c>
      <c r="AC257">
        <v>24.72</v>
      </c>
      <c r="AD257">
        <v>164048</v>
      </c>
      <c r="AE257">
        <v>10481330</v>
      </c>
      <c r="AF257">
        <v>0.14319999999999999</v>
      </c>
      <c r="AG257">
        <v>117</v>
      </c>
      <c r="AH257">
        <v>13445000</v>
      </c>
      <c r="AI257">
        <v>2308</v>
      </c>
      <c r="AJ257">
        <v>500</v>
      </c>
      <c r="AK257" s="20" t="s">
        <v>1921</v>
      </c>
      <c r="AL257" s="20" t="s">
        <v>1249</v>
      </c>
      <c r="AM257" s="20" t="s">
        <v>1172</v>
      </c>
      <c r="AN257" s="20" t="s">
        <v>1965</v>
      </c>
      <c r="AO257" s="20" t="s">
        <v>942</v>
      </c>
      <c r="AP257">
        <v>9</v>
      </c>
      <c r="AQ257">
        <v>15</v>
      </c>
      <c r="AR257">
        <v>32</v>
      </c>
      <c r="AS257">
        <v>85</v>
      </c>
      <c r="AT257">
        <v>18</v>
      </c>
      <c r="AU257" s="27">
        <v>20026</v>
      </c>
      <c r="AV257" s="20" t="s">
        <v>1028</v>
      </c>
      <c r="AW257" s="20"/>
      <c r="AX257" s="20"/>
      <c r="AY257" s="20"/>
    </row>
    <row r="258" spans="1:51">
      <c r="A258" s="27">
        <v>43466</v>
      </c>
      <c r="B258" s="20" t="s">
        <v>255</v>
      </c>
      <c r="C258" s="20" t="s">
        <v>1759</v>
      </c>
      <c r="D258">
        <v>35</v>
      </c>
      <c r="E258">
        <v>35</v>
      </c>
      <c r="F258">
        <v>315</v>
      </c>
      <c r="G258">
        <v>315</v>
      </c>
      <c r="H258" s="20" t="s">
        <v>1966</v>
      </c>
      <c r="I258" s="20" t="s">
        <v>935</v>
      </c>
      <c r="J258" s="20" t="s">
        <v>936</v>
      </c>
      <c r="K258" s="20" t="s">
        <v>937</v>
      </c>
      <c r="M258">
        <v>421</v>
      </c>
      <c r="N258">
        <v>422</v>
      </c>
      <c r="O258">
        <v>1936.5</v>
      </c>
      <c r="P258">
        <v>4.5999999999999996</v>
      </c>
      <c r="R258">
        <v>891</v>
      </c>
      <c r="S258">
        <v>891</v>
      </c>
      <c r="T258">
        <v>183</v>
      </c>
      <c r="U258">
        <v>0.441</v>
      </c>
      <c r="V258">
        <v>8</v>
      </c>
      <c r="W258">
        <v>0</v>
      </c>
      <c r="X258">
        <v>15</v>
      </c>
      <c r="Y258">
        <v>6</v>
      </c>
      <c r="Z258">
        <v>708283</v>
      </c>
      <c r="AA258">
        <v>16.260000000000002</v>
      </c>
      <c r="AB258">
        <v>638737</v>
      </c>
      <c r="AC258">
        <v>14.66</v>
      </c>
      <c r="AD258">
        <v>68084</v>
      </c>
      <c r="AE258">
        <v>3921651</v>
      </c>
      <c r="AF258">
        <v>9.6100000000000005E-2</v>
      </c>
      <c r="AG258">
        <v>55</v>
      </c>
      <c r="AH258">
        <v>5377000</v>
      </c>
      <c r="AI258">
        <v>2795</v>
      </c>
      <c r="AJ258">
        <v>479</v>
      </c>
      <c r="AK258" s="20" t="s">
        <v>1967</v>
      </c>
      <c r="AL258" s="20" t="s">
        <v>1968</v>
      </c>
      <c r="AM258" s="20" t="s">
        <v>1969</v>
      </c>
      <c r="AN258" s="20" t="s">
        <v>1970</v>
      </c>
      <c r="AO258" s="20" t="s">
        <v>1108</v>
      </c>
      <c r="AP258">
        <v>2</v>
      </c>
      <c r="AQ258">
        <v>11</v>
      </c>
      <c r="AR258">
        <v>23</v>
      </c>
      <c r="AS258">
        <v>64</v>
      </c>
      <c r="AT258">
        <v>50</v>
      </c>
      <c r="AU258" s="27">
        <v>18342</v>
      </c>
      <c r="AV258" s="20" t="s">
        <v>1394</v>
      </c>
      <c r="AW258" s="20"/>
      <c r="AX258" s="20"/>
      <c r="AY258" s="20"/>
    </row>
    <row r="259" spans="1:51">
      <c r="A259" s="27">
        <v>43466</v>
      </c>
      <c r="B259" s="20" t="s">
        <v>96</v>
      </c>
      <c r="C259" s="20" t="s">
        <v>1260</v>
      </c>
      <c r="D259">
        <v>305</v>
      </c>
      <c r="E259">
        <v>342</v>
      </c>
      <c r="F259">
        <v>550</v>
      </c>
      <c r="G259">
        <v>753</v>
      </c>
      <c r="H259" s="20" t="s">
        <v>1971</v>
      </c>
      <c r="I259" s="20" t="s">
        <v>935</v>
      </c>
      <c r="J259" s="20" t="s">
        <v>945</v>
      </c>
      <c r="K259" s="20" t="s">
        <v>937</v>
      </c>
      <c r="M259">
        <v>112</v>
      </c>
      <c r="N259">
        <v>114</v>
      </c>
      <c r="O259">
        <v>592</v>
      </c>
      <c r="P259">
        <v>5.29</v>
      </c>
      <c r="R259">
        <v>383</v>
      </c>
      <c r="S259">
        <v>383</v>
      </c>
      <c r="T259">
        <v>18</v>
      </c>
      <c r="U259">
        <v>0.16200000000000001</v>
      </c>
      <c r="V259">
        <v>4</v>
      </c>
      <c r="W259">
        <v>0</v>
      </c>
      <c r="X259">
        <v>19</v>
      </c>
      <c r="Y259">
        <v>3</v>
      </c>
      <c r="Z259">
        <v>149500</v>
      </c>
      <c r="AA259">
        <v>3.43</v>
      </c>
      <c r="AB259">
        <v>149500</v>
      </c>
      <c r="AC259">
        <v>3.43</v>
      </c>
      <c r="AD259">
        <v>41764</v>
      </c>
      <c r="AE259">
        <v>1301202</v>
      </c>
      <c r="AF259">
        <v>0.27939999999999998</v>
      </c>
      <c r="AG259">
        <v>112</v>
      </c>
      <c r="AH259">
        <v>8902455</v>
      </c>
      <c r="AI259">
        <v>14764</v>
      </c>
      <c r="AJ259">
        <v>636</v>
      </c>
      <c r="AK259" s="20" t="s">
        <v>1583</v>
      </c>
      <c r="AL259" s="20" t="s">
        <v>1362</v>
      </c>
      <c r="AM259" s="20" t="s">
        <v>1924</v>
      </c>
      <c r="AN259" s="20" t="s">
        <v>1360</v>
      </c>
      <c r="AO259" s="20" t="s">
        <v>942</v>
      </c>
      <c r="AP259">
        <v>1</v>
      </c>
      <c r="AQ259">
        <v>15</v>
      </c>
      <c r="AR259">
        <v>32</v>
      </c>
      <c r="AS259">
        <v>79</v>
      </c>
      <c r="AT259">
        <v>17</v>
      </c>
      <c r="AU259" s="27">
        <v>32264</v>
      </c>
      <c r="AV259" s="20"/>
      <c r="AW259" s="20"/>
      <c r="AX259" s="20" t="s">
        <v>974</v>
      </c>
      <c r="AY259" s="20"/>
    </row>
    <row r="260" spans="1:51">
      <c r="A260" s="27">
        <v>43466</v>
      </c>
      <c r="B260" s="20" t="s">
        <v>224</v>
      </c>
      <c r="C260" s="20" t="s">
        <v>1972</v>
      </c>
      <c r="D260">
        <v>8</v>
      </c>
      <c r="E260">
        <v>8</v>
      </c>
      <c r="F260">
        <v>206</v>
      </c>
      <c r="G260">
        <v>206</v>
      </c>
      <c r="H260" s="20" t="s">
        <v>1973</v>
      </c>
      <c r="I260" s="20" t="s">
        <v>935</v>
      </c>
      <c r="J260" s="20" t="s">
        <v>936</v>
      </c>
      <c r="K260" s="20" t="s">
        <v>937</v>
      </c>
      <c r="M260">
        <v>448</v>
      </c>
      <c r="N260">
        <v>448</v>
      </c>
      <c r="O260">
        <v>1797</v>
      </c>
      <c r="P260">
        <v>4.01</v>
      </c>
      <c r="R260">
        <v>841</v>
      </c>
      <c r="S260">
        <v>841</v>
      </c>
      <c r="T260">
        <v>144</v>
      </c>
      <c r="U260">
        <v>0.33900000000000002</v>
      </c>
      <c r="V260">
        <v>11</v>
      </c>
      <c r="W260">
        <v>1</v>
      </c>
      <c r="X260">
        <v>33</v>
      </c>
      <c r="Y260">
        <v>43528</v>
      </c>
      <c r="Z260">
        <v>392989</v>
      </c>
      <c r="AA260">
        <v>9.02</v>
      </c>
      <c r="AB260">
        <v>392989</v>
      </c>
      <c r="AC260">
        <v>9.02</v>
      </c>
      <c r="AD260">
        <v>82310</v>
      </c>
      <c r="AE260">
        <v>2940659</v>
      </c>
      <c r="AF260">
        <v>0.2094</v>
      </c>
      <c r="AG260">
        <v>93</v>
      </c>
      <c r="AH260">
        <v>2117392</v>
      </c>
      <c r="AI260">
        <v>1182</v>
      </c>
      <c r="AJ260">
        <v>515</v>
      </c>
      <c r="AK260" s="20" t="s">
        <v>1974</v>
      </c>
      <c r="AL260" s="20" t="s">
        <v>1975</v>
      </c>
      <c r="AM260" s="20" t="s">
        <v>1976</v>
      </c>
      <c r="AN260" s="20" t="s">
        <v>1977</v>
      </c>
      <c r="AO260" s="20" t="s">
        <v>1049</v>
      </c>
      <c r="AP260">
        <v>12</v>
      </c>
      <c r="AQ260">
        <v>5</v>
      </c>
      <c r="AR260" t="s">
        <v>1072</v>
      </c>
      <c r="AS260">
        <v>32</v>
      </c>
      <c r="AT260">
        <v>28</v>
      </c>
      <c r="AU260" s="27">
        <v>14824</v>
      </c>
      <c r="AV260" s="20"/>
      <c r="AW260" s="20"/>
      <c r="AX260" s="20"/>
      <c r="AY260" s="20"/>
    </row>
    <row r="261" spans="1:51">
      <c r="A261" s="27">
        <v>43466</v>
      </c>
      <c r="B261" s="20" t="s">
        <v>269</v>
      </c>
      <c r="C261" s="20" t="s">
        <v>1972</v>
      </c>
      <c r="D261">
        <v>66</v>
      </c>
      <c r="E261">
        <v>8</v>
      </c>
      <c r="F261">
        <v>220</v>
      </c>
      <c r="G261">
        <v>206</v>
      </c>
      <c r="H261" s="20" t="s">
        <v>1978</v>
      </c>
      <c r="I261" s="20" t="s">
        <v>935</v>
      </c>
      <c r="J261" s="20" t="s">
        <v>936</v>
      </c>
      <c r="K261" s="20" t="s">
        <v>937</v>
      </c>
      <c r="M261">
        <v>598</v>
      </c>
      <c r="N261">
        <v>600</v>
      </c>
      <c r="O261">
        <v>2811</v>
      </c>
      <c r="P261">
        <v>4.7</v>
      </c>
      <c r="R261">
        <v>1449</v>
      </c>
      <c r="S261">
        <v>1449</v>
      </c>
      <c r="T261">
        <v>166</v>
      </c>
      <c r="U261">
        <v>0.28299999999999997</v>
      </c>
      <c r="V261">
        <v>16</v>
      </c>
      <c r="W261">
        <v>0</v>
      </c>
      <c r="X261">
        <v>27</v>
      </c>
      <c r="Y261">
        <v>43531</v>
      </c>
      <c r="Z261">
        <v>579217</v>
      </c>
      <c r="AA261">
        <v>13.3</v>
      </c>
      <c r="AB261">
        <v>579217</v>
      </c>
      <c r="AC261">
        <v>13.36</v>
      </c>
      <c r="AD261">
        <v>116506</v>
      </c>
      <c r="AE261">
        <v>5268542</v>
      </c>
      <c r="AF261">
        <v>0.2011</v>
      </c>
      <c r="AG261">
        <v>109</v>
      </c>
      <c r="AH261">
        <v>8541145</v>
      </c>
      <c r="AI261">
        <v>3030</v>
      </c>
      <c r="AJ261">
        <v>592</v>
      </c>
      <c r="AK261" s="20" t="s">
        <v>1975</v>
      </c>
      <c r="AL261" s="20" t="s">
        <v>1976</v>
      </c>
      <c r="AM261" s="20" t="s">
        <v>1979</v>
      </c>
      <c r="AN261" s="20" t="s">
        <v>1974</v>
      </c>
      <c r="AO261" s="20" t="s">
        <v>1049</v>
      </c>
      <c r="AP261">
        <v>12</v>
      </c>
      <c r="AQ261">
        <v>5</v>
      </c>
      <c r="AR261" t="s">
        <v>1072</v>
      </c>
      <c r="AS261">
        <v>32</v>
      </c>
      <c r="AT261">
        <v>28</v>
      </c>
      <c r="AU261" s="27">
        <v>20022</v>
      </c>
      <c r="AV261" s="20"/>
      <c r="AW261" s="20"/>
      <c r="AX261" s="20"/>
      <c r="AY261" s="20"/>
    </row>
    <row r="262" spans="1:51">
      <c r="A262" s="27">
        <v>43466</v>
      </c>
      <c r="B262" s="20" t="s">
        <v>364</v>
      </c>
      <c r="C262" s="20" t="s">
        <v>969</v>
      </c>
      <c r="D262">
        <v>559</v>
      </c>
      <c r="E262">
        <v>359</v>
      </c>
      <c r="F262">
        <v>841</v>
      </c>
      <c r="G262">
        <v>840</v>
      </c>
      <c r="H262" s="20" t="s">
        <v>1980</v>
      </c>
      <c r="I262" s="20" t="s">
        <v>935</v>
      </c>
      <c r="J262" s="20" t="s">
        <v>945</v>
      </c>
      <c r="K262" s="20" t="s">
        <v>937</v>
      </c>
      <c r="M262">
        <v>13</v>
      </c>
      <c r="N262">
        <v>13</v>
      </c>
      <c r="O262">
        <v>66.5</v>
      </c>
      <c r="P262">
        <v>5.12</v>
      </c>
      <c r="R262">
        <v>35</v>
      </c>
      <c r="S262">
        <v>35</v>
      </c>
      <c r="T262">
        <v>2</v>
      </c>
      <c r="U262">
        <v>0.154</v>
      </c>
      <c r="V262">
        <v>1</v>
      </c>
      <c r="W262">
        <v>0</v>
      </c>
      <c r="X262">
        <v>1</v>
      </c>
      <c r="Y262">
        <v>6</v>
      </c>
      <c r="Z262">
        <v>5000</v>
      </c>
      <c r="AA262">
        <v>0.11</v>
      </c>
      <c r="AB262">
        <v>5000</v>
      </c>
      <c r="AC262">
        <v>0.11</v>
      </c>
      <c r="AD262">
        <v>3600</v>
      </c>
      <c r="AF262">
        <v>0.72</v>
      </c>
      <c r="AG262">
        <v>318</v>
      </c>
      <c r="AH262">
        <v>4561538</v>
      </c>
      <c r="AI262">
        <v>68595</v>
      </c>
      <c r="AJ262">
        <v>468</v>
      </c>
      <c r="AK262" s="20" t="s">
        <v>1981</v>
      </c>
      <c r="AL262" s="20" t="s">
        <v>1487</v>
      </c>
      <c r="AM262" s="20" t="s">
        <v>1982</v>
      </c>
      <c r="AN262" s="20"/>
      <c r="AO262" s="20" t="s">
        <v>963</v>
      </c>
      <c r="AP262">
        <v>3</v>
      </c>
      <c r="AQ262">
        <v>12</v>
      </c>
      <c r="AR262">
        <v>26</v>
      </c>
      <c r="AS262">
        <v>65</v>
      </c>
      <c r="AT262">
        <v>1</v>
      </c>
      <c r="AU262" s="27">
        <v>37956</v>
      </c>
      <c r="AV262" s="20"/>
      <c r="AW262" s="20"/>
      <c r="AX262" s="20" t="s">
        <v>974</v>
      </c>
      <c r="AY262" s="20" t="s">
        <v>974</v>
      </c>
    </row>
    <row r="263" spans="1:51">
      <c r="A263" s="27">
        <v>43466</v>
      </c>
      <c r="B263" s="20" t="s">
        <v>365</v>
      </c>
      <c r="C263" s="20" t="s">
        <v>1983</v>
      </c>
      <c r="D263">
        <v>114</v>
      </c>
      <c r="E263">
        <v>114</v>
      </c>
      <c r="F263">
        <v>436</v>
      </c>
      <c r="G263">
        <v>436</v>
      </c>
      <c r="H263" s="20" t="s">
        <v>1984</v>
      </c>
      <c r="I263" s="20" t="s">
        <v>1031</v>
      </c>
      <c r="J263" s="20" t="s">
        <v>936</v>
      </c>
      <c r="K263" s="20" t="s">
        <v>937</v>
      </c>
      <c r="L263">
        <v>125</v>
      </c>
      <c r="M263">
        <v>693</v>
      </c>
      <c r="N263">
        <v>693</v>
      </c>
      <c r="O263">
        <v>3358.5</v>
      </c>
      <c r="P263">
        <v>4.8499999999999996</v>
      </c>
      <c r="Q263">
        <v>355</v>
      </c>
      <c r="R263">
        <v>1711</v>
      </c>
      <c r="S263">
        <v>2066</v>
      </c>
      <c r="T263">
        <v>202</v>
      </c>
      <c r="U263">
        <v>0.30599999999999999</v>
      </c>
      <c r="V263">
        <v>6</v>
      </c>
      <c r="W263">
        <v>1</v>
      </c>
      <c r="X263">
        <v>12</v>
      </c>
      <c r="Y263" t="s">
        <v>1985</v>
      </c>
      <c r="Z263">
        <v>734857</v>
      </c>
      <c r="AA263">
        <v>16.87</v>
      </c>
      <c r="AB263">
        <v>611147</v>
      </c>
      <c r="AC263">
        <v>14.03</v>
      </c>
      <c r="AD263">
        <v>76976</v>
      </c>
      <c r="AE263">
        <v>6441281</v>
      </c>
      <c r="AF263">
        <v>0.1047</v>
      </c>
      <c r="AG263">
        <v>122</v>
      </c>
      <c r="AH263">
        <v>12271000</v>
      </c>
      <c r="AI263">
        <v>3654</v>
      </c>
      <c r="AJ263">
        <v>521</v>
      </c>
      <c r="AK263" s="20" t="s">
        <v>1986</v>
      </c>
      <c r="AL263" s="20" t="s">
        <v>1043</v>
      </c>
      <c r="AM263" s="20" t="s">
        <v>1000</v>
      </c>
      <c r="AN263" s="20" t="s">
        <v>1987</v>
      </c>
      <c r="AO263" s="20" t="s">
        <v>1108</v>
      </c>
      <c r="AP263">
        <v>1</v>
      </c>
      <c r="AQ263">
        <v>11</v>
      </c>
      <c r="AR263">
        <v>23</v>
      </c>
      <c r="AS263">
        <v>61</v>
      </c>
      <c r="AT263">
        <v>49</v>
      </c>
      <c r="AU263" s="27">
        <v>22797</v>
      </c>
      <c r="AV263" s="20"/>
      <c r="AW263" s="20"/>
      <c r="AX263" s="20"/>
      <c r="AY263" s="20"/>
    </row>
    <row r="264" spans="1:51">
      <c r="A264" s="27">
        <v>43466</v>
      </c>
      <c r="B264" s="20" t="s">
        <v>97</v>
      </c>
      <c r="C264" s="20" t="s">
        <v>1260</v>
      </c>
      <c r="D264">
        <v>353</v>
      </c>
      <c r="E264">
        <v>342</v>
      </c>
      <c r="F264">
        <v>770</v>
      </c>
      <c r="G264">
        <v>753</v>
      </c>
      <c r="H264" s="20" t="s">
        <v>1988</v>
      </c>
      <c r="I264" s="20" t="s">
        <v>935</v>
      </c>
      <c r="J264" s="20" t="s">
        <v>945</v>
      </c>
      <c r="K264" s="20" t="s">
        <v>937</v>
      </c>
      <c r="M264">
        <v>119</v>
      </c>
      <c r="N264">
        <v>120</v>
      </c>
      <c r="O264">
        <v>535.5</v>
      </c>
      <c r="P264">
        <v>4.5</v>
      </c>
      <c r="R264">
        <v>274</v>
      </c>
      <c r="S264">
        <v>274</v>
      </c>
      <c r="T264">
        <v>37</v>
      </c>
      <c r="U264">
        <v>0.311</v>
      </c>
      <c r="V264">
        <v>2</v>
      </c>
      <c r="W264">
        <v>0</v>
      </c>
      <c r="X264">
        <v>14</v>
      </c>
      <c r="Y264">
        <v>3</v>
      </c>
      <c r="Z264">
        <v>123156</v>
      </c>
      <c r="AA264">
        <v>2.83</v>
      </c>
      <c r="AB264">
        <v>123156</v>
      </c>
      <c r="AC264">
        <v>2.83</v>
      </c>
      <c r="AD264">
        <v>42267</v>
      </c>
      <c r="AE264">
        <v>1098942</v>
      </c>
      <c r="AF264">
        <v>0.34320000000000001</v>
      </c>
      <c r="AG264">
        <v>97</v>
      </c>
      <c r="AH264">
        <v>8851338</v>
      </c>
      <c r="AI264">
        <v>16391</v>
      </c>
      <c r="AJ264">
        <v>648</v>
      </c>
      <c r="AK264" s="20" t="s">
        <v>1989</v>
      </c>
      <c r="AL264" s="20" t="s">
        <v>1010</v>
      </c>
      <c r="AM264" s="20" t="s">
        <v>1990</v>
      </c>
      <c r="AN264" s="20" t="s">
        <v>1991</v>
      </c>
      <c r="AO264" s="20" t="s">
        <v>942</v>
      </c>
      <c r="AP264">
        <v>2</v>
      </c>
      <c r="AQ264">
        <v>15</v>
      </c>
      <c r="AR264">
        <v>32</v>
      </c>
      <c r="AS264">
        <v>85</v>
      </c>
      <c r="AT264">
        <v>17</v>
      </c>
      <c r="AU264" s="27">
        <v>31884</v>
      </c>
      <c r="AV264" s="20"/>
      <c r="AW264" s="20"/>
      <c r="AX264" s="20" t="s">
        <v>974</v>
      </c>
      <c r="AY264" s="20"/>
    </row>
    <row r="265" spans="1:51">
      <c r="A265" s="27">
        <v>43466</v>
      </c>
      <c r="B265" s="20" t="s">
        <v>366</v>
      </c>
      <c r="C265" s="20" t="s">
        <v>1316</v>
      </c>
      <c r="D265">
        <v>366</v>
      </c>
      <c r="E265">
        <v>351</v>
      </c>
      <c r="F265">
        <v>801</v>
      </c>
      <c r="G265">
        <v>765</v>
      </c>
      <c r="H265" s="20" t="s">
        <v>1992</v>
      </c>
      <c r="I265" s="20" t="s">
        <v>935</v>
      </c>
      <c r="J265" s="20" t="s">
        <v>945</v>
      </c>
      <c r="K265" s="20" t="s">
        <v>953</v>
      </c>
      <c r="M265">
        <v>83</v>
      </c>
      <c r="N265">
        <v>83</v>
      </c>
      <c r="O265">
        <v>440.5</v>
      </c>
      <c r="P265">
        <v>5.31</v>
      </c>
      <c r="R265">
        <v>275</v>
      </c>
      <c r="S265">
        <v>275</v>
      </c>
      <c r="T265">
        <v>12</v>
      </c>
      <c r="U265">
        <v>0.14599999999999999</v>
      </c>
      <c r="V265">
        <v>5</v>
      </c>
      <c r="W265">
        <v>0</v>
      </c>
      <c r="X265">
        <v>5</v>
      </c>
      <c r="Y265">
        <v>4</v>
      </c>
      <c r="Z265">
        <v>49149</v>
      </c>
      <c r="AA265">
        <v>1.1299999999999999</v>
      </c>
      <c r="AB265">
        <v>49149</v>
      </c>
      <c r="AC265">
        <v>1.1299999999999999</v>
      </c>
      <c r="AD265">
        <v>28039</v>
      </c>
      <c r="AE265">
        <v>1312849</v>
      </c>
      <c r="AF265">
        <v>0.57050000000000001</v>
      </c>
      <c r="AG265">
        <v>243</v>
      </c>
      <c r="AH265">
        <v>9091865</v>
      </c>
      <c r="AI265">
        <v>20640</v>
      </c>
      <c r="AJ265">
        <v>709</v>
      </c>
      <c r="AK265" s="20" t="s">
        <v>1993</v>
      </c>
      <c r="AL265" s="20" t="s">
        <v>1559</v>
      </c>
      <c r="AM265" s="20" t="s">
        <v>1994</v>
      </c>
      <c r="AN265" s="20" t="s">
        <v>1169</v>
      </c>
      <c r="AO265" s="20" t="s">
        <v>950</v>
      </c>
      <c r="AP265">
        <v>8</v>
      </c>
      <c r="AQ265">
        <v>9</v>
      </c>
      <c r="AR265" t="s">
        <v>1321</v>
      </c>
      <c r="AS265">
        <v>55</v>
      </c>
      <c r="AT265" t="s">
        <v>1995</v>
      </c>
      <c r="AU265" s="27">
        <v>33369</v>
      </c>
      <c r="AV265" s="20"/>
      <c r="AW265" s="20"/>
      <c r="AX265" s="20" t="s">
        <v>974</v>
      </c>
      <c r="AY265" s="20"/>
    </row>
    <row r="266" spans="1:51">
      <c r="A266" s="27">
        <v>43466</v>
      </c>
      <c r="B266" s="20" t="s">
        <v>256</v>
      </c>
      <c r="C266" s="20" t="s">
        <v>1316</v>
      </c>
      <c r="D266">
        <v>368</v>
      </c>
      <c r="E266">
        <v>351</v>
      </c>
      <c r="F266">
        <v>837</v>
      </c>
      <c r="G266">
        <v>765</v>
      </c>
      <c r="H266" s="20" t="s">
        <v>1996</v>
      </c>
      <c r="I266" s="20" t="s">
        <v>935</v>
      </c>
      <c r="J266" s="20" t="s">
        <v>945</v>
      </c>
      <c r="K266" s="20" t="s">
        <v>953</v>
      </c>
      <c r="M266">
        <v>125</v>
      </c>
      <c r="N266">
        <v>125</v>
      </c>
      <c r="O266">
        <v>593.5</v>
      </c>
      <c r="P266">
        <v>4.75</v>
      </c>
      <c r="R266">
        <v>329</v>
      </c>
      <c r="S266">
        <v>329</v>
      </c>
      <c r="T266">
        <v>25</v>
      </c>
      <c r="U266">
        <v>0.20200000000000001</v>
      </c>
      <c r="V266">
        <v>7</v>
      </c>
      <c r="W266">
        <v>0</v>
      </c>
      <c r="X266">
        <v>7</v>
      </c>
      <c r="Y266">
        <v>4</v>
      </c>
      <c r="Z266">
        <v>48928</v>
      </c>
      <c r="AA266">
        <v>1.1200000000000001</v>
      </c>
      <c r="AB266">
        <v>48928</v>
      </c>
      <c r="AC266">
        <v>1.1200000000000001</v>
      </c>
      <c r="AD266">
        <v>36119</v>
      </c>
      <c r="AE266">
        <v>1656285</v>
      </c>
      <c r="AF266">
        <v>0.73819999999999997</v>
      </c>
      <c r="AG266">
        <v>294</v>
      </c>
      <c r="AH266">
        <v>12235716</v>
      </c>
      <c r="AI266">
        <v>20616</v>
      </c>
      <c r="AJ266">
        <v>614</v>
      </c>
      <c r="AK266" s="20" t="s">
        <v>1993</v>
      </c>
      <c r="AL266" s="20" t="s">
        <v>1559</v>
      </c>
      <c r="AM266" s="20" t="s">
        <v>1994</v>
      </c>
      <c r="AN266" s="20" t="s">
        <v>1169</v>
      </c>
      <c r="AO266" s="20" t="s">
        <v>950</v>
      </c>
      <c r="AP266">
        <v>8</v>
      </c>
      <c r="AQ266">
        <v>9</v>
      </c>
      <c r="AR266" t="s">
        <v>1321</v>
      </c>
      <c r="AS266">
        <v>55</v>
      </c>
      <c r="AT266" t="s">
        <v>1995</v>
      </c>
      <c r="AU266" s="27">
        <v>33369</v>
      </c>
      <c r="AV266" s="20"/>
      <c r="AW266" s="20"/>
      <c r="AX266" s="20" t="s">
        <v>974</v>
      </c>
      <c r="AY266" s="20"/>
    </row>
    <row r="267" spans="1:51">
      <c r="A267" s="27">
        <v>43466</v>
      </c>
      <c r="B267" s="20" t="s">
        <v>198</v>
      </c>
      <c r="C267" s="20" t="s">
        <v>1997</v>
      </c>
      <c r="D267">
        <v>153</v>
      </c>
      <c r="E267">
        <v>153</v>
      </c>
      <c r="F267">
        <v>263</v>
      </c>
      <c r="G267">
        <v>263</v>
      </c>
      <c r="H267" s="20" t="s">
        <v>1998</v>
      </c>
      <c r="I267" s="20" t="s">
        <v>935</v>
      </c>
      <c r="J267" s="20" t="s">
        <v>936</v>
      </c>
      <c r="K267" s="20" t="s">
        <v>937</v>
      </c>
      <c r="M267">
        <v>267</v>
      </c>
      <c r="N267">
        <v>267</v>
      </c>
      <c r="O267">
        <v>1162.5</v>
      </c>
      <c r="P267">
        <v>4.3499999999999996</v>
      </c>
      <c r="R267">
        <v>550</v>
      </c>
      <c r="S267">
        <v>550</v>
      </c>
      <c r="T267">
        <v>127</v>
      </c>
      <c r="U267">
        <v>0.48099999999999998</v>
      </c>
      <c r="V267">
        <v>2</v>
      </c>
      <c r="W267">
        <v>0</v>
      </c>
      <c r="X267">
        <v>2</v>
      </c>
      <c r="Y267" t="s">
        <v>1999</v>
      </c>
      <c r="Z267">
        <v>46018</v>
      </c>
      <c r="AA267">
        <v>1.06</v>
      </c>
      <c r="AB267">
        <v>46018</v>
      </c>
      <c r="AC267">
        <v>1.06</v>
      </c>
      <c r="AD267">
        <v>12476</v>
      </c>
      <c r="AE267">
        <v>2133126</v>
      </c>
      <c r="AF267">
        <v>0.27110000000000001</v>
      </c>
      <c r="AG267">
        <v>519</v>
      </c>
      <c r="AH267">
        <v>5442401</v>
      </c>
      <c r="AI267">
        <v>4674</v>
      </c>
      <c r="AJ267">
        <v>564</v>
      </c>
      <c r="AK267" s="20" t="s">
        <v>956</v>
      </c>
      <c r="AL267" s="20" t="s">
        <v>991</v>
      </c>
      <c r="AM267" s="20" t="s">
        <v>982</v>
      </c>
      <c r="AN267" s="20" t="s">
        <v>989</v>
      </c>
      <c r="AO267" s="20" t="s">
        <v>963</v>
      </c>
      <c r="AP267">
        <v>6</v>
      </c>
      <c r="AQ267">
        <v>12</v>
      </c>
      <c r="AR267">
        <v>28</v>
      </c>
      <c r="AS267">
        <v>74</v>
      </c>
      <c r="AT267">
        <v>2</v>
      </c>
      <c r="AU267" s="27">
        <v>23773</v>
      </c>
      <c r="AV267" s="20"/>
      <c r="AW267" s="20"/>
      <c r="AX267" s="20"/>
      <c r="AY267" s="20"/>
    </row>
    <row r="268" spans="1:51">
      <c r="A268" s="27">
        <v>43466</v>
      </c>
      <c r="B268" s="20" t="s">
        <v>257</v>
      </c>
      <c r="C268" s="20" t="s">
        <v>2000</v>
      </c>
      <c r="D268">
        <v>221</v>
      </c>
      <c r="E268">
        <v>221</v>
      </c>
      <c r="F268">
        <v>337</v>
      </c>
      <c r="G268">
        <v>337</v>
      </c>
      <c r="H268" s="20" t="s">
        <v>2001</v>
      </c>
      <c r="I268" s="20" t="s">
        <v>935</v>
      </c>
      <c r="J268" s="20" t="s">
        <v>945</v>
      </c>
      <c r="K268" s="20" t="s">
        <v>937</v>
      </c>
      <c r="M268">
        <v>329</v>
      </c>
      <c r="N268">
        <v>331</v>
      </c>
      <c r="O268">
        <v>1614.5</v>
      </c>
      <c r="P268">
        <v>4.91</v>
      </c>
      <c r="R268">
        <v>828</v>
      </c>
      <c r="S268">
        <v>828</v>
      </c>
      <c r="T268">
        <v>96</v>
      </c>
      <c r="U268">
        <v>0.29299999999999998</v>
      </c>
      <c r="V268">
        <v>5</v>
      </c>
      <c r="W268">
        <v>0</v>
      </c>
      <c r="X268">
        <v>25</v>
      </c>
      <c r="Y268">
        <v>4</v>
      </c>
      <c r="Z268">
        <v>202058</v>
      </c>
      <c r="AA268">
        <v>4.6399999999999997</v>
      </c>
      <c r="AB268">
        <v>202058</v>
      </c>
      <c r="AC268">
        <v>4.6399999999999997</v>
      </c>
      <c r="AD268">
        <v>92431</v>
      </c>
      <c r="AE268">
        <v>3341149</v>
      </c>
      <c r="AF268">
        <v>0.45739999999999997</v>
      </c>
      <c r="AG268">
        <v>178</v>
      </c>
      <c r="AH268">
        <v>10070462</v>
      </c>
      <c r="AI268">
        <v>6212</v>
      </c>
      <c r="AJ268">
        <v>626</v>
      </c>
      <c r="AK268" s="20" t="s">
        <v>2002</v>
      </c>
      <c r="AL268" s="20" t="s">
        <v>2003</v>
      </c>
      <c r="AM268" s="20" t="s">
        <v>2004</v>
      </c>
      <c r="AN268" s="20" t="s">
        <v>1912</v>
      </c>
      <c r="AO268" s="20" t="s">
        <v>950</v>
      </c>
      <c r="AP268">
        <v>3</v>
      </c>
      <c r="AQ268">
        <v>8</v>
      </c>
      <c r="AR268">
        <v>25</v>
      </c>
      <c r="AS268">
        <v>56</v>
      </c>
      <c r="AT268">
        <v>36</v>
      </c>
      <c r="AU268" s="27">
        <v>26542</v>
      </c>
      <c r="AV268" s="20"/>
      <c r="AW268" s="20"/>
      <c r="AX268" s="20"/>
      <c r="AY268" s="20"/>
    </row>
    <row r="269" spans="1:51">
      <c r="A269" s="27">
        <v>43466</v>
      </c>
      <c r="B269" s="20" t="s">
        <v>258</v>
      </c>
      <c r="C269" s="20" t="s">
        <v>2000</v>
      </c>
      <c r="D269">
        <v>333</v>
      </c>
      <c r="E269">
        <v>221</v>
      </c>
      <c r="F269">
        <v>755</v>
      </c>
      <c r="G269">
        <v>755</v>
      </c>
      <c r="H269" s="20" t="s">
        <v>2005</v>
      </c>
      <c r="I269" s="20" t="s">
        <v>935</v>
      </c>
      <c r="J269" s="20" t="s">
        <v>945</v>
      </c>
      <c r="K269" s="20" t="s">
        <v>1080</v>
      </c>
      <c r="M269">
        <v>150</v>
      </c>
      <c r="N269">
        <v>150</v>
      </c>
      <c r="O269">
        <v>525</v>
      </c>
      <c r="P269">
        <v>3.5</v>
      </c>
      <c r="R269">
        <v>166</v>
      </c>
      <c r="S269">
        <v>166</v>
      </c>
      <c r="T269">
        <v>135</v>
      </c>
      <c r="U269">
        <v>0.91200000000000003</v>
      </c>
      <c r="V269">
        <v>1</v>
      </c>
      <c r="W269">
        <v>0</v>
      </c>
      <c r="X269">
        <v>1</v>
      </c>
      <c r="Y269">
        <v>7</v>
      </c>
      <c r="Z269">
        <v>70050</v>
      </c>
      <c r="AA269">
        <v>1.61</v>
      </c>
      <c r="AB269">
        <v>70050</v>
      </c>
      <c r="AC269">
        <v>1.61</v>
      </c>
      <c r="AD269">
        <v>16458</v>
      </c>
      <c r="AE269">
        <v>1044874</v>
      </c>
      <c r="AF269">
        <v>0.2349</v>
      </c>
      <c r="AG269">
        <v>103</v>
      </c>
      <c r="AH269">
        <v>9991893</v>
      </c>
      <c r="AI269">
        <v>19032</v>
      </c>
      <c r="AJ269">
        <v>396</v>
      </c>
      <c r="AK269" s="20" t="s">
        <v>2002</v>
      </c>
      <c r="AL269" s="20" t="s">
        <v>2003</v>
      </c>
      <c r="AM269" s="20" t="s">
        <v>2004</v>
      </c>
      <c r="AN269" s="20" t="s">
        <v>1909</v>
      </c>
      <c r="AO269" s="20" t="s">
        <v>950</v>
      </c>
      <c r="AP269">
        <v>3</v>
      </c>
      <c r="AQ269">
        <v>8</v>
      </c>
      <c r="AR269">
        <v>25</v>
      </c>
      <c r="AS269">
        <v>56</v>
      </c>
      <c r="AT269">
        <v>36</v>
      </c>
      <c r="AU269" s="27">
        <v>31471</v>
      </c>
      <c r="AV269" s="20"/>
      <c r="AW269" s="20" t="s">
        <v>1081</v>
      </c>
      <c r="AX269" s="20" t="s">
        <v>974</v>
      </c>
      <c r="AY269" s="20"/>
    </row>
    <row r="270" spans="1:51">
      <c r="A270" s="27">
        <v>43466</v>
      </c>
      <c r="B270" s="20" t="s">
        <v>45</v>
      </c>
      <c r="C270" s="20" t="s">
        <v>975</v>
      </c>
      <c r="D270">
        <v>73</v>
      </c>
      <c r="E270">
        <v>73</v>
      </c>
      <c r="F270">
        <v>538</v>
      </c>
      <c r="G270">
        <v>538</v>
      </c>
      <c r="H270" s="20" t="s">
        <v>2006</v>
      </c>
      <c r="I270" s="20" t="s">
        <v>935</v>
      </c>
      <c r="J270" s="20" t="s">
        <v>936</v>
      </c>
      <c r="K270" s="20" t="s">
        <v>937</v>
      </c>
      <c r="M270">
        <v>1098</v>
      </c>
      <c r="N270">
        <v>1099</v>
      </c>
      <c r="O270">
        <v>5007</v>
      </c>
      <c r="P270">
        <v>4.5599999999999996</v>
      </c>
      <c r="R270">
        <v>2288</v>
      </c>
      <c r="S270">
        <v>2288</v>
      </c>
      <c r="T270">
        <v>470</v>
      </c>
      <c r="U270">
        <v>0.432</v>
      </c>
      <c r="V270">
        <v>13</v>
      </c>
      <c r="W270">
        <v>0</v>
      </c>
      <c r="X270">
        <v>24</v>
      </c>
      <c r="Y270">
        <v>43658</v>
      </c>
      <c r="Z270">
        <v>963265</v>
      </c>
      <c r="AA270">
        <v>22.11</v>
      </c>
      <c r="AB270">
        <v>905577</v>
      </c>
      <c r="AC270">
        <v>20.79</v>
      </c>
      <c r="AD270">
        <v>131812</v>
      </c>
      <c r="AE270">
        <v>8881677</v>
      </c>
      <c r="AF270">
        <v>0.1368</v>
      </c>
      <c r="AG270">
        <v>103</v>
      </c>
      <c r="AH270">
        <v>18007000</v>
      </c>
      <c r="AI270">
        <v>3608</v>
      </c>
      <c r="AJ270">
        <v>528</v>
      </c>
      <c r="AK270" s="20" t="s">
        <v>1219</v>
      </c>
      <c r="AL270" s="20" t="s">
        <v>1912</v>
      </c>
      <c r="AM270" s="20" t="s">
        <v>979</v>
      </c>
      <c r="AN270" s="20" t="s">
        <v>1095</v>
      </c>
      <c r="AO270" s="20" t="s">
        <v>950</v>
      </c>
      <c r="AP270">
        <v>3</v>
      </c>
      <c r="AQ270">
        <v>8</v>
      </c>
      <c r="AR270">
        <v>18</v>
      </c>
      <c r="AS270">
        <v>56</v>
      </c>
      <c r="AT270">
        <v>36</v>
      </c>
      <c r="AU270" s="27">
        <v>21319</v>
      </c>
      <c r="AV270" s="20" t="s">
        <v>1028</v>
      </c>
      <c r="AW270" s="20"/>
      <c r="AX270" s="20"/>
      <c r="AY270" s="20"/>
    </row>
    <row r="271" spans="1:51">
      <c r="A271" s="27">
        <v>43466</v>
      </c>
      <c r="B271" s="20" t="s">
        <v>367</v>
      </c>
      <c r="C271" s="20" t="s">
        <v>1287</v>
      </c>
      <c r="D271">
        <v>170</v>
      </c>
      <c r="E271">
        <v>170</v>
      </c>
      <c r="F271">
        <v>278</v>
      </c>
      <c r="G271">
        <v>278</v>
      </c>
      <c r="H271" s="20" t="s">
        <v>2007</v>
      </c>
      <c r="I271" s="20" t="s">
        <v>935</v>
      </c>
      <c r="J271" s="20" t="s">
        <v>936</v>
      </c>
      <c r="K271" s="20" t="s">
        <v>937</v>
      </c>
      <c r="M271">
        <v>594</v>
      </c>
      <c r="N271">
        <v>600</v>
      </c>
      <c r="O271">
        <v>2550</v>
      </c>
      <c r="P271">
        <v>4.29</v>
      </c>
      <c r="R271">
        <v>1141</v>
      </c>
      <c r="S271">
        <v>1141</v>
      </c>
      <c r="T271">
        <v>358</v>
      </c>
      <c r="U271">
        <v>0.61699999999999999</v>
      </c>
      <c r="V271">
        <v>5</v>
      </c>
      <c r="W271">
        <v>0</v>
      </c>
      <c r="X271">
        <v>5</v>
      </c>
      <c r="Y271" t="s">
        <v>1520</v>
      </c>
      <c r="Z271">
        <v>323050</v>
      </c>
      <c r="AA271">
        <v>7.42</v>
      </c>
      <c r="AB271">
        <v>323050</v>
      </c>
      <c r="AC271">
        <v>7.42</v>
      </c>
      <c r="AD271">
        <v>36810</v>
      </c>
      <c r="AE271">
        <v>5005316</v>
      </c>
      <c r="AF271">
        <v>0.1139</v>
      </c>
      <c r="AG271">
        <v>154</v>
      </c>
      <c r="AH271">
        <v>13577964</v>
      </c>
      <c r="AI271">
        <v>5261</v>
      </c>
      <c r="AJ271">
        <v>450</v>
      </c>
      <c r="AK271" s="20" t="s">
        <v>2008</v>
      </c>
      <c r="AL271" s="20" t="s">
        <v>1228</v>
      </c>
      <c r="AM271" s="20" t="s">
        <v>1506</v>
      </c>
      <c r="AN271" s="20" t="s">
        <v>1230</v>
      </c>
      <c r="AO271" s="20" t="s">
        <v>950</v>
      </c>
      <c r="AP271">
        <v>13</v>
      </c>
      <c r="AQ271">
        <v>8</v>
      </c>
      <c r="AR271">
        <v>23</v>
      </c>
      <c r="AS271">
        <v>46</v>
      </c>
      <c r="AT271">
        <v>47</v>
      </c>
      <c r="AU271" s="27">
        <v>25384</v>
      </c>
      <c r="AV271" s="20"/>
      <c r="AW271" s="20" t="s">
        <v>1040</v>
      </c>
      <c r="AX271" s="20"/>
      <c r="AY271" s="20"/>
    </row>
    <row r="272" spans="1:51">
      <c r="A272" s="27">
        <v>43466</v>
      </c>
      <c r="B272" s="20" t="s">
        <v>368</v>
      </c>
      <c r="C272" s="20" t="s">
        <v>943</v>
      </c>
      <c r="D272">
        <v>369</v>
      </c>
      <c r="E272">
        <v>167</v>
      </c>
      <c r="F272">
        <v>807</v>
      </c>
      <c r="G272">
        <v>203</v>
      </c>
      <c r="H272" s="20" t="s">
        <v>2009</v>
      </c>
      <c r="I272" s="20" t="s">
        <v>935</v>
      </c>
      <c r="J272" s="20" t="s">
        <v>945</v>
      </c>
      <c r="K272" s="20" t="s">
        <v>953</v>
      </c>
      <c r="M272">
        <v>100</v>
      </c>
      <c r="N272">
        <v>100</v>
      </c>
      <c r="O272">
        <v>467</v>
      </c>
      <c r="P272">
        <v>4.67</v>
      </c>
      <c r="R272">
        <v>254</v>
      </c>
      <c r="S272">
        <v>254</v>
      </c>
      <c r="T272">
        <v>19</v>
      </c>
      <c r="U272">
        <v>0.192</v>
      </c>
      <c r="V272">
        <v>3</v>
      </c>
      <c r="W272">
        <v>0</v>
      </c>
      <c r="X272">
        <v>3</v>
      </c>
      <c r="Y272">
        <v>43561</v>
      </c>
      <c r="Z272">
        <v>37500</v>
      </c>
      <c r="AA272">
        <v>0.86</v>
      </c>
      <c r="AB272">
        <v>37500</v>
      </c>
      <c r="AC272">
        <v>0.86</v>
      </c>
      <c r="AD272">
        <v>21424</v>
      </c>
      <c r="AE272">
        <v>1011839</v>
      </c>
      <c r="AF272">
        <v>0.57130000000000003</v>
      </c>
      <c r="AG272">
        <v>295</v>
      </c>
      <c r="AH272">
        <v>9370007</v>
      </c>
      <c r="AI272">
        <v>20064</v>
      </c>
      <c r="AJ272">
        <v>678</v>
      </c>
      <c r="AK272" s="20" t="s">
        <v>948</v>
      </c>
      <c r="AL272" s="20" t="s">
        <v>2010</v>
      </c>
      <c r="AM272" s="20" t="s">
        <v>1467</v>
      </c>
      <c r="AN272" s="20"/>
      <c r="AO272" s="20" t="s">
        <v>950</v>
      </c>
      <c r="AP272">
        <v>16</v>
      </c>
      <c r="AQ272">
        <v>9</v>
      </c>
      <c r="AR272">
        <v>20</v>
      </c>
      <c r="AS272">
        <v>55</v>
      </c>
      <c r="AT272">
        <v>41</v>
      </c>
      <c r="AU272" s="27">
        <v>34942</v>
      </c>
      <c r="AV272" s="20"/>
      <c r="AW272" s="20"/>
      <c r="AX272" s="20" t="s">
        <v>974</v>
      </c>
      <c r="AY272" s="20"/>
    </row>
    <row r="273" spans="1:51">
      <c r="A273" s="27">
        <v>43466</v>
      </c>
      <c r="B273" s="20" t="s">
        <v>128</v>
      </c>
      <c r="C273" s="20" t="s">
        <v>958</v>
      </c>
      <c r="D273">
        <v>97</v>
      </c>
      <c r="E273">
        <v>97</v>
      </c>
      <c r="F273">
        <v>261</v>
      </c>
      <c r="G273">
        <v>261</v>
      </c>
      <c r="H273" s="20" t="s">
        <v>2011</v>
      </c>
      <c r="I273" s="20" t="s">
        <v>935</v>
      </c>
      <c r="J273" s="20" t="s">
        <v>936</v>
      </c>
      <c r="K273" s="20" t="s">
        <v>937</v>
      </c>
      <c r="M273">
        <v>1463</v>
      </c>
      <c r="N273">
        <v>1470</v>
      </c>
      <c r="O273">
        <v>6597.5</v>
      </c>
      <c r="P273">
        <v>4.51</v>
      </c>
      <c r="R273">
        <v>3074</v>
      </c>
      <c r="S273">
        <v>3074</v>
      </c>
      <c r="T273">
        <v>588</v>
      </c>
      <c r="U273">
        <v>0.40699999999999997</v>
      </c>
      <c r="V273">
        <v>9</v>
      </c>
      <c r="W273">
        <v>1</v>
      </c>
      <c r="X273">
        <v>19</v>
      </c>
      <c r="Y273">
        <v>19</v>
      </c>
      <c r="Z273">
        <v>537645</v>
      </c>
      <c r="AA273">
        <v>12.34</v>
      </c>
      <c r="AB273">
        <v>537645</v>
      </c>
      <c r="AC273">
        <v>12.34</v>
      </c>
      <c r="AD273">
        <v>105527</v>
      </c>
      <c r="AE273">
        <v>13161342</v>
      </c>
      <c r="AF273">
        <v>0.1963</v>
      </c>
      <c r="AG273">
        <v>249</v>
      </c>
      <c r="AH273">
        <v>28867029</v>
      </c>
      <c r="AI273">
        <v>4367</v>
      </c>
      <c r="AJ273">
        <v>539</v>
      </c>
      <c r="AK273" s="20" t="s">
        <v>985</v>
      </c>
      <c r="AL273" s="20" t="s">
        <v>1586</v>
      </c>
      <c r="AM273" s="20" t="s">
        <v>1219</v>
      </c>
      <c r="AN273" s="20" t="s">
        <v>1593</v>
      </c>
      <c r="AO273" s="20" t="s">
        <v>963</v>
      </c>
      <c r="AP273">
        <v>11</v>
      </c>
      <c r="AQ273">
        <v>13</v>
      </c>
      <c r="AR273">
        <v>30</v>
      </c>
      <c r="AS273">
        <v>68</v>
      </c>
      <c r="AT273" t="s">
        <v>2012</v>
      </c>
      <c r="AU273" s="27">
        <v>23011</v>
      </c>
      <c r="AV273" s="20"/>
      <c r="AW273" s="20"/>
      <c r="AX273" s="20"/>
      <c r="AY273" s="20"/>
    </row>
    <row r="274" spans="1:51">
      <c r="A274" s="27">
        <v>43466</v>
      </c>
      <c r="B274" s="20" t="s">
        <v>369</v>
      </c>
      <c r="C274" s="20" t="s">
        <v>943</v>
      </c>
      <c r="D274">
        <v>354</v>
      </c>
      <c r="E274">
        <v>167</v>
      </c>
      <c r="F274">
        <v>775</v>
      </c>
      <c r="G274">
        <v>763</v>
      </c>
      <c r="H274" s="20" t="s">
        <v>2013</v>
      </c>
      <c r="I274" s="20" t="s">
        <v>935</v>
      </c>
      <c r="J274" s="20" t="s">
        <v>945</v>
      </c>
      <c r="K274" s="20" t="s">
        <v>953</v>
      </c>
      <c r="M274">
        <v>155</v>
      </c>
      <c r="N274">
        <v>155</v>
      </c>
      <c r="O274">
        <v>687.5</v>
      </c>
      <c r="P274">
        <v>4.4400000000000004</v>
      </c>
      <c r="R274">
        <v>349</v>
      </c>
      <c r="S274">
        <v>349</v>
      </c>
      <c r="T274">
        <v>39</v>
      </c>
      <c r="U274">
        <v>0.255</v>
      </c>
      <c r="V274">
        <v>8</v>
      </c>
      <c r="W274">
        <v>0</v>
      </c>
      <c r="X274">
        <v>8</v>
      </c>
      <c r="Y274">
        <v>4</v>
      </c>
      <c r="Z274">
        <v>64755</v>
      </c>
      <c r="AA274">
        <v>1.49</v>
      </c>
      <c r="AB274">
        <v>64755</v>
      </c>
      <c r="AC274">
        <v>1.49</v>
      </c>
      <c r="AD274">
        <v>37312</v>
      </c>
      <c r="AE274">
        <v>1679040</v>
      </c>
      <c r="AF274">
        <v>0.57620000000000005</v>
      </c>
      <c r="AG274">
        <v>234</v>
      </c>
      <c r="AH274">
        <v>10106270</v>
      </c>
      <c r="AI274">
        <v>14721</v>
      </c>
      <c r="AJ274">
        <v>532</v>
      </c>
      <c r="AK274" s="20" t="s">
        <v>948</v>
      </c>
      <c r="AL274" s="20" t="s">
        <v>1556</v>
      </c>
      <c r="AM274" s="20" t="s">
        <v>1184</v>
      </c>
      <c r="AN274" s="20" t="s">
        <v>947</v>
      </c>
      <c r="AO274" s="20" t="s">
        <v>950</v>
      </c>
      <c r="AP274">
        <v>16</v>
      </c>
      <c r="AQ274">
        <v>9</v>
      </c>
      <c r="AR274">
        <v>20</v>
      </c>
      <c r="AS274">
        <v>55</v>
      </c>
      <c r="AT274">
        <v>41</v>
      </c>
      <c r="AU274" s="27">
        <v>31436</v>
      </c>
      <c r="AV274" s="20"/>
      <c r="AW274" s="20"/>
      <c r="AX274" s="20" t="s">
        <v>974</v>
      </c>
      <c r="AY274" s="20"/>
    </row>
    <row r="275" spans="1:51">
      <c r="A275" s="27">
        <v>43466</v>
      </c>
      <c r="B275" s="20" t="s">
        <v>370</v>
      </c>
      <c r="C275" s="20" t="s">
        <v>2014</v>
      </c>
      <c r="D275">
        <v>234</v>
      </c>
      <c r="E275">
        <v>234</v>
      </c>
      <c r="F275">
        <v>358</v>
      </c>
      <c r="G275">
        <v>358</v>
      </c>
      <c r="H275" s="20" t="s">
        <v>2015</v>
      </c>
      <c r="I275" s="20" t="s">
        <v>935</v>
      </c>
      <c r="J275" s="20" t="s">
        <v>945</v>
      </c>
      <c r="K275" s="20" t="s">
        <v>937</v>
      </c>
      <c r="M275">
        <v>525</v>
      </c>
      <c r="N275">
        <v>525</v>
      </c>
      <c r="O275">
        <v>2465.5</v>
      </c>
      <c r="P275">
        <v>4.7</v>
      </c>
      <c r="R275">
        <v>1226</v>
      </c>
      <c r="S275">
        <v>1226</v>
      </c>
      <c r="T275">
        <v>227</v>
      </c>
      <c r="U275">
        <v>0.438</v>
      </c>
      <c r="V275">
        <v>5</v>
      </c>
      <c r="W275">
        <v>1</v>
      </c>
      <c r="X275">
        <v>6</v>
      </c>
      <c r="Y275" t="s">
        <v>2016</v>
      </c>
      <c r="Z275">
        <v>183100</v>
      </c>
      <c r="AA275">
        <v>4.2</v>
      </c>
      <c r="AB275">
        <v>183100</v>
      </c>
      <c r="AC275">
        <v>4.2</v>
      </c>
      <c r="AD275">
        <v>57205</v>
      </c>
      <c r="AE275">
        <v>5051383</v>
      </c>
      <c r="AF275">
        <v>0.31240000000000001</v>
      </c>
      <c r="AG275">
        <v>292</v>
      </c>
      <c r="AH275">
        <v>20178024</v>
      </c>
      <c r="AI275">
        <v>8118</v>
      </c>
      <c r="AJ275">
        <v>477</v>
      </c>
      <c r="AK275" s="20" t="s">
        <v>1115</v>
      </c>
      <c r="AL275" s="20" t="s">
        <v>1571</v>
      </c>
      <c r="AM275" s="20" t="s">
        <v>2017</v>
      </c>
      <c r="AN275" s="20"/>
      <c r="AO275" s="20" t="s">
        <v>950</v>
      </c>
      <c r="AP275">
        <v>1</v>
      </c>
      <c r="AQ275">
        <v>7</v>
      </c>
      <c r="AR275">
        <v>18</v>
      </c>
      <c r="AS275">
        <v>50</v>
      </c>
      <c r="AT275">
        <v>33</v>
      </c>
      <c r="AU275" s="27">
        <v>27210</v>
      </c>
      <c r="AV275" s="20"/>
      <c r="AW275" s="20"/>
      <c r="AX275" s="20"/>
      <c r="AY275" s="20"/>
    </row>
    <row r="276" spans="1:51">
      <c r="A276" s="27">
        <v>43466</v>
      </c>
      <c r="B276" s="20" t="s">
        <v>149</v>
      </c>
      <c r="C276" s="20" t="s">
        <v>951</v>
      </c>
      <c r="D276">
        <v>223</v>
      </c>
      <c r="E276">
        <v>308</v>
      </c>
      <c r="F276">
        <v>344</v>
      </c>
      <c r="G276">
        <v>344</v>
      </c>
      <c r="H276" s="20" t="s">
        <v>2018</v>
      </c>
      <c r="I276" s="20" t="s">
        <v>935</v>
      </c>
      <c r="J276" s="20" t="s">
        <v>945</v>
      </c>
      <c r="K276" s="20" t="s">
        <v>937</v>
      </c>
      <c r="M276">
        <v>90</v>
      </c>
      <c r="N276">
        <v>90</v>
      </c>
      <c r="O276">
        <v>352</v>
      </c>
      <c r="P276">
        <v>3.91</v>
      </c>
      <c r="R276">
        <v>185</v>
      </c>
      <c r="S276">
        <v>185</v>
      </c>
      <c r="T276">
        <v>41</v>
      </c>
      <c r="U276">
        <v>0.46100000000000002</v>
      </c>
      <c r="V276">
        <v>1</v>
      </c>
      <c r="W276">
        <v>0</v>
      </c>
      <c r="X276">
        <v>1</v>
      </c>
      <c r="Y276">
        <v>6</v>
      </c>
      <c r="Z276">
        <v>27481</v>
      </c>
      <c r="AA276">
        <v>0.63</v>
      </c>
      <c r="AB276">
        <v>27481</v>
      </c>
      <c r="AC276">
        <v>0.63</v>
      </c>
      <c r="AD276">
        <v>12354</v>
      </c>
      <c r="AE276">
        <v>816812</v>
      </c>
      <c r="AF276">
        <v>0.44950000000000001</v>
      </c>
      <c r="AG276">
        <v>294</v>
      </c>
      <c r="AH276">
        <v>2296895</v>
      </c>
      <c r="AI276">
        <v>6363</v>
      </c>
      <c r="AJ276">
        <v>463</v>
      </c>
      <c r="AK276" s="20" t="s">
        <v>1268</v>
      </c>
      <c r="AL276" s="20" t="s">
        <v>954</v>
      </c>
      <c r="AM276" s="20" t="s">
        <v>1265</v>
      </c>
      <c r="AN276" s="20" t="s">
        <v>1266</v>
      </c>
      <c r="AO276" s="20" t="s">
        <v>942</v>
      </c>
      <c r="AP276">
        <v>4</v>
      </c>
      <c r="AQ276">
        <v>15</v>
      </c>
      <c r="AR276">
        <v>32</v>
      </c>
      <c r="AS276">
        <v>77</v>
      </c>
      <c r="AT276">
        <v>16</v>
      </c>
      <c r="AU276" s="27">
        <v>26206</v>
      </c>
      <c r="AV276" s="20"/>
      <c r="AW276" s="20"/>
      <c r="AX276" s="20"/>
      <c r="AY276" s="20"/>
    </row>
    <row r="277" spans="1:51">
      <c r="A277" s="27">
        <v>43466</v>
      </c>
      <c r="B277" s="20" t="s">
        <v>371</v>
      </c>
      <c r="C277" s="20" t="s">
        <v>1332</v>
      </c>
      <c r="D277">
        <v>268</v>
      </c>
      <c r="E277">
        <v>127</v>
      </c>
      <c r="F277">
        <v>387</v>
      </c>
      <c r="G277">
        <v>259</v>
      </c>
      <c r="H277" s="20" t="s">
        <v>2019</v>
      </c>
      <c r="I277" s="20" t="s">
        <v>935</v>
      </c>
      <c r="J277" s="20" t="s">
        <v>945</v>
      </c>
      <c r="K277" s="20" t="s">
        <v>1080</v>
      </c>
      <c r="M277">
        <v>87</v>
      </c>
      <c r="N277">
        <v>87</v>
      </c>
      <c r="O277">
        <v>304.5</v>
      </c>
      <c r="P277">
        <v>3.5</v>
      </c>
      <c r="R277">
        <v>96</v>
      </c>
      <c r="S277">
        <v>96</v>
      </c>
      <c r="T277">
        <v>75</v>
      </c>
      <c r="U277">
        <v>0.872</v>
      </c>
      <c r="V277">
        <v>1</v>
      </c>
      <c r="W277">
        <v>0</v>
      </c>
      <c r="X277">
        <v>1</v>
      </c>
      <c r="Y277">
        <v>11</v>
      </c>
      <c r="Z277">
        <v>9410</v>
      </c>
      <c r="AA277">
        <v>0.22</v>
      </c>
      <c r="AB277">
        <v>9410</v>
      </c>
      <c r="AC277">
        <v>0.22</v>
      </c>
      <c r="AD277">
        <v>6641</v>
      </c>
      <c r="AE277">
        <v>652000</v>
      </c>
      <c r="AF277">
        <v>0.70569999999999999</v>
      </c>
      <c r="AG277">
        <v>436</v>
      </c>
      <c r="AH277">
        <v>11188636</v>
      </c>
      <c r="AI277">
        <v>36744</v>
      </c>
      <c r="AJ277">
        <v>375</v>
      </c>
      <c r="AK277" s="20" t="s">
        <v>2020</v>
      </c>
      <c r="AL277" s="20" t="s">
        <v>971</v>
      </c>
      <c r="AM277" s="20" t="s">
        <v>2021</v>
      </c>
      <c r="AN277" s="20" t="s">
        <v>973</v>
      </c>
      <c r="AO277" s="20" t="s">
        <v>963</v>
      </c>
      <c r="AP277">
        <v>7</v>
      </c>
      <c r="AQ277">
        <v>10</v>
      </c>
      <c r="AR277">
        <v>30</v>
      </c>
      <c r="AS277">
        <v>69</v>
      </c>
      <c r="AT277">
        <v>6</v>
      </c>
      <c r="AU277" s="27">
        <v>34577</v>
      </c>
      <c r="AV277" s="20"/>
      <c r="AW277" s="20" t="s">
        <v>1081</v>
      </c>
      <c r="AX277" s="20" t="s">
        <v>974</v>
      </c>
      <c r="AY277" s="20"/>
    </row>
    <row r="278" spans="1:51">
      <c r="A278" s="27">
        <v>43466</v>
      </c>
      <c r="B278" s="20" t="s">
        <v>217</v>
      </c>
      <c r="C278" s="20" t="s">
        <v>1834</v>
      </c>
      <c r="D278">
        <v>63</v>
      </c>
      <c r="E278">
        <v>63</v>
      </c>
      <c r="F278">
        <v>218</v>
      </c>
      <c r="G278">
        <v>218</v>
      </c>
      <c r="H278" s="20" t="s">
        <v>2022</v>
      </c>
      <c r="I278" s="20" t="s">
        <v>935</v>
      </c>
      <c r="J278" s="20" t="s">
        <v>936</v>
      </c>
      <c r="K278" s="20" t="s">
        <v>937</v>
      </c>
      <c r="M278">
        <v>1182</v>
      </c>
      <c r="N278">
        <v>1185</v>
      </c>
      <c r="O278">
        <v>5423</v>
      </c>
      <c r="P278">
        <v>4.59</v>
      </c>
      <c r="R278">
        <v>2648</v>
      </c>
      <c r="S278">
        <v>2648</v>
      </c>
      <c r="T278">
        <v>407</v>
      </c>
      <c r="U278">
        <v>0.34899999999999998</v>
      </c>
      <c r="V278">
        <v>29</v>
      </c>
      <c r="W278">
        <v>2</v>
      </c>
      <c r="X278">
        <v>66</v>
      </c>
      <c r="Y278">
        <v>43531</v>
      </c>
      <c r="Z278">
        <v>1430081</v>
      </c>
      <c r="AA278">
        <v>32.83</v>
      </c>
      <c r="AB278">
        <v>1430081</v>
      </c>
      <c r="AC278">
        <v>32.83</v>
      </c>
      <c r="AD278">
        <v>228989</v>
      </c>
      <c r="AE278">
        <v>11440850</v>
      </c>
      <c r="AF278">
        <v>0.16009999999999999</v>
      </c>
      <c r="AG278">
        <v>81</v>
      </c>
      <c r="AH278">
        <v>15541569</v>
      </c>
      <c r="AI278">
        <v>2859</v>
      </c>
      <c r="AJ278">
        <v>540</v>
      </c>
      <c r="AK278" s="20" t="s">
        <v>1836</v>
      </c>
      <c r="AL278" s="20" t="s">
        <v>2023</v>
      </c>
      <c r="AM278" s="20" t="s">
        <v>2024</v>
      </c>
      <c r="AN278" s="20" t="s">
        <v>1837</v>
      </c>
      <c r="AO278" s="20" t="s">
        <v>942</v>
      </c>
      <c r="AP278">
        <v>10</v>
      </c>
      <c r="AQ278">
        <v>14</v>
      </c>
      <c r="AR278">
        <v>34</v>
      </c>
      <c r="AS278">
        <v>82</v>
      </c>
      <c r="AT278">
        <v>13</v>
      </c>
      <c r="AU278" s="27">
        <v>19690</v>
      </c>
      <c r="AV278" s="20"/>
      <c r="AW278" s="20"/>
      <c r="AX278" s="20"/>
      <c r="AY278" s="20"/>
    </row>
    <row r="279" spans="1:51">
      <c r="A279" s="27">
        <v>43466</v>
      </c>
      <c r="B279" s="20" t="s">
        <v>225</v>
      </c>
      <c r="C279" s="20" t="s">
        <v>1834</v>
      </c>
      <c r="D279">
        <v>193</v>
      </c>
      <c r="E279">
        <v>63</v>
      </c>
      <c r="F279">
        <v>303</v>
      </c>
      <c r="G279">
        <v>218</v>
      </c>
      <c r="H279" s="20" t="s">
        <v>2025</v>
      </c>
      <c r="I279" s="20" t="s">
        <v>935</v>
      </c>
      <c r="J279" s="20" t="s">
        <v>936</v>
      </c>
      <c r="K279" s="20" t="s">
        <v>937</v>
      </c>
      <c r="M279">
        <v>287</v>
      </c>
      <c r="N279">
        <v>287</v>
      </c>
      <c r="O279">
        <v>1330.5</v>
      </c>
      <c r="P279">
        <v>4.6399999999999997</v>
      </c>
      <c r="R279">
        <v>692</v>
      </c>
      <c r="S279">
        <v>692</v>
      </c>
      <c r="T279">
        <v>112</v>
      </c>
      <c r="U279">
        <v>0.4</v>
      </c>
      <c r="V279">
        <v>4</v>
      </c>
      <c r="W279">
        <v>0</v>
      </c>
      <c r="X279">
        <v>4</v>
      </c>
      <c r="Y279">
        <v>43688</v>
      </c>
      <c r="Z279">
        <v>384899</v>
      </c>
      <c r="AA279">
        <v>8.84</v>
      </c>
      <c r="AB279">
        <v>384899</v>
      </c>
      <c r="AC279">
        <v>8.84</v>
      </c>
      <c r="AD279">
        <v>39315</v>
      </c>
      <c r="AE279">
        <v>2755918</v>
      </c>
      <c r="AF279">
        <v>0.1021</v>
      </c>
      <c r="AG279">
        <v>78</v>
      </c>
      <c r="AH279">
        <v>7405898</v>
      </c>
      <c r="AI279">
        <v>5523</v>
      </c>
      <c r="AJ279">
        <v>542</v>
      </c>
      <c r="AK279" s="20" t="s">
        <v>2026</v>
      </c>
      <c r="AL279" s="20" t="s">
        <v>2027</v>
      </c>
      <c r="AM279" s="20" t="s">
        <v>1836</v>
      </c>
      <c r="AN279" s="20" t="s">
        <v>2028</v>
      </c>
      <c r="AO279" s="20" t="s">
        <v>942</v>
      </c>
      <c r="AP279">
        <v>10</v>
      </c>
      <c r="AQ279">
        <v>14</v>
      </c>
      <c r="AR279">
        <v>34</v>
      </c>
      <c r="AS279">
        <v>82</v>
      </c>
      <c r="AT279">
        <v>13</v>
      </c>
      <c r="AU279" s="27">
        <v>26206</v>
      </c>
      <c r="AV279" s="20"/>
      <c r="AW279" s="20"/>
      <c r="AX279" s="20"/>
      <c r="AY279" s="20"/>
    </row>
    <row r="280" spans="1:51">
      <c r="A280" s="27">
        <v>43466</v>
      </c>
      <c r="B280" s="20" t="s">
        <v>270</v>
      </c>
      <c r="C280" s="20" t="s">
        <v>1553</v>
      </c>
      <c r="D280">
        <v>96</v>
      </c>
      <c r="E280">
        <v>96</v>
      </c>
      <c r="F280">
        <v>233</v>
      </c>
      <c r="G280">
        <v>233</v>
      </c>
      <c r="H280" s="20" t="s">
        <v>2029</v>
      </c>
      <c r="I280" s="20" t="s">
        <v>935</v>
      </c>
      <c r="J280" s="20" t="s">
        <v>936</v>
      </c>
      <c r="K280" s="20" t="s">
        <v>937</v>
      </c>
      <c r="M280">
        <v>998</v>
      </c>
      <c r="N280">
        <v>998</v>
      </c>
      <c r="O280">
        <v>4750</v>
      </c>
      <c r="P280">
        <v>4.76</v>
      </c>
      <c r="R280">
        <v>2556</v>
      </c>
      <c r="S280">
        <v>2556</v>
      </c>
      <c r="T280">
        <v>326</v>
      </c>
      <c r="U280">
        <v>0.33200000000000002</v>
      </c>
      <c r="V280">
        <v>8</v>
      </c>
      <c r="W280">
        <v>1</v>
      </c>
      <c r="X280">
        <v>9</v>
      </c>
      <c r="Y280">
        <v>16</v>
      </c>
      <c r="Z280">
        <v>465764</v>
      </c>
      <c r="AA280">
        <v>10.69</v>
      </c>
      <c r="AB280">
        <v>465764</v>
      </c>
      <c r="AC280">
        <v>10.69</v>
      </c>
      <c r="AD280">
        <v>66416</v>
      </c>
      <c r="AE280">
        <v>8888637</v>
      </c>
      <c r="AF280">
        <v>0.1426</v>
      </c>
      <c r="AG280">
        <v>239</v>
      </c>
      <c r="AH280">
        <v>14827430</v>
      </c>
      <c r="AI280">
        <v>3122</v>
      </c>
      <c r="AJ280">
        <v>492</v>
      </c>
      <c r="AK280" s="20" t="s">
        <v>1184</v>
      </c>
      <c r="AL280" s="20" t="s">
        <v>1185</v>
      </c>
      <c r="AM280" s="20" t="s">
        <v>2030</v>
      </c>
      <c r="AN280" s="20" t="s">
        <v>1186</v>
      </c>
      <c r="AO280" s="20" t="s">
        <v>950</v>
      </c>
      <c r="AP280">
        <v>16</v>
      </c>
      <c r="AQ280">
        <v>9</v>
      </c>
      <c r="AR280">
        <v>20</v>
      </c>
      <c r="AS280">
        <v>55</v>
      </c>
      <c r="AT280">
        <v>41</v>
      </c>
      <c r="AU280" s="27">
        <v>22462</v>
      </c>
      <c r="AV280" s="20"/>
      <c r="AW280" s="20"/>
      <c r="AX280" s="20"/>
      <c r="AY280" s="20"/>
    </row>
    <row r="281" spans="1:51">
      <c r="A281" s="27">
        <v>43466</v>
      </c>
      <c r="B281" s="20" t="s">
        <v>288</v>
      </c>
      <c r="C281" s="20" t="s">
        <v>1102</v>
      </c>
      <c r="D281">
        <v>42</v>
      </c>
      <c r="E281">
        <v>42</v>
      </c>
      <c r="F281">
        <v>583</v>
      </c>
      <c r="G281">
        <v>583</v>
      </c>
      <c r="H281" s="20" t="s">
        <v>2031</v>
      </c>
      <c r="I281" s="20" t="s">
        <v>935</v>
      </c>
      <c r="J281" s="20" t="s">
        <v>936</v>
      </c>
      <c r="K281" s="20" t="s">
        <v>937</v>
      </c>
      <c r="M281">
        <v>502</v>
      </c>
      <c r="N281">
        <v>502</v>
      </c>
      <c r="O281">
        <v>2174</v>
      </c>
      <c r="P281">
        <v>4.33</v>
      </c>
      <c r="R281">
        <v>1005</v>
      </c>
      <c r="S281">
        <v>1005</v>
      </c>
      <c r="T281">
        <v>190</v>
      </c>
      <c r="U281">
        <v>0.38400000000000001</v>
      </c>
      <c r="V281">
        <v>7</v>
      </c>
      <c r="W281">
        <v>0</v>
      </c>
      <c r="X281">
        <v>14</v>
      </c>
      <c r="Y281">
        <v>6</v>
      </c>
      <c r="Z281">
        <v>581056</v>
      </c>
      <c r="AA281">
        <v>13.34</v>
      </c>
      <c r="AB281">
        <v>532084</v>
      </c>
      <c r="AC281">
        <v>12.21</v>
      </c>
      <c r="AD281">
        <v>79116</v>
      </c>
      <c r="AE281">
        <v>4454900</v>
      </c>
      <c r="AF281">
        <v>0.13619999999999999</v>
      </c>
      <c r="AG281">
        <v>75</v>
      </c>
      <c r="AH281">
        <v>6509155</v>
      </c>
      <c r="AI281">
        <v>2994</v>
      </c>
      <c r="AJ281">
        <v>579</v>
      </c>
      <c r="AK281" s="20" t="s">
        <v>2032</v>
      </c>
      <c r="AL281" s="20" t="s">
        <v>2033</v>
      </c>
      <c r="AM281" s="20" t="s">
        <v>2034</v>
      </c>
      <c r="AN281" s="20" t="s">
        <v>2035</v>
      </c>
      <c r="AO281" s="20" t="s">
        <v>1108</v>
      </c>
      <c r="AP281">
        <v>2</v>
      </c>
      <c r="AQ281">
        <v>11</v>
      </c>
      <c r="AR281">
        <v>24</v>
      </c>
      <c r="AS281">
        <v>63</v>
      </c>
      <c r="AT281">
        <v>49</v>
      </c>
      <c r="AU281" s="27">
        <v>18415</v>
      </c>
      <c r="AV281" s="20" t="s">
        <v>1483</v>
      </c>
      <c r="AW281" s="20"/>
      <c r="AX281" s="20"/>
      <c r="AY281" s="20"/>
    </row>
    <row r="282" spans="1:51">
      <c r="A282" s="27">
        <v>43466</v>
      </c>
      <c r="B282" s="20" t="s">
        <v>46</v>
      </c>
      <c r="C282" s="20" t="s">
        <v>1110</v>
      </c>
      <c r="D282">
        <v>131</v>
      </c>
      <c r="E282">
        <v>131</v>
      </c>
      <c r="F282">
        <v>246</v>
      </c>
      <c r="G282">
        <v>246</v>
      </c>
      <c r="H282" s="20" t="s">
        <v>2036</v>
      </c>
      <c r="I282" s="20" t="s">
        <v>935</v>
      </c>
      <c r="J282" s="20" t="s">
        <v>936</v>
      </c>
      <c r="K282" s="20" t="s">
        <v>937</v>
      </c>
      <c r="M282">
        <v>1045</v>
      </c>
      <c r="N282">
        <v>1046</v>
      </c>
      <c r="O282">
        <v>5218.5</v>
      </c>
      <c r="P282">
        <v>4.99</v>
      </c>
      <c r="R282">
        <v>2818</v>
      </c>
      <c r="S282">
        <v>2818</v>
      </c>
      <c r="T282">
        <v>352</v>
      </c>
      <c r="U282">
        <v>0.34</v>
      </c>
      <c r="V282">
        <v>8</v>
      </c>
      <c r="W282">
        <v>1</v>
      </c>
      <c r="X282">
        <v>13</v>
      </c>
      <c r="Y282">
        <v>43693</v>
      </c>
      <c r="Z282">
        <v>521950</v>
      </c>
      <c r="AA282">
        <v>11.98</v>
      </c>
      <c r="AB282">
        <v>521950</v>
      </c>
      <c r="AC282">
        <v>11.98</v>
      </c>
      <c r="AD282">
        <v>94386</v>
      </c>
      <c r="AE282">
        <v>9894217</v>
      </c>
      <c r="AF282">
        <v>0.18079999999999999</v>
      </c>
      <c r="AG282">
        <v>235</v>
      </c>
      <c r="AH282">
        <v>18445969</v>
      </c>
      <c r="AI282">
        <v>3532</v>
      </c>
      <c r="AJ282">
        <v>572</v>
      </c>
      <c r="AK282" s="20" t="s">
        <v>1219</v>
      </c>
      <c r="AL282" s="20" t="s">
        <v>1095</v>
      </c>
      <c r="AM282" s="20" t="s">
        <v>979</v>
      </c>
      <c r="AN282" s="20" t="s">
        <v>1043</v>
      </c>
      <c r="AO282" s="20" t="s">
        <v>950</v>
      </c>
      <c r="AP282">
        <v>3</v>
      </c>
      <c r="AQ282">
        <v>8</v>
      </c>
      <c r="AR282">
        <v>18</v>
      </c>
      <c r="AS282">
        <v>56</v>
      </c>
      <c r="AT282">
        <v>36</v>
      </c>
      <c r="AU282" s="27">
        <v>23589</v>
      </c>
      <c r="AV282" s="20"/>
      <c r="AW282" s="20"/>
      <c r="AX282" s="20"/>
      <c r="AY282" s="20"/>
    </row>
    <row r="283" spans="1:51">
      <c r="A283" s="27">
        <v>43466</v>
      </c>
      <c r="B283" s="20" t="s">
        <v>138</v>
      </c>
      <c r="C283" s="20" t="s">
        <v>1376</v>
      </c>
      <c r="D283">
        <v>287</v>
      </c>
      <c r="E283">
        <v>180</v>
      </c>
      <c r="F283">
        <v>577</v>
      </c>
      <c r="G283">
        <v>577</v>
      </c>
      <c r="H283" s="20" t="s">
        <v>2037</v>
      </c>
      <c r="I283" s="20" t="s">
        <v>935</v>
      </c>
      <c r="J283" s="20" t="s">
        <v>936</v>
      </c>
      <c r="K283" s="20" t="s">
        <v>1080</v>
      </c>
      <c r="M283">
        <v>219</v>
      </c>
      <c r="N283">
        <v>219</v>
      </c>
      <c r="O283">
        <v>689.5</v>
      </c>
      <c r="P283">
        <v>3.15</v>
      </c>
      <c r="R283">
        <v>231</v>
      </c>
      <c r="S283">
        <v>231</v>
      </c>
      <c r="T283">
        <v>189</v>
      </c>
      <c r="U283">
        <v>0.875</v>
      </c>
      <c r="V283">
        <v>1</v>
      </c>
      <c r="W283">
        <v>0</v>
      </c>
      <c r="X283">
        <v>1</v>
      </c>
      <c r="Y283">
        <v>14</v>
      </c>
      <c r="Z283">
        <v>71490</v>
      </c>
      <c r="AA283">
        <v>1.64</v>
      </c>
      <c r="AB283">
        <v>71490</v>
      </c>
      <c r="AC283">
        <v>1.64</v>
      </c>
      <c r="AD283">
        <v>11388</v>
      </c>
      <c r="AE283">
        <v>1505284</v>
      </c>
      <c r="AF283">
        <v>0.1593</v>
      </c>
      <c r="AG283">
        <v>141</v>
      </c>
      <c r="AH283">
        <v>11406932</v>
      </c>
      <c r="AI283">
        <v>16520</v>
      </c>
      <c r="AJ283">
        <v>296</v>
      </c>
      <c r="AK283" s="20" t="s">
        <v>1244</v>
      </c>
      <c r="AL283" s="20" t="s">
        <v>1378</v>
      </c>
      <c r="AM283" s="20" t="s">
        <v>1329</v>
      </c>
      <c r="AN283" s="20" t="s">
        <v>2038</v>
      </c>
      <c r="AO283" s="20" t="s">
        <v>942</v>
      </c>
      <c r="AP283">
        <v>6</v>
      </c>
      <c r="AQ283">
        <v>15</v>
      </c>
      <c r="AR283">
        <v>33</v>
      </c>
      <c r="AS283">
        <v>79</v>
      </c>
      <c r="AT283">
        <v>15</v>
      </c>
      <c r="AU283" s="27">
        <v>30071</v>
      </c>
      <c r="AV283" s="20"/>
      <c r="AW283" s="20" t="s">
        <v>1081</v>
      </c>
      <c r="AX283" s="20" t="s">
        <v>974</v>
      </c>
      <c r="AY283" s="20"/>
    </row>
    <row r="284" spans="1:51">
      <c r="A284" s="27">
        <v>43466</v>
      </c>
      <c r="B284" s="20" t="s">
        <v>51</v>
      </c>
      <c r="C284" s="20" t="s">
        <v>1600</v>
      </c>
      <c r="D284">
        <v>266</v>
      </c>
      <c r="E284">
        <v>76</v>
      </c>
      <c r="F284">
        <v>389</v>
      </c>
      <c r="G284">
        <v>221</v>
      </c>
      <c r="H284" s="20" t="s">
        <v>2039</v>
      </c>
      <c r="I284" s="20" t="s">
        <v>935</v>
      </c>
      <c r="J284" s="20" t="s">
        <v>945</v>
      </c>
      <c r="K284" s="20" t="s">
        <v>937</v>
      </c>
      <c r="M284">
        <v>250</v>
      </c>
      <c r="N284">
        <v>250</v>
      </c>
      <c r="O284">
        <v>1251</v>
      </c>
      <c r="P284">
        <v>5</v>
      </c>
      <c r="R284">
        <v>622</v>
      </c>
      <c r="S284">
        <v>622</v>
      </c>
      <c r="T284">
        <v>107</v>
      </c>
      <c r="U284">
        <v>0.42799999999999999</v>
      </c>
      <c r="V284">
        <v>1</v>
      </c>
      <c r="W284">
        <v>0</v>
      </c>
      <c r="X284">
        <v>1</v>
      </c>
      <c r="Y284">
        <v>26</v>
      </c>
      <c r="Z284">
        <v>31735</v>
      </c>
      <c r="AA284">
        <v>0.73</v>
      </c>
      <c r="AB284">
        <v>31735</v>
      </c>
      <c r="AC284">
        <v>0.73</v>
      </c>
      <c r="AD284">
        <v>13314</v>
      </c>
      <c r="AE284">
        <v>2613000</v>
      </c>
      <c r="AF284">
        <v>0.41949999999999998</v>
      </c>
      <c r="AG284">
        <v>852</v>
      </c>
      <c r="AH284">
        <v>10508730</v>
      </c>
      <c r="AI284">
        <v>8414</v>
      </c>
      <c r="AJ284">
        <v>650</v>
      </c>
      <c r="AK284" s="20" t="s">
        <v>1857</v>
      </c>
      <c r="AL284" s="20" t="s">
        <v>1959</v>
      </c>
      <c r="AM284" s="20" t="s">
        <v>1605</v>
      </c>
      <c r="AN284" s="20" t="s">
        <v>1604</v>
      </c>
      <c r="AO284" s="20" t="s">
        <v>963</v>
      </c>
      <c r="AP284">
        <v>3</v>
      </c>
      <c r="AQ284">
        <v>7</v>
      </c>
      <c r="AR284">
        <v>26</v>
      </c>
      <c r="AS284">
        <v>65</v>
      </c>
      <c r="AT284">
        <v>1</v>
      </c>
      <c r="AU284" s="27">
        <v>27514</v>
      </c>
      <c r="AV284" s="20"/>
      <c r="AW284" s="20"/>
      <c r="AX284" s="20"/>
      <c r="AY284" s="20"/>
    </row>
    <row r="285" spans="1:51">
      <c r="A285" s="27">
        <v>43466</v>
      </c>
      <c r="B285" s="20" t="s">
        <v>98</v>
      </c>
      <c r="C285" s="20" t="s">
        <v>1260</v>
      </c>
      <c r="D285">
        <v>342</v>
      </c>
      <c r="E285">
        <v>342</v>
      </c>
      <c r="F285">
        <v>753</v>
      </c>
      <c r="G285">
        <v>753</v>
      </c>
      <c r="H285" s="20" t="s">
        <v>2040</v>
      </c>
      <c r="I285" s="20" t="s">
        <v>935</v>
      </c>
      <c r="J285" s="20" t="s">
        <v>945</v>
      </c>
      <c r="K285" s="20" t="s">
        <v>1080</v>
      </c>
      <c r="M285">
        <v>199</v>
      </c>
      <c r="N285">
        <v>200</v>
      </c>
      <c r="O285">
        <v>696.5</v>
      </c>
      <c r="P285">
        <v>3.5</v>
      </c>
      <c r="R285">
        <v>229</v>
      </c>
      <c r="S285">
        <v>229</v>
      </c>
      <c r="T285">
        <v>172</v>
      </c>
      <c r="U285">
        <v>0.88200000000000001</v>
      </c>
      <c r="V285">
        <v>1</v>
      </c>
      <c r="W285">
        <v>0</v>
      </c>
      <c r="X285">
        <v>1</v>
      </c>
      <c r="Y285">
        <v>9</v>
      </c>
      <c r="Z285">
        <v>115299</v>
      </c>
      <c r="AA285">
        <v>2.65</v>
      </c>
      <c r="AB285">
        <v>115299</v>
      </c>
      <c r="AC285">
        <v>2.65</v>
      </c>
      <c r="AD285">
        <v>18632</v>
      </c>
      <c r="AE285">
        <v>1502857</v>
      </c>
      <c r="AF285">
        <v>0.16159999999999999</v>
      </c>
      <c r="AG285">
        <v>86</v>
      </c>
      <c r="AH285">
        <v>12675000</v>
      </c>
      <c r="AI285">
        <v>18107</v>
      </c>
      <c r="AJ285">
        <v>325</v>
      </c>
      <c r="AK285" s="20" t="s">
        <v>1269</v>
      </c>
      <c r="AL285" s="20" t="s">
        <v>1329</v>
      </c>
      <c r="AM285" s="20" t="s">
        <v>1361</v>
      </c>
      <c r="AN285" s="20" t="s">
        <v>1011</v>
      </c>
      <c r="AO285" s="20" t="s">
        <v>942</v>
      </c>
      <c r="AP285">
        <v>3</v>
      </c>
      <c r="AQ285">
        <v>15</v>
      </c>
      <c r="AR285">
        <v>32</v>
      </c>
      <c r="AS285">
        <v>79</v>
      </c>
      <c r="AT285">
        <v>17</v>
      </c>
      <c r="AU285" s="27">
        <v>31117</v>
      </c>
      <c r="AV285" s="20"/>
      <c r="AW285" s="20" t="s">
        <v>1081</v>
      </c>
      <c r="AX285" s="20" t="s">
        <v>974</v>
      </c>
      <c r="AY285" s="20"/>
    </row>
    <row r="286" spans="1:51">
      <c r="A286" s="27">
        <v>43466</v>
      </c>
      <c r="B286" s="20" t="s">
        <v>99</v>
      </c>
      <c r="C286" s="20" t="s">
        <v>1260</v>
      </c>
      <c r="D286">
        <v>356</v>
      </c>
      <c r="E286">
        <v>342</v>
      </c>
      <c r="F286">
        <v>768</v>
      </c>
      <c r="G286">
        <v>753</v>
      </c>
      <c r="H286" s="20" t="s">
        <v>2041</v>
      </c>
      <c r="I286" s="20" t="s">
        <v>935</v>
      </c>
      <c r="J286" s="20" t="s">
        <v>945</v>
      </c>
      <c r="K286" s="20" t="s">
        <v>937</v>
      </c>
      <c r="M286">
        <v>120</v>
      </c>
      <c r="N286">
        <v>120</v>
      </c>
      <c r="O286">
        <v>539</v>
      </c>
      <c r="P286">
        <v>4.49</v>
      </c>
      <c r="R286">
        <v>280</v>
      </c>
      <c r="S286">
        <v>280</v>
      </c>
      <c r="T286">
        <v>38</v>
      </c>
      <c r="U286">
        <v>0.32200000000000001</v>
      </c>
      <c r="V286">
        <v>6</v>
      </c>
      <c r="W286">
        <v>0</v>
      </c>
      <c r="X286">
        <v>20</v>
      </c>
      <c r="Y286">
        <v>3</v>
      </c>
      <c r="Z286">
        <v>98707</v>
      </c>
      <c r="AA286">
        <v>2.27</v>
      </c>
      <c r="AB286">
        <v>98707</v>
      </c>
      <c r="AC286">
        <v>2.27</v>
      </c>
      <c r="AD286">
        <v>38943</v>
      </c>
      <c r="AE286">
        <v>1022257</v>
      </c>
      <c r="AF286">
        <v>0.39450000000000002</v>
      </c>
      <c r="AG286">
        <v>123</v>
      </c>
      <c r="AH286">
        <v>9239549</v>
      </c>
      <c r="AI286">
        <v>17142</v>
      </c>
      <c r="AJ286">
        <v>556</v>
      </c>
      <c r="AK286" s="20" t="s">
        <v>1266</v>
      </c>
      <c r="AL286" s="20" t="s">
        <v>1329</v>
      </c>
      <c r="AM286" s="20" t="s">
        <v>1330</v>
      </c>
      <c r="AN286" s="20" t="s">
        <v>1011</v>
      </c>
      <c r="AO286" s="20" t="s">
        <v>942</v>
      </c>
      <c r="AP286">
        <v>3</v>
      </c>
      <c r="AQ286">
        <v>15</v>
      </c>
      <c r="AR286">
        <v>32</v>
      </c>
      <c r="AS286">
        <v>79</v>
      </c>
      <c r="AT286">
        <v>17</v>
      </c>
      <c r="AU286" s="27">
        <v>32387</v>
      </c>
      <c r="AV286" s="20"/>
      <c r="AW286" s="20"/>
      <c r="AX286" s="20" t="s">
        <v>974</v>
      </c>
      <c r="AY286" s="20"/>
    </row>
    <row r="287" spans="1:51">
      <c r="A287" s="27">
        <v>43466</v>
      </c>
      <c r="B287" s="20" t="s">
        <v>218</v>
      </c>
      <c r="C287" s="20" t="s">
        <v>1439</v>
      </c>
      <c r="D287">
        <v>240</v>
      </c>
      <c r="E287">
        <v>261</v>
      </c>
      <c r="F287">
        <v>348</v>
      </c>
      <c r="G287">
        <v>375</v>
      </c>
      <c r="H287" s="20" t="s">
        <v>2042</v>
      </c>
      <c r="I287" s="20" t="s">
        <v>935</v>
      </c>
      <c r="J287" s="20" t="s">
        <v>945</v>
      </c>
      <c r="K287" s="20" t="s">
        <v>937</v>
      </c>
      <c r="M287">
        <v>167</v>
      </c>
      <c r="N287">
        <v>167</v>
      </c>
      <c r="O287">
        <v>768.5</v>
      </c>
      <c r="P287">
        <v>4.5999999999999996</v>
      </c>
      <c r="R287">
        <v>471</v>
      </c>
      <c r="S287">
        <v>471</v>
      </c>
      <c r="T287">
        <v>41</v>
      </c>
      <c r="U287">
        <v>0.247</v>
      </c>
      <c r="V287">
        <v>3</v>
      </c>
      <c r="W287">
        <v>0</v>
      </c>
      <c r="X287">
        <v>3</v>
      </c>
      <c r="Y287">
        <v>6</v>
      </c>
      <c r="Z287">
        <v>80525</v>
      </c>
      <c r="AA287">
        <v>1.85</v>
      </c>
      <c r="AB287">
        <v>80525</v>
      </c>
      <c r="AC287">
        <v>1.85</v>
      </c>
      <c r="AD287">
        <v>27159</v>
      </c>
      <c r="AE287">
        <v>2001480</v>
      </c>
      <c r="AF287">
        <v>0.33729999999999999</v>
      </c>
      <c r="AG287">
        <v>255</v>
      </c>
      <c r="AH287">
        <v>5191821</v>
      </c>
      <c r="AI287">
        <v>6699</v>
      </c>
      <c r="AJ287">
        <v>583</v>
      </c>
      <c r="AK287" s="20" t="s">
        <v>948</v>
      </c>
      <c r="AL287" s="20" t="s">
        <v>949</v>
      </c>
      <c r="AM287" s="20" t="s">
        <v>1646</v>
      </c>
      <c r="AN287" s="20" t="s">
        <v>2043</v>
      </c>
      <c r="AO287" s="20" t="s">
        <v>950</v>
      </c>
      <c r="AP287">
        <v>5</v>
      </c>
      <c r="AQ287">
        <v>8</v>
      </c>
      <c r="AR287">
        <v>19</v>
      </c>
      <c r="AS287">
        <v>60</v>
      </c>
      <c r="AT287">
        <v>42</v>
      </c>
      <c r="AU287" s="27">
        <v>26998</v>
      </c>
      <c r="AV287" s="20"/>
      <c r="AW287" s="20"/>
      <c r="AX287" s="20"/>
      <c r="AY287" s="20"/>
    </row>
    <row r="288" spans="1:51">
      <c r="A288" s="27">
        <v>43466</v>
      </c>
      <c r="B288" s="20" t="s">
        <v>219</v>
      </c>
      <c r="C288" s="20" t="s">
        <v>1439</v>
      </c>
      <c r="D288">
        <v>261</v>
      </c>
      <c r="E288">
        <v>261</v>
      </c>
      <c r="F288">
        <v>318</v>
      </c>
      <c r="G288">
        <v>375</v>
      </c>
      <c r="H288" s="20" t="s">
        <v>2044</v>
      </c>
      <c r="I288" s="20" t="s">
        <v>935</v>
      </c>
      <c r="J288" s="20" t="s">
        <v>936</v>
      </c>
      <c r="K288" s="20" t="s">
        <v>937</v>
      </c>
      <c r="M288">
        <v>460</v>
      </c>
      <c r="N288">
        <v>462</v>
      </c>
      <c r="O288">
        <v>2141</v>
      </c>
      <c r="P288">
        <v>4.6500000000000004</v>
      </c>
      <c r="R288">
        <v>1133</v>
      </c>
      <c r="S288">
        <v>1133</v>
      </c>
      <c r="T288">
        <v>130</v>
      </c>
      <c r="U288">
        <v>0.28799999999999998</v>
      </c>
      <c r="V288">
        <v>5</v>
      </c>
      <c r="W288">
        <v>0</v>
      </c>
      <c r="X288">
        <v>13</v>
      </c>
      <c r="Y288">
        <v>6</v>
      </c>
      <c r="Z288">
        <v>249250</v>
      </c>
      <c r="AA288">
        <v>5.72</v>
      </c>
      <c r="AB288">
        <v>249250</v>
      </c>
      <c r="AC288">
        <v>5.72</v>
      </c>
      <c r="AD288">
        <v>89543</v>
      </c>
      <c r="AE288">
        <v>5304133</v>
      </c>
      <c r="AF288">
        <v>0.35920000000000002</v>
      </c>
      <c r="AG288">
        <v>198</v>
      </c>
      <c r="AH288">
        <v>16798483</v>
      </c>
      <c r="AI288">
        <v>7813</v>
      </c>
      <c r="AJ288">
        <v>557</v>
      </c>
      <c r="AK288" s="20" t="s">
        <v>2045</v>
      </c>
      <c r="AL288" s="20" t="s">
        <v>1646</v>
      </c>
      <c r="AM288" s="20" t="s">
        <v>1184</v>
      </c>
      <c r="AN288" s="20" t="s">
        <v>1647</v>
      </c>
      <c r="AO288" s="20" t="s">
        <v>950</v>
      </c>
      <c r="AP288">
        <v>5</v>
      </c>
      <c r="AQ288">
        <v>8</v>
      </c>
      <c r="AR288">
        <v>19</v>
      </c>
      <c r="AS288">
        <v>60</v>
      </c>
      <c r="AT288">
        <v>42</v>
      </c>
      <c r="AU288" s="27">
        <v>26937</v>
      </c>
      <c r="AV288" s="20"/>
      <c r="AW288" s="20"/>
      <c r="AX288" s="20"/>
      <c r="AY288" s="20"/>
    </row>
    <row r="289" spans="1:51">
      <c r="A289" s="27">
        <v>43466</v>
      </c>
      <c r="B289" s="20" t="s">
        <v>372</v>
      </c>
      <c r="C289" s="20" t="s">
        <v>1531</v>
      </c>
      <c r="D289">
        <v>341</v>
      </c>
      <c r="E289">
        <v>341</v>
      </c>
      <c r="F289">
        <v>762</v>
      </c>
      <c r="G289">
        <v>762</v>
      </c>
      <c r="H289" s="20" t="s">
        <v>2046</v>
      </c>
      <c r="I289" s="20" t="s">
        <v>935</v>
      </c>
      <c r="J289" s="20" t="s">
        <v>945</v>
      </c>
      <c r="K289" s="20" t="s">
        <v>953</v>
      </c>
      <c r="M289">
        <v>230</v>
      </c>
      <c r="N289">
        <v>230</v>
      </c>
      <c r="O289">
        <v>1034</v>
      </c>
      <c r="P289">
        <v>4.5</v>
      </c>
      <c r="R289">
        <v>519</v>
      </c>
      <c r="S289">
        <v>519</v>
      </c>
      <c r="T289">
        <v>93</v>
      </c>
      <c r="U289">
        <v>0.40400000000000003</v>
      </c>
      <c r="V289">
        <v>4</v>
      </c>
      <c r="W289">
        <v>0</v>
      </c>
      <c r="X289">
        <v>5</v>
      </c>
      <c r="Y289">
        <v>6</v>
      </c>
      <c r="Z289">
        <v>77898</v>
      </c>
      <c r="AA289">
        <v>1.79</v>
      </c>
      <c r="AB289">
        <v>77898</v>
      </c>
      <c r="AC289">
        <v>1.79</v>
      </c>
      <c r="AD289">
        <v>43696</v>
      </c>
      <c r="AE289">
        <v>2798894</v>
      </c>
      <c r="AF289">
        <v>0.56089999999999995</v>
      </c>
      <c r="AG289">
        <v>290</v>
      </c>
      <c r="AH289">
        <v>15900000</v>
      </c>
      <c r="AI289">
        <v>15377</v>
      </c>
      <c r="AJ289">
        <v>529</v>
      </c>
      <c r="AK289" s="20" t="s">
        <v>1534</v>
      </c>
      <c r="AL289" s="20" t="s">
        <v>1544</v>
      </c>
      <c r="AM289" s="20" t="s">
        <v>2047</v>
      </c>
      <c r="AN289" s="20" t="s">
        <v>2048</v>
      </c>
      <c r="AO289" s="20" t="s">
        <v>942</v>
      </c>
      <c r="AP289">
        <v>5</v>
      </c>
      <c r="AQ289">
        <v>15</v>
      </c>
      <c r="AR289">
        <v>29</v>
      </c>
      <c r="AS289">
        <v>86</v>
      </c>
      <c r="AT289">
        <v>14</v>
      </c>
      <c r="AU289" s="27">
        <v>31078</v>
      </c>
      <c r="AV289" s="20"/>
      <c r="AW289" s="20"/>
      <c r="AX289" s="20" t="s">
        <v>974</v>
      </c>
      <c r="AY289" s="20" t="s">
        <v>974</v>
      </c>
    </row>
    <row r="290" spans="1:51">
      <c r="A290" s="27">
        <v>43466</v>
      </c>
      <c r="B290" s="20" t="s">
        <v>126</v>
      </c>
      <c r="C290" s="20" t="s">
        <v>1744</v>
      </c>
      <c r="D290">
        <v>343</v>
      </c>
      <c r="E290">
        <v>241</v>
      </c>
      <c r="F290">
        <v>757</v>
      </c>
      <c r="G290">
        <v>760</v>
      </c>
      <c r="H290" s="20" t="s">
        <v>2049</v>
      </c>
      <c r="I290" s="20" t="s">
        <v>935</v>
      </c>
      <c r="J290" s="20" t="s">
        <v>945</v>
      </c>
      <c r="K290" s="20" t="s">
        <v>1080</v>
      </c>
      <c r="M290">
        <v>179</v>
      </c>
      <c r="N290">
        <v>200</v>
      </c>
      <c r="O290">
        <v>626.5</v>
      </c>
      <c r="P290">
        <v>3.5</v>
      </c>
      <c r="R290">
        <v>204</v>
      </c>
      <c r="S290">
        <v>204</v>
      </c>
      <c r="T290">
        <v>147</v>
      </c>
      <c r="U290">
        <v>0.84</v>
      </c>
      <c r="V290">
        <v>1</v>
      </c>
      <c r="W290">
        <v>0</v>
      </c>
      <c r="X290">
        <v>1</v>
      </c>
      <c r="Y290">
        <v>11</v>
      </c>
      <c r="Z290">
        <v>63577</v>
      </c>
      <c r="AA290">
        <v>1.46</v>
      </c>
      <c r="AB290">
        <v>63577</v>
      </c>
      <c r="AC290">
        <v>1.46</v>
      </c>
      <c r="AD290">
        <v>14325</v>
      </c>
      <c r="AE290">
        <v>1434170</v>
      </c>
      <c r="AF290">
        <v>0.2253</v>
      </c>
      <c r="AG290">
        <v>140</v>
      </c>
      <c r="AH290">
        <v>13369245</v>
      </c>
      <c r="AI290">
        <v>19099</v>
      </c>
      <c r="AJ290">
        <v>312</v>
      </c>
      <c r="AK290" s="20" t="s">
        <v>2050</v>
      </c>
      <c r="AL290" s="20" t="s">
        <v>1689</v>
      </c>
      <c r="AM290" s="20" t="s">
        <v>2051</v>
      </c>
      <c r="AN290" s="20" t="s">
        <v>1219</v>
      </c>
      <c r="AO290" s="20" t="s">
        <v>963</v>
      </c>
      <c r="AP290">
        <v>11</v>
      </c>
      <c r="AQ290">
        <v>13</v>
      </c>
      <c r="AR290">
        <v>30</v>
      </c>
      <c r="AS290">
        <v>68</v>
      </c>
      <c r="AT290">
        <v>9</v>
      </c>
      <c r="AU290" s="27">
        <v>31596</v>
      </c>
      <c r="AV290" s="20"/>
      <c r="AW290" s="20" t="s">
        <v>1081</v>
      </c>
      <c r="AX290" s="20" t="s">
        <v>974</v>
      </c>
      <c r="AY290" s="20"/>
    </row>
    <row r="291" spans="1:51">
      <c r="A291" s="27">
        <v>43466</v>
      </c>
      <c r="B291" s="20" t="s">
        <v>100</v>
      </c>
      <c r="C291" s="20" t="s">
        <v>1744</v>
      </c>
      <c r="D291">
        <v>355</v>
      </c>
      <c r="E291">
        <v>241</v>
      </c>
      <c r="F291">
        <v>760</v>
      </c>
      <c r="G291">
        <v>760</v>
      </c>
      <c r="H291" s="20" t="s">
        <v>2052</v>
      </c>
      <c r="I291" s="20" t="s">
        <v>935</v>
      </c>
      <c r="J291" s="20" t="s">
        <v>945</v>
      </c>
      <c r="K291" s="20" t="s">
        <v>1080</v>
      </c>
      <c r="M291">
        <v>150</v>
      </c>
      <c r="N291">
        <v>150</v>
      </c>
      <c r="O291">
        <v>525</v>
      </c>
      <c r="P291">
        <v>3.5</v>
      </c>
      <c r="R291">
        <v>173</v>
      </c>
      <c r="S291">
        <v>173</v>
      </c>
      <c r="T291">
        <v>132</v>
      </c>
      <c r="U291">
        <v>0.90400000000000003</v>
      </c>
      <c r="V291">
        <v>1</v>
      </c>
      <c r="W291">
        <v>0</v>
      </c>
      <c r="X291">
        <v>1</v>
      </c>
      <c r="Y291">
        <v>12</v>
      </c>
      <c r="Z291">
        <v>45362</v>
      </c>
      <c r="AA291">
        <v>1.04</v>
      </c>
      <c r="AB291">
        <v>45362</v>
      </c>
      <c r="AC291">
        <v>1.04</v>
      </c>
      <c r="AD291">
        <v>10330</v>
      </c>
      <c r="AE291">
        <v>1041895</v>
      </c>
      <c r="AF291">
        <v>0.22770000000000001</v>
      </c>
      <c r="AG291">
        <v>166</v>
      </c>
      <c r="AH291">
        <v>10240710</v>
      </c>
      <c r="AI291">
        <v>19506</v>
      </c>
      <c r="AJ291">
        <v>313</v>
      </c>
      <c r="AK291" s="20" t="s">
        <v>2053</v>
      </c>
      <c r="AL291" s="20" t="s">
        <v>1219</v>
      </c>
      <c r="AM291" s="20" t="s">
        <v>1784</v>
      </c>
      <c r="AN291" s="20" t="s">
        <v>1689</v>
      </c>
      <c r="AO291" s="20" t="s">
        <v>963</v>
      </c>
      <c r="AP291">
        <v>11</v>
      </c>
      <c r="AQ291">
        <v>13</v>
      </c>
      <c r="AR291">
        <v>30</v>
      </c>
      <c r="AS291">
        <v>68</v>
      </c>
      <c r="AT291">
        <v>9</v>
      </c>
      <c r="AU291" s="27">
        <v>32111</v>
      </c>
      <c r="AV291" s="20"/>
      <c r="AW291" s="20" t="s">
        <v>1081</v>
      </c>
      <c r="AX291" s="20" t="s">
        <v>974</v>
      </c>
      <c r="AY291" s="20"/>
    </row>
    <row r="292" spans="1:51">
      <c r="A292" s="27">
        <v>43466</v>
      </c>
      <c r="B292" s="20" t="s">
        <v>373</v>
      </c>
      <c r="C292" s="20" t="s">
        <v>2054</v>
      </c>
      <c r="D292">
        <v>61</v>
      </c>
      <c r="E292">
        <v>61</v>
      </c>
      <c r="F292">
        <v>216</v>
      </c>
      <c r="G292">
        <v>216</v>
      </c>
      <c r="H292" s="20" t="s">
        <v>2055</v>
      </c>
      <c r="I292" s="20" t="s">
        <v>935</v>
      </c>
      <c r="J292" s="20" t="s">
        <v>936</v>
      </c>
      <c r="K292" s="20" t="s">
        <v>937</v>
      </c>
      <c r="M292">
        <v>1603</v>
      </c>
      <c r="N292">
        <v>1603</v>
      </c>
      <c r="O292">
        <v>7402.5</v>
      </c>
      <c r="P292">
        <v>4.62</v>
      </c>
      <c r="R292">
        <v>3855</v>
      </c>
      <c r="S292">
        <v>3855</v>
      </c>
      <c r="T292">
        <v>469</v>
      </c>
      <c r="U292">
        <v>0.29699999999999999</v>
      </c>
      <c r="V292">
        <v>22</v>
      </c>
      <c r="W292">
        <v>1</v>
      </c>
      <c r="X292">
        <v>32</v>
      </c>
      <c r="Y292">
        <v>43538</v>
      </c>
      <c r="Z292">
        <v>906484</v>
      </c>
      <c r="AA292">
        <v>20.81</v>
      </c>
      <c r="AB292">
        <v>844628</v>
      </c>
      <c r="AC292">
        <v>19.39</v>
      </c>
      <c r="AD292">
        <v>161168</v>
      </c>
      <c r="AE292">
        <v>13652083</v>
      </c>
      <c r="AF292">
        <v>0.1656</v>
      </c>
      <c r="AG292">
        <v>185</v>
      </c>
      <c r="AH292">
        <v>21351730</v>
      </c>
      <c r="AI292">
        <v>2884</v>
      </c>
      <c r="AJ292">
        <v>546</v>
      </c>
      <c r="AK292" s="20" t="s">
        <v>948</v>
      </c>
      <c r="AL292" s="20" t="s">
        <v>1476</v>
      </c>
      <c r="AM292" s="20" t="s">
        <v>2030</v>
      </c>
      <c r="AN292" s="20" t="s">
        <v>1185</v>
      </c>
      <c r="AO292" s="20" t="s">
        <v>950</v>
      </c>
      <c r="AP292">
        <v>16</v>
      </c>
      <c r="AQ292">
        <v>9</v>
      </c>
      <c r="AR292" t="s">
        <v>1654</v>
      </c>
      <c r="AS292">
        <v>55</v>
      </c>
      <c r="AT292">
        <v>41</v>
      </c>
      <c r="AU292" s="27">
        <v>20236</v>
      </c>
      <c r="AV292" s="20"/>
      <c r="AW292" s="20"/>
      <c r="AX292" s="20"/>
      <c r="AY292" s="20"/>
    </row>
    <row r="293" spans="1:51">
      <c r="A293" s="27">
        <v>43466</v>
      </c>
      <c r="B293" s="20" t="s">
        <v>374</v>
      </c>
      <c r="C293" s="20" t="s">
        <v>1560</v>
      </c>
      <c r="D293">
        <v>146</v>
      </c>
      <c r="E293">
        <v>182</v>
      </c>
      <c r="F293">
        <v>257</v>
      </c>
      <c r="G293">
        <v>257</v>
      </c>
      <c r="H293" s="20" t="s">
        <v>2056</v>
      </c>
      <c r="I293" s="20" t="s">
        <v>935</v>
      </c>
      <c r="J293" s="20" t="s">
        <v>936</v>
      </c>
      <c r="K293" s="20" t="s">
        <v>1080</v>
      </c>
      <c r="M293">
        <v>111</v>
      </c>
      <c r="N293">
        <v>112</v>
      </c>
      <c r="O293">
        <v>413.5</v>
      </c>
      <c r="P293">
        <v>3.73</v>
      </c>
      <c r="R293">
        <v>128</v>
      </c>
      <c r="S293">
        <v>128</v>
      </c>
      <c r="T293">
        <v>104</v>
      </c>
      <c r="U293">
        <v>0.94499999999999995</v>
      </c>
      <c r="V293">
        <v>1</v>
      </c>
      <c r="W293">
        <v>0</v>
      </c>
      <c r="X293">
        <v>1</v>
      </c>
      <c r="Y293">
        <v>14</v>
      </c>
      <c r="Z293">
        <v>40574</v>
      </c>
      <c r="AA293">
        <v>0.93</v>
      </c>
      <c r="AB293">
        <v>40574</v>
      </c>
      <c r="AC293">
        <v>0.93</v>
      </c>
      <c r="AD293">
        <v>9017</v>
      </c>
      <c r="AE293">
        <v>845622</v>
      </c>
      <c r="AF293">
        <v>0.22220000000000001</v>
      </c>
      <c r="AG293">
        <v>138</v>
      </c>
      <c r="AH293">
        <v>2318317</v>
      </c>
      <c r="AI293">
        <v>5546</v>
      </c>
      <c r="AJ293">
        <v>334</v>
      </c>
      <c r="AK293" s="20" t="s">
        <v>1184</v>
      </c>
      <c r="AL293" s="20" t="s">
        <v>1476</v>
      </c>
      <c r="AM293" s="20"/>
      <c r="AN293" s="20"/>
      <c r="AO293" s="20" t="s">
        <v>950</v>
      </c>
      <c r="AP293">
        <v>16</v>
      </c>
      <c r="AQ293">
        <v>9</v>
      </c>
      <c r="AR293">
        <v>19</v>
      </c>
      <c r="AS293">
        <v>55</v>
      </c>
      <c r="AT293">
        <v>41</v>
      </c>
      <c r="AU293" s="27">
        <v>23497</v>
      </c>
      <c r="AV293" s="20"/>
      <c r="AW293" s="20" t="s">
        <v>1081</v>
      </c>
      <c r="AX293" s="20"/>
      <c r="AY293" s="20"/>
    </row>
    <row r="294" spans="1:51">
      <c r="A294" s="27">
        <v>43466</v>
      </c>
      <c r="B294" s="20" t="s">
        <v>375</v>
      </c>
      <c r="C294" s="20" t="s">
        <v>1799</v>
      </c>
      <c r="D294">
        <v>315</v>
      </c>
      <c r="E294">
        <v>194</v>
      </c>
      <c r="F294">
        <v>273</v>
      </c>
      <c r="G294">
        <v>273</v>
      </c>
      <c r="H294" s="20" t="s">
        <v>2057</v>
      </c>
      <c r="I294" s="20" t="s">
        <v>935</v>
      </c>
      <c r="J294" s="20" t="s">
        <v>945</v>
      </c>
      <c r="K294" s="20" t="s">
        <v>1080</v>
      </c>
      <c r="M294">
        <v>288</v>
      </c>
      <c r="N294">
        <v>293</v>
      </c>
      <c r="O294">
        <v>1036</v>
      </c>
      <c r="P294">
        <v>3.6</v>
      </c>
      <c r="R294">
        <v>333</v>
      </c>
      <c r="S294">
        <v>333</v>
      </c>
      <c r="T294">
        <v>262</v>
      </c>
      <c r="U294">
        <v>0.91</v>
      </c>
      <c r="V294">
        <v>2</v>
      </c>
      <c r="W294">
        <v>1</v>
      </c>
      <c r="X294">
        <v>3</v>
      </c>
      <c r="Y294">
        <v>10</v>
      </c>
      <c r="Z294">
        <v>256217</v>
      </c>
      <c r="AA294">
        <v>5.88</v>
      </c>
      <c r="AB294">
        <v>256217</v>
      </c>
      <c r="AC294">
        <v>5.88</v>
      </c>
      <c r="AD294">
        <v>33868</v>
      </c>
      <c r="AE294">
        <v>2315113</v>
      </c>
      <c r="AF294">
        <v>0.13220000000000001</v>
      </c>
      <c r="AG294">
        <v>57</v>
      </c>
      <c r="AH294">
        <v>20511981</v>
      </c>
      <c r="AI294">
        <v>19480</v>
      </c>
      <c r="AJ294">
        <v>376</v>
      </c>
      <c r="AK294" s="20" t="s">
        <v>2058</v>
      </c>
      <c r="AL294" s="20" t="s">
        <v>2059</v>
      </c>
      <c r="AM294" s="20" t="s">
        <v>2060</v>
      </c>
      <c r="AN294" s="20" t="s">
        <v>1162</v>
      </c>
      <c r="AO294" s="20" t="s">
        <v>950</v>
      </c>
      <c r="AP294">
        <v>5</v>
      </c>
      <c r="AQ294">
        <v>8</v>
      </c>
      <c r="AR294">
        <v>19</v>
      </c>
      <c r="AS294">
        <v>60</v>
      </c>
      <c r="AT294">
        <v>42</v>
      </c>
      <c r="AU294" s="27">
        <v>30467</v>
      </c>
      <c r="AV294" s="20"/>
      <c r="AW294" s="20" t="s">
        <v>1081</v>
      </c>
      <c r="AX294" s="20" t="s">
        <v>974</v>
      </c>
      <c r="AY294" s="20"/>
    </row>
    <row r="295" spans="1:51">
      <c r="A295" s="27">
        <v>43466</v>
      </c>
      <c r="B295" s="20" t="s">
        <v>56</v>
      </c>
      <c r="C295" s="20" t="s">
        <v>2061</v>
      </c>
      <c r="D295">
        <v>6</v>
      </c>
      <c r="E295">
        <v>6</v>
      </c>
      <c r="F295">
        <v>204</v>
      </c>
      <c r="G295">
        <v>204</v>
      </c>
      <c r="H295" s="20" t="s">
        <v>2062</v>
      </c>
      <c r="I295" s="20" t="s">
        <v>935</v>
      </c>
      <c r="J295" s="20" t="s">
        <v>936</v>
      </c>
      <c r="K295" s="20" t="s">
        <v>937</v>
      </c>
      <c r="M295">
        <v>1527</v>
      </c>
      <c r="N295">
        <v>1531</v>
      </c>
      <c r="O295">
        <v>6248.5</v>
      </c>
      <c r="P295">
        <v>4.09</v>
      </c>
      <c r="R295">
        <v>2894</v>
      </c>
      <c r="S295">
        <v>2894</v>
      </c>
      <c r="T295">
        <v>711</v>
      </c>
      <c r="U295">
        <v>0.47099999999999997</v>
      </c>
      <c r="V295">
        <v>20</v>
      </c>
      <c r="W295">
        <v>0</v>
      </c>
      <c r="X295">
        <v>46</v>
      </c>
      <c r="Y295">
        <v>6</v>
      </c>
      <c r="Z295">
        <v>566414</v>
      </c>
      <c r="AA295">
        <v>13</v>
      </c>
      <c r="AB295">
        <v>519124</v>
      </c>
      <c r="AC295">
        <v>11.92</v>
      </c>
      <c r="AD295">
        <v>171144</v>
      </c>
      <c r="AE295">
        <v>10617265</v>
      </c>
      <c r="AF295">
        <v>0.30220000000000002</v>
      </c>
      <c r="AG295">
        <v>223</v>
      </c>
      <c r="AH295">
        <v>7994564</v>
      </c>
      <c r="AI295">
        <v>1276</v>
      </c>
      <c r="AJ295">
        <v>514</v>
      </c>
      <c r="AK295" s="20" t="s">
        <v>2063</v>
      </c>
      <c r="AL295" s="20" t="s">
        <v>2064</v>
      </c>
      <c r="AM295" s="20" t="s">
        <v>2065</v>
      </c>
      <c r="AN295" s="20" t="s">
        <v>2066</v>
      </c>
      <c r="AO295" s="20" t="s">
        <v>963</v>
      </c>
      <c r="AP295">
        <v>3</v>
      </c>
      <c r="AQ295">
        <v>7</v>
      </c>
      <c r="AR295">
        <v>26</v>
      </c>
      <c r="AS295">
        <v>65</v>
      </c>
      <c r="AT295">
        <v>2</v>
      </c>
      <c r="AU295" s="27">
        <v>14940</v>
      </c>
      <c r="AV295" s="20"/>
      <c r="AW295" s="20"/>
      <c r="AX295" s="20"/>
      <c r="AY295" s="20"/>
    </row>
    <row r="296" spans="1:51">
      <c r="A296" s="27">
        <v>43466</v>
      </c>
      <c r="B296" s="20" t="s">
        <v>108</v>
      </c>
      <c r="C296" s="20" t="s">
        <v>2061</v>
      </c>
      <c r="D296">
        <v>7</v>
      </c>
      <c r="E296">
        <v>6</v>
      </c>
      <c r="F296">
        <v>371</v>
      </c>
      <c r="G296">
        <v>204</v>
      </c>
      <c r="H296" s="20" t="s">
        <v>2067</v>
      </c>
      <c r="I296" s="20" t="s">
        <v>935</v>
      </c>
      <c r="J296" s="20" t="s">
        <v>936</v>
      </c>
      <c r="K296" s="20" t="s">
        <v>937</v>
      </c>
      <c r="M296">
        <v>240</v>
      </c>
      <c r="N296">
        <v>240</v>
      </c>
      <c r="O296">
        <v>1080</v>
      </c>
      <c r="P296">
        <v>4.5</v>
      </c>
      <c r="R296">
        <v>545</v>
      </c>
      <c r="S296">
        <v>545</v>
      </c>
      <c r="T296">
        <v>93</v>
      </c>
      <c r="U296">
        <v>0.39200000000000002</v>
      </c>
      <c r="V296">
        <v>4</v>
      </c>
      <c r="W296">
        <v>0</v>
      </c>
      <c r="X296">
        <v>8</v>
      </c>
      <c r="Y296">
        <v>6</v>
      </c>
      <c r="Z296">
        <v>96933</v>
      </c>
      <c r="AA296">
        <v>2.23</v>
      </c>
      <c r="AB296">
        <v>96933</v>
      </c>
      <c r="AC296">
        <v>2.23</v>
      </c>
      <c r="AD296">
        <v>28827</v>
      </c>
      <c r="AE296">
        <v>1766160</v>
      </c>
      <c r="AF296">
        <v>0.2974</v>
      </c>
      <c r="AG296">
        <v>244</v>
      </c>
      <c r="AH296">
        <v>1269490</v>
      </c>
      <c r="AI296">
        <v>1175</v>
      </c>
      <c r="AJ296">
        <v>545</v>
      </c>
      <c r="AK296" s="20" t="s">
        <v>1603</v>
      </c>
      <c r="AL296" s="20" t="s">
        <v>1605</v>
      </c>
      <c r="AM296" s="20" t="s">
        <v>2066</v>
      </c>
      <c r="AN296" s="20"/>
      <c r="AO296" s="20" t="s">
        <v>963</v>
      </c>
      <c r="AP296">
        <v>3</v>
      </c>
      <c r="AQ296">
        <v>7</v>
      </c>
      <c r="AR296">
        <v>26</v>
      </c>
      <c r="AS296">
        <v>65</v>
      </c>
      <c r="AT296">
        <v>2</v>
      </c>
      <c r="AU296" s="27">
        <v>14909</v>
      </c>
      <c r="AV296" s="20" t="s">
        <v>1357</v>
      </c>
      <c r="AW296" s="20"/>
      <c r="AX296" s="20"/>
      <c r="AY296" s="20"/>
    </row>
    <row r="297" spans="1:51">
      <c r="A297" s="27">
        <v>43466</v>
      </c>
      <c r="B297" s="20" t="s">
        <v>127</v>
      </c>
      <c r="C297" s="20" t="s">
        <v>2068</v>
      </c>
      <c r="D297">
        <v>74</v>
      </c>
      <c r="E297">
        <v>74</v>
      </c>
      <c r="F297">
        <v>224</v>
      </c>
      <c r="G297">
        <v>224</v>
      </c>
      <c r="H297" s="20" t="s">
        <v>2069</v>
      </c>
      <c r="I297" s="20" t="s">
        <v>935</v>
      </c>
      <c r="J297" s="20" t="s">
        <v>936</v>
      </c>
      <c r="K297" s="20" t="s">
        <v>937</v>
      </c>
      <c r="M297">
        <v>2151</v>
      </c>
      <c r="N297">
        <v>2162</v>
      </c>
      <c r="O297">
        <v>10068.5</v>
      </c>
      <c r="P297">
        <v>4.68</v>
      </c>
      <c r="R297">
        <v>4814</v>
      </c>
      <c r="S297">
        <v>4814</v>
      </c>
      <c r="T297">
        <v>875</v>
      </c>
      <c r="U297">
        <v>0.40899999999999997</v>
      </c>
      <c r="V297">
        <v>22</v>
      </c>
      <c r="W297">
        <v>1</v>
      </c>
      <c r="X297">
        <v>22</v>
      </c>
      <c r="Y297">
        <v>43662</v>
      </c>
      <c r="Z297">
        <v>1172233</v>
      </c>
      <c r="AA297">
        <v>26.91</v>
      </c>
      <c r="AB297">
        <v>1083783</v>
      </c>
      <c r="AC297">
        <v>24.88</v>
      </c>
      <c r="AD297">
        <v>150639</v>
      </c>
      <c r="AE297">
        <v>16837094</v>
      </c>
      <c r="AF297">
        <v>0.1285</v>
      </c>
      <c r="AG297">
        <v>179</v>
      </c>
      <c r="AH297">
        <v>32794423</v>
      </c>
      <c r="AI297">
        <v>3238</v>
      </c>
      <c r="AJ297">
        <v>536</v>
      </c>
      <c r="AK297" s="20" t="s">
        <v>2051</v>
      </c>
      <c r="AL297" s="20" t="s">
        <v>982</v>
      </c>
      <c r="AM297" s="20" t="s">
        <v>1746</v>
      </c>
      <c r="AN297" s="20" t="s">
        <v>1076</v>
      </c>
      <c r="AO297" s="20" t="s">
        <v>963</v>
      </c>
      <c r="AP297">
        <v>11</v>
      </c>
      <c r="AQ297">
        <v>13</v>
      </c>
      <c r="AR297">
        <v>30</v>
      </c>
      <c r="AS297">
        <v>68</v>
      </c>
      <c r="AT297">
        <v>8</v>
      </c>
      <c r="AU297" s="27">
        <v>21348</v>
      </c>
      <c r="AV297" s="20"/>
      <c r="AW297" s="20"/>
      <c r="AX297" s="20"/>
      <c r="AY297" s="20"/>
    </row>
    <row r="298" spans="1:51">
      <c r="A298" s="27">
        <v>43466</v>
      </c>
      <c r="B298" s="20" t="s">
        <v>66</v>
      </c>
      <c r="C298" s="20" t="s">
        <v>2070</v>
      </c>
      <c r="D298">
        <v>23</v>
      </c>
      <c r="E298">
        <v>23</v>
      </c>
      <c r="F298">
        <v>511</v>
      </c>
      <c r="G298">
        <v>511</v>
      </c>
      <c r="H298" s="20" t="s">
        <v>2071</v>
      </c>
      <c r="I298" s="20" t="s">
        <v>935</v>
      </c>
      <c r="J298" s="20" t="s">
        <v>936</v>
      </c>
      <c r="K298" s="20" t="s">
        <v>937</v>
      </c>
      <c r="M298">
        <v>1861</v>
      </c>
      <c r="N298">
        <v>1861</v>
      </c>
      <c r="O298">
        <v>8767.5</v>
      </c>
      <c r="P298">
        <v>4.71</v>
      </c>
      <c r="R298">
        <v>3985</v>
      </c>
      <c r="S298">
        <v>3985</v>
      </c>
      <c r="T298">
        <v>785</v>
      </c>
      <c r="U298">
        <v>0.42499999999999999</v>
      </c>
      <c r="V298">
        <v>16</v>
      </c>
      <c r="W298">
        <v>2</v>
      </c>
      <c r="X298">
        <v>19</v>
      </c>
      <c r="Y298">
        <v>43783</v>
      </c>
      <c r="Z298">
        <v>717071</v>
      </c>
      <c r="AA298">
        <v>16.46</v>
      </c>
      <c r="AB298">
        <v>694013</v>
      </c>
      <c r="AC298">
        <v>15.93</v>
      </c>
      <c r="AD298">
        <v>133117</v>
      </c>
      <c r="AE298">
        <v>14691881</v>
      </c>
      <c r="AF298">
        <v>0.18559999999999999</v>
      </c>
      <c r="AG298">
        <v>242</v>
      </c>
      <c r="AH298">
        <v>22094000</v>
      </c>
      <c r="AI298">
        <v>2561</v>
      </c>
      <c r="AJ298">
        <v>564</v>
      </c>
      <c r="AK298" s="20" t="s">
        <v>1076</v>
      </c>
      <c r="AL298" s="20" t="s">
        <v>1662</v>
      </c>
      <c r="AM298" s="20" t="s">
        <v>1660</v>
      </c>
      <c r="AN298" s="20" t="s">
        <v>1075</v>
      </c>
      <c r="AO298" s="20" t="s">
        <v>963</v>
      </c>
      <c r="AP298">
        <v>3</v>
      </c>
      <c r="AQ298">
        <v>7</v>
      </c>
      <c r="AR298">
        <v>26</v>
      </c>
      <c r="AS298">
        <v>74</v>
      </c>
      <c r="AT298">
        <v>2</v>
      </c>
      <c r="AU298" s="27">
        <v>18185</v>
      </c>
      <c r="AV298" s="20" t="s">
        <v>1050</v>
      </c>
      <c r="AW298" s="20"/>
      <c r="AX298" s="20"/>
      <c r="AY298" s="20"/>
    </row>
    <row r="299" spans="1:51">
      <c r="A299" s="27">
        <v>43466</v>
      </c>
      <c r="B299" s="20" t="s">
        <v>137</v>
      </c>
      <c r="C299" s="20" t="s">
        <v>1635</v>
      </c>
      <c r="D299">
        <v>62</v>
      </c>
      <c r="E299">
        <v>62</v>
      </c>
      <c r="F299">
        <v>217</v>
      </c>
      <c r="G299">
        <v>217</v>
      </c>
      <c r="H299" s="20" t="s">
        <v>2072</v>
      </c>
      <c r="I299" s="20" t="s">
        <v>935</v>
      </c>
      <c r="J299" s="20" t="s">
        <v>936</v>
      </c>
      <c r="K299" s="20" t="s">
        <v>937</v>
      </c>
      <c r="M299">
        <v>1515</v>
      </c>
      <c r="N299">
        <v>1515</v>
      </c>
      <c r="O299">
        <v>7053.5</v>
      </c>
      <c r="P299">
        <v>4.66</v>
      </c>
      <c r="R299">
        <v>3416</v>
      </c>
      <c r="S299">
        <v>3416</v>
      </c>
      <c r="T299">
        <v>590</v>
      </c>
      <c r="U299">
        <v>0.39400000000000002</v>
      </c>
      <c r="V299">
        <v>14</v>
      </c>
      <c r="W299">
        <v>1</v>
      </c>
      <c r="X299">
        <v>18</v>
      </c>
      <c r="Y299" t="s">
        <v>2073</v>
      </c>
      <c r="Z299">
        <v>906988</v>
      </c>
      <c r="AA299">
        <v>20.82</v>
      </c>
      <c r="AB299">
        <v>822228</v>
      </c>
      <c r="AC299">
        <v>18.88</v>
      </c>
      <c r="AD299">
        <v>124916</v>
      </c>
      <c r="AE299">
        <v>12618161</v>
      </c>
      <c r="AF299">
        <v>0.13769999999999999</v>
      </c>
      <c r="AG299">
        <v>164</v>
      </c>
      <c r="AH299">
        <v>23677092</v>
      </c>
      <c r="AI299">
        <v>3357</v>
      </c>
      <c r="AJ299">
        <v>563</v>
      </c>
      <c r="AK299" s="20" t="s">
        <v>2074</v>
      </c>
      <c r="AL299" s="20" t="s">
        <v>982</v>
      </c>
      <c r="AM299" s="20" t="s">
        <v>1633</v>
      </c>
      <c r="AN299" s="20" t="s">
        <v>956</v>
      </c>
      <c r="AO299" s="20" t="s">
        <v>963</v>
      </c>
      <c r="AP299">
        <v>11</v>
      </c>
      <c r="AQ299">
        <v>13</v>
      </c>
      <c r="AR299">
        <v>29</v>
      </c>
      <c r="AS299">
        <v>68</v>
      </c>
      <c r="AT299">
        <v>8</v>
      </c>
      <c r="AU299" s="27">
        <v>21083</v>
      </c>
      <c r="AV299" s="20"/>
      <c r="AW299" s="20"/>
      <c r="AX299" s="20"/>
      <c r="AY299" s="20"/>
    </row>
    <row r="300" spans="1:51">
      <c r="A300" s="27">
        <v>43466</v>
      </c>
      <c r="B300" s="20" t="s">
        <v>376</v>
      </c>
      <c r="C300" s="20" t="s">
        <v>1454</v>
      </c>
      <c r="D300">
        <v>293</v>
      </c>
      <c r="E300">
        <v>309</v>
      </c>
      <c r="F300">
        <v>563</v>
      </c>
      <c r="G300">
        <v>341</v>
      </c>
      <c r="H300" s="20" t="s">
        <v>2075</v>
      </c>
      <c r="I300" s="20" t="s">
        <v>935</v>
      </c>
      <c r="J300" s="20" t="s">
        <v>936</v>
      </c>
      <c r="K300" s="20" t="s">
        <v>953</v>
      </c>
      <c r="M300">
        <v>215</v>
      </c>
      <c r="N300">
        <v>216</v>
      </c>
      <c r="O300">
        <v>915.5</v>
      </c>
      <c r="P300">
        <v>4.26</v>
      </c>
      <c r="R300">
        <v>406</v>
      </c>
      <c r="S300">
        <v>406</v>
      </c>
      <c r="T300">
        <v>103</v>
      </c>
      <c r="U300">
        <v>0.48799999999999999</v>
      </c>
      <c r="V300">
        <v>5</v>
      </c>
      <c r="W300">
        <v>0</v>
      </c>
      <c r="X300">
        <v>6</v>
      </c>
      <c r="Y300">
        <v>43591</v>
      </c>
      <c r="Z300">
        <v>57544</v>
      </c>
      <c r="AA300">
        <v>1.32</v>
      </c>
      <c r="AB300">
        <v>57544</v>
      </c>
      <c r="AC300">
        <v>1.32</v>
      </c>
      <c r="AD300">
        <v>40754</v>
      </c>
      <c r="AE300">
        <v>2421442</v>
      </c>
      <c r="AF300">
        <v>0.70820000000000005</v>
      </c>
      <c r="AG300">
        <v>308</v>
      </c>
      <c r="AH300">
        <v>22610848</v>
      </c>
      <c r="AI300">
        <v>24631</v>
      </c>
      <c r="AJ300">
        <v>484</v>
      </c>
      <c r="AK300" s="20" t="s">
        <v>2076</v>
      </c>
      <c r="AL300" s="20" t="s">
        <v>971</v>
      </c>
      <c r="AM300" s="20" t="s">
        <v>2077</v>
      </c>
      <c r="AN300" s="20" t="s">
        <v>2078</v>
      </c>
      <c r="AO300" s="20" t="s">
        <v>963</v>
      </c>
      <c r="AP300">
        <v>12</v>
      </c>
      <c r="AQ300">
        <v>13</v>
      </c>
      <c r="AR300">
        <v>31</v>
      </c>
      <c r="AS300">
        <v>72</v>
      </c>
      <c r="AT300">
        <v>10</v>
      </c>
      <c r="AU300" s="27">
        <v>32264</v>
      </c>
      <c r="AV300" s="20"/>
      <c r="AW300" s="20"/>
      <c r="AX300" s="20" t="s">
        <v>974</v>
      </c>
      <c r="AY300" s="20"/>
    </row>
    <row r="301" spans="1:51">
      <c r="A301" s="27">
        <v>43466</v>
      </c>
      <c r="B301" s="20" t="s">
        <v>101</v>
      </c>
      <c r="C301" s="20" t="s">
        <v>2079</v>
      </c>
      <c r="D301" t="s">
        <v>2080</v>
      </c>
      <c r="H301" s="20" t="s">
        <v>2081</v>
      </c>
      <c r="I301" s="20" t="s">
        <v>935</v>
      </c>
      <c r="J301" s="20" t="s">
        <v>945</v>
      </c>
      <c r="K301" s="20" t="s">
        <v>953</v>
      </c>
      <c r="M301">
        <v>102</v>
      </c>
      <c r="N301">
        <v>102</v>
      </c>
      <c r="O301">
        <v>454</v>
      </c>
      <c r="P301">
        <v>4.45</v>
      </c>
      <c r="S301">
        <v>204</v>
      </c>
      <c r="T301">
        <v>36</v>
      </c>
      <c r="U301">
        <v>0.36</v>
      </c>
      <c r="V301">
        <v>8</v>
      </c>
      <c r="W301">
        <v>0</v>
      </c>
      <c r="X301">
        <v>8</v>
      </c>
      <c r="Y301">
        <v>5</v>
      </c>
      <c r="Z301">
        <v>29032</v>
      </c>
      <c r="AA301">
        <v>0.67</v>
      </c>
      <c r="AB301">
        <v>29032</v>
      </c>
      <c r="AC301">
        <v>0.67</v>
      </c>
      <c r="AD301">
        <v>21549</v>
      </c>
      <c r="AE301">
        <v>1292850</v>
      </c>
      <c r="AF301">
        <v>0.74219999999999997</v>
      </c>
      <c r="AG301">
        <v>304</v>
      </c>
      <c r="AH301">
        <v>7175585</v>
      </c>
      <c r="AI301">
        <v>15823</v>
      </c>
      <c r="AJ301">
        <v>532</v>
      </c>
      <c r="AK301" s="20" t="s">
        <v>1117</v>
      </c>
      <c r="AL301" s="20" t="s">
        <v>1335</v>
      </c>
      <c r="AM301" s="20" t="s">
        <v>971</v>
      </c>
      <c r="AN301" s="20" t="s">
        <v>2082</v>
      </c>
      <c r="AO301" s="20" t="s">
        <v>963</v>
      </c>
      <c r="AP301">
        <v>12</v>
      </c>
      <c r="AQ301">
        <v>13</v>
      </c>
      <c r="AR301">
        <v>31</v>
      </c>
      <c r="AS301" t="s">
        <v>2083</v>
      </c>
      <c r="AT301" t="s">
        <v>2084</v>
      </c>
      <c r="AU301" s="27">
        <v>32111</v>
      </c>
      <c r="AV301" s="20"/>
      <c r="AW301" s="20"/>
      <c r="AX301" s="20" t="s">
        <v>974</v>
      </c>
      <c r="AY301" s="20"/>
    </row>
    <row r="302" spans="1:51">
      <c r="A302" s="27">
        <v>43466</v>
      </c>
      <c r="B302" s="20" t="s">
        <v>377</v>
      </c>
      <c r="C302" s="20" t="s">
        <v>1454</v>
      </c>
      <c r="D302">
        <v>523</v>
      </c>
      <c r="E302">
        <v>309</v>
      </c>
      <c r="F302">
        <v>756</v>
      </c>
      <c r="G302">
        <v>341</v>
      </c>
      <c r="H302" s="20" t="s">
        <v>2085</v>
      </c>
      <c r="I302" s="20" t="s">
        <v>935</v>
      </c>
      <c r="J302" s="20" t="s">
        <v>945</v>
      </c>
      <c r="K302" s="20" t="s">
        <v>953</v>
      </c>
      <c r="M302">
        <v>88</v>
      </c>
      <c r="N302">
        <v>88</v>
      </c>
      <c r="O302">
        <v>391</v>
      </c>
      <c r="P302">
        <v>4.4400000000000004</v>
      </c>
      <c r="Q302">
        <v>0</v>
      </c>
      <c r="R302">
        <v>174</v>
      </c>
      <c r="S302">
        <v>174</v>
      </c>
      <c r="T302">
        <v>31</v>
      </c>
      <c r="U302">
        <v>0.36</v>
      </c>
      <c r="V302">
        <v>7</v>
      </c>
      <c r="W302">
        <v>0</v>
      </c>
      <c r="X302">
        <v>7</v>
      </c>
      <c r="Y302">
        <v>5</v>
      </c>
      <c r="Z302">
        <v>25086</v>
      </c>
      <c r="AA302">
        <v>0.57999999999999996</v>
      </c>
      <c r="AB302">
        <v>25086</v>
      </c>
      <c r="AC302">
        <v>0.57999999999999996</v>
      </c>
      <c r="AD302">
        <v>18156</v>
      </c>
      <c r="AE302">
        <v>1113273</v>
      </c>
      <c r="AF302">
        <v>0.7238</v>
      </c>
      <c r="AG302">
        <v>300</v>
      </c>
      <c r="AH302">
        <v>6178887</v>
      </c>
      <c r="AI302">
        <v>15823</v>
      </c>
      <c r="AJ302">
        <v>536</v>
      </c>
      <c r="AK302" s="20" t="s">
        <v>1458</v>
      </c>
      <c r="AL302" s="20" t="s">
        <v>2086</v>
      </c>
      <c r="AM302" s="20" t="s">
        <v>1460</v>
      </c>
      <c r="AN302" s="20" t="s">
        <v>971</v>
      </c>
      <c r="AO302" s="20" t="s">
        <v>963</v>
      </c>
      <c r="AP302">
        <v>12</v>
      </c>
      <c r="AQ302">
        <v>13</v>
      </c>
      <c r="AR302">
        <v>31</v>
      </c>
      <c r="AS302" t="s">
        <v>2083</v>
      </c>
      <c r="AT302" t="s">
        <v>2084</v>
      </c>
      <c r="AU302" s="27">
        <v>32111</v>
      </c>
      <c r="AV302" s="20"/>
      <c r="AW302" s="20"/>
      <c r="AX302" s="20"/>
      <c r="AY302" s="20"/>
    </row>
    <row r="303" spans="1:51">
      <c r="A303" s="27">
        <v>43466</v>
      </c>
      <c r="B303" s="20" t="s">
        <v>378</v>
      </c>
      <c r="C303" s="20" t="s">
        <v>1056</v>
      </c>
      <c r="D303">
        <v>329</v>
      </c>
      <c r="E303">
        <v>3</v>
      </c>
      <c r="F303">
        <v>382</v>
      </c>
      <c r="G303">
        <v>754</v>
      </c>
      <c r="H303" s="20" t="s">
        <v>2087</v>
      </c>
      <c r="I303" s="20" t="s">
        <v>935</v>
      </c>
      <c r="J303" s="20" t="s">
        <v>945</v>
      </c>
      <c r="K303" s="20" t="s">
        <v>953</v>
      </c>
      <c r="M303">
        <v>14</v>
      </c>
      <c r="N303">
        <v>14</v>
      </c>
      <c r="O303">
        <v>63</v>
      </c>
      <c r="P303">
        <v>4.5</v>
      </c>
      <c r="Q303">
        <v>0</v>
      </c>
      <c r="R303">
        <v>30</v>
      </c>
      <c r="S303">
        <v>30</v>
      </c>
      <c r="T303">
        <v>5</v>
      </c>
      <c r="U303">
        <v>0.35699999999999998</v>
      </c>
      <c r="V303">
        <v>1</v>
      </c>
      <c r="W303">
        <v>0</v>
      </c>
      <c r="X303">
        <v>1</v>
      </c>
      <c r="Y303">
        <v>5</v>
      </c>
      <c r="Z303">
        <v>3946</v>
      </c>
      <c r="AA303">
        <v>0.09</v>
      </c>
      <c r="AB303">
        <v>3946</v>
      </c>
      <c r="AC303">
        <v>0.09</v>
      </c>
      <c r="AD303">
        <v>3393</v>
      </c>
      <c r="AE303">
        <v>179577</v>
      </c>
      <c r="AF303">
        <v>0.8599</v>
      </c>
      <c r="AG303">
        <v>333</v>
      </c>
      <c r="AH303">
        <v>996698</v>
      </c>
      <c r="AI303">
        <v>15821</v>
      </c>
      <c r="AJ303">
        <v>513</v>
      </c>
      <c r="AK303" s="20" t="s">
        <v>1117</v>
      </c>
      <c r="AL303" s="20" t="s">
        <v>1335</v>
      </c>
      <c r="AM303" s="20" t="s">
        <v>971</v>
      </c>
      <c r="AN303" s="20"/>
      <c r="AO303" s="20" t="s">
        <v>963</v>
      </c>
      <c r="AP303">
        <v>12</v>
      </c>
      <c r="AQ303">
        <v>13</v>
      </c>
      <c r="AR303">
        <v>31</v>
      </c>
      <c r="AS303">
        <v>71</v>
      </c>
      <c r="AT303">
        <v>7</v>
      </c>
      <c r="AU303" s="27">
        <v>32111</v>
      </c>
      <c r="AV303" s="20"/>
      <c r="AW303" s="20"/>
      <c r="AX303" s="20"/>
      <c r="AY303" s="20"/>
    </row>
    <row r="304" spans="1:51">
      <c r="A304" s="27">
        <v>43466</v>
      </c>
      <c r="B304" s="20" t="s">
        <v>259</v>
      </c>
      <c r="C304" s="20" t="s">
        <v>1454</v>
      </c>
      <c r="D304">
        <v>330</v>
      </c>
      <c r="E304">
        <v>309</v>
      </c>
      <c r="F304">
        <v>788</v>
      </c>
      <c r="G304">
        <v>341</v>
      </c>
      <c r="H304" s="20" t="s">
        <v>2088</v>
      </c>
      <c r="I304" s="20" t="s">
        <v>935</v>
      </c>
      <c r="J304" s="20" t="s">
        <v>936</v>
      </c>
      <c r="K304" s="20" t="s">
        <v>953</v>
      </c>
      <c r="M304">
        <v>32</v>
      </c>
      <c r="N304">
        <v>32</v>
      </c>
      <c r="O304">
        <v>129</v>
      </c>
      <c r="P304">
        <v>4.03</v>
      </c>
      <c r="R304">
        <v>67</v>
      </c>
      <c r="S304">
        <v>67</v>
      </c>
      <c r="T304">
        <v>16</v>
      </c>
      <c r="U304">
        <v>0.51600000000000001</v>
      </c>
      <c r="V304">
        <v>2</v>
      </c>
      <c r="W304">
        <v>0</v>
      </c>
      <c r="X304">
        <v>2</v>
      </c>
      <c r="Y304">
        <v>5</v>
      </c>
      <c r="Z304">
        <v>8593</v>
      </c>
      <c r="AA304">
        <v>0.2</v>
      </c>
      <c r="AB304">
        <v>8593</v>
      </c>
      <c r="AC304">
        <v>0.2</v>
      </c>
      <c r="AD304">
        <v>6012</v>
      </c>
      <c r="AE304">
        <v>323625</v>
      </c>
      <c r="AF304">
        <v>0.6996</v>
      </c>
      <c r="AG304">
        <v>335</v>
      </c>
      <c r="AH304">
        <v>3052119</v>
      </c>
      <c r="AI304">
        <v>23660</v>
      </c>
      <c r="AJ304">
        <v>478</v>
      </c>
      <c r="AK304" s="20" t="s">
        <v>2076</v>
      </c>
      <c r="AL304" s="20" t="s">
        <v>971</v>
      </c>
      <c r="AM304" s="20" t="s">
        <v>2077</v>
      </c>
      <c r="AN304" s="20" t="s">
        <v>2078</v>
      </c>
      <c r="AO304" s="20" t="s">
        <v>963</v>
      </c>
      <c r="AP304">
        <v>12</v>
      </c>
      <c r="AQ304">
        <v>13</v>
      </c>
      <c r="AR304">
        <v>31</v>
      </c>
      <c r="AS304">
        <v>72</v>
      </c>
      <c r="AT304">
        <v>10</v>
      </c>
      <c r="AU304" s="27">
        <v>33147</v>
      </c>
      <c r="AV304" s="20"/>
      <c r="AW304" s="20"/>
      <c r="AX304" s="20" t="s">
        <v>974</v>
      </c>
      <c r="AY304" s="20"/>
    </row>
    <row r="305" spans="1:51">
      <c r="A305" s="27">
        <v>43466</v>
      </c>
      <c r="B305" s="20" t="s">
        <v>379</v>
      </c>
      <c r="C305" s="20" t="s">
        <v>1454</v>
      </c>
      <c r="D305">
        <v>331</v>
      </c>
      <c r="E305">
        <v>309</v>
      </c>
      <c r="F305">
        <v>789</v>
      </c>
      <c r="G305">
        <v>341</v>
      </c>
      <c r="H305" s="20" t="s">
        <v>2089</v>
      </c>
      <c r="I305" s="20" t="s">
        <v>935</v>
      </c>
      <c r="J305" s="20" t="s">
        <v>936</v>
      </c>
      <c r="K305" s="20" t="s">
        <v>953</v>
      </c>
      <c r="M305">
        <v>32</v>
      </c>
      <c r="N305">
        <v>32</v>
      </c>
      <c r="O305">
        <v>132</v>
      </c>
      <c r="P305">
        <v>4.13</v>
      </c>
      <c r="R305">
        <v>60</v>
      </c>
      <c r="S305">
        <v>60</v>
      </c>
      <c r="T305">
        <v>15</v>
      </c>
      <c r="U305">
        <v>0.46899999999999997</v>
      </c>
      <c r="V305">
        <v>2</v>
      </c>
      <c r="W305">
        <v>0</v>
      </c>
      <c r="X305">
        <v>2</v>
      </c>
      <c r="Y305">
        <v>5</v>
      </c>
      <c r="Z305">
        <v>8743</v>
      </c>
      <c r="AA305">
        <v>0.2</v>
      </c>
      <c r="AB305">
        <v>8743</v>
      </c>
      <c r="AC305">
        <v>0.2</v>
      </c>
      <c r="AD305">
        <v>6127</v>
      </c>
      <c r="AE305">
        <v>329815</v>
      </c>
      <c r="AF305">
        <v>0.70079999999999998</v>
      </c>
      <c r="AG305">
        <v>300</v>
      </c>
      <c r="AH305">
        <v>3007393</v>
      </c>
      <c r="AI305">
        <v>22783</v>
      </c>
      <c r="AJ305">
        <v>508</v>
      </c>
      <c r="AK305" s="20" t="s">
        <v>2076</v>
      </c>
      <c r="AL305" s="20" t="s">
        <v>971</v>
      </c>
      <c r="AM305" s="20"/>
      <c r="AN305" s="20" t="s">
        <v>2078</v>
      </c>
      <c r="AO305" s="20" t="s">
        <v>963</v>
      </c>
      <c r="AP305">
        <v>12</v>
      </c>
      <c r="AQ305">
        <v>13</v>
      </c>
      <c r="AR305">
        <v>31</v>
      </c>
      <c r="AS305">
        <v>72</v>
      </c>
      <c r="AT305">
        <v>10</v>
      </c>
      <c r="AU305" s="27">
        <v>33055</v>
      </c>
      <c r="AV305" s="20"/>
      <c r="AW305" s="20"/>
      <c r="AX305" s="20" t="s">
        <v>974</v>
      </c>
      <c r="AY305" s="20"/>
    </row>
    <row r="306" spans="1:51">
      <c r="A306" s="27">
        <v>43466</v>
      </c>
      <c r="B306" s="20" t="s">
        <v>47</v>
      </c>
      <c r="C306" s="20" t="s">
        <v>1747</v>
      </c>
      <c r="D306">
        <v>141</v>
      </c>
      <c r="E306">
        <v>141</v>
      </c>
      <c r="F306">
        <v>231</v>
      </c>
      <c r="G306">
        <v>231</v>
      </c>
      <c r="H306" s="20" t="s">
        <v>2090</v>
      </c>
      <c r="I306" s="20" t="s">
        <v>935</v>
      </c>
      <c r="J306" s="20" t="s">
        <v>936</v>
      </c>
      <c r="K306" s="20" t="s">
        <v>937</v>
      </c>
      <c r="M306">
        <v>606</v>
      </c>
      <c r="N306">
        <v>606</v>
      </c>
      <c r="O306">
        <v>2831</v>
      </c>
      <c r="P306">
        <v>4.67</v>
      </c>
      <c r="R306">
        <v>1562</v>
      </c>
      <c r="S306">
        <v>1562</v>
      </c>
      <c r="T306">
        <v>223</v>
      </c>
      <c r="U306">
        <v>0.372</v>
      </c>
      <c r="V306">
        <v>5</v>
      </c>
      <c r="W306">
        <v>1</v>
      </c>
      <c r="X306">
        <v>6</v>
      </c>
      <c r="Y306">
        <v>21</v>
      </c>
      <c r="Z306">
        <v>197199</v>
      </c>
      <c r="AA306">
        <v>4.53</v>
      </c>
      <c r="AB306">
        <v>197199</v>
      </c>
      <c r="AC306">
        <v>4.53</v>
      </c>
      <c r="AD306">
        <v>31247</v>
      </c>
      <c r="AE306">
        <v>5322369</v>
      </c>
      <c r="AF306">
        <v>0.1585</v>
      </c>
      <c r="AG306">
        <v>345</v>
      </c>
      <c r="AH306">
        <v>12227114</v>
      </c>
      <c r="AI306">
        <v>4319</v>
      </c>
      <c r="AJ306">
        <v>503</v>
      </c>
      <c r="AK306" s="20" t="s">
        <v>1216</v>
      </c>
      <c r="AL306" s="20" t="s">
        <v>1219</v>
      </c>
      <c r="AM306" s="20" t="s">
        <v>955</v>
      </c>
      <c r="AN306" s="20" t="s">
        <v>1218</v>
      </c>
      <c r="AO306" s="20" t="s">
        <v>942</v>
      </c>
      <c r="AP306">
        <v>3</v>
      </c>
      <c r="AQ306">
        <v>15</v>
      </c>
      <c r="AR306">
        <v>32</v>
      </c>
      <c r="AS306">
        <v>79</v>
      </c>
      <c r="AT306">
        <v>16</v>
      </c>
      <c r="AU306" s="27">
        <v>24015</v>
      </c>
      <c r="AV306" s="20"/>
      <c r="AW306" s="20"/>
      <c r="AX306" s="20"/>
      <c r="AY306" s="20"/>
    </row>
    <row r="307" spans="1:51">
      <c r="A307" s="27">
        <v>43466</v>
      </c>
      <c r="B307" s="20" t="s">
        <v>220</v>
      </c>
      <c r="C307" s="20" t="s">
        <v>1013</v>
      </c>
      <c r="D307">
        <v>229</v>
      </c>
      <c r="E307">
        <v>31</v>
      </c>
      <c r="F307">
        <v>357</v>
      </c>
      <c r="G307">
        <v>357</v>
      </c>
      <c r="H307" s="20" t="s">
        <v>2091</v>
      </c>
      <c r="I307" s="20" t="s">
        <v>935</v>
      </c>
      <c r="J307" s="20" t="s">
        <v>945</v>
      </c>
      <c r="K307" s="20" t="s">
        <v>937</v>
      </c>
      <c r="M307">
        <v>256</v>
      </c>
      <c r="N307">
        <v>257</v>
      </c>
      <c r="O307">
        <v>1285</v>
      </c>
      <c r="P307">
        <v>5.0199999999999996</v>
      </c>
      <c r="R307">
        <v>718</v>
      </c>
      <c r="S307">
        <v>718</v>
      </c>
      <c r="T307">
        <v>77</v>
      </c>
      <c r="U307">
        <v>0.308</v>
      </c>
      <c r="V307">
        <v>2</v>
      </c>
      <c r="W307">
        <v>0</v>
      </c>
      <c r="X307">
        <v>14</v>
      </c>
      <c r="Y307">
        <v>43560</v>
      </c>
      <c r="Z307">
        <v>141365</v>
      </c>
      <c r="AA307">
        <v>3.25</v>
      </c>
      <c r="AB307">
        <v>141365</v>
      </c>
      <c r="AC307">
        <v>3.25</v>
      </c>
      <c r="AD307">
        <v>63228</v>
      </c>
      <c r="AE307">
        <v>2929695</v>
      </c>
      <c r="AF307">
        <v>0.44729999999999998</v>
      </c>
      <c r="AG307">
        <v>221</v>
      </c>
      <c r="AH307">
        <v>7871249</v>
      </c>
      <c r="AI307">
        <v>6073</v>
      </c>
      <c r="AJ307">
        <v>568</v>
      </c>
      <c r="AK307" s="20" t="s">
        <v>1596</v>
      </c>
      <c r="AL307" s="20" t="s">
        <v>2092</v>
      </c>
      <c r="AM307" s="20" t="s">
        <v>1777</v>
      </c>
      <c r="AN307" s="20" t="s">
        <v>1017</v>
      </c>
      <c r="AO307" s="20" t="s">
        <v>950</v>
      </c>
      <c r="AP307">
        <v>8</v>
      </c>
      <c r="AQ307">
        <v>8</v>
      </c>
      <c r="AR307">
        <v>25</v>
      </c>
      <c r="AS307">
        <v>56</v>
      </c>
      <c r="AT307">
        <v>36</v>
      </c>
      <c r="AU307" s="27">
        <v>27149</v>
      </c>
      <c r="AV307" s="20"/>
      <c r="AW307" s="20"/>
      <c r="AX307" s="20"/>
      <c r="AY307" s="20"/>
    </row>
    <row r="308" spans="1:51">
      <c r="A308" s="27">
        <v>43466</v>
      </c>
      <c r="B308" s="20" t="s">
        <v>380</v>
      </c>
      <c r="C308" s="20" t="s">
        <v>2093</v>
      </c>
      <c r="D308">
        <v>116</v>
      </c>
      <c r="E308">
        <v>116</v>
      </c>
      <c r="F308">
        <v>242</v>
      </c>
      <c r="G308">
        <v>209</v>
      </c>
      <c r="H308" s="20" t="s">
        <v>2094</v>
      </c>
      <c r="I308" s="20" t="s">
        <v>935</v>
      </c>
      <c r="J308" s="20" t="s">
        <v>936</v>
      </c>
      <c r="K308" s="20" t="s">
        <v>937</v>
      </c>
      <c r="M308">
        <v>487</v>
      </c>
      <c r="N308">
        <v>490</v>
      </c>
      <c r="O308">
        <v>2338.5</v>
      </c>
      <c r="P308">
        <v>4.8</v>
      </c>
      <c r="R308">
        <v>1377</v>
      </c>
      <c r="S308">
        <v>1377</v>
      </c>
      <c r="T308">
        <v>135</v>
      </c>
      <c r="U308">
        <v>0.27800000000000002</v>
      </c>
      <c r="V308">
        <v>8</v>
      </c>
      <c r="W308">
        <v>1</v>
      </c>
      <c r="X308">
        <v>9</v>
      </c>
      <c r="Y308">
        <v>8</v>
      </c>
      <c r="Z308">
        <v>367961</v>
      </c>
      <c r="AA308">
        <v>8.4499999999999993</v>
      </c>
      <c r="AB308">
        <v>367961</v>
      </c>
      <c r="AC308">
        <v>8.4499999999999993</v>
      </c>
      <c r="AD308">
        <v>65839</v>
      </c>
      <c r="AE308">
        <v>4850947</v>
      </c>
      <c r="AF308">
        <v>0.1789</v>
      </c>
      <c r="AG308">
        <v>163</v>
      </c>
      <c r="AH308">
        <v>9893117</v>
      </c>
      <c r="AI308">
        <v>4204</v>
      </c>
      <c r="AJ308">
        <v>543</v>
      </c>
      <c r="AK308" s="20" t="s">
        <v>2095</v>
      </c>
      <c r="AL308" s="20" t="s">
        <v>2096</v>
      </c>
      <c r="AM308" s="20" t="s">
        <v>2097</v>
      </c>
      <c r="AN308" s="20" t="s">
        <v>1335</v>
      </c>
      <c r="AO308" s="20" t="s">
        <v>1108</v>
      </c>
      <c r="AP308">
        <v>1</v>
      </c>
      <c r="AQ308">
        <v>11</v>
      </c>
      <c r="AR308">
        <v>23</v>
      </c>
      <c r="AS308">
        <v>61</v>
      </c>
      <c r="AT308">
        <v>49</v>
      </c>
      <c r="AU308" s="27">
        <v>23011</v>
      </c>
      <c r="AV308" s="20"/>
      <c r="AW308" s="20"/>
      <c r="AX308" s="20"/>
      <c r="AY308" s="20"/>
    </row>
    <row r="309" spans="1:51">
      <c r="A309" s="27">
        <v>43466</v>
      </c>
      <c r="B309" s="20" t="s">
        <v>381</v>
      </c>
      <c r="C309" s="20" t="s">
        <v>2093</v>
      </c>
      <c r="D309">
        <v>175</v>
      </c>
      <c r="E309">
        <v>116</v>
      </c>
      <c r="F309">
        <v>242</v>
      </c>
      <c r="G309">
        <v>209</v>
      </c>
      <c r="H309" s="20" t="s">
        <v>2094</v>
      </c>
      <c r="I309" s="20" t="s">
        <v>935</v>
      </c>
      <c r="J309" s="20" t="s">
        <v>936</v>
      </c>
      <c r="K309" s="20" t="s">
        <v>1080</v>
      </c>
      <c r="M309">
        <v>120</v>
      </c>
      <c r="N309">
        <v>144</v>
      </c>
      <c r="O309">
        <v>382</v>
      </c>
      <c r="P309">
        <v>3.18</v>
      </c>
      <c r="R309">
        <v>99</v>
      </c>
      <c r="S309">
        <v>99</v>
      </c>
      <c r="T309">
        <v>74</v>
      </c>
      <c r="U309">
        <v>0.89200000000000002</v>
      </c>
      <c r="V309">
        <v>8</v>
      </c>
      <c r="W309">
        <v>0</v>
      </c>
      <c r="X309">
        <v>8</v>
      </c>
      <c r="Y309">
        <v>1</v>
      </c>
      <c r="Z309">
        <v>181770</v>
      </c>
      <c r="AA309">
        <v>4.17</v>
      </c>
      <c r="AB309">
        <v>181770</v>
      </c>
      <c r="AC309">
        <v>4.17</v>
      </c>
      <c r="AD309">
        <v>67228</v>
      </c>
      <c r="AE309">
        <v>758927</v>
      </c>
      <c r="AF309">
        <v>0.36990000000000001</v>
      </c>
      <c r="AG309">
        <v>24</v>
      </c>
      <c r="AH309">
        <v>2825000</v>
      </c>
      <c r="AI309">
        <v>6036</v>
      </c>
      <c r="AJ309">
        <v>339</v>
      </c>
      <c r="AK309" s="20" t="s">
        <v>2095</v>
      </c>
      <c r="AL309" s="20" t="s">
        <v>2097</v>
      </c>
      <c r="AM309" s="20" t="s">
        <v>1335</v>
      </c>
      <c r="AN309" s="20"/>
      <c r="AO309" s="20" t="s">
        <v>1108</v>
      </c>
      <c r="AP309">
        <v>1</v>
      </c>
      <c r="AQ309">
        <v>11</v>
      </c>
      <c r="AR309">
        <v>23</v>
      </c>
      <c r="AS309">
        <v>61</v>
      </c>
      <c r="AT309">
        <v>49</v>
      </c>
      <c r="AU309" s="27">
        <v>24107</v>
      </c>
      <c r="AV309" s="20"/>
      <c r="AW309" s="20" t="s">
        <v>1081</v>
      </c>
      <c r="AX309" s="20"/>
      <c r="AY309" s="20"/>
    </row>
    <row r="310" spans="1:51">
      <c r="A310" s="27">
        <v>43466</v>
      </c>
      <c r="B310" s="20" t="s">
        <v>289</v>
      </c>
      <c r="C310" s="20" t="s">
        <v>1187</v>
      </c>
      <c r="D310">
        <v>360</v>
      </c>
      <c r="E310">
        <v>530</v>
      </c>
      <c r="F310">
        <v>780</v>
      </c>
      <c r="G310">
        <v>780</v>
      </c>
      <c r="H310" s="20" t="s">
        <v>2098</v>
      </c>
      <c r="I310" s="20" t="s">
        <v>935</v>
      </c>
      <c r="J310" s="20" t="s">
        <v>945</v>
      </c>
      <c r="K310" s="20" t="s">
        <v>953</v>
      </c>
      <c r="M310">
        <v>208</v>
      </c>
      <c r="N310">
        <v>208</v>
      </c>
      <c r="O310">
        <v>883</v>
      </c>
      <c r="P310">
        <v>4.25</v>
      </c>
      <c r="R310">
        <v>437</v>
      </c>
      <c r="S310">
        <v>437</v>
      </c>
      <c r="T310">
        <v>68</v>
      </c>
      <c r="U310">
        <v>0.33</v>
      </c>
      <c r="V310">
        <v>4</v>
      </c>
      <c r="W310">
        <v>0</v>
      </c>
      <c r="X310">
        <v>7</v>
      </c>
      <c r="Y310">
        <v>6</v>
      </c>
      <c r="Z310">
        <v>51965</v>
      </c>
      <c r="AA310">
        <v>1.19</v>
      </c>
      <c r="AB310">
        <v>51965</v>
      </c>
      <c r="AC310">
        <v>1.19</v>
      </c>
      <c r="AD310">
        <v>34935</v>
      </c>
      <c r="AE310">
        <v>2104200</v>
      </c>
      <c r="AF310">
        <v>0.67230000000000001</v>
      </c>
      <c r="AG310">
        <v>367</v>
      </c>
      <c r="AH310">
        <v>14480678</v>
      </c>
      <c r="AI310">
        <v>16399</v>
      </c>
      <c r="AJ310">
        <v>570</v>
      </c>
      <c r="AK310" s="20" t="s">
        <v>2099</v>
      </c>
      <c r="AL310" s="20" t="s">
        <v>1375</v>
      </c>
      <c r="AM310" s="20" t="s">
        <v>2100</v>
      </c>
      <c r="AN310" s="20" t="s">
        <v>1370</v>
      </c>
      <c r="AO310" s="20" t="s">
        <v>942</v>
      </c>
      <c r="AP310" t="s">
        <v>2101</v>
      </c>
      <c r="AQ310">
        <v>15</v>
      </c>
      <c r="AR310">
        <v>32</v>
      </c>
      <c r="AS310">
        <v>85</v>
      </c>
      <c r="AT310">
        <v>17</v>
      </c>
      <c r="AU310" s="27">
        <v>31637</v>
      </c>
      <c r="AV310" s="20"/>
      <c r="AW310" s="20"/>
      <c r="AX310" s="20" t="s">
        <v>974</v>
      </c>
      <c r="AY310" s="20" t="s">
        <v>974</v>
      </c>
    </row>
    <row r="311" spans="1:51">
      <c r="A311" s="27">
        <v>43466</v>
      </c>
      <c r="B311" s="20" t="s">
        <v>290</v>
      </c>
      <c r="C311" s="20" t="s">
        <v>2102</v>
      </c>
      <c r="D311">
        <v>526</v>
      </c>
      <c r="E311">
        <v>530</v>
      </c>
      <c r="F311">
        <v>481</v>
      </c>
      <c r="G311">
        <v>482</v>
      </c>
      <c r="H311" s="20" t="s">
        <v>2103</v>
      </c>
      <c r="I311" s="20" t="s">
        <v>935</v>
      </c>
      <c r="J311" s="20" t="s">
        <v>936</v>
      </c>
      <c r="K311" s="20" t="s">
        <v>953</v>
      </c>
      <c r="M311">
        <v>20</v>
      </c>
      <c r="N311">
        <v>20</v>
      </c>
      <c r="O311">
        <v>85</v>
      </c>
      <c r="P311">
        <v>4.25</v>
      </c>
      <c r="R311">
        <v>50</v>
      </c>
      <c r="S311">
        <v>50</v>
      </c>
      <c r="T311">
        <v>2</v>
      </c>
      <c r="U311">
        <v>0.1</v>
      </c>
      <c r="V311">
        <v>1</v>
      </c>
      <c r="W311">
        <v>0</v>
      </c>
      <c r="X311">
        <v>1</v>
      </c>
      <c r="Y311">
        <v>5</v>
      </c>
      <c r="Z311">
        <v>5000</v>
      </c>
      <c r="AA311">
        <v>0.11</v>
      </c>
      <c r="AB311">
        <v>5000</v>
      </c>
      <c r="AC311">
        <v>0.11</v>
      </c>
      <c r="AD311">
        <v>3363</v>
      </c>
      <c r="AE311">
        <v>202892</v>
      </c>
      <c r="AF311">
        <v>0.67259999999999998</v>
      </c>
      <c r="AG311">
        <v>455</v>
      </c>
      <c r="AH311">
        <v>1558811</v>
      </c>
      <c r="AI311">
        <v>18339</v>
      </c>
      <c r="AJ311">
        <v>576</v>
      </c>
      <c r="AK311" s="20" t="s">
        <v>954</v>
      </c>
      <c r="AL311" s="20" t="s">
        <v>1370</v>
      </c>
      <c r="AM311" s="20" t="s">
        <v>2100</v>
      </c>
      <c r="AN311" s="20"/>
      <c r="AO311" s="20" t="s">
        <v>942</v>
      </c>
      <c r="AP311">
        <v>3</v>
      </c>
      <c r="AQ311">
        <v>15</v>
      </c>
      <c r="AR311">
        <v>32</v>
      </c>
      <c r="AS311">
        <v>85</v>
      </c>
      <c r="AT311">
        <v>17</v>
      </c>
      <c r="AU311" s="27">
        <v>34515</v>
      </c>
      <c r="AV311" s="20"/>
      <c r="AW311" s="20"/>
      <c r="AX311" s="20" t="s">
        <v>974</v>
      </c>
      <c r="AY311" s="20" t="s">
        <v>974</v>
      </c>
    </row>
    <row r="312" spans="1:51">
      <c r="A312" s="27">
        <v>43466</v>
      </c>
      <c r="B312" s="20" t="s">
        <v>382</v>
      </c>
      <c r="C312" s="20" t="s">
        <v>1943</v>
      </c>
      <c r="D312">
        <v>246</v>
      </c>
      <c r="E312">
        <v>45</v>
      </c>
      <c r="F312">
        <v>365</v>
      </c>
      <c r="G312">
        <v>368</v>
      </c>
      <c r="H312" s="20" t="s">
        <v>2104</v>
      </c>
      <c r="I312" s="20" t="s">
        <v>935</v>
      </c>
      <c r="J312" s="20" t="s">
        <v>945</v>
      </c>
      <c r="K312" s="20" t="s">
        <v>1080</v>
      </c>
      <c r="M312">
        <v>148</v>
      </c>
      <c r="N312">
        <v>148</v>
      </c>
      <c r="O312">
        <v>485</v>
      </c>
      <c r="P312">
        <v>3.28</v>
      </c>
      <c r="R312">
        <v>159</v>
      </c>
      <c r="S312">
        <v>159</v>
      </c>
      <c r="T312">
        <v>130</v>
      </c>
      <c r="U312">
        <v>0.89700000000000002</v>
      </c>
      <c r="V312">
        <v>1</v>
      </c>
      <c r="W312">
        <v>0</v>
      </c>
      <c r="X312">
        <v>1</v>
      </c>
      <c r="Y312">
        <v>12</v>
      </c>
      <c r="Z312">
        <v>36563</v>
      </c>
      <c r="AA312">
        <v>0.84</v>
      </c>
      <c r="AB312">
        <v>36563</v>
      </c>
      <c r="AC312">
        <v>0.84</v>
      </c>
      <c r="AD312">
        <v>9609</v>
      </c>
      <c r="AE312">
        <v>982251</v>
      </c>
      <c r="AF312">
        <v>0.26279999999999998</v>
      </c>
      <c r="AG312">
        <v>189</v>
      </c>
      <c r="AH312">
        <v>4380000</v>
      </c>
      <c r="AI312">
        <v>8734</v>
      </c>
      <c r="AJ312">
        <v>272</v>
      </c>
      <c r="AK312" s="20" t="s">
        <v>2047</v>
      </c>
      <c r="AL312" s="20" t="s">
        <v>2105</v>
      </c>
      <c r="AM312" s="20" t="s">
        <v>2106</v>
      </c>
      <c r="AN312" s="20" t="s">
        <v>1542</v>
      </c>
      <c r="AO312" s="20" t="s">
        <v>942</v>
      </c>
      <c r="AP312">
        <v>5</v>
      </c>
      <c r="AQ312">
        <v>15</v>
      </c>
      <c r="AR312">
        <v>29</v>
      </c>
      <c r="AS312">
        <v>77</v>
      </c>
      <c r="AT312">
        <v>14</v>
      </c>
      <c r="AU312" s="27">
        <v>26876</v>
      </c>
      <c r="AV312" s="20"/>
      <c r="AW312" s="20" t="s">
        <v>1081</v>
      </c>
      <c r="AX312" s="20"/>
      <c r="AY312" s="20"/>
    </row>
    <row r="313" spans="1:51">
      <c r="A313" s="27">
        <v>43466</v>
      </c>
      <c r="B313" s="20" t="s">
        <v>102</v>
      </c>
      <c r="C313" s="20" t="s">
        <v>1385</v>
      </c>
      <c r="D313">
        <v>124</v>
      </c>
      <c r="E313">
        <v>112</v>
      </c>
      <c r="F313">
        <v>572</v>
      </c>
      <c r="G313">
        <v>539</v>
      </c>
      <c r="H313" s="20" t="s">
        <v>2107</v>
      </c>
      <c r="I313" s="20" t="s">
        <v>935</v>
      </c>
      <c r="J313" s="20" t="s">
        <v>936</v>
      </c>
      <c r="K313" s="20" t="s">
        <v>1080</v>
      </c>
      <c r="M313">
        <v>246</v>
      </c>
      <c r="N313">
        <v>248</v>
      </c>
      <c r="O313">
        <v>733</v>
      </c>
      <c r="P313">
        <v>2.98</v>
      </c>
      <c r="R313">
        <v>270</v>
      </c>
      <c r="S313">
        <v>270</v>
      </c>
      <c r="T313">
        <v>220</v>
      </c>
      <c r="U313">
        <v>0.89800000000000002</v>
      </c>
      <c r="V313">
        <v>1</v>
      </c>
      <c r="W313">
        <v>0</v>
      </c>
      <c r="X313">
        <v>1</v>
      </c>
      <c r="Y313">
        <v>20</v>
      </c>
      <c r="Z313">
        <v>35321</v>
      </c>
      <c r="AA313">
        <v>0.81</v>
      </c>
      <c r="AB313">
        <v>35321</v>
      </c>
      <c r="AC313">
        <v>0.81</v>
      </c>
      <c r="AD313">
        <v>23400</v>
      </c>
      <c r="AE313">
        <v>1778327</v>
      </c>
      <c r="AF313">
        <v>0.66249999999999998</v>
      </c>
      <c r="AG313">
        <v>333</v>
      </c>
      <c r="AH313">
        <v>4305000</v>
      </c>
      <c r="AI313">
        <v>5794</v>
      </c>
      <c r="AJ313">
        <v>304</v>
      </c>
      <c r="AK313" s="20" t="s">
        <v>2074</v>
      </c>
      <c r="AL313" s="20" t="s">
        <v>982</v>
      </c>
      <c r="AM313" s="20"/>
      <c r="AN313" s="20"/>
      <c r="AO313" s="20" t="s">
        <v>963</v>
      </c>
      <c r="AP313">
        <v>11</v>
      </c>
      <c r="AQ313">
        <v>13</v>
      </c>
      <c r="AR313">
        <v>29</v>
      </c>
      <c r="AS313">
        <v>68</v>
      </c>
      <c r="AT313">
        <v>8</v>
      </c>
      <c r="AU313" s="27">
        <v>23650</v>
      </c>
      <c r="AV313" s="20" t="s">
        <v>1341</v>
      </c>
      <c r="AW313" s="20" t="s">
        <v>1081</v>
      </c>
      <c r="AX313" s="20"/>
      <c r="AY313" s="20"/>
    </row>
    <row r="314" spans="1:51">
      <c r="A314" s="27">
        <v>43466</v>
      </c>
      <c r="B314" s="20" t="s">
        <v>383</v>
      </c>
      <c r="C314" s="20" t="s">
        <v>2108</v>
      </c>
      <c r="D314">
        <v>514</v>
      </c>
      <c r="E314">
        <v>514</v>
      </c>
      <c r="F314">
        <v>509</v>
      </c>
      <c r="G314">
        <v>509</v>
      </c>
      <c r="H314" s="20" t="s">
        <v>2109</v>
      </c>
      <c r="I314" s="20" t="s">
        <v>935</v>
      </c>
      <c r="J314" s="20" t="s">
        <v>936</v>
      </c>
      <c r="K314" s="20" t="s">
        <v>937</v>
      </c>
      <c r="M314">
        <v>1651</v>
      </c>
      <c r="N314">
        <v>1659</v>
      </c>
      <c r="O314">
        <v>7833.5</v>
      </c>
      <c r="P314">
        <v>4.74</v>
      </c>
      <c r="R314">
        <v>3866</v>
      </c>
      <c r="S314">
        <v>3866</v>
      </c>
      <c r="T314">
        <v>554</v>
      </c>
      <c r="U314">
        <v>0.34200000000000003</v>
      </c>
      <c r="V314">
        <v>15</v>
      </c>
      <c r="W314">
        <v>3</v>
      </c>
      <c r="X314">
        <v>48</v>
      </c>
      <c r="Y314">
        <v>43629</v>
      </c>
      <c r="Z314">
        <v>803058</v>
      </c>
      <c r="AA314">
        <v>18.440000000000001</v>
      </c>
      <c r="AB314">
        <v>744421</v>
      </c>
      <c r="AC314">
        <v>17.09</v>
      </c>
      <c r="AD314">
        <v>156524</v>
      </c>
      <c r="AE314">
        <v>9769048</v>
      </c>
      <c r="AF314">
        <v>0.19489999999999999</v>
      </c>
      <c r="AG314">
        <v>210</v>
      </c>
      <c r="AH314">
        <v>10341328</v>
      </c>
      <c r="AI314">
        <v>1655</v>
      </c>
      <c r="AJ314">
        <v>556</v>
      </c>
      <c r="AK314" s="20" t="s">
        <v>1219</v>
      </c>
      <c r="AL314" s="20" t="s">
        <v>1054</v>
      </c>
      <c r="AM314" s="20" t="s">
        <v>979</v>
      </c>
      <c r="AN314" s="20" t="s">
        <v>1575</v>
      </c>
      <c r="AO314" s="20" t="s">
        <v>950</v>
      </c>
      <c r="AP314">
        <v>2</v>
      </c>
      <c r="AQ314">
        <v>8</v>
      </c>
      <c r="AR314">
        <v>25</v>
      </c>
      <c r="AS314">
        <v>57</v>
      </c>
      <c r="AT314">
        <v>35</v>
      </c>
      <c r="AU314" s="27">
        <v>16126</v>
      </c>
      <c r="AV314" s="20" t="s">
        <v>1050</v>
      </c>
      <c r="AW314" s="20"/>
      <c r="AX314" s="20"/>
      <c r="AY314" s="20"/>
    </row>
    <row r="315" spans="1:51">
      <c r="A315" s="27">
        <v>43466</v>
      </c>
      <c r="B315" s="20" t="s">
        <v>384</v>
      </c>
      <c r="C315" s="20" t="s">
        <v>2110</v>
      </c>
      <c r="D315">
        <v>128</v>
      </c>
      <c r="E315">
        <v>128</v>
      </c>
      <c r="F315">
        <v>443</v>
      </c>
      <c r="G315">
        <v>443</v>
      </c>
      <c r="H315" s="20" t="s">
        <v>2111</v>
      </c>
      <c r="I315" s="20" t="s">
        <v>988</v>
      </c>
      <c r="J315" s="20" t="s">
        <v>936</v>
      </c>
      <c r="K315" s="20" t="s">
        <v>937</v>
      </c>
      <c r="L315">
        <v>109</v>
      </c>
      <c r="M315">
        <v>577</v>
      </c>
      <c r="N315">
        <v>577</v>
      </c>
      <c r="O315">
        <v>2652.5</v>
      </c>
      <c r="P315">
        <v>4.5999999999999996</v>
      </c>
      <c r="Q315">
        <v>259</v>
      </c>
      <c r="R315">
        <v>1031</v>
      </c>
      <c r="S315">
        <v>1290</v>
      </c>
      <c r="T315">
        <v>287</v>
      </c>
      <c r="U315">
        <v>0.503</v>
      </c>
      <c r="V315">
        <v>5</v>
      </c>
      <c r="W315">
        <v>0</v>
      </c>
      <c r="X315">
        <v>5</v>
      </c>
      <c r="Y315" t="s">
        <v>2112</v>
      </c>
      <c r="Z315">
        <v>242859</v>
      </c>
      <c r="AA315">
        <v>5.58</v>
      </c>
      <c r="AB315">
        <v>242859</v>
      </c>
      <c r="AC315">
        <v>5.58</v>
      </c>
      <c r="AD315">
        <v>39895</v>
      </c>
      <c r="AE315">
        <v>5239694</v>
      </c>
      <c r="AF315">
        <v>0.1643</v>
      </c>
      <c r="AG315">
        <v>231</v>
      </c>
      <c r="AH315">
        <v>11631000</v>
      </c>
      <c r="AI315">
        <v>4390</v>
      </c>
      <c r="AJ315">
        <v>469</v>
      </c>
      <c r="AK315" s="20" t="s">
        <v>2113</v>
      </c>
      <c r="AL315" s="20" t="s">
        <v>1335</v>
      </c>
      <c r="AM315" s="20" t="s">
        <v>2114</v>
      </c>
      <c r="AN315" s="20" t="s">
        <v>1036</v>
      </c>
      <c r="AO315" s="20" t="s">
        <v>950</v>
      </c>
      <c r="AP315">
        <v>1</v>
      </c>
      <c r="AQ315">
        <v>7</v>
      </c>
      <c r="AR315">
        <v>18</v>
      </c>
      <c r="AS315">
        <v>50</v>
      </c>
      <c r="AT315">
        <v>33</v>
      </c>
      <c r="AU315" s="27">
        <v>23497</v>
      </c>
      <c r="AV315" s="20"/>
      <c r="AW315" s="20"/>
      <c r="AX315" s="20"/>
      <c r="AY315" s="20"/>
    </row>
    <row r="316" spans="1:51">
      <c r="A316" s="27">
        <v>43466</v>
      </c>
      <c r="B316" s="20" t="s">
        <v>385</v>
      </c>
      <c r="C316" s="20" t="s">
        <v>2115</v>
      </c>
      <c r="D316">
        <v>2</v>
      </c>
      <c r="E316">
        <v>2</v>
      </c>
      <c r="F316">
        <v>200</v>
      </c>
      <c r="G316">
        <v>200</v>
      </c>
      <c r="H316" s="20" t="s">
        <v>2116</v>
      </c>
      <c r="I316" s="20" t="s">
        <v>935</v>
      </c>
      <c r="J316" s="20" t="s">
        <v>936</v>
      </c>
      <c r="K316" s="20" t="s">
        <v>937</v>
      </c>
      <c r="M316">
        <v>1627</v>
      </c>
      <c r="N316">
        <v>1630</v>
      </c>
      <c r="O316">
        <v>6528.5</v>
      </c>
      <c r="P316">
        <v>4.01</v>
      </c>
      <c r="R316">
        <v>3025</v>
      </c>
      <c r="S316">
        <v>3025</v>
      </c>
      <c r="T316">
        <v>770</v>
      </c>
      <c r="U316">
        <v>0.48299999999999998</v>
      </c>
      <c r="V316">
        <v>20</v>
      </c>
      <c r="W316">
        <v>1</v>
      </c>
      <c r="X316">
        <v>137</v>
      </c>
      <c r="Y316">
        <v>4</v>
      </c>
      <c r="Z316">
        <v>1016895</v>
      </c>
      <c r="AA316">
        <v>23.34</v>
      </c>
      <c r="AB316">
        <v>927103</v>
      </c>
      <c r="AC316">
        <v>21.28</v>
      </c>
      <c r="AD316">
        <v>326716</v>
      </c>
      <c r="AE316">
        <v>14056383</v>
      </c>
      <c r="AF316">
        <v>0.32129999999999997</v>
      </c>
      <c r="AG316">
        <v>130</v>
      </c>
      <c r="AH316">
        <v>13063992</v>
      </c>
      <c r="AI316">
        <v>2266</v>
      </c>
      <c r="AJ316">
        <v>512</v>
      </c>
      <c r="AK316" s="20" t="s">
        <v>2117</v>
      </c>
      <c r="AL316" s="20" t="s">
        <v>1127</v>
      </c>
      <c r="AM316" s="20" t="s">
        <v>2118</v>
      </c>
      <c r="AN316" s="20" t="s">
        <v>2119</v>
      </c>
      <c r="AO316" s="20" t="s">
        <v>950</v>
      </c>
      <c r="AP316">
        <v>1</v>
      </c>
      <c r="AQ316">
        <v>7</v>
      </c>
      <c r="AR316">
        <v>18</v>
      </c>
      <c r="AS316">
        <v>53</v>
      </c>
      <c r="AT316">
        <v>34</v>
      </c>
      <c r="AU316" s="27">
        <v>13980</v>
      </c>
      <c r="AV316" s="20"/>
      <c r="AW316" s="20"/>
      <c r="AX316" s="20"/>
      <c r="AY316" s="20"/>
    </row>
    <row r="317" spans="1:51">
      <c r="A317" s="27">
        <v>43466</v>
      </c>
      <c r="B317" s="20" t="s">
        <v>116</v>
      </c>
      <c r="C317" s="20" t="s">
        <v>1385</v>
      </c>
      <c r="D317">
        <v>112</v>
      </c>
      <c r="E317">
        <v>112</v>
      </c>
      <c r="F317">
        <v>539</v>
      </c>
      <c r="G317">
        <v>539</v>
      </c>
      <c r="H317" s="20" t="s">
        <v>2120</v>
      </c>
      <c r="I317" s="20" t="s">
        <v>935</v>
      </c>
      <c r="J317" s="20" t="s">
        <v>936</v>
      </c>
      <c r="K317" s="20" t="s">
        <v>937</v>
      </c>
      <c r="M317">
        <v>398</v>
      </c>
      <c r="N317">
        <v>398</v>
      </c>
      <c r="O317">
        <v>2225</v>
      </c>
      <c r="P317">
        <v>5.59</v>
      </c>
      <c r="R317">
        <v>1250</v>
      </c>
      <c r="S317">
        <v>1250</v>
      </c>
      <c r="T317">
        <v>104</v>
      </c>
      <c r="U317">
        <v>0.26700000000000002</v>
      </c>
      <c r="V317">
        <v>3</v>
      </c>
      <c r="W317">
        <v>0</v>
      </c>
      <c r="X317">
        <v>3</v>
      </c>
      <c r="Y317">
        <v>20</v>
      </c>
      <c r="Z317">
        <v>133188</v>
      </c>
      <c r="AA317">
        <v>3.06</v>
      </c>
      <c r="AB317">
        <v>133188</v>
      </c>
      <c r="AC317">
        <v>3.06</v>
      </c>
      <c r="AD317">
        <v>22499</v>
      </c>
      <c r="AE317">
        <v>3961200</v>
      </c>
      <c r="AF317">
        <v>0.16889999999999999</v>
      </c>
      <c r="AG317">
        <v>408</v>
      </c>
      <c r="AH317">
        <v>7162000</v>
      </c>
      <c r="AI317">
        <v>3219</v>
      </c>
      <c r="AJ317">
        <v>645</v>
      </c>
      <c r="AK317" s="20" t="s">
        <v>1076</v>
      </c>
      <c r="AL317" s="20" t="s">
        <v>1387</v>
      </c>
      <c r="AM317" s="20" t="s">
        <v>984</v>
      </c>
      <c r="AN317" s="20" t="s">
        <v>1238</v>
      </c>
      <c r="AO317" s="20" t="s">
        <v>963</v>
      </c>
      <c r="AP317">
        <v>11</v>
      </c>
      <c r="AQ317">
        <v>13</v>
      </c>
      <c r="AR317">
        <v>30</v>
      </c>
      <c r="AS317">
        <v>68</v>
      </c>
      <c r="AT317">
        <v>8</v>
      </c>
      <c r="AU317" s="27">
        <v>22462</v>
      </c>
      <c r="AV317" s="20" t="s">
        <v>1028</v>
      </c>
      <c r="AW317" s="20"/>
      <c r="AX317" s="20"/>
      <c r="AY317" s="20"/>
    </row>
    <row r="318" spans="1:51">
      <c r="A318" s="27">
        <v>43466</v>
      </c>
      <c r="B318" s="20" t="s">
        <v>386</v>
      </c>
      <c r="C318" s="20" t="s">
        <v>2121</v>
      </c>
      <c r="D318">
        <v>127</v>
      </c>
      <c r="E318">
        <v>127</v>
      </c>
      <c r="F318">
        <v>445</v>
      </c>
      <c r="G318">
        <v>445</v>
      </c>
      <c r="H318" s="20" t="s">
        <v>2122</v>
      </c>
      <c r="I318" s="20" t="s">
        <v>988</v>
      </c>
      <c r="J318" s="20" t="s">
        <v>936</v>
      </c>
      <c r="K318" s="20" t="s">
        <v>937</v>
      </c>
      <c r="L318">
        <v>104</v>
      </c>
      <c r="M318">
        <v>397</v>
      </c>
      <c r="N318">
        <v>399</v>
      </c>
      <c r="O318">
        <v>1739.5</v>
      </c>
      <c r="P318">
        <v>4.38</v>
      </c>
      <c r="Q318">
        <v>227</v>
      </c>
      <c r="R318">
        <v>523</v>
      </c>
      <c r="S318">
        <v>750</v>
      </c>
      <c r="T318">
        <v>168</v>
      </c>
      <c r="U318">
        <v>0.438</v>
      </c>
      <c r="V318">
        <v>2</v>
      </c>
      <c r="W318">
        <v>1</v>
      </c>
      <c r="X318">
        <v>5</v>
      </c>
      <c r="Y318">
        <v>19</v>
      </c>
      <c r="Z318">
        <v>100247</v>
      </c>
      <c r="AA318">
        <v>2.2999999999999998</v>
      </c>
      <c r="AB318">
        <v>100247</v>
      </c>
      <c r="AC318">
        <v>2.2999999999999998</v>
      </c>
      <c r="AD318">
        <v>34702</v>
      </c>
      <c r="AE318">
        <v>3685586</v>
      </c>
      <c r="AF318">
        <v>0.34620000000000001</v>
      </c>
      <c r="AG318">
        <v>326</v>
      </c>
      <c r="AH318">
        <v>7774000</v>
      </c>
      <c r="AI318">
        <v>4441</v>
      </c>
      <c r="AJ318">
        <v>555</v>
      </c>
      <c r="AK318" s="20" t="s">
        <v>2020</v>
      </c>
      <c r="AL318" s="20" t="s">
        <v>2021</v>
      </c>
      <c r="AM318" s="20" t="s">
        <v>973</v>
      </c>
      <c r="AN318" s="20" t="s">
        <v>971</v>
      </c>
      <c r="AO318" s="20" t="s">
        <v>963</v>
      </c>
      <c r="AP318">
        <v>7</v>
      </c>
      <c r="AQ318">
        <v>10</v>
      </c>
      <c r="AR318">
        <v>30</v>
      </c>
      <c r="AS318">
        <v>69</v>
      </c>
      <c r="AT318">
        <v>6</v>
      </c>
      <c r="AU318" s="27">
        <v>23773</v>
      </c>
      <c r="AV318" s="20"/>
      <c r="AW318" s="20"/>
      <c r="AX318" s="20"/>
      <c r="AY318" s="20"/>
    </row>
    <row r="319" spans="1:51">
      <c r="A319" s="27">
        <v>43466</v>
      </c>
      <c r="B319" s="20" t="s">
        <v>271</v>
      </c>
      <c r="C319" s="20" t="s">
        <v>2123</v>
      </c>
      <c r="D319">
        <v>33</v>
      </c>
      <c r="E319">
        <v>33</v>
      </c>
      <c r="F319">
        <v>316</v>
      </c>
      <c r="G319">
        <v>316</v>
      </c>
      <c r="H319" s="20" t="s">
        <v>2124</v>
      </c>
      <c r="I319" s="20" t="s">
        <v>935</v>
      </c>
      <c r="J319" s="20" t="s">
        <v>936</v>
      </c>
      <c r="K319" s="20" t="s">
        <v>937</v>
      </c>
      <c r="M319">
        <v>1355</v>
      </c>
      <c r="N319">
        <v>1357</v>
      </c>
      <c r="O319">
        <v>6321.5</v>
      </c>
      <c r="P319">
        <v>4.67</v>
      </c>
      <c r="R319">
        <v>2858</v>
      </c>
      <c r="S319">
        <v>2858</v>
      </c>
      <c r="T319">
        <v>537</v>
      </c>
      <c r="U319">
        <v>0.40200000000000002</v>
      </c>
      <c r="V319">
        <v>20</v>
      </c>
      <c r="W319">
        <v>0</v>
      </c>
      <c r="X319">
        <v>55</v>
      </c>
      <c r="Y319">
        <v>6</v>
      </c>
      <c r="Z319">
        <v>971398</v>
      </c>
      <c r="AA319">
        <v>22.3</v>
      </c>
      <c r="AB319">
        <v>971398</v>
      </c>
      <c r="AC319">
        <v>22.3</v>
      </c>
      <c r="AD319">
        <v>186009</v>
      </c>
      <c r="AE319">
        <v>10715226</v>
      </c>
      <c r="AF319">
        <v>0.1915</v>
      </c>
      <c r="AG319">
        <v>128</v>
      </c>
      <c r="AH319">
        <v>13777000</v>
      </c>
      <c r="AI319">
        <v>2251</v>
      </c>
      <c r="AJ319">
        <v>594</v>
      </c>
      <c r="AK319" s="20" t="s">
        <v>2125</v>
      </c>
      <c r="AL319" s="20" t="s">
        <v>2126</v>
      </c>
      <c r="AM319" s="20" t="s">
        <v>2127</v>
      </c>
      <c r="AN319" s="20" t="s">
        <v>2128</v>
      </c>
      <c r="AO319" s="20" t="s">
        <v>1049</v>
      </c>
      <c r="AP319">
        <v>1</v>
      </c>
      <c r="AQ319">
        <v>14</v>
      </c>
      <c r="AR319">
        <v>13</v>
      </c>
      <c r="AS319">
        <v>30</v>
      </c>
      <c r="AT319">
        <v>26</v>
      </c>
      <c r="AU319" s="27">
        <v>18262</v>
      </c>
      <c r="AV319" s="20" t="s">
        <v>1394</v>
      </c>
      <c r="AW319" s="20"/>
      <c r="AX319" s="20"/>
      <c r="AY319" s="20"/>
    </row>
    <row r="320" spans="1:51">
      <c r="A320" s="27">
        <v>43466</v>
      </c>
      <c r="B320" s="20" t="s">
        <v>387</v>
      </c>
      <c r="C320" s="20" t="s">
        <v>1560</v>
      </c>
      <c r="D320">
        <v>182</v>
      </c>
      <c r="E320">
        <v>182</v>
      </c>
      <c r="F320">
        <v>285</v>
      </c>
      <c r="G320">
        <v>257</v>
      </c>
      <c r="H320" s="20" t="s">
        <v>2129</v>
      </c>
      <c r="I320" s="20" t="s">
        <v>935</v>
      </c>
      <c r="J320" s="20" t="s">
        <v>936</v>
      </c>
      <c r="K320" s="20" t="s">
        <v>1080</v>
      </c>
      <c r="M320">
        <v>407</v>
      </c>
      <c r="N320">
        <v>407</v>
      </c>
      <c r="O320">
        <v>1419.5</v>
      </c>
      <c r="P320">
        <v>3.49</v>
      </c>
      <c r="R320">
        <v>449</v>
      </c>
      <c r="S320">
        <v>449</v>
      </c>
      <c r="T320">
        <v>359</v>
      </c>
      <c r="U320">
        <v>0.88600000000000001</v>
      </c>
      <c r="V320">
        <v>2</v>
      </c>
      <c r="W320">
        <v>0</v>
      </c>
      <c r="X320">
        <v>2</v>
      </c>
      <c r="Y320">
        <v>43763</v>
      </c>
      <c r="Z320">
        <v>140000</v>
      </c>
      <c r="AA320">
        <v>3.21</v>
      </c>
      <c r="AB320">
        <v>100000</v>
      </c>
      <c r="AC320">
        <v>2.2999999999999998</v>
      </c>
      <c r="AD320">
        <v>24456</v>
      </c>
      <c r="AE320">
        <v>2792393</v>
      </c>
      <c r="AF320">
        <v>0.17469999999999999</v>
      </c>
      <c r="AG320">
        <v>140</v>
      </c>
      <c r="AH320">
        <v>8225987</v>
      </c>
      <c r="AI320">
        <v>5785</v>
      </c>
      <c r="AJ320">
        <v>342</v>
      </c>
      <c r="AK320" s="20" t="s">
        <v>949</v>
      </c>
      <c r="AL320" s="20" t="s">
        <v>2030</v>
      </c>
      <c r="AM320" s="20" t="s">
        <v>1476</v>
      </c>
      <c r="AN320" s="20" t="s">
        <v>2130</v>
      </c>
      <c r="AO320" s="20" t="s">
        <v>950</v>
      </c>
      <c r="AP320">
        <v>16</v>
      </c>
      <c r="AQ320">
        <v>8</v>
      </c>
      <c r="AR320">
        <v>19</v>
      </c>
      <c r="AS320">
        <v>55</v>
      </c>
      <c r="AT320">
        <v>42</v>
      </c>
      <c r="AU320" s="27">
        <v>25811</v>
      </c>
      <c r="AV320" s="20"/>
      <c r="AW320" s="20" t="s">
        <v>1081</v>
      </c>
      <c r="AX320" s="20"/>
      <c r="AY320" s="20"/>
    </row>
    <row r="321" spans="1:51">
      <c r="A321" s="27">
        <v>43466</v>
      </c>
      <c r="B321" s="20" t="s">
        <v>388</v>
      </c>
      <c r="C321" s="20" t="s">
        <v>1332</v>
      </c>
      <c r="D321">
        <v>178</v>
      </c>
      <c r="E321">
        <v>127</v>
      </c>
      <c r="F321">
        <v>279</v>
      </c>
      <c r="G321">
        <v>259</v>
      </c>
      <c r="H321" s="20" t="s">
        <v>2131</v>
      </c>
      <c r="I321" s="20" t="s">
        <v>935</v>
      </c>
      <c r="J321" s="20" t="s">
        <v>936</v>
      </c>
      <c r="K321" s="20" t="s">
        <v>953</v>
      </c>
      <c r="M321">
        <v>236</v>
      </c>
      <c r="N321">
        <v>236</v>
      </c>
      <c r="O321">
        <v>784</v>
      </c>
      <c r="P321">
        <v>3.32</v>
      </c>
      <c r="R321">
        <v>329</v>
      </c>
      <c r="S321">
        <v>329</v>
      </c>
      <c r="T321">
        <v>103</v>
      </c>
      <c r="U321">
        <v>0.45</v>
      </c>
      <c r="V321">
        <v>36</v>
      </c>
      <c r="W321">
        <v>0</v>
      </c>
      <c r="X321">
        <v>36</v>
      </c>
      <c r="Y321">
        <v>38780</v>
      </c>
      <c r="Z321">
        <v>67637</v>
      </c>
      <c r="AA321">
        <v>1.55</v>
      </c>
      <c r="AB321">
        <v>67637</v>
      </c>
      <c r="AC321">
        <v>1.55</v>
      </c>
      <c r="AD321">
        <v>41422</v>
      </c>
      <c r="AE321">
        <v>2308080</v>
      </c>
      <c r="AF321">
        <v>0.61240000000000006</v>
      </c>
      <c r="AG321">
        <v>212</v>
      </c>
      <c r="AH321">
        <v>4190975</v>
      </c>
      <c r="AI321">
        <v>4936</v>
      </c>
      <c r="AJ321">
        <v>501</v>
      </c>
      <c r="AK321" s="20" t="s">
        <v>2132</v>
      </c>
      <c r="AL321" s="20" t="s">
        <v>2133</v>
      </c>
      <c r="AM321" s="20" t="s">
        <v>973</v>
      </c>
      <c r="AN321" s="20" t="s">
        <v>1885</v>
      </c>
      <c r="AO321" s="20" t="s">
        <v>963</v>
      </c>
      <c r="AP321">
        <v>7</v>
      </c>
      <c r="AQ321">
        <v>10</v>
      </c>
      <c r="AR321">
        <v>30</v>
      </c>
      <c r="AS321">
        <v>69</v>
      </c>
      <c r="AT321">
        <v>6</v>
      </c>
      <c r="AU321" s="27">
        <v>25019</v>
      </c>
      <c r="AV321" s="20"/>
      <c r="AW321" s="20"/>
      <c r="AX321" s="20"/>
      <c r="AY321" s="20"/>
    </row>
    <row r="322" spans="1:51">
      <c r="A322" s="27">
        <v>43466</v>
      </c>
      <c r="B322" s="20" t="s">
        <v>389</v>
      </c>
      <c r="C322" s="20" t="s">
        <v>1332</v>
      </c>
      <c r="D322">
        <v>151</v>
      </c>
      <c r="E322">
        <v>127</v>
      </c>
      <c r="F322">
        <v>259</v>
      </c>
      <c r="G322">
        <v>259</v>
      </c>
      <c r="H322" s="20" t="s">
        <v>2134</v>
      </c>
      <c r="I322" s="20" t="s">
        <v>935</v>
      </c>
      <c r="J322" s="20" t="s">
        <v>936</v>
      </c>
      <c r="K322" s="20" t="s">
        <v>937</v>
      </c>
      <c r="M322">
        <v>69</v>
      </c>
      <c r="N322">
        <v>70</v>
      </c>
      <c r="O322">
        <v>300.5</v>
      </c>
      <c r="P322">
        <v>4.3600000000000003</v>
      </c>
      <c r="R322">
        <v>145</v>
      </c>
      <c r="S322">
        <v>145</v>
      </c>
      <c r="T322">
        <v>19</v>
      </c>
      <c r="U322">
        <v>0.27500000000000002</v>
      </c>
      <c r="V322">
        <v>1</v>
      </c>
      <c r="W322">
        <v>0</v>
      </c>
      <c r="X322">
        <v>1</v>
      </c>
      <c r="Y322">
        <v>9</v>
      </c>
      <c r="Z322">
        <v>22763</v>
      </c>
      <c r="AA322">
        <v>0.52</v>
      </c>
      <c r="AB322">
        <v>22763</v>
      </c>
      <c r="AC322">
        <v>0.52</v>
      </c>
      <c r="AD322">
        <v>6811</v>
      </c>
      <c r="AE322">
        <v>613400</v>
      </c>
      <c r="AF322">
        <v>0.29920000000000002</v>
      </c>
      <c r="AG322">
        <v>279</v>
      </c>
      <c r="AJ322">
        <v>671</v>
      </c>
      <c r="AK322" s="20" t="s">
        <v>2135</v>
      </c>
      <c r="AL322" s="20" t="s">
        <v>971</v>
      </c>
      <c r="AM322" s="20"/>
      <c r="AN322" s="20"/>
      <c r="AO322" s="20" t="s">
        <v>963</v>
      </c>
      <c r="AP322">
        <v>7</v>
      </c>
      <c r="AQ322">
        <v>10</v>
      </c>
      <c r="AR322">
        <v>30</v>
      </c>
      <c r="AS322">
        <v>69</v>
      </c>
      <c r="AT322">
        <v>6</v>
      </c>
      <c r="AU322" s="27">
        <v>24015</v>
      </c>
      <c r="AV322" s="20"/>
      <c r="AW322" s="20"/>
      <c r="AX322" s="20"/>
      <c r="AY322" s="20"/>
    </row>
    <row r="323" spans="1:51">
      <c r="A323" s="27">
        <v>43466</v>
      </c>
      <c r="B323" s="20" t="s">
        <v>390</v>
      </c>
      <c r="C323" s="20" t="s">
        <v>1332</v>
      </c>
      <c r="D323">
        <v>173</v>
      </c>
      <c r="E323">
        <v>127</v>
      </c>
      <c r="F323">
        <v>259</v>
      </c>
      <c r="G323">
        <v>259</v>
      </c>
      <c r="H323" s="20" t="s">
        <v>2134</v>
      </c>
      <c r="I323" s="20" t="s">
        <v>935</v>
      </c>
      <c r="J323" s="20" t="s">
        <v>936</v>
      </c>
      <c r="K323" s="20" t="s">
        <v>937</v>
      </c>
      <c r="M323">
        <v>168</v>
      </c>
      <c r="N323">
        <v>168</v>
      </c>
      <c r="O323">
        <v>735</v>
      </c>
      <c r="P323">
        <v>4.38</v>
      </c>
      <c r="R323">
        <v>318</v>
      </c>
      <c r="S323">
        <v>318</v>
      </c>
      <c r="T323">
        <v>77</v>
      </c>
      <c r="U323">
        <v>0.47499999999999998</v>
      </c>
      <c r="V323">
        <v>1</v>
      </c>
      <c r="W323">
        <v>0</v>
      </c>
      <c r="X323">
        <v>1</v>
      </c>
      <c r="Y323">
        <v>22</v>
      </c>
      <c r="Z323">
        <v>25176</v>
      </c>
      <c r="AA323">
        <v>0.57999999999999996</v>
      </c>
      <c r="AB323">
        <v>25176</v>
      </c>
      <c r="AC323">
        <v>0.57999999999999996</v>
      </c>
      <c r="AD323">
        <v>13176</v>
      </c>
      <c r="AE323">
        <v>1575535</v>
      </c>
      <c r="AF323">
        <v>0.52339999999999998</v>
      </c>
      <c r="AG323">
        <v>548</v>
      </c>
      <c r="AH323">
        <v>7228361</v>
      </c>
      <c r="AI323">
        <v>4167</v>
      </c>
      <c r="AJ323">
        <v>512</v>
      </c>
      <c r="AK323" s="20" t="s">
        <v>2136</v>
      </c>
      <c r="AL323" s="20" t="s">
        <v>973</v>
      </c>
      <c r="AM323" s="20"/>
      <c r="AN323" s="20"/>
      <c r="AO323" s="20" t="s">
        <v>963</v>
      </c>
      <c r="AP323">
        <v>7</v>
      </c>
      <c r="AQ323">
        <v>10</v>
      </c>
      <c r="AR323">
        <v>30</v>
      </c>
      <c r="AS323">
        <v>69</v>
      </c>
      <c r="AT323">
        <v>6</v>
      </c>
      <c r="AU323" s="27">
        <v>24015</v>
      </c>
      <c r="AV323" s="20"/>
      <c r="AW323" s="20"/>
      <c r="AX323" s="20"/>
      <c r="AY323" s="20"/>
    </row>
    <row r="324" spans="1:51">
      <c r="A324" s="27">
        <v>43466</v>
      </c>
      <c r="B324" s="20" t="s">
        <v>391</v>
      </c>
      <c r="C324" s="20" t="s">
        <v>1332</v>
      </c>
      <c r="D324">
        <v>174</v>
      </c>
      <c r="E324">
        <v>127</v>
      </c>
      <c r="F324">
        <v>259</v>
      </c>
      <c r="G324">
        <v>259</v>
      </c>
      <c r="H324" s="20" t="s">
        <v>2134</v>
      </c>
      <c r="I324" s="20" t="s">
        <v>935</v>
      </c>
      <c r="J324" s="20" t="s">
        <v>936</v>
      </c>
      <c r="K324" s="20" t="s">
        <v>937</v>
      </c>
      <c r="M324">
        <v>158</v>
      </c>
      <c r="N324">
        <v>158</v>
      </c>
      <c r="O324">
        <v>690</v>
      </c>
      <c r="P324">
        <v>4.37</v>
      </c>
      <c r="R324">
        <v>348</v>
      </c>
      <c r="S324">
        <v>348</v>
      </c>
      <c r="T324">
        <v>61</v>
      </c>
      <c r="U324">
        <v>0.39600000000000002</v>
      </c>
      <c r="V324">
        <v>1</v>
      </c>
      <c r="W324">
        <v>0</v>
      </c>
      <c r="X324">
        <v>1</v>
      </c>
      <c r="Y324">
        <v>18</v>
      </c>
      <c r="Z324">
        <v>25131</v>
      </c>
      <c r="AA324">
        <v>0.57999999999999996</v>
      </c>
      <c r="AB324">
        <v>25131</v>
      </c>
      <c r="AC324">
        <v>0.57999999999999996</v>
      </c>
      <c r="AD324">
        <v>7891</v>
      </c>
      <c r="AE324">
        <v>1363220</v>
      </c>
      <c r="AF324">
        <v>0.314</v>
      </c>
      <c r="AG324">
        <v>600</v>
      </c>
      <c r="AJ324">
        <v>558</v>
      </c>
      <c r="AK324" s="20" t="s">
        <v>2137</v>
      </c>
      <c r="AL324" s="20" t="s">
        <v>2138</v>
      </c>
      <c r="AM324" s="20" t="s">
        <v>2139</v>
      </c>
      <c r="AN324" s="20"/>
      <c r="AO324" s="20" t="s">
        <v>963</v>
      </c>
      <c r="AP324">
        <v>7</v>
      </c>
      <c r="AQ324">
        <v>10</v>
      </c>
      <c r="AR324">
        <v>29</v>
      </c>
      <c r="AS324">
        <v>69</v>
      </c>
      <c r="AT324">
        <v>6</v>
      </c>
      <c r="AU324" s="27">
        <v>24015</v>
      </c>
      <c r="AV324" s="20"/>
      <c r="AW324" s="20"/>
      <c r="AX324" s="20"/>
      <c r="AY324" s="20"/>
    </row>
    <row r="325" spans="1:51">
      <c r="A325" s="27">
        <v>43466</v>
      </c>
      <c r="B325" s="20" t="s">
        <v>260</v>
      </c>
      <c r="C325" s="20" t="s">
        <v>998</v>
      </c>
      <c r="D325">
        <v>163</v>
      </c>
      <c r="E325">
        <v>163</v>
      </c>
      <c r="F325">
        <v>272</v>
      </c>
      <c r="G325">
        <v>272</v>
      </c>
      <c r="H325" s="20" t="s">
        <v>2140</v>
      </c>
      <c r="I325" s="20" t="s">
        <v>935</v>
      </c>
      <c r="J325" s="20" t="s">
        <v>936</v>
      </c>
      <c r="K325" s="20" t="s">
        <v>937</v>
      </c>
      <c r="M325">
        <v>528</v>
      </c>
      <c r="N325">
        <v>529</v>
      </c>
      <c r="O325">
        <v>2434</v>
      </c>
      <c r="P325">
        <v>4.6100000000000003</v>
      </c>
      <c r="R325">
        <v>1131</v>
      </c>
      <c r="S325">
        <v>1131</v>
      </c>
      <c r="T325">
        <v>231</v>
      </c>
      <c r="U325">
        <v>0.44600000000000001</v>
      </c>
      <c r="V325">
        <v>3</v>
      </c>
      <c r="W325">
        <v>0</v>
      </c>
      <c r="X325">
        <v>3</v>
      </c>
      <c r="Y325">
        <v>21</v>
      </c>
      <c r="Z325">
        <v>253000</v>
      </c>
      <c r="AA325">
        <v>5.81</v>
      </c>
      <c r="AB325">
        <v>253000</v>
      </c>
      <c r="AC325">
        <v>5.81</v>
      </c>
      <c r="AD325">
        <v>31158</v>
      </c>
      <c r="AE325">
        <v>4724612</v>
      </c>
      <c r="AF325">
        <v>0.1232</v>
      </c>
      <c r="AG325">
        <v>195</v>
      </c>
      <c r="AH325">
        <v>10130155</v>
      </c>
      <c r="AI325">
        <v>4149</v>
      </c>
      <c r="AJ325">
        <v>584</v>
      </c>
      <c r="AK325" s="20" t="s">
        <v>956</v>
      </c>
      <c r="AL325" s="20" t="s">
        <v>2141</v>
      </c>
      <c r="AM325" s="20" t="s">
        <v>1491</v>
      </c>
      <c r="AN325" s="20" t="s">
        <v>1001</v>
      </c>
      <c r="AO325" s="20" t="s">
        <v>950</v>
      </c>
      <c r="AP325">
        <v>6</v>
      </c>
      <c r="AQ325">
        <v>7</v>
      </c>
      <c r="AR325">
        <v>25</v>
      </c>
      <c r="AS325">
        <v>52</v>
      </c>
      <c r="AT325">
        <v>33</v>
      </c>
      <c r="AU325" s="27">
        <v>24472</v>
      </c>
      <c r="AV325" s="20"/>
      <c r="AW325" s="20"/>
      <c r="AX325" s="20"/>
      <c r="AY325" s="20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07"/>
  <sheetViews>
    <sheetView topLeftCell="A12" workbookViewId="0">
      <selection activeCell="B37" sqref="B37:B44"/>
    </sheetView>
  </sheetViews>
  <sheetFormatPr defaultColWidth="8.7109375" defaultRowHeight="14.45"/>
  <cols>
    <col min="1" max="1" width="43.28515625" bestFit="1" customWidth="1"/>
    <col min="2" max="2" width="29.42578125" bestFit="1" customWidth="1"/>
    <col min="3" max="3" width="7.42578125" bestFit="1" customWidth="1"/>
    <col min="4" max="4" width="9.42578125" bestFit="1" customWidth="1"/>
    <col min="5" max="5" width="23.7109375" bestFit="1" customWidth="1"/>
  </cols>
  <sheetData>
    <row r="1" spans="1:5">
      <c r="A1" t="s">
        <v>2142</v>
      </c>
      <c r="B1" t="s">
        <v>2143</v>
      </c>
      <c r="C1" t="s">
        <v>2144</v>
      </c>
      <c r="D1" t="s">
        <v>2145</v>
      </c>
      <c r="E1" t="s">
        <v>2146</v>
      </c>
    </row>
    <row r="2" spans="1:5">
      <c r="A2" s="20" t="s">
        <v>1780</v>
      </c>
      <c r="B2" s="20" t="s">
        <v>857</v>
      </c>
      <c r="C2">
        <v>115</v>
      </c>
      <c r="E2">
        <v>2019</v>
      </c>
    </row>
    <row r="3" spans="1:5">
      <c r="A3" s="20" t="s">
        <v>1210</v>
      </c>
      <c r="B3" s="20" t="s">
        <v>857</v>
      </c>
      <c r="C3">
        <v>276</v>
      </c>
      <c r="E3">
        <v>2019</v>
      </c>
    </row>
    <row r="4" spans="1:5">
      <c r="A4" s="20" t="s">
        <v>1196</v>
      </c>
      <c r="B4" s="20" t="s">
        <v>857</v>
      </c>
      <c r="C4">
        <v>300</v>
      </c>
      <c r="E4">
        <v>2019</v>
      </c>
    </row>
    <row r="5" spans="1:5">
      <c r="A5" s="20" t="s">
        <v>1206</v>
      </c>
      <c r="B5" s="20" t="s">
        <v>857</v>
      </c>
      <c r="C5">
        <v>300</v>
      </c>
      <c r="E5">
        <v>2019</v>
      </c>
    </row>
    <row r="6" spans="1:5">
      <c r="A6" s="20" t="s">
        <v>857</v>
      </c>
      <c r="B6" s="20" t="s">
        <v>857</v>
      </c>
      <c r="C6">
        <v>324</v>
      </c>
      <c r="E6">
        <v>2019</v>
      </c>
    </row>
    <row r="7" spans="1:5">
      <c r="A7" s="20"/>
      <c r="B7" s="20" t="s">
        <v>857</v>
      </c>
      <c r="D7">
        <v>1315</v>
      </c>
      <c r="E7">
        <v>2019</v>
      </c>
    </row>
    <row r="8" spans="1:5">
      <c r="A8" s="20"/>
      <c r="B8" s="20" t="s">
        <v>2147</v>
      </c>
    </row>
    <row r="9" spans="1:5">
      <c r="A9" s="20" t="s">
        <v>298</v>
      </c>
      <c r="B9" s="20" t="s">
        <v>2148</v>
      </c>
      <c r="C9">
        <v>371</v>
      </c>
      <c r="E9">
        <v>2019</v>
      </c>
    </row>
    <row r="10" spans="1:5">
      <c r="A10" s="20" t="s">
        <v>230</v>
      </c>
      <c r="B10" s="20" t="s">
        <v>2148</v>
      </c>
      <c r="C10">
        <v>248</v>
      </c>
      <c r="E10">
        <v>2019</v>
      </c>
    </row>
    <row r="11" spans="1:5">
      <c r="A11" s="20" t="s">
        <v>294</v>
      </c>
      <c r="B11" s="20" t="s">
        <v>2148</v>
      </c>
      <c r="C11">
        <v>200</v>
      </c>
      <c r="E11">
        <v>2019</v>
      </c>
    </row>
    <row r="12" spans="1:5">
      <c r="A12" s="20" t="s">
        <v>303</v>
      </c>
      <c r="B12" s="20" t="s">
        <v>2148</v>
      </c>
      <c r="C12">
        <v>150</v>
      </c>
      <c r="E12">
        <v>2019</v>
      </c>
    </row>
    <row r="13" spans="1:5">
      <c r="A13" s="20" t="s">
        <v>343</v>
      </c>
      <c r="B13" s="20" t="s">
        <v>2148</v>
      </c>
      <c r="C13">
        <v>48</v>
      </c>
      <c r="E13">
        <v>2019</v>
      </c>
    </row>
    <row r="14" spans="1:5">
      <c r="A14" s="20" t="s">
        <v>248</v>
      </c>
      <c r="B14" s="20" t="s">
        <v>2148</v>
      </c>
      <c r="C14">
        <v>30</v>
      </c>
      <c r="E14">
        <v>2019</v>
      </c>
    </row>
    <row r="15" spans="1:5">
      <c r="A15" s="20" t="s">
        <v>220</v>
      </c>
      <c r="B15" s="20" t="s">
        <v>2148</v>
      </c>
      <c r="C15">
        <v>257</v>
      </c>
      <c r="E15">
        <v>2019</v>
      </c>
    </row>
    <row r="16" spans="1:5">
      <c r="A16" s="20" t="s">
        <v>335</v>
      </c>
      <c r="B16" s="20" t="s">
        <v>2148</v>
      </c>
      <c r="C16">
        <v>744</v>
      </c>
      <c r="E16">
        <v>2019</v>
      </c>
    </row>
    <row r="17" spans="1:5">
      <c r="A17" s="20" t="s">
        <v>384</v>
      </c>
      <c r="B17" s="20" t="s">
        <v>2148</v>
      </c>
      <c r="C17">
        <v>577</v>
      </c>
      <c r="E17">
        <v>2019</v>
      </c>
    </row>
    <row r="18" spans="1:5">
      <c r="A18" s="20"/>
      <c r="B18" s="20" t="s">
        <v>2148</v>
      </c>
      <c r="D18">
        <v>2625</v>
      </c>
      <c r="E18">
        <v>2019</v>
      </c>
    </row>
    <row r="19" spans="1:5">
      <c r="A19" s="20" t="s">
        <v>69</v>
      </c>
      <c r="B19" s="20" t="s">
        <v>2149</v>
      </c>
      <c r="C19">
        <v>66</v>
      </c>
      <c r="E19">
        <v>2020</v>
      </c>
    </row>
    <row r="20" spans="1:5">
      <c r="A20" s="20" t="s">
        <v>282</v>
      </c>
      <c r="B20" s="20" t="s">
        <v>2149</v>
      </c>
      <c r="C20">
        <v>225</v>
      </c>
      <c r="E20">
        <v>2020</v>
      </c>
    </row>
    <row r="21" spans="1:5">
      <c r="A21" s="20" t="s">
        <v>79</v>
      </c>
      <c r="B21" s="20" t="s">
        <v>2149</v>
      </c>
      <c r="C21">
        <v>226</v>
      </c>
      <c r="E21">
        <v>2020</v>
      </c>
    </row>
    <row r="22" spans="1:5">
      <c r="A22" s="20" t="s">
        <v>80</v>
      </c>
      <c r="B22" s="20" t="s">
        <v>2149</v>
      </c>
      <c r="C22">
        <v>35</v>
      </c>
      <c r="E22">
        <v>2020</v>
      </c>
    </row>
    <row r="23" spans="1:5">
      <c r="A23" s="20" t="s">
        <v>87</v>
      </c>
      <c r="B23" s="20" t="s">
        <v>2149</v>
      </c>
      <c r="C23">
        <v>46</v>
      </c>
      <c r="E23">
        <v>2020</v>
      </c>
    </row>
    <row r="24" spans="1:5">
      <c r="A24" s="20" t="s">
        <v>88</v>
      </c>
      <c r="B24" s="20" t="s">
        <v>2149</v>
      </c>
      <c r="C24">
        <v>51</v>
      </c>
      <c r="E24">
        <v>2020</v>
      </c>
    </row>
    <row r="25" spans="1:5">
      <c r="A25" s="20" t="s">
        <v>93</v>
      </c>
      <c r="B25" s="20" t="s">
        <v>2149</v>
      </c>
      <c r="C25">
        <v>90</v>
      </c>
      <c r="E25">
        <v>2020</v>
      </c>
    </row>
    <row r="26" spans="1:5">
      <c r="A26" s="20" t="s">
        <v>94</v>
      </c>
      <c r="B26" s="20" t="s">
        <v>2149</v>
      </c>
      <c r="C26">
        <v>125</v>
      </c>
      <c r="E26">
        <v>2020</v>
      </c>
    </row>
    <row r="27" spans="1:5">
      <c r="A27" s="20" t="s">
        <v>358</v>
      </c>
      <c r="B27" s="20" t="s">
        <v>2149</v>
      </c>
      <c r="C27">
        <v>53</v>
      </c>
      <c r="E27">
        <v>2020</v>
      </c>
    </row>
    <row r="28" spans="1:5">
      <c r="A28" s="20" t="s">
        <v>359</v>
      </c>
      <c r="B28" s="20" t="s">
        <v>2149</v>
      </c>
      <c r="C28">
        <v>10</v>
      </c>
      <c r="E28">
        <v>2020</v>
      </c>
    </row>
    <row r="29" spans="1:5">
      <c r="A29" s="20" t="s">
        <v>360</v>
      </c>
      <c r="B29" s="20" t="s">
        <v>2149</v>
      </c>
      <c r="C29">
        <v>10</v>
      </c>
      <c r="E29">
        <v>2020</v>
      </c>
    </row>
    <row r="30" spans="1:5">
      <c r="A30" s="20" t="s">
        <v>376</v>
      </c>
      <c r="B30" s="20" t="s">
        <v>2149</v>
      </c>
      <c r="C30">
        <v>216</v>
      </c>
      <c r="E30">
        <v>2020</v>
      </c>
    </row>
    <row r="31" spans="1:5">
      <c r="A31" s="20" t="s">
        <v>101</v>
      </c>
      <c r="B31" s="20" t="s">
        <v>2149</v>
      </c>
      <c r="C31">
        <v>102</v>
      </c>
      <c r="E31">
        <v>2020</v>
      </c>
    </row>
    <row r="32" spans="1:5">
      <c r="A32" s="20" t="s">
        <v>259</v>
      </c>
      <c r="B32" s="20" t="s">
        <v>2149</v>
      </c>
      <c r="C32">
        <v>32</v>
      </c>
      <c r="E32">
        <v>2020</v>
      </c>
    </row>
    <row r="33" spans="1:5">
      <c r="A33" s="20" t="s">
        <v>379</v>
      </c>
      <c r="B33" s="20" t="s">
        <v>2149</v>
      </c>
      <c r="C33">
        <v>32</v>
      </c>
      <c r="E33">
        <v>2020</v>
      </c>
    </row>
    <row r="34" spans="1:5">
      <c r="A34" s="20" t="s">
        <v>386</v>
      </c>
      <c r="B34" s="20" t="s">
        <v>2149</v>
      </c>
      <c r="C34">
        <v>399</v>
      </c>
      <c r="E34">
        <v>2020</v>
      </c>
    </row>
    <row r="35" spans="1:5">
      <c r="A35" s="20"/>
      <c r="B35" s="20" t="s">
        <v>2149</v>
      </c>
      <c r="D35">
        <v>1718</v>
      </c>
      <c r="E35">
        <v>2020</v>
      </c>
    </row>
    <row r="36" spans="1:5">
      <c r="A36" s="20" t="s">
        <v>385</v>
      </c>
      <c r="B36" s="20" t="s">
        <v>385</v>
      </c>
      <c r="C36">
        <v>1630</v>
      </c>
      <c r="D36">
        <v>1630</v>
      </c>
      <c r="E36">
        <v>2020</v>
      </c>
    </row>
    <row r="37" spans="1:5">
      <c r="A37" s="20" t="s">
        <v>117</v>
      </c>
      <c r="B37" s="20" t="s">
        <v>2150</v>
      </c>
      <c r="C37">
        <v>577</v>
      </c>
      <c r="E37">
        <v>2020</v>
      </c>
    </row>
    <row r="38" spans="1:5">
      <c r="A38" s="20" t="s">
        <v>82</v>
      </c>
      <c r="B38" s="20" t="s">
        <v>2150</v>
      </c>
      <c r="C38">
        <v>116</v>
      </c>
      <c r="E38">
        <v>2020</v>
      </c>
    </row>
    <row r="39" spans="1:5">
      <c r="A39" s="20"/>
      <c r="B39" s="20" t="s">
        <v>2150</v>
      </c>
      <c r="D39">
        <v>693</v>
      </c>
      <c r="E39">
        <v>2020</v>
      </c>
    </row>
    <row r="40" spans="1:5">
      <c r="A40" s="20" t="s">
        <v>70</v>
      </c>
      <c r="B40" s="20" t="s">
        <v>2151</v>
      </c>
      <c r="C40">
        <v>168</v>
      </c>
      <c r="E40">
        <v>2020</v>
      </c>
    </row>
    <row r="41" spans="1:5">
      <c r="A41" s="20" t="s">
        <v>71</v>
      </c>
      <c r="B41" s="20" t="s">
        <v>2151</v>
      </c>
      <c r="C41">
        <v>210</v>
      </c>
      <c r="E41">
        <v>2020</v>
      </c>
    </row>
    <row r="42" spans="1:5">
      <c r="A42" s="20" t="s">
        <v>89</v>
      </c>
      <c r="B42" s="20" t="s">
        <v>2151</v>
      </c>
      <c r="C42">
        <v>180</v>
      </c>
      <c r="E42">
        <v>2020</v>
      </c>
    </row>
    <row r="43" spans="1:5">
      <c r="A43" s="20"/>
      <c r="B43" s="20" t="s">
        <v>2151</v>
      </c>
      <c r="D43">
        <v>558</v>
      </c>
      <c r="E43">
        <v>2020</v>
      </c>
    </row>
    <row r="44" spans="1:5">
      <c r="A44" s="20" t="s">
        <v>341</v>
      </c>
      <c r="B44" s="20" t="s">
        <v>341</v>
      </c>
      <c r="C44">
        <v>1586</v>
      </c>
      <c r="D44">
        <v>1586</v>
      </c>
      <c r="E44">
        <v>2020</v>
      </c>
    </row>
    <row r="45" spans="1:5">
      <c r="A45" s="20" t="s">
        <v>226</v>
      </c>
      <c r="B45" s="20" t="s">
        <v>226</v>
      </c>
      <c r="C45">
        <v>1441</v>
      </c>
      <c r="D45">
        <v>1441</v>
      </c>
      <c r="E45">
        <v>2020</v>
      </c>
    </row>
    <row r="46" spans="1:5">
      <c r="A46" s="20"/>
      <c r="B46" s="20" t="s">
        <v>2152</v>
      </c>
    </row>
    <row r="47" spans="1:5">
      <c r="A47" s="20" t="s">
        <v>292</v>
      </c>
      <c r="B47" s="20" t="s">
        <v>356</v>
      </c>
      <c r="C47">
        <v>30</v>
      </c>
      <c r="E47">
        <v>2021</v>
      </c>
    </row>
    <row r="48" spans="1:5">
      <c r="A48" s="20" t="s">
        <v>318</v>
      </c>
      <c r="B48" s="20" t="s">
        <v>356</v>
      </c>
      <c r="C48">
        <v>36</v>
      </c>
      <c r="E48">
        <v>2021</v>
      </c>
    </row>
    <row r="49" spans="1:5">
      <c r="A49" s="20" t="s">
        <v>340</v>
      </c>
      <c r="B49" s="20" t="s">
        <v>356</v>
      </c>
      <c r="C49">
        <v>74</v>
      </c>
      <c r="E49">
        <v>2021</v>
      </c>
    </row>
    <row r="50" spans="1:5">
      <c r="A50" s="20" t="s">
        <v>355</v>
      </c>
      <c r="B50" s="20" t="s">
        <v>356</v>
      </c>
      <c r="C50">
        <v>118</v>
      </c>
      <c r="E50">
        <v>2021</v>
      </c>
    </row>
    <row r="51" spans="1:5">
      <c r="A51" s="20" t="s">
        <v>356</v>
      </c>
      <c r="B51" s="20" t="s">
        <v>356</v>
      </c>
      <c r="C51">
        <v>230</v>
      </c>
      <c r="E51">
        <v>2021</v>
      </c>
    </row>
    <row r="52" spans="1:5">
      <c r="A52" s="20" t="s">
        <v>216</v>
      </c>
      <c r="B52" s="20" t="s">
        <v>356</v>
      </c>
      <c r="C52">
        <v>61</v>
      </c>
      <c r="E52">
        <v>2021</v>
      </c>
    </row>
    <row r="53" spans="1:5">
      <c r="A53" s="20" t="s">
        <v>368</v>
      </c>
      <c r="B53" s="20" t="s">
        <v>356</v>
      </c>
      <c r="C53">
        <v>100</v>
      </c>
      <c r="E53">
        <v>2021</v>
      </c>
    </row>
    <row r="54" spans="1:5">
      <c r="A54" s="20" t="s">
        <v>369</v>
      </c>
      <c r="B54" s="20" t="s">
        <v>356</v>
      </c>
      <c r="C54">
        <v>155</v>
      </c>
      <c r="E54">
        <v>2021</v>
      </c>
    </row>
    <row r="55" spans="1:5">
      <c r="A55" s="20"/>
      <c r="B55" s="20" t="s">
        <v>356</v>
      </c>
      <c r="D55">
        <v>804</v>
      </c>
      <c r="E55">
        <v>2021</v>
      </c>
    </row>
    <row r="56" spans="1:5">
      <c r="A56" s="20" t="s">
        <v>188</v>
      </c>
      <c r="B56" s="20" t="s">
        <v>188</v>
      </c>
      <c r="C56">
        <v>1595</v>
      </c>
      <c r="D56">
        <v>1595</v>
      </c>
      <c r="E56">
        <v>2021</v>
      </c>
    </row>
    <row r="57" spans="1:5">
      <c r="A57" s="20" t="s">
        <v>268</v>
      </c>
      <c r="B57" s="20" t="s">
        <v>217</v>
      </c>
      <c r="C57">
        <v>252</v>
      </c>
      <c r="E57">
        <v>2021</v>
      </c>
    </row>
    <row r="58" spans="1:5">
      <c r="A58" s="20" t="s">
        <v>217</v>
      </c>
      <c r="B58" s="20" t="s">
        <v>217</v>
      </c>
      <c r="C58">
        <v>1185</v>
      </c>
      <c r="E58">
        <v>2021</v>
      </c>
    </row>
    <row r="59" spans="1:5">
      <c r="A59" s="20" t="s">
        <v>225</v>
      </c>
      <c r="B59" s="20" t="s">
        <v>217</v>
      </c>
      <c r="C59">
        <v>287</v>
      </c>
      <c r="E59">
        <v>2021</v>
      </c>
    </row>
    <row r="60" spans="1:5">
      <c r="A60" s="20"/>
      <c r="B60" s="20" t="s">
        <v>217</v>
      </c>
      <c r="D60">
        <v>1724</v>
      </c>
      <c r="E60">
        <v>2021</v>
      </c>
    </row>
    <row r="61" spans="1:5">
      <c r="A61" s="20" t="s">
        <v>194</v>
      </c>
      <c r="B61" s="20" t="s">
        <v>194</v>
      </c>
      <c r="C61">
        <v>604</v>
      </c>
      <c r="D61">
        <v>604</v>
      </c>
      <c r="E61">
        <v>2021</v>
      </c>
    </row>
    <row r="62" spans="1:5">
      <c r="A62" s="20" t="s">
        <v>95</v>
      </c>
      <c r="B62" s="20" t="s">
        <v>2153</v>
      </c>
      <c r="C62">
        <v>664</v>
      </c>
      <c r="D62">
        <v>664</v>
      </c>
      <c r="E62">
        <v>2021</v>
      </c>
    </row>
    <row r="63" spans="1:5">
      <c r="A63" s="20"/>
      <c r="B63" s="20" t="s">
        <v>2154</v>
      </c>
    </row>
    <row r="64" spans="1:5">
      <c r="A64" s="20" t="s">
        <v>234</v>
      </c>
      <c r="B64" s="20" t="s">
        <v>210</v>
      </c>
      <c r="C64">
        <v>235</v>
      </c>
      <c r="E64">
        <v>2022</v>
      </c>
    </row>
    <row r="65" spans="1:5">
      <c r="A65" s="20" t="s">
        <v>210</v>
      </c>
      <c r="B65" s="20" t="s">
        <v>210</v>
      </c>
      <c r="C65">
        <v>1266</v>
      </c>
      <c r="E65">
        <v>2022</v>
      </c>
    </row>
    <row r="66" spans="1:5">
      <c r="A66" s="20"/>
      <c r="B66" s="20" t="s">
        <v>210</v>
      </c>
      <c r="D66">
        <v>1501</v>
      </c>
      <c r="E66">
        <v>2022</v>
      </c>
    </row>
    <row r="67" spans="1:5">
      <c r="A67" s="20" t="s">
        <v>201</v>
      </c>
      <c r="B67" s="20" t="s">
        <v>201</v>
      </c>
      <c r="C67">
        <v>2039</v>
      </c>
      <c r="D67">
        <v>2039</v>
      </c>
      <c r="E67">
        <v>2022</v>
      </c>
    </row>
    <row r="68" spans="1:5">
      <c r="A68" s="20"/>
      <c r="B68" s="20" t="s">
        <v>2155</v>
      </c>
    </row>
    <row r="69" spans="1:5">
      <c r="A69" s="20" t="s">
        <v>363</v>
      </c>
      <c r="B69" s="20" t="s">
        <v>363</v>
      </c>
      <c r="C69">
        <v>1259</v>
      </c>
      <c r="D69">
        <v>1259</v>
      </c>
      <c r="E69">
        <v>2023</v>
      </c>
    </row>
    <row r="70" spans="1:5">
      <c r="A70" s="20" t="s">
        <v>137</v>
      </c>
      <c r="B70" s="20" t="s">
        <v>137</v>
      </c>
      <c r="C70">
        <v>1515</v>
      </c>
      <c r="E70">
        <v>2023</v>
      </c>
    </row>
    <row r="71" spans="1:5">
      <c r="A71" s="20" t="s">
        <v>125</v>
      </c>
      <c r="B71" s="20" t="s">
        <v>137</v>
      </c>
      <c r="C71">
        <v>448</v>
      </c>
      <c r="E71">
        <v>2023</v>
      </c>
    </row>
    <row r="72" spans="1:5">
      <c r="A72" s="20"/>
      <c r="B72" s="20" t="s">
        <v>137</v>
      </c>
      <c r="D72">
        <v>1963</v>
      </c>
      <c r="E72">
        <v>2023</v>
      </c>
    </row>
    <row r="73" spans="1:5">
      <c r="A73" s="20" t="s">
        <v>315</v>
      </c>
      <c r="B73" s="20" t="s">
        <v>315</v>
      </c>
      <c r="C73">
        <v>1444</v>
      </c>
      <c r="E73">
        <v>2023</v>
      </c>
    </row>
    <row r="74" spans="1:5">
      <c r="A74" s="20" t="s">
        <v>316</v>
      </c>
      <c r="B74" s="20" t="s">
        <v>315</v>
      </c>
      <c r="C74">
        <v>66</v>
      </c>
      <c r="E74">
        <v>2023</v>
      </c>
    </row>
    <row r="75" spans="1:5">
      <c r="A75" s="20"/>
      <c r="B75" s="20" t="s">
        <v>315</v>
      </c>
      <c r="D75">
        <v>1510</v>
      </c>
      <c r="E75">
        <v>2023</v>
      </c>
    </row>
    <row r="76" spans="1:5">
      <c r="A76" s="20" t="s">
        <v>275</v>
      </c>
      <c r="B76" s="20" t="s">
        <v>39</v>
      </c>
      <c r="C76">
        <v>221</v>
      </c>
      <c r="E76">
        <v>2023</v>
      </c>
    </row>
    <row r="77" spans="1:5">
      <c r="A77" s="20" t="s">
        <v>39</v>
      </c>
      <c r="B77" s="20" t="s">
        <v>39</v>
      </c>
      <c r="C77">
        <v>1023</v>
      </c>
      <c r="E77">
        <v>2023</v>
      </c>
    </row>
    <row r="78" spans="1:5">
      <c r="A78" s="20"/>
      <c r="B78" s="20" t="s">
        <v>39</v>
      </c>
      <c r="D78">
        <v>1244</v>
      </c>
      <c r="E78">
        <v>2023</v>
      </c>
    </row>
    <row r="79" spans="1:5">
      <c r="A79" s="20"/>
      <c r="B79" s="20" t="s">
        <v>2156</v>
      </c>
    </row>
    <row r="80" spans="1:5">
      <c r="A80" s="20" t="s">
        <v>373</v>
      </c>
      <c r="B80" s="20" t="s">
        <v>373</v>
      </c>
      <c r="C80">
        <v>1603</v>
      </c>
      <c r="D80">
        <v>1603</v>
      </c>
      <c r="E80">
        <v>2024</v>
      </c>
    </row>
    <row r="81" spans="1:5">
      <c r="A81" s="20" t="s">
        <v>272</v>
      </c>
      <c r="B81" s="20" t="s">
        <v>272</v>
      </c>
      <c r="C81">
        <v>1104</v>
      </c>
      <c r="D81">
        <v>1104</v>
      </c>
      <c r="E81">
        <v>2024</v>
      </c>
    </row>
    <row r="82" spans="1:5">
      <c r="A82" s="20" t="s">
        <v>253</v>
      </c>
      <c r="B82" s="20" t="s">
        <v>253</v>
      </c>
      <c r="C82">
        <v>413</v>
      </c>
      <c r="E82">
        <v>2024</v>
      </c>
    </row>
    <row r="83" spans="1:5">
      <c r="A83" s="20" t="s">
        <v>310</v>
      </c>
      <c r="B83" s="20" t="s">
        <v>253</v>
      </c>
      <c r="C83">
        <v>401</v>
      </c>
      <c r="E83">
        <v>2024</v>
      </c>
    </row>
    <row r="84" spans="1:5">
      <c r="A84" s="20"/>
      <c r="B84" s="20" t="s">
        <v>253</v>
      </c>
      <c r="D84">
        <v>814</v>
      </c>
      <c r="E84">
        <v>2024</v>
      </c>
    </row>
    <row r="85" spans="1:5">
      <c r="A85" s="20" t="s">
        <v>78</v>
      </c>
      <c r="B85" s="20" t="s">
        <v>78</v>
      </c>
      <c r="C85">
        <v>1170</v>
      </c>
      <c r="D85">
        <v>1170</v>
      </c>
      <c r="E85">
        <v>2024</v>
      </c>
    </row>
    <row r="86" spans="1:5">
      <c r="A86" s="20" t="s">
        <v>213</v>
      </c>
      <c r="B86" s="20" t="s">
        <v>213</v>
      </c>
      <c r="C86">
        <v>1411</v>
      </c>
      <c r="D86">
        <v>1411</v>
      </c>
      <c r="E86">
        <v>2024</v>
      </c>
    </row>
    <row r="87" spans="1:5">
      <c r="A87" s="20"/>
      <c r="B87" s="20" t="s">
        <v>2157</v>
      </c>
    </row>
    <row r="88" spans="1:5">
      <c r="A88" s="20" t="s">
        <v>214</v>
      </c>
      <c r="B88" s="20" t="s">
        <v>214</v>
      </c>
      <c r="C88">
        <v>1480</v>
      </c>
      <c r="D88">
        <v>1480</v>
      </c>
      <c r="E88">
        <v>2025</v>
      </c>
    </row>
    <row r="89" spans="1:5">
      <c r="A89" s="20" t="s">
        <v>296</v>
      </c>
      <c r="B89" s="20" t="s">
        <v>296</v>
      </c>
      <c r="C89">
        <v>829</v>
      </c>
      <c r="E89">
        <v>2025</v>
      </c>
    </row>
    <row r="90" spans="1:5">
      <c r="A90" s="20" t="s">
        <v>297</v>
      </c>
      <c r="B90" s="20" t="s">
        <v>296</v>
      </c>
      <c r="C90">
        <v>400</v>
      </c>
      <c r="E90">
        <v>2025</v>
      </c>
    </row>
    <row r="91" spans="1:5">
      <c r="A91" s="20"/>
      <c r="B91" s="20" t="s">
        <v>296</v>
      </c>
      <c r="D91">
        <v>1229</v>
      </c>
      <c r="E91">
        <v>2025</v>
      </c>
    </row>
    <row r="92" spans="1:5">
      <c r="A92" s="20" t="s">
        <v>132</v>
      </c>
      <c r="B92" s="20" t="s">
        <v>132</v>
      </c>
      <c r="C92">
        <v>1791</v>
      </c>
      <c r="D92">
        <v>1791</v>
      </c>
      <c r="E92">
        <v>2025</v>
      </c>
    </row>
    <row r="93" spans="1:5">
      <c r="A93" s="20" t="s">
        <v>293</v>
      </c>
      <c r="B93" s="20" t="s">
        <v>834</v>
      </c>
      <c r="C93">
        <v>66</v>
      </c>
      <c r="E93">
        <v>2025</v>
      </c>
    </row>
    <row r="94" spans="1:5">
      <c r="A94" s="20" t="s">
        <v>143</v>
      </c>
      <c r="B94" s="20" t="s">
        <v>834</v>
      </c>
      <c r="C94">
        <v>107</v>
      </c>
      <c r="E94">
        <v>2025</v>
      </c>
    </row>
    <row r="95" spans="1:5">
      <c r="A95" s="20" t="s">
        <v>32</v>
      </c>
      <c r="B95" s="20" t="s">
        <v>834</v>
      </c>
      <c r="C95">
        <v>115</v>
      </c>
      <c r="E95">
        <v>2025</v>
      </c>
    </row>
    <row r="96" spans="1:5">
      <c r="A96" s="20" t="s">
        <v>34</v>
      </c>
      <c r="B96" s="20" t="s">
        <v>834</v>
      </c>
      <c r="C96">
        <v>150</v>
      </c>
      <c r="E96">
        <v>2025</v>
      </c>
    </row>
    <row r="97" spans="1:5">
      <c r="A97" s="20" t="s">
        <v>144</v>
      </c>
      <c r="B97" s="20" t="s">
        <v>834</v>
      </c>
      <c r="C97">
        <v>135</v>
      </c>
      <c r="E97">
        <v>2025</v>
      </c>
    </row>
    <row r="98" spans="1:5">
      <c r="A98" s="20" t="s">
        <v>145</v>
      </c>
      <c r="B98" s="20" t="s">
        <v>834</v>
      </c>
      <c r="C98">
        <v>95</v>
      </c>
      <c r="E98">
        <v>2025</v>
      </c>
    </row>
    <row r="99" spans="1:5">
      <c r="A99" s="20" t="s">
        <v>149</v>
      </c>
      <c r="B99" s="20" t="s">
        <v>834</v>
      </c>
      <c r="C99">
        <v>90</v>
      </c>
      <c r="E99">
        <v>2025</v>
      </c>
    </row>
    <row r="100" spans="1:5">
      <c r="A100" s="20"/>
      <c r="B100" s="20" t="s">
        <v>834</v>
      </c>
      <c r="D100">
        <v>758</v>
      </c>
      <c r="E100">
        <v>2025</v>
      </c>
    </row>
    <row r="101" spans="1:5">
      <c r="A101" s="20" t="s">
        <v>314</v>
      </c>
      <c r="B101" s="20" t="s">
        <v>2158</v>
      </c>
      <c r="C101">
        <v>121</v>
      </c>
      <c r="E101">
        <v>2025</v>
      </c>
    </row>
    <row r="102" spans="1:5">
      <c r="A102" s="20" t="s">
        <v>245</v>
      </c>
      <c r="B102" s="20" t="s">
        <v>2158</v>
      </c>
      <c r="C102">
        <v>150</v>
      </c>
      <c r="E102">
        <v>2025</v>
      </c>
    </row>
    <row r="103" spans="1:5">
      <c r="A103" s="20" t="s">
        <v>246</v>
      </c>
      <c r="B103" s="20" t="s">
        <v>2158</v>
      </c>
      <c r="C103">
        <v>156</v>
      </c>
      <c r="E103">
        <v>2025</v>
      </c>
    </row>
    <row r="104" spans="1:5">
      <c r="A104" s="20" t="s">
        <v>350</v>
      </c>
      <c r="B104" s="20" t="s">
        <v>2158</v>
      </c>
      <c r="C104">
        <v>125</v>
      </c>
      <c r="E104">
        <v>2025</v>
      </c>
    </row>
    <row r="105" spans="1:5">
      <c r="A105" s="20" t="s">
        <v>352</v>
      </c>
      <c r="B105" s="20" t="s">
        <v>2158</v>
      </c>
      <c r="C105">
        <v>134</v>
      </c>
      <c r="E105">
        <v>2025</v>
      </c>
    </row>
    <row r="106" spans="1:5">
      <c r="A106" s="20" t="s">
        <v>366</v>
      </c>
      <c r="B106" s="20" t="s">
        <v>2158</v>
      </c>
      <c r="C106">
        <v>83</v>
      </c>
      <c r="E106">
        <v>2025</v>
      </c>
    </row>
    <row r="107" spans="1:5">
      <c r="A107" s="20" t="s">
        <v>256</v>
      </c>
      <c r="B107" s="20" t="s">
        <v>2158</v>
      </c>
      <c r="C107">
        <v>125</v>
      </c>
      <c r="E107">
        <v>2025</v>
      </c>
    </row>
    <row r="108" spans="1:5">
      <c r="A108" s="20"/>
      <c r="B108" s="20" t="s">
        <v>2158</v>
      </c>
      <c r="D108">
        <v>894</v>
      </c>
      <c r="E108">
        <v>2025</v>
      </c>
    </row>
    <row r="109" spans="1:5">
      <c r="A109" s="20"/>
      <c r="B109" s="20" t="s">
        <v>2159</v>
      </c>
    </row>
    <row r="110" spans="1:5">
      <c r="A110" s="20" t="s">
        <v>59</v>
      </c>
      <c r="B110" s="20" t="s">
        <v>2160</v>
      </c>
      <c r="C110">
        <v>108</v>
      </c>
      <c r="E110">
        <v>2026</v>
      </c>
    </row>
    <row r="111" spans="1:5">
      <c r="A111" s="20" t="s">
        <v>60</v>
      </c>
      <c r="B111" s="20" t="s">
        <v>2160</v>
      </c>
      <c r="C111">
        <v>224</v>
      </c>
      <c r="E111">
        <v>2026</v>
      </c>
    </row>
    <row r="112" spans="1:5">
      <c r="A112" s="20" t="s">
        <v>242</v>
      </c>
      <c r="B112" s="20" t="s">
        <v>2160</v>
      </c>
      <c r="C112">
        <v>126</v>
      </c>
      <c r="E112">
        <v>2026</v>
      </c>
    </row>
    <row r="113" spans="1:5">
      <c r="A113" s="20" t="s">
        <v>63</v>
      </c>
      <c r="B113" s="20" t="s">
        <v>2160</v>
      </c>
      <c r="C113">
        <v>188</v>
      </c>
      <c r="E113">
        <v>2026</v>
      </c>
    </row>
    <row r="114" spans="1:5">
      <c r="A114" s="20" t="s">
        <v>64</v>
      </c>
      <c r="B114" s="20" t="s">
        <v>2160</v>
      </c>
      <c r="C114">
        <v>55</v>
      </c>
      <c r="E114">
        <v>2026</v>
      </c>
    </row>
    <row r="115" spans="1:5">
      <c r="A115" s="20"/>
      <c r="B115" s="20" t="s">
        <v>2160</v>
      </c>
      <c r="D115">
        <v>701</v>
      </c>
      <c r="E115">
        <v>2026</v>
      </c>
    </row>
    <row r="116" spans="1:5">
      <c r="A116" s="20" t="s">
        <v>203</v>
      </c>
      <c r="B116" s="20" t="s">
        <v>2161</v>
      </c>
      <c r="C116">
        <v>160</v>
      </c>
      <c r="E116">
        <v>2026</v>
      </c>
    </row>
    <row r="117" spans="1:5">
      <c r="A117" s="20" t="s">
        <v>208</v>
      </c>
      <c r="B117" s="20" t="s">
        <v>2161</v>
      </c>
      <c r="C117">
        <v>232</v>
      </c>
      <c r="E117">
        <v>2026</v>
      </c>
    </row>
    <row r="118" spans="1:5">
      <c r="A118" s="20" t="s">
        <v>218</v>
      </c>
      <c r="B118" s="20" t="s">
        <v>2161</v>
      </c>
      <c r="C118">
        <v>167</v>
      </c>
      <c r="E118">
        <v>2026</v>
      </c>
    </row>
    <row r="119" spans="1:5">
      <c r="A119" s="20" t="s">
        <v>219</v>
      </c>
      <c r="B119" s="20" t="s">
        <v>2161</v>
      </c>
      <c r="C119">
        <v>462</v>
      </c>
      <c r="E119">
        <v>2026</v>
      </c>
    </row>
    <row r="120" spans="1:5">
      <c r="A120" s="20"/>
      <c r="B120" s="20" t="s">
        <v>2161</v>
      </c>
      <c r="D120">
        <v>1021</v>
      </c>
      <c r="E120">
        <v>2026</v>
      </c>
    </row>
    <row r="121" spans="1:5">
      <c r="A121" s="20" t="s">
        <v>74</v>
      </c>
      <c r="B121" s="20" t="s">
        <v>112</v>
      </c>
      <c r="C121">
        <v>171</v>
      </c>
      <c r="E121">
        <v>2026</v>
      </c>
    </row>
    <row r="122" spans="1:5">
      <c r="A122" s="20" t="s">
        <v>112</v>
      </c>
      <c r="B122" s="20" t="s">
        <v>112</v>
      </c>
      <c r="C122">
        <v>1493</v>
      </c>
      <c r="E122">
        <v>2026</v>
      </c>
    </row>
    <row r="123" spans="1:5">
      <c r="A123" s="20"/>
      <c r="B123" s="20" t="s">
        <v>112</v>
      </c>
      <c r="D123">
        <v>1664</v>
      </c>
      <c r="E123">
        <v>2026</v>
      </c>
    </row>
    <row r="124" spans="1:5">
      <c r="A124" s="20" t="s">
        <v>317</v>
      </c>
      <c r="B124" s="20" t="s">
        <v>317</v>
      </c>
      <c r="C124">
        <v>877</v>
      </c>
      <c r="E124">
        <v>2026</v>
      </c>
    </row>
    <row r="125" spans="1:5">
      <c r="A125" s="20" t="s">
        <v>345</v>
      </c>
      <c r="B125" s="20" t="s">
        <v>317</v>
      </c>
      <c r="C125">
        <v>179</v>
      </c>
      <c r="E125">
        <v>2026</v>
      </c>
    </row>
    <row r="126" spans="1:5">
      <c r="A126" s="20"/>
      <c r="B126" s="20" t="s">
        <v>317</v>
      </c>
      <c r="D126">
        <v>1056</v>
      </c>
      <c r="E126">
        <v>2026</v>
      </c>
    </row>
    <row r="127" spans="1:5">
      <c r="A127" s="20" t="s">
        <v>124</v>
      </c>
      <c r="B127" s="20" t="s">
        <v>2162</v>
      </c>
      <c r="C127">
        <v>188</v>
      </c>
      <c r="E127">
        <v>2026</v>
      </c>
    </row>
    <row r="128" spans="1:5">
      <c r="A128" s="20" t="s">
        <v>105</v>
      </c>
      <c r="B128" s="20" t="s">
        <v>2162</v>
      </c>
      <c r="C128">
        <v>175</v>
      </c>
      <c r="E128">
        <v>2026</v>
      </c>
    </row>
    <row r="129" spans="1:5">
      <c r="A129" s="20" t="s">
        <v>96</v>
      </c>
      <c r="B129" s="20" t="s">
        <v>2162</v>
      </c>
      <c r="C129">
        <v>114</v>
      </c>
      <c r="E129">
        <v>2026</v>
      </c>
    </row>
    <row r="130" spans="1:5">
      <c r="A130" s="20" t="s">
        <v>97</v>
      </c>
      <c r="B130" s="20" t="s">
        <v>2162</v>
      </c>
      <c r="C130">
        <v>120</v>
      </c>
      <c r="E130">
        <v>2026</v>
      </c>
    </row>
    <row r="131" spans="1:5">
      <c r="A131" s="20" t="s">
        <v>98</v>
      </c>
      <c r="B131" s="20" t="s">
        <v>2162</v>
      </c>
      <c r="C131">
        <v>200</v>
      </c>
      <c r="E131">
        <v>2026</v>
      </c>
    </row>
    <row r="132" spans="1:5">
      <c r="A132" s="20" t="s">
        <v>99</v>
      </c>
      <c r="B132" s="20" t="s">
        <v>2162</v>
      </c>
      <c r="C132">
        <v>120</v>
      </c>
      <c r="E132">
        <v>2026</v>
      </c>
    </row>
    <row r="133" spans="1:5">
      <c r="A133" s="20"/>
      <c r="B133" s="20" t="s">
        <v>2162</v>
      </c>
      <c r="D133">
        <v>917</v>
      </c>
      <c r="E133">
        <v>2026</v>
      </c>
    </row>
    <row r="134" spans="1:5">
      <c r="A134" s="20"/>
      <c r="B134" s="20" t="s">
        <v>2163</v>
      </c>
    </row>
    <row r="135" spans="1:5">
      <c r="A135" s="20" t="s">
        <v>202</v>
      </c>
      <c r="B135" s="20" t="s">
        <v>202</v>
      </c>
      <c r="C135">
        <v>1390</v>
      </c>
      <c r="D135">
        <v>1390</v>
      </c>
      <c r="E135">
        <v>2027</v>
      </c>
    </row>
    <row r="136" spans="1:5">
      <c r="A136" s="20" t="s">
        <v>38</v>
      </c>
      <c r="B136" s="20" t="s">
        <v>38</v>
      </c>
      <c r="C136">
        <v>1717</v>
      </c>
      <c r="D136">
        <v>1717</v>
      </c>
      <c r="E136">
        <v>2027</v>
      </c>
    </row>
    <row r="137" spans="1:5">
      <c r="A137" s="20" t="s">
        <v>211</v>
      </c>
      <c r="B137" s="20" t="s">
        <v>211</v>
      </c>
      <c r="C137">
        <v>2071</v>
      </c>
      <c r="D137">
        <v>2071</v>
      </c>
      <c r="E137">
        <v>2027</v>
      </c>
    </row>
    <row r="138" spans="1:5">
      <c r="A138" s="20"/>
      <c r="B138" s="20" t="s">
        <v>2164</v>
      </c>
    </row>
    <row r="139" spans="1:5">
      <c r="A139" s="20" t="s">
        <v>209</v>
      </c>
      <c r="B139" s="20" t="s">
        <v>196</v>
      </c>
      <c r="C139">
        <v>1148</v>
      </c>
      <c r="E139">
        <v>2028</v>
      </c>
    </row>
    <row r="140" spans="1:5">
      <c r="A140" s="20" t="s">
        <v>196</v>
      </c>
      <c r="B140" s="20" t="s">
        <v>196</v>
      </c>
      <c r="C140">
        <v>1056</v>
      </c>
      <c r="E140">
        <v>2028</v>
      </c>
    </row>
    <row r="141" spans="1:5">
      <c r="A141" s="20"/>
      <c r="B141" s="20" t="s">
        <v>196</v>
      </c>
      <c r="D141">
        <v>2204</v>
      </c>
      <c r="E141">
        <v>2028</v>
      </c>
    </row>
    <row r="142" spans="1:5">
      <c r="A142" s="20" t="s">
        <v>325</v>
      </c>
      <c r="B142" s="20" t="s">
        <v>325</v>
      </c>
      <c r="C142">
        <v>1188</v>
      </c>
      <c r="D142">
        <v>1188</v>
      </c>
      <c r="E142">
        <v>2028</v>
      </c>
    </row>
    <row r="143" spans="1:5">
      <c r="A143" s="20" t="s">
        <v>122</v>
      </c>
      <c r="B143" s="20" t="s">
        <v>122</v>
      </c>
      <c r="C143">
        <v>1272</v>
      </c>
      <c r="D143">
        <v>1272</v>
      </c>
      <c r="E143">
        <v>2028</v>
      </c>
    </row>
    <row r="144" spans="1:5">
      <c r="A144" s="20" t="s">
        <v>344</v>
      </c>
      <c r="B144" s="20" t="s">
        <v>344</v>
      </c>
      <c r="C144">
        <v>607</v>
      </c>
      <c r="D144">
        <v>607</v>
      </c>
      <c r="E144">
        <v>2028</v>
      </c>
    </row>
    <row r="145" spans="1:5">
      <c r="A145" s="20" t="s">
        <v>83</v>
      </c>
      <c r="B145" s="20" t="s">
        <v>83</v>
      </c>
      <c r="C145">
        <v>1310</v>
      </c>
      <c r="D145">
        <v>1310</v>
      </c>
      <c r="E145">
        <v>2028</v>
      </c>
    </row>
    <row r="146" spans="1:5">
      <c r="A146" s="20"/>
      <c r="B146" s="20" t="s">
        <v>2165</v>
      </c>
    </row>
    <row r="147" spans="1:5">
      <c r="A147" s="20" t="s">
        <v>227</v>
      </c>
      <c r="B147" s="20" t="s">
        <v>2166</v>
      </c>
      <c r="C147">
        <v>96</v>
      </c>
      <c r="E147" t="s">
        <v>2167</v>
      </c>
    </row>
    <row r="148" spans="1:5">
      <c r="A148" s="20" t="s">
        <v>243</v>
      </c>
      <c r="B148" s="20" t="s">
        <v>2166</v>
      </c>
      <c r="C148">
        <v>132</v>
      </c>
      <c r="E148" t="s">
        <v>2167</v>
      </c>
    </row>
    <row r="149" spans="1:5">
      <c r="A149" s="20" t="s">
        <v>197</v>
      </c>
      <c r="B149" s="20" t="s">
        <v>2166</v>
      </c>
      <c r="C149">
        <v>1497</v>
      </c>
      <c r="E149" t="s">
        <v>2167</v>
      </c>
    </row>
    <row r="150" spans="1:5">
      <c r="A150" s="20"/>
      <c r="B150" s="20" t="s">
        <v>2166</v>
      </c>
      <c r="D150">
        <v>1725</v>
      </c>
      <c r="E150" t="s">
        <v>2167</v>
      </c>
    </row>
    <row r="151" spans="1:5">
      <c r="A151" s="20" t="s">
        <v>224</v>
      </c>
      <c r="B151" s="20" t="s">
        <v>2168</v>
      </c>
      <c r="C151">
        <v>448</v>
      </c>
      <c r="E151" t="s">
        <v>2167</v>
      </c>
    </row>
    <row r="152" spans="1:5">
      <c r="A152" s="20" t="s">
        <v>269</v>
      </c>
      <c r="B152" s="20" t="s">
        <v>2168</v>
      </c>
      <c r="C152">
        <v>600</v>
      </c>
      <c r="E152" t="s">
        <v>2167</v>
      </c>
    </row>
    <row r="153" spans="1:5">
      <c r="A153" s="20"/>
      <c r="B153" s="20" t="s">
        <v>2168</v>
      </c>
      <c r="D153">
        <v>1048</v>
      </c>
      <c r="E153" t="s">
        <v>2167</v>
      </c>
    </row>
    <row r="154" spans="1:5">
      <c r="A154" s="20"/>
      <c r="B154" s="20"/>
    </row>
    <row r="155" spans="1:5">
      <c r="A155" s="20"/>
      <c r="B155" s="20" t="s">
        <v>405</v>
      </c>
      <c r="D155">
        <v>62471</v>
      </c>
    </row>
    <row r="156" spans="1:5">
      <c r="A156" s="20"/>
      <c r="B156" s="20"/>
    </row>
    <row r="157" spans="1:5">
      <c r="A157" s="20"/>
      <c r="B157" s="20"/>
    </row>
    <row r="158" spans="1:5">
      <c r="A158" s="20"/>
      <c r="B158" s="20" t="s">
        <v>2169</v>
      </c>
    </row>
    <row r="159" spans="1:5">
      <c r="A159" s="20" t="s">
        <v>113</v>
      </c>
      <c r="B159" s="20" t="s">
        <v>113</v>
      </c>
      <c r="C159">
        <v>1286</v>
      </c>
      <c r="D159">
        <v>1286</v>
      </c>
    </row>
    <row r="160" spans="1:5">
      <c r="A160" s="20" t="s">
        <v>231</v>
      </c>
      <c r="B160" s="20" t="s">
        <v>231</v>
      </c>
      <c r="C160">
        <v>1610</v>
      </c>
      <c r="D160">
        <v>1610</v>
      </c>
    </row>
    <row r="161" spans="1:4">
      <c r="A161" s="20" t="s">
        <v>392</v>
      </c>
      <c r="B161" s="20" t="s">
        <v>392</v>
      </c>
      <c r="C161">
        <v>1338</v>
      </c>
      <c r="D161">
        <v>1338</v>
      </c>
    </row>
    <row r="162" spans="1:4">
      <c r="A162" s="20" t="s">
        <v>206</v>
      </c>
      <c r="B162" s="20" t="s">
        <v>206</v>
      </c>
      <c r="C162">
        <v>815</v>
      </c>
      <c r="D162">
        <v>815</v>
      </c>
    </row>
    <row r="163" spans="1:4">
      <c r="A163" s="20" t="s">
        <v>81</v>
      </c>
      <c r="B163" s="20" t="s">
        <v>81</v>
      </c>
      <c r="C163">
        <v>1940</v>
      </c>
      <c r="D163">
        <v>1940</v>
      </c>
    </row>
    <row r="164" spans="1:4">
      <c r="A164" s="20" t="s">
        <v>264</v>
      </c>
      <c r="B164" s="20" t="s">
        <v>204</v>
      </c>
      <c r="C164">
        <v>66</v>
      </c>
    </row>
    <row r="165" spans="1:4">
      <c r="A165" s="20" t="s">
        <v>204</v>
      </c>
      <c r="B165" s="20" t="s">
        <v>204</v>
      </c>
      <c r="C165">
        <v>1350</v>
      </c>
    </row>
    <row r="166" spans="1:4">
      <c r="A166" s="20" t="s">
        <v>222</v>
      </c>
      <c r="B166" s="20" t="s">
        <v>204</v>
      </c>
      <c r="C166">
        <v>619</v>
      </c>
    </row>
    <row r="167" spans="1:4">
      <c r="A167" s="20"/>
      <c r="B167" s="20" t="s">
        <v>204</v>
      </c>
      <c r="D167">
        <v>2035</v>
      </c>
    </row>
    <row r="168" spans="1:4">
      <c r="A168" s="20" t="s">
        <v>91</v>
      </c>
      <c r="B168" s="20" t="s">
        <v>123</v>
      </c>
      <c r="C168">
        <v>463</v>
      </c>
    </row>
    <row r="169" spans="1:4">
      <c r="A169" s="20" t="s">
        <v>123</v>
      </c>
      <c r="B169" s="20" t="s">
        <v>123</v>
      </c>
      <c r="C169">
        <v>1007</v>
      </c>
    </row>
    <row r="170" spans="1:4">
      <c r="A170" s="20"/>
      <c r="B170" s="20" t="s">
        <v>123</v>
      </c>
      <c r="D170">
        <v>1470</v>
      </c>
    </row>
    <row r="171" spans="1:4">
      <c r="A171" s="20" t="s">
        <v>90</v>
      </c>
      <c r="B171" s="20" t="s">
        <v>116</v>
      </c>
      <c r="C171">
        <v>275</v>
      </c>
    </row>
    <row r="172" spans="1:4">
      <c r="A172" s="20" t="s">
        <v>102</v>
      </c>
      <c r="B172" s="20" t="s">
        <v>116</v>
      </c>
      <c r="C172">
        <v>248</v>
      </c>
    </row>
    <row r="173" spans="1:4">
      <c r="A173" s="20" t="s">
        <v>116</v>
      </c>
      <c r="B173" s="20" t="s">
        <v>116</v>
      </c>
      <c r="C173">
        <v>398</v>
      </c>
    </row>
    <row r="174" spans="1:4">
      <c r="A174" s="20"/>
      <c r="B174" s="20" t="s">
        <v>116</v>
      </c>
      <c r="D174">
        <v>921</v>
      </c>
    </row>
    <row r="175" spans="1:4">
      <c r="A175" s="20" t="s">
        <v>127</v>
      </c>
      <c r="B175" s="20" t="s">
        <v>127</v>
      </c>
      <c r="C175">
        <v>2162</v>
      </c>
      <c r="D175">
        <v>2162</v>
      </c>
    </row>
    <row r="176" spans="1:4">
      <c r="A176" s="20" t="s">
        <v>136</v>
      </c>
      <c r="B176" s="20" t="s">
        <v>136</v>
      </c>
      <c r="C176">
        <v>1526</v>
      </c>
      <c r="D176">
        <v>1526</v>
      </c>
    </row>
    <row r="177" spans="1:4">
      <c r="A177" s="20" t="s">
        <v>67</v>
      </c>
      <c r="B177" s="20" t="s">
        <v>128</v>
      </c>
      <c r="C177">
        <v>100</v>
      </c>
    </row>
    <row r="178" spans="1:4">
      <c r="A178" s="20" t="s">
        <v>128</v>
      </c>
      <c r="B178" s="20" t="s">
        <v>128</v>
      </c>
      <c r="C178">
        <v>1470</v>
      </c>
    </row>
    <row r="179" spans="1:4">
      <c r="A179" s="20"/>
      <c r="B179" s="20" t="s">
        <v>128</v>
      </c>
      <c r="D179">
        <v>1570</v>
      </c>
    </row>
    <row r="180" spans="1:4">
      <c r="A180" s="20" t="s">
        <v>135</v>
      </c>
      <c r="B180" s="20" t="s">
        <v>135</v>
      </c>
      <c r="C180">
        <v>1604</v>
      </c>
    </row>
    <row r="181" spans="1:4">
      <c r="A181" s="20" t="s">
        <v>134</v>
      </c>
      <c r="B181" s="20" t="s">
        <v>134</v>
      </c>
      <c r="C181">
        <v>1543</v>
      </c>
    </row>
    <row r="182" spans="1:4">
      <c r="A182" s="20" t="s">
        <v>353</v>
      </c>
      <c r="B182" s="20" t="s">
        <v>353</v>
      </c>
      <c r="C182">
        <v>879</v>
      </c>
      <c r="D182">
        <v>879</v>
      </c>
    </row>
    <row r="183" spans="1:4">
      <c r="A183" s="20" t="s">
        <v>46</v>
      </c>
      <c r="B183" s="20" t="s">
        <v>46</v>
      </c>
      <c r="C183">
        <v>1046</v>
      </c>
      <c r="D183">
        <v>1046</v>
      </c>
    </row>
    <row r="184" spans="1:4">
      <c r="A184" s="20" t="s">
        <v>307</v>
      </c>
      <c r="B184" s="20" t="s">
        <v>244</v>
      </c>
      <c r="C184">
        <v>174</v>
      </c>
    </row>
    <row r="185" spans="1:4">
      <c r="A185" s="20" t="s">
        <v>244</v>
      </c>
      <c r="B185" s="20" t="s">
        <v>244</v>
      </c>
      <c r="C185">
        <v>712</v>
      </c>
    </row>
    <row r="186" spans="1:4">
      <c r="A186" s="20"/>
      <c r="B186" s="20" t="s">
        <v>244</v>
      </c>
      <c r="D186">
        <v>886</v>
      </c>
    </row>
    <row r="187" spans="1:4">
      <c r="A187" s="20" t="s">
        <v>119</v>
      </c>
      <c r="B187" s="20" t="s">
        <v>2170</v>
      </c>
      <c r="C187">
        <v>509</v>
      </c>
    </row>
    <row r="188" spans="1:4">
      <c r="A188" s="20" t="s">
        <v>72</v>
      </c>
      <c r="B188" s="20" t="s">
        <v>2170</v>
      </c>
      <c r="C188">
        <v>425</v>
      </c>
    </row>
    <row r="189" spans="1:4">
      <c r="A189" s="20"/>
      <c r="B189" s="20" t="s">
        <v>2170</v>
      </c>
      <c r="D189">
        <v>934</v>
      </c>
    </row>
    <row r="190" spans="1:4">
      <c r="A190" s="20" t="s">
        <v>346</v>
      </c>
      <c r="B190" s="20" t="s">
        <v>346</v>
      </c>
      <c r="C190">
        <v>993</v>
      </c>
      <c r="D190">
        <v>993</v>
      </c>
    </row>
    <row r="191" spans="1:4">
      <c r="A191" s="20" t="s">
        <v>257</v>
      </c>
      <c r="B191" s="20" t="s">
        <v>2171</v>
      </c>
      <c r="C191">
        <v>331</v>
      </c>
    </row>
    <row r="192" spans="1:4">
      <c r="A192" s="20" t="s">
        <v>258</v>
      </c>
      <c r="B192" s="20" t="s">
        <v>2171</v>
      </c>
      <c r="C192">
        <v>150</v>
      </c>
    </row>
    <row r="193" spans="1:4">
      <c r="A193" s="20"/>
      <c r="B193" s="20" t="s">
        <v>2171</v>
      </c>
      <c r="D193">
        <v>481</v>
      </c>
    </row>
    <row r="194" spans="1:4">
      <c r="A194" s="20" t="s">
        <v>326</v>
      </c>
      <c r="B194" s="20" t="s">
        <v>326</v>
      </c>
      <c r="C194">
        <v>1139</v>
      </c>
      <c r="D194">
        <v>1139</v>
      </c>
    </row>
    <row r="195" spans="1:4">
      <c r="A195" s="20" t="s">
        <v>236</v>
      </c>
      <c r="B195" s="20" t="s">
        <v>351</v>
      </c>
      <c r="C195">
        <v>125</v>
      </c>
    </row>
    <row r="196" spans="1:4">
      <c r="A196" s="20" t="s">
        <v>327</v>
      </c>
      <c r="B196" s="20" t="s">
        <v>351</v>
      </c>
      <c r="C196">
        <v>634</v>
      </c>
    </row>
    <row r="197" spans="1:4">
      <c r="A197" s="20" t="s">
        <v>351</v>
      </c>
      <c r="B197" s="20" t="s">
        <v>351</v>
      </c>
      <c r="C197">
        <v>573</v>
      </c>
    </row>
    <row r="198" spans="1:4">
      <c r="A198" s="20"/>
      <c r="B198" s="20" t="s">
        <v>351</v>
      </c>
      <c r="D198">
        <v>1332</v>
      </c>
    </row>
    <row r="199" spans="1:4">
      <c r="A199" s="20" t="s">
        <v>223</v>
      </c>
      <c r="B199" s="20" t="s">
        <v>223</v>
      </c>
      <c r="C199">
        <v>1732</v>
      </c>
      <c r="D199">
        <v>1732</v>
      </c>
    </row>
    <row r="200" spans="1:4">
      <c r="A200" s="20" t="s">
        <v>120</v>
      </c>
      <c r="B200" s="20" t="s">
        <v>120</v>
      </c>
      <c r="C200">
        <v>1246</v>
      </c>
      <c r="D200">
        <v>1246</v>
      </c>
    </row>
    <row r="201" spans="1:4">
      <c r="A201" s="20" t="s">
        <v>114</v>
      </c>
      <c r="B201" s="20" t="s">
        <v>114</v>
      </c>
      <c r="C201">
        <v>1102</v>
      </c>
      <c r="D201">
        <v>1102</v>
      </c>
    </row>
    <row r="202" spans="1:4">
      <c r="A202" s="20" t="s">
        <v>193</v>
      </c>
      <c r="B202" s="20" t="s">
        <v>193</v>
      </c>
      <c r="C202">
        <v>1765</v>
      </c>
      <c r="D202">
        <v>1765</v>
      </c>
    </row>
    <row r="203" spans="1:4">
      <c r="A203" s="20" t="s">
        <v>190</v>
      </c>
      <c r="B203" s="20" t="s">
        <v>190</v>
      </c>
      <c r="C203">
        <v>700</v>
      </c>
      <c r="D203">
        <v>700</v>
      </c>
    </row>
    <row r="204" spans="1:4">
      <c r="A204" s="20" t="s">
        <v>301</v>
      </c>
      <c r="B204" s="20" t="s">
        <v>2172</v>
      </c>
      <c r="C204">
        <v>712</v>
      </c>
    </row>
    <row r="205" spans="1:4">
      <c r="A205" s="20" t="s">
        <v>348</v>
      </c>
      <c r="B205" s="20" t="s">
        <v>2172</v>
      </c>
      <c r="C205">
        <v>418</v>
      </c>
    </row>
    <row r="206" spans="1:4">
      <c r="A206" s="20"/>
      <c r="B206" s="20" t="s">
        <v>2172</v>
      </c>
      <c r="D206">
        <v>1130</v>
      </c>
    </row>
    <row r="207" spans="1:4">
      <c r="A207" s="20" t="s">
        <v>199</v>
      </c>
      <c r="B207" s="20" t="s">
        <v>199</v>
      </c>
      <c r="C207">
        <v>896</v>
      </c>
      <c r="D207">
        <v>896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C25"/>
  <sheetViews>
    <sheetView workbookViewId="0">
      <selection activeCell="B11" sqref="B11"/>
    </sheetView>
  </sheetViews>
  <sheetFormatPr defaultColWidth="8.7109375" defaultRowHeight="14.45"/>
  <cols>
    <col min="1" max="1" width="37.140625" bestFit="1" customWidth="1"/>
    <col min="2" max="2" width="102.28515625" customWidth="1"/>
  </cols>
  <sheetData>
    <row r="1" spans="1:3">
      <c r="A1" s="103" t="s">
        <v>2173</v>
      </c>
      <c r="B1" s="103" t="s">
        <v>2174</v>
      </c>
    </row>
    <row r="2" spans="1:3">
      <c r="A2" s="1" t="s">
        <v>2175</v>
      </c>
      <c r="B2" s="1"/>
    </row>
    <row r="3" spans="1:3">
      <c r="A3" s="1" t="s">
        <v>2176</v>
      </c>
      <c r="B3" s="1"/>
    </row>
    <row r="4" spans="1:3">
      <c r="A4" s="1" t="s">
        <v>2177</v>
      </c>
      <c r="B4" s="1"/>
    </row>
    <row r="5" spans="1:3">
      <c r="A5" s="1" t="s">
        <v>2178</v>
      </c>
      <c r="B5" s="1" t="s">
        <v>2179</v>
      </c>
    </row>
    <row r="6" spans="1:3">
      <c r="A6" s="1" t="s">
        <v>2180</v>
      </c>
      <c r="B6" s="1"/>
    </row>
    <row r="7" spans="1:3">
      <c r="A7" s="1" t="s">
        <v>2181</v>
      </c>
      <c r="B7" s="1"/>
    </row>
    <row r="8" spans="1:3">
      <c r="A8" s="1" t="s">
        <v>2182</v>
      </c>
      <c r="B8" s="1" t="s">
        <v>2183</v>
      </c>
    </row>
    <row r="9" spans="1:3">
      <c r="A9" s="9" t="s">
        <v>2184</v>
      </c>
      <c r="B9" s="1"/>
    </row>
    <row r="10" spans="1:3">
      <c r="A10" s="1" t="s">
        <v>2185</v>
      </c>
      <c r="B10" s="1"/>
    </row>
    <row r="11" spans="1:3">
      <c r="A11" s="1" t="s">
        <v>2186</v>
      </c>
      <c r="B11" s="1" t="s">
        <v>2187</v>
      </c>
    </row>
    <row r="13" spans="1:3">
      <c r="A13" s="103" t="s">
        <v>2188</v>
      </c>
      <c r="B13" s="103"/>
      <c r="C13" s="103"/>
    </row>
    <row r="14" spans="1:3">
      <c r="A14" s="1" t="s">
        <v>164</v>
      </c>
      <c r="B14" s="1" t="s">
        <v>2189</v>
      </c>
      <c r="C14" s="1"/>
    </row>
    <row r="15" spans="1:3" ht="25.5" customHeight="1">
      <c r="A15" s="1" t="s">
        <v>165</v>
      </c>
      <c r="B15" s="250" t="s">
        <v>2190</v>
      </c>
      <c r="C15" s="1"/>
    </row>
    <row r="16" spans="1:3" ht="27" customHeight="1">
      <c r="A16" s="1" t="s">
        <v>166</v>
      </c>
      <c r="B16" s="250"/>
      <c r="C16" s="1"/>
    </row>
    <row r="17" spans="1:3">
      <c r="A17" s="251" t="s">
        <v>2191</v>
      </c>
      <c r="B17" s="86" t="s">
        <v>2192</v>
      </c>
      <c r="C17" s="86" t="s">
        <v>2193</v>
      </c>
    </row>
    <row r="18" spans="1:3">
      <c r="A18" s="252"/>
      <c r="B18" s="86" t="s">
        <v>2194</v>
      </c>
      <c r="C18" s="86" t="s">
        <v>2195</v>
      </c>
    </row>
    <row r="19" spans="1:3">
      <c r="A19" s="252"/>
      <c r="B19" s="86" t="s">
        <v>2196</v>
      </c>
      <c r="C19" s="86" t="s">
        <v>2197</v>
      </c>
    </row>
    <row r="20" spans="1:3">
      <c r="A20" s="253"/>
      <c r="B20" s="86" t="s">
        <v>2198</v>
      </c>
      <c r="C20" s="86" t="s">
        <v>2199</v>
      </c>
    </row>
    <row r="22" spans="1:3">
      <c r="A22" s="103" t="s">
        <v>2200</v>
      </c>
      <c r="B22" s="103"/>
    </row>
    <row r="23" spans="1:3">
      <c r="A23" s="1" t="s">
        <v>2201</v>
      </c>
      <c r="B23" s="1" t="s">
        <v>2202</v>
      </c>
    </row>
    <row r="24" spans="1:3" ht="15" customHeight="1">
      <c r="A24" s="1" t="s">
        <v>2203</v>
      </c>
      <c r="B24" s="1" t="s">
        <v>2204</v>
      </c>
    </row>
    <row r="25" spans="1:3" ht="15" customHeight="1">
      <c r="A25" s="1" t="s">
        <v>2205</v>
      </c>
      <c r="B25" s="1" t="s">
        <v>2206</v>
      </c>
    </row>
  </sheetData>
  <mergeCells count="2">
    <mergeCell ref="B15:B16"/>
    <mergeCell ref="A17:A20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T314"/>
  <sheetViews>
    <sheetView zoomScale="85" zoomScaleNormal="85" workbookViewId="0">
      <pane xSplit="1" ySplit="3" topLeftCell="D11" activePane="bottomRight" state="frozen"/>
      <selection pane="bottomRight" activeCell="H21" sqref="H21"/>
      <selection pane="bottomLeft" activeCell="A4" sqref="A4"/>
      <selection pane="topRight" activeCell="B1" sqref="B1"/>
    </sheetView>
  </sheetViews>
  <sheetFormatPr defaultColWidth="8.7109375" defaultRowHeight="14.45"/>
  <cols>
    <col min="1" max="1" width="57" bestFit="1" customWidth="1"/>
    <col min="2" max="2" width="14.7109375" bestFit="1" customWidth="1"/>
    <col min="3" max="3" width="19.42578125" bestFit="1" customWidth="1"/>
    <col min="4" max="4" width="19.42578125" customWidth="1"/>
    <col min="5" max="5" width="7" bestFit="1" customWidth="1"/>
    <col min="6" max="6" width="19.42578125" customWidth="1"/>
    <col min="7" max="7" width="12.42578125" bestFit="1" customWidth="1"/>
    <col min="9" max="9" width="17" bestFit="1" customWidth="1"/>
    <col min="10" max="10" width="12.42578125" bestFit="1" customWidth="1"/>
    <col min="11" max="11" width="22.28515625" bestFit="1" customWidth="1"/>
    <col min="12" max="12" width="18" bestFit="1" customWidth="1"/>
    <col min="13" max="13" width="14.28515625" bestFit="1" customWidth="1"/>
    <col min="14" max="14" width="12.7109375" bestFit="1" customWidth="1"/>
    <col min="15" max="15" width="14.28515625" bestFit="1" customWidth="1"/>
    <col min="16" max="16" width="15.28515625" bestFit="1" customWidth="1"/>
    <col min="17" max="17" width="16.140625" bestFit="1" customWidth="1"/>
    <col min="18" max="18" width="19.140625" bestFit="1" customWidth="1"/>
    <col min="19" max="19" width="11" style="20" bestFit="1" customWidth="1"/>
    <col min="20" max="20" width="25.7109375" bestFit="1" customWidth="1"/>
    <col min="21" max="21" width="11" bestFit="1" customWidth="1"/>
    <col min="22" max="22" width="25.7109375" bestFit="1" customWidth="1"/>
  </cols>
  <sheetData>
    <row r="1" spans="1:20">
      <c r="O1" s="5">
        <f>SUM(EHD[COST])</f>
        <v>1318928.892435</v>
      </c>
      <c r="P1" s="5">
        <f ca="1">SUM(EHD[ESTIMATE])</f>
        <v>22865272.970415015</v>
      </c>
      <c r="Q1" s="106"/>
      <c r="R1" s="5">
        <f ca="1">SUM(O1:P1)</f>
        <v>24184201.862850014</v>
      </c>
      <c r="S1">
        <v>2020</v>
      </c>
    </row>
    <row r="2" spans="1:20">
      <c r="O2" s="107" t="s">
        <v>2207</v>
      </c>
      <c r="P2" s="61">
        <v>3.5000000000000003E-2</v>
      </c>
      <c r="Q2" s="20"/>
      <c r="S2"/>
    </row>
    <row r="3" spans="1:20">
      <c r="A3" s="45" t="s">
        <v>7</v>
      </c>
      <c r="B3" s="46" t="s">
        <v>5</v>
      </c>
      <c r="C3" s="46" t="s">
        <v>11</v>
      </c>
      <c r="D3" s="46" t="s">
        <v>156</v>
      </c>
      <c r="E3" s="46" t="s">
        <v>8</v>
      </c>
      <c r="F3" s="46" t="s">
        <v>2208</v>
      </c>
      <c r="G3" s="46" t="s">
        <v>2209</v>
      </c>
      <c r="H3" s="46" t="s">
        <v>2210</v>
      </c>
      <c r="I3" s="46" t="s">
        <v>2211</v>
      </c>
      <c r="J3" s="46" t="s">
        <v>10</v>
      </c>
      <c r="K3" s="46" t="s">
        <v>167</v>
      </c>
      <c r="L3" s="46" t="s">
        <v>17</v>
      </c>
      <c r="M3" s="46" t="s">
        <v>18</v>
      </c>
      <c r="N3" s="46" t="s">
        <v>19</v>
      </c>
      <c r="O3" s="46" t="s">
        <v>21</v>
      </c>
      <c r="P3" s="46" t="s">
        <v>440</v>
      </c>
      <c r="Q3" s="133" t="s">
        <v>444</v>
      </c>
      <c r="R3" s="83" t="s">
        <v>443</v>
      </c>
      <c r="S3" s="46" t="s">
        <v>445</v>
      </c>
      <c r="T3" s="84" t="s">
        <v>442</v>
      </c>
    </row>
    <row r="4" spans="1:20">
      <c r="A4" s="110" t="s">
        <v>89</v>
      </c>
      <c r="B4" s="1" t="str">
        <f>VLOOKUP(A4,Data[],2,FALSE)</f>
        <v>MANHATTAN</v>
      </c>
      <c r="C4" s="9" t="s">
        <v>27</v>
      </c>
      <c r="D4" s="9" t="str">
        <f>VLOOKUP(EHD[[#This Row],[DEVELOPMENT]],Data[],52,FALSE)</f>
        <v>FEDERAL</v>
      </c>
      <c r="E4" s="1" t="str">
        <f>VLOOKUP(EHD[[#This Row],[DEVELOPMENT]],Data[],8,FALSE)</f>
        <v>Zone 3</v>
      </c>
      <c r="F4" s="9" t="str">
        <f>VLOOKUP(EHD[[#This Row],[DEVELOPMENT]],all[[DEVELOPMENT]:[MRST Ext. Comp. Priority]],6,FALSE)</f>
        <v>B</v>
      </c>
      <c r="G4" s="9">
        <v>1</v>
      </c>
      <c r="H4" s="1">
        <f>IF(VLOOKUP(EHD[[#This Row],[DEVELOPMENT]],Data[],9,FALSE)=0,5,VLOOKUP(EHD[[#This Row],[DEVELOPMENT]],Data[],9,FALSE))</f>
        <v>3</v>
      </c>
      <c r="I4" s="9">
        <f>EHD[[#This Row],[MRST '#HD]]</f>
        <v>1</v>
      </c>
      <c r="J4" s="1" t="str">
        <f ca="1">IFERROR(VLOOKUP(EHD[[#This Row],[DEVELOPMENT]],Data[],4,FALSE),"")</f>
        <v>2020-2021</v>
      </c>
      <c r="K4" s="1" t="str">
        <f ca="1">IF(EHD[[#This Row],[RAD/PACT]]="","",IF(OR(EHD[[#This Row],[RAD/PACT]]="2021-2025",EHD[[#This Row],[RAD/PACT]]="2019-2020"),"Yes",""))</f>
        <v/>
      </c>
      <c r="L4" s="1">
        <v>2019</v>
      </c>
      <c r="M4" s="1">
        <v>2019</v>
      </c>
      <c r="N4" s="1" t="s">
        <v>20</v>
      </c>
      <c r="O4" s="1"/>
      <c r="P4" s="47"/>
      <c r="Q4" s="51">
        <f ca="1">SUM(INDEX(EHD['# Hopper Doors],1):EHD[[#This Row],['# Hopper Doors]])</f>
        <v>1</v>
      </c>
      <c r="R4" s="47">
        <f t="shared" ref="R4:R67" si="0">IF(S4=S3,(P4+O4)+R3,(P4+O4))</f>
        <v>0</v>
      </c>
      <c r="S4" s="1">
        <f>IF(ISBLANK(EHD[[#This Row],[CALENDAR YEAR]]),ROUNDDOWN(EHD[[#This Row],[Running count]]/500,0)+$S$1,EHD[[#This Row],[CALENDAR YEAR]])</f>
        <v>2019</v>
      </c>
      <c r="T4" s="16" t="s">
        <v>2212</v>
      </c>
    </row>
    <row r="5" spans="1:20">
      <c r="A5" s="13" t="s">
        <v>71</v>
      </c>
      <c r="B5" s="1" t="str">
        <f>VLOOKUP(A5,Data[],2,FALSE)</f>
        <v>MANHATTAN</v>
      </c>
      <c r="C5" s="9" t="s">
        <v>27</v>
      </c>
      <c r="D5" s="9" t="str">
        <f>VLOOKUP(EHD[[#This Row],[DEVELOPMENT]],Data[],52,FALSE)</f>
        <v>FEDERAL</v>
      </c>
      <c r="E5" s="1" t="str">
        <f>VLOOKUP(EHD[[#This Row],[DEVELOPMENT]],Data[],8,FALSE)</f>
        <v>Zone 3</v>
      </c>
      <c r="F5" s="9" t="str">
        <f>VLOOKUP(EHD[[#This Row],[DEVELOPMENT]],all[[DEVELOPMENT]:[MRST Ext. Comp. Priority]],6,FALSE)</f>
        <v>None</v>
      </c>
      <c r="G5" s="9">
        <v>1</v>
      </c>
      <c r="H5" s="1">
        <f>IF(VLOOKUP(EHD[[#This Row],[DEVELOPMENT]],Data[],9,FALSE)=0,5,VLOOKUP(EHD[[#This Row],[DEVELOPMENT]],Data[],9,FALSE))</f>
        <v>3</v>
      </c>
      <c r="I5" s="9">
        <f>EHD[[#This Row],[MRST '#HD]]</f>
        <v>1</v>
      </c>
      <c r="J5" s="1" t="str">
        <f ca="1">IFERROR(VLOOKUP(EHD[[#This Row],[DEVELOPMENT]],Data[],4,FALSE),"")</f>
        <v>2020-2021</v>
      </c>
      <c r="K5" s="1" t="str">
        <f ca="1">IF(EHD[[#This Row],[RAD/PACT]]="","",IF(OR(EHD[[#This Row],[RAD/PACT]]="2021-2025",EHD[[#This Row],[RAD/PACT]]="2019-2020"),"Yes",""))</f>
        <v/>
      </c>
      <c r="L5" s="1">
        <v>2019</v>
      </c>
      <c r="M5" s="1">
        <v>2019</v>
      </c>
      <c r="N5" s="1" t="s">
        <v>20</v>
      </c>
      <c r="O5" s="1"/>
      <c r="P5" s="47"/>
      <c r="Q5" s="51">
        <f ca="1">SUM(INDEX(EHD['# Hopper Doors],1):EHD[[#This Row],['# Hopper Doors]])</f>
        <v>2</v>
      </c>
      <c r="R5" s="47">
        <f t="shared" si="0"/>
        <v>0</v>
      </c>
      <c r="S5" s="1">
        <f>IF(ISBLANK(EHD[[#This Row],[CALENDAR YEAR]]),ROUNDDOWN(EHD[[#This Row],[Running count]]/500,0)+$S$1,EHD[[#This Row],[CALENDAR YEAR]])</f>
        <v>2019</v>
      </c>
      <c r="T5" s="16" t="s">
        <v>2212</v>
      </c>
    </row>
    <row r="6" spans="1:20">
      <c r="A6" s="66" t="s">
        <v>138</v>
      </c>
      <c r="B6" s="1" t="str">
        <f>VLOOKUP(A6,Data[],2,FALSE)</f>
        <v>BRONX</v>
      </c>
      <c r="C6" s="9" t="s">
        <v>27</v>
      </c>
      <c r="D6" s="9" t="str">
        <f>VLOOKUP(EHD[[#This Row],[DEVELOPMENT]],Data[],52,FALSE)</f>
        <v>FEDERAL</v>
      </c>
      <c r="E6" s="1" t="str">
        <f>VLOOKUP(EHD[[#This Row],[DEVELOPMENT]],Data[],8,FALSE)</f>
        <v>Zone 1</v>
      </c>
      <c r="F6" s="9" t="str">
        <f>VLOOKUP(EHD[[#This Row],[DEVELOPMENT]],all[[DEVELOPMENT]:[MRST Ext. Comp. Priority]],6,FALSE)</f>
        <v>B</v>
      </c>
      <c r="G6" s="9">
        <v>1</v>
      </c>
      <c r="H6" s="1">
        <f>IF(VLOOKUP(EHD[[#This Row],[DEVELOPMENT]],Data[],9,FALSE)=0,5,VLOOKUP(EHD[[#This Row],[DEVELOPMENT]],Data[],9,FALSE))</f>
        <v>4</v>
      </c>
      <c r="I6" s="9">
        <f>EHD[[#This Row],[MRST '#HD]]</f>
        <v>1</v>
      </c>
      <c r="J6" s="1" t="str">
        <f ca="1">IFERROR(VLOOKUP(EHD[[#This Row],[DEVELOPMENT]],Data[],4,FALSE),"")</f>
        <v/>
      </c>
      <c r="K6" s="1" t="str">
        <f ca="1">IF(EHD[[#This Row],[RAD/PACT]]="","",IF(OR(EHD[[#This Row],[RAD/PACT]]="2021-2025",EHD[[#This Row],[RAD/PACT]]="2019-2020"),"Yes",""))</f>
        <v/>
      </c>
      <c r="L6" s="1">
        <v>2019</v>
      </c>
      <c r="M6" s="1">
        <v>2019</v>
      </c>
      <c r="N6" s="1" t="s">
        <v>20</v>
      </c>
      <c r="O6" s="1"/>
      <c r="P6" s="47"/>
      <c r="Q6" s="51">
        <f ca="1">SUM(INDEX(EHD['# Hopper Doors],1):EHD[[#This Row],['# Hopper Doors]])</f>
        <v>3</v>
      </c>
      <c r="R6" s="47">
        <f t="shared" si="0"/>
        <v>0</v>
      </c>
      <c r="S6" s="1">
        <f>IF(ISBLANK(EHD[[#This Row],[CALENDAR YEAR]]),ROUNDDOWN(EHD[[#This Row],[Running count]]/500,0)+$S$1,EHD[[#This Row],[CALENDAR YEAR]])</f>
        <v>2019</v>
      </c>
      <c r="T6" s="16" t="s">
        <v>2212</v>
      </c>
    </row>
    <row r="7" spans="1:20">
      <c r="A7" s="13" t="s">
        <v>102</v>
      </c>
      <c r="B7" s="1" t="str">
        <f>VLOOKUP(A7,Data[],2,FALSE)</f>
        <v>MANHATTAN</v>
      </c>
      <c r="C7" s="9" t="s">
        <v>27</v>
      </c>
      <c r="D7" s="9" t="str">
        <f>VLOOKUP(EHD[[#This Row],[DEVELOPMENT]],Data[],52,FALSE)</f>
        <v>FEDERAL</v>
      </c>
      <c r="E7" s="1" t="str">
        <f>VLOOKUP(EHD[[#This Row],[DEVELOPMENT]],Data[],8,FALSE)</f>
        <v>Zone 2</v>
      </c>
      <c r="F7" s="9" t="str">
        <f>VLOOKUP(EHD[[#This Row],[DEVELOPMENT]],all[[DEVELOPMENT]:[MRST Ext. Comp. Priority]],6,FALSE)</f>
        <v>B</v>
      </c>
      <c r="G7" s="9">
        <v>1</v>
      </c>
      <c r="H7" s="1">
        <f>IF(VLOOKUP(EHD[[#This Row],[DEVELOPMENT]],Data[],9,FALSE)=0,5,VLOOKUP(EHD[[#This Row],[DEVELOPMENT]],Data[],9,FALSE))</f>
        <v>4</v>
      </c>
      <c r="I7" s="9">
        <f>EHD[[#This Row],[MRST '#HD]]</f>
        <v>1</v>
      </c>
      <c r="J7" s="1" t="str">
        <f ca="1">IFERROR(VLOOKUP(EHD[[#This Row],[DEVELOPMENT]],Data[],4,FALSE),"")</f>
        <v>2026+</v>
      </c>
      <c r="K7" s="1" t="str">
        <f ca="1">IF(EHD[[#This Row],[RAD/PACT]]="","",IF(OR(EHD[[#This Row],[RAD/PACT]]="2021-2025",EHD[[#This Row],[RAD/PACT]]="2019-2020"),"Yes",""))</f>
        <v/>
      </c>
      <c r="L7" s="1">
        <v>2019</v>
      </c>
      <c r="M7" s="1">
        <v>2019</v>
      </c>
      <c r="N7" s="1" t="s">
        <v>20</v>
      </c>
      <c r="O7" s="1"/>
      <c r="P7" s="47"/>
      <c r="Q7" s="51">
        <f ca="1">SUM(INDEX(EHD['# Hopper Doors],1):EHD[[#This Row],['# Hopper Doors]])</f>
        <v>4</v>
      </c>
      <c r="R7" s="47">
        <f t="shared" si="0"/>
        <v>0</v>
      </c>
      <c r="S7" s="1">
        <f>IF(ISBLANK(EHD[[#This Row],[CALENDAR YEAR]]),ROUNDDOWN(EHD[[#This Row],[Running count]]/500,0)+$S$1,EHD[[#This Row],[CALENDAR YEAR]])</f>
        <v>2019</v>
      </c>
      <c r="T7" s="16" t="s">
        <v>2212</v>
      </c>
    </row>
    <row r="8" spans="1:20">
      <c r="A8" s="66" t="s">
        <v>50</v>
      </c>
      <c r="B8" s="1" t="str">
        <f>VLOOKUP(A8,Data[],2,FALSE)</f>
        <v>MANHATTAN</v>
      </c>
      <c r="C8" s="9" t="s">
        <v>27</v>
      </c>
      <c r="D8" s="9" t="str">
        <f>VLOOKUP(EHD[[#This Row],[DEVELOPMENT]],Data[],52,FALSE)</f>
        <v>FEDERAL</v>
      </c>
      <c r="E8" s="1" t="str">
        <f>VLOOKUP(EHD[[#This Row],[DEVELOPMENT]],Data[],8,FALSE)</f>
        <v>Zone 1</v>
      </c>
      <c r="F8" s="9" t="str">
        <f>VLOOKUP(EHD[[#This Row],[DEVELOPMENT]],all[[DEVELOPMENT]:[MRST Ext. Comp. Priority]],6,FALSE)</f>
        <v>C</v>
      </c>
      <c r="G8" s="9">
        <v>1</v>
      </c>
      <c r="H8" s="1">
        <f>IF(VLOOKUP(EHD[[#This Row],[DEVELOPMENT]],Data[],9,FALSE)=0,5,VLOOKUP(EHD[[#This Row],[DEVELOPMENT]],Data[],9,FALSE))</f>
        <v>4</v>
      </c>
      <c r="I8" s="9">
        <f>EHD[[#This Row],[MRST '#HD]]</f>
        <v>1</v>
      </c>
      <c r="J8" s="1" t="str">
        <f ca="1">IFERROR(VLOOKUP(EHD[[#This Row],[DEVELOPMENT]],Data[],4,FALSE),"")</f>
        <v/>
      </c>
      <c r="K8" s="1" t="str">
        <f ca="1">IF(EHD[[#This Row],[RAD/PACT]]="","",IF(OR(EHD[[#This Row],[RAD/PACT]]="2021-2025",EHD[[#This Row],[RAD/PACT]]="2019-2020"),"Yes",""))</f>
        <v/>
      </c>
      <c r="L8" s="1">
        <v>2019</v>
      </c>
      <c r="M8" s="1">
        <v>2019</v>
      </c>
      <c r="N8" s="1" t="s">
        <v>20</v>
      </c>
      <c r="O8" s="1"/>
      <c r="P8" s="47"/>
      <c r="Q8" s="51">
        <f ca="1">SUM(INDEX(EHD['# Hopper Doors],1):EHD[[#This Row],['# Hopper Doors]])</f>
        <v>5</v>
      </c>
      <c r="R8" s="47">
        <f t="shared" si="0"/>
        <v>0</v>
      </c>
      <c r="S8" s="1">
        <f>IF(ISBLANK(EHD[[#This Row],[CALENDAR YEAR]]),ROUNDDOWN(EHD[[#This Row],[Running count]]/500,0)+$S$1,EHD[[#This Row],[CALENDAR YEAR]])</f>
        <v>2019</v>
      </c>
      <c r="T8" s="16" t="s">
        <v>2212</v>
      </c>
    </row>
    <row r="9" spans="1:20">
      <c r="A9" s="66" t="s">
        <v>103</v>
      </c>
      <c r="B9" s="1" t="str">
        <f>VLOOKUP(A9,Data[],2,FALSE)</f>
        <v>MANHATTAN</v>
      </c>
      <c r="C9" s="9" t="s">
        <v>27</v>
      </c>
      <c r="D9" s="9" t="str">
        <f>VLOOKUP(EHD[[#This Row],[DEVELOPMENT]],Data[],52,FALSE)</f>
        <v>FEDERAL</v>
      </c>
      <c r="E9" s="1" t="str">
        <f>VLOOKUP(EHD[[#This Row],[DEVELOPMENT]],Data[],8,FALSE)</f>
        <v>Zone 1</v>
      </c>
      <c r="F9" s="9" t="str">
        <f>VLOOKUP(EHD[[#This Row],[DEVELOPMENT]],all[[DEVELOPMENT]:[MRST Ext. Comp. Priority]],6,FALSE)</f>
        <v>C</v>
      </c>
      <c r="G9" s="9">
        <v>1</v>
      </c>
      <c r="H9" s="1">
        <f>IF(VLOOKUP(EHD[[#This Row],[DEVELOPMENT]],Data[],9,FALSE)=0,5,VLOOKUP(EHD[[#This Row],[DEVELOPMENT]],Data[],9,FALSE))</f>
        <v>4</v>
      </c>
      <c r="I9" s="9">
        <f>EHD[[#This Row],[MRST '#HD]]</f>
        <v>1</v>
      </c>
      <c r="J9" s="1" t="str">
        <f ca="1">IFERROR(VLOOKUP(EHD[[#This Row],[DEVELOPMENT]],Data[],4,FALSE),"")</f>
        <v/>
      </c>
      <c r="K9" s="1" t="str">
        <f ca="1">IF(EHD[[#This Row],[RAD/PACT]]="","",IF(OR(EHD[[#This Row],[RAD/PACT]]="2021-2025",EHD[[#This Row],[RAD/PACT]]="2019-2020"),"Yes",""))</f>
        <v/>
      </c>
      <c r="L9" s="1">
        <v>2019</v>
      </c>
      <c r="M9" s="1">
        <v>2019</v>
      </c>
      <c r="N9" s="1" t="s">
        <v>20</v>
      </c>
      <c r="O9" s="1"/>
      <c r="P9" s="47"/>
      <c r="Q9" s="51">
        <f ca="1">SUM(INDEX(EHD['# Hopper Doors],1):EHD[[#This Row],['# Hopper Doors]])</f>
        <v>6</v>
      </c>
      <c r="R9" s="47">
        <f t="shared" si="0"/>
        <v>0</v>
      </c>
      <c r="S9" s="1">
        <f>IF(ISBLANK(EHD[[#This Row],[CALENDAR YEAR]]),ROUNDDOWN(EHD[[#This Row],[Running count]]/500,0)+$S$1,EHD[[#This Row],[CALENDAR YEAR]])</f>
        <v>2019</v>
      </c>
      <c r="T9" s="16" t="s">
        <v>2212</v>
      </c>
    </row>
    <row r="10" spans="1:20">
      <c r="A10" s="66" t="s">
        <v>48</v>
      </c>
      <c r="B10" s="1" t="str">
        <f>VLOOKUP(A10,Data[],2,FALSE)</f>
        <v>MANHATTAN</v>
      </c>
      <c r="C10" s="9" t="s">
        <v>27</v>
      </c>
      <c r="D10" s="9" t="str">
        <f>VLOOKUP(EHD[[#This Row],[DEVELOPMENT]],Data[],52,FALSE)</f>
        <v>FEDERAL</v>
      </c>
      <c r="E10" s="1" t="str">
        <f>VLOOKUP(EHD[[#This Row],[DEVELOPMENT]],Data[],8,FALSE)</f>
        <v>Zone 1</v>
      </c>
      <c r="F10" s="9" t="str">
        <f>VLOOKUP(EHD[[#This Row],[DEVELOPMENT]],all[[DEVELOPMENT]:[MRST Ext. Comp. Priority]],6,FALSE)</f>
        <v>None</v>
      </c>
      <c r="G10" s="9">
        <v>1</v>
      </c>
      <c r="H10" s="1">
        <f>IF(VLOOKUP(EHD[[#This Row],[DEVELOPMENT]],Data[],9,FALSE)=0,5,VLOOKUP(EHD[[#This Row],[DEVELOPMENT]],Data[],9,FALSE))</f>
        <v>4</v>
      </c>
      <c r="I10" s="9">
        <f>EHD[[#This Row],[MRST '#HD]]</f>
        <v>1</v>
      </c>
      <c r="J10" s="1" t="str">
        <f ca="1">IFERROR(VLOOKUP(EHD[[#This Row],[DEVELOPMENT]],Data[],4,FALSE),"")</f>
        <v/>
      </c>
      <c r="K10" s="1" t="str">
        <f ca="1">IF(EHD[[#This Row],[RAD/PACT]]="","",IF(OR(EHD[[#This Row],[RAD/PACT]]="2021-2025",EHD[[#This Row],[RAD/PACT]]="2019-2020"),"Yes",""))</f>
        <v/>
      </c>
      <c r="L10" s="1">
        <v>2019</v>
      </c>
      <c r="M10" s="1">
        <v>2019</v>
      </c>
      <c r="N10" s="1" t="s">
        <v>20</v>
      </c>
      <c r="O10" s="1"/>
      <c r="P10" s="47"/>
      <c r="Q10" s="51">
        <f ca="1">SUM(INDEX(EHD['# Hopper Doors],1):EHD[[#This Row],['# Hopper Doors]])</f>
        <v>7</v>
      </c>
      <c r="R10" s="47">
        <f t="shared" si="0"/>
        <v>0</v>
      </c>
      <c r="S10" s="1">
        <f>IF(ISBLANK(EHD[[#This Row],[CALENDAR YEAR]]),ROUNDDOWN(EHD[[#This Row],[Running count]]/500,0)+$S$1,EHD[[#This Row],[CALENDAR YEAR]])</f>
        <v>2019</v>
      </c>
      <c r="T10" s="16" t="s">
        <v>2212</v>
      </c>
    </row>
    <row r="11" spans="1:20">
      <c r="A11" s="13" t="s">
        <v>75</v>
      </c>
      <c r="B11" s="1" t="str">
        <f>VLOOKUP(A11,Data[],2,FALSE)</f>
        <v>MANHATTAN</v>
      </c>
      <c r="C11" s="9" t="s">
        <v>27</v>
      </c>
      <c r="D11" s="9" t="str">
        <f>VLOOKUP(EHD[[#This Row],[DEVELOPMENT]],Data[],52,FALSE)</f>
        <v>FEDERAL</v>
      </c>
      <c r="E11" s="1" t="str">
        <f>VLOOKUP(EHD[[#This Row],[DEVELOPMENT]],Data[],8,FALSE)</f>
        <v>Zone 3</v>
      </c>
      <c r="F11" s="9" t="str">
        <f>VLOOKUP(EHD[[#This Row],[DEVELOPMENT]],all[[DEVELOPMENT]:[MRST Ext. Comp. Priority]],6,FALSE)</f>
        <v>None</v>
      </c>
      <c r="G11" s="9">
        <v>1</v>
      </c>
      <c r="H11" s="1">
        <f>IF(VLOOKUP(EHD[[#This Row],[DEVELOPMENT]],Data[],9,FALSE)=0,5,VLOOKUP(EHD[[#This Row],[DEVELOPMENT]],Data[],9,FALSE))</f>
        <v>4</v>
      </c>
      <c r="I11" s="9">
        <f>EHD[[#This Row],[MRST '#HD]]</f>
        <v>1</v>
      </c>
      <c r="J11" s="1" t="str">
        <f ca="1">IFERROR(VLOOKUP(EHD[[#This Row],[DEVELOPMENT]],Data[],4,FALSE),"")</f>
        <v/>
      </c>
      <c r="K11" s="1" t="str">
        <f ca="1">IF(EHD[[#This Row],[RAD/PACT]]="","",IF(OR(EHD[[#This Row],[RAD/PACT]]="2021-2025",EHD[[#This Row],[RAD/PACT]]="2019-2020"),"Yes",""))</f>
        <v/>
      </c>
      <c r="L11" s="1">
        <v>2019</v>
      </c>
      <c r="M11" s="1">
        <v>2019</v>
      </c>
      <c r="N11" s="1" t="s">
        <v>20</v>
      </c>
      <c r="O11" s="1"/>
      <c r="P11" s="47"/>
      <c r="Q11" s="51">
        <f ca="1">SUM(INDEX(EHD['# Hopper Doors],1):EHD[[#This Row],['# Hopper Doors]])</f>
        <v>8</v>
      </c>
      <c r="R11" s="47">
        <f t="shared" si="0"/>
        <v>0</v>
      </c>
      <c r="S11" s="1">
        <f>IF(ISBLANK(EHD[[#This Row],[CALENDAR YEAR]]),ROUNDDOWN(EHD[[#This Row],[Running count]]/500,0)+$S$1,EHD[[#This Row],[CALENDAR YEAR]])</f>
        <v>2019</v>
      </c>
      <c r="T11" s="16" t="s">
        <v>2212</v>
      </c>
    </row>
    <row r="12" spans="1:20">
      <c r="A12" s="13" t="s">
        <v>74</v>
      </c>
      <c r="B12" s="1" t="str">
        <f>VLOOKUP(A12,Data[],2,FALSE)</f>
        <v>MANHATTAN</v>
      </c>
      <c r="C12" s="9" t="s">
        <v>27</v>
      </c>
      <c r="D12" s="9" t="str">
        <f>VLOOKUP(EHD[[#This Row],[DEVELOPMENT]],Data[],52,FALSE)</f>
        <v>FEDERAL</v>
      </c>
      <c r="E12" s="1" t="str">
        <f>VLOOKUP(EHD[[#This Row],[DEVELOPMENT]],Data[],8,FALSE)</f>
        <v>Zone 2</v>
      </c>
      <c r="F12" s="9" t="str">
        <f>VLOOKUP(EHD[[#This Row],[DEVELOPMENT]],all[[DEVELOPMENT]:[MRST Ext. Comp. Priority]],6,FALSE)</f>
        <v>None</v>
      </c>
      <c r="G12" s="9">
        <v>1</v>
      </c>
      <c r="H12" s="1">
        <f>IF(VLOOKUP(EHD[[#This Row],[DEVELOPMENT]],Data[],9,FALSE)=0,5,VLOOKUP(EHD[[#This Row],[DEVELOPMENT]],Data[],9,FALSE))</f>
        <v>4</v>
      </c>
      <c r="I12" s="9">
        <f>EHD[[#This Row],[MRST '#HD]]</f>
        <v>1</v>
      </c>
      <c r="J12" s="1" t="str">
        <f ca="1">IFERROR(VLOOKUP(EHD[[#This Row],[DEVELOPMENT]],Data[],4,FALSE),"")</f>
        <v>2026+</v>
      </c>
      <c r="K12" s="1" t="str">
        <f ca="1">IF(EHD[[#This Row],[RAD/PACT]]="","",IF(OR(EHD[[#This Row],[RAD/PACT]]="2021-2025",EHD[[#This Row],[RAD/PACT]]="2019-2020"),"Yes",""))</f>
        <v/>
      </c>
      <c r="L12" s="1">
        <v>2019</v>
      </c>
      <c r="M12" s="1">
        <v>2019</v>
      </c>
      <c r="N12" s="1" t="s">
        <v>20</v>
      </c>
      <c r="O12" s="1"/>
      <c r="P12" s="47"/>
      <c r="Q12" s="51">
        <f ca="1">SUM(INDEX(EHD['# Hopper Doors],1):EHD[[#This Row],['# Hopper Doors]])</f>
        <v>9</v>
      </c>
      <c r="R12" s="47">
        <f t="shared" si="0"/>
        <v>0</v>
      </c>
      <c r="S12" s="1">
        <f>IF(ISBLANK(EHD[[#This Row],[CALENDAR YEAR]]),ROUNDDOWN(EHD[[#This Row],[Running count]]/500,0)+$S$1,EHD[[#This Row],[CALENDAR YEAR]])</f>
        <v>2019</v>
      </c>
      <c r="T12" s="16" t="s">
        <v>2212</v>
      </c>
    </row>
    <row r="13" spans="1:20">
      <c r="A13" s="13" t="s">
        <v>126</v>
      </c>
      <c r="B13" s="1" t="str">
        <f>VLOOKUP(A13,Data[],2,FALSE)</f>
        <v>MANHATTAN</v>
      </c>
      <c r="C13" s="9" t="s">
        <v>27</v>
      </c>
      <c r="D13" s="9" t="str">
        <f>VLOOKUP(EHD[[#This Row],[DEVELOPMENT]],Data[],52,FALSE)</f>
        <v>FEDERAL</v>
      </c>
      <c r="E13" s="1" t="str">
        <f>VLOOKUP(EHD[[#This Row],[DEVELOPMENT]],Data[],8,FALSE)</f>
        <v>Zone 2</v>
      </c>
      <c r="F13" s="9" t="str">
        <f>VLOOKUP(EHD[[#This Row],[DEVELOPMENT]],all[[DEVELOPMENT]:[MRST Ext. Comp. Priority]],6,FALSE)</f>
        <v>None</v>
      </c>
      <c r="G13" s="9">
        <v>1</v>
      </c>
      <c r="H13" s="1">
        <f>IF(VLOOKUP(EHD[[#This Row],[DEVELOPMENT]],Data[],9,FALSE)=0,5,VLOOKUP(EHD[[#This Row],[DEVELOPMENT]],Data[],9,FALSE))</f>
        <v>4</v>
      </c>
      <c r="I13" s="9">
        <f>EHD[[#This Row],[MRST '#HD]]</f>
        <v>1</v>
      </c>
      <c r="J13" s="1" t="str">
        <f ca="1">IFERROR(VLOOKUP(EHD[[#This Row],[DEVELOPMENT]],Data[],4,FALSE),"")</f>
        <v/>
      </c>
      <c r="K13" s="1" t="str">
        <f ca="1">IF(EHD[[#This Row],[RAD/PACT]]="","",IF(OR(EHD[[#This Row],[RAD/PACT]]="2021-2025",EHD[[#This Row],[RAD/PACT]]="2019-2020"),"Yes",""))</f>
        <v/>
      </c>
      <c r="L13" s="1">
        <v>2019</v>
      </c>
      <c r="M13" s="1">
        <v>2019</v>
      </c>
      <c r="N13" s="1" t="s">
        <v>20</v>
      </c>
      <c r="O13" s="1"/>
      <c r="P13" s="47"/>
      <c r="Q13" s="51">
        <f ca="1">SUM(INDEX(EHD['# Hopper Doors],1):EHD[[#This Row],['# Hopper Doors]])</f>
        <v>10</v>
      </c>
      <c r="R13" s="47">
        <f t="shared" si="0"/>
        <v>0</v>
      </c>
      <c r="S13" s="1">
        <f>IF(ISBLANK(EHD[[#This Row],[CALENDAR YEAR]]),ROUNDDOWN(EHD[[#This Row],[Running count]]/500,0)+$S$1,EHD[[#This Row],[CALENDAR YEAR]])</f>
        <v>2019</v>
      </c>
      <c r="T13" s="16" t="s">
        <v>2212</v>
      </c>
    </row>
    <row r="14" spans="1:20">
      <c r="A14" s="13" t="s">
        <v>98</v>
      </c>
      <c r="B14" s="1" t="str">
        <f>VLOOKUP(A14,Data[],2,FALSE)</f>
        <v>BRONX</v>
      </c>
      <c r="C14" s="9" t="s">
        <v>27</v>
      </c>
      <c r="D14" s="9" t="str">
        <f>VLOOKUP(EHD[[#This Row],[DEVELOPMENT]],Data[],52,FALSE)</f>
        <v>FEDERAL</v>
      </c>
      <c r="E14" s="1" t="str">
        <f>VLOOKUP(EHD[[#This Row],[DEVELOPMENT]],Data[],8,FALSE)</f>
        <v>Zone 3</v>
      </c>
      <c r="F14" s="9" t="str">
        <f>VLOOKUP(EHD[[#This Row],[DEVELOPMENT]],all[[DEVELOPMENT]:[MRST Ext. Comp. Priority]],6,FALSE)</f>
        <v>None</v>
      </c>
      <c r="G14" s="9">
        <v>1</v>
      </c>
      <c r="H14" s="1">
        <f>IF(VLOOKUP(EHD[[#This Row],[DEVELOPMENT]],Data[],9,FALSE)=0,5,VLOOKUP(EHD[[#This Row],[DEVELOPMENT]],Data[],9,FALSE))</f>
        <v>4</v>
      </c>
      <c r="I14" s="9">
        <f>EHD[[#This Row],[MRST '#HD]]</f>
        <v>1</v>
      </c>
      <c r="J14" s="1" t="str">
        <f ca="1">IFERROR(VLOOKUP(EHD[[#This Row],[DEVELOPMENT]],Data[],4,FALSE),"")</f>
        <v>2026+</v>
      </c>
      <c r="K14" s="1" t="str">
        <f ca="1">IF(EHD[[#This Row],[RAD/PACT]]="","",IF(OR(EHD[[#This Row],[RAD/PACT]]="2021-2025",EHD[[#This Row],[RAD/PACT]]="2019-2020"),"Yes",""))</f>
        <v/>
      </c>
      <c r="L14" s="1">
        <v>2019</v>
      </c>
      <c r="M14" s="1">
        <v>2019</v>
      </c>
      <c r="N14" s="1" t="s">
        <v>20</v>
      </c>
      <c r="O14" s="1"/>
      <c r="P14" s="47"/>
      <c r="Q14" s="51">
        <f ca="1">SUM(INDEX(EHD['# Hopper Doors],1):EHD[[#This Row],['# Hopper Doors]])</f>
        <v>11</v>
      </c>
      <c r="R14" s="47">
        <f t="shared" si="0"/>
        <v>0</v>
      </c>
      <c r="S14" s="1">
        <f>IF(ISBLANK(EHD[[#This Row],[CALENDAR YEAR]]),ROUNDDOWN(EHD[[#This Row],[Running count]]/500,0)+$S$1,EHD[[#This Row],[CALENDAR YEAR]])</f>
        <v>2019</v>
      </c>
      <c r="T14" s="16" t="s">
        <v>2212</v>
      </c>
    </row>
    <row r="15" spans="1:20">
      <c r="A15" s="13" t="s">
        <v>189</v>
      </c>
      <c r="B15" s="1" t="str">
        <f>VLOOKUP(A15,Data[],2,FALSE)</f>
        <v>BRONX</v>
      </c>
      <c r="C15" s="9" t="s">
        <v>27</v>
      </c>
      <c r="D15" s="9" t="str">
        <f>VLOOKUP(EHD[[#This Row],[DEVELOPMENT]],Data[],52,FALSE)</f>
        <v>FEDERAL</v>
      </c>
      <c r="E15" s="1" t="str">
        <f>VLOOKUP(EHD[[#This Row],[DEVELOPMENT]],Data[],8,FALSE)</f>
        <v>Zone 3</v>
      </c>
      <c r="F15" s="9" t="str">
        <f>VLOOKUP(EHD[[#This Row],[DEVELOPMENT]],all[[DEVELOPMENT]:[MRST Ext. Comp. Priority]],6,FALSE)</f>
        <v>B</v>
      </c>
      <c r="G15" s="9">
        <v>2</v>
      </c>
      <c r="H15" s="1">
        <f>IF(VLOOKUP(EHD[[#This Row],[DEVELOPMENT]],Data[],9,FALSE)=0,5,VLOOKUP(EHD[[#This Row],[DEVELOPMENT]],Data[],9,FALSE))</f>
        <v>5</v>
      </c>
      <c r="I15" s="9">
        <f>EHD[[#This Row],[MRST '#HD]]</f>
        <v>2</v>
      </c>
      <c r="J15" s="1" t="str">
        <f ca="1">IFERROR(VLOOKUP(EHD[[#This Row],[DEVELOPMENT]],Data[],4,FALSE),"")</f>
        <v/>
      </c>
      <c r="K15" s="1" t="str">
        <f ca="1">IF(EHD[[#This Row],[RAD/PACT]]="","",IF(OR(EHD[[#This Row],[RAD/PACT]]="2021-2025",EHD[[#This Row],[RAD/PACT]]="2019-2020"),"Yes",""))</f>
        <v/>
      </c>
      <c r="L15" s="1">
        <v>2019</v>
      </c>
      <c r="M15" s="1">
        <v>2019</v>
      </c>
      <c r="N15" s="1" t="s">
        <v>20</v>
      </c>
      <c r="O15" s="1"/>
      <c r="P15" s="47"/>
      <c r="Q15" s="1">
        <f ca="1">SUM(INDEX(EHD['# Hopper Doors],1):EHD[[#This Row],['# Hopper Doors]])</f>
        <v>13</v>
      </c>
      <c r="R15" s="47">
        <f t="shared" si="0"/>
        <v>0</v>
      </c>
      <c r="S15" s="1">
        <f>IF(ISBLANK(EHD[[#This Row],[CALENDAR YEAR]]),ROUNDDOWN(EHD[[#This Row],[Running count]]/500,0)+$S$1,EHD[[#This Row],[CALENDAR YEAR]])</f>
        <v>2019</v>
      </c>
      <c r="T15" s="16" t="s">
        <v>2212</v>
      </c>
    </row>
    <row r="16" spans="1:20">
      <c r="A16" s="13" t="s">
        <v>195</v>
      </c>
      <c r="B16" s="1" t="str">
        <f>VLOOKUP(A16,Data[],2,FALSE)</f>
        <v>MANHATTAN</v>
      </c>
      <c r="C16" s="9" t="s">
        <v>27</v>
      </c>
      <c r="D16" s="9" t="str">
        <f>VLOOKUP(EHD[[#This Row],[DEVELOPMENT]],Data[],52,FALSE)</f>
        <v>FEDERAL</v>
      </c>
      <c r="E16" s="1">
        <f>VLOOKUP(EHD[[#This Row],[DEVELOPMENT]],Data[],8,FALSE)</f>
        <v>0</v>
      </c>
      <c r="F16" s="9" t="str">
        <f>VLOOKUP(EHD[[#This Row],[DEVELOPMENT]],all[[DEVELOPMENT]:[MRST Ext. Comp. Priority]],6,FALSE)</f>
        <v>B</v>
      </c>
      <c r="G16" s="9">
        <v>1</v>
      </c>
      <c r="H16" s="1">
        <f>IF(VLOOKUP(EHD[[#This Row],[DEVELOPMENT]],Data[],9,FALSE)=0,5,VLOOKUP(EHD[[#This Row],[DEVELOPMENT]],Data[],9,FALSE))</f>
        <v>5</v>
      </c>
      <c r="I16" s="9">
        <f>EHD[[#This Row],[MRST '#HD]]</f>
        <v>1</v>
      </c>
      <c r="J16" s="1" t="str">
        <f ca="1">IFERROR(VLOOKUP(EHD[[#This Row],[DEVELOPMENT]],Data[],4,FALSE),"")</f>
        <v/>
      </c>
      <c r="K16" s="1" t="str">
        <f ca="1">IF(EHD[[#This Row],[RAD/PACT]]="","",IF(OR(EHD[[#This Row],[RAD/PACT]]="2021-2025",EHD[[#This Row],[RAD/PACT]]="2019-2020"),"Yes",""))</f>
        <v/>
      </c>
      <c r="L16" s="1">
        <v>2019</v>
      </c>
      <c r="M16" s="1">
        <v>2019</v>
      </c>
      <c r="N16" s="1" t="s">
        <v>20</v>
      </c>
      <c r="O16" s="1"/>
      <c r="P16" s="47"/>
      <c r="Q16" s="51">
        <f ca="1">SUM(INDEX(EHD['# Hopper Doors],1):EHD[[#This Row],['# Hopper Doors]])</f>
        <v>14</v>
      </c>
      <c r="R16" s="47">
        <f t="shared" si="0"/>
        <v>0</v>
      </c>
      <c r="S16" s="1">
        <f>IF(ISBLANK(EHD[[#This Row],[CALENDAR YEAR]]),ROUNDDOWN(EHD[[#This Row],[Running count]]/500,0)+$S$1,EHD[[#This Row],[CALENDAR YEAR]])</f>
        <v>2019</v>
      </c>
      <c r="T16" s="16" t="s">
        <v>2212</v>
      </c>
    </row>
    <row r="17" spans="1:20">
      <c r="A17" s="13" t="s">
        <v>191</v>
      </c>
      <c r="B17" s="1" t="str">
        <f>VLOOKUP(A17,Data[],2,FALSE)</f>
        <v>BROOKLYN</v>
      </c>
      <c r="C17" s="9" t="s">
        <v>27</v>
      </c>
      <c r="D17" s="9" t="str">
        <f>VLOOKUP(EHD[[#This Row],[DEVELOPMENT]],Data[],52,FALSE)</f>
        <v>FEDERAL</v>
      </c>
      <c r="E17" s="1" t="str">
        <f>VLOOKUP(EHD[[#This Row],[DEVELOPMENT]],Data[],8,FALSE)</f>
        <v>Zone 4</v>
      </c>
      <c r="F17" s="9" t="str">
        <f>VLOOKUP(EHD[[#This Row],[DEVELOPMENT]],all[[DEVELOPMENT]:[MRST Ext. Comp. Priority]],6,FALSE)</f>
        <v>B</v>
      </c>
      <c r="G17" s="9">
        <v>1</v>
      </c>
      <c r="H17" s="1">
        <f>IF(VLOOKUP(EHD[[#This Row],[DEVELOPMENT]],Data[],9,FALSE)=0,5,VLOOKUP(EHD[[#This Row],[DEVELOPMENT]],Data[],9,FALSE))</f>
        <v>5</v>
      </c>
      <c r="I17" s="9">
        <f>EHD[[#This Row],[MRST '#HD]]</f>
        <v>1</v>
      </c>
      <c r="J17" s="1" t="str">
        <f ca="1">IFERROR(VLOOKUP(EHD[[#This Row],[DEVELOPMENT]],Data[],4,FALSE),"")</f>
        <v/>
      </c>
      <c r="K17" s="1" t="str">
        <f ca="1">IF(EHD[[#This Row],[RAD/PACT]]="","",IF(OR(EHD[[#This Row],[RAD/PACT]]="2021-2025",EHD[[#This Row],[RAD/PACT]]="2019-2020"),"Yes",""))</f>
        <v/>
      </c>
      <c r="L17" s="1">
        <v>2019</v>
      </c>
      <c r="M17" s="1">
        <v>2019</v>
      </c>
      <c r="N17" s="1" t="s">
        <v>20</v>
      </c>
      <c r="O17" s="1"/>
      <c r="P17" s="47"/>
      <c r="Q17" s="51">
        <f ca="1">SUM(INDEX(EHD['# Hopper Doors],1):EHD[[#This Row],['# Hopper Doors]])</f>
        <v>15</v>
      </c>
      <c r="R17" s="47">
        <f t="shared" si="0"/>
        <v>0</v>
      </c>
      <c r="S17" s="1">
        <f>IF(ISBLANK(EHD[[#This Row],[CALENDAR YEAR]]),ROUNDDOWN(EHD[[#This Row],[Running count]]/500,0)+$S$1,EHD[[#This Row],[CALENDAR YEAR]])</f>
        <v>2019</v>
      </c>
      <c r="T17" s="16" t="s">
        <v>2212</v>
      </c>
    </row>
    <row r="18" spans="1:20">
      <c r="A18" s="13" t="s">
        <v>234</v>
      </c>
      <c r="B18" s="1" t="str">
        <f>VLOOKUP(A18,Data[],2,FALSE)</f>
        <v>BRONX</v>
      </c>
      <c r="C18" s="9" t="s">
        <v>27</v>
      </c>
      <c r="D18" s="9" t="str">
        <f>VLOOKUP(EHD[[#This Row],[DEVELOPMENT]],Data[],52,FALSE)</f>
        <v>FEDERAL</v>
      </c>
      <c r="E18" s="1">
        <f>VLOOKUP(EHD[[#This Row],[DEVELOPMENT]],Data[],8,FALSE)</f>
        <v>0</v>
      </c>
      <c r="F18" s="9" t="str">
        <f>VLOOKUP(EHD[[#This Row],[DEVELOPMENT]],all[[DEVELOPMENT]:[MRST Ext. Comp. Priority]],6,FALSE)</f>
        <v>C</v>
      </c>
      <c r="G18" s="9">
        <v>1</v>
      </c>
      <c r="H18" s="1">
        <f>IF(VLOOKUP(EHD[[#This Row],[DEVELOPMENT]],Data[],9,FALSE)=0,5,VLOOKUP(EHD[[#This Row],[DEVELOPMENT]],Data[],9,FALSE))</f>
        <v>5</v>
      </c>
      <c r="I18" s="9">
        <f>EHD[[#This Row],[MRST '#HD]]</f>
        <v>1</v>
      </c>
      <c r="J18" s="1" t="str">
        <f ca="1">IFERROR(VLOOKUP(EHD[[#This Row],[DEVELOPMENT]],Data[],4,FALSE),"")</f>
        <v>2022-2025</v>
      </c>
      <c r="K18" s="1" t="str">
        <f ca="1">IF(EHD[[#This Row],[RAD/PACT]]="","",IF(OR(EHD[[#This Row],[RAD/PACT]]="2021-2025",EHD[[#This Row],[RAD/PACT]]="2019-2020"),"Yes",""))</f>
        <v/>
      </c>
      <c r="L18" s="1">
        <v>2019</v>
      </c>
      <c r="M18" s="1">
        <v>2019</v>
      </c>
      <c r="N18" s="1" t="s">
        <v>20</v>
      </c>
      <c r="O18" s="1"/>
      <c r="P18" s="47"/>
      <c r="Q18" s="51">
        <f ca="1">SUM(INDEX(EHD['# Hopper Doors],1):EHD[[#This Row],['# Hopper Doors]])</f>
        <v>16</v>
      </c>
      <c r="R18" s="47">
        <f t="shared" si="0"/>
        <v>0</v>
      </c>
      <c r="S18" s="1">
        <f>IF(ISBLANK(EHD[[#This Row],[CALENDAR YEAR]]),ROUNDDOWN(EHD[[#This Row],[Running count]]/500,0)+$S$1,EHD[[#This Row],[CALENDAR YEAR]])</f>
        <v>2019</v>
      </c>
      <c r="T18" s="16" t="s">
        <v>2212</v>
      </c>
    </row>
    <row r="19" spans="1:20">
      <c r="A19" s="66" t="s">
        <v>258</v>
      </c>
      <c r="B19" s="1" t="str">
        <f>VLOOKUP(A19,Data[],2,FALSE)</f>
        <v>BROOKLYN</v>
      </c>
      <c r="C19" s="9" t="s">
        <v>27</v>
      </c>
      <c r="D19" s="9" t="str">
        <f>VLOOKUP(EHD[[#This Row],[DEVELOPMENT]],Data[],52,FALSE)</f>
        <v>FEDERAL</v>
      </c>
      <c r="E19" s="1">
        <f>VLOOKUP(EHD[[#This Row],[DEVELOPMENT]],Data[],8,FALSE)</f>
        <v>0</v>
      </c>
      <c r="F19" s="9" t="str">
        <f>VLOOKUP(EHD[[#This Row],[DEVELOPMENT]],all[[DEVELOPMENT]:[MRST Ext. Comp. Priority]],6,FALSE)</f>
        <v>C</v>
      </c>
      <c r="G19" s="9">
        <v>1</v>
      </c>
      <c r="H19" s="1">
        <f>IF(VLOOKUP(EHD[[#This Row],[DEVELOPMENT]],Data[],9,FALSE)=0,5,VLOOKUP(EHD[[#This Row],[DEVELOPMENT]],Data[],9,FALSE))</f>
        <v>5</v>
      </c>
      <c r="I19" s="9">
        <f>EHD[[#This Row],[MRST '#HD]]</f>
        <v>1</v>
      </c>
      <c r="J19" s="1" t="str">
        <f ca="1">IFERROR(VLOOKUP(EHD[[#This Row],[DEVELOPMENT]],Data[],4,FALSE),"")</f>
        <v>2026+</v>
      </c>
      <c r="K19" s="1" t="str">
        <f ca="1">IF(EHD[[#This Row],[RAD/PACT]]="","",IF(OR(EHD[[#This Row],[RAD/PACT]]="2021-2025",EHD[[#This Row],[RAD/PACT]]="2019-2020"),"Yes",""))</f>
        <v/>
      </c>
      <c r="L19" s="1">
        <v>2019</v>
      </c>
      <c r="M19" s="1">
        <v>2019</v>
      </c>
      <c r="N19" s="1" t="s">
        <v>20</v>
      </c>
      <c r="O19" s="1"/>
      <c r="P19" s="47"/>
      <c r="Q19" s="51">
        <f ca="1">SUM(INDEX(EHD['# Hopper Doors],1):EHD[[#This Row],['# Hopper Doors]])</f>
        <v>17</v>
      </c>
      <c r="R19" s="47">
        <f t="shared" si="0"/>
        <v>0</v>
      </c>
      <c r="S19" s="1">
        <f>IF(ISBLANK(EHD[[#This Row],[CALENDAR YEAR]]),ROUNDDOWN(EHD[[#This Row],[Running count]]/500,0)+$S$1,EHD[[#This Row],[CALENDAR YEAR]])</f>
        <v>2019</v>
      </c>
      <c r="T19" s="16" t="s">
        <v>2212</v>
      </c>
    </row>
    <row r="20" spans="1:20">
      <c r="A20" s="13" t="s">
        <v>268</v>
      </c>
      <c r="B20" s="1" t="str">
        <f>VLOOKUP(A20,Data[],2,FALSE)</f>
        <v>BRONX</v>
      </c>
      <c r="C20" s="9" t="s">
        <v>27</v>
      </c>
      <c r="D20" s="9" t="str">
        <f>VLOOKUP(EHD[[#This Row],[DEVELOPMENT]],Data[],52,FALSE)</f>
        <v>FEDERAL</v>
      </c>
      <c r="E20" s="1">
        <f>VLOOKUP(EHD[[#This Row],[DEVELOPMENT]],Data[],8,FALSE)</f>
        <v>0</v>
      </c>
      <c r="F20" s="9" t="str">
        <f>VLOOKUP(EHD[[#This Row],[DEVELOPMENT]],all[[DEVELOPMENT]:[MRST Ext. Comp. Priority]],6,FALSE)</f>
        <v>C</v>
      </c>
      <c r="G20" s="9">
        <v>3</v>
      </c>
      <c r="H20" s="1">
        <f>IF(VLOOKUP(EHD[[#This Row],[DEVELOPMENT]],Data[],9,FALSE)=0,5,VLOOKUP(EHD[[#This Row],[DEVELOPMENT]],Data[],9,FALSE))</f>
        <v>5</v>
      </c>
      <c r="I20" s="9">
        <f>EHD[[#This Row],[MRST '#HD]]</f>
        <v>3</v>
      </c>
      <c r="J20" s="1" t="str">
        <f ca="1">IFERROR(VLOOKUP(EHD[[#This Row],[DEVELOPMENT]],Data[],4,FALSE),"")</f>
        <v>2020-2021</v>
      </c>
      <c r="K20" s="1" t="str">
        <f ca="1">IF(EHD[[#This Row],[RAD/PACT]]="","",IF(OR(EHD[[#This Row],[RAD/PACT]]="2021-2025",EHD[[#This Row],[RAD/PACT]]="2019-2020"),"Yes",""))</f>
        <v/>
      </c>
      <c r="L20" s="1">
        <v>2019</v>
      </c>
      <c r="M20" s="1">
        <v>2019</v>
      </c>
      <c r="N20" s="1" t="s">
        <v>20</v>
      </c>
      <c r="O20" s="1"/>
      <c r="P20" s="47"/>
      <c r="Q20" s="51">
        <f ca="1">SUM(INDEX(EHD['# Hopper Doors],1):EHD[[#This Row],['# Hopper Doors]])</f>
        <v>20</v>
      </c>
      <c r="R20" s="47">
        <f t="shared" si="0"/>
        <v>0</v>
      </c>
      <c r="S20" s="1">
        <f>IF(ISBLANK(EHD[[#This Row],[CALENDAR YEAR]]),ROUNDDOWN(EHD[[#This Row],[Running count]]/500,0)+$S$1,EHD[[#This Row],[CALENDAR YEAR]])</f>
        <v>2019</v>
      </c>
      <c r="T20" s="16" t="s">
        <v>2212</v>
      </c>
    </row>
    <row r="21" spans="1:20">
      <c r="A21" s="13" t="s">
        <v>313</v>
      </c>
      <c r="B21" s="1" t="str">
        <f>VLOOKUP(A21,Data[],2,FALSE)</f>
        <v>QUEENS</v>
      </c>
      <c r="C21" s="9" t="s">
        <v>27</v>
      </c>
      <c r="D21" s="9" t="str">
        <f>VLOOKUP(EHD[[#This Row],[DEVELOPMENT]],Data[],52,FALSE)</f>
        <v>FEDERAL</v>
      </c>
      <c r="E21" s="1">
        <f>VLOOKUP(EHD[[#This Row],[DEVELOPMENT]],Data[],8,FALSE)</f>
        <v>0</v>
      </c>
      <c r="F21" s="9" t="str">
        <f>VLOOKUP(EHD[[#This Row],[DEVELOPMENT]],all[[DEVELOPMENT]:[MRST Ext. Comp. Priority]],6,FALSE)</f>
        <v>None</v>
      </c>
      <c r="G21" s="9">
        <v>1</v>
      </c>
      <c r="H21" s="1">
        <f>IF(VLOOKUP(EHD[[#This Row],[DEVELOPMENT]],Data[],9,FALSE)=0,5,VLOOKUP(EHD[[#This Row],[DEVELOPMENT]],Data[],9,FALSE))</f>
        <v>5</v>
      </c>
      <c r="I21" s="9">
        <f>EHD[[#This Row],[MRST '#HD]]</f>
        <v>1</v>
      </c>
      <c r="J21" s="1" t="str">
        <f ca="1">IFERROR(VLOOKUP(EHD[[#This Row],[DEVELOPMENT]],Data[],4,FALSE),"")</f>
        <v/>
      </c>
      <c r="K21" s="1" t="str">
        <f ca="1">IF(EHD[[#This Row],[RAD/PACT]]="","",IF(OR(EHD[[#This Row],[RAD/PACT]]="2021-2025",EHD[[#This Row],[RAD/PACT]]="2019-2020"),"Yes",""))</f>
        <v/>
      </c>
      <c r="L21" s="1">
        <v>2019</v>
      </c>
      <c r="M21" s="1">
        <v>2019</v>
      </c>
      <c r="N21" s="1" t="s">
        <v>20</v>
      </c>
      <c r="O21" s="1"/>
      <c r="P21" s="47"/>
      <c r="Q21" s="51">
        <f ca="1">SUM(INDEX(EHD['# Hopper Doors],1):EHD[[#This Row],['# Hopper Doors]])</f>
        <v>21</v>
      </c>
      <c r="R21" s="47">
        <f t="shared" si="0"/>
        <v>0</v>
      </c>
      <c r="S21" s="1">
        <f>IF(ISBLANK(EHD[[#This Row],[CALENDAR YEAR]]),ROUNDDOWN(EHD[[#This Row],[Running count]]/500,0)+$S$1,EHD[[#This Row],[CALENDAR YEAR]])</f>
        <v>2019</v>
      </c>
      <c r="T21" s="16" t="s">
        <v>2212</v>
      </c>
    </row>
    <row r="22" spans="1:20">
      <c r="A22" s="13" t="s">
        <v>336</v>
      </c>
      <c r="B22" s="1" t="str">
        <f>VLOOKUP(A22,Data[],2,FALSE)</f>
        <v>QUEENS</v>
      </c>
      <c r="C22" s="9" t="s">
        <v>27</v>
      </c>
      <c r="D22" s="9" t="str">
        <f>VLOOKUP(EHD[[#This Row],[DEVELOPMENT]],Data[],52,FALSE)</f>
        <v>FEDERAL</v>
      </c>
      <c r="E22" s="1">
        <f>VLOOKUP(EHD[[#This Row],[DEVELOPMENT]],Data[],8,FALSE)</f>
        <v>0</v>
      </c>
      <c r="F22" s="9" t="str">
        <f>VLOOKUP(EHD[[#This Row],[DEVELOPMENT]],all[[DEVELOPMENT]:[MRST Ext. Comp. Priority]],6,FALSE)</f>
        <v>None</v>
      </c>
      <c r="G22" s="9">
        <v>1</v>
      </c>
      <c r="H22" s="1">
        <f>IF(VLOOKUP(EHD[[#This Row],[DEVELOPMENT]],Data[],9,FALSE)=0,5,VLOOKUP(EHD[[#This Row],[DEVELOPMENT]],Data[],9,FALSE))</f>
        <v>5</v>
      </c>
      <c r="I22" s="9">
        <f>EHD[[#This Row],[MRST '#HD]]</f>
        <v>1</v>
      </c>
      <c r="J22" s="1" t="str">
        <f ca="1">IFERROR(VLOOKUP(EHD[[#This Row],[DEVELOPMENT]],Data[],4,FALSE),"")</f>
        <v/>
      </c>
      <c r="K22" s="1" t="str">
        <f ca="1">IF(EHD[[#This Row],[RAD/PACT]]="","",IF(OR(EHD[[#This Row],[RAD/PACT]]="2021-2025",EHD[[#This Row],[RAD/PACT]]="2019-2020"),"Yes",""))</f>
        <v/>
      </c>
      <c r="L22" s="1">
        <v>2019</v>
      </c>
      <c r="M22" s="1">
        <v>2019</v>
      </c>
      <c r="N22" s="1" t="s">
        <v>20</v>
      </c>
      <c r="O22" s="1"/>
      <c r="P22" s="47"/>
      <c r="Q22" s="51">
        <f ca="1">SUM(INDEX(EHD['# Hopper Doors],1):EHD[[#This Row],['# Hopper Doors]])</f>
        <v>22</v>
      </c>
      <c r="R22" s="47">
        <f t="shared" si="0"/>
        <v>0</v>
      </c>
      <c r="S22" s="1">
        <f>IF(ISBLANK(EHD[[#This Row],[CALENDAR YEAR]]),ROUNDDOWN(EHD[[#This Row],[Running count]]/500,0)+$S$1,EHD[[#This Row],[CALENDAR YEAR]])</f>
        <v>2019</v>
      </c>
      <c r="T22" s="16" t="s">
        <v>2212</v>
      </c>
    </row>
    <row r="23" spans="1:20">
      <c r="A23" s="13" t="s">
        <v>362</v>
      </c>
      <c r="B23" s="1" t="str">
        <f>VLOOKUP(A23,Data[],2,FALSE)</f>
        <v>QUEENS</v>
      </c>
      <c r="C23" s="9" t="s">
        <v>27</v>
      </c>
      <c r="D23" s="9" t="str">
        <f>VLOOKUP(EHD[[#This Row],[DEVELOPMENT]],Data[],52,FALSE)</f>
        <v>FEDERAL</v>
      </c>
      <c r="E23" s="1">
        <f>VLOOKUP(EHD[[#This Row],[DEVELOPMENT]],Data[],8,FALSE)</f>
        <v>0</v>
      </c>
      <c r="F23" s="9" t="str">
        <f>VLOOKUP(EHD[[#This Row],[DEVELOPMENT]],all[[DEVELOPMENT]:[MRST Ext. Comp. Priority]],6,FALSE)</f>
        <v>None</v>
      </c>
      <c r="G23" s="9">
        <v>1</v>
      </c>
      <c r="H23" s="1">
        <f>IF(VLOOKUP(EHD[[#This Row],[DEVELOPMENT]],Data[],9,FALSE)=0,5,VLOOKUP(EHD[[#This Row],[DEVELOPMENT]],Data[],9,FALSE))</f>
        <v>5</v>
      </c>
      <c r="I23" s="9">
        <f>EHD[[#This Row],[MRST '#HD]]</f>
        <v>1</v>
      </c>
      <c r="J23" s="1" t="str">
        <f ca="1">IFERROR(VLOOKUP(EHD[[#This Row],[DEVELOPMENT]],Data[],4,FALSE),"")</f>
        <v/>
      </c>
      <c r="K23" s="1" t="str">
        <f ca="1">IF(EHD[[#This Row],[RAD/PACT]]="","",IF(OR(EHD[[#This Row],[RAD/PACT]]="2021-2025",EHD[[#This Row],[RAD/PACT]]="2019-2020"),"Yes",""))</f>
        <v/>
      </c>
      <c r="L23" s="1">
        <v>2019</v>
      </c>
      <c r="M23" s="1">
        <v>2019</v>
      </c>
      <c r="N23" s="1" t="s">
        <v>20</v>
      </c>
      <c r="O23" s="1"/>
      <c r="P23" s="47"/>
      <c r="Q23" s="51">
        <f ca="1">SUM(INDEX(EHD['# Hopper Doors],1):EHD[[#This Row],['# Hopper Doors]])</f>
        <v>23</v>
      </c>
      <c r="R23" s="47">
        <f t="shared" si="0"/>
        <v>0</v>
      </c>
      <c r="S23" s="1">
        <f>IF(ISBLANK(EHD[[#This Row],[CALENDAR YEAR]]),ROUNDDOWN(EHD[[#This Row],[Running count]]/500,0)+$S$1,EHD[[#This Row],[CALENDAR YEAR]])</f>
        <v>2019</v>
      </c>
      <c r="T23" s="16" t="s">
        <v>2212</v>
      </c>
    </row>
    <row r="24" spans="1:20">
      <c r="A24" s="13" t="s">
        <v>329</v>
      </c>
      <c r="B24" s="1" t="str">
        <f>VLOOKUP(A24,Data[],2,FALSE)</f>
        <v>BROOKLYN</v>
      </c>
      <c r="C24" s="9" t="s">
        <v>27</v>
      </c>
      <c r="D24" s="9" t="str">
        <f>VLOOKUP(EHD[[#This Row],[DEVELOPMENT]],Data[],52,FALSE)</f>
        <v>FEDERAL</v>
      </c>
      <c r="E24" s="1">
        <f>VLOOKUP(EHD[[#This Row],[DEVELOPMENT]],Data[],8,FALSE)</f>
        <v>0</v>
      </c>
      <c r="F24" s="9" t="str">
        <f>VLOOKUP(EHD[[#This Row],[DEVELOPMENT]],all[[DEVELOPMENT]:[MRST Ext. Comp. Priority]],6,FALSE)</f>
        <v>None</v>
      </c>
      <c r="G24" s="9">
        <v>3</v>
      </c>
      <c r="H24" s="1">
        <f>IF(VLOOKUP(EHD[[#This Row],[DEVELOPMENT]],Data[],9,FALSE)=0,5,VLOOKUP(EHD[[#This Row],[DEVELOPMENT]],Data[],9,FALSE))</f>
        <v>5</v>
      </c>
      <c r="I24" s="9">
        <f>EHD[[#This Row],[MRST '#HD]]</f>
        <v>3</v>
      </c>
      <c r="J24" s="1" t="str">
        <f ca="1">IFERROR(VLOOKUP(EHD[[#This Row],[DEVELOPMENT]],Data[],4,FALSE),"")</f>
        <v/>
      </c>
      <c r="K24" s="1" t="str">
        <f ca="1">IF(EHD[[#This Row],[RAD/PACT]]="","",IF(OR(EHD[[#This Row],[RAD/PACT]]="2021-2025",EHD[[#This Row],[RAD/PACT]]="2019-2020"),"Yes",""))</f>
        <v/>
      </c>
      <c r="L24" s="1">
        <v>2019</v>
      </c>
      <c r="M24" s="1">
        <v>2019</v>
      </c>
      <c r="N24" s="1" t="s">
        <v>20</v>
      </c>
      <c r="O24" s="1"/>
      <c r="P24" s="47"/>
      <c r="Q24" s="51">
        <f ca="1">SUM(INDEX(EHD['# Hopper Doors],1):EHD[[#This Row],['# Hopper Doors]])</f>
        <v>26</v>
      </c>
      <c r="R24" s="47">
        <f t="shared" si="0"/>
        <v>0</v>
      </c>
      <c r="S24" s="1">
        <f>IF(ISBLANK(EHD[[#This Row],[CALENDAR YEAR]]),ROUNDDOWN(EHD[[#This Row],[Running count]]/500,0)+$S$1,EHD[[#This Row],[CALENDAR YEAR]])</f>
        <v>2019</v>
      </c>
      <c r="T24" s="16" t="s">
        <v>2212</v>
      </c>
    </row>
    <row r="25" spans="1:20">
      <c r="A25" s="13" t="s">
        <v>345</v>
      </c>
      <c r="B25" s="1" t="str">
        <f>VLOOKUP(A25,Data[],2,FALSE)</f>
        <v>BRONX</v>
      </c>
      <c r="C25" s="9" t="s">
        <v>27</v>
      </c>
      <c r="D25" s="9" t="str">
        <f>VLOOKUP(EHD[[#This Row],[DEVELOPMENT]],Data[],52,FALSE)</f>
        <v>FEDERAL</v>
      </c>
      <c r="E25" s="1">
        <f>VLOOKUP(EHD[[#This Row],[DEVELOPMENT]],Data[],8,FALSE)</f>
        <v>0</v>
      </c>
      <c r="F25" s="9" t="str">
        <f>VLOOKUP(EHD[[#This Row],[DEVELOPMENT]],all[[DEVELOPMENT]:[MRST Ext. Comp. Priority]],6,FALSE)</f>
        <v>None</v>
      </c>
      <c r="G25" s="9">
        <v>1</v>
      </c>
      <c r="H25" s="1">
        <f>IF(VLOOKUP(EHD[[#This Row],[DEVELOPMENT]],Data[],9,FALSE)=0,5,VLOOKUP(EHD[[#This Row],[DEVELOPMENT]],Data[],9,FALSE))</f>
        <v>5</v>
      </c>
      <c r="I25" s="9">
        <f>EHD[[#This Row],[MRST '#HD]]</f>
        <v>1</v>
      </c>
      <c r="J25" s="1" t="str">
        <f ca="1">IFERROR(VLOOKUP(EHD[[#This Row],[DEVELOPMENT]],Data[],4,FALSE),"")</f>
        <v>2026+</v>
      </c>
      <c r="K25" s="1" t="str">
        <f ca="1">IF(EHD[[#This Row],[RAD/PACT]]="","",IF(OR(EHD[[#This Row],[RAD/PACT]]="2021-2025",EHD[[#This Row],[RAD/PACT]]="2019-2020"),"Yes",""))</f>
        <v/>
      </c>
      <c r="L25" s="1">
        <v>2019</v>
      </c>
      <c r="M25" s="1">
        <v>2019</v>
      </c>
      <c r="N25" s="1" t="s">
        <v>20</v>
      </c>
      <c r="O25" s="1"/>
      <c r="P25" s="47"/>
      <c r="Q25" s="51">
        <f ca="1">SUM(INDEX(EHD['# Hopper Doors],1):EHD[[#This Row],['# Hopper Doors]])</f>
        <v>27</v>
      </c>
      <c r="R25" s="47">
        <f t="shared" si="0"/>
        <v>0</v>
      </c>
      <c r="S25" s="1">
        <f>IF(ISBLANK(EHD[[#This Row],[CALENDAR YEAR]]),ROUNDDOWN(EHD[[#This Row],[Running count]]/500,0)+$S$1,EHD[[#This Row],[CALENDAR YEAR]])</f>
        <v>2019</v>
      </c>
      <c r="T25" s="16" t="s">
        <v>2212</v>
      </c>
    </row>
    <row r="26" spans="1:20">
      <c r="A26" s="125" t="s">
        <v>305</v>
      </c>
      <c r="B26" s="1" t="str">
        <f>VLOOKUP(A26,Data[],2,FALSE)</f>
        <v>BROOKLYN</v>
      </c>
      <c r="C26" s="9" t="s">
        <v>27</v>
      </c>
      <c r="D26" s="9" t="str">
        <f>VLOOKUP(EHD[[#This Row],[DEVELOPMENT]],Data[],52,FALSE)</f>
        <v>FEDERAL</v>
      </c>
      <c r="E26" s="1">
        <f>VLOOKUP(EHD[[#This Row],[DEVELOPMENT]],Data[],8,FALSE)</f>
        <v>0</v>
      </c>
      <c r="F26" s="9" t="str">
        <f>VLOOKUP(EHD[[#This Row],[DEVELOPMENT]],all[[DEVELOPMENT]:[MRST Ext. Comp. Priority]],6,FALSE)</f>
        <v>None</v>
      </c>
      <c r="G26" s="9">
        <v>2</v>
      </c>
      <c r="H26" s="1">
        <f>IF(VLOOKUP(EHD[[#This Row],[DEVELOPMENT]],Data[],9,FALSE)=0,5,VLOOKUP(EHD[[#This Row],[DEVELOPMENT]],Data[],9,FALSE))</f>
        <v>5</v>
      </c>
      <c r="I26" s="9">
        <f>EHD[[#This Row],[MRST '#HD]]</f>
        <v>2</v>
      </c>
      <c r="J26" s="1" t="str">
        <f ca="1">IFERROR(VLOOKUP(EHD[[#This Row],[DEVELOPMENT]],Data[],4,FALSE),"")</f>
        <v/>
      </c>
      <c r="K26" s="1" t="str">
        <f ca="1">IF(EHD[[#This Row],[RAD/PACT]]="","",IF(OR(EHD[[#This Row],[RAD/PACT]]="2021-2025",EHD[[#This Row],[RAD/PACT]]="2019-2020"),"Yes",""))</f>
        <v/>
      </c>
      <c r="L26" s="1">
        <v>2019</v>
      </c>
      <c r="M26" s="1">
        <v>2019</v>
      </c>
      <c r="N26" s="1" t="s">
        <v>20</v>
      </c>
      <c r="O26" s="1"/>
      <c r="P26" s="47"/>
      <c r="Q26" s="51">
        <f ca="1">SUM(INDEX(EHD['# Hopper Doors],1):EHD[[#This Row],['# Hopper Doors]])</f>
        <v>29</v>
      </c>
      <c r="R26" s="47">
        <f t="shared" si="0"/>
        <v>0</v>
      </c>
      <c r="S26" s="1">
        <f>IF(ISBLANK(EHD[[#This Row],[CALENDAR YEAR]]),ROUNDDOWN(EHD[[#This Row],[Running count]]/500,0)+$S$1,EHD[[#This Row],[CALENDAR YEAR]])</f>
        <v>2019</v>
      </c>
      <c r="T26" s="16" t="s">
        <v>2212</v>
      </c>
    </row>
    <row r="27" spans="1:20">
      <c r="A27" s="13" t="s">
        <v>375</v>
      </c>
      <c r="B27" s="1" t="str">
        <f>VLOOKUP(A27,Data[],2,FALSE)</f>
        <v>BROOKLYN</v>
      </c>
      <c r="C27" s="9" t="s">
        <v>27</v>
      </c>
      <c r="D27" s="9" t="str">
        <f>VLOOKUP(EHD[[#This Row],[DEVELOPMENT]],Data[],52,FALSE)</f>
        <v>FEDERAL</v>
      </c>
      <c r="E27" s="1">
        <f>VLOOKUP(EHD[[#This Row],[DEVELOPMENT]],Data[],8,FALSE)</f>
        <v>0</v>
      </c>
      <c r="F27" s="9" t="str">
        <f>VLOOKUP(EHD[[#This Row],[DEVELOPMENT]],all[[DEVELOPMENT]:[MRST Ext. Comp. Priority]],6,FALSE)</f>
        <v>None</v>
      </c>
      <c r="G27" s="9">
        <v>2</v>
      </c>
      <c r="H27" s="1">
        <f>IF(VLOOKUP(EHD[[#This Row],[DEVELOPMENT]],Data[],9,FALSE)=0,5,VLOOKUP(EHD[[#This Row],[DEVELOPMENT]],Data[],9,FALSE))</f>
        <v>5</v>
      </c>
      <c r="I27" s="9">
        <f>EHD[[#This Row],[MRST '#HD]]</f>
        <v>2</v>
      </c>
      <c r="J27" s="1" t="str">
        <f ca="1">IFERROR(VLOOKUP(EHD[[#This Row],[DEVELOPMENT]],Data[],4,FALSE),"")</f>
        <v/>
      </c>
      <c r="K27" s="1" t="str">
        <f ca="1">IF(EHD[[#This Row],[RAD/PACT]]="","",IF(OR(EHD[[#This Row],[RAD/PACT]]="2021-2025",EHD[[#This Row],[RAD/PACT]]="2019-2020"),"Yes",""))</f>
        <v/>
      </c>
      <c r="L27" s="1">
        <v>2019</v>
      </c>
      <c r="M27" s="1">
        <v>2019</v>
      </c>
      <c r="N27" s="1" t="s">
        <v>20</v>
      </c>
      <c r="O27" s="1"/>
      <c r="P27" s="47"/>
      <c r="Q27" s="51">
        <f ca="1">SUM(INDEX(EHD['# Hopper Doors],1):EHD[[#This Row],['# Hopper Doors]])</f>
        <v>31</v>
      </c>
      <c r="R27" s="47">
        <f t="shared" si="0"/>
        <v>0</v>
      </c>
      <c r="S27" s="1">
        <f>IF(ISBLANK(EHD[[#This Row],[CALENDAR YEAR]]),ROUNDDOWN(EHD[[#This Row],[Running count]]/500,0)+$S$1,EHD[[#This Row],[CALENDAR YEAR]])</f>
        <v>2019</v>
      </c>
      <c r="T27" s="16" t="s">
        <v>2212</v>
      </c>
    </row>
    <row r="28" spans="1:20">
      <c r="A28" s="13" t="s">
        <v>356</v>
      </c>
      <c r="B28" s="1" t="str">
        <f>VLOOKUP(A28,Data[],2,FALSE)</f>
        <v>BROOKLYN</v>
      </c>
      <c r="C28" s="9" t="s">
        <v>27</v>
      </c>
      <c r="D28" s="9" t="str">
        <f>VLOOKUP(EHD[[#This Row],[DEVELOPMENT]],Data[],52,FALSE)</f>
        <v>FEDERAL</v>
      </c>
      <c r="E28" s="1">
        <f>VLOOKUP(EHD[[#This Row],[DEVELOPMENT]],Data[],8,FALSE)</f>
        <v>0</v>
      </c>
      <c r="F28" s="9" t="str">
        <f>VLOOKUP(EHD[[#This Row],[DEVELOPMENT]],all[[DEVELOPMENT]:[MRST Ext. Comp. Priority]],6,FALSE)</f>
        <v>None</v>
      </c>
      <c r="G28" s="9">
        <v>1</v>
      </c>
      <c r="H28" s="1">
        <f>IF(VLOOKUP(EHD[[#This Row],[DEVELOPMENT]],Data[],9,FALSE)=0,5,VLOOKUP(EHD[[#This Row],[DEVELOPMENT]],Data[],9,FALSE))</f>
        <v>5</v>
      </c>
      <c r="I28" s="9">
        <f>EHD[[#This Row],[MRST '#HD]]</f>
        <v>1</v>
      </c>
      <c r="J28" s="1" t="str">
        <f ca="1">IFERROR(VLOOKUP(EHD[[#This Row],[DEVELOPMENT]],Data[],4,FALSE),"")</f>
        <v>2020-2021</v>
      </c>
      <c r="K28" s="1" t="str">
        <f ca="1">IF(EHD[[#This Row],[RAD/PACT]]="","",IF(OR(EHD[[#This Row],[RAD/PACT]]="2021-2025",EHD[[#This Row],[RAD/PACT]]="2019-2020"),"Yes",""))</f>
        <v/>
      </c>
      <c r="L28" s="1">
        <v>2019</v>
      </c>
      <c r="M28" s="1">
        <v>2019</v>
      </c>
      <c r="N28" s="1" t="s">
        <v>20</v>
      </c>
      <c r="O28" s="1"/>
      <c r="P28" s="47"/>
      <c r="Q28" s="51">
        <f ca="1">SUM(INDEX(EHD['# Hopper Doors],1):EHD[[#This Row],['# Hopper Doors]])</f>
        <v>32</v>
      </c>
      <c r="R28" s="47">
        <f t="shared" si="0"/>
        <v>0</v>
      </c>
      <c r="S28" s="1">
        <f>IF(ISBLANK(EHD[[#This Row],[CALENDAR YEAR]]),ROUNDDOWN(EHD[[#This Row],[Running count]]/500,0)+$S$1,EHD[[#This Row],[CALENDAR YEAR]])</f>
        <v>2019</v>
      </c>
      <c r="T28" s="16" t="s">
        <v>2212</v>
      </c>
    </row>
    <row r="29" spans="1:20">
      <c r="A29" s="13" t="s">
        <v>308</v>
      </c>
      <c r="B29" s="1" t="str">
        <f>VLOOKUP(A29,Data[],2,FALSE)</f>
        <v>STATEN ISLAND</v>
      </c>
      <c r="C29" s="9" t="s">
        <v>27</v>
      </c>
      <c r="D29" s="9" t="str">
        <f>VLOOKUP(EHD[[#This Row],[DEVELOPMENT]],Data[],52,FALSE)</f>
        <v>FEDERAL</v>
      </c>
      <c r="E29" s="1">
        <f>VLOOKUP(EHD[[#This Row],[DEVELOPMENT]],Data[],8,FALSE)</f>
        <v>0</v>
      </c>
      <c r="F29" s="9" t="str">
        <f>VLOOKUP(EHD[[#This Row],[DEVELOPMENT]],all[[DEVELOPMENT]:[MRST Ext. Comp. Priority]],6,FALSE)</f>
        <v>None</v>
      </c>
      <c r="G29" s="9">
        <v>4</v>
      </c>
      <c r="H29" s="1">
        <f>IF(VLOOKUP(EHD[[#This Row],[DEVELOPMENT]],Data[],9,FALSE)=0,5,VLOOKUP(EHD[[#This Row],[DEVELOPMENT]],Data[],9,FALSE))</f>
        <v>5</v>
      </c>
      <c r="I29" s="9">
        <f>EHD[[#This Row],[MRST '#HD]]</f>
        <v>4</v>
      </c>
      <c r="J29" s="1" t="str">
        <f ca="1">IFERROR(VLOOKUP(EHD[[#This Row],[DEVELOPMENT]],Data[],4,FALSE),"")</f>
        <v/>
      </c>
      <c r="K29" s="1" t="str">
        <f ca="1">IF(EHD[[#This Row],[RAD/PACT]]="","",IF(OR(EHD[[#This Row],[RAD/PACT]]="2021-2025",EHD[[#This Row],[RAD/PACT]]="2019-2020"),"Yes",""))</f>
        <v/>
      </c>
      <c r="L29" s="1">
        <v>2019</v>
      </c>
      <c r="M29" s="1">
        <v>2019</v>
      </c>
      <c r="N29" s="1" t="s">
        <v>20</v>
      </c>
      <c r="O29" s="1"/>
      <c r="P29" s="47"/>
      <c r="Q29" s="51">
        <f ca="1">SUM(INDEX(EHD['# Hopper Doors],1):EHD[[#This Row],['# Hopper Doors]])</f>
        <v>36</v>
      </c>
      <c r="R29" s="47">
        <f t="shared" si="0"/>
        <v>0</v>
      </c>
      <c r="S29" s="1">
        <f>IF(ISBLANK(EHD[[#This Row],[CALENDAR YEAR]]),ROUNDDOWN(EHD[[#This Row],[Running count]]/500,0)+$S$1,EHD[[#This Row],[CALENDAR YEAR]])</f>
        <v>2019</v>
      </c>
      <c r="T29" s="16" t="s">
        <v>2212</v>
      </c>
    </row>
    <row r="30" spans="1:20">
      <c r="A30" s="13" t="s">
        <v>347</v>
      </c>
      <c r="B30" s="1" t="str">
        <f>VLOOKUP(A30,Data[],2,FALSE)</f>
        <v>STATEN ISLAND</v>
      </c>
      <c r="C30" s="9" t="s">
        <v>27</v>
      </c>
      <c r="D30" s="9" t="str">
        <f>VLOOKUP(EHD[[#This Row],[DEVELOPMENT]],Data[],52,FALSE)</f>
        <v>FEDERAL</v>
      </c>
      <c r="E30" s="1">
        <f>VLOOKUP(EHD[[#This Row],[DEVELOPMENT]],Data[],8,FALSE)</f>
        <v>0</v>
      </c>
      <c r="F30" s="9" t="str">
        <f>VLOOKUP(EHD[[#This Row],[DEVELOPMENT]],all[[DEVELOPMENT]:[MRST Ext. Comp. Priority]],6,FALSE)</f>
        <v>None</v>
      </c>
      <c r="G30" s="9">
        <v>1</v>
      </c>
      <c r="H30" s="1">
        <f>IF(VLOOKUP(EHD[[#This Row],[DEVELOPMENT]],Data[],9,FALSE)=0,5,VLOOKUP(EHD[[#This Row],[DEVELOPMENT]],Data[],9,FALSE))</f>
        <v>5</v>
      </c>
      <c r="I30" s="9">
        <f>EHD[[#This Row],[MRST '#HD]]</f>
        <v>1</v>
      </c>
      <c r="J30" s="1" t="str">
        <f ca="1">IFERROR(VLOOKUP(EHD[[#This Row],[DEVELOPMENT]],Data[],4,FALSE),"")</f>
        <v/>
      </c>
      <c r="K30" s="1" t="str">
        <f ca="1">IF(EHD[[#This Row],[RAD/PACT]]="","",IF(OR(EHD[[#This Row],[RAD/PACT]]="2021-2025",EHD[[#This Row],[RAD/PACT]]="2019-2020"),"Yes",""))</f>
        <v/>
      </c>
      <c r="L30" s="1">
        <v>2019</v>
      </c>
      <c r="M30" s="1">
        <v>2019</v>
      </c>
      <c r="N30" s="1" t="s">
        <v>20</v>
      </c>
      <c r="O30" s="1"/>
      <c r="P30" s="47"/>
      <c r="Q30" s="51">
        <f ca="1">SUM(INDEX(EHD['# Hopper Doors],1):EHD[[#This Row],['# Hopper Doors]])</f>
        <v>37</v>
      </c>
      <c r="R30" s="47">
        <f t="shared" si="0"/>
        <v>0</v>
      </c>
      <c r="S30" s="1">
        <f>IF(ISBLANK(EHD[[#This Row],[CALENDAR YEAR]]),ROUNDDOWN(EHD[[#This Row],[Running count]]/500,0)+$S$1,EHD[[#This Row],[CALENDAR YEAR]])</f>
        <v>2019</v>
      </c>
      <c r="T30" s="16" t="s">
        <v>2212</v>
      </c>
    </row>
    <row r="31" spans="1:20">
      <c r="A31" s="13" t="s">
        <v>387</v>
      </c>
      <c r="B31" s="1" t="str">
        <f>VLOOKUP(A31,Data[],2,FALSE)</f>
        <v>BROOKLYN</v>
      </c>
      <c r="C31" s="9" t="s">
        <v>27</v>
      </c>
      <c r="D31" s="9" t="str">
        <f>VLOOKUP(EHD[[#This Row],[DEVELOPMENT]],Data[],52,FALSE)</f>
        <v>FEDERAL</v>
      </c>
      <c r="E31" s="1">
        <f>VLOOKUP(EHD[[#This Row],[DEVELOPMENT]],Data[],8,FALSE)</f>
        <v>0</v>
      </c>
      <c r="F31" s="9" t="str">
        <f>VLOOKUP(EHD[[#This Row],[DEVELOPMENT]],all[[DEVELOPMENT]:[MRST Ext. Comp. Priority]],6,FALSE)</f>
        <v>None</v>
      </c>
      <c r="G31" s="9">
        <v>3</v>
      </c>
      <c r="H31" s="1">
        <f>IF(VLOOKUP(EHD[[#This Row],[DEVELOPMENT]],Data[],9,FALSE)=0,5,VLOOKUP(EHD[[#This Row],[DEVELOPMENT]],Data[],9,FALSE))</f>
        <v>5</v>
      </c>
      <c r="I31" s="9">
        <f>EHD[[#This Row],[MRST '#HD]]</f>
        <v>3</v>
      </c>
      <c r="J31" s="1" t="str">
        <f ca="1">IFERROR(VLOOKUP(EHD[[#This Row],[DEVELOPMENT]],Data[],4,FALSE),"")</f>
        <v/>
      </c>
      <c r="K31" s="1" t="str">
        <f ca="1">IF(EHD[[#This Row],[RAD/PACT]]="","",IF(OR(EHD[[#This Row],[RAD/PACT]]="2021-2025",EHD[[#This Row],[RAD/PACT]]="2019-2020"),"Yes",""))</f>
        <v/>
      </c>
      <c r="L31" s="1">
        <v>2019</v>
      </c>
      <c r="M31" s="1">
        <v>2019</v>
      </c>
      <c r="N31" s="1" t="s">
        <v>20</v>
      </c>
      <c r="O31" s="1"/>
      <c r="P31" s="47"/>
      <c r="Q31" s="51">
        <f ca="1">SUM(INDEX(EHD['# Hopper Doors],1):EHD[[#This Row],['# Hopper Doors]])</f>
        <v>40</v>
      </c>
      <c r="R31" s="47">
        <f t="shared" si="0"/>
        <v>0</v>
      </c>
      <c r="S31" s="1">
        <f>IF(ISBLANK(EHD[[#This Row],[CALENDAR YEAR]]),ROUNDDOWN(EHD[[#This Row],[Running count]]/500,0)+$S$1,EHD[[#This Row],[CALENDAR YEAR]])</f>
        <v>2019</v>
      </c>
      <c r="T31" s="16" t="s">
        <v>2212</v>
      </c>
    </row>
    <row r="32" spans="1:20">
      <c r="A32" s="66" t="s">
        <v>37</v>
      </c>
      <c r="B32" s="1" t="str">
        <f>VLOOKUP(A32,Data[],2,FALSE)</f>
        <v>BROOKLYN</v>
      </c>
      <c r="C32" s="9" t="s">
        <v>27</v>
      </c>
      <c r="D32" s="9" t="str">
        <f>VLOOKUP(EHD[[#This Row],[DEVELOPMENT]],Data[],52,FALSE)</f>
        <v>FEDERAL</v>
      </c>
      <c r="E32" s="1" t="str">
        <f>VLOOKUP(EHD[[#This Row],[DEVELOPMENT]],Data[],8,FALSE)</f>
        <v>Zone 1</v>
      </c>
      <c r="F32" s="9" t="str">
        <f>VLOOKUP(EHD[[#This Row],[DEVELOPMENT]],all[[DEVELOPMENT]:[MRST Ext. Comp. Priority]],6,FALSE)</f>
        <v>C</v>
      </c>
      <c r="G32" s="9">
        <v>7</v>
      </c>
      <c r="H32" s="1">
        <f>IF(VLOOKUP(EHD[[#This Row],[DEVELOPMENT]],Data[],9,FALSE)=0,5,VLOOKUP(EHD[[#This Row],[DEVELOPMENT]],Data[],9,FALSE))</f>
        <v>2</v>
      </c>
      <c r="I32" s="9">
        <f>EHD[[#This Row],[MRST '#HD]]</f>
        <v>7</v>
      </c>
      <c r="J32" s="1" t="str">
        <f ca="1">IFERROR(VLOOKUP(EHD[[#This Row],[DEVELOPMENT]],Data[],4,FALSE),"")</f>
        <v/>
      </c>
      <c r="K32" s="1" t="str">
        <f ca="1">IF(EHD[[#This Row],[RAD/PACT]]="","",IF(OR(EHD[[#This Row],[RAD/PACT]]="2021-2025",EHD[[#This Row],[RAD/PACT]]="2019-2020"),"Yes",""))</f>
        <v/>
      </c>
      <c r="L32" s="1">
        <v>2019</v>
      </c>
      <c r="M32" s="1">
        <v>2020</v>
      </c>
      <c r="N32" s="1" t="s">
        <v>20</v>
      </c>
      <c r="O32" s="47">
        <v>52577.562435</v>
      </c>
      <c r="P32" s="47"/>
      <c r="Q32" s="51">
        <f ca="1">SUM(INDEX(EHD['# Hopper Doors],1):EHD[[#This Row],['# Hopper Doors]])</f>
        <v>47</v>
      </c>
      <c r="R32" s="47">
        <f t="shared" si="0"/>
        <v>52577.562435</v>
      </c>
      <c r="S32" s="1">
        <f>IF(ISBLANK(EHD[[#This Row],[CALENDAR YEAR]]),ROUNDDOWN(EHD[[#This Row],[Running count]]/500,0)+$S$1,EHD[[#This Row],[CALENDAR YEAR]])</f>
        <v>2019</v>
      </c>
      <c r="T32" s="16" t="s">
        <v>446</v>
      </c>
    </row>
    <row r="33" spans="1:20">
      <c r="A33" s="66" t="s">
        <v>36</v>
      </c>
      <c r="B33" s="1" t="str">
        <f>VLOOKUP(A33,Data[],2,FALSE)</f>
        <v>MANHATTAN</v>
      </c>
      <c r="C33" s="9" t="s">
        <v>27</v>
      </c>
      <c r="D33" s="9" t="str">
        <f>VLOOKUP(EHD[[#This Row],[DEVELOPMENT]],Data[],52,FALSE)</f>
        <v>FEDERAL</v>
      </c>
      <c r="E33" s="1" t="str">
        <f>VLOOKUP(EHD[[#This Row],[DEVELOPMENT]],Data[],8,FALSE)</f>
        <v>Zone 1</v>
      </c>
      <c r="F33" s="9" t="str">
        <f>VLOOKUP(EHD[[#This Row],[DEVELOPMENT]],all[[DEVELOPMENT]:[MRST Ext. Comp. Priority]],6,FALSE)</f>
        <v>A</v>
      </c>
      <c r="G33" s="9">
        <v>9</v>
      </c>
      <c r="H33" s="1">
        <f>IF(VLOOKUP(EHD[[#This Row],[DEVELOPMENT]],Data[],9,FALSE)=0,5,VLOOKUP(EHD[[#This Row],[DEVELOPMENT]],Data[],9,FALSE))</f>
        <v>3</v>
      </c>
      <c r="I33" s="9">
        <f>EHD[[#This Row],[MRST '#HD]]</f>
        <v>9</v>
      </c>
      <c r="J33" s="1" t="str">
        <f ca="1">IFERROR(VLOOKUP(EHD[[#This Row],[DEVELOPMENT]],Data[],4,FALSE),"")</f>
        <v/>
      </c>
      <c r="K33" s="1" t="str">
        <f ca="1">IF(EHD[[#This Row],[RAD/PACT]]="","",IF(OR(EHD[[#This Row],[RAD/PACT]]="2021-2025",EHD[[#This Row],[RAD/PACT]]="2019-2020"),"Yes",""))</f>
        <v/>
      </c>
      <c r="L33" s="1">
        <v>2019</v>
      </c>
      <c r="M33" s="1">
        <v>2020</v>
      </c>
      <c r="N33" s="1" t="s">
        <v>20</v>
      </c>
      <c r="O33" s="47">
        <v>56519.89</v>
      </c>
      <c r="P33" s="47"/>
      <c r="Q33" s="51">
        <f ca="1">SUM(INDEX(EHD['# Hopper Doors],1):EHD[[#This Row],['# Hopper Doors]])</f>
        <v>56</v>
      </c>
      <c r="R33" s="47">
        <f t="shared" si="0"/>
        <v>109097.452435</v>
      </c>
      <c r="S33" s="1">
        <f>IF(ISBLANK(EHD[[#This Row],[CALENDAR YEAR]]),ROUNDDOWN(EHD[[#This Row],[Running count]]/500,0)+$S$1,EHD[[#This Row],[CALENDAR YEAR]])</f>
        <v>2019</v>
      </c>
      <c r="T33" s="16" t="s">
        <v>446</v>
      </c>
    </row>
    <row r="34" spans="1:20">
      <c r="A34" s="66" t="s">
        <v>38</v>
      </c>
      <c r="B34" s="1" t="str">
        <f>VLOOKUP(A34,Data[],2,FALSE)</f>
        <v>BROOKLYN</v>
      </c>
      <c r="C34" s="9" t="s">
        <v>27</v>
      </c>
      <c r="D34" s="9" t="str">
        <f>VLOOKUP(EHD[[#This Row],[DEVELOPMENT]],Data[],52,FALSE)</f>
        <v>FEDERAL</v>
      </c>
      <c r="E34" s="1" t="str">
        <f>VLOOKUP(EHD[[#This Row],[DEVELOPMENT]],Data[],8,FALSE)</f>
        <v>Zone 1</v>
      </c>
      <c r="F34" s="9" t="str">
        <f>VLOOKUP(EHD[[#This Row],[DEVELOPMENT]],all[[DEVELOPMENT]:[MRST Ext. Comp. Priority]],6,FALSE)</f>
        <v>A</v>
      </c>
      <c r="G34" s="9">
        <v>70</v>
      </c>
      <c r="H34" s="1">
        <f>IF(VLOOKUP(EHD[[#This Row],[DEVELOPMENT]],Data[],9,FALSE)=0,5,VLOOKUP(EHD[[#This Row],[DEVELOPMENT]],Data[],9,FALSE))</f>
        <v>3</v>
      </c>
      <c r="I34" s="9">
        <f>EHD[[#This Row],[MRST '#HD]]</f>
        <v>70</v>
      </c>
      <c r="J34" s="1" t="str">
        <f ca="1">IFERROR(VLOOKUP(EHD[[#This Row],[DEVELOPMENT]],Data[],4,FALSE),"")</f>
        <v>2026+</v>
      </c>
      <c r="K34" s="1" t="str">
        <f ca="1">IF(EHD[[#This Row],[RAD/PACT]]="","",IF(OR(EHD[[#This Row],[RAD/PACT]]="2021-2025",EHD[[#This Row],[RAD/PACT]]="2019-2020"),"Yes",""))</f>
        <v/>
      </c>
      <c r="L34" s="1">
        <v>2019</v>
      </c>
      <c r="M34" s="1">
        <v>2020</v>
      </c>
      <c r="N34" s="1" t="s">
        <v>404</v>
      </c>
      <c r="O34" s="47">
        <f>214300.88+217140.31</f>
        <v>431441.19</v>
      </c>
      <c r="P34" s="47"/>
      <c r="Q34" s="51">
        <f ca="1">SUM(INDEX(EHD['# Hopper Doors],1):EHD[[#This Row],['# Hopper Doors]])</f>
        <v>126</v>
      </c>
      <c r="R34" s="47">
        <f t="shared" si="0"/>
        <v>540538.64243500005</v>
      </c>
      <c r="S34" s="1">
        <f>IF(ISBLANK(EHD[[#This Row],[CALENDAR YEAR]]),ROUNDDOWN(EHD[[#This Row],[Running count]]/500,0)+$S$1,EHD[[#This Row],[CALENDAR YEAR]])</f>
        <v>2019</v>
      </c>
      <c r="T34" s="16" t="s">
        <v>446</v>
      </c>
    </row>
    <row r="35" spans="1:20">
      <c r="A35" s="66" t="s">
        <v>26</v>
      </c>
      <c r="B35" s="1" t="str">
        <f>VLOOKUP(A35,Data[],2,FALSE)</f>
        <v>BROOKLYN</v>
      </c>
      <c r="C35" s="9" t="s">
        <v>27</v>
      </c>
      <c r="D35" s="9" t="str">
        <f>VLOOKUP(EHD[[#This Row],[DEVELOPMENT]],Data[],52,FALSE)</f>
        <v>MIXED FINANCE/LLC1</v>
      </c>
      <c r="E35" s="1" t="str">
        <f>VLOOKUP(EHD[[#This Row],[DEVELOPMENT]],Data[],8,FALSE)</f>
        <v>Zone 1</v>
      </c>
      <c r="F35" s="9" t="str">
        <f>VLOOKUP(EHD[[#This Row],[DEVELOPMENT]],all[[DEVELOPMENT]:[MRST Ext. Comp. Priority]],6,FALSE)</f>
        <v>B</v>
      </c>
      <c r="G35" s="9">
        <v>8</v>
      </c>
      <c r="H35" s="1">
        <f>IF(VLOOKUP(EHD[[#This Row],[DEVELOPMENT]],Data[],9,FALSE)=0,5,VLOOKUP(EHD[[#This Row],[DEVELOPMENT]],Data[],9,FALSE))</f>
        <v>3</v>
      </c>
      <c r="I35" s="9">
        <f>EHD[[#This Row],[MRST '#HD]]</f>
        <v>8</v>
      </c>
      <c r="J35" s="1" t="str">
        <f ca="1">IFERROR(VLOOKUP(EHD[[#This Row],[DEVELOPMENT]],Data[],4,FALSE),"")</f>
        <v/>
      </c>
      <c r="K35" s="1" t="str">
        <f ca="1">IF(EHD[[#This Row],[RAD/PACT]]="","",IF(OR(EHD[[#This Row],[RAD/PACT]]="2021-2025",EHD[[#This Row],[RAD/PACT]]="2019-2020"),"Yes",""))</f>
        <v/>
      </c>
      <c r="L35" s="1">
        <v>2019</v>
      </c>
      <c r="M35" s="1">
        <v>2020</v>
      </c>
      <c r="N35" s="1" t="s">
        <v>20</v>
      </c>
      <c r="O35" s="47">
        <v>44243.94</v>
      </c>
      <c r="P35" s="47"/>
      <c r="Q35" s="51">
        <f ca="1">SUM(INDEX(EHD['# Hopper Doors],1):EHD[[#This Row],['# Hopper Doors]])</f>
        <v>134</v>
      </c>
      <c r="R35" s="47">
        <f t="shared" si="0"/>
        <v>584782.58243499999</v>
      </c>
      <c r="S35" s="1">
        <f>IF(ISBLANK(EHD[[#This Row],[CALENDAR YEAR]]),ROUNDDOWN(EHD[[#This Row],[Running count]]/500,0)+$S$1,EHD[[#This Row],[CALENDAR YEAR]])</f>
        <v>2019</v>
      </c>
      <c r="T35" s="16" t="s">
        <v>446</v>
      </c>
    </row>
    <row r="36" spans="1:20">
      <c r="A36" s="66" t="s">
        <v>31</v>
      </c>
      <c r="B36" s="1" t="str">
        <f>VLOOKUP(A36,Data[],2,FALSE)</f>
        <v>BRONX</v>
      </c>
      <c r="C36" s="9" t="s">
        <v>27</v>
      </c>
      <c r="D36" s="9" t="str">
        <f>VLOOKUP(EHD[[#This Row],[DEVELOPMENT]],Data[],52,FALSE)</f>
        <v>FEDERAL</v>
      </c>
      <c r="E36" s="1" t="str">
        <f>VLOOKUP(EHD[[#This Row],[DEVELOPMENT]],Data[],8,FALSE)</f>
        <v>Zone 1</v>
      </c>
      <c r="F36" s="9" t="str">
        <f>VLOOKUP(EHD[[#This Row],[DEVELOPMENT]],all[[DEVELOPMENT]:[MRST Ext. Comp. Priority]],6,FALSE)</f>
        <v>C</v>
      </c>
      <c r="G36" s="9">
        <v>6</v>
      </c>
      <c r="H36" s="1">
        <f>IF(VLOOKUP(EHD[[#This Row],[DEVELOPMENT]],Data[],9,FALSE)=0,5,VLOOKUP(EHD[[#This Row],[DEVELOPMENT]],Data[],9,FALSE))</f>
        <v>3</v>
      </c>
      <c r="I36" s="9">
        <f>EHD[[#This Row],[MRST '#HD]]</f>
        <v>6</v>
      </c>
      <c r="J36" s="1" t="str">
        <f ca="1">IFERROR(VLOOKUP(EHD[[#This Row],[DEVELOPMENT]],Data[],4,FALSE),"")</f>
        <v/>
      </c>
      <c r="K36" s="1" t="str">
        <f ca="1">IF(EHD[[#This Row],[RAD/PACT]]="","",IF(OR(EHD[[#This Row],[RAD/PACT]]="2021-2025",EHD[[#This Row],[RAD/PACT]]="2019-2020"),"Yes",""))</f>
        <v/>
      </c>
      <c r="L36" s="1">
        <v>2019</v>
      </c>
      <c r="M36" s="1">
        <v>2020</v>
      </c>
      <c r="N36" s="1" t="s">
        <v>20</v>
      </c>
      <c r="O36" s="47">
        <v>38658.230000000003</v>
      </c>
      <c r="P36" s="47"/>
      <c r="Q36" s="51">
        <f ca="1">SUM(INDEX(EHD['# Hopper Doors],1):EHD[[#This Row],['# Hopper Doors]])</f>
        <v>140</v>
      </c>
      <c r="R36" s="47">
        <f t="shared" si="0"/>
        <v>623440.81243499997</v>
      </c>
      <c r="S36" s="1">
        <f>IF(ISBLANK(EHD[[#This Row],[CALENDAR YEAR]]),ROUNDDOWN(EHD[[#This Row],[Running count]]/500,0)+$S$1,EHD[[#This Row],[CALENDAR YEAR]])</f>
        <v>2019</v>
      </c>
      <c r="T36" s="16" t="s">
        <v>446</v>
      </c>
    </row>
    <row r="37" spans="1:20">
      <c r="A37" s="66" t="s">
        <v>40</v>
      </c>
      <c r="B37" s="1" t="str">
        <f>VLOOKUP(A37,Data[],2,FALSE)</f>
        <v>BRONX</v>
      </c>
      <c r="C37" s="9" t="s">
        <v>27</v>
      </c>
      <c r="D37" s="9" t="str">
        <f>VLOOKUP(EHD[[#This Row],[DEVELOPMENT]],Data[],52,FALSE)</f>
        <v>FEDERAL</v>
      </c>
      <c r="E37" s="1" t="str">
        <f>VLOOKUP(EHD[[#This Row],[DEVELOPMENT]],Data[],8,FALSE)</f>
        <v>Zone 1</v>
      </c>
      <c r="F37" s="9" t="str">
        <f>VLOOKUP(EHD[[#This Row],[DEVELOPMENT]],all[[DEVELOPMENT]:[MRST Ext. Comp. Priority]],6,FALSE)</f>
        <v>None</v>
      </c>
      <c r="G37" s="9">
        <v>10</v>
      </c>
      <c r="H37" s="1">
        <f>IF(VLOOKUP(EHD[[#This Row],[DEVELOPMENT]],Data[],9,FALSE)=0,5,VLOOKUP(EHD[[#This Row],[DEVELOPMENT]],Data[],9,FALSE))</f>
        <v>3</v>
      </c>
      <c r="I37" s="9">
        <f>EHD[[#This Row],[MRST '#HD]]</f>
        <v>10</v>
      </c>
      <c r="J37" s="1" t="str">
        <f ca="1">IFERROR(VLOOKUP(EHD[[#This Row],[DEVELOPMENT]],Data[],4,FALSE),"")</f>
        <v/>
      </c>
      <c r="K37" s="1" t="str">
        <f ca="1">IF(EHD[[#This Row],[RAD/PACT]]="","",IF(OR(EHD[[#This Row],[RAD/PACT]]="2021-2025",EHD[[#This Row],[RAD/PACT]]="2019-2020"),"Yes",""))</f>
        <v/>
      </c>
      <c r="L37" s="1">
        <v>2019</v>
      </c>
      <c r="M37" s="1">
        <v>2020</v>
      </c>
      <c r="N37" s="1" t="s">
        <v>20</v>
      </c>
      <c r="O37" s="47">
        <v>57268.37</v>
      </c>
      <c r="P37" s="47"/>
      <c r="Q37" s="51">
        <f ca="1">SUM(INDEX(EHD['# Hopper Doors],1):EHD[[#This Row],['# Hopper Doors]])</f>
        <v>150</v>
      </c>
      <c r="R37" s="47">
        <f t="shared" si="0"/>
        <v>680709.18243499997</v>
      </c>
      <c r="S37" s="1">
        <f>IF(ISBLANK(EHD[[#This Row],[CALENDAR YEAR]]),ROUNDDOWN(EHD[[#This Row],[Running count]]/500,0)+$S$1,EHD[[#This Row],[CALENDAR YEAR]])</f>
        <v>2019</v>
      </c>
      <c r="T37" s="16" t="s">
        <v>446</v>
      </c>
    </row>
    <row r="38" spans="1:20">
      <c r="A38" s="66" t="s">
        <v>39</v>
      </c>
      <c r="B38" s="1" t="str">
        <f>VLOOKUP(A38,Data[],2,FALSE)</f>
        <v>BRONX</v>
      </c>
      <c r="C38" s="9" t="s">
        <v>27</v>
      </c>
      <c r="D38" s="9" t="str">
        <f>VLOOKUP(EHD[[#This Row],[DEVELOPMENT]],Data[],52,FALSE)</f>
        <v>FEDERAL</v>
      </c>
      <c r="E38" s="1" t="str">
        <f>VLOOKUP(EHD[[#This Row],[DEVELOPMENT]],Data[],8,FALSE)</f>
        <v>Zone 1</v>
      </c>
      <c r="F38" s="9" t="str">
        <f>VLOOKUP(EHD[[#This Row],[DEVELOPMENT]],all[[DEVELOPMENT]:[MRST Ext. Comp. Priority]],6,FALSE)</f>
        <v>A</v>
      </c>
      <c r="G38" s="9">
        <v>8</v>
      </c>
      <c r="H38" s="1">
        <f>IF(VLOOKUP(EHD[[#This Row],[DEVELOPMENT]],Data[],9,FALSE)=0,5,VLOOKUP(EHD[[#This Row],[DEVELOPMENT]],Data[],9,FALSE))</f>
        <v>4</v>
      </c>
      <c r="I38" s="9">
        <f>EHD[[#This Row],[MRST '#HD]]</f>
        <v>8</v>
      </c>
      <c r="J38" s="1" t="str">
        <f ca="1">IFERROR(VLOOKUP(EHD[[#This Row],[DEVELOPMENT]],Data[],4,FALSE),"")</f>
        <v>2022-2025</v>
      </c>
      <c r="K38" s="1" t="str">
        <f ca="1">IF(EHD[[#This Row],[RAD/PACT]]="","",IF(OR(EHD[[#This Row],[RAD/PACT]]="2021-2025",EHD[[#This Row],[RAD/PACT]]="2019-2020"),"Yes",""))</f>
        <v/>
      </c>
      <c r="L38" s="1">
        <v>2019</v>
      </c>
      <c r="M38" s="1">
        <v>2020</v>
      </c>
      <c r="N38" s="1" t="s">
        <v>20</v>
      </c>
      <c r="O38" s="47">
        <v>51048.6</v>
      </c>
      <c r="P38" s="47"/>
      <c r="Q38" s="51">
        <f ca="1">SUM(INDEX(EHD['# Hopper Doors],1):EHD[[#This Row],['# Hopper Doors]])</f>
        <v>158</v>
      </c>
      <c r="R38" s="47">
        <f t="shared" si="0"/>
        <v>731757.78243499994</v>
      </c>
      <c r="S38" s="1">
        <f>IF(ISBLANK(EHD[[#This Row],[CALENDAR YEAR]]),ROUNDDOWN(EHD[[#This Row],[Running count]]/500,0)+$S$1,EHD[[#This Row],[CALENDAR YEAR]])</f>
        <v>2019</v>
      </c>
      <c r="T38" s="16" t="s">
        <v>446</v>
      </c>
    </row>
    <row r="39" spans="1:20">
      <c r="A39" s="66" t="s">
        <v>41</v>
      </c>
      <c r="B39" s="1" t="str">
        <f>VLOOKUP(A39,Data[],2,FALSE)</f>
        <v>BRONX</v>
      </c>
      <c r="C39" s="9" t="s">
        <v>27</v>
      </c>
      <c r="D39" s="9" t="str">
        <f>VLOOKUP(EHD[[#This Row],[DEVELOPMENT]],Data[],52,FALSE)</f>
        <v>FEDERAL</v>
      </c>
      <c r="E39" s="1" t="str">
        <f>VLOOKUP(EHD[[#This Row],[DEVELOPMENT]],Data[],8,FALSE)</f>
        <v>Zone 1</v>
      </c>
      <c r="F39" s="9" t="str">
        <f>VLOOKUP(EHD[[#This Row],[DEVELOPMENT]],all[[DEVELOPMENT]:[MRST Ext. Comp. Priority]],6,FALSE)</f>
        <v>A</v>
      </c>
      <c r="G39" s="9">
        <v>5</v>
      </c>
      <c r="H39" s="1">
        <f>IF(VLOOKUP(EHD[[#This Row],[DEVELOPMENT]],Data[],9,FALSE)=0,5,VLOOKUP(EHD[[#This Row],[DEVELOPMENT]],Data[],9,FALSE))</f>
        <v>4</v>
      </c>
      <c r="I39" s="9">
        <f>EHD[[#This Row],[MRST '#HD]]</f>
        <v>5</v>
      </c>
      <c r="J39" s="1" t="str">
        <f ca="1">IFERROR(VLOOKUP(EHD[[#This Row],[DEVELOPMENT]],Data[],4,FALSE),"")</f>
        <v/>
      </c>
      <c r="K39" s="1" t="str">
        <f ca="1">IF(EHD[[#This Row],[RAD/PACT]]="","",IF(OR(EHD[[#This Row],[RAD/PACT]]="2021-2025",EHD[[#This Row],[RAD/PACT]]="2019-2020"),"Yes",""))</f>
        <v/>
      </c>
      <c r="L39" s="1">
        <v>2019</v>
      </c>
      <c r="M39" s="1">
        <v>2020</v>
      </c>
      <c r="N39" s="1" t="s">
        <v>404</v>
      </c>
      <c r="O39" s="47">
        <v>32430.28</v>
      </c>
      <c r="P39" s="47"/>
      <c r="Q39" s="51">
        <f ca="1">SUM(INDEX(EHD['# Hopper Doors],1):EHD[[#This Row],['# Hopper Doors]])</f>
        <v>163</v>
      </c>
      <c r="R39" s="47">
        <f t="shared" si="0"/>
        <v>764188.06243499997</v>
      </c>
      <c r="S39" s="1">
        <f>IF(ISBLANK(EHD[[#This Row],[CALENDAR YEAR]]),ROUNDDOWN(EHD[[#This Row],[Running count]]/500,0)+$S$1,EHD[[#This Row],[CALENDAR YEAR]])</f>
        <v>2019</v>
      </c>
      <c r="T39" s="16" t="s">
        <v>446</v>
      </c>
    </row>
    <row r="40" spans="1:20">
      <c r="A40" s="66" t="s">
        <v>47</v>
      </c>
      <c r="B40" s="1" t="str">
        <f>VLOOKUP(A40,Data[],2,FALSE)</f>
        <v>BRONX</v>
      </c>
      <c r="C40" s="9" t="s">
        <v>27</v>
      </c>
      <c r="D40" s="9" t="str">
        <f>VLOOKUP(EHD[[#This Row],[DEVELOPMENT]],Data[],52,FALSE)</f>
        <v>FEDERAL</v>
      </c>
      <c r="E40" s="1" t="str">
        <f>VLOOKUP(EHD[[#This Row],[DEVELOPMENT]],Data[],8,FALSE)</f>
        <v>Zone 1</v>
      </c>
      <c r="F40" s="9" t="str">
        <f>VLOOKUP(EHD[[#This Row],[DEVELOPMENT]],all[[DEVELOPMENT]:[MRST Ext. Comp. Priority]],6,FALSE)</f>
        <v>A</v>
      </c>
      <c r="G40" s="9">
        <v>5</v>
      </c>
      <c r="H40" s="1">
        <f>IF(VLOOKUP(EHD[[#This Row],[DEVELOPMENT]],Data[],9,FALSE)=0,5,VLOOKUP(EHD[[#This Row],[DEVELOPMENT]],Data[],9,FALSE))</f>
        <v>4</v>
      </c>
      <c r="I40" s="9">
        <f>EHD[[#This Row],[MRST '#HD]]</f>
        <v>5</v>
      </c>
      <c r="J40" s="1" t="str">
        <f ca="1">IFERROR(VLOOKUP(EHD[[#This Row],[DEVELOPMENT]],Data[],4,FALSE),"")</f>
        <v/>
      </c>
      <c r="K40" s="1" t="str">
        <f ca="1">IF(EHD[[#This Row],[RAD/PACT]]="","",IF(OR(EHD[[#This Row],[RAD/PACT]]="2021-2025",EHD[[#This Row],[RAD/PACT]]="2019-2020"),"Yes",""))</f>
        <v/>
      </c>
      <c r="L40" s="1">
        <v>2019</v>
      </c>
      <c r="M40" s="1">
        <v>2020</v>
      </c>
      <c r="N40" s="1" t="s">
        <v>20</v>
      </c>
      <c r="O40" s="3">
        <v>32309.48</v>
      </c>
      <c r="P40" s="47"/>
      <c r="Q40" s="51">
        <f ca="1">SUM(INDEX(EHD['# Hopper Doors],1):EHD[[#This Row],['# Hopper Doors]])</f>
        <v>168</v>
      </c>
      <c r="R40" s="47">
        <f t="shared" si="0"/>
        <v>796497.54243499995</v>
      </c>
      <c r="S40" s="1">
        <f>IF(ISBLANK(EHD[[#This Row],[CALENDAR YEAR]]),ROUNDDOWN(EHD[[#This Row],[Running count]]/500,0)+$S$1,EHD[[#This Row],[CALENDAR YEAR]])</f>
        <v>2019</v>
      </c>
      <c r="T40" s="16" t="s">
        <v>446</v>
      </c>
    </row>
    <row r="41" spans="1:20">
      <c r="A41" s="66" t="s">
        <v>32</v>
      </c>
      <c r="B41" s="1" t="str">
        <f>VLOOKUP(A41,Data[],2,FALSE)</f>
        <v>BRONX</v>
      </c>
      <c r="C41" s="9" t="s">
        <v>27</v>
      </c>
      <c r="D41" s="9" t="str">
        <f>VLOOKUP(EHD[[#This Row],[DEVELOPMENT]],Data[],52,FALSE)</f>
        <v>FEDERAL</v>
      </c>
      <c r="E41" s="1" t="str">
        <f>VLOOKUP(EHD[[#This Row],[DEVELOPMENT]],Data[],8,FALSE)</f>
        <v>Zone 1</v>
      </c>
      <c r="F41" s="9" t="str">
        <f>VLOOKUP(EHD[[#This Row],[DEVELOPMENT]],all[[DEVELOPMENT]:[MRST Ext. Comp. Priority]],6,FALSE)</f>
        <v>C</v>
      </c>
      <c r="G41" s="9">
        <v>8</v>
      </c>
      <c r="H41" s="1">
        <f>IF(VLOOKUP(EHD[[#This Row],[DEVELOPMENT]],Data[],9,FALSE)=0,5,VLOOKUP(EHD[[#This Row],[DEVELOPMENT]],Data[],9,FALSE))</f>
        <v>4</v>
      </c>
      <c r="I41" s="9">
        <f>EHD[[#This Row],[MRST '#HD]]</f>
        <v>8</v>
      </c>
      <c r="J41" s="1" t="str">
        <f ca="1">IFERROR(VLOOKUP(EHD[[#This Row],[DEVELOPMENT]],Data[],4,FALSE),"")</f>
        <v>2022-2025</v>
      </c>
      <c r="K41" s="1" t="str">
        <f ca="1">IF(EHD[[#This Row],[RAD/PACT]]="","",IF(OR(EHD[[#This Row],[RAD/PACT]]="2021-2025",EHD[[#This Row],[RAD/PACT]]="2019-2020"),"Yes",""))</f>
        <v/>
      </c>
      <c r="L41" s="1">
        <v>2019</v>
      </c>
      <c r="M41" s="1">
        <v>2020</v>
      </c>
      <c r="N41" s="1" t="s">
        <v>404</v>
      </c>
      <c r="O41" s="47">
        <v>51048.6</v>
      </c>
      <c r="P41" s="47"/>
      <c r="Q41" s="51">
        <f ca="1">SUM(INDEX(EHD['# Hopper Doors],1):EHD[[#This Row],['# Hopper Doors]])</f>
        <v>176</v>
      </c>
      <c r="R41" s="47">
        <f t="shared" si="0"/>
        <v>847546.14243499993</v>
      </c>
      <c r="S41" s="1">
        <f>IF(ISBLANK(EHD[[#This Row],[CALENDAR YEAR]]),ROUNDDOWN(EHD[[#This Row],[Running count]]/500,0)+$S$1,EHD[[#This Row],[CALENDAR YEAR]])</f>
        <v>2019</v>
      </c>
      <c r="T41" s="16" t="s">
        <v>446</v>
      </c>
    </row>
    <row r="42" spans="1:20">
      <c r="A42" s="66" t="s">
        <v>35</v>
      </c>
      <c r="B42" s="1" t="str">
        <f>VLOOKUP(A42,Data[],2,FALSE)</f>
        <v>BRONX</v>
      </c>
      <c r="C42" s="9" t="s">
        <v>27</v>
      </c>
      <c r="D42" s="9" t="str">
        <f>VLOOKUP(EHD[[#This Row],[DEVELOPMENT]],Data[],52,FALSE)</f>
        <v>FEDERAL</v>
      </c>
      <c r="E42" s="1" t="str">
        <f>VLOOKUP(EHD[[#This Row],[DEVELOPMENT]],Data[],8,FALSE)</f>
        <v>Zone 1</v>
      </c>
      <c r="F42" s="9" t="str">
        <f>VLOOKUP(EHD[[#This Row],[DEVELOPMENT]],all[[DEVELOPMENT]:[MRST Ext. Comp. Priority]],6,FALSE)</f>
        <v>C</v>
      </c>
      <c r="G42" s="9">
        <v>7</v>
      </c>
      <c r="H42" s="1">
        <f>IF(VLOOKUP(EHD[[#This Row],[DEVELOPMENT]],Data[],9,FALSE)=0,5,VLOOKUP(EHD[[#This Row],[DEVELOPMENT]],Data[],9,FALSE))</f>
        <v>4</v>
      </c>
      <c r="I42" s="9">
        <f>EHD[[#This Row],[MRST '#HD]]</f>
        <v>7</v>
      </c>
      <c r="J42" s="1" t="str">
        <f ca="1">IFERROR(VLOOKUP(EHD[[#This Row],[DEVELOPMENT]],Data[],4,FALSE),"")</f>
        <v/>
      </c>
      <c r="K42" s="1" t="str">
        <f ca="1">IF(EHD[[#This Row],[RAD/PACT]]="","",IF(OR(EHD[[#This Row],[RAD/PACT]]="2021-2025",EHD[[#This Row],[RAD/PACT]]="2019-2020"),"Yes",""))</f>
        <v/>
      </c>
      <c r="L42" s="1">
        <v>2019</v>
      </c>
      <c r="M42" s="1">
        <v>2020</v>
      </c>
      <c r="N42" s="1" t="s">
        <v>20</v>
      </c>
      <c r="O42" s="47">
        <v>44828.82</v>
      </c>
      <c r="P42" s="47"/>
      <c r="Q42" s="51">
        <f ca="1">SUM(INDEX(EHD['# Hopper Doors],1):EHD[[#This Row],['# Hopper Doors]])</f>
        <v>183</v>
      </c>
      <c r="R42" s="47">
        <f t="shared" si="0"/>
        <v>892374.96243499988</v>
      </c>
      <c r="S42" s="1">
        <f>IF(ISBLANK(EHD[[#This Row],[CALENDAR YEAR]]),ROUNDDOWN(EHD[[#This Row],[Running count]]/500,0)+$S$1,EHD[[#This Row],[CALENDAR YEAR]])</f>
        <v>2019</v>
      </c>
      <c r="T42" s="16" t="s">
        <v>446</v>
      </c>
    </row>
    <row r="43" spans="1:20">
      <c r="A43" s="66" t="s">
        <v>44</v>
      </c>
      <c r="B43" s="1" t="str">
        <f>VLOOKUP(A43,Data[],2,FALSE)</f>
        <v>MANHATTAN</v>
      </c>
      <c r="C43" s="9" t="s">
        <v>27</v>
      </c>
      <c r="D43" s="9" t="str">
        <f>VLOOKUP(EHD[[#This Row],[DEVELOPMENT]],Data[],52,FALSE)</f>
        <v>FEDERAL</v>
      </c>
      <c r="E43" s="1" t="str">
        <f>VLOOKUP(EHD[[#This Row],[DEVELOPMENT]],Data[],8,FALSE)</f>
        <v>Zone 1</v>
      </c>
      <c r="F43" s="9" t="str">
        <f>VLOOKUP(EHD[[#This Row],[DEVELOPMENT]],all[[DEVELOPMENT]:[MRST Ext. Comp. Priority]],6,FALSE)</f>
        <v>C</v>
      </c>
      <c r="G43" s="9">
        <v>12</v>
      </c>
      <c r="H43" s="1">
        <f>IF(VLOOKUP(EHD[[#This Row],[DEVELOPMENT]],Data[],9,FALSE)=0,5,VLOOKUP(EHD[[#This Row],[DEVELOPMENT]],Data[],9,FALSE))</f>
        <v>4</v>
      </c>
      <c r="I43" s="9">
        <f>EHD[[#This Row],[MRST '#HD]]</f>
        <v>12</v>
      </c>
      <c r="J43" s="1" t="str">
        <f ca="1">IFERROR(VLOOKUP(EHD[[#This Row],[DEVELOPMENT]],Data[],4,FALSE),"")</f>
        <v/>
      </c>
      <c r="K43" s="1" t="str">
        <f ca="1">IF(EHD[[#This Row],[RAD/PACT]]="","",IF(OR(EHD[[#This Row],[RAD/PACT]]="2021-2025",EHD[[#This Row],[RAD/PACT]]="2019-2020"),"Yes",""))</f>
        <v/>
      </c>
      <c r="L43" s="1">
        <v>2019</v>
      </c>
      <c r="M43" s="1">
        <v>2020</v>
      </c>
      <c r="N43" s="1" t="s">
        <v>20</v>
      </c>
      <c r="O43" s="47">
        <v>74933.740000000005</v>
      </c>
      <c r="P43" s="47"/>
      <c r="Q43" s="51">
        <f ca="1">SUM(INDEX(EHD['# Hopper Doors],1):EHD[[#This Row],['# Hopper Doors]])</f>
        <v>195</v>
      </c>
      <c r="R43" s="47">
        <f t="shared" si="0"/>
        <v>967308.70243499987</v>
      </c>
      <c r="S43" s="1">
        <f>IF(ISBLANK(EHD[[#This Row],[CALENDAR YEAR]]),ROUNDDOWN(EHD[[#This Row],[Running count]]/500,0)+$S$1,EHD[[#This Row],[CALENDAR YEAR]])</f>
        <v>2019</v>
      </c>
      <c r="T43" s="16" t="s">
        <v>446</v>
      </c>
    </row>
    <row r="44" spans="1:20">
      <c r="A44" s="66" t="s">
        <v>45</v>
      </c>
      <c r="B44" s="1" t="str">
        <f>VLOOKUP(A44,Data[],2,FALSE)</f>
        <v>BROOKLYN</v>
      </c>
      <c r="C44" s="9" t="s">
        <v>27</v>
      </c>
      <c r="D44" s="9" t="str">
        <f>VLOOKUP(EHD[[#This Row],[DEVELOPMENT]],Data[],52,FALSE)</f>
        <v>FEDERAL</v>
      </c>
      <c r="E44" s="1" t="str">
        <f>VLOOKUP(EHD[[#This Row],[DEVELOPMENT]],Data[],8,FALSE)</f>
        <v>Zone 1</v>
      </c>
      <c r="F44" s="9" t="str">
        <f>VLOOKUP(EHD[[#This Row],[DEVELOPMENT]],all[[DEVELOPMENT]:[MRST Ext. Comp. Priority]],6,FALSE)</f>
        <v>C</v>
      </c>
      <c r="G44" s="9">
        <v>24</v>
      </c>
      <c r="H44" s="1">
        <f>IF(VLOOKUP(EHD[[#This Row],[DEVELOPMENT]],Data[],9,FALSE)=0,5,VLOOKUP(EHD[[#This Row],[DEVELOPMENT]],Data[],9,FALSE))</f>
        <v>4</v>
      </c>
      <c r="I44" s="9">
        <f>EHD[[#This Row],[MRST '#HD]]</f>
        <v>24</v>
      </c>
      <c r="J44" s="1" t="str">
        <f ca="1">IFERROR(VLOOKUP(EHD[[#This Row],[DEVELOPMENT]],Data[],4,FALSE),"")</f>
        <v/>
      </c>
      <c r="K44" s="1" t="str">
        <f ca="1">IF(EHD[[#This Row],[RAD/PACT]]="","",IF(OR(EHD[[#This Row],[RAD/PACT]]="2021-2025",EHD[[#This Row],[RAD/PACT]]="2019-2020"),"Yes",""))</f>
        <v/>
      </c>
      <c r="L44" s="1">
        <v>2019</v>
      </c>
      <c r="M44" s="1">
        <v>2020</v>
      </c>
      <c r="N44" s="1" t="s">
        <v>20</v>
      </c>
      <c r="O44" s="47">
        <v>148620.14000000001</v>
      </c>
      <c r="P44" s="47"/>
      <c r="Q44" s="51">
        <f ca="1">SUM(INDEX(EHD['# Hopper Doors],1):EHD[[#This Row],['# Hopper Doors]])</f>
        <v>219</v>
      </c>
      <c r="R44" s="47">
        <f t="shared" si="0"/>
        <v>1115928.842435</v>
      </c>
      <c r="S44" s="1">
        <f>IF(ISBLANK(EHD[[#This Row],[CALENDAR YEAR]]),ROUNDDOWN(EHD[[#This Row],[Running count]]/500,0)+$S$1,EHD[[#This Row],[CALENDAR YEAR]])</f>
        <v>2019</v>
      </c>
      <c r="T44" s="16" t="s">
        <v>446</v>
      </c>
    </row>
    <row r="45" spans="1:20">
      <c r="A45" s="66" t="s">
        <v>34</v>
      </c>
      <c r="B45" s="1" t="str">
        <f>VLOOKUP(A45,Data[],2,FALSE)</f>
        <v>BRONX</v>
      </c>
      <c r="C45" s="9" t="s">
        <v>27</v>
      </c>
      <c r="D45" s="9" t="str">
        <f>VLOOKUP(EHD[[#This Row],[DEVELOPMENT]],Data[],52,FALSE)</f>
        <v>FEDERAL</v>
      </c>
      <c r="E45" s="1" t="str">
        <f>VLOOKUP(EHD[[#This Row],[DEVELOPMENT]],Data[],8,FALSE)</f>
        <v>Zone 1</v>
      </c>
      <c r="F45" s="9" t="str">
        <f>VLOOKUP(EHD[[#This Row],[DEVELOPMENT]],all[[DEVELOPMENT]:[MRST Ext. Comp. Priority]],6,FALSE)</f>
        <v>None</v>
      </c>
      <c r="G45" s="9">
        <v>9</v>
      </c>
      <c r="H45" s="1">
        <f>IF(VLOOKUP(EHD[[#This Row],[DEVELOPMENT]],Data[],9,FALSE)=0,5,VLOOKUP(EHD[[#This Row],[DEVELOPMENT]],Data[],9,FALSE))</f>
        <v>4</v>
      </c>
      <c r="I45" s="9">
        <f>EHD[[#This Row],[MRST '#HD]]</f>
        <v>9</v>
      </c>
      <c r="J45" s="1" t="str">
        <f ca="1">IFERROR(VLOOKUP(EHD[[#This Row],[DEVELOPMENT]],Data[],4,FALSE),"")</f>
        <v>2022-2025</v>
      </c>
      <c r="K45" s="1" t="str">
        <f ca="1">IF(EHD[[#This Row],[RAD/PACT]]="","",IF(OR(EHD[[#This Row],[RAD/PACT]]="2021-2025",EHD[[#This Row],[RAD/PACT]]="2019-2020"),"Yes",""))</f>
        <v/>
      </c>
      <c r="L45" s="1">
        <v>2019</v>
      </c>
      <c r="M45" s="1">
        <v>2020</v>
      </c>
      <c r="N45" s="1" t="s">
        <v>404</v>
      </c>
      <c r="O45" s="47">
        <v>57268.37</v>
      </c>
      <c r="P45" s="47"/>
      <c r="Q45" s="51">
        <f ca="1">SUM(INDEX(EHD['# Hopper Doors],1):EHD[[#This Row],['# Hopper Doors]])</f>
        <v>228</v>
      </c>
      <c r="R45" s="47">
        <f t="shared" si="0"/>
        <v>1173197.2124350001</v>
      </c>
      <c r="S45" s="1">
        <f>IF(ISBLANK(EHD[[#This Row],[CALENDAR YEAR]]),ROUNDDOWN(EHD[[#This Row],[Running count]]/500,0)+$S$1,EHD[[#This Row],[CALENDAR YEAR]])</f>
        <v>2019</v>
      </c>
      <c r="T45" s="16" t="s">
        <v>446</v>
      </c>
    </row>
    <row r="46" spans="1:20">
      <c r="A46" s="66" t="s">
        <v>42</v>
      </c>
      <c r="B46" s="1" t="str">
        <f>VLOOKUP(A46,Data[],2,FALSE)</f>
        <v>BROOKLYN</v>
      </c>
      <c r="C46" s="9" t="s">
        <v>27</v>
      </c>
      <c r="D46" s="9" t="str">
        <f>VLOOKUP(EHD[[#This Row],[DEVELOPMENT]],Data[],52,FALSE)</f>
        <v>FEDERAL</v>
      </c>
      <c r="E46" s="1" t="str">
        <f>VLOOKUP(EHD[[#This Row],[DEVELOPMENT]],Data[],8,FALSE)</f>
        <v>Zone 1</v>
      </c>
      <c r="F46" s="9" t="str">
        <f>VLOOKUP(EHD[[#This Row],[DEVELOPMENT]],all[[DEVELOPMENT]:[MRST Ext. Comp. Priority]],6,FALSE)</f>
        <v>None</v>
      </c>
      <c r="G46" s="9">
        <v>6</v>
      </c>
      <c r="H46" s="1">
        <f>IF(VLOOKUP(EHD[[#This Row],[DEVELOPMENT]],Data[],9,FALSE)=0,5,VLOOKUP(EHD[[#This Row],[DEVELOPMENT]],Data[],9,FALSE))</f>
        <v>4</v>
      </c>
      <c r="I46" s="9">
        <f>EHD[[#This Row],[MRST '#HD]]</f>
        <v>6</v>
      </c>
      <c r="J46" s="1" t="str">
        <f ca="1">IFERROR(VLOOKUP(EHD[[#This Row],[DEVELOPMENT]],Data[],4,FALSE),"")</f>
        <v/>
      </c>
      <c r="K46" s="1" t="str">
        <f ca="1">IF(EHD[[#This Row],[RAD/PACT]]="","",IF(OR(EHD[[#This Row],[RAD/PACT]]="2021-2025",EHD[[#This Row],[RAD/PACT]]="2019-2020"),"Yes",""))</f>
        <v/>
      </c>
      <c r="L46" s="1">
        <v>2019</v>
      </c>
      <c r="M46" s="1">
        <v>2020</v>
      </c>
      <c r="N46" s="1" t="s">
        <v>20</v>
      </c>
      <c r="O46" s="47">
        <v>38790.68</v>
      </c>
      <c r="P46" s="47"/>
      <c r="Q46" s="51">
        <f ca="1">SUM(INDEX(EHD['# Hopper Doors],1):EHD[[#This Row],['# Hopper Doors]])</f>
        <v>234</v>
      </c>
      <c r="R46" s="47">
        <f t="shared" si="0"/>
        <v>1211987.892435</v>
      </c>
      <c r="S46" s="1">
        <f>IF(ISBLANK(EHD[[#This Row],[CALENDAR YEAR]]),ROUNDDOWN(EHD[[#This Row],[Running count]]/500,0)+$S$1,EHD[[#This Row],[CALENDAR YEAR]])</f>
        <v>2019</v>
      </c>
      <c r="T46" s="16" t="s">
        <v>446</v>
      </c>
    </row>
    <row r="47" spans="1:20">
      <c r="A47" s="66" t="s">
        <v>43</v>
      </c>
      <c r="B47" s="1" t="str">
        <f>VLOOKUP(A47,Data[],2,FALSE)</f>
        <v>MANHATTAN</v>
      </c>
      <c r="C47" s="9" t="s">
        <v>27</v>
      </c>
      <c r="D47" s="9" t="str">
        <f>VLOOKUP(EHD[[#This Row],[DEVELOPMENT]],Data[],52,FALSE)</f>
        <v>MIXED FINANCE/LLC1</v>
      </c>
      <c r="E47" s="1" t="str">
        <f>VLOOKUP(EHD[[#This Row],[DEVELOPMENT]],Data[],8,FALSE)</f>
        <v>Zone 1</v>
      </c>
      <c r="F47" s="9" t="str">
        <f>VLOOKUP(EHD[[#This Row],[DEVELOPMENT]],all[[DEVELOPMENT]:[MRST Ext. Comp. Priority]],6,FALSE)</f>
        <v>None</v>
      </c>
      <c r="G47" s="9">
        <v>5</v>
      </c>
      <c r="H47" s="1">
        <f>IF(VLOOKUP(EHD[[#This Row],[DEVELOPMENT]],Data[],9,FALSE)=0,5,VLOOKUP(EHD[[#This Row],[DEVELOPMENT]],Data[],9,FALSE))</f>
        <v>4</v>
      </c>
      <c r="I47" s="9">
        <f>EHD[[#This Row],[MRST '#HD]]</f>
        <v>5</v>
      </c>
      <c r="J47" s="1" t="str">
        <f ca="1">IFERROR(VLOOKUP(EHD[[#This Row],[DEVELOPMENT]],Data[],4,FALSE),"")</f>
        <v/>
      </c>
      <c r="K47" s="1" t="str">
        <f ca="1">IF(EHD[[#This Row],[RAD/PACT]]="","",IF(OR(EHD[[#This Row],[RAD/PACT]]="2021-2025",EHD[[#This Row],[RAD/PACT]]="2019-2020"),"Yes",""))</f>
        <v/>
      </c>
      <c r="L47" s="1">
        <v>2019</v>
      </c>
      <c r="M47" s="1">
        <v>2020</v>
      </c>
      <c r="N47" s="1" t="s">
        <v>20</v>
      </c>
      <c r="O47" s="47">
        <v>32007.26</v>
      </c>
      <c r="P47" s="47"/>
      <c r="Q47" s="51">
        <f ca="1">SUM(INDEX(EHD['# Hopper Doors],1):EHD[[#This Row],['# Hopper Doors]])</f>
        <v>239</v>
      </c>
      <c r="R47" s="47">
        <f t="shared" si="0"/>
        <v>1243995.1524350001</v>
      </c>
      <c r="S47" s="1">
        <f>IF(ISBLANK(EHD[[#This Row],[CALENDAR YEAR]]),ROUNDDOWN(EHD[[#This Row],[Running count]]/500,0)+$S$1,EHD[[#This Row],[CALENDAR YEAR]])</f>
        <v>2019</v>
      </c>
      <c r="T47" s="16" t="s">
        <v>446</v>
      </c>
    </row>
    <row r="48" spans="1:20">
      <c r="A48" s="66" t="s">
        <v>46</v>
      </c>
      <c r="B48" s="1" t="str">
        <f>VLOOKUP(A48,Data[],2,FALSE)</f>
        <v>BROOKLYN</v>
      </c>
      <c r="C48" s="9" t="s">
        <v>27</v>
      </c>
      <c r="D48" s="9" t="str">
        <f>VLOOKUP(EHD[[#This Row],[DEVELOPMENT]],Data[],52,FALSE)</f>
        <v>FEDERAL</v>
      </c>
      <c r="E48" s="1" t="str">
        <f>VLOOKUP(EHD[[#This Row],[DEVELOPMENT]],Data[],8,FALSE)</f>
        <v>Zone 1</v>
      </c>
      <c r="F48" s="9" t="str">
        <f>VLOOKUP(EHD[[#This Row],[DEVELOPMENT]],all[[DEVELOPMENT]:[MRST Ext. Comp. Priority]],6,FALSE)</f>
        <v>None</v>
      </c>
      <c r="G48" s="9">
        <v>12</v>
      </c>
      <c r="H48" s="1">
        <f>IF(VLOOKUP(EHD[[#This Row],[DEVELOPMENT]],Data[],9,FALSE)=0,5,VLOOKUP(EHD[[#This Row],[DEVELOPMENT]],Data[],9,FALSE))</f>
        <v>4</v>
      </c>
      <c r="I48" s="9">
        <f>EHD[[#This Row],[MRST '#HD]]</f>
        <v>12</v>
      </c>
      <c r="J48" s="1" t="str">
        <f ca="1">IFERROR(VLOOKUP(EHD[[#This Row],[DEVELOPMENT]],Data[],4,FALSE),"")</f>
        <v>2026+</v>
      </c>
      <c r="K48" s="1" t="str">
        <f ca="1">IF(EHD[[#This Row],[RAD/PACT]]="","",IF(OR(EHD[[#This Row],[RAD/PACT]]="2021-2025",EHD[[#This Row],[RAD/PACT]]="2019-2020"),"Yes",""))</f>
        <v/>
      </c>
      <c r="L48" s="1">
        <v>2019</v>
      </c>
      <c r="M48" s="1">
        <v>2020</v>
      </c>
      <c r="N48" s="1" t="s">
        <v>404</v>
      </c>
      <c r="O48" s="47">
        <v>74933.740000000005</v>
      </c>
      <c r="P48" s="47"/>
      <c r="Q48" s="51">
        <f ca="1">SUM(INDEX(EHD['# Hopper Doors],1):EHD[[#This Row],['# Hopper Doors]])</f>
        <v>251</v>
      </c>
      <c r="R48" s="47">
        <f t="shared" si="0"/>
        <v>1318928.892435</v>
      </c>
      <c r="S48" s="1">
        <f>IF(ISBLANK(EHD[[#This Row],[CALENDAR YEAR]]),ROUNDDOWN(EHD[[#This Row],[Running count]]/500,0)+$S$1,EHD[[#This Row],[CALENDAR YEAR]])</f>
        <v>2019</v>
      </c>
      <c r="T48" s="16" t="s">
        <v>446</v>
      </c>
    </row>
    <row r="49" spans="1:20">
      <c r="A49" s="66" t="s">
        <v>147</v>
      </c>
      <c r="B49" s="1" t="str">
        <f>VLOOKUP(A49,Data[],2,FALSE)</f>
        <v>BRONX</v>
      </c>
      <c r="C49" s="9" t="s">
        <v>27</v>
      </c>
      <c r="D49" s="9" t="str">
        <f>VLOOKUP(EHD[[#This Row],[DEVELOPMENT]],Data[],52,FALSE)</f>
        <v>FEDERAL</v>
      </c>
      <c r="E49" s="1" t="str">
        <f>VLOOKUP(EHD[[#This Row],[DEVELOPMENT]],Data[],8,FALSE)</f>
        <v>Zone 1</v>
      </c>
      <c r="F49" s="9" t="str">
        <f>VLOOKUP(EHD[[#This Row],[DEVELOPMENT]],all[[DEVELOPMENT]:[MRST Ext. Comp. Priority]],6,FALSE)</f>
        <v>C</v>
      </c>
      <c r="G49" s="9">
        <v>2</v>
      </c>
      <c r="H49" s="1">
        <f>IF(VLOOKUP(EHD[[#This Row],[DEVELOPMENT]],Data[],9,FALSE)=0,5,VLOOKUP(EHD[[#This Row],[DEVELOPMENT]],Data[],9,FALSE))</f>
        <v>1</v>
      </c>
      <c r="I49" s="9">
        <f>EHD[[#This Row],[MRST '#HD]]</f>
        <v>2</v>
      </c>
      <c r="J49" s="1" t="str">
        <f ca="1">IFERROR(VLOOKUP(EHD[[#This Row],[DEVELOPMENT]],Data[],4,FALSE),"")</f>
        <v/>
      </c>
      <c r="K49" s="1" t="str">
        <f ca="1">IF(EHD[[#This Row],[RAD/PACT]]="","",IF(OR(EHD[[#This Row],[RAD/PACT]]="2021-2025",EHD[[#This Row],[RAD/PACT]]="2019-2020"),"Yes",""))</f>
        <v/>
      </c>
      <c r="L49" s="1">
        <v>2020</v>
      </c>
      <c r="M49" s="1">
        <v>2020</v>
      </c>
      <c r="N49" s="1" t="s">
        <v>402</v>
      </c>
      <c r="O49" s="1"/>
      <c r="P49" s="47">
        <f ca="1">IF(EHD[[#This Row],[RAD/PACT]]="2019-2020",0,INDEX(UnitCosts[],MATCH(EHD[[#This Row],[WORK TYPE]],UnitCosts[Work Type],0),2)*EHD[[#This Row],['# Hopper Doors]])*(1+((EHD[[#This Row],[est. Year]]-YEAR(TODAY()))*$P$2))</f>
        <v>14871.287</v>
      </c>
      <c r="Q49" s="51">
        <f ca="1">SUM(INDEX(EHD['# Hopper Doors],1):EHD[[#This Row],['# Hopper Doors]])</f>
        <v>253</v>
      </c>
      <c r="R49" s="47">
        <f t="shared" ca="1" si="0"/>
        <v>14871.287</v>
      </c>
      <c r="S49" s="1">
        <f>IF(ISBLANK(EHD[[#This Row],[CALENDAR YEAR]]),ROUNDDOWN(EHD[[#This Row],[Running count]]/500,0)+$S$1,EHD[[#This Row],[CALENDAR YEAR]])</f>
        <v>2020</v>
      </c>
      <c r="T49" s="16" t="s">
        <v>448</v>
      </c>
    </row>
    <row r="50" spans="1:20">
      <c r="A50" s="66" t="s">
        <v>140</v>
      </c>
      <c r="B50" s="1" t="str">
        <f>VLOOKUP(A50,Data[],2,FALSE)</f>
        <v>BRONX</v>
      </c>
      <c r="C50" s="9" t="s">
        <v>27</v>
      </c>
      <c r="D50" s="9" t="str">
        <f>VLOOKUP(EHD[[#This Row],[DEVELOPMENT]],Data[],52,FALSE)</f>
        <v>FEDERAL</v>
      </c>
      <c r="E50" s="1" t="str">
        <f>VLOOKUP(EHD[[#This Row],[DEVELOPMENT]],Data[],8,FALSE)</f>
        <v>Zone 1</v>
      </c>
      <c r="F50" s="9" t="str">
        <f>VLOOKUP(EHD[[#This Row],[DEVELOPMENT]],all[[DEVELOPMENT]:[MRST Ext. Comp. Priority]],6,FALSE)</f>
        <v>A</v>
      </c>
      <c r="G50" s="9">
        <v>7</v>
      </c>
      <c r="H50" s="1">
        <f>IF(VLOOKUP(EHD[[#This Row],[DEVELOPMENT]],Data[],9,FALSE)=0,5,VLOOKUP(EHD[[#This Row],[DEVELOPMENT]],Data[],9,FALSE))</f>
        <v>2</v>
      </c>
      <c r="I50" s="9">
        <f>EHD[[#This Row],[MRST '#HD]]</f>
        <v>7</v>
      </c>
      <c r="J50" s="1" t="str">
        <f ca="1">IFERROR(VLOOKUP(EHD[[#This Row],[DEVELOPMENT]],Data[],4,FALSE),"")</f>
        <v/>
      </c>
      <c r="K50" s="1" t="str">
        <f ca="1">IF(EHD[[#This Row],[RAD/PACT]]="","",IF(OR(EHD[[#This Row],[RAD/PACT]]="2021-2025",EHD[[#This Row],[RAD/PACT]]="2019-2020"),"Yes",""))</f>
        <v/>
      </c>
      <c r="L50" s="1">
        <v>2020</v>
      </c>
      <c r="M50" s="1">
        <v>2020</v>
      </c>
      <c r="N50" s="1" t="s">
        <v>402</v>
      </c>
      <c r="O50" s="1"/>
      <c r="P50" s="47">
        <f ca="1">IF(EHD[[#This Row],[RAD/PACT]]="2019-2020",0,INDEX(UnitCosts[],MATCH(EHD[[#This Row],[WORK TYPE]],UnitCosts[Work Type],0),2)*EHD[[#This Row],['# Hopper Doors]])*(1+((EHD[[#This Row],[est. Year]]-YEAR(TODAY()))*$P$2))</f>
        <v>52049.504500000003</v>
      </c>
      <c r="Q50" s="51">
        <f ca="1">SUM(INDEX(EHD['# Hopper Doors],1):EHD[[#This Row],['# Hopper Doors]])</f>
        <v>260</v>
      </c>
      <c r="R50" s="47">
        <f t="shared" ca="1" si="0"/>
        <v>66920.791500000007</v>
      </c>
      <c r="S50" s="1">
        <f>IF(ISBLANK(EHD[[#This Row],[CALENDAR YEAR]]),ROUNDDOWN(EHD[[#This Row],[Running count]]/500,0)+$S$1,EHD[[#This Row],[CALENDAR YEAR]])</f>
        <v>2020</v>
      </c>
      <c r="T50" s="16" t="s">
        <v>448</v>
      </c>
    </row>
    <row r="51" spans="1:20">
      <c r="A51" s="66" t="s">
        <v>121</v>
      </c>
      <c r="B51" s="1" t="str">
        <f>VLOOKUP(A51,Data[],2,FALSE)</f>
        <v>BRONX</v>
      </c>
      <c r="C51" s="9" t="s">
        <v>27</v>
      </c>
      <c r="D51" s="9" t="str">
        <f>VLOOKUP(EHD[[#This Row],[DEVELOPMENT]],Data[],52,FALSE)</f>
        <v>FEDERAL</v>
      </c>
      <c r="E51" s="1" t="str">
        <f>VLOOKUP(EHD[[#This Row],[DEVELOPMENT]],Data[],8,FALSE)</f>
        <v>Zone 1</v>
      </c>
      <c r="F51" s="9" t="str">
        <f>VLOOKUP(EHD[[#This Row],[DEVELOPMENT]],all[[DEVELOPMENT]:[MRST Ext. Comp. Priority]],6,FALSE)</f>
        <v>A</v>
      </c>
      <c r="G51" s="9">
        <v>2</v>
      </c>
      <c r="H51" s="1">
        <f>IF(VLOOKUP(EHD[[#This Row],[DEVELOPMENT]],Data[],9,FALSE)=0,5,VLOOKUP(EHD[[#This Row],[DEVELOPMENT]],Data[],9,FALSE))</f>
        <v>3</v>
      </c>
      <c r="I51" s="9">
        <f>EHD[[#This Row],[MRST '#HD]]</f>
        <v>2</v>
      </c>
      <c r="J51" s="1" t="str">
        <f ca="1">IFERROR(VLOOKUP(EHD[[#This Row],[DEVELOPMENT]],Data[],4,FALSE),"")</f>
        <v/>
      </c>
      <c r="K51" s="1" t="str">
        <f ca="1">IF(EHD[[#This Row],[RAD/PACT]]="","",IF(OR(EHD[[#This Row],[RAD/PACT]]="2021-2025",EHD[[#This Row],[RAD/PACT]]="2019-2020"),"Yes",""))</f>
        <v/>
      </c>
      <c r="L51" s="1">
        <v>2020</v>
      </c>
      <c r="M51" s="1">
        <v>2020</v>
      </c>
      <c r="N51" s="1" t="s">
        <v>402</v>
      </c>
      <c r="O51" s="1"/>
      <c r="P51" s="47">
        <f ca="1">IF(EHD[[#This Row],[RAD/PACT]]="2019-2020",0,INDEX(UnitCosts[],MATCH(EHD[[#This Row],[WORK TYPE]],UnitCosts[Work Type],0),2)*EHD[[#This Row],['# Hopper Doors]])*(1+((EHD[[#This Row],[est. Year]]-YEAR(TODAY()))*$P$2))</f>
        <v>14871.287</v>
      </c>
      <c r="Q51" s="51">
        <f ca="1">SUM(INDEX(EHD['# Hopper Doors],1):EHD[[#This Row],['# Hopper Doors]])</f>
        <v>262</v>
      </c>
      <c r="R51" s="47">
        <f t="shared" ca="1" si="0"/>
        <v>81792.078500000003</v>
      </c>
      <c r="S51" s="1">
        <f>IF(ISBLANK(EHD[[#This Row],[CALENDAR YEAR]]),ROUNDDOWN(EHD[[#This Row],[Running count]]/500,0)+$S$1,EHD[[#This Row],[CALENDAR YEAR]])</f>
        <v>2020</v>
      </c>
      <c r="T51" s="16" t="s">
        <v>448</v>
      </c>
    </row>
    <row r="52" spans="1:20">
      <c r="A52" s="66" t="s">
        <v>62</v>
      </c>
      <c r="B52" s="1" t="str">
        <f>VLOOKUP(A52,Data[],2,FALSE)</f>
        <v>MANHATTAN</v>
      </c>
      <c r="C52" s="9" t="s">
        <v>27</v>
      </c>
      <c r="D52" s="9" t="str">
        <f>VLOOKUP(EHD[[#This Row],[DEVELOPMENT]],Data[],52,FALSE)</f>
        <v>FEDERAL</v>
      </c>
      <c r="E52" s="1" t="str">
        <f>VLOOKUP(EHD[[#This Row],[DEVELOPMENT]],Data[],8,FALSE)</f>
        <v>Zone 1</v>
      </c>
      <c r="F52" s="9" t="str">
        <f>VLOOKUP(EHD[[#This Row],[DEVELOPMENT]],all[[DEVELOPMENT]:[MRST Ext. Comp. Priority]],6,FALSE)</f>
        <v>C</v>
      </c>
      <c r="G52" s="9">
        <v>1</v>
      </c>
      <c r="H52" s="1">
        <f>IF(VLOOKUP(EHD[[#This Row],[DEVELOPMENT]],Data[],9,FALSE)=0,5,VLOOKUP(EHD[[#This Row],[DEVELOPMENT]],Data[],9,FALSE))</f>
        <v>3</v>
      </c>
      <c r="I52" s="9">
        <f>EHD[[#This Row],[MRST '#HD]]</f>
        <v>1</v>
      </c>
      <c r="J52" s="1" t="str">
        <f ca="1">IFERROR(VLOOKUP(EHD[[#This Row],[DEVELOPMENT]],Data[],4,FALSE),"")</f>
        <v/>
      </c>
      <c r="K52" s="1" t="str">
        <f ca="1">IF(EHD[[#This Row],[RAD/PACT]]="","",IF(OR(EHD[[#This Row],[RAD/PACT]]="2021-2025",EHD[[#This Row],[RAD/PACT]]="2019-2020"),"Yes",""))</f>
        <v/>
      </c>
      <c r="L52" s="1">
        <v>2020</v>
      </c>
      <c r="M52" s="1">
        <v>2020</v>
      </c>
      <c r="N52" s="1" t="s">
        <v>402</v>
      </c>
      <c r="O52" s="1"/>
      <c r="P52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52" s="51">
        <f ca="1">SUM(INDEX(EHD['# Hopper Doors],1):EHD[[#This Row],['# Hopper Doors]])</f>
        <v>263</v>
      </c>
      <c r="R52" s="47">
        <f t="shared" ca="1" si="0"/>
        <v>89227.722000000009</v>
      </c>
      <c r="S52" s="1">
        <f>IF(ISBLANK(EHD[[#This Row],[CALENDAR YEAR]]),ROUNDDOWN(EHD[[#This Row],[Running count]]/500,0)+$S$1,EHD[[#This Row],[CALENDAR YEAR]])</f>
        <v>2020</v>
      </c>
      <c r="T52" s="16" t="s">
        <v>448</v>
      </c>
    </row>
    <row r="53" spans="1:20">
      <c r="A53" s="135" t="s">
        <v>57</v>
      </c>
      <c r="B53" s="1" t="str">
        <f>VLOOKUP(A53,Data[],2,FALSE)</f>
        <v>MANHATTAN</v>
      </c>
      <c r="C53" s="9" t="s">
        <v>27</v>
      </c>
      <c r="D53" s="9" t="str">
        <f>VLOOKUP(EHD[[#This Row],[DEVELOPMENT]],Data[],52,FALSE)</f>
        <v>FEDERAL</v>
      </c>
      <c r="E53" s="1" t="str">
        <f>VLOOKUP(EHD[[#This Row],[DEVELOPMENT]],Data[],8,FALSE)</f>
        <v>Zone 1</v>
      </c>
      <c r="F53" s="9" t="str">
        <f>VLOOKUP(EHD[[#This Row],[DEVELOPMENT]],all[[DEVELOPMENT]:[MRST Ext. Comp. Priority]],6,FALSE)</f>
        <v>D</v>
      </c>
      <c r="G53" s="9">
        <v>1</v>
      </c>
      <c r="H53" s="1">
        <f>IF(VLOOKUP(EHD[[#This Row],[DEVELOPMENT]],Data[],9,FALSE)=0,5,VLOOKUP(EHD[[#This Row],[DEVELOPMENT]],Data[],9,FALSE))</f>
        <v>3</v>
      </c>
      <c r="I53" s="9">
        <f>EHD[[#This Row],[MRST '#HD]]</f>
        <v>1</v>
      </c>
      <c r="J53" s="1" t="str">
        <f ca="1">IFERROR(VLOOKUP(EHD[[#This Row],[DEVELOPMENT]],Data[],4,FALSE),"")</f>
        <v/>
      </c>
      <c r="K53" s="1" t="str">
        <f ca="1">IF(EHD[[#This Row],[RAD/PACT]]="","",IF(OR(EHD[[#This Row],[RAD/PACT]]="2021-2025",EHD[[#This Row],[RAD/PACT]]="2019-2020"),"Yes",""))</f>
        <v/>
      </c>
      <c r="L53" s="1">
        <v>2020</v>
      </c>
      <c r="M53" s="1">
        <v>2020</v>
      </c>
      <c r="N53" s="1" t="s">
        <v>402</v>
      </c>
      <c r="O53" s="1"/>
      <c r="P53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53" s="51">
        <f ca="1">SUM(INDEX(EHD['# Hopper Doors],1):EHD[[#This Row],['# Hopper Doors]])</f>
        <v>264</v>
      </c>
      <c r="R53" s="47">
        <f t="shared" ca="1" si="0"/>
        <v>96663.365500000014</v>
      </c>
      <c r="S53" s="1">
        <f>IF(ISBLANK(EHD[[#This Row],[CALENDAR YEAR]]),ROUNDDOWN(EHD[[#This Row],[Running count]]/500,0)+$S$1,EHD[[#This Row],[CALENDAR YEAR]])</f>
        <v>2020</v>
      </c>
      <c r="T53" s="16" t="s">
        <v>448</v>
      </c>
    </row>
    <row r="54" spans="1:20">
      <c r="A54" s="66" t="s">
        <v>60</v>
      </c>
      <c r="B54" s="1" t="str">
        <f>VLOOKUP(A54,Data[],2,FALSE)</f>
        <v>MANHATTAN</v>
      </c>
      <c r="C54" s="9" t="s">
        <v>27</v>
      </c>
      <c r="D54" s="9" t="str">
        <f>VLOOKUP(EHD[[#This Row],[DEVELOPMENT]],Data[],52,FALSE)</f>
        <v>FEDERAL</v>
      </c>
      <c r="E54" s="1" t="str">
        <f>VLOOKUP(EHD[[#This Row],[DEVELOPMENT]],Data[],8,FALSE)</f>
        <v>Zone 1</v>
      </c>
      <c r="F54" s="9" t="str">
        <f>VLOOKUP(EHD[[#This Row],[DEVELOPMENT]],all[[DEVELOPMENT]:[MRST Ext. Comp. Priority]],6,FALSE)</f>
        <v>None</v>
      </c>
      <c r="G54" s="9">
        <v>3</v>
      </c>
      <c r="H54" s="1">
        <f>IF(VLOOKUP(EHD[[#This Row],[DEVELOPMENT]],Data[],9,FALSE)=0,5,VLOOKUP(EHD[[#This Row],[DEVELOPMENT]],Data[],9,FALSE))</f>
        <v>3</v>
      </c>
      <c r="I54" s="111">
        <f>EHD[[#This Row],[MRST '#HD]]</f>
        <v>3</v>
      </c>
      <c r="J54" s="1" t="str">
        <f ca="1">IFERROR(VLOOKUP(EHD[[#This Row],[DEVELOPMENT]],Data[],4,FALSE),"")</f>
        <v>2026+</v>
      </c>
      <c r="K54" s="1" t="str">
        <f ca="1">IF(EHD[[#This Row],[RAD/PACT]]="","",IF(OR(EHD[[#This Row],[RAD/PACT]]="2021-2025",EHD[[#This Row],[RAD/PACT]]="2019-2020"),"Yes",""))</f>
        <v/>
      </c>
      <c r="L54" s="1">
        <v>2020</v>
      </c>
      <c r="M54" s="1">
        <v>2020</v>
      </c>
      <c r="N54" s="1" t="s">
        <v>404</v>
      </c>
      <c r="O54" s="1"/>
      <c r="P54" s="47">
        <f ca="1">IF(EHD[[#This Row],[RAD/PACT]]="2019-2020",0,INDEX(UnitCosts[],MATCH(EHD[[#This Row],[WORK TYPE]],UnitCosts[Work Type],0),2)*EHD[[#This Row],['# Hopper Doors]])*(1+((EHD[[#This Row],[est. Year]]-YEAR(TODAY()))*$P$2))</f>
        <v>22306.930500000002</v>
      </c>
      <c r="Q54" s="51">
        <f ca="1">SUM(INDEX(EHD['# Hopper Doors],1):EHD[[#This Row],['# Hopper Doors]])</f>
        <v>267</v>
      </c>
      <c r="R54" s="47">
        <f t="shared" ca="1" si="0"/>
        <v>118970.29600000002</v>
      </c>
      <c r="S54" s="1">
        <f>IF(ISBLANK(EHD[[#This Row],[CALENDAR YEAR]]),ROUNDDOWN(EHD[[#This Row],[Running count]]/500,0)+$S$1,EHD[[#This Row],[CALENDAR YEAR]])</f>
        <v>2020</v>
      </c>
      <c r="T54" s="16" t="s">
        <v>448</v>
      </c>
    </row>
    <row r="55" spans="1:20">
      <c r="A55" s="66" t="s">
        <v>64</v>
      </c>
      <c r="B55" s="1" t="str">
        <f>VLOOKUP(A55,Data[],2,FALSE)</f>
        <v>MANHATTAN</v>
      </c>
      <c r="C55" s="9" t="s">
        <v>27</v>
      </c>
      <c r="D55" s="9" t="str">
        <f>VLOOKUP(EHD[[#This Row],[DEVELOPMENT]],Data[],52,FALSE)</f>
        <v>FEDERAL</v>
      </c>
      <c r="E55" s="1" t="str">
        <f>VLOOKUP(EHD[[#This Row],[DEVELOPMENT]],Data[],8,FALSE)</f>
        <v>Zone 1</v>
      </c>
      <c r="F55" s="9" t="str">
        <f>VLOOKUP(EHD[[#This Row],[DEVELOPMENT]],all[[DEVELOPMENT]:[MRST Ext. Comp. Priority]],6,FALSE)</f>
        <v>None</v>
      </c>
      <c r="G55" s="9">
        <v>3</v>
      </c>
      <c r="H55" s="1">
        <f>IF(VLOOKUP(EHD[[#This Row],[DEVELOPMENT]],Data[],9,FALSE)=0,5,VLOOKUP(EHD[[#This Row],[DEVELOPMENT]],Data[],9,FALSE))</f>
        <v>3</v>
      </c>
      <c r="I55" s="9">
        <f>EHD[[#This Row],[MRST '#HD]]</f>
        <v>3</v>
      </c>
      <c r="J55" s="1" t="str">
        <f ca="1">IFERROR(VLOOKUP(EHD[[#This Row],[DEVELOPMENT]],Data[],4,FALSE),"")</f>
        <v>2026+</v>
      </c>
      <c r="K55" s="1" t="str">
        <f ca="1">IF(EHD[[#This Row],[RAD/PACT]]="","",IF(OR(EHD[[#This Row],[RAD/PACT]]="2021-2025",EHD[[#This Row],[RAD/PACT]]="2019-2020"),"Yes",""))</f>
        <v/>
      </c>
      <c r="L55" s="1">
        <v>2020</v>
      </c>
      <c r="M55" s="1">
        <v>2020</v>
      </c>
      <c r="N55" s="1" t="s">
        <v>404</v>
      </c>
      <c r="O55" s="1"/>
      <c r="P55" s="47">
        <f ca="1">IF(EHD[[#This Row],[RAD/PACT]]="2019-2020",0,INDEX(UnitCosts[],MATCH(EHD[[#This Row],[WORK TYPE]],UnitCosts[Work Type],0),2)*EHD[[#This Row],['# Hopper Doors]])*(1+((EHD[[#This Row],[est. Year]]-YEAR(TODAY()))*$P$2))</f>
        <v>22306.930500000002</v>
      </c>
      <c r="Q55" s="51">
        <f ca="1">SUM(INDEX(EHD['# Hopper Doors],1):EHD[[#This Row],['# Hopper Doors]])</f>
        <v>270</v>
      </c>
      <c r="R55" s="47">
        <f t="shared" ca="1" si="0"/>
        <v>141277.22650000002</v>
      </c>
      <c r="S55" s="1">
        <f>IF(ISBLANK(EHD[[#This Row],[CALENDAR YEAR]]),ROUNDDOWN(EHD[[#This Row],[Running count]]/500,0)+$S$1,EHD[[#This Row],[CALENDAR YEAR]])</f>
        <v>2020</v>
      </c>
      <c r="T55" s="16" t="s">
        <v>448</v>
      </c>
    </row>
    <row r="56" spans="1:20">
      <c r="A56" s="66" t="s">
        <v>55</v>
      </c>
      <c r="B56" s="1" t="str">
        <f>VLOOKUP(A56,Data[],2,FALSE)</f>
        <v>MANHATTAN</v>
      </c>
      <c r="C56" s="9" t="s">
        <v>27</v>
      </c>
      <c r="D56" s="9" t="str">
        <f>VLOOKUP(EHD[[#This Row],[DEVELOPMENT]],Data[],52,FALSE)</f>
        <v>FEDERAL</v>
      </c>
      <c r="E56" s="1" t="str">
        <f>VLOOKUP(EHD[[#This Row],[DEVELOPMENT]],Data[],8,FALSE)</f>
        <v>Zone 1</v>
      </c>
      <c r="F56" s="9" t="str">
        <f>VLOOKUP(EHD[[#This Row],[DEVELOPMENT]],all[[DEVELOPMENT]:[MRST Ext. Comp. Priority]],6,FALSE)</f>
        <v>A</v>
      </c>
      <c r="G56" s="9">
        <v>18</v>
      </c>
      <c r="H56" s="1">
        <f>IF(VLOOKUP(EHD[[#This Row],[DEVELOPMENT]],Data[],9,FALSE)=0,5,VLOOKUP(EHD[[#This Row],[DEVELOPMENT]],Data[],9,FALSE))</f>
        <v>4</v>
      </c>
      <c r="I56" s="9">
        <f>EHD[[#This Row],[MRST '#HD]]</f>
        <v>18</v>
      </c>
      <c r="J56" s="1" t="str">
        <f ca="1">IFERROR(VLOOKUP(EHD[[#This Row],[DEVELOPMENT]],Data[],4,FALSE),"")</f>
        <v/>
      </c>
      <c r="K56" s="1" t="str">
        <f ca="1">IF(EHD[[#This Row],[RAD/PACT]]="","",IF(OR(EHD[[#This Row],[RAD/PACT]]="2021-2025",EHD[[#This Row],[RAD/PACT]]="2019-2020"),"Yes",""))</f>
        <v/>
      </c>
      <c r="L56" s="1">
        <v>2020</v>
      </c>
      <c r="M56" s="1">
        <v>2020</v>
      </c>
      <c r="N56" s="1" t="s">
        <v>402</v>
      </c>
      <c r="O56" s="1"/>
      <c r="P56" s="47">
        <f ca="1">IF(EHD[[#This Row],[RAD/PACT]]="2019-2020",0,INDEX(UnitCosts[],MATCH(EHD[[#This Row],[WORK TYPE]],UnitCosts[Work Type],0),2)*EHD[[#This Row],['# Hopper Doors]])*(1+((EHD[[#This Row],[est. Year]]-YEAR(TODAY()))*$P$2))</f>
        <v>133841.58300000001</v>
      </c>
      <c r="Q56" s="51">
        <f ca="1">SUM(INDEX(EHD['# Hopper Doors],1):EHD[[#This Row],['# Hopper Doors]])</f>
        <v>288</v>
      </c>
      <c r="R56" s="47">
        <f t="shared" ca="1" si="0"/>
        <v>275118.80950000003</v>
      </c>
      <c r="S56" s="1">
        <f>IF(ISBLANK(EHD[[#This Row],[CALENDAR YEAR]]),ROUNDDOWN(EHD[[#This Row],[Running count]]/500,0)+$S$1,EHD[[#This Row],[CALENDAR YEAR]])</f>
        <v>2020</v>
      </c>
      <c r="T56" s="16" t="s">
        <v>448</v>
      </c>
    </row>
    <row r="57" spans="1:20">
      <c r="A57" s="66" t="s">
        <v>118</v>
      </c>
      <c r="B57" s="1" t="str">
        <f>VLOOKUP(A57,Data[],2,FALSE)</f>
        <v>BROOKLYN</v>
      </c>
      <c r="C57" s="9" t="s">
        <v>27</v>
      </c>
      <c r="D57" s="9" t="str">
        <f>VLOOKUP(EHD[[#This Row],[DEVELOPMENT]],Data[],52,FALSE)</f>
        <v>FEDERAL</v>
      </c>
      <c r="E57" s="1" t="str">
        <f>VLOOKUP(EHD[[#This Row],[DEVELOPMENT]],Data[],8,FALSE)</f>
        <v>Zone 1</v>
      </c>
      <c r="F57" s="9" t="str">
        <f>VLOOKUP(EHD[[#This Row],[DEVELOPMENT]],all[[DEVELOPMENT]:[MRST Ext. Comp. Priority]],6,FALSE)</f>
        <v>A</v>
      </c>
      <c r="G57" s="9">
        <v>1</v>
      </c>
      <c r="H57" s="1">
        <f>IF(VLOOKUP(EHD[[#This Row],[DEVELOPMENT]],Data[],9,FALSE)=0,5,VLOOKUP(EHD[[#This Row],[DEVELOPMENT]],Data[],9,FALSE))</f>
        <v>4</v>
      </c>
      <c r="I57" s="9">
        <f>EHD[[#This Row],[MRST '#HD]]</f>
        <v>1</v>
      </c>
      <c r="J57" s="1" t="str">
        <f ca="1">IFERROR(VLOOKUP(EHD[[#This Row],[DEVELOPMENT]],Data[],4,FALSE),"")</f>
        <v/>
      </c>
      <c r="K57" s="1" t="str">
        <f ca="1">IF(EHD[[#This Row],[RAD/PACT]]="","",IF(OR(EHD[[#This Row],[RAD/PACT]]="2021-2025",EHD[[#This Row],[RAD/PACT]]="2019-2020"),"Yes",""))</f>
        <v/>
      </c>
      <c r="L57" s="1">
        <v>2020</v>
      </c>
      <c r="M57" s="1">
        <v>2020</v>
      </c>
      <c r="N57" s="1" t="s">
        <v>402</v>
      </c>
      <c r="O57" s="1"/>
      <c r="P57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57" s="51">
        <f ca="1">SUM(INDEX(EHD['# Hopper Doors],1):EHD[[#This Row],['# Hopper Doors]])</f>
        <v>289</v>
      </c>
      <c r="R57" s="47">
        <f t="shared" ca="1" si="0"/>
        <v>282554.45300000004</v>
      </c>
      <c r="S57" s="1">
        <f>IF(ISBLANK(EHD[[#This Row],[CALENDAR YEAR]]),ROUNDDOWN(EHD[[#This Row],[Running count]]/500,0)+$S$1,EHD[[#This Row],[CALENDAR YEAR]])</f>
        <v>2020</v>
      </c>
      <c r="T57" s="16" t="s">
        <v>448</v>
      </c>
    </row>
    <row r="58" spans="1:20">
      <c r="A58" s="66" t="s">
        <v>142</v>
      </c>
      <c r="B58" s="1" t="str">
        <f>VLOOKUP(A58,Data[],2,FALSE)</f>
        <v>BROOKLYN</v>
      </c>
      <c r="C58" s="9" t="s">
        <v>27</v>
      </c>
      <c r="D58" s="9" t="str">
        <f>VLOOKUP(EHD[[#This Row],[DEVELOPMENT]],Data[],52,FALSE)</f>
        <v>FEDERAL</v>
      </c>
      <c r="E58" s="1" t="str">
        <f>VLOOKUP(EHD[[#This Row],[DEVELOPMENT]],Data[],8,FALSE)</f>
        <v>Zone 1</v>
      </c>
      <c r="F58" s="9" t="str">
        <f>VLOOKUP(EHD[[#This Row],[DEVELOPMENT]],all[[DEVELOPMENT]:[MRST Ext. Comp. Priority]],6,FALSE)</f>
        <v>B</v>
      </c>
      <c r="G58" s="9">
        <v>5</v>
      </c>
      <c r="H58" s="1">
        <f>IF(VLOOKUP(EHD[[#This Row],[DEVELOPMENT]],Data[],9,FALSE)=0,5,VLOOKUP(EHD[[#This Row],[DEVELOPMENT]],Data[],9,FALSE))</f>
        <v>4</v>
      </c>
      <c r="I58" s="9">
        <f>EHD[[#This Row],[MRST '#HD]]</f>
        <v>5</v>
      </c>
      <c r="J58" s="1" t="str">
        <f ca="1">IFERROR(VLOOKUP(EHD[[#This Row],[DEVELOPMENT]],Data[],4,FALSE),"")</f>
        <v/>
      </c>
      <c r="K58" s="1" t="str">
        <f ca="1">IF(EHD[[#This Row],[RAD/PACT]]="","",IF(OR(EHD[[#This Row],[RAD/PACT]]="2021-2025",EHD[[#This Row],[RAD/PACT]]="2019-2020"),"Yes",""))</f>
        <v/>
      </c>
      <c r="L58" s="1">
        <v>2020</v>
      </c>
      <c r="M58" s="1">
        <v>2020</v>
      </c>
      <c r="N58" s="1" t="s">
        <v>402</v>
      </c>
      <c r="O58" s="1"/>
      <c r="P58" s="47">
        <f ca="1">IF(EHD[[#This Row],[RAD/PACT]]="2019-2020",0,INDEX(UnitCosts[],MATCH(EHD[[#This Row],[WORK TYPE]],UnitCosts[Work Type],0),2)*EHD[[#This Row],['# Hopper Doors]])*(1+((EHD[[#This Row],[est. Year]]-YEAR(TODAY()))*$P$2))</f>
        <v>37178.217499999999</v>
      </c>
      <c r="Q58" s="51">
        <f ca="1">SUM(INDEX(EHD['# Hopper Doors],1):EHD[[#This Row],['# Hopper Doors]])</f>
        <v>294</v>
      </c>
      <c r="R58" s="47">
        <f t="shared" ca="1" si="0"/>
        <v>319732.67050000001</v>
      </c>
      <c r="S58" s="1">
        <f>IF(ISBLANK(EHD[[#This Row],[CALENDAR YEAR]]),ROUNDDOWN(EHD[[#This Row],[Running count]]/500,0)+$S$1,EHD[[#This Row],[CALENDAR YEAR]])</f>
        <v>2020</v>
      </c>
      <c r="T58" s="16" t="s">
        <v>448</v>
      </c>
    </row>
    <row r="59" spans="1:20">
      <c r="A59" s="66" t="s">
        <v>139</v>
      </c>
      <c r="B59" s="1" t="str">
        <f>VLOOKUP(A59,Data[],2,FALSE)</f>
        <v>BROOKLYN</v>
      </c>
      <c r="C59" s="9" t="s">
        <v>27</v>
      </c>
      <c r="D59" s="9" t="str">
        <f>VLOOKUP(EHD[[#This Row],[DEVELOPMENT]],Data[],52,FALSE)</f>
        <v>FEDERAL</v>
      </c>
      <c r="E59" s="1" t="str">
        <f>VLOOKUP(EHD[[#This Row],[DEVELOPMENT]],Data[],8,FALSE)</f>
        <v>Zone 1</v>
      </c>
      <c r="F59" s="9" t="str">
        <f>VLOOKUP(EHD[[#This Row],[DEVELOPMENT]],all[[DEVELOPMENT]:[MRST Ext. Comp. Priority]],6,FALSE)</f>
        <v>C</v>
      </c>
      <c r="G59" s="9">
        <v>1</v>
      </c>
      <c r="H59" s="1">
        <f>IF(VLOOKUP(EHD[[#This Row],[DEVELOPMENT]],Data[],9,FALSE)=0,5,VLOOKUP(EHD[[#This Row],[DEVELOPMENT]],Data[],9,FALSE))</f>
        <v>4</v>
      </c>
      <c r="I59" s="9">
        <f>EHD[[#This Row],[MRST '#HD]]</f>
        <v>1</v>
      </c>
      <c r="J59" s="1" t="str">
        <f ca="1">IFERROR(VLOOKUP(EHD[[#This Row],[DEVELOPMENT]],Data[],4,FALSE),"")</f>
        <v/>
      </c>
      <c r="K59" s="1" t="str">
        <f ca="1">IF(EHD[[#This Row],[RAD/PACT]]="","",IF(OR(EHD[[#This Row],[RAD/PACT]]="2021-2025",EHD[[#This Row],[RAD/PACT]]="2019-2020"),"Yes",""))</f>
        <v/>
      </c>
      <c r="L59" s="1">
        <v>2020</v>
      </c>
      <c r="M59" s="1">
        <v>2020</v>
      </c>
      <c r="N59" s="1" t="s">
        <v>402</v>
      </c>
      <c r="O59" s="1"/>
      <c r="P59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59" s="51">
        <f ca="1">SUM(INDEX(EHD['# Hopper Doors],1):EHD[[#This Row],['# Hopper Doors]])</f>
        <v>295</v>
      </c>
      <c r="R59" s="47">
        <f t="shared" ca="1" si="0"/>
        <v>327168.31400000001</v>
      </c>
      <c r="S59" s="1">
        <f>IF(ISBLANK(EHD[[#This Row],[CALENDAR YEAR]]),ROUNDDOWN(EHD[[#This Row],[Running count]]/500,0)+$S$1,EHD[[#This Row],[CALENDAR YEAR]])</f>
        <v>2020</v>
      </c>
      <c r="T59" s="16" t="s">
        <v>448</v>
      </c>
    </row>
    <row r="60" spans="1:20">
      <c r="A60" s="135" t="s">
        <v>145</v>
      </c>
      <c r="B60" s="1" t="str">
        <f>VLOOKUP(A60,Data[],2,FALSE)</f>
        <v>BRONX</v>
      </c>
      <c r="C60" s="9" t="s">
        <v>27</v>
      </c>
      <c r="D60" s="9" t="str">
        <f>VLOOKUP(EHD[[#This Row],[DEVELOPMENT]],Data[],52,FALSE)</f>
        <v>FEDERAL</v>
      </c>
      <c r="E60" s="1" t="str">
        <f>VLOOKUP(EHD[[#This Row],[DEVELOPMENT]],Data[],8,FALSE)</f>
        <v>Zone 1</v>
      </c>
      <c r="F60" s="9" t="str">
        <f>VLOOKUP(EHD[[#This Row],[DEVELOPMENT]],all[[DEVELOPMENT]:[MRST Ext. Comp. Priority]],6,FALSE)</f>
        <v>C</v>
      </c>
      <c r="G60" s="9">
        <v>1</v>
      </c>
      <c r="H60" s="1">
        <f>IF(VLOOKUP(EHD[[#This Row],[DEVELOPMENT]],Data[],9,FALSE)=0,5,VLOOKUP(EHD[[#This Row],[DEVELOPMENT]],Data[],9,FALSE))</f>
        <v>4</v>
      </c>
      <c r="I60" s="9">
        <f>EHD[[#This Row],[MRST '#HD]]</f>
        <v>1</v>
      </c>
      <c r="J60" s="1" t="str">
        <f ca="1">IFERROR(VLOOKUP(EHD[[#This Row],[DEVELOPMENT]],Data[],4,FALSE),"")</f>
        <v>2022-2025</v>
      </c>
      <c r="K60" s="1" t="str">
        <f ca="1">IF(EHD[[#This Row],[RAD/PACT]]="","",IF(OR(EHD[[#This Row],[RAD/PACT]]="2021-2025",EHD[[#This Row],[RAD/PACT]]="2019-2020"),"Yes",""))</f>
        <v/>
      </c>
      <c r="L60" s="1">
        <v>2020</v>
      </c>
      <c r="M60" s="1">
        <v>2020</v>
      </c>
      <c r="N60" s="1" t="s">
        <v>404</v>
      </c>
      <c r="O60" s="1"/>
      <c r="P60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60" s="51">
        <f ca="1">SUM(INDEX(EHD['# Hopper Doors],1):EHD[[#This Row],['# Hopper Doors]])</f>
        <v>296</v>
      </c>
      <c r="R60" s="47">
        <f t="shared" ca="1" si="0"/>
        <v>334603.95750000002</v>
      </c>
      <c r="S60" s="1">
        <f>IF(ISBLANK(EHD[[#This Row],[CALENDAR YEAR]]),ROUNDDOWN(EHD[[#This Row],[Running count]]/500,0)+$S$1,EHD[[#This Row],[CALENDAR YEAR]])</f>
        <v>2020</v>
      </c>
      <c r="T60" s="16" t="s">
        <v>448</v>
      </c>
    </row>
    <row r="61" spans="1:20">
      <c r="A61" s="66" t="s">
        <v>61</v>
      </c>
      <c r="B61" s="1" t="str">
        <f>VLOOKUP(A61,Data[],2,FALSE)</f>
        <v>MANHATTAN</v>
      </c>
      <c r="C61" s="9" t="s">
        <v>27</v>
      </c>
      <c r="D61" s="9" t="str">
        <f>VLOOKUP(EHD[[#This Row],[DEVELOPMENT]],Data[],52,FALSE)</f>
        <v>FEDERAL</v>
      </c>
      <c r="E61" s="1" t="str">
        <f>VLOOKUP(EHD[[#This Row],[DEVELOPMENT]],Data[],8,FALSE)</f>
        <v>Zone 1</v>
      </c>
      <c r="F61" s="9" t="str">
        <f>VLOOKUP(EHD[[#This Row],[DEVELOPMENT]],all[[DEVELOPMENT]:[MRST Ext. Comp. Priority]],6,FALSE)</f>
        <v>C</v>
      </c>
      <c r="G61" s="9">
        <v>4</v>
      </c>
      <c r="H61" s="1">
        <f>IF(VLOOKUP(EHD[[#This Row],[DEVELOPMENT]],Data[],9,FALSE)=0,5,VLOOKUP(EHD[[#This Row],[DEVELOPMENT]],Data[],9,FALSE))</f>
        <v>4</v>
      </c>
      <c r="I61" s="9">
        <f>EHD[[#This Row],[MRST '#HD]]</f>
        <v>4</v>
      </c>
      <c r="J61" s="1" t="str">
        <f ca="1">IFERROR(VLOOKUP(EHD[[#This Row],[DEVELOPMENT]],Data[],4,FALSE),"")</f>
        <v/>
      </c>
      <c r="K61" s="1" t="str">
        <f ca="1">IF(EHD[[#This Row],[RAD/PACT]]="","",IF(OR(EHD[[#This Row],[RAD/PACT]]="2021-2025",EHD[[#This Row],[RAD/PACT]]="2019-2020"),"Yes",""))</f>
        <v/>
      </c>
      <c r="L61" s="1">
        <v>2020</v>
      </c>
      <c r="M61" s="1">
        <v>2020</v>
      </c>
      <c r="N61" s="1" t="s">
        <v>402</v>
      </c>
      <c r="O61" s="1"/>
      <c r="P61" s="47">
        <f ca="1">IF(EHD[[#This Row],[RAD/PACT]]="2019-2020",0,INDEX(UnitCosts[],MATCH(EHD[[#This Row],[WORK TYPE]],UnitCosts[Work Type],0),2)*EHD[[#This Row],['# Hopper Doors]])*(1+((EHD[[#This Row],[est. Year]]-YEAR(TODAY()))*$P$2))</f>
        <v>29742.574000000001</v>
      </c>
      <c r="Q61" s="51">
        <f ca="1">SUM(INDEX(EHD['# Hopper Doors],1):EHD[[#This Row],['# Hopper Doors]])</f>
        <v>300</v>
      </c>
      <c r="R61" s="47">
        <f t="shared" ca="1" si="0"/>
        <v>364346.53150000004</v>
      </c>
      <c r="S61" s="1">
        <f>IF(ISBLANK(EHD[[#This Row],[CALENDAR YEAR]]),ROUNDDOWN(EHD[[#This Row],[Running count]]/500,0)+$S$1,EHD[[#This Row],[CALENDAR YEAR]])</f>
        <v>2020</v>
      </c>
      <c r="T61" s="16" t="s">
        <v>448</v>
      </c>
    </row>
    <row r="62" spans="1:20">
      <c r="A62" s="66" t="s">
        <v>51</v>
      </c>
      <c r="B62" s="1" t="str">
        <f>VLOOKUP(A62,Data[],2,FALSE)</f>
        <v>MANHATTAN</v>
      </c>
      <c r="C62" s="9" t="s">
        <v>27</v>
      </c>
      <c r="D62" s="9" t="str">
        <f>VLOOKUP(EHD[[#This Row],[DEVELOPMENT]],Data[],52,FALSE)</f>
        <v>FEDERAL</v>
      </c>
      <c r="E62" s="1" t="str">
        <f>VLOOKUP(EHD[[#This Row],[DEVELOPMENT]],Data[],8,FALSE)</f>
        <v>Zone 1</v>
      </c>
      <c r="F62" s="9" t="str">
        <f>VLOOKUP(EHD[[#This Row],[DEVELOPMENT]],all[[DEVELOPMENT]:[MRST Ext. Comp. Priority]],6,FALSE)</f>
        <v>D</v>
      </c>
      <c r="G62" s="9">
        <v>1</v>
      </c>
      <c r="H62" s="1">
        <f>IF(VLOOKUP(EHD[[#This Row],[DEVELOPMENT]],Data[],9,FALSE)=0,5,VLOOKUP(EHD[[#This Row],[DEVELOPMENT]],Data[],9,FALSE))</f>
        <v>4</v>
      </c>
      <c r="I62" s="9">
        <f>EHD[[#This Row],[MRST '#HD]]</f>
        <v>1</v>
      </c>
      <c r="J62" s="1" t="str">
        <f ca="1">IFERROR(VLOOKUP(EHD[[#This Row],[DEVELOPMENT]],Data[],4,FALSE),"")</f>
        <v/>
      </c>
      <c r="K62" s="1" t="str">
        <f ca="1">IF(EHD[[#This Row],[RAD/PACT]]="","",IF(OR(EHD[[#This Row],[RAD/PACT]]="2021-2025",EHD[[#This Row],[RAD/PACT]]="2019-2020"),"Yes",""))</f>
        <v/>
      </c>
      <c r="L62" s="1">
        <v>2020</v>
      </c>
      <c r="M62" s="1">
        <v>2020</v>
      </c>
      <c r="N62" s="1" t="s">
        <v>402</v>
      </c>
      <c r="O62" s="1"/>
      <c r="P62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62" s="51">
        <f ca="1">SUM(INDEX(EHD['# Hopper Doors],1):EHD[[#This Row],['# Hopper Doors]])</f>
        <v>301</v>
      </c>
      <c r="R62" s="47">
        <f t="shared" ca="1" si="0"/>
        <v>371782.17500000005</v>
      </c>
      <c r="S62" s="1">
        <f>IF(ISBLANK(EHD[[#This Row],[CALENDAR YEAR]]),ROUNDDOWN(EHD[[#This Row],[Running count]]/500,0)+$S$1,EHD[[#This Row],[CALENDAR YEAR]])</f>
        <v>2020</v>
      </c>
      <c r="T62" s="16" t="s">
        <v>448</v>
      </c>
    </row>
    <row r="63" spans="1:20">
      <c r="A63" s="66" t="s">
        <v>58</v>
      </c>
      <c r="B63" s="1" t="str">
        <f>VLOOKUP(A63,Data[],2,FALSE)</f>
        <v>MANHATTAN</v>
      </c>
      <c r="C63" s="9" t="s">
        <v>27</v>
      </c>
      <c r="D63" s="9" t="str">
        <f>VLOOKUP(EHD[[#This Row],[DEVELOPMENT]],Data[],52,FALSE)</f>
        <v>FEDERAL</v>
      </c>
      <c r="E63" s="1" t="str">
        <f>VLOOKUP(EHD[[#This Row],[DEVELOPMENT]],Data[],8,FALSE)</f>
        <v>Zone 1</v>
      </c>
      <c r="F63" s="9" t="str">
        <f>VLOOKUP(EHD[[#This Row],[DEVELOPMENT]],all[[DEVELOPMENT]:[MRST Ext. Comp. Priority]],6,FALSE)</f>
        <v>None</v>
      </c>
      <c r="G63" s="9">
        <v>17</v>
      </c>
      <c r="H63" s="1">
        <f>IF(VLOOKUP(EHD[[#This Row],[DEVELOPMENT]],Data[],9,FALSE)=0,5,VLOOKUP(EHD[[#This Row],[DEVELOPMENT]],Data[],9,FALSE))</f>
        <v>4</v>
      </c>
      <c r="I63" s="9">
        <f>EHD[[#This Row],[MRST '#HD]]</f>
        <v>17</v>
      </c>
      <c r="J63" s="1" t="str">
        <f ca="1">IFERROR(VLOOKUP(EHD[[#This Row],[DEVELOPMENT]],Data[],4,FALSE),"")</f>
        <v/>
      </c>
      <c r="K63" s="1" t="str">
        <f ca="1">IF(EHD[[#This Row],[RAD/PACT]]="","",IF(OR(EHD[[#This Row],[RAD/PACT]]="2021-2025",EHD[[#This Row],[RAD/PACT]]="2019-2020"),"Yes",""))</f>
        <v/>
      </c>
      <c r="L63" s="1">
        <v>2020</v>
      </c>
      <c r="M63" s="1">
        <v>2020</v>
      </c>
      <c r="N63" s="1" t="s">
        <v>402</v>
      </c>
      <c r="O63" s="1"/>
      <c r="P63" s="47">
        <f ca="1">IF(EHD[[#This Row],[RAD/PACT]]="2019-2020",0,INDEX(UnitCosts[],MATCH(EHD[[#This Row],[WORK TYPE]],UnitCosts[Work Type],0),2)*EHD[[#This Row],['# Hopper Doors]])*(1+((EHD[[#This Row],[est. Year]]-YEAR(TODAY()))*$P$2))</f>
        <v>126405.93950000001</v>
      </c>
      <c r="Q63" s="51">
        <f ca="1">SUM(INDEX(EHD['# Hopper Doors],1):EHD[[#This Row],['# Hopper Doors]])</f>
        <v>318</v>
      </c>
      <c r="R63" s="47">
        <f t="shared" ca="1" si="0"/>
        <v>498188.11450000003</v>
      </c>
      <c r="S63" s="1">
        <f>IF(ISBLANK(EHD[[#This Row],[CALENDAR YEAR]]),ROUNDDOWN(EHD[[#This Row],[Running count]]/500,0)+$S$1,EHD[[#This Row],[CALENDAR YEAR]])</f>
        <v>2020</v>
      </c>
      <c r="T63" s="16" t="s">
        <v>448</v>
      </c>
    </row>
    <row r="64" spans="1:20">
      <c r="A64" s="66" t="s">
        <v>143</v>
      </c>
      <c r="B64" s="1" t="str">
        <f>VLOOKUP(A64,Data[],2,FALSE)</f>
        <v>BRONX</v>
      </c>
      <c r="C64" s="9" t="s">
        <v>27</v>
      </c>
      <c r="D64" s="9" t="str">
        <f>VLOOKUP(EHD[[#This Row],[DEVELOPMENT]],Data[],52,FALSE)</f>
        <v>FEDERAL</v>
      </c>
      <c r="E64" s="1" t="str">
        <f>VLOOKUP(EHD[[#This Row],[DEVELOPMENT]],Data[],8,FALSE)</f>
        <v>Zone 1</v>
      </c>
      <c r="F64" s="9" t="str">
        <f>VLOOKUP(EHD[[#This Row],[DEVELOPMENT]],all[[DEVELOPMENT]:[MRST Ext. Comp. Priority]],6,FALSE)</f>
        <v>None</v>
      </c>
      <c r="G64" s="9">
        <v>4</v>
      </c>
      <c r="H64" s="1">
        <f>IF(VLOOKUP(EHD[[#This Row],[DEVELOPMENT]],Data[],9,FALSE)=0,5,VLOOKUP(EHD[[#This Row],[DEVELOPMENT]],Data[],9,FALSE))</f>
        <v>4</v>
      </c>
      <c r="I64" s="9">
        <f>EHD[[#This Row],[MRST '#HD]]</f>
        <v>4</v>
      </c>
      <c r="J64" s="1" t="str">
        <f ca="1">IFERROR(VLOOKUP(EHD[[#This Row],[DEVELOPMENT]],Data[],4,FALSE),"")</f>
        <v>2022-2025</v>
      </c>
      <c r="K64" s="1" t="str">
        <f ca="1">IF(EHD[[#This Row],[RAD/PACT]]="","",IF(OR(EHD[[#This Row],[RAD/PACT]]="2021-2025",EHD[[#This Row],[RAD/PACT]]="2019-2020"),"Yes",""))</f>
        <v/>
      </c>
      <c r="L64" s="1">
        <v>2020</v>
      </c>
      <c r="M64" s="1">
        <v>2020</v>
      </c>
      <c r="N64" s="1" t="s">
        <v>404</v>
      </c>
      <c r="O64" s="1"/>
      <c r="P64" s="47">
        <f ca="1">IF(EHD[[#This Row],[RAD/PACT]]="2019-2020",0,INDEX(UnitCosts[],MATCH(EHD[[#This Row],[WORK TYPE]],UnitCosts[Work Type],0),2)*EHD[[#This Row],['# Hopper Doors]])*(1+((EHD[[#This Row],[est. Year]]-YEAR(TODAY()))*$P$2))</f>
        <v>29742.574000000001</v>
      </c>
      <c r="Q64" s="51">
        <f ca="1">SUM(INDEX(EHD['# Hopper Doors],1):EHD[[#This Row],['# Hopper Doors]])</f>
        <v>322</v>
      </c>
      <c r="R64" s="47">
        <f t="shared" ca="1" si="0"/>
        <v>527930.68850000005</v>
      </c>
      <c r="S64" s="1">
        <f>IF(ISBLANK(EHD[[#This Row],[CALENDAR YEAR]]),ROUNDDOWN(EHD[[#This Row],[Running count]]/500,0)+$S$1,EHD[[#This Row],[CALENDAR YEAR]])</f>
        <v>2020</v>
      </c>
      <c r="T64" s="16" t="s">
        <v>448</v>
      </c>
    </row>
    <row r="65" spans="1:20">
      <c r="A65" s="66" t="s">
        <v>144</v>
      </c>
      <c r="B65" s="1" t="str">
        <f>VLOOKUP(A65,Data[],2,FALSE)</f>
        <v>BRONX</v>
      </c>
      <c r="C65" s="9" t="s">
        <v>27</v>
      </c>
      <c r="D65" s="9" t="str">
        <f>VLOOKUP(EHD[[#This Row],[DEVELOPMENT]],Data[],52,FALSE)</f>
        <v>FEDERAL</v>
      </c>
      <c r="E65" s="1" t="str">
        <f>VLOOKUP(EHD[[#This Row],[DEVELOPMENT]],Data[],8,FALSE)</f>
        <v>Zone 1</v>
      </c>
      <c r="F65" s="9" t="str">
        <f>VLOOKUP(EHD[[#This Row],[DEVELOPMENT]],all[[DEVELOPMENT]:[MRST Ext. Comp. Priority]],6,FALSE)</f>
        <v>None</v>
      </c>
      <c r="G65" s="9">
        <v>3</v>
      </c>
      <c r="H65" s="1">
        <f>IF(VLOOKUP(EHD[[#This Row],[DEVELOPMENT]],Data[],9,FALSE)=0,5,VLOOKUP(EHD[[#This Row],[DEVELOPMENT]],Data[],9,FALSE))</f>
        <v>4</v>
      </c>
      <c r="I65" s="9">
        <f>EHD[[#This Row],[MRST '#HD]]</f>
        <v>3</v>
      </c>
      <c r="J65" s="1" t="str">
        <f ca="1">IFERROR(VLOOKUP(EHD[[#This Row],[DEVELOPMENT]],Data[],4,FALSE),"")</f>
        <v>2022-2025</v>
      </c>
      <c r="K65" s="1" t="str">
        <f ca="1">IF(EHD[[#This Row],[RAD/PACT]]="","",IF(OR(EHD[[#This Row],[RAD/PACT]]="2021-2025",EHD[[#This Row],[RAD/PACT]]="2019-2020"),"Yes",""))</f>
        <v/>
      </c>
      <c r="L65" s="1">
        <v>2020</v>
      </c>
      <c r="M65" s="1">
        <v>2020</v>
      </c>
      <c r="N65" s="1" t="s">
        <v>404</v>
      </c>
      <c r="O65" s="1"/>
      <c r="P65" s="47">
        <f ca="1">IF(EHD[[#This Row],[RAD/PACT]]="2019-2020",0,INDEX(UnitCosts[],MATCH(EHD[[#This Row],[WORK TYPE]],UnitCosts[Work Type],0),2)*EHD[[#This Row],['# Hopper Doors]])*(1+((EHD[[#This Row],[est. Year]]-YEAR(TODAY()))*$P$2))</f>
        <v>22306.930500000002</v>
      </c>
      <c r="Q65" s="51">
        <f ca="1">SUM(INDEX(EHD['# Hopper Doors],1):EHD[[#This Row],['# Hopper Doors]])</f>
        <v>325</v>
      </c>
      <c r="R65" s="47">
        <f t="shared" ca="1" si="0"/>
        <v>550237.61900000006</v>
      </c>
      <c r="S65" s="1">
        <f>IF(ISBLANK(EHD[[#This Row],[CALENDAR YEAR]]),ROUNDDOWN(EHD[[#This Row],[Running count]]/500,0)+$S$1,EHD[[#This Row],[CALENDAR YEAR]])</f>
        <v>2020</v>
      </c>
      <c r="T65" s="16" t="s">
        <v>448</v>
      </c>
    </row>
    <row r="66" spans="1:20">
      <c r="A66" s="135" t="s">
        <v>149</v>
      </c>
      <c r="B66" s="1" t="str">
        <f>VLOOKUP(A66,Data[],2,FALSE)</f>
        <v>BRONX</v>
      </c>
      <c r="C66" s="9" t="s">
        <v>27</v>
      </c>
      <c r="D66" s="9" t="str">
        <f>VLOOKUP(EHD[[#This Row],[DEVELOPMENT]],Data[],52,FALSE)</f>
        <v>FEDERAL</v>
      </c>
      <c r="E66" s="1" t="str">
        <f>VLOOKUP(EHD[[#This Row],[DEVELOPMENT]],Data[],8,FALSE)</f>
        <v>Zone 1</v>
      </c>
      <c r="F66" s="9" t="str">
        <f>VLOOKUP(EHD[[#This Row],[DEVELOPMENT]],all[[DEVELOPMENT]:[MRST Ext. Comp. Priority]],6,FALSE)</f>
        <v>None</v>
      </c>
      <c r="G66" s="9">
        <v>2</v>
      </c>
      <c r="H66" s="1">
        <f>IF(VLOOKUP(EHD[[#This Row],[DEVELOPMENT]],Data[],9,FALSE)=0,5,VLOOKUP(EHD[[#This Row],[DEVELOPMENT]],Data[],9,FALSE))</f>
        <v>4</v>
      </c>
      <c r="I66" s="9">
        <f>EHD[[#This Row],[MRST '#HD]]</f>
        <v>2</v>
      </c>
      <c r="J66" s="1" t="str">
        <f ca="1">IFERROR(VLOOKUP(EHD[[#This Row],[DEVELOPMENT]],Data[],4,FALSE),"")</f>
        <v>2022-2025</v>
      </c>
      <c r="K66" s="1" t="str">
        <f ca="1">IF(EHD[[#This Row],[RAD/PACT]]="","",IF(OR(EHD[[#This Row],[RAD/PACT]]="2021-2025",EHD[[#This Row],[RAD/PACT]]="2019-2020"),"Yes",""))</f>
        <v/>
      </c>
      <c r="L66" s="1">
        <v>2020</v>
      </c>
      <c r="M66" s="1">
        <v>2020</v>
      </c>
      <c r="N66" s="1" t="s">
        <v>404</v>
      </c>
      <c r="O66" s="1"/>
      <c r="P66" s="47">
        <f ca="1">IF(EHD[[#This Row],[RAD/PACT]]="2019-2020",0,INDEX(UnitCosts[],MATCH(EHD[[#This Row],[WORK TYPE]],UnitCosts[Work Type],0),2)*EHD[[#This Row],['# Hopper Doors]])*(1+((EHD[[#This Row],[est. Year]]-YEAR(TODAY()))*$P$2))</f>
        <v>14871.287</v>
      </c>
      <c r="Q66" s="51">
        <f ca="1">SUM(INDEX(EHD['# Hopper Doors],1):EHD[[#This Row],['# Hopper Doors]])</f>
        <v>327</v>
      </c>
      <c r="R66" s="47">
        <f t="shared" ca="1" si="0"/>
        <v>565108.90600000008</v>
      </c>
      <c r="S66" s="1">
        <f>IF(ISBLANK(EHD[[#This Row],[CALENDAR YEAR]]),ROUNDDOWN(EHD[[#This Row],[Running count]]/500,0)+$S$1,EHD[[#This Row],[CALENDAR YEAR]])</f>
        <v>2020</v>
      </c>
      <c r="T66" s="16" t="s">
        <v>448</v>
      </c>
    </row>
    <row r="67" spans="1:20">
      <c r="A67" s="66" t="s">
        <v>65</v>
      </c>
      <c r="B67" s="1" t="str">
        <f>VLOOKUP(A67,Data[],2,FALSE)</f>
        <v>MANHATTAN</v>
      </c>
      <c r="C67" s="9" t="s">
        <v>27</v>
      </c>
      <c r="D67" s="9" t="str">
        <f>VLOOKUP(EHD[[#This Row],[DEVELOPMENT]],Data[],52,FALSE)</f>
        <v>FEDERAL</v>
      </c>
      <c r="E67" s="1" t="str">
        <f>VLOOKUP(EHD[[#This Row],[DEVELOPMENT]],Data[],8,FALSE)</f>
        <v>Zone 1</v>
      </c>
      <c r="F67" s="9" t="str">
        <f>VLOOKUP(EHD[[#This Row],[DEVELOPMENT]],all[[DEVELOPMENT]:[MRST Ext. Comp. Priority]],6,FALSE)</f>
        <v>None</v>
      </c>
      <c r="G67" s="9">
        <v>2</v>
      </c>
      <c r="H67" s="1">
        <f>IF(VLOOKUP(EHD[[#This Row],[DEVELOPMENT]],Data[],9,FALSE)=0,5,VLOOKUP(EHD[[#This Row],[DEVELOPMENT]],Data[],9,FALSE))</f>
        <v>4</v>
      </c>
      <c r="I67" s="9">
        <f>EHD[[#This Row],[MRST '#HD]]</f>
        <v>2</v>
      </c>
      <c r="J67" s="1" t="str">
        <f ca="1">IFERROR(VLOOKUP(EHD[[#This Row],[DEVELOPMENT]],Data[],4,FALSE),"")</f>
        <v/>
      </c>
      <c r="K67" s="1" t="str">
        <f ca="1">IF(EHD[[#This Row],[RAD/PACT]]="","",IF(OR(EHD[[#This Row],[RAD/PACT]]="2021-2025",EHD[[#This Row],[RAD/PACT]]="2019-2020"),"Yes",""))</f>
        <v/>
      </c>
      <c r="L67" s="1">
        <v>2020</v>
      </c>
      <c r="M67" s="1">
        <v>2020</v>
      </c>
      <c r="N67" s="1" t="s">
        <v>402</v>
      </c>
      <c r="O67" s="1"/>
      <c r="P67" s="47">
        <f ca="1">IF(EHD[[#This Row],[RAD/PACT]]="2019-2020",0,INDEX(UnitCosts[],MATCH(EHD[[#This Row],[WORK TYPE]],UnitCosts[Work Type],0),2)*EHD[[#This Row],['# Hopper Doors]])*(1+((EHD[[#This Row],[est. Year]]-YEAR(TODAY()))*$P$2))</f>
        <v>14871.287</v>
      </c>
      <c r="Q67" s="51">
        <f ca="1">SUM(INDEX(EHD['# Hopper Doors],1):EHD[[#This Row],['# Hopper Doors]])</f>
        <v>329</v>
      </c>
      <c r="R67" s="47">
        <f t="shared" ca="1" si="0"/>
        <v>579980.19300000009</v>
      </c>
      <c r="S67" s="1">
        <f>IF(ISBLANK(EHD[[#This Row],[CALENDAR YEAR]]),ROUNDDOWN(EHD[[#This Row],[Running count]]/500,0)+$S$1,EHD[[#This Row],[CALENDAR YEAR]])</f>
        <v>2020</v>
      </c>
      <c r="T67" s="16" t="s">
        <v>448</v>
      </c>
    </row>
    <row r="68" spans="1:20">
      <c r="A68" s="66" t="s">
        <v>59</v>
      </c>
      <c r="B68" s="1" t="str">
        <f>VLOOKUP(A68,Data[],2,FALSE)</f>
        <v>MANHATTAN</v>
      </c>
      <c r="C68" s="9" t="s">
        <v>27</v>
      </c>
      <c r="D68" s="9" t="str">
        <f>VLOOKUP(EHD[[#This Row],[DEVELOPMENT]],Data[],52,FALSE)</f>
        <v>FEDERAL</v>
      </c>
      <c r="E68" s="1" t="str">
        <f>VLOOKUP(EHD[[#This Row],[DEVELOPMENT]],Data[],8,FALSE)</f>
        <v>Zone 1</v>
      </c>
      <c r="F68" s="9" t="str">
        <f>VLOOKUP(EHD[[#This Row],[DEVELOPMENT]],all[[DEVELOPMENT]:[MRST Ext. Comp. Priority]],6,FALSE)</f>
        <v>None</v>
      </c>
      <c r="G68" s="9">
        <v>2</v>
      </c>
      <c r="H68" s="1">
        <f>IF(VLOOKUP(EHD[[#This Row],[DEVELOPMENT]],Data[],9,FALSE)=0,5,VLOOKUP(EHD[[#This Row],[DEVELOPMENT]],Data[],9,FALSE))</f>
        <v>4</v>
      </c>
      <c r="I68" s="9">
        <f>EHD[[#This Row],[MRST '#HD]]</f>
        <v>2</v>
      </c>
      <c r="J68" s="1" t="str">
        <f ca="1">IFERROR(VLOOKUP(EHD[[#This Row],[DEVELOPMENT]],Data[],4,FALSE),"")</f>
        <v>2026+</v>
      </c>
      <c r="K68" s="1" t="str">
        <f ca="1">IF(EHD[[#This Row],[RAD/PACT]]="","",IF(OR(EHD[[#This Row],[RAD/PACT]]="2021-2025",EHD[[#This Row],[RAD/PACT]]="2019-2020"),"Yes",""))</f>
        <v/>
      </c>
      <c r="L68" s="1">
        <v>2020</v>
      </c>
      <c r="M68" s="1">
        <v>2020</v>
      </c>
      <c r="N68" s="1" t="s">
        <v>404</v>
      </c>
      <c r="O68" s="1"/>
      <c r="P68" s="47">
        <f ca="1">IF(EHD[[#This Row],[RAD/PACT]]="2019-2020",0,INDEX(UnitCosts[],MATCH(EHD[[#This Row],[WORK TYPE]],UnitCosts[Work Type],0),2)*EHD[[#This Row],['# Hopper Doors]])*(1+((EHD[[#This Row],[est. Year]]-YEAR(TODAY()))*$P$2))</f>
        <v>14871.287</v>
      </c>
      <c r="Q68" s="51">
        <f ca="1">SUM(INDEX(EHD['# Hopper Doors],1):EHD[[#This Row],['# Hopper Doors]])</f>
        <v>331</v>
      </c>
      <c r="R68" s="47">
        <f t="shared" ref="R68:R131" ca="1" si="1">IF(S68=S67,(P68+O68)+R67,(P68+O68))</f>
        <v>594851.4800000001</v>
      </c>
      <c r="S68" s="1">
        <f>IF(ISBLANK(EHD[[#This Row],[CALENDAR YEAR]]),ROUNDDOWN(EHD[[#This Row],[Running count]]/500,0)+$S$1,EHD[[#This Row],[CALENDAR YEAR]])</f>
        <v>2020</v>
      </c>
      <c r="T68" s="16" t="s">
        <v>448</v>
      </c>
    </row>
    <row r="69" spans="1:20">
      <c r="A69" s="66" t="s">
        <v>63</v>
      </c>
      <c r="B69" s="1" t="str">
        <f>VLOOKUP(A69,Data[],2,FALSE)</f>
        <v>MANHATTAN</v>
      </c>
      <c r="C69" s="9" t="s">
        <v>27</v>
      </c>
      <c r="D69" s="9" t="str">
        <f>VLOOKUP(EHD[[#This Row],[DEVELOPMENT]],Data[],52,FALSE)</f>
        <v>FEDERAL</v>
      </c>
      <c r="E69" s="1" t="str">
        <f>VLOOKUP(EHD[[#This Row],[DEVELOPMENT]],Data[],8,FALSE)</f>
        <v>Zone 1</v>
      </c>
      <c r="F69" s="9" t="str">
        <f>VLOOKUP(EHD[[#This Row],[DEVELOPMENT]],all[[DEVELOPMENT]:[MRST Ext. Comp. Priority]],6,FALSE)</f>
        <v>None</v>
      </c>
      <c r="G69" s="9">
        <v>1</v>
      </c>
      <c r="H69" s="1">
        <f>IF(VLOOKUP(EHD[[#This Row],[DEVELOPMENT]],Data[],9,FALSE)=0,5,VLOOKUP(EHD[[#This Row],[DEVELOPMENT]],Data[],9,FALSE))</f>
        <v>4</v>
      </c>
      <c r="I69" s="9">
        <f>EHD[[#This Row],[MRST '#HD]]</f>
        <v>1</v>
      </c>
      <c r="J69" s="1" t="str">
        <f ca="1">IFERROR(VLOOKUP(EHD[[#This Row],[DEVELOPMENT]],Data[],4,FALSE),"")</f>
        <v>2026+</v>
      </c>
      <c r="K69" s="1" t="str">
        <f ca="1">IF(EHD[[#This Row],[RAD/PACT]]="","",IF(OR(EHD[[#This Row],[RAD/PACT]]="2021-2025",EHD[[#This Row],[RAD/PACT]]="2019-2020"),"Yes",""))</f>
        <v/>
      </c>
      <c r="L69" s="1">
        <v>2020</v>
      </c>
      <c r="M69" s="1">
        <v>2020</v>
      </c>
      <c r="N69" s="1" t="s">
        <v>404</v>
      </c>
      <c r="O69" s="1"/>
      <c r="P69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69" s="51">
        <f ca="1">SUM(INDEX(EHD['# Hopper Doors],1):EHD[[#This Row],['# Hopper Doors]])</f>
        <v>332</v>
      </c>
      <c r="R69" s="47">
        <f t="shared" ca="1" si="1"/>
        <v>602287.1235000001</v>
      </c>
      <c r="S69" s="1">
        <f>IF(ISBLANK(EHD[[#This Row],[CALENDAR YEAR]]),ROUNDDOWN(EHD[[#This Row],[Running count]]/500,0)+$S$1,EHD[[#This Row],[CALENDAR YEAR]])</f>
        <v>2020</v>
      </c>
      <c r="T69" s="16" t="s">
        <v>448</v>
      </c>
    </row>
    <row r="70" spans="1:20">
      <c r="A70" s="66" t="s">
        <v>148</v>
      </c>
      <c r="B70" s="1" t="str">
        <f>VLOOKUP(A70,Data[],2,FALSE)</f>
        <v>BROOKLYN</v>
      </c>
      <c r="C70" s="9" t="s">
        <v>27</v>
      </c>
      <c r="D70" s="9" t="str">
        <f>VLOOKUP(EHD[[#This Row],[DEVELOPMENT]],Data[],52,FALSE)</f>
        <v>FEDERAL</v>
      </c>
      <c r="E70" s="1" t="str">
        <f>VLOOKUP(EHD[[#This Row],[DEVELOPMENT]],Data[],8,FALSE)</f>
        <v>Zone 1</v>
      </c>
      <c r="F70" s="9" t="str">
        <f>VLOOKUP(EHD[[#This Row],[DEVELOPMENT]],all[[DEVELOPMENT]:[MRST Ext. Comp. Priority]],6,FALSE)</f>
        <v>None</v>
      </c>
      <c r="G70" s="9">
        <v>3</v>
      </c>
      <c r="H70" s="1">
        <f>IF(VLOOKUP(EHD[[#This Row],[DEVELOPMENT]],Data[],9,FALSE)=0,5,VLOOKUP(EHD[[#This Row],[DEVELOPMENT]],Data[],9,FALSE))</f>
        <v>4</v>
      </c>
      <c r="I70" s="9">
        <f>EHD[[#This Row],[MRST '#HD]]</f>
        <v>3</v>
      </c>
      <c r="J70" s="1" t="str">
        <f ca="1">IFERROR(VLOOKUP(EHD[[#This Row],[DEVELOPMENT]],Data[],4,FALSE),"")</f>
        <v/>
      </c>
      <c r="K70" s="1" t="str">
        <f ca="1">IF(EHD[[#This Row],[RAD/PACT]]="","",IF(OR(EHD[[#This Row],[RAD/PACT]]="2021-2025",EHD[[#This Row],[RAD/PACT]]="2019-2020"),"Yes",""))</f>
        <v/>
      </c>
      <c r="L70" s="1">
        <v>2020</v>
      </c>
      <c r="M70" s="1">
        <v>2020</v>
      </c>
      <c r="N70" s="1" t="s">
        <v>402</v>
      </c>
      <c r="O70" s="1"/>
      <c r="P70" s="47">
        <f ca="1">IF(EHD[[#This Row],[RAD/PACT]]="2019-2020",0,INDEX(UnitCosts[],MATCH(EHD[[#This Row],[WORK TYPE]],UnitCosts[Work Type],0),2)*EHD[[#This Row],['# Hopper Doors]])*(1+((EHD[[#This Row],[est. Year]]-YEAR(TODAY()))*$P$2))</f>
        <v>22306.930500000002</v>
      </c>
      <c r="Q70" s="51">
        <f ca="1">SUM(INDEX(EHD['# Hopper Doors],1):EHD[[#This Row],['# Hopper Doors]])</f>
        <v>335</v>
      </c>
      <c r="R70" s="47">
        <f t="shared" ca="1" si="1"/>
        <v>624594.05400000012</v>
      </c>
      <c r="S70" s="1">
        <f>IF(ISBLANK(EHD[[#This Row],[CALENDAR YEAR]]),ROUNDDOWN(EHD[[#This Row],[Running count]]/500,0)+$S$1,EHD[[#This Row],[CALENDAR YEAR]])</f>
        <v>2020</v>
      </c>
      <c r="T70" s="16" t="s">
        <v>448</v>
      </c>
    </row>
    <row r="71" spans="1:20">
      <c r="A71" s="66" t="s">
        <v>66</v>
      </c>
      <c r="B71" s="1" t="str">
        <f>VLOOKUP(A71,Data[],2,FALSE)</f>
        <v>MANHATTAN</v>
      </c>
      <c r="C71" s="9" t="s">
        <v>27</v>
      </c>
      <c r="D71" s="9" t="str">
        <f>VLOOKUP(EHD[[#This Row],[DEVELOPMENT]],Data[],52,FALSE)</f>
        <v>FEDERAL</v>
      </c>
      <c r="E71" s="1" t="str">
        <f>VLOOKUP(EHD[[#This Row],[DEVELOPMENT]],Data[],8,FALSE)</f>
        <v>Zone 1</v>
      </c>
      <c r="F71" s="9" t="str">
        <f>VLOOKUP(EHD[[#This Row],[DEVELOPMENT]],all[[DEVELOPMENT]:[MRST Ext. Comp. Priority]],6,FALSE)</f>
        <v>None</v>
      </c>
      <c r="G71" s="9">
        <v>16</v>
      </c>
      <c r="H71" s="1">
        <f>IF(VLOOKUP(EHD[[#This Row],[DEVELOPMENT]],Data[],9,FALSE)=0,5,VLOOKUP(EHD[[#This Row],[DEVELOPMENT]],Data[],9,FALSE))</f>
        <v>4</v>
      </c>
      <c r="I71" s="9">
        <f>EHD[[#This Row],[MRST '#HD]]</f>
        <v>16</v>
      </c>
      <c r="J71" s="1" t="str">
        <f ca="1">IFERROR(VLOOKUP(EHD[[#This Row],[DEVELOPMENT]],Data[],4,FALSE),"")</f>
        <v/>
      </c>
      <c r="K71" s="1" t="str">
        <f ca="1">IF(EHD[[#This Row],[RAD/PACT]]="","",IF(OR(EHD[[#This Row],[RAD/PACT]]="2021-2025",EHD[[#This Row],[RAD/PACT]]="2019-2020"),"Yes",""))</f>
        <v/>
      </c>
      <c r="L71" s="1">
        <v>2020</v>
      </c>
      <c r="M71" s="1">
        <v>2020</v>
      </c>
      <c r="N71" s="1" t="s">
        <v>402</v>
      </c>
      <c r="O71" s="1"/>
      <c r="P71" s="47">
        <f ca="1">IF(EHD[[#This Row],[RAD/PACT]]="2019-2020",0,INDEX(UnitCosts[],MATCH(EHD[[#This Row],[WORK TYPE]],UnitCosts[Work Type],0),2)*EHD[[#This Row],['# Hopper Doors]])*(1+((EHD[[#This Row],[est. Year]]-YEAR(TODAY()))*$P$2))</f>
        <v>118970.296</v>
      </c>
      <c r="Q71" s="51">
        <f ca="1">SUM(INDEX(EHD['# Hopper Doors],1):EHD[[#This Row],['# Hopper Doors]])</f>
        <v>351</v>
      </c>
      <c r="R71" s="47">
        <f t="shared" ca="1" si="1"/>
        <v>743564.35000000009</v>
      </c>
      <c r="S71" s="1">
        <f>IF(ISBLANK(EHD[[#This Row],[CALENDAR YEAR]]),ROUNDDOWN(EHD[[#This Row],[Running count]]/500,0)+$S$1,EHD[[#This Row],[CALENDAR YEAR]])</f>
        <v>2020</v>
      </c>
      <c r="T71" s="16" t="s">
        <v>448</v>
      </c>
    </row>
    <row r="72" spans="1:20">
      <c r="A72" s="13" t="s">
        <v>119</v>
      </c>
      <c r="B72" s="1" t="str">
        <f>VLOOKUP(A72,Data[],2,FALSE)</f>
        <v>BROOKLYN</v>
      </c>
      <c r="C72" s="9" t="s">
        <v>27</v>
      </c>
      <c r="D72" s="9" t="str">
        <f>VLOOKUP(EHD[[#This Row],[DEVELOPMENT]],Data[],52,FALSE)</f>
        <v>FEDERAL</v>
      </c>
      <c r="E72" s="1" t="str">
        <f>VLOOKUP(EHD[[#This Row],[DEVELOPMENT]],Data[],8,FALSE)</f>
        <v>Zone 3</v>
      </c>
      <c r="F72" s="9" t="str">
        <f>VLOOKUP(EHD[[#This Row],[DEVELOPMENT]],all[[DEVELOPMENT]:[MRST Ext. Comp. Priority]],6,FALSE)</f>
        <v>B</v>
      </c>
      <c r="G72" s="9">
        <v>8</v>
      </c>
      <c r="H72" s="1">
        <f>IF(VLOOKUP(EHD[[#This Row],[DEVELOPMENT]],Data[],9,FALSE)=0,5,VLOOKUP(EHD[[#This Row],[DEVELOPMENT]],Data[],9,FALSE))</f>
        <v>1</v>
      </c>
      <c r="I72" s="9">
        <f>EHD[[#This Row],[MRST '#HD]]</f>
        <v>8</v>
      </c>
      <c r="J72" s="1" t="str">
        <f ca="1">IFERROR(VLOOKUP(EHD[[#This Row],[DEVELOPMENT]],Data[],4,FALSE),"")</f>
        <v>2026+</v>
      </c>
      <c r="K72" s="1" t="str">
        <f ca="1">IF(EHD[[#This Row],[RAD/PACT]]="","",IF(OR(EHD[[#This Row],[RAD/PACT]]="2021-2025",EHD[[#This Row],[RAD/PACT]]="2019-2020"),"Yes",""))</f>
        <v/>
      </c>
      <c r="L72" s="1"/>
      <c r="M72" s="1"/>
      <c r="N72" s="1"/>
      <c r="O72" s="1"/>
      <c r="P72" s="47">
        <f ca="1">IF(EHD[[#This Row],[RAD/PACT]]="2019-2020",0,INDEX(UnitCosts[],MATCH(EHD[[#This Row],[WORK TYPE]],UnitCosts[Work Type],0),2)*EHD[[#This Row],['# Hopper Doors]])*(1+((EHD[[#This Row],[est. Year]]-YEAR(TODAY()))*$P$2))</f>
        <v>59485.148000000001</v>
      </c>
      <c r="Q72" s="51">
        <f ca="1">SUM(INDEX(EHD['# Hopper Doors],1):EHD[[#This Row],['# Hopper Doors]])</f>
        <v>359</v>
      </c>
      <c r="R72" s="47">
        <f t="shared" ca="1" si="1"/>
        <v>803049.49800000014</v>
      </c>
      <c r="S72" s="1">
        <f ca="1">IF(ISBLANK(EHD[[#This Row],[CALENDAR YEAR]]),ROUNDDOWN(EHD[[#This Row],[Running count]]/500,0)+$S$1,EHD[[#This Row],[CALENDAR YEAR]])</f>
        <v>2020</v>
      </c>
      <c r="T72" s="16"/>
    </row>
    <row r="73" spans="1:20">
      <c r="A73" s="13" t="s">
        <v>70</v>
      </c>
      <c r="B73" s="1" t="str">
        <f>VLOOKUP(A73,Data[],2,FALSE)</f>
        <v>MANHATTAN</v>
      </c>
      <c r="C73" s="9" t="s">
        <v>27</v>
      </c>
      <c r="D73" s="9" t="str">
        <f>VLOOKUP(EHD[[#This Row],[DEVELOPMENT]],Data[],52,FALSE)</f>
        <v>FEDERAL</v>
      </c>
      <c r="E73" s="1" t="str">
        <f>VLOOKUP(EHD[[#This Row],[DEVELOPMENT]],Data[],8,FALSE)</f>
        <v>Zone 3</v>
      </c>
      <c r="F73" s="9" t="str">
        <f>VLOOKUP(EHD[[#This Row],[DEVELOPMENT]],all[[DEVELOPMENT]:[MRST Ext. Comp. Priority]],6,FALSE)</f>
        <v>C</v>
      </c>
      <c r="G73" s="9">
        <v>1</v>
      </c>
      <c r="H73" s="1">
        <f>IF(VLOOKUP(EHD[[#This Row],[DEVELOPMENT]],Data[],9,FALSE)=0,5,VLOOKUP(EHD[[#This Row],[DEVELOPMENT]],Data[],9,FALSE))</f>
        <v>1</v>
      </c>
      <c r="I73" s="9">
        <f>EHD[[#This Row],[MRST '#HD]]</f>
        <v>1</v>
      </c>
      <c r="J73" s="1" t="str">
        <f ca="1">IFERROR(VLOOKUP(EHD[[#This Row],[DEVELOPMENT]],Data[],4,FALSE),"")</f>
        <v>2020-2021</v>
      </c>
      <c r="K73" s="1" t="str">
        <f ca="1">IF(EHD[[#This Row],[RAD/PACT]]="","",IF(OR(EHD[[#This Row],[RAD/PACT]]="2021-2025",EHD[[#This Row],[RAD/PACT]]="2019-2020"),"Yes",""))</f>
        <v/>
      </c>
      <c r="L73" s="1"/>
      <c r="M73" s="1"/>
      <c r="N73" s="1"/>
      <c r="O73" s="1"/>
      <c r="P73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73" s="51">
        <f ca="1">SUM(INDEX(EHD['# Hopper Doors],1):EHD[[#This Row],['# Hopper Doors]])</f>
        <v>360</v>
      </c>
      <c r="R73" s="47">
        <f t="shared" ca="1" si="1"/>
        <v>810485.14150000014</v>
      </c>
      <c r="S73" s="1">
        <f ca="1">IF(ISBLANK(EHD[[#This Row],[CALENDAR YEAR]]),ROUNDDOWN(EHD[[#This Row],[Running count]]/500,0)+$S$1,EHD[[#This Row],[CALENDAR YEAR]])</f>
        <v>2020</v>
      </c>
      <c r="T73" s="16"/>
    </row>
    <row r="74" spans="1:20">
      <c r="A74" s="13" t="s">
        <v>113</v>
      </c>
      <c r="B74" s="1" t="str">
        <f>VLOOKUP(A74,Data[],2,FALSE)</f>
        <v>MANHATTAN</v>
      </c>
      <c r="C74" s="9" t="s">
        <v>27</v>
      </c>
      <c r="D74" s="9" t="str">
        <f>VLOOKUP(EHD[[#This Row],[DEVELOPMENT]],Data[],52,FALSE)</f>
        <v>FEDERAL</v>
      </c>
      <c r="E74" s="1" t="str">
        <f>VLOOKUP(EHD[[#This Row],[DEVELOPMENT]],Data[],8,FALSE)</f>
        <v>Zone 2</v>
      </c>
      <c r="F74" s="9" t="str">
        <f>VLOOKUP(EHD[[#This Row],[DEVELOPMENT]],all[[DEVELOPMENT]:[MRST Ext. Comp. Priority]],6,FALSE)</f>
        <v>C</v>
      </c>
      <c r="G74" s="9">
        <v>20</v>
      </c>
      <c r="H74" s="1">
        <f>IF(VLOOKUP(EHD[[#This Row],[DEVELOPMENT]],Data[],9,FALSE)=0,5,VLOOKUP(EHD[[#This Row],[DEVELOPMENT]],Data[],9,FALSE))</f>
        <v>1</v>
      </c>
      <c r="I74" s="9">
        <f>EHD[[#This Row],[MRST '#HD]]</f>
        <v>20</v>
      </c>
      <c r="J74" s="1" t="str">
        <f ca="1">IFERROR(VLOOKUP(EHD[[#This Row],[DEVELOPMENT]],Data[],4,FALSE),"")</f>
        <v>2026+</v>
      </c>
      <c r="K74" s="1" t="str">
        <f ca="1">IF(EHD[[#This Row],[RAD/PACT]]="","",IF(OR(EHD[[#This Row],[RAD/PACT]]="2021-2025",EHD[[#This Row],[RAD/PACT]]="2019-2020"),"Yes",""))</f>
        <v/>
      </c>
      <c r="L74" s="1"/>
      <c r="M74" s="1"/>
      <c r="N74" s="1"/>
      <c r="O74" s="1"/>
      <c r="P74" s="47">
        <f ca="1">IF(EHD[[#This Row],[RAD/PACT]]="2019-2020",0,INDEX(UnitCosts[],MATCH(EHD[[#This Row],[WORK TYPE]],UnitCosts[Work Type],0),2)*EHD[[#This Row],['# Hopper Doors]])*(1+((EHD[[#This Row],[est. Year]]-YEAR(TODAY()))*$P$2))</f>
        <v>148712.87</v>
      </c>
      <c r="Q74" s="51">
        <f ca="1">SUM(INDEX(EHD['# Hopper Doors],1):EHD[[#This Row],['# Hopper Doors]])</f>
        <v>380</v>
      </c>
      <c r="R74" s="47">
        <f t="shared" ca="1" si="1"/>
        <v>959198.01150000014</v>
      </c>
      <c r="S74" s="1">
        <f ca="1">IF(ISBLANK(EHD[[#This Row],[CALENDAR YEAR]]),ROUNDDOWN(EHD[[#This Row],[Running count]]/500,0)+$S$1,EHD[[#This Row],[CALENDAR YEAR]])</f>
        <v>2020</v>
      </c>
      <c r="T74" s="16"/>
    </row>
    <row r="75" spans="1:20">
      <c r="A75" s="13" t="s">
        <v>92</v>
      </c>
      <c r="B75" s="1" t="str">
        <f>VLOOKUP(A75,Data[],2,FALSE)</f>
        <v>MANHATTAN</v>
      </c>
      <c r="C75" s="9" t="s">
        <v>27</v>
      </c>
      <c r="D75" s="9" t="str">
        <f>VLOOKUP(EHD[[#This Row],[DEVELOPMENT]],Data[],52,FALSE)</f>
        <v>FEDERAL</v>
      </c>
      <c r="E75" s="1" t="str">
        <f>VLOOKUP(EHD[[#This Row],[DEVELOPMENT]],Data[],8,FALSE)</f>
        <v>Zone 2</v>
      </c>
      <c r="F75" s="9" t="str">
        <f>VLOOKUP(EHD[[#This Row],[DEVELOPMENT]],all[[DEVELOPMENT]:[MRST Ext. Comp. Priority]],6,FALSE)</f>
        <v>C</v>
      </c>
      <c r="G75" s="9">
        <v>1</v>
      </c>
      <c r="H75" s="1">
        <f>IF(VLOOKUP(EHD[[#This Row],[DEVELOPMENT]],Data[],9,FALSE)=0,5,VLOOKUP(EHD[[#This Row],[DEVELOPMENT]],Data[],9,FALSE))</f>
        <v>1</v>
      </c>
      <c r="I75" s="9">
        <f>EHD[[#This Row],[MRST '#HD]]</f>
        <v>1</v>
      </c>
      <c r="J75" s="1" t="str">
        <f ca="1">IFERROR(VLOOKUP(EHD[[#This Row],[DEVELOPMENT]],Data[],4,FALSE),"")</f>
        <v/>
      </c>
      <c r="K75" s="1" t="str">
        <f ca="1">IF(EHD[[#This Row],[RAD/PACT]]="","",IF(OR(EHD[[#This Row],[RAD/PACT]]="2021-2025",EHD[[#This Row],[RAD/PACT]]="2019-2020"),"Yes",""))</f>
        <v/>
      </c>
      <c r="L75" s="1"/>
      <c r="M75" s="1"/>
      <c r="N75" s="1"/>
      <c r="O75" s="1"/>
      <c r="P75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75" s="51">
        <f ca="1">SUM(INDEX(EHD['# Hopper Doors],1):EHD[[#This Row],['# Hopper Doors]])</f>
        <v>381</v>
      </c>
      <c r="R75" s="47">
        <f t="shared" ca="1" si="1"/>
        <v>966633.65500000014</v>
      </c>
      <c r="S75" s="1">
        <f ca="1">IF(ISBLANK(EHD[[#This Row],[CALENDAR YEAR]]),ROUNDDOWN(EHD[[#This Row],[Running count]]/500,0)+$S$1,EHD[[#This Row],[CALENDAR YEAR]])</f>
        <v>2020</v>
      </c>
      <c r="T75" s="16"/>
    </row>
    <row r="76" spans="1:20">
      <c r="A76" s="13" t="s">
        <v>129</v>
      </c>
      <c r="B76" s="1" t="str">
        <f>VLOOKUP(A76,Data[],2,FALSE)</f>
        <v>MANHATTAN</v>
      </c>
      <c r="C76" s="9" t="s">
        <v>27</v>
      </c>
      <c r="D76" s="9" t="str">
        <f>VLOOKUP(EHD[[#This Row],[DEVELOPMENT]],Data[],52,FALSE)</f>
        <v>FEDERAL</v>
      </c>
      <c r="E76" s="1" t="str">
        <f>VLOOKUP(EHD[[#This Row],[DEVELOPMENT]],Data[],8,FALSE)</f>
        <v>Zone 2</v>
      </c>
      <c r="F76" s="9" t="str">
        <f>VLOOKUP(EHD[[#This Row],[DEVELOPMENT]],all[[DEVELOPMENT]:[MRST Ext. Comp. Priority]],6,FALSE)</f>
        <v>D</v>
      </c>
      <c r="G76" s="9">
        <v>6</v>
      </c>
      <c r="H76" s="1">
        <f>IF(VLOOKUP(EHD[[#This Row],[DEVELOPMENT]],Data[],9,FALSE)=0,5,VLOOKUP(EHD[[#This Row],[DEVELOPMENT]],Data[],9,FALSE))</f>
        <v>1</v>
      </c>
      <c r="I76" s="9">
        <f>EHD[[#This Row],[MRST '#HD]]</f>
        <v>6</v>
      </c>
      <c r="J76" s="1" t="str">
        <f ca="1">IFERROR(VLOOKUP(EHD[[#This Row],[DEVELOPMENT]],Data[],4,FALSE),"")</f>
        <v/>
      </c>
      <c r="K76" s="1" t="str">
        <f ca="1">IF(EHD[[#This Row],[RAD/PACT]]="","",IF(OR(EHD[[#This Row],[RAD/PACT]]="2021-2025",EHD[[#This Row],[RAD/PACT]]="2019-2020"),"Yes",""))</f>
        <v/>
      </c>
      <c r="L76" s="1"/>
      <c r="M76" s="1"/>
      <c r="N76" s="1"/>
      <c r="O76" s="1"/>
      <c r="P76" s="47">
        <f ca="1">IF(EHD[[#This Row],[RAD/PACT]]="2019-2020",0,INDEX(UnitCosts[],MATCH(EHD[[#This Row],[WORK TYPE]],UnitCosts[Work Type],0),2)*EHD[[#This Row],['# Hopper Doors]])*(1+((EHD[[#This Row],[est. Year]]-YEAR(TODAY()))*$P$2))</f>
        <v>44613.861000000004</v>
      </c>
      <c r="Q76" s="51">
        <f ca="1">SUM(INDEX(EHD['# Hopper Doors],1):EHD[[#This Row],['# Hopper Doors]])</f>
        <v>387</v>
      </c>
      <c r="R76" s="47">
        <f t="shared" ca="1" si="1"/>
        <v>1011247.5160000002</v>
      </c>
      <c r="S76" s="1">
        <f ca="1">IF(ISBLANK(EHD[[#This Row],[CALENDAR YEAR]]),ROUNDDOWN(EHD[[#This Row],[Running count]]/500,0)+$S$1,EHD[[#This Row],[CALENDAR YEAR]])</f>
        <v>2020</v>
      </c>
      <c r="T76" s="16"/>
    </row>
    <row r="77" spans="1:20">
      <c r="A77" s="13" t="s">
        <v>81</v>
      </c>
      <c r="B77" s="1" t="str">
        <f>VLOOKUP(A77,Data[],2,FALSE)</f>
        <v>MANHATTAN</v>
      </c>
      <c r="C77" s="9" t="s">
        <v>27</v>
      </c>
      <c r="D77" s="9" t="str">
        <f>VLOOKUP(EHD[[#This Row],[DEVELOPMENT]],Data[],52,FALSE)</f>
        <v>FEDERAL</v>
      </c>
      <c r="E77" s="1" t="str">
        <f>VLOOKUP(EHD[[#This Row],[DEVELOPMENT]],Data[],8,FALSE)</f>
        <v>Zone 2</v>
      </c>
      <c r="F77" s="9" t="str">
        <f>VLOOKUP(EHD[[#This Row],[DEVELOPMENT]],all[[DEVELOPMENT]:[MRST Ext. Comp. Priority]],6,FALSE)</f>
        <v>None</v>
      </c>
      <c r="G77" s="9">
        <v>9</v>
      </c>
      <c r="H77" s="1">
        <f>IF(VLOOKUP(EHD[[#This Row],[DEVELOPMENT]],Data[],9,FALSE)=0,5,VLOOKUP(EHD[[#This Row],[DEVELOPMENT]],Data[],9,FALSE))</f>
        <v>1</v>
      </c>
      <c r="I77" s="9">
        <f>EHD[[#This Row],[MRST '#HD]]</f>
        <v>9</v>
      </c>
      <c r="J77" s="1" t="str">
        <f ca="1">IFERROR(VLOOKUP(EHD[[#This Row],[DEVELOPMENT]],Data[],4,FALSE),"")</f>
        <v>2026+</v>
      </c>
      <c r="K77" s="1" t="str">
        <f ca="1">IF(EHD[[#This Row],[RAD/PACT]]="","",IF(OR(EHD[[#This Row],[RAD/PACT]]="2021-2025",EHD[[#This Row],[RAD/PACT]]="2019-2020"),"Yes",""))</f>
        <v/>
      </c>
      <c r="L77" s="1"/>
      <c r="M77" s="1"/>
      <c r="N77" s="1"/>
      <c r="O77" s="1"/>
      <c r="P77" s="47">
        <f ca="1">IF(EHD[[#This Row],[RAD/PACT]]="2019-2020",0,INDEX(UnitCosts[],MATCH(EHD[[#This Row],[WORK TYPE]],UnitCosts[Work Type],0),2)*EHD[[#This Row],['# Hopper Doors]])*(1+((EHD[[#This Row],[est. Year]]-YEAR(TODAY()))*$P$2))</f>
        <v>66920.791500000007</v>
      </c>
      <c r="Q77" s="51">
        <f ca="1">SUM(INDEX(EHD['# Hopper Doors],1):EHD[[#This Row],['# Hopper Doors]])</f>
        <v>396</v>
      </c>
      <c r="R77" s="47">
        <f t="shared" ca="1" si="1"/>
        <v>1078168.3075000001</v>
      </c>
      <c r="S77" s="1">
        <f ca="1">IF(ISBLANK(EHD[[#This Row],[CALENDAR YEAR]]),ROUNDDOWN(EHD[[#This Row],[Running count]]/500,0)+$S$1,EHD[[#This Row],[CALENDAR YEAR]])</f>
        <v>2020</v>
      </c>
      <c r="T77" s="16"/>
    </row>
    <row r="78" spans="1:20">
      <c r="A78" s="136" t="s">
        <v>130</v>
      </c>
      <c r="B78" s="112" t="str">
        <f>VLOOKUP(A78,Data[],2,FALSE)</f>
        <v>MANHATTAN</v>
      </c>
      <c r="C78" s="112" t="s">
        <v>27</v>
      </c>
      <c r="D78" s="112" t="str">
        <f>VLOOKUP(EHD[[#This Row],[DEVELOPMENT]],Data[],52,FALSE)</f>
        <v>FEDERAL</v>
      </c>
      <c r="E78" s="112" t="str">
        <f>VLOOKUP(EHD[[#This Row],[DEVELOPMENT]],Data[],8,FALSE)</f>
        <v>Zone 3</v>
      </c>
      <c r="F78" s="112" t="str">
        <f>VLOOKUP(EHD[[#This Row],[DEVELOPMENT]],all[[DEVELOPMENT]:[MRST Ext. Comp. Priority]],6,FALSE)</f>
        <v>B</v>
      </c>
      <c r="G78" s="112"/>
      <c r="H78" s="112">
        <f>IF(VLOOKUP(EHD[[#This Row],[DEVELOPMENT]],Data[],9,FALSE)=0,5,VLOOKUP(EHD[[#This Row],[DEVELOPMENT]],Data[],9,FALSE))</f>
        <v>2</v>
      </c>
      <c r="I78" s="112">
        <f>EHD[[#This Row],[MRST '#HD]]</f>
        <v>0</v>
      </c>
      <c r="J78" s="112" t="str">
        <f ca="1">IFERROR(VLOOKUP(EHD[[#This Row],[DEVELOPMENT]],Data[],4,FALSE),"")</f>
        <v/>
      </c>
      <c r="K78" s="112" t="str">
        <f ca="1">IF(EHD[[#This Row],[RAD/PACT]]="","",IF(OR(EHD[[#This Row],[RAD/PACT]]="2021-2025",EHD[[#This Row],[RAD/PACT]]="2019-2020"),"Yes",""))</f>
        <v/>
      </c>
      <c r="L78" s="112"/>
      <c r="M78" s="112"/>
      <c r="N78" s="112"/>
      <c r="O78" s="112"/>
      <c r="P78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78" s="51">
        <f ca="1">SUM(INDEX(EHD['# Hopper Doors],1):EHD[[#This Row],['# Hopper Doors]])</f>
        <v>396</v>
      </c>
      <c r="R78" s="47">
        <f t="shared" ca="1" si="1"/>
        <v>1078168.3075000001</v>
      </c>
      <c r="S78" s="1">
        <f ca="1">IF(ISBLANK(EHD[[#This Row],[CALENDAR YEAR]]),ROUNDDOWN(EHD[[#This Row],[Running count]]/500,0)+$S$1,EHD[[#This Row],[CALENDAR YEAR]])</f>
        <v>2020</v>
      </c>
      <c r="T78" s="16"/>
    </row>
    <row r="79" spans="1:20">
      <c r="A79" s="13" t="s">
        <v>128</v>
      </c>
      <c r="B79" s="1" t="str">
        <f>VLOOKUP(A79,Data[],2,FALSE)</f>
        <v>MANHATTAN</v>
      </c>
      <c r="C79" s="9" t="s">
        <v>27</v>
      </c>
      <c r="D79" s="9" t="str">
        <f>VLOOKUP(EHD[[#This Row],[DEVELOPMENT]],Data[],52,FALSE)</f>
        <v>FEDERAL</v>
      </c>
      <c r="E79" s="1" t="str">
        <f>VLOOKUP(EHD[[#This Row],[DEVELOPMENT]],Data[],8,FALSE)</f>
        <v>Zone 2</v>
      </c>
      <c r="F79" s="9" t="str">
        <f>VLOOKUP(EHD[[#This Row],[DEVELOPMENT]],all[[DEVELOPMENT]:[MRST Ext. Comp. Priority]],6,FALSE)</f>
        <v>B</v>
      </c>
      <c r="G79" s="9">
        <v>18</v>
      </c>
      <c r="H79" s="1">
        <f>IF(VLOOKUP(EHD[[#This Row],[DEVELOPMENT]],Data[],9,FALSE)=0,5,VLOOKUP(EHD[[#This Row],[DEVELOPMENT]],Data[],9,FALSE))</f>
        <v>2</v>
      </c>
      <c r="I79" s="9">
        <f>EHD[[#This Row],[MRST '#HD]]</f>
        <v>18</v>
      </c>
      <c r="J79" s="1" t="str">
        <f ca="1">IFERROR(VLOOKUP(EHD[[#This Row],[DEVELOPMENT]],Data[],4,FALSE),"")</f>
        <v>2026+</v>
      </c>
      <c r="K79" s="1" t="str">
        <f ca="1">IF(EHD[[#This Row],[RAD/PACT]]="","",IF(OR(EHD[[#This Row],[RAD/PACT]]="2021-2025",EHD[[#This Row],[RAD/PACT]]="2019-2020"),"Yes",""))</f>
        <v/>
      </c>
      <c r="L79" s="1"/>
      <c r="M79" s="1"/>
      <c r="N79" s="1"/>
      <c r="O79" s="1"/>
      <c r="P79" s="47">
        <f ca="1">IF(EHD[[#This Row],[RAD/PACT]]="2019-2020",0,INDEX(UnitCosts[],MATCH(EHD[[#This Row],[WORK TYPE]],UnitCosts[Work Type],0),2)*EHD[[#This Row],['# Hopper Doors]])*(1+((EHD[[#This Row],[est. Year]]-YEAR(TODAY()))*$P$2))</f>
        <v>133841.58300000001</v>
      </c>
      <c r="Q79" s="51">
        <f ca="1">SUM(INDEX(EHD['# Hopper Doors],1):EHD[[#This Row],['# Hopper Doors]])</f>
        <v>414</v>
      </c>
      <c r="R79" s="47">
        <f t="shared" ca="1" si="1"/>
        <v>1212009.8905000002</v>
      </c>
      <c r="S79" s="1">
        <f ca="1">IF(ISBLANK(EHD[[#This Row],[CALENDAR YEAR]]),ROUNDDOWN(EHD[[#This Row],[Running count]]/500,0)+$S$1,EHD[[#This Row],[CALENDAR YEAR]])</f>
        <v>2020</v>
      </c>
      <c r="T79" s="16"/>
    </row>
    <row r="80" spans="1:20">
      <c r="A80" s="13" t="s">
        <v>72</v>
      </c>
      <c r="B80" s="1" t="str">
        <f>VLOOKUP(A80,Data[],2,FALSE)</f>
        <v>BROOKLYN</v>
      </c>
      <c r="C80" s="9" t="s">
        <v>27</v>
      </c>
      <c r="D80" s="9" t="str">
        <f>VLOOKUP(EHD[[#This Row],[DEVELOPMENT]],Data[],52,FALSE)</f>
        <v>FEDERAL</v>
      </c>
      <c r="E80" s="1" t="str">
        <f>VLOOKUP(EHD[[#This Row],[DEVELOPMENT]],Data[],8,FALSE)</f>
        <v>Zone 3</v>
      </c>
      <c r="F80" s="9" t="str">
        <f>VLOOKUP(EHD[[#This Row],[DEVELOPMENT]],all[[DEVELOPMENT]:[MRST Ext. Comp. Priority]],6,FALSE)</f>
        <v>C</v>
      </c>
      <c r="G80" s="9">
        <v>7</v>
      </c>
      <c r="H80" s="1">
        <f>IF(VLOOKUP(EHD[[#This Row],[DEVELOPMENT]],Data[],9,FALSE)=0,5,VLOOKUP(EHD[[#This Row],[DEVELOPMENT]],Data[],9,FALSE))</f>
        <v>2</v>
      </c>
      <c r="I80" s="9">
        <f>EHD[[#This Row],[MRST '#HD]]</f>
        <v>7</v>
      </c>
      <c r="J80" s="1" t="str">
        <f ca="1">IFERROR(VLOOKUP(EHD[[#This Row],[DEVELOPMENT]],Data[],4,FALSE),"")</f>
        <v>2026+</v>
      </c>
      <c r="K80" s="1" t="str">
        <f ca="1">IF(EHD[[#This Row],[RAD/PACT]]="","",IF(OR(EHD[[#This Row],[RAD/PACT]]="2021-2025",EHD[[#This Row],[RAD/PACT]]="2019-2020"),"Yes",""))</f>
        <v/>
      </c>
      <c r="L80" s="1"/>
      <c r="M80" s="1"/>
      <c r="N80" s="1"/>
      <c r="O80" s="1"/>
      <c r="P80" s="47">
        <f ca="1">IF(EHD[[#This Row],[RAD/PACT]]="2019-2020",0,INDEX(UnitCosts[],MATCH(EHD[[#This Row],[WORK TYPE]],UnitCosts[Work Type],0),2)*EHD[[#This Row],['# Hopper Doors]])*(1+((EHD[[#This Row],[est. Year]]-YEAR(TODAY()))*$P$2))</f>
        <v>52049.504500000003</v>
      </c>
      <c r="Q80" s="51">
        <f ca="1">SUM(INDEX(EHD['# Hopper Doors],1):EHD[[#This Row],['# Hopper Doors]])</f>
        <v>421</v>
      </c>
      <c r="R80" s="47">
        <f t="shared" ca="1" si="1"/>
        <v>1264059.3950000003</v>
      </c>
      <c r="S80" s="1">
        <f ca="1">IF(ISBLANK(EHD[[#This Row],[CALENDAR YEAR]]),ROUNDDOWN(EHD[[#This Row],[Running count]]/500,0)+$S$1,EHD[[#This Row],[CALENDAR YEAR]])</f>
        <v>2020</v>
      </c>
      <c r="T80" s="16"/>
    </row>
    <row r="81" spans="1:20">
      <c r="A81" s="13" t="s">
        <v>83</v>
      </c>
      <c r="B81" s="1" t="str">
        <f>VLOOKUP(A81,Data[],2,FALSE)</f>
        <v>MANHATTAN</v>
      </c>
      <c r="C81" s="9" t="s">
        <v>27</v>
      </c>
      <c r="D81" s="9" t="str">
        <f>VLOOKUP(EHD[[#This Row],[DEVELOPMENT]],Data[],52,FALSE)</f>
        <v>FEDERAL</v>
      </c>
      <c r="E81" s="1" t="str">
        <f>VLOOKUP(EHD[[#This Row],[DEVELOPMENT]],Data[],8,FALSE)</f>
        <v>Zone 2</v>
      </c>
      <c r="F81" s="9" t="str">
        <f>VLOOKUP(EHD[[#This Row],[DEVELOPMENT]],all[[DEVELOPMENT]:[MRST Ext. Comp. Priority]],6,FALSE)</f>
        <v>C</v>
      </c>
      <c r="G81" s="9">
        <v>17</v>
      </c>
      <c r="H81" s="1">
        <f>IF(VLOOKUP(EHD[[#This Row],[DEVELOPMENT]],Data[],9,FALSE)=0,5,VLOOKUP(EHD[[#This Row],[DEVELOPMENT]],Data[],9,FALSE))</f>
        <v>2</v>
      </c>
      <c r="I81" s="9">
        <f>EHD[[#This Row],[MRST '#HD]]</f>
        <v>17</v>
      </c>
      <c r="J81" s="1" t="str">
        <f ca="1">IFERROR(VLOOKUP(EHD[[#This Row],[DEVELOPMENT]],Data[],4,FALSE),"")</f>
        <v>2026+</v>
      </c>
      <c r="K81" s="1" t="str">
        <f ca="1">IF(EHD[[#This Row],[RAD/PACT]]="","",IF(OR(EHD[[#This Row],[RAD/PACT]]="2021-2025",EHD[[#This Row],[RAD/PACT]]="2019-2020"),"Yes",""))</f>
        <v/>
      </c>
      <c r="L81" s="1"/>
      <c r="M81" s="1"/>
      <c r="N81" s="1"/>
      <c r="O81" s="1"/>
      <c r="P81" s="47">
        <f ca="1">IF(EHD[[#This Row],[RAD/PACT]]="2019-2020",0,INDEX(UnitCosts[],MATCH(EHD[[#This Row],[WORK TYPE]],UnitCosts[Work Type],0),2)*EHD[[#This Row],['# Hopper Doors]])*(1+((EHD[[#This Row],[est. Year]]-YEAR(TODAY()))*$P$2))</f>
        <v>126405.93950000001</v>
      </c>
      <c r="Q81" s="51">
        <f ca="1">SUM(INDEX(EHD['# Hopper Doors],1):EHD[[#This Row],['# Hopper Doors]])</f>
        <v>438</v>
      </c>
      <c r="R81" s="47">
        <f t="shared" ca="1" si="1"/>
        <v>1390465.3345000003</v>
      </c>
      <c r="S81" s="1">
        <f ca="1">IF(ISBLANK(EHD[[#This Row],[CALENDAR YEAR]]),ROUNDDOWN(EHD[[#This Row],[Running count]]/500,0)+$S$1,EHD[[#This Row],[CALENDAR YEAR]])</f>
        <v>2020</v>
      </c>
      <c r="T81" s="16"/>
    </row>
    <row r="82" spans="1:20">
      <c r="A82" s="13" t="s">
        <v>131</v>
      </c>
      <c r="B82" s="1" t="str">
        <f>VLOOKUP(A82,Data[],2,FALSE)</f>
        <v>MANHATTAN</v>
      </c>
      <c r="C82" s="9" t="s">
        <v>27</v>
      </c>
      <c r="D82" s="9" t="str">
        <f>VLOOKUP(EHD[[#This Row],[DEVELOPMENT]],Data[],52,FALSE)</f>
        <v>FEDERAL</v>
      </c>
      <c r="E82" s="1" t="str">
        <f>VLOOKUP(EHD[[#This Row],[DEVELOPMENT]],Data[],8,FALSE)</f>
        <v>Zone 2</v>
      </c>
      <c r="F82" s="9" t="str">
        <f>VLOOKUP(EHD[[#This Row],[DEVELOPMENT]],all[[DEVELOPMENT]:[MRST Ext. Comp. Priority]],6,FALSE)</f>
        <v>C</v>
      </c>
      <c r="G82" s="9">
        <v>10</v>
      </c>
      <c r="H82" s="1">
        <f>IF(VLOOKUP(EHD[[#This Row],[DEVELOPMENT]],Data[],9,FALSE)=0,5,VLOOKUP(EHD[[#This Row],[DEVELOPMENT]],Data[],9,FALSE))</f>
        <v>2</v>
      </c>
      <c r="I82" s="9">
        <f>EHD[[#This Row],[MRST '#HD]]</f>
        <v>10</v>
      </c>
      <c r="J82" s="1" t="str">
        <f ca="1">IFERROR(VLOOKUP(EHD[[#This Row],[DEVELOPMENT]],Data[],4,FALSE),"")</f>
        <v/>
      </c>
      <c r="K82" s="1" t="str">
        <f ca="1">IF(EHD[[#This Row],[RAD/PACT]]="","",IF(OR(EHD[[#This Row],[RAD/PACT]]="2021-2025",EHD[[#This Row],[RAD/PACT]]="2019-2020"),"Yes",""))</f>
        <v/>
      </c>
      <c r="L82" s="1"/>
      <c r="M82" s="1"/>
      <c r="N82" s="1"/>
      <c r="O82" s="1"/>
      <c r="P82" s="47">
        <f ca="1">IF(EHD[[#This Row],[RAD/PACT]]="2019-2020",0,INDEX(UnitCosts[],MATCH(EHD[[#This Row],[WORK TYPE]],UnitCosts[Work Type],0),2)*EHD[[#This Row],['# Hopper Doors]])*(1+((EHD[[#This Row],[est. Year]]-YEAR(TODAY()))*$P$2))</f>
        <v>74356.434999999998</v>
      </c>
      <c r="Q82" s="51">
        <f ca="1">SUM(INDEX(EHD['# Hopper Doors],1):EHD[[#This Row],['# Hopper Doors]])</f>
        <v>448</v>
      </c>
      <c r="R82" s="47">
        <f t="shared" ca="1" si="1"/>
        <v>1464821.7695000004</v>
      </c>
      <c r="S82" s="1">
        <f ca="1">IF(ISBLANK(EHD[[#This Row],[CALENDAR YEAR]]),ROUNDDOWN(EHD[[#This Row],[Running count]]/500,0)+$S$1,EHD[[#This Row],[CALENDAR YEAR]])</f>
        <v>2020</v>
      </c>
      <c r="T82" s="16"/>
    </row>
    <row r="83" spans="1:20">
      <c r="A83" s="13" t="s">
        <v>137</v>
      </c>
      <c r="B83" s="1" t="str">
        <f>VLOOKUP(A83,Data[],2,FALSE)</f>
        <v>MANHATTAN</v>
      </c>
      <c r="C83" s="9" t="s">
        <v>27</v>
      </c>
      <c r="D83" s="9" t="str">
        <f>VLOOKUP(EHD[[#This Row],[DEVELOPMENT]],Data[],52,FALSE)</f>
        <v>FEDERAL</v>
      </c>
      <c r="E83" s="1" t="str">
        <f>VLOOKUP(EHD[[#This Row],[DEVELOPMENT]],Data[],8,FALSE)</f>
        <v>Zone 2</v>
      </c>
      <c r="F83" s="9" t="str">
        <f>VLOOKUP(EHD[[#This Row],[DEVELOPMENT]],all[[DEVELOPMENT]:[MRST Ext. Comp. Priority]],6,FALSE)</f>
        <v>D</v>
      </c>
      <c r="G83" s="9">
        <v>14</v>
      </c>
      <c r="H83" s="1">
        <f>IF(VLOOKUP(EHD[[#This Row],[DEVELOPMENT]],Data[],9,FALSE)=0,5,VLOOKUP(EHD[[#This Row],[DEVELOPMENT]],Data[],9,FALSE))</f>
        <v>2</v>
      </c>
      <c r="I83" s="9">
        <f>EHD[[#This Row],[MRST '#HD]]</f>
        <v>14</v>
      </c>
      <c r="J83" s="1" t="str">
        <f ca="1">IFERROR(VLOOKUP(EHD[[#This Row],[DEVELOPMENT]],Data[],4,FALSE),"")</f>
        <v>2022-2025</v>
      </c>
      <c r="K83" s="1" t="str">
        <f ca="1">IF(EHD[[#This Row],[RAD/PACT]]="","",IF(OR(EHD[[#This Row],[RAD/PACT]]="2021-2025",EHD[[#This Row],[RAD/PACT]]="2019-2020"),"Yes",""))</f>
        <v/>
      </c>
      <c r="L83" s="1"/>
      <c r="M83" s="1"/>
      <c r="N83" s="1"/>
      <c r="O83" s="1"/>
      <c r="P83" s="47">
        <f ca="1">IF(EHD[[#This Row],[RAD/PACT]]="2019-2020",0,INDEX(UnitCosts[],MATCH(EHD[[#This Row],[WORK TYPE]],UnitCosts[Work Type],0),2)*EHD[[#This Row],['# Hopper Doors]])*(1+((EHD[[#This Row],[est. Year]]-YEAR(TODAY()))*$P$2))</f>
        <v>104099.00900000001</v>
      </c>
      <c r="Q83" s="51">
        <f ca="1">SUM(INDEX(EHD['# Hopper Doors],1):EHD[[#This Row],['# Hopper Doors]])</f>
        <v>462</v>
      </c>
      <c r="R83" s="47">
        <f t="shared" ca="1" si="1"/>
        <v>1568920.7785000005</v>
      </c>
      <c r="S83" s="1">
        <f ca="1">IF(ISBLANK(EHD[[#This Row],[CALENDAR YEAR]]),ROUNDDOWN(EHD[[#This Row],[Running count]]/500,0)+$S$1,EHD[[#This Row],[CALENDAR YEAR]])</f>
        <v>2020</v>
      </c>
      <c r="T83" s="16"/>
    </row>
    <row r="84" spans="1:20">
      <c r="A84" s="136" t="s">
        <v>76</v>
      </c>
      <c r="B84" s="112" t="str">
        <f>VLOOKUP(A84,Data[],2,FALSE)</f>
        <v>MANHATTAN</v>
      </c>
      <c r="C84" s="112" t="s">
        <v>27</v>
      </c>
      <c r="D84" s="112" t="str">
        <f>VLOOKUP(EHD[[#This Row],[DEVELOPMENT]],Data[],52,FALSE)</f>
        <v>FEDERAL</v>
      </c>
      <c r="E84" s="112" t="str">
        <f>VLOOKUP(EHD[[#This Row],[DEVELOPMENT]],Data[],8,FALSE)</f>
        <v>Zone 3</v>
      </c>
      <c r="F84" s="112" t="str">
        <f>VLOOKUP(EHD[[#This Row],[DEVELOPMENT]],all[[DEVELOPMENT]:[MRST Ext. Comp. Priority]],6,FALSE)</f>
        <v>None</v>
      </c>
      <c r="G84" s="112"/>
      <c r="H84" s="112">
        <f>IF(VLOOKUP(EHD[[#This Row],[DEVELOPMENT]],Data[],9,FALSE)=0,5,VLOOKUP(EHD[[#This Row],[DEVELOPMENT]],Data[],9,FALSE))</f>
        <v>2</v>
      </c>
      <c r="I84" s="112">
        <f>EHD[[#This Row],[MRST '#HD]]</f>
        <v>0</v>
      </c>
      <c r="J84" s="112" t="str">
        <f ca="1">IFERROR(VLOOKUP(EHD[[#This Row],[DEVELOPMENT]],Data[],4,FALSE),"")</f>
        <v/>
      </c>
      <c r="K84" s="112" t="str">
        <f ca="1">IF(EHD[[#This Row],[RAD/PACT]]="","",IF(OR(EHD[[#This Row],[RAD/PACT]]="2021-2025",EHD[[#This Row],[RAD/PACT]]="2019-2020"),"Yes",""))</f>
        <v/>
      </c>
      <c r="L84" s="112"/>
      <c r="M84" s="112"/>
      <c r="N84" s="112"/>
      <c r="O84" s="112"/>
      <c r="P84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84" s="51">
        <f ca="1">SUM(INDEX(EHD['# Hopper Doors],1):EHD[[#This Row],['# Hopper Doors]])</f>
        <v>462</v>
      </c>
      <c r="R84" s="47">
        <f t="shared" ca="1" si="1"/>
        <v>1568920.7785000005</v>
      </c>
      <c r="S84" s="1">
        <f ca="1">IF(ISBLANK(EHD[[#This Row],[CALENDAR YEAR]]),ROUNDDOWN(EHD[[#This Row],[Running count]]/500,0)+$S$1,EHD[[#This Row],[CALENDAR YEAR]])</f>
        <v>2020</v>
      </c>
      <c r="T84" s="16"/>
    </row>
    <row r="85" spans="1:20" s="49" customFormat="1">
      <c r="A85" s="110" t="s">
        <v>97</v>
      </c>
      <c r="B85" s="1" t="str">
        <f>VLOOKUP(A85,Data[],2,FALSE)</f>
        <v>BRONX</v>
      </c>
      <c r="C85" s="9" t="s">
        <v>27</v>
      </c>
      <c r="D85" s="9" t="str">
        <f>VLOOKUP(EHD[[#This Row],[DEVELOPMENT]],Data[],52,FALSE)</f>
        <v>FEDERAL</v>
      </c>
      <c r="E85" s="1" t="str">
        <f>VLOOKUP(EHD[[#This Row],[DEVELOPMENT]],Data[],8,FALSE)</f>
        <v>Zone 3</v>
      </c>
      <c r="F85" s="9" t="str">
        <f>VLOOKUP(EHD[[#This Row],[DEVELOPMENT]],all[[DEVELOPMENT]:[MRST Ext. Comp. Priority]],6,FALSE)</f>
        <v>None</v>
      </c>
      <c r="G85" s="9">
        <v>0</v>
      </c>
      <c r="H85" s="1">
        <f>IF(VLOOKUP(EHD[[#This Row],[DEVELOPMENT]],Data[],9,FALSE)=0,5,VLOOKUP(EHD[[#This Row],[DEVELOPMENT]],Data[],9,FALSE))</f>
        <v>2</v>
      </c>
      <c r="I85" s="9">
        <f>EHD[[#This Row],[MRST '#HD]]</f>
        <v>0</v>
      </c>
      <c r="J85" s="1" t="str">
        <f ca="1">IFERROR(VLOOKUP(EHD[[#This Row],[DEVELOPMENT]],Data[],4,FALSE),"")</f>
        <v>2026+</v>
      </c>
      <c r="K85" s="1" t="str">
        <f ca="1">IF(EHD[[#This Row],[RAD/PACT]]="","",IF(OR(EHD[[#This Row],[RAD/PACT]]="2021-2025",EHD[[#This Row],[RAD/PACT]]="2019-2020"),"Yes",""))</f>
        <v/>
      </c>
      <c r="L85" s="1"/>
      <c r="M85" s="1"/>
      <c r="N85" s="1"/>
      <c r="O85" s="1"/>
      <c r="P85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85" s="51">
        <f ca="1">SUM(INDEX(EHD['# Hopper Doors],1):EHD[[#This Row],['# Hopper Doors]])</f>
        <v>462</v>
      </c>
      <c r="R85" s="47">
        <f t="shared" ca="1" si="1"/>
        <v>1568920.7785000005</v>
      </c>
      <c r="S85" s="1">
        <f ca="1">IF(ISBLANK(EHD[[#This Row],[CALENDAR YEAR]]),ROUNDDOWN(EHD[[#This Row],[Running count]]/500,0)+$S$1,EHD[[#This Row],[CALENDAR YEAR]])</f>
        <v>2020</v>
      </c>
      <c r="T85" s="16"/>
    </row>
    <row r="86" spans="1:20" s="49" customFormat="1">
      <c r="A86" s="13" t="s">
        <v>82</v>
      </c>
      <c r="B86" s="1" t="str">
        <f>VLOOKUP(A86,Data[],2,FALSE)</f>
        <v>MANHATTAN</v>
      </c>
      <c r="C86" s="9" t="s">
        <v>27</v>
      </c>
      <c r="D86" s="9" t="str">
        <f>VLOOKUP(EHD[[#This Row],[DEVELOPMENT]],Data[],52,FALSE)</f>
        <v>FEDERAL</v>
      </c>
      <c r="E86" s="1" t="str">
        <f>VLOOKUP(EHD[[#This Row],[DEVELOPMENT]],Data[],8,FALSE)</f>
        <v>Zone 3</v>
      </c>
      <c r="F86" s="9" t="str">
        <f>VLOOKUP(EHD[[#This Row],[DEVELOPMENT]],all[[DEVELOPMENT]:[MRST Ext. Comp. Priority]],6,FALSE)</f>
        <v>B</v>
      </c>
      <c r="G86" s="9">
        <v>1</v>
      </c>
      <c r="H86" s="1">
        <f>IF(VLOOKUP(EHD[[#This Row],[DEVELOPMENT]],Data[],9,FALSE)=0,5,VLOOKUP(EHD[[#This Row],[DEVELOPMENT]],Data[],9,FALSE))</f>
        <v>3</v>
      </c>
      <c r="I86" s="9">
        <f>EHD[[#This Row],[MRST '#HD]]</f>
        <v>1</v>
      </c>
      <c r="J86" s="1" t="str">
        <f ca="1">IFERROR(VLOOKUP(EHD[[#This Row],[DEVELOPMENT]],Data[],4,FALSE),"")</f>
        <v>2020-2021</v>
      </c>
      <c r="K86" s="1" t="str">
        <f ca="1">IF(EHD[[#This Row],[RAD/PACT]]="","",IF(OR(EHD[[#This Row],[RAD/PACT]]="2021-2025",EHD[[#This Row],[RAD/PACT]]="2019-2020"),"Yes",""))</f>
        <v/>
      </c>
      <c r="L86" s="1"/>
      <c r="M86" s="1"/>
      <c r="N86" s="1"/>
      <c r="O86" s="1"/>
      <c r="P86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86" s="51">
        <f ca="1">SUM(INDEX(EHD['# Hopper Doors],1):EHD[[#This Row],['# Hopper Doors]])</f>
        <v>463</v>
      </c>
      <c r="R86" s="47">
        <f t="shared" ca="1" si="1"/>
        <v>1576356.4220000005</v>
      </c>
      <c r="S86" s="1">
        <f ca="1">IF(ISBLANK(EHD[[#This Row],[CALENDAR YEAR]]),ROUNDDOWN(EHD[[#This Row],[Running count]]/500,0)+$S$1,EHD[[#This Row],[CALENDAR YEAR]])</f>
        <v>2020</v>
      </c>
      <c r="T86" s="16"/>
    </row>
    <row r="87" spans="1:20" s="49" customFormat="1">
      <c r="A87" s="13" t="s">
        <v>132</v>
      </c>
      <c r="B87" s="1" t="str">
        <f>VLOOKUP(A87,Data[],2,FALSE)</f>
        <v>BRONX</v>
      </c>
      <c r="C87" s="9" t="s">
        <v>27</v>
      </c>
      <c r="D87" s="9" t="str">
        <f>VLOOKUP(EHD[[#This Row],[DEVELOPMENT]],Data[],52,FALSE)</f>
        <v>FEDERAL</v>
      </c>
      <c r="E87" s="1" t="str">
        <f>VLOOKUP(EHD[[#This Row],[DEVELOPMENT]],Data[],8,FALSE)</f>
        <v>Zone 3</v>
      </c>
      <c r="F87" s="9" t="str">
        <f>VLOOKUP(EHD[[#This Row],[DEVELOPMENT]],all[[DEVELOPMENT]:[MRST Ext. Comp. Priority]],6,FALSE)</f>
        <v>B</v>
      </c>
      <c r="G87" s="9">
        <v>25</v>
      </c>
      <c r="H87" s="1">
        <f>IF(VLOOKUP(EHD[[#This Row],[DEVELOPMENT]],Data[],9,FALSE)=0,5,VLOOKUP(EHD[[#This Row],[DEVELOPMENT]],Data[],9,FALSE))</f>
        <v>3</v>
      </c>
      <c r="I87" s="9">
        <f>EHD[[#This Row],[MRST '#HD]]</f>
        <v>25</v>
      </c>
      <c r="J87" s="1" t="str">
        <f ca="1">IFERROR(VLOOKUP(EHD[[#This Row],[DEVELOPMENT]],Data[],4,FALSE),"")</f>
        <v>2022-2025</v>
      </c>
      <c r="K87" s="1" t="str">
        <f ca="1">IF(EHD[[#This Row],[RAD/PACT]]="","",IF(OR(EHD[[#This Row],[RAD/PACT]]="2021-2025",EHD[[#This Row],[RAD/PACT]]="2019-2020"),"Yes",""))</f>
        <v/>
      </c>
      <c r="L87" s="1"/>
      <c r="M87" s="1"/>
      <c r="N87" s="1"/>
      <c r="O87" s="1"/>
      <c r="P87" s="47">
        <f ca="1">IF(EHD[[#This Row],[RAD/PACT]]="2019-2020",0,INDEX(UnitCosts[],MATCH(EHD[[#This Row],[WORK TYPE]],UnitCosts[Work Type],0),2)*EHD[[#This Row],['# Hopper Doors]])*(1+((EHD[[#This Row],[est. Year]]-YEAR(TODAY()))*$P$2))</f>
        <v>185891.08749999999</v>
      </c>
      <c r="Q87" s="51">
        <f ca="1">SUM(INDEX(EHD['# Hopper Doors],1):EHD[[#This Row],['# Hopper Doors]])</f>
        <v>488</v>
      </c>
      <c r="R87" s="47">
        <f t="shared" ca="1" si="1"/>
        <v>1762247.5095000004</v>
      </c>
      <c r="S87" s="1">
        <f ca="1">IF(ISBLANK(EHD[[#This Row],[CALENDAR YEAR]]),ROUNDDOWN(EHD[[#This Row],[Running count]]/500,0)+$S$1,EHD[[#This Row],[CALENDAR YEAR]])</f>
        <v>2020</v>
      </c>
      <c r="T87" s="16"/>
    </row>
    <row r="88" spans="1:20">
      <c r="A88" s="66" t="s">
        <v>56</v>
      </c>
      <c r="B88" s="1" t="str">
        <f>VLOOKUP(A88,Data[],2,FALSE)</f>
        <v>MANHATTAN</v>
      </c>
      <c r="C88" s="9" t="s">
        <v>27</v>
      </c>
      <c r="D88" s="9" t="str">
        <f>VLOOKUP(EHD[[#This Row],[DEVELOPMENT]],Data[],52,FALSE)</f>
        <v>FEDERAL</v>
      </c>
      <c r="E88" s="1" t="str">
        <f>VLOOKUP(EHD[[#This Row],[DEVELOPMENT]],Data[],8,FALSE)</f>
        <v>Zone 1</v>
      </c>
      <c r="F88" s="9" t="str">
        <f>VLOOKUP(EHD[[#This Row],[DEVELOPMENT]],all[[DEVELOPMENT]:[MRST Ext. Comp. Priority]],6,FALSE)</f>
        <v>B</v>
      </c>
      <c r="G88" s="9">
        <v>45</v>
      </c>
      <c r="H88" s="1">
        <f>IF(VLOOKUP(EHD[[#This Row],[DEVELOPMENT]],Data[],9,FALSE)=0,5,VLOOKUP(EHD[[#This Row],[DEVELOPMENT]],Data[],9,FALSE))</f>
        <v>3</v>
      </c>
      <c r="I88" s="9">
        <f>EHD[[#This Row],[MRST '#HD]]</f>
        <v>45</v>
      </c>
      <c r="J88" s="1" t="str">
        <f ca="1">IFERROR(VLOOKUP(EHD[[#This Row],[DEVELOPMENT]],Data[],4,FALSE),"")</f>
        <v/>
      </c>
      <c r="K88" s="1" t="str">
        <f ca="1">IF(EHD[[#This Row],[RAD/PACT]]="","",IF(OR(EHD[[#This Row],[RAD/PACT]]="2021-2025",EHD[[#This Row],[RAD/PACT]]="2019-2020"),"Yes",""))</f>
        <v/>
      </c>
      <c r="L88" s="1"/>
      <c r="M88" s="1"/>
      <c r="N88" s="1"/>
      <c r="O88" s="1"/>
      <c r="P88" s="47">
        <f ca="1">IF(EHD[[#This Row],[RAD/PACT]]="2019-2020",0,INDEX(UnitCosts[],MATCH(EHD[[#This Row],[WORK TYPE]],UnitCosts[Work Type],0),2)*EHD[[#This Row],['# Hopper Doors]])*(1+((EHD[[#This Row],[est. Year]]-YEAR(TODAY()))*$P$2))</f>
        <v>346315.0960125</v>
      </c>
      <c r="Q88" s="51">
        <f ca="1">SUM(INDEX(EHD['# Hopper Doors],1):EHD[[#This Row],['# Hopper Doors]])</f>
        <v>533</v>
      </c>
      <c r="R88" s="47">
        <f t="shared" ca="1" si="1"/>
        <v>346315.0960125</v>
      </c>
      <c r="S88" s="1">
        <f ca="1">IF(ISBLANK(EHD[[#This Row],[CALENDAR YEAR]]),ROUNDDOWN(EHD[[#This Row],[Running count]]/500,0)+$S$1,EHD[[#This Row],[CALENDAR YEAR]])</f>
        <v>2021</v>
      </c>
      <c r="T88" s="16"/>
    </row>
    <row r="89" spans="1:20">
      <c r="A89" s="135" t="s">
        <v>266</v>
      </c>
      <c r="B89" s="1" t="str">
        <f>VLOOKUP(A89,Data[],2,FALSE)</f>
        <v>MANHATTAN</v>
      </c>
      <c r="C89" s="9" t="s">
        <v>27</v>
      </c>
      <c r="D89" s="9" t="str">
        <f>VLOOKUP(EHD[[#This Row],[DEVELOPMENT]],Data[],52,FALSE)</f>
        <v>FEDERAL</v>
      </c>
      <c r="E89" s="1" t="str">
        <f>VLOOKUP(EHD[[#This Row],[DEVELOPMENT]],Data[],8,FALSE)</f>
        <v>Zone 1</v>
      </c>
      <c r="F89" s="9" t="str">
        <f>VLOOKUP(EHD[[#This Row],[DEVELOPMENT]],all[[DEVELOPMENT]:[MRST Ext. Comp. Priority]],6,FALSE)</f>
        <v>C</v>
      </c>
      <c r="G89" s="9">
        <v>1</v>
      </c>
      <c r="H89" s="1">
        <f>IF(VLOOKUP(EHD[[#This Row],[DEVELOPMENT]],Data[],9,FALSE)=0,5,VLOOKUP(EHD[[#This Row],[DEVELOPMENT]],Data[],9,FALSE))</f>
        <v>3</v>
      </c>
      <c r="I89" s="9">
        <f>EHD[[#This Row],[MRST '#HD]]</f>
        <v>1</v>
      </c>
      <c r="J89" s="1" t="str">
        <f ca="1">IFERROR(VLOOKUP(EHD[[#This Row],[DEVELOPMENT]],Data[],4,FALSE),"")</f>
        <v/>
      </c>
      <c r="K89" s="1" t="str">
        <f ca="1">IF(EHD[[#This Row],[RAD/PACT]]="","",IF(OR(EHD[[#This Row],[RAD/PACT]]="2021-2025",EHD[[#This Row],[RAD/PACT]]="2019-2020"),"Yes",""))</f>
        <v/>
      </c>
      <c r="L89" s="1">
        <v>2020</v>
      </c>
      <c r="M89" s="1">
        <v>2020</v>
      </c>
      <c r="N89" s="1" t="s">
        <v>402</v>
      </c>
      <c r="O89" s="1"/>
      <c r="P89" s="47">
        <f ca="1">IF(EHD[[#This Row],[RAD/PACT]]="2019-2020",0,INDEX(UnitCosts[],MATCH(EHD[[#This Row],[WORK TYPE]],UnitCosts[Work Type],0),2)*EHD[[#This Row],['# Hopper Doors]])*(1+((EHD[[#This Row],[est. Year]]-YEAR(TODAY()))*$P$2))</f>
        <v>7435.6435000000001</v>
      </c>
      <c r="Q89" s="51">
        <f ca="1">SUM(INDEX(EHD['# Hopper Doors],1):EHD[[#This Row],['# Hopper Doors]])</f>
        <v>534</v>
      </c>
      <c r="R89" s="47">
        <f t="shared" ca="1" si="1"/>
        <v>7435.6435000000001</v>
      </c>
      <c r="S89" s="1">
        <f>IF(ISBLANK(EHD[[#This Row],[CALENDAR YEAR]]),ROUNDDOWN(EHD[[#This Row],[Running count]]/500,0)+$S$1,EHD[[#This Row],[CALENDAR YEAR]])</f>
        <v>2020</v>
      </c>
      <c r="T89" s="16"/>
    </row>
    <row r="90" spans="1:20">
      <c r="A90" s="13" t="s">
        <v>112</v>
      </c>
      <c r="B90" s="1" t="str">
        <f>VLOOKUP(A90,Data[],2,FALSE)</f>
        <v>MANHATTAN</v>
      </c>
      <c r="C90" s="9" t="s">
        <v>27</v>
      </c>
      <c r="D90" s="9" t="str">
        <f>VLOOKUP(EHD[[#This Row],[DEVELOPMENT]],Data[],52,FALSE)</f>
        <v>FEDERAL</v>
      </c>
      <c r="E90" s="1" t="str">
        <f>VLOOKUP(EHD[[#This Row],[DEVELOPMENT]],Data[],8,FALSE)</f>
        <v>Zone 2</v>
      </c>
      <c r="F90" s="9" t="str">
        <f>VLOOKUP(EHD[[#This Row],[DEVELOPMENT]],all[[DEVELOPMENT]:[MRST Ext. Comp. Priority]],6,FALSE)</f>
        <v>C</v>
      </c>
      <c r="G90" s="9">
        <v>34</v>
      </c>
      <c r="H90" s="1">
        <f>IF(VLOOKUP(EHD[[#This Row],[DEVELOPMENT]],Data[],9,FALSE)=0,5,VLOOKUP(EHD[[#This Row],[DEVELOPMENT]],Data[],9,FALSE))</f>
        <v>3</v>
      </c>
      <c r="I90" s="9">
        <f>EHD[[#This Row],[MRST '#HD]]</f>
        <v>34</v>
      </c>
      <c r="J90" s="1" t="str">
        <f ca="1">IFERROR(VLOOKUP(EHD[[#This Row],[DEVELOPMENT]],Data[],4,FALSE),"")</f>
        <v>2026+</v>
      </c>
      <c r="K90" s="1" t="str">
        <f ca="1">IF(EHD[[#This Row],[RAD/PACT]]="","",IF(OR(EHD[[#This Row],[RAD/PACT]]="2021-2025",EHD[[#This Row],[RAD/PACT]]="2019-2020"),"Yes",""))</f>
        <v/>
      </c>
      <c r="L90" s="1"/>
      <c r="M90" s="1"/>
      <c r="N90" s="1"/>
      <c r="O90" s="1"/>
      <c r="P90" s="47">
        <f ca="1">IF(EHD[[#This Row],[RAD/PACT]]="2019-2020",0,INDEX(UnitCosts[],MATCH(EHD[[#This Row],[WORK TYPE]],UnitCosts[Work Type],0),2)*EHD[[#This Row],['# Hopper Doors]])*(1+((EHD[[#This Row],[est. Year]]-YEAR(TODAY()))*$P$2))</f>
        <v>261660.294765</v>
      </c>
      <c r="Q90" s="51">
        <f ca="1">SUM(INDEX(EHD['# Hopper Doors],1):EHD[[#This Row],['# Hopper Doors]])</f>
        <v>568</v>
      </c>
      <c r="R90" s="47">
        <f t="shared" ca="1" si="1"/>
        <v>261660.294765</v>
      </c>
      <c r="S90" s="1">
        <f ca="1">IF(ISBLANK(EHD[[#This Row],[CALENDAR YEAR]]),ROUNDDOWN(EHD[[#This Row],[Running count]]/500,0)+$S$1,EHD[[#This Row],[CALENDAR YEAR]])</f>
        <v>2021</v>
      </c>
      <c r="T90" s="16"/>
    </row>
    <row r="91" spans="1:20">
      <c r="A91" s="13" t="s">
        <v>91</v>
      </c>
      <c r="B91" s="1" t="str">
        <f>VLOOKUP(A91,Data[],2,FALSE)</f>
        <v>BRONX</v>
      </c>
      <c r="C91" s="9" t="s">
        <v>27</v>
      </c>
      <c r="D91" s="9" t="str">
        <f>VLOOKUP(EHD[[#This Row],[DEVELOPMENT]],Data[],52,FALSE)</f>
        <v>FEDERAL</v>
      </c>
      <c r="E91" s="1" t="str">
        <f>VLOOKUP(EHD[[#This Row],[DEVELOPMENT]],Data[],8,FALSE)</f>
        <v>Zone 3</v>
      </c>
      <c r="F91" s="9" t="str">
        <f>VLOOKUP(EHD[[#This Row],[DEVELOPMENT]],all[[DEVELOPMENT]:[MRST Ext. Comp. Priority]],6,FALSE)</f>
        <v>C</v>
      </c>
      <c r="G91" s="9">
        <v>4</v>
      </c>
      <c r="H91" s="1">
        <f>IF(VLOOKUP(EHD[[#This Row],[DEVELOPMENT]],Data[],9,FALSE)=0,5,VLOOKUP(EHD[[#This Row],[DEVELOPMENT]],Data[],9,FALSE))</f>
        <v>3</v>
      </c>
      <c r="I91" s="9">
        <f>EHD[[#This Row],[MRST '#HD]]</f>
        <v>4</v>
      </c>
      <c r="J91" s="1" t="str">
        <f ca="1">IFERROR(VLOOKUP(EHD[[#This Row],[DEVELOPMENT]],Data[],4,FALSE),"")</f>
        <v>2026+</v>
      </c>
      <c r="K91" s="1" t="str">
        <f ca="1">IF(EHD[[#This Row],[RAD/PACT]]="","",IF(OR(EHD[[#This Row],[RAD/PACT]]="2021-2025",EHD[[#This Row],[RAD/PACT]]="2019-2020"),"Yes",""))</f>
        <v/>
      </c>
      <c r="L91" s="1"/>
      <c r="M91" s="1"/>
      <c r="N91" s="1"/>
      <c r="O91" s="1"/>
      <c r="P91" s="47">
        <f ca="1">IF(EHD[[#This Row],[RAD/PACT]]="2019-2020",0,INDEX(UnitCosts[],MATCH(EHD[[#This Row],[WORK TYPE]],UnitCosts[Work Type],0),2)*EHD[[#This Row],['# Hopper Doors]])*(1+((EHD[[#This Row],[est. Year]]-YEAR(TODAY()))*$P$2))</f>
        <v>30783.56409</v>
      </c>
      <c r="Q91" s="51">
        <f ca="1">SUM(INDEX(EHD['# Hopper Doors],1):EHD[[#This Row],['# Hopper Doors]])</f>
        <v>572</v>
      </c>
      <c r="R91" s="47">
        <f t="shared" ca="1" si="1"/>
        <v>292443.858855</v>
      </c>
      <c r="S91" s="1">
        <f ca="1">IF(ISBLANK(EHD[[#This Row],[CALENDAR YEAR]]),ROUNDDOWN(EHD[[#This Row],[Running count]]/500,0)+$S$1,EHD[[#This Row],[CALENDAR YEAR]])</f>
        <v>2021</v>
      </c>
      <c r="T91" s="16"/>
    </row>
    <row r="92" spans="1:20">
      <c r="A92" s="13" t="s">
        <v>120</v>
      </c>
      <c r="B92" s="1" t="str">
        <f>VLOOKUP(A92,Data[],2,FALSE)</f>
        <v>MANHATTAN</v>
      </c>
      <c r="C92" s="9" t="s">
        <v>27</v>
      </c>
      <c r="D92" s="9" t="str">
        <f>VLOOKUP(EHD[[#This Row],[DEVELOPMENT]],Data[],52,FALSE)</f>
        <v>FEDERAL</v>
      </c>
      <c r="E92" s="1" t="str">
        <f>VLOOKUP(EHD[[#This Row],[DEVELOPMENT]],Data[],8,FALSE)</f>
        <v>Zone 2</v>
      </c>
      <c r="F92" s="9" t="str">
        <f>VLOOKUP(EHD[[#This Row],[DEVELOPMENT]],all[[DEVELOPMENT]:[MRST Ext. Comp. Priority]],6,FALSE)</f>
        <v>D</v>
      </c>
      <c r="G92" s="9">
        <v>13</v>
      </c>
      <c r="H92" s="1">
        <f>IF(VLOOKUP(EHD[[#This Row],[DEVELOPMENT]],Data[],9,FALSE)=0,5,VLOOKUP(EHD[[#This Row],[DEVELOPMENT]],Data[],9,FALSE))</f>
        <v>3</v>
      </c>
      <c r="I92" s="9">
        <f>EHD[[#This Row],[MRST '#HD]]</f>
        <v>13</v>
      </c>
      <c r="J92" s="1" t="str">
        <f ca="1">IFERROR(VLOOKUP(EHD[[#This Row],[DEVELOPMENT]],Data[],4,FALSE),"")</f>
        <v>2026+</v>
      </c>
      <c r="K92" s="1" t="str">
        <f ca="1">IF(EHD[[#This Row],[RAD/PACT]]="","",IF(OR(EHD[[#This Row],[RAD/PACT]]="2021-2025",EHD[[#This Row],[RAD/PACT]]="2019-2020"),"Yes",""))</f>
        <v/>
      </c>
      <c r="L92" s="1"/>
      <c r="M92" s="1"/>
      <c r="N92" s="1"/>
      <c r="O92" s="1"/>
      <c r="P92" s="47">
        <f ca="1">IF(EHD[[#This Row],[RAD/PACT]]="2019-2020",0,INDEX(UnitCosts[],MATCH(EHD[[#This Row],[WORK TYPE]],UnitCosts[Work Type],0),2)*EHD[[#This Row],['# Hopper Doors]])*(1+((EHD[[#This Row],[est. Year]]-YEAR(TODAY()))*$P$2))</f>
        <v>100046.58329249998</v>
      </c>
      <c r="Q92" s="51">
        <f ca="1">SUM(INDEX(EHD['# Hopper Doors],1):EHD[[#This Row],['# Hopper Doors]])</f>
        <v>585</v>
      </c>
      <c r="R92" s="47">
        <f t="shared" ca="1" si="1"/>
        <v>392490.4421475</v>
      </c>
      <c r="S92" s="1">
        <f ca="1">IF(ISBLANK(EHD[[#This Row],[CALENDAR YEAR]]),ROUNDDOWN(EHD[[#This Row],[Running count]]/500,0)+$S$1,EHD[[#This Row],[CALENDAR YEAR]])</f>
        <v>2021</v>
      </c>
      <c r="T92" s="16"/>
    </row>
    <row r="93" spans="1:20">
      <c r="A93" s="66" t="s">
        <v>104</v>
      </c>
      <c r="B93" s="1" t="str">
        <f>VLOOKUP(A93,Data[],2,FALSE)</f>
        <v>MANHATTAN</v>
      </c>
      <c r="C93" s="9" t="s">
        <v>27</v>
      </c>
      <c r="D93" s="9" t="str">
        <f>VLOOKUP(EHD[[#This Row],[DEVELOPMENT]],Data[],52,FALSE)</f>
        <v>FEDERAL</v>
      </c>
      <c r="E93" s="1" t="str">
        <f>VLOOKUP(EHD[[#This Row],[DEVELOPMENT]],Data[],8,FALSE)</f>
        <v>Zone 1</v>
      </c>
      <c r="F93" s="9" t="str">
        <f>VLOOKUP(EHD[[#This Row],[DEVELOPMENT]],all[[DEVELOPMENT]:[MRST Ext. Comp. Priority]],6,FALSE)</f>
        <v>D</v>
      </c>
      <c r="G93" s="9">
        <v>8</v>
      </c>
      <c r="H93" s="1">
        <f>IF(VLOOKUP(EHD[[#This Row],[DEVELOPMENT]],Data[],9,FALSE)=0,5,VLOOKUP(EHD[[#This Row],[DEVELOPMENT]],Data[],9,FALSE))</f>
        <v>3</v>
      </c>
      <c r="I93" s="9">
        <f>EHD[[#This Row],[MRST '#HD]]</f>
        <v>8</v>
      </c>
      <c r="J93" s="1" t="str">
        <f ca="1">IFERROR(VLOOKUP(EHD[[#This Row],[DEVELOPMENT]],Data[],4,FALSE),"")</f>
        <v/>
      </c>
      <c r="K93" s="1" t="str">
        <f ca="1">IF(EHD[[#This Row],[RAD/PACT]]="","",IF(OR(EHD[[#This Row],[RAD/PACT]]="2021-2025",EHD[[#This Row],[RAD/PACT]]="2019-2020"),"Yes",""))</f>
        <v/>
      </c>
      <c r="L93" s="1">
        <v>2020</v>
      </c>
      <c r="M93" s="1">
        <v>2020</v>
      </c>
      <c r="N93" s="1" t="s">
        <v>402</v>
      </c>
      <c r="O93" s="1"/>
      <c r="P93" s="47">
        <f ca="1">IF(EHD[[#This Row],[RAD/PACT]]="2019-2020",0,INDEX(UnitCosts[],MATCH(EHD[[#This Row],[WORK TYPE]],UnitCosts[Work Type],0),2)*EHD[[#This Row],['# Hopper Doors]])*(1+((EHD[[#This Row],[est. Year]]-YEAR(TODAY()))*$P$2))</f>
        <v>59485.148000000001</v>
      </c>
      <c r="Q93" s="51">
        <f ca="1">SUM(INDEX(EHD['# Hopper Doors],1):EHD[[#This Row],['# Hopper Doors]])</f>
        <v>593</v>
      </c>
      <c r="R93" s="47">
        <f t="shared" ca="1" si="1"/>
        <v>59485.148000000001</v>
      </c>
      <c r="S93" s="1">
        <f>IF(ISBLANK(EHD[[#This Row],[CALENDAR YEAR]]),ROUNDDOWN(EHD[[#This Row],[Running count]]/500,0)+$S$1,EHD[[#This Row],[CALENDAR YEAR]])</f>
        <v>2020</v>
      </c>
      <c r="T93" s="16"/>
    </row>
    <row r="94" spans="1:20">
      <c r="A94" s="13" t="s">
        <v>93</v>
      </c>
      <c r="B94" s="1" t="str">
        <f>VLOOKUP(A94,Data[],2,FALSE)</f>
        <v>MANHATTAN</v>
      </c>
      <c r="C94" s="9" t="s">
        <v>27</v>
      </c>
      <c r="D94" s="9" t="str">
        <f>VLOOKUP(EHD[[#This Row],[DEVELOPMENT]],Data[],52,FALSE)</f>
        <v>FEDERAL</v>
      </c>
      <c r="E94" s="1" t="str">
        <f>VLOOKUP(EHD[[#This Row],[DEVELOPMENT]],Data[],8,FALSE)</f>
        <v>Zone 3</v>
      </c>
      <c r="F94" s="9" t="str">
        <f>VLOOKUP(EHD[[#This Row],[DEVELOPMENT]],all[[DEVELOPMENT]:[MRST Ext. Comp. Priority]],6,FALSE)</f>
        <v>None</v>
      </c>
      <c r="G94" s="9">
        <v>2</v>
      </c>
      <c r="H94" s="1">
        <f>IF(VLOOKUP(EHD[[#This Row],[DEVELOPMENT]],Data[],9,FALSE)=0,5,VLOOKUP(EHD[[#This Row],[DEVELOPMENT]],Data[],9,FALSE))</f>
        <v>3</v>
      </c>
      <c r="I94" s="9">
        <f>EHD[[#This Row],[MRST '#HD]]</f>
        <v>2</v>
      </c>
      <c r="J94" s="1" t="str">
        <f ca="1">IFERROR(VLOOKUP(EHD[[#This Row],[DEVELOPMENT]],Data[],4,FALSE),"")</f>
        <v>2020-2021</v>
      </c>
      <c r="K94" s="1" t="str">
        <f ca="1">IF(EHD[[#This Row],[RAD/PACT]]="","",IF(OR(EHD[[#This Row],[RAD/PACT]]="2021-2025",EHD[[#This Row],[RAD/PACT]]="2019-2020"),"Yes",""))</f>
        <v/>
      </c>
      <c r="L94" s="1"/>
      <c r="M94" s="1"/>
      <c r="N94" s="1"/>
      <c r="O94" s="1"/>
      <c r="P94" s="47">
        <f ca="1">IF(EHD[[#This Row],[RAD/PACT]]="2019-2020",0,INDEX(UnitCosts[],MATCH(EHD[[#This Row],[WORK TYPE]],UnitCosts[Work Type],0),2)*EHD[[#This Row],['# Hopper Doors]])*(1+((EHD[[#This Row],[est. Year]]-YEAR(TODAY()))*$P$2))</f>
        <v>15391.782045</v>
      </c>
      <c r="Q94" s="51">
        <f ca="1">SUM(INDEX(EHD['# Hopper Doors],1):EHD[[#This Row],['# Hopper Doors]])</f>
        <v>595</v>
      </c>
      <c r="R94" s="47">
        <f t="shared" ca="1" si="1"/>
        <v>15391.782045</v>
      </c>
      <c r="S94" s="1">
        <f ca="1">IF(ISBLANK(EHD[[#This Row],[CALENDAR YEAR]]),ROUNDDOWN(EHD[[#This Row],[Running count]]/500,0)+$S$1,EHD[[#This Row],[CALENDAR YEAR]])</f>
        <v>2021</v>
      </c>
      <c r="T94" s="16"/>
    </row>
    <row r="95" spans="1:20">
      <c r="A95" s="13" t="s">
        <v>107</v>
      </c>
      <c r="B95" s="1" t="str">
        <f>VLOOKUP(A95,Data[],2,FALSE)</f>
        <v>MANHATTAN</v>
      </c>
      <c r="C95" s="9" t="s">
        <v>27</v>
      </c>
      <c r="D95" s="9" t="str">
        <f>VLOOKUP(EHD[[#This Row],[DEVELOPMENT]],Data[],52,FALSE)</f>
        <v>FEDERAL</v>
      </c>
      <c r="E95" s="1" t="str">
        <f>VLOOKUP(EHD[[#This Row],[DEVELOPMENT]],Data[],8,FALSE)</f>
        <v>Zone 2</v>
      </c>
      <c r="F95" s="9" t="str">
        <f>VLOOKUP(EHD[[#This Row],[DEVELOPMENT]],all[[DEVELOPMENT]:[MRST Ext. Comp. Priority]],6,FALSE)</f>
        <v>None</v>
      </c>
      <c r="G95" s="9">
        <v>2</v>
      </c>
      <c r="H95" s="1">
        <f>IF(VLOOKUP(EHD[[#This Row],[DEVELOPMENT]],Data[],9,FALSE)=0,5,VLOOKUP(EHD[[#This Row],[DEVELOPMENT]],Data[],9,FALSE))</f>
        <v>3</v>
      </c>
      <c r="I95" s="9">
        <f>EHD[[#This Row],[MRST '#HD]]</f>
        <v>2</v>
      </c>
      <c r="J95" s="1" t="str">
        <f ca="1">IFERROR(VLOOKUP(EHD[[#This Row],[DEVELOPMENT]],Data[],4,FALSE),"")</f>
        <v/>
      </c>
      <c r="K95" s="1" t="str">
        <f ca="1">IF(EHD[[#This Row],[RAD/PACT]]="","",IF(OR(EHD[[#This Row],[RAD/PACT]]="2021-2025",EHD[[#This Row],[RAD/PACT]]="2019-2020"),"Yes",""))</f>
        <v/>
      </c>
      <c r="L95" s="1"/>
      <c r="M95" s="1"/>
      <c r="N95" s="1"/>
      <c r="O95" s="1"/>
      <c r="P95" s="47">
        <f ca="1">IF(EHD[[#This Row],[RAD/PACT]]="2019-2020",0,INDEX(UnitCosts[],MATCH(EHD[[#This Row],[WORK TYPE]],UnitCosts[Work Type],0),2)*EHD[[#This Row],['# Hopper Doors]])*(1+((EHD[[#This Row],[est. Year]]-YEAR(TODAY()))*$P$2))</f>
        <v>15391.782045</v>
      </c>
      <c r="Q95" s="51">
        <f ca="1">SUM(INDEX(EHD['# Hopper Doors],1):EHD[[#This Row],['# Hopper Doors]])</f>
        <v>597</v>
      </c>
      <c r="R95" s="47">
        <f t="shared" ca="1" si="1"/>
        <v>30783.56409</v>
      </c>
      <c r="S95" s="1">
        <f ca="1">IF(ISBLANK(EHD[[#This Row],[CALENDAR YEAR]]),ROUNDDOWN(EHD[[#This Row],[Running count]]/500,0)+$S$1,EHD[[#This Row],[CALENDAR YEAR]])</f>
        <v>2021</v>
      </c>
      <c r="T95" s="16"/>
    </row>
    <row r="96" spans="1:20">
      <c r="A96" s="110" t="s">
        <v>95</v>
      </c>
      <c r="B96" s="1" t="str">
        <f>VLOOKUP(A96,Data[],2,FALSE)</f>
        <v>MANHATTAN</v>
      </c>
      <c r="C96" s="9" t="s">
        <v>27</v>
      </c>
      <c r="D96" s="9" t="str">
        <f>VLOOKUP(EHD[[#This Row],[DEVELOPMENT]],Data[],52,FALSE)</f>
        <v>MIXED FINANCE/LLC1</v>
      </c>
      <c r="E96" s="1" t="str">
        <f>VLOOKUP(EHD[[#This Row],[DEVELOPMENT]],Data[],8,FALSE)</f>
        <v>Zone 2</v>
      </c>
      <c r="F96" s="9" t="str">
        <f>VLOOKUP(EHD[[#This Row],[DEVELOPMENT]],all[[DEVELOPMENT]:[MRST Ext. Comp. Priority]],6,FALSE)</f>
        <v>None</v>
      </c>
      <c r="G96" s="109">
        <v>40</v>
      </c>
      <c r="H96" s="1">
        <f>IF(VLOOKUP(EHD[[#This Row],[DEVELOPMENT]],Data[],9,FALSE)=0,5,VLOOKUP(EHD[[#This Row],[DEVELOPMENT]],Data[],9,FALSE))</f>
        <v>3</v>
      </c>
      <c r="I96" s="9">
        <f>EHD[[#This Row],[MRST '#HD]]</f>
        <v>40</v>
      </c>
      <c r="J96" s="1" t="str">
        <f ca="1">IFERROR(VLOOKUP(EHD[[#This Row],[DEVELOPMENT]],Data[],4,FALSE),"")</f>
        <v>2020-2021</v>
      </c>
      <c r="K96" s="1" t="str">
        <f ca="1">IF(EHD[[#This Row],[RAD/PACT]]="","",IF(OR(EHD[[#This Row],[RAD/PACT]]="2021-2025",EHD[[#This Row],[RAD/PACT]]="2019-2020"),"Yes",""))</f>
        <v/>
      </c>
      <c r="L96" s="1"/>
      <c r="M96" s="1"/>
      <c r="N96" s="1"/>
      <c r="O96" s="1"/>
      <c r="P96" s="47">
        <f ca="1">IF(EHD[[#This Row],[RAD/PACT]]="2019-2020",0,INDEX(UnitCosts[],MATCH(EHD[[#This Row],[WORK TYPE]],UnitCosts[Work Type],0),2)*EHD[[#This Row],['# Hopper Doors]])*(1+((EHD[[#This Row],[est. Year]]-YEAR(TODAY()))*$P$2))</f>
        <v>307835.64089999994</v>
      </c>
      <c r="Q96" s="51">
        <f ca="1">SUM(INDEX(EHD['# Hopper Doors],1):EHD[[#This Row],['# Hopper Doors]])</f>
        <v>637</v>
      </c>
      <c r="R96" s="47">
        <f t="shared" ca="1" si="1"/>
        <v>338619.20498999994</v>
      </c>
      <c r="S96" s="1">
        <f ca="1">IF(ISBLANK(EHD[[#This Row],[CALENDAR YEAR]]),ROUNDDOWN(EHD[[#This Row],[Running count]]/500,0)+$S$1,EHD[[#This Row],[CALENDAR YEAR]])</f>
        <v>2021</v>
      </c>
      <c r="T96" s="16"/>
    </row>
    <row r="97" spans="1:20">
      <c r="A97" s="110" t="s">
        <v>96</v>
      </c>
      <c r="B97" s="1" t="str">
        <f>VLOOKUP(A97,Data[],2,FALSE)</f>
        <v>BRONX</v>
      </c>
      <c r="C97" s="9" t="s">
        <v>27</v>
      </c>
      <c r="D97" s="9" t="str">
        <f>VLOOKUP(EHD[[#This Row],[DEVELOPMENT]],Data[],52,FALSE)</f>
        <v>FEDERAL</v>
      </c>
      <c r="E97" s="1" t="str">
        <f>VLOOKUP(EHD[[#This Row],[DEVELOPMENT]],Data[],8,FALSE)</f>
        <v>Zone 3</v>
      </c>
      <c r="F97" s="9" t="str">
        <f>VLOOKUP(EHD[[#This Row],[DEVELOPMENT]],all[[DEVELOPMENT]:[MRST Ext. Comp. Priority]],6,FALSE)</f>
        <v>None</v>
      </c>
      <c r="G97" s="9">
        <v>0</v>
      </c>
      <c r="H97" s="1">
        <f>IF(VLOOKUP(EHD[[#This Row],[DEVELOPMENT]],Data[],9,FALSE)=0,5,VLOOKUP(EHD[[#This Row],[DEVELOPMENT]],Data[],9,FALSE))</f>
        <v>3</v>
      </c>
      <c r="I97" s="9">
        <f>EHD[[#This Row],[MRST '#HD]]</f>
        <v>0</v>
      </c>
      <c r="J97" s="1" t="str">
        <f ca="1">IFERROR(VLOOKUP(EHD[[#This Row],[DEVELOPMENT]],Data[],4,FALSE),"")</f>
        <v>2026+</v>
      </c>
      <c r="K97" s="1" t="str">
        <f ca="1">IF(EHD[[#This Row],[RAD/PACT]]="","",IF(OR(EHD[[#This Row],[RAD/PACT]]="2021-2025",EHD[[#This Row],[RAD/PACT]]="2019-2020"),"Yes",""))</f>
        <v/>
      </c>
      <c r="L97" s="1"/>
      <c r="M97" s="1"/>
      <c r="N97" s="1"/>
      <c r="O97" s="1"/>
      <c r="P97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97" s="51">
        <f ca="1">SUM(INDEX(EHD['# Hopper Doors],1):EHD[[#This Row],['# Hopper Doors]])</f>
        <v>637</v>
      </c>
      <c r="R97" s="47">
        <f t="shared" ca="1" si="1"/>
        <v>338619.20498999994</v>
      </c>
      <c r="S97" s="1">
        <f ca="1">IF(ISBLANK(EHD[[#This Row],[CALENDAR YEAR]]),ROUNDDOWN(EHD[[#This Row],[Running count]]/500,0)+$S$1,EHD[[#This Row],[CALENDAR YEAR]])</f>
        <v>2021</v>
      </c>
      <c r="T97" s="16"/>
    </row>
    <row r="98" spans="1:20">
      <c r="A98" s="13" t="s">
        <v>73</v>
      </c>
      <c r="B98" s="1" t="str">
        <f>VLOOKUP(A98,Data[],2,FALSE)</f>
        <v>BRONX</v>
      </c>
      <c r="C98" s="9" t="s">
        <v>27</v>
      </c>
      <c r="D98" s="9" t="str">
        <f>VLOOKUP(EHD[[#This Row],[DEVELOPMENT]],Data[],52,FALSE)</f>
        <v>FEDERAL</v>
      </c>
      <c r="E98" s="1" t="str">
        <f>VLOOKUP(EHD[[#This Row],[DEVELOPMENT]],Data[],8,FALSE)</f>
        <v>Zone 3</v>
      </c>
      <c r="F98" s="9" t="str">
        <f>VLOOKUP(EHD[[#This Row],[DEVELOPMENT]],all[[DEVELOPMENT]:[MRST Ext. Comp. Priority]],6,FALSE)</f>
        <v>B</v>
      </c>
      <c r="G98" s="9">
        <v>9</v>
      </c>
      <c r="H98" s="1">
        <f>IF(VLOOKUP(EHD[[#This Row],[DEVELOPMENT]],Data[],9,FALSE)=0,5,VLOOKUP(EHD[[#This Row],[DEVELOPMENT]],Data[],9,FALSE))</f>
        <v>4</v>
      </c>
      <c r="I98" s="9">
        <f>EHD[[#This Row],[MRST '#HD]]</f>
        <v>9</v>
      </c>
      <c r="J98" s="1" t="str">
        <f ca="1">IFERROR(VLOOKUP(EHD[[#This Row],[DEVELOPMENT]],Data[],4,FALSE),"")</f>
        <v/>
      </c>
      <c r="K98" s="1" t="str">
        <f ca="1">IF(EHD[[#This Row],[RAD/PACT]]="","",IF(OR(EHD[[#This Row],[RAD/PACT]]="2021-2025",EHD[[#This Row],[RAD/PACT]]="2019-2020"),"Yes",""))</f>
        <v/>
      </c>
      <c r="L98" s="1"/>
      <c r="M98" s="1"/>
      <c r="N98" s="1"/>
      <c r="O98" s="1"/>
      <c r="P98" s="47">
        <f ca="1">IF(EHD[[#This Row],[RAD/PACT]]="2019-2020",0,INDEX(UnitCosts[],MATCH(EHD[[#This Row],[WORK TYPE]],UnitCosts[Work Type],0),2)*EHD[[#This Row],['# Hopper Doors]])*(1+((EHD[[#This Row],[est. Year]]-YEAR(TODAY()))*$P$2))</f>
        <v>69263.0192025</v>
      </c>
      <c r="Q98" s="51">
        <f ca="1">SUM(INDEX(EHD['# Hopper Doors],1):EHD[[#This Row],['# Hopper Doors]])</f>
        <v>646</v>
      </c>
      <c r="R98" s="47">
        <f t="shared" ca="1" si="1"/>
        <v>407882.22419249994</v>
      </c>
      <c r="S98" s="1">
        <f ca="1">IF(ISBLANK(EHD[[#This Row],[CALENDAR YEAR]]),ROUNDDOWN(EHD[[#This Row],[Running count]]/500,0)+$S$1,EHD[[#This Row],[CALENDAR YEAR]])</f>
        <v>2021</v>
      </c>
      <c r="T98" s="16"/>
    </row>
    <row r="99" spans="1:20">
      <c r="A99" s="13" t="s">
        <v>117</v>
      </c>
      <c r="B99" s="1" t="str">
        <f>VLOOKUP(A99,Data[],2,FALSE)</f>
        <v>MANHATTAN</v>
      </c>
      <c r="C99" s="9" t="s">
        <v>27</v>
      </c>
      <c r="D99" s="9" t="str">
        <f>VLOOKUP(EHD[[#This Row],[DEVELOPMENT]],Data[],52,FALSE)</f>
        <v>FEDERAL</v>
      </c>
      <c r="E99" s="1" t="str">
        <f>VLOOKUP(EHD[[#This Row],[DEVELOPMENT]],Data[],8,FALSE)</f>
        <v>Zone 3</v>
      </c>
      <c r="F99" s="9" t="str">
        <f>VLOOKUP(EHD[[#This Row],[DEVELOPMENT]],all[[DEVELOPMENT]:[MRST Ext. Comp. Priority]],6,FALSE)</f>
        <v>B</v>
      </c>
      <c r="G99" s="9">
        <v>47</v>
      </c>
      <c r="H99" s="1">
        <f>IF(VLOOKUP(EHD[[#This Row],[DEVELOPMENT]],Data[],9,FALSE)=0,5,VLOOKUP(EHD[[#This Row],[DEVELOPMENT]],Data[],9,FALSE))</f>
        <v>4</v>
      </c>
      <c r="I99" s="9">
        <f>EHD[[#This Row],[MRST '#HD]]</f>
        <v>47</v>
      </c>
      <c r="J99" s="1" t="str">
        <f ca="1">IFERROR(VLOOKUP(EHD[[#This Row],[DEVELOPMENT]],Data[],4,FALSE),"")</f>
        <v>2020-2021</v>
      </c>
      <c r="K99" s="1" t="str">
        <f ca="1">IF(EHD[[#This Row],[RAD/PACT]]="","",IF(OR(EHD[[#This Row],[RAD/PACT]]="2021-2025",EHD[[#This Row],[RAD/PACT]]="2019-2020"),"Yes",""))</f>
        <v/>
      </c>
      <c r="L99" s="1"/>
      <c r="M99" s="1"/>
      <c r="N99" s="1"/>
      <c r="O99" s="1"/>
      <c r="P99" s="47">
        <f ca="1">IF(EHD[[#This Row],[RAD/PACT]]="2019-2020",0,INDEX(UnitCosts[],MATCH(EHD[[#This Row],[WORK TYPE]],UnitCosts[Work Type],0),2)*EHD[[#This Row],['# Hopper Doors]])*(1+((EHD[[#This Row],[est. Year]]-YEAR(TODAY()))*$P$2))</f>
        <v>361706.8780575</v>
      </c>
      <c r="Q99" s="51">
        <f ca="1">SUM(INDEX(EHD['# Hopper Doors],1):EHD[[#This Row],['# Hopper Doors]])</f>
        <v>693</v>
      </c>
      <c r="R99" s="47">
        <f t="shared" ca="1" si="1"/>
        <v>769589.10225</v>
      </c>
      <c r="S99" s="1">
        <f ca="1">IF(ISBLANK(EHD[[#This Row],[CALENDAR YEAR]]),ROUNDDOWN(EHD[[#This Row],[Running count]]/500,0)+$S$1,EHD[[#This Row],[CALENDAR YEAR]])</f>
        <v>2021</v>
      </c>
      <c r="T99" s="16"/>
    </row>
    <row r="100" spans="1:20">
      <c r="A100" s="65" t="s">
        <v>80</v>
      </c>
      <c r="B100" s="9" t="str">
        <f>VLOOKUP(A100,Data[],2,FALSE)</f>
        <v>MANHATTAN</v>
      </c>
      <c r="C100" s="9" t="s">
        <v>27</v>
      </c>
      <c r="D100" s="9" t="str">
        <f>VLOOKUP(EHD[[#This Row],[DEVELOPMENT]],Data[],52,FALSE)</f>
        <v>FEDERAL</v>
      </c>
      <c r="E100" s="9" t="str">
        <f>VLOOKUP(EHD[[#This Row],[DEVELOPMENT]],Data[],8,FALSE)</f>
        <v>Zone 3</v>
      </c>
      <c r="F100" s="9" t="str">
        <f>VLOOKUP(EHD[[#This Row],[DEVELOPMENT]],all[[DEVELOPMENT]:[MRST Ext. Comp. Priority]],6,FALSE)</f>
        <v>B</v>
      </c>
      <c r="G100" s="9">
        <v>1</v>
      </c>
      <c r="H100" s="9">
        <f>IF(VLOOKUP(EHD[[#This Row],[DEVELOPMENT]],Data[],9,FALSE)=0,5,VLOOKUP(EHD[[#This Row],[DEVELOPMENT]],Data[],9,FALSE))</f>
        <v>4</v>
      </c>
      <c r="I100" s="9">
        <f>EHD[[#This Row],[MRST '#HD]]</f>
        <v>1</v>
      </c>
      <c r="J100" s="9" t="str">
        <f ca="1">IFERROR(VLOOKUP(EHD[[#This Row],[DEVELOPMENT]],Data[],4,FALSE),"")</f>
        <v>2020-2021</v>
      </c>
      <c r="K100" s="9" t="str">
        <f ca="1">IF(EHD[[#This Row],[RAD/PACT]]="","",IF(OR(EHD[[#This Row],[RAD/PACT]]="2021-2025",EHD[[#This Row],[RAD/PACT]]="2019-2020"),"Yes",""))</f>
        <v/>
      </c>
      <c r="L100" s="9"/>
      <c r="M100" s="9"/>
      <c r="N100" s="9"/>
      <c r="O100" s="9"/>
      <c r="P100" s="47">
        <f ca="1">IF(EHD[[#This Row],[RAD/PACT]]="2019-2020",0,INDEX(UnitCosts[],MATCH(EHD[[#This Row],[WORK TYPE]],UnitCosts[Work Type],0),2)*EHD[[#This Row],['# Hopper Doors]])*(1+((EHD[[#This Row],[est. Year]]-YEAR(TODAY()))*$P$2))</f>
        <v>7695.8910225</v>
      </c>
      <c r="Q100" s="50">
        <f ca="1">SUM(INDEX(EHD['# Hopper Doors],1):EHD[[#This Row],['# Hopper Doors]])</f>
        <v>694</v>
      </c>
      <c r="R100" s="126">
        <f t="shared" ca="1" si="1"/>
        <v>777284.9932725</v>
      </c>
      <c r="S100" s="1">
        <f ca="1">IF(ISBLANK(EHD[[#This Row],[CALENDAR YEAR]]),ROUNDDOWN(EHD[[#This Row],[Running count]]/500,0)+$S$1,EHD[[#This Row],[CALENDAR YEAR]])</f>
        <v>2021</v>
      </c>
      <c r="T100" s="137"/>
    </row>
    <row r="101" spans="1:20">
      <c r="A101" s="13" t="s">
        <v>84</v>
      </c>
      <c r="B101" s="1" t="str">
        <f>VLOOKUP(A101,Data[],2,FALSE)</f>
        <v>BROOKLYN</v>
      </c>
      <c r="C101" s="9" t="s">
        <v>27</v>
      </c>
      <c r="D101" s="9" t="str">
        <f>VLOOKUP(EHD[[#This Row],[DEVELOPMENT]],Data[],52,FALSE)</f>
        <v>FEDERAL</v>
      </c>
      <c r="E101" s="1" t="str">
        <f>VLOOKUP(EHD[[#This Row],[DEVELOPMENT]],Data[],8,FALSE)</f>
        <v>Zone 3</v>
      </c>
      <c r="F101" s="9" t="str">
        <f>VLOOKUP(EHD[[#This Row],[DEVELOPMENT]],all[[DEVELOPMENT]:[MRST Ext. Comp. Priority]],6,FALSE)</f>
        <v>B</v>
      </c>
      <c r="G101" s="9">
        <v>35</v>
      </c>
      <c r="H101" s="1">
        <f>IF(VLOOKUP(EHD[[#This Row],[DEVELOPMENT]],Data[],9,FALSE)=0,5,VLOOKUP(EHD[[#This Row],[DEVELOPMENT]],Data[],9,FALSE))</f>
        <v>4</v>
      </c>
      <c r="I101" s="9">
        <f>EHD[[#This Row],[MRST '#HD]]</f>
        <v>35</v>
      </c>
      <c r="J101" s="1" t="str">
        <f ca="1">IFERROR(VLOOKUP(EHD[[#This Row],[DEVELOPMENT]],Data[],4,FALSE),"")</f>
        <v/>
      </c>
      <c r="K101" s="1" t="str">
        <f ca="1">IF(EHD[[#This Row],[RAD/PACT]]="","",IF(OR(EHD[[#This Row],[RAD/PACT]]="2021-2025",EHD[[#This Row],[RAD/PACT]]="2019-2020"),"Yes",""))</f>
        <v/>
      </c>
      <c r="L101" s="1"/>
      <c r="M101" s="1"/>
      <c r="N101" s="1"/>
      <c r="O101" s="1"/>
      <c r="P101" s="47">
        <f ca="1">IF(EHD[[#This Row],[RAD/PACT]]="2019-2020",0,INDEX(UnitCosts[],MATCH(EHD[[#This Row],[WORK TYPE]],UnitCosts[Work Type],0),2)*EHD[[#This Row],['# Hopper Doors]])*(1+((EHD[[#This Row],[est. Year]]-YEAR(TODAY()))*$P$2))</f>
        <v>269356.1857875</v>
      </c>
      <c r="Q101" s="51">
        <f ca="1">SUM(INDEX(EHD['# Hopper Doors],1):EHD[[#This Row],['# Hopper Doors]])</f>
        <v>729</v>
      </c>
      <c r="R101" s="47">
        <f t="shared" ca="1" si="1"/>
        <v>1046641.17906</v>
      </c>
      <c r="S101" s="1">
        <f ca="1">IF(ISBLANK(EHD[[#This Row],[CALENDAR YEAR]]),ROUNDDOWN(EHD[[#This Row],[Running count]]/500,0)+$S$1,EHD[[#This Row],[CALENDAR YEAR]])</f>
        <v>2021</v>
      </c>
      <c r="T101" s="16"/>
    </row>
    <row r="102" spans="1:20">
      <c r="A102" s="13" t="s">
        <v>114</v>
      </c>
      <c r="B102" s="1" t="str">
        <f>VLOOKUP(A102,Data[],2,FALSE)</f>
        <v>BRONX</v>
      </c>
      <c r="C102" s="9" t="s">
        <v>27</v>
      </c>
      <c r="D102" s="9" t="str">
        <f>VLOOKUP(EHD[[#This Row],[DEVELOPMENT]],Data[],52,FALSE)</f>
        <v>FEDERAL</v>
      </c>
      <c r="E102" s="1" t="str">
        <f>VLOOKUP(EHD[[#This Row],[DEVELOPMENT]],Data[],8,FALSE)</f>
        <v>Zone 3</v>
      </c>
      <c r="F102" s="9" t="str">
        <f>VLOOKUP(EHD[[#This Row],[DEVELOPMENT]],all[[DEVELOPMENT]:[MRST Ext. Comp. Priority]],6,FALSE)</f>
        <v>B</v>
      </c>
      <c r="G102" s="9">
        <v>18</v>
      </c>
      <c r="H102" s="1">
        <f>IF(VLOOKUP(EHD[[#This Row],[DEVELOPMENT]],Data[],9,FALSE)=0,5,VLOOKUP(EHD[[#This Row],[DEVELOPMENT]],Data[],9,FALSE))</f>
        <v>4</v>
      </c>
      <c r="I102" s="9">
        <f>EHD[[#This Row],[MRST '#HD]]</f>
        <v>18</v>
      </c>
      <c r="J102" s="1" t="str">
        <f ca="1">IFERROR(VLOOKUP(EHD[[#This Row],[DEVELOPMENT]],Data[],4,FALSE),"")</f>
        <v>2026+</v>
      </c>
      <c r="K102" s="1" t="str">
        <f ca="1">IF(EHD[[#This Row],[RAD/PACT]]="","",IF(OR(EHD[[#This Row],[RAD/PACT]]="2021-2025",EHD[[#This Row],[RAD/PACT]]="2019-2020"),"Yes",""))</f>
        <v/>
      </c>
      <c r="L102" s="1"/>
      <c r="M102" s="1"/>
      <c r="N102" s="1"/>
      <c r="O102" s="1"/>
      <c r="P102" s="47">
        <f ca="1">IF(EHD[[#This Row],[RAD/PACT]]="2019-2020",0,INDEX(UnitCosts[],MATCH(EHD[[#This Row],[WORK TYPE]],UnitCosts[Work Type],0),2)*EHD[[#This Row],['# Hopper Doors]])*(1+((EHD[[#This Row],[est. Year]]-YEAR(TODAY()))*$P$2))</f>
        <v>138526.038405</v>
      </c>
      <c r="Q102" s="51">
        <f ca="1">SUM(INDEX(EHD['# Hopper Doors],1):EHD[[#This Row],['# Hopper Doors]])</f>
        <v>747</v>
      </c>
      <c r="R102" s="47">
        <f t="shared" ca="1" si="1"/>
        <v>1185167.217465</v>
      </c>
      <c r="S102" s="1">
        <f ca="1">IF(ISBLANK(EHD[[#This Row],[CALENDAR YEAR]]),ROUNDDOWN(EHD[[#This Row],[Running count]]/500,0)+$S$1,EHD[[#This Row],[CALENDAR YEAR]])</f>
        <v>2021</v>
      </c>
      <c r="T102" s="16"/>
    </row>
    <row r="103" spans="1:20">
      <c r="A103" s="66" t="s">
        <v>108</v>
      </c>
      <c r="B103" s="1" t="str">
        <f>VLOOKUP(A103,Data[],2,FALSE)</f>
        <v>MANHATTAN</v>
      </c>
      <c r="C103" s="9" t="s">
        <v>27</v>
      </c>
      <c r="D103" s="9" t="str">
        <f>VLOOKUP(EHD[[#This Row],[DEVELOPMENT]],Data[],52,FALSE)</f>
        <v>FEDERAL</v>
      </c>
      <c r="E103" s="1" t="str">
        <f>VLOOKUP(EHD[[#This Row],[DEVELOPMENT]],Data[],8,FALSE)</f>
        <v>Zone 1</v>
      </c>
      <c r="F103" s="9" t="str">
        <f>VLOOKUP(EHD[[#This Row],[DEVELOPMENT]],all[[DEVELOPMENT]:[MRST Ext. Comp. Priority]],6,FALSE)</f>
        <v>B</v>
      </c>
      <c r="G103" s="9">
        <v>9</v>
      </c>
      <c r="H103" s="1">
        <f>IF(VLOOKUP(EHD[[#This Row],[DEVELOPMENT]],Data[],9,FALSE)=0,5,VLOOKUP(EHD[[#This Row],[DEVELOPMENT]],Data[],9,FALSE))</f>
        <v>4</v>
      </c>
      <c r="I103" s="9">
        <f>EHD[[#This Row],[MRST '#HD]]</f>
        <v>9</v>
      </c>
      <c r="J103" s="1" t="str">
        <f ca="1">IFERROR(VLOOKUP(EHD[[#This Row],[DEVELOPMENT]],Data[],4,FALSE),"")</f>
        <v/>
      </c>
      <c r="K103" s="1" t="str">
        <f ca="1">IF(EHD[[#This Row],[RAD/PACT]]="","",IF(OR(EHD[[#This Row],[RAD/PACT]]="2021-2025",EHD[[#This Row],[RAD/PACT]]="2019-2020"),"Yes",""))</f>
        <v/>
      </c>
      <c r="L103" s="1">
        <v>2020</v>
      </c>
      <c r="M103" s="1">
        <v>2020</v>
      </c>
      <c r="N103" s="1" t="s">
        <v>402</v>
      </c>
      <c r="O103" s="1"/>
      <c r="P103" s="47">
        <f ca="1">IF(EHD[[#This Row],[RAD/PACT]]="2019-2020",0,INDEX(UnitCosts[],MATCH(EHD[[#This Row],[WORK TYPE]],UnitCosts[Work Type],0),2)*EHD[[#This Row],['# Hopper Doors]])*(1+((EHD[[#This Row],[est. Year]]-YEAR(TODAY()))*$P$2))</f>
        <v>66920.791500000007</v>
      </c>
      <c r="Q103" s="51">
        <f ca="1">SUM(INDEX(EHD['# Hopper Doors],1):EHD[[#This Row],['# Hopper Doors]])</f>
        <v>756</v>
      </c>
      <c r="R103" s="47">
        <f t="shared" ca="1" si="1"/>
        <v>66920.791500000007</v>
      </c>
      <c r="S103" s="1">
        <f>IF(ISBLANK(EHD[[#This Row],[CALENDAR YEAR]]),ROUNDDOWN(EHD[[#This Row],[Running count]]/500,0)+$S$1,EHD[[#This Row],[CALENDAR YEAR]])</f>
        <v>2020</v>
      </c>
      <c r="T103" s="16"/>
    </row>
    <row r="104" spans="1:20">
      <c r="A104" s="66" t="s">
        <v>230</v>
      </c>
      <c r="B104" s="1" t="str">
        <f>VLOOKUP(A104,Data[],2,FALSE)</f>
        <v>BROOKLYN</v>
      </c>
      <c r="C104" s="9" t="s">
        <v>27</v>
      </c>
      <c r="D104" s="9" t="str">
        <f>VLOOKUP(EHD[[#This Row],[DEVELOPMENT]],Data[],52,FALSE)</f>
        <v>FEDERAL</v>
      </c>
      <c r="E104" s="1" t="str">
        <f>VLOOKUP(EHD[[#This Row],[DEVELOPMENT]],Data[],8,FALSE)</f>
        <v>Zone 1</v>
      </c>
      <c r="F104" s="9" t="str">
        <f>VLOOKUP(EHD[[#This Row],[DEVELOPMENT]],all[[DEVELOPMENT]:[MRST Ext. Comp. Priority]],6,FALSE)</f>
        <v>C</v>
      </c>
      <c r="G104" s="9">
        <v>9</v>
      </c>
      <c r="H104" s="1">
        <f>IF(VLOOKUP(EHD[[#This Row],[DEVELOPMENT]],Data[],9,FALSE)=0,5,VLOOKUP(EHD[[#This Row],[DEVELOPMENT]],Data[],9,FALSE))</f>
        <v>4</v>
      </c>
      <c r="I104" s="9">
        <f>EHD[[#This Row],[MRST '#HD]]</f>
        <v>9</v>
      </c>
      <c r="J104" s="1">
        <f ca="1">IFERROR(VLOOKUP(EHD[[#This Row],[DEVELOPMENT]],Data[],4,FALSE),"")</f>
        <v>2019</v>
      </c>
      <c r="K104" s="1" t="str">
        <f ca="1">IF(EHD[[#This Row],[RAD/PACT]]="","",IF(OR(EHD[[#This Row],[RAD/PACT]]="2021-2025",EHD[[#This Row],[RAD/PACT]]="2019-2020"),"Yes",""))</f>
        <v/>
      </c>
      <c r="L104" s="1"/>
      <c r="M104" s="1"/>
      <c r="N104" s="1"/>
      <c r="O104" s="1"/>
      <c r="P104" s="47">
        <f ca="1">IF(EHD[[#This Row],[RAD/PACT]]="2019-2020",0,INDEX(UnitCosts[],MATCH(EHD[[#This Row],[WORK TYPE]],UnitCosts[Work Type],0),2)*EHD[[#This Row],['# Hopper Doors]])*(1+((EHD[[#This Row],[est. Year]]-YEAR(TODAY()))*$P$2))</f>
        <v>69263.0192025</v>
      </c>
      <c r="Q104" s="51">
        <f ca="1">SUM(INDEX(EHD['# Hopper Doors],1):EHD[[#This Row],['# Hopper Doors]])</f>
        <v>765</v>
      </c>
      <c r="R104" s="47">
        <f t="shared" ca="1" si="1"/>
        <v>69263.0192025</v>
      </c>
      <c r="S104" s="1">
        <f ca="1">IF(ISBLANK(EHD[[#This Row],[CALENDAR YEAR]]),ROUNDDOWN(EHD[[#This Row],[Running count]]/500,0)+$S$1,EHD[[#This Row],[CALENDAR YEAR]])</f>
        <v>2021</v>
      </c>
      <c r="T104" s="16"/>
    </row>
    <row r="105" spans="1:20">
      <c r="A105" s="13" t="s">
        <v>77</v>
      </c>
      <c r="B105" s="1" t="str">
        <f>VLOOKUP(A105,Data[],2,FALSE)</f>
        <v>MANHATTAN</v>
      </c>
      <c r="C105" s="9" t="s">
        <v>27</v>
      </c>
      <c r="D105" s="9" t="str">
        <f>VLOOKUP(EHD[[#This Row],[DEVELOPMENT]],Data[],52,FALSE)</f>
        <v>MIXED FINANCE/LLC1</v>
      </c>
      <c r="E105" s="1" t="str">
        <f>VLOOKUP(EHD[[#This Row],[DEVELOPMENT]],Data[],8,FALSE)</f>
        <v>Zone 2</v>
      </c>
      <c r="F105" s="9" t="str">
        <f>VLOOKUP(EHD[[#This Row],[DEVELOPMENT]],all[[DEVELOPMENT]:[MRST Ext. Comp. Priority]],6,FALSE)</f>
        <v>C</v>
      </c>
      <c r="G105" s="9">
        <v>5</v>
      </c>
      <c r="H105" s="1">
        <f>IF(VLOOKUP(EHD[[#This Row],[DEVELOPMENT]],Data[],9,FALSE)=0,5,VLOOKUP(EHD[[#This Row],[DEVELOPMENT]],Data[],9,FALSE))</f>
        <v>4</v>
      </c>
      <c r="I105" s="9">
        <f>EHD[[#This Row],[MRST '#HD]]</f>
        <v>5</v>
      </c>
      <c r="J105" s="1" t="str">
        <f ca="1">IFERROR(VLOOKUP(EHD[[#This Row],[DEVELOPMENT]],Data[],4,FALSE),"")</f>
        <v/>
      </c>
      <c r="K105" s="1" t="str">
        <f ca="1">IF(EHD[[#This Row],[RAD/PACT]]="","",IF(OR(EHD[[#This Row],[RAD/PACT]]="2021-2025",EHD[[#This Row],[RAD/PACT]]="2019-2020"),"Yes",""))</f>
        <v/>
      </c>
      <c r="L105" s="1"/>
      <c r="M105" s="1"/>
      <c r="N105" s="1"/>
      <c r="O105" s="1"/>
      <c r="P105" s="47">
        <f ca="1">IF(EHD[[#This Row],[RAD/PACT]]="2019-2020",0,INDEX(UnitCosts[],MATCH(EHD[[#This Row],[WORK TYPE]],UnitCosts[Work Type],0),2)*EHD[[#This Row],['# Hopper Doors]])*(1+((EHD[[#This Row],[est. Year]]-YEAR(TODAY()))*$P$2))</f>
        <v>38479.455112499993</v>
      </c>
      <c r="Q105" s="51">
        <f ca="1">SUM(INDEX(EHD['# Hopper Doors],1):EHD[[#This Row],['# Hopper Doors]])</f>
        <v>770</v>
      </c>
      <c r="R105" s="47">
        <f t="shared" ca="1" si="1"/>
        <v>107742.474315</v>
      </c>
      <c r="S105" s="1">
        <f ca="1">IF(ISBLANK(EHD[[#This Row],[CALENDAR YEAR]]),ROUNDDOWN(EHD[[#This Row],[Running count]]/500,0)+$S$1,EHD[[#This Row],[CALENDAR YEAR]])</f>
        <v>2021</v>
      </c>
      <c r="T105" s="16"/>
    </row>
    <row r="106" spans="1:20">
      <c r="A106" s="13" t="s">
        <v>94</v>
      </c>
      <c r="B106" s="1" t="str">
        <f>VLOOKUP(A106,Data[],2,FALSE)</f>
        <v>MANHATTAN</v>
      </c>
      <c r="C106" s="9" t="s">
        <v>27</v>
      </c>
      <c r="D106" s="9" t="str">
        <f>VLOOKUP(EHD[[#This Row],[DEVELOPMENT]],Data[],52,FALSE)</f>
        <v>FEDERAL</v>
      </c>
      <c r="E106" s="1" t="str">
        <f>VLOOKUP(EHD[[#This Row],[DEVELOPMENT]],Data[],8,FALSE)</f>
        <v>Zone 3</v>
      </c>
      <c r="F106" s="9" t="str">
        <f>VLOOKUP(EHD[[#This Row],[DEVELOPMENT]],all[[DEVELOPMENT]:[MRST Ext. Comp. Priority]],6,FALSE)</f>
        <v>C</v>
      </c>
      <c r="G106" s="9">
        <v>1</v>
      </c>
      <c r="H106" s="1">
        <f>IF(VLOOKUP(EHD[[#This Row],[DEVELOPMENT]],Data[],9,FALSE)=0,5,VLOOKUP(EHD[[#This Row],[DEVELOPMENT]],Data[],9,FALSE))</f>
        <v>4</v>
      </c>
      <c r="I106" s="9">
        <f>EHD[[#This Row],[MRST '#HD]]</f>
        <v>1</v>
      </c>
      <c r="J106" s="1" t="str">
        <f ca="1">IFERROR(VLOOKUP(EHD[[#This Row],[DEVELOPMENT]],Data[],4,FALSE),"")</f>
        <v>2020-2021</v>
      </c>
      <c r="K106" s="1" t="str">
        <f ca="1">IF(EHD[[#This Row],[RAD/PACT]]="","",IF(OR(EHD[[#This Row],[RAD/PACT]]="2021-2025",EHD[[#This Row],[RAD/PACT]]="2019-2020"),"Yes",""))</f>
        <v/>
      </c>
      <c r="L106" s="1"/>
      <c r="M106" s="1"/>
      <c r="N106" s="1"/>
      <c r="O106" s="1"/>
      <c r="P106" s="47">
        <f ca="1">IF(EHD[[#This Row],[RAD/PACT]]="2019-2020",0,INDEX(UnitCosts[],MATCH(EHD[[#This Row],[WORK TYPE]],UnitCosts[Work Type],0),2)*EHD[[#This Row],['# Hopper Doors]])*(1+((EHD[[#This Row],[est. Year]]-YEAR(TODAY()))*$P$2))</f>
        <v>7695.8910225</v>
      </c>
      <c r="Q106" s="51">
        <f ca="1">SUM(INDEX(EHD['# Hopper Doors],1):EHD[[#This Row],['# Hopper Doors]])</f>
        <v>771</v>
      </c>
      <c r="R106" s="47">
        <f t="shared" ca="1" si="1"/>
        <v>115438.3653375</v>
      </c>
      <c r="S106" s="1">
        <f ca="1">IF(ISBLANK(EHD[[#This Row],[CALENDAR YEAR]]),ROUNDDOWN(EHD[[#This Row],[Running count]]/500,0)+$S$1,EHD[[#This Row],[CALENDAR YEAR]])</f>
        <v>2021</v>
      </c>
      <c r="T106" s="16"/>
    </row>
    <row r="107" spans="1:20">
      <c r="A107" s="135" t="s">
        <v>247</v>
      </c>
      <c r="B107" s="1" t="str">
        <f>VLOOKUP(A107,Data[],2,FALSE)</f>
        <v>MANHATTAN</v>
      </c>
      <c r="C107" s="9" t="s">
        <v>27</v>
      </c>
      <c r="D107" s="9" t="str">
        <f>VLOOKUP(EHD[[#This Row],[DEVELOPMENT]],Data[],52,FALSE)</f>
        <v>FEDERAL</v>
      </c>
      <c r="E107" s="1" t="str">
        <f>VLOOKUP(EHD[[#This Row],[DEVELOPMENT]],Data[],8,FALSE)</f>
        <v>Zone 1</v>
      </c>
      <c r="F107" s="9" t="str">
        <f>VLOOKUP(EHD[[#This Row],[DEVELOPMENT]],all[[DEVELOPMENT]:[MRST Ext. Comp. Priority]],6,FALSE)</f>
        <v>C</v>
      </c>
      <c r="G107" s="9">
        <v>0</v>
      </c>
      <c r="H107" s="1">
        <f>IF(VLOOKUP(EHD[[#This Row],[DEVELOPMENT]],Data[],9,FALSE)=0,5,VLOOKUP(EHD[[#This Row],[DEVELOPMENT]],Data[],9,FALSE))</f>
        <v>4</v>
      </c>
      <c r="I107" s="9">
        <f>EHD[[#This Row],[MRST '#HD]]</f>
        <v>0</v>
      </c>
      <c r="J107" s="1" t="str">
        <f ca="1">IFERROR(VLOOKUP(EHD[[#This Row],[DEVELOPMENT]],Data[],4,FALSE),"")</f>
        <v/>
      </c>
      <c r="K107" s="1" t="str">
        <f ca="1">IF(EHD[[#This Row],[RAD/PACT]]="","",IF(OR(EHD[[#This Row],[RAD/PACT]]="2021-2025",EHD[[#This Row],[RAD/PACT]]="2019-2020"),"Yes",""))</f>
        <v/>
      </c>
      <c r="L107" s="1"/>
      <c r="M107" s="1"/>
      <c r="N107" s="1"/>
      <c r="O107" s="1"/>
      <c r="P107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07" s="51">
        <f ca="1">SUM(INDEX(EHD['# Hopper Doors],1):EHD[[#This Row],['# Hopper Doors]])</f>
        <v>771</v>
      </c>
      <c r="R107" s="47">
        <f t="shared" ca="1" si="1"/>
        <v>115438.3653375</v>
      </c>
      <c r="S107" s="1">
        <f ca="1">IF(ISBLANK(EHD[[#This Row],[CALENDAR YEAR]]),ROUNDDOWN(EHD[[#This Row],[Running count]]/500,0)+$S$1,EHD[[#This Row],[CALENDAR YEAR]])</f>
        <v>2021</v>
      </c>
      <c r="T107" s="16"/>
    </row>
    <row r="108" spans="1:20">
      <c r="A108" s="66" t="s">
        <v>242</v>
      </c>
      <c r="B108" s="1" t="str">
        <f>VLOOKUP(A108,Data[],2,FALSE)</f>
        <v>MANHATTAN</v>
      </c>
      <c r="C108" s="9" t="s">
        <v>27</v>
      </c>
      <c r="D108" s="9" t="str">
        <f>VLOOKUP(EHD[[#This Row],[DEVELOPMENT]],Data[],52,FALSE)</f>
        <v>FEDERAL</v>
      </c>
      <c r="E108" s="1" t="str">
        <f>VLOOKUP(EHD[[#This Row],[DEVELOPMENT]],Data[],8,FALSE)</f>
        <v>Zone 1</v>
      </c>
      <c r="F108" s="9" t="str">
        <f>VLOOKUP(EHD[[#This Row],[DEVELOPMENT]],all[[DEVELOPMENT]:[MRST Ext. Comp. Priority]],6,FALSE)</f>
        <v>C</v>
      </c>
      <c r="G108" s="9">
        <v>8</v>
      </c>
      <c r="H108" s="1">
        <f>IF(VLOOKUP(EHD[[#This Row],[DEVELOPMENT]],Data[],9,FALSE)=0,5,VLOOKUP(EHD[[#This Row],[DEVELOPMENT]],Data[],9,FALSE))</f>
        <v>4</v>
      </c>
      <c r="I108" s="9">
        <f>EHD[[#This Row],[MRST '#HD]]</f>
        <v>8</v>
      </c>
      <c r="J108" s="1" t="str">
        <f ca="1">IFERROR(VLOOKUP(EHD[[#This Row],[DEVELOPMENT]],Data[],4,FALSE),"")</f>
        <v>2026+</v>
      </c>
      <c r="K108" s="1" t="str">
        <f ca="1">IF(EHD[[#This Row],[RAD/PACT]]="","",IF(OR(EHD[[#This Row],[RAD/PACT]]="2021-2025",EHD[[#This Row],[RAD/PACT]]="2019-2020"),"Yes",""))</f>
        <v/>
      </c>
      <c r="L108" s="1"/>
      <c r="M108" s="1"/>
      <c r="N108" s="1" t="s">
        <v>404</v>
      </c>
      <c r="O108" s="1"/>
      <c r="P108" s="47"/>
      <c r="Q108" s="51">
        <f ca="1">SUM(INDEX(EHD['# Hopper Doors],1):EHD[[#This Row],['# Hopper Doors]])</f>
        <v>779</v>
      </c>
      <c r="R108" s="47">
        <f t="shared" ca="1" si="1"/>
        <v>115438.3653375</v>
      </c>
      <c r="S108" s="1">
        <f ca="1">IF(ISBLANK(EHD[[#This Row],[CALENDAR YEAR]]),ROUNDDOWN(EHD[[#This Row],[Running count]]/500,0)+$S$1,EHD[[#This Row],[CALENDAR YEAR]])</f>
        <v>2021</v>
      </c>
      <c r="T108" s="16"/>
    </row>
    <row r="109" spans="1:20">
      <c r="A109" s="13" t="s">
        <v>122</v>
      </c>
      <c r="B109" s="1" t="str">
        <f>VLOOKUP(A109,Data[],2,FALSE)</f>
        <v>MANHATTAN</v>
      </c>
      <c r="C109" s="9" t="s">
        <v>27</v>
      </c>
      <c r="D109" s="9" t="str">
        <f>VLOOKUP(EHD[[#This Row],[DEVELOPMENT]],Data[],52,FALSE)</f>
        <v>MIXED FINANCE/LLC1</v>
      </c>
      <c r="E109" s="1" t="str">
        <f>VLOOKUP(EHD[[#This Row],[DEVELOPMENT]],Data[],8,FALSE)</f>
        <v>Zone 2</v>
      </c>
      <c r="F109" s="9" t="str">
        <f>VLOOKUP(EHD[[#This Row],[DEVELOPMENT]],all[[DEVELOPMENT]:[MRST Ext. Comp. Priority]],6,FALSE)</f>
        <v>C</v>
      </c>
      <c r="G109" s="9">
        <v>6</v>
      </c>
      <c r="H109" s="1">
        <f>IF(VLOOKUP(EHD[[#This Row],[DEVELOPMENT]],Data[],9,FALSE)=0,5,VLOOKUP(EHD[[#This Row],[DEVELOPMENT]],Data[],9,FALSE))</f>
        <v>4</v>
      </c>
      <c r="I109" s="9">
        <f>EHD[[#This Row],[MRST '#HD]]</f>
        <v>6</v>
      </c>
      <c r="J109" s="1" t="str">
        <f ca="1">IFERROR(VLOOKUP(EHD[[#This Row],[DEVELOPMENT]],Data[],4,FALSE),"")</f>
        <v>2026+</v>
      </c>
      <c r="K109" s="1" t="str">
        <f ca="1">IF(EHD[[#This Row],[RAD/PACT]]="","",IF(OR(EHD[[#This Row],[RAD/PACT]]="2021-2025",EHD[[#This Row],[RAD/PACT]]="2019-2020"),"Yes",""))</f>
        <v/>
      </c>
      <c r="L109" s="1"/>
      <c r="M109" s="1"/>
      <c r="N109" s="1"/>
      <c r="O109" s="1"/>
      <c r="P109" s="47">
        <f ca="1">IF(EHD[[#This Row],[RAD/PACT]]="2019-2020",0,INDEX(UnitCosts[],MATCH(EHD[[#This Row],[WORK TYPE]],UnitCosts[Work Type],0),2)*EHD[[#This Row],['# Hopper Doors]])*(1+((EHD[[#This Row],[est. Year]]-YEAR(TODAY()))*$P$2))</f>
        <v>46175.346135</v>
      </c>
      <c r="Q109" s="51">
        <f ca="1">SUM(INDEX(EHD['# Hopper Doors],1):EHD[[#This Row],['# Hopper Doors]])</f>
        <v>785</v>
      </c>
      <c r="R109" s="47">
        <f t="shared" ca="1" si="1"/>
        <v>161613.7114725</v>
      </c>
      <c r="S109" s="1">
        <f ca="1">IF(ISBLANK(EHD[[#This Row],[CALENDAR YEAR]]),ROUNDDOWN(EHD[[#This Row],[Running count]]/500,0)+$S$1,EHD[[#This Row],[CALENDAR YEAR]])</f>
        <v>2021</v>
      </c>
      <c r="T109" s="16"/>
    </row>
    <row r="110" spans="1:20">
      <c r="A110" s="13" t="s">
        <v>134</v>
      </c>
      <c r="B110" s="1" t="str">
        <f>VLOOKUP(A110,Data[],2,FALSE)</f>
        <v>QUEENS</v>
      </c>
      <c r="C110" s="9" t="s">
        <v>27</v>
      </c>
      <c r="D110" s="9" t="str">
        <f>VLOOKUP(EHD[[#This Row],[DEVELOPMENT]],Data[],52,FALSE)</f>
        <v>FEDERAL</v>
      </c>
      <c r="E110" s="1" t="str">
        <f>VLOOKUP(EHD[[#This Row],[DEVELOPMENT]],Data[],8,FALSE)</f>
        <v>Zone 3</v>
      </c>
      <c r="F110" s="9" t="str">
        <f>VLOOKUP(EHD[[#This Row],[DEVELOPMENT]],all[[DEVELOPMENT]:[MRST Ext. Comp. Priority]],6,FALSE)</f>
        <v>C</v>
      </c>
      <c r="G110" s="9">
        <v>47</v>
      </c>
      <c r="H110" s="1">
        <f>IF(VLOOKUP(EHD[[#This Row],[DEVELOPMENT]],Data[],9,FALSE)=0,5,VLOOKUP(EHD[[#This Row],[DEVELOPMENT]],Data[],9,FALSE))</f>
        <v>4</v>
      </c>
      <c r="I110" s="9">
        <f>EHD[[#This Row],[MRST '#HD]]</f>
        <v>47</v>
      </c>
      <c r="J110" s="1" t="str">
        <f ca="1">IFERROR(VLOOKUP(EHD[[#This Row],[DEVELOPMENT]],Data[],4,FALSE),"")</f>
        <v>2026+</v>
      </c>
      <c r="K110" s="1" t="str">
        <f ca="1">IF(EHD[[#This Row],[RAD/PACT]]="","",IF(OR(EHD[[#This Row],[RAD/PACT]]="2021-2025",EHD[[#This Row],[RAD/PACT]]="2019-2020"),"Yes",""))</f>
        <v/>
      </c>
      <c r="L110" s="1"/>
      <c r="M110" s="1"/>
      <c r="N110" s="1"/>
      <c r="O110" s="1"/>
      <c r="P110" s="47">
        <f ca="1">IF(EHD[[#This Row],[RAD/PACT]]="2019-2020",0,INDEX(UnitCosts[],MATCH(EHD[[#This Row],[WORK TYPE]],UnitCosts[Work Type],0),2)*EHD[[#This Row],['# Hopper Doors]])*(1+((EHD[[#This Row],[est. Year]]-YEAR(TODAY()))*$P$2))</f>
        <v>361706.8780575</v>
      </c>
      <c r="Q110" s="51">
        <f ca="1">SUM(INDEX(EHD['# Hopper Doors],1):EHD[[#This Row],['# Hopper Doors]])</f>
        <v>832</v>
      </c>
      <c r="R110" s="47">
        <f t="shared" ca="1" si="1"/>
        <v>523320.58953</v>
      </c>
      <c r="S110" s="1">
        <f ca="1">IF(ISBLANK(EHD[[#This Row],[CALENDAR YEAR]]),ROUNDDOWN(EHD[[#This Row],[Running count]]/500,0)+$S$1,EHD[[#This Row],[CALENDAR YEAR]])</f>
        <v>2021</v>
      </c>
      <c r="T110" s="16"/>
    </row>
    <row r="111" spans="1:20">
      <c r="A111" s="13" t="s">
        <v>135</v>
      </c>
      <c r="B111" s="1" t="str">
        <f>VLOOKUP(A111,Data[],2,FALSE)</f>
        <v>QUEENS</v>
      </c>
      <c r="C111" s="9" t="s">
        <v>27</v>
      </c>
      <c r="D111" s="9" t="str">
        <f>VLOOKUP(EHD[[#This Row],[DEVELOPMENT]],Data[],52,FALSE)</f>
        <v>FEDERAL</v>
      </c>
      <c r="E111" s="1" t="str">
        <f>VLOOKUP(EHD[[#This Row],[DEVELOPMENT]],Data[],8,FALSE)</f>
        <v>Zone 3</v>
      </c>
      <c r="F111" s="9" t="str">
        <f>VLOOKUP(EHD[[#This Row],[DEVELOPMENT]],all[[DEVELOPMENT]:[MRST Ext. Comp. Priority]],6,FALSE)</f>
        <v>C</v>
      </c>
      <c r="G111" s="9">
        <v>49</v>
      </c>
      <c r="H111" s="1">
        <f>IF(VLOOKUP(EHD[[#This Row],[DEVELOPMENT]],Data[],9,FALSE)=0,5,VLOOKUP(EHD[[#This Row],[DEVELOPMENT]],Data[],9,FALSE))</f>
        <v>4</v>
      </c>
      <c r="I111" s="9">
        <f>EHD[[#This Row],[MRST '#HD]]</f>
        <v>49</v>
      </c>
      <c r="J111" s="1" t="str">
        <f ca="1">IFERROR(VLOOKUP(EHD[[#This Row],[DEVELOPMENT]],Data[],4,FALSE),"")</f>
        <v>2026+</v>
      </c>
      <c r="K111" s="1" t="str">
        <f ca="1">IF(EHD[[#This Row],[RAD/PACT]]="","",IF(OR(EHD[[#This Row],[RAD/PACT]]="2021-2025",EHD[[#This Row],[RAD/PACT]]="2019-2020"),"Yes",""))</f>
        <v/>
      </c>
      <c r="L111" s="1"/>
      <c r="M111" s="1"/>
      <c r="N111" s="1"/>
      <c r="O111" s="1"/>
      <c r="P111" s="47">
        <f ca="1">IF(EHD[[#This Row],[RAD/PACT]]="2019-2020",0,INDEX(UnitCosts[],MATCH(EHD[[#This Row],[WORK TYPE]],UnitCosts[Work Type],0),2)*EHD[[#This Row],['# Hopper Doors]])*(1+((EHD[[#This Row],[est. Year]]-YEAR(TODAY()))*$P$2))</f>
        <v>377098.66010249994</v>
      </c>
      <c r="Q111" s="51">
        <f ca="1">SUM(INDEX(EHD['# Hopper Doors],1):EHD[[#This Row],['# Hopper Doors]])</f>
        <v>881</v>
      </c>
      <c r="R111" s="47">
        <f t="shared" ca="1" si="1"/>
        <v>900419.24963249988</v>
      </c>
      <c r="S111" s="1">
        <f ca="1">IF(ISBLANK(EHD[[#This Row],[CALENDAR YEAR]]),ROUNDDOWN(EHD[[#This Row],[Running count]]/500,0)+$S$1,EHD[[#This Row],[CALENDAR YEAR]])</f>
        <v>2021</v>
      </c>
      <c r="T111" s="16"/>
    </row>
    <row r="112" spans="1:20">
      <c r="A112" s="13" t="s">
        <v>100</v>
      </c>
      <c r="B112" s="1" t="str">
        <f>VLOOKUP(A112,Data[],2,FALSE)</f>
        <v>MANHATTAN</v>
      </c>
      <c r="C112" s="9" t="s">
        <v>27</v>
      </c>
      <c r="D112" s="9" t="str">
        <f>VLOOKUP(EHD[[#This Row],[DEVELOPMENT]],Data[],52,FALSE)</f>
        <v>FEDERAL</v>
      </c>
      <c r="E112" s="1" t="str">
        <f>VLOOKUP(EHD[[#This Row],[DEVELOPMENT]],Data[],8,FALSE)</f>
        <v>Zone 2</v>
      </c>
      <c r="F112" s="9" t="str">
        <f>VLOOKUP(EHD[[#This Row],[DEVELOPMENT]],all[[DEVELOPMENT]:[MRST Ext. Comp. Priority]],6,FALSE)</f>
        <v>C</v>
      </c>
      <c r="G112" s="9">
        <v>6</v>
      </c>
      <c r="H112" s="1">
        <f>IF(VLOOKUP(EHD[[#This Row],[DEVELOPMENT]],Data[],9,FALSE)=0,5,VLOOKUP(EHD[[#This Row],[DEVELOPMENT]],Data[],9,FALSE))</f>
        <v>4</v>
      </c>
      <c r="I112" s="9">
        <f>EHD[[#This Row],[MRST '#HD]]</f>
        <v>6</v>
      </c>
      <c r="J112" s="1" t="str">
        <f ca="1">IFERROR(VLOOKUP(EHD[[#This Row],[DEVELOPMENT]],Data[],4,FALSE),"")</f>
        <v/>
      </c>
      <c r="K112" s="1" t="str">
        <f ca="1">IF(EHD[[#This Row],[RAD/PACT]]="","",IF(OR(EHD[[#This Row],[RAD/PACT]]="2021-2025",EHD[[#This Row],[RAD/PACT]]="2019-2020"),"Yes",""))</f>
        <v/>
      </c>
      <c r="L112" s="1"/>
      <c r="M112" s="1"/>
      <c r="N112" s="1"/>
      <c r="O112" s="1"/>
      <c r="P112" s="47">
        <f ca="1">IF(EHD[[#This Row],[RAD/PACT]]="2019-2020",0,INDEX(UnitCosts[],MATCH(EHD[[#This Row],[WORK TYPE]],UnitCosts[Work Type],0),2)*EHD[[#This Row],['# Hopper Doors]])*(1+((EHD[[#This Row],[est. Year]]-YEAR(TODAY()))*$P$2))</f>
        <v>46175.346135</v>
      </c>
      <c r="Q112" s="51">
        <f ca="1">SUM(INDEX(EHD['# Hopper Doors],1):EHD[[#This Row],['# Hopper Doors]])</f>
        <v>887</v>
      </c>
      <c r="R112" s="47">
        <f t="shared" ca="1" si="1"/>
        <v>946594.59576749988</v>
      </c>
      <c r="S112" s="1">
        <f ca="1">IF(ISBLANK(EHD[[#This Row],[CALENDAR YEAR]]),ROUNDDOWN(EHD[[#This Row],[Running count]]/500,0)+$S$1,EHD[[#This Row],[CALENDAR YEAR]])</f>
        <v>2021</v>
      </c>
      <c r="T112" s="16"/>
    </row>
    <row r="113" spans="1:20">
      <c r="A113" s="13" t="s">
        <v>124</v>
      </c>
      <c r="B113" s="1" t="str">
        <f>VLOOKUP(A113,Data[],2,FALSE)</f>
        <v>BRONX</v>
      </c>
      <c r="C113" s="9" t="s">
        <v>27</v>
      </c>
      <c r="D113" s="9" t="str">
        <f>VLOOKUP(EHD[[#This Row],[DEVELOPMENT]],Data[],52,FALSE)</f>
        <v>FEDERAL</v>
      </c>
      <c r="E113" s="1" t="str">
        <f>VLOOKUP(EHD[[#This Row],[DEVELOPMENT]],Data[],8,FALSE)</f>
        <v>Zone 3</v>
      </c>
      <c r="F113" s="9" t="str">
        <f>VLOOKUP(EHD[[#This Row],[DEVELOPMENT]],all[[DEVELOPMENT]:[MRST Ext. Comp. Priority]],6,FALSE)</f>
        <v>C</v>
      </c>
      <c r="G113" s="9">
        <v>3</v>
      </c>
      <c r="H113" s="1">
        <f>IF(VLOOKUP(EHD[[#This Row],[DEVELOPMENT]],Data[],9,FALSE)=0,5,VLOOKUP(EHD[[#This Row],[DEVELOPMENT]],Data[],9,FALSE))</f>
        <v>4</v>
      </c>
      <c r="I113" s="9">
        <f>EHD[[#This Row],[MRST '#HD]]</f>
        <v>3</v>
      </c>
      <c r="J113" s="1" t="str">
        <f ca="1">IFERROR(VLOOKUP(EHD[[#This Row],[DEVELOPMENT]],Data[],4,FALSE),"")</f>
        <v>2026+</v>
      </c>
      <c r="K113" s="1" t="str">
        <f ca="1">IF(EHD[[#This Row],[RAD/PACT]]="","",IF(OR(EHD[[#This Row],[RAD/PACT]]="2021-2025",EHD[[#This Row],[RAD/PACT]]="2019-2020"),"Yes",""))</f>
        <v/>
      </c>
      <c r="L113" s="1"/>
      <c r="M113" s="1"/>
      <c r="N113" s="1"/>
      <c r="O113" s="1"/>
      <c r="P113" s="47">
        <f ca="1">IF(EHD[[#This Row],[RAD/PACT]]="2019-2020",0,INDEX(UnitCosts[],MATCH(EHD[[#This Row],[WORK TYPE]],UnitCosts[Work Type],0),2)*EHD[[#This Row],['# Hopper Doors]])*(1+((EHD[[#This Row],[est. Year]]-YEAR(TODAY()))*$P$2))</f>
        <v>23087.6730675</v>
      </c>
      <c r="Q113" s="51">
        <f ca="1">SUM(INDEX(EHD['# Hopper Doors],1):EHD[[#This Row],['# Hopper Doors]])</f>
        <v>890</v>
      </c>
      <c r="R113" s="47">
        <f t="shared" ca="1" si="1"/>
        <v>969682.26883499988</v>
      </c>
      <c r="S113" s="1">
        <f ca="1">IF(ISBLANK(EHD[[#This Row],[CALENDAR YEAR]]),ROUNDDOWN(EHD[[#This Row],[Running count]]/500,0)+$S$1,EHD[[#This Row],[CALENDAR YEAR]])</f>
        <v>2021</v>
      </c>
      <c r="T113" s="16"/>
    </row>
    <row r="114" spans="1:20">
      <c r="A114" s="13" t="s">
        <v>105</v>
      </c>
      <c r="B114" s="1" t="str">
        <f>VLOOKUP(A114,Data[],2,FALSE)</f>
        <v>BRONX</v>
      </c>
      <c r="C114" s="9" t="s">
        <v>27</v>
      </c>
      <c r="D114" s="9" t="str">
        <f>VLOOKUP(EHD[[#This Row],[DEVELOPMENT]],Data[],52,FALSE)</f>
        <v>FEDERAL</v>
      </c>
      <c r="E114" s="1" t="str">
        <f>VLOOKUP(EHD[[#This Row],[DEVELOPMENT]],Data[],8,FALSE)</f>
        <v>Zone 3</v>
      </c>
      <c r="F114" s="9" t="str">
        <f>VLOOKUP(EHD[[#This Row],[DEVELOPMENT]],all[[DEVELOPMENT]:[MRST Ext. Comp. Priority]],6,FALSE)</f>
        <v>C</v>
      </c>
      <c r="G114" s="9">
        <v>1</v>
      </c>
      <c r="H114" s="1">
        <f>IF(VLOOKUP(EHD[[#This Row],[DEVELOPMENT]],Data[],9,FALSE)=0,5,VLOOKUP(EHD[[#This Row],[DEVELOPMENT]],Data[],9,FALSE))</f>
        <v>4</v>
      </c>
      <c r="I114" s="9">
        <f>EHD[[#This Row],[MRST '#HD]]</f>
        <v>1</v>
      </c>
      <c r="J114" s="1" t="str">
        <f ca="1">IFERROR(VLOOKUP(EHD[[#This Row],[DEVELOPMENT]],Data[],4,FALSE),"")</f>
        <v>2026+</v>
      </c>
      <c r="K114" s="1" t="str">
        <f ca="1">IF(EHD[[#This Row],[RAD/PACT]]="","",IF(OR(EHD[[#This Row],[RAD/PACT]]="2021-2025",EHD[[#This Row],[RAD/PACT]]="2019-2020"),"Yes",""))</f>
        <v/>
      </c>
      <c r="L114" s="1"/>
      <c r="M114" s="1"/>
      <c r="N114" s="1"/>
      <c r="O114" s="1"/>
      <c r="P114" s="47">
        <f ca="1">IF(EHD[[#This Row],[RAD/PACT]]="2019-2020",0,INDEX(UnitCosts[],MATCH(EHD[[#This Row],[WORK TYPE]],UnitCosts[Work Type],0),2)*EHD[[#This Row],['# Hopper Doors]])*(1+((EHD[[#This Row],[est. Year]]-YEAR(TODAY()))*$P$2))</f>
        <v>7695.8910225</v>
      </c>
      <c r="Q114" s="51">
        <f ca="1">SUM(INDEX(EHD['# Hopper Doors],1):EHD[[#This Row],['# Hopper Doors]])</f>
        <v>891</v>
      </c>
      <c r="R114" s="47">
        <f t="shared" ca="1" si="1"/>
        <v>977378.15985749988</v>
      </c>
      <c r="S114" s="1">
        <f ca="1">IF(ISBLANK(EHD[[#This Row],[CALENDAR YEAR]]),ROUNDDOWN(EHD[[#This Row],[Running count]]/500,0)+$S$1,EHD[[#This Row],[CALENDAR YEAR]])</f>
        <v>2021</v>
      </c>
      <c r="T114" s="16"/>
    </row>
    <row r="115" spans="1:20">
      <c r="A115" s="13" t="s">
        <v>116</v>
      </c>
      <c r="B115" s="1" t="str">
        <f>VLOOKUP(A115,Data[],2,FALSE)</f>
        <v>MANHATTAN</v>
      </c>
      <c r="C115" s="9" t="s">
        <v>27</v>
      </c>
      <c r="D115" s="9" t="str">
        <f>VLOOKUP(EHD[[#This Row],[DEVELOPMENT]],Data[],52,FALSE)</f>
        <v>FEDERAL</v>
      </c>
      <c r="E115" s="1" t="str">
        <f>VLOOKUP(EHD[[#This Row],[DEVELOPMENT]],Data[],8,FALSE)</f>
        <v>Zone 2</v>
      </c>
      <c r="F115" s="9" t="str">
        <f>VLOOKUP(EHD[[#This Row],[DEVELOPMENT]],all[[DEVELOPMENT]:[MRST Ext. Comp. Priority]],6,FALSE)</f>
        <v>C</v>
      </c>
      <c r="G115" s="9">
        <v>3</v>
      </c>
      <c r="H115" s="1">
        <f>IF(VLOOKUP(EHD[[#This Row],[DEVELOPMENT]],Data[],9,FALSE)=0,5,VLOOKUP(EHD[[#This Row],[DEVELOPMENT]],Data[],9,FALSE))</f>
        <v>4</v>
      </c>
      <c r="I115" s="9">
        <f>EHD[[#This Row],[MRST '#HD]]</f>
        <v>3</v>
      </c>
      <c r="J115" s="1" t="str">
        <f ca="1">IFERROR(VLOOKUP(EHD[[#This Row],[DEVELOPMENT]],Data[],4,FALSE),"")</f>
        <v>2026+</v>
      </c>
      <c r="K115" s="1" t="str">
        <f ca="1">IF(EHD[[#This Row],[RAD/PACT]]="","",IF(OR(EHD[[#This Row],[RAD/PACT]]="2021-2025",EHD[[#This Row],[RAD/PACT]]="2019-2020"),"Yes",""))</f>
        <v/>
      </c>
      <c r="L115" s="1"/>
      <c r="M115" s="1"/>
      <c r="N115" s="1"/>
      <c r="O115" s="1"/>
      <c r="P115" s="47">
        <f ca="1">IF(EHD[[#This Row],[RAD/PACT]]="2019-2020",0,INDEX(UnitCosts[],MATCH(EHD[[#This Row],[WORK TYPE]],UnitCosts[Work Type],0),2)*EHD[[#This Row],['# Hopper Doors]])*(1+((EHD[[#This Row],[est. Year]]-YEAR(TODAY()))*$P$2))</f>
        <v>23087.6730675</v>
      </c>
      <c r="Q115" s="51">
        <f ca="1">SUM(INDEX(EHD['# Hopper Doors],1):EHD[[#This Row],['# Hopper Doors]])</f>
        <v>894</v>
      </c>
      <c r="R115" s="47">
        <f t="shared" ca="1" si="1"/>
        <v>1000465.8329249999</v>
      </c>
      <c r="S115" s="1">
        <f ca="1">IF(ISBLANK(EHD[[#This Row],[CALENDAR YEAR]]),ROUNDDOWN(EHD[[#This Row],[Running count]]/500,0)+$S$1,EHD[[#This Row],[CALENDAR YEAR]])</f>
        <v>2021</v>
      </c>
      <c r="T115" s="16"/>
    </row>
    <row r="116" spans="1:20">
      <c r="A116" s="13" t="s">
        <v>111</v>
      </c>
      <c r="B116" s="1" t="str">
        <f>VLOOKUP(A116,Data[],2,FALSE)</f>
        <v>MANHATTAN</v>
      </c>
      <c r="C116" s="9" t="s">
        <v>27</v>
      </c>
      <c r="D116" s="9" t="str">
        <f>VLOOKUP(EHD[[#This Row],[DEVELOPMENT]],Data[],52,FALSE)</f>
        <v>FEDERAL</v>
      </c>
      <c r="E116" s="1" t="str">
        <f>VLOOKUP(EHD[[#This Row],[DEVELOPMENT]],Data[],8,FALSE)</f>
        <v>Zone 3</v>
      </c>
      <c r="F116" s="9" t="str">
        <f>VLOOKUP(EHD[[#This Row],[DEVELOPMENT]],all[[DEVELOPMENT]:[MRST Ext. Comp. Priority]],6,FALSE)</f>
        <v>D</v>
      </c>
      <c r="G116" s="9">
        <v>19</v>
      </c>
      <c r="H116" s="1">
        <f>IF(VLOOKUP(EHD[[#This Row],[DEVELOPMENT]],Data[],9,FALSE)=0,5,VLOOKUP(EHD[[#This Row],[DEVELOPMENT]],Data[],9,FALSE))</f>
        <v>4</v>
      </c>
      <c r="I116" s="9">
        <f>EHD[[#This Row],[MRST '#HD]]</f>
        <v>19</v>
      </c>
      <c r="J116" s="1" t="str">
        <f ca="1">IFERROR(VLOOKUP(EHD[[#This Row],[DEVELOPMENT]],Data[],4,FALSE),"")</f>
        <v/>
      </c>
      <c r="K116" s="1" t="str">
        <f ca="1">IF(EHD[[#This Row],[RAD/PACT]]="","",IF(OR(EHD[[#This Row],[RAD/PACT]]="2021-2025",EHD[[#This Row],[RAD/PACT]]="2019-2020"),"Yes",""))</f>
        <v/>
      </c>
      <c r="L116" s="1"/>
      <c r="M116" s="1"/>
      <c r="N116" s="1"/>
      <c r="O116" s="1"/>
      <c r="P116" s="47">
        <f ca="1">IF(EHD[[#This Row],[RAD/PACT]]="2019-2020",0,INDEX(UnitCosts[],MATCH(EHD[[#This Row],[WORK TYPE]],UnitCosts[Work Type],0),2)*EHD[[#This Row],['# Hopper Doors]])*(1+((EHD[[#This Row],[est. Year]]-YEAR(TODAY()))*$P$2))</f>
        <v>146221.92942749997</v>
      </c>
      <c r="Q116" s="51">
        <f ca="1">SUM(INDEX(EHD['# Hopper Doors],1):EHD[[#This Row],['# Hopper Doors]])</f>
        <v>913</v>
      </c>
      <c r="R116" s="47">
        <f t="shared" ca="1" si="1"/>
        <v>1146687.7623524999</v>
      </c>
      <c r="S116" s="1">
        <f ca="1">IF(ISBLANK(EHD[[#This Row],[CALENDAR YEAR]]),ROUNDDOWN(EHD[[#This Row],[Running count]]/500,0)+$S$1,EHD[[#This Row],[CALENDAR YEAR]])</f>
        <v>2021</v>
      </c>
      <c r="T116" s="16"/>
    </row>
    <row r="117" spans="1:20">
      <c r="A117" s="13" t="s">
        <v>115</v>
      </c>
      <c r="B117" s="1" t="str">
        <f>VLOOKUP(A117,Data[],2,FALSE)</f>
        <v>MANHATTAN</v>
      </c>
      <c r="C117" s="9" t="s">
        <v>27</v>
      </c>
      <c r="D117" s="9" t="str">
        <f>VLOOKUP(EHD[[#This Row],[DEVELOPMENT]],Data[],52,FALSE)</f>
        <v>FEDERAL</v>
      </c>
      <c r="E117" s="1" t="str">
        <f>VLOOKUP(EHD[[#This Row],[DEVELOPMENT]],Data[],8,FALSE)</f>
        <v>Zone 2</v>
      </c>
      <c r="F117" s="9" t="str">
        <f>VLOOKUP(EHD[[#This Row],[DEVELOPMENT]],all[[DEVELOPMENT]:[MRST Ext. Comp. Priority]],6,FALSE)</f>
        <v>D</v>
      </c>
      <c r="G117" s="9">
        <v>9</v>
      </c>
      <c r="H117" s="1">
        <f>IF(VLOOKUP(EHD[[#This Row],[DEVELOPMENT]],Data[],9,FALSE)=0,5,VLOOKUP(EHD[[#This Row],[DEVELOPMENT]],Data[],9,FALSE))</f>
        <v>4</v>
      </c>
      <c r="I117" s="9">
        <f>EHD[[#This Row],[MRST '#HD]]</f>
        <v>9</v>
      </c>
      <c r="J117" s="1" t="str">
        <f ca="1">IFERROR(VLOOKUP(EHD[[#This Row],[DEVELOPMENT]],Data[],4,FALSE),"")</f>
        <v/>
      </c>
      <c r="K117" s="1" t="str">
        <f ca="1">IF(EHD[[#This Row],[RAD/PACT]]="","",IF(OR(EHD[[#This Row],[RAD/PACT]]="2021-2025",EHD[[#This Row],[RAD/PACT]]="2019-2020"),"Yes",""))</f>
        <v/>
      </c>
      <c r="L117" s="1"/>
      <c r="M117" s="1"/>
      <c r="N117" s="1"/>
      <c r="O117" s="1"/>
      <c r="P117" s="47">
        <f ca="1">IF(EHD[[#This Row],[RAD/PACT]]="2019-2020",0,INDEX(UnitCosts[],MATCH(EHD[[#This Row],[WORK TYPE]],UnitCosts[Work Type],0),2)*EHD[[#This Row],['# Hopper Doors]])*(1+((EHD[[#This Row],[est. Year]]-YEAR(TODAY()))*$P$2))</f>
        <v>69263.0192025</v>
      </c>
      <c r="Q117" s="51">
        <f ca="1">SUM(INDEX(EHD['# Hopper Doors],1):EHD[[#This Row],['# Hopper Doors]])</f>
        <v>922</v>
      </c>
      <c r="R117" s="47">
        <f t="shared" ca="1" si="1"/>
        <v>1215950.7815549998</v>
      </c>
      <c r="S117" s="1">
        <f ca="1">IF(ISBLANK(EHD[[#This Row],[CALENDAR YEAR]]),ROUNDDOWN(EHD[[#This Row],[Running count]]/500,0)+$S$1,EHD[[#This Row],[CALENDAR YEAR]])</f>
        <v>2021</v>
      </c>
      <c r="T117" s="16"/>
    </row>
    <row r="118" spans="1:20">
      <c r="A118" s="125" t="s">
        <v>123</v>
      </c>
      <c r="B118" s="1" t="str">
        <f>VLOOKUP(A118,Data[],2,FALSE)</f>
        <v>BRONX</v>
      </c>
      <c r="C118" s="9" t="s">
        <v>27</v>
      </c>
      <c r="D118" s="9" t="str">
        <f>VLOOKUP(EHD[[#This Row],[DEVELOPMENT]],Data[],52,FALSE)</f>
        <v>MIXED FINANCE/LLC1</v>
      </c>
      <c r="E118" s="1" t="str">
        <f>VLOOKUP(EHD[[#This Row],[DEVELOPMENT]],Data[],8,FALSE)</f>
        <v>Zone 3</v>
      </c>
      <c r="F118" s="9" t="str">
        <f>VLOOKUP(EHD[[#This Row],[DEVELOPMENT]],all[[DEVELOPMENT]:[MRST Ext. Comp. Priority]],6,FALSE)</f>
        <v>D</v>
      </c>
      <c r="G118" s="9">
        <v>6</v>
      </c>
      <c r="H118" s="1">
        <f>IF(VLOOKUP(EHD[[#This Row],[DEVELOPMENT]],Data[],9,FALSE)=0,5,VLOOKUP(EHD[[#This Row],[DEVELOPMENT]],Data[],9,FALSE))</f>
        <v>4</v>
      </c>
      <c r="I118" s="9">
        <f>EHD[[#This Row],[MRST '#HD]]</f>
        <v>6</v>
      </c>
      <c r="J118" s="1" t="str">
        <f ca="1">IFERROR(VLOOKUP(EHD[[#This Row],[DEVELOPMENT]],Data[],4,FALSE),"")</f>
        <v>2026+</v>
      </c>
      <c r="K118" s="1" t="str">
        <f ca="1">IF(EHD[[#This Row],[RAD/PACT]]="","",IF(OR(EHD[[#This Row],[RAD/PACT]]="2021-2025",EHD[[#This Row],[RAD/PACT]]="2019-2020"),"Yes",""))</f>
        <v/>
      </c>
      <c r="L118" s="1"/>
      <c r="M118" s="1"/>
      <c r="N118" s="1"/>
      <c r="O118" s="1"/>
      <c r="P118" s="47">
        <f ca="1">IF(EHD[[#This Row],[RAD/PACT]]="2019-2020",0,INDEX(UnitCosts[],MATCH(EHD[[#This Row],[WORK TYPE]],UnitCosts[Work Type],0),2)*EHD[[#This Row],['# Hopper Doors]])*(1+((EHD[[#This Row],[est. Year]]-YEAR(TODAY()))*$P$2))</f>
        <v>46175.346135</v>
      </c>
      <c r="Q118" s="51">
        <f ca="1">SUM(INDEX(EHD['# Hopper Doors],1):EHD[[#This Row],['# Hopper Doors]])</f>
        <v>928</v>
      </c>
      <c r="R118" s="47">
        <f t="shared" ca="1" si="1"/>
        <v>1262126.1276899998</v>
      </c>
      <c r="S118" s="1">
        <f ca="1">IF(ISBLANK(EHD[[#This Row],[CALENDAR YEAR]]),ROUNDDOWN(EHD[[#This Row],[Running count]]/500,0)+$S$1,EHD[[#This Row],[CALENDAR YEAR]])</f>
        <v>2021</v>
      </c>
      <c r="T118" s="16"/>
    </row>
    <row r="119" spans="1:20">
      <c r="A119" s="13" t="s">
        <v>125</v>
      </c>
      <c r="B119" s="1" t="str">
        <f>VLOOKUP(A119,Data[],2,FALSE)</f>
        <v>MANHATTAN</v>
      </c>
      <c r="C119" s="9" t="s">
        <v>27</v>
      </c>
      <c r="D119" s="9" t="str">
        <f>VLOOKUP(EHD[[#This Row],[DEVELOPMENT]],Data[],52,FALSE)</f>
        <v>FEDERAL</v>
      </c>
      <c r="E119" s="1" t="str">
        <f>VLOOKUP(EHD[[#This Row],[DEVELOPMENT]],Data[],8,FALSE)</f>
        <v>Zone 2</v>
      </c>
      <c r="F119" s="9" t="str">
        <f>VLOOKUP(EHD[[#This Row],[DEVELOPMENT]],all[[DEVELOPMENT]:[MRST Ext. Comp. Priority]],6,FALSE)</f>
        <v>D</v>
      </c>
      <c r="G119" s="9">
        <v>4</v>
      </c>
      <c r="H119" s="1">
        <f>IF(VLOOKUP(EHD[[#This Row],[DEVELOPMENT]],Data[],9,FALSE)=0,5,VLOOKUP(EHD[[#This Row],[DEVELOPMENT]],Data[],9,FALSE))</f>
        <v>4</v>
      </c>
      <c r="I119" s="9">
        <f>EHD[[#This Row],[MRST '#HD]]</f>
        <v>4</v>
      </c>
      <c r="J119" s="1" t="str">
        <f ca="1">IFERROR(VLOOKUP(EHD[[#This Row],[DEVELOPMENT]],Data[],4,FALSE),"")</f>
        <v>2022-2025</v>
      </c>
      <c r="K119" s="1" t="str">
        <f ca="1">IF(EHD[[#This Row],[RAD/PACT]]="","",IF(OR(EHD[[#This Row],[RAD/PACT]]="2021-2025",EHD[[#This Row],[RAD/PACT]]="2019-2020"),"Yes",""))</f>
        <v/>
      </c>
      <c r="L119" s="1"/>
      <c r="M119" s="1"/>
      <c r="N119" s="1"/>
      <c r="O119" s="1"/>
      <c r="P119" s="47">
        <f ca="1">IF(EHD[[#This Row],[RAD/PACT]]="2019-2020",0,INDEX(UnitCosts[],MATCH(EHD[[#This Row],[WORK TYPE]],UnitCosts[Work Type],0),2)*EHD[[#This Row],['# Hopper Doors]])*(1+((EHD[[#This Row],[est. Year]]-YEAR(TODAY()))*$P$2))</f>
        <v>30783.56409</v>
      </c>
      <c r="Q119" s="51">
        <f ca="1">SUM(INDEX(EHD['# Hopper Doors],1):EHD[[#This Row],['# Hopper Doors]])</f>
        <v>932</v>
      </c>
      <c r="R119" s="47">
        <f t="shared" ca="1" si="1"/>
        <v>1292909.6917799998</v>
      </c>
      <c r="S119" s="1">
        <f ca="1">IF(ISBLANK(EHD[[#This Row],[CALENDAR YEAR]]),ROUNDDOWN(EHD[[#This Row],[Running count]]/500,0)+$S$1,EHD[[#This Row],[CALENDAR YEAR]])</f>
        <v>2021</v>
      </c>
      <c r="T119" s="16"/>
    </row>
    <row r="120" spans="1:20">
      <c r="A120" s="66" t="s">
        <v>298</v>
      </c>
      <c r="B120" s="1" t="str">
        <f>VLOOKUP(A120,Data[],2,FALSE)</f>
        <v>BROOKLYN</v>
      </c>
      <c r="C120" s="9" t="s">
        <v>27</v>
      </c>
      <c r="D120" s="9" t="str">
        <f>VLOOKUP(EHD[[#This Row],[DEVELOPMENT]],Data[],52,FALSE)</f>
        <v>FEDERAL</v>
      </c>
      <c r="E120" s="1" t="str">
        <f>VLOOKUP(EHD[[#This Row],[DEVELOPMENT]],Data[],8,FALSE)</f>
        <v>Zone 1</v>
      </c>
      <c r="F120" s="9" t="str">
        <f>VLOOKUP(EHD[[#This Row],[DEVELOPMENT]],all[[DEVELOPMENT]:[MRST Ext. Comp. Priority]],6,FALSE)</f>
        <v>None</v>
      </c>
      <c r="G120" s="9">
        <v>7</v>
      </c>
      <c r="H120" s="1">
        <f>IF(VLOOKUP(EHD[[#This Row],[DEVELOPMENT]],Data[],9,FALSE)=0,5,VLOOKUP(EHD[[#This Row],[DEVELOPMENT]],Data[],9,FALSE))</f>
        <v>4</v>
      </c>
      <c r="I120" s="9">
        <f>EHD[[#This Row],[MRST '#HD]]</f>
        <v>7</v>
      </c>
      <c r="J120" s="1">
        <f ca="1">IFERROR(VLOOKUP(EHD[[#This Row],[DEVELOPMENT]],Data[],4,FALSE),"")</f>
        <v>2019</v>
      </c>
      <c r="K120" s="1" t="str">
        <f ca="1">IF(EHD[[#This Row],[RAD/PACT]]="","",IF(OR(EHD[[#This Row],[RAD/PACT]]="2021-2025",EHD[[#This Row],[RAD/PACT]]="2019-2020"),"Yes",""))</f>
        <v/>
      </c>
      <c r="L120" s="1"/>
      <c r="M120" s="1"/>
      <c r="N120" s="1"/>
      <c r="O120" s="1"/>
      <c r="P120" s="47">
        <f ca="1">IF(EHD[[#This Row],[RAD/PACT]]="2019-2020",0,INDEX(UnitCosts[],MATCH(EHD[[#This Row],[WORK TYPE]],UnitCosts[Work Type],0),2)*EHD[[#This Row],['# Hopper Doors]])*(1+((EHD[[#This Row],[est. Year]]-YEAR(TODAY()))*$P$2))</f>
        <v>53871.2371575</v>
      </c>
      <c r="Q120" s="51">
        <f ca="1">SUM(INDEX(EHD['# Hopper Doors],1):EHD[[#This Row],['# Hopper Doors]])</f>
        <v>939</v>
      </c>
      <c r="R120" s="47">
        <f t="shared" ca="1" si="1"/>
        <v>1346780.9289374999</v>
      </c>
      <c r="S120" s="1">
        <f ca="1">IF(ISBLANK(EHD[[#This Row],[CALENDAR YEAR]]),ROUNDDOWN(EHD[[#This Row],[Running count]]/500,0)+$S$1,EHD[[#This Row],[CALENDAR YEAR]])</f>
        <v>2021</v>
      </c>
      <c r="T120" s="16"/>
    </row>
    <row r="121" spans="1:20">
      <c r="A121" s="13" t="s">
        <v>78</v>
      </c>
      <c r="B121" s="1" t="str">
        <f>VLOOKUP(A121,Data[],2,FALSE)</f>
        <v>MANHATTAN</v>
      </c>
      <c r="C121" s="9" t="s">
        <v>27</v>
      </c>
      <c r="D121" s="9" t="str">
        <f>VLOOKUP(EHD[[#This Row],[DEVELOPMENT]],Data[],52,FALSE)</f>
        <v>FEDERAL</v>
      </c>
      <c r="E121" s="1" t="str">
        <f>VLOOKUP(EHD[[#This Row],[DEVELOPMENT]],Data[],8,FALSE)</f>
        <v>Zone 2</v>
      </c>
      <c r="F121" s="9" t="str">
        <f>VLOOKUP(EHD[[#This Row],[DEVELOPMENT]],all[[DEVELOPMENT]:[MRST Ext. Comp. Priority]],6,FALSE)</f>
        <v>None</v>
      </c>
      <c r="G121" s="9">
        <v>29</v>
      </c>
      <c r="H121" s="1">
        <f>IF(VLOOKUP(EHD[[#This Row],[DEVELOPMENT]],Data[],9,FALSE)=0,5,VLOOKUP(EHD[[#This Row],[DEVELOPMENT]],Data[],9,FALSE))</f>
        <v>4</v>
      </c>
      <c r="I121" s="9">
        <f>EHD[[#This Row],[MRST '#HD]]</f>
        <v>29</v>
      </c>
      <c r="J121" s="1" t="str">
        <f ca="1">IFERROR(VLOOKUP(EHD[[#This Row],[DEVELOPMENT]],Data[],4,FALSE),"")</f>
        <v>2022-2025</v>
      </c>
      <c r="K121" s="1" t="str">
        <f ca="1">IF(EHD[[#This Row],[RAD/PACT]]="","",IF(OR(EHD[[#This Row],[RAD/PACT]]="2021-2025",EHD[[#This Row],[RAD/PACT]]="2019-2020"),"Yes",""))</f>
        <v/>
      </c>
      <c r="L121" s="1"/>
      <c r="M121" s="1"/>
      <c r="N121" s="1"/>
      <c r="O121" s="1"/>
      <c r="P121" s="47">
        <f ca="1">IF(EHD[[#This Row],[RAD/PACT]]="2019-2020",0,INDEX(UnitCosts[],MATCH(EHD[[#This Row],[WORK TYPE]],UnitCosts[Work Type],0),2)*EHD[[#This Row],['# Hopper Doors]])*(1+((EHD[[#This Row],[est. Year]]-YEAR(TODAY()))*$P$2))</f>
        <v>223180.8396525</v>
      </c>
      <c r="Q121" s="51">
        <f ca="1">SUM(INDEX(EHD['# Hopper Doors],1):EHD[[#This Row],['# Hopper Doors]])</f>
        <v>968</v>
      </c>
      <c r="R121" s="47">
        <f t="shared" ca="1" si="1"/>
        <v>1569961.76859</v>
      </c>
      <c r="S121" s="1">
        <f ca="1">IF(ISBLANK(EHD[[#This Row],[CALENDAR YEAR]]),ROUNDDOWN(EHD[[#This Row],[Running count]]/500,0)+$S$1,EHD[[#This Row],[CALENDAR YEAR]])</f>
        <v>2021</v>
      </c>
      <c r="T121" s="16"/>
    </row>
    <row r="122" spans="1:20">
      <c r="A122" s="13" t="s">
        <v>79</v>
      </c>
      <c r="B122" s="1" t="str">
        <f>VLOOKUP(A122,Data[],2,FALSE)</f>
        <v>MANHATTAN</v>
      </c>
      <c r="C122" s="9" t="s">
        <v>27</v>
      </c>
      <c r="D122" s="9" t="str">
        <f>VLOOKUP(EHD[[#This Row],[DEVELOPMENT]],Data[],52,FALSE)</f>
        <v>FEDERAL</v>
      </c>
      <c r="E122" s="1" t="str">
        <f>VLOOKUP(EHD[[#This Row],[DEVELOPMENT]],Data[],8,FALSE)</f>
        <v>Zone 3</v>
      </c>
      <c r="F122" s="9" t="str">
        <f>VLOOKUP(EHD[[#This Row],[DEVELOPMENT]],all[[DEVELOPMENT]:[MRST Ext. Comp. Priority]],6,FALSE)</f>
        <v>None</v>
      </c>
      <c r="G122" s="9">
        <v>1</v>
      </c>
      <c r="H122" s="1">
        <f>IF(VLOOKUP(EHD[[#This Row],[DEVELOPMENT]],Data[],9,FALSE)=0,5,VLOOKUP(EHD[[#This Row],[DEVELOPMENT]],Data[],9,FALSE))</f>
        <v>4</v>
      </c>
      <c r="I122" s="9">
        <f>EHD[[#This Row],[MRST '#HD]]</f>
        <v>1</v>
      </c>
      <c r="J122" s="1" t="str">
        <f ca="1">IFERROR(VLOOKUP(EHD[[#This Row],[DEVELOPMENT]],Data[],4,FALSE),"")</f>
        <v>2020-2021</v>
      </c>
      <c r="K122" s="1" t="str">
        <f ca="1">IF(EHD[[#This Row],[RAD/PACT]]="","",IF(OR(EHD[[#This Row],[RAD/PACT]]="2021-2025",EHD[[#This Row],[RAD/PACT]]="2019-2020"),"Yes",""))</f>
        <v/>
      </c>
      <c r="L122" s="1"/>
      <c r="M122" s="1"/>
      <c r="N122" s="1"/>
      <c r="O122" s="1"/>
      <c r="P122" s="47">
        <f ca="1">IF(EHD[[#This Row],[RAD/PACT]]="2019-2020",0,INDEX(UnitCosts[],MATCH(EHD[[#This Row],[WORK TYPE]],UnitCosts[Work Type],0),2)*EHD[[#This Row],['# Hopper Doors]])*(1+((EHD[[#This Row],[est. Year]]-YEAR(TODAY()))*$P$2))</f>
        <v>7695.8910225</v>
      </c>
      <c r="Q122" s="51">
        <f ca="1">SUM(INDEX(EHD['# Hopper Doors],1):EHD[[#This Row],['# Hopper Doors]])</f>
        <v>969</v>
      </c>
      <c r="R122" s="47">
        <f t="shared" ca="1" si="1"/>
        <v>1577657.6596125001</v>
      </c>
      <c r="S122" s="1">
        <f ca="1">IF(ISBLANK(EHD[[#This Row],[CALENDAR YEAR]]),ROUNDDOWN(EHD[[#This Row],[Running count]]/500,0)+$S$1,EHD[[#This Row],[CALENDAR YEAR]])</f>
        <v>2021</v>
      </c>
      <c r="T122" s="16"/>
    </row>
    <row r="123" spans="1:20">
      <c r="A123" s="66" t="s">
        <v>332</v>
      </c>
      <c r="B123" s="1" t="str">
        <f>VLOOKUP(A123,Data[],2,FALSE)</f>
        <v>BRONX</v>
      </c>
      <c r="C123" s="9" t="s">
        <v>27</v>
      </c>
      <c r="D123" s="9" t="str">
        <f>VLOOKUP(EHD[[#This Row],[DEVELOPMENT]],Data[],52,FALSE)</f>
        <v>FEDERAL</v>
      </c>
      <c r="E123" s="1" t="str">
        <f>VLOOKUP(EHD[[#This Row],[DEVELOPMENT]],Data[],8,FALSE)</f>
        <v>Zone 1</v>
      </c>
      <c r="F123" s="9" t="str">
        <f>VLOOKUP(EHD[[#This Row],[DEVELOPMENT]],all[[DEVELOPMENT]:[MRST Ext. Comp. Priority]],6,FALSE)</f>
        <v>None</v>
      </c>
      <c r="G123" s="9">
        <v>6</v>
      </c>
      <c r="H123" s="1">
        <f>IF(VLOOKUP(EHD[[#This Row],[DEVELOPMENT]],Data[],9,FALSE)=0,5,VLOOKUP(EHD[[#This Row],[DEVELOPMENT]],Data[],9,FALSE))</f>
        <v>4</v>
      </c>
      <c r="I123" s="9">
        <f>EHD[[#This Row],[MRST '#HD]]</f>
        <v>6</v>
      </c>
      <c r="J123" s="1" t="str">
        <f ca="1">IFERROR(VLOOKUP(EHD[[#This Row],[DEVELOPMENT]],Data[],4,FALSE),"")</f>
        <v/>
      </c>
      <c r="K123" s="1" t="str">
        <f ca="1">IF(EHD[[#This Row],[RAD/PACT]]="","",IF(OR(EHD[[#This Row],[RAD/PACT]]="2021-2025",EHD[[#This Row],[RAD/PACT]]="2019-2020"),"Yes",""))</f>
        <v/>
      </c>
      <c r="L123" s="1"/>
      <c r="M123" s="1"/>
      <c r="N123" s="1"/>
      <c r="O123" s="1"/>
      <c r="P123" s="47">
        <f ca="1">IF(EHD[[#This Row],[RAD/PACT]]="2019-2020",0,INDEX(UnitCosts[],MATCH(EHD[[#This Row],[WORK TYPE]],UnitCosts[Work Type],0),2)*EHD[[#This Row],['# Hopper Doors]])*(1+((EHD[[#This Row],[est. Year]]-YEAR(TODAY()))*$P$2))</f>
        <v>46175.346135</v>
      </c>
      <c r="Q123" s="51">
        <f ca="1">SUM(INDEX(EHD['# Hopper Doors],1):EHD[[#This Row],['# Hopper Doors]])</f>
        <v>975</v>
      </c>
      <c r="R123" s="47">
        <f t="shared" ca="1" si="1"/>
        <v>1623833.0057475001</v>
      </c>
      <c r="S123" s="1">
        <f ca="1">IF(ISBLANK(EHD[[#This Row],[CALENDAR YEAR]]),ROUNDDOWN(EHD[[#This Row],[Running count]]/500,0)+$S$1,EHD[[#This Row],[CALENDAR YEAR]])</f>
        <v>2021</v>
      </c>
      <c r="T123" s="16"/>
    </row>
    <row r="124" spans="1:20">
      <c r="A124" s="13" t="s">
        <v>69</v>
      </c>
      <c r="B124" s="1" t="str">
        <f>VLOOKUP(A124,Data[],2,FALSE)</f>
        <v>MANHATTAN</v>
      </c>
      <c r="C124" s="9" t="s">
        <v>27</v>
      </c>
      <c r="D124" s="9" t="str">
        <f>VLOOKUP(EHD[[#This Row],[DEVELOPMENT]],Data[],52,FALSE)</f>
        <v>FEDERAL</v>
      </c>
      <c r="E124" s="1" t="str">
        <f>VLOOKUP(EHD[[#This Row],[DEVELOPMENT]],Data[],8,FALSE)</f>
        <v>Zone 3</v>
      </c>
      <c r="F124" s="9" t="str">
        <f>VLOOKUP(EHD[[#This Row],[DEVELOPMENT]],all[[DEVELOPMENT]:[MRST Ext. Comp. Priority]],6,FALSE)</f>
        <v>None</v>
      </c>
      <c r="G124" s="9">
        <v>1</v>
      </c>
      <c r="H124" s="1">
        <f>IF(VLOOKUP(EHD[[#This Row],[DEVELOPMENT]],Data[],9,FALSE)=0,5,VLOOKUP(EHD[[#This Row],[DEVELOPMENT]],Data[],9,FALSE))</f>
        <v>4</v>
      </c>
      <c r="I124" s="9">
        <f>EHD[[#This Row],[MRST '#HD]]</f>
        <v>1</v>
      </c>
      <c r="J124" s="1" t="str">
        <f ca="1">IFERROR(VLOOKUP(EHD[[#This Row],[DEVELOPMENT]],Data[],4,FALSE),"")</f>
        <v>2020-2021</v>
      </c>
      <c r="K124" s="1" t="str">
        <f ca="1">IF(EHD[[#This Row],[RAD/PACT]]="","",IF(OR(EHD[[#This Row],[RAD/PACT]]="2021-2025",EHD[[#This Row],[RAD/PACT]]="2019-2020"),"Yes",""))</f>
        <v/>
      </c>
      <c r="L124" s="1"/>
      <c r="M124" s="1"/>
      <c r="N124" s="1"/>
      <c r="O124" s="1"/>
      <c r="P124" s="47">
        <f ca="1">IF(EHD[[#This Row],[RAD/PACT]]="2019-2020",0,INDEX(UnitCosts[],MATCH(EHD[[#This Row],[WORK TYPE]],UnitCosts[Work Type],0),2)*EHD[[#This Row],['# Hopper Doors]])*(1+((EHD[[#This Row],[est. Year]]-YEAR(TODAY()))*$P$2))</f>
        <v>7695.8910225</v>
      </c>
      <c r="Q124" s="51">
        <f ca="1">SUM(INDEX(EHD['# Hopper Doors],1):EHD[[#This Row],['# Hopper Doors]])</f>
        <v>976</v>
      </c>
      <c r="R124" s="47">
        <f t="shared" ca="1" si="1"/>
        <v>1631528.89677</v>
      </c>
      <c r="S124" s="1">
        <f ca="1">IF(ISBLANK(EHD[[#This Row],[CALENDAR YEAR]]),ROUNDDOWN(EHD[[#This Row],[Running count]]/500,0)+$S$1,EHD[[#This Row],[CALENDAR YEAR]])</f>
        <v>2021</v>
      </c>
      <c r="T124" s="16"/>
    </row>
    <row r="125" spans="1:20">
      <c r="A125" s="138" t="s">
        <v>343</v>
      </c>
      <c r="B125" s="1" t="str">
        <f>VLOOKUP(A125,Data[],2,FALSE)</f>
        <v>BROOKLYN</v>
      </c>
      <c r="C125" s="9" t="s">
        <v>27</v>
      </c>
      <c r="D125" s="9" t="str">
        <f>VLOOKUP(EHD[[#This Row],[DEVELOPMENT]],Data[],52,FALSE)</f>
        <v>FEDERAL</v>
      </c>
      <c r="E125" s="1" t="str">
        <f>VLOOKUP(EHD[[#This Row],[DEVELOPMENT]],Data[],8,FALSE)</f>
        <v>Zone 1</v>
      </c>
      <c r="F125" s="9" t="str">
        <f>VLOOKUP(EHD[[#This Row],[DEVELOPMENT]],all[[DEVELOPMENT]:[MRST Ext. Comp. Priority]],6,FALSE)</f>
        <v>None</v>
      </c>
      <c r="G125" s="9">
        <v>0</v>
      </c>
      <c r="H125" s="1">
        <f>IF(VLOOKUP(EHD[[#This Row],[DEVELOPMENT]],Data[],9,FALSE)=0,5,VLOOKUP(EHD[[#This Row],[DEVELOPMENT]],Data[],9,FALSE))</f>
        <v>4</v>
      </c>
      <c r="I125" s="9">
        <f>EHD[[#This Row],[MRST '#HD]]</f>
        <v>0</v>
      </c>
      <c r="J125" s="1">
        <f ca="1">IFERROR(VLOOKUP(EHD[[#This Row],[DEVELOPMENT]],Data[],4,FALSE),"")</f>
        <v>2019</v>
      </c>
      <c r="K125" s="1" t="str">
        <f ca="1">IF(EHD[[#This Row],[RAD/PACT]]="","",IF(OR(EHD[[#This Row],[RAD/PACT]]="2021-2025",EHD[[#This Row],[RAD/PACT]]="2019-2020"),"Yes",""))</f>
        <v/>
      </c>
      <c r="L125" s="1"/>
      <c r="M125" s="1"/>
      <c r="N125" s="1"/>
      <c r="O125" s="1"/>
      <c r="P125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25" s="51">
        <f ca="1">SUM(INDEX(EHD['# Hopper Doors],1):EHD[[#This Row],['# Hopper Doors]])</f>
        <v>976</v>
      </c>
      <c r="R125" s="47">
        <f t="shared" ca="1" si="1"/>
        <v>1631528.89677</v>
      </c>
      <c r="S125" s="1">
        <f ca="1">IF(ISBLANK(EHD[[#This Row],[CALENDAR YEAR]]),ROUNDDOWN(EHD[[#This Row],[Running count]]/500,0)+$S$1,EHD[[#This Row],[CALENDAR YEAR]])</f>
        <v>2021</v>
      </c>
      <c r="T125" s="16"/>
    </row>
    <row r="126" spans="1:20">
      <c r="A126" s="13" t="s">
        <v>87</v>
      </c>
      <c r="B126" s="1" t="str">
        <f>VLOOKUP(A126,Data[],2,FALSE)</f>
        <v>MANHATTAN</v>
      </c>
      <c r="C126" s="9" t="s">
        <v>27</v>
      </c>
      <c r="D126" s="9" t="str">
        <f>VLOOKUP(EHD[[#This Row],[DEVELOPMENT]],Data[],52,FALSE)</f>
        <v>FEDERAL</v>
      </c>
      <c r="E126" s="1" t="str">
        <f>VLOOKUP(EHD[[#This Row],[DEVELOPMENT]],Data[],8,FALSE)</f>
        <v>Zone 3</v>
      </c>
      <c r="F126" s="9" t="str">
        <f>VLOOKUP(EHD[[#This Row],[DEVELOPMENT]],all[[DEVELOPMENT]:[MRST Ext. Comp. Priority]],6,FALSE)</f>
        <v>None</v>
      </c>
      <c r="G126" s="9">
        <v>1</v>
      </c>
      <c r="H126" s="1">
        <f>IF(VLOOKUP(EHD[[#This Row],[DEVELOPMENT]],Data[],9,FALSE)=0,5,VLOOKUP(EHD[[#This Row],[DEVELOPMENT]],Data[],9,FALSE))</f>
        <v>4</v>
      </c>
      <c r="I126" s="9">
        <f>EHD[[#This Row],[MRST '#HD]]</f>
        <v>1</v>
      </c>
      <c r="J126" s="1" t="str">
        <f ca="1">IFERROR(VLOOKUP(EHD[[#This Row],[DEVELOPMENT]],Data[],4,FALSE),"")</f>
        <v>2020-2021</v>
      </c>
      <c r="K126" s="1" t="str">
        <f ca="1">IF(EHD[[#This Row],[RAD/PACT]]="","",IF(OR(EHD[[#This Row],[RAD/PACT]]="2021-2025",EHD[[#This Row],[RAD/PACT]]="2019-2020"),"Yes",""))</f>
        <v/>
      </c>
      <c r="L126" s="1"/>
      <c r="M126" s="1"/>
      <c r="N126" s="1"/>
      <c r="O126" s="1"/>
      <c r="P126" s="47">
        <f ca="1">IF(EHD[[#This Row],[RAD/PACT]]="2019-2020",0,INDEX(UnitCosts[],MATCH(EHD[[#This Row],[WORK TYPE]],UnitCosts[Work Type],0),2)*EHD[[#This Row],['# Hopper Doors]])*(1+((EHD[[#This Row],[est. Year]]-YEAR(TODAY()))*$P$2))</f>
        <v>7695.8910225</v>
      </c>
      <c r="Q126" s="51">
        <f ca="1">SUM(INDEX(EHD['# Hopper Doors],1):EHD[[#This Row],['# Hopper Doors]])</f>
        <v>977</v>
      </c>
      <c r="R126" s="47">
        <f t="shared" ca="1" si="1"/>
        <v>1639224.7877925001</v>
      </c>
      <c r="S126" s="1">
        <f ca="1">IF(ISBLANK(EHD[[#This Row],[CALENDAR YEAR]]),ROUNDDOWN(EHD[[#This Row],[Running count]]/500,0)+$S$1,EHD[[#This Row],[CALENDAR YEAR]])</f>
        <v>2021</v>
      </c>
      <c r="T126" s="16"/>
    </row>
    <row r="127" spans="1:20">
      <c r="A127" s="13" t="s">
        <v>88</v>
      </c>
      <c r="B127" s="1" t="str">
        <f>VLOOKUP(A127,Data[],2,FALSE)</f>
        <v>MANHATTAN</v>
      </c>
      <c r="C127" s="9" t="s">
        <v>27</v>
      </c>
      <c r="D127" s="9" t="str">
        <f>VLOOKUP(EHD[[#This Row],[DEVELOPMENT]],Data[],52,FALSE)</f>
        <v>FEDERAL</v>
      </c>
      <c r="E127" s="1" t="str">
        <f>VLOOKUP(EHD[[#This Row],[DEVELOPMENT]],Data[],8,FALSE)</f>
        <v>Zone 3</v>
      </c>
      <c r="F127" s="9" t="str">
        <f>VLOOKUP(EHD[[#This Row],[DEVELOPMENT]],all[[DEVELOPMENT]:[MRST Ext. Comp. Priority]],6,FALSE)</f>
        <v>None</v>
      </c>
      <c r="G127" s="9">
        <v>1</v>
      </c>
      <c r="H127" s="1">
        <f>IF(VLOOKUP(EHD[[#This Row],[DEVELOPMENT]],Data[],9,FALSE)=0,5,VLOOKUP(EHD[[#This Row],[DEVELOPMENT]],Data[],9,FALSE))</f>
        <v>4</v>
      </c>
      <c r="I127" s="9">
        <f>EHD[[#This Row],[MRST '#HD]]</f>
        <v>1</v>
      </c>
      <c r="J127" s="1" t="str">
        <f ca="1">IFERROR(VLOOKUP(EHD[[#This Row],[DEVELOPMENT]],Data[],4,FALSE),"")</f>
        <v>2020-2021</v>
      </c>
      <c r="K127" s="1" t="str">
        <f ca="1">IF(EHD[[#This Row],[RAD/PACT]]="","",IF(OR(EHD[[#This Row],[RAD/PACT]]="2021-2025",EHD[[#This Row],[RAD/PACT]]="2019-2020"),"Yes",""))</f>
        <v/>
      </c>
      <c r="L127" s="1"/>
      <c r="M127" s="1"/>
      <c r="N127" s="1"/>
      <c r="O127" s="1"/>
      <c r="P127" s="47">
        <f ca="1">IF(EHD[[#This Row],[RAD/PACT]]="2019-2020",0,INDEX(UnitCosts[],MATCH(EHD[[#This Row],[WORK TYPE]],UnitCosts[Work Type],0),2)*EHD[[#This Row],['# Hopper Doors]])*(1+((EHD[[#This Row],[est. Year]]-YEAR(TODAY()))*$P$2))</f>
        <v>7695.8910225</v>
      </c>
      <c r="Q127" s="51">
        <f ca="1">SUM(INDEX(EHD['# Hopper Doors],1):EHD[[#This Row],['# Hopper Doors]])</f>
        <v>978</v>
      </c>
      <c r="R127" s="47">
        <f t="shared" ca="1" si="1"/>
        <v>1646920.6788150002</v>
      </c>
      <c r="S127" s="1">
        <f ca="1">IF(ISBLANK(EHD[[#This Row],[CALENDAR YEAR]]),ROUNDDOWN(EHD[[#This Row],[Running count]]/500,0)+$S$1,EHD[[#This Row],[CALENDAR YEAR]])</f>
        <v>2021</v>
      </c>
      <c r="T127" s="16"/>
    </row>
    <row r="128" spans="1:20">
      <c r="A128" s="13" t="s">
        <v>133</v>
      </c>
      <c r="B128" s="1" t="str">
        <f>VLOOKUP(A128,Data[],2,FALSE)</f>
        <v>MANHATTAN</v>
      </c>
      <c r="C128" s="9" t="s">
        <v>27</v>
      </c>
      <c r="D128" s="9" t="str">
        <f>VLOOKUP(EHD[[#This Row],[DEVELOPMENT]],Data[],52,FALSE)</f>
        <v>FEDERAL</v>
      </c>
      <c r="E128" s="1" t="str">
        <f>VLOOKUP(EHD[[#This Row],[DEVELOPMENT]],Data[],8,FALSE)</f>
        <v>Zone 2</v>
      </c>
      <c r="F128" s="9" t="str">
        <f>VLOOKUP(EHD[[#This Row],[DEVELOPMENT]],all[[DEVELOPMENT]:[MRST Ext. Comp. Priority]],6,FALSE)</f>
        <v>None</v>
      </c>
      <c r="G128" s="9">
        <v>8</v>
      </c>
      <c r="H128" s="1">
        <f>IF(VLOOKUP(EHD[[#This Row],[DEVELOPMENT]],Data[],9,FALSE)=0,5,VLOOKUP(EHD[[#This Row],[DEVELOPMENT]],Data[],9,FALSE))</f>
        <v>4</v>
      </c>
      <c r="I128" s="9">
        <f>EHD[[#This Row],[MRST '#HD]]</f>
        <v>8</v>
      </c>
      <c r="J128" s="1" t="str">
        <f ca="1">IFERROR(VLOOKUP(EHD[[#This Row],[DEVELOPMENT]],Data[],4,FALSE),"")</f>
        <v/>
      </c>
      <c r="K128" s="1" t="str">
        <f ca="1">IF(EHD[[#This Row],[RAD/PACT]]="","",IF(OR(EHD[[#This Row],[RAD/PACT]]="2021-2025",EHD[[#This Row],[RAD/PACT]]="2019-2020"),"Yes",""))</f>
        <v/>
      </c>
      <c r="L128" s="1"/>
      <c r="M128" s="1"/>
      <c r="N128" s="1"/>
      <c r="O128" s="1"/>
      <c r="P128" s="47">
        <f ca="1">IF(EHD[[#This Row],[RAD/PACT]]="2019-2020",0,INDEX(UnitCosts[],MATCH(EHD[[#This Row],[WORK TYPE]],UnitCosts[Work Type],0),2)*EHD[[#This Row],['# Hopper Doors]])*(1+((EHD[[#This Row],[est. Year]]-YEAR(TODAY()))*$P$2))</f>
        <v>61567.12818</v>
      </c>
      <c r="Q128" s="51">
        <f ca="1">SUM(INDEX(EHD['# Hopper Doors],1):EHD[[#This Row],['# Hopper Doors]])</f>
        <v>986</v>
      </c>
      <c r="R128" s="47">
        <f t="shared" ca="1" si="1"/>
        <v>1708487.8069950002</v>
      </c>
      <c r="S128" s="1">
        <f ca="1">IF(ISBLANK(EHD[[#This Row],[CALENDAR YEAR]]),ROUNDDOWN(EHD[[#This Row],[Running count]]/500,0)+$S$1,EHD[[#This Row],[CALENDAR YEAR]])</f>
        <v>2021</v>
      </c>
      <c r="T128" s="16"/>
    </row>
    <row r="129" spans="1:20">
      <c r="A129" s="125" t="s">
        <v>136</v>
      </c>
      <c r="B129" s="1" t="str">
        <f>VLOOKUP(A129,Data[],2,FALSE)</f>
        <v>MANHATTAN</v>
      </c>
      <c r="C129" s="9" t="s">
        <v>27</v>
      </c>
      <c r="D129" s="9" t="str">
        <f>VLOOKUP(EHD[[#This Row],[DEVELOPMENT]],Data[],52,FALSE)</f>
        <v>FEDERAL</v>
      </c>
      <c r="E129" s="1" t="str">
        <f>VLOOKUP(EHD[[#This Row],[DEVELOPMENT]],Data[],8,FALSE)</f>
        <v>Zone 2</v>
      </c>
      <c r="F129" s="9" t="str">
        <f>VLOOKUP(EHD[[#This Row],[DEVELOPMENT]],all[[DEVELOPMENT]:[MRST Ext. Comp. Priority]],6,FALSE)</f>
        <v>None</v>
      </c>
      <c r="G129" s="9">
        <v>14</v>
      </c>
      <c r="H129" s="1">
        <f>IF(VLOOKUP(EHD[[#This Row],[DEVELOPMENT]],Data[],9,FALSE)=0,5,VLOOKUP(EHD[[#This Row],[DEVELOPMENT]],Data[],9,FALSE))</f>
        <v>4</v>
      </c>
      <c r="I129" s="9">
        <f>EHD[[#This Row],[MRST '#HD]]</f>
        <v>14</v>
      </c>
      <c r="J129" s="1" t="str">
        <f ca="1">IFERROR(VLOOKUP(EHD[[#This Row],[DEVELOPMENT]],Data[],4,FALSE),"")</f>
        <v>2026+</v>
      </c>
      <c r="K129" s="1" t="str">
        <f ca="1">IF(EHD[[#This Row],[RAD/PACT]]="","",IF(OR(EHD[[#This Row],[RAD/PACT]]="2021-2025",EHD[[#This Row],[RAD/PACT]]="2019-2020"),"Yes",""))</f>
        <v/>
      </c>
      <c r="L129" s="1"/>
      <c r="M129" s="1"/>
      <c r="N129" s="1"/>
      <c r="O129" s="1"/>
      <c r="P129" s="47">
        <f ca="1">IF(EHD[[#This Row],[RAD/PACT]]="2019-2020",0,INDEX(UnitCosts[],MATCH(EHD[[#This Row],[WORK TYPE]],UnitCosts[Work Type],0),2)*EHD[[#This Row],['# Hopper Doors]])*(1+((EHD[[#This Row],[est. Year]]-YEAR(TODAY()))*$P$2))</f>
        <v>111385.93963000001</v>
      </c>
      <c r="Q129" s="51">
        <f ca="1">SUM(INDEX(EHD['# Hopper Doors],1):EHD[[#This Row],['# Hopper Doors]])</f>
        <v>1000</v>
      </c>
      <c r="R129" s="47">
        <f t="shared" ca="1" si="1"/>
        <v>111385.93963000001</v>
      </c>
      <c r="S129" s="1">
        <f ca="1">IF(ISBLANK(EHD[[#This Row],[CALENDAR YEAR]]),ROUNDDOWN(EHD[[#This Row],[Running count]]/500,0)+$S$1,EHD[[#This Row],[CALENDAR YEAR]])</f>
        <v>2022</v>
      </c>
      <c r="T129" s="16"/>
    </row>
    <row r="130" spans="1:20">
      <c r="A130" s="13" t="s">
        <v>67</v>
      </c>
      <c r="B130" s="1" t="str">
        <f>VLOOKUP(A130,Data[],2,FALSE)</f>
        <v>MANHATTAN</v>
      </c>
      <c r="C130" s="9" t="s">
        <v>27</v>
      </c>
      <c r="D130" s="9" t="str">
        <f>VLOOKUP(EHD[[#This Row],[DEVELOPMENT]],Data[],52,FALSE)</f>
        <v>FEDERAL</v>
      </c>
      <c r="E130" s="1" t="str">
        <f>VLOOKUP(EHD[[#This Row],[DEVELOPMENT]],Data[],8,FALSE)</f>
        <v>Zone 2</v>
      </c>
      <c r="F130" s="9" t="str">
        <f>VLOOKUP(EHD[[#This Row],[DEVELOPMENT]],all[[DEVELOPMENT]:[MRST Ext. Comp. Priority]],6,FALSE)</f>
        <v>None</v>
      </c>
      <c r="G130" s="9">
        <v>1</v>
      </c>
      <c r="H130" s="1">
        <f>IF(VLOOKUP(EHD[[#This Row],[DEVELOPMENT]],Data[],9,FALSE)=0,5,VLOOKUP(EHD[[#This Row],[DEVELOPMENT]],Data[],9,FALSE))</f>
        <v>4</v>
      </c>
      <c r="I130" s="9">
        <f>EHD[[#This Row],[MRST '#HD]]</f>
        <v>1</v>
      </c>
      <c r="J130" s="1" t="str">
        <f ca="1">IFERROR(VLOOKUP(EHD[[#This Row],[DEVELOPMENT]],Data[],4,FALSE),"")</f>
        <v>2026+</v>
      </c>
      <c r="K130" s="1" t="str">
        <f ca="1">IF(EHD[[#This Row],[RAD/PACT]]="","",IF(OR(EHD[[#This Row],[RAD/PACT]]="2021-2025",EHD[[#This Row],[RAD/PACT]]="2019-2020"),"Yes",""))</f>
        <v/>
      </c>
      <c r="L130" s="1"/>
      <c r="M130" s="1"/>
      <c r="N130" s="1"/>
      <c r="O130" s="1"/>
      <c r="P130" s="47">
        <f ca="1">IF(EHD[[#This Row],[RAD/PACT]]="2019-2020",0,INDEX(UnitCosts[],MATCH(EHD[[#This Row],[WORK TYPE]],UnitCosts[Work Type],0),2)*EHD[[#This Row],['# Hopper Doors]])*(1+((EHD[[#This Row],[est. Year]]-YEAR(TODAY()))*$P$2))</f>
        <v>7956.1385450000007</v>
      </c>
      <c r="Q130" s="51">
        <f ca="1">SUM(INDEX(EHD['# Hopper Doors],1):EHD[[#This Row],['# Hopper Doors]])</f>
        <v>1001</v>
      </c>
      <c r="R130" s="47">
        <f t="shared" ca="1" si="1"/>
        <v>119342.078175</v>
      </c>
      <c r="S130" s="1">
        <f ca="1">IF(ISBLANK(EHD[[#This Row],[CALENDAR YEAR]]),ROUNDDOWN(EHD[[#This Row],[Running count]]/500,0)+$S$1,EHD[[#This Row],[CALENDAR YEAR]])</f>
        <v>2022</v>
      </c>
      <c r="T130" s="16"/>
    </row>
    <row r="131" spans="1:20">
      <c r="A131" s="110" t="s">
        <v>99</v>
      </c>
      <c r="B131" s="1" t="str">
        <f>VLOOKUP(A131,Data[],2,FALSE)</f>
        <v>BRONX</v>
      </c>
      <c r="C131" s="9" t="s">
        <v>27</v>
      </c>
      <c r="D131" s="9" t="str">
        <f>VLOOKUP(EHD[[#This Row],[DEVELOPMENT]],Data[],52,FALSE)</f>
        <v>FEDERAL</v>
      </c>
      <c r="E131" s="1" t="str">
        <f>VLOOKUP(EHD[[#This Row],[DEVELOPMENT]],Data[],8,FALSE)</f>
        <v>Zone 3</v>
      </c>
      <c r="F131" s="9" t="str">
        <f>VLOOKUP(EHD[[#This Row],[DEVELOPMENT]],all[[DEVELOPMENT]:[MRST Ext. Comp. Priority]],6,FALSE)</f>
        <v>None</v>
      </c>
      <c r="G131" s="9">
        <v>0</v>
      </c>
      <c r="H131" s="1">
        <f>IF(VLOOKUP(EHD[[#This Row],[DEVELOPMENT]],Data[],9,FALSE)=0,5,VLOOKUP(EHD[[#This Row],[DEVELOPMENT]],Data[],9,FALSE))</f>
        <v>4</v>
      </c>
      <c r="I131" s="9">
        <f>EHD[[#This Row],[MRST '#HD]]</f>
        <v>0</v>
      </c>
      <c r="J131" s="1" t="str">
        <f ca="1">IFERROR(VLOOKUP(EHD[[#This Row],[DEVELOPMENT]],Data[],4,FALSE),"")</f>
        <v>2026+</v>
      </c>
      <c r="K131" s="1" t="str">
        <f ca="1">IF(EHD[[#This Row],[RAD/PACT]]="","",IF(OR(EHD[[#This Row],[RAD/PACT]]="2021-2025",EHD[[#This Row],[RAD/PACT]]="2019-2020"),"Yes",""))</f>
        <v/>
      </c>
      <c r="L131" s="1"/>
      <c r="M131" s="1"/>
      <c r="N131" s="1"/>
      <c r="O131" s="1"/>
      <c r="P131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31" s="51">
        <f ca="1">SUM(INDEX(EHD['# Hopper Doors],1):EHD[[#This Row],['# Hopper Doors]])</f>
        <v>1001</v>
      </c>
      <c r="R131" s="47">
        <f t="shared" ca="1" si="1"/>
        <v>119342.078175</v>
      </c>
      <c r="S131" s="1">
        <f ca="1">IF(ISBLANK(EHD[[#This Row],[CALENDAR YEAR]]),ROUNDDOWN(EHD[[#This Row],[Running count]]/500,0)+$S$1,EHD[[#This Row],[CALENDAR YEAR]])</f>
        <v>2022</v>
      </c>
      <c r="T131" s="16"/>
    </row>
    <row r="132" spans="1:20">
      <c r="A132" s="13" t="s">
        <v>127</v>
      </c>
      <c r="B132" s="1" t="str">
        <f>VLOOKUP(A132,Data[],2,FALSE)</f>
        <v>MANHATTAN</v>
      </c>
      <c r="C132" s="9" t="s">
        <v>27</v>
      </c>
      <c r="D132" s="9" t="str">
        <f>VLOOKUP(EHD[[#This Row],[DEVELOPMENT]],Data[],52,FALSE)</f>
        <v>FEDERAL</v>
      </c>
      <c r="E132" s="1" t="str">
        <f>VLOOKUP(EHD[[#This Row],[DEVELOPMENT]],Data[],8,FALSE)</f>
        <v>Zone 2</v>
      </c>
      <c r="F132" s="9" t="str">
        <f>VLOOKUP(EHD[[#This Row],[DEVELOPMENT]],all[[DEVELOPMENT]:[MRST Ext. Comp. Priority]],6,FALSE)</f>
        <v>None</v>
      </c>
      <c r="G132" s="9">
        <v>22</v>
      </c>
      <c r="H132" s="1">
        <f>IF(VLOOKUP(EHD[[#This Row],[DEVELOPMENT]],Data[],9,FALSE)=0,5,VLOOKUP(EHD[[#This Row],[DEVELOPMENT]],Data[],9,FALSE))</f>
        <v>4</v>
      </c>
      <c r="I132" s="9">
        <f>EHD[[#This Row],[MRST '#HD]]</f>
        <v>22</v>
      </c>
      <c r="J132" s="1" t="str">
        <f ca="1">IFERROR(VLOOKUP(EHD[[#This Row],[DEVELOPMENT]],Data[],4,FALSE),"")</f>
        <v>2026+</v>
      </c>
      <c r="K132" s="1" t="str">
        <f ca="1">IF(EHD[[#This Row],[RAD/PACT]]="","",IF(OR(EHD[[#This Row],[RAD/PACT]]="2021-2025",EHD[[#This Row],[RAD/PACT]]="2019-2020"),"Yes",""))</f>
        <v/>
      </c>
      <c r="L132" s="1"/>
      <c r="M132" s="1"/>
      <c r="N132" s="1"/>
      <c r="O132" s="1"/>
      <c r="P132" s="47">
        <f ca="1">IF(EHD[[#This Row],[RAD/PACT]]="2019-2020",0,INDEX(UnitCosts[],MATCH(EHD[[#This Row],[WORK TYPE]],UnitCosts[Work Type],0),2)*EHD[[#This Row],['# Hopper Doors]])*(1+((EHD[[#This Row],[est. Year]]-YEAR(TODAY()))*$P$2))</f>
        <v>175035.04799000002</v>
      </c>
      <c r="Q132" s="51">
        <f ca="1">SUM(INDEX(EHD['# Hopper Doors],1):EHD[[#This Row],['# Hopper Doors]])</f>
        <v>1023</v>
      </c>
      <c r="R132" s="47">
        <f t="shared" ref="R132:R195" ca="1" si="2">IF(S132=S131,(P132+O132)+R131,(P132+O132))</f>
        <v>294377.12616500002</v>
      </c>
      <c r="S132" s="1">
        <f ca="1">IF(ISBLANK(EHD[[#This Row],[CALENDAR YEAR]]),ROUNDDOWN(EHD[[#This Row],[Running count]]/500,0)+$S$1,EHD[[#This Row],[CALENDAR YEAR]])</f>
        <v>2022</v>
      </c>
      <c r="T132" s="16"/>
    </row>
    <row r="133" spans="1:20">
      <c r="A133" s="13" t="s">
        <v>90</v>
      </c>
      <c r="B133" s="1" t="str">
        <f>VLOOKUP(A133,Data[],2,FALSE)</f>
        <v>MANHATTAN</v>
      </c>
      <c r="C133" s="9" t="s">
        <v>27</v>
      </c>
      <c r="D133" s="9" t="str">
        <f>VLOOKUP(EHD[[#This Row],[DEVELOPMENT]],Data[],52,FALSE)</f>
        <v>FEDERAL</v>
      </c>
      <c r="E133" s="1" t="str">
        <f>VLOOKUP(EHD[[#This Row],[DEVELOPMENT]],Data[],8,FALSE)</f>
        <v>Zone 2</v>
      </c>
      <c r="F133" s="9" t="str">
        <f>VLOOKUP(EHD[[#This Row],[DEVELOPMENT]],all[[DEVELOPMENT]:[MRST Ext. Comp. Priority]],6,FALSE)</f>
        <v>None</v>
      </c>
      <c r="G133" s="9">
        <v>3</v>
      </c>
      <c r="H133" s="1">
        <f>IF(VLOOKUP(EHD[[#This Row],[DEVELOPMENT]],Data[],9,FALSE)=0,5,VLOOKUP(EHD[[#This Row],[DEVELOPMENT]],Data[],9,FALSE))</f>
        <v>4</v>
      </c>
      <c r="I133" s="9">
        <f>EHD[[#This Row],[MRST '#HD]]</f>
        <v>3</v>
      </c>
      <c r="J133" s="1" t="str">
        <f ca="1">IFERROR(VLOOKUP(EHD[[#This Row],[DEVELOPMENT]],Data[],4,FALSE),"")</f>
        <v>2026+</v>
      </c>
      <c r="K133" s="1" t="str">
        <f ca="1">IF(EHD[[#This Row],[RAD/PACT]]="","",IF(OR(EHD[[#This Row],[RAD/PACT]]="2021-2025",EHD[[#This Row],[RAD/PACT]]="2019-2020"),"Yes",""))</f>
        <v/>
      </c>
      <c r="L133" s="1"/>
      <c r="M133" s="1"/>
      <c r="N133" s="1"/>
      <c r="O133" s="1"/>
      <c r="P133" s="47">
        <f ca="1">IF(EHD[[#This Row],[RAD/PACT]]="2019-2020",0,INDEX(UnitCosts[],MATCH(EHD[[#This Row],[WORK TYPE]],UnitCosts[Work Type],0),2)*EHD[[#This Row],['# Hopper Doors]])*(1+((EHD[[#This Row],[est. Year]]-YEAR(TODAY()))*$P$2))</f>
        <v>23868.415635000005</v>
      </c>
      <c r="Q133" s="51">
        <f ca="1">SUM(INDEX(EHD['# Hopper Doors],1):EHD[[#This Row],['# Hopper Doors]])</f>
        <v>1026</v>
      </c>
      <c r="R133" s="47">
        <f t="shared" ca="1" si="2"/>
        <v>318245.54180000001</v>
      </c>
      <c r="S133" s="1">
        <f ca="1">IF(ISBLANK(EHD[[#This Row],[CALENDAR YEAR]]),ROUNDDOWN(EHD[[#This Row],[Running count]]/500,0)+$S$1,EHD[[#This Row],[CALENDAR YEAR]])</f>
        <v>2022</v>
      </c>
      <c r="T133" s="16"/>
    </row>
    <row r="134" spans="1:20">
      <c r="A134" s="110" t="s">
        <v>220</v>
      </c>
      <c r="B134" s="1" t="str">
        <f>VLOOKUP(A134,Data[],2,FALSE)</f>
        <v>BROOKLYN</v>
      </c>
      <c r="C134" s="9" t="s">
        <v>27</v>
      </c>
      <c r="D134" s="9" t="str">
        <f>VLOOKUP(EHD[[#This Row],[DEVELOPMENT]],Data[],52,FALSE)</f>
        <v>FEDERAL</v>
      </c>
      <c r="E134" s="1">
        <f>VLOOKUP(EHD[[#This Row],[DEVELOPMENT]],Data[],8,FALSE)</f>
        <v>0</v>
      </c>
      <c r="F134" s="9" t="str">
        <f>VLOOKUP(EHD[[#This Row],[DEVELOPMENT]],all[[DEVELOPMENT]:[MRST Ext. Comp. Priority]],6,FALSE)</f>
        <v>B</v>
      </c>
      <c r="G134" s="9">
        <v>0</v>
      </c>
      <c r="H134" s="1">
        <f>IF(VLOOKUP(EHD[[#This Row],[DEVELOPMENT]],Data[],9,FALSE)=0,5,VLOOKUP(EHD[[#This Row],[DEVELOPMENT]],Data[],9,FALSE))</f>
        <v>5</v>
      </c>
      <c r="I134" s="9">
        <f>EHD[[#This Row],[MRST '#HD]]</f>
        <v>0</v>
      </c>
      <c r="J134" s="1">
        <f ca="1">IFERROR(VLOOKUP(EHD[[#This Row],[DEVELOPMENT]],Data[],4,FALSE),"")</f>
        <v>2019</v>
      </c>
      <c r="K134" s="1" t="str">
        <f ca="1">IF(EHD[[#This Row],[RAD/PACT]]="","",IF(OR(EHD[[#This Row],[RAD/PACT]]="2021-2025",EHD[[#This Row],[RAD/PACT]]="2019-2020"),"Yes",""))</f>
        <v/>
      </c>
      <c r="L134" s="1"/>
      <c r="M134" s="1"/>
      <c r="N134" s="1"/>
      <c r="O134" s="1"/>
      <c r="P134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34" s="51">
        <f ca="1">SUM(INDEX(EHD['# Hopper Doors],1):EHD[[#This Row],['# Hopper Doors]])</f>
        <v>1026</v>
      </c>
      <c r="R134" s="47">
        <f t="shared" ca="1" si="2"/>
        <v>318245.54180000001</v>
      </c>
      <c r="S134" s="1">
        <f ca="1">IF(ISBLANK(EHD[[#This Row],[CALENDAR YEAR]]),ROUNDDOWN(EHD[[#This Row],[Running count]]/500,0)+$S$1,EHD[[#This Row],[CALENDAR YEAR]])</f>
        <v>2022</v>
      </c>
      <c r="T134" s="16"/>
    </row>
    <row r="135" spans="1:20">
      <c r="A135" s="13" t="s">
        <v>226</v>
      </c>
      <c r="B135" s="1" t="str">
        <f>VLOOKUP(A135,Data[],2,FALSE)</f>
        <v>BROOKLYN</v>
      </c>
      <c r="C135" s="9" t="s">
        <v>27</v>
      </c>
      <c r="D135" s="9" t="str">
        <f>VLOOKUP(EHD[[#This Row],[DEVELOPMENT]],Data[],52,FALSE)</f>
        <v>MIXED FINANCE/LLC2</v>
      </c>
      <c r="E135" s="1">
        <f>VLOOKUP(EHD[[#This Row],[DEVELOPMENT]],Data[],8,FALSE)</f>
        <v>0</v>
      </c>
      <c r="F135" s="9" t="str">
        <f>VLOOKUP(EHD[[#This Row],[DEVELOPMENT]],all[[DEVELOPMENT]:[MRST Ext. Comp. Priority]],6,FALSE)</f>
        <v>B</v>
      </c>
      <c r="G135" s="9">
        <v>30</v>
      </c>
      <c r="H135" s="1">
        <f>IF(VLOOKUP(EHD[[#This Row],[DEVELOPMENT]],Data[],9,FALSE)=0,5,VLOOKUP(EHD[[#This Row],[DEVELOPMENT]],Data[],9,FALSE))</f>
        <v>5</v>
      </c>
      <c r="I135" s="9">
        <f>EHD[[#This Row],[MRST '#HD]]</f>
        <v>30</v>
      </c>
      <c r="J135" s="1" t="str">
        <f ca="1">IFERROR(VLOOKUP(EHD[[#This Row],[DEVELOPMENT]],Data[],4,FALSE),"")</f>
        <v>2020-2021</v>
      </c>
      <c r="K135" s="1" t="str">
        <f ca="1">IF(EHD[[#This Row],[RAD/PACT]]="","",IF(OR(EHD[[#This Row],[RAD/PACT]]="2021-2025",EHD[[#This Row],[RAD/PACT]]="2019-2020"),"Yes",""))</f>
        <v/>
      </c>
      <c r="L135" s="1"/>
      <c r="M135" s="1"/>
      <c r="N135" s="1"/>
      <c r="O135" s="1"/>
      <c r="P135" s="47">
        <f ca="1">IF(EHD[[#This Row],[RAD/PACT]]="2019-2020",0,INDEX(UnitCosts[],MATCH(EHD[[#This Row],[WORK TYPE]],UnitCosts[Work Type],0),2)*EHD[[#This Row],['# Hopper Doors]])*(1+((EHD[[#This Row],[est. Year]]-YEAR(TODAY()))*$P$2))</f>
        <v>238684.15635</v>
      </c>
      <c r="Q135" s="51">
        <f ca="1">SUM(INDEX(EHD['# Hopper Doors],1):EHD[[#This Row],['# Hopper Doors]])</f>
        <v>1056</v>
      </c>
      <c r="R135" s="47">
        <f t="shared" ca="1" si="2"/>
        <v>556929.69815000007</v>
      </c>
      <c r="S135" s="1">
        <f ca="1">IF(ISBLANK(EHD[[#This Row],[CALENDAR YEAR]]),ROUNDDOWN(EHD[[#This Row],[Running count]]/500,0)+$S$1,EHD[[#This Row],[CALENDAR YEAR]])</f>
        <v>2022</v>
      </c>
      <c r="T135" s="16"/>
    </row>
    <row r="136" spans="1:20">
      <c r="A136" s="13" t="s">
        <v>188</v>
      </c>
      <c r="B136" s="1" t="str">
        <f>VLOOKUP(A136,Data[],2,FALSE)</f>
        <v>BROOKLYN</v>
      </c>
      <c r="C136" s="9" t="s">
        <v>27</v>
      </c>
      <c r="D136" s="9" t="str">
        <f>VLOOKUP(EHD[[#This Row],[DEVELOPMENT]],Data[],52,FALSE)</f>
        <v>FEDERAL</v>
      </c>
      <c r="E136" s="1">
        <f>VLOOKUP(EHD[[#This Row],[DEVELOPMENT]],Data[],8,FALSE)</f>
        <v>0</v>
      </c>
      <c r="F136" s="9" t="str">
        <f>VLOOKUP(EHD[[#This Row],[DEVELOPMENT]],all[[DEVELOPMENT]:[MRST Ext. Comp. Priority]],6,FALSE)</f>
        <v>B</v>
      </c>
      <c r="G136" s="9">
        <v>94</v>
      </c>
      <c r="H136" s="1">
        <f>IF(VLOOKUP(EHD[[#This Row],[DEVELOPMENT]],Data[],9,FALSE)=0,5,VLOOKUP(EHD[[#This Row],[DEVELOPMENT]],Data[],9,FALSE))</f>
        <v>5</v>
      </c>
      <c r="I136" s="9">
        <f>EHD[[#This Row],[MRST '#HD]]</f>
        <v>94</v>
      </c>
      <c r="J136" s="1" t="str">
        <f ca="1">IFERROR(VLOOKUP(EHD[[#This Row],[DEVELOPMENT]],Data[],4,FALSE),"")</f>
        <v>2020-2021</v>
      </c>
      <c r="K136" s="1" t="str">
        <f ca="1">IF(EHD[[#This Row],[RAD/PACT]]="","",IF(OR(EHD[[#This Row],[RAD/PACT]]="2021-2025",EHD[[#This Row],[RAD/PACT]]="2019-2020"),"Yes",""))</f>
        <v/>
      </c>
      <c r="L136" s="1"/>
      <c r="M136" s="1"/>
      <c r="N136" s="1"/>
      <c r="O136" s="1"/>
      <c r="P136" s="47">
        <f ca="1">IF(EHD[[#This Row],[RAD/PACT]]="2019-2020",0,INDEX(UnitCosts[],MATCH(EHD[[#This Row],[WORK TYPE]],UnitCosts[Work Type],0),2)*EHD[[#This Row],['# Hopper Doors]])*(1+((EHD[[#This Row],[est. Year]]-YEAR(TODAY()))*$P$2))</f>
        <v>747877.02323000005</v>
      </c>
      <c r="Q136" s="51">
        <f ca="1">SUM(INDEX(EHD['# Hopper Doors],1):EHD[[#This Row],['# Hopper Doors]])</f>
        <v>1150</v>
      </c>
      <c r="R136" s="47">
        <f t="shared" ca="1" si="2"/>
        <v>1304806.72138</v>
      </c>
      <c r="S136" s="1">
        <f ca="1">IF(ISBLANK(EHD[[#This Row],[CALENDAR YEAR]]),ROUNDDOWN(EHD[[#This Row],[Running count]]/500,0)+$S$1,EHD[[#This Row],[CALENDAR YEAR]])</f>
        <v>2022</v>
      </c>
      <c r="T136" s="16"/>
    </row>
    <row r="137" spans="1:20">
      <c r="A137" s="13" t="s">
        <v>199</v>
      </c>
      <c r="B137" s="1" t="str">
        <f>VLOOKUP(A137,Data[],2,FALSE)</f>
        <v>BROOKLYN</v>
      </c>
      <c r="C137" s="9" t="s">
        <v>27</v>
      </c>
      <c r="D137" s="9" t="str">
        <f>VLOOKUP(EHD[[#This Row],[DEVELOPMENT]],Data[],52,FALSE)</f>
        <v>FEDERAL</v>
      </c>
      <c r="E137" s="1">
        <f>VLOOKUP(EHD[[#This Row],[DEVELOPMENT]],Data[],8,FALSE)</f>
        <v>0</v>
      </c>
      <c r="F137" s="9" t="str">
        <f>VLOOKUP(EHD[[#This Row],[DEVELOPMENT]],all[[DEVELOPMENT]:[MRST Ext. Comp. Priority]],6,FALSE)</f>
        <v>B</v>
      </c>
      <c r="G137" s="9">
        <v>26</v>
      </c>
      <c r="H137" s="1">
        <f>IF(VLOOKUP(EHD[[#This Row],[DEVELOPMENT]],Data[],9,FALSE)=0,5,VLOOKUP(EHD[[#This Row],[DEVELOPMENT]],Data[],9,FALSE))</f>
        <v>5</v>
      </c>
      <c r="I137" s="9">
        <f>EHD[[#This Row],[MRST '#HD]]</f>
        <v>26</v>
      </c>
      <c r="J137" s="1" t="str">
        <f ca="1">IFERROR(VLOOKUP(EHD[[#This Row],[DEVELOPMENT]],Data[],4,FALSE),"")</f>
        <v>2026+</v>
      </c>
      <c r="K137" s="1" t="str">
        <f ca="1">IF(EHD[[#This Row],[RAD/PACT]]="","",IF(OR(EHD[[#This Row],[RAD/PACT]]="2021-2025",EHD[[#This Row],[RAD/PACT]]="2019-2020"),"Yes",""))</f>
        <v/>
      </c>
      <c r="L137" s="1"/>
      <c r="M137" s="1"/>
      <c r="N137" s="1"/>
      <c r="O137" s="1"/>
      <c r="P137" s="47">
        <f ca="1">IF(EHD[[#This Row],[RAD/PACT]]="2019-2020",0,INDEX(UnitCosts[],MATCH(EHD[[#This Row],[WORK TYPE]],UnitCosts[Work Type],0),2)*EHD[[#This Row],['# Hopper Doors]])*(1+((EHD[[#This Row],[est. Year]]-YEAR(TODAY()))*$P$2))</f>
        <v>206859.60217</v>
      </c>
      <c r="Q137" s="51">
        <f ca="1">SUM(INDEX(EHD['# Hopper Doors],1):EHD[[#This Row],['# Hopper Doors]])</f>
        <v>1176</v>
      </c>
      <c r="R137" s="47">
        <f t="shared" ca="1" si="2"/>
        <v>1511666.3235500001</v>
      </c>
      <c r="S137" s="1">
        <f ca="1">IF(ISBLANK(EHD[[#This Row],[CALENDAR YEAR]]),ROUNDDOWN(EHD[[#This Row],[Running count]]/500,0)+$S$1,EHD[[#This Row],[CALENDAR YEAR]])</f>
        <v>2022</v>
      </c>
      <c r="T137" s="16"/>
    </row>
    <row r="138" spans="1:20">
      <c r="A138" s="13" t="s">
        <v>187</v>
      </c>
      <c r="B138" s="1" t="str">
        <f>VLOOKUP(A138,Data[],2,FALSE)</f>
        <v>BRONX</v>
      </c>
      <c r="C138" s="9" t="s">
        <v>27</v>
      </c>
      <c r="D138" s="9" t="str">
        <f>VLOOKUP(EHD[[#This Row],[DEVELOPMENT]],Data[],52,FALSE)</f>
        <v>FEDERAL</v>
      </c>
      <c r="E138" s="1" t="str">
        <f>VLOOKUP(EHD[[#This Row],[DEVELOPMENT]],Data[],8,FALSE)</f>
        <v>Zone 3</v>
      </c>
      <c r="F138" s="9" t="str">
        <f>VLOOKUP(EHD[[#This Row],[DEVELOPMENT]],all[[DEVELOPMENT]:[MRST Ext. Comp. Priority]],6,FALSE)</f>
        <v>B</v>
      </c>
      <c r="G138" s="9">
        <v>3</v>
      </c>
      <c r="H138" s="1">
        <f>IF(VLOOKUP(EHD[[#This Row],[DEVELOPMENT]],Data[],9,FALSE)=0,5,VLOOKUP(EHD[[#This Row],[DEVELOPMENT]],Data[],9,FALSE))</f>
        <v>5</v>
      </c>
      <c r="I138" s="9">
        <f>EHD[[#This Row],[MRST '#HD]]</f>
        <v>3</v>
      </c>
      <c r="J138" s="1" t="str">
        <f ca="1">IFERROR(VLOOKUP(EHD[[#This Row],[DEVELOPMENT]],Data[],4,FALSE),"")</f>
        <v/>
      </c>
      <c r="K138" s="1" t="str">
        <f ca="1">IF(EHD[[#This Row],[RAD/PACT]]="","",IF(OR(EHD[[#This Row],[RAD/PACT]]="2021-2025",EHD[[#This Row],[RAD/PACT]]="2019-2020"),"Yes",""))</f>
        <v/>
      </c>
      <c r="L138" s="1"/>
      <c r="M138" s="1"/>
      <c r="N138" s="1"/>
      <c r="O138" s="1"/>
      <c r="P138" s="47">
        <f ca="1">IF(EHD[[#This Row],[RAD/PACT]]="2019-2020",0,INDEX(UnitCosts[],MATCH(EHD[[#This Row],[WORK TYPE]],UnitCosts[Work Type],0),2)*EHD[[#This Row],['# Hopper Doors]])*(1+((EHD[[#This Row],[est. Year]]-YEAR(TODAY()))*$P$2))</f>
        <v>23868.415635000005</v>
      </c>
      <c r="Q138" s="51">
        <f ca="1">SUM(INDEX(EHD['# Hopper Doors],1):EHD[[#This Row],['# Hopper Doors]])</f>
        <v>1179</v>
      </c>
      <c r="R138" s="47">
        <f t="shared" ca="1" si="2"/>
        <v>1535534.7391850001</v>
      </c>
      <c r="S138" s="1">
        <f ca="1">IF(ISBLANK(EHD[[#This Row],[CALENDAR YEAR]]),ROUNDDOWN(EHD[[#This Row],[Running count]]/500,0)+$S$1,EHD[[#This Row],[CALENDAR YEAR]])</f>
        <v>2022</v>
      </c>
      <c r="T138" s="16"/>
    </row>
    <row r="139" spans="1:20">
      <c r="A139" s="13" t="s">
        <v>200</v>
      </c>
      <c r="B139" s="1" t="str">
        <f>VLOOKUP(A139,Data[],2,FALSE)</f>
        <v>BRONX</v>
      </c>
      <c r="C139" s="9" t="s">
        <v>27</v>
      </c>
      <c r="D139" s="9" t="str">
        <f>VLOOKUP(EHD[[#This Row],[DEVELOPMENT]],Data[],52,FALSE)</f>
        <v>MIXED FINANCE/LLC1</v>
      </c>
      <c r="E139" s="1">
        <f>VLOOKUP(EHD[[#This Row],[DEVELOPMENT]],Data[],8,FALSE)</f>
        <v>0</v>
      </c>
      <c r="F139" s="9" t="str">
        <f>VLOOKUP(EHD[[#This Row],[DEVELOPMENT]],all[[DEVELOPMENT]:[MRST Ext. Comp. Priority]],6,FALSE)</f>
        <v>B</v>
      </c>
      <c r="G139" s="9">
        <v>14</v>
      </c>
      <c r="H139" s="1">
        <f>IF(VLOOKUP(EHD[[#This Row],[DEVELOPMENT]],Data[],9,FALSE)=0,5,VLOOKUP(EHD[[#This Row],[DEVELOPMENT]],Data[],9,FALSE))</f>
        <v>5</v>
      </c>
      <c r="I139" s="9">
        <f>EHD[[#This Row],[MRST '#HD]]</f>
        <v>14</v>
      </c>
      <c r="J139" s="1" t="str">
        <f ca="1">IFERROR(VLOOKUP(EHD[[#This Row],[DEVELOPMENT]],Data[],4,FALSE),"")</f>
        <v/>
      </c>
      <c r="K139" s="1" t="str">
        <f ca="1">IF(EHD[[#This Row],[RAD/PACT]]="","",IF(OR(EHD[[#This Row],[RAD/PACT]]="2021-2025",EHD[[#This Row],[RAD/PACT]]="2019-2020"),"Yes",""))</f>
        <v/>
      </c>
      <c r="L139" s="1"/>
      <c r="M139" s="1"/>
      <c r="N139" s="1"/>
      <c r="O139" s="1"/>
      <c r="P139" s="47">
        <f ca="1">IF(EHD[[#This Row],[RAD/PACT]]="2019-2020",0,INDEX(UnitCosts[],MATCH(EHD[[#This Row],[WORK TYPE]],UnitCosts[Work Type],0),2)*EHD[[#This Row],['# Hopper Doors]])*(1+((EHD[[#This Row],[est. Year]]-YEAR(TODAY()))*$P$2))</f>
        <v>111385.93963000001</v>
      </c>
      <c r="Q139" s="51">
        <f ca="1">SUM(INDEX(EHD['# Hopper Doors],1):EHD[[#This Row],['# Hopper Doors]])</f>
        <v>1193</v>
      </c>
      <c r="R139" s="47">
        <f t="shared" ca="1" si="2"/>
        <v>1646920.678815</v>
      </c>
      <c r="S139" s="1">
        <f ca="1">IF(ISBLANK(EHD[[#This Row],[CALENDAR YEAR]]),ROUNDDOWN(EHD[[#This Row],[Running count]]/500,0)+$S$1,EHD[[#This Row],[CALENDAR YEAR]])</f>
        <v>2022</v>
      </c>
      <c r="T139" s="16"/>
    </row>
    <row r="140" spans="1:20">
      <c r="A140" s="13" t="s">
        <v>221</v>
      </c>
      <c r="B140" s="1" t="str">
        <f>VLOOKUP(A140,Data[],2,FALSE)</f>
        <v>MANHATTAN</v>
      </c>
      <c r="C140" s="9" t="s">
        <v>27</v>
      </c>
      <c r="D140" s="9" t="str">
        <f>VLOOKUP(EHD[[#This Row],[DEVELOPMENT]],Data[],52,FALSE)</f>
        <v>FEDERAL</v>
      </c>
      <c r="E140" s="1" t="str">
        <f>VLOOKUP(EHD[[#This Row],[DEVELOPMENT]],Data[],8,FALSE)</f>
        <v>Zone 3</v>
      </c>
      <c r="F140" s="9" t="str">
        <f>VLOOKUP(EHD[[#This Row],[DEVELOPMENT]],all[[DEVELOPMENT]:[MRST Ext. Comp. Priority]],6,FALSE)</f>
        <v>B</v>
      </c>
      <c r="G140" s="9">
        <v>8</v>
      </c>
      <c r="H140" s="1">
        <f>IF(VLOOKUP(EHD[[#This Row],[DEVELOPMENT]],Data[],9,FALSE)=0,5,VLOOKUP(EHD[[#This Row],[DEVELOPMENT]],Data[],9,FALSE))</f>
        <v>5</v>
      </c>
      <c r="I140" s="9">
        <f>EHD[[#This Row],[MRST '#HD]]</f>
        <v>8</v>
      </c>
      <c r="J140" s="1" t="str">
        <f ca="1">IFERROR(VLOOKUP(EHD[[#This Row],[DEVELOPMENT]],Data[],4,FALSE),"")</f>
        <v/>
      </c>
      <c r="K140" s="1" t="str">
        <f ca="1">IF(EHD[[#This Row],[RAD/PACT]]="","",IF(OR(EHD[[#This Row],[RAD/PACT]]="2021-2025",EHD[[#This Row],[RAD/PACT]]="2019-2020"),"Yes",""))</f>
        <v/>
      </c>
      <c r="L140" s="1"/>
      <c r="M140" s="1"/>
      <c r="N140" s="1"/>
      <c r="O140" s="1"/>
      <c r="P140" s="47">
        <f ca="1">IF(EHD[[#This Row],[RAD/PACT]]="2019-2020",0,INDEX(UnitCosts[],MATCH(EHD[[#This Row],[WORK TYPE]],UnitCosts[Work Type],0),2)*EHD[[#This Row],['# Hopper Doors]])*(1+((EHD[[#This Row],[est. Year]]-YEAR(TODAY()))*$P$2))</f>
        <v>63649.108360000006</v>
      </c>
      <c r="Q140" s="51">
        <f ca="1">SUM(INDEX(EHD['# Hopper Doors],1):EHD[[#This Row],['# Hopper Doors]])</f>
        <v>1201</v>
      </c>
      <c r="R140" s="47">
        <f t="shared" ca="1" si="2"/>
        <v>1710569.7871749999</v>
      </c>
      <c r="S140" s="1">
        <f ca="1">IF(ISBLANK(EHD[[#This Row],[CALENDAR YEAR]]),ROUNDDOWN(EHD[[#This Row],[Running count]]/500,0)+$S$1,EHD[[#This Row],[CALENDAR YEAR]])</f>
        <v>2022</v>
      </c>
      <c r="T140" s="16"/>
    </row>
    <row r="141" spans="1:20">
      <c r="A141" s="13" t="s">
        <v>190</v>
      </c>
      <c r="B141" s="1" t="str">
        <f>VLOOKUP(A141,Data[],2,FALSE)</f>
        <v>BROOKLYN</v>
      </c>
      <c r="C141" s="9" t="s">
        <v>27</v>
      </c>
      <c r="D141" s="9" t="str">
        <f>VLOOKUP(EHD[[#This Row],[DEVELOPMENT]],Data[],52,FALSE)</f>
        <v>FEDERAL</v>
      </c>
      <c r="E141" s="1">
        <f>VLOOKUP(EHD[[#This Row],[DEVELOPMENT]],Data[],8,FALSE)</f>
        <v>0</v>
      </c>
      <c r="F141" s="9" t="str">
        <f>VLOOKUP(EHD[[#This Row],[DEVELOPMENT]],all[[DEVELOPMENT]:[MRST Ext. Comp. Priority]],6,FALSE)</f>
        <v>B</v>
      </c>
      <c r="G141" s="9">
        <v>13</v>
      </c>
      <c r="H141" s="1">
        <f>IF(VLOOKUP(EHD[[#This Row],[DEVELOPMENT]],Data[],9,FALSE)=0,5,VLOOKUP(EHD[[#This Row],[DEVELOPMENT]],Data[],9,FALSE))</f>
        <v>5</v>
      </c>
      <c r="I141" s="9">
        <f>EHD[[#This Row],[MRST '#HD]]</f>
        <v>13</v>
      </c>
      <c r="J141" s="1" t="str">
        <f ca="1">IFERROR(VLOOKUP(EHD[[#This Row],[DEVELOPMENT]],Data[],4,FALSE),"")</f>
        <v>2026+</v>
      </c>
      <c r="K141" s="1" t="str">
        <f ca="1">IF(EHD[[#This Row],[RAD/PACT]]="","",IF(OR(EHD[[#This Row],[RAD/PACT]]="2021-2025",EHD[[#This Row],[RAD/PACT]]="2019-2020"),"Yes",""))</f>
        <v/>
      </c>
      <c r="L141" s="1"/>
      <c r="M141" s="1"/>
      <c r="N141" s="1"/>
      <c r="O141" s="1"/>
      <c r="P141" s="47">
        <f ca="1">IF(EHD[[#This Row],[RAD/PACT]]="2019-2020",0,INDEX(UnitCosts[],MATCH(EHD[[#This Row],[WORK TYPE]],UnitCosts[Work Type],0),2)*EHD[[#This Row],['# Hopper Doors]])*(1+((EHD[[#This Row],[est. Year]]-YEAR(TODAY()))*$P$2))</f>
        <v>103429.801085</v>
      </c>
      <c r="Q141" s="51">
        <f ca="1">SUM(INDEX(EHD['# Hopper Doors],1):EHD[[#This Row],['# Hopper Doors]])</f>
        <v>1214</v>
      </c>
      <c r="R141" s="47">
        <f t="shared" ca="1" si="2"/>
        <v>1813999.5882599999</v>
      </c>
      <c r="S141" s="1">
        <f ca="1">IF(ISBLANK(EHD[[#This Row],[CALENDAR YEAR]]),ROUNDDOWN(EHD[[#This Row],[Running count]]/500,0)+$S$1,EHD[[#This Row],[CALENDAR YEAR]])</f>
        <v>2022</v>
      </c>
      <c r="T141" s="16"/>
    </row>
    <row r="142" spans="1:20">
      <c r="A142" s="13" t="s">
        <v>201</v>
      </c>
      <c r="B142" s="1" t="str">
        <f>VLOOKUP(A142,Data[],2,FALSE)</f>
        <v>BRONX</v>
      </c>
      <c r="C142" s="9" t="s">
        <v>27</v>
      </c>
      <c r="D142" s="9" t="str">
        <f>VLOOKUP(EHD[[#This Row],[DEVELOPMENT]],Data[],52,FALSE)</f>
        <v>FEDERAL</v>
      </c>
      <c r="E142" s="1">
        <f>VLOOKUP(EHD[[#This Row],[DEVELOPMENT]],Data[],8,FALSE)</f>
        <v>0</v>
      </c>
      <c r="F142" s="9" t="str">
        <f>VLOOKUP(EHD[[#This Row],[DEVELOPMENT]],all[[DEVELOPMENT]:[MRST Ext. Comp. Priority]],6,FALSE)</f>
        <v>B</v>
      </c>
      <c r="G142" s="9">
        <v>71</v>
      </c>
      <c r="H142" s="1">
        <f>IF(VLOOKUP(EHD[[#This Row],[DEVELOPMENT]],Data[],9,FALSE)=0,5,VLOOKUP(EHD[[#This Row],[DEVELOPMENT]],Data[],9,FALSE))</f>
        <v>5</v>
      </c>
      <c r="I142" s="9">
        <f>EHD[[#This Row],[MRST '#HD]]</f>
        <v>71</v>
      </c>
      <c r="J142" s="1" t="str">
        <f ca="1">IFERROR(VLOOKUP(EHD[[#This Row],[DEVELOPMENT]],Data[],4,FALSE),"")</f>
        <v>2022-2025</v>
      </c>
      <c r="K142" s="1" t="str">
        <f ca="1">IF(EHD[[#This Row],[RAD/PACT]]="","",IF(OR(EHD[[#This Row],[RAD/PACT]]="2021-2025",EHD[[#This Row],[RAD/PACT]]="2019-2020"),"Yes",""))</f>
        <v/>
      </c>
      <c r="L142" s="1"/>
      <c r="M142" s="1"/>
      <c r="N142" s="1"/>
      <c r="O142" s="1"/>
      <c r="P142" s="47">
        <f ca="1">IF(EHD[[#This Row],[RAD/PACT]]="2019-2020",0,INDEX(UnitCosts[],MATCH(EHD[[#This Row],[WORK TYPE]],UnitCosts[Work Type],0),2)*EHD[[#This Row],['# Hopper Doors]])*(1+((EHD[[#This Row],[est. Year]]-YEAR(TODAY()))*$P$2))</f>
        <v>564885.83669500006</v>
      </c>
      <c r="Q142" s="51">
        <f ca="1">SUM(INDEX(EHD['# Hopper Doors],1):EHD[[#This Row],['# Hopper Doors]])</f>
        <v>1285</v>
      </c>
      <c r="R142" s="47">
        <f t="shared" ca="1" si="2"/>
        <v>2378885.4249550002</v>
      </c>
      <c r="S142" s="1">
        <f ca="1">IF(ISBLANK(EHD[[#This Row],[CALENDAR YEAR]]),ROUNDDOWN(EHD[[#This Row],[Running count]]/500,0)+$S$1,EHD[[#This Row],[CALENDAR YEAR]])</f>
        <v>2022</v>
      </c>
      <c r="T142" s="16"/>
    </row>
    <row r="143" spans="1:20">
      <c r="A143" s="13" t="s">
        <v>202</v>
      </c>
      <c r="B143" s="1" t="str">
        <f>VLOOKUP(A143,Data[],2,FALSE)</f>
        <v>BROOKLYN</v>
      </c>
      <c r="C143" s="9" t="s">
        <v>27</v>
      </c>
      <c r="D143" s="9" t="str">
        <f>VLOOKUP(EHD[[#This Row],[DEVELOPMENT]],Data[],52,FALSE)</f>
        <v>FEDERAL</v>
      </c>
      <c r="E143" s="1">
        <f>VLOOKUP(EHD[[#This Row],[DEVELOPMENT]],Data[],8,FALSE)</f>
        <v>0</v>
      </c>
      <c r="F143" s="9" t="str">
        <f>VLOOKUP(EHD[[#This Row],[DEVELOPMENT]],all[[DEVELOPMENT]:[MRST Ext. Comp. Priority]],6,FALSE)</f>
        <v>B</v>
      </c>
      <c r="G143" s="9">
        <v>10</v>
      </c>
      <c r="H143" s="1">
        <f>IF(VLOOKUP(EHD[[#This Row],[DEVELOPMENT]],Data[],9,FALSE)=0,5,VLOOKUP(EHD[[#This Row],[DEVELOPMENT]],Data[],9,FALSE))</f>
        <v>5</v>
      </c>
      <c r="I143" s="9">
        <f>EHD[[#This Row],[MRST '#HD]]</f>
        <v>10</v>
      </c>
      <c r="J143" s="1" t="str">
        <f ca="1">IFERROR(VLOOKUP(EHD[[#This Row],[DEVELOPMENT]],Data[],4,FALSE),"")</f>
        <v>2026+</v>
      </c>
      <c r="K143" s="1" t="str">
        <f ca="1">IF(EHD[[#This Row],[RAD/PACT]]="","",IF(OR(EHD[[#This Row],[RAD/PACT]]="2021-2025",EHD[[#This Row],[RAD/PACT]]="2019-2020"),"Yes",""))</f>
        <v/>
      </c>
      <c r="L143" s="1"/>
      <c r="M143" s="1"/>
      <c r="N143" s="1"/>
      <c r="O143" s="1"/>
      <c r="P143" s="47">
        <f ca="1">IF(EHD[[#This Row],[RAD/PACT]]="2019-2020",0,INDEX(UnitCosts[],MATCH(EHD[[#This Row],[WORK TYPE]],UnitCosts[Work Type],0),2)*EHD[[#This Row],['# Hopper Doors]])*(1+((EHD[[#This Row],[est. Year]]-YEAR(TODAY()))*$P$2))</f>
        <v>79561.385450000002</v>
      </c>
      <c r="Q143" s="51">
        <f ca="1">SUM(INDEX(EHD['# Hopper Doors],1):EHD[[#This Row],['# Hopper Doors]])</f>
        <v>1295</v>
      </c>
      <c r="R143" s="47">
        <f t="shared" ca="1" si="2"/>
        <v>2458446.8104050001</v>
      </c>
      <c r="S143" s="1">
        <f ca="1">IF(ISBLANK(EHD[[#This Row],[CALENDAR YEAR]]),ROUNDDOWN(EHD[[#This Row],[Running count]]/500,0)+$S$1,EHD[[#This Row],[CALENDAR YEAR]])</f>
        <v>2022</v>
      </c>
      <c r="T143" s="16"/>
    </row>
    <row r="144" spans="1:20">
      <c r="A144" s="65" t="s">
        <v>204</v>
      </c>
      <c r="B144" s="9" t="str">
        <f>VLOOKUP(A144,Data[],2,FALSE)</f>
        <v>BRONX</v>
      </c>
      <c r="C144" s="9" t="s">
        <v>27</v>
      </c>
      <c r="D144" s="9" t="str">
        <f>VLOOKUP(EHD[[#This Row],[DEVELOPMENT]],Data[],52,FALSE)</f>
        <v>FEDERAL</v>
      </c>
      <c r="E144" s="9" t="str">
        <f>VLOOKUP(EHD[[#This Row],[DEVELOPMENT]],Data[],8,FALSE)</f>
        <v>Zone 4</v>
      </c>
      <c r="F144" s="9" t="str">
        <f>VLOOKUP(EHD[[#This Row],[DEVELOPMENT]],all[[DEVELOPMENT]:[MRST Ext. Comp. Priority]],6,FALSE)</f>
        <v>B</v>
      </c>
      <c r="G144" s="9">
        <v>30</v>
      </c>
      <c r="H144" s="9">
        <f>IF(VLOOKUP(EHD[[#This Row],[DEVELOPMENT]],Data[],9,FALSE)=0,5,VLOOKUP(EHD[[#This Row],[DEVELOPMENT]],Data[],9,FALSE))</f>
        <v>5</v>
      </c>
      <c r="I144" s="9">
        <f>EHD[[#This Row],[MRST '#HD]]</f>
        <v>30</v>
      </c>
      <c r="J144" s="9" t="str">
        <f ca="1">IFERROR(VLOOKUP(EHD[[#This Row],[DEVELOPMENT]],Data[],4,FALSE),"")</f>
        <v>2026+</v>
      </c>
      <c r="K144" s="9" t="str">
        <f ca="1">IF(EHD[[#This Row],[RAD/PACT]]="","",IF(OR(EHD[[#This Row],[RAD/PACT]]="2021-2025",EHD[[#This Row],[RAD/PACT]]="2019-2020"),"Yes",""))</f>
        <v/>
      </c>
      <c r="L144" s="9"/>
      <c r="M144" s="9"/>
      <c r="N144" s="9"/>
      <c r="O144" s="9"/>
      <c r="P144" s="47">
        <f ca="1">IF(EHD[[#This Row],[RAD/PACT]]="2019-2020",0,INDEX(UnitCosts[],MATCH(EHD[[#This Row],[WORK TYPE]],UnitCosts[Work Type],0),2)*EHD[[#This Row],['# Hopper Doors]])*(1+((EHD[[#This Row],[est. Year]]-YEAR(TODAY()))*$P$2))</f>
        <v>238684.15635</v>
      </c>
      <c r="Q144" s="50">
        <f ca="1">SUM(INDEX(EHD['# Hopper Doors],1):EHD[[#This Row],['# Hopper Doors]])</f>
        <v>1325</v>
      </c>
      <c r="R144" s="126">
        <f t="shared" ca="1" si="2"/>
        <v>2697130.9667549999</v>
      </c>
      <c r="S144" s="1">
        <f ca="1">IF(ISBLANK(EHD[[#This Row],[CALENDAR YEAR]]),ROUNDDOWN(EHD[[#This Row],[Running count]]/500,0)+$S$1,EHD[[#This Row],[CALENDAR YEAR]])</f>
        <v>2022</v>
      </c>
      <c r="T144" s="137"/>
    </row>
    <row r="145" spans="1:20">
      <c r="A145" s="13" t="s">
        <v>222</v>
      </c>
      <c r="B145" s="1" t="str">
        <f>VLOOKUP(A145,Data[],2,FALSE)</f>
        <v>BRONX</v>
      </c>
      <c r="C145" s="9" t="s">
        <v>27</v>
      </c>
      <c r="D145" s="9" t="str">
        <f>VLOOKUP(EHD[[#This Row],[DEVELOPMENT]],Data[],52,FALSE)</f>
        <v>FEDERAL</v>
      </c>
      <c r="E145" s="1" t="str">
        <f>VLOOKUP(EHD[[#This Row],[DEVELOPMENT]],Data[],8,FALSE)</f>
        <v>Zone 4</v>
      </c>
      <c r="F145" s="9" t="str">
        <f>VLOOKUP(EHD[[#This Row],[DEVELOPMENT]],all[[DEVELOPMENT]:[MRST Ext. Comp. Priority]],6,FALSE)</f>
        <v>B</v>
      </c>
      <c r="G145" s="9">
        <v>5</v>
      </c>
      <c r="H145" s="1">
        <f>IF(VLOOKUP(EHD[[#This Row],[DEVELOPMENT]],Data[],9,FALSE)=0,5,VLOOKUP(EHD[[#This Row],[DEVELOPMENT]],Data[],9,FALSE))</f>
        <v>5</v>
      </c>
      <c r="I145" s="9">
        <f>EHD[[#This Row],[MRST '#HD]]</f>
        <v>5</v>
      </c>
      <c r="J145" s="1" t="str">
        <f ca="1">IFERROR(VLOOKUP(EHD[[#This Row],[DEVELOPMENT]],Data[],4,FALSE),"")</f>
        <v>2026+</v>
      </c>
      <c r="K145" s="1" t="str">
        <f ca="1">IF(EHD[[#This Row],[RAD/PACT]]="","",IF(OR(EHD[[#This Row],[RAD/PACT]]="2021-2025",EHD[[#This Row],[RAD/PACT]]="2019-2020"),"Yes",""))</f>
        <v/>
      </c>
      <c r="L145" s="1"/>
      <c r="M145" s="1"/>
      <c r="N145" s="1"/>
      <c r="O145" s="1"/>
      <c r="P145" s="47">
        <f ca="1">IF(EHD[[#This Row],[RAD/PACT]]="2019-2020",0,INDEX(UnitCosts[],MATCH(EHD[[#This Row],[WORK TYPE]],UnitCosts[Work Type],0),2)*EHD[[#This Row],['# Hopper Doors]])*(1+((EHD[[#This Row],[est. Year]]-YEAR(TODAY()))*$P$2))</f>
        <v>39780.692725000001</v>
      </c>
      <c r="Q145" s="51">
        <f ca="1">SUM(INDEX(EHD['# Hopper Doors],1):EHD[[#This Row],['# Hopper Doors]])</f>
        <v>1330</v>
      </c>
      <c r="R145" s="47">
        <f t="shared" ca="1" si="2"/>
        <v>2736911.6594799999</v>
      </c>
      <c r="S145" s="1">
        <f ca="1">IF(ISBLANK(EHD[[#This Row],[CALENDAR YEAR]]),ROUNDDOWN(EHD[[#This Row],[Running count]]/500,0)+$S$1,EHD[[#This Row],[CALENDAR YEAR]])</f>
        <v>2022</v>
      </c>
      <c r="T145" s="16"/>
    </row>
    <row r="146" spans="1:20">
      <c r="A146" s="13" t="s">
        <v>206</v>
      </c>
      <c r="B146" s="1" t="str">
        <f>VLOOKUP(A146,Data[],2,FALSE)</f>
        <v>BROOKLYN</v>
      </c>
      <c r="C146" s="9" t="s">
        <v>27</v>
      </c>
      <c r="D146" s="9" t="str">
        <f>VLOOKUP(EHD[[#This Row],[DEVELOPMENT]],Data[],52,FALSE)</f>
        <v>FEDERAL</v>
      </c>
      <c r="E146" s="1">
        <f>VLOOKUP(EHD[[#This Row],[DEVELOPMENT]],Data[],8,FALSE)</f>
        <v>0</v>
      </c>
      <c r="F146" s="9" t="str">
        <f>VLOOKUP(EHD[[#This Row],[DEVELOPMENT]],all[[DEVELOPMENT]:[MRST Ext. Comp. Priority]],6,FALSE)</f>
        <v>B</v>
      </c>
      <c r="G146" s="9">
        <v>16</v>
      </c>
      <c r="H146" s="1">
        <f>IF(VLOOKUP(EHD[[#This Row],[DEVELOPMENT]],Data[],9,FALSE)=0,5,VLOOKUP(EHD[[#This Row],[DEVELOPMENT]],Data[],9,FALSE))</f>
        <v>5</v>
      </c>
      <c r="I146" s="9">
        <f>EHD[[#This Row],[MRST '#HD]]</f>
        <v>16</v>
      </c>
      <c r="J146" s="1" t="str">
        <f ca="1">IFERROR(VLOOKUP(EHD[[#This Row],[DEVELOPMENT]],Data[],4,FALSE),"")</f>
        <v>2026+</v>
      </c>
      <c r="K146" s="1" t="str">
        <f ca="1">IF(EHD[[#This Row],[RAD/PACT]]="","",IF(OR(EHD[[#This Row],[RAD/PACT]]="2021-2025",EHD[[#This Row],[RAD/PACT]]="2019-2020"),"Yes",""))</f>
        <v/>
      </c>
      <c r="L146" s="1"/>
      <c r="M146" s="1"/>
      <c r="N146" s="1"/>
      <c r="O146" s="1"/>
      <c r="P146" s="47">
        <f ca="1">IF(EHD[[#This Row],[RAD/PACT]]="2019-2020",0,INDEX(UnitCosts[],MATCH(EHD[[#This Row],[WORK TYPE]],UnitCosts[Work Type],0),2)*EHD[[#This Row],['# Hopper Doors]])*(1+((EHD[[#This Row],[est. Year]]-YEAR(TODAY()))*$P$2))</f>
        <v>127298.21672000001</v>
      </c>
      <c r="Q146" s="51">
        <f ca="1">SUM(INDEX(EHD['# Hopper Doors],1):EHD[[#This Row],['# Hopper Doors]])</f>
        <v>1346</v>
      </c>
      <c r="R146" s="47">
        <f t="shared" ca="1" si="2"/>
        <v>2864209.8761999998</v>
      </c>
      <c r="S146" s="1">
        <f ca="1">IF(ISBLANK(EHD[[#This Row],[CALENDAR YEAR]]),ROUNDDOWN(EHD[[#This Row],[Running count]]/500,0)+$S$1,EHD[[#This Row],[CALENDAR YEAR]])</f>
        <v>2022</v>
      </c>
      <c r="T146" s="16"/>
    </row>
    <row r="147" spans="1:20">
      <c r="A147" s="13" t="s">
        <v>207</v>
      </c>
      <c r="B147" s="1" t="str">
        <f>VLOOKUP(A147,Data[],2,FALSE)</f>
        <v>BROOKLYN</v>
      </c>
      <c r="C147" s="9" t="s">
        <v>27</v>
      </c>
      <c r="D147" s="9" t="str">
        <f>VLOOKUP(EHD[[#This Row],[DEVELOPMENT]],Data[],52,FALSE)</f>
        <v>FEDERAL</v>
      </c>
      <c r="E147" s="1">
        <f>VLOOKUP(EHD[[#This Row],[DEVELOPMENT]],Data[],8,FALSE)</f>
        <v>0</v>
      </c>
      <c r="F147" s="9" t="str">
        <f>VLOOKUP(EHD[[#This Row],[DEVELOPMENT]],all[[DEVELOPMENT]:[MRST Ext. Comp. Priority]],6,FALSE)</f>
        <v>B</v>
      </c>
      <c r="G147" s="9">
        <v>45</v>
      </c>
      <c r="H147" s="1">
        <f>IF(VLOOKUP(EHD[[#This Row],[DEVELOPMENT]],Data[],9,FALSE)=0,5,VLOOKUP(EHD[[#This Row],[DEVELOPMENT]],Data[],9,FALSE))</f>
        <v>5</v>
      </c>
      <c r="I147" s="9">
        <f>EHD[[#This Row],[MRST '#HD]]</f>
        <v>45</v>
      </c>
      <c r="J147" s="1" t="str">
        <f ca="1">IFERROR(VLOOKUP(EHD[[#This Row],[DEVELOPMENT]],Data[],4,FALSE),"")</f>
        <v/>
      </c>
      <c r="K147" s="1" t="str">
        <f ca="1">IF(EHD[[#This Row],[RAD/PACT]]="","",IF(OR(EHD[[#This Row],[RAD/PACT]]="2021-2025",EHD[[#This Row],[RAD/PACT]]="2019-2020"),"Yes",""))</f>
        <v/>
      </c>
      <c r="L147" s="1"/>
      <c r="M147" s="1"/>
      <c r="N147" s="1"/>
      <c r="O147" s="1"/>
      <c r="P147" s="47">
        <f ca="1">IF(EHD[[#This Row],[RAD/PACT]]="2019-2020",0,INDEX(UnitCosts[],MATCH(EHD[[#This Row],[WORK TYPE]],UnitCosts[Work Type],0),2)*EHD[[#This Row],['# Hopper Doors]])*(1+((EHD[[#This Row],[est. Year]]-YEAR(TODAY()))*$P$2))</f>
        <v>358026.23452500004</v>
      </c>
      <c r="Q147" s="51">
        <f ca="1">SUM(INDEX(EHD['# Hopper Doors],1):EHD[[#This Row],['# Hopper Doors]])</f>
        <v>1391</v>
      </c>
      <c r="R147" s="47">
        <f t="shared" ca="1" si="2"/>
        <v>3222236.110725</v>
      </c>
      <c r="S147" s="1">
        <f ca="1">IF(ISBLANK(EHD[[#This Row],[CALENDAR YEAR]]),ROUNDDOWN(EHD[[#This Row],[Running count]]/500,0)+$S$1,EHD[[#This Row],[CALENDAR YEAR]])</f>
        <v>2022</v>
      </c>
      <c r="T147" s="16"/>
    </row>
    <row r="148" spans="1:20">
      <c r="A148" s="110" t="s">
        <v>215</v>
      </c>
      <c r="B148" s="1" t="str">
        <f>VLOOKUP(A148,Data[],2,FALSE)</f>
        <v>QUEENS</v>
      </c>
      <c r="C148" s="9" t="s">
        <v>27</v>
      </c>
      <c r="D148" s="9" t="str">
        <f>VLOOKUP(EHD[[#This Row],[DEVELOPMENT]],Data[],52,FALSE)</f>
        <v>FEDERAL</v>
      </c>
      <c r="E148" s="1">
        <f>VLOOKUP(EHD[[#This Row],[DEVELOPMENT]],Data[],8,FALSE)</f>
        <v>0</v>
      </c>
      <c r="F148" s="9" t="str">
        <f>VLOOKUP(EHD[[#This Row],[DEVELOPMENT]],all[[DEVELOPMENT]:[MRST Ext. Comp. Priority]],6,FALSE)</f>
        <v>B</v>
      </c>
      <c r="G148" s="109">
        <v>0</v>
      </c>
      <c r="H148" s="1">
        <f>IF(VLOOKUP(EHD[[#This Row],[DEVELOPMENT]],Data[],9,FALSE)=0,5,VLOOKUP(EHD[[#This Row],[DEVELOPMENT]],Data[],9,FALSE))</f>
        <v>5</v>
      </c>
      <c r="I148" s="9">
        <f>EHD[[#This Row],[MRST '#HD]]</f>
        <v>0</v>
      </c>
      <c r="J148" s="1" t="str">
        <f ca="1">IFERROR(VLOOKUP(EHD[[#This Row],[DEVELOPMENT]],Data[],4,FALSE),"")</f>
        <v/>
      </c>
      <c r="K148" s="1" t="str">
        <f ca="1">IF(EHD[[#This Row],[RAD/PACT]]="","",IF(OR(EHD[[#This Row],[RAD/PACT]]="2021-2025",EHD[[#This Row],[RAD/PACT]]="2019-2020"),"Yes",""))</f>
        <v/>
      </c>
      <c r="L148" s="1"/>
      <c r="M148" s="1"/>
      <c r="N148" s="1"/>
      <c r="O148" s="1"/>
      <c r="P148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48" s="51">
        <f ca="1">SUM(INDEX(EHD['# Hopper Doors],1):EHD[[#This Row],['# Hopper Doors]])</f>
        <v>1391</v>
      </c>
      <c r="R148" s="47">
        <f t="shared" ca="1" si="2"/>
        <v>3222236.110725</v>
      </c>
      <c r="S148" s="1">
        <f ca="1">IF(ISBLANK(EHD[[#This Row],[CALENDAR YEAR]]),ROUNDDOWN(EHD[[#This Row],[Running count]]/500,0)+$S$1,EHD[[#This Row],[CALENDAR YEAR]])</f>
        <v>2022</v>
      </c>
      <c r="T148" s="16"/>
    </row>
    <row r="149" spans="1:20">
      <c r="A149" s="65" t="s">
        <v>205</v>
      </c>
      <c r="B149" s="9" t="str">
        <f>VLOOKUP(A149,Data[],2,FALSE)</f>
        <v>BROOKLYN</v>
      </c>
      <c r="C149" s="9" t="s">
        <v>27</v>
      </c>
      <c r="D149" s="9" t="str">
        <f>VLOOKUP(EHD[[#This Row],[DEVELOPMENT]],Data[],52,FALSE)</f>
        <v>FEDERAL</v>
      </c>
      <c r="E149" s="9">
        <f>VLOOKUP(EHD[[#This Row],[DEVELOPMENT]],Data[],8,FALSE)</f>
        <v>0</v>
      </c>
      <c r="F149" s="9" t="str">
        <f>VLOOKUP(EHD[[#This Row],[DEVELOPMENT]],all[[DEVELOPMENT]:[MRST Ext. Comp. Priority]],6,FALSE)</f>
        <v>B</v>
      </c>
      <c r="G149" s="9">
        <v>5</v>
      </c>
      <c r="H149" s="9">
        <f>IF(VLOOKUP(EHD[[#This Row],[DEVELOPMENT]],Data[],9,FALSE)=0,5,VLOOKUP(EHD[[#This Row],[DEVELOPMENT]],Data[],9,FALSE))</f>
        <v>5</v>
      </c>
      <c r="I149" s="9">
        <f>EHD[[#This Row],[MRST '#HD]]</f>
        <v>5</v>
      </c>
      <c r="J149" s="9" t="str">
        <f ca="1">IFERROR(VLOOKUP(EHD[[#This Row],[DEVELOPMENT]],Data[],4,FALSE),"")</f>
        <v/>
      </c>
      <c r="K149" s="9" t="str">
        <f ca="1">IF(EHD[[#This Row],[RAD/PACT]]="","",IF(OR(EHD[[#This Row],[RAD/PACT]]="2021-2025",EHD[[#This Row],[RAD/PACT]]="2019-2020"),"Yes",""))</f>
        <v/>
      </c>
      <c r="L149" s="9"/>
      <c r="M149" s="9"/>
      <c r="N149" s="9"/>
      <c r="O149" s="9"/>
      <c r="P149" s="47">
        <f ca="1">IF(EHD[[#This Row],[RAD/PACT]]="2019-2020",0,INDEX(UnitCosts[],MATCH(EHD[[#This Row],[WORK TYPE]],UnitCosts[Work Type],0),2)*EHD[[#This Row],['# Hopper Doors]])*(1+((EHD[[#This Row],[est. Year]]-YEAR(TODAY()))*$P$2))</f>
        <v>39780.692725000001</v>
      </c>
      <c r="Q149" s="50">
        <f ca="1">SUM(INDEX(EHD['# Hopper Doors],1):EHD[[#This Row],['# Hopper Doors]])</f>
        <v>1396</v>
      </c>
      <c r="R149" s="126">
        <f t="shared" ca="1" si="2"/>
        <v>3262016.80345</v>
      </c>
      <c r="S149" s="1">
        <f ca="1">IF(ISBLANK(EHD[[#This Row],[CALENDAR YEAR]]),ROUNDDOWN(EHD[[#This Row],[Running count]]/500,0)+$S$1,EHD[[#This Row],[CALENDAR YEAR]])</f>
        <v>2022</v>
      </c>
      <c r="T149" s="137"/>
    </row>
    <row r="150" spans="1:20">
      <c r="A150" s="13" t="s">
        <v>192</v>
      </c>
      <c r="B150" s="1" t="str">
        <f>VLOOKUP(A150,Data[],2,FALSE)</f>
        <v>BROOKLYN</v>
      </c>
      <c r="C150" s="9" t="s">
        <v>27</v>
      </c>
      <c r="D150" s="9" t="str">
        <f>VLOOKUP(EHD[[#This Row],[DEVELOPMENT]],Data[],52,FALSE)</f>
        <v>FEDERAL</v>
      </c>
      <c r="E150" s="1">
        <f>VLOOKUP(EHD[[#This Row],[DEVELOPMENT]],Data[],8,FALSE)</f>
        <v>0</v>
      </c>
      <c r="F150" s="9" t="str">
        <f>VLOOKUP(EHD[[#This Row],[DEVELOPMENT]],all[[DEVELOPMENT]:[MRST Ext. Comp. Priority]],6,FALSE)</f>
        <v>B</v>
      </c>
      <c r="G150" s="9">
        <v>4</v>
      </c>
      <c r="H150" s="1">
        <f>IF(VLOOKUP(EHD[[#This Row],[DEVELOPMENT]],Data[],9,FALSE)=0,5,VLOOKUP(EHD[[#This Row],[DEVELOPMENT]],Data[],9,FALSE))</f>
        <v>5</v>
      </c>
      <c r="I150" s="9">
        <f>EHD[[#This Row],[MRST '#HD]]</f>
        <v>4</v>
      </c>
      <c r="J150" s="1" t="str">
        <f ca="1">IFERROR(VLOOKUP(EHD[[#This Row],[DEVELOPMENT]],Data[],4,FALSE),"")</f>
        <v/>
      </c>
      <c r="K150" s="1" t="str">
        <f ca="1">IF(EHD[[#This Row],[RAD/PACT]]="","",IF(OR(EHD[[#This Row],[RAD/PACT]]="2021-2025",EHD[[#This Row],[RAD/PACT]]="2019-2020"),"Yes",""))</f>
        <v/>
      </c>
      <c r="L150" s="1"/>
      <c r="M150" s="1"/>
      <c r="N150" s="1"/>
      <c r="O150" s="1"/>
      <c r="P150" s="47">
        <f ca="1">IF(EHD[[#This Row],[RAD/PACT]]="2019-2020",0,INDEX(UnitCosts[],MATCH(EHD[[#This Row],[WORK TYPE]],UnitCosts[Work Type],0),2)*EHD[[#This Row],['# Hopper Doors]])*(1+((EHD[[#This Row],[est. Year]]-YEAR(TODAY()))*$P$2))</f>
        <v>31824.554180000003</v>
      </c>
      <c r="Q150" s="51">
        <f ca="1">SUM(INDEX(EHD['# Hopper Doors],1):EHD[[#This Row],['# Hopper Doors]])</f>
        <v>1400</v>
      </c>
      <c r="R150" s="47">
        <f t="shared" ca="1" si="2"/>
        <v>3293841.35763</v>
      </c>
      <c r="S150" s="1">
        <f ca="1">IF(ISBLANK(EHD[[#This Row],[CALENDAR YEAR]]),ROUNDDOWN(EHD[[#This Row],[Running count]]/500,0)+$S$1,EHD[[#This Row],[CALENDAR YEAR]])</f>
        <v>2022</v>
      </c>
      <c r="T150" s="16"/>
    </row>
    <row r="151" spans="1:20">
      <c r="A151" s="13" t="s">
        <v>193</v>
      </c>
      <c r="B151" s="1" t="str">
        <f>VLOOKUP(A151,Data[],2,FALSE)</f>
        <v>BROOKLYN</v>
      </c>
      <c r="C151" s="9" t="s">
        <v>27</v>
      </c>
      <c r="D151" s="9" t="str">
        <f>VLOOKUP(EHD[[#This Row],[DEVELOPMENT]],Data[],52,FALSE)</f>
        <v>MIXED FINANCE/LLC1</v>
      </c>
      <c r="E151" s="1">
        <f>VLOOKUP(EHD[[#This Row],[DEVELOPMENT]],Data[],8,FALSE)</f>
        <v>0</v>
      </c>
      <c r="F151" s="9" t="str">
        <f>VLOOKUP(EHD[[#This Row],[DEVELOPMENT]],all[[DEVELOPMENT]:[MRST Ext. Comp. Priority]],6,FALSE)</f>
        <v>B</v>
      </c>
      <c r="G151" s="9">
        <v>28</v>
      </c>
      <c r="H151" s="1">
        <f>IF(VLOOKUP(EHD[[#This Row],[DEVELOPMENT]],Data[],9,FALSE)=0,5,VLOOKUP(EHD[[#This Row],[DEVELOPMENT]],Data[],9,FALSE))</f>
        <v>5</v>
      </c>
      <c r="I151" s="9">
        <f>EHD[[#This Row],[MRST '#HD]]</f>
        <v>28</v>
      </c>
      <c r="J151" s="1" t="str">
        <f ca="1">IFERROR(VLOOKUP(EHD[[#This Row],[DEVELOPMENT]],Data[],4,FALSE),"")</f>
        <v>2026+</v>
      </c>
      <c r="K151" s="1" t="str">
        <f ca="1">IF(EHD[[#This Row],[RAD/PACT]]="","",IF(OR(EHD[[#This Row],[RAD/PACT]]="2021-2025",EHD[[#This Row],[RAD/PACT]]="2019-2020"),"Yes",""))</f>
        <v/>
      </c>
      <c r="L151" s="1"/>
      <c r="M151" s="1"/>
      <c r="N151" s="1"/>
      <c r="O151" s="1"/>
      <c r="P151" s="47">
        <f ca="1">IF(EHD[[#This Row],[RAD/PACT]]="2019-2020",0,INDEX(UnitCosts[],MATCH(EHD[[#This Row],[WORK TYPE]],UnitCosts[Work Type],0),2)*EHD[[#This Row],['# Hopper Doors]])*(1+((EHD[[#This Row],[est. Year]]-YEAR(TODAY()))*$P$2))</f>
        <v>222771.87926000002</v>
      </c>
      <c r="Q151" s="51">
        <f ca="1">SUM(INDEX(EHD['# Hopper Doors],1):EHD[[#This Row],['# Hopper Doors]])</f>
        <v>1428</v>
      </c>
      <c r="R151" s="47">
        <f t="shared" ca="1" si="2"/>
        <v>3516613.2368899998</v>
      </c>
      <c r="S151" s="1">
        <f ca="1">IF(ISBLANK(EHD[[#This Row],[CALENDAR YEAR]]),ROUNDDOWN(EHD[[#This Row],[Running count]]/500,0)+$S$1,EHD[[#This Row],[CALENDAR YEAR]])</f>
        <v>2022</v>
      </c>
      <c r="T151" s="16"/>
    </row>
    <row r="152" spans="1:20">
      <c r="A152" s="13" t="s">
        <v>223</v>
      </c>
      <c r="B152" s="1" t="str">
        <f>VLOOKUP(A152,Data[],2,FALSE)</f>
        <v>BRONX</v>
      </c>
      <c r="C152" s="9" t="s">
        <v>27</v>
      </c>
      <c r="D152" s="9" t="str">
        <f>VLOOKUP(EHD[[#This Row],[DEVELOPMENT]],Data[],52,FALSE)</f>
        <v>FEDERAL</v>
      </c>
      <c r="E152" s="1">
        <f>VLOOKUP(EHD[[#This Row],[DEVELOPMENT]],Data[],8,FALSE)</f>
        <v>0</v>
      </c>
      <c r="F152" s="9" t="str">
        <f>VLOOKUP(EHD[[#This Row],[DEVELOPMENT]],all[[DEVELOPMENT]:[MRST Ext. Comp. Priority]],6,FALSE)</f>
        <v>B</v>
      </c>
      <c r="G152" s="9">
        <v>10</v>
      </c>
      <c r="H152" s="1">
        <f>IF(VLOOKUP(EHD[[#This Row],[DEVELOPMENT]],Data[],9,FALSE)=0,5,VLOOKUP(EHD[[#This Row],[DEVELOPMENT]],Data[],9,FALSE))</f>
        <v>5</v>
      </c>
      <c r="I152" s="9">
        <f>EHD[[#This Row],[MRST '#HD]]</f>
        <v>10</v>
      </c>
      <c r="J152" s="1" t="str">
        <f ca="1">IFERROR(VLOOKUP(EHD[[#This Row],[DEVELOPMENT]],Data[],4,FALSE),"")</f>
        <v>2026+</v>
      </c>
      <c r="K152" s="1" t="str">
        <f ca="1">IF(EHD[[#This Row],[RAD/PACT]]="","",IF(OR(EHD[[#This Row],[RAD/PACT]]="2021-2025",EHD[[#This Row],[RAD/PACT]]="2019-2020"),"Yes",""))</f>
        <v/>
      </c>
      <c r="L152" s="1"/>
      <c r="M152" s="1"/>
      <c r="N152" s="1"/>
      <c r="O152" s="1"/>
      <c r="P152" s="47">
        <f ca="1">IF(EHD[[#This Row],[RAD/PACT]]="2019-2020",0,INDEX(UnitCosts[],MATCH(EHD[[#This Row],[WORK TYPE]],UnitCosts[Work Type],0),2)*EHD[[#This Row],['# Hopper Doors]])*(1+((EHD[[#This Row],[est. Year]]-YEAR(TODAY()))*$P$2))</f>
        <v>79561.385450000002</v>
      </c>
      <c r="Q152" s="51">
        <f ca="1">SUM(INDEX(EHD['# Hopper Doors],1):EHD[[#This Row],['# Hopper Doors]])</f>
        <v>1438</v>
      </c>
      <c r="R152" s="47">
        <f t="shared" ca="1" si="2"/>
        <v>3596174.6223399998</v>
      </c>
      <c r="S152" s="1">
        <f ca="1">IF(ISBLANK(EHD[[#This Row],[CALENDAR YEAR]]),ROUNDDOWN(EHD[[#This Row],[Running count]]/500,0)+$S$1,EHD[[#This Row],[CALENDAR YEAR]])</f>
        <v>2022</v>
      </c>
      <c r="T152" s="16"/>
    </row>
    <row r="153" spans="1:20">
      <c r="A153" s="13" t="s">
        <v>210</v>
      </c>
      <c r="B153" s="1" t="str">
        <f>VLOOKUP(A153,Data[],2,FALSE)</f>
        <v>BRONX</v>
      </c>
      <c r="C153" s="9" t="s">
        <v>27</v>
      </c>
      <c r="D153" s="9" t="str">
        <f>VLOOKUP(EHD[[#This Row],[DEVELOPMENT]],Data[],52,FALSE)</f>
        <v>FEDERAL</v>
      </c>
      <c r="E153" s="1">
        <f>VLOOKUP(EHD[[#This Row],[DEVELOPMENT]],Data[],8,FALSE)</f>
        <v>0</v>
      </c>
      <c r="F153" s="9" t="str">
        <f>VLOOKUP(EHD[[#This Row],[DEVELOPMENT]],all[[DEVELOPMENT]:[MRST Ext. Comp. Priority]],6,FALSE)</f>
        <v>B</v>
      </c>
      <c r="G153" s="9">
        <v>38</v>
      </c>
      <c r="H153" s="1">
        <f>IF(VLOOKUP(EHD[[#This Row],[DEVELOPMENT]],Data[],9,FALSE)=0,5,VLOOKUP(EHD[[#This Row],[DEVELOPMENT]],Data[],9,FALSE))</f>
        <v>5</v>
      </c>
      <c r="I153" s="9">
        <f>EHD[[#This Row],[MRST '#HD]]</f>
        <v>38</v>
      </c>
      <c r="J153" s="1" t="str">
        <f ca="1">IFERROR(VLOOKUP(EHD[[#This Row],[DEVELOPMENT]],Data[],4,FALSE),"")</f>
        <v>2022-2025</v>
      </c>
      <c r="K153" s="1" t="str">
        <f ca="1">IF(EHD[[#This Row],[RAD/PACT]]="","",IF(OR(EHD[[#This Row],[RAD/PACT]]="2021-2025",EHD[[#This Row],[RAD/PACT]]="2019-2020"),"Yes",""))</f>
        <v/>
      </c>
      <c r="L153" s="1"/>
      <c r="M153" s="1"/>
      <c r="N153" s="1"/>
      <c r="O153" s="1"/>
      <c r="P153" s="47">
        <f ca="1">IF(EHD[[#This Row],[RAD/PACT]]="2019-2020",0,INDEX(UnitCosts[],MATCH(EHD[[#This Row],[WORK TYPE]],UnitCosts[Work Type],0),2)*EHD[[#This Row],['# Hopper Doors]])*(1+((EHD[[#This Row],[est. Year]]-YEAR(TODAY()))*$P$2))</f>
        <v>302333.26471000002</v>
      </c>
      <c r="Q153" s="51">
        <f ca="1">SUM(INDEX(EHD['# Hopper Doors],1):EHD[[#This Row],['# Hopper Doors]])</f>
        <v>1476</v>
      </c>
      <c r="R153" s="47">
        <f t="shared" ca="1" si="2"/>
        <v>3898507.88705</v>
      </c>
      <c r="S153" s="1">
        <f ca="1">IF(ISBLANK(EHD[[#This Row],[CALENDAR YEAR]]),ROUNDDOWN(EHD[[#This Row],[Running count]]/500,0)+$S$1,EHD[[#This Row],[CALENDAR YEAR]])</f>
        <v>2022</v>
      </c>
      <c r="T153" s="16"/>
    </row>
    <row r="154" spans="1:20">
      <c r="A154" s="13" t="s">
        <v>211</v>
      </c>
      <c r="B154" s="1" t="str">
        <f>VLOOKUP(A154,Data[],2,FALSE)</f>
        <v>QUEENS</v>
      </c>
      <c r="C154" s="9" t="s">
        <v>27</v>
      </c>
      <c r="D154" s="9" t="str">
        <f>VLOOKUP(EHD[[#This Row],[DEVELOPMENT]],Data[],52,FALSE)</f>
        <v>FEDERAL</v>
      </c>
      <c r="E154" s="1">
        <f>VLOOKUP(EHD[[#This Row],[DEVELOPMENT]],Data[],8,FALSE)</f>
        <v>0</v>
      </c>
      <c r="F154" s="9" t="str">
        <f>VLOOKUP(EHD[[#This Row],[DEVELOPMENT]],all[[DEVELOPMENT]:[MRST Ext. Comp. Priority]],6,FALSE)</f>
        <v>B</v>
      </c>
      <c r="G154" s="9">
        <v>121</v>
      </c>
      <c r="H154" s="1">
        <f>IF(VLOOKUP(EHD[[#This Row],[DEVELOPMENT]],Data[],9,FALSE)=0,5,VLOOKUP(EHD[[#This Row],[DEVELOPMENT]],Data[],9,FALSE))</f>
        <v>5</v>
      </c>
      <c r="I154" s="9">
        <f>EHD[[#This Row],[MRST '#HD]]</f>
        <v>121</v>
      </c>
      <c r="J154" s="1" t="str">
        <f ca="1">IFERROR(VLOOKUP(EHD[[#This Row],[DEVELOPMENT]],Data[],4,FALSE),"")</f>
        <v>2026+</v>
      </c>
      <c r="K154" s="1" t="str">
        <f ca="1">IF(EHD[[#This Row],[RAD/PACT]]="","",IF(OR(EHD[[#This Row],[RAD/PACT]]="2021-2025",EHD[[#This Row],[RAD/PACT]]="2019-2020"),"Yes",""))</f>
        <v/>
      </c>
      <c r="L154" s="1"/>
      <c r="M154" s="1"/>
      <c r="N154" s="1"/>
      <c r="O154" s="1"/>
      <c r="P154" s="47">
        <f ca="1">IF(EHD[[#This Row],[RAD/PACT]]="2019-2020",0,INDEX(UnitCosts[],MATCH(EHD[[#This Row],[WORK TYPE]],UnitCosts[Work Type],0),2)*EHD[[#This Row],['# Hopper Doors]])*(1+((EHD[[#This Row],[est. Year]]-YEAR(TODAY()))*$P$2))</f>
        <v>994182.71416749991</v>
      </c>
      <c r="Q154" s="51">
        <f ca="1">SUM(INDEX(EHD['# Hopper Doors],1):EHD[[#This Row],['# Hopper Doors]])</f>
        <v>1597</v>
      </c>
      <c r="R154" s="47">
        <f t="shared" ca="1" si="2"/>
        <v>994182.71416749991</v>
      </c>
      <c r="S154" s="1">
        <f ca="1">IF(ISBLANK(EHD[[#This Row],[CALENDAR YEAR]]),ROUNDDOWN(EHD[[#This Row],[Running count]]/500,0)+$S$1,EHD[[#This Row],[CALENDAR YEAR]])</f>
        <v>2023</v>
      </c>
      <c r="T154" s="16"/>
    </row>
    <row r="155" spans="1:20">
      <c r="A155" s="13" t="s">
        <v>212</v>
      </c>
      <c r="B155" s="1" t="str">
        <f>VLOOKUP(A155,Data[],2,FALSE)</f>
        <v>QUEENS</v>
      </c>
      <c r="C155" s="9" t="s">
        <v>27</v>
      </c>
      <c r="D155" s="9" t="str">
        <f>VLOOKUP(EHD[[#This Row],[DEVELOPMENT]],Data[],52,FALSE)</f>
        <v>FEDERAL</v>
      </c>
      <c r="E155" s="1">
        <f>VLOOKUP(EHD[[#This Row],[DEVELOPMENT]],Data[],8,FALSE)</f>
        <v>0</v>
      </c>
      <c r="F155" s="9" t="str">
        <f>VLOOKUP(EHD[[#This Row],[DEVELOPMENT]],all[[DEVELOPMENT]:[MRST Ext. Comp. Priority]],6,FALSE)</f>
        <v>B</v>
      </c>
      <c r="G155" s="9">
        <v>45</v>
      </c>
      <c r="H155" s="1">
        <f>IF(VLOOKUP(EHD[[#This Row],[DEVELOPMENT]],Data[],9,FALSE)=0,5,VLOOKUP(EHD[[#This Row],[DEVELOPMENT]],Data[],9,FALSE))</f>
        <v>5</v>
      </c>
      <c r="I155" s="9">
        <f>EHD[[#This Row],[MRST '#HD]]</f>
        <v>45</v>
      </c>
      <c r="J155" s="1" t="str">
        <f ca="1">IFERROR(VLOOKUP(EHD[[#This Row],[DEVELOPMENT]],Data[],4,FALSE),"")</f>
        <v/>
      </c>
      <c r="K155" s="1" t="str">
        <f ca="1">IF(EHD[[#This Row],[RAD/PACT]]="","",IF(OR(EHD[[#This Row],[RAD/PACT]]="2021-2025",EHD[[#This Row],[RAD/PACT]]="2019-2020"),"Yes",""))</f>
        <v/>
      </c>
      <c r="L155" s="1"/>
      <c r="M155" s="1"/>
      <c r="N155" s="1"/>
      <c r="O155" s="1"/>
      <c r="P155" s="47">
        <f ca="1">IF(EHD[[#This Row],[RAD/PACT]]="2019-2020",0,INDEX(UnitCosts[],MATCH(EHD[[#This Row],[WORK TYPE]],UnitCosts[Work Type],0),2)*EHD[[#This Row],['# Hopper Doors]])*(1+((EHD[[#This Row],[est. Year]]-YEAR(TODAY()))*$P$2))</f>
        <v>369737.37303750002</v>
      </c>
      <c r="Q155" s="51">
        <f ca="1">SUM(INDEX(EHD['# Hopper Doors],1):EHD[[#This Row],['# Hopper Doors]])</f>
        <v>1642</v>
      </c>
      <c r="R155" s="47">
        <f t="shared" ca="1" si="2"/>
        <v>1363920.087205</v>
      </c>
      <c r="S155" s="1">
        <f ca="1">IF(ISBLANK(EHD[[#This Row],[CALENDAR YEAR]]),ROUNDDOWN(EHD[[#This Row],[Running count]]/500,0)+$S$1,EHD[[#This Row],[CALENDAR YEAR]])</f>
        <v>2023</v>
      </c>
      <c r="T155" s="16"/>
    </row>
    <row r="156" spans="1:20">
      <c r="A156" s="13" t="s">
        <v>213</v>
      </c>
      <c r="B156" s="1" t="str">
        <f>VLOOKUP(A156,Data[],2,FALSE)</f>
        <v>BROOKLYN</v>
      </c>
      <c r="C156" s="9" t="s">
        <v>27</v>
      </c>
      <c r="D156" s="9" t="str">
        <f>VLOOKUP(EHD[[#This Row],[DEVELOPMENT]],Data[],52,FALSE)</f>
        <v>FEDERAL</v>
      </c>
      <c r="E156" s="1">
        <f>VLOOKUP(EHD[[#This Row],[DEVELOPMENT]],Data[],8,FALSE)</f>
        <v>0</v>
      </c>
      <c r="F156" s="9" t="str">
        <f>VLOOKUP(EHD[[#This Row],[DEVELOPMENT]],all[[DEVELOPMENT]:[MRST Ext. Comp. Priority]],6,FALSE)</f>
        <v>B</v>
      </c>
      <c r="G156" s="9">
        <v>47</v>
      </c>
      <c r="H156" s="1">
        <f>IF(VLOOKUP(EHD[[#This Row],[DEVELOPMENT]],Data[],9,FALSE)=0,5,VLOOKUP(EHD[[#This Row],[DEVELOPMENT]],Data[],9,FALSE))</f>
        <v>5</v>
      </c>
      <c r="I156" s="9">
        <f>EHD[[#This Row],[MRST '#HD]]</f>
        <v>47</v>
      </c>
      <c r="J156" s="1" t="str">
        <f ca="1">IFERROR(VLOOKUP(EHD[[#This Row],[DEVELOPMENT]],Data[],4,FALSE),"")</f>
        <v>2022-2025</v>
      </c>
      <c r="K156" s="1" t="str">
        <f ca="1">IF(EHD[[#This Row],[RAD/PACT]]="","",IF(OR(EHD[[#This Row],[RAD/PACT]]="2021-2025",EHD[[#This Row],[RAD/PACT]]="2019-2020"),"Yes",""))</f>
        <v/>
      </c>
      <c r="L156" s="1"/>
      <c r="M156" s="1"/>
      <c r="N156" s="1"/>
      <c r="O156" s="1"/>
      <c r="P156" s="47">
        <f ca="1">IF(EHD[[#This Row],[RAD/PACT]]="2019-2020",0,INDEX(UnitCosts[],MATCH(EHD[[#This Row],[WORK TYPE]],UnitCosts[Work Type],0),2)*EHD[[#This Row],['# Hopper Doors]])*(1+((EHD[[#This Row],[est. Year]]-YEAR(TODAY()))*$P$2))</f>
        <v>386170.14517250005</v>
      </c>
      <c r="Q156" s="51">
        <f ca="1">SUM(INDEX(EHD['# Hopper Doors],1):EHD[[#This Row],['# Hopper Doors]])</f>
        <v>1689</v>
      </c>
      <c r="R156" s="47">
        <f t="shared" ca="1" si="2"/>
        <v>1750090.2323775</v>
      </c>
      <c r="S156" s="1">
        <f ca="1">IF(ISBLANK(EHD[[#This Row],[CALENDAR YEAR]]),ROUNDDOWN(EHD[[#This Row],[Running count]]/500,0)+$S$1,EHD[[#This Row],[CALENDAR YEAR]])</f>
        <v>2023</v>
      </c>
      <c r="T156" s="16"/>
    </row>
    <row r="157" spans="1:20">
      <c r="A157" s="13" t="s">
        <v>214</v>
      </c>
      <c r="B157" s="1" t="str">
        <f>VLOOKUP(A157,Data[],2,FALSE)</f>
        <v>BROOKLYN</v>
      </c>
      <c r="C157" s="9" t="s">
        <v>27</v>
      </c>
      <c r="D157" s="9" t="str">
        <f>VLOOKUP(EHD[[#This Row],[DEVELOPMENT]],Data[],52,FALSE)</f>
        <v>FEDERAL</v>
      </c>
      <c r="E157" s="1">
        <f>VLOOKUP(EHD[[#This Row],[DEVELOPMENT]],Data[],8,FALSE)</f>
        <v>0</v>
      </c>
      <c r="F157" s="9" t="str">
        <f>VLOOKUP(EHD[[#This Row],[DEVELOPMENT]],all[[DEVELOPMENT]:[MRST Ext. Comp. Priority]],6,FALSE)</f>
        <v>B</v>
      </c>
      <c r="G157" s="9">
        <v>49</v>
      </c>
      <c r="H157" s="1">
        <f>IF(VLOOKUP(EHD[[#This Row],[DEVELOPMENT]],Data[],9,FALSE)=0,5,VLOOKUP(EHD[[#This Row],[DEVELOPMENT]],Data[],9,FALSE))</f>
        <v>5</v>
      </c>
      <c r="I157" s="9">
        <f>EHD[[#This Row],[MRST '#HD]]</f>
        <v>49</v>
      </c>
      <c r="J157" s="1" t="str">
        <f ca="1">IFERROR(VLOOKUP(EHD[[#This Row],[DEVELOPMENT]],Data[],4,FALSE),"")</f>
        <v>2022-2025</v>
      </c>
      <c r="K157" s="1" t="str">
        <f ca="1">IF(EHD[[#This Row],[RAD/PACT]]="","",IF(OR(EHD[[#This Row],[RAD/PACT]]="2021-2025",EHD[[#This Row],[RAD/PACT]]="2019-2020"),"Yes",""))</f>
        <v/>
      </c>
      <c r="L157" s="1"/>
      <c r="M157" s="1"/>
      <c r="N157" s="1"/>
      <c r="O157" s="1"/>
      <c r="P157" s="47">
        <f ca="1">IF(EHD[[#This Row],[RAD/PACT]]="2019-2020",0,INDEX(UnitCosts[],MATCH(EHD[[#This Row],[WORK TYPE]],UnitCosts[Work Type],0),2)*EHD[[#This Row],['# Hopper Doors]])*(1+((EHD[[#This Row],[est. Year]]-YEAR(TODAY()))*$P$2))</f>
        <v>402602.91730749997</v>
      </c>
      <c r="Q157" s="51">
        <f ca="1">SUM(INDEX(EHD['# Hopper Doors],1):EHD[[#This Row],['# Hopper Doors]])</f>
        <v>1738</v>
      </c>
      <c r="R157" s="47">
        <f t="shared" ca="1" si="2"/>
        <v>2152693.1496850001</v>
      </c>
      <c r="S157" s="1">
        <f ca="1">IF(ISBLANK(EHD[[#This Row],[CALENDAR YEAR]]),ROUNDDOWN(EHD[[#This Row],[Running count]]/500,0)+$S$1,EHD[[#This Row],[CALENDAR YEAR]])</f>
        <v>2023</v>
      </c>
      <c r="T157" s="16"/>
    </row>
    <row r="158" spans="1:20">
      <c r="A158" s="13" t="s">
        <v>194</v>
      </c>
      <c r="B158" s="1" t="str">
        <f>VLOOKUP(A158,Data[],2,FALSE)</f>
        <v>QUEENS</v>
      </c>
      <c r="C158" s="9" t="s">
        <v>27</v>
      </c>
      <c r="D158" s="9" t="str">
        <f>VLOOKUP(EHD[[#This Row],[DEVELOPMENT]],Data[],52,FALSE)</f>
        <v>FEDERAL</v>
      </c>
      <c r="E158" s="1">
        <f>VLOOKUP(EHD[[#This Row],[DEVELOPMENT]],Data[],8,FALSE)</f>
        <v>0</v>
      </c>
      <c r="F158" s="9" t="str">
        <f>VLOOKUP(EHD[[#This Row],[DEVELOPMENT]],all[[DEVELOPMENT]:[MRST Ext. Comp. Priority]],6,FALSE)</f>
        <v>B</v>
      </c>
      <c r="G158" s="9">
        <v>16</v>
      </c>
      <c r="H158" s="1">
        <f>IF(VLOOKUP(EHD[[#This Row],[DEVELOPMENT]],Data[],9,FALSE)=0,5,VLOOKUP(EHD[[#This Row],[DEVELOPMENT]],Data[],9,FALSE))</f>
        <v>5</v>
      </c>
      <c r="I158" s="9">
        <f>EHD[[#This Row],[MRST '#HD]]</f>
        <v>16</v>
      </c>
      <c r="J158" s="1" t="str">
        <f ca="1">IFERROR(VLOOKUP(EHD[[#This Row],[DEVELOPMENT]],Data[],4,FALSE),"")</f>
        <v>2020-2021</v>
      </c>
      <c r="K158" s="1" t="str">
        <f ca="1">IF(EHD[[#This Row],[RAD/PACT]]="","",IF(OR(EHD[[#This Row],[RAD/PACT]]="2021-2025",EHD[[#This Row],[RAD/PACT]]="2019-2020"),"Yes",""))</f>
        <v/>
      </c>
      <c r="L158" s="1"/>
      <c r="M158" s="1"/>
      <c r="N158" s="1"/>
      <c r="O158" s="1"/>
      <c r="P158" s="47">
        <f ca="1">IF(EHD[[#This Row],[RAD/PACT]]="2019-2020",0,INDEX(UnitCosts[],MATCH(EHD[[#This Row],[WORK TYPE]],UnitCosts[Work Type],0),2)*EHD[[#This Row],['# Hopper Doors]])*(1+((EHD[[#This Row],[est. Year]]-YEAR(TODAY()))*$P$2))</f>
        <v>131462.17707999999</v>
      </c>
      <c r="Q158" s="51">
        <f ca="1">SUM(INDEX(EHD['# Hopper Doors],1):EHD[[#This Row],['# Hopper Doors]])</f>
        <v>1754</v>
      </c>
      <c r="R158" s="47">
        <f t="shared" ca="1" si="2"/>
        <v>2284155.3267649999</v>
      </c>
      <c r="S158" s="1">
        <f ca="1">IF(ISBLANK(EHD[[#This Row],[CALENDAR YEAR]]),ROUNDDOWN(EHD[[#This Row],[Running count]]/500,0)+$S$1,EHD[[#This Row],[CALENDAR YEAR]])</f>
        <v>2023</v>
      </c>
      <c r="T158" s="16"/>
    </row>
    <row r="159" spans="1:20">
      <c r="A159" s="13" t="s">
        <v>216</v>
      </c>
      <c r="B159" s="1" t="str">
        <f>VLOOKUP(A159,Data[],2,FALSE)</f>
        <v>BROOKLYN</v>
      </c>
      <c r="C159" s="9" t="s">
        <v>27</v>
      </c>
      <c r="D159" s="9" t="str">
        <f>VLOOKUP(EHD[[#This Row],[DEVELOPMENT]],Data[],52,FALSE)</f>
        <v>FEDERAL</v>
      </c>
      <c r="E159" s="1">
        <f>VLOOKUP(EHD[[#This Row],[DEVELOPMENT]],Data[],8,FALSE)</f>
        <v>0</v>
      </c>
      <c r="F159" s="9" t="str">
        <f>VLOOKUP(EHD[[#This Row],[DEVELOPMENT]],all[[DEVELOPMENT]:[MRST Ext. Comp. Priority]],6,FALSE)</f>
        <v>B</v>
      </c>
      <c r="G159" s="9">
        <v>1</v>
      </c>
      <c r="H159" s="1">
        <f>IF(VLOOKUP(EHD[[#This Row],[DEVELOPMENT]],Data[],9,FALSE)=0,5,VLOOKUP(EHD[[#This Row],[DEVELOPMENT]],Data[],9,FALSE))</f>
        <v>5</v>
      </c>
      <c r="I159" s="9">
        <f>EHD[[#This Row],[MRST '#HD]]</f>
        <v>1</v>
      </c>
      <c r="J159" s="1" t="str">
        <f ca="1">IFERROR(VLOOKUP(EHD[[#This Row],[DEVELOPMENT]],Data[],4,FALSE),"")</f>
        <v>2020-2021</v>
      </c>
      <c r="K159" s="1" t="str">
        <f ca="1">IF(EHD[[#This Row],[RAD/PACT]]="","",IF(OR(EHD[[#This Row],[RAD/PACT]]="2021-2025",EHD[[#This Row],[RAD/PACT]]="2019-2020"),"Yes",""))</f>
        <v/>
      </c>
      <c r="L159" s="1"/>
      <c r="M159" s="1"/>
      <c r="N159" s="1"/>
      <c r="O159" s="1"/>
      <c r="P159" s="47">
        <f ca="1">IF(EHD[[#This Row],[RAD/PACT]]="2019-2020",0,INDEX(UnitCosts[],MATCH(EHD[[#This Row],[WORK TYPE]],UnitCosts[Work Type],0),2)*EHD[[#This Row],['# Hopper Doors]])*(1+((EHD[[#This Row],[est. Year]]-YEAR(TODAY()))*$P$2))</f>
        <v>8216.3860674999996</v>
      </c>
      <c r="Q159" s="51">
        <f ca="1">SUM(INDEX(EHD['# Hopper Doors],1):EHD[[#This Row],['# Hopper Doors]])</f>
        <v>1755</v>
      </c>
      <c r="R159" s="47">
        <f t="shared" ca="1" si="2"/>
        <v>2292371.7128324998</v>
      </c>
      <c r="S159" s="1">
        <f ca="1">IF(ISBLANK(EHD[[#This Row],[CALENDAR YEAR]]),ROUNDDOWN(EHD[[#This Row],[Running count]]/500,0)+$S$1,EHD[[#This Row],[CALENDAR YEAR]])</f>
        <v>2023</v>
      </c>
      <c r="T159" s="16"/>
    </row>
    <row r="160" spans="1:20">
      <c r="A160" s="13" t="s">
        <v>209</v>
      </c>
      <c r="B160" s="1" t="str">
        <f>VLOOKUP(A160,Data[],2,FALSE)</f>
        <v>BROOKLYN</v>
      </c>
      <c r="C160" s="9" t="s">
        <v>27</v>
      </c>
      <c r="D160" s="9" t="str">
        <f>VLOOKUP(EHD[[#This Row],[DEVELOPMENT]],Data[],52,FALSE)</f>
        <v>FEDERAL</v>
      </c>
      <c r="E160" s="1">
        <f>VLOOKUP(EHD[[#This Row],[DEVELOPMENT]],Data[],8,FALSE)</f>
        <v>0</v>
      </c>
      <c r="F160" s="9" t="str">
        <f>VLOOKUP(EHD[[#This Row],[DEVELOPMENT]],all[[DEVELOPMENT]:[MRST Ext. Comp. Priority]],6,FALSE)</f>
        <v>B</v>
      </c>
      <c r="G160" s="9">
        <v>32</v>
      </c>
      <c r="H160" s="1">
        <f>IF(VLOOKUP(EHD[[#This Row],[DEVELOPMENT]],Data[],9,FALSE)=0,5,VLOOKUP(EHD[[#This Row],[DEVELOPMENT]],Data[],9,FALSE))</f>
        <v>5</v>
      </c>
      <c r="I160" s="9">
        <f>EHD[[#This Row],[MRST '#HD]]</f>
        <v>32</v>
      </c>
      <c r="J160" s="1" t="str">
        <f ca="1">IFERROR(VLOOKUP(EHD[[#This Row],[DEVELOPMENT]],Data[],4,FALSE),"")</f>
        <v>2026+</v>
      </c>
      <c r="K160" s="1" t="str">
        <f ca="1">IF(EHD[[#This Row],[RAD/PACT]]="","",IF(OR(EHD[[#This Row],[RAD/PACT]]="2021-2025",EHD[[#This Row],[RAD/PACT]]="2019-2020"),"Yes",""))</f>
        <v/>
      </c>
      <c r="L160" s="1"/>
      <c r="M160" s="1"/>
      <c r="N160" s="1"/>
      <c r="O160" s="1"/>
      <c r="P160" s="47">
        <f ca="1">IF(EHD[[#This Row],[RAD/PACT]]="2019-2020",0,INDEX(UnitCosts[],MATCH(EHD[[#This Row],[WORK TYPE]],UnitCosts[Work Type],0),2)*EHD[[#This Row],['# Hopper Doors]])*(1+((EHD[[#This Row],[est. Year]]-YEAR(TODAY()))*$P$2))</f>
        <v>262924.35415999999</v>
      </c>
      <c r="Q160" s="51">
        <f ca="1">SUM(INDEX(EHD['# Hopper Doors],1):EHD[[#This Row],['# Hopper Doors]])</f>
        <v>1787</v>
      </c>
      <c r="R160" s="47">
        <f t="shared" ca="1" si="2"/>
        <v>2555296.0669924999</v>
      </c>
      <c r="S160" s="1">
        <f ca="1">IF(ISBLANK(EHD[[#This Row],[CALENDAR YEAR]]),ROUNDDOWN(EHD[[#This Row],[Running count]]/500,0)+$S$1,EHD[[#This Row],[CALENDAR YEAR]])</f>
        <v>2023</v>
      </c>
      <c r="T160" s="16"/>
    </row>
    <row r="161" spans="1:20">
      <c r="A161" s="13" t="s">
        <v>196</v>
      </c>
      <c r="B161" s="1" t="str">
        <f>VLOOKUP(A161,Data[],2,FALSE)</f>
        <v>BROOKLYN</v>
      </c>
      <c r="C161" s="9" t="s">
        <v>27</v>
      </c>
      <c r="D161" s="9" t="str">
        <f>VLOOKUP(EHD[[#This Row],[DEVELOPMENT]],Data[],52,FALSE)</f>
        <v>FEDERAL</v>
      </c>
      <c r="E161" s="1">
        <f>VLOOKUP(EHD[[#This Row],[DEVELOPMENT]],Data[],8,FALSE)</f>
        <v>0</v>
      </c>
      <c r="F161" s="9" t="str">
        <f>VLOOKUP(EHD[[#This Row],[DEVELOPMENT]],all[[DEVELOPMENT]:[MRST Ext. Comp. Priority]],6,FALSE)</f>
        <v>B</v>
      </c>
      <c r="G161" s="9">
        <v>36</v>
      </c>
      <c r="H161" s="1">
        <f>IF(VLOOKUP(EHD[[#This Row],[DEVELOPMENT]],Data[],9,FALSE)=0,5,VLOOKUP(EHD[[#This Row],[DEVELOPMENT]],Data[],9,FALSE))</f>
        <v>5</v>
      </c>
      <c r="I161" s="9">
        <f>EHD[[#This Row],[MRST '#HD]]</f>
        <v>36</v>
      </c>
      <c r="J161" s="1" t="str">
        <f ca="1">IFERROR(VLOOKUP(EHD[[#This Row],[DEVELOPMENT]],Data[],4,FALSE),"")</f>
        <v>2026+</v>
      </c>
      <c r="K161" s="1" t="str">
        <f ca="1">IF(EHD[[#This Row],[RAD/PACT]]="","",IF(OR(EHD[[#This Row],[RAD/PACT]]="2021-2025",EHD[[#This Row],[RAD/PACT]]="2019-2020"),"Yes",""))</f>
        <v/>
      </c>
      <c r="L161" s="1"/>
      <c r="M161" s="1"/>
      <c r="N161" s="1"/>
      <c r="O161" s="1"/>
      <c r="P161" s="47">
        <f ca="1">IF(EHD[[#This Row],[RAD/PACT]]="2019-2020",0,INDEX(UnitCosts[],MATCH(EHD[[#This Row],[WORK TYPE]],UnitCosts[Work Type],0),2)*EHD[[#This Row],['# Hopper Doors]])*(1+((EHD[[#This Row],[est. Year]]-YEAR(TODAY()))*$P$2))</f>
        <v>295789.89843</v>
      </c>
      <c r="Q161" s="51">
        <f ca="1">SUM(INDEX(EHD['# Hopper Doors],1):EHD[[#This Row],['# Hopper Doors]])</f>
        <v>1823</v>
      </c>
      <c r="R161" s="47">
        <f t="shared" ca="1" si="2"/>
        <v>2851085.9654224999</v>
      </c>
      <c r="S161" s="1">
        <f ca="1">IF(ISBLANK(EHD[[#This Row],[CALENDAR YEAR]]),ROUNDDOWN(EHD[[#This Row],[Running count]]/500,0)+$S$1,EHD[[#This Row],[CALENDAR YEAR]])</f>
        <v>2023</v>
      </c>
      <c r="T161" s="16"/>
    </row>
    <row r="162" spans="1:20">
      <c r="A162" s="13" t="s">
        <v>197</v>
      </c>
      <c r="B162" s="1" t="str">
        <f>VLOOKUP(A162,Data[],2,FALSE)</f>
        <v>BRONX</v>
      </c>
      <c r="C162" s="9" t="s">
        <v>27</v>
      </c>
      <c r="D162" s="9" t="str">
        <f>VLOOKUP(EHD[[#This Row],[DEVELOPMENT]],Data[],52,FALSE)</f>
        <v>FEDERAL</v>
      </c>
      <c r="E162" s="1">
        <f>VLOOKUP(EHD[[#This Row],[DEVELOPMENT]],Data[],8,FALSE)</f>
        <v>0</v>
      </c>
      <c r="F162" s="9" t="str">
        <f>VLOOKUP(EHD[[#This Row],[DEVELOPMENT]],all[[DEVELOPMENT]:[MRST Ext. Comp. Priority]],6,FALSE)</f>
        <v>B</v>
      </c>
      <c r="G162" s="9">
        <v>28</v>
      </c>
      <c r="H162" s="1">
        <f>IF(VLOOKUP(EHD[[#This Row],[DEVELOPMENT]],Data[],9,FALSE)=0,5,VLOOKUP(EHD[[#This Row],[DEVELOPMENT]],Data[],9,FALSE))</f>
        <v>5</v>
      </c>
      <c r="I162" s="9">
        <f>EHD[[#This Row],[MRST '#HD]]</f>
        <v>28</v>
      </c>
      <c r="J162" s="1" t="str">
        <f ca="1">IFERROR(VLOOKUP(EHD[[#This Row],[DEVELOPMENT]],Data[],4,FALSE),"")</f>
        <v>2026+</v>
      </c>
      <c r="K162" s="1" t="str">
        <f ca="1">IF(EHD[[#This Row],[RAD/PACT]]="","",IF(OR(EHD[[#This Row],[RAD/PACT]]="2021-2025",EHD[[#This Row],[RAD/PACT]]="2019-2020"),"Yes",""))</f>
        <v/>
      </c>
      <c r="L162" s="1"/>
      <c r="M162" s="1"/>
      <c r="N162" s="1"/>
      <c r="O162" s="1"/>
      <c r="P162" s="47">
        <f ca="1">IF(EHD[[#This Row],[RAD/PACT]]="2019-2020",0,INDEX(UnitCosts[],MATCH(EHD[[#This Row],[WORK TYPE]],UnitCosts[Work Type],0),2)*EHD[[#This Row],['# Hopper Doors]])*(1+((EHD[[#This Row],[est. Year]]-YEAR(TODAY()))*$P$2))</f>
        <v>230058.80989</v>
      </c>
      <c r="Q162" s="51">
        <f ca="1">SUM(INDEX(EHD['# Hopper Doors],1):EHD[[#This Row],['# Hopper Doors]])</f>
        <v>1851</v>
      </c>
      <c r="R162" s="47">
        <f t="shared" ca="1" si="2"/>
        <v>3081144.7753125001</v>
      </c>
      <c r="S162" s="1">
        <f ca="1">IF(ISBLANK(EHD[[#This Row],[CALENDAR YEAR]]),ROUNDDOWN(EHD[[#This Row],[Running count]]/500,0)+$S$1,EHD[[#This Row],[CALENDAR YEAR]])</f>
        <v>2023</v>
      </c>
      <c r="T162" s="16"/>
    </row>
    <row r="163" spans="1:20">
      <c r="A163" s="13" t="s">
        <v>224</v>
      </c>
      <c r="B163" s="1" t="str">
        <f>VLOOKUP(A163,Data[],2,FALSE)</f>
        <v>QUEENS</v>
      </c>
      <c r="C163" s="9" t="s">
        <v>27</v>
      </c>
      <c r="D163" s="9" t="str">
        <f>VLOOKUP(EHD[[#This Row],[DEVELOPMENT]],Data[],52,FALSE)</f>
        <v>FEDERAL</v>
      </c>
      <c r="E163" s="1">
        <f>VLOOKUP(EHD[[#This Row],[DEVELOPMENT]],Data[],8,FALSE)</f>
        <v>0</v>
      </c>
      <c r="F163" s="9" t="str">
        <f>VLOOKUP(EHD[[#This Row],[DEVELOPMENT]],all[[DEVELOPMENT]:[MRST Ext. Comp. Priority]],6,FALSE)</f>
        <v>B</v>
      </c>
      <c r="G163" s="9">
        <v>33</v>
      </c>
      <c r="H163" s="1">
        <f>IF(VLOOKUP(EHD[[#This Row],[DEVELOPMENT]],Data[],9,FALSE)=0,5,VLOOKUP(EHD[[#This Row],[DEVELOPMENT]],Data[],9,FALSE))</f>
        <v>5</v>
      </c>
      <c r="I163" s="9">
        <f>EHD[[#This Row],[MRST '#HD]]</f>
        <v>33</v>
      </c>
      <c r="J163" s="1" t="str">
        <f ca="1">IFERROR(VLOOKUP(EHD[[#This Row],[DEVELOPMENT]],Data[],4,FALSE),"")</f>
        <v>2026+</v>
      </c>
      <c r="K163" s="1" t="str">
        <f ca="1">IF(EHD[[#This Row],[RAD/PACT]]="","",IF(OR(EHD[[#This Row],[RAD/PACT]]="2021-2025",EHD[[#This Row],[RAD/PACT]]="2019-2020"),"Yes",""))</f>
        <v/>
      </c>
      <c r="L163" s="1"/>
      <c r="M163" s="1"/>
      <c r="N163" s="1"/>
      <c r="O163" s="1"/>
      <c r="P163" s="47">
        <f ca="1">IF(EHD[[#This Row],[RAD/PACT]]="2019-2020",0,INDEX(UnitCosts[],MATCH(EHD[[#This Row],[WORK TYPE]],UnitCosts[Work Type],0),2)*EHD[[#This Row],['# Hopper Doors]])*(1+((EHD[[#This Row],[est. Year]]-YEAR(TODAY()))*$P$2))</f>
        <v>271140.74022750003</v>
      </c>
      <c r="Q163" s="51">
        <f ca="1">SUM(INDEX(EHD['# Hopper Doors],1):EHD[[#This Row],['# Hopper Doors]])</f>
        <v>1884</v>
      </c>
      <c r="R163" s="47">
        <f t="shared" ca="1" si="2"/>
        <v>3352285.5155400001</v>
      </c>
      <c r="S163" s="1">
        <f ca="1">IF(ISBLANK(EHD[[#This Row],[CALENDAR YEAR]]),ROUNDDOWN(EHD[[#This Row],[Running count]]/500,0)+$S$1,EHD[[#This Row],[CALENDAR YEAR]])</f>
        <v>2023</v>
      </c>
      <c r="T163" s="16"/>
    </row>
    <row r="164" spans="1:20">
      <c r="A164" s="13" t="s">
        <v>198</v>
      </c>
      <c r="B164" s="1" t="str">
        <f>VLOOKUP(A164,Data[],2,FALSE)</f>
        <v>MANHATTAN</v>
      </c>
      <c r="C164" s="9" t="s">
        <v>27</v>
      </c>
      <c r="D164" s="9" t="str">
        <f>VLOOKUP(EHD[[#This Row],[DEVELOPMENT]],Data[],52,FALSE)</f>
        <v>FEDERAL</v>
      </c>
      <c r="E164" s="1">
        <f>VLOOKUP(EHD[[#This Row],[DEVELOPMENT]],Data[],8,FALSE)</f>
        <v>0</v>
      </c>
      <c r="F164" s="9" t="str">
        <f>VLOOKUP(EHD[[#This Row],[DEVELOPMENT]],all[[DEVELOPMENT]:[MRST Ext. Comp. Priority]],6,FALSE)</f>
        <v>B</v>
      </c>
      <c r="G164" s="9">
        <v>2</v>
      </c>
      <c r="H164" s="1">
        <f>IF(VLOOKUP(EHD[[#This Row],[DEVELOPMENT]],Data[],9,FALSE)=0,5,VLOOKUP(EHD[[#This Row],[DEVELOPMENT]],Data[],9,FALSE))</f>
        <v>5</v>
      </c>
      <c r="I164" s="9">
        <f>EHD[[#This Row],[MRST '#HD]]</f>
        <v>2</v>
      </c>
      <c r="J164" s="1" t="str">
        <f ca="1">IFERROR(VLOOKUP(EHD[[#This Row],[DEVELOPMENT]],Data[],4,FALSE),"")</f>
        <v/>
      </c>
      <c r="K164" s="1" t="str">
        <f ca="1">IF(EHD[[#This Row],[RAD/PACT]]="","",IF(OR(EHD[[#This Row],[RAD/PACT]]="2021-2025",EHD[[#This Row],[RAD/PACT]]="2019-2020"),"Yes",""))</f>
        <v/>
      </c>
      <c r="L164" s="1"/>
      <c r="M164" s="1"/>
      <c r="N164" s="1"/>
      <c r="O164" s="1"/>
      <c r="P164" s="47">
        <f ca="1">IF(EHD[[#This Row],[RAD/PACT]]="2019-2020",0,INDEX(UnitCosts[],MATCH(EHD[[#This Row],[WORK TYPE]],UnitCosts[Work Type],0),2)*EHD[[#This Row],['# Hopper Doors]])*(1+((EHD[[#This Row],[est. Year]]-YEAR(TODAY()))*$P$2))</f>
        <v>16432.772134999999</v>
      </c>
      <c r="Q164" s="51">
        <f ca="1">SUM(INDEX(EHD['# Hopper Doors],1):EHD[[#This Row],['# Hopper Doors]])</f>
        <v>1886</v>
      </c>
      <c r="R164" s="47">
        <f t="shared" ca="1" si="2"/>
        <v>3368718.2876750003</v>
      </c>
      <c r="S164" s="1">
        <f ca="1">IF(ISBLANK(EHD[[#This Row],[CALENDAR YEAR]]),ROUNDDOWN(EHD[[#This Row],[Running count]]/500,0)+$S$1,EHD[[#This Row],[CALENDAR YEAR]])</f>
        <v>2023</v>
      </c>
      <c r="T164" s="16"/>
    </row>
    <row r="165" spans="1:20">
      <c r="A165" s="13" t="s">
        <v>217</v>
      </c>
      <c r="B165" s="1" t="str">
        <f>VLOOKUP(A165,Data[],2,FALSE)</f>
        <v>BRONX</v>
      </c>
      <c r="C165" s="9" t="s">
        <v>27</v>
      </c>
      <c r="D165" s="9" t="str">
        <f>VLOOKUP(EHD[[#This Row],[DEVELOPMENT]],Data[],52,FALSE)</f>
        <v>FEDERAL</v>
      </c>
      <c r="E165" s="1">
        <f>VLOOKUP(EHD[[#This Row],[DEVELOPMENT]],Data[],8,FALSE)</f>
        <v>0</v>
      </c>
      <c r="F165" s="9" t="str">
        <f>VLOOKUP(EHD[[#This Row],[DEVELOPMENT]],all[[DEVELOPMENT]:[MRST Ext. Comp. Priority]],6,FALSE)</f>
        <v>B</v>
      </c>
      <c r="G165" s="9">
        <v>62</v>
      </c>
      <c r="H165" s="1">
        <f>IF(VLOOKUP(EHD[[#This Row],[DEVELOPMENT]],Data[],9,FALSE)=0,5,VLOOKUP(EHD[[#This Row],[DEVELOPMENT]],Data[],9,FALSE))</f>
        <v>5</v>
      </c>
      <c r="I165" s="9">
        <f>EHD[[#This Row],[MRST '#HD]]</f>
        <v>62</v>
      </c>
      <c r="J165" s="1" t="str">
        <f ca="1">IFERROR(VLOOKUP(EHD[[#This Row],[DEVELOPMENT]],Data[],4,FALSE),"")</f>
        <v>2020-2021</v>
      </c>
      <c r="K165" s="1" t="str">
        <f ca="1">IF(EHD[[#This Row],[RAD/PACT]]="","",IF(OR(EHD[[#This Row],[RAD/PACT]]="2021-2025",EHD[[#This Row],[RAD/PACT]]="2019-2020"),"Yes",""))</f>
        <v/>
      </c>
      <c r="L165" s="1"/>
      <c r="M165" s="1"/>
      <c r="N165" s="1"/>
      <c r="O165" s="1"/>
      <c r="P165" s="47">
        <f ca="1">IF(EHD[[#This Row],[RAD/PACT]]="2019-2020",0,INDEX(UnitCosts[],MATCH(EHD[[#This Row],[WORK TYPE]],UnitCosts[Work Type],0),2)*EHD[[#This Row],['# Hopper Doors]])*(1+((EHD[[#This Row],[est. Year]]-YEAR(TODAY()))*$P$2))</f>
        <v>509415.936185</v>
      </c>
      <c r="Q165" s="51">
        <f ca="1">SUM(INDEX(EHD['# Hopper Doors],1):EHD[[#This Row],['# Hopper Doors]])</f>
        <v>1948</v>
      </c>
      <c r="R165" s="47">
        <f t="shared" ca="1" si="2"/>
        <v>3878134.2238600003</v>
      </c>
      <c r="S165" s="1">
        <f ca="1">IF(ISBLANK(EHD[[#This Row],[CALENDAR YEAR]]),ROUNDDOWN(EHD[[#This Row],[Running count]]/500,0)+$S$1,EHD[[#This Row],[CALENDAR YEAR]])</f>
        <v>2023</v>
      </c>
      <c r="T165" s="16"/>
    </row>
    <row r="166" spans="1:20">
      <c r="A166" s="13" t="s">
        <v>225</v>
      </c>
      <c r="B166" s="1" t="str">
        <f>VLOOKUP(A166,Data[],2,FALSE)</f>
        <v>BRONX</v>
      </c>
      <c r="C166" s="9" t="s">
        <v>27</v>
      </c>
      <c r="D166" s="9" t="str">
        <f>VLOOKUP(EHD[[#This Row],[DEVELOPMENT]],Data[],52,FALSE)</f>
        <v>FEDERAL</v>
      </c>
      <c r="E166" s="1">
        <f>VLOOKUP(EHD[[#This Row],[DEVELOPMENT]],Data[],8,FALSE)</f>
        <v>0</v>
      </c>
      <c r="F166" s="9" t="str">
        <f>VLOOKUP(EHD[[#This Row],[DEVELOPMENT]],all[[DEVELOPMENT]:[MRST Ext. Comp. Priority]],6,FALSE)</f>
        <v>B</v>
      </c>
      <c r="G166" s="9">
        <v>4</v>
      </c>
      <c r="H166" s="1">
        <f>IF(VLOOKUP(EHD[[#This Row],[DEVELOPMENT]],Data[],9,FALSE)=0,5,VLOOKUP(EHD[[#This Row],[DEVELOPMENT]],Data[],9,FALSE))</f>
        <v>5</v>
      </c>
      <c r="I166" s="9">
        <f>EHD[[#This Row],[MRST '#HD]]</f>
        <v>4</v>
      </c>
      <c r="J166" s="1" t="str">
        <f ca="1">IFERROR(VLOOKUP(EHD[[#This Row],[DEVELOPMENT]],Data[],4,FALSE),"")</f>
        <v>2020-2021</v>
      </c>
      <c r="K166" s="1" t="str">
        <f ca="1">IF(EHD[[#This Row],[RAD/PACT]]="","",IF(OR(EHD[[#This Row],[RAD/PACT]]="2021-2025",EHD[[#This Row],[RAD/PACT]]="2019-2020"),"Yes",""))</f>
        <v/>
      </c>
      <c r="L166" s="1"/>
      <c r="M166" s="1"/>
      <c r="N166" s="1"/>
      <c r="O166" s="1"/>
      <c r="P166" s="47">
        <f ca="1">IF(EHD[[#This Row],[RAD/PACT]]="2019-2020",0,INDEX(UnitCosts[],MATCH(EHD[[#This Row],[WORK TYPE]],UnitCosts[Work Type],0),2)*EHD[[#This Row],['# Hopper Doors]])*(1+((EHD[[#This Row],[est. Year]]-YEAR(TODAY()))*$P$2))</f>
        <v>32865.544269999999</v>
      </c>
      <c r="Q166" s="51">
        <f ca="1">SUM(INDEX(EHD['# Hopper Doors],1):EHD[[#This Row],['# Hopper Doors]])</f>
        <v>1952</v>
      </c>
      <c r="R166" s="47">
        <f t="shared" ca="1" si="2"/>
        <v>3910999.7681300002</v>
      </c>
      <c r="S166" s="1">
        <f ca="1">IF(ISBLANK(EHD[[#This Row],[CALENDAR YEAR]]),ROUNDDOWN(EHD[[#This Row],[Running count]]/500,0)+$S$1,EHD[[#This Row],[CALENDAR YEAR]])</f>
        <v>2023</v>
      </c>
      <c r="T166" s="16"/>
    </row>
    <row r="167" spans="1:20">
      <c r="A167" s="13" t="s">
        <v>203</v>
      </c>
      <c r="B167" s="1" t="str">
        <f>VLOOKUP(A167,Data[],2,FALSE)</f>
        <v>BROOKLYN</v>
      </c>
      <c r="C167" s="9" t="s">
        <v>27</v>
      </c>
      <c r="D167" s="9" t="str">
        <f>VLOOKUP(EHD[[#This Row],[DEVELOPMENT]],Data[],52,FALSE)</f>
        <v>FEDERAL</v>
      </c>
      <c r="E167" s="1">
        <f>VLOOKUP(EHD[[#This Row],[DEVELOPMENT]],Data[],8,FALSE)</f>
        <v>0</v>
      </c>
      <c r="F167" s="9" t="str">
        <f>VLOOKUP(EHD[[#This Row],[DEVELOPMENT]],all[[DEVELOPMENT]:[MRST Ext. Comp. Priority]],6,FALSE)</f>
        <v>B</v>
      </c>
      <c r="G167" s="9">
        <v>10</v>
      </c>
      <c r="H167" s="1">
        <f>IF(VLOOKUP(EHD[[#This Row],[DEVELOPMENT]],Data[],9,FALSE)=0,5,VLOOKUP(EHD[[#This Row],[DEVELOPMENT]],Data[],9,FALSE))</f>
        <v>5</v>
      </c>
      <c r="I167" s="9">
        <f>EHD[[#This Row],[MRST '#HD]]</f>
        <v>10</v>
      </c>
      <c r="J167" s="1" t="str">
        <f ca="1">IFERROR(VLOOKUP(EHD[[#This Row],[DEVELOPMENT]],Data[],4,FALSE),"")</f>
        <v>2026+</v>
      </c>
      <c r="K167" s="1" t="str">
        <f ca="1">IF(EHD[[#This Row],[RAD/PACT]]="","",IF(OR(EHD[[#This Row],[RAD/PACT]]="2021-2025",EHD[[#This Row],[RAD/PACT]]="2019-2020"),"Yes",""))</f>
        <v/>
      </c>
      <c r="L167" s="1"/>
      <c r="M167" s="1"/>
      <c r="N167" s="1"/>
      <c r="O167" s="1"/>
      <c r="P167" s="47">
        <f ca="1">IF(EHD[[#This Row],[RAD/PACT]]="2019-2020",0,INDEX(UnitCosts[],MATCH(EHD[[#This Row],[WORK TYPE]],UnitCosts[Work Type],0),2)*EHD[[#This Row],['# Hopper Doors]])*(1+((EHD[[#This Row],[est. Year]]-YEAR(TODAY()))*$P$2))</f>
        <v>82163.860674999989</v>
      </c>
      <c r="Q167" s="51">
        <f ca="1">SUM(INDEX(EHD['# Hopper Doors],1):EHD[[#This Row],['# Hopper Doors]])</f>
        <v>1962</v>
      </c>
      <c r="R167" s="47">
        <f t="shared" ca="1" si="2"/>
        <v>3993163.6288050003</v>
      </c>
      <c r="S167" s="1">
        <f ca="1">IF(ISBLANK(EHD[[#This Row],[CALENDAR YEAR]]),ROUNDDOWN(EHD[[#This Row],[Running count]]/500,0)+$S$1,EHD[[#This Row],[CALENDAR YEAR]])</f>
        <v>2023</v>
      </c>
      <c r="T167" s="16"/>
    </row>
    <row r="168" spans="1:20">
      <c r="A168" s="13" t="s">
        <v>208</v>
      </c>
      <c r="B168" s="1" t="str">
        <f>VLOOKUP(A168,Data[],2,FALSE)</f>
        <v>BROOKLYN</v>
      </c>
      <c r="C168" s="9" t="s">
        <v>27</v>
      </c>
      <c r="D168" s="9" t="str">
        <f>VLOOKUP(EHD[[#This Row],[DEVELOPMENT]],Data[],52,FALSE)</f>
        <v>FEDERAL</v>
      </c>
      <c r="E168" s="1">
        <f>VLOOKUP(EHD[[#This Row],[DEVELOPMENT]],Data[],8,FALSE)</f>
        <v>0</v>
      </c>
      <c r="F168" s="9" t="str">
        <f>VLOOKUP(EHD[[#This Row],[DEVELOPMENT]],all[[DEVELOPMENT]:[MRST Ext. Comp. Priority]],6,FALSE)</f>
        <v>B</v>
      </c>
      <c r="G168" s="9">
        <v>4</v>
      </c>
      <c r="H168" s="1">
        <f>IF(VLOOKUP(EHD[[#This Row],[DEVELOPMENT]],Data[],9,FALSE)=0,5,VLOOKUP(EHD[[#This Row],[DEVELOPMENT]],Data[],9,FALSE))</f>
        <v>5</v>
      </c>
      <c r="I168" s="9">
        <f>EHD[[#This Row],[MRST '#HD]]</f>
        <v>4</v>
      </c>
      <c r="J168" s="1" t="str">
        <f ca="1">IFERROR(VLOOKUP(EHD[[#This Row],[DEVELOPMENT]],Data[],4,FALSE),"")</f>
        <v>2026+</v>
      </c>
      <c r="K168" s="1" t="str">
        <f ca="1">IF(EHD[[#This Row],[RAD/PACT]]="","",IF(OR(EHD[[#This Row],[RAD/PACT]]="2021-2025",EHD[[#This Row],[RAD/PACT]]="2019-2020"),"Yes",""))</f>
        <v/>
      </c>
      <c r="L168" s="1"/>
      <c r="M168" s="1"/>
      <c r="N168" s="1"/>
      <c r="O168" s="1"/>
      <c r="P168" s="47">
        <f ca="1">IF(EHD[[#This Row],[RAD/PACT]]="2019-2020",0,INDEX(UnitCosts[],MATCH(EHD[[#This Row],[WORK TYPE]],UnitCosts[Work Type],0),2)*EHD[[#This Row],['# Hopper Doors]])*(1+((EHD[[#This Row],[est. Year]]-YEAR(TODAY()))*$P$2))</f>
        <v>32865.544269999999</v>
      </c>
      <c r="Q168" s="51">
        <f ca="1">SUM(INDEX(EHD['# Hopper Doors],1):EHD[[#This Row],['# Hopper Doors]])</f>
        <v>1966</v>
      </c>
      <c r="R168" s="47">
        <f t="shared" ca="1" si="2"/>
        <v>4026029.1730750003</v>
      </c>
      <c r="S168" s="1">
        <f ca="1">IF(ISBLANK(EHD[[#This Row],[CALENDAR YEAR]]),ROUNDDOWN(EHD[[#This Row],[Running count]]/500,0)+$S$1,EHD[[#This Row],[CALENDAR YEAR]])</f>
        <v>2023</v>
      </c>
      <c r="T168" s="16"/>
    </row>
    <row r="169" spans="1:20">
      <c r="A169" s="13" t="s">
        <v>218</v>
      </c>
      <c r="B169" s="1" t="str">
        <f>VLOOKUP(A169,Data[],2,FALSE)</f>
        <v>BROOKLYN</v>
      </c>
      <c r="C169" s="9" t="s">
        <v>27</v>
      </c>
      <c r="D169" s="9" t="str">
        <f>VLOOKUP(EHD[[#This Row],[DEVELOPMENT]],Data[],52,FALSE)</f>
        <v>FEDERAL</v>
      </c>
      <c r="E169" s="1">
        <f>VLOOKUP(EHD[[#This Row],[DEVELOPMENT]],Data[],8,FALSE)</f>
        <v>0</v>
      </c>
      <c r="F169" s="9" t="str">
        <f>VLOOKUP(EHD[[#This Row],[DEVELOPMENT]],all[[DEVELOPMENT]:[MRST Ext. Comp. Priority]],6,FALSE)</f>
        <v>B</v>
      </c>
      <c r="G169" s="9">
        <v>5</v>
      </c>
      <c r="H169" s="1">
        <f>IF(VLOOKUP(EHD[[#This Row],[DEVELOPMENT]],Data[],9,FALSE)=0,5,VLOOKUP(EHD[[#This Row],[DEVELOPMENT]],Data[],9,FALSE))</f>
        <v>5</v>
      </c>
      <c r="I169" s="9">
        <f>EHD[[#This Row],[MRST '#HD]]</f>
        <v>5</v>
      </c>
      <c r="J169" s="1" t="str">
        <f ca="1">IFERROR(VLOOKUP(EHD[[#This Row],[DEVELOPMENT]],Data[],4,FALSE),"")</f>
        <v>2026+</v>
      </c>
      <c r="K169" s="1" t="str">
        <f ca="1">IF(EHD[[#This Row],[RAD/PACT]]="","",IF(OR(EHD[[#This Row],[RAD/PACT]]="2021-2025",EHD[[#This Row],[RAD/PACT]]="2019-2020"),"Yes",""))</f>
        <v/>
      </c>
      <c r="L169" s="1"/>
      <c r="M169" s="1"/>
      <c r="N169" s="1"/>
      <c r="O169" s="1"/>
      <c r="P169" s="47">
        <f ca="1">IF(EHD[[#This Row],[RAD/PACT]]="2019-2020",0,INDEX(UnitCosts[],MATCH(EHD[[#This Row],[WORK TYPE]],UnitCosts[Work Type],0),2)*EHD[[#This Row],['# Hopper Doors]])*(1+((EHD[[#This Row],[est. Year]]-YEAR(TODAY()))*$P$2))</f>
        <v>41081.930337499994</v>
      </c>
      <c r="Q169" s="51">
        <f ca="1">SUM(INDEX(EHD['# Hopper Doors],1):EHD[[#This Row],['# Hopper Doors]])</f>
        <v>1971</v>
      </c>
      <c r="R169" s="47">
        <f t="shared" ca="1" si="2"/>
        <v>4067111.1034125001</v>
      </c>
      <c r="S169" s="1">
        <f ca="1">IF(ISBLANK(EHD[[#This Row],[CALENDAR YEAR]]),ROUNDDOWN(EHD[[#This Row],[Running count]]/500,0)+$S$1,EHD[[#This Row],[CALENDAR YEAR]])</f>
        <v>2023</v>
      </c>
      <c r="T169" s="16"/>
    </row>
    <row r="170" spans="1:20">
      <c r="A170" s="13" t="s">
        <v>219</v>
      </c>
      <c r="B170" s="1" t="str">
        <f>VLOOKUP(A170,Data[],2,FALSE)</f>
        <v>BROOKLYN</v>
      </c>
      <c r="C170" s="9" t="s">
        <v>27</v>
      </c>
      <c r="D170" s="9" t="str">
        <f>VLOOKUP(EHD[[#This Row],[DEVELOPMENT]],Data[],52,FALSE)</f>
        <v>FEDERAL</v>
      </c>
      <c r="E170" s="1">
        <f>VLOOKUP(EHD[[#This Row],[DEVELOPMENT]],Data[],8,FALSE)</f>
        <v>0</v>
      </c>
      <c r="F170" s="9" t="str">
        <f>VLOOKUP(EHD[[#This Row],[DEVELOPMENT]],all[[DEVELOPMENT]:[MRST Ext. Comp. Priority]],6,FALSE)</f>
        <v>B</v>
      </c>
      <c r="G170" s="9">
        <v>12</v>
      </c>
      <c r="H170" s="1">
        <f>IF(VLOOKUP(EHD[[#This Row],[DEVELOPMENT]],Data[],9,FALSE)=0,5,VLOOKUP(EHD[[#This Row],[DEVELOPMENT]],Data[],9,FALSE))</f>
        <v>5</v>
      </c>
      <c r="I170" s="9">
        <f>EHD[[#This Row],[MRST '#HD]]</f>
        <v>12</v>
      </c>
      <c r="J170" s="1" t="str">
        <f ca="1">IFERROR(VLOOKUP(EHD[[#This Row],[DEVELOPMENT]],Data[],4,FALSE),"")</f>
        <v>2026+</v>
      </c>
      <c r="K170" s="1" t="str">
        <f ca="1">IF(EHD[[#This Row],[RAD/PACT]]="","",IF(OR(EHD[[#This Row],[RAD/PACT]]="2021-2025",EHD[[#This Row],[RAD/PACT]]="2019-2020"),"Yes",""))</f>
        <v/>
      </c>
      <c r="L170" s="1"/>
      <c r="M170" s="1"/>
      <c r="N170" s="1"/>
      <c r="O170" s="1"/>
      <c r="P170" s="47">
        <f ca="1">IF(EHD[[#This Row],[RAD/PACT]]="2019-2020",0,INDEX(UnitCosts[],MATCH(EHD[[#This Row],[WORK TYPE]],UnitCosts[Work Type],0),2)*EHD[[#This Row],['# Hopper Doors]])*(1+((EHD[[#This Row],[est. Year]]-YEAR(TODAY()))*$P$2))</f>
        <v>98596.63281000001</v>
      </c>
      <c r="Q170" s="51">
        <f ca="1">SUM(INDEX(EHD['# Hopper Doors],1):EHD[[#This Row],['# Hopper Doors]])</f>
        <v>1983</v>
      </c>
      <c r="R170" s="47">
        <f t="shared" ca="1" si="2"/>
        <v>4165707.7362225</v>
      </c>
      <c r="S170" s="1">
        <f ca="1">IF(ISBLANK(EHD[[#This Row],[CALENDAR YEAR]]),ROUNDDOWN(EHD[[#This Row],[Running count]]/500,0)+$S$1,EHD[[#This Row],[CALENDAR YEAR]])</f>
        <v>2023</v>
      </c>
      <c r="T170" s="16"/>
    </row>
    <row r="171" spans="1:20">
      <c r="A171" s="13" t="s">
        <v>278</v>
      </c>
      <c r="B171" s="1" t="str">
        <f>VLOOKUP(A171,Data[],2,FALSE)</f>
        <v>BRONX</v>
      </c>
      <c r="C171" s="9" t="s">
        <v>27</v>
      </c>
      <c r="D171" s="9" t="str">
        <f>VLOOKUP(EHD[[#This Row],[DEVELOPMENT]],Data[],52,FALSE)</f>
        <v>FEDERAL</v>
      </c>
      <c r="E171" s="1">
        <f>VLOOKUP(EHD[[#This Row],[DEVELOPMENT]],Data[],8,FALSE)</f>
        <v>0</v>
      </c>
      <c r="F171" s="9" t="str">
        <f>VLOOKUP(EHD[[#This Row],[DEVELOPMENT]],all[[DEVELOPMENT]:[MRST Ext. Comp. Priority]],6,FALSE)</f>
        <v>C</v>
      </c>
      <c r="G171" s="9">
        <v>7</v>
      </c>
      <c r="H171" s="1">
        <f>IF(VLOOKUP(EHD[[#This Row],[DEVELOPMENT]],Data[],9,FALSE)=0,5,VLOOKUP(EHD[[#This Row],[DEVELOPMENT]],Data[],9,FALSE))</f>
        <v>5</v>
      </c>
      <c r="I171" s="9">
        <f>EHD[[#This Row],[MRST '#HD]]</f>
        <v>7</v>
      </c>
      <c r="J171" s="1" t="str">
        <f ca="1">IFERROR(VLOOKUP(EHD[[#This Row],[DEVELOPMENT]],Data[],4,FALSE),"")</f>
        <v/>
      </c>
      <c r="K171" s="1" t="str">
        <f ca="1">IF(EHD[[#This Row],[RAD/PACT]]="","",IF(OR(EHD[[#This Row],[RAD/PACT]]="2021-2025",EHD[[#This Row],[RAD/PACT]]="2019-2020"),"Yes",""))</f>
        <v/>
      </c>
      <c r="L171" s="1"/>
      <c r="M171" s="1"/>
      <c r="N171" s="1"/>
      <c r="O171" s="1"/>
      <c r="P171" s="47">
        <f ca="1">IF(EHD[[#This Row],[RAD/PACT]]="2019-2020",0,INDEX(UnitCosts[],MATCH(EHD[[#This Row],[WORK TYPE]],UnitCosts[Work Type],0),2)*EHD[[#This Row],['# Hopper Doors]])*(1+((EHD[[#This Row],[est. Year]]-YEAR(TODAY()))*$P$2))</f>
        <v>57514.702472500001</v>
      </c>
      <c r="Q171" s="51">
        <f ca="1">SUM(INDEX(EHD['# Hopper Doors],1):EHD[[#This Row],['# Hopper Doors]])</f>
        <v>1990</v>
      </c>
      <c r="R171" s="47">
        <f t="shared" ca="1" si="2"/>
        <v>4223222.4386949996</v>
      </c>
      <c r="S171" s="1">
        <f ca="1">IF(ISBLANK(EHD[[#This Row],[CALENDAR YEAR]]),ROUNDDOWN(EHD[[#This Row],[Running count]]/500,0)+$S$1,EHD[[#This Row],[CALENDAR YEAR]])</f>
        <v>2023</v>
      </c>
      <c r="T171" s="16"/>
    </row>
    <row r="172" spans="1:20">
      <c r="A172" s="13" t="s">
        <v>261</v>
      </c>
      <c r="B172" s="1" t="str">
        <f>VLOOKUP(A172,Data[],2,FALSE)</f>
        <v>MANHATTAN</v>
      </c>
      <c r="C172" s="9" t="s">
        <v>27</v>
      </c>
      <c r="D172" s="9" t="str">
        <f>VLOOKUP(EHD[[#This Row],[DEVELOPMENT]],Data[],52,FALSE)</f>
        <v>FEDERAL</v>
      </c>
      <c r="E172" s="1" t="str">
        <f>VLOOKUP(EHD[[#This Row],[DEVELOPMENT]],Data[],8,FALSE)</f>
        <v>Zone 4</v>
      </c>
      <c r="F172" s="9" t="str">
        <f>VLOOKUP(EHD[[#This Row],[DEVELOPMENT]],all[[DEVELOPMENT]:[MRST Ext. Comp. Priority]],6,FALSE)</f>
        <v>C</v>
      </c>
      <c r="G172" s="9">
        <v>24</v>
      </c>
      <c r="H172" s="1">
        <f>IF(VLOOKUP(EHD[[#This Row],[DEVELOPMENT]],Data[],9,FALSE)=0,5,VLOOKUP(EHD[[#This Row],[DEVELOPMENT]],Data[],9,FALSE))</f>
        <v>5</v>
      </c>
      <c r="I172" s="9">
        <f>EHD[[#This Row],[MRST '#HD]]</f>
        <v>24</v>
      </c>
      <c r="J172" s="1" t="str">
        <f ca="1">IFERROR(VLOOKUP(EHD[[#This Row],[DEVELOPMENT]],Data[],4,FALSE),"")</f>
        <v/>
      </c>
      <c r="K172" s="1" t="str">
        <f ca="1">IF(EHD[[#This Row],[RAD/PACT]]="","",IF(OR(EHD[[#This Row],[RAD/PACT]]="2021-2025",EHD[[#This Row],[RAD/PACT]]="2019-2020"),"Yes",""))</f>
        <v/>
      </c>
      <c r="L172" s="1"/>
      <c r="M172" s="1"/>
      <c r="N172" s="1"/>
      <c r="O172" s="1"/>
      <c r="P172" s="47">
        <f ca="1">IF(EHD[[#This Row],[RAD/PACT]]="2019-2020",0,INDEX(UnitCosts[],MATCH(EHD[[#This Row],[WORK TYPE]],UnitCosts[Work Type],0),2)*EHD[[#This Row],['# Hopper Doors]])*(1+((EHD[[#This Row],[est. Year]]-YEAR(TODAY()))*$P$2))</f>
        <v>203439.20616000003</v>
      </c>
      <c r="Q172" s="51">
        <f ca="1">SUM(INDEX(EHD['# Hopper Doors],1):EHD[[#This Row],['# Hopper Doors]])</f>
        <v>2014</v>
      </c>
      <c r="R172" s="47">
        <f t="shared" ca="1" si="2"/>
        <v>203439.20616000003</v>
      </c>
      <c r="S172" s="1">
        <f ca="1">IF(ISBLANK(EHD[[#This Row],[CALENDAR YEAR]]),ROUNDDOWN(EHD[[#This Row],[Running count]]/500,0)+$S$1,EHD[[#This Row],[CALENDAR YEAR]])</f>
        <v>2024</v>
      </c>
      <c r="T172" s="16"/>
    </row>
    <row r="173" spans="1:20">
      <c r="A173" s="13" t="s">
        <v>262</v>
      </c>
      <c r="B173" s="1" t="str">
        <f>VLOOKUP(A173,Data[],2,FALSE)</f>
        <v>MANHATTAN</v>
      </c>
      <c r="C173" s="9" t="s">
        <v>27</v>
      </c>
      <c r="D173" s="9" t="str">
        <f>VLOOKUP(EHD[[#This Row],[DEVELOPMENT]],Data[],52,FALSE)</f>
        <v>MIXED FINANCE/LLC1</v>
      </c>
      <c r="E173" s="1">
        <f>VLOOKUP(EHD[[#This Row],[DEVELOPMENT]],Data[],8,FALSE)</f>
        <v>0</v>
      </c>
      <c r="F173" s="9" t="str">
        <f>VLOOKUP(EHD[[#This Row],[DEVELOPMENT]],all[[DEVELOPMENT]:[MRST Ext. Comp. Priority]],6,FALSE)</f>
        <v>C</v>
      </c>
      <c r="G173" s="9">
        <v>1</v>
      </c>
      <c r="H173" s="1">
        <f>IF(VLOOKUP(EHD[[#This Row],[DEVELOPMENT]],Data[],9,FALSE)=0,5,VLOOKUP(EHD[[#This Row],[DEVELOPMENT]],Data[],9,FALSE))</f>
        <v>5</v>
      </c>
      <c r="I173" s="9">
        <f>EHD[[#This Row],[MRST '#HD]]</f>
        <v>1</v>
      </c>
      <c r="J173" s="1" t="str">
        <f ca="1">IFERROR(VLOOKUP(EHD[[#This Row],[DEVELOPMENT]],Data[],4,FALSE),"")</f>
        <v/>
      </c>
      <c r="K173" s="1" t="str">
        <f ca="1">IF(EHD[[#This Row],[RAD/PACT]]="","",IF(OR(EHD[[#This Row],[RAD/PACT]]="2021-2025",EHD[[#This Row],[RAD/PACT]]="2019-2020"),"Yes",""))</f>
        <v/>
      </c>
      <c r="L173" s="1"/>
      <c r="M173" s="1"/>
      <c r="N173" s="1"/>
      <c r="O173" s="1"/>
      <c r="P173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173" s="51">
        <f ca="1">SUM(INDEX(EHD['# Hopper Doors],1):EHD[[#This Row],['# Hopper Doors]])</f>
        <v>2015</v>
      </c>
      <c r="R173" s="47">
        <f t="shared" ca="1" si="2"/>
        <v>211915.83975000004</v>
      </c>
      <c r="S173" s="1">
        <f ca="1">IF(ISBLANK(EHD[[#This Row],[CALENDAR YEAR]]),ROUNDDOWN(EHD[[#This Row],[Running count]]/500,0)+$S$1,EHD[[#This Row],[CALENDAR YEAR]])</f>
        <v>2024</v>
      </c>
      <c r="T173" s="16"/>
    </row>
    <row r="174" spans="1:20">
      <c r="A174" s="13" t="s">
        <v>265</v>
      </c>
      <c r="B174" s="1" t="str">
        <f>VLOOKUP(A174,Data[],2,FALSE)</f>
        <v>MANHATTAN</v>
      </c>
      <c r="C174" s="9" t="s">
        <v>27</v>
      </c>
      <c r="D174" s="9" t="str">
        <f>VLOOKUP(EHD[[#This Row],[DEVELOPMENT]],Data[],52,FALSE)</f>
        <v>FEDERAL</v>
      </c>
      <c r="E174" s="1">
        <f>VLOOKUP(EHD[[#This Row],[DEVELOPMENT]],Data[],8,FALSE)</f>
        <v>0</v>
      </c>
      <c r="F174" s="9" t="str">
        <f>VLOOKUP(EHD[[#This Row],[DEVELOPMENT]],all[[DEVELOPMENT]:[MRST Ext. Comp. Priority]],6,FALSE)</f>
        <v>C</v>
      </c>
      <c r="G174" s="9">
        <v>2</v>
      </c>
      <c r="H174" s="1">
        <f>IF(VLOOKUP(EHD[[#This Row],[DEVELOPMENT]],Data[],9,FALSE)=0,5,VLOOKUP(EHD[[#This Row],[DEVELOPMENT]],Data[],9,FALSE))</f>
        <v>5</v>
      </c>
      <c r="I174" s="9">
        <f>EHD[[#This Row],[MRST '#HD]]</f>
        <v>2</v>
      </c>
      <c r="J174" s="1" t="str">
        <f ca="1">IFERROR(VLOOKUP(EHD[[#This Row],[DEVELOPMENT]],Data[],4,FALSE),"")</f>
        <v/>
      </c>
      <c r="K174" s="1" t="str">
        <f ca="1">IF(EHD[[#This Row],[RAD/PACT]]="","",IF(OR(EHD[[#This Row],[RAD/PACT]]="2021-2025",EHD[[#This Row],[RAD/PACT]]="2019-2020"),"Yes",""))</f>
        <v/>
      </c>
      <c r="L174" s="1"/>
      <c r="M174" s="1"/>
      <c r="N174" s="1"/>
      <c r="O174" s="1"/>
      <c r="P174" s="47">
        <f ca="1">IF(EHD[[#This Row],[RAD/PACT]]="2019-2020",0,INDEX(UnitCosts[],MATCH(EHD[[#This Row],[WORK TYPE]],UnitCosts[Work Type],0),2)*EHD[[#This Row],['# Hopper Doors]])*(1+((EHD[[#This Row],[est. Year]]-YEAR(TODAY()))*$P$2))</f>
        <v>16953.267180000003</v>
      </c>
      <c r="Q174" s="51">
        <f ca="1">SUM(INDEX(EHD['# Hopper Doors],1):EHD[[#This Row],['# Hopper Doors]])</f>
        <v>2017</v>
      </c>
      <c r="R174" s="47">
        <f t="shared" ca="1" si="2"/>
        <v>228869.10693000004</v>
      </c>
      <c r="S174" s="1">
        <f ca="1">IF(ISBLANK(EHD[[#This Row],[CALENDAR YEAR]]),ROUNDDOWN(EHD[[#This Row],[Running count]]/500,0)+$S$1,EHD[[#This Row],[CALENDAR YEAR]])</f>
        <v>2024</v>
      </c>
      <c r="T174" s="16"/>
    </row>
    <row r="175" spans="1:20">
      <c r="A175" s="13" t="s">
        <v>272</v>
      </c>
      <c r="B175" s="1" t="str">
        <f>VLOOKUP(A175,Data[],2,FALSE)</f>
        <v>QUEENS</v>
      </c>
      <c r="C175" s="9" t="s">
        <v>27</v>
      </c>
      <c r="D175" s="9" t="str">
        <f>VLOOKUP(EHD[[#This Row],[DEVELOPMENT]],Data[],52,FALSE)</f>
        <v>FEDERAL</v>
      </c>
      <c r="E175" s="1">
        <f>VLOOKUP(EHD[[#This Row],[DEVELOPMENT]],Data[],8,FALSE)</f>
        <v>0</v>
      </c>
      <c r="F175" s="9" t="str">
        <f>VLOOKUP(EHD[[#This Row],[DEVELOPMENT]],all[[DEVELOPMENT]:[MRST Ext. Comp. Priority]],6,FALSE)</f>
        <v>C</v>
      </c>
      <c r="G175" s="9">
        <v>22</v>
      </c>
      <c r="H175" s="1">
        <f>IF(VLOOKUP(EHD[[#This Row],[DEVELOPMENT]],Data[],9,FALSE)=0,5,VLOOKUP(EHD[[#This Row],[DEVELOPMENT]],Data[],9,FALSE))</f>
        <v>5</v>
      </c>
      <c r="I175" s="9">
        <f>EHD[[#This Row],[MRST '#HD]]</f>
        <v>22</v>
      </c>
      <c r="J175" s="1" t="str">
        <f ca="1">IFERROR(VLOOKUP(EHD[[#This Row],[DEVELOPMENT]],Data[],4,FALSE),"")</f>
        <v>2022-2025</v>
      </c>
      <c r="K175" s="1" t="str">
        <f ca="1">IF(EHD[[#This Row],[RAD/PACT]]="","",IF(OR(EHD[[#This Row],[RAD/PACT]]="2021-2025",EHD[[#This Row],[RAD/PACT]]="2019-2020"),"Yes",""))</f>
        <v/>
      </c>
      <c r="L175" s="1"/>
      <c r="M175" s="1"/>
      <c r="N175" s="1"/>
      <c r="O175" s="1"/>
      <c r="P175" s="47">
        <f ca="1">IF(EHD[[#This Row],[RAD/PACT]]="2019-2020",0,INDEX(UnitCosts[],MATCH(EHD[[#This Row],[WORK TYPE]],UnitCosts[Work Type],0),2)*EHD[[#This Row],['# Hopper Doors]])*(1+((EHD[[#This Row],[est. Year]]-YEAR(TODAY()))*$P$2))</f>
        <v>186485.93898000004</v>
      </c>
      <c r="Q175" s="51">
        <f ca="1">SUM(INDEX(EHD['# Hopper Doors],1):EHD[[#This Row],['# Hopper Doors]])</f>
        <v>2039</v>
      </c>
      <c r="R175" s="47">
        <f t="shared" ca="1" si="2"/>
        <v>415355.0459100001</v>
      </c>
      <c r="S175" s="1">
        <f ca="1">IF(ISBLANK(EHD[[#This Row],[CALENDAR YEAR]]),ROUNDDOWN(EHD[[#This Row],[Running count]]/500,0)+$S$1,EHD[[#This Row],[CALENDAR YEAR]])</f>
        <v>2024</v>
      </c>
      <c r="T175" s="16"/>
    </row>
    <row r="176" spans="1:20">
      <c r="A176" s="13" t="s">
        <v>237</v>
      </c>
      <c r="B176" s="1">
        <f>VLOOKUP(A176,Data[],2,FALSE)</f>
        <v>0</v>
      </c>
      <c r="C176" s="9" t="s">
        <v>27</v>
      </c>
      <c r="D176" s="9" t="str">
        <f>VLOOKUP(EHD[[#This Row],[DEVELOPMENT]],Data[],52,FALSE)</f>
        <v>FEDERAL</v>
      </c>
      <c r="E176" s="1">
        <f>VLOOKUP(EHD[[#This Row],[DEVELOPMENT]],Data[],8,FALSE)</f>
        <v>0</v>
      </c>
      <c r="F176" s="9" t="str">
        <f>VLOOKUP(EHD[[#This Row],[DEVELOPMENT]],all[[DEVELOPMENT]:[MRST Ext. Comp. Priority]],6,FALSE)</f>
        <v>C</v>
      </c>
      <c r="G176" s="9">
        <v>0</v>
      </c>
      <c r="H176" s="1">
        <f>IF(VLOOKUP(EHD[[#This Row],[DEVELOPMENT]],Data[],9,FALSE)=0,5,VLOOKUP(EHD[[#This Row],[DEVELOPMENT]],Data[],9,FALSE))</f>
        <v>5</v>
      </c>
      <c r="I176" s="9">
        <f>EHD[[#This Row],[MRST '#HD]]</f>
        <v>0</v>
      </c>
      <c r="J176" s="1" t="str">
        <f ca="1">IFERROR(VLOOKUP(EHD[[#This Row],[DEVELOPMENT]],Data[],4,FALSE),"")</f>
        <v/>
      </c>
      <c r="K176" s="1" t="str">
        <f ca="1">IF(EHD[[#This Row],[RAD/PACT]]="","",IF(OR(EHD[[#This Row],[RAD/PACT]]="2021-2025",EHD[[#This Row],[RAD/PACT]]="2019-2020"),"Yes",""))</f>
        <v/>
      </c>
      <c r="L176" s="1"/>
      <c r="M176" s="1"/>
      <c r="N176" s="1"/>
      <c r="O176" s="1"/>
      <c r="P176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76" s="51">
        <f ca="1">SUM(INDEX(EHD['# Hopper Doors],1):EHD[[#This Row],['# Hopper Doors]])</f>
        <v>2039</v>
      </c>
      <c r="R176" s="47">
        <f t="shared" ca="1" si="2"/>
        <v>415355.0459100001</v>
      </c>
      <c r="S176" s="1">
        <f ca="1">IF(ISBLANK(EHD[[#This Row],[CALENDAR YEAR]]),ROUNDDOWN(EHD[[#This Row],[Running count]]/500,0)+$S$1,EHD[[#This Row],[CALENDAR YEAR]])</f>
        <v>2024</v>
      </c>
      <c r="T176" s="16"/>
    </row>
    <row r="177" spans="1:20">
      <c r="A177" s="13" t="s">
        <v>238</v>
      </c>
      <c r="B177" s="1">
        <f>VLOOKUP(A177,Data[],2,FALSE)</f>
        <v>0</v>
      </c>
      <c r="C177" s="9" t="s">
        <v>27</v>
      </c>
      <c r="D177" s="9" t="str">
        <f>VLOOKUP(EHD[[#This Row],[DEVELOPMENT]],Data[],52,FALSE)</f>
        <v>FEDERAL</v>
      </c>
      <c r="E177" s="1">
        <f>VLOOKUP(EHD[[#This Row],[DEVELOPMENT]],Data[],8,FALSE)</f>
        <v>0</v>
      </c>
      <c r="F177" s="9" t="str">
        <f>VLOOKUP(EHD[[#This Row],[DEVELOPMENT]],all[[DEVELOPMENT]:[MRST Ext. Comp. Priority]],6,FALSE)</f>
        <v>C</v>
      </c>
      <c r="G177" s="9">
        <v>0</v>
      </c>
      <c r="H177" s="1">
        <f>IF(VLOOKUP(EHD[[#This Row],[DEVELOPMENT]],Data[],9,FALSE)=0,5,VLOOKUP(EHD[[#This Row],[DEVELOPMENT]],Data[],9,FALSE))</f>
        <v>5</v>
      </c>
      <c r="I177" s="9">
        <f>EHD[[#This Row],[MRST '#HD]]</f>
        <v>0</v>
      </c>
      <c r="J177" s="1" t="str">
        <f ca="1">IFERROR(VLOOKUP(EHD[[#This Row],[DEVELOPMENT]],Data[],4,FALSE),"")</f>
        <v/>
      </c>
      <c r="K177" s="1" t="str">
        <f ca="1">IF(EHD[[#This Row],[RAD/PACT]]="","",IF(OR(EHD[[#This Row],[RAD/PACT]]="2021-2025",EHD[[#This Row],[RAD/PACT]]="2019-2020"),"Yes",""))</f>
        <v/>
      </c>
      <c r="L177" s="1"/>
      <c r="M177" s="1"/>
      <c r="N177" s="1"/>
      <c r="O177" s="1"/>
      <c r="P177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77" s="51">
        <f ca="1">SUM(INDEX(EHD['# Hopper Doors],1):EHD[[#This Row],['# Hopper Doors]])</f>
        <v>2039</v>
      </c>
      <c r="R177" s="47">
        <f t="shared" ca="1" si="2"/>
        <v>415355.0459100001</v>
      </c>
      <c r="S177" s="1">
        <f ca="1">IF(ISBLANK(EHD[[#This Row],[CALENDAR YEAR]]),ROUNDDOWN(EHD[[#This Row],[Running count]]/500,0)+$S$1,EHD[[#This Row],[CALENDAR YEAR]])</f>
        <v>2024</v>
      </c>
      <c r="T177" s="16"/>
    </row>
    <row r="178" spans="1:20">
      <c r="A178" s="13" t="s">
        <v>239</v>
      </c>
      <c r="B178" s="1">
        <f>VLOOKUP(A178,Data[],2,FALSE)</f>
        <v>0</v>
      </c>
      <c r="C178" s="9" t="s">
        <v>27</v>
      </c>
      <c r="D178" s="9" t="str">
        <f>VLOOKUP(EHD[[#This Row],[DEVELOPMENT]],Data[],52,FALSE)</f>
        <v>FEDERAL</v>
      </c>
      <c r="E178" s="1">
        <f>VLOOKUP(EHD[[#This Row],[DEVELOPMENT]],Data[],8,FALSE)</f>
        <v>0</v>
      </c>
      <c r="F178" s="9" t="str">
        <f>VLOOKUP(EHD[[#This Row],[DEVELOPMENT]],all[[DEVELOPMENT]:[MRST Ext. Comp. Priority]],6,FALSE)</f>
        <v>C</v>
      </c>
      <c r="G178" s="9">
        <v>0</v>
      </c>
      <c r="H178" s="1">
        <f>IF(VLOOKUP(EHD[[#This Row],[DEVELOPMENT]],Data[],9,FALSE)=0,5,VLOOKUP(EHD[[#This Row],[DEVELOPMENT]],Data[],9,FALSE))</f>
        <v>5</v>
      </c>
      <c r="I178" s="9">
        <f>EHD[[#This Row],[MRST '#HD]]</f>
        <v>0</v>
      </c>
      <c r="J178" s="1" t="str">
        <f ca="1">IFERROR(VLOOKUP(EHD[[#This Row],[DEVELOPMENT]],Data[],4,FALSE),"")</f>
        <v/>
      </c>
      <c r="K178" s="1" t="str">
        <f ca="1">IF(EHD[[#This Row],[RAD/PACT]]="","",IF(OR(EHD[[#This Row],[RAD/PACT]]="2021-2025",EHD[[#This Row],[RAD/PACT]]="2019-2020"),"Yes",""))</f>
        <v/>
      </c>
      <c r="L178" s="1"/>
      <c r="M178" s="1"/>
      <c r="N178" s="1"/>
      <c r="O178" s="1"/>
      <c r="P178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78" s="51">
        <f ca="1">SUM(INDEX(EHD['# Hopper Doors],1):EHD[[#This Row],['# Hopper Doors]])</f>
        <v>2039</v>
      </c>
      <c r="R178" s="47">
        <f t="shared" ca="1" si="2"/>
        <v>415355.0459100001</v>
      </c>
      <c r="S178" s="1">
        <f ca="1">IF(ISBLANK(EHD[[#This Row],[CALENDAR YEAR]]),ROUNDDOWN(EHD[[#This Row],[Running count]]/500,0)+$S$1,EHD[[#This Row],[CALENDAR YEAR]])</f>
        <v>2024</v>
      </c>
      <c r="T178" s="16"/>
    </row>
    <row r="179" spans="1:20">
      <c r="A179" s="13" t="s">
        <v>240</v>
      </c>
      <c r="B179" s="1">
        <f>VLOOKUP(A179,Data[],2,FALSE)</f>
        <v>0</v>
      </c>
      <c r="C179" s="9" t="s">
        <v>27</v>
      </c>
      <c r="D179" s="9" t="str">
        <f>VLOOKUP(EHD[[#This Row],[DEVELOPMENT]],Data[],52,FALSE)</f>
        <v>FEDERAL</v>
      </c>
      <c r="E179" s="1" t="str">
        <f>VLOOKUP(EHD[[#This Row],[DEVELOPMENT]],Data[],8,FALSE)</f>
        <v>Zone 4</v>
      </c>
      <c r="F179" s="9" t="str">
        <f>VLOOKUP(EHD[[#This Row],[DEVELOPMENT]],all[[DEVELOPMENT]:[MRST Ext. Comp. Priority]],6,FALSE)</f>
        <v>C</v>
      </c>
      <c r="G179" s="9">
        <v>0</v>
      </c>
      <c r="H179" s="1">
        <f>IF(VLOOKUP(EHD[[#This Row],[DEVELOPMENT]],Data[],9,FALSE)=0,5,VLOOKUP(EHD[[#This Row],[DEVELOPMENT]],Data[],9,FALSE))</f>
        <v>5</v>
      </c>
      <c r="I179" s="9">
        <f>EHD[[#This Row],[MRST '#HD]]</f>
        <v>0</v>
      </c>
      <c r="J179" s="1" t="str">
        <f ca="1">IFERROR(VLOOKUP(EHD[[#This Row],[DEVELOPMENT]],Data[],4,FALSE),"")</f>
        <v/>
      </c>
      <c r="K179" s="1" t="str">
        <f ca="1">IF(EHD[[#This Row],[RAD/PACT]]="","",IF(OR(EHD[[#This Row],[RAD/PACT]]="2021-2025",EHD[[#This Row],[RAD/PACT]]="2019-2020"),"Yes",""))</f>
        <v/>
      </c>
      <c r="L179" s="1"/>
      <c r="M179" s="1"/>
      <c r="N179" s="1"/>
      <c r="O179" s="1"/>
      <c r="P179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79" s="51">
        <f ca="1">SUM(INDEX(EHD['# Hopper Doors],1):EHD[[#This Row],['# Hopper Doors]])</f>
        <v>2039</v>
      </c>
      <c r="R179" s="47">
        <f t="shared" ca="1" si="2"/>
        <v>415355.0459100001</v>
      </c>
      <c r="S179" s="1">
        <f ca="1">IF(ISBLANK(EHD[[#This Row],[CALENDAR YEAR]]),ROUNDDOWN(EHD[[#This Row],[Running count]]/500,0)+$S$1,EHD[[#This Row],[CALENDAR YEAR]])</f>
        <v>2024</v>
      </c>
      <c r="T179" s="16"/>
    </row>
    <row r="180" spans="1:20">
      <c r="A180" s="13" t="s">
        <v>241</v>
      </c>
      <c r="B180" s="1">
        <f>VLOOKUP(A180,Data[],2,FALSE)</f>
        <v>0</v>
      </c>
      <c r="C180" s="9" t="s">
        <v>27</v>
      </c>
      <c r="D180" s="9" t="str">
        <f>VLOOKUP(EHD[[#This Row],[DEVELOPMENT]],Data[],52,FALSE)</f>
        <v>FEDERAL</v>
      </c>
      <c r="E180" s="1">
        <f>VLOOKUP(EHD[[#This Row],[DEVELOPMENT]],Data[],8,FALSE)</f>
        <v>0</v>
      </c>
      <c r="F180" s="9" t="str">
        <f>VLOOKUP(EHD[[#This Row],[DEVELOPMENT]],all[[DEVELOPMENT]:[MRST Ext. Comp. Priority]],6,FALSE)</f>
        <v>C</v>
      </c>
      <c r="G180" s="9">
        <v>0</v>
      </c>
      <c r="H180" s="1">
        <f>IF(VLOOKUP(EHD[[#This Row],[DEVELOPMENT]],Data[],9,FALSE)=0,5,VLOOKUP(EHD[[#This Row],[DEVELOPMENT]],Data[],9,FALSE))</f>
        <v>5</v>
      </c>
      <c r="I180" s="9">
        <f>EHD[[#This Row],[MRST '#HD]]</f>
        <v>0</v>
      </c>
      <c r="J180" s="1" t="str">
        <f ca="1">IFERROR(VLOOKUP(EHD[[#This Row],[DEVELOPMENT]],Data[],4,FALSE),"")</f>
        <v/>
      </c>
      <c r="K180" s="1" t="str">
        <f ca="1">IF(EHD[[#This Row],[RAD/PACT]]="","",IF(OR(EHD[[#This Row],[RAD/PACT]]="2021-2025",EHD[[#This Row],[RAD/PACT]]="2019-2020"),"Yes",""))</f>
        <v/>
      </c>
      <c r="L180" s="1"/>
      <c r="M180" s="1"/>
      <c r="N180" s="1"/>
      <c r="O180" s="1"/>
      <c r="P180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80" s="51">
        <f ca="1">SUM(INDEX(EHD['# Hopper Doors],1):EHD[[#This Row],['# Hopper Doors]])</f>
        <v>2039</v>
      </c>
      <c r="R180" s="47">
        <f t="shared" ca="1" si="2"/>
        <v>415355.0459100001</v>
      </c>
      <c r="S180" s="1">
        <f ca="1">IF(ISBLANK(EHD[[#This Row],[CALENDAR YEAR]]),ROUNDDOWN(EHD[[#This Row],[Running count]]/500,0)+$S$1,EHD[[#This Row],[CALENDAR YEAR]])</f>
        <v>2024</v>
      </c>
      <c r="T180" s="16"/>
    </row>
    <row r="181" spans="1:20">
      <c r="A181" s="13" t="s">
        <v>231</v>
      </c>
      <c r="B181" s="1" t="str">
        <f>VLOOKUP(A181,Data[],2,FALSE)</f>
        <v>BROOKLYN</v>
      </c>
      <c r="C181" s="9" t="s">
        <v>27</v>
      </c>
      <c r="D181" s="9" t="str">
        <f>VLOOKUP(EHD[[#This Row],[DEVELOPMENT]],Data[],52,FALSE)</f>
        <v>MIXED FINANCE/LLC1</v>
      </c>
      <c r="E181" s="1">
        <f>VLOOKUP(EHD[[#This Row],[DEVELOPMENT]],Data[],8,FALSE)</f>
        <v>0</v>
      </c>
      <c r="F181" s="9" t="str">
        <f>VLOOKUP(EHD[[#This Row],[DEVELOPMENT]],all[[DEVELOPMENT]:[MRST Ext. Comp. Priority]],6,FALSE)</f>
        <v>C</v>
      </c>
      <c r="G181" s="9">
        <v>23</v>
      </c>
      <c r="H181" s="1">
        <f>IF(VLOOKUP(EHD[[#This Row],[DEVELOPMENT]],Data[],9,FALSE)=0,5,VLOOKUP(EHD[[#This Row],[DEVELOPMENT]],Data[],9,FALSE))</f>
        <v>5</v>
      </c>
      <c r="I181" s="9">
        <f>EHD[[#This Row],[MRST '#HD]]</f>
        <v>23</v>
      </c>
      <c r="J181" s="1" t="str">
        <f ca="1">IFERROR(VLOOKUP(EHD[[#This Row],[DEVELOPMENT]],Data[],4,FALSE),"")</f>
        <v>2026+</v>
      </c>
      <c r="K181" s="1" t="str">
        <f ca="1">IF(EHD[[#This Row],[RAD/PACT]]="","",IF(OR(EHD[[#This Row],[RAD/PACT]]="2021-2025",EHD[[#This Row],[RAD/PACT]]="2019-2020"),"Yes",""))</f>
        <v/>
      </c>
      <c r="L181" s="1"/>
      <c r="M181" s="1"/>
      <c r="N181" s="1"/>
      <c r="O181" s="1"/>
      <c r="P181" s="47">
        <f ca="1">IF(EHD[[#This Row],[RAD/PACT]]="2019-2020",0,INDEX(UnitCosts[],MATCH(EHD[[#This Row],[WORK TYPE]],UnitCosts[Work Type],0),2)*EHD[[#This Row],['# Hopper Doors]])*(1+((EHD[[#This Row],[est. Year]]-YEAR(TODAY()))*$P$2))</f>
        <v>194962.57257000005</v>
      </c>
      <c r="Q181" s="51">
        <f ca="1">SUM(INDEX(EHD['# Hopper Doors],1):EHD[[#This Row],['# Hopper Doors]])</f>
        <v>2062</v>
      </c>
      <c r="R181" s="47">
        <f t="shared" ca="1" si="2"/>
        <v>610317.61848000018</v>
      </c>
      <c r="S181" s="1">
        <f ca="1">IF(ISBLANK(EHD[[#This Row],[CALENDAR YEAR]]),ROUNDDOWN(EHD[[#This Row],[Running count]]/500,0)+$S$1,EHD[[#This Row],[CALENDAR YEAR]])</f>
        <v>2024</v>
      </c>
      <c r="T181" s="16"/>
    </row>
    <row r="182" spans="1:20">
      <c r="A182" s="13" t="s">
        <v>232</v>
      </c>
      <c r="B182" s="1" t="str">
        <f>VLOOKUP(A182,Data[],2,FALSE)</f>
        <v>STATEN ISLAND</v>
      </c>
      <c r="C182" s="9" t="s">
        <v>27</v>
      </c>
      <c r="D182" s="9" t="str">
        <f>VLOOKUP(EHD[[#This Row],[DEVELOPMENT]],Data[],52,FALSE)</f>
        <v>FEDERAL</v>
      </c>
      <c r="E182" s="1">
        <f>VLOOKUP(EHD[[#This Row],[DEVELOPMENT]],Data[],8,FALSE)</f>
        <v>0</v>
      </c>
      <c r="F182" s="9" t="str">
        <f>VLOOKUP(EHD[[#This Row],[DEVELOPMENT]],all[[DEVELOPMENT]:[MRST Ext. Comp. Priority]],6,FALSE)</f>
        <v>C</v>
      </c>
      <c r="G182" s="9">
        <v>16</v>
      </c>
      <c r="H182" s="1">
        <f>IF(VLOOKUP(EHD[[#This Row],[DEVELOPMENT]],Data[],9,FALSE)=0,5,VLOOKUP(EHD[[#This Row],[DEVELOPMENT]],Data[],9,FALSE))</f>
        <v>5</v>
      </c>
      <c r="I182" s="9">
        <f>EHD[[#This Row],[MRST '#HD]]</f>
        <v>16</v>
      </c>
      <c r="J182" s="1" t="str">
        <f ca="1">IFERROR(VLOOKUP(EHD[[#This Row],[DEVELOPMENT]],Data[],4,FALSE),"")</f>
        <v/>
      </c>
      <c r="K182" s="1" t="str">
        <f ca="1">IF(EHD[[#This Row],[RAD/PACT]]="","",IF(OR(EHD[[#This Row],[RAD/PACT]]="2021-2025",EHD[[#This Row],[RAD/PACT]]="2019-2020"),"Yes",""))</f>
        <v/>
      </c>
      <c r="L182" s="1"/>
      <c r="M182" s="1"/>
      <c r="N182" s="1"/>
      <c r="O182" s="1"/>
      <c r="P182" s="47">
        <f ca="1">IF(EHD[[#This Row],[RAD/PACT]]="2019-2020",0,INDEX(UnitCosts[],MATCH(EHD[[#This Row],[WORK TYPE]],UnitCosts[Work Type],0),2)*EHD[[#This Row],['# Hopper Doors]])*(1+((EHD[[#This Row],[est. Year]]-YEAR(TODAY()))*$P$2))</f>
        <v>135626.13744000002</v>
      </c>
      <c r="Q182" s="51">
        <f ca="1">SUM(INDEX(EHD['# Hopper Doors],1):EHD[[#This Row],['# Hopper Doors]])</f>
        <v>2078</v>
      </c>
      <c r="R182" s="47">
        <f t="shared" ca="1" si="2"/>
        <v>745943.75592000014</v>
      </c>
      <c r="S182" s="1">
        <f ca="1">IF(ISBLANK(EHD[[#This Row],[CALENDAR YEAR]]),ROUNDDOWN(EHD[[#This Row],[Running count]]/500,0)+$S$1,EHD[[#This Row],[CALENDAR YEAR]])</f>
        <v>2024</v>
      </c>
      <c r="T182" s="16"/>
    </row>
    <row r="183" spans="1:20">
      <c r="A183" s="110" t="s">
        <v>280</v>
      </c>
      <c r="B183" s="1" t="str">
        <f>VLOOKUP(A183,Data[],2,FALSE)</f>
        <v>BRONX</v>
      </c>
      <c r="C183" s="9" t="s">
        <v>27</v>
      </c>
      <c r="D183" s="9" t="str">
        <f>VLOOKUP(EHD[[#This Row],[DEVELOPMENT]],Data[],52,FALSE)</f>
        <v>FEDERAL</v>
      </c>
      <c r="E183" s="1" t="str">
        <f>VLOOKUP(EHD[[#This Row],[DEVELOPMENT]],Data[],8,FALSE)</f>
        <v>Zone 4</v>
      </c>
      <c r="F183" s="9" t="str">
        <f>VLOOKUP(EHD[[#This Row],[DEVELOPMENT]],all[[DEVELOPMENT]:[MRST Ext. Comp. Priority]],6,FALSE)</f>
        <v>C</v>
      </c>
      <c r="G183" s="9">
        <v>0</v>
      </c>
      <c r="H183" s="1">
        <f>IF(VLOOKUP(EHD[[#This Row],[DEVELOPMENT]],Data[],9,FALSE)=0,5,VLOOKUP(EHD[[#This Row],[DEVELOPMENT]],Data[],9,FALSE))</f>
        <v>5</v>
      </c>
      <c r="I183" s="9">
        <f>EHD[[#This Row],[MRST '#HD]]</f>
        <v>0</v>
      </c>
      <c r="J183" s="1" t="str">
        <f ca="1">IFERROR(VLOOKUP(EHD[[#This Row],[DEVELOPMENT]],Data[],4,FALSE),"")</f>
        <v/>
      </c>
      <c r="K183" s="1" t="str">
        <f ca="1">IF(EHD[[#This Row],[RAD/PACT]]="","",IF(OR(EHD[[#This Row],[RAD/PACT]]="2021-2025",EHD[[#This Row],[RAD/PACT]]="2019-2020"),"Yes",""))</f>
        <v/>
      </c>
      <c r="L183" s="1"/>
      <c r="M183" s="1"/>
      <c r="N183" s="1"/>
      <c r="O183" s="1"/>
      <c r="P183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83" s="51">
        <f ca="1">SUM(INDEX(EHD['# Hopper Doors],1):EHD[[#This Row],['# Hopper Doors]])</f>
        <v>2078</v>
      </c>
      <c r="R183" s="47">
        <f t="shared" ca="1" si="2"/>
        <v>745943.75592000014</v>
      </c>
      <c r="S183" s="1">
        <f ca="1">IF(ISBLANK(EHD[[#This Row],[CALENDAR YEAR]]),ROUNDDOWN(EHD[[#This Row],[Running count]]/500,0)+$S$1,EHD[[#This Row],[CALENDAR YEAR]])</f>
        <v>2024</v>
      </c>
      <c r="T183" s="16"/>
    </row>
    <row r="184" spans="1:20">
      <c r="A184" s="13" t="s">
        <v>274</v>
      </c>
      <c r="B184" s="1" t="str">
        <f>VLOOKUP(A184,Data[],2,FALSE)</f>
        <v>MANHATTAN</v>
      </c>
      <c r="C184" s="9" t="s">
        <v>27</v>
      </c>
      <c r="D184" s="9" t="str">
        <f>VLOOKUP(EHD[[#This Row],[DEVELOPMENT]],Data[],52,FALSE)</f>
        <v>FEDERAL</v>
      </c>
      <c r="E184" s="1" t="str">
        <f>VLOOKUP(EHD[[#This Row],[DEVELOPMENT]],Data[],8,FALSE)</f>
        <v>Zone 3</v>
      </c>
      <c r="F184" s="9" t="str">
        <f>VLOOKUP(EHD[[#This Row],[DEVELOPMENT]],all[[DEVELOPMENT]:[MRST Ext. Comp. Priority]],6,FALSE)</f>
        <v>C</v>
      </c>
      <c r="G184" s="9">
        <v>1</v>
      </c>
      <c r="H184" s="1">
        <f>IF(VLOOKUP(EHD[[#This Row],[DEVELOPMENT]],Data[],9,FALSE)=0,5,VLOOKUP(EHD[[#This Row],[DEVELOPMENT]],Data[],9,FALSE))</f>
        <v>5</v>
      </c>
      <c r="I184" s="9">
        <f>EHD[[#This Row],[MRST '#HD]]</f>
        <v>1</v>
      </c>
      <c r="J184" s="1" t="str">
        <f ca="1">IFERROR(VLOOKUP(EHD[[#This Row],[DEVELOPMENT]],Data[],4,FALSE),"")</f>
        <v/>
      </c>
      <c r="K184" s="1" t="str">
        <f ca="1">IF(EHD[[#This Row],[RAD/PACT]]="","",IF(OR(EHD[[#This Row],[RAD/PACT]]="2021-2025",EHD[[#This Row],[RAD/PACT]]="2019-2020"),"Yes",""))</f>
        <v/>
      </c>
      <c r="L184" s="1"/>
      <c r="M184" s="1"/>
      <c r="N184" s="1"/>
      <c r="O184" s="1"/>
      <c r="P184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184" s="51">
        <f ca="1">SUM(INDEX(EHD['# Hopper Doors],1):EHD[[#This Row],['# Hopper Doors]])</f>
        <v>2079</v>
      </c>
      <c r="R184" s="47">
        <f t="shared" ca="1" si="2"/>
        <v>754420.38951000012</v>
      </c>
      <c r="S184" s="1">
        <f ca="1">IF(ISBLANK(EHD[[#This Row],[CALENDAR YEAR]]),ROUNDDOWN(EHD[[#This Row],[Running count]]/500,0)+$S$1,EHD[[#This Row],[CALENDAR YEAR]])</f>
        <v>2024</v>
      </c>
      <c r="T184" s="16"/>
    </row>
    <row r="185" spans="1:20">
      <c r="A185" s="13" t="s">
        <v>279</v>
      </c>
      <c r="B185" s="1" t="str">
        <f>VLOOKUP(A185,Data[],2,FALSE)</f>
        <v>MANHATTAN</v>
      </c>
      <c r="C185" s="9" t="s">
        <v>27</v>
      </c>
      <c r="D185" s="9" t="str">
        <f>VLOOKUP(EHD[[#This Row],[DEVELOPMENT]],Data[],52,FALSE)</f>
        <v>FEDERAL</v>
      </c>
      <c r="E185" s="1">
        <f>VLOOKUP(EHD[[#This Row],[DEVELOPMENT]],Data[],8,FALSE)</f>
        <v>0</v>
      </c>
      <c r="F185" s="9" t="str">
        <f>VLOOKUP(EHD[[#This Row],[DEVELOPMENT]],all[[DEVELOPMENT]:[MRST Ext. Comp. Priority]],6,FALSE)</f>
        <v>C</v>
      </c>
      <c r="G185" s="9">
        <v>7</v>
      </c>
      <c r="H185" s="1">
        <f>IF(VLOOKUP(EHD[[#This Row],[DEVELOPMENT]],Data[],9,FALSE)=0,5,VLOOKUP(EHD[[#This Row],[DEVELOPMENT]],Data[],9,FALSE))</f>
        <v>5</v>
      </c>
      <c r="I185" s="9">
        <f>EHD[[#This Row],[MRST '#HD]]</f>
        <v>7</v>
      </c>
      <c r="J185" s="1" t="str">
        <f ca="1">IFERROR(VLOOKUP(EHD[[#This Row],[DEVELOPMENT]],Data[],4,FALSE),"")</f>
        <v/>
      </c>
      <c r="K185" s="1" t="str">
        <f ca="1">IF(EHD[[#This Row],[RAD/PACT]]="","",IF(OR(EHD[[#This Row],[RAD/PACT]]="2021-2025",EHD[[#This Row],[RAD/PACT]]="2019-2020"),"Yes",""))</f>
        <v/>
      </c>
      <c r="L185" s="1"/>
      <c r="M185" s="1"/>
      <c r="N185" s="1"/>
      <c r="O185" s="1"/>
      <c r="P185" s="47">
        <f ca="1">IF(EHD[[#This Row],[RAD/PACT]]="2019-2020",0,INDEX(UnitCosts[],MATCH(EHD[[#This Row],[WORK TYPE]],UnitCosts[Work Type],0),2)*EHD[[#This Row],['# Hopper Doors]])*(1+((EHD[[#This Row],[est. Year]]-YEAR(TODAY()))*$P$2))</f>
        <v>59336.435130000013</v>
      </c>
      <c r="Q185" s="51">
        <f ca="1">SUM(INDEX(EHD['# Hopper Doors],1):EHD[[#This Row],['# Hopper Doors]])</f>
        <v>2086</v>
      </c>
      <c r="R185" s="47">
        <f t="shared" ca="1" si="2"/>
        <v>813756.82464000012</v>
      </c>
      <c r="S185" s="1">
        <f ca="1">IF(ISBLANK(EHD[[#This Row],[CALENDAR YEAR]]),ROUNDDOWN(EHD[[#This Row],[Running count]]/500,0)+$S$1,EHD[[#This Row],[CALENDAR YEAR]])</f>
        <v>2024</v>
      </c>
      <c r="T185" s="16"/>
    </row>
    <row r="186" spans="1:20">
      <c r="A186" s="13" t="s">
        <v>264</v>
      </c>
      <c r="B186" s="1" t="str">
        <f>VLOOKUP(A186,Data[],2,FALSE)</f>
        <v>BRONX</v>
      </c>
      <c r="C186" s="9" t="s">
        <v>27</v>
      </c>
      <c r="D186" s="9" t="str">
        <f>VLOOKUP(EHD[[#This Row],[DEVELOPMENT]],Data[],52,FALSE)</f>
        <v>FEDERAL</v>
      </c>
      <c r="E186" s="1">
        <f>VLOOKUP(EHD[[#This Row],[DEVELOPMENT]],Data[],8,FALSE)</f>
        <v>0</v>
      </c>
      <c r="F186" s="9" t="str">
        <f>VLOOKUP(EHD[[#This Row],[DEVELOPMENT]],all[[DEVELOPMENT]:[MRST Ext. Comp. Priority]],6,FALSE)</f>
        <v>C</v>
      </c>
      <c r="G186" s="9">
        <v>1</v>
      </c>
      <c r="H186" s="1">
        <f>IF(VLOOKUP(EHD[[#This Row],[DEVELOPMENT]],Data[],9,FALSE)=0,5,VLOOKUP(EHD[[#This Row],[DEVELOPMENT]],Data[],9,FALSE))</f>
        <v>5</v>
      </c>
      <c r="I186" s="9">
        <f>EHD[[#This Row],[MRST '#HD]]</f>
        <v>1</v>
      </c>
      <c r="J186" s="1" t="str">
        <f ca="1">IFERROR(VLOOKUP(EHD[[#This Row],[DEVELOPMENT]],Data[],4,FALSE),"")</f>
        <v>2026+</v>
      </c>
      <c r="K186" s="1" t="str">
        <f ca="1">IF(EHD[[#This Row],[RAD/PACT]]="","",IF(OR(EHD[[#This Row],[RAD/PACT]]="2021-2025",EHD[[#This Row],[RAD/PACT]]="2019-2020"),"Yes",""))</f>
        <v/>
      </c>
      <c r="L186" s="1"/>
      <c r="M186" s="1"/>
      <c r="N186" s="1"/>
      <c r="O186" s="1"/>
      <c r="P186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186" s="51">
        <f ca="1">SUM(INDEX(EHD['# Hopper Doors],1):EHD[[#This Row],['# Hopper Doors]])</f>
        <v>2087</v>
      </c>
      <c r="R186" s="47">
        <f t="shared" ca="1" si="2"/>
        <v>822233.45823000011</v>
      </c>
      <c r="S186" s="1">
        <f ca="1">IF(ISBLANK(EHD[[#This Row],[CALENDAR YEAR]]),ROUNDDOWN(EHD[[#This Row],[Running count]]/500,0)+$S$1,EHD[[#This Row],[CALENDAR YEAR]])</f>
        <v>2024</v>
      </c>
      <c r="T186" s="16"/>
    </row>
    <row r="187" spans="1:20">
      <c r="A187" s="13" t="s">
        <v>273</v>
      </c>
      <c r="B187" s="1" t="str">
        <f>VLOOKUP(A187,Data[],2,FALSE)</f>
        <v>BRONX</v>
      </c>
      <c r="C187" s="9" t="s">
        <v>27</v>
      </c>
      <c r="D187" s="9" t="str">
        <f>VLOOKUP(EHD[[#This Row],[DEVELOPMENT]],Data[],52,FALSE)</f>
        <v>FEDERAL</v>
      </c>
      <c r="E187" s="1">
        <f>VLOOKUP(EHD[[#This Row],[DEVELOPMENT]],Data[],8,FALSE)</f>
        <v>0</v>
      </c>
      <c r="F187" s="9" t="str">
        <f>VLOOKUP(EHD[[#This Row],[DEVELOPMENT]],all[[DEVELOPMENT]:[MRST Ext. Comp. Priority]],6,FALSE)</f>
        <v>C</v>
      </c>
      <c r="G187" s="9">
        <v>1</v>
      </c>
      <c r="H187" s="1">
        <f>IF(VLOOKUP(EHD[[#This Row],[DEVELOPMENT]],Data[],9,FALSE)=0,5,VLOOKUP(EHD[[#This Row],[DEVELOPMENT]],Data[],9,FALSE))</f>
        <v>5</v>
      </c>
      <c r="I187" s="9">
        <f>EHD[[#This Row],[MRST '#HD]]</f>
        <v>1</v>
      </c>
      <c r="J187" s="1" t="str">
        <f ca="1">IFERROR(VLOOKUP(EHD[[#This Row],[DEVELOPMENT]],Data[],4,FALSE),"")</f>
        <v/>
      </c>
      <c r="K187" s="1" t="str">
        <f ca="1">IF(EHD[[#This Row],[RAD/PACT]]="","",IF(OR(EHD[[#This Row],[RAD/PACT]]="2021-2025",EHD[[#This Row],[RAD/PACT]]="2019-2020"),"Yes",""))</f>
        <v/>
      </c>
      <c r="L187" s="1"/>
      <c r="M187" s="1"/>
      <c r="N187" s="1"/>
      <c r="O187" s="1"/>
      <c r="P187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187" s="51">
        <f ca="1">SUM(INDEX(EHD['# Hopper Doors],1):EHD[[#This Row],['# Hopper Doors]])</f>
        <v>2088</v>
      </c>
      <c r="R187" s="47">
        <f t="shared" ca="1" si="2"/>
        <v>830710.09182000009</v>
      </c>
      <c r="S187" s="1">
        <f ca="1">IF(ISBLANK(EHD[[#This Row],[CALENDAR YEAR]]),ROUNDDOWN(EHD[[#This Row],[Running count]]/500,0)+$S$1,EHD[[#This Row],[CALENDAR YEAR]])</f>
        <v>2024</v>
      </c>
      <c r="T187" s="16"/>
    </row>
    <row r="188" spans="1:20">
      <c r="A188" s="13" t="s">
        <v>276</v>
      </c>
      <c r="B188" s="1" t="str">
        <f>VLOOKUP(A188,Data[],2,FALSE)</f>
        <v>BRONX</v>
      </c>
      <c r="C188" s="9" t="s">
        <v>27</v>
      </c>
      <c r="D188" s="9" t="str">
        <f>VLOOKUP(EHD[[#This Row],[DEVELOPMENT]],Data[],52,FALSE)</f>
        <v>FEDERAL</v>
      </c>
      <c r="E188" s="1">
        <f>VLOOKUP(EHD[[#This Row],[DEVELOPMENT]],Data[],8,FALSE)</f>
        <v>0</v>
      </c>
      <c r="F188" s="9" t="str">
        <f>VLOOKUP(EHD[[#This Row],[DEVELOPMENT]],all[[DEVELOPMENT]:[MRST Ext. Comp. Priority]],6,FALSE)</f>
        <v>C</v>
      </c>
      <c r="G188" s="9">
        <v>2</v>
      </c>
      <c r="H188" s="1">
        <f>IF(VLOOKUP(EHD[[#This Row],[DEVELOPMENT]],Data[],9,FALSE)=0,5,VLOOKUP(EHD[[#This Row],[DEVELOPMENT]],Data[],9,FALSE))</f>
        <v>5</v>
      </c>
      <c r="I188" s="9">
        <f>EHD[[#This Row],[MRST '#HD]]</f>
        <v>2</v>
      </c>
      <c r="J188" s="1" t="str">
        <f ca="1">IFERROR(VLOOKUP(EHD[[#This Row],[DEVELOPMENT]],Data[],4,FALSE),"")</f>
        <v/>
      </c>
      <c r="K188" s="1" t="str">
        <f ca="1">IF(EHD[[#This Row],[RAD/PACT]]="","",IF(OR(EHD[[#This Row],[RAD/PACT]]="2021-2025",EHD[[#This Row],[RAD/PACT]]="2019-2020"),"Yes",""))</f>
        <v/>
      </c>
      <c r="L188" s="1"/>
      <c r="M188" s="1"/>
      <c r="N188" s="1"/>
      <c r="O188" s="1"/>
      <c r="P188" s="47">
        <f ca="1">IF(EHD[[#This Row],[RAD/PACT]]="2019-2020",0,INDEX(UnitCosts[],MATCH(EHD[[#This Row],[WORK TYPE]],UnitCosts[Work Type],0),2)*EHD[[#This Row],['# Hopper Doors]])*(1+((EHD[[#This Row],[est. Year]]-YEAR(TODAY()))*$P$2))</f>
        <v>16953.267180000003</v>
      </c>
      <c r="Q188" s="51">
        <f ca="1">SUM(INDEX(EHD['# Hopper Doors],1):EHD[[#This Row],['# Hopper Doors]])</f>
        <v>2090</v>
      </c>
      <c r="R188" s="47">
        <f t="shared" ca="1" si="2"/>
        <v>847663.35900000005</v>
      </c>
      <c r="S188" s="1">
        <f ca="1">IF(ISBLANK(EHD[[#This Row],[CALENDAR YEAR]]),ROUNDDOWN(EHD[[#This Row],[Running count]]/500,0)+$S$1,EHD[[#This Row],[CALENDAR YEAR]])</f>
        <v>2024</v>
      </c>
      <c r="T188" s="16"/>
    </row>
    <row r="189" spans="1:20">
      <c r="A189" s="110" t="s">
        <v>259</v>
      </c>
      <c r="B189" s="1" t="str">
        <f>VLOOKUP(A189,Data[],2,FALSE)</f>
        <v>MANHATTAN</v>
      </c>
      <c r="C189" s="9" t="s">
        <v>27</v>
      </c>
      <c r="D189" s="9" t="str">
        <f>VLOOKUP(EHD[[#This Row],[DEVELOPMENT]],Data[],52,FALSE)</f>
        <v>FEDERAL</v>
      </c>
      <c r="E189" s="1">
        <f>VLOOKUP(EHD[[#This Row],[DEVELOPMENT]],Data[],8,FALSE)</f>
        <v>0</v>
      </c>
      <c r="F189" s="9" t="str">
        <f>VLOOKUP(EHD[[#This Row],[DEVELOPMENT]],all[[DEVELOPMENT]:[MRST Ext. Comp. Priority]],6,FALSE)</f>
        <v>C</v>
      </c>
      <c r="G189" s="109">
        <v>2</v>
      </c>
      <c r="H189" s="1">
        <f>IF(VLOOKUP(EHD[[#This Row],[DEVELOPMENT]],Data[],9,FALSE)=0,5,VLOOKUP(EHD[[#This Row],[DEVELOPMENT]],Data[],9,FALSE))</f>
        <v>5</v>
      </c>
      <c r="I189" s="9">
        <f>EHD[[#This Row],[MRST '#HD]]</f>
        <v>2</v>
      </c>
      <c r="J189" s="1" t="str">
        <f ca="1">IFERROR(VLOOKUP(EHD[[#This Row],[DEVELOPMENT]],Data[],4,FALSE),"")</f>
        <v>2020-2021</v>
      </c>
      <c r="K189" s="1" t="str">
        <f ca="1">IF(EHD[[#This Row],[RAD/PACT]]="","",IF(OR(EHD[[#This Row],[RAD/PACT]]="2021-2025",EHD[[#This Row],[RAD/PACT]]="2019-2020"),"Yes",""))</f>
        <v/>
      </c>
      <c r="L189" s="1"/>
      <c r="M189" s="1"/>
      <c r="N189" s="1"/>
      <c r="O189" s="1"/>
      <c r="P189" s="47">
        <f ca="1">IF(EHD[[#This Row],[RAD/PACT]]="2019-2020",0,INDEX(UnitCosts[],MATCH(EHD[[#This Row],[WORK TYPE]],UnitCosts[Work Type],0),2)*EHD[[#This Row],['# Hopper Doors]])*(1+((EHD[[#This Row],[est. Year]]-YEAR(TODAY()))*$P$2))</f>
        <v>16953.267180000003</v>
      </c>
      <c r="Q189" s="51">
        <f ca="1">SUM(INDEX(EHD['# Hopper Doors],1):EHD[[#This Row],['# Hopper Doors]])</f>
        <v>2092</v>
      </c>
      <c r="R189" s="47">
        <f t="shared" ca="1" si="2"/>
        <v>864616.62618000002</v>
      </c>
      <c r="S189" s="1">
        <f ca="1">IF(ISBLANK(EHD[[#This Row],[CALENDAR YEAR]]),ROUNDDOWN(EHD[[#This Row],[Running count]]/500,0)+$S$1,EHD[[#This Row],[CALENDAR YEAR]])</f>
        <v>2024</v>
      </c>
      <c r="T189" s="16"/>
    </row>
    <row r="190" spans="1:20">
      <c r="A190" s="13" t="s">
        <v>244</v>
      </c>
      <c r="B190" s="1" t="str">
        <f>VLOOKUP(A190,Data[],2,FALSE)</f>
        <v>QUEENS</v>
      </c>
      <c r="C190" s="9" t="s">
        <v>27</v>
      </c>
      <c r="D190" s="9" t="str">
        <f>VLOOKUP(EHD[[#This Row],[DEVELOPMENT]],Data[],52,FALSE)</f>
        <v>FEDERAL</v>
      </c>
      <c r="E190" s="1">
        <f>VLOOKUP(EHD[[#This Row],[DEVELOPMENT]],Data[],8,FALSE)</f>
        <v>0</v>
      </c>
      <c r="F190" s="9" t="str">
        <f>VLOOKUP(EHD[[#This Row],[DEVELOPMENT]],all[[DEVELOPMENT]:[MRST Ext. Comp. Priority]],6,FALSE)</f>
        <v>C</v>
      </c>
      <c r="G190" s="9">
        <v>14</v>
      </c>
      <c r="H190" s="1">
        <f>IF(VLOOKUP(EHD[[#This Row],[DEVELOPMENT]],Data[],9,FALSE)=0,5,VLOOKUP(EHD[[#This Row],[DEVELOPMENT]],Data[],9,FALSE))</f>
        <v>5</v>
      </c>
      <c r="I190" s="9">
        <f>EHD[[#This Row],[MRST '#HD]]</f>
        <v>14</v>
      </c>
      <c r="J190" s="1" t="str">
        <f ca="1">IFERROR(VLOOKUP(EHD[[#This Row],[DEVELOPMENT]],Data[],4,FALSE),"")</f>
        <v>2026+</v>
      </c>
      <c r="K190" s="1" t="str">
        <f ca="1">IF(EHD[[#This Row],[RAD/PACT]]="","",IF(OR(EHD[[#This Row],[RAD/PACT]]="2021-2025",EHD[[#This Row],[RAD/PACT]]="2019-2020"),"Yes",""))</f>
        <v/>
      </c>
      <c r="L190" s="1"/>
      <c r="M190" s="1"/>
      <c r="N190" s="1"/>
      <c r="O190" s="1"/>
      <c r="P190" s="47">
        <f ca="1">IF(EHD[[#This Row],[RAD/PACT]]="2019-2020",0,INDEX(UnitCosts[],MATCH(EHD[[#This Row],[WORK TYPE]],UnitCosts[Work Type],0),2)*EHD[[#This Row],['# Hopper Doors]])*(1+((EHD[[#This Row],[est. Year]]-YEAR(TODAY()))*$P$2))</f>
        <v>118672.87026000003</v>
      </c>
      <c r="Q190" s="51">
        <f ca="1">SUM(INDEX(EHD['# Hopper Doors],1):EHD[[#This Row],['# Hopper Doors]])</f>
        <v>2106</v>
      </c>
      <c r="R190" s="47">
        <f t="shared" ca="1" si="2"/>
        <v>983289.49644000002</v>
      </c>
      <c r="S190" s="1">
        <f ca="1">IF(ISBLANK(EHD[[#This Row],[CALENDAR YEAR]]),ROUNDDOWN(EHD[[#This Row],[Running count]]/500,0)+$S$1,EHD[[#This Row],[CALENDAR YEAR]])</f>
        <v>2024</v>
      </c>
      <c r="T190" s="16"/>
    </row>
    <row r="191" spans="1:20">
      <c r="A191" s="110" t="s">
        <v>229</v>
      </c>
      <c r="B191" s="1" t="str">
        <f>VLOOKUP(A191,Data[],2,FALSE)</f>
        <v>MANHATTAN</v>
      </c>
      <c r="C191" s="9" t="s">
        <v>27</v>
      </c>
      <c r="D191" s="9" t="str">
        <f>VLOOKUP(EHD[[#This Row],[DEVELOPMENT]],Data[],52,FALSE)</f>
        <v>FEDERAL</v>
      </c>
      <c r="E191" s="1">
        <f>VLOOKUP(EHD[[#This Row],[DEVELOPMENT]],Data[],8,FALSE)</f>
        <v>0</v>
      </c>
      <c r="F191" s="9" t="str">
        <f>VLOOKUP(EHD[[#This Row],[DEVELOPMENT]],all[[DEVELOPMENT]:[MRST Ext. Comp. Priority]],6,FALSE)</f>
        <v>C</v>
      </c>
      <c r="G191" s="109">
        <v>1</v>
      </c>
      <c r="H191" s="1">
        <f>IF(VLOOKUP(EHD[[#This Row],[DEVELOPMENT]],Data[],9,FALSE)=0,5,VLOOKUP(EHD[[#This Row],[DEVELOPMENT]],Data[],9,FALSE))</f>
        <v>5</v>
      </c>
      <c r="I191" s="9">
        <f>EHD[[#This Row],[MRST '#HD]]</f>
        <v>1</v>
      </c>
      <c r="J191" s="1" t="str">
        <f ca="1">IFERROR(VLOOKUP(EHD[[#This Row],[DEVELOPMENT]],Data[],4,FALSE),"")</f>
        <v/>
      </c>
      <c r="K191" s="1" t="str">
        <f ca="1">IF(EHD[[#This Row],[RAD/PACT]]="","",IF(OR(EHD[[#This Row],[RAD/PACT]]="2021-2025",EHD[[#This Row],[RAD/PACT]]="2019-2020"),"Yes",""))</f>
        <v/>
      </c>
      <c r="L191" s="1"/>
      <c r="M191" s="1"/>
      <c r="N191" s="1"/>
      <c r="O191" s="1"/>
      <c r="P191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191" s="51">
        <f ca="1">SUM(INDEX(EHD['# Hopper Doors],1):EHD[[#This Row],['# Hopper Doors]])</f>
        <v>2107</v>
      </c>
      <c r="R191" s="47">
        <f t="shared" ca="1" si="2"/>
        <v>991766.13003</v>
      </c>
      <c r="S191" s="1">
        <f ca="1">IF(ISBLANK(EHD[[#This Row],[CALENDAR YEAR]]),ROUNDDOWN(EHD[[#This Row],[Running count]]/500,0)+$S$1,EHD[[#This Row],[CALENDAR YEAR]])</f>
        <v>2024</v>
      </c>
      <c r="T191" s="16"/>
    </row>
    <row r="192" spans="1:20">
      <c r="A192" s="110" t="s">
        <v>248</v>
      </c>
      <c r="B192" s="1" t="str">
        <f>VLOOKUP(A192,Data[],2,FALSE)</f>
        <v>BROOKLYN</v>
      </c>
      <c r="C192" s="9" t="s">
        <v>27</v>
      </c>
      <c r="D192" s="9" t="str">
        <f>VLOOKUP(EHD[[#This Row],[DEVELOPMENT]],Data[],52,FALSE)</f>
        <v>FEDERAL</v>
      </c>
      <c r="E192" s="1">
        <f>VLOOKUP(EHD[[#This Row],[DEVELOPMENT]],Data[],8,FALSE)</f>
        <v>0</v>
      </c>
      <c r="F192" s="9" t="str">
        <f>VLOOKUP(EHD[[#This Row],[DEVELOPMENT]],all[[DEVELOPMENT]:[MRST Ext. Comp. Priority]],6,FALSE)</f>
        <v>C</v>
      </c>
      <c r="G192" s="9">
        <v>0</v>
      </c>
      <c r="H192" s="1">
        <f>IF(VLOOKUP(EHD[[#This Row],[DEVELOPMENT]],Data[],9,FALSE)=0,5,VLOOKUP(EHD[[#This Row],[DEVELOPMENT]],Data[],9,FALSE))</f>
        <v>5</v>
      </c>
      <c r="I192" s="9">
        <f>EHD[[#This Row],[MRST '#HD]]</f>
        <v>0</v>
      </c>
      <c r="J192" s="1">
        <f ca="1">IFERROR(VLOOKUP(EHD[[#This Row],[DEVELOPMENT]],Data[],4,FALSE),"")</f>
        <v>2019</v>
      </c>
      <c r="K192" s="1" t="str">
        <f ca="1">IF(EHD[[#This Row],[RAD/PACT]]="","",IF(OR(EHD[[#This Row],[RAD/PACT]]="2021-2025",EHD[[#This Row],[RAD/PACT]]="2019-2020"),"Yes",""))</f>
        <v/>
      </c>
      <c r="L192" s="1"/>
      <c r="M192" s="1"/>
      <c r="N192" s="1"/>
      <c r="O192" s="1"/>
      <c r="P192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192" s="51">
        <f ca="1">SUM(INDEX(EHD['# Hopper Doors],1):EHD[[#This Row],['# Hopper Doors]])</f>
        <v>2107</v>
      </c>
      <c r="R192" s="47">
        <f t="shared" ca="1" si="2"/>
        <v>991766.13003</v>
      </c>
      <c r="S192" s="1">
        <f ca="1">IF(ISBLANK(EHD[[#This Row],[CALENDAR YEAR]]),ROUNDDOWN(EHD[[#This Row],[Running count]]/500,0)+$S$1,EHD[[#This Row],[CALENDAR YEAR]])</f>
        <v>2024</v>
      </c>
      <c r="T192" s="16"/>
    </row>
    <row r="193" spans="1:20">
      <c r="A193" s="110" t="s">
        <v>250</v>
      </c>
      <c r="B193" s="1" t="str">
        <f>VLOOKUP(A193,Data[],2,FALSE)</f>
        <v>MANHATTAN</v>
      </c>
      <c r="C193" s="9" t="s">
        <v>27</v>
      </c>
      <c r="D193" s="9" t="str">
        <f>VLOOKUP(EHD[[#This Row],[DEVELOPMENT]],Data[],52,FALSE)</f>
        <v>FEDERAL</v>
      </c>
      <c r="E193" s="1" t="str">
        <f>VLOOKUP(EHD[[#This Row],[DEVELOPMENT]],Data[],8,FALSE)</f>
        <v>Zone 3</v>
      </c>
      <c r="F193" s="9" t="str">
        <f>VLOOKUP(EHD[[#This Row],[DEVELOPMENT]],all[[DEVELOPMENT]:[MRST Ext. Comp. Priority]],6,FALSE)</f>
        <v>C</v>
      </c>
      <c r="G193" s="109">
        <v>3</v>
      </c>
      <c r="H193" s="1">
        <f>IF(VLOOKUP(EHD[[#This Row],[DEVELOPMENT]],Data[],9,FALSE)=0,5,VLOOKUP(EHD[[#This Row],[DEVELOPMENT]],Data[],9,FALSE))</f>
        <v>5</v>
      </c>
      <c r="I193" s="9">
        <f>EHD[[#This Row],[MRST '#HD]]</f>
        <v>3</v>
      </c>
      <c r="J193" s="1" t="str">
        <f ca="1">IFERROR(VLOOKUP(EHD[[#This Row],[DEVELOPMENT]],Data[],4,FALSE),"")</f>
        <v/>
      </c>
      <c r="K193" s="1" t="str">
        <f ca="1">IF(EHD[[#This Row],[RAD/PACT]]="","",IF(OR(EHD[[#This Row],[RAD/PACT]]="2021-2025",EHD[[#This Row],[RAD/PACT]]="2019-2020"),"Yes",""))</f>
        <v/>
      </c>
      <c r="L193" s="1"/>
      <c r="M193" s="1"/>
      <c r="N193" s="1"/>
      <c r="O193" s="1"/>
      <c r="P193" s="47">
        <f ca="1">IF(EHD[[#This Row],[RAD/PACT]]="2019-2020",0,INDEX(UnitCosts[],MATCH(EHD[[#This Row],[WORK TYPE]],UnitCosts[Work Type],0),2)*EHD[[#This Row],['# Hopper Doors]])*(1+((EHD[[#This Row],[est. Year]]-YEAR(TODAY()))*$P$2))</f>
        <v>25429.900770000004</v>
      </c>
      <c r="Q193" s="51">
        <f ca="1">SUM(INDEX(EHD['# Hopper Doors],1):EHD[[#This Row],['# Hopper Doors]])</f>
        <v>2110</v>
      </c>
      <c r="R193" s="47">
        <f t="shared" ca="1" si="2"/>
        <v>1017196.0307999999</v>
      </c>
      <c r="S193" s="1">
        <f ca="1">IF(ISBLANK(EHD[[#This Row],[CALENDAR YEAR]]),ROUNDDOWN(EHD[[#This Row],[Running count]]/500,0)+$S$1,EHD[[#This Row],[CALENDAR YEAR]])</f>
        <v>2024</v>
      </c>
      <c r="T193" s="16"/>
    </row>
    <row r="194" spans="1:20">
      <c r="A194" s="110" t="s">
        <v>251</v>
      </c>
      <c r="B194" s="1" t="str">
        <f>VLOOKUP(A194,Data[],2,FALSE)</f>
        <v>MANHATTAN</v>
      </c>
      <c r="C194" s="9" t="s">
        <v>27</v>
      </c>
      <c r="D194" s="9" t="str">
        <f>VLOOKUP(EHD[[#This Row],[DEVELOPMENT]],Data[],52,FALSE)</f>
        <v>FEDERAL</v>
      </c>
      <c r="E194" s="1">
        <f>VLOOKUP(EHD[[#This Row],[DEVELOPMENT]],Data[],8,FALSE)</f>
        <v>0</v>
      </c>
      <c r="F194" s="9" t="str">
        <f>VLOOKUP(EHD[[#This Row],[DEVELOPMENT]],all[[DEVELOPMENT]:[MRST Ext. Comp. Priority]],6,FALSE)</f>
        <v>C</v>
      </c>
      <c r="G194" s="109">
        <v>4</v>
      </c>
      <c r="H194" s="1">
        <f>IF(VLOOKUP(EHD[[#This Row],[DEVELOPMENT]],Data[],9,FALSE)=0,5,VLOOKUP(EHD[[#This Row],[DEVELOPMENT]],Data[],9,FALSE))</f>
        <v>5</v>
      </c>
      <c r="I194" s="9">
        <f>EHD[[#This Row],[MRST '#HD]]</f>
        <v>4</v>
      </c>
      <c r="J194" s="1" t="str">
        <f ca="1">IFERROR(VLOOKUP(EHD[[#This Row],[DEVELOPMENT]],Data[],4,FALSE),"")</f>
        <v/>
      </c>
      <c r="K194" s="1" t="str">
        <f ca="1">IF(EHD[[#This Row],[RAD/PACT]]="","",IF(OR(EHD[[#This Row],[RAD/PACT]]="2021-2025",EHD[[#This Row],[RAD/PACT]]="2019-2020"),"Yes",""))</f>
        <v/>
      </c>
      <c r="L194" s="1"/>
      <c r="M194" s="1"/>
      <c r="N194" s="1"/>
      <c r="O194" s="1"/>
      <c r="P194" s="47">
        <f ca="1">IF(EHD[[#This Row],[RAD/PACT]]="2019-2020",0,INDEX(UnitCosts[],MATCH(EHD[[#This Row],[WORK TYPE]],UnitCosts[Work Type],0),2)*EHD[[#This Row],['# Hopper Doors]])*(1+((EHD[[#This Row],[est. Year]]-YEAR(TODAY()))*$P$2))</f>
        <v>33906.534360000005</v>
      </c>
      <c r="Q194" s="51">
        <f ca="1">SUM(INDEX(EHD['# Hopper Doors],1):EHD[[#This Row],['# Hopper Doors]])</f>
        <v>2114</v>
      </c>
      <c r="R194" s="47">
        <f t="shared" ca="1" si="2"/>
        <v>1051102.56516</v>
      </c>
      <c r="S194" s="1">
        <f ca="1">IF(ISBLANK(EHD[[#This Row],[CALENDAR YEAR]]),ROUNDDOWN(EHD[[#This Row],[Running count]]/500,0)+$S$1,EHD[[#This Row],[CALENDAR YEAR]])</f>
        <v>2024</v>
      </c>
      <c r="T194" s="16"/>
    </row>
    <row r="195" spans="1:20">
      <c r="A195" s="13" t="s">
        <v>233</v>
      </c>
      <c r="B195" s="1" t="str">
        <f>VLOOKUP(A195,Data[],2,FALSE)</f>
        <v>QUEENS</v>
      </c>
      <c r="C195" s="9" t="s">
        <v>27</v>
      </c>
      <c r="D195" s="9" t="str">
        <f>VLOOKUP(EHD[[#This Row],[DEVELOPMENT]],Data[],52,FALSE)</f>
        <v>FEDERAL</v>
      </c>
      <c r="E195" s="1">
        <f>VLOOKUP(EHD[[#This Row],[DEVELOPMENT]],Data[],8,FALSE)</f>
        <v>0</v>
      </c>
      <c r="F195" s="9" t="str">
        <f>VLOOKUP(EHD[[#This Row],[DEVELOPMENT]],all[[DEVELOPMENT]:[MRST Ext. Comp. Priority]],6,FALSE)</f>
        <v>C</v>
      </c>
      <c r="G195" s="9">
        <v>5</v>
      </c>
      <c r="H195" s="1">
        <f>IF(VLOOKUP(EHD[[#This Row],[DEVELOPMENT]],Data[],9,FALSE)=0,5,VLOOKUP(EHD[[#This Row],[DEVELOPMENT]],Data[],9,FALSE))</f>
        <v>5</v>
      </c>
      <c r="I195" s="9">
        <f>EHD[[#This Row],[MRST '#HD]]</f>
        <v>5</v>
      </c>
      <c r="J195" s="1" t="str">
        <f ca="1">IFERROR(VLOOKUP(EHD[[#This Row],[DEVELOPMENT]],Data[],4,FALSE),"")</f>
        <v/>
      </c>
      <c r="K195" s="1" t="str">
        <f ca="1">IF(EHD[[#This Row],[RAD/PACT]]="","",IF(OR(EHD[[#This Row],[RAD/PACT]]="2021-2025",EHD[[#This Row],[RAD/PACT]]="2019-2020"),"Yes",""))</f>
        <v/>
      </c>
      <c r="L195" s="1"/>
      <c r="M195" s="1"/>
      <c r="N195" s="1"/>
      <c r="O195" s="1"/>
      <c r="P195" s="47">
        <f ca="1">IF(EHD[[#This Row],[RAD/PACT]]="2019-2020",0,INDEX(UnitCosts[],MATCH(EHD[[#This Row],[WORK TYPE]],UnitCosts[Work Type],0),2)*EHD[[#This Row],['# Hopper Doors]])*(1+((EHD[[#This Row],[est. Year]]-YEAR(TODAY()))*$P$2))</f>
        <v>42383.167950000003</v>
      </c>
      <c r="Q195" s="51">
        <f ca="1">SUM(INDEX(EHD['# Hopper Doors],1):EHD[[#This Row],['# Hopper Doors]])</f>
        <v>2119</v>
      </c>
      <c r="R195" s="47">
        <f t="shared" ca="1" si="2"/>
        <v>1093485.7331099999</v>
      </c>
      <c r="S195" s="1">
        <f ca="1">IF(ISBLANK(EHD[[#This Row],[CALENDAR YEAR]]),ROUNDDOWN(EHD[[#This Row],[Running count]]/500,0)+$S$1,EHD[[#This Row],[CALENDAR YEAR]])</f>
        <v>2024</v>
      </c>
      <c r="T195" s="16"/>
    </row>
    <row r="196" spans="1:20">
      <c r="A196" s="13" t="s">
        <v>275</v>
      </c>
      <c r="B196" s="1" t="str">
        <f>VLOOKUP(A196,Data[],2,FALSE)</f>
        <v>BRONX</v>
      </c>
      <c r="C196" s="9" t="s">
        <v>27</v>
      </c>
      <c r="D196" s="9" t="str">
        <f>VLOOKUP(EHD[[#This Row],[DEVELOPMENT]],Data[],52,FALSE)</f>
        <v>FEDERAL</v>
      </c>
      <c r="E196" s="1">
        <f>VLOOKUP(EHD[[#This Row],[DEVELOPMENT]],Data[],8,FALSE)</f>
        <v>0</v>
      </c>
      <c r="F196" s="9" t="str">
        <f>VLOOKUP(EHD[[#This Row],[DEVELOPMENT]],all[[DEVELOPMENT]:[MRST Ext. Comp. Priority]],6,FALSE)</f>
        <v>C</v>
      </c>
      <c r="G196" s="9">
        <v>2</v>
      </c>
      <c r="H196" s="1">
        <f>IF(VLOOKUP(EHD[[#This Row],[DEVELOPMENT]],Data[],9,FALSE)=0,5,VLOOKUP(EHD[[#This Row],[DEVELOPMENT]],Data[],9,FALSE))</f>
        <v>5</v>
      </c>
      <c r="I196" s="9">
        <f>EHD[[#This Row],[MRST '#HD]]</f>
        <v>2</v>
      </c>
      <c r="J196" s="1" t="str">
        <f ca="1">IFERROR(VLOOKUP(EHD[[#This Row],[DEVELOPMENT]],Data[],4,FALSE),"")</f>
        <v>2022-2025</v>
      </c>
      <c r="K196" s="1" t="str">
        <f ca="1">IF(EHD[[#This Row],[RAD/PACT]]="","",IF(OR(EHD[[#This Row],[RAD/PACT]]="2021-2025",EHD[[#This Row],[RAD/PACT]]="2019-2020"),"Yes",""))</f>
        <v/>
      </c>
      <c r="L196" s="1"/>
      <c r="M196" s="1"/>
      <c r="N196" s="1"/>
      <c r="O196" s="1"/>
      <c r="P196" s="47">
        <f ca="1">IF(EHD[[#This Row],[RAD/PACT]]="2019-2020",0,INDEX(UnitCosts[],MATCH(EHD[[#This Row],[WORK TYPE]],UnitCosts[Work Type],0),2)*EHD[[#This Row],['# Hopper Doors]])*(1+((EHD[[#This Row],[est. Year]]-YEAR(TODAY()))*$P$2))</f>
        <v>16953.267180000003</v>
      </c>
      <c r="Q196" s="51">
        <f ca="1">SUM(INDEX(EHD['# Hopper Doors],1):EHD[[#This Row],['# Hopper Doors]])</f>
        <v>2121</v>
      </c>
      <c r="R196" s="47">
        <f t="shared" ref="R196:R259" ca="1" si="3">IF(S196=S195,(P196+O196)+R195,(P196+O196))</f>
        <v>1110439.0002899999</v>
      </c>
      <c r="S196" s="1">
        <f ca="1">IF(ISBLANK(EHD[[#This Row],[CALENDAR YEAR]]),ROUNDDOWN(EHD[[#This Row],[Running count]]/500,0)+$S$1,EHD[[#This Row],[CALENDAR YEAR]])</f>
        <v>2024</v>
      </c>
      <c r="T196" s="16"/>
    </row>
    <row r="197" spans="1:20">
      <c r="A197" s="13" t="s">
        <v>267</v>
      </c>
      <c r="B197" s="1" t="str">
        <f>VLOOKUP(A197,Data[],2,FALSE)</f>
        <v>BRONX</v>
      </c>
      <c r="C197" s="9" t="s">
        <v>27</v>
      </c>
      <c r="D197" s="9" t="str">
        <f>VLOOKUP(EHD[[#This Row],[DEVELOPMENT]],Data[],52,FALSE)</f>
        <v>FEDERAL</v>
      </c>
      <c r="E197" s="1">
        <f>VLOOKUP(EHD[[#This Row],[DEVELOPMENT]],Data[],8,FALSE)</f>
        <v>0</v>
      </c>
      <c r="F197" s="9" t="str">
        <f>VLOOKUP(EHD[[#This Row],[DEVELOPMENT]],all[[DEVELOPMENT]:[MRST Ext. Comp. Priority]],6,FALSE)</f>
        <v>C</v>
      </c>
      <c r="G197" s="9">
        <v>12</v>
      </c>
      <c r="H197" s="1">
        <f>IF(VLOOKUP(EHD[[#This Row],[DEVELOPMENT]],Data[],9,FALSE)=0,5,VLOOKUP(EHD[[#This Row],[DEVELOPMENT]],Data[],9,FALSE))</f>
        <v>5</v>
      </c>
      <c r="I197" s="9">
        <f>EHD[[#This Row],[MRST '#HD]]</f>
        <v>12</v>
      </c>
      <c r="J197" s="1" t="str">
        <f ca="1">IFERROR(VLOOKUP(EHD[[#This Row],[DEVELOPMENT]],Data[],4,FALSE),"")</f>
        <v/>
      </c>
      <c r="K197" s="1" t="str">
        <f ca="1">IF(EHD[[#This Row],[RAD/PACT]]="","",IF(OR(EHD[[#This Row],[RAD/PACT]]="2021-2025",EHD[[#This Row],[RAD/PACT]]="2019-2020"),"Yes",""))</f>
        <v/>
      </c>
      <c r="L197" s="1"/>
      <c r="M197" s="1"/>
      <c r="N197" s="1"/>
      <c r="O197" s="1"/>
      <c r="P197" s="47">
        <f ca="1">IF(EHD[[#This Row],[RAD/PACT]]="2019-2020",0,INDEX(UnitCosts[],MATCH(EHD[[#This Row],[WORK TYPE]],UnitCosts[Work Type],0),2)*EHD[[#This Row],['# Hopper Doors]])*(1+((EHD[[#This Row],[est. Year]]-YEAR(TODAY()))*$P$2))</f>
        <v>101719.60308000002</v>
      </c>
      <c r="Q197" s="51">
        <f ca="1">SUM(INDEX(EHD['# Hopper Doors],1):EHD[[#This Row],['# Hopper Doors]])</f>
        <v>2133</v>
      </c>
      <c r="R197" s="47">
        <f t="shared" ca="1" si="3"/>
        <v>1212158.6033699999</v>
      </c>
      <c r="S197" s="1">
        <f ca="1">IF(ISBLANK(EHD[[#This Row],[CALENDAR YEAR]]),ROUNDDOWN(EHD[[#This Row],[Running count]]/500,0)+$S$1,EHD[[#This Row],[CALENDAR YEAR]])</f>
        <v>2024</v>
      </c>
      <c r="T197" s="16"/>
    </row>
    <row r="198" spans="1:20">
      <c r="A198" s="13" t="s">
        <v>277</v>
      </c>
      <c r="B198" s="1" t="str">
        <f>VLOOKUP(A198,Data[],2,FALSE)</f>
        <v>BRONX</v>
      </c>
      <c r="C198" s="9" t="s">
        <v>27</v>
      </c>
      <c r="D198" s="9" t="str">
        <f>VLOOKUP(EHD[[#This Row],[DEVELOPMENT]],Data[],52,FALSE)</f>
        <v>FEDERAL</v>
      </c>
      <c r="E198" s="1">
        <f>VLOOKUP(EHD[[#This Row],[DEVELOPMENT]],Data[],8,FALSE)</f>
        <v>0</v>
      </c>
      <c r="F198" s="9" t="str">
        <f>VLOOKUP(EHD[[#This Row],[DEVELOPMENT]],all[[DEVELOPMENT]:[MRST Ext. Comp. Priority]],6,FALSE)</f>
        <v>C</v>
      </c>
      <c r="G198" s="9">
        <v>1</v>
      </c>
      <c r="H198" s="1">
        <f>IF(VLOOKUP(EHD[[#This Row],[DEVELOPMENT]],Data[],9,FALSE)=0,5,VLOOKUP(EHD[[#This Row],[DEVELOPMENT]],Data[],9,FALSE))</f>
        <v>5</v>
      </c>
      <c r="I198" s="9">
        <f>EHD[[#This Row],[MRST '#HD]]</f>
        <v>1</v>
      </c>
      <c r="J198" s="1" t="str">
        <f ca="1">IFERROR(VLOOKUP(EHD[[#This Row],[DEVELOPMENT]],Data[],4,FALSE),"")</f>
        <v/>
      </c>
      <c r="K198" s="1" t="str">
        <f ca="1">IF(EHD[[#This Row],[RAD/PACT]]="","",IF(OR(EHD[[#This Row],[RAD/PACT]]="2021-2025",EHD[[#This Row],[RAD/PACT]]="2019-2020"),"Yes",""))</f>
        <v/>
      </c>
      <c r="L198" s="1"/>
      <c r="M198" s="1"/>
      <c r="N198" s="1"/>
      <c r="O198" s="1"/>
      <c r="P198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198" s="51">
        <f ca="1">SUM(INDEX(EHD['# Hopper Doors],1):EHD[[#This Row],['# Hopper Doors]])</f>
        <v>2134</v>
      </c>
      <c r="R198" s="47">
        <f t="shared" ca="1" si="3"/>
        <v>1220635.2369599999</v>
      </c>
      <c r="S198" s="1">
        <f ca="1">IF(ISBLANK(EHD[[#This Row],[CALENDAR YEAR]]),ROUNDDOWN(EHD[[#This Row],[Running count]]/500,0)+$S$1,EHD[[#This Row],[CALENDAR YEAR]])</f>
        <v>2024</v>
      </c>
      <c r="T198" s="16"/>
    </row>
    <row r="199" spans="1:20">
      <c r="A199" s="110" t="s">
        <v>254</v>
      </c>
      <c r="B199" s="1" t="str">
        <f>VLOOKUP(A199,Data[],2,FALSE)</f>
        <v>BROOKLYN</v>
      </c>
      <c r="C199" s="9" t="s">
        <v>27</v>
      </c>
      <c r="D199" s="9" t="str">
        <f>VLOOKUP(EHD[[#This Row],[DEVELOPMENT]],Data[],52,FALSE)</f>
        <v>FEDERAL</v>
      </c>
      <c r="E199" s="1">
        <f>VLOOKUP(EHD[[#This Row],[DEVELOPMENT]],Data[],8,FALSE)</f>
        <v>0</v>
      </c>
      <c r="F199" s="9" t="str">
        <f>VLOOKUP(EHD[[#This Row],[DEVELOPMENT]],all[[DEVELOPMENT]:[MRST Ext. Comp. Priority]],6,FALSE)</f>
        <v>C</v>
      </c>
      <c r="G199" s="109">
        <v>1</v>
      </c>
      <c r="H199" s="1">
        <f>IF(VLOOKUP(EHD[[#This Row],[DEVELOPMENT]],Data[],9,FALSE)=0,5,VLOOKUP(EHD[[#This Row],[DEVELOPMENT]],Data[],9,FALSE))</f>
        <v>5</v>
      </c>
      <c r="I199" s="9">
        <f>EHD[[#This Row],[MRST '#HD]]</f>
        <v>1</v>
      </c>
      <c r="J199" s="1" t="str">
        <f ca="1">IFERROR(VLOOKUP(EHD[[#This Row],[DEVELOPMENT]],Data[],4,FALSE),"")</f>
        <v/>
      </c>
      <c r="K199" s="1" t="str">
        <f ca="1">IF(EHD[[#This Row],[RAD/PACT]]="","",IF(OR(EHD[[#This Row],[RAD/PACT]]="2021-2025",EHD[[#This Row],[RAD/PACT]]="2019-2020"),"Yes",""))</f>
        <v/>
      </c>
      <c r="L199" s="1"/>
      <c r="M199" s="1"/>
      <c r="N199" s="1"/>
      <c r="O199" s="1"/>
      <c r="P199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199" s="51">
        <f ca="1">SUM(INDEX(EHD['# Hopper Doors],1):EHD[[#This Row],['# Hopper Doors]])</f>
        <v>2135</v>
      </c>
      <c r="R199" s="47">
        <f t="shared" ca="1" si="3"/>
        <v>1229111.8705499999</v>
      </c>
      <c r="S199" s="1">
        <f ca="1">IF(ISBLANK(EHD[[#This Row],[CALENDAR YEAR]]),ROUNDDOWN(EHD[[#This Row],[Running count]]/500,0)+$S$1,EHD[[#This Row],[CALENDAR YEAR]])</f>
        <v>2024</v>
      </c>
      <c r="T199" s="16"/>
    </row>
    <row r="200" spans="1:20">
      <c r="A200" s="13" t="s">
        <v>236</v>
      </c>
      <c r="B200" s="1" t="str">
        <f>VLOOKUP(A200,Data[],2,FALSE)</f>
        <v>BROOKLYN</v>
      </c>
      <c r="C200" s="9" t="s">
        <v>27</v>
      </c>
      <c r="D200" s="9" t="str">
        <f>VLOOKUP(EHD[[#This Row],[DEVELOPMENT]],Data[],52,FALSE)</f>
        <v>FEDERAL</v>
      </c>
      <c r="E200" s="1">
        <f>VLOOKUP(EHD[[#This Row],[DEVELOPMENT]],Data[],8,FALSE)</f>
        <v>0</v>
      </c>
      <c r="F200" s="9" t="str">
        <f>VLOOKUP(EHD[[#This Row],[DEVELOPMENT]],all[[DEVELOPMENT]:[MRST Ext. Comp. Priority]],6,FALSE)</f>
        <v>C</v>
      </c>
      <c r="G200" s="9">
        <v>1</v>
      </c>
      <c r="H200" s="1">
        <f>IF(VLOOKUP(EHD[[#This Row],[DEVELOPMENT]],Data[],9,FALSE)=0,5,VLOOKUP(EHD[[#This Row],[DEVELOPMENT]],Data[],9,FALSE))</f>
        <v>5</v>
      </c>
      <c r="I200" s="9">
        <f>EHD[[#This Row],[MRST '#HD]]</f>
        <v>1</v>
      </c>
      <c r="J200" s="1" t="str">
        <f ca="1">IFERROR(VLOOKUP(EHD[[#This Row],[DEVELOPMENT]],Data[],4,FALSE),"")</f>
        <v>2026+</v>
      </c>
      <c r="K200" s="1" t="str">
        <f ca="1">IF(EHD[[#This Row],[RAD/PACT]]="","",IF(OR(EHD[[#This Row],[RAD/PACT]]="2021-2025",EHD[[#This Row],[RAD/PACT]]="2019-2020"),"Yes",""))</f>
        <v/>
      </c>
      <c r="L200" s="1"/>
      <c r="M200" s="1"/>
      <c r="N200" s="1"/>
      <c r="O200" s="1"/>
      <c r="P200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00" s="51">
        <f ca="1">SUM(INDEX(EHD['# Hopper Doors],1):EHD[[#This Row],['# Hopper Doors]])</f>
        <v>2136</v>
      </c>
      <c r="R200" s="47">
        <f t="shared" ca="1" si="3"/>
        <v>1237588.5041399999</v>
      </c>
      <c r="S200" s="1">
        <f ca="1">IF(ISBLANK(EHD[[#This Row],[CALENDAR YEAR]]),ROUNDDOWN(EHD[[#This Row],[Running count]]/500,0)+$S$1,EHD[[#This Row],[CALENDAR YEAR]])</f>
        <v>2024</v>
      </c>
      <c r="T200" s="16"/>
    </row>
    <row r="201" spans="1:20">
      <c r="A201" s="110" t="s">
        <v>245</v>
      </c>
      <c r="B201" s="1" t="str">
        <f>VLOOKUP(A201,Data[],2,FALSE)</f>
        <v>BROOKLYN</v>
      </c>
      <c r="C201" s="9" t="s">
        <v>27</v>
      </c>
      <c r="D201" s="9" t="str">
        <f>VLOOKUP(EHD[[#This Row],[DEVELOPMENT]],Data[],52,FALSE)</f>
        <v>FEDERAL</v>
      </c>
      <c r="E201" s="1">
        <f>VLOOKUP(EHD[[#This Row],[DEVELOPMENT]],Data[],8,FALSE)</f>
        <v>0</v>
      </c>
      <c r="F201" s="9" t="str">
        <f>VLOOKUP(EHD[[#This Row],[DEVELOPMENT]],all[[DEVELOPMENT]:[MRST Ext. Comp. Priority]],6,FALSE)</f>
        <v>C</v>
      </c>
      <c r="G201" s="9">
        <v>0</v>
      </c>
      <c r="H201" s="1">
        <f>IF(VLOOKUP(EHD[[#This Row],[DEVELOPMENT]],Data[],9,FALSE)=0,5,VLOOKUP(EHD[[#This Row],[DEVELOPMENT]],Data[],9,FALSE))</f>
        <v>5</v>
      </c>
      <c r="I201" s="9">
        <f>EHD[[#This Row],[MRST '#HD]]</f>
        <v>0</v>
      </c>
      <c r="J201" s="1" t="str">
        <f ca="1">IFERROR(VLOOKUP(EHD[[#This Row],[DEVELOPMENT]],Data[],4,FALSE),"")</f>
        <v>2022-2025</v>
      </c>
      <c r="K201" s="1" t="str">
        <f ca="1">IF(EHD[[#This Row],[RAD/PACT]]="","",IF(OR(EHD[[#This Row],[RAD/PACT]]="2021-2025",EHD[[#This Row],[RAD/PACT]]="2019-2020"),"Yes",""))</f>
        <v/>
      </c>
      <c r="L201" s="1"/>
      <c r="M201" s="1"/>
      <c r="N201" s="1"/>
      <c r="O201" s="1"/>
      <c r="P201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01" s="51">
        <f ca="1">SUM(INDEX(EHD['# Hopper Doors],1):EHD[[#This Row],['# Hopper Doors]])</f>
        <v>2136</v>
      </c>
      <c r="R201" s="47">
        <f t="shared" ca="1" si="3"/>
        <v>1237588.5041399999</v>
      </c>
      <c r="S201" s="1">
        <f ca="1">IF(ISBLANK(EHD[[#This Row],[CALENDAR YEAR]]),ROUNDDOWN(EHD[[#This Row],[Running count]]/500,0)+$S$1,EHD[[#This Row],[CALENDAR YEAR]])</f>
        <v>2024</v>
      </c>
      <c r="T201" s="16"/>
    </row>
    <row r="202" spans="1:20">
      <c r="A202" s="110" t="s">
        <v>246</v>
      </c>
      <c r="B202" s="1" t="str">
        <f>VLOOKUP(A202,Data[],2,FALSE)</f>
        <v>BROOKLYN</v>
      </c>
      <c r="C202" s="9" t="s">
        <v>27</v>
      </c>
      <c r="D202" s="9" t="str">
        <f>VLOOKUP(EHD[[#This Row],[DEVELOPMENT]],Data[],52,FALSE)</f>
        <v>FEDERAL</v>
      </c>
      <c r="E202" s="1" t="str">
        <f>VLOOKUP(EHD[[#This Row],[DEVELOPMENT]],Data[],8,FALSE)</f>
        <v>Zone 4</v>
      </c>
      <c r="F202" s="9" t="str">
        <f>VLOOKUP(EHD[[#This Row],[DEVELOPMENT]],all[[DEVELOPMENT]:[MRST Ext. Comp. Priority]],6,FALSE)</f>
        <v>C</v>
      </c>
      <c r="G202" s="9">
        <v>0</v>
      </c>
      <c r="H202" s="1">
        <f>IF(VLOOKUP(EHD[[#This Row],[DEVELOPMENT]],Data[],9,FALSE)=0,5,VLOOKUP(EHD[[#This Row],[DEVELOPMENT]],Data[],9,FALSE))</f>
        <v>5</v>
      </c>
      <c r="I202" s="9">
        <f>EHD[[#This Row],[MRST '#HD]]</f>
        <v>0</v>
      </c>
      <c r="J202" s="1" t="str">
        <f ca="1">IFERROR(VLOOKUP(EHD[[#This Row],[DEVELOPMENT]],Data[],4,FALSE),"")</f>
        <v>2022-2025</v>
      </c>
      <c r="K202" s="1" t="str">
        <f ca="1">IF(EHD[[#This Row],[RAD/PACT]]="","",IF(OR(EHD[[#This Row],[RAD/PACT]]="2021-2025",EHD[[#This Row],[RAD/PACT]]="2019-2020"),"Yes",""))</f>
        <v/>
      </c>
      <c r="L202" s="1"/>
      <c r="M202" s="1"/>
      <c r="N202" s="1"/>
      <c r="O202" s="1"/>
      <c r="P202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02" s="51">
        <f ca="1">SUM(INDEX(EHD['# Hopper Doors],1):EHD[[#This Row],['# Hopper Doors]])</f>
        <v>2136</v>
      </c>
      <c r="R202" s="47">
        <f t="shared" ca="1" si="3"/>
        <v>1237588.5041399999</v>
      </c>
      <c r="S202" s="1">
        <f ca="1">IF(ISBLANK(EHD[[#This Row],[CALENDAR YEAR]]),ROUNDDOWN(EHD[[#This Row],[Running count]]/500,0)+$S$1,EHD[[#This Row],[CALENDAR YEAR]])</f>
        <v>2024</v>
      </c>
      <c r="T202" s="16"/>
    </row>
    <row r="203" spans="1:20">
      <c r="A203" s="13" t="s">
        <v>256</v>
      </c>
      <c r="B203" s="1" t="str">
        <f>VLOOKUP(A203,Data[],2,FALSE)</f>
        <v>BROOKLYN</v>
      </c>
      <c r="C203" s="9" t="s">
        <v>27</v>
      </c>
      <c r="D203" s="9" t="str">
        <f>VLOOKUP(EHD[[#This Row],[DEVELOPMENT]],Data[],52,FALSE)</f>
        <v>FEDERAL</v>
      </c>
      <c r="E203" s="1">
        <f>VLOOKUP(EHD[[#This Row],[DEVELOPMENT]],Data[],8,FALSE)</f>
        <v>0</v>
      </c>
      <c r="F203" s="9" t="str">
        <f>VLOOKUP(EHD[[#This Row],[DEVELOPMENT]],all[[DEVELOPMENT]:[MRST Ext. Comp. Priority]],6,FALSE)</f>
        <v>C</v>
      </c>
      <c r="G203" s="9">
        <v>7</v>
      </c>
      <c r="H203" s="1">
        <f>IF(VLOOKUP(EHD[[#This Row],[DEVELOPMENT]],Data[],9,FALSE)=0,5,VLOOKUP(EHD[[#This Row],[DEVELOPMENT]],Data[],9,FALSE))</f>
        <v>5</v>
      </c>
      <c r="I203" s="9">
        <f>EHD[[#This Row],[MRST '#HD]]</f>
        <v>7</v>
      </c>
      <c r="J203" s="1" t="str">
        <f ca="1">IFERROR(VLOOKUP(EHD[[#This Row],[DEVELOPMENT]],Data[],4,FALSE),"")</f>
        <v>2022-2025</v>
      </c>
      <c r="K203" s="1" t="str">
        <f ca="1">IF(EHD[[#This Row],[RAD/PACT]]="","",IF(OR(EHD[[#This Row],[RAD/PACT]]="2021-2025",EHD[[#This Row],[RAD/PACT]]="2019-2020"),"Yes",""))</f>
        <v/>
      </c>
      <c r="L203" s="1"/>
      <c r="M203" s="1"/>
      <c r="N203" s="1"/>
      <c r="O203" s="1"/>
      <c r="P203" s="47">
        <f ca="1">IF(EHD[[#This Row],[RAD/PACT]]="2019-2020",0,INDEX(UnitCosts[],MATCH(EHD[[#This Row],[WORK TYPE]],UnitCosts[Work Type],0),2)*EHD[[#This Row],['# Hopper Doors]])*(1+((EHD[[#This Row],[est. Year]]-YEAR(TODAY()))*$P$2))</f>
        <v>59336.435130000013</v>
      </c>
      <c r="Q203" s="51">
        <f ca="1">SUM(INDEX(EHD['# Hopper Doors],1):EHD[[#This Row],['# Hopper Doors]])</f>
        <v>2143</v>
      </c>
      <c r="R203" s="47">
        <f t="shared" ca="1" si="3"/>
        <v>1296924.93927</v>
      </c>
      <c r="S203" s="1">
        <f ca="1">IF(ISBLANK(EHD[[#This Row],[CALENDAR YEAR]]),ROUNDDOWN(EHD[[#This Row],[Running count]]/500,0)+$S$1,EHD[[#This Row],[CALENDAR YEAR]])</f>
        <v>2024</v>
      </c>
      <c r="T203" s="16"/>
    </row>
    <row r="204" spans="1:20">
      <c r="A204" s="13" t="s">
        <v>249</v>
      </c>
      <c r="B204" s="1" t="str">
        <f>VLOOKUP(A204,Data[],2,FALSE)</f>
        <v>BROOKLYN</v>
      </c>
      <c r="C204" s="9" t="s">
        <v>27</v>
      </c>
      <c r="D204" s="9" t="str">
        <f>VLOOKUP(EHD[[#This Row],[DEVELOPMENT]],Data[],52,FALSE)</f>
        <v>FEDERAL</v>
      </c>
      <c r="E204" s="1">
        <f>VLOOKUP(EHD[[#This Row],[DEVELOPMENT]],Data[],8,FALSE)</f>
        <v>0</v>
      </c>
      <c r="F204" s="9" t="str">
        <f>VLOOKUP(EHD[[#This Row],[DEVELOPMENT]],all[[DEVELOPMENT]:[MRST Ext. Comp. Priority]],6,FALSE)</f>
        <v>C</v>
      </c>
      <c r="G204" s="9">
        <v>22</v>
      </c>
      <c r="H204" s="1">
        <f>IF(VLOOKUP(EHD[[#This Row],[DEVELOPMENT]],Data[],9,FALSE)=0,5,VLOOKUP(EHD[[#This Row],[DEVELOPMENT]],Data[],9,FALSE))</f>
        <v>5</v>
      </c>
      <c r="I204" s="9">
        <f>EHD[[#This Row],[MRST '#HD]]</f>
        <v>22</v>
      </c>
      <c r="J204" s="1" t="str">
        <f ca="1">IFERROR(VLOOKUP(EHD[[#This Row],[DEVELOPMENT]],Data[],4,FALSE),"")</f>
        <v/>
      </c>
      <c r="K204" s="1" t="str">
        <f ca="1">IF(EHD[[#This Row],[RAD/PACT]]="","",IF(OR(EHD[[#This Row],[RAD/PACT]]="2021-2025",EHD[[#This Row],[RAD/PACT]]="2019-2020"),"Yes",""))</f>
        <v/>
      </c>
      <c r="L204" s="1"/>
      <c r="M204" s="1"/>
      <c r="N204" s="1"/>
      <c r="O204" s="1"/>
      <c r="P204" s="47">
        <f ca="1">IF(EHD[[#This Row],[RAD/PACT]]="2019-2020",0,INDEX(UnitCosts[],MATCH(EHD[[#This Row],[WORK TYPE]],UnitCosts[Work Type],0),2)*EHD[[#This Row],['# Hopper Doors]])*(1+((EHD[[#This Row],[est. Year]]-YEAR(TODAY()))*$P$2))</f>
        <v>186485.93898000004</v>
      </c>
      <c r="Q204" s="51">
        <f ca="1">SUM(INDEX(EHD['# Hopper Doors],1):EHD[[#This Row],['# Hopper Doors]])</f>
        <v>2165</v>
      </c>
      <c r="R204" s="47">
        <f t="shared" ca="1" si="3"/>
        <v>1483410.8782500001</v>
      </c>
      <c r="S204" s="1">
        <f ca="1">IF(ISBLANK(EHD[[#This Row],[CALENDAR YEAR]]),ROUNDDOWN(EHD[[#This Row],[Running count]]/500,0)+$S$1,EHD[[#This Row],[CALENDAR YEAR]])</f>
        <v>2024</v>
      </c>
      <c r="T204" s="16"/>
    </row>
    <row r="205" spans="1:20">
      <c r="A205" s="13" t="s">
        <v>253</v>
      </c>
      <c r="B205" s="1" t="str">
        <f>VLOOKUP(A205,Data[],2,FALSE)</f>
        <v>BRONX</v>
      </c>
      <c r="C205" s="9" t="s">
        <v>27</v>
      </c>
      <c r="D205" s="9" t="str">
        <f>VLOOKUP(EHD[[#This Row],[DEVELOPMENT]],Data[],52,FALSE)</f>
        <v>FEDERAL</v>
      </c>
      <c r="E205" s="1">
        <f>VLOOKUP(EHD[[#This Row],[DEVELOPMENT]],Data[],8,FALSE)</f>
        <v>0</v>
      </c>
      <c r="F205" s="9" t="str">
        <f>VLOOKUP(EHD[[#This Row],[DEVELOPMENT]],all[[DEVELOPMENT]:[MRST Ext. Comp. Priority]],6,FALSE)</f>
        <v>C</v>
      </c>
      <c r="G205" s="9">
        <v>7</v>
      </c>
      <c r="H205" s="1">
        <f>IF(VLOOKUP(EHD[[#This Row],[DEVELOPMENT]],Data[],9,FALSE)=0,5,VLOOKUP(EHD[[#This Row],[DEVELOPMENT]],Data[],9,FALSE))</f>
        <v>5</v>
      </c>
      <c r="I205" s="9">
        <f>EHD[[#This Row],[MRST '#HD]]</f>
        <v>7</v>
      </c>
      <c r="J205" s="1" t="str">
        <f ca="1">IFERROR(VLOOKUP(EHD[[#This Row],[DEVELOPMENT]],Data[],4,FALSE),"")</f>
        <v>2022-2025</v>
      </c>
      <c r="K205" s="1" t="str">
        <f ca="1">IF(EHD[[#This Row],[RAD/PACT]]="","",IF(OR(EHD[[#This Row],[RAD/PACT]]="2021-2025",EHD[[#This Row],[RAD/PACT]]="2019-2020"),"Yes",""))</f>
        <v/>
      </c>
      <c r="L205" s="1"/>
      <c r="M205" s="1"/>
      <c r="N205" s="1"/>
      <c r="O205" s="1"/>
      <c r="P205" s="47">
        <f ca="1">IF(EHD[[#This Row],[RAD/PACT]]="2019-2020",0,INDEX(UnitCosts[],MATCH(EHD[[#This Row],[WORK TYPE]],UnitCosts[Work Type],0),2)*EHD[[#This Row],['# Hopper Doors]])*(1+((EHD[[#This Row],[est. Year]]-YEAR(TODAY()))*$P$2))</f>
        <v>59336.435130000013</v>
      </c>
      <c r="Q205" s="51">
        <f ca="1">SUM(INDEX(EHD['# Hopper Doors],1):EHD[[#This Row],['# Hopper Doors]])</f>
        <v>2172</v>
      </c>
      <c r="R205" s="47">
        <f t="shared" ca="1" si="3"/>
        <v>1542747.3133800002</v>
      </c>
      <c r="S205" s="1">
        <f ca="1">IF(ISBLANK(EHD[[#This Row],[CALENDAR YEAR]]),ROUNDDOWN(EHD[[#This Row],[Running count]]/500,0)+$S$1,EHD[[#This Row],[CALENDAR YEAR]])</f>
        <v>2024</v>
      </c>
      <c r="T205" s="16"/>
    </row>
    <row r="206" spans="1:20">
      <c r="A206" s="13" t="s">
        <v>227</v>
      </c>
      <c r="B206" s="1" t="str">
        <f>VLOOKUP(A206,Data[],2,FALSE)</f>
        <v>BRONX</v>
      </c>
      <c r="C206" s="9" t="s">
        <v>27</v>
      </c>
      <c r="D206" s="9" t="str">
        <f>VLOOKUP(EHD[[#This Row],[DEVELOPMENT]],Data[],52,FALSE)</f>
        <v>FEDERAL</v>
      </c>
      <c r="E206" s="1" t="str">
        <f>VLOOKUP(EHD[[#This Row],[DEVELOPMENT]],Data[],8,FALSE)</f>
        <v>Zone 3</v>
      </c>
      <c r="F206" s="9" t="str">
        <f>VLOOKUP(EHD[[#This Row],[DEVELOPMENT]],all[[DEVELOPMENT]:[MRST Ext. Comp. Priority]],6,FALSE)</f>
        <v>C</v>
      </c>
      <c r="G206" s="9">
        <v>2</v>
      </c>
      <c r="H206" s="1">
        <f>IF(VLOOKUP(EHD[[#This Row],[DEVELOPMENT]],Data[],9,FALSE)=0,5,VLOOKUP(EHD[[#This Row],[DEVELOPMENT]],Data[],9,FALSE))</f>
        <v>5</v>
      </c>
      <c r="I206" s="9">
        <f>EHD[[#This Row],[MRST '#HD]]</f>
        <v>2</v>
      </c>
      <c r="J206" s="1" t="str">
        <f ca="1">IFERROR(VLOOKUP(EHD[[#This Row],[DEVELOPMENT]],Data[],4,FALSE),"")</f>
        <v>2026+</v>
      </c>
      <c r="K206" s="1" t="str">
        <f ca="1">IF(EHD[[#This Row],[RAD/PACT]]="","",IF(OR(EHD[[#This Row],[RAD/PACT]]="2021-2025",EHD[[#This Row],[RAD/PACT]]="2019-2020"),"Yes",""))</f>
        <v/>
      </c>
      <c r="L206" s="1"/>
      <c r="M206" s="1"/>
      <c r="N206" s="1"/>
      <c r="O206" s="1"/>
      <c r="P206" s="47">
        <f ca="1">IF(EHD[[#This Row],[RAD/PACT]]="2019-2020",0,INDEX(UnitCosts[],MATCH(EHD[[#This Row],[WORK TYPE]],UnitCosts[Work Type],0),2)*EHD[[#This Row],['# Hopper Doors]])*(1+((EHD[[#This Row],[est. Year]]-YEAR(TODAY()))*$P$2))</f>
        <v>16953.267180000003</v>
      </c>
      <c r="Q206" s="51">
        <f ca="1">SUM(INDEX(EHD['# Hopper Doors],1):EHD[[#This Row],['# Hopper Doors]])</f>
        <v>2174</v>
      </c>
      <c r="R206" s="47">
        <f t="shared" ca="1" si="3"/>
        <v>1559700.5805600001</v>
      </c>
      <c r="S206" s="1">
        <f ca="1">IF(ISBLANK(EHD[[#This Row],[CALENDAR YEAR]]),ROUNDDOWN(EHD[[#This Row],[Running count]]/500,0)+$S$1,EHD[[#This Row],[CALENDAR YEAR]])</f>
        <v>2024</v>
      </c>
      <c r="T206" s="16"/>
    </row>
    <row r="207" spans="1:20">
      <c r="A207" s="13" t="s">
        <v>243</v>
      </c>
      <c r="B207" s="1" t="str">
        <f>VLOOKUP(A207,Data[],2,FALSE)</f>
        <v>BRONX</v>
      </c>
      <c r="C207" s="9" t="s">
        <v>27</v>
      </c>
      <c r="D207" s="9" t="str">
        <f>VLOOKUP(EHD[[#This Row],[DEVELOPMENT]],Data[],52,FALSE)</f>
        <v>FEDERAL</v>
      </c>
      <c r="E207" s="1">
        <f>VLOOKUP(EHD[[#This Row],[DEVELOPMENT]],Data[],8,FALSE)</f>
        <v>0</v>
      </c>
      <c r="F207" s="9" t="str">
        <f>VLOOKUP(EHD[[#This Row],[DEVELOPMENT]],all[[DEVELOPMENT]:[MRST Ext. Comp. Priority]],6,FALSE)</f>
        <v>C</v>
      </c>
      <c r="G207" s="9">
        <v>1</v>
      </c>
      <c r="H207" s="1">
        <f>IF(VLOOKUP(EHD[[#This Row],[DEVELOPMENT]],Data[],9,FALSE)=0,5,VLOOKUP(EHD[[#This Row],[DEVELOPMENT]],Data[],9,FALSE))</f>
        <v>5</v>
      </c>
      <c r="I207" s="9">
        <f>EHD[[#This Row],[MRST '#HD]]</f>
        <v>1</v>
      </c>
      <c r="J207" s="1" t="str">
        <f ca="1">IFERROR(VLOOKUP(EHD[[#This Row],[DEVELOPMENT]],Data[],4,FALSE),"")</f>
        <v>2026+</v>
      </c>
      <c r="K207" s="1" t="str">
        <f ca="1">IF(EHD[[#This Row],[RAD/PACT]]="","",IF(OR(EHD[[#This Row],[RAD/PACT]]="2021-2025",EHD[[#This Row],[RAD/PACT]]="2019-2020"),"Yes",""))</f>
        <v/>
      </c>
      <c r="L207" s="1"/>
      <c r="M207" s="1"/>
      <c r="N207" s="1"/>
      <c r="O207" s="1"/>
      <c r="P207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07" s="51">
        <f ca="1">SUM(INDEX(EHD['# Hopper Doors],1):EHD[[#This Row],['# Hopper Doors]])</f>
        <v>2175</v>
      </c>
      <c r="R207" s="47">
        <f t="shared" ca="1" si="3"/>
        <v>1568177.2141500001</v>
      </c>
      <c r="S207" s="1">
        <f ca="1">IF(ISBLANK(EHD[[#This Row],[CALENDAR YEAR]]),ROUNDDOWN(EHD[[#This Row],[Running count]]/500,0)+$S$1,EHD[[#This Row],[CALENDAR YEAR]])</f>
        <v>2024</v>
      </c>
      <c r="T207" s="16"/>
    </row>
    <row r="208" spans="1:20">
      <c r="A208" s="13" t="s">
        <v>255</v>
      </c>
      <c r="B208" s="1" t="str">
        <f>VLOOKUP(A208,Data[],2,FALSE)</f>
        <v>STATEN ISLAND</v>
      </c>
      <c r="C208" s="9" t="s">
        <v>27</v>
      </c>
      <c r="D208" s="9" t="str">
        <f>VLOOKUP(EHD[[#This Row],[DEVELOPMENT]],Data[],52,FALSE)</f>
        <v>FEDERAL</v>
      </c>
      <c r="E208" s="1">
        <f>VLOOKUP(EHD[[#This Row],[DEVELOPMENT]],Data[],8,FALSE)</f>
        <v>0</v>
      </c>
      <c r="F208" s="9" t="str">
        <f>VLOOKUP(EHD[[#This Row],[DEVELOPMENT]],all[[DEVELOPMENT]:[MRST Ext. Comp. Priority]],6,FALSE)</f>
        <v>C</v>
      </c>
      <c r="G208" s="9">
        <v>15</v>
      </c>
      <c r="H208" s="1">
        <f>IF(VLOOKUP(EHD[[#This Row],[DEVELOPMENT]],Data[],9,FALSE)=0,5,VLOOKUP(EHD[[#This Row],[DEVELOPMENT]],Data[],9,FALSE))</f>
        <v>5</v>
      </c>
      <c r="I208" s="9">
        <f>EHD[[#This Row],[MRST '#HD]]</f>
        <v>15</v>
      </c>
      <c r="J208" s="1" t="str">
        <f ca="1">IFERROR(VLOOKUP(EHD[[#This Row],[DEVELOPMENT]],Data[],4,FALSE),"")</f>
        <v/>
      </c>
      <c r="K208" s="1" t="str">
        <f ca="1">IF(EHD[[#This Row],[RAD/PACT]]="","",IF(OR(EHD[[#This Row],[RAD/PACT]]="2021-2025",EHD[[#This Row],[RAD/PACT]]="2019-2020"),"Yes",""))</f>
        <v/>
      </c>
      <c r="L208" s="1"/>
      <c r="M208" s="1"/>
      <c r="N208" s="1"/>
      <c r="O208" s="1"/>
      <c r="P208" s="47">
        <f ca="1">IF(EHD[[#This Row],[RAD/PACT]]="2019-2020",0,INDEX(UnitCosts[],MATCH(EHD[[#This Row],[WORK TYPE]],UnitCosts[Work Type],0),2)*EHD[[#This Row],['# Hopper Doors]])*(1+((EHD[[#This Row],[est. Year]]-YEAR(TODAY()))*$P$2))</f>
        <v>127149.50385000001</v>
      </c>
      <c r="Q208" s="51">
        <f ca="1">SUM(INDEX(EHD['# Hopper Doors],1):EHD[[#This Row],['# Hopper Doors]])</f>
        <v>2190</v>
      </c>
      <c r="R208" s="47">
        <f t="shared" ca="1" si="3"/>
        <v>1695326.7180000001</v>
      </c>
      <c r="S208" s="1">
        <f ca="1">IF(ISBLANK(EHD[[#This Row],[CALENDAR YEAR]]),ROUNDDOWN(EHD[[#This Row],[Running count]]/500,0)+$S$1,EHD[[#This Row],[CALENDAR YEAR]])</f>
        <v>2024</v>
      </c>
      <c r="T208" s="16"/>
    </row>
    <row r="209" spans="1:20">
      <c r="A209" s="13" t="s">
        <v>269</v>
      </c>
      <c r="B209" s="1" t="str">
        <f>VLOOKUP(A209,Data[],2,FALSE)</f>
        <v>QUEENS</v>
      </c>
      <c r="C209" s="9" t="s">
        <v>27</v>
      </c>
      <c r="D209" s="9" t="str">
        <f>VLOOKUP(EHD[[#This Row],[DEVELOPMENT]],Data[],52,FALSE)</f>
        <v>FEDERAL</v>
      </c>
      <c r="E209" s="1">
        <f>VLOOKUP(EHD[[#This Row],[DEVELOPMENT]],Data[],8,FALSE)</f>
        <v>0</v>
      </c>
      <c r="F209" s="9" t="str">
        <f>VLOOKUP(EHD[[#This Row],[DEVELOPMENT]],all[[DEVELOPMENT]:[MRST Ext. Comp. Priority]],6,FALSE)</f>
        <v>C</v>
      </c>
      <c r="G209" s="9">
        <v>27</v>
      </c>
      <c r="H209" s="1">
        <f>IF(VLOOKUP(EHD[[#This Row],[DEVELOPMENT]],Data[],9,FALSE)=0,5,VLOOKUP(EHD[[#This Row],[DEVELOPMENT]],Data[],9,FALSE))</f>
        <v>5</v>
      </c>
      <c r="I209" s="9">
        <f>EHD[[#This Row],[MRST '#HD]]</f>
        <v>27</v>
      </c>
      <c r="J209" s="1" t="str">
        <f ca="1">IFERROR(VLOOKUP(EHD[[#This Row],[DEVELOPMENT]],Data[],4,FALSE),"")</f>
        <v>2026+</v>
      </c>
      <c r="K209" s="1" t="str">
        <f ca="1">IF(EHD[[#This Row],[RAD/PACT]]="","",IF(OR(EHD[[#This Row],[RAD/PACT]]="2021-2025",EHD[[#This Row],[RAD/PACT]]="2019-2020"),"Yes",""))</f>
        <v/>
      </c>
      <c r="L209" s="1"/>
      <c r="M209" s="1"/>
      <c r="N209" s="1"/>
      <c r="O209" s="1"/>
      <c r="P209" s="47">
        <f ca="1">IF(EHD[[#This Row],[RAD/PACT]]="2019-2020",0,INDEX(UnitCosts[],MATCH(EHD[[#This Row],[WORK TYPE]],UnitCosts[Work Type],0),2)*EHD[[#This Row],['# Hopper Doors]])*(1+((EHD[[#This Row],[est. Year]]-YEAR(TODAY()))*$P$2))</f>
        <v>228869.10693000004</v>
      </c>
      <c r="Q209" s="51">
        <f ca="1">SUM(INDEX(EHD['# Hopper Doors],1):EHD[[#This Row],['# Hopper Doors]])</f>
        <v>2217</v>
      </c>
      <c r="R209" s="47">
        <f t="shared" ca="1" si="3"/>
        <v>1924195.8249300001</v>
      </c>
      <c r="S209" s="1">
        <f ca="1">IF(ISBLANK(EHD[[#This Row],[CALENDAR YEAR]]),ROUNDDOWN(EHD[[#This Row],[Running count]]/500,0)+$S$1,EHD[[#This Row],[CALENDAR YEAR]])</f>
        <v>2024</v>
      </c>
      <c r="T209" s="16"/>
    </row>
    <row r="210" spans="1:20">
      <c r="A210" s="66" t="s">
        <v>257</v>
      </c>
      <c r="B210" s="1" t="str">
        <f>VLOOKUP(A210,Data[],2,FALSE)</f>
        <v>BROOKLYN</v>
      </c>
      <c r="C210" s="9" t="s">
        <v>27</v>
      </c>
      <c r="D210" s="9" t="str">
        <f>VLOOKUP(EHD[[#This Row],[DEVELOPMENT]],Data[],52,FALSE)</f>
        <v>FEDERAL</v>
      </c>
      <c r="E210" s="1">
        <f>VLOOKUP(EHD[[#This Row],[DEVELOPMENT]],Data[],8,FALSE)</f>
        <v>0</v>
      </c>
      <c r="F210" s="9" t="str">
        <f>VLOOKUP(EHD[[#This Row],[DEVELOPMENT]],all[[DEVELOPMENT]:[MRST Ext. Comp. Priority]],6,FALSE)</f>
        <v>C</v>
      </c>
      <c r="G210" s="9">
        <v>11</v>
      </c>
      <c r="H210" s="1">
        <f>IF(VLOOKUP(EHD[[#This Row],[DEVELOPMENT]],Data[],9,FALSE)=0,5,VLOOKUP(EHD[[#This Row],[DEVELOPMENT]],Data[],9,FALSE))</f>
        <v>5</v>
      </c>
      <c r="I210" s="9">
        <f>EHD[[#This Row],[MRST '#HD]]</f>
        <v>11</v>
      </c>
      <c r="J210" s="1" t="str">
        <f ca="1">IFERROR(VLOOKUP(EHD[[#This Row],[DEVELOPMENT]],Data[],4,FALSE),"")</f>
        <v>2026+</v>
      </c>
      <c r="K210" s="1" t="str">
        <f ca="1">IF(EHD[[#This Row],[RAD/PACT]]="","",IF(OR(EHD[[#This Row],[RAD/PACT]]="2021-2025",EHD[[#This Row],[RAD/PACT]]="2019-2020"),"Yes",""))</f>
        <v/>
      </c>
      <c r="L210" s="1"/>
      <c r="M210" s="1"/>
      <c r="N210" s="1"/>
      <c r="O210" s="1"/>
      <c r="P210" s="47">
        <f ca="1">IF(EHD[[#This Row],[RAD/PACT]]="2019-2020",0,INDEX(UnitCosts[],MATCH(EHD[[#This Row],[WORK TYPE]],UnitCosts[Work Type],0),2)*EHD[[#This Row],['# Hopper Doors]])*(1+((EHD[[#This Row],[est. Year]]-YEAR(TODAY()))*$P$2))</f>
        <v>93242.969490000018</v>
      </c>
      <c r="Q210" s="51">
        <f ca="1">SUM(INDEX(EHD['# Hopper Doors],1):EHD[[#This Row],['# Hopper Doors]])</f>
        <v>2228</v>
      </c>
      <c r="R210" s="47">
        <f t="shared" ca="1" si="3"/>
        <v>2017438.7944200002</v>
      </c>
      <c r="S210" s="1">
        <f ca="1">IF(ISBLANK(EHD[[#This Row],[CALENDAR YEAR]]),ROUNDDOWN(EHD[[#This Row],[Running count]]/500,0)+$S$1,EHD[[#This Row],[CALENDAR YEAR]])</f>
        <v>2024</v>
      </c>
      <c r="T210" s="16"/>
    </row>
    <row r="211" spans="1:20">
      <c r="A211" s="13" t="s">
        <v>235</v>
      </c>
      <c r="B211" s="1" t="str">
        <f>VLOOKUP(A211,Data[],2,FALSE)</f>
        <v>BROOKLYN</v>
      </c>
      <c r="C211" s="9" t="s">
        <v>27</v>
      </c>
      <c r="D211" s="9" t="str">
        <f>VLOOKUP(EHD[[#This Row],[DEVELOPMENT]],Data[],52,FALSE)</f>
        <v>FEDERAL</v>
      </c>
      <c r="E211" s="1">
        <f>VLOOKUP(EHD[[#This Row],[DEVELOPMENT]],Data[],8,FALSE)</f>
        <v>0</v>
      </c>
      <c r="F211" s="9" t="str">
        <f>VLOOKUP(EHD[[#This Row],[DEVELOPMENT]],all[[DEVELOPMENT]:[MRST Ext. Comp. Priority]],6,FALSE)</f>
        <v>C</v>
      </c>
      <c r="G211" s="9">
        <v>5</v>
      </c>
      <c r="H211" s="1">
        <f>IF(VLOOKUP(EHD[[#This Row],[DEVELOPMENT]],Data[],9,FALSE)=0,5,VLOOKUP(EHD[[#This Row],[DEVELOPMENT]],Data[],9,FALSE))</f>
        <v>5</v>
      </c>
      <c r="I211" s="9">
        <f>EHD[[#This Row],[MRST '#HD]]</f>
        <v>5</v>
      </c>
      <c r="J211" s="1" t="str">
        <f ca="1">IFERROR(VLOOKUP(EHD[[#This Row],[DEVELOPMENT]],Data[],4,FALSE),"")</f>
        <v/>
      </c>
      <c r="K211" s="1" t="str">
        <f ca="1">IF(EHD[[#This Row],[RAD/PACT]]="","",IF(OR(EHD[[#This Row],[RAD/PACT]]="2021-2025",EHD[[#This Row],[RAD/PACT]]="2019-2020"),"Yes",""))</f>
        <v/>
      </c>
      <c r="L211" s="1"/>
      <c r="M211" s="1"/>
      <c r="N211" s="1"/>
      <c r="O211" s="1"/>
      <c r="P211" s="47">
        <f ca="1">IF(EHD[[#This Row],[RAD/PACT]]="2019-2020",0,INDEX(UnitCosts[],MATCH(EHD[[#This Row],[WORK TYPE]],UnitCosts[Work Type],0),2)*EHD[[#This Row],['# Hopper Doors]])*(1+((EHD[[#This Row],[est. Year]]-YEAR(TODAY()))*$P$2))</f>
        <v>42383.167950000003</v>
      </c>
      <c r="Q211" s="51">
        <f ca="1">SUM(INDEX(EHD['# Hopper Doors],1):EHD[[#This Row],['# Hopper Doors]])</f>
        <v>2233</v>
      </c>
      <c r="R211" s="47">
        <f t="shared" ca="1" si="3"/>
        <v>2059821.9623700001</v>
      </c>
      <c r="S211" s="1">
        <f ca="1">IF(ISBLANK(EHD[[#This Row],[CALENDAR YEAR]]),ROUNDDOWN(EHD[[#This Row],[Running count]]/500,0)+$S$1,EHD[[#This Row],[CALENDAR YEAR]])</f>
        <v>2024</v>
      </c>
      <c r="T211" s="16"/>
    </row>
    <row r="212" spans="1:20">
      <c r="A212" s="13" t="s">
        <v>270</v>
      </c>
      <c r="B212" s="1" t="str">
        <f>VLOOKUP(A212,Data[],2,FALSE)</f>
        <v>BROOKLYN</v>
      </c>
      <c r="C212" s="9" t="s">
        <v>27</v>
      </c>
      <c r="D212" s="9" t="str">
        <f>VLOOKUP(EHD[[#This Row],[DEVELOPMENT]],Data[],52,FALSE)</f>
        <v>FEDERAL</v>
      </c>
      <c r="E212" s="1">
        <f>VLOOKUP(EHD[[#This Row],[DEVELOPMENT]],Data[],8,FALSE)</f>
        <v>0</v>
      </c>
      <c r="F212" s="9" t="str">
        <f>VLOOKUP(EHD[[#This Row],[DEVELOPMENT]],all[[DEVELOPMENT]:[MRST Ext. Comp. Priority]],6,FALSE)</f>
        <v>C</v>
      </c>
      <c r="G212" s="9">
        <v>8</v>
      </c>
      <c r="H212" s="1">
        <f>IF(VLOOKUP(EHD[[#This Row],[DEVELOPMENT]],Data[],9,FALSE)=0,5,VLOOKUP(EHD[[#This Row],[DEVELOPMENT]],Data[],9,FALSE))</f>
        <v>5</v>
      </c>
      <c r="I212" s="9">
        <f>EHD[[#This Row],[MRST '#HD]]</f>
        <v>8</v>
      </c>
      <c r="J212" s="1" t="str">
        <f ca="1">IFERROR(VLOOKUP(EHD[[#This Row],[DEVELOPMENT]],Data[],4,FALSE),"")</f>
        <v/>
      </c>
      <c r="K212" s="1" t="str">
        <f ca="1">IF(EHD[[#This Row],[RAD/PACT]]="","",IF(OR(EHD[[#This Row],[RAD/PACT]]="2021-2025",EHD[[#This Row],[RAD/PACT]]="2019-2020"),"Yes",""))</f>
        <v/>
      </c>
      <c r="L212" s="1"/>
      <c r="M212" s="1"/>
      <c r="N212" s="1"/>
      <c r="O212" s="1"/>
      <c r="P212" s="47">
        <f ca="1">IF(EHD[[#This Row],[RAD/PACT]]="2019-2020",0,INDEX(UnitCosts[],MATCH(EHD[[#This Row],[WORK TYPE]],UnitCosts[Work Type],0),2)*EHD[[#This Row],['# Hopper Doors]])*(1+((EHD[[#This Row],[est. Year]]-YEAR(TODAY()))*$P$2))</f>
        <v>67813.06872000001</v>
      </c>
      <c r="Q212" s="51">
        <f ca="1">SUM(INDEX(EHD['# Hopper Doors],1):EHD[[#This Row],['# Hopper Doors]])</f>
        <v>2241</v>
      </c>
      <c r="R212" s="47">
        <f t="shared" ca="1" si="3"/>
        <v>2127635.0310900002</v>
      </c>
      <c r="S212" s="1">
        <f ca="1">IF(ISBLANK(EHD[[#This Row],[CALENDAR YEAR]]),ROUNDDOWN(EHD[[#This Row],[Running count]]/500,0)+$S$1,EHD[[#This Row],[CALENDAR YEAR]])</f>
        <v>2024</v>
      </c>
      <c r="T212" s="16"/>
    </row>
    <row r="213" spans="1:20">
      <c r="A213" s="13" t="s">
        <v>263</v>
      </c>
      <c r="B213" s="1" t="str">
        <f>VLOOKUP(A213,Data[],2,FALSE)</f>
        <v>MANHATTAN</v>
      </c>
      <c r="C213" s="9" t="s">
        <v>27</v>
      </c>
      <c r="D213" s="9" t="str">
        <f>VLOOKUP(EHD[[#This Row],[DEVELOPMENT]],Data[],52,FALSE)</f>
        <v>FEDERAL</v>
      </c>
      <c r="E213" s="1" t="str">
        <f>VLOOKUP(EHD[[#This Row],[DEVELOPMENT]],Data[],8,FALSE)</f>
        <v>Zone 3</v>
      </c>
      <c r="F213" s="9" t="str">
        <f>VLOOKUP(EHD[[#This Row],[DEVELOPMENT]],all[[DEVELOPMENT]:[MRST Ext. Comp. Priority]],6,FALSE)</f>
        <v>C</v>
      </c>
      <c r="G213" s="9">
        <v>1</v>
      </c>
      <c r="H213" s="1">
        <f>IF(VLOOKUP(EHD[[#This Row],[DEVELOPMENT]],Data[],9,FALSE)=0,5,VLOOKUP(EHD[[#This Row],[DEVELOPMENT]],Data[],9,FALSE))</f>
        <v>5</v>
      </c>
      <c r="I213" s="9">
        <f>EHD[[#This Row],[MRST '#HD]]</f>
        <v>1</v>
      </c>
      <c r="J213" s="1" t="str">
        <f ca="1">IFERROR(VLOOKUP(EHD[[#This Row],[DEVELOPMENT]],Data[],4,FALSE),"")</f>
        <v/>
      </c>
      <c r="K213" s="1" t="str">
        <f ca="1">IF(EHD[[#This Row],[RAD/PACT]]="","",IF(OR(EHD[[#This Row],[RAD/PACT]]="2021-2025",EHD[[#This Row],[RAD/PACT]]="2019-2020"),"Yes",""))</f>
        <v/>
      </c>
      <c r="L213" s="1"/>
      <c r="M213" s="1"/>
      <c r="N213" s="1"/>
      <c r="O213" s="1"/>
      <c r="P213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13" s="51">
        <f ca="1">SUM(INDEX(EHD['# Hopper Doors],1):EHD[[#This Row],['# Hopper Doors]])</f>
        <v>2242</v>
      </c>
      <c r="R213" s="47">
        <f t="shared" ca="1" si="3"/>
        <v>2136111.6646800004</v>
      </c>
      <c r="S213" s="1">
        <f ca="1">IF(ISBLANK(EHD[[#This Row],[CALENDAR YEAR]]),ROUNDDOWN(EHD[[#This Row],[Running count]]/500,0)+$S$1,EHD[[#This Row],[CALENDAR YEAR]])</f>
        <v>2024</v>
      </c>
      <c r="T213" s="16"/>
    </row>
    <row r="214" spans="1:20">
      <c r="A214" s="110" t="s">
        <v>252</v>
      </c>
      <c r="B214" s="1" t="str">
        <f>VLOOKUP(A214,Data[],2,FALSE)</f>
        <v>MANHATTAN</v>
      </c>
      <c r="C214" s="9" t="s">
        <v>27</v>
      </c>
      <c r="D214" s="9" t="str">
        <f>VLOOKUP(EHD[[#This Row],[DEVELOPMENT]],Data[],52,FALSE)</f>
        <v>FEDERAL</v>
      </c>
      <c r="E214" s="1" t="str">
        <f>VLOOKUP(EHD[[#This Row],[DEVELOPMENT]],Data[],8,FALSE)</f>
        <v>Zone 4</v>
      </c>
      <c r="F214" s="9" t="str">
        <f>VLOOKUP(EHD[[#This Row],[DEVELOPMENT]],all[[DEVELOPMENT]:[MRST Ext. Comp. Priority]],6,FALSE)</f>
        <v>C</v>
      </c>
      <c r="G214" s="109">
        <v>1</v>
      </c>
      <c r="H214" s="1">
        <f>IF(VLOOKUP(EHD[[#This Row],[DEVELOPMENT]],Data[],9,FALSE)=0,5,VLOOKUP(EHD[[#This Row],[DEVELOPMENT]],Data[],9,FALSE))</f>
        <v>5</v>
      </c>
      <c r="I214" s="9">
        <f>EHD[[#This Row],[MRST '#HD]]</f>
        <v>1</v>
      </c>
      <c r="J214" s="1" t="str">
        <f ca="1">IFERROR(VLOOKUP(EHD[[#This Row],[DEVELOPMENT]],Data[],4,FALSE),"")</f>
        <v/>
      </c>
      <c r="K214" s="1" t="str">
        <f ca="1">IF(EHD[[#This Row],[RAD/PACT]]="","",IF(OR(EHD[[#This Row],[RAD/PACT]]="2021-2025",EHD[[#This Row],[RAD/PACT]]="2019-2020"),"Yes",""))</f>
        <v/>
      </c>
      <c r="L214" s="1"/>
      <c r="M214" s="1"/>
      <c r="N214" s="1"/>
      <c r="O214" s="1"/>
      <c r="P214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14" s="51">
        <f ca="1">SUM(INDEX(EHD['# Hopper Doors],1):EHD[[#This Row],['# Hopper Doors]])</f>
        <v>2243</v>
      </c>
      <c r="R214" s="47">
        <f t="shared" ca="1" si="3"/>
        <v>2144588.2982700006</v>
      </c>
      <c r="S214" s="1">
        <f ca="1">IF(ISBLANK(EHD[[#This Row],[CALENDAR YEAR]]),ROUNDDOWN(EHD[[#This Row],[Running count]]/500,0)+$S$1,EHD[[#This Row],[CALENDAR YEAR]])</f>
        <v>2024</v>
      </c>
      <c r="T214" s="16"/>
    </row>
    <row r="215" spans="1:20">
      <c r="A215" s="13" t="s">
        <v>271</v>
      </c>
      <c r="B215" s="1" t="str">
        <f>VLOOKUP(A215,Data[],2,FALSE)</f>
        <v>QUEENS</v>
      </c>
      <c r="C215" s="9" t="s">
        <v>27</v>
      </c>
      <c r="D215" s="9" t="str">
        <f>VLOOKUP(EHD[[#This Row],[DEVELOPMENT]],Data[],52,FALSE)</f>
        <v>FEDERAL</v>
      </c>
      <c r="E215" s="1">
        <f>VLOOKUP(EHD[[#This Row],[DEVELOPMENT]],Data[],8,FALSE)</f>
        <v>0</v>
      </c>
      <c r="F215" s="9" t="str">
        <f>VLOOKUP(EHD[[#This Row],[DEVELOPMENT]],all[[DEVELOPMENT]:[MRST Ext. Comp. Priority]],6,FALSE)</f>
        <v>C</v>
      </c>
      <c r="G215" s="9">
        <v>55</v>
      </c>
      <c r="H215" s="1">
        <f>IF(VLOOKUP(EHD[[#This Row],[DEVELOPMENT]],Data[],9,FALSE)=0,5,VLOOKUP(EHD[[#This Row],[DEVELOPMENT]],Data[],9,FALSE))</f>
        <v>5</v>
      </c>
      <c r="I215" s="9">
        <f>EHD[[#This Row],[MRST '#HD]]</f>
        <v>55</v>
      </c>
      <c r="J215" s="1" t="str">
        <f ca="1">IFERROR(VLOOKUP(EHD[[#This Row],[DEVELOPMENT]],Data[],4,FALSE),"")</f>
        <v/>
      </c>
      <c r="K215" s="1" t="str">
        <f ca="1">IF(EHD[[#This Row],[RAD/PACT]]="","",IF(OR(EHD[[#This Row],[RAD/PACT]]="2021-2025",EHD[[#This Row],[RAD/PACT]]="2019-2020"),"Yes",""))</f>
        <v/>
      </c>
      <c r="L215" s="1"/>
      <c r="M215" s="1"/>
      <c r="N215" s="1"/>
      <c r="O215" s="1"/>
      <c r="P215" s="47">
        <f ca="1">IF(EHD[[#This Row],[RAD/PACT]]="2019-2020",0,INDEX(UnitCosts[],MATCH(EHD[[#This Row],[WORK TYPE]],UnitCosts[Work Type],0),2)*EHD[[#This Row],['# Hopper Doors]])*(1+((EHD[[#This Row],[est. Year]]-YEAR(TODAY()))*$P$2))</f>
        <v>466214.84745000006</v>
      </c>
      <c r="Q215" s="51">
        <f ca="1">SUM(INDEX(EHD['# Hopper Doors],1):EHD[[#This Row],['# Hopper Doors]])</f>
        <v>2298</v>
      </c>
      <c r="R215" s="47">
        <f t="shared" ca="1" si="3"/>
        <v>2610803.1457200008</v>
      </c>
      <c r="S215" s="1">
        <f ca="1">IF(ISBLANK(EHD[[#This Row],[CALENDAR YEAR]]),ROUNDDOWN(EHD[[#This Row],[Running count]]/500,0)+$S$1,EHD[[#This Row],[CALENDAR YEAR]])</f>
        <v>2024</v>
      </c>
      <c r="T215" s="16"/>
    </row>
    <row r="216" spans="1:20">
      <c r="A216" s="13" t="s">
        <v>260</v>
      </c>
      <c r="B216" s="1" t="str">
        <f>VLOOKUP(A216,Data[],2,FALSE)</f>
        <v>BROOKLYN</v>
      </c>
      <c r="C216" s="9" t="s">
        <v>27</v>
      </c>
      <c r="D216" s="9" t="str">
        <f>VLOOKUP(EHD[[#This Row],[DEVELOPMENT]],Data[],52,FALSE)</f>
        <v>FEDERAL</v>
      </c>
      <c r="E216" s="1">
        <f>VLOOKUP(EHD[[#This Row],[DEVELOPMENT]],Data[],8,FALSE)</f>
        <v>0</v>
      </c>
      <c r="F216" s="9" t="str">
        <f>VLOOKUP(EHD[[#This Row],[DEVELOPMENT]],all[[DEVELOPMENT]:[MRST Ext. Comp. Priority]],6,FALSE)</f>
        <v>C</v>
      </c>
      <c r="G216" s="9">
        <v>3</v>
      </c>
      <c r="H216" s="1">
        <f>IF(VLOOKUP(EHD[[#This Row],[DEVELOPMENT]],Data[],9,FALSE)=0,5,VLOOKUP(EHD[[#This Row],[DEVELOPMENT]],Data[],9,FALSE))</f>
        <v>5</v>
      </c>
      <c r="I216" s="9">
        <f>EHD[[#This Row],[MRST '#HD]]</f>
        <v>3</v>
      </c>
      <c r="J216" s="1" t="str">
        <f ca="1">IFERROR(VLOOKUP(EHD[[#This Row],[DEVELOPMENT]],Data[],4,FALSE),"")</f>
        <v/>
      </c>
      <c r="K216" s="1" t="str">
        <f ca="1">IF(EHD[[#This Row],[RAD/PACT]]="","",IF(OR(EHD[[#This Row],[RAD/PACT]]="2021-2025",EHD[[#This Row],[RAD/PACT]]="2019-2020"),"Yes",""))</f>
        <v/>
      </c>
      <c r="L216" s="1"/>
      <c r="M216" s="1"/>
      <c r="N216" s="1"/>
      <c r="O216" s="1"/>
      <c r="P216" s="47">
        <f ca="1">IF(EHD[[#This Row],[RAD/PACT]]="2019-2020",0,INDEX(UnitCosts[],MATCH(EHD[[#This Row],[WORK TYPE]],UnitCosts[Work Type],0),2)*EHD[[#This Row],['# Hopper Doors]])*(1+((EHD[[#This Row],[est. Year]]-YEAR(TODAY()))*$P$2))</f>
        <v>25429.900770000004</v>
      </c>
      <c r="Q216" s="51">
        <f ca="1">SUM(INDEX(EHD['# Hopper Doors],1):EHD[[#This Row],['# Hopper Doors]])</f>
        <v>2301</v>
      </c>
      <c r="R216" s="47">
        <f t="shared" ca="1" si="3"/>
        <v>2636233.046490001</v>
      </c>
      <c r="S216" s="1">
        <f ca="1">IF(ISBLANK(EHD[[#This Row],[CALENDAR YEAR]]),ROUNDDOWN(EHD[[#This Row],[Running count]]/500,0)+$S$1,EHD[[#This Row],[CALENDAR YEAR]])</f>
        <v>2024</v>
      </c>
      <c r="T216" s="16"/>
    </row>
    <row r="217" spans="1:20">
      <c r="A217" s="13" t="s">
        <v>288</v>
      </c>
      <c r="B217" s="1" t="str">
        <f>VLOOKUP(A217,Data[],2,FALSE)</f>
        <v>STATEN ISLAND</v>
      </c>
      <c r="C217" s="9" t="s">
        <v>27</v>
      </c>
      <c r="D217" s="9" t="str">
        <f>VLOOKUP(EHD[[#This Row],[DEVELOPMENT]],Data[],52,FALSE)</f>
        <v>FEDERAL</v>
      </c>
      <c r="E217" s="1">
        <f>VLOOKUP(EHD[[#This Row],[DEVELOPMENT]],Data[],8,FALSE)</f>
        <v>0</v>
      </c>
      <c r="F217" s="9" t="str">
        <f>VLOOKUP(EHD[[#This Row],[DEVELOPMENT]],all[[DEVELOPMENT]:[MRST Ext. Comp. Priority]],6,FALSE)</f>
        <v>D</v>
      </c>
      <c r="G217" s="9">
        <v>14</v>
      </c>
      <c r="H217" s="1">
        <f>IF(VLOOKUP(EHD[[#This Row],[DEVELOPMENT]],Data[],9,FALSE)=0,5,VLOOKUP(EHD[[#This Row],[DEVELOPMENT]],Data[],9,FALSE))</f>
        <v>5</v>
      </c>
      <c r="I217" s="9">
        <f>EHD[[#This Row],[MRST '#HD]]</f>
        <v>14</v>
      </c>
      <c r="J217" s="1" t="str">
        <f ca="1">IFERROR(VLOOKUP(EHD[[#This Row],[DEVELOPMENT]],Data[],4,FALSE),"")</f>
        <v/>
      </c>
      <c r="K217" s="1" t="str">
        <f ca="1">IF(EHD[[#This Row],[RAD/PACT]]="","",IF(OR(EHD[[#This Row],[RAD/PACT]]="2021-2025",EHD[[#This Row],[RAD/PACT]]="2019-2020"),"Yes",""))</f>
        <v/>
      </c>
      <c r="L217" s="1"/>
      <c r="M217" s="1"/>
      <c r="N217" s="1"/>
      <c r="O217" s="1"/>
      <c r="P217" s="47">
        <f ca="1">IF(EHD[[#This Row],[RAD/PACT]]="2019-2020",0,INDEX(UnitCosts[],MATCH(EHD[[#This Row],[WORK TYPE]],UnitCosts[Work Type],0),2)*EHD[[#This Row],['# Hopper Doors]])*(1+((EHD[[#This Row],[est. Year]]-YEAR(TODAY()))*$P$2))</f>
        <v>118672.87026000003</v>
      </c>
      <c r="Q217" s="51">
        <f ca="1">SUM(INDEX(EHD['# Hopper Doors],1):EHD[[#This Row],['# Hopper Doors]])</f>
        <v>2315</v>
      </c>
      <c r="R217" s="47">
        <f t="shared" ca="1" si="3"/>
        <v>2754905.9167500013</v>
      </c>
      <c r="S217" s="1">
        <f ca="1">IF(ISBLANK(EHD[[#This Row],[CALENDAR YEAR]]),ROUNDDOWN(EHD[[#This Row],[Running count]]/500,0)+$S$1,EHD[[#This Row],[CALENDAR YEAR]])</f>
        <v>2024</v>
      </c>
      <c r="T217" s="16"/>
    </row>
    <row r="218" spans="1:20">
      <c r="A218" s="110" t="s">
        <v>283</v>
      </c>
      <c r="B218" s="1" t="str">
        <f>VLOOKUP(A218,Data[],2,FALSE)</f>
        <v>BRONX</v>
      </c>
      <c r="C218" s="9" t="s">
        <v>27</v>
      </c>
      <c r="D218" s="9" t="str">
        <f>VLOOKUP(EHD[[#This Row],[DEVELOPMENT]],Data[],52,FALSE)</f>
        <v>FEDERAL</v>
      </c>
      <c r="E218" s="1">
        <f>VLOOKUP(EHD[[#This Row],[DEVELOPMENT]],Data[],8,FALSE)</f>
        <v>0</v>
      </c>
      <c r="F218" s="9" t="str">
        <f>VLOOKUP(EHD[[#This Row],[DEVELOPMENT]],all[[DEVELOPMENT]:[MRST Ext. Comp. Priority]],6,FALSE)</f>
        <v>D</v>
      </c>
      <c r="G218" s="109">
        <v>1</v>
      </c>
      <c r="H218" s="1">
        <f>IF(VLOOKUP(EHD[[#This Row],[DEVELOPMENT]],Data[],9,FALSE)=0,5,VLOOKUP(EHD[[#This Row],[DEVELOPMENT]],Data[],9,FALSE))</f>
        <v>5</v>
      </c>
      <c r="I218" s="9">
        <f>EHD[[#This Row],[MRST '#HD]]</f>
        <v>1</v>
      </c>
      <c r="J218" s="1" t="str">
        <f ca="1">IFERROR(VLOOKUP(EHD[[#This Row],[DEVELOPMENT]],Data[],4,FALSE),"")</f>
        <v/>
      </c>
      <c r="K218" s="1" t="str">
        <f ca="1">IF(EHD[[#This Row],[RAD/PACT]]="","",IF(OR(EHD[[#This Row],[RAD/PACT]]="2021-2025",EHD[[#This Row],[RAD/PACT]]="2019-2020"),"Yes",""))</f>
        <v/>
      </c>
      <c r="L218" s="1"/>
      <c r="M218" s="1"/>
      <c r="N218" s="1"/>
      <c r="O218" s="1"/>
      <c r="P218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18" s="51">
        <f ca="1">SUM(INDEX(EHD['# Hopper Doors],1):EHD[[#This Row],['# Hopper Doors]])</f>
        <v>2316</v>
      </c>
      <c r="R218" s="47">
        <f t="shared" ca="1" si="3"/>
        <v>2763382.5503400015</v>
      </c>
      <c r="S218" s="1">
        <f ca="1">IF(ISBLANK(EHD[[#This Row],[CALENDAR YEAR]]),ROUNDDOWN(EHD[[#This Row],[Running count]]/500,0)+$S$1,EHD[[#This Row],[CALENDAR YEAR]])</f>
        <v>2024</v>
      </c>
      <c r="T218" s="16"/>
    </row>
    <row r="219" spans="1:20">
      <c r="A219" s="110" t="s">
        <v>284</v>
      </c>
      <c r="B219" s="1" t="str">
        <f>VLOOKUP(A219,Data[],2,FALSE)</f>
        <v>BRONX</v>
      </c>
      <c r="C219" s="9" t="s">
        <v>27</v>
      </c>
      <c r="D219" s="9" t="str">
        <f>VLOOKUP(EHD[[#This Row],[DEVELOPMENT]],Data[],52,FALSE)</f>
        <v>FEDERAL</v>
      </c>
      <c r="E219" s="1" t="str">
        <f>VLOOKUP(EHD[[#This Row],[DEVELOPMENT]],Data[],8,FALSE)</f>
        <v>Zone 4</v>
      </c>
      <c r="F219" s="9" t="str">
        <f>VLOOKUP(EHD[[#This Row],[DEVELOPMENT]],all[[DEVELOPMENT]:[MRST Ext. Comp. Priority]],6,FALSE)</f>
        <v>D</v>
      </c>
      <c r="G219" s="9">
        <v>0</v>
      </c>
      <c r="H219" s="1">
        <f>IF(VLOOKUP(EHD[[#This Row],[DEVELOPMENT]],Data[],9,FALSE)=0,5,VLOOKUP(EHD[[#This Row],[DEVELOPMENT]],Data[],9,FALSE))</f>
        <v>5</v>
      </c>
      <c r="I219" s="9">
        <f>EHD[[#This Row],[MRST '#HD]]</f>
        <v>0</v>
      </c>
      <c r="J219" s="1" t="str">
        <f ca="1">IFERROR(VLOOKUP(EHD[[#This Row],[DEVELOPMENT]],Data[],4,FALSE),"")</f>
        <v/>
      </c>
      <c r="K219" s="1" t="str">
        <f ca="1">IF(EHD[[#This Row],[RAD/PACT]]="","",IF(OR(EHD[[#This Row],[RAD/PACT]]="2021-2025",EHD[[#This Row],[RAD/PACT]]="2019-2020"),"Yes",""))</f>
        <v/>
      </c>
      <c r="L219" s="1"/>
      <c r="M219" s="1"/>
      <c r="N219" s="1"/>
      <c r="O219" s="1"/>
      <c r="P219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19" s="51">
        <f ca="1">SUM(INDEX(EHD['# Hopper Doors],1):EHD[[#This Row],['# Hopper Doors]])</f>
        <v>2316</v>
      </c>
      <c r="R219" s="47">
        <f t="shared" ca="1" si="3"/>
        <v>2763382.5503400015</v>
      </c>
      <c r="S219" s="1">
        <f ca="1">IF(ISBLANK(EHD[[#This Row],[CALENDAR YEAR]]),ROUNDDOWN(EHD[[#This Row],[Running count]]/500,0)+$S$1,EHD[[#This Row],[CALENDAR YEAR]])</f>
        <v>2024</v>
      </c>
      <c r="T219" s="16"/>
    </row>
    <row r="220" spans="1:20">
      <c r="A220" s="110" t="s">
        <v>285</v>
      </c>
      <c r="B220" s="1" t="str">
        <f>VLOOKUP(A220,Data[],2,FALSE)</f>
        <v>BRONX</v>
      </c>
      <c r="C220" s="9" t="s">
        <v>27</v>
      </c>
      <c r="D220" s="9" t="str">
        <f>VLOOKUP(EHD[[#This Row],[DEVELOPMENT]],Data[],52,FALSE)</f>
        <v>FEDERAL</v>
      </c>
      <c r="E220" s="1">
        <f>VLOOKUP(EHD[[#This Row],[DEVELOPMENT]],Data[],8,FALSE)</f>
        <v>0</v>
      </c>
      <c r="F220" s="9" t="str">
        <f>VLOOKUP(EHD[[#This Row],[DEVELOPMENT]],all[[DEVELOPMENT]:[MRST Ext. Comp. Priority]],6,FALSE)</f>
        <v>D</v>
      </c>
      <c r="G220" s="109">
        <v>1</v>
      </c>
      <c r="H220" s="1">
        <f>IF(VLOOKUP(EHD[[#This Row],[DEVELOPMENT]],Data[],9,FALSE)=0,5,VLOOKUP(EHD[[#This Row],[DEVELOPMENT]],Data[],9,FALSE))</f>
        <v>5</v>
      </c>
      <c r="I220" s="9">
        <f>EHD[[#This Row],[MRST '#HD]]</f>
        <v>1</v>
      </c>
      <c r="J220" s="1" t="str">
        <f ca="1">IFERROR(VLOOKUP(EHD[[#This Row],[DEVELOPMENT]],Data[],4,FALSE),"")</f>
        <v/>
      </c>
      <c r="K220" s="1" t="str">
        <f ca="1">IF(EHD[[#This Row],[RAD/PACT]]="","",IF(OR(EHD[[#This Row],[RAD/PACT]]="2021-2025",EHD[[#This Row],[RAD/PACT]]="2019-2020"),"Yes",""))</f>
        <v/>
      </c>
      <c r="L220" s="1"/>
      <c r="M220" s="1"/>
      <c r="N220" s="1"/>
      <c r="O220" s="1"/>
      <c r="P220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20" s="51">
        <f ca="1">SUM(INDEX(EHD['# Hopper Doors],1):EHD[[#This Row],['# Hopper Doors]])</f>
        <v>2317</v>
      </c>
      <c r="R220" s="47">
        <f t="shared" ca="1" si="3"/>
        <v>2771859.1839300017</v>
      </c>
      <c r="S220" s="1">
        <f ca="1">IF(ISBLANK(EHD[[#This Row],[CALENDAR YEAR]]),ROUNDDOWN(EHD[[#This Row],[Running count]]/500,0)+$S$1,EHD[[#This Row],[CALENDAR YEAR]])</f>
        <v>2024</v>
      </c>
      <c r="T220" s="16"/>
    </row>
    <row r="221" spans="1:20">
      <c r="A221" s="110" t="s">
        <v>286</v>
      </c>
      <c r="B221" s="1" t="str">
        <f>VLOOKUP(A221,Data[],2,FALSE)</f>
        <v>BRONX</v>
      </c>
      <c r="C221" s="9" t="s">
        <v>27</v>
      </c>
      <c r="D221" s="9" t="str">
        <f>VLOOKUP(EHD[[#This Row],[DEVELOPMENT]],Data[],52,FALSE)</f>
        <v>FEDERAL</v>
      </c>
      <c r="E221" s="1" t="str">
        <f>VLOOKUP(EHD[[#This Row],[DEVELOPMENT]],Data[],8,FALSE)</f>
        <v>Zone 3</v>
      </c>
      <c r="F221" s="9" t="str">
        <f>VLOOKUP(EHD[[#This Row],[DEVELOPMENT]],all[[DEVELOPMENT]:[MRST Ext. Comp. Priority]],6,FALSE)</f>
        <v>D</v>
      </c>
      <c r="G221" s="109">
        <v>1</v>
      </c>
      <c r="H221" s="1">
        <f>IF(VLOOKUP(EHD[[#This Row],[DEVELOPMENT]],Data[],9,FALSE)=0,5,VLOOKUP(EHD[[#This Row],[DEVELOPMENT]],Data[],9,FALSE))</f>
        <v>5</v>
      </c>
      <c r="I221" s="9">
        <f>EHD[[#This Row],[MRST '#HD]]</f>
        <v>1</v>
      </c>
      <c r="J221" s="1" t="str">
        <f ca="1">IFERROR(VLOOKUP(EHD[[#This Row],[DEVELOPMENT]],Data[],4,FALSE),"")</f>
        <v/>
      </c>
      <c r="K221" s="1" t="str">
        <f ca="1">IF(EHD[[#This Row],[RAD/PACT]]="","",IF(OR(EHD[[#This Row],[RAD/PACT]]="2021-2025",EHD[[#This Row],[RAD/PACT]]="2019-2020"),"Yes",""))</f>
        <v/>
      </c>
      <c r="L221" s="1"/>
      <c r="M221" s="1"/>
      <c r="N221" s="1"/>
      <c r="O221" s="1"/>
      <c r="P221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21" s="51">
        <f ca="1">SUM(INDEX(EHD['# Hopper Doors],1):EHD[[#This Row],['# Hopper Doors]])</f>
        <v>2318</v>
      </c>
      <c r="R221" s="47">
        <f t="shared" ca="1" si="3"/>
        <v>2780335.8175200019</v>
      </c>
      <c r="S221" s="1">
        <f ca="1">IF(ISBLANK(EHD[[#This Row],[CALENDAR YEAR]]),ROUNDDOWN(EHD[[#This Row],[Running count]]/500,0)+$S$1,EHD[[#This Row],[CALENDAR YEAR]])</f>
        <v>2024</v>
      </c>
      <c r="T221" s="16"/>
    </row>
    <row r="222" spans="1:20">
      <c r="A222" s="110" t="s">
        <v>287</v>
      </c>
      <c r="B222" s="1" t="str">
        <f>VLOOKUP(A222,Data[],2,FALSE)</f>
        <v>BRONX</v>
      </c>
      <c r="C222" s="9" t="s">
        <v>27</v>
      </c>
      <c r="D222" s="9" t="str">
        <f>VLOOKUP(EHD[[#This Row],[DEVELOPMENT]],Data[],52,FALSE)</f>
        <v>FEDERAL</v>
      </c>
      <c r="E222" s="1">
        <f>VLOOKUP(EHD[[#This Row],[DEVELOPMENT]],Data[],8,FALSE)</f>
        <v>0</v>
      </c>
      <c r="F222" s="9" t="str">
        <f>VLOOKUP(EHD[[#This Row],[DEVELOPMENT]],all[[DEVELOPMENT]:[MRST Ext. Comp. Priority]],6,FALSE)</f>
        <v>D</v>
      </c>
      <c r="G222" s="9">
        <v>5</v>
      </c>
      <c r="H222" s="1">
        <f>IF(VLOOKUP(EHD[[#This Row],[DEVELOPMENT]],Data[],9,FALSE)=0,5,VLOOKUP(EHD[[#This Row],[DEVELOPMENT]],Data[],9,FALSE))</f>
        <v>5</v>
      </c>
      <c r="I222" s="9">
        <f>EHD[[#This Row],[MRST '#HD]]</f>
        <v>5</v>
      </c>
      <c r="J222" s="1" t="str">
        <f ca="1">IFERROR(VLOOKUP(EHD[[#This Row],[DEVELOPMENT]],Data[],4,FALSE),"")</f>
        <v/>
      </c>
      <c r="K222" s="1" t="str">
        <f ca="1">IF(EHD[[#This Row],[RAD/PACT]]="","",IF(OR(EHD[[#This Row],[RAD/PACT]]="2021-2025",EHD[[#This Row],[RAD/PACT]]="2019-2020"),"Yes",""))</f>
        <v/>
      </c>
      <c r="L222" s="1"/>
      <c r="M222" s="1"/>
      <c r="N222" s="1"/>
      <c r="O222" s="1"/>
      <c r="P222" s="47">
        <f ca="1">IF(EHD[[#This Row],[RAD/PACT]]="2019-2020",0,INDEX(UnitCosts[],MATCH(EHD[[#This Row],[WORK TYPE]],UnitCosts[Work Type],0),2)*EHD[[#This Row],['# Hopper Doors]])*(1+((EHD[[#This Row],[est. Year]]-YEAR(TODAY()))*$P$2))</f>
        <v>42383.167950000003</v>
      </c>
      <c r="Q222" s="51">
        <f ca="1">SUM(INDEX(EHD['# Hopper Doors],1):EHD[[#This Row],['# Hopper Doors]])</f>
        <v>2323</v>
      </c>
      <c r="R222" s="47">
        <f t="shared" ca="1" si="3"/>
        <v>2822718.9854700021</v>
      </c>
      <c r="S222" s="1">
        <f ca="1">IF(ISBLANK(EHD[[#This Row],[CALENDAR YEAR]]),ROUNDDOWN(EHD[[#This Row],[Running count]]/500,0)+$S$1,EHD[[#This Row],[CALENDAR YEAR]])</f>
        <v>2024</v>
      </c>
      <c r="T222" s="16"/>
    </row>
    <row r="223" spans="1:20">
      <c r="A223" s="110" t="s">
        <v>289</v>
      </c>
      <c r="B223" s="1" t="str">
        <f>VLOOKUP(A223,Data[],2,FALSE)</f>
        <v>BRONX</v>
      </c>
      <c r="C223" s="9" t="s">
        <v>27</v>
      </c>
      <c r="D223" s="9" t="str">
        <f>VLOOKUP(EHD[[#This Row],[DEVELOPMENT]],Data[],52,FALSE)</f>
        <v>FEDERAL</v>
      </c>
      <c r="E223" s="1">
        <f>VLOOKUP(EHD[[#This Row],[DEVELOPMENT]],Data[],8,FALSE)</f>
        <v>0</v>
      </c>
      <c r="F223" s="9" t="str">
        <f>VLOOKUP(EHD[[#This Row],[DEVELOPMENT]],all[[DEVELOPMENT]:[MRST Ext. Comp. Priority]],6,FALSE)</f>
        <v>D</v>
      </c>
      <c r="G223" s="109">
        <v>7</v>
      </c>
      <c r="H223" s="1">
        <f>IF(VLOOKUP(EHD[[#This Row],[DEVELOPMENT]],Data[],9,FALSE)=0,5,VLOOKUP(EHD[[#This Row],[DEVELOPMENT]],Data[],9,FALSE))</f>
        <v>5</v>
      </c>
      <c r="I223" s="9">
        <f>EHD[[#This Row],[MRST '#HD]]</f>
        <v>7</v>
      </c>
      <c r="J223" s="1" t="str">
        <f ca="1">IFERROR(VLOOKUP(EHD[[#This Row],[DEVELOPMENT]],Data[],4,FALSE),"")</f>
        <v/>
      </c>
      <c r="K223" s="1" t="str">
        <f ca="1">IF(EHD[[#This Row],[RAD/PACT]]="","",IF(OR(EHD[[#This Row],[RAD/PACT]]="2021-2025",EHD[[#This Row],[RAD/PACT]]="2019-2020"),"Yes",""))</f>
        <v/>
      </c>
      <c r="L223" s="1"/>
      <c r="M223" s="1"/>
      <c r="N223" s="1"/>
      <c r="O223" s="1"/>
      <c r="P223" s="47">
        <f ca="1">IF(EHD[[#This Row],[RAD/PACT]]="2019-2020",0,INDEX(UnitCosts[],MATCH(EHD[[#This Row],[WORK TYPE]],UnitCosts[Work Type],0),2)*EHD[[#This Row],['# Hopper Doors]])*(1+((EHD[[#This Row],[est. Year]]-YEAR(TODAY()))*$P$2))</f>
        <v>59336.435130000013</v>
      </c>
      <c r="Q223" s="51">
        <f ca="1">SUM(INDEX(EHD['# Hopper Doors],1):EHD[[#This Row],['# Hopper Doors]])</f>
        <v>2330</v>
      </c>
      <c r="R223" s="47">
        <f t="shared" ca="1" si="3"/>
        <v>2882055.4206000022</v>
      </c>
      <c r="S223" s="1">
        <f ca="1">IF(ISBLANK(EHD[[#This Row],[CALENDAR YEAR]]),ROUNDDOWN(EHD[[#This Row],[Running count]]/500,0)+$S$1,EHD[[#This Row],[CALENDAR YEAR]])</f>
        <v>2024</v>
      </c>
      <c r="T223" s="16"/>
    </row>
    <row r="224" spans="1:20">
      <c r="A224" s="110" t="s">
        <v>290</v>
      </c>
      <c r="B224" s="1" t="str">
        <f>VLOOKUP(A224,Data[],2,FALSE)</f>
        <v>BRONX</v>
      </c>
      <c r="C224" s="9" t="s">
        <v>27</v>
      </c>
      <c r="D224" s="9" t="str">
        <f>VLOOKUP(EHD[[#This Row],[DEVELOPMENT]],Data[],52,FALSE)</f>
        <v>FEDERAL</v>
      </c>
      <c r="E224" s="1">
        <f>VLOOKUP(EHD[[#This Row],[DEVELOPMENT]],Data[],8,FALSE)</f>
        <v>0</v>
      </c>
      <c r="F224" s="9" t="str">
        <f>VLOOKUP(EHD[[#This Row],[DEVELOPMENT]],all[[DEVELOPMENT]:[MRST Ext. Comp. Priority]],6,FALSE)</f>
        <v>D</v>
      </c>
      <c r="G224" s="109">
        <v>1</v>
      </c>
      <c r="H224" s="1">
        <f>IF(VLOOKUP(EHD[[#This Row],[DEVELOPMENT]],Data[],9,FALSE)=0,5,VLOOKUP(EHD[[#This Row],[DEVELOPMENT]],Data[],9,FALSE))</f>
        <v>5</v>
      </c>
      <c r="I224" s="9">
        <f>EHD[[#This Row],[MRST '#HD]]</f>
        <v>1</v>
      </c>
      <c r="J224" s="1" t="str">
        <f ca="1">IFERROR(VLOOKUP(EHD[[#This Row],[DEVELOPMENT]],Data[],4,FALSE),"")</f>
        <v/>
      </c>
      <c r="K224" s="1" t="str">
        <f ca="1">IF(EHD[[#This Row],[RAD/PACT]]="","",IF(OR(EHD[[#This Row],[RAD/PACT]]="2021-2025",EHD[[#This Row],[RAD/PACT]]="2019-2020"),"Yes",""))</f>
        <v/>
      </c>
      <c r="L224" s="1"/>
      <c r="M224" s="1"/>
      <c r="N224" s="1"/>
      <c r="O224" s="1"/>
      <c r="P224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24" s="51">
        <f ca="1">SUM(INDEX(EHD['# Hopper Doors],1):EHD[[#This Row],['# Hopper Doors]])</f>
        <v>2331</v>
      </c>
      <c r="R224" s="47">
        <f t="shared" ca="1" si="3"/>
        <v>2890532.0541900024</v>
      </c>
      <c r="S224" s="1">
        <f ca="1">IF(ISBLANK(EHD[[#This Row],[CALENDAR YEAR]]),ROUNDDOWN(EHD[[#This Row],[Running count]]/500,0)+$S$1,EHD[[#This Row],[CALENDAR YEAR]])</f>
        <v>2024</v>
      </c>
      <c r="T224" s="16"/>
    </row>
    <row r="225" spans="1:20">
      <c r="A225" s="13" t="s">
        <v>146</v>
      </c>
      <c r="B225" s="1" t="str">
        <f>VLOOKUP(A225,Data[],2,FALSE)</f>
        <v>MANHATTAN</v>
      </c>
      <c r="C225" s="9" t="s">
        <v>27</v>
      </c>
      <c r="D225" s="9" t="str">
        <f>VLOOKUP(EHD[[#This Row],[DEVELOPMENT]],Data[],52,FALSE)</f>
        <v>FEDERAL</v>
      </c>
      <c r="E225" s="1">
        <f>VLOOKUP(EHD[[#This Row],[DEVELOPMENT]],Data[],8,FALSE)</f>
        <v>0</v>
      </c>
      <c r="F225" s="9" t="str">
        <f>VLOOKUP(EHD[[#This Row],[DEVELOPMENT]],all[[DEVELOPMENT]:[MRST Ext. Comp. Priority]],6,FALSE)</f>
        <v>D</v>
      </c>
      <c r="G225" s="9">
        <v>4</v>
      </c>
      <c r="H225" s="1">
        <f>IF(VLOOKUP(EHD[[#This Row],[DEVELOPMENT]],Data[],9,FALSE)=0,5,VLOOKUP(EHD[[#This Row],[DEVELOPMENT]],Data[],9,FALSE))</f>
        <v>5</v>
      </c>
      <c r="I225" s="9">
        <f>EHD[[#This Row],[MRST '#HD]]</f>
        <v>4</v>
      </c>
      <c r="J225" s="1" t="str">
        <f ca="1">IFERROR(VLOOKUP(EHD[[#This Row],[DEVELOPMENT]],Data[],4,FALSE),"")</f>
        <v/>
      </c>
      <c r="K225" s="1" t="str">
        <f ca="1">IF(EHD[[#This Row],[RAD/PACT]]="","",IF(OR(EHD[[#This Row],[RAD/PACT]]="2021-2025",EHD[[#This Row],[RAD/PACT]]="2019-2020"),"Yes",""))</f>
        <v/>
      </c>
      <c r="L225" s="1"/>
      <c r="M225" s="1"/>
      <c r="N225" s="1"/>
      <c r="O225" s="1"/>
      <c r="P225" s="47">
        <f ca="1">IF(EHD[[#This Row],[RAD/PACT]]="2019-2020",0,INDEX(UnitCosts[],MATCH(EHD[[#This Row],[WORK TYPE]],UnitCosts[Work Type],0),2)*EHD[[#This Row],['# Hopper Doors]])*(1+((EHD[[#This Row],[est. Year]]-YEAR(TODAY()))*$P$2))</f>
        <v>33906.534360000005</v>
      </c>
      <c r="Q225" s="51">
        <f ca="1">SUM(INDEX(EHD['# Hopper Doors],1):EHD[[#This Row],['# Hopper Doors]])</f>
        <v>2335</v>
      </c>
      <c r="R225" s="47">
        <f t="shared" ca="1" si="3"/>
        <v>2924438.5885500023</v>
      </c>
      <c r="S225" s="1">
        <f ca="1">IF(ISBLANK(EHD[[#This Row],[CALENDAR YEAR]]),ROUNDDOWN(EHD[[#This Row],[Running count]]/500,0)+$S$1,EHD[[#This Row],[CALENDAR YEAR]])</f>
        <v>2024</v>
      </c>
      <c r="T225" s="16"/>
    </row>
    <row r="226" spans="1:20">
      <c r="A226" s="13" t="s">
        <v>282</v>
      </c>
      <c r="B226" s="1" t="str">
        <f>VLOOKUP(A226,Data[],2,FALSE)</f>
        <v>MANHATTAN</v>
      </c>
      <c r="C226" s="9" t="s">
        <v>27</v>
      </c>
      <c r="D226" s="9" t="str">
        <f>VLOOKUP(EHD[[#This Row],[DEVELOPMENT]],Data[],52,FALSE)</f>
        <v>MIXED FINANCE/LLC2</v>
      </c>
      <c r="E226" s="1">
        <f>VLOOKUP(EHD[[#This Row],[DEVELOPMENT]],Data[],8,FALSE)</f>
        <v>0</v>
      </c>
      <c r="F226" s="9" t="str">
        <f>VLOOKUP(EHD[[#This Row],[DEVELOPMENT]],all[[DEVELOPMENT]:[MRST Ext. Comp. Priority]],6,FALSE)</f>
        <v>D</v>
      </c>
      <c r="G226" s="9">
        <v>1</v>
      </c>
      <c r="H226" s="1">
        <f>IF(VLOOKUP(EHD[[#This Row],[DEVELOPMENT]],Data[],9,FALSE)=0,5,VLOOKUP(EHD[[#This Row],[DEVELOPMENT]],Data[],9,FALSE))</f>
        <v>5</v>
      </c>
      <c r="I226" s="9">
        <f>EHD[[#This Row],[MRST '#HD]]</f>
        <v>1</v>
      </c>
      <c r="J226" s="1" t="str">
        <f ca="1">IFERROR(VLOOKUP(EHD[[#This Row],[DEVELOPMENT]],Data[],4,FALSE),"")</f>
        <v>2020-2021</v>
      </c>
      <c r="K226" s="1" t="str">
        <f ca="1">IF(EHD[[#This Row],[RAD/PACT]]="","",IF(OR(EHD[[#This Row],[RAD/PACT]]="2021-2025",EHD[[#This Row],[RAD/PACT]]="2019-2020"),"Yes",""))</f>
        <v/>
      </c>
      <c r="L226" s="1"/>
      <c r="M226" s="1"/>
      <c r="N226" s="1"/>
      <c r="O226" s="1"/>
      <c r="P226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26" s="51">
        <f ca="1">SUM(INDEX(EHD['# Hopper Doors],1):EHD[[#This Row],['# Hopper Doors]])</f>
        <v>2336</v>
      </c>
      <c r="R226" s="47">
        <f t="shared" ca="1" si="3"/>
        <v>2932915.2221400025</v>
      </c>
      <c r="S226" s="1">
        <f ca="1">IF(ISBLANK(EHD[[#This Row],[CALENDAR YEAR]]),ROUNDDOWN(EHD[[#This Row],[Running count]]/500,0)+$S$1,EHD[[#This Row],[CALENDAR YEAR]])</f>
        <v>2024</v>
      </c>
      <c r="T226" s="16"/>
    </row>
    <row r="227" spans="1:20">
      <c r="A227" s="13" t="s">
        <v>296</v>
      </c>
      <c r="B227" s="1" t="str">
        <f>VLOOKUP(A227,Data[],2,FALSE)</f>
        <v>BROOKLYN</v>
      </c>
      <c r="C227" s="9" t="s">
        <v>27</v>
      </c>
      <c r="D227" s="9" t="str">
        <f>VLOOKUP(EHD[[#This Row],[DEVELOPMENT]],Data[],52,FALSE)</f>
        <v>FEDERAL</v>
      </c>
      <c r="E227" s="1">
        <f>VLOOKUP(EHD[[#This Row],[DEVELOPMENT]],Data[],8,FALSE)</f>
        <v>0</v>
      </c>
      <c r="F227" s="9" t="str">
        <f>VLOOKUP(EHD[[#This Row],[DEVELOPMENT]],all[[DEVELOPMENT]:[MRST Ext. Comp. Priority]],6,FALSE)</f>
        <v>None</v>
      </c>
      <c r="G227" s="9">
        <v>6</v>
      </c>
      <c r="H227" s="1">
        <f>IF(VLOOKUP(EHD[[#This Row],[DEVELOPMENT]],Data[],9,FALSE)=0,5,VLOOKUP(EHD[[#This Row],[DEVELOPMENT]],Data[],9,FALSE))</f>
        <v>5</v>
      </c>
      <c r="I227" s="9">
        <f>EHD[[#This Row],[MRST '#HD]]</f>
        <v>6</v>
      </c>
      <c r="J227" s="1" t="str">
        <f ca="1">IFERROR(VLOOKUP(EHD[[#This Row],[DEVELOPMENT]],Data[],4,FALSE),"")</f>
        <v>2022-2025</v>
      </c>
      <c r="K227" s="1" t="str">
        <f ca="1">IF(EHD[[#This Row],[RAD/PACT]]="","",IF(OR(EHD[[#This Row],[RAD/PACT]]="2021-2025",EHD[[#This Row],[RAD/PACT]]="2019-2020"),"Yes",""))</f>
        <v/>
      </c>
      <c r="L227" s="1"/>
      <c r="M227" s="1"/>
      <c r="N227" s="1"/>
      <c r="O227" s="1"/>
      <c r="P227" s="47">
        <f ca="1">IF(EHD[[#This Row],[RAD/PACT]]="2019-2020",0,INDEX(UnitCosts[],MATCH(EHD[[#This Row],[WORK TYPE]],UnitCosts[Work Type],0),2)*EHD[[#This Row],['# Hopper Doors]])*(1+((EHD[[#This Row],[est. Year]]-YEAR(TODAY()))*$P$2))</f>
        <v>50859.801540000008</v>
      </c>
      <c r="Q227" s="51">
        <f ca="1">SUM(INDEX(EHD['# Hopper Doors],1):EHD[[#This Row],['# Hopper Doors]])</f>
        <v>2342</v>
      </c>
      <c r="R227" s="47">
        <f t="shared" ca="1" si="3"/>
        <v>2983775.0236800024</v>
      </c>
      <c r="S227" s="1">
        <f ca="1">IF(ISBLANK(EHD[[#This Row],[CALENDAR YEAR]]),ROUNDDOWN(EHD[[#This Row],[Running count]]/500,0)+$S$1,EHD[[#This Row],[CALENDAR YEAR]])</f>
        <v>2024</v>
      </c>
      <c r="T227" s="16"/>
    </row>
    <row r="228" spans="1:20">
      <c r="A228" s="13" t="s">
        <v>297</v>
      </c>
      <c r="B228" s="1" t="str">
        <f>VLOOKUP(A228,Data[],2,FALSE)</f>
        <v>BROOKLYN</v>
      </c>
      <c r="C228" s="9" t="s">
        <v>27</v>
      </c>
      <c r="D228" s="9" t="str">
        <f>VLOOKUP(EHD[[#This Row],[DEVELOPMENT]],Data[],52,FALSE)</f>
        <v>FEDERAL</v>
      </c>
      <c r="E228" s="1">
        <f>VLOOKUP(EHD[[#This Row],[DEVELOPMENT]],Data[],8,FALSE)</f>
        <v>0</v>
      </c>
      <c r="F228" s="9" t="str">
        <f>VLOOKUP(EHD[[#This Row],[DEVELOPMENT]],all[[DEVELOPMENT]:[MRST Ext. Comp. Priority]],6,FALSE)</f>
        <v>None</v>
      </c>
      <c r="G228" s="9">
        <v>3</v>
      </c>
      <c r="H228" s="1">
        <f>IF(VLOOKUP(EHD[[#This Row],[DEVELOPMENT]],Data[],9,FALSE)=0,5,VLOOKUP(EHD[[#This Row],[DEVELOPMENT]],Data[],9,FALSE))</f>
        <v>5</v>
      </c>
      <c r="I228" s="9">
        <f>EHD[[#This Row],[MRST '#HD]]</f>
        <v>3</v>
      </c>
      <c r="J228" s="1" t="str">
        <f ca="1">IFERROR(VLOOKUP(EHD[[#This Row],[DEVELOPMENT]],Data[],4,FALSE),"")</f>
        <v>2022-2025</v>
      </c>
      <c r="K228" s="1" t="str">
        <f ca="1">IF(EHD[[#This Row],[RAD/PACT]]="","",IF(OR(EHD[[#This Row],[RAD/PACT]]="2021-2025",EHD[[#This Row],[RAD/PACT]]="2019-2020"),"Yes",""))</f>
        <v/>
      </c>
      <c r="L228" s="1"/>
      <c r="M228" s="1"/>
      <c r="N228" s="1"/>
      <c r="O228" s="1"/>
      <c r="P228" s="47">
        <f ca="1">IF(EHD[[#This Row],[RAD/PACT]]="2019-2020",0,INDEX(UnitCosts[],MATCH(EHD[[#This Row],[WORK TYPE]],UnitCosts[Work Type],0),2)*EHD[[#This Row],['# Hopper Doors]])*(1+((EHD[[#This Row],[est. Year]]-YEAR(TODAY()))*$P$2))</f>
        <v>25429.900770000004</v>
      </c>
      <c r="Q228" s="51">
        <f ca="1">SUM(INDEX(EHD['# Hopper Doors],1):EHD[[#This Row],['# Hopper Doors]])</f>
        <v>2345</v>
      </c>
      <c r="R228" s="47">
        <f t="shared" ca="1" si="3"/>
        <v>3009204.9244500026</v>
      </c>
      <c r="S228" s="1">
        <f ca="1">IF(ISBLANK(EHD[[#This Row],[CALENDAR YEAR]]),ROUNDDOWN(EHD[[#This Row],[Running count]]/500,0)+$S$1,EHD[[#This Row],[CALENDAR YEAR]])</f>
        <v>2024</v>
      </c>
      <c r="T228" s="16"/>
    </row>
    <row r="229" spans="1:20">
      <c r="A229" s="13" t="s">
        <v>300</v>
      </c>
      <c r="B229" s="1" t="str">
        <f>VLOOKUP(A229,Data[],2,FALSE)</f>
        <v>QUEENS</v>
      </c>
      <c r="C229" s="9" t="s">
        <v>27</v>
      </c>
      <c r="D229" s="9" t="str">
        <f>VLOOKUP(EHD[[#This Row],[DEVELOPMENT]],Data[],52,FALSE)</f>
        <v>FEDERAL</v>
      </c>
      <c r="E229" s="1">
        <f>VLOOKUP(EHD[[#This Row],[DEVELOPMENT]],Data[],8,FALSE)</f>
        <v>0</v>
      </c>
      <c r="F229" s="9" t="str">
        <f>VLOOKUP(EHD[[#This Row],[DEVELOPMENT]],all[[DEVELOPMENT]:[MRST Ext. Comp. Priority]],6,FALSE)</f>
        <v>None</v>
      </c>
      <c r="G229" s="9">
        <v>5</v>
      </c>
      <c r="H229" s="1">
        <f>IF(VLOOKUP(EHD[[#This Row],[DEVELOPMENT]],Data[],9,FALSE)=0,5,VLOOKUP(EHD[[#This Row],[DEVELOPMENT]],Data[],9,FALSE))</f>
        <v>5</v>
      </c>
      <c r="I229" s="9">
        <f>EHD[[#This Row],[MRST '#HD]]</f>
        <v>5</v>
      </c>
      <c r="J229" s="1" t="str">
        <f ca="1">IFERROR(VLOOKUP(EHD[[#This Row],[DEVELOPMENT]],Data[],4,FALSE),"")</f>
        <v/>
      </c>
      <c r="K229" s="1" t="str">
        <f ca="1">IF(EHD[[#This Row],[RAD/PACT]]="","",IF(OR(EHD[[#This Row],[RAD/PACT]]="2021-2025",EHD[[#This Row],[RAD/PACT]]="2019-2020"),"Yes",""))</f>
        <v/>
      </c>
      <c r="L229" s="1"/>
      <c r="M229" s="1"/>
      <c r="N229" s="1"/>
      <c r="O229" s="1"/>
      <c r="P229" s="47">
        <f ca="1">IF(EHD[[#This Row],[RAD/PACT]]="2019-2020",0,INDEX(UnitCosts[],MATCH(EHD[[#This Row],[WORK TYPE]],UnitCosts[Work Type],0),2)*EHD[[#This Row],['# Hopper Doors]])*(1+((EHD[[#This Row],[est. Year]]-YEAR(TODAY()))*$P$2))</f>
        <v>42383.167950000003</v>
      </c>
      <c r="Q229" s="51">
        <f ca="1">SUM(INDEX(EHD['# Hopper Doors],1):EHD[[#This Row],['# Hopper Doors]])</f>
        <v>2350</v>
      </c>
      <c r="R229" s="47">
        <f t="shared" ca="1" si="3"/>
        <v>3051588.0924000028</v>
      </c>
      <c r="S229" s="1">
        <f ca="1">IF(ISBLANK(EHD[[#This Row],[CALENDAR YEAR]]),ROUNDDOWN(EHD[[#This Row],[Running count]]/500,0)+$S$1,EHD[[#This Row],[CALENDAR YEAR]])</f>
        <v>2024</v>
      </c>
      <c r="T229" s="16"/>
    </row>
    <row r="230" spans="1:20">
      <c r="A230" s="13" t="s">
        <v>319</v>
      </c>
      <c r="B230" s="1">
        <f>VLOOKUP(A230,Data[],2,FALSE)</f>
        <v>0</v>
      </c>
      <c r="C230" s="9" t="s">
        <v>27</v>
      </c>
      <c r="D230" s="9" t="str">
        <f>VLOOKUP(EHD[[#This Row],[DEVELOPMENT]],Data[],52,FALSE)</f>
        <v>FEDERAL</v>
      </c>
      <c r="E230" s="1">
        <f>VLOOKUP(EHD[[#This Row],[DEVELOPMENT]],Data[],8,FALSE)</f>
        <v>0</v>
      </c>
      <c r="F230" s="9" t="str">
        <f>VLOOKUP(EHD[[#This Row],[DEVELOPMENT]],all[[DEVELOPMENT]:[MRST Ext. Comp. Priority]],6,FALSE)</f>
        <v>None</v>
      </c>
      <c r="G230" s="9">
        <v>0</v>
      </c>
      <c r="H230" s="1">
        <f>IF(VLOOKUP(EHD[[#This Row],[DEVELOPMENT]],Data[],9,FALSE)=0,5,VLOOKUP(EHD[[#This Row],[DEVELOPMENT]],Data[],9,FALSE))</f>
        <v>5</v>
      </c>
      <c r="I230" s="9">
        <f>EHD[[#This Row],[MRST '#HD]]</f>
        <v>0</v>
      </c>
      <c r="J230" s="1" t="str">
        <f ca="1">IFERROR(VLOOKUP(EHD[[#This Row],[DEVELOPMENT]],Data[],4,FALSE),"")</f>
        <v/>
      </c>
      <c r="K230" s="1" t="str">
        <f ca="1">IF(EHD[[#This Row],[RAD/PACT]]="","",IF(OR(EHD[[#This Row],[RAD/PACT]]="2021-2025",EHD[[#This Row],[RAD/PACT]]="2019-2020"),"Yes",""))</f>
        <v/>
      </c>
      <c r="L230" s="1"/>
      <c r="M230" s="1"/>
      <c r="N230" s="1"/>
      <c r="O230" s="1"/>
      <c r="P230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30" s="51">
        <f ca="1">SUM(INDEX(EHD['# Hopper Doors],1):EHD[[#This Row],['# Hopper Doors]])</f>
        <v>2350</v>
      </c>
      <c r="R230" s="47">
        <f t="shared" ca="1" si="3"/>
        <v>3051588.0924000028</v>
      </c>
      <c r="S230" s="1">
        <f ca="1">IF(ISBLANK(EHD[[#This Row],[CALENDAR YEAR]]),ROUNDDOWN(EHD[[#This Row],[Running count]]/500,0)+$S$1,EHD[[#This Row],[CALENDAR YEAR]])</f>
        <v>2024</v>
      </c>
      <c r="T230" s="16"/>
    </row>
    <row r="231" spans="1:20">
      <c r="A231" s="13" t="s">
        <v>320</v>
      </c>
      <c r="B231" s="1">
        <f>VLOOKUP(A231,Data[],2,FALSE)</f>
        <v>0</v>
      </c>
      <c r="C231" s="9" t="s">
        <v>27</v>
      </c>
      <c r="D231" s="9" t="str">
        <f>VLOOKUP(EHD[[#This Row],[DEVELOPMENT]],Data[],52,FALSE)</f>
        <v>FEDERAL</v>
      </c>
      <c r="E231" s="1">
        <f>VLOOKUP(EHD[[#This Row],[DEVELOPMENT]],Data[],8,FALSE)</f>
        <v>0</v>
      </c>
      <c r="F231" s="9" t="str">
        <f>VLOOKUP(EHD[[#This Row],[DEVELOPMENT]],all[[DEVELOPMENT]:[MRST Ext. Comp. Priority]],6,FALSE)</f>
        <v>None</v>
      </c>
      <c r="G231" s="9">
        <v>0</v>
      </c>
      <c r="H231" s="1">
        <f>IF(VLOOKUP(EHD[[#This Row],[DEVELOPMENT]],Data[],9,FALSE)=0,5,VLOOKUP(EHD[[#This Row],[DEVELOPMENT]],Data[],9,FALSE))</f>
        <v>5</v>
      </c>
      <c r="I231" s="9">
        <f>EHD[[#This Row],[MRST '#HD]]</f>
        <v>0</v>
      </c>
      <c r="J231" s="1" t="str">
        <f ca="1">IFERROR(VLOOKUP(EHD[[#This Row],[DEVELOPMENT]],Data[],4,FALSE),"")</f>
        <v/>
      </c>
      <c r="K231" s="1" t="str">
        <f ca="1">IF(EHD[[#This Row],[RAD/PACT]]="","",IF(OR(EHD[[#This Row],[RAD/PACT]]="2021-2025",EHD[[#This Row],[RAD/PACT]]="2019-2020"),"Yes",""))</f>
        <v/>
      </c>
      <c r="L231" s="1"/>
      <c r="M231" s="1"/>
      <c r="N231" s="1"/>
      <c r="O231" s="1"/>
      <c r="P231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31" s="51">
        <f ca="1">SUM(INDEX(EHD['# Hopper Doors],1):EHD[[#This Row],['# Hopper Doors]])</f>
        <v>2350</v>
      </c>
      <c r="R231" s="47">
        <f t="shared" ca="1" si="3"/>
        <v>3051588.0924000028</v>
      </c>
      <c r="S231" s="1">
        <f ca="1">IF(ISBLANK(EHD[[#This Row],[CALENDAR YEAR]]),ROUNDDOWN(EHD[[#This Row],[Running count]]/500,0)+$S$1,EHD[[#This Row],[CALENDAR YEAR]])</f>
        <v>2024</v>
      </c>
      <c r="T231" s="16"/>
    </row>
    <row r="232" spans="1:20">
      <c r="A232" s="13" t="s">
        <v>321</v>
      </c>
      <c r="B232" s="1">
        <f>VLOOKUP(A232,Data[],2,FALSE)</f>
        <v>0</v>
      </c>
      <c r="C232" s="9" t="s">
        <v>27</v>
      </c>
      <c r="D232" s="9" t="str">
        <f>VLOOKUP(EHD[[#This Row],[DEVELOPMENT]],Data[],52,FALSE)</f>
        <v>FEDERAL</v>
      </c>
      <c r="E232" s="1">
        <f>VLOOKUP(EHD[[#This Row],[DEVELOPMENT]],Data[],8,FALSE)</f>
        <v>0</v>
      </c>
      <c r="F232" s="9" t="str">
        <f>VLOOKUP(EHD[[#This Row],[DEVELOPMENT]],all[[DEVELOPMENT]:[MRST Ext. Comp. Priority]],6,FALSE)</f>
        <v>None</v>
      </c>
      <c r="G232" s="9">
        <v>0</v>
      </c>
      <c r="H232" s="1">
        <f>IF(VLOOKUP(EHD[[#This Row],[DEVELOPMENT]],Data[],9,FALSE)=0,5,VLOOKUP(EHD[[#This Row],[DEVELOPMENT]],Data[],9,FALSE))</f>
        <v>5</v>
      </c>
      <c r="I232" s="9">
        <f>EHD[[#This Row],[MRST '#HD]]</f>
        <v>0</v>
      </c>
      <c r="J232" s="1" t="str">
        <f ca="1">IFERROR(VLOOKUP(EHD[[#This Row],[DEVELOPMENT]],Data[],4,FALSE),"")</f>
        <v/>
      </c>
      <c r="K232" s="1" t="str">
        <f ca="1">IF(EHD[[#This Row],[RAD/PACT]]="","",IF(OR(EHD[[#This Row],[RAD/PACT]]="2021-2025",EHD[[#This Row],[RAD/PACT]]="2019-2020"),"Yes",""))</f>
        <v/>
      </c>
      <c r="L232" s="1"/>
      <c r="M232" s="1"/>
      <c r="N232" s="1"/>
      <c r="O232" s="1"/>
      <c r="P232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32" s="51">
        <f ca="1">SUM(INDEX(EHD['# Hopper Doors],1):EHD[[#This Row],['# Hopper Doors]])</f>
        <v>2350</v>
      </c>
      <c r="R232" s="47">
        <f t="shared" ca="1" si="3"/>
        <v>3051588.0924000028</v>
      </c>
      <c r="S232" s="1">
        <f ca="1">IF(ISBLANK(EHD[[#This Row],[CALENDAR YEAR]]),ROUNDDOWN(EHD[[#This Row],[Running count]]/500,0)+$S$1,EHD[[#This Row],[CALENDAR YEAR]])</f>
        <v>2024</v>
      </c>
      <c r="T232" s="16"/>
    </row>
    <row r="233" spans="1:20">
      <c r="A233" s="13" t="s">
        <v>322</v>
      </c>
      <c r="B233" s="1">
        <f>VLOOKUP(A233,Data[],2,FALSE)</f>
        <v>0</v>
      </c>
      <c r="C233" s="9" t="s">
        <v>27</v>
      </c>
      <c r="D233" s="9" t="str">
        <f>VLOOKUP(EHD[[#This Row],[DEVELOPMENT]],Data[],52,FALSE)</f>
        <v>FEDERAL</v>
      </c>
      <c r="E233" s="1">
        <f>VLOOKUP(EHD[[#This Row],[DEVELOPMENT]],Data[],8,FALSE)</f>
        <v>0</v>
      </c>
      <c r="F233" s="9" t="str">
        <f>VLOOKUP(EHD[[#This Row],[DEVELOPMENT]],all[[DEVELOPMENT]:[MRST Ext. Comp. Priority]],6,FALSE)</f>
        <v>None</v>
      </c>
      <c r="G233" s="9">
        <v>0</v>
      </c>
      <c r="H233" s="1">
        <f>IF(VLOOKUP(EHD[[#This Row],[DEVELOPMENT]],Data[],9,FALSE)=0,5,VLOOKUP(EHD[[#This Row],[DEVELOPMENT]],Data[],9,FALSE))</f>
        <v>5</v>
      </c>
      <c r="I233" s="9">
        <f>EHD[[#This Row],[MRST '#HD]]</f>
        <v>0</v>
      </c>
      <c r="J233" s="1" t="str">
        <f ca="1">IFERROR(VLOOKUP(EHD[[#This Row],[DEVELOPMENT]],Data[],4,FALSE),"")</f>
        <v/>
      </c>
      <c r="K233" s="1" t="str">
        <f ca="1">IF(EHD[[#This Row],[RAD/PACT]]="","",IF(OR(EHD[[#This Row],[RAD/PACT]]="2021-2025",EHD[[#This Row],[RAD/PACT]]="2019-2020"),"Yes",""))</f>
        <v/>
      </c>
      <c r="L233" s="1"/>
      <c r="M233" s="1"/>
      <c r="N233" s="1"/>
      <c r="O233" s="1"/>
      <c r="P233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33" s="51">
        <f ca="1">SUM(INDEX(EHD['# Hopper Doors],1):EHD[[#This Row],['# Hopper Doors]])</f>
        <v>2350</v>
      </c>
      <c r="R233" s="47">
        <f t="shared" ca="1" si="3"/>
        <v>3051588.0924000028</v>
      </c>
      <c r="S233" s="1">
        <f ca="1">IF(ISBLANK(EHD[[#This Row],[CALENDAR YEAR]]),ROUNDDOWN(EHD[[#This Row],[Running count]]/500,0)+$S$1,EHD[[#This Row],[CALENDAR YEAR]])</f>
        <v>2024</v>
      </c>
      <c r="T233" s="16"/>
    </row>
    <row r="234" spans="1:20">
      <c r="A234" s="13" t="s">
        <v>323</v>
      </c>
      <c r="B234" s="1">
        <f>VLOOKUP(A234,Data[],2,FALSE)</f>
        <v>0</v>
      </c>
      <c r="C234" s="9" t="s">
        <v>27</v>
      </c>
      <c r="D234" s="9" t="str">
        <f>VLOOKUP(EHD[[#This Row],[DEVELOPMENT]],Data[],52,FALSE)</f>
        <v>FEDERAL</v>
      </c>
      <c r="E234" s="1">
        <f>VLOOKUP(EHD[[#This Row],[DEVELOPMENT]],Data[],8,FALSE)</f>
        <v>0</v>
      </c>
      <c r="F234" s="9" t="str">
        <f>VLOOKUP(EHD[[#This Row],[DEVELOPMENT]],all[[DEVELOPMENT]:[MRST Ext. Comp. Priority]],6,FALSE)</f>
        <v>None</v>
      </c>
      <c r="G234" s="9">
        <v>0</v>
      </c>
      <c r="H234" s="1">
        <f>IF(VLOOKUP(EHD[[#This Row],[DEVELOPMENT]],Data[],9,FALSE)=0,5,VLOOKUP(EHD[[#This Row],[DEVELOPMENT]],Data[],9,FALSE))</f>
        <v>5</v>
      </c>
      <c r="I234" s="9">
        <f>EHD[[#This Row],[MRST '#HD]]</f>
        <v>0</v>
      </c>
      <c r="J234" s="1" t="str">
        <f ca="1">IFERROR(VLOOKUP(EHD[[#This Row],[DEVELOPMENT]],Data[],4,FALSE),"")</f>
        <v/>
      </c>
      <c r="K234" s="1" t="str">
        <f ca="1">IF(EHD[[#This Row],[RAD/PACT]]="","",IF(OR(EHD[[#This Row],[RAD/PACT]]="2021-2025",EHD[[#This Row],[RAD/PACT]]="2019-2020"),"Yes",""))</f>
        <v/>
      </c>
      <c r="L234" s="1"/>
      <c r="M234" s="1"/>
      <c r="N234" s="1"/>
      <c r="O234" s="1"/>
      <c r="P234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34" s="51">
        <f ca="1">SUM(INDEX(EHD['# Hopper Doors],1):EHD[[#This Row],['# Hopper Doors]])</f>
        <v>2350</v>
      </c>
      <c r="R234" s="47">
        <f t="shared" ca="1" si="3"/>
        <v>3051588.0924000028</v>
      </c>
      <c r="S234" s="1">
        <f ca="1">IF(ISBLANK(EHD[[#This Row],[CALENDAR YEAR]]),ROUNDDOWN(EHD[[#This Row],[Running count]]/500,0)+$S$1,EHD[[#This Row],[CALENDAR YEAR]])</f>
        <v>2024</v>
      </c>
      <c r="T234" s="16"/>
    </row>
    <row r="235" spans="1:20">
      <c r="A235" s="13" t="s">
        <v>301</v>
      </c>
      <c r="B235" s="1" t="str">
        <f>VLOOKUP(A235,Data[],2,FALSE)</f>
        <v>QUEENS</v>
      </c>
      <c r="C235" s="9" t="s">
        <v>27</v>
      </c>
      <c r="D235" s="9" t="str">
        <f>VLOOKUP(EHD[[#This Row],[DEVELOPMENT]],Data[],52,FALSE)</f>
        <v>FEDERAL</v>
      </c>
      <c r="E235" s="1">
        <f>VLOOKUP(EHD[[#This Row],[DEVELOPMENT]],Data[],8,FALSE)</f>
        <v>0</v>
      </c>
      <c r="F235" s="9" t="str">
        <f>VLOOKUP(EHD[[#This Row],[DEVELOPMENT]],all[[DEVELOPMENT]:[MRST Ext. Comp. Priority]],6,FALSE)</f>
        <v>None</v>
      </c>
      <c r="G235" s="9">
        <v>6</v>
      </c>
      <c r="H235" s="1">
        <f>IF(VLOOKUP(EHD[[#This Row],[DEVELOPMENT]],Data[],9,FALSE)=0,5,VLOOKUP(EHD[[#This Row],[DEVELOPMENT]],Data[],9,FALSE))</f>
        <v>5</v>
      </c>
      <c r="I235" s="9">
        <f>EHD[[#This Row],[MRST '#HD]]</f>
        <v>6</v>
      </c>
      <c r="J235" s="1" t="str">
        <f ca="1">IFERROR(VLOOKUP(EHD[[#This Row],[DEVELOPMENT]],Data[],4,FALSE),"")</f>
        <v>2026+</v>
      </c>
      <c r="K235" s="1" t="str">
        <f ca="1">IF(EHD[[#This Row],[RAD/PACT]]="","",IF(OR(EHD[[#This Row],[RAD/PACT]]="2021-2025",EHD[[#This Row],[RAD/PACT]]="2019-2020"),"Yes",""))</f>
        <v/>
      </c>
      <c r="L235" s="1"/>
      <c r="M235" s="1"/>
      <c r="N235" s="1"/>
      <c r="O235" s="1"/>
      <c r="P235" s="47">
        <f ca="1">IF(EHD[[#This Row],[RAD/PACT]]="2019-2020",0,INDEX(UnitCosts[],MATCH(EHD[[#This Row],[WORK TYPE]],UnitCosts[Work Type],0),2)*EHD[[#This Row],['# Hopper Doors]])*(1+((EHD[[#This Row],[est. Year]]-YEAR(TODAY()))*$P$2))</f>
        <v>50859.801540000008</v>
      </c>
      <c r="Q235" s="51">
        <f ca="1">SUM(INDEX(EHD['# Hopper Doors],1):EHD[[#This Row],['# Hopper Doors]])</f>
        <v>2356</v>
      </c>
      <c r="R235" s="47">
        <f t="shared" ca="1" si="3"/>
        <v>3102447.8939400027</v>
      </c>
      <c r="S235" s="1">
        <f ca="1">IF(ISBLANK(EHD[[#This Row],[CALENDAR YEAR]]),ROUNDDOWN(EHD[[#This Row],[Running count]]/500,0)+$S$1,EHD[[#This Row],[CALENDAR YEAR]])</f>
        <v>2024</v>
      </c>
      <c r="T235" s="16"/>
    </row>
    <row r="236" spans="1:20">
      <c r="A236" s="13" t="s">
        <v>348</v>
      </c>
      <c r="B236" s="1" t="str">
        <f>VLOOKUP(A236,Data[],2,FALSE)</f>
        <v>QUEENS</v>
      </c>
      <c r="C236" s="9" t="s">
        <v>27</v>
      </c>
      <c r="D236" s="9" t="str">
        <f>VLOOKUP(EHD[[#This Row],[DEVELOPMENT]],Data[],52,FALSE)</f>
        <v>FEDERAL</v>
      </c>
      <c r="E236" s="1">
        <f>VLOOKUP(EHD[[#This Row],[DEVELOPMENT]],Data[],8,FALSE)</f>
        <v>0</v>
      </c>
      <c r="F236" s="9" t="str">
        <f>VLOOKUP(EHD[[#This Row],[DEVELOPMENT]],all[[DEVELOPMENT]:[MRST Ext. Comp. Priority]],6,FALSE)</f>
        <v>None</v>
      </c>
      <c r="G236" s="9">
        <v>14</v>
      </c>
      <c r="H236" s="1">
        <f>IF(VLOOKUP(EHD[[#This Row],[DEVELOPMENT]],Data[],9,FALSE)=0,5,VLOOKUP(EHD[[#This Row],[DEVELOPMENT]],Data[],9,FALSE))</f>
        <v>5</v>
      </c>
      <c r="I236" s="9">
        <f>EHD[[#This Row],[MRST '#HD]]</f>
        <v>14</v>
      </c>
      <c r="J236" s="1" t="str">
        <f ca="1">IFERROR(VLOOKUP(EHD[[#This Row],[DEVELOPMENT]],Data[],4,FALSE),"")</f>
        <v>2026+</v>
      </c>
      <c r="K236" s="1" t="str">
        <f ca="1">IF(EHD[[#This Row],[RAD/PACT]]="","",IF(OR(EHD[[#This Row],[RAD/PACT]]="2021-2025",EHD[[#This Row],[RAD/PACT]]="2019-2020"),"Yes",""))</f>
        <v/>
      </c>
      <c r="L236" s="1"/>
      <c r="M236" s="1"/>
      <c r="N236" s="1"/>
      <c r="O236" s="1"/>
      <c r="P236" s="47">
        <f ca="1">IF(EHD[[#This Row],[RAD/PACT]]="2019-2020",0,INDEX(UnitCosts[],MATCH(EHD[[#This Row],[WORK TYPE]],UnitCosts[Work Type],0),2)*EHD[[#This Row],['# Hopper Doors]])*(1+((EHD[[#This Row],[est. Year]]-YEAR(TODAY()))*$P$2))</f>
        <v>118672.87026000003</v>
      </c>
      <c r="Q236" s="51">
        <f ca="1">SUM(INDEX(EHD['# Hopper Doors],1):EHD[[#This Row],['# Hopper Doors]])</f>
        <v>2370</v>
      </c>
      <c r="R236" s="47">
        <f t="shared" ca="1" si="3"/>
        <v>3221120.7642000029</v>
      </c>
      <c r="S236" s="1">
        <f ca="1">IF(ISBLANK(EHD[[#This Row],[CALENDAR YEAR]]),ROUNDDOWN(EHD[[#This Row],[Running count]]/500,0)+$S$1,EHD[[#This Row],[CALENDAR YEAR]])</f>
        <v>2024</v>
      </c>
      <c r="T236" s="16"/>
    </row>
    <row r="237" spans="1:20">
      <c r="A237" s="13" t="s">
        <v>304</v>
      </c>
      <c r="B237" s="1" t="str">
        <f>VLOOKUP(A237,Data[],2,FALSE)</f>
        <v>BRONX</v>
      </c>
      <c r="C237" s="9" t="s">
        <v>27</v>
      </c>
      <c r="D237" s="9" t="str">
        <f>VLOOKUP(EHD[[#This Row],[DEVELOPMENT]],Data[],52,FALSE)</f>
        <v>FEDERAL</v>
      </c>
      <c r="E237" s="1">
        <f>VLOOKUP(EHD[[#This Row],[DEVELOPMENT]],Data[],8,FALSE)</f>
        <v>0</v>
      </c>
      <c r="F237" s="9" t="str">
        <f>VLOOKUP(EHD[[#This Row],[DEVELOPMENT]],all[[DEVELOPMENT]:[MRST Ext. Comp. Priority]],6,FALSE)</f>
        <v>None</v>
      </c>
      <c r="G237" s="9">
        <v>4</v>
      </c>
      <c r="H237" s="1">
        <f>IF(VLOOKUP(EHD[[#This Row],[DEVELOPMENT]],Data[],9,FALSE)=0,5,VLOOKUP(EHD[[#This Row],[DEVELOPMENT]],Data[],9,FALSE))</f>
        <v>5</v>
      </c>
      <c r="I237" s="9">
        <f>EHD[[#This Row],[MRST '#HD]]</f>
        <v>4</v>
      </c>
      <c r="J237" s="1" t="str">
        <f ca="1">IFERROR(VLOOKUP(EHD[[#This Row],[DEVELOPMENT]],Data[],4,FALSE),"")</f>
        <v/>
      </c>
      <c r="K237" s="1" t="str">
        <f ca="1">IF(EHD[[#This Row],[RAD/PACT]]="","",IF(OR(EHD[[#This Row],[RAD/PACT]]="2021-2025",EHD[[#This Row],[RAD/PACT]]="2019-2020"),"Yes",""))</f>
        <v/>
      </c>
      <c r="L237" s="1"/>
      <c r="M237" s="1"/>
      <c r="N237" s="1"/>
      <c r="O237" s="1"/>
      <c r="P237" s="47">
        <f ca="1">IF(EHD[[#This Row],[RAD/PACT]]="2019-2020",0,INDEX(UnitCosts[],MATCH(EHD[[#This Row],[WORK TYPE]],UnitCosts[Work Type],0),2)*EHD[[#This Row],['# Hopper Doors]])*(1+((EHD[[#This Row],[est. Year]]-YEAR(TODAY()))*$P$2))</f>
        <v>33906.534360000005</v>
      </c>
      <c r="Q237" s="51">
        <f ca="1">SUM(INDEX(EHD['# Hopper Doors],1):EHD[[#This Row],['# Hopper Doors]])</f>
        <v>2374</v>
      </c>
      <c r="R237" s="47">
        <f t="shared" ca="1" si="3"/>
        <v>3255027.2985600028</v>
      </c>
      <c r="S237" s="1">
        <f ca="1">IF(ISBLANK(EHD[[#This Row],[CALENDAR YEAR]]),ROUNDDOWN(EHD[[#This Row],[Running count]]/500,0)+$S$1,EHD[[#This Row],[CALENDAR YEAR]])</f>
        <v>2024</v>
      </c>
      <c r="T237" s="16"/>
    </row>
    <row r="238" spans="1:20">
      <c r="A238" s="110" t="s">
        <v>302</v>
      </c>
      <c r="B238" s="1" t="str">
        <f>VLOOKUP(A238,Data[],2,FALSE)</f>
        <v>BROOKLYN</v>
      </c>
      <c r="C238" s="9" t="s">
        <v>27</v>
      </c>
      <c r="D238" s="9" t="str">
        <f>VLOOKUP(EHD[[#This Row],[DEVELOPMENT]],Data[],52,FALSE)</f>
        <v>FEDERAL</v>
      </c>
      <c r="E238" s="1">
        <f>VLOOKUP(EHD[[#This Row],[DEVELOPMENT]],Data[],8,FALSE)</f>
        <v>0</v>
      </c>
      <c r="F238" s="9" t="str">
        <f>VLOOKUP(EHD[[#This Row],[DEVELOPMENT]],all[[DEVELOPMENT]:[MRST Ext. Comp. Priority]],6,FALSE)</f>
        <v>None</v>
      </c>
      <c r="G238" s="9"/>
      <c r="H238" s="1">
        <f>IF(VLOOKUP(EHD[[#This Row],[DEVELOPMENT]],Data[],9,FALSE)=0,5,VLOOKUP(EHD[[#This Row],[DEVELOPMENT]],Data[],9,FALSE))</f>
        <v>5</v>
      </c>
      <c r="I238" s="9">
        <f>EHD[[#This Row],[MRST '#HD]]</f>
        <v>0</v>
      </c>
      <c r="J238" s="1" t="str">
        <f ca="1">IFERROR(VLOOKUP(EHD[[#This Row],[DEVELOPMENT]],Data[],4,FALSE),"")</f>
        <v/>
      </c>
      <c r="K238" s="1" t="str">
        <f ca="1">IF(EHD[[#This Row],[RAD/PACT]]="","",IF(OR(EHD[[#This Row],[RAD/PACT]]="2021-2025",EHD[[#This Row],[RAD/PACT]]="2019-2020"),"Yes",""))</f>
        <v/>
      </c>
      <c r="L238" s="1"/>
      <c r="M238" s="1"/>
      <c r="N238" s="1"/>
      <c r="O238" s="1"/>
      <c r="P238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38" s="51">
        <f ca="1">SUM(INDEX(EHD['# Hopper Doors],1):EHD[[#This Row],['# Hopper Doors]])</f>
        <v>2374</v>
      </c>
      <c r="R238" s="47">
        <f t="shared" ca="1" si="3"/>
        <v>3255027.2985600028</v>
      </c>
      <c r="S238" s="1">
        <f ca="1">IF(ISBLANK(EHD[[#This Row],[CALENDAR YEAR]]),ROUNDDOWN(EHD[[#This Row],[Running count]]/500,0)+$S$1,EHD[[#This Row],[CALENDAR YEAR]])</f>
        <v>2024</v>
      </c>
      <c r="T238" s="16"/>
    </row>
    <row r="239" spans="1:20">
      <c r="A239" s="13" t="s">
        <v>392</v>
      </c>
      <c r="B239" s="1" t="str">
        <f>VLOOKUP(A239,Data[],2,FALSE)</f>
        <v>BROOKLYN</v>
      </c>
      <c r="C239" s="9" t="s">
        <v>27</v>
      </c>
      <c r="D239" s="9" t="str">
        <f>VLOOKUP(EHD[[#This Row],[DEVELOPMENT]],Data[],52,FALSE)</f>
        <v>FEDERAL</v>
      </c>
      <c r="E239" s="1">
        <f>VLOOKUP(EHD[[#This Row],[DEVELOPMENT]],Data[],8,FALSE)</f>
        <v>0</v>
      </c>
      <c r="F239" s="9" t="str">
        <f>VLOOKUP(EHD[[#This Row],[DEVELOPMENT]],all[[DEVELOPMENT]:[MRST Ext. Comp. Priority]],6,FALSE)</f>
        <v>None</v>
      </c>
      <c r="G239" s="9">
        <v>46</v>
      </c>
      <c r="H239" s="1">
        <f>IF(VLOOKUP(EHD[[#This Row],[DEVELOPMENT]],Data[],9,FALSE)=0,5,VLOOKUP(EHD[[#This Row],[DEVELOPMENT]],Data[],9,FALSE))</f>
        <v>5</v>
      </c>
      <c r="I239" s="9">
        <f>EHD[[#This Row],[MRST '#HD]]</f>
        <v>46</v>
      </c>
      <c r="J239" s="1" t="str">
        <f ca="1">IFERROR(VLOOKUP(EHD[[#This Row],[DEVELOPMENT]],Data[],4,FALSE),"")</f>
        <v>2026+</v>
      </c>
      <c r="K239" s="1" t="str">
        <f ca="1">IF(EHD[[#This Row],[RAD/PACT]]="","",IF(OR(EHD[[#This Row],[RAD/PACT]]="2021-2025",EHD[[#This Row],[RAD/PACT]]="2019-2020"),"Yes",""))</f>
        <v/>
      </c>
      <c r="L239" s="1"/>
      <c r="M239" s="1"/>
      <c r="N239" s="1"/>
      <c r="O239" s="1"/>
      <c r="P239" s="47">
        <f ca="1">IF(EHD[[#This Row],[RAD/PACT]]="2019-2020",0,INDEX(UnitCosts[],MATCH(EHD[[#This Row],[WORK TYPE]],UnitCosts[Work Type],0),2)*EHD[[#This Row],['# Hopper Doors]])*(1+((EHD[[#This Row],[est. Year]]-YEAR(TODAY()))*$P$2))</f>
        <v>389925.1451400001</v>
      </c>
      <c r="Q239" s="51">
        <f ca="1">SUM(INDEX(EHD['# Hopper Doors],1):EHD[[#This Row],['# Hopper Doors]])</f>
        <v>2420</v>
      </c>
      <c r="R239" s="47">
        <f t="shared" ca="1" si="3"/>
        <v>3644952.443700003</v>
      </c>
      <c r="S239" s="1">
        <f ca="1">IF(ISBLANK(EHD[[#This Row],[CALENDAR YEAR]]),ROUNDDOWN(EHD[[#This Row],[Running count]]/500,0)+$S$1,EHD[[#This Row],[CALENDAR YEAR]])</f>
        <v>2024</v>
      </c>
      <c r="T239" s="16"/>
    </row>
    <row r="240" spans="1:20">
      <c r="A240" s="13" t="s">
        <v>306</v>
      </c>
      <c r="B240" s="1" t="str">
        <f>VLOOKUP(A240,Data[],2,FALSE)</f>
        <v>BROOKLYN</v>
      </c>
      <c r="C240" s="9" t="s">
        <v>27</v>
      </c>
      <c r="D240" s="9" t="str">
        <f>VLOOKUP(EHD[[#This Row],[DEVELOPMENT]],Data[],52,FALSE)</f>
        <v>FEDERAL</v>
      </c>
      <c r="E240" s="1">
        <f>VLOOKUP(EHD[[#This Row],[DEVELOPMENT]],Data[],8,FALSE)</f>
        <v>0</v>
      </c>
      <c r="F240" s="9" t="str">
        <f>VLOOKUP(EHD[[#This Row],[DEVELOPMENT]],all[[DEVELOPMENT]:[MRST Ext. Comp. Priority]],6,FALSE)</f>
        <v>None</v>
      </c>
      <c r="G240" s="9">
        <v>3</v>
      </c>
      <c r="H240" s="1">
        <f>IF(VLOOKUP(EHD[[#This Row],[DEVELOPMENT]],Data[],9,FALSE)=0,5,VLOOKUP(EHD[[#This Row],[DEVELOPMENT]],Data[],9,FALSE))</f>
        <v>5</v>
      </c>
      <c r="I240" s="9">
        <f>EHD[[#This Row],[MRST '#HD]]</f>
        <v>3</v>
      </c>
      <c r="J240" s="1" t="str">
        <f ca="1">IFERROR(VLOOKUP(EHD[[#This Row],[DEVELOPMENT]],Data[],4,FALSE),"")</f>
        <v/>
      </c>
      <c r="K240" s="1" t="str">
        <f ca="1">IF(EHD[[#This Row],[RAD/PACT]]="","",IF(OR(EHD[[#This Row],[RAD/PACT]]="2021-2025",EHD[[#This Row],[RAD/PACT]]="2019-2020"),"Yes",""))</f>
        <v/>
      </c>
      <c r="L240" s="1"/>
      <c r="M240" s="1"/>
      <c r="N240" s="1"/>
      <c r="O240" s="1"/>
      <c r="P240" s="47">
        <f ca="1">IF(EHD[[#This Row],[RAD/PACT]]="2019-2020",0,INDEX(UnitCosts[],MATCH(EHD[[#This Row],[WORK TYPE]],UnitCosts[Work Type],0),2)*EHD[[#This Row],['# Hopper Doors]])*(1+((EHD[[#This Row],[est. Year]]-YEAR(TODAY()))*$P$2))</f>
        <v>25429.900770000004</v>
      </c>
      <c r="Q240" s="51">
        <f ca="1">SUM(INDEX(EHD['# Hopper Doors],1):EHD[[#This Row],['# Hopper Doors]])</f>
        <v>2423</v>
      </c>
      <c r="R240" s="47">
        <f t="shared" ca="1" si="3"/>
        <v>3670382.3444700032</v>
      </c>
      <c r="S240" s="1">
        <f ca="1">IF(ISBLANK(EHD[[#This Row],[CALENDAR YEAR]]),ROUNDDOWN(EHD[[#This Row],[Running count]]/500,0)+$S$1,EHD[[#This Row],[CALENDAR YEAR]])</f>
        <v>2024</v>
      </c>
      <c r="T240" s="16"/>
    </row>
    <row r="241" spans="1:20">
      <c r="A241" s="13" t="s">
        <v>311</v>
      </c>
      <c r="B241" s="1" t="str">
        <f>VLOOKUP(A241,Data[],2,FALSE)</f>
        <v>BROOKLYN</v>
      </c>
      <c r="C241" s="9" t="s">
        <v>27</v>
      </c>
      <c r="D241" s="9" t="str">
        <f>VLOOKUP(EHD[[#This Row],[DEVELOPMENT]],Data[],52,FALSE)</f>
        <v>FEDERAL</v>
      </c>
      <c r="E241" s="1">
        <f>VLOOKUP(EHD[[#This Row],[DEVELOPMENT]],Data[],8,FALSE)</f>
        <v>0</v>
      </c>
      <c r="F241" s="9" t="str">
        <f>VLOOKUP(EHD[[#This Row],[DEVELOPMENT]],all[[DEVELOPMENT]:[MRST Ext. Comp. Priority]],6,FALSE)</f>
        <v>None</v>
      </c>
      <c r="G241" s="9">
        <v>1</v>
      </c>
      <c r="H241" s="1">
        <f>IF(VLOOKUP(EHD[[#This Row],[DEVELOPMENT]],Data[],9,FALSE)=0,5,VLOOKUP(EHD[[#This Row],[DEVELOPMENT]],Data[],9,FALSE))</f>
        <v>5</v>
      </c>
      <c r="I241" s="9">
        <f>EHD[[#This Row],[MRST '#HD]]</f>
        <v>1</v>
      </c>
      <c r="J241" s="1" t="str">
        <f ca="1">IFERROR(VLOOKUP(EHD[[#This Row],[DEVELOPMENT]],Data[],4,FALSE),"")</f>
        <v/>
      </c>
      <c r="K241" s="1" t="str">
        <f ca="1">IF(EHD[[#This Row],[RAD/PACT]]="","",IF(OR(EHD[[#This Row],[RAD/PACT]]="2021-2025",EHD[[#This Row],[RAD/PACT]]="2019-2020"),"Yes",""))</f>
        <v/>
      </c>
      <c r="L241" s="1"/>
      <c r="M241" s="1"/>
      <c r="N241" s="1"/>
      <c r="O241" s="1"/>
      <c r="P241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41" s="51">
        <f ca="1">SUM(INDEX(EHD['# Hopper Doors],1):EHD[[#This Row],['# Hopper Doors]])</f>
        <v>2424</v>
      </c>
      <c r="R241" s="47">
        <f t="shared" ca="1" si="3"/>
        <v>3678858.9780600034</v>
      </c>
      <c r="S241" s="1">
        <f ca="1">IF(ISBLANK(EHD[[#This Row],[CALENDAR YEAR]]),ROUNDDOWN(EHD[[#This Row],[Running count]]/500,0)+$S$1,EHD[[#This Row],[CALENDAR YEAR]])</f>
        <v>2024</v>
      </c>
      <c r="T241" s="16"/>
    </row>
    <row r="242" spans="1:20">
      <c r="A242" s="13" t="s">
        <v>309</v>
      </c>
      <c r="B242" s="1" t="str">
        <f>VLOOKUP(A242,Data[],2,FALSE)</f>
        <v>MANHATTAN</v>
      </c>
      <c r="C242" s="9" t="s">
        <v>27</v>
      </c>
      <c r="D242" s="9" t="str">
        <f>VLOOKUP(EHD[[#This Row],[DEVELOPMENT]],Data[],52,FALSE)</f>
        <v>MIXED FINANCE/LLC1</v>
      </c>
      <c r="E242" s="1">
        <f>VLOOKUP(EHD[[#This Row],[DEVELOPMENT]],Data[],8,FALSE)</f>
        <v>0</v>
      </c>
      <c r="F242" s="9" t="str">
        <f>VLOOKUP(EHD[[#This Row],[DEVELOPMENT]],all[[DEVELOPMENT]:[MRST Ext. Comp. Priority]],6,FALSE)</f>
        <v>None</v>
      </c>
      <c r="G242" s="9">
        <v>4</v>
      </c>
      <c r="H242" s="1">
        <f>IF(VLOOKUP(EHD[[#This Row],[DEVELOPMENT]],Data[],9,FALSE)=0,5,VLOOKUP(EHD[[#This Row],[DEVELOPMENT]],Data[],9,FALSE))</f>
        <v>5</v>
      </c>
      <c r="I242" s="9">
        <f>EHD[[#This Row],[MRST '#HD]]</f>
        <v>4</v>
      </c>
      <c r="J242" s="1" t="str">
        <f ca="1">IFERROR(VLOOKUP(EHD[[#This Row],[DEVELOPMENT]],Data[],4,FALSE),"")</f>
        <v/>
      </c>
      <c r="K242" s="1" t="str">
        <f ca="1">IF(EHD[[#This Row],[RAD/PACT]]="","",IF(OR(EHD[[#This Row],[RAD/PACT]]="2021-2025",EHD[[#This Row],[RAD/PACT]]="2019-2020"),"Yes",""))</f>
        <v/>
      </c>
      <c r="L242" s="1"/>
      <c r="M242" s="1"/>
      <c r="N242" s="1"/>
      <c r="O242" s="1"/>
      <c r="P242" s="47">
        <f ca="1">IF(EHD[[#This Row],[RAD/PACT]]="2019-2020",0,INDEX(UnitCosts[],MATCH(EHD[[#This Row],[WORK TYPE]],UnitCosts[Work Type],0),2)*EHD[[#This Row],['# Hopper Doors]])*(1+((EHD[[#This Row],[est. Year]]-YEAR(TODAY()))*$P$2))</f>
        <v>33906.534360000005</v>
      </c>
      <c r="Q242" s="51">
        <f ca="1">SUM(INDEX(EHD['# Hopper Doors],1):EHD[[#This Row],['# Hopper Doors]])</f>
        <v>2428</v>
      </c>
      <c r="R242" s="47">
        <f t="shared" ca="1" si="3"/>
        <v>3712765.5124200033</v>
      </c>
      <c r="S242" s="1">
        <f ca="1">IF(ISBLANK(EHD[[#This Row],[CALENDAR YEAR]]),ROUNDDOWN(EHD[[#This Row],[Running count]]/500,0)+$S$1,EHD[[#This Row],[CALENDAR YEAR]])</f>
        <v>2024</v>
      </c>
      <c r="T242" s="16"/>
    </row>
    <row r="243" spans="1:20">
      <c r="A243" s="13" t="s">
        <v>293</v>
      </c>
      <c r="B243" s="1" t="str">
        <f>VLOOKUP(A243,Data[],2,FALSE)</f>
        <v>BRONX</v>
      </c>
      <c r="C243" s="9" t="s">
        <v>27</v>
      </c>
      <c r="D243" s="9" t="str">
        <f>VLOOKUP(EHD[[#This Row],[DEVELOPMENT]],Data[],52,FALSE)</f>
        <v>FEDERAL</v>
      </c>
      <c r="E243" s="1">
        <f>VLOOKUP(EHD[[#This Row],[DEVELOPMENT]],Data[],8,FALSE)</f>
        <v>0</v>
      </c>
      <c r="F243" s="9" t="str">
        <f>VLOOKUP(EHD[[#This Row],[DEVELOPMENT]],all[[DEVELOPMENT]:[MRST Ext. Comp. Priority]],6,FALSE)</f>
        <v>None</v>
      </c>
      <c r="G243" s="9">
        <v>1</v>
      </c>
      <c r="H243" s="1">
        <f>IF(VLOOKUP(EHD[[#This Row],[DEVELOPMENT]],Data[],9,FALSE)=0,5,VLOOKUP(EHD[[#This Row],[DEVELOPMENT]],Data[],9,FALSE))</f>
        <v>5</v>
      </c>
      <c r="I243" s="9">
        <f>EHD[[#This Row],[MRST '#HD]]</f>
        <v>1</v>
      </c>
      <c r="J243" s="1" t="str">
        <f ca="1">IFERROR(VLOOKUP(EHD[[#This Row],[DEVELOPMENT]],Data[],4,FALSE),"")</f>
        <v>2022-2025</v>
      </c>
      <c r="K243" s="1" t="str">
        <f ca="1">IF(EHD[[#This Row],[RAD/PACT]]="","",IF(OR(EHD[[#This Row],[RAD/PACT]]="2021-2025",EHD[[#This Row],[RAD/PACT]]="2019-2020"),"Yes",""))</f>
        <v/>
      </c>
      <c r="L243" s="1"/>
      <c r="M243" s="1"/>
      <c r="N243" s="1"/>
      <c r="O243" s="1"/>
      <c r="P243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43" s="51">
        <f ca="1">SUM(INDEX(EHD['# Hopper Doors],1):EHD[[#This Row],['# Hopper Doors]])</f>
        <v>2429</v>
      </c>
      <c r="R243" s="47">
        <f t="shared" ca="1" si="3"/>
        <v>3721242.1460100035</v>
      </c>
      <c r="S243" s="1">
        <f ca="1">IF(ISBLANK(EHD[[#This Row],[CALENDAR YEAR]]),ROUNDDOWN(EHD[[#This Row],[Running count]]/500,0)+$S$1,EHD[[#This Row],[CALENDAR YEAR]])</f>
        <v>2024</v>
      </c>
      <c r="T243" s="16"/>
    </row>
    <row r="244" spans="1:20">
      <c r="A244" s="13" t="s">
        <v>315</v>
      </c>
      <c r="B244" s="1" t="str">
        <f>VLOOKUP(A244,Data[],2,FALSE)</f>
        <v>BROOKLYN</v>
      </c>
      <c r="C244" s="9" t="s">
        <v>27</v>
      </c>
      <c r="D244" s="9" t="str">
        <f>VLOOKUP(EHD[[#This Row],[DEVELOPMENT]],Data[],52,FALSE)</f>
        <v>FEDERAL</v>
      </c>
      <c r="E244" s="1">
        <f>VLOOKUP(EHD[[#This Row],[DEVELOPMENT]],Data[],8,FALSE)</f>
        <v>0</v>
      </c>
      <c r="F244" s="9" t="str">
        <f>VLOOKUP(EHD[[#This Row],[DEVELOPMENT]],all[[DEVELOPMENT]:[MRST Ext. Comp. Priority]],6,FALSE)</f>
        <v>None</v>
      </c>
      <c r="G244" s="9">
        <v>30</v>
      </c>
      <c r="H244" s="1">
        <f>IF(VLOOKUP(EHD[[#This Row],[DEVELOPMENT]],Data[],9,FALSE)=0,5,VLOOKUP(EHD[[#This Row],[DEVELOPMENT]],Data[],9,FALSE))</f>
        <v>5</v>
      </c>
      <c r="I244" s="9">
        <f>EHD[[#This Row],[MRST '#HD]]</f>
        <v>30</v>
      </c>
      <c r="J244" s="1" t="str">
        <f ca="1">IFERROR(VLOOKUP(EHD[[#This Row],[DEVELOPMENT]],Data[],4,FALSE),"")</f>
        <v>2022-2025</v>
      </c>
      <c r="K244" s="1" t="str">
        <f ca="1">IF(EHD[[#This Row],[RAD/PACT]]="","",IF(OR(EHD[[#This Row],[RAD/PACT]]="2021-2025",EHD[[#This Row],[RAD/PACT]]="2019-2020"),"Yes",""))</f>
        <v/>
      </c>
      <c r="L244" s="1"/>
      <c r="M244" s="1"/>
      <c r="N244" s="1"/>
      <c r="O244" s="1"/>
      <c r="P244" s="47">
        <f ca="1">IF(EHD[[#This Row],[RAD/PACT]]="2019-2020",0,INDEX(UnitCosts[],MATCH(EHD[[#This Row],[WORK TYPE]],UnitCosts[Work Type],0),2)*EHD[[#This Row],['# Hopper Doors]])*(1+((EHD[[#This Row],[est. Year]]-YEAR(TODAY()))*$P$2))</f>
        <v>254299.00770000002</v>
      </c>
      <c r="Q244" s="51">
        <f ca="1">SUM(INDEX(EHD['# Hopper Doors],1):EHD[[#This Row],['# Hopper Doors]])</f>
        <v>2459</v>
      </c>
      <c r="R244" s="47">
        <f t="shared" ca="1" si="3"/>
        <v>3975541.1537100035</v>
      </c>
      <c r="S244" s="1">
        <f ca="1">IF(ISBLANK(EHD[[#This Row],[CALENDAR YEAR]]),ROUNDDOWN(EHD[[#This Row],[Running count]]/500,0)+$S$1,EHD[[#This Row],[CALENDAR YEAR]])</f>
        <v>2024</v>
      </c>
      <c r="T244" s="16"/>
    </row>
    <row r="245" spans="1:20">
      <c r="A245" s="13" t="s">
        <v>316</v>
      </c>
      <c r="B245" s="1" t="str">
        <f>VLOOKUP(A245,Data[],2,FALSE)</f>
        <v>BROOKLYN</v>
      </c>
      <c r="C245" s="9" t="s">
        <v>27</v>
      </c>
      <c r="D245" s="9" t="str">
        <f>VLOOKUP(EHD[[#This Row],[DEVELOPMENT]],Data[],52,FALSE)</f>
        <v>FEDERAL</v>
      </c>
      <c r="E245" s="1">
        <f>VLOOKUP(EHD[[#This Row],[DEVELOPMENT]],Data[],8,FALSE)</f>
        <v>0</v>
      </c>
      <c r="F245" s="9" t="str">
        <f>VLOOKUP(EHD[[#This Row],[DEVELOPMENT]],all[[DEVELOPMENT]:[MRST Ext. Comp. Priority]],6,FALSE)</f>
        <v>None</v>
      </c>
      <c r="G245" s="9">
        <v>0</v>
      </c>
      <c r="H245" s="1">
        <f>IF(VLOOKUP(EHD[[#This Row],[DEVELOPMENT]],Data[],9,FALSE)=0,5,VLOOKUP(EHD[[#This Row],[DEVELOPMENT]],Data[],9,FALSE))</f>
        <v>5</v>
      </c>
      <c r="I245" s="9">
        <f>EHD[[#This Row],[MRST '#HD]]</f>
        <v>0</v>
      </c>
      <c r="J245" s="1" t="str">
        <f ca="1">IFERROR(VLOOKUP(EHD[[#This Row],[DEVELOPMENT]],Data[],4,FALSE),"")</f>
        <v>2022-2025</v>
      </c>
      <c r="K245" s="1" t="str">
        <f ca="1">IF(EHD[[#This Row],[RAD/PACT]]="","",IF(OR(EHD[[#This Row],[RAD/PACT]]="2021-2025",EHD[[#This Row],[RAD/PACT]]="2019-2020"),"Yes",""))</f>
        <v/>
      </c>
      <c r="L245" s="1"/>
      <c r="M245" s="1"/>
      <c r="N245" s="1"/>
      <c r="O245" s="1"/>
      <c r="P245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45" s="51">
        <f ca="1">SUM(INDEX(EHD['# Hopper Doors],1):EHD[[#This Row],['# Hopper Doors]])</f>
        <v>2459</v>
      </c>
      <c r="R245" s="47">
        <f t="shared" ca="1" si="3"/>
        <v>3975541.1537100035</v>
      </c>
      <c r="S245" s="1">
        <f ca="1">IF(ISBLANK(EHD[[#This Row],[CALENDAR YEAR]]),ROUNDDOWN(EHD[[#This Row],[Running count]]/500,0)+$S$1,EHD[[#This Row],[CALENDAR YEAR]])</f>
        <v>2024</v>
      </c>
      <c r="T245" s="16"/>
    </row>
    <row r="246" spans="1:20">
      <c r="A246" s="13" t="s">
        <v>295</v>
      </c>
      <c r="B246" s="1" t="str">
        <f>VLOOKUP(A246,Data[],2,FALSE)</f>
        <v>MANHATTAN</v>
      </c>
      <c r="C246" s="9" t="s">
        <v>27</v>
      </c>
      <c r="D246" s="9" t="str">
        <f>VLOOKUP(EHD[[#This Row],[DEVELOPMENT]],Data[],52,FALSE)</f>
        <v>FEDERAL</v>
      </c>
      <c r="E246" s="1">
        <f>VLOOKUP(EHD[[#This Row],[DEVELOPMENT]],Data[],8,FALSE)</f>
        <v>0</v>
      </c>
      <c r="F246" s="9" t="str">
        <f>VLOOKUP(EHD[[#This Row],[DEVELOPMENT]],all[[DEVELOPMENT]:[MRST Ext. Comp. Priority]],6,FALSE)</f>
        <v>None</v>
      </c>
      <c r="G246" s="9">
        <v>1</v>
      </c>
      <c r="H246" s="1">
        <f>IF(VLOOKUP(EHD[[#This Row],[DEVELOPMENT]],Data[],9,FALSE)=0,5,VLOOKUP(EHD[[#This Row],[DEVELOPMENT]],Data[],9,FALSE))</f>
        <v>5</v>
      </c>
      <c r="I246" s="9">
        <f>EHD[[#This Row],[MRST '#HD]]</f>
        <v>1</v>
      </c>
      <c r="J246" s="1" t="str">
        <f ca="1">IFERROR(VLOOKUP(EHD[[#This Row],[DEVELOPMENT]],Data[],4,FALSE),"")</f>
        <v/>
      </c>
      <c r="K246" s="1" t="str">
        <f ca="1">IF(EHD[[#This Row],[RAD/PACT]]="","",IF(OR(EHD[[#This Row],[RAD/PACT]]="2021-2025",EHD[[#This Row],[RAD/PACT]]="2019-2020"),"Yes",""))</f>
        <v/>
      </c>
      <c r="L246" s="1"/>
      <c r="M246" s="1"/>
      <c r="N246" s="1"/>
      <c r="O246" s="1"/>
      <c r="P246" s="47">
        <f ca="1">IF(EHD[[#This Row],[RAD/PACT]]="2019-2020",0,INDEX(UnitCosts[],MATCH(EHD[[#This Row],[WORK TYPE]],UnitCosts[Work Type],0),2)*EHD[[#This Row],['# Hopper Doors]])*(1+((EHD[[#This Row],[est. Year]]-YEAR(TODAY()))*$P$2))</f>
        <v>8476.6335900000013</v>
      </c>
      <c r="Q246" s="51">
        <f ca="1">SUM(INDEX(EHD['# Hopper Doors],1):EHD[[#This Row],['# Hopper Doors]])</f>
        <v>2460</v>
      </c>
      <c r="R246" s="47">
        <f t="shared" ca="1" si="3"/>
        <v>3984017.7873000037</v>
      </c>
      <c r="S246" s="1">
        <f ca="1">IF(ISBLANK(EHD[[#This Row],[CALENDAR YEAR]]),ROUNDDOWN(EHD[[#This Row],[Running count]]/500,0)+$S$1,EHD[[#This Row],[CALENDAR YEAR]])</f>
        <v>2024</v>
      </c>
      <c r="T246" s="16"/>
    </row>
    <row r="247" spans="1:20">
      <c r="A247" s="13" t="s">
        <v>317</v>
      </c>
      <c r="B247" s="1" t="str">
        <f>VLOOKUP(A247,Data[],2,FALSE)</f>
        <v>BRONX</v>
      </c>
      <c r="C247" s="9" t="s">
        <v>27</v>
      </c>
      <c r="D247" s="9" t="str">
        <f>VLOOKUP(EHD[[#This Row],[DEVELOPMENT]],Data[],52,FALSE)</f>
        <v>FEDERAL</v>
      </c>
      <c r="E247" s="1">
        <f>VLOOKUP(EHD[[#This Row],[DEVELOPMENT]],Data[],8,FALSE)</f>
        <v>0</v>
      </c>
      <c r="F247" s="9" t="str">
        <f>VLOOKUP(EHD[[#This Row],[DEVELOPMENT]],all[[DEVELOPMENT]:[MRST Ext. Comp. Priority]],6,FALSE)</f>
        <v>None</v>
      </c>
      <c r="G247" s="9">
        <v>15</v>
      </c>
      <c r="H247" s="1">
        <f>IF(VLOOKUP(EHD[[#This Row],[DEVELOPMENT]],Data[],9,FALSE)=0,5,VLOOKUP(EHD[[#This Row],[DEVELOPMENT]],Data[],9,FALSE))</f>
        <v>5</v>
      </c>
      <c r="I247" s="9">
        <f>EHD[[#This Row],[MRST '#HD]]</f>
        <v>15</v>
      </c>
      <c r="J247" s="1" t="str">
        <f ca="1">IFERROR(VLOOKUP(EHD[[#This Row],[DEVELOPMENT]],Data[],4,FALSE),"")</f>
        <v>2026+</v>
      </c>
      <c r="K247" s="1" t="str">
        <f ca="1">IF(EHD[[#This Row],[RAD/PACT]]="","",IF(OR(EHD[[#This Row],[RAD/PACT]]="2021-2025",EHD[[#This Row],[RAD/PACT]]="2019-2020"),"Yes",""))</f>
        <v/>
      </c>
      <c r="L247" s="1"/>
      <c r="M247" s="1"/>
      <c r="N247" s="1"/>
      <c r="O247" s="1"/>
      <c r="P247" s="47">
        <f ca="1">IF(EHD[[#This Row],[RAD/PACT]]="2019-2020",0,INDEX(UnitCosts[],MATCH(EHD[[#This Row],[WORK TYPE]],UnitCosts[Work Type],0),2)*EHD[[#This Row],['# Hopper Doors]])*(1+((EHD[[#This Row],[est. Year]]-YEAR(TODAY()))*$P$2))</f>
        <v>127149.50385000001</v>
      </c>
      <c r="Q247" s="51">
        <f ca="1">SUM(INDEX(EHD['# Hopper Doors],1):EHD[[#This Row],['# Hopper Doors]])</f>
        <v>2475</v>
      </c>
      <c r="R247" s="47">
        <f t="shared" ca="1" si="3"/>
        <v>4111167.2911500037</v>
      </c>
      <c r="S247" s="1">
        <f ca="1">IF(ISBLANK(EHD[[#This Row],[CALENDAR YEAR]]),ROUNDDOWN(EHD[[#This Row],[Running count]]/500,0)+$S$1,EHD[[#This Row],[CALENDAR YEAR]])</f>
        <v>2024</v>
      </c>
      <c r="T247" s="16"/>
    </row>
    <row r="248" spans="1:20">
      <c r="A248" s="13" t="s">
        <v>376</v>
      </c>
      <c r="B248" s="1" t="str">
        <f>VLOOKUP(A248,Data[],2,FALSE)</f>
        <v>MANHATTAN</v>
      </c>
      <c r="C248" s="9" t="s">
        <v>27</v>
      </c>
      <c r="D248" s="9" t="str">
        <f>VLOOKUP(EHD[[#This Row],[DEVELOPMENT]],Data[],52,FALSE)</f>
        <v>FEDERAL</v>
      </c>
      <c r="E248" s="1">
        <f>VLOOKUP(EHD[[#This Row],[DEVELOPMENT]],Data[],8,FALSE)</f>
        <v>0</v>
      </c>
      <c r="F248" s="9" t="str">
        <f>VLOOKUP(EHD[[#This Row],[DEVELOPMENT]],all[[DEVELOPMENT]:[MRST Ext. Comp. Priority]],6,FALSE)</f>
        <v>None</v>
      </c>
      <c r="G248" s="9">
        <v>7</v>
      </c>
      <c r="H248" s="1">
        <f>IF(VLOOKUP(EHD[[#This Row],[DEVELOPMENT]],Data[],9,FALSE)=0,5,VLOOKUP(EHD[[#This Row],[DEVELOPMENT]],Data[],9,FALSE))</f>
        <v>5</v>
      </c>
      <c r="I248" s="9">
        <f>EHD[[#This Row],[MRST '#HD]]</f>
        <v>7</v>
      </c>
      <c r="J248" s="1" t="str">
        <f ca="1">IFERROR(VLOOKUP(EHD[[#This Row],[DEVELOPMENT]],Data[],4,FALSE),"")</f>
        <v>2020-2021</v>
      </c>
      <c r="K248" s="1" t="str">
        <f ca="1">IF(EHD[[#This Row],[RAD/PACT]]="","",IF(OR(EHD[[#This Row],[RAD/PACT]]="2021-2025",EHD[[#This Row],[RAD/PACT]]="2019-2020"),"Yes",""))</f>
        <v/>
      </c>
      <c r="L248" s="1"/>
      <c r="M248" s="1"/>
      <c r="N248" s="1"/>
      <c r="O248" s="1"/>
      <c r="P248" s="47">
        <f ca="1">IF(EHD[[#This Row],[RAD/PACT]]="2019-2020",0,INDEX(UnitCosts[],MATCH(EHD[[#This Row],[WORK TYPE]],UnitCosts[Work Type],0),2)*EHD[[#This Row],['# Hopper Doors]])*(1+((EHD[[#This Row],[est. Year]]-YEAR(TODAY()))*$P$2))</f>
        <v>59336.435130000013</v>
      </c>
      <c r="Q248" s="51">
        <f ca="1">SUM(INDEX(EHD['# Hopper Doors],1):EHD[[#This Row],['# Hopper Doors]])</f>
        <v>2482</v>
      </c>
      <c r="R248" s="47">
        <f t="shared" ca="1" si="3"/>
        <v>4170503.7262800038</v>
      </c>
      <c r="S248" s="1">
        <f ca="1">IF(ISBLANK(EHD[[#This Row],[CALENDAR YEAR]]),ROUNDDOWN(EHD[[#This Row],[Running count]]/500,0)+$S$1,EHD[[#This Row],[CALENDAR YEAR]])</f>
        <v>2024</v>
      </c>
      <c r="T248" s="16"/>
    </row>
    <row r="249" spans="1:20">
      <c r="A249" s="110" t="s">
        <v>379</v>
      </c>
      <c r="B249" s="1" t="str">
        <f>VLOOKUP(A249,Data[],2,FALSE)</f>
        <v>MANHATTAN</v>
      </c>
      <c r="C249" s="9" t="s">
        <v>27</v>
      </c>
      <c r="D249" s="9" t="str">
        <f>VLOOKUP(EHD[[#This Row],[DEVELOPMENT]],Data[],52,FALSE)</f>
        <v>FEDERAL</v>
      </c>
      <c r="E249" s="1">
        <f>VLOOKUP(EHD[[#This Row],[DEVELOPMENT]],Data[],8,FALSE)</f>
        <v>0</v>
      </c>
      <c r="F249" s="9" t="str">
        <f>VLOOKUP(EHD[[#This Row],[DEVELOPMENT]],all[[DEVELOPMENT]:[MRST Ext. Comp. Priority]],6,FALSE)</f>
        <v>None</v>
      </c>
      <c r="G249" s="109">
        <v>2</v>
      </c>
      <c r="H249" s="1">
        <f>IF(VLOOKUP(EHD[[#This Row],[DEVELOPMENT]],Data[],9,FALSE)=0,5,VLOOKUP(EHD[[#This Row],[DEVELOPMENT]],Data[],9,FALSE))</f>
        <v>5</v>
      </c>
      <c r="I249" s="9">
        <f>EHD[[#This Row],[MRST '#HD]]</f>
        <v>2</v>
      </c>
      <c r="J249" s="1" t="str">
        <f ca="1">IFERROR(VLOOKUP(EHD[[#This Row],[DEVELOPMENT]],Data[],4,FALSE),"")</f>
        <v>2020-2021</v>
      </c>
      <c r="K249" s="1" t="str">
        <f ca="1">IF(EHD[[#This Row],[RAD/PACT]]="","",IF(OR(EHD[[#This Row],[RAD/PACT]]="2021-2025",EHD[[#This Row],[RAD/PACT]]="2019-2020"),"Yes",""))</f>
        <v/>
      </c>
      <c r="L249" s="1"/>
      <c r="M249" s="1"/>
      <c r="N249" s="1"/>
      <c r="O249" s="1"/>
      <c r="P249" s="47">
        <f ca="1">IF(EHD[[#This Row],[RAD/PACT]]="2019-2020",0,INDEX(UnitCosts[],MATCH(EHD[[#This Row],[WORK TYPE]],UnitCosts[Work Type],0),2)*EHD[[#This Row],['# Hopper Doors]])*(1+((EHD[[#This Row],[est. Year]]-YEAR(TODAY()))*$P$2))</f>
        <v>16953.267180000003</v>
      </c>
      <c r="Q249" s="51">
        <f ca="1">SUM(INDEX(EHD['# Hopper Doors],1):EHD[[#This Row],['# Hopper Doors]])</f>
        <v>2484</v>
      </c>
      <c r="R249" s="47">
        <f t="shared" ca="1" si="3"/>
        <v>4187456.9934600038</v>
      </c>
      <c r="S249" s="1">
        <f ca="1">IF(ISBLANK(EHD[[#This Row],[CALENDAR YEAR]]),ROUNDDOWN(EHD[[#This Row],[Running count]]/500,0)+$S$1,EHD[[#This Row],[CALENDAR YEAR]])</f>
        <v>2024</v>
      </c>
      <c r="T249" s="16"/>
    </row>
    <row r="250" spans="1:20">
      <c r="A250" s="13" t="s">
        <v>324</v>
      </c>
      <c r="B250" s="1" t="str">
        <f>VLOOKUP(A250,Data[],2,FALSE)</f>
        <v>BROOKLYN</v>
      </c>
      <c r="C250" s="9" t="s">
        <v>27</v>
      </c>
      <c r="D250" s="9" t="str">
        <f>VLOOKUP(EHD[[#This Row],[DEVELOPMENT]],Data[],52,FALSE)</f>
        <v>FEDERAL</v>
      </c>
      <c r="E250" s="1">
        <f>VLOOKUP(EHD[[#This Row],[DEVELOPMENT]],Data[],8,FALSE)</f>
        <v>0</v>
      </c>
      <c r="F250" s="9" t="str">
        <f>VLOOKUP(EHD[[#This Row],[DEVELOPMENT]],all[[DEVELOPMENT]:[MRST Ext. Comp. Priority]],6,FALSE)</f>
        <v>None</v>
      </c>
      <c r="G250" s="9">
        <v>5</v>
      </c>
      <c r="H250" s="1">
        <f>IF(VLOOKUP(EHD[[#This Row],[DEVELOPMENT]],Data[],9,FALSE)=0,5,VLOOKUP(EHD[[#This Row],[DEVELOPMENT]],Data[],9,FALSE))</f>
        <v>5</v>
      </c>
      <c r="I250" s="9">
        <f>EHD[[#This Row],[MRST '#HD]]</f>
        <v>5</v>
      </c>
      <c r="J250" s="1" t="str">
        <f ca="1">IFERROR(VLOOKUP(EHD[[#This Row],[DEVELOPMENT]],Data[],4,FALSE),"")</f>
        <v/>
      </c>
      <c r="K250" s="1" t="str">
        <f ca="1">IF(EHD[[#This Row],[RAD/PACT]]="","",IF(OR(EHD[[#This Row],[RAD/PACT]]="2021-2025",EHD[[#This Row],[RAD/PACT]]="2019-2020"),"Yes",""))</f>
        <v/>
      </c>
      <c r="L250" s="1"/>
      <c r="M250" s="1"/>
      <c r="N250" s="1"/>
      <c r="O250" s="1"/>
      <c r="P250" s="47">
        <f ca="1">IF(EHD[[#This Row],[RAD/PACT]]="2019-2020",0,INDEX(UnitCosts[],MATCH(EHD[[#This Row],[WORK TYPE]],UnitCosts[Work Type],0),2)*EHD[[#This Row],['# Hopper Doors]])*(1+((EHD[[#This Row],[est. Year]]-YEAR(TODAY()))*$P$2))</f>
        <v>42383.167950000003</v>
      </c>
      <c r="Q250" s="51">
        <f ca="1">SUM(INDEX(EHD['# Hopper Doors],1):EHD[[#This Row],['# Hopper Doors]])</f>
        <v>2489</v>
      </c>
      <c r="R250" s="47">
        <f t="shared" ca="1" si="3"/>
        <v>4229840.1614100039</v>
      </c>
      <c r="S250" s="1">
        <f ca="1">IF(ISBLANK(EHD[[#This Row],[CALENDAR YEAR]]),ROUNDDOWN(EHD[[#This Row],[Running count]]/500,0)+$S$1,EHD[[#This Row],[CALENDAR YEAR]])</f>
        <v>2024</v>
      </c>
      <c r="T250" s="16"/>
    </row>
    <row r="251" spans="1:20">
      <c r="A251" s="13" t="s">
        <v>325</v>
      </c>
      <c r="B251" s="1" t="str">
        <f>VLOOKUP(A251,Data[],2,FALSE)</f>
        <v>BROOKLYN</v>
      </c>
      <c r="C251" s="9" t="s">
        <v>27</v>
      </c>
      <c r="D251" s="9" t="str">
        <f>VLOOKUP(EHD[[#This Row],[DEVELOPMENT]],Data[],52,FALSE)</f>
        <v>FEDERAL</v>
      </c>
      <c r="E251" s="1">
        <f>VLOOKUP(EHD[[#This Row],[DEVELOPMENT]],Data[],8,FALSE)</f>
        <v>0</v>
      </c>
      <c r="F251" s="9" t="str">
        <f>VLOOKUP(EHD[[#This Row],[DEVELOPMENT]],all[[DEVELOPMENT]:[MRST Ext. Comp. Priority]],6,FALSE)</f>
        <v>None</v>
      </c>
      <c r="G251" s="9">
        <v>40</v>
      </c>
      <c r="H251" s="1">
        <f>IF(VLOOKUP(EHD[[#This Row],[DEVELOPMENT]],Data[],9,FALSE)=0,5,VLOOKUP(EHD[[#This Row],[DEVELOPMENT]],Data[],9,FALSE))</f>
        <v>5</v>
      </c>
      <c r="I251" s="9">
        <f>EHD[[#This Row],[MRST '#HD]]</f>
        <v>40</v>
      </c>
      <c r="J251" s="1" t="str">
        <f ca="1">IFERROR(VLOOKUP(EHD[[#This Row],[DEVELOPMENT]],Data[],4,FALSE),"")</f>
        <v>2026+</v>
      </c>
      <c r="K251" s="1" t="str">
        <f ca="1">IF(EHD[[#This Row],[RAD/PACT]]="","",IF(OR(EHD[[#This Row],[RAD/PACT]]="2021-2025",EHD[[#This Row],[RAD/PACT]]="2019-2020"),"Yes",""))</f>
        <v/>
      </c>
      <c r="L251" s="1"/>
      <c r="M251" s="1"/>
      <c r="N251" s="1"/>
      <c r="O251" s="1"/>
      <c r="P251" s="47">
        <f ca="1">IF(EHD[[#This Row],[RAD/PACT]]="2019-2020",0,INDEX(UnitCosts[],MATCH(EHD[[#This Row],[WORK TYPE]],UnitCosts[Work Type],0),2)*EHD[[#This Row],['# Hopper Doors]])*(1+((EHD[[#This Row],[est. Year]]-YEAR(TODAY()))*$P$2))</f>
        <v>349475.24450000003</v>
      </c>
      <c r="Q251" s="51">
        <f ca="1">SUM(INDEX(EHD['# Hopper Doors],1):EHD[[#This Row],['# Hopper Doors]])</f>
        <v>2529</v>
      </c>
      <c r="R251" s="47">
        <f t="shared" ca="1" si="3"/>
        <v>349475.24450000003</v>
      </c>
      <c r="S251" s="1">
        <f ca="1">IF(ISBLANK(EHD[[#This Row],[CALENDAR YEAR]]),ROUNDDOWN(EHD[[#This Row],[Running count]]/500,0)+$S$1,EHD[[#This Row],[CALENDAR YEAR]])</f>
        <v>2025</v>
      </c>
      <c r="T251" s="16"/>
    </row>
    <row r="252" spans="1:20">
      <c r="A252" s="13" t="s">
        <v>326</v>
      </c>
      <c r="B252" s="1" t="str">
        <f>VLOOKUP(A252,Data[],2,FALSE)</f>
        <v>BROOKLYN</v>
      </c>
      <c r="C252" s="9" t="s">
        <v>27</v>
      </c>
      <c r="D252" s="9" t="str">
        <f>VLOOKUP(EHD[[#This Row],[DEVELOPMENT]],Data[],52,FALSE)</f>
        <v>FEDERAL</v>
      </c>
      <c r="E252" s="1">
        <f>VLOOKUP(EHD[[#This Row],[DEVELOPMENT]],Data[],8,FALSE)</f>
        <v>0</v>
      </c>
      <c r="F252" s="9" t="str">
        <f>VLOOKUP(EHD[[#This Row],[DEVELOPMENT]],all[[DEVELOPMENT]:[MRST Ext. Comp. Priority]],6,FALSE)</f>
        <v>None</v>
      </c>
      <c r="G252" s="9">
        <v>24</v>
      </c>
      <c r="H252" s="1">
        <f>IF(VLOOKUP(EHD[[#This Row],[DEVELOPMENT]],Data[],9,FALSE)=0,5,VLOOKUP(EHD[[#This Row],[DEVELOPMENT]],Data[],9,FALSE))</f>
        <v>5</v>
      </c>
      <c r="I252" s="9">
        <f>EHD[[#This Row],[MRST '#HD]]</f>
        <v>24</v>
      </c>
      <c r="J252" s="1" t="str">
        <f ca="1">IFERROR(VLOOKUP(EHD[[#This Row],[DEVELOPMENT]],Data[],4,FALSE),"")</f>
        <v>2026+</v>
      </c>
      <c r="K252" s="1" t="str">
        <f ca="1">IF(EHD[[#This Row],[RAD/PACT]]="","",IF(OR(EHD[[#This Row],[RAD/PACT]]="2021-2025",EHD[[#This Row],[RAD/PACT]]="2019-2020"),"Yes",""))</f>
        <v/>
      </c>
      <c r="L252" s="1"/>
      <c r="M252" s="1"/>
      <c r="N252" s="1"/>
      <c r="O252" s="1"/>
      <c r="P252" s="47">
        <f ca="1">IF(EHD[[#This Row],[RAD/PACT]]="2019-2020",0,INDEX(UnitCosts[],MATCH(EHD[[#This Row],[WORK TYPE]],UnitCosts[Work Type],0),2)*EHD[[#This Row],['# Hopper Doors]])*(1+((EHD[[#This Row],[est. Year]]-YEAR(TODAY()))*$P$2))</f>
        <v>209685.14670000004</v>
      </c>
      <c r="Q252" s="51">
        <f ca="1">SUM(INDEX(EHD['# Hopper Doors],1):EHD[[#This Row],['# Hopper Doors]])</f>
        <v>2553</v>
      </c>
      <c r="R252" s="47">
        <f t="shared" ca="1" si="3"/>
        <v>559160.39120000007</v>
      </c>
      <c r="S252" s="1">
        <f ca="1">IF(ISBLANK(EHD[[#This Row],[CALENDAR YEAR]]),ROUNDDOWN(EHD[[#This Row],[Running count]]/500,0)+$S$1,EHD[[#This Row],[CALENDAR YEAR]])</f>
        <v>2025</v>
      </c>
      <c r="T252" s="16"/>
    </row>
    <row r="253" spans="1:20">
      <c r="A253" s="13" t="s">
        <v>307</v>
      </c>
      <c r="B253" s="1" t="str">
        <f>VLOOKUP(A253,Data[],2,FALSE)</f>
        <v>QUEENS</v>
      </c>
      <c r="C253" s="9" t="s">
        <v>27</v>
      </c>
      <c r="D253" s="9" t="str">
        <f>VLOOKUP(EHD[[#This Row],[DEVELOPMENT]],Data[],52,FALSE)</f>
        <v>FEDERAL</v>
      </c>
      <c r="E253" s="1">
        <f>VLOOKUP(EHD[[#This Row],[DEVELOPMENT]],Data[],8,FALSE)</f>
        <v>0</v>
      </c>
      <c r="F253" s="9" t="str">
        <f>VLOOKUP(EHD[[#This Row],[DEVELOPMENT]],all[[DEVELOPMENT]:[MRST Ext. Comp. Priority]],6,FALSE)</f>
        <v>None</v>
      </c>
      <c r="G253" s="9">
        <v>1</v>
      </c>
      <c r="H253" s="1">
        <f>IF(VLOOKUP(EHD[[#This Row],[DEVELOPMENT]],Data[],9,FALSE)=0,5,VLOOKUP(EHD[[#This Row],[DEVELOPMENT]],Data[],9,FALSE))</f>
        <v>5</v>
      </c>
      <c r="I253" s="9">
        <f>EHD[[#This Row],[MRST '#HD]]</f>
        <v>1</v>
      </c>
      <c r="J253" s="1" t="str">
        <f ca="1">IFERROR(VLOOKUP(EHD[[#This Row],[DEVELOPMENT]],Data[],4,FALSE),"")</f>
        <v>2026+</v>
      </c>
      <c r="K253" s="1" t="str">
        <f ca="1">IF(EHD[[#This Row],[RAD/PACT]]="","",IF(OR(EHD[[#This Row],[RAD/PACT]]="2021-2025",EHD[[#This Row],[RAD/PACT]]="2019-2020"),"Yes",""))</f>
        <v/>
      </c>
      <c r="L253" s="1"/>
      <c r="M253" s="1"/>
      <c r="N253" s="1"/>
      <c r="O253" s="1"/>
      <c r="P253" s="47">
        <f ca="1">IF(EHD[[#This Row],[RAD/PACT]]="2019-2020",0,INDEX(UnitCosts[],MATCH(EHD[[#This Row],[WORK TYPE]],UnitCosts[Work Type],0),2)*EHD[[#This Row],['# Hopper Doors]])*(1+((EHD[[#This Row],[est. Year]]-YEAR(TODAY()))*$P$2))</f>
        <v>8736.8811125000011</v>
      </c>
      <c r="Q253" s="51">
        <f ca="1">SUM(INDEX(EHD['# Hopper Doors],1):EHD[[#This Row],['# Hopper Doors]])</f>
        <v>2554</v>
      </c>
      <c r="R253" s="47">
        <f t="shared" ca="1" si="3"/>
        <v>567897.27231250005</v>
      </c>
      <c r="S253" s="1">
        <f ca="1">IF(ISBLANK(EHD[[#This Row],[CALENDAR YEAR]]),ROUNDDOWN(EHD[[#This Row],[Running count]]/500,0)+$S$1,EHD[[#This Row],[CALENDAR YEAR]])</f>
        <v>2025</v>
      </c>
      <c r="T253" s="16"/>
    </row>
    <row r="254" spans="1:20">
      <c r="A254" s="13" t="s">
        <v>334</v>
      </c>
      <c r="B254" s="1" t="str">
        <f>VLOOKUP(A254,Data[],2,FALSE)</f>
        <v>BROOKLYN</v>
      </c>
      <c r="C254" s="9" t="s">
        <v>27</v>
      </c>
      <c r="D254" s="9" t="str">
        <f>VLOOKUP(EHD[[#This Row],[DEVELOPMENT]],Data[],52,FALSE)</f>
        <v>FEDERAL</v>
      </c>
      <c r="E254" s="1">
        <f>VLOOKUP(EHD[[#This Row],[DEVELOPMENT]],Data[],8,FALSE)</f>
        <v>0</v>
      </c>
      <c r="F254" s="9" t="str">
        <f>VLOOKUP(EHD[[#This Row],[DEVELOPMENT]],all[[DEVELOPMENT]:[MRST Ext. Comp. Priority]],6,FALSE)</f>
        <v>None</v>
      </c>
      <c r="G254" s="9">
        <v>3</v>
      </c>
      <c r="H254" s="1">
        <f>IF(VLOOKUP(EHD[[#This Row],[DEVELOPMENT]],Data[],9,FALSE)=0,5,VLOOKUP(EHD[[#This Row],[DEVELOPMENT]],Data[],9,FALSE))</f>
        <v>5</v>
      </c>
      <c r="I254" s="9">
        <f>EHD[[#This Row],[MRST '#HD]]</f>
        <v>3</v>
      </c>
      <c r="J254" s="1" t="str">
        <f ca="1">IFERROR(VLOOKUP(EHD[[#This Row],[DEVELOPMENT]],Data[],4,FALSE),"")</f>
        <v/>
      </c>
      <c r="K254" s="1" t="str">
        <f ca="1">IF(EHD[[#This Row],[RAD/PACT]]="","",IF(OR(EHD[[#This Row],[RAD/PACT]]="2021-2025",EHD[[#This Row],[RAD/PACT]]="2019-2020"),"Yes",""))</f>
        <v/>
      </c>
      <c r="L254" s="1"/>
      <c r="M254" s="1"/>
      <c r="N254" s="1"/>
      <c r="O254" s="1"/>
      <c r="P254" s="47">
        <f ca="1">IF(EHD[[#This Row],[RAD/PACT]]="2019-2020",0,INDEX(UnitCosts[],MATCH(EHD[[#This Row],[WORK TYPE]],UnitCosts[Work Type],0),2)*EHD[[#This Row],['# Hopper Doors]])*(1+((EHD[[#This Row],[est. Year]]-YEAR(TODAY()))*$P$2))</f>
        <v>26210.643337500005</v>
      </c>
      <c r="Q254" s="51">
        <f ca="1">SUM(INDEX(EHD['# Hopper Doors],1):EHD[[#This Row],['# Hopper Doors]])</f>
        <v>2557</v>
      </c>
      <c r="R254" s="47">
        <f t="shared" ca="1" si="3"/>
        <v>594107.9156500001</v>
      </c>
      <c r="S254" s="1">
        <f ca="1">IF(ISBLANK(EHD[[#This Row],[CALENDAR YEAR]]),ROUNDDOWN(EHD[[#This Row],[Running count]]/500,0)+$S$1,EHD[[#This Row],[CALENDAR YEAR]])</f>
        <v>2025</v>
      </c>
      <c r="T254" s="16"/>
    </row>
    <row r="255" spans="1:20">
      <c r="A255" s="13" t="s">
        <v>333</v>
      </c>
      <c r="B255" s="1" t="str">
        <f>VLOOKUP(A255,Data[],2,FALSE)</f>
        <v>MANHATTAN</v>
      </c>
      <c r="C255" s="9" t="s">
        <v>27</v>
      </c>
      <c r="D255" s="9" t="str">
        <f>VLOOKUP(EHD[[#This Row],[DEVELOPMENT]],Data[],52,FALSE)</f>
        <v>FEDERAL</v>
      </c>
      <c r="E255" s="1">
        <f>VLOOKUP(EHD[[#This Row],[DEVELOPMENT]],Data[],8,FALSE)</f>
        <v>0</v>
      </c>
      <c r="F255" s="9" t="str">
        <f>VLOOKUP(EHD[[#This Row],[DEVELOPMENT]],all[[DEVELOPMENT]:[MRST Ext. Comp. Priority]],6,FALSE)</f>
        <v>None</v>
      </c>
      <c r="G255" s="9">
        <v>2</v>
      </c>
      <c r="H255" s="1">
        <f>IF(VLOOKUP(EHD[[#This Row],[DEVELOPMENT]],Data[],9,FALSE)=0,5,VLOOKUP(EHD[[#This Row],[DEVELOPMENT]],Data[],9,FALSE))</f>
        <v>5</v>
      </c>
      <c r="I255" s="9">
        <f>EHD[[#This Row],[MRST '#HD]]</f>
        <v>2</v>
      </c>
      <c r="J255" s="1" t="str">
        <f ca="1">IFERROR(VLOOKUP(EHD[[#This Row],[DEVELOPMENT]],Data[],4,FALSE),"")</f>
        <v/>
      </c>
      <c r="K255" s="1" t="str">
        <f ca="1">IF(EHD[[#This Row],[RAD/PACT]]="","",IF(OR(EHD[[#This Row],[RAD/PACT]]="2021-2025",EHD[[#This Row],[RAD/PACT]]="2019-2020"),"Yes",""))</f>
        <v/>
      </c>
      <c r="L255" s="1"/>
      <c r="M255" s="1"/>
      <c r="N255" s="1"/>
      <c r="O255" s="1"/>
      <c r="P255" s="47">
        <f ca="1">IF(EHD[[#This Row],[RAD/PACT]]="2019-2020",0,INDEX(UnitCosts[],MATCH(EHD[[#This Row],[WORK TYPE]],UnitCosts[Work Type],0),2)*EHD[[#This Row],['# Hopper Doors]])*(1+((EHD[[#This Row],[est. Year]]-YEAR(TODAY()))*$P$2))</f>
        <v>17473.762225000002</v>
      </c>
      <c r="Q255" s="51">
        <f ca="1">SUM(INDEX(EHD['# Hopper Doors],1):EHD[[#This Row],['# Hopper Doors]])</f>
        <v>2559</v>
      </c>
      <c r="R255" s="47">
        <f t="shared" ca="1" si="3"/>
        <v>611581.67787500005</v>
      </c>
      <c r="S255" s="1">
        <f ca="1">IF(ISBLANK(EHD[[#This Row],[CALENDAR YEAR]]),ROUNDDOWN(EHD[[#This Row],[Running count]]/500,0)+$S$1,EHD[[#This Row],[CALENDAR YEAR]])</f>
        <v>2025</v>
      </c>
      <c r="T255" s="16"/>
    </row>
    <row r="256" spans="1:20">
      <c r="A256" s="13" t="s">
        <v>337</v>
      </c>
      <c r="B256" s="1" t="str">
        <f>VLOOKUP(A256,Data[],2,FALSE)</f>
        <v>MANHATTAN</v>
      </c>
      <c r="C256" s="9" t="s">
        <v>27</v>
      </c>
      <c r="D256" s="9" t="str">
        <f>VLOOKUP(EHD[[#This Row],[DEVELOPMENT]],Data[],52,FALSE)</f>
        <v>FEDERAL</v>
      </c>
      <c r="E256" s="1">
        <f>VLOOKUP(EHD[[#This Row],[DEVELOPMENT]],Data[],8,FALSE)</f>
        <v>0</v>
      </c>
      <c r="F256" s="9" t="str">
        <f>VLOOKUP(EHD[[#This Row],[DEVELOPMENT]],all[[DEVELOPMENT]:[MRST Ext. Comp. Priority]],6,FALSE)</f>
        <v>None</v>
      </c>
      <c r="G256" s="9">
        <v>3</v>
      </c>
      <c r="H256" s="1">
        <f>IF(VLOOKUP(EHD[[#This Row],[DEVELOPMENT]],Data[],9,FALSE)=0,5,VLOOKUP(EHD[[#This Row],[DEVELOPMENT]],Data[],9,FALSE))</f>
        <v>5</v>
      </c>
      <c r="I256" s="9">
        <f>EHD[[#This Row],[MRST '#HD]]</f>
        <v>3</v>
      </c>
      <c r="J256" s="1" t="str">
        <f ca="1">IFERROR(VLOOKUP(EHD[[#This Row],[DEVELOPMENT]],Data[],4,FALSE),"")</f>
        <v/>
      </c>
      <c r="K256" s="1" t="str">
        <f ca="1">IF(EHD[[#This Row],[RAD/PACT]]="","",IF(OR(EHD[[#This Row],[RAD/PACT]]="2021-2025",EHD[[#This Row],[RAD/PACT]]="2019-2020"),"Yes",""))</f>
        <v/>
      </c>
      <c r="L256" s="1"/>
      <c r="M256" s="1"/>
      <c r="N256" s="1"/>
      <c r="O256" s="1"/>
      <c r="P256" s="47">
        <f ca="1">IF(EHD[[#This Row],[RAD/PACT]]="2019-2020",0,INDEX(UnitCosts[],MATCH(EHD[[#This Row],[WORK TYPE]],UnitCosts[Work Type],0),2)*EHD[[#This Row],['# Hopper Doors]])*(1+((EHD[[#This Row],[est. Year]]-YEAR(TODAY()))*$P$2))</f>
        <v>26210.643337500005</v>
      </c>
      <c r="Q256" s="51">
        <f ca="1">SUM(INDEX(EHD['# Hopper Doors],1):EHD[[#This Row],['# Hopper Doors]])</f>
        <v>2562</v>
      </c>
      <c r="R256" s="47">
        <f t="shared" ca="1" si="3"/>
        <v>637792.3212125001</v>
      </c>
      <c r="S256" s="1">
        <f ca="1">IF(ISBLANK(EHD[[#This Row],[CALENDAR YEAR]]),ROUNDDOWN(EHD[[#This Row],[Running count]]/500,0)+$S$1,EHD[[#This Row],[CALENDAR YEAR]])</f>
        <v>2025</v>
      </c>
      <c r="T256" s="16"/>
    </row>
    <row r="257" spans="1:20">
      <c r="A257" s="110" t="s">
        <v>330</v>
      </c>
      <c r="B257" s="1" t="str">
        <f>VLOOKUP(A257,Data[],2,FALSE)</f>
        <v>BRONX</v>
      </c>
      <c r="C257" s="9" t="s">
        <v>27</v>
      </c>
      <c r="D257" s="9" t="str">
        <f>VLOOKUP(EHD[[#This Row],[DEVELOPMENT]],Data[],52,FALSE)</f>
        <v>FEDERAL</v>
      </c>
      <c r="E257" s="1">
        <f>VLOOKUP(EHD[[#This Row],[DEVELOPMENT]],Data[],8,FALSE)</f>
        <v>0</v>
      </c>
      <c r="F257" s="9" t="str">
        <f>VLOOKUP(EHD[[#This Row],[DEVELOPMENT]],all[[DEVELOPMENT]:[MRST Ext. Comp. Priority]],6,FALSE)</f>
        <v>None</v>
      </c>
      <c r="G257" s="109">
        <v>1</v>
      </c>
      <c r="H257" s="1">
        <f>IF(VLOOKUP(EHD[[#This Row],[DEVELOPMENT]],Data[],9,FALSE)=0,5,VLOOKUP(EHD[[#This Row],[DEVELOPMENT]],Data[],9,FALSE))</f>
        <v>5</v>
      </c>
      <c r="I257" s="9">
        <f>EHD[[#This Row],[MRST '#HD]]</f>
        <v>1</v>
      </c>
      <c r="J257" s="1" t="str">
        <f ca="1">IFERROR(VLOOKUP(EHD[[#This Row],[DEVELOPMENT]],Data[],4,FALSE),"")</f>
        <v/>
      </c>
      <c r="K257" s="1" t="str">
        <f ca="1">IF(EHD[[#This Row],[RAD/PACT]]="","",IF(OR(EHD[[#This Row],[RAD/PACT]]="2021-2025",EHD[[#This Row],[RAD/PACT]]="2019-2020"),"Yes",""))</f>
        <v/>
      </c>
      <c r="L257" s="1"/>
      <c r="M257" s="1"/>
      <c r="N257" s="1"/>
      <c r="O257" s="1"/>
      <c r="P257" s="47">
        <f ca="1">IF(EHD[[#This Row],[RAD/PACT]]="2019-2020",0,INDEX(UnitCosts[],MATCH(EHD[[#This Row],[WORK TYPE]],UnitCosts[Work Type],0),2)*EHD[[#This Row],['# Hopper Doors]])*(1+((EHD[[#This Row],[est. Year]]-YEAR(TODAY()))*$P$2))</f>
        <v>8736.8811125000011</v>
      </c>
      <c r="Q257" s="51">
        <f ca="1">SUM(INDEX(EHD['# Hopper Doors],1):EHD[[#This Row],['# Hopper Doors]])</f>
        <v>2563</v>
      </c>
      <c r="R257" s="47">
        <f t="shared" ca="1" si="3"/>
        <v>646529.20232500008</v>
      </c>
      <c r="S257" s="1">
        <f ca="1">IF(ISBLANK(EHD[[#This Row],[CALENDAR YEAR]]),ROUNDDOWN(EHD[[#This Row],[Running count]]/500,0)+$S$1,EHD[[#This Row],[CALENDAR YEAR]])</f>
        <v>2025</v>
      </c>
      <c r="T257" s="16"/>
    </row>
    <row r="258" spans="1:20">
      <c r="A258" s="110" t="s">
        <v>331</v>
      </c>
      <c r="B258" s="1" t="str">
        <f>VLOOKUP(A258,Data[],2,FALSE)</f>
        <v>BRONX</v>
      </c>
      <c r="C258" s="9" t="s">
        <v>27</v>
      </c>
      <c r="D258" s="9" t="str">
        <f>VLOOKUP(EHD[[#This Row],[DEVELOPMENT]],Data[],52,FALSE)</f>
        <v>FEDERAL</v>
      </c>
      <c r="E258" s="1">
        <f>VLOOKUP(EHD[[#This Row],[DEVELOPMENT]],Data[],8,FALSE)</f>
        <v>0</v>
      </c>
      <c r="F258" s="9" t="str">
        <f>VLOOKUP(EHD[[#This Row],[DEVELOPMENT]],all[[DEVELOPMENT]:[MRST Ext. Comp. Priority]],6,FALSE)</f>
        <v>None</v>
      </c>
      <c r="G258" s="109">
        <v>4</v>
      </c>
      <c r="H258" s="1">
        <f>IF(VLOOKUP(EHD[[#This Row],[DEVELOPMENT]],Data[],9,FALSE)=0,5,VLOOKUP(EHD[[#This Row],[DEVELOPMENT]],Data[],9,FALSE))</f>
        <v>5</v>
      </c>
      <c r="I258" s="9">
        <f>EHD[[#This Row],[MRST '#HD]]</f>
        <v>4</v>
      </c>
      <c r="J258" s="1" t="str">
        <f ca="1">IFERROR(VLOOKUP(EHD[[#This Row],[DEVELOPMENT]],Data[],4,FALSE),"")</f>
        <v/>
      </c>
      <c r="K258" s="1" t="str">
        <f ca="1">IF(EHD[[#This Row],[RAD/PACT]]="","",IF(OR(EHD[[#This Row],[RAD/PACT]]="2021-2025",EHD[[#This Row],[RAD/PACT]]="2019-2020"),"Yes",""))</f>
        <v/>
      </c>
      <c r="L258" s="1"/>
      <c r="M258" s="1"/>
      <c r="N258" s="1"/>
      <c r="O258" s="1"/>
      <c r="P258" s="47">
        <f ca="1">IF(EHD[[#This Row],[RAD/PACT]]="2019-2020",0,INDEX(UnitCosts[],MATCH(EHD[[#This Row],[WORK TYPE]],UnitCosts[Work Type],0),2)*EHD[[#This Row],['# Hopper Doors]])*(1+((EHD[[#This Row],[est. Year]]-YEAR(TODAY()))*$P$2))</f>
        <v>34947.524450000004</v>
      </c>
      <c r="Q258" s="51">
        <f ca="1">SUM(INDEX(EHD['# Hopper Doors],1):EHD[[#This Row],['# Hopper Doors]])</f>
        <v>2567</v>
      </c>
      <c r="R258" s="47">
        <f t="shared" ca="1" si="3"/>
        <v>681476.7267750001</v>
      </c>
      <c r="S258" s="1">
        <f ca="1">IF(ISBLANK(EHD[[#This Row],[CALENDAR YEAR]]),ROUNDDOWN(EHD[[#This Row],[Running count]]/500,0)+$S$1,EHD[[#This Row],[CALENDAR YEAR]])</f>
        <v>2025</v>
      </c>
      <c r="T258" s="16"/>
    </row>
    <row r="259" spans="1:20">
      <c r="A259" s="110" t="s">
        <v>372</v>
      </c>
      <c r="B259" s="1" t="str">
        <f>VLOOKUP(A259,Data[],2,FALSE)</f>
        <v>BRONX</v>
      </c>
      <c r="C259" s="9" t="s">
        <v>27</v>
      </c>
      <c r="D259" s="9" t="str">
        <f>VLOOKUP(EHD[[#This Row],[DEVELOPMENT]],Data[],52,FALSE)</f>
        <v>FEDERAL</v>
      </c>
      <c r="E259" s="1">
        <f>VLOOKUP(EHD[[#This Row],[DEVELOPMENT]],Data[],8,FALSE)</f>
        <v>0</v>
      </c>
      <c r="F259" s="9" t="str">
        <f>VLOOKUP(EHD[[#This Row],[DEVELOPMENT]],all[[DEVELOPMENT]:[MRST Ext. Comp. Priority]],6,FALSE)</f>
        <v>None</v>
      </c>
      <c r="G259" s="109">
        <v>5</v>
      </c>
      <c r="H259" s="1">
        <f>IF(VLOOKUP(EHD[[#This Row],[DEVELOPMENT]],Data[],9,FALSE)=0,5,VLOOKUP(EHD[[#This Row],[DEVELOPMENT]],Data[],9,FALSE))</f>
        <v>5</v>
      </c>
      <c r="I259" s="9">
        <f>EHD[[#This Row],[MRST '#HD]]</f>
        <v>5</v>
      </c>
      <c r="J259" s="1" t="str">
        <f ca="1">IFERROR(VLOOKUP(EHD[[#This Row],[DEVELOPMENT]],Data[],4,FALSE),"")</f>
        <v/>
      </c>
      <c r="K259" s="1" t="str">
        <f ca="1">IF(EHD[[#This Row],[RAD/PACT]]="","",IF(OR(EHD[[#This Row],[RAD/PACT]]="2021-2025",EHD[[#This Row],[RAD/PACT]]="2019-2020"),"Yes",""))</f>
        <v/>
      </c>
      <c r="L259" s="1"/>
      <c r="M259" s="1"/>
      <c r="N259" s="1"/>
      <c r="O259" s="1"/>
      <c r="P259" s="47">
        <f ca="1">IF(EHD[[#This Row],[RAD/PACT]]="2019-2020",0,INDEX(UnitCosts[],MATCH(EHD[[#This Row],[WORK TYPE]],UnitCosts[Work Type],0),2)*EHD[[#This Row],['# Hopper Doors]])*(1+((EHD[[#This Row],[est. Year]]-YEAR(TODAY()))*$P$2))</f>
        <v>43684.405562500004</v>
      </c>
      <c r="Q259" s="51">
        <f ca="1">SUM(INDEX(EHD['# Hopper Doors],1):EHD[[#This Row],['# Hopper Doors]])</f>
        <v>2572</v>
      </c>
      <c r="R259" s="47">
        <f t="shared" ca="1" si="3"/>
        <v>725161.13233750011</v>
      </c>
      <c r="S259" s="1">
        <f ca="1">IF(ISBLANK(EHD[[#This Row],[CALENDAR YEAR]]),ROUNDDOWN(EHD[[#This Row],[Running count]]/500,0)+$S$1,EHD[[#This Row],[CALENDAR YEAR]])</f>
        <v>2025</v>
      </c>
      <c r="T259" s="16"/>
    </row>
    <row r="260" spans="1:20">
      <c r="A260" s="110" t="s">
        <v>358</v>
      </c>
      <c r="B260" s="1" t="str">
        <f>VLOOKUP(A260,Data[],2,FALSE)</f>
        <v>MANHATTAN</v>
      </c>
      <c r="C260" s="9" t="s">
        <v>27</v>
      </c>
      <c r="D260" s="9" t="str">
        <f>VLOOKUP(EHD[[#This Row],[DEVELOPMENT]],Data[],52,FALSE)</f>
        <v>MHOP</v>
      </c>
      <c r="E260" s="1">
        <f>VLOOKUP(EHD[[#This Row],[DEVELOPMENT]],Data[],8,FALSE)</f>
        <v>0</v>
      </c>
      <c r="F260" s="9" t="str">
        <f>VLOOKUP(EHD[[#This Row],[DEVELOPMENT]],all[[DEVELOPMENT]:[MRST Ext. Comp. Priority]],6,FALSE)</f>
        <v>None</v>
      </c>
      <c r="G260" s="109">
        <v>1</v>
      </c>
      <c r="H260" s="1">
        <f>IF(VLOOKUP(EHD[[#This Row],[DEVELOPMENT]],Data[],9,FALSE)=0,5,VLOOKUP(EHD[[#This Row],[DEVELOPMENT]],Data[],9,FALSE))</f>
        <v>5</v>
      </c>
      <c r="I260" s="9">
        <f>EHD[[#This Row],[MRST '#HD]]</f>
        <v>1</v>
      </c>
      <c r="J260" s="1" t="str">
        <f ca="1">IFERROR(VLOOKUP(EHD[[#This Row],[DEVELOPMENT]],Data[],4,FALSE),"")</f>
        <v>2020-2021</v>
      </c>
      <c r="K260" s="1" t="str">
        <f ca="1">IF(EHD[[#This Row],[RAD/PACT]]="","",IF(OR(EHD[[#This Row],[RAD/PACT]]="2021-2025",EHD[[#This Row],[RAD/PACT]]="2019-2020"),"Yes",""))</f>
        <v/>
      </c>
      <c r="L260" s="1"/>
      <c r="M260" s="1"/>
      <c r="N260" s="1"/>
      <c r="O260" s="1"/>
      <c r="P260" s="47">
        <f ca="1">IF(EHD[[#This Row],[RAD/PACT]]="2019-2020",0,INDEX(UnitCosts[],MATCH(EHD[[#This Row],[WORK TYPE]],UnitCosts[Work Type],0),2)*EHD[[#This Row],['# Hopper Doors]])*(1+((EHD[[#This Row],[est. Year]]-YEAR(TODAY()))*$P$2))</f>
        <v>8736.8811125000011</v>
      </c>
      <c r="Q260" s="51">
        <f ca="1">SUM(INDEX(EHD['# Hopper Doors],1):EHD[[#This Row],['# Hopper Doors]])</f>
        <v>2573</v>
      </c>
      <c r="R260" s="47">
        <f t="shared" ref="R260:R314" ca="1" si="4">IF(S260=S259,(P260+O260)+R259,(P260+O260))</f>
        <v>733898.01345000009</v>
      </c>
      <c r="S260" s="1">
        <f ca="1">IF(ISBLANK(EHD[[#This Row],[CALENDAR YEAR]]),ROUNDDOWN(EHD[[#This Row],[Running count]]/500,0)+$S$1,EHD[[#This Row],[CALENDAR YEAR]])</f>
        <v>2025</v>
      </c>
      <c r="T260" s="16"/>
    </row>
    <row r="261" spans="1:20">
      <c r="A261" s="110" t="s">
        <v>359</v>
      </c>
      <c r="B261" s="1" t="str">
        <f>VLOOKUP(A261,Data[],2,FALSE)</f>
        <v>MANHATTAN</v>
      </c>
      <c r="C261" s="9" t="s">
        <v>27</v>
      </c>
      <c r="D261" s="9" t="str">
        <f>VLOOKUP(EHD[[#This Row],[DEVELOPMENT]],Data[],52,FALSE)</f>
        <v>MHOP</v>
      </c>
      <c r="E261" s="1">
        <f>VLOOKUP(EHD[[#This Row],[DEVELOPMENT]],Data[],8,FALSE)</f>
        <v>0</v>
      </c>
      <c r="F261" s="9" t="str">
        <f>VLOOKUP(EHD[[#This Row],[DEVELOPMENT]],all[[DEVELOPMENT]:[MRST Ext. Comp. Priority]],6,FALSE)</f>
        <v>None</v>
      </c>
      <c r="G261" s="109">
        <v>0</v>
      </c>
      <c r="H261" s="1">
        <f>IF(VLOOKUP(EHD[[#This Row],[DEVELOPMENT]],Data[],9,FALSE)=0,5,VLOOKUP(EHD[[#This Row],[DEVELOPMENT]],Data[],9,FALSE))</f>
        <v>5</v>
      </c>
      <c r="I261" s="9">
        <f>EHD[[#This Row],[MRST '#HD]]</f>
        <v>0</v>
      </c>
      <c r="J261" s="1" t="str">
        <f ca="1">IFERROR(VLOOKUP(EHD[[#This Row],[DEVELOPMENT]],Data[],4,FALSE),"")</f>
        <v>2020-2021</v>
      </c>
      <c r="K261" s="1" t="str">
        <f ca="1">IF(EHD[[#This Row],[RAD/PACT]]="","",IF(OR(EHD[[#This Row],[RAD/PACT]]="2021-2025",EHD[[#This Row],[RAD/PACT]]="2019-2020"),"Yes",""))</f>
        <v/>
      </c>
      <c r="L261" s="1"/>
      <c r="M261" s="1"/>
      <c r="N261" s="1"/>
      <c r="O261" s="1"/>
      <c r="P261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61" s="51">
        <f ca="1">SUM(INDEX(EHD['# Hopper Doors],1):EHD[[#This Row],['# Hopper Doors]])</f>
        <v>2573</v>
      </c>
      <c r="R261" s="47">
        <f t="shared" ca="1" si="4"/>
        <v>733898.01345000009</v>
      </c>
      <c r="S261" s="1">
        <f ca="1">IF(ISBLANK(EHD[[#This Row],[CALENDAR YEAR]]),ROUNDDOWN(EHD[[#This Row],[Running count]]/500,0)+$S$1,EHD[[#This Row],[CALENDAR YEAR]])</f>
        <v>2025</v>
      </c>
      <c r="T261" s="16"/>
    </row>
    <row r="262" spans="1:20">
      <c r="A262" s="110" t="s">
        <v>360</v>
      </c>
      <c r="B262" s="1" t="str">
        <f>VLOOKUP(A262,Data[],2,FALSE)</f>
        <v>MANHATTAN</v>
      </c>
      <c r="C262" s="9" t="s">
        <v>27</v>
      </c>
      <c r="D262" s="9" t="str">
        <f>VLOOKUP(EHD[[#This Row],[DEVELOPMENT]],Data[],52,FALSE)</f>
        <v>MHOP</v>
      </c>
      <c r="E262" s="1">
        <f>VLOOKUP(EHD[[#This Row],[DEVELOPMENT]],Data[],8,FALSE)</f>
        <v>0</v>
      </c>
      <c r="F262" s="9" t="str">
        <f>VLOOKUP(EHD[[#This Row],[DEVELOPMENT]],all[[DEVELOPMENT]:[MRST Ext. Comp. Priority]],6,FALSE)</f>
        <v>None</v>
      </c>
      <c r="G262" s="109">
        <v>1</v>
      </c>
      <c r="H262" s="1">
        <f>IF(VLOOKUP(EHD[[#This Row],[DEVELOPMENT]],Data[],9,FALSE)=0,5,VLOOKUP(EHD[[#This Row],[DEVELOPMENT]],Data[],9,FALSE))</f>
        <v>5</v>
      </c>
      <c r="I262" s="9">
        <f>EHD[[#This Row],[MRST '#HD]]</f>
        <v>1</v>
      </c>
      <c r="J262" s="1" t="str">
        <f ca="1">IFERROR(VLOOKUP(EHD[[#This Row],[DEVELOPMENT]],Data[],4,FALSE),"")</f>
        <v>2020-2021</v>
      </c>
      <c r="K262" s="1" t="str">
        <f ca="1">IF(EHD[[#This Row],[RAD/PACT]]="","",IF(OR(EHD[[#This Row],[RAD/PACT]]="2021-2025",EHD[[#This Row],[RAD/PACT]]="2019-2020"),"Yes",""))</f>
        <v/>
      </c>
      <c r="L262" s="1"/>
      <c r="M262" s="1"/>
      <c r="N262" s="1"/>
      <c r="O262" s="1"/>
      <c r="P262" s="47">
        <f ca="1">IF(EHD[[#This Row],[RAD/PACT]]="2019-2020",0,INDEX(UnitCosts[],MATCH(EHD[[#This Row],[WORK TYPE]],UnitCosts[Work Type],0),2)*EHD[[#This Row],['# Hopper Doors]])*(1+((EHD[[#This Row],[est. Year]]-YEAR(TODAY()))*$P$2))</f>
        <v>8736.8811125000011</v>
      </c>
      <c r="Q262" s="51">
        <f ca="1">SUM(INDEX(EHD['# Hopper Doors],1):EHD[[#This Row],['# Hopper Doors]])</f>
        <v>2574</v>
      </c>
      <c r="R262" s="47">
        <f t="shared" ca="1" si="4"/>
        <v>742634.89456250006</v>
      </c>
      <c r="S262" s="1">
        <f ca="1">IF(ISBLANK(EHD[[#This Row],[CALENDAR YEAR]]),ROUNDDOWN(EHD[[#This Row],[Running count]]/500,0)+$S$1,EHD[[#This Row],[CALENDAR YEAR]])</f>
        <v>2025</v>
      </c>
      <c r="T262" s="16"/>
    </row>
    <row r="263" spans="1:20">
      <c r="A263" s="110" t="s">
        <v>364</v>
      </c>
      <c r="B263" s="1" t="str">
        <f>VLOOKUP(A263,Data[],2,FALSE)</f>
        <v>MANHATTAN</v>
      </c>
      <c r="C263" s="9" t="s">
        <v>27</v>
      </c>
      <c r="D263" s="9" t="str">
        <f>VLOOKUP(EHD[[#This Row],[DEVELOPMENT]],Data[],52,FALSE)</f>
        <v>FEDERAL</v>
      </c>
      <c r="E263" s="1">
        <f>VLOOKUP(EHD[[#This Row],[DEVELOPMENT]],Data[],8,FALSE)</f>
        <v>0</v>
      </c>
      <c r="F263" s="9" t="str">
        <f>VLOOKUP(EHD[[#This Row],[DEVELOPMENT]],all[[DEVELOPMENT]:[MRST Ext. Comp. Priority]],6,FALSE)</f>
        <v>None</v>
      </c>
      <c r="G263" s="9">
        <v>1</v>
      </c>
      <c r="H263" s="1">
        <f>IF(VLOOKUP(EHD[[#This Row],[DEVELOPMENT]],Data[],9,FALSE)=0,5,VLOOKUP(EHD[[#This Row],[DEVELOPMENT]],Data[],9,FALSE))</f>
        <v>5</v>
      </c>
      <c r="I263" s="9">
        <f>EHD[[#This Row],[MRST '#HD]]</f>
        <v>1</v>
      </c>
      <c r="J263" s="1" t="str">
        <f ca="1">IFERROR(VLOOKUP(EHD[[#This Row],[DEVELOPMENT]],Data[],4,FALSE),"")</f>
        <v/>
      </c>
      <c r="K263" s="1" t="str">
        <f ca="1">IF(EHD[[#This Row],[RAD/PACT]]="","",IF(OR(EHD[[#This Row],[RAD/PACT]]="2021-2025",EHD[[#This Row],[RAD/PACT]]="2019-2020"),"Yes",""))</f>
        <v/>
      </c>
      <c r="L263" s="1"/>
      <c r="M263" s="1"/>
      <c r="N263" s="1"/>
      <c r="O263" s="1"/>
      <c r="P263" s="47">
        <f ca="1">IF(EHD[[#This Row],[RAD/PACT]]="2019-2020",0,INDEX(UnitCosts[],MATCH(EHD[[#This Row],[WORK TYPE]],UnitCosts[Work Type],0),2)*EHD[[#This Row],['# Hopper Doors]])*(1+((EHD[[#This Row],[est. Year]]-YEAR(TODAY()))*$P$2))</f>
        <v>8736.8811125000011</v>
      </c>
      <c r="Q263" s="51">
        <f ca="1">SUM(INDEX(EHD['# Hopper Doors],1):EHD[[#This Row],['# Hopper Doors]])</f>
        <v>2575</v>
      </c>
      <c r="R263" s="47">
        <f t="shared" ca="1" si="4"/>
        <v>751371.77567500004</v>
      </c>
      <c r="S263" s="1">
        <f ca="1">IF(ISBLANK(EHD[[#This Row],[CALENDAR YEAR]]),ROUNDDOWN(EHD[[#This Row],[Running count]]/500,0)+$S$1,EHD[[#This Row],[CALENDAR YEAR]])</f>
        <v>2025</v>
      </c>
      <c r="T263" s="16"/>
    </row>
    <row r="264" spans="1:20">
      <c r="A264" s="13" t="s">
        <v>338</v>
      </c>
      <c r="B264" s="1" t="str">
        <f>VLOOKUP(A264,Data[],2,FALSE)</f>
        <v>QUEENS</v>
      </c>
      <c r="C264" s="9" t="s">
        <v>27</v>
      </c>
      <c r="D264" s="9" t="str">
        <f>VLOOKUP(EHD[[#This Row],[DEVELOPMENT]],Data[],52,FALSE)</f>
        <v>FEDERAL</v>
      </c>
      <c r="E264" s="1">
        <f>VLOOKUP(EHD[[#This Row],[DEVELOPMENT]],Data[],8,FALSE)</f>
        <v>0</v>
      </c>
      <c r="F264" s="9" t="str">
        <f>VLOOKUP(EHD[[#This Row],[DEVELOPMENT]],all[[DEVELOPMENT]:[MRST Ext. Comp. Priority]],6,FALSE)</f>
        <v>None</v>
      </c>
      <c r="G264" s="9">
        <v>4</v>
      </c>
      <c r="H264" s="1">
        <f>IF(VLOOKUP(EHD[[#This Row],[DEVELOPMENT]],Data[],9,FALSE)=0,5,VLOOKUP(EHD[[#This Row],[DEVELOPMENT]],Data[],9,FALSE))</f>
        <v>5</v>
      </c>
      <c r="I264" s="9">
        <f>EHD[[#This Row],[MRST '#HD]]</f>
        <v>4</v>
      </c>
      <c r="J264" s="1" t="str">
        <f ca="1">IFERROR(VLOOKUP(EHD[[#This Row],[DEVELOPMENT]],Data[],4,FALSE),"")</f>
        <v/>
      </c>
      <c r="K264" s="1" t="str">
        <f ca="1">IF(EHD[[#This Row],[RAD/PACT]]="","",IF(OR(EHD[[#This Row],[RAD/PACT]]="2021-2025",EHD[[#This Row],[RAD/PACT]]="2019-2020"),"Yes",""))</f>
        <v/>
      </c>
      <c r="L264" s="1"/>
      <c r="M264" s="1"/>
      <c r="N264" s="1"/>
      <c r="O264" s="1"/>
      <c r="P264" s="47">
        <f ca="1">IF(EHD[[#This Row],[RAD/PACT]]="2019-2020",0,INDEX(UnitCosts[],MATCH(EHD[[#This Row],[WORK TYPE]],UnitCosts[Work Type],0),2)*EHD[[#This Row],['# Hopper Doors]])*(1+((EHD[[#This Row],[est. Year]]-YEAR(TODAY()))*$P$2))</f>
        <v>34947.524450000004</v>
      </c>
      <c r="Q264" s="51">
        <f ca="1">SUM(INDEX(EHD['# Hopper Doors],1):EHD[[#This Row],['# Hopper Doors]])</f>
        <v>2579</v>
      </c>
      <c r="R264" s="47">
        <f t="shared" ca="1" si="4"/>
        <v>786319.30012500007</v>
      </c>
      <c r="S264" s="1">
        <f ca="1">IF(ISBLANK(EHD[[#This Row],[CALENDAR YEAR]]),ROUNDDOWN(EHD[[#This Row],[Running count]]/500,0)+$S$1,EHD[[#This Row],[CALENDAR YEAR]])</f>
        <v>2025</v>
      </c>
      <c r="T264" s="16"/>
    </row>
    <row r="265" spans="1:20">
      <c r="A265" s="13" t="s">
        <v>339</v>
      </c>
      <c r="B265" s="1" t="str">
        <f>VLOOKUP(A265,Data[],2,FALSE)</f>
        <v>QUEENS</v>
      </c>
      <c r="C265" s="9" t="s">
        <v>27</v>
      </c>
      <c r="D265" s="9" t="str">
        <f>VLOOKUP(EHD[[#This Row],[DEVELOPMENT]],Data[],52,FALSE)</f>
        <v>FEDERAL</v>
      </c>
      <c r="E265" s="1">
        <f>VLOOKUP(EHD[[#This Row],[DEVELOPMENT]],Data[],8,FALSE)</f>
        <v>0</v>
      </c>
      <c r="F265" s="9" t="str">
        <f>VLOOKUP(EHD[[#This Row],[DEVELOPMENT]],all[[DEVELOPMENT]:[MRST Ext. Comp. Priority]],6,FALSE)</f>
        <v>None</v>
      </c>
      <c r="G265" s="9">
        <v>1</v>
      </c>
      <c r="H265" s="1">
        <f>IF(VLOOKUP(EHD[[#This Row],[DEVELOPMENT]],Data[],9,FALSE)=0,5,VLOOKUP(EHD[[#This Row],[DEVELOPMENT]],Data[],9,FALSE))</f>
        <v>5</v>
      </c>
      <c r="I265" s="9">
        <f>EHD[[#This Row],[MRST '#HD]]</f>
        <v>1</v>
      </c>
      <c r="J265" s="1" t="str">
        <f ca="1">IFERROR(VLOOKUP(EHD[[#This Row],[DEVELOPMENT]],Data[],4,FALSE),"")</f>
        <v/>
      </c>
      <c r="K265" s="1" t="str">
        <f ca="1">IF(EHD[[#This Row],[RAD/PACT]]="","",IF(OR(EHD[[#This Row],[RAD/PACT]]="2021-2025",EHD[[#This Row],[RAD/PACT]]="2019-2020"),"Yes",""))</f>
        <v/>
      </c>
      <c r="L265" s="1"/>
      <c r="M265" s="1"/>
      <c r="N265" s="1"/>
      <c r="O265" s="1"/>
      <c r="P265" s="47">
        <f ca="1">IF(EHD[[#This Row],[RAD/PACT]]="2019-2020",0,INDEX(UnitCosts[],MATCH(EHD[[#This Row],[WORK TYPE]],UnitCosts[Work Type],0),2)*EHD[[#This Row],['# Hopper Doors]])*(1+((EHD[[#This Row],[est. Year]]-YEAR(TODAY()))*$P$2))</f>
        <v>8736.8811125000011</v>
      </c>
      <c r="Q265" s="51">
        <f ca="1">SUM(INDEX(EHD['# Hopper Doors],1):EHD[[#This Row],['# Hopper Doors]])</f>
        <v>2580</v>
      </c>
      <c r="R265" s="47">
        <f t="shared" ca="1" si="4"/>
        <v>795056.18123750004</v>
      </c>
      <c r="S265" s="1">
        <f ca="1">IF(ISBLANK(EHD[[#This Row],[CALENDAR YEAR]]),ROUNDDOWN(EHD[[#This Row],[Running count]]/500,0)+$S$1,EHD[[#This Row],[CALENDAR YEAR]])</f>
        <v>2025</v>
      </c>
      <c r="T265" s="16"/>
    </row>
    <row r="266" spans="1:20">
      <c r="A266" s="13" t="s">
        <v>341</v>
      </c>
      <c r="B266" s="1" t="str">
        <f>VLOOKUP(A266,Data[],2,FALSE)</f>
        <v>BROOKLYN</v>
      </c>
      <c r="C266" s="9" t="s">
        <v>27</v>
      </c>
      <c r="D266" s="9" t="str">
        <f>VLOOKUP(EHD[[#This Row],[DEVELOPMENT]],Data[],52,FALSE)</f>
        <v>MIXED FINANCE/LLC2</v>
      </c>
      <c r="E266" s="1">
        <f>VLOOKUP(EHD[[#This Row],[DEVELOPMENT]],Data[],8,FALSE)</f>
        <v>0</v>
      </c>
      <c r="F266" s="9" t="str">
        <f>VLOOKUP(EHD[[#This Row],[DEVELOPMENT]],all[[DEVELOPMENT]:[MRST Ext. Comp. Priority]],6,FALSE)</f>
        <v>None</v>
      </c>
      <c r="G266" s="9">
        <v>19</v>
      </c>
      <c r="H266" s="1">
        <f>IF(VLOOKUP(EHD[[#This Row],[DEVELOPMENT]],Data[],9,FALSE)=0,5,VLOOKUP(EHD[[#This Row],[DEVELOPMENT]],Data[],9,FALSE))</f>
        <v>5</v>
      </c>
      <c r="I266" s="9">
        <f>EHD[[#This Row],[MRST '#HD]]</f>
        <v>19</v>
      </c>
      <c r="J266" s="1" t="str">
        <f ca="1">IFERROR(VLOOKUP(EHD[[#This Row],[DEVELOPMENT]],Data[],4,FALSE),"")</f>
        <v>2020-2021</v>
      </c>
      <c r="K266" s="1" t="str">
        <f ca="1">IF(EHD[[#This Row],[RAD/PACT]]="","",IF(OR(EHD[[#This Row],[RAD/PACT]]="2021-2025",EHD[[#This Row],[RAD/PACT]]="2019-2020"),"Yes",""))</f>
        <v/>
      </c>
      <c r="L266" s="1"/>
      <c r="M266" s="1"/>
      <c r="N266" s="1"/>
      <c r="O266" s="1"/>
      <c r="P266" s="47">
        <f ca="1">IF(EHD[[#This Row],[RAD/PACT]]="2019-2020",0,INDEX(UnitCosts[],MATCH(EHD[[#This Row],[WORK TYPE]],UnitCosts[Work Type],0),2)*EHD[[#This Row],['# Hopper Doors]])*(1+((EHD[[#This Row],[est. Year]]-YEAR(TODAY()))*$P$2))</f>
        <v>166000.74113750001</v>
      </c>
      <c r="Q266" s="51">
        <f ca="1">SUM(INDEX(EHD['# Hopper Doors],1):EHD[[#This Row],['# Hopper Doors]])</f>
        <v>2599</v>
      </c>
      <c r="R266" s="47">
        <f t="shared" ca="1" si="4"/>
        <v>961056.92237500008</v>
      </c>
      <c r="S266" s="1">
        <f ca="1">IF(ISBLANK(EHD[[#This Row],[CALENDAR YEAR]]),ROUNDDOWN(EHD[[#This Row],[Running count]]/500,0)+$S$1,EHD[[#This Row],[CALENDAR YEAR]])</f>
        <v>2025</v>
      </c>
      <c r="T266" s="16"/>
    </row>
    <row r="267" spans="1:20">
      <c r="A267" s="13" t="s">
        <v>342</v>
      </c>
      <c r="B267" s="1" t="str">
        <f>VLOOKUP(A267,Data[],2,FALSE)</f>
        <v>BRONX</v>
      </c>
      <c r="C267" s="9" t="s">
        <v>27</v>
      </c>
      <c r="D267" s="9" t="str">
        <f>VLOOKUP(EHD[[#This Row],[DEVELOPMENT]],Data[],52,FALSE)</f>
        <v>MIXED FINANCE/LLC1</v>
      </c>
      <c r="E267" s="1">
        <f>VLOOKUP(EHD[[#This Row],[DEVELOPMENT]],Data[],8,FALSE)</f>
        <v>0</v>
      </c>
      <c r="F267" s="9" t="str">
        <f>VLOOKUP(EHD[[#This Row],[DEVELOPMENT]],all[[DEVELOPMENT]:[MRST Ext. Comp. Priority]],6,FALSE)</f>
        <v>None</v>
      </c>
      <c r="G267" s="9">
        <v>11</v>
      </c>
      <c r="H267" s="1">
        <f>IF(VLOOKUP(EHD[[#This Row],[DEVELOPMENT]],Data[],9,FALSE)=0,5,VLOOKUP(EHD[[#This Row],[DEVELOPMENT]],Data[],9,FALSE))</f>
        <v>5</v>
      </c>
      <c r="I267" s="9">
        <f>EHD[[#This Row],[MRST '#HD]]</f>
        <v>11</v>
      </c>
      <c r="J267" s="1" t="str">
        <f ca="1">IFERROR(VLOOKUP(EHD[[#This Row],[DEVELOPMENT]],Data[],4,FALSE),"")</f>
        <v/>
      </c>
      <c r="K267" s="1" t="str">
        <f ca="1">IF(EHD[[#This Row],[RAD/PACT]]="","",IF(OR(EHD[[#This Row],[RAD/PACT]]="2021-2025",EHD[[#This Row],[RAD/PACT]]="2019-2020"),"Yes",""))</f>
        <v/>
      </c>
      <c r="L267" s="1"/>
      <c r="M267" s="1"/>
      <c r="N267" s="1"/>
      <c r="O267" s="1"/>
      <c r="P267" s="47">
        <f ca="1">IF(EHD[[#This Row],[RAD/PACT]]="2019-2020",0,INDEX(UnitCosts[],MATCH(EHD[[#This Row],[WORK TYPE]],UnitCosts[Work Type],0),2)*EHD[[#This Row],['# Hopper Doors]])*(1+((EHD[[#This Row],[est. Year]]-YEAR(TODAY()))*$P$2))</f>
        <v>96105.692237500014</v>
      </c>
      <c r="Q267" s="51">
        <f ca="1">SUM(INDEX(EHD['# Hopper Doors],1):EHD[[#This Row],['# Hopper Doors]])</f>
        <v>2610</v>
      </c>
      <c r="R267" s="47">
        <f t="shared" ca="1" si="4"/>
        <v>1057162.6146125002</v>
      </c>
      <c r="S267" s="1">
        <f ca="1">IF(ISBLANK(EHD[[#This Row],[CALENDAR YEAR]]),ROUNDDOWN(EHD[[#This Row],[Running count]]/500,0)+$S$1,EHD[[#This Row],[CALENDAR YEAR]])</f>
        <v>2025</v>
      </c>
      <c r="T267" s="16"/>
    </row>
    <row r="268" spans="1:20">
      <c r="A268" s="13" t="s">
        <v>344</v>
      </c>
      <c r="B268" s="1" t="str">
        <f>VLOOKUP(A268,Data[],2,FALSE)</f>
        <v>STATEN ISLAND</v>
      </c>
      <c r="C268" s="9" t="s">
        <v>27</v>
      </c>
      <c r="D268" s="9" t="str">
        <f>VLOOKUP(EHD[[#This Row],[DEVELOPMENT]],Data[],52,FALSE)</f>
        <v>FEDERAL</v>
      </c>
      <c r="E268" s="1">
        <f>VLOOKUP(EHD[[#This Row],[DEVELOPMENT]],Data[],8,FALSE)</f>
        <v>0</v>
      </c>
      <c r="F268" s="9" t="str">
        <f>VLOOKUP(EHD[[#This Row],[DEVELOPMENT]],all[[DEVELOPMENT]:[MRST Ext. Comp. Priority]],6,FALSE)</f>
        <v>None</v>
      </c>
      <c r="G268" s="9">
        <v>32</v>
      </c>
      <c r="H268" s="1">
        <f>IF(VLOOKUP(EHD[[#This Row],[DEVELOPMENT]],Data[],9,FALSE)=0,5,VLOOKUP(EHD[[#This Row],[DEVELOPMENT]],Data[],9,FALSE))</f>
        <v>5</v>
      </c>
      <c r="I268" s="9">
        <f>EHD[[#This Row],[MRST '#HD]]</f>
        <v>32</v>
      </c>
      <c r="J268" s="1" t="str">
        <f ca="1">IFERROR(VLOOKUP(EHD[[#This Row],[DEVELOPMENT]],Data[],4,FALSE),"")</f>
        <v>2026+</v>
      </c>
      <c r="K268" s="1" t="str">
        <f ca="1">IF(EHD[[#This Row],[RAD/PACT]]="","",IF(OR(EHD[[#This Row],[RAD/PACT]]="2021-2025",EHD[[#This Row],[RAD/PACT]]="2019-2020"),"Yes",""))</f>
        <v/>
      </c>
      <c r="L268" s="1"/>
      <c r="M268" s="1"/>
      <c r="N268" s="1"/>
      <c r="O268" s="1"/>
      <c r="P268" s="47">
        <f ca="1">IF(EHD[[#This Row],[RAD/PACT]]="2019-2020",0,INDEX(UnitCosts[],MATCH(EHD[[#This Row],[WORK TYPE]],UnitCosts[Work Type],0),2)*EHD[[#This Row],['# Hopper Doors]])*(1+((EHD[[#This Row],[est. Year]]-YEAR(TODAY()))*$P$2))</f>
        <v>279580.19560000004</v>
      </c>
      <c r="Q268" s="51">
        <f ca="1">SUM(INDEX(EHD['# Hopper Doors],1):EHD[[#This Row],['# Hopper Doors]])</f>
        <v>2642</v>
      </c>
      <c r="R268" s="47">
        <f t="shared" ca="1" si="4"/>
        <v>1336742.8102125002</v>
      </c>
      <c r="S268" s="1">
        <f ca="1">IF(ISBLANK(EHD[[#This Row],[CALENDAR YEAR]]),ROUNDDOWN(EHD[[#This Row],[Running count]]/500,0)+$S$1,EHD[[#This Row],[CALENDAR YEAR]])</f>
        <v>2025</v>
      </c>
      <c r="T268" s="16"/>
    </row>
    <row r="269" spans="1:20">
      <c r="A269" s="13" t="s">
        <v>346</v>
      </c>
      <c r="B269" s="1" t="str">
        <f>VLOOKUP(A269,Data[],2,FALSE)</f>
        <v>BRONX</v>
      </c>
      <c r="C269" s="9" t="s">
        <v>27</v>
      </c>
      <c r="D269" s="9" t="str">
        <f>VLOOKUP(EHD[[#This Row],[DEVELOPMENT]],Data[],52,FALSE)</f>
        <v>FEDERAL</v>
      </c>
      <c r="E269" s="1">
        <f>VLOOKUP(EHD[[#This Row],[DEVELOPMENT]],Data[],8,FALSE)</f>
        <v>0</v>
      </c>
      <c r="F269" s="9" t="str">
        <f>VLOOKUP(EHD[[#This Row],[DEVELOPMENT]],all[[DEVELOPMENT]:[MRST Ext. Comp. Priority]],6,FALSE)</f>
        <v>None</v>
      </c>
      <c r="G269" s="9">
        <v>8</v>
      </c>
      <c r="H269" s="1">
        <f>IF(VLOOKUP(EHD[[#This Row],[DEVELOPMENT]],Data[],9,FALSE)=0,5,VLOOKUP(EHD[[#This Row],[DEVELOPMENT]],Data[],9,FALSE))</f>
        <v>5</v>
      </c>
      <c r="I269" s="9">
        <f>EHD[[#This Row],[MRST '#HD]]</f>
        <v>8</v>
      </c>
      <c r="J269" s="1" t="str">
        <f ca="1">IFERROR(VLOOKUP(EHD[[#This Row],[DEVELOPMENT]],Data[],4,FALSE),"")</f>
        <v>2026+</v>
      </c>
      <c r="K269" s="1" t="str">
        <f ca="1">IF(EHD[[#This Row],[RAD/PACT]]="","",IF(OR(EHD[[#This Row],[RAD/PACT]]="2021-2025",EHD[[#This Row],[RAD/PACT]]="2019-2020"),"Yes",""))</f>
        <v/>
      </c>
      <c r="L269" s="1"/>
      <c r="M269" s="1"/>
      <c r="N269" s="1"/>
      <c r="O269" s="1"/>
      <c r="P269" s="47">
        <f ca="1">IF(EHD[[#This Row],[RAD/PACT]]="2019-2020",0,INDEX(UnitCosts[],MATCH(EHD[[#This Row],[WORK TYPE]],UnitCosts[Work Type],0),2)*EHD[[#This Row],['# Hopper Doors]])*(1+((EHD[[#This Row],[est. Year]]-YEAR(TODAY()))*$P$2))</f>
        <v>69895.048900000009</v>
      </c>
      <c r="Q269" s="51">
        <f ca="1">SUM(INDEX(EHD['# Hopper Doors],1):EHD[[#This Row],['# Hopper Doors]])</f>
        <v>2650</v>
      </c>
      <c r="R269" s="47">
        <f t="shared" ca="1" si="4"/>
        <v>1406637.8591125002</v>
      </c>
      <c r="S269" s="1">
        <f ca="1">IF(ISBLANK(EHD[[#This Row],[CALENDAR YEAR]]),ROUNDDOWN(EHD[[#This Row],[Running count]]/500,0)+$S$1,EHD[[#This Row],[CALENDAR YEAR]])</f>
        <v>2025</v>
      </c>
      <c r="T269" s="16"/>
    </row>
    <row r="270" spans="1:20">
      <c r="A270" s="13" t="s">
        <v>291</v>
      </c>
      <c r="B270" s="1" t="str">
        <f>VLOOKUP(A270,Data[],2,FALSE)</f>
        <v>BRONX</v>
      </c>
      <c r="C270" s="9" t="s">
        <v>27</v>
      </c>
      <c r="D270" s="9" t="str">
        <f>VLOOKUP(EHD[[#This Row],[DEVELOPMENT]],Data[],52,FALSE)</f>
        <v>FEDERAL</v>
      </c>
      <c r="E270" s="9">
        <f>VLOOKUP(EHD[[#This Row],[DEVELOPMENT]],Data[],8,FALSE)</f>
        <v>0</v>
      </c>
      <c r="F270" s="9" t="str">
        <f>VLOOKUP(EHD[[#This Row],[DEVELOPMENT]],all[[DEVELOPMENT]:[MRST Ext. Comp. Priority]],6,FALSE)</f>
        <v>None</v>
      </c>
      <c r="G270" s="9">
        <v>1</v>
      </c>
      <c r="H270" s="9">
        <f>IF(VLOOKUP(EHD[[#This Row],[DEVELOPMENT]],Data[],9,FALSE)=0,5,VLOOKUP(EHD[[#This Row],[DEVELOPMENT]],Data[],9,FALSE))</f>
        <v>5</v>
      </c>
      <c r="I270" s="9">
        <f>EHD[[#This Row],[MRST '#HD]]</f>
        <v>1</v>
      </c>
      <c r="J270" s="1" t="str">
        <f ca="1">IFERROR(VLOOKUP(EHD[[#This Row],[DEVELOPMENT]],Data[],4,FALSE),"")</f>
        <v/>
      </c>
      <c r="K270" s="1" t="str">
        <f ca="1">IF(EHD[[#This Row],[RAD/PACT]]="","",IF(OR(EHD[[#This Row],[RAD/PACT]]="2021-2025",EHD[[#This Row],[RAD/PACT]]="2019-2020"),"Yes",""))</f>
        <v/>
      </c>
      <c r="L270" s="1"/>
      <c r="M270" s="1"/>
      <c r="N270" s="1"/>
      <c r="O270" s="1"/>
      <c r="P270" s="47">
        <f ca="1">IF(EHD[[#This Row],[RAD/PACT]]="2019-2020",0,INDEX(UnitCosts[],MATCH(EHD[[#This Row],[WORK TYPE]],UnitCosts[Work Type],0),2)*EHD[[#This Row],['# Hopper Doors]])*(1+((EHD[[#This Row],[est. Year]]-YEAR(TODAY()))*$P$2))</f>
        <v>8736.8811125000011</v>
      </c>
      <c r="Q270" s="51">
        <f ca="1">SUM(INDEX(EHD['# Hopper Doors],1):EHD[[#This Row],['# Hopper Doors]])</f>
        <v>2651</v>
      </c>
      <c r="R270" s="47">
        <f t="shared" ca="1" si="4"/>
        <v>1415374.7402250003</v>
      </c>
      <c r="S270" s="1">
        <f ca="1">IF(ISBLANK(EHD[[#This Row],[CALENDAR YEAR]]),ROUNDDOWN(EHD[[#This Row],[Running count]]/500,0)+$S$1,EHD[[#This Row],[CALENDAR YEAR]])</f>
        <v>2025</v>
      </c>
      <c r="T270" s="16"/>
    </row>
    <row r="271" spans="1:20">
      <c r="A271" s="13" t="s">
        <v>349</v>
      </c>
      <c r="B271" s="1" t="str">
        <f>VLOOKUP(A271,Data[],2,FALSE)</f>
        <v>BROOKLYN</v>
      </c>
      <c r="C271" s="9" t="s">
        <v>27</v>
      </c>
      <c r="D271" s="9" t="str">
        <f>VLOOKUP(EHD[[#This Row],[DEVELOPMENT]],Data[],52,FALSE)</f>
        <v>FEDERAL</v>
      </c>
      <c r="E271" s="1">
        <f>VLOOKUP(EHD[[#This Row],[DEVELOPMENT]],Data[],8,FALSE)</f>
        <v>0</v>
      </c>
      <c r="F271" s="9" t="str">
        <f>VLOOKUP(EHD[[#This Row],[DEVELOPMENT]],all[[DEVELOPMENT]:[MRST Ext. Comp. Priority]],6,FALSE)</f>
        <v>None</v>
      </c>
      <c r="G271" s="9">
        <v>3</v>
      </c>
      <c r="H271" s="1">
        <f>IF(VLOOKUP(EHD[[#This Row],[DEVELOPMENT]],Data[],9,FALSE)=0,5,VLOOKUP(EHD[[#This Row],[DEVELOPMENT]],Data[],9,FALSE))</f>
        <v>5</v>
      </c>
      <c r="I271" s="9">
        <f>EHD[[#This Row],[MRST '#HD]]</f>
        <v>3</v>
      </c>
      <c r="J271" s="1" t="str">
        <f ca="1">IFERROR(VLOOKUP(EHD[[#This Row],[DEVELOPMENT]],Data[],4,FALSE),"")</f>
        <v/>
      </c>
      <c r="K271" s="1" t="str">
        <f ca="1">IF(EHD[[#This Row],[RAD/PACT]]="","",IF(OR(EHD[[#This Row],[RAD/PACT]]="2021-2025",EHD[[#This Row],[RAD/PACT]]="2019-2020"),"Yes",""))</f>
        <v/>
      </c>
      <c r="L271" s="1"/>
      <c r="M271" s="1"/>
      <c r="N271" s="1"/>
      <c r="O271" s="1"/>
      <c r="P271" s="47">
        <f ca="1">IF(EHD[[#This Row],[RAD/PACT]]="2019-2020",0,INDEX(UnitCosts[],MATCH(EHD[[#This Row],[WORK TYPE]],UnitCosts[Work Type],0),2)*EHD[[#This Row],['# Hopper Doors]])*(1+((EHD[[#This Row],[est. Year]]-YEAR(TODAY()))*$P$2))</f>
        <v>26210.643337500005</v>
      </c>
      <c r="Q271" s="51">
        <f ca="1">SUM(INDEX(EHD['# Hopper Doors],1):EHD[[#This Row],['# Hopper Doors]])</f>
        <v>2654</v>
      </c>
      <c r="R271" s="47">
        <f t="shared" ca="1" si="4"/>
        <v>1441585.3835625004</v>
      </c>
      <c r="S271" s="1">
        <f ca="1">IF(ISBLANK(EHD[[#This Row],[CALENDAR YEAR]]),ROUNDDOWN(EHD[[#This Row],[Running count]]/500,0)+$S$1,EHD[[#This Row],[CALENDAR YEAR]])</f>
        <v>2025</v>
      </c>
      <c r="T271" s="16"/>
    </row>
    <row r="272" spans="1:20">
      <c r="A272" s="13" t="s">
        <v>327</v>
      </c>
      <c r="B272" s="1" t="str">
        <f>VLOOKUP(A272,Data[],2,FALSE)</f>
        <v>BROOKLYN</v>
      </c>
      <c r="C272" s="9" t="s">
        <v>27</v>
      </c>
      <c r="D272" s="9" t="str">
        <f>VLOOKUP(EHD[[#This Row],[DEVELOPMENT]],Data[],52,FALSE)</f>
        <v>FEDERAL</v>
      </c>
      <c r="E272" s="1">
        <f>VLOOKUP(EHD[[#This Row],[DEVELOPMENT]],Data[],8,FALSE)</f>
        <v>0</v>
      </c>
      <c r="F272" s="9" t="str">
        <f>VLOOKUP(EHD[[#This Row],[DEVELOPMENT]],all[[DEVELOPMENT]:[MRST Ext. Comp. Priority]],6,FALSE)</f>
        <v>None</v>
      </c>
      <c r="G272" s="9">
        <v>15</v>
      </c>
      <c r="H272" s="1">
        <f>IF(VLOOKUP(EHD[[#This Row],[DEVELOPMENT]],Data[],9,FALSE)=0,5,VLOOKUP(EHD[[#This Row],[DEVELOPMENT]],Data[],9,FALSE))</f>
        <v>5</v>
      </c>
      <c r="I272" s="9">
        <f>EHD[[#This Row],[MRST '#HD]]</f>
        <v>15</v>
      </c>
      <c r="J272" s="1" t="str">
        <f ca="1">IFERROR(VLOOKUP(EHD[[#This Row],[DEVELOPMENT]],Data[],4,FALSE),"")</f>
        <v>2026+</v>
      </c>
      <c r="K272" s="1" t="str">
        <f ca="1">IF(EHD[[#This Row],[RAD/PACT]]="","",IF(OR(EHD[[#This Row],[RAD/PACT]]="2021-2025",EHD[[#This Row],[RAD/PACT]]="2019-2020"),"Yes",""))</f>
        <v/>
      </c>
      <c r="L272" s="1"/>
      <c r="M272" s="1"/>
      <c r="N272" s="1"/>
      <c r="O272" s="1"/>
      <c r="P272" s="47">
        <f ca="1">IF(EHD[[#This Row],[RAD/PACT]]="2019-2020",0,INDEX(UnitCosts[],MATCH(EHD[[#This Row],[WORK TYPE]],UnitCosts[Work Type],0),2)*EHD[[#This Row],['# Hopper Doors]])*(1+((EHD[[#This Row],[est. Year]]-YEAR(TODAY()))*$P$2))</f>
        <v>131053.2166875</v>
      </c>
      <c r="Q272" s="51">
        <f ca="1">SUM(INDEX(EHD['# Hopper Doors],1):EHD[[#This Row],['# Hopper Doors]])</f>
        <v>2669</v>
      </c>
      <c r="R272" s="47">
        <f t="shared" ca="1" si="4"/>
        <v>1572638.6002500004</v>
      </c>
      <c r="S272" s="1">
        <f ca="1">IF(ISBLANK(EHD[[#This Row],[CALENDAR YEAR]]),ROUNDDOWN(EHD[[#This Row],[Running count]]/500,0)+$S$1,EHD[[#This Row],[CALENDAR YEAR]])</f>
        <v>2025</v>
      </c>
      <c r="T272" s="16"/>
    </row>
    <row r="273" spans="1:20">
      <c r="A273" s="13" t="s">
        <v>351</v>
      </c>
      <c r="B273" s="1" t="str">
        <f>VLOOKUP(A273,Data[],2,FALSE)</f>
        <v>BROOKLYN</v>
      </c>
      <c r="C273" s="9" t="s">
        <v>27</v>
      </c>
      <c r="D273" s="9" t="str">
        <f>VLOOKUP(EHD[[#This Row],[DEVELOPMENT]],Data[],52,FALSE)</f>
        <v>FEDERAL</v>
      </c>
      <c r="E273" s="1">
        <f>VLOOKUP(EHD[[#This Row],[DEVELOPMENT]],Data[],8,FALSE)</f>
        <v>0</v>
      </c>
      <c r="F273" s="9" t="str">
        <f>VLOOKUP(EHD[[#This Row],[DEVELOPMENT]],all[[DEVELOPMENT]:[MRST Ext. Comp. Priority]],6,FALSE)</f>
        <v>None</v>
      </c>
      <c r="G273" s="9">
        <v>6</v>
      </c>
      <c r="H273" s="1">
        <f>IF(VLOOKUP(EHD[[#This Row],[DEVELOPMENT]],Data[],9,FALSE)=0,5,VLOOKUP(EHD[[#This Row],[DEVELOPMENT]],Data[],9,FALSE))</f>
        <v>5</v>
      </c>
      <c r="I273" s="9">
        <f>EHD[[#This Row],[MRST '#HD]]</f>
        <v>6</v>
      </c>
      <c r="J273" s="1" t="str">
        <f ca="1">IFERROR(VLOOKUP(EHD[[#This Row],[DEVELOPMENT]],Data[],4,FALSE),"")</f>
        <v>2026+</v>
      </c>
      <c r="K273" s="1" t="str">
        <f ca="1">IF(EHD[[#This Row],[RAD/PACT]]="","",IF(OR(EHD[[#This Row],[RAD/PACT]]="2021-2025",EHD[[#This Row],[RAD/PACT]]="2019-2020"),"Yes",""))</f>
        <v/>
      </c>
      <c r="L273" s="1"/>
      <c r="M273" s="1"/>
      <c r="N273" s="1"/>
      <c r="O273" s="1"/>
      <c r="P273" s="47">
        <f ca="1">IF(EHD[[#This Row],[RAD/PACT]]="2019-2020",0,INDEX(UnitCosts[],MATCH(EHD[[#This Row],[WORK TYPE]],UnitCosts[Work Type],0),2)*EHD[[#This Row],['# Hopper Doors]])*(1+((EHD[[#This Row],[est. Year]]-YEAR(TODAY()))*$P$2))</f>
        <v>52421.28667500001</v>
      </c>
      <c r="Q273" s="51">
        <f ca="1">SUM(INDEX(EHD['# Hopper Doors],1):EHD[[#This Row],['# Hopper Doors]])</f>
        <v>2675</v>
      </c>
      <c r="R273" s="47">
        <f t="shared" ca="1" si="4"/>
        <v>1625059.8869250005</v>
      </c>
      <c r="S273" s="1">
        <f ca="1">IF(ISBLANK(EHD[[#This Row],[CALENDAR YEAR]]),ROUNDDOWN(EHD[[#This Row],[Running count]]/500,0)+$S$1,EHD[[#This Row],[CALENDAR YEAR]])</f>
        <v>2025</v>
      </c>
      <c r="T273" s="16"/>
    </row>
    <row r="274" spans="1:20">
      <c r="A274" s="13" t="s">
        <v>314</v>
      </c>
      <c r="B274" s="1" t="str">
        <f>VLOOKUP(A274,Data[],2,FALSE)</f>
        <v>BROOKLYN</v>
      </c>
      <c r="C274" s="9" t="s">
        <v>27</v>
      </c>
      <c r="D274" s="9" t="str">
        <f>VLOOKUP(EHD[[#This Row],[DEVELOPMENT]],Data[],52,FALSE)</f>
        <v>FEDERAL</v>
      </c>
      <c r="E274" s="1" t="str">
        <f>VLOOKUP(EHD[[#This Row],[DEVELOPMENT]],Data[],8,FALSE)</f>
        <v>Zone 4</v>
      </c>
      <c r="F274" s="9" t="str">
        <f>VLOOKUP(EHD[[#This Row],[DEVELOPMENT]],all[[DEVELOPMENT]:[MRST Ext. Comp. Priority]],6,FALSE)</f>
        <v>None</v>
      </c>
      <c r="G274" s="9">
        <v>8</v>
      </c>
      <c r="H274" s="1">
        <f>IF(VLOOKUP(EHD[[#This Row],[DEVELOPMENT]],Data[],9,FALSE)=0,5,VLOOKUP(EHD[[#This Row],[DEVELOPMENT]],Data[],9,FALSE))</f>
        <v>5</v>
      </c>
      <c r="I274" s="9">
        <f>EHD[[#This Row],[MRST '#HD]]</f>
        <v>8</v>
      </c>
      <c r="J274" s="1" t="str">
        <f ca="1">IFERROR(VLOOKUP(EHD[[#This Row],[DEVELOPMENT]],Data[],4,FALSE),"")</f>
        <v>2022-2025</v>
      </c>
      <c r="K274" s="1" t="str">
        <f ca="1">IF(EHD[[#This Row],[RAD/PACT]]="","",IF(OR(EHD[[#This Row],[RAD/PACT]]="2021-2025",EHD[[#This Row],[RAD/PACT]]="2019-2020"),"Yes",""))</f>
        <v/>
      </c>
      <c r="L274" s="1"/>
      <c r="M274" s="1"/>
      <c r="N274" s="1"/>
      <c r="O274" s="1"/>
      <c r="P274" s="47">
        <f ca="1">IF(EHD[[#This Row],[RAD/PACT]]="2019-2020",0,INDEX(UnitCosts[],MATCH(EHD[[#This Row],[WORK TYPE]],UnitCosts[Work Type],0),2)*EHD[[#This Row],['# Hopper Doors]])*(1+((EHD[[#This Row],[est. Year]]-YEAR(TODAY()))*$P$2))</f>
        <v>69895.048900000009</v>
      </c>
      <c r="Q274" s="51">
        <f ca="1">SUM(INDEX(EHD['# Hopper Doors],1):EHD[[#This Row],['# Hopper Doors]])</f>
        <v>2683</v>
      </c>
      <c r="R274" s="47">
        <f t="shared" ca="1" si="4"/>
        <v>1694954.9358250005</v>
      </c>
      <c r="S274" s="1">
        <f ca="1">IF(ISBLANK(EHD[[#This Row],[CALENDAR YEAR]]),ROUNDDOWN(EHD[[#This Row],[Running count]]/500,0)+$S$1,EHD[[#This Row],[CALENDAR YEAR]])</f>
        <v>2025</v>
      </c>
      <c r="T274" s="16"/>
    </row>
    <row r="275" spans="1:20">
      <c r="A275" s="13" t="s">
        <v>350</v>
      </c>
      <c r="B275" s="1" t="str">
        <f>VLOOKUP(A275,Data[],2,FALSE)</f>
        <v>BROOKLYN</v>
      </c>
      <c r="C275" s="9" t="s">
        <v>27</v>
      </c>
      <c r="D275" s="9" t="str">
        <f>VLOOKUP(EHD[[#This Row],[DEVELOPMENT]],Data[],52,FALSE)</f>
        <v>FEDERAL</v>
      </c>
      <c r="E275" s="1">
        <f>VLOOKUP(EHD[[#This Row],[DEVELOPMENT]],Data[],8,FALSE)</f>
        <v>0</v>
      </c>
      <c r="F275" s="9" t="str">
        <f>VLOOKUP(EHD[[#This Row],[DEVELOPMENT]],all[[DEVELOPMENT]:[MRST Ext. Comp. Priority]],6,FALSE)</f>
        <v>None</v>
      </c>
      <c r="G275" s="9">
        <v>6</v>
      </c>
      <c r="H275" s="1">
        <f>IF(VLOOKUP(EHD[[#This Row],[DEVELOPMENT]],Data[],9,FALSE)=0,5,VLOOKUP(EHD[[#This Row],[DEVELOPMENT]],Data[],9,FALSE))</f>
        <v>5</v>
      </c>
      <c r="I275" s="9">
        <f>EHD[[#This Row],[MRST '#HD]]</f>
        <v>6</v>
      </c>
      <c r="J275" s="1" t="str">
        <f ca="1">IFERROR(VLOOKUP(EHD[[#This Row],[DEVELOPMENT]],Data[],4,FALSE),"")</f>
        <v>2022-2025</v>
      </c>
      <c r="K275" s="1" t="str">
        <f ca="1">IF(EHD[[#This Row],[RAD/PACT]]="","",IF(OR(EHD[[#This Row],[RAD/PACT]]="2021-2025",EHD[[#This Row],[RAD/PACT]]="2019-2020"),"Yes",""))</f>
        <v/>
      </c>
      <c r="L275" s="1"/>
      <c r="M275" s="1"/>
      <c r="N275" s="1"/>
      <c r="O275" s="1"/>
      <c r="P275" s="47">
        <f ca="1">IF(EHD[[#This Row],[RAD/PACT]]="2019-2020",0,INDEX(UnitCosts[],MATCH(EHD[[#This Row],[WORK TYPE]],UnitCosts[Work Type],0),2)*EHD[[#This Row],['# Hopper Doors]])*(1+((EHD[[#This Row],[est. Year]]-YEAR(TODAY()))*$P$2))</f>
        <v>52421.28667500001</v>
      </c>
      <c r="Q275" s="51">
        <f ca="1">SUM(INDEX(EHD['# Hopper Doors],1):EHD[[#This Row],['# Hopper Doors]])</f>
        <v>2689</v>
      </c>
      <c r="R275" s="47">
        <f t="shared" ca="1" si="4"/>
        <v>1747376.2225000006</v>
      </c>
      <c r="S275" s="1">
        <f ca="1">IF(ISBLANK(EHD[[#This Row],[CALENDAR YEAR]]),ROUNDDOWN(EHD[[#This Row],[Running count]]/500,0)+$S$1,EHD[[#This Row],[CALENDAR YEAR]])</f>
        <v>2025</v>
      </c>
      <c r="T275" s="16"/>
    </row>
    <row r="276" spans="1:20">
      <c r="A276" s="13" t="s">
        <v>352</v>
      </c>
      <c r="B276" s="1" t="str">
        <f>VLOOKUP(A276,Data[],2,FALSE)</f>
        <v>BROOKLYN</v>
      </c>
      <c r="C276" s="9" t="s">
        <v>27</v>
      </c>
      <c r="D276" s="9" t="str">
        <f>VLOOKUP(EHD[[#This Row],[DEVELOPMENT]],Data[],52,FALSE)</f>
        <v>FEDERAL</v>
      </c>
      <c r="E276" s="1">
        <f>VLOOKUP(EHD[[#This Row],[DEVELOPMENT]],Data[],8,FALSE)</f>
        <v>0</v>
      </c>
      <c r="F276" s="9" t="str">
        <f>VLOOKUP(EHD[[#This Row],[DEVELOPMENT]],all[[DEVELOPMENT]:[MRST Ext. Comp. Priority]],6,FALSE)</f>
        <v>None</v>
      </c>
      <c r="G276" s="9">
        <v>7</v>
      </c>
      <c r="H276" s="1">
        <f>IF(VLOOKUP(EHD[[#This Row],[DEVELOPMENT]],Data[],9,FALSE)=0,5,VLOOKUP(EHD[[#This Row],[DEVELOPMENT]],Data[],9,FALSE))</f>
        <v>5</v>
      </c>
      <c r="I276" s="9">
        <f>EHD[[#This Row],[MRST '#HD]]</f>
        <v>7</v>
      </c>
      <c r="J276" s="1" t="str">
        <f ca="1">IFERROR(VLOOKUP(EHD[[#This Row],[DEVELOPMENT]],Data[],4,FALSE),"")</f>
        <v>2022-2025</v>
      </c>
      <c r="K276" s="1" t="str">
        <f ca="1">IF(EHD[[#This Row],[RAD/PACT]]="","",IF(OR(EHD[[#This Row],[RAD/PACT]]="2021-2025",EHD[[#This Row],[RAD/PACT]]="2019-2020"),"Yes",""))</f>
        <v/>
      </c>
      <c r="L276" s="1"/>
      <c r="M276" s="1"/>
      <c r="N276" s="1"/>
      <c r="O276" s="1"/>
      <c r="P276" s="47">
        <f ca="1">IF(EHD[[#This Row],[RAD/PACT]]="2019-2020",0,INDEX(UnitCosts[],MATCH(EHD[[#This Row],[WORK TYPE]],UnitCosts[Work Type],0),2)*EHD[[#This Row],['# Hopper Doors]])*(1+((EHD[[#This Row],[est. Year]]-YEAR(TODAY()))*$P$2))</f>
        <v>61158.167787500002</v>
      </c>
      <c r="Q276" s="51">
        <f ca="1">SUM(INDEX(EHD['# Hopper Doors],1):EHD[[#This Row],['# Hopper Doors]])</f>
        <v>2696</v>
      </c>
      <c r="R276" s="47">
        <f t="shared" ca="1" si="4"/>
        <v>1808534.3902875006</v>
      </c>
      <c r="S276" s="1">
        <f ca="1">IF(ISBLANK(EHD[[#This Row],[CALENDAR YEAR]]),ROUNDDOWN(EHD[[#This Row],[Running count]]/500,0)+$S$1,EHD[[#This Row],[CALENDAR YEAR]])</f>
        <v>2025</v>
      </c>
      <c r="T276" s="16"/>
    </row>
    <row r="277" spans="1:20">
      <c r="A277" s="13" t="s">
        <v>366</v>
      </c>
      <c r="B277" s="1" t="str">
        <f>VLOOKUP(A277,Data[],2,FALSE)</f>
        <v>BROOKLYN</v>
      </c>
      <c r="C277" s="9" t="s">
        <v>27</v>
      </c>
      <c r="D277" s="9" t="str">
        <f>VLOOKUP(EHD[[#This Row],[DEVELOPMENT]],Data[],52,FALSE)</f>
        <v>FEDERAL</v>
      </c>
      <c r="E277" s="1">
        <f>VLOOKUP(EHD[[#This Row],[DEVELOPMENT]],Data[],8,FALSE)</f>
        <v>0</v>
      </c>
      <c r="F277" s="9" t="str">
        <f>VLOOKUP(EHD[[#This Row],[DEVELOPMENT]],all[[DEVELOPMENT]:[MRST Ext. Comp. Priority]],6,FALSE)</f>
        <v>None</v>
      </c>
      <c r="G277" s="9">
        <v>5</v>
      </c>
      <c r="H277" s="1">
        <f>IF(VLOOKUP(EHD[[#This Row],[DEVELOPMENT]],Data[],9,FALSE)=0,5,VLOOKUP(EHD[[#This Row],[DEVELOPMENT]],Data[],9,FALSE))</f>
        <v>5</v>
      </c>
      <c r="I277" s="9">
        <f>EHD[[#This Row],[MRST '#HD]]</f>
        <v>5</v>
      </c>
      <c r="J277" s="1" t="str">
        <f ca="1">IFERROR(VLOOKUP(EHD[[#This Row],[DEVELOPMENT]],Data[],4,FALSE),"")</f>
        <v>2022-2025</v>
      </c>
      <c r="K277" s="1" t="str">
        <f ca="1">IF(EHD[[#This Row],[RAD/PACT]]="","",IF(OR(EHD[[#This Row],[RAD/PACT]]="2021-2025",EHD[[#This Row],[RAD/PACT]]="2019-2020"),"Yes",""))</f>
        <v/>
      </c>
      <c r="L277" s="1"/>
      <c r="M277" s="1"/>
      <c r="N277" s="1"/>
      <c r="O277" s="1"/>
      <c r="P277" s="47">
        <f ca="1">IF(EHD[[#This Row],[RAD/PACT]]="2019-2020",0,INDEX(UnitCosts[],MATCH(EHD[[#This Row],[WORK TYPE]],UnitCosts[Work Type],0),2)*EHD[[#This Row],['# Hopper Doors]])*(1+((EHD[[#This Row],[est. Year]]-YEAR(TODAY()))*$P$2))</f>
        <v>43684.405562500004</v>
      </c>
      <c r="Q277" s="51">
        <f ca="1">SUM(INDEX(EHD['# Hopper Doors],1):EHD[[#This Row],['# Hopper Doors]])</f>
        <v>2701</v>
      </c>
      <c r="R277" s="47">
        <f t="shared" ca="1" si="4"/>
        <v>1852218.7958500006</v>
      </c>
      <c r="S277" s="1">
        <f ca="1">IF(ISBLANK(EHD[[#This Row],[CALENDAR YEAR]]),ROUNDDOWN(EHD[[#This Row],[Running count]]/500,0)+$S$1,EHD[[#This Row],[CALENDAR YEAR]])</f>
        <v>2025</v>
      </c>
      <c r="T277" s="16"/>
    </row>
    <row r="278" spans="1:20">
      <c r="A278" s="13" t="s">
        <v>328</v>
      </c>
      <c r="B278" s="1" t="str">
        <f>VLOOKUP(A278,Data[],2,FALSE)</f>
        <v>BRONX</v>
      </c>
      <c r="C278" s="9" t="s">
        <v>27</v>
      </c>
      <c r="D278" s="9" t="str">
        <f>VLOOKUP(EHD[[#This Row],[DEVELOPMENT]],Data[],52,FALSE)</f>
        <v>FEDERAL</v>
      </c>
      <c r="E278" s="1">
        <f>VLOOKUP(EHD[[#This Row],[DEVELOPMENT]],Data[],8,FALSE)</f>
        <v>0</v>
      </c>
      <c r="F278" s="9" t="str">
        <f>VLOOKUP(EHD[[#This Row],[DEVELOPMENT]],all[[DEVELOPMENT]:[MRST Ext. Comp. Priority]],6,FALSE)</f>
        <v>None</v>
      </c>
      <c r="G278" s="9">
        <v>6</v>
      </c>
      <c r="H278" s="1">
        <f>IF(VLOOKUP(EHD[[#This Row],[DEVELOPMENT]],Data[],9,FALSE)=0,5,VLOOKUP(EHD[[#This Row],[DEVELOPMENT]],Data[],9,FALSE))</f>
        <v>5</v>
      </c>
      <c r="I278" s="9">
        <f>EHD[[#This Row],[MRST '#HD]]</f>
        <v>6</v>
      </c>
      <c r="J278" s="1" t="str">
        <f ca="1">IFERROR(VLOOKUP(EHD[[#This Row],[DEVELOPMENT]],Data[],4,FALSE),"")</f>
        <v/>
      </c>
      <c r="K278" s="1" t="str">
        <f ca="1">IF(EHD[[#This Row],[RAD/PACT]]="","",IF(OR(EHD[[#This Row],[RAD/PACT]]="2021-2025",EHD[[#This Row],[RAD/PACT]]="2019-2020"),"Yes",""))</f>
        <v/>
      </c>
      <c r="L278" s="1"/>
      <c r="M278" s="1"/>
      <c r="N278" s="1"/>
      <c r="O278" s="1"/>
      <c r="P278" s="47">
        <f ca="1">IF(EHD[[#This Row],[RAD/PACT]]="2019-2020",0,INDEX(UnitCosts[],MATCH(EHD[[#This Row],[WORK TYPE]],UnitCosts[Work Type],0),2)*EHD[[#This Row],['# Hopper Doors]])*(1+((EHD[[#This Row],[est. Year]]-YEAR(TODAY()))*$P$2))</f>
        <v>52421.28667500001</v>
      </c>
      <c r="Q278" s="51">
        <f ca="1">SUM(INDEX(EHD['# Hopper Doors],1):EHD[[#This Row],['# Hopper Doors]])</f>
        <v>2707</v>
      </c>
      <c r="R278" s="47">
        <f t="shared" ca="1" si="4"/>
        <v>1904640.0825250007</v>
      </c>
      <c r="S278" s="1">
        <f ca="1">IF(ISBLANK(EHD[[#This Row],[CALENDAR YEAR]]),ROUNDDOWN(EHD[[#This Row],[Running count]]/500,0)+$S$1,EHD[[#This Row],[CALENDAR YEAR]])</f>
        <v>2025</v>
      </c>
      <c r="T278" s="16"/>
    </row>
    <row r="279" spans="1:20">
      <c r="A279" s="13" t="s">
        <v>353</v>
      </c>
      <c r="B279" s="1" t="str">
        <f>VLOOKUP(A279,Data[],2,FALSE)</f>
        <v>BRONX</v>
      </c>
      <c r="C279" s="9" t="s">
        <v>27</v>
      </c>
      <c r="D279" s="9" t="str">
        <f>VLOOKUP(EHD[[#This Row],[DEVELOPMENT]],Data[],52,FALSE)</f>
        <v>FEDERAL</v>
      </c>
      <c r="E279" s="1">
        <f>VLOOKUP(EHD[[#This Row],[DEVELOPMENT]],Data[],8,FALSE)</f>
        <v>0</v>
      </c>
      <c r="F279" s="9" t="str">
        <f>VLOOKUP(EHD[[#This Row],[DEVELOPMENT]],all[[DEVELOPMENT]:[MRST Ext. Comp. Priority]],6,FALSE)</f>
        <v>None</v>
      </c>
      <c r="G279" s="9">
        <v>20</v>
      </c>
      <c r="H279" s="1">
        <f>IF(VLOOKUP(EHD[[#This Row],[DEVELOPMENT]],Data[],9,FALSE)=0,5,VLOOKUP(EHD[[#This Row],[DEVELOPMENT]],Data[],9,FALSE))</f>
        <v>5</v>
      </c>
      <c r="I279" s="9">
        <f>EHD[[#This Row],[MRST '#HD]]</f>
        <v>20</v>
      </c>
      <c r="J279" s="1" t="str">
        <f ca="1">IFERROR(VLOOKUP(EHD[[#This Row],[DEVELOPMENT]],Data[],4,FALSE),"")</f>
        <v>2026+</v>
      </c>
      <c r="K279" s="1" t="str">
        <f ca="1">IF(EHD[[#This Row],[RAD/PACT]]="","",IF(OR(EHD[[#This Row],[RAD/PACT]]="2021-2025",EHD[[#This Row],[RAD/PACT]]="2019-2020"),"Yes",""))</f>
        <v/>
      </c>
      <c r="L279" s="1"/>
      <c r="M279" s="1"/>
      <c r="N279" s="1"/>
      <c r="O279" s="1"/>
      <c r="P279" s="47">
        <f ca="1">IF(EHD[[#This Row],[RAD/PACT]]="2019-2020",0,INDEX(UnitCosts[],MATCH(EHD[[#This Row],[WORK TYPE]],UnitCosts[Work Type],0),2)*EHD[[#This Row],['# Hopper Doors]])*(1+((EHD[[#This Row],[est. Year]]-YEAR(TODAY()))*$P$2))</f>
        <v>174737.62225000001</v>
      </c>
      <c r="Q279" s="51">
        <f ca="1">SUM(INDEX(EHD['# Hopper Doors],1):EHD[[#This Row],['# Hopper Doors]])</f>
        <v>2727</v>
      </c>
      <c r="R279" s="47">
        <f t="shared" ca="1" si="4"/>
        <v>2079377.7047750007</v>
      </c>
      <c r="S279" s="1">
        <f ca="1">IF(ISBLANK(EHD[[#This Row],[CALENDAR YEAR]]),ROUNDDOWN(EHD[[#This Row],[Running count]]/500,0)+$S$1,EHD[[#This Row],[CALENDAR YEAR]])</f>
        <v>2025</v>
      </c>
      <c r="T279" s="16"/>
    </row>
    <row r="280" spans="1:20">
      <c r="A280" s="13" t="s">
        <v>354</v>
      </c>
      <c r="B280" s="1" t="str">
        <f>VLOOKUP(A280,Data[],2,FALSE)</f>
        <v>BROOKLYN</v>
      </c>
      <c r="C280" s="9" t="s">
        <v>27</v>
      </c>
      <c r="D280" s="9" t="str">
        <f>VLOOKUP(EHD[[#This Row],[DEVELOPMENT]],Data[],52,FALSE)</f>
        <v>FEDERAL</v>
      </c>
      <c r="E280" s="1">
        <f>VLOOKUP(EHD[[#This Row],[DEVELOPMENT]],Data[],8,FALSE)</f>
        <v>0</v>
      </c>
      <c r="F280" s="9" t="str">
        <f>VLOOKUP(EHD[[#This Row],[DEVELOPMENT]],all[[DEVELOPMENT]:[MRST Ext. Comp. Priority]],6,FALSE)</f>
        <v>None</v>
      </c>
      <c r="G280" s="9">
        <v>3</v>
      </c>
      <c r="H280" s="1">
        <f>IF(VLOOKUP(EHD[[#This Row],[DEVELOPMENT]],Data[],9,FALSE)=0,5,VLOOKUP(EHD[[#This Row],[DEVELOPMENT]],Data[],9,FALSE))</f>
        <v>5</v>
      </c>
      <c r="I280" s="9">
        <f>EHD[[#This Row],[MRST '#HD]]</f>
        <v>3</v>
      </c>
      <c r="J280" s="1" t="str">
        <f ca="1">IFERROR(VLOOKUP(EHD[[#This Row],[DEVELOPMENT]],Data[],4,FALSE),"")</f>
        <v/>
      </c>
      <c r="K280" s="1" t="str">
        <f ca="1">IF(EHD[[#This Row],[RAD/PACT]]="","",IF(OR(EHD[[#This Row],[RAD/PACT]]="2021-2025",EHD[[#This Row],[RAD/PACT]]="2019-2020"),"Yes",""))</f>
        <v/>
      </c>
      <c r="L280" s="1"/>
      <c r="M280" s="1"/>
      <c r="N280" s="1"/>
      <c r="O280" s="1"/>
      <c r="P280" s="47">
        <f ca="1">IF(EHD[[#This Row],[RAD/PACT]]="2019-2020",0,INDEX(UnitCosts[],MATCH(EHD[[#This Row],[WORK TYPE]],UnitCosts[Work Type],0),2)*EHD[[#This Row],['# Hopper Doors]])*(1+((EHD[[#This Row],[est. Year]]-YEAR(TODAY()))*$P$2))</f>
        <v>26210.643337500005</v>
      </c>
      <c r="Q280" s="51">
        <f ca="1">SUM(INDEX(EHD['# Hopper Doors],1):EHD[[#This Row],['# Hopper Doors]])</f>
        <v>2730</v>
      </c>
      <c r="R280" s="47">
        <f t="shared" ca="1" si="4"/>
        <v>2105588.3481125007</v>
      </c>
      <c r="S280" s="1">
        <f ca="1">IF(ISBLANK(EHD[[#This Row],[CALENDAR YEAR]]),ROUNDDOWN(EHD[[#This Row],[Running count]]/500,0)+$S$1,EHD[[#This Row],[CALENDAR YEAR]])</f>
        <v>2025</v>
      </c>
      <c r="T280" s="16"/>
    </row>
    <row r="281" spans="1:20">
      <c r="A281" s="13" t="s">
        <v>292</v>
      </c>
      <c r="B281" s="1" t="str">
        <f>VLOOKUP(A281,Data[],2,FALSE)</f>
        <v>BROOKLYN</v>
      </c>
      <c r="C281" s="9" t="s">
        <v>27</v>
      </c>
      <c r="D281" s="9" t="str">
        <f>VLOOKUP(EHD[[#This Row],[DEVELOPMENT]],Data[],52,FALSE)</f>
        <v>FEDERAL</v>
      </c>
      <c r="E281" s="1">
        <f>VLOOKUP(EHD[[#This Row],[DEVELOPMENT]],Data[],8,FALSE)</f>
        <v>0</v>
      </c>
      <c r="F281" s="9" t="str">
        <f>VLOOKUP(EHD[[#This Row],[DEVELOPMENT]],all[[DEVELOPMENT]:[MRST Ext. Comp. Priority]],6,FALSE)</f>
        <v>None</v>
      </c>
      <c r="G281" s="9">
        <v>1</v>
      </c>
      <c r="H281" s="1">
        <f>IF(VLOOKUP(EHD[[#This Row],[DEVELOPMENT]],Data[],9,FALSE)=0,5,VLOOKUP(EHD[[#This Row],[DEVELOPMENT]],Data[],9,FALSE))</f>
        <v>5</v>
      </c>
      <c r="I281" s="9">
        <f>EHD[[#This Row],[MRST '#HD]]</f>
        <v>1</v>
      </c>
      <c r="J281" s="1" t="str">
        <f ca="1">IFERROR(VLOOKUP(EHD[[#This Row],[DEVELOPMENT]],Data[],4,FALSE),"")</f>
        <v>2020-2021</v>
      </c>
      <c r="K281" s="1" t="str">
        <f ca="1">IF(EHD[[#This Row],[RAD/PACT]]="","",IF(OR(EHD[[#This Row],[RAD/PACT]]="2021-2025",EHD[[#This Row],[RAD/PACT]]="2019-2020"),"Yes",""))</f>
        <v/>
      </c>
      <c r="L281" s="1"/>
      <c r="M281" s="1"/>
      <c r="N281" s="1"/>
      <c r="O281" s="1"/>
      <c r="P281" s="47">
        <f ca="1">IF(EHD[[#This Row],[RAD/PACT]]="2019-2020",0,INDEX(UnitCosts[],MATCH(EHD[[#This Row],[WORK TYPE]],UnitCosts[Work Type],0),2)*EHD[[#This Row],['# Hopper Doors]])*(1+((EHD[[#This Row],[est. Year]]-YEAR(TODAY()))*$P$2))</f>
        <v>8736.8811125000011</v>
      </c>
      <c r="Q281" s="51">
        <f ca="1">SUM(INDEX(EHD['# Hopper Doors],1):EHD[[#This Row],['# Hopper Doors]])</f>
        <v>2731</v>
      </c>
      <c r="R281" s="47">
        <f t="shared" ca="1" si="4"/>
        <v>2114325.2292250008</v>
      </c>
      <c r="S281" s="1">
        <f ca="1">IF(ISBLANK(EHD[[#This Row],[CALENDAR YEAR]]),ROUNDDOWN(EHD[[#This Row],[Running count]]/500,0)+$S$1,EHD[[#This Row],[CALENDAR YEAR]])</f>
        <v>2025</v>
      </c>
      <c r="T281" s="16"/>
    </row>
    <row r="282" spans="1:20">
      <c r="A282" s="110" t="s">
        <v>318</v>
      </c>
      <c r="B282" s="1" t="str">
        <f>VLOOKUP(A282,Data[],2,FALSE)</f>
        <v>BROOKLYN</v>
      </c>
      <c r="C282" s="9" t="s">
        <v>27</v>
      </c>
      <c r="D282" s="9" t="str">
        <f>VLOOKUP(EHD[[#This Row],[DEVELOPMENT]],Data[],52,FALSE)</f>
        <v>FEDERAL</v>
      </c>
      <c r="E282" s="1">
        <f>VLOOKUP(EHD[[#This Row],[DEVELOPMENT]],Data[],8,FALSE)</f>
        <v>0</v>
      </c>
      <c r="F282" s="9" t="str">
        <f>VLOOKUP(EHD[[#This Row],[DEVELOPMENT]],all[[DEVELOPMENT]:[MRST Ext. Comp. Priority]],6,FALSE)</f>
        <v>None</v>
      </c>
      <c r="G282" s="9">
        <v>0</v>
      </c>
      <c r="H282" s="1">
        <f>IF(VLOOKUP(EHD[[#This Row],[DEVELOPMENT]],Data[],9,FALSE)=0,5,VLOOKUP(EHD[[#This Row],[DEVELOPMENT]],Data[],9,FALSE))</f>
        <v>5</v>
      </c>
      <c r="I282" s="9">
        <f>EHD[[#This Row],[MRST '#HD]]</f>
        <v>0</v>
      </c>
      <c r="J282" s="1" t="str">
        <f ca="1">IFERROR(VLOOKUP(EHD[[#This Row],[DEVELOPMENT]],Data[],4,FALSE),"")</f>
        <v>2020-2021</v>
      </c>
      <c r="K282" s="1" t="str">
        <f ca="1">IF(EHD[[#This Row],[RAD/PACT]]="","",IF(OR(EHD[[#This Row],[RAD/PACT]]="2021-2025",EHD[[#This Row],[RAD/PACT]]="2019-2020"),"Yes",""))</f>
        <v/>
      </c>
      <c r="L282" s="1"/>
      <c r="M282" s="1"/>
      <c r="N282" s="1"/>
      <c r="O282" s="1"/>
      <c r="P282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82" s="51">
        <f ca="1">SUM(INDEX(EHD['# Hopper Doors],1):EHD[[#This Row],['# Hopper Doors]])</f>
        <v>2731</v>
      </c>
      <c r="R282" s="47">
        <f t="shared" ca="1" si="4"/>
        <v>2114325.2292250008</v>
      </c>
      <c r="S282" s="1">
        <f ca="1">IF(ISBLANK(EHD[[#This Row],[CALENDAR YEAR]]),ROUNDDOWN(EHD[[#This Row],[Running count]]/500,0)+$S$1,EHD[[#This Row],[CALENDAR YEAR]])</f>
        <v>2025</v>
      </c>
      <c r="T282" s="16"/>
    </row>
    <row r="283" spans="1:20">
      <c r="A283" s="13" t="s">
        <v>340</v>
      </c>
      <c r="B283" s="1" t="str">
        <f>VLOOKUP(A283,Data[],2,FALSE)</f>
        <v>BROOKLYN</v>
      </c>
      <c r="C283" s="9" t="s">
        <v>27</v>
      </c>
      <c r="D283" s="9" t="str">
        <f>VLOOKUP(EHD[[#This Row],[DEVELOPMENT]],Data[],52,FALSE)</f>
        <v>FEDERAL</v>
      </c>
      <c r="E283" s="1">
        <f>VLOOKUP(EHD[[#This Row],[DEVELOPMENT]],Data[],8,FALSE)</f>
        <v>0</v>
      </c>
      <c r="F283" s="9" t="str">
        <f>VLOOKUP(EHD[[#This Row],[DEVELOPMENT]],all[[DEVELOPMENT]:[MRST Ext. Comp. Priority]],6,FALSE)</f>
        <v>None</v>
      </c>
      <c r="G283" s="9">
        <v>3</v>
      </c>
      <c r="H283" s="1">
        <f>IF(VLOOKUP(EHD[[#This Row],[DEVELOPMENT]],Data[],9,FALSE)=0,5,VLOOKUP(EHD[[#This Row],[DEVELOPMENT]],Data[],9,FALSE))</f>
        <v>5</v>
      </c>
      <c r="I283" s="9">
        <f>EHD[[#This Row],[MRST '#HD]]</f>
        <v>3</v>
      </c>
      <c r="J283" s="1" t="str">
        <f ca="1">IFERROR(VLOOKUP(EHD[[#This Row],[DEVELOPMENT]],Data[],4,FALSE),"")</f>
        <v>2020-2021</v>
      </c>
      <c r="K283" s="1" t="str">
        <f ca="1">IF(EHD[[#This Row],[RAD/PACT]]="","",IF(OR(EHD[[#This Row],[RAD/PACT]]="2021-2025",EHD[[#This Row],[RAD/PACT]]="2019-2020"),"Yes",""))</f>
        <v/>
      </c>
      <c r="L283" s="1"/>
      <c r="M283" s="1"/>
      <c r="N283" s="1"/>
      <c r="O283" s="1"/>
      <c r="P283" s="47">
        <f ca="1">IF(EHD[[#This Row],[RAD/PACT]]="2019-2020",0,INDEX(UnitCosts[],MATCH(EHD[[#This Row],[WORK TYPE]],UnitCosts[Work Type],0),2)*EHD[[#This Row],['# Hopper Doors]])*(1+((EHD[[#This Row],[est. Year]]-YEAR(TODAY()))*$P$2))</f>
        <v>26210.643337500005</v>
      </c>
      <c r="Q283" s="51">
        <f ca="1">SUM(INDEX(EHD['# Hopper Doors],1):EHD[[#This Row],['# Hopper Doors]])</f>
        <v>2734</v>
      </c>
      <c r="R283" s="47">
        <f t="shared" ca="1" si="4"/>
        <v>2140535.8725625006</v>
      </c>
      <c r="S283" s="1">
        <f ca="1">IF(ISBLANK(EHD[[#This Row],[CALENDAR YEAR]]),ROUNDDOWN(EHD[[#This Row],[Running count]]/500,0)+$S$1,EHD[[#This Row],[CALENDAR YEAR]])</f>
        <v>2025</v>
      </c>
      <c r="T283" s="16"/>
    </row>
    <row r="284" spans="1:20">
      <c r="A284" s="13" t="s">
        <v>355</v>
      </c>
      <c r="B284" s="1" t="str">
        <f>VLOOKUP(A284,Data[],2,FALSE)</f>
        <v>BROOKLYN</v>
      </c>
      <c r="C284" s="9" t="s">
        <v>27</v>
      </c>
      <c r="D284" s="9" t="str">
        <f>VLOOKUP(EHD[[#This Row],[DEVELOPMENT]],Data[],52,FALSE)</f>
        <v>FEDERAL</v>
      </c>
      <c r="E284" s="1">
        <f>VLOOKUP(EHD[[#This Row],[DEVELOPMENT]],Data[],8,FALSE)</f>
        <v>0</v>
      </c>
      <c r="F284" s="9" t="str">
        <f>VLOOKUP(EHD[[#This Row],[DEVELOPMENT]],all[[DEVELOPMENT]:[MRST Ext. Comp. Priority]],6,FALSE)</f>
        <v>None</v>
      </c>
      <c r="G284" s="9">
        <v>5</v>
      </c>
      <c r="H284" s="1">
        <f>IF(VLOOKUP(EHD[[#This Row],[DEVELOPMENT]],Data[],9,FALSE)=0,5,VLOOKUP(EHD[[#This Row],[DEVELOPMENT]],Data[],9,FALSE))</f>
        <v>5</v>
      </c>
      <c r="I284" s="9">
        <f>EHD[[#This Row],[MRST '#HD]]</f>
        <v>5</v>
      </c>
      <c r="J284" s="1" t="str">
        <f ca="1">IFERROR(VLOOKUP(EHD[[#This Row],[DEVELOPMENT]],Data[],4,FALSE),"")</f>
        <v>2020-2021</v>
      </c>
      <c r="K284" s="1" t="str">
        <f ca="1">IF(EHD[[#This Row],[RAD/PACT]]="","",IF(OR(EHD[[#This Row],[RAD/PACT]]="2021-2025",EHD[[#This Row],[RAD/PACT]]="2019-2020"),"Yes",""))</f>
        <v/>
      </c>
      <c r="L284" s="1"/>
      <c r="M284" s="1"/>
      <c r="N284" s="1"/>
      <c r="O284" s="1"/>
      <c r="P284" s="47">
        <f ca="1">IF(EHD[[#This Row],[RAD/PACT]]="2019-2020",0,INDEX(UnitCosts[],MATCH(EHD[[#This Row],[WORK TYPE]],UnitCosts[Work Type],0),2)*EHD[[#This Row],['# Hopper Doors]])*(1+((EHD[[#This Row],[est. Year]]-YEAR(TODAY()))*$P$2))</f>
        <v>43684.405562500004</v>
      </c>
      <c r="Q284" s="51">
        <f ca="1">SUM(INDEX(EHD['# Hopper Doors],1):EHD[[#This Row],['# Hopper Doors]])</f>
        <v>2739</v>
      </c>
      <c r="R284" s="47">
        <f t="shared" ca="1" si="4"/>
        <v>2184220.2781250007</v>
      </c>
      <c r="S284" s="1">
        <f ca="1">IF(ISBLANK(EHD[[#This Row],[CALENDAR YEAR]]),ROUNDDOWN(EHD[[#This Row],[Running count]]/500,0)+$S$1,EHD[[#This Row],[CALENDAR YEAR]])</f>
        <v>2025</v>
      </c>
      <c r="T284" s="16"/>
    </row>
    <row r="285" spans="1:20">
      <c r="A285" s="13" t="s">
        <v>368</v>
      </c>
      <c r="B285" s="1" t="str">
        <f>VLOOKUP(A285,Data[],2,FALSE)</f>
        <v>BROOKLYN</v>
      </c>
      <c r="C285" s="9" t="s">
        <v>27</v>
      </c>
      <c r="D285" s="9" t="str">
        <f>VLOOKUP(EHD[[#This Row],[DEVELOPMENT]],Data[],52,FALSE)</f>
        <v>FEDERAL</v>
      </c>
      <c r="E285" s="1">
        <f>VLOOKUP(EHD[[#This Row],[DEVELOPMENT]],Data[],8,FALSE)</f>
        <v>0</v>
      </c>
      <c r="F285" s="9" t="str">
        <f>VLOOKUP(EHD[[#This Row],[DEVELOPMENT]],all[[DEVELOPMENT]:[MRST Ext. Comp. Priority]],6,FALSE)</f>
        <v>None</v>
      </c>
      <c r="G285" s="9">
        <v>6</v>
      </c>
      <c r="H285" s="1">
        <f>IF(VLOOKUP(EHD[[#This Row],[DEVELOPMENT]],Data[],9,FALSE)=0,5,VLOOKUP(EHD[[#This Row],[DEVELOPMENT]],Data[],9,FALSE))</f>
        <v>5</v>
      </c>
      <c r="I285" s="9">
        <f>EHD[[#This Row],[MRST '#HD]]</f>
        <v>6</v>
      </c>
      <c r="J285" s="1" t="str">
        <f ca="1">IFERROR(VLOOKUP(EHD[[#This Row],[DEVELOPMENT]],Data[],4,FALSE),"")</f>
        <v>2020-2021</v>
      </c>
      <c r="K285" s="1" t="str">
        <f ca="1">IF(EHD[[#This Row],[RAD/PACT]]="","",IF(OR(EHD[[#This Row],[RAD/PACT]]="2021-2025",EHD[[#This Row],[RAD/PACT]]="2019-2020"),"Yes",""))</f>
        <v/>
      </c>
      <c r="L285" s="1"/>
      <c r="M285" s="1"/>
      <c r="N285" s="1"/>
      <c r="O285" s="1"/>
      <c r="P285" s="47">
        <f ca="1">IF(EHD[[#This Row],[RAD/PACT]]="2019-2020",0,INDEX(UnitCosts[],MATCH(EHD[[#This Row],[WORK TYPE]],UnitCosts[Work Type],0),2)*EHD[[#This Row],['# Hopper Doors]])*(1+((EHD[[#This Row],[est. Year]]-YEAR(TODAY()))*$P$2))</f>
        <v>52421.28667500001</v>
      </c>
      <c r="Q285" s="51">
        <f ca="1">SUM(INDEX(EHD['# Hopper Doors],1):EHD[[#This Row],['# Hopper Doors]])</f>
        <v>2745</v>
      </c>
      <c r="R285" s="47">
        <f t="shared" ca="1" si="4"/>
        <v>2236641.5648000007</v>
      </c>
      <c r="S285" s="1">
        <f ca="1">IF(ISBLANK(EHD[[#This Row],[CALENDAR YEAR]]),ROUNDDOWN(EHD[[#This Row],[Running count]]/500,0)+$S$1,EHD[[#This Row],[CALENDAR YEAR]])</f>
        <v>2025</v>
      </c>
      <c r="T285" s="16"/>
    </row>
    <row r="286" spans="1:20">
      <c r="A286" s="13" t="s">
        <v>369</v>
      </c>
      <c r="B286" s="1" t="str">
        <f>VLOOKUP(A286,Data[],2,FALSE)</f>
        <v>BROOKLYN</v>
      </c>
      <c r="C286" s="9" t="s">
        <v>27</v>
      </c>
      <c r="D286" s="9" t="str">
        <f>VLOOKUP(EHD[[#This Row],[DEVELOPMENT]],Data[],52,FALSE)</f>
        <v>FEDERAL</v>
      </c>
      <c r="E286" s="1">
        <f>VLOOKUP(EHD[[#This Row],[DEVELOPMENT]],Data[],8,FALSE)</f>
        <v>0</v>
      </c>
      <c r="F286" s="9" t="str">
        <f>VLOOKUP(EHD[[#This Row],[DEVELOPMENT]],all[[DEVELOPMENT]:[MRST Ext. Comp. Priority]],6,FALSE)</f>
        <v>None</v>
      </c>
      <c r="G286" s="9">
        <v>8</v>
      </c>
      <c r="H286" s="1">
        <f>IF(VLOOKUP(EHD[[#This Row],[DEVELOPMENT]],Data[],9,FALSE)=0,5,VLOOKUP(EHD[[#This Row],[DEVELOPMENT]],Data[],9,FALSE))</f>
        <v>5</v>
      </c>
      <c r="I286" s="9">
        <f>EHD[[#This Row],[MRST '#HD]]</f>
        <v>8</v>
      </c>
      <c r="J286" s="1" t="str">
        <f ca="1">IFERROR(VLOOKUP(EHD[[#This Row],[DEVELOPMENT]],Data[],4,FALSE),"")</f>
        <v>2020-2021</v>
      </c>
      <c r="K286" s="1" t="str">
        <f ca="1">IF(EHD[[#This Row],[RAD/PACT]]="","",IF(OR(EHD[[#This Row],[RAD/PACT]]="2021-2025",EHD[[#This Row],[RAD/PACT]]="2019-2020"),"Yes",""))</f>
        <v/>
      </c>
      <c r="L286" s="1"/>
      <c r="M286" s="1"/>
      <c r="N286" s="1"/>
      <c r="O286" s="1"/>
      <c r="P286" s="47">
        <f ca="1">IF(EHD[[#This Row],[RAD/PACT]]="2019-2020",0,INDEX(UnitCosts[],MATCH(EHD[[#This Row],[WORK TYPE]],UnitCosts[Work Type],0),2)*EHD[[#This Row],['# Hopper Doors]])*(1+((EHD[[#This Row],[est. Year]]-YEAR(TODAY()))*$P$2))</f>
        <v>69895.048900000009</v>
      </c>
      <c r="Q286" s="51">
        <f ca="1">SUM(INDEX(EHD['# Hopper Doors],1):EHD[[#This Row],['# Hopper Doors]])</f>
        <v>2753</v>
      </c>
      <c r="R286" s="47">
        <f t="shared" ca="1" si="4"/>
        <v>2306536.6137000006</v>
      </c>
      <c r="S286" s="1">
        <f ca="1">IF(ISBLANK(EHD[[#This Row],[CALENDAR YEAR]]),ROUNDDOWN(EHD[[#This Row],[Running count]]/500,0)+$S$1,EHD[[#This Row],[CALENDAR YEAR]])</f>
        <v>2025</v>
      </c>
      <c r="T286" s="16"/>
    </row>
    <row r="287" spans="1:20">
      <c r="A287" s="13" t="s">
        <v>357</v>
      </c>
      <c r="B287" s="1" t="str">
        <f>VLOOKUP(A287,Data[],2,FALSE)</f>
        <v>STATEN ISLAND</v>
      </c>
      <c r="C287" s="9" t="s">
        <v>27</v>
      </c>
      <c r="D287" s="9" t="str">
        <f>VLOOKUP(EHD[[#This Row],[DEVELOPMENT]],Data[],52,FALSE)</f>
        <v>FEDERAL</v>
      </c>
      <c r="E287" s="1">
        <f>VLOOKUP(EHD[[#This Row],[DEVELOPMENT]],Data[],8,FALSE)</f>
        <v>0</v>
      </c>
      <c r="F287" s="9" t="str">
        <f>VLOOKUP(EHD[[#This Row],[DEVELOPMENT]],all[[DEVELOPMENT]:[MRST Ext. Comp. Priority]],6,FALSE)</f>
        <v>None</v>
      </c>
      <c r="G287" s="9">
        <v>6</v>
      </c>
      <c r="H287" s="1">
        <f>IF(VLOOKUP(EHD[[#This Row],[DEVELOPMENT]],Data[],9,FALSE)=0,5,VLOOKUP(EHD[[#This Row],[DEVELOPMENT]],Data[],9,FALSE))</f>
        <v>5</v>
      </c>
      <c r="I287" s="9">
        <f>EHD[[#This Row],[MRST '#HD]]</f>
        <v>6</v>
      </c>
      <c r="J287" s="1" t="str">
        <f ca="1">IFERROR(VLOOKUP(EHD[[#This Row],[DEVELOPMENT]],Data[],4,FALSE),"")</f>
        <v/>
      </c>
      <c r="K287" s="1" t="str">
        <f ca="1">IF(EHD[[#This Row],[RAD/PACT]]="","",IF(OR(EHD[[#This Row],[RAD/PACT]]="2021-2025",EHD[[#This Row],[RAD/PACT]]="2019-2020"),"Yes",""))</f>
        <v/>
      </c>
      <c r="L287" s="1"/>
      <c r="M287" s="1"/>
      <c r="N287" s="1"/>
      <c r="O287" s="1"/>
      <c r="P287" s="47">
        <f ca="1">IF(EHD[[#This Row],[RAD/PACT]]="2019-2020",0,INDEX(UnitCosts[],MATCH(EHD[[#This Row],[WORK TYPE]],UnitCosts[Work Type],0),2)*EHD[[#This Row],['# Hopper Doors]])*(1+((EHD[[#This Row],[est. Year]]-YEAR(TODAY()))*$P$2))</f>
        <v>52421.28667500001</v>
      </c>
      <c r="Q287" s="51">
        <f ca="1">SUM(INDEX(EHD['# Hopper Doors],1):EHD[[#This Row],['# Hopper Doors]])</f>
        <v>2759</v>
      </c>
      <c r="R287" s="47">
        <f t="shared" ca="1" si="4"/>
        <v>2358957.9003750007</v>
      </c>
      <c r="S287" s="1">
        <f ca="1">IF(ISBLANK(EHD[[#This Row],[CALENDAR YEAR]]),ROUNDDOWN(EHD[[#This Row],[Running count]]/500,0)+$S$1,EHD[[#This Row],[CALENDAR YEAR]])</f>
        <v>2025</v>
      </c>
      <c r="T287" s="16"/>
    </row>
    <row r="288" spans="1:20">
      <c r="A288" s="13" t="s">
        <v>310</v>
      </c>
      <c r="B288" s="1" t="str">
        <f>VLOOKUP(A288,Data[],2,FALSE)</f>
        <v>BRONX</v>
      </c>
      <c r="C288" s="9" t="s">
        <v>27</v>
      </c>
      <c r="D288" s="9" t="str">
        <f>VLOOKUP(EHD[[#This Row],[DEVELOPMENT]],Data[],52,FALSE)</f>
        <v>FEDERAL</v>
      </c>
      <c r="E288" s="1">
        <f>VLOOKUP(EHD[[#This Row],[DEVELOPMENT]],Data[],8,FALSE)</f>
        <v>0</v>
      </c>
      <c r="F288" s="9" t="str">
        <f>VLOOKUP(EHD[[#This Row],[DEVELOPMENT]],all[[DEVELOPMENT]:[MRST Ext. Comp. Priority]],6,FALSE)</f>
        <v>None</v>
      </c>
      <c r="G288" s="9">
        <v>0</v>
      </c>
      <c r="H288" s="1">
        <f>IF(VLOOKUP(EHD[[#This Row],[DEVELOPMENT]],Data[],9,FALSE)=0,5,VLOOKUP(EHD[[#This Row],[DEVELOPMENT]],Data[],9,FALSE))</f>
        <v>5</v>
      </c>
      <c r="I288" s="9">
        <f>EHD[[#This Row],[MRST '#HD]]</f>
        <v>0</v>
      </c>
      <c r="J288" s="1" t="str">
        <f ca="1">IFERROR(VLOOKUP(EHD[[#This Row],[DEVELOPMENT]],Data[],4,FALSE),"")</f>
        <v>2022-2025</v>
      </c>
      <c r="K288" s="1" t="str">
        <f ca="1">IF(EHD[[#This Row],[RAD/PACT]]="","",IF(OR(EHD[[#This Row],[RAD/PACT]]="2021-2025",EHD[[#This Row],[RAD/PACT]]="2019-2020"),"Yes",""))</f>
        <v/>
      </c>
      <c r="L288" s="1"/>
      <c r="M288" s="1"/>
      <c r="N288" s="1"/>
      <c r="O288" s="1"/>
      <c r="P288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288" s="51">
        <f ca="1">SUM(INDEX(EHD['# Hopper Doors],1):EHD[[#This Row],['# Hopper Doors]])</f>
        <v>2759</v>
      </c>
      <c r="R288" s="47">
        <f t="shared" ca="1" si="4"/>
        <v>2358957.9003750007</v>
      </c>
      <c r="S288" s="1">
        <f ca="1">IF(ISBLANK(EHD[[#This Row],[CALENDAR YEAR]]),ROUNDDOWN(EHD[[#This Row],[Running count]]/500,0)+$S$1,EHD[[#This Row],[CALENDAR YEAR]])</f>
        <v>2025</v>
      </c>
      <c r="T288" s="16"/>
    </row>
    <row r="289" spans="1:20">
      <c r="A289" s="13" t="s">
        <v>361</v>
      </c>
      <c r="B289" s="1" t="str">
        <f>VLOOKUP(A289,Data[],2,FALSE)</f>
        <v>BRONX</v>
      </c>
      <c r="C289" s="9" t="s">
        <v>27</v>
      </c>
      <c r="D289" s="9" t="str">
        <f>VLOOKUP(EHD[[#This Row],[DEVELOPMENT]],Data[],52,FALSE)</f>
        <v>FEDERAL</v>
      </c>
      <c r="E289" s="1">
        <f>VLOOKUP(EHD[[#This Row],[DEVELOPMENT]],Data[],8,FALSE)</f>
        <v>0</v>
      </c>
      <c r="F289" s="9" t="str">
        <f>VLOOKUP(EHD[[#This Row],[DEVELOPMENT]],all[[DEVELOPMENT]:[MRST Ext. Comp. Priority]],6,FALSE)</f>
        <v>None</v>
      </c>
      <c r="G289" s="109">
        <v>7</v>
      </c>
      <c r="H289" s="1">
        <f>IF(VLOOKUP(EHD[[#This Row],[DEVELOPMENT]],Data[],9,FALSE)=0,5,VLOOKUP(EHD[[#This Row],[DEVELOPMENT]],Data[],9,FALSE))</f>
        <v>5</v>
      </c>
      <c r="I289" s="9">
        <f>EHD[[#This Row],[MRST '#HD]]</f>
        <v>7</v>
      </c>
      <c r="J289" s="1" t="str">
        <f ca="1">IFERROR(VLOOKUP(EHD[[#This Row],[DEVELOPMENT]],Data[],4,FALSE),"")</f>
        <v/>
      </c>
      <c r="K289" s="1" t="str">
        <f ca="1">IF(EHD[[#This Row],[RAD/PACT]]="","",IF(OR(EHD[[#This Row],[RAD/PACT]]="2021-2025",EHD[[#This Row],[RAD/PACT]]="2019-2020"),"Yes",""))</f>
        <v/>
      </c>
      <c r="L289" s="1"/>
      <c r="M289" s="1"/>
      <c r="N289" s="1"/>
      <c r="O289" s="1"/>
      <c r="P289" s="47">
        <f ca="1">IF(EHD[[#This Row],[RAD/PACT]]="2019-2020",0,INDEX(UnitCosts[],MATCH(EHD[[#This Row],[WORK TYPE]],UnitCosts[Work Type],0),2)*EHD[[#This Row],['# Hopper Doors]])*(1+((EHD[[#This Row],[est. Year]]-YEAR(TODAY()))*$P$2))</f>
        <v>61158.167787500002</v>
      </c>
      <c r="Q289" s="51">
        <f ca="1">SUM(INDEX(EHD['# Hopper Doors],1):EHD[[#This Row],['# Hopper Doors]])</f>
        <v>2766</v>
      </c>
      <c r="R289" s="47">
        <f t="shared" ca="1" si="4"/>
        <v>2420116.0681625009</v>
      </c>
      <c r="S289" s="1">
        <f ca="1">IF(ISBLANK(EHD[[#This Row],[CALENDAR YEAR]]),ROUNDDOWN(EHD[[#This Row],[Running count]]/500,0)+$S$1,EHD[[#This Row],[CALENDAR YEAR]])</f>
        <v>2025</v>
      </c>
      <c r="T289" s="16"/>
    </row>
    <row r="290" spans="1:20">
      <c r="A290" s="110" t="s">
        <v>382</v>
      </c>
      <c r="B290" s="1" t="str">
        <f>VLOOKUP(A290,Data[],2,FALSE)</f>
        <v>BRONX</v>
      </c>
      <c r="C290" s="9" t="s">
        <v>27</v>
      </c>
      <c r="D290" s="9" t="str">
        <f>VLOOKUP(EHD[[#This Row],[DEVELOPMENT]],Data[],52,FALSE)</f>
        <v>FEDERAL</v>
      </c>
      <c r="E290" s="1" t="str">
        <f>VLOOKUP(EHD[[#This Row],[DEVELOPMENT]],Data[],8,FALSE)</f>
        <v>Zone 4</v>
      </c>
      <c r="F290" s="9" t="str">
        <f>VLOOKUP(EHD[[#This Row],[DEVELOPMENT]],all[[DEVELOPMENT]:[MRST Ext. Comp. Priority]],6,FALSE)</f>
        <v>None</v>
      </c>
      <c r="G290" s="109">
        <v>1</v>
      </c>
      <c r="H290" s="1">
        <f>IF(VLOOKUP(EHD[[#This Row],[DEVELOPMENT]],Data[],9,FALSE)=0,5,VLOOKUP(EHD[[#This Row],[DEVELOPMENT]],Data[],9,FALSE))</f>
        <v>5</v>
      </c>
      <c r="I290" s="9">
        <f>EHD[[#This Row],[MRST '#HD]]</f>
        <v>1</v>
      </c>
      <c r="J290" s="1" t="str">
        <f ca="1">IFERROR(VLOOKUP(EHD[[#This Row],[DEVELOPMENT]],Data[],4,FALSE),"")</f>
        <v/>
      </c>
      <c r="K290" s="1" t="str">
        <f ca="1">IF(EHD[[#This Row],[RAD/PACT]]="","",IF(OR(EHD[[#This Row],[RAD/PACT]]="2021-2025",EHD[[#This Row],[RAD/PACT]]="2019-2020"),"Yes",""))</f>
        <v/>
      </c>
      <c r="L290" s="1"/>
      <c r="M290" s="1"/>
      <c r="N290" s="1"/>
      <c r="O290" s="1"/>
      <c r="P290" s="47">
        <f ca="1">IF(EHD[[#This Row],[RAD/PACT]]="2019-2020",0,INDEX(UnitCosts[],MATCH(EHD[[#This Row],[WORK TYPE]],UnitCosts[Work Type],0),2)*EHD[[#This Row],['# Hopper Doors]])*(1+((EHD[[#This Row],[est. Year]]-YEAR(TODAY()))*$P$2))</f>
        <v>8736.8811125000011</v>
      </c>
      <c r="Q290" s="51">
        <f ca="1">SUM(INDEX(EHD['# Hopper Doors],1):EHD[[#This Row],['# Hopper Doors]])</f>
        <v>2767</v>
      </c>
      <c r="R290" s="47">
        <f t="shared" ca="1" si="4"/>
        <v>2428852.949275001</v>
      </c>
      <c r="S290" s="1">
        <f ca="1">IF(ISBLANK(EHD[[#This Row],[CALENDAR YEAR]]),ROUNDDOWN(EHD[[#This Row],[Running count]]/500,0)+$S$1,EHD[[#This Row],[CALENDAR YEAR]])</f>
        <v>2025</v>
      </c>
      <c r="T290" s="16"/>
    </row>
    <row r="291" spans="1:20">
      <c r="A291" s="13" t="s">
        <v>363</v>
      </c>
      <c r="B291" s="1" t="str">
        <f>VLOOKUP(A291,Data[],2,FALSE)</f>
        <v>BRONX</v>
      </c>
      <c r="C291" s="9" t="s">
        <v>27</v>
      </c>
      <c r="D291" s="9" t="str">
        <f>VLOOKUP(EHD[[#This Row],[DEVELOPMENT]],Data[],52,FALSE)</f>
        <v>FEDERAL</v>
      </c>
      <c r="E291" s="1">
        <f>VLOOKUP(EHD[[#This Row],[DEVELOPMENT]],Data[],8,FALSE)</f>
        <v>0</v>
      </c>
      <c r="F291" s="9" t="str">
        <f>VLOOKUP(EHD[[#This Row],[DEVELOPMENT]],all[[DEVELOPMENT]:[MRST Ext. Comp. Priority]],6,FALSE)</f>
        <v>None</v>
      </c>
      <c r="G291" s="9">
        <v>26</v>
      </c>
      <c r="H291" s="1">
        <f>IF(VLOOKUP(EHD[[#This Row],[DEVELOPMENT]],Data[],9,FALSE)=0,5,VLOOKUP(EHD[[#This Row],[DEVELOPMENT]],Data[],9,FALSE))</f>
        <v>5</v>
      </c>
      <c r="I291" s="9">
        <f>EHD[[#This Row],[MRST '#HD]]</f>
        <v>26</v>
      </c>
      <c r="J291" s="1" t="str">
        <f ca="1">IFERROR(VLOOKUP(EHD[[#This Row],[DEVELOPMENT]],Data[],4,FALSE),"")</f>
        <v>2022-2025</v>
      </c>
      <c r="K291" s="1" t="str">
        <f ca="1">IF(EHD[[#This Row],[RAD/PACT]]="","",IF(OR(EHD[[#This Row],[RAD/PACT]]="2021-2025",EHD[[#This Row],[RAD/PACT]]="2019-2020"),"Yes",""))</f>
        <v/>
      </c>
      <c r="L291" s="1"/>
      <c r="M291" s="1"/>
      <c r="N291" s="1"/>
      <c r="O291" s="1"/>
      <c r="P291" s="47">
        <f ca="1">IF(EHD[[#This Row],[RAD/PACT]]="2019-2020",0,INDEX(UnitCosts[],MATCH(EHD[[#This Row],[WORK TYPE]],UnitCosts[Work Type],0),2)*EHD[[#This Row],['# Hopper Doors]])*(1+((EHD[[#This Row],[est. Year]]-YEAR(TODAY()))*$P$2))</f>
        <v>227158.908925</v>
      </c>
      <c r="Q291" s="51">
        <f ca="1">SUM(INDEX(EHD['# Hopper Doors],1):EHD[[#This Row],['# Hopper Doors]])</f>
        <v>2793</v>
      </c>
      <c r="R291" s="47">
        <f t="shared" ca="1" si="4"/>
        <v>2656011.8582000011</v>
      </c>
      <c r="S291" s="1">
        <f ca="1">IF(ISBLANK(EHD[[#This Row],[CALENDAR YEAR]]),ROUNDDOWN(EHD[[#This Row],[Running count]]/500,0)+$S$1,EHD[[#This Row],[CALENDAR YEAR]])</f>
        <v>2025</v>
      </c>
      <c r="T291" s="16"/>
    </row>
    <row r="292" spans="1:20">
      <c r="A292" s="13" t="s">
        <v>365</v>
      </c>
      <c r="B292" s="1" t="str">
        <f>VLOOKUP(A292,Data[],2,FALSE)</f>
        <v>STATEN ISLAND</v>
      </c>
      <c r="C292" s="9" t="s">
        <v>27</v>
      </c>
      <c r="D292" s="9" t="str">
        <f>VLOOKUP(EHD[[#This Row],[DEVELOPMENT]],Data[],52,FALSE)</f>
        <v>MIXED FINANCE/LLC1</v>
      </c>
      <c r="E292" s="1">
        <f>VLOOKUP(EHD[[#This Row],[DEVELOPMENT]],Data[],8,FALSE)</f>
        <v>0</v>
      </c>
      <c r="F292" s="9" t="str">
        <f>VLOOKUP(EHD[[#This Row],[DEVELOPMENT]],all[[DEVELOPMENT]:[MRST Ext. Comp. Priority]],6,FALSE)</f>
        <v>None</v>
      </c>
      <c r="G292" s="9">
        <v>12</v>
      </c>
      <c r="H292" s="1">
        <f>IF(VLOOKUP(EHD[[#This Row],[DEVELOPMENT]],Data[],9,FALSE)=0,5,VLOOKUP(EHD[[#This Row],[DEVELOPMENT]],Data[],9,FALSE))</f>
        <v>5</v>
      </c>
      <c r="I292" s="9">
        <f>EHD[[#This Row],[MRST '#HD]]</f>
        <v>12</v>
      </c>
      <c r="J292" s="1" t="str">
        <f ca="1">IFERROR(VLOOKUP(EHD[[#This Row],[DEVELOPMENT]],Data[],4,FALSE),"")</f>
        <v/>
      </c>
      <c r="K292" s="1" t="str">
        <f ca="1">IF(EHD[[#This Row],[RAD/PACT]]="","",IF(OR(EHD[[#This Row],[RAD/PACT]]="2021-2025",EHD[[#This Row],[RAD/PACT]]="2019-2020"),"Yes",""))</f>
        <v/>
      </c>
      <c r="L292" s="1"/>
      <c r="M292" s="1"/>
      <c r="N292" s="1"/>
      <c r="O292" s="1"/>
      <c r="P292" s="47">
        <f ca="1">IF(EHD[[#This Row],[RAD/PACT]]="2019-2020",0,INDEX(UnitCosts[],MATCH(EHD[[#This Row],[WORK TYPE]],UnitCosts[Work Type],0),2)*EHD[[#This Row],['# Hopper Doors]])*(1+((EHD[[#This Row],[est. Year]]-YEAR(TODAY()))*$P$2))</f>
        <v>104842.57335000002</v>
      </c>
      <c r="Q292" s="51">
        <f ca="1">SUM(INDEX(EHD['# Hopper Doors],1):EHD[[#This Row],['# Hopper Doors]])</f>
        <v>2805</v>
      </c>
      <c r="R292" s="47">
        <f t="shared" ca="1" si="4"/>
        <v>2760854.4315500013</v>
      </c>
      <c r="S292" s="1">
        <f ca="1">IF(ISBLANK(EHD[[#This Row],[CALENDAR YEAR]]),ROUNDDOWN(EHD[[#This Row],[Running count]]/500,0)+$S$1,EHD[[#This Row],[CALENDAR YEAR]])</f>
        <v>2025</v>
      </c>
      <c r="T292" s="16"/>
    </row>
    <row r="293" spans="1:20">
      <c r="A293" s="13" t="s">
        <v>312</v>
      </c>
      <c r="B293" s="1" t="str">
        <f>VLOOKUP(A293,Data[],2,FALSE)</f>
        <v>BROOKLYN</v>
      </c>
      <c r="C293" s="9" t="s">
        <v>27</v>
      </c>
      <c r="D293" s="9" t="str">
        <f>VLOOKUP(EHD[[#This Row],[DEVELOPMENT]],Data[],52,FALSE)</f>
        <v>FEDERAL</v>
      </c>
      <c r="E293" s="1">
        <f>VLOOKUP(EHD[[#This Row],[DEVELOPMENT]],Data[],8,FALSE)</f>
        <v>0</v>
      </c>
      <c r="F293" s="9" t="str">
        <f>VLOOKUP(EHD[[#This Row],[DEVELOPMENT]],all[[DEVELOPMENT]:[MRST Ext. Comp. Priority]],6,FALSE)</f>
        <v>None</v>
      </c>
      <c r="G293" s="9">
        <v>3</v>
      </c>
      <c r="H293" s="1">
        <f>IF(VLOOKUP(EHD[[#This Row],[DEVELOPMENT]],Data[],9,FALSE)=0,5,VLOOKUP(EHD[[#This Row],[DEVELOPMENT]],Data[],9,FALSE))</f>
        <v>5</v>
      </c>
      <c r="I293" s="9">
        <f>EHD[[#This Row],[MRST '#HD]]</f>
        <v>3</v>
      </c>
      <c r="J293" s="1" t="str">
        <f ca="1">IFERROR(VLOOKUP(EHD[[#This Row],[DEVELOPMENT]],Data[],4,FALSE),"")</f>
        <v/>
      </c>
      <c r="K293" s="1" t="str">
        <f ca="1">IF(EHD[[#This Row],[RAD/PACT]]="","",IF(OR(EHD[[#This Row],[RAD/PACT]]="2021-2025",EHD[[#This Row],[RAD/PACT]]="2019-2020"),"Yes",""))</f>
        <v/>
      </c>
      <c r="L293" s="1"/>
      <c r="M293" s="1"/>
      <c r="N293" s="1"/>
      <c r="O293" s="1"/>
      <c r="P293" s="47">
        <f ca="1">IF(EHD[[#This Row],[RAD/PACT]]="2019-2020",0,INDEX(UnitCosts[],MATCH(EHD[[#This Row],[WORK TYPE]],UnitCosts[Work Type],0),2)*EHD[[#This Row],['# Hopper Doors]])*(1+((EHD[[#This Row],[est. Year]]-YEAR(TODAY()))*$P$2))</f>
        <v>26210.643337500005</v>
      </c>
      <c r="Q293" s="51">
        <f ca="1">SUM(INDEX(EHD['# Hopper Doors],1):EHD[[#This Row],['# Hopper Doors]])</f>
        <v>2808</v>
      </c>
      <c r="R293" s="47">
        <f t="shared" ca="1" si="4"/>
        <v>2787065.0748875011</v>
      </c>
      <c r="S293" s="1">
        <f ca="1">IF(ISBLANK(EHD[[#This Row],[CALENDAR YEAR]]),ROUNDDOWN(EHD[[#This Row],[Running count]]/500,0)+$S$1,EHD[[#This Row],[CALENDAR YEAR]])</f>
        <v>2025</v>
      </c>
      <c r="T293" s="16"/>
    </row>
    <row r="294" spans="1:20">
      <c r="A294" s="13" t="s">
        <v>367</v>
      </c>
      <c r="B294" s="1" t="str">
        <f>VLOOKUP(A294,Data[],2,FALSE)</f>
        <v>BROOKLYN</v>
      </c>
      <c r="C294" s="9" t="s">
        <v>27</v>
      </c>
      <c r="D294" s="9" t="str">
        <f>VLOOKUP(EHD[[#This Row],[DEVELOPMENT]],Data[],52,FALSE)</f>
        <v>FEDERAL</v>
      </c>
      <c r="E294" s="1">
        <f>VLOOKUP(EHD[[#This Row],[DEVELOPMENT]],Data[],8,FALSE)</f>
        <v>0</v>
      </c>
      <c r="F294" s="9" t="str">
        <f>VLOOKUP(EHD[[#This Row],[DEVELOPMENT]],all[[DEVELOPMENT]:[MRST Ext. Comp. Priority]],6,FALSE)</f>
        <v>None</v>
      </c>
      <c r="G294" s="9">
        <v>5</v>
      </c>
      <c r="H294" s="1">
        <f>IF(VLOOKUP(EHD[[#This Row],[DEVELOPMENT]],Data[],9,FALSE)=0,5,VLOOKUP(EHD[[#This Row],[DEVELOPMENT]],Data[],9,FALSE))</f>
        <v>5</v>
      </c>
      <c r="I294" s="9">
        <f>EHD[[#This Row],[MRST '#HD]]</f>
        <v>5</v>
      </c>
      <c r="J294" s="1" t="str">
        <f ca="1">IFERROR(VLOOKUP(EHD[[#This Row],[DEVELOPMENT]],Data[],4,FALSE),"")</f>
        <v/>
      </c>
      <c r="K294" s="1" t="str">
        <f ca="1">IF(EHD[[#This Row],[RAD/PACT]]="","",IF(OR(EHD[[#This Row],[RAD/PACT]]="2021-2025",EHD[[#This Row],[RAD/PACT]]="2019-2020"),"Yes",""))</f>
        <v/>
      </c>
      <c r="L294" s="1"/>
      <c r="M294" s="1"/>
      <c r="N294" s="1"/>
      <c r="O294" s="1"/>
      <c r="P294" s="47">
        <f ca="1">IF(EHD[[#This Row],[RAD/PACT]]="2019-2020",0,INDEX(UnitCosts[],MATCH(EHD[[#This Row],[WORK TYPE]],UnitCosts[Work Type],0),2)*EHD[[#This Row],['# Hopper Doors]])*(1+((EHD[[#This Row],[est. Year]]-YEAR(TODAY()))*$P$2))</f>
        <v>43684.405562500004</v>
      </c>
      <c r="Q294" s="51">
        <f ca="1">SUM(INDEX(EHD['# Hopper Doors],1):EHD[[#This Row],['# Hopper Doors]])</f>
        <v>2813</v>
      </c>
      <c r="R294" s="47">
        <f t="shared" ca="1" si="4"/>
        <v>2830749.4804500011</v>
      </c>
      <c r="S294" s="1">
        <f ca="1">IF(ISBLANK(EHD[[#This Row],[CALENDAR YEAR]]),ROUNDDOWN(EHD[[#This Row],[Running count]]/500,0)+$S$1,EHD[[#This Row],[CALENDAR YEAR]])</f>
        <v>2025</v>
      </c>
      <c r="T294" s="16"/>
    </row>
    <row r="295" spans="1:20">
      <c r="A295" s="13" t="s">
        <v>335</v>
      </c>
      <c r="B295" s="1" t="str">
        <f>VLOOKUP(A295,Data[],2,FALSE)</f>
        <v>BROOKLYN</v>
      </c>
      <c r="C295" s="9" t="s">
        <v>27</v>
      </c>
      <c r="D295" s="9" t="str">
        <f>VLOOKUP(EHD[[#This Row],[DEVELOPMENT]],Data[],52,FALSE)</f>
        <v>MIXED FINANCE/LLC2</v>
      </c>
      <c r="E295" s="1">
        <f>VLOOKUP(EHD[[#This Row],[DEVELOPMENT]],Data[],8,FALSE)</f>
        <v>0</v>
      </c>
      <c r="F295" s="9" t="str">
        <f>VLOOKUP(EHD[[#This Row],[DEVELOPMENT]],all[[DEVELOPMENT]:[MRST Ext. Comp. Priority]],6,FALSE)</f>
        <v>None</v>
      </c>
      <c r="G295" s="9">
        <v>6</v>
      </c>
      <c r="H295" s="1">
        <f>IF(VLOOKUP(EHD[[#This Row],[DEVELOPMENT]],Data[],9,FALSE)=0,5,VLOOKUP(EHD[[#This Row],[DEVELOPMENT]],Data[],9,FALSE))</f>
        <v>5</v>
      </c>
      <c r="I295" s="9">
        <f>EHD[[#This Row],[MRST '#HD]]</f>
        <v>6</v>
      </c>
      <c r="J295" s="1">
        <f ca="1">IFERROR(VLOOKUP(EHD[[#This Row],[DEVELOPMENT]],Data[],4,FALSE),"")</f>
        <v>2019</v>
      </c>
      <c r="K295" s="1" t="str">
        <f ca="1">IF(EHD[[#This Row],[RAD/PACT]]="","",IF(OR(EHD[[#This Row],[RAD/PACT]]="2021-2025",EHD[[#This Row],[RAD/PACT]]="2019-2020"),"Yes",""))</f>
        <v/>
      </c>
      <c r="L295" s="1"/>
      <c r="M295" s="1"/>
      <c r="N295" s="1"/>
      <c r="O295" s="1"/>
      <c r="P295" s="47">
        <f ca="1">IF(EHD[[#This Row],[RAD/PACT]]="2019-2020",0,INDEX(UnitCosts[],MATCH(EHD[[#This Row],[WORK TYPE]],UnitCosts[Work Type],0),2)*EHD[[#This Row],['# Hopper Doors]])*(1+((EHD[[#This Row],[est. Year]]-YEAR(TODAY()))*$P$2))</f>
        <v>52421.28667500001</v>
      </c>
      <c r="Q295" s="51">
        <f ca="1">SUM(INDEX(EHD['# Hopper Doors],1):EHD[[#This Row],['# Hopper Doors]])</f>
        <v>2819</v>
      </c>
      <c r="R295" s="47">
        <f t="shared" ca="1" si="4"/>
        <v>2883170.7671250012</v>
      </c>
      <c r="S295" s="1">
        <f ca="1">IF(ISBLANK(EHD[[#This Row],[CALENDAR YEAR]]),ROUNDDOWN(EHD[[#This Row],[Running count]]/500,0)+$S$1,EHD[[#This Row],[CALENDAR YEAR]])</f>
        <v>2025</v>
      </c>
      <c r="T295" s="16"/>
    </row>
    <row r="296" spans="1:20">
      <c r="A296" s="13" t="s">
        <v>370</v>
      </c>
      <c r="B296" s="1" t="str">
        <f>VLOOKUP(A296,Data[],2,FALSE)</f>
        <v>BROOKLYN</v>
      </c>
      <c r="C296" s="9" t="s">
        <v>27</v>
      </c>
      <c r="D296" s="9" t="str">
        <f>VLOOKUP(EHD[[#This Row],[DEVELOPMENT]],Data[],52,FALSE)</f>
        <v>FEDERAL</v>
      </c>
      <c r="E296" s="1">
        <f>VLOOKUP(EHD[[#This Row],[DEVELOPMENT]],Data[],8,FALSE)</f>
        <v>0</v>
      </c>
      <c r="F296" s="9" t="str">
        <f>VLOOKUP(EHD[[#This Row],[DEVELOPMENT]],all[[DEVELOPMENT]:[MRST Ext. Comp. Priority]],6,FALSE)</f>
        <v>None</v>
      </c>
      <c r="G296" s="9">
        <v>5</v>
      </c>
      <c r="H296" s="1">
        <f>IF(VLOOKUP(EHD[[#This Row],[DEVELOPMENT]],Data[],9,FALSE)=0,5,VLOOKUP(EHD[[#This Row],[DEVELOPMENT]],Data[],9,FALSE))</f>
        <v>5</v>
      </c>
      <c r="I296" s="9">
        <f>EHD[[#This Row],[MRST '#HD]]</f>
        <v>5</v>
      </c>
      <c r="J296" s="1" t="str">
        <f ca="1">IFERROR(VLOOKUP(EHD[[#This Row],[DEVELOPMENT]],Data[],4,FALSE),"")</f>
        <v/>
      </c>
      <c r="K296" s="1" t="str">
        <f ca="1">IF(EHD[[#This Row],[RAD/PACT]]="","",IF(OR(EHD[[#This Row],[RAD/PACT]]="2021-2025",EHD[[#This Row],[RAD/PACT]]="2019-2020"),"Yes",""))</f>
        <v/>
      </c>
      <c r="L296" s="1"/>
      <c r="M296" s="1"/>
      <c r="N296" s="1"/>
      <c r="O296" s="1"/>
      <c r="P296" s="47">
        <f ca="1">IF(EHD[[#This Row],[RAD/PACT]]="2019-2020",0,INDEX(UnitCosts[],MATCH(EHD[[#This Row],[WORK TYPE]],UnitCosts[Work Type],0),2)*EHD[[#This Row],['# Hopper Doors]])*(1+((EHD[[#This Row],[est. Year]]-YEAR(TODAY()))*$P$2))</f>
        <v>43684.405562500004</v>
      </c>
      <c r="Q296" s="51">
        <f ca="1">SUM(INDEX(EHD['# Hopper Doors],1):EHD[[#This Row],['# Hopper Doors]])</f>
        <v>2824</v>
      </c>
      <c r="R296" s="47">
        <f t="shared" ca="1" si="4"/>
        <v>2926855.1726875012</v>
      </c>
      <c r="S296" s="1">
        <f ca="1">IF(ISBLANK(EHD[[#This Row],[CALENDAR YEAR]]),ROUNDDOWN(EHD[[#This Row],[Running count]]/500,0)+$S$1,EHD[[#This Row],[CALENDAR YEAR]])</f>
        <v>2025</v>
      </c>
      <c r="T296" s="16"/>
    </row>
    <row r="297" spans="1:20">
      <c r="A297" s="13" t="s">
        <v>303</v>
      </c>
      <c r="B297" s="1" t="str">
        <f>VLOOKUP(A297,Data[],2,FALSE)</f>
        <v>BROOKLYN</v>
      </c>
      <c r="C297" s="9" t="s">
        <v>27</v>
      </c>
      <c r="D297" s="9" t="str">
        <f>VLOOKUP(EHD[[#This Row],[DEVELOPMENT]],Data[],52,FALSE)</f>
        <v>FEDERAL</v>
      </c>
      <c r="E297" s="1">
        <f>VLOOKUP(EHD[[#This Row],[DEVELOPMENT]],Data[],8,FALSE)</f>
        <v>0</v>
      </c>
      <c r="F297" s="9" t="str">
        <f>VLOOKUP(EHD[[#This Row],[DEVELOPMENT]],all[[DEVELOPMENT]:[MRST Ext. Comp. Priority]],6,FALSE)</f>
        <v>None</v>
      </c>
      <c r="G297" s="9">
        <v>1</v>
      </c>
      <c r="H297" s="1">
        <f>IF(VLOOKUP(EHD[[#This Row],[DEVELOPMENT]],Data[],9,FALSE)=0,5,VLOOKUP(EHD[[#This Row],[DEVELOPMENT]],Data[],9,FALSE))</f>
        <v>5</v>
      </c>
      <c r="I297" s="9">
        <f>EHD[[#This Row],[MRST '#HD]]</f>
        <v>1</v>
      </c>
      <c r="J297" s="1">
        <f ca="1">IFERROR(VLOOKUP(EHD[[#This Row],[DEVELOPMENT]],Data[],4,FALSE),"")</f>
        <v>2019</v>
      </c>
      <c r="K297" s="1" t="str">
        <f ca="1">IF(EHD[[#This Row],[RAD/PACT]]="","",IF(OR(EHD[[#This Row],[RAD/PACT]]="2021-2025",EHD[[#This Row],[RAD/PACT]]="2019-2020"),"Yes",""))</f>
        <v/>
      </c>
      <c r="L297" s="1"/>
      <c r="M297" s="1"/>
      <c r="N297" s="1"/>
      <c r="O297" s="1"/>
      <c r="P297" s="47">
        <f ca="1">IF(EHD[[#This Row],[RAD/PACT]]="2019-2020",0,INDEX(UnitCosts[],MATCH(EHD[[#This Row],[WORK TYPE]],UnitCosts[Work Type],0),2)*EHD[[#This Row],['# Hopper Doors]])*(1+((EHD[[#This Row],[est. Year]]-YEAR(TODAY()))*$P$2))</f>
        <v>8736.8811125000011</v>
      </c>
      <c r="Q297" s="51">
        <f ca="1">SUM(INDEX(EHD['# Hopper Doors],1):EHD[[#This Row],['# Hopper Doors]])</f>
        <v>2825</v>
      </c>
      <c r="R297" s="47">
        <f t="shared" ca="1" si="4"/>
        <v>2935592.0538000013</v>
      </c>
      <c r="S297" s="1">
        <f ca="1">IF(ISBLANK(EHD[[#This Row],[CALENDAR YEAR]]),ROUNDDOWN(EHD[[#This Row],[Running count]]/500,0)+$S$1,EHD[[#This Row],[CALENDAR YEAR]])</f>
        <v>2025</v>
      </c>
      <c r="T297" s="16"/>
    </row>
    <row r="298" spans="1:20">
      <c r="A298" s="13" t="s">
        <v>373</v>
      </c>
      <c r="B298" s="1" t="str">
        <f>VLOOKUP(A298,Data[],2,FALSE)</f>
        <v>BROOKLYN</v>
      </c>
      <c r="C298" s="9" t="s">
        <v>27</v>
      </c>
      <c r="D298" s="9" t="str">
        <f>VLOOKUP(EHD[[#This Row],[DEVELOPMENT]],Data[],52,FALSE)</f>
        <v>FEDERAL</v>
      </c>
      <c r="E298" s="1">
        <f>VLOOKUP(EHD[[#This Row],[DEVELOPMENT]],Data[],8,FALSE)</f>
        <v>0</v>
      </c>
      <c r="F298" s="9" t="str">
        <f>VLOOKUP(EHD[[#This Row],[DEVELOPMENT]],all[[DEVELOPMENT]:[MRST Ext. Comp. Priority]],6,FALSE)</f>
        <v>None</v>
      </c>
      <c r="G298" s="9">
        <v>31</v>
      </c>
      <c r="H298" s="1">
        <f>IF(VLOOKUP(EHD[[#This Row],[DEVELOPMENT]],Data[],9,FALSE)=0,5,VLOOKUP(EHD[[#This Row],[DEVELOPMENT]],Data[],9,FALSE))</f>
        <v>5</v>
      </c>
      <c r="I298" s="9">
        <f>EHD[[#This Row],[MRST '#HD]]</f>
        <v>31</v>
      </c>
      <c r="J298" s="1" t="str">
        <f ca="1">IFERROR(VLOOKUP(EHD[[#This Row],[DEVELOPMENT]],Data[],4,FALSE),"")</f>
        <v>2022-2025</v>
      </c>
      <c r="K298" s="1" t="str">
        <f ca="1">IF(EHD[[#This Row],[RAD/PACT]]="","",IF(OR(EHD[[#This Row],[RAD/PACT]]="2021-2025",EHD[[#This Row],[RAD/PACT]]="2019-2020"),"Yes",""))</f>
        <v/>
      </c>
      <c r="L298" s="1"/>
      <c r="M298" s="1"/>
      <c r="N298" s="1"/>
      <c r="O298" s="1"/>
      <c r="P298" s="47">
        <f ca="1">IF(EHD[[#This Row],[RAD/PACT]]="2019-2020",0,INDEX(UnitCosts[],MATCH(EHD[[#This Row],[WORK TYPE]],UnitCosts[Work Type],0),2)*EHD[[#This Row],['# Hopper Doors]])*(1+((EHD[[#This Row],[est. Year]]-YEAR(TODAY()))*$P$2))</f>
        <v>270843.3144875</v>
      </c>
      <c r="Q298" s="51">
        <f ca="1">SUM(INDEX(EHD['# Hopper Doors],1):EHD[[#This Row],['# Hopper Doors]])</f>
        <v>2856</v>
      </c>
      <c r="R298" s="47">
        <f t="shared" ca="1" si="4"/>
        <v>3206435.3682875014</v>
      </c>
      <c r="S298" s="1">
        <f ca="1">IF(ISBLANK(EHD[[#This Row],[CALENDAR YEAR]]),ROUNDDOWN(EHD[[#This Row],[Running count]]/500,0)+$S$1,EHD[[#This Row],[CALENDAR YEAR]])</f>
        <v>2025</v>
      </c>
      <c r="T298" s="16"/>
    </row>
    <row r="299" spans="1:20">
      <c r="A299" s="13" t="s">
        <v>380</v>
      </c>
      <c r="B299" s="1" t="str">
        <f>VLOOKUP(A299,Data[],2,FALSE)</f>
        <v>STATEN ISLAND</v>
      </c>
      <c r="C299" s="9" t="s">
        <v>27</v>
      </c>
      <c r="D299" s="9" t="str">
        <f>VLOOKUP(EHD[[#This Row],[DEVELOPMENT]],Data[],52,FALSE)</f>
        <v>FEDERAL</v>
      </c>
      <c r="E299" s="1">
        <f>VLOOKUP(EHD[[#This Row],[DEVELOPMENT]],Data[],8,FALSE)</f>
        <v>0</v>
      </c>
      <c r="F299" s="9" t="str">
        <f>VLOOKUP(EHD[[#This Row],[DEVELOPMENT]],all[[DEVELOPMENT]:[MRST Ext. Comp. Priority]],6,FALSE)</f>
        <v>None</v>
      </c>
      <c r="G299" s="9">
        <v>8</v>
      </c>
      <c r="H299" s="1">
        <f>IF(VLOOKUP(EHD[[#This Row],[DEVELOPMENT]],Data[],9,FALSE)=0,5,VLOOKUP(EHD[[#This Row],[DEVELOPMENT]],Data[],9,FALSE))</f>
        <v>5</v>
      </c>
      <c r="I299" s="9">
        <f>EHD[[#This Row],[MRST '#HD]]</f>
        <v>8</v>
      </c>
      <c r="J299" s="1" t="str">
        <f ca="1">IFERROR(VLOOKUP(EHD[[#This Row],[DEVELOPMENT]],Data[],4,FALSE),"")</f>
        <v/>
      </c>
      <c r="K299" s="1" t="str">
        <f ca="1">IF(EHD[[#This Row],[RAD/PACT]]="","",IF(OR(EHD[[#This Row],[RAD/PACT]]="2021-2025",EHD[[#This Row],[RAD/PACT]]="2019-2020"),"Yes",""))</f>
        <v/>
      </c>
      <c r="L299" s="1"/>
      <c r="M299" s="1"/>
      <c r="N299" s="1"/>
      <c r="O299" s="1"/>
      <c r="P299" s="47">
        <f ca="1">IF(EHD[[#This Row],[RAD/PACT]]="2019-2020",0,INDEX(UnitCosts[],MATCH(EHD[[#This Row],[WORK TYPE]],UnitCosts[Work Type],0),2)*EHD[[#This Row],['# Hopper Doors]])*(1+((EHD[[#This Row],[est. Year]]-YEAR(TODAY()))*$P$2))</f>
        <v>69895.048900000009</v>
      </c>
      <c r="Q299" s="51">
        <f ca="1">SUM(INDEX(EHD['# Hopper Doors],1):EHD[[#This Row],['# Hopper Doors]])</f>
        <v>2864</v>
      </c>
      <c r="R299" s="47">
        <f t="shared" ca="1" si="4"/>
        <v>3276330.4171875012</v>
      </c>
      <c r="S299" s="1">
        <f ca="1">IF(ISBLANK(EHD[[#This Row],[CALENDAR YEAR]]),ROUNDDOWN(EHD[[#This Row],[Running count]]/500,0)+$S$1,EHD[[#This Row],[CALENDAR YEAR]])</f>
        <v>2025</v>
      </c>
      <c r="T299" s="16"/>
    </row>
    <row r="300" spans="1:20">
      <c r="A300" s="13" t="s">
        <v>381</v>
      </c>
      <c r="B300" s="1" t="str">
        <f>VLOOKUP(A300,Data[],2,FALSE)</f>
        <v>STATEN ISLAND</v>
      </c>
      <c r="C300" s="9" t="s">
        <v>27</v>
      </c>
      <c r="D300" s="9" t="str">
        <f>VLOOKUP(EHD[[#This Row],[DEVELOPMENT]],Data[],52,FALSE)</f>
        <v>FEDERAL</v>
      </c>
      <c r="E300" s="1">
        <f>VLOOKUP(EHD[[#This Row],[DEVELOPMENT]],Data[],8,FALSE)</f>
        <v>0</v>
      </c>
      <c r="F300" s="9" t="str">
        <f>VLOOKUP(EHD[[#This Row],[DEVELOPMENT]],all[[DEVELOPMENT]:[MRST Ext. Comp. Priority]],6,FALSE)</f>
        <v>None</v>
      </c>
      <c r="G300" s="9">
        <v>0</v>
      </c>
      <c r="H300" s="1">
        <f>IF(VLOOKUP(EHD[[#This Row],[DEVELOPMENT]],Data[],9,FALSE)=0,5,VLOOKUP(EHD[[#This Row],[DEVELOPMENT]],Data[],9,FALSE))</f>
        <v>5</v>
      </c>
      <c r="I300" s="9">
        <f>EHD[[#This Row],[MRST '#HD]]</f>
        <v>0</v>
      </c>
      <c r="J300" s="1" t="str">
        <f ca="1">IFERROR(VLOOKUP(EHD[[#This Row],[DEVELOPMENT]],Data[],4,FALSE),"")</f>
        <v/>
      </c>
      <c r="K300" s="1" t="str">
        <f ca="1">IF(EHD[[#This Row],[RAD/PACT]]="","",IF(OR(EHD[[#This Row],[RAD/PACT]]="2021-2025",EHD[[#This Row],[RAD/PACT]]="2019-2020"),"Yes",""))</f>
        <v/>
      </c>
      <c r="L300" s="1"/>
      <c r="M300" s="1"/>
      <c r="N300" s="1"/>
      <c r="O300" s="1"/>
      <c r="P300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300" s="51">
        <f ca="1">SUM(INDEX(EHD['# Hopper Doors],1):EHD[[#This Row],['# Hopper Doors]])</f>
        <v>2864</v>
      </c>
      <c r="R300" s="47">
        <f t="shared" ca="1" si="4"/>
        <v>3276330.4171875012</v>
      </c>
      <c r="S300" s="1">
        <f ca="1">IF(ISBLANK(EHD[[#This Row],[CALENDAR YEAR]]),ROUNDDOWN(EHD[[#This Row],[Running count]]/500,0)+$S$1,EHD[[#This Row],[CALENDAR YEAR]])</f>
        <v>2025</v>
      </c>
      <c r="T300" s="16"/>
    </row>
    <row r="301" spans="1:20">
      <c r="A301" s="13" t="s">
        <v>383</v>
      </c>
      <c r="B301" s="1" t="str">
        <f>VLOOKUP(A301,Data[],2,FALSE)</f>
        <v>BROOKLYN</v>
      </c>
      <c r="C301" s="9" t="s">
        <v>27</v>
      </c>
      <c r="D301" s="9" t="str">
        <f>VLOOKUP(EHD[[#This Row],[DEVELOPMENT]],Data[],52,FALSE)</f>
        <v>FEDERAL</v>
      </c>
      <c r="E301" s="1">
        <f>VLOOKUP(EHD[[#This Row],[DEVELOPMENT]],Data[],8,FALSE)</f>
        <v>0</v>
      </c>
      <c r="F301" s="9" t="str">
        <f>VLOOKUP(EHD[[#This Row],[DEVELOPMENT]],all[[DEVELOPMENT]:[MRST Ext. Comp. Priority]],6,FALSE)</f>
        <v>None</v>
      </c>
      <c r="G301" s="9">
        <v>32</v>
      </c>
      <c r="H301" s="1">
        <f>IF(VLOOKUP(EHD[[#This Row],[DEVELOPMENT]],Data[],9,FALSE)=0,5,VLOOKUP(EHD[[#This Row],[DEVELOPMENT]],Data[],9,FALSE))</f>
        <v>5</v>
      </c>
      <c r="I301" s="9">
        <f>EHD[[#This Row],[MRST '#HD]]</f>
        <v>32</v>
      </c>
      <c r="J301" s="1" t="str">
        <f ca="1">IFERROR(VLOOKUP(EHD[[#This Row],[DEVELOPMENT]],Data[],4,FALSE),"")</f>
        <v/>
      </c>
      <c r="K301" s="1" t="str">
        <f ca="1">IF(EHD[[#This Row],[RAD/PACT]]="","",IF(OR(EHD[[#This Row],[RAD/PACT]]="2021-2025",EHD[[#This Row],[RAD/PACT]]="2019-2020"),"Yes",""))</f>
        <v/>
      </c>
      <c r="L301" s="1"/>
      <c r="M301" s="1"/>
      <c r="N301" s="1"/>
      <c r="O301" s="1"/>
      <c r="P301" s="47">
        <f ca="1">IF(EHD[[#This Row],[RAD/PACT]]="2019-2020",0,INDEX(UnitCosts[],MATCH(EHD[[#This Row],[WORK TYPE]],UnitCosts[Work Type],0),2)*EHD[[#This Row],['# Hopper Doors]])*(1+((EHD[[#This Row],[est. Year]]-YEAR(TODAY()))*$P$2))</f>
        <v>279580.19560000004</v>
      </c>
      <c r="Q301" s="51">
        <f ca="1">SUM(INDEX(EHD['# Hopper Doors],1):EHD[[#This Row],['# Hopper Doors]])</f>
        <v>2896</v>
      </c>
      <c r="R301" s="47">
        <f t="shared" ca="1" si="4"/>
        <v>3555910.6127875014</v>
      </c>
      <c r="S301" s="1">
        <f ca="1">IF(ISBLANK(EHD[[#This Row],[CALENDAR YEAR]]),ROUNDDOWN(EHD[[#This Row],[Running count]]/500,0)+$S$1,EHD[[#This Row],[CALENDAR YEAR]])</f>
        <v>2025</v>
      </c>
      <c r="T301" s="16"/>
    </row>
    <row r="302" spans="1:20">
      <c r="A302" s="13" t="s">
        <v>384</v>
      </c>
      <c r="B302" s="1" t="str">
        <f>VLOOKUP(A302,Data[],2,FALSE)</f>
        <v>BROOKLYN</v>
      </c>
      <c r="C302" s="9" t="s">
        <v>27</v>
      </c>
      <c r="D302" s="9" t="str">
        <f>VLOOKUP(EHD[[#This Row],[DEVELOPMENT]],Data[],52,FALSE)</f>
        <v>MIXED FINANCE/LLC2</v>
      </c>
      <c r="E302" s="1">
        <f>VLOOKUP(EHD[[#This Row],[DEVELOPMENT]],Data[],8,FALSE)</f>
        <v>0</v>
      </c>
      <c r="F302" s="9" t="str">
        <f>VLOOKUP(EHD[[#This Row],[DEVELOPMENT]],all[[DEVELOPMENT]:[MRST Ext. Comp. Priority]],6,FALSE)</f>
        <v>None</v>
      </c>
      <c r="G302" s="9">
        <v>5</v>
      </c>
      <c r="H302" s="1">
        <f>IF(VLOOKUP(EHD[[#This Row],[DEVELOPMENT]],Data[],9,FALSE)=0,5,VLOOKUP(EHD[[#This Row],[DEVELOPMENT]],Data[],9,FALSE))</f>
        <v>5</v>
      </c>
      <c r="I302" s="9">
        <f>EHD[[#This Row],[MRST '#HD]]</f>
        <v>5</v>
      </c>
      <c r="J302" s="1">
        <f ca="1">IFERROR(VLOOKUP(EHD[[#This Row],[DEVELOPMENT]],Data[],4,FALSE),"")</f>
        <v>2019</v>
      </c>
      <c r="K302" s="1" t="str">
        <f ca="1">IF(EHD[[#This Row],[RAD/PACT]]="","",IF(OR(EHD[[#This Row],[RAD/PACT]]="2021-2025",EHD[[#This Row],[RAD/PACT]]="2019-2020"),"Yes",""))</f>
        <v/>
      </c>
      <c r="L302" s="1"/>
      <c r="M302" s="1"/>
      <c r="N302" s="1"/>
      <c r="O302" s="1"/>
      <c r="P302" s="47">
        <f ca="1">IF(EHD[[#This Row],[RAD/PACT]]="2019-2020",0,INDEX(UnitCosts[],MATCH(EHD[[#This Row],[WORK TYPE]],UnitCosts[Work Type],0),2)*EHD[[#This Row],['# Hopper Doors]])*(1+((EHD[[#This Row],[est. Year]]-YEAR(TODAY()))*$P$2))</f>
        <v>43684.405562500004</v>
      </c>
      <c r="Q302" s="51">
        <f ca="1">SUM(INDEX(EHD['# Hopper Doors],1):EHD[[#This Row],['# Hopper Doors]])</f>
        <v>2901</v>
      </c>
      <c r="R302" s="47">
        <f t="shared" ca="1" si="4"/>
        <v>3599595.0183500014</v>
      </c>
      <c r="S302" s="1">
        <f ca="1">IF(ISBLANK(EHD[[#This Row],[CALENDAR YEAR]]),ROUNDDOWN(EHD[[#This Row],[Running count]]/500,0)+$S$1,EHD[[#This Row],[CALENDAR YEAR]])</f>
        <v>2025</v>
      </c>
      <c r="T302" s="16"/>
    </row>
    <row r="303" spans="1:20">
      <c r="A303" s="13" t="s">
        <v>385</v>
      </c>
      <c r="B303" s="1" t="str">
        <f>VLOOKUP(A303,Data[],2,FALSE)</f>
        <v>BROOKLYN</v>
      </c>
      <c r="C303" s="9" t="s">
        <v>27</v>
      </c>
      <c r="D303" s="9" t="str">
        <f>VLOOKUP(EHD[[#This Row],[DEVELOPMENT]],Data[],52,FALSE)</f>
        <v>FEDERAL</v>
      </c>
      <c r="E303" s="1">
        <f>VLOOKUP(EHD[[#This Row],[DEVELOPMENT]],Data[],8,FALSE)</f>
        <v>0</v>
      </c>
      <c r="F303" s="9" t="str">
        <f>VLOOKUP(EHD[[#This Row],[DEVELOPMENT]],all[[DEVELOPMENT]:[MRST Ext. Comp. Priority]],6,FALSE)</f>
        <v>None</v>
      </c>
      <c r="G303" s="9">
        <v>136</v>
      </c>
      <c r="H303" s="1">
        <f>IF(VLOOKUP(EHD[[#This Row],[DEVELOPMENT]],Data[],9,FALSE)=0,5,VLOOKUP(EHD[[#This Row],[DEVELOPMENT]],Data[],9,FALSE))</f>
        <v>5</v>
      </c>
      <c r="I303" s="9">
        <f>EHD[[#This Row],[MRST '#HD]]</f>
        <v>136</v>
      </c>
      <c r="J303" s="1" t="str">
        <f ca="1">IFERROR(VLOOKUP(EHD[[#This Row],[DEVELOPMENT]],Data[],4,FALSE),"")</f>
        <v>2020-2021</v>
      </c>
      <c r="K303" s="1" t="str">
        <f ca="1">IF(EHD[[#This Row],[RAD/PACT]]="","",IF(OR(EHD[[#This Row],[RAD/PACT]]="2021-2025",EHD[[#This Row],[RAD/PACT]]="2019-2020"),"Yes",""))</f>
        <v/>
      </c>
      <c r="L303" s="1"/>
      <c r="M303" s="1"/>
      <c r="N303" s="1"/>
      <c r="O303" s="1"/>
      <c r="P303" s="47">
        <f ca="1">IF(EHD[[#This Row],[RAD/PACT]]="2019-2020",0,INDEX(UnitCosts[],MATCH(EHD[[#This Row],[WORK TYPE]],UnitCosts[Work Type],0),2)*EHD[[#This Row],['# Hopper Doors]])*(1+((EHD[[#This Row],[est. Year]]-YEAR(TODAY()))*$P$2))</f>
        <v>1223609.4943600001</v>
      </c>
      <c r="Q303" s="51">
        <f ca="1">SUM(INDEX(EHD['# Hopper Doors],1):EHD[[#This Row],['# Hopper Doors]])</f>
        <v>3037</v>
      </c>
      <c r="R303" s="47">
        <f t="shared" ca="1" si="4"/>
        <v>1223609.4943600001</v>
      </c>
      <c r="S303" s="1">
        <f ca="1">IF(ISBLANK(EHD[[#This Row],[CALENDAR YEAR]]),ROUNDDOWN(EHD[[#This Row],[Running count]]/500,0)+$S$1,EHD[[#This Row],[CALENDAR YEAR]])</f>
        <v>2026</v>
      </c>
      <c r="T303" s="16"/>
    </row>
    <row r="304" spans="1:20">
      <c r="A304" s="13" t="s">
        <v>371</v>
      </c>
      <c r="B304" s="1" t="str">
        <f>VLOOKUP(A304,Data[],2,FALSE)</f>
        <v>MANHATTAN</v>
      </c>
      <c r="C304" s="9" t="s">
        <v>27</v>
      </c>
      <c r="D304" s="9" t="str">
        <f>VLOOKUP(EHD[[#This Row],[DEVELOPMENT]],Data[],52,FALSE)</f>
        <v>FEDERAL</v>
      </c>
      <c r="E304" s="1" t="str">
        <f>VLOOKUP(EHD[[#This Row],[DEVELOPMENT]],Data[],8,FALSE)</f>
        <v>Zone 4</v>
      </c>
      <c r="F304" s="9" t="str">
        <f>VLOOKUP(EHD[[#This Row],[DEVELOPMENT]],all[[DEVELOPMENT]:[MRST Ext. Comp. Priority]],6,FALSE)</f>
        <v>None</v>
      </c>
      <c r="G304" s="9">
        <v>1</v>
      </c>
      <c r="H304" s="1">
        <f>IF(VLOOKUP(EHD[[#This Row],[DEVELOPMENT]],Data[],9,FALSE)=0,5,VLOOKUP(EHD[[#This Row],[DEVELOPMENT]],Data[],9,FALSE))</f>
        <v>5</v>
      </c>
      <c r="I304" s="9">
        <f>EHD[[#This Row],[MRST '#HD]]</f>
        <v>1</v>
      </c>
      <c r="J304" s="1" t="str">
        <f ca="1">IFERROR(VLOOKUP(EHD[[#This Row],[DEVELOPMENT]],Data[],4,FALSE),"")</f>
        <v/>
      </c>
      <c r="K304" s="1" t="str">
        <f ca="1">IF(EHD[[#This Row],[RAD/PACT]]="","",IF(OR(EHD[[#This Row],[RAD/PACT]]="2021-2025",EHD[[#This Row],[RAD/PACT]]="2019-2020"),"Yes",""))</f>
        <v/>
      </c>
      <c r="L304" s="1"/>
      <c r="M304" s="1"/>
      <c r="N304" s="1"/>
      <c r="O304" s="1"/>
      <c r="P304" s="47">
        <f ca="1">IF(EHD[[#This Row],[RAD/PACT]]="2019-2020",0,INDEX(UnitCosts[],MATCH(EHD[[#This Row],[WORK TYPE]],UnitCosts[Work Type],0),2)*EHD[[#This Row],['# Hopper Doors]])*(1+((EHD[[#This Row],[est. Year]]-YEAR(TODAY()))*$P$2))</f>
        <v>8997.1286349999991</v>
      </c>
      <c r="Q304" s="51">
        <f ca="1">SUM(INDEX(EHD['# Hopper Doors],1):EHD[[#This Row],['# Hopper Doors]])</f>
        <v>3038</v>
      </c>
      <c r="R304" s="47">
        <f t="shared" ca="1" si="4"/>
        <v>1232606.6229950001</v>
      </c>
      <c r="S304" s="1">
        <f ca="1">IF(ISBLANK(EHD[[#This Row],[CALENDAR YEAR]]),ROUNDDOWN(EHD[[#This Row],[Running count]]/500,0)+$S$1,EHD[[#This Row],[CALENDAR YEAR]])</f>
        <v>2026</v>
      </c>
      <c r="T304" s="16"/>
    </row>
    <row r="305" spans="1:20">
      <c r="A305" s="13" t="s">
        <v>386</v>
      </c>
      <c r="B305" s="1" t="str">
        <f>VLOOKUP(A305,Data[],2,FALSE)</f>
        <v>MANHATTAN</v>
      </c>
      <c r="C305" s="9" t="s">
        <v>27</v>
      </c>
      <c r="D305" s="9" t="str">
        <f>VLOOKUP(EHD[[#This Row],[DEVELOPMENT]],Data[],52,FALSE)</f>
        <v>MIXED FINANCE/LLC2</v>
      </c>
      <c r="E305" s="1" t="str">
        <f>VLOOKUP(EHD[[#This Row],[DEVELOPMENT]],Data[],8,FALSE)</f>
        <v>Zone 4</v>
      </c>
      <c r="F305" s="9" t="str">
        <f>VLOOKUP(EHD[[#This Row],[DEVELOPMENT]],all[[DEVELOPMENT]:[MRST Ext. Comp. Priority]],6,FALSE)</f>
        <v>None</v>
      </c>
      <c r="G305" s="9">
        <v>4</v>
      </c>
      <c r="H305" s="1">
        <f>IF(VLOOKUP(EHD[[#This Row],[DEVELOPMENT]],Data[],9,FALSE)=0,5,VLOOKUP(EHD[[#This Row],[DEVELOPMENT]],Data[],9,FALSE))</f>
        <v>5</v>
      </c>
      <c r="I305" s="9">
        <f>EHD[[#This Row],[MRST '#HD]]</f>
        <v>4</v>
      </c>
      <c r="J305" s="1" t="str">
        <f ca="1">IFERROR(VLOOKUP(EHD[[#This Row],[DEVELOPMENT]],Data[],4,FALSE),"")</f>
        <v>2020-2021</v>
      </c>
      <c r="K305" s="1" t="str">
        <f ca="1">IF(EHD[[#This Row],[RAD/PACT]]="","",IF(OR(EHD[[#This Row],[RAD/PACT]]="2021-2025",EHD[[#This Row],[RAD/PACT]]="2019-2020"),"Yes",""))</f>
        <v/>
      </c>
      <c r="L305" s="1"/>
      <c r="M305" s="1"/>
      <c r="N305" s="1"/>
      <c r="O305" s="1"/>
      <c r="P305" s="47">
        <f ca="1">IF(EHD[[#This Row],[RAD/PACT]]="2019-2020",0,INDEX(UnitCosts[],MATCH(EHD[[#This Row],[WORK TYPE]],UnitCosts[Work Type],0),2)*EHD[[#This Row],['# Hopper Doors]])*(1+((EHD[[#This Row],[est. Year]]-YEAR(TODAY()))*$P$2))</f>
        <v>35988.514539999996</v>
      </c>
      <c r="Q305" s="51">
        <f ca="1">SUM(INDEX(EHD['# Hopper Doors],1):EHD[[#This Row],['# Hopper Doors]])</f>
        <v>3042</v>
      </c>
      <c r="R305" s="47">
        <f t="shared" ca="1" si="4"/>
        <v>1268595.137535</v>
      </c>
      <c r="S305" s="1">
        <f ca="1">IF(ISBLANK(EHD[[#This Row],[CALENDAR YEAR]]),ROUNDDOWN(EHD[[#This Row],[Running count]]/500,0)+$S$1,EHD[[#This Row],[CALENDAR YEAR]])</f>
        <v>2026</v>
      </c>
      <c r="T305" s="16"/>
    </row>
    <row r="306" spans="1:20">
      <c r="A306" s="13" t="s">
        <v>388</v>
      </c>
      <c r="B306" s="1" t="str">
        <f>VLOOKUP(A306,Data[],2,FALSE)</f>
        <v>MANHATTAN</v>
      </c>
      <c r="C306" s="9" t="s">
        <v>27</v>
      </c>
      <c r="D306" s="9" t="str">
        <f>VLOOKUP(EHD[[#This Row],[DEVELOPMENT]],Data[],52,FALSE)</f>
        <v>FEDERAL</v>
      </c>
      <c r="E306" s="1" t="str">
        <f>VLOOKUP(EHD[[#This Row],[DEVELOPMENT]],Data[],8,FALSE)</f>
        <v>Zone 4</v>
      </c>
      <c r="F306" s="9" t="str">
        <f>VLOOKUP(EHD[[#This Row],[DEVELOPMENT]],all[[DEVELOPMENT]:[MRST Ext. Comp. Priority]],6,FALSE)</f>
        <v>None</v>
      </c>
      <c r="G306" s="9">
        <v>0</v>
      </c>
      <c r="H306" s="1">
        <f>IF(VLOOKUP(EHD[[#This Row],[DEVELOPMENT]],Data[],9,FALSE)=0,5,VLOOKUP(EHD[[#This Row],[DEVELOPMENT]],Data[],9,FALSE))</f>
        <v>5</v>
      </c>
      <c r="I306" s="9">
        <f>EHD[[#This Row],[MRST '#HD]]</f>
        <v>0</v>
      </c>
      <c r="J306" s="1" t="str">
        <f ca="1">IFERROR(VLOOKUP(EHD[[#This Row],[DEVELOPMENT]],Data[],4,FALSE),"")</f>
        <v/>
      </c>
      <c r="K306" s="1" t="str">
        <f ca="1">IF(EHD[[#This Row],[RAD/PACT]]="","",IF(OR(EHD[[#This Row],[RAD/PACT]]="2021-2025",EHD[[#This Row],[RAD/PACT]]="2019-2020"),"Yes",""))</f>
        <v/>
      </c>
      <c r="L306" s="1"/>
      <c r="M306" s="1"/>
      <c r="N306" s="1"/>
      <c r="O306" s="1"/>
      <c r="P306" s="47">
        <f ca="1">IF(EHD[[#This Row],[RAD/PACT]]="2019-2020",0,INDEX(UnitCosts[],MATCH(EHD[[#This Row],[WORK TYPE]],UnitCosts[Work Type],0),2)*EHD[[#This Row],['# Hopper Doors]])*(1+((EHD[[#This Row],[est. Year]]-YEAR(TODAY()))*$P$2))</f>
        <v>0</v>
      </c>
      <c r="Q306" s="51">
        <f ca="1">SUM(INDEX(EHD['# Hopper Doors],1):EHD[[#This Row],['# Hopper Doors]])</f>
        <v>3042</v>
      </c>
      <c r="R306" s="47">
        <f t="shared" ca="1" si="4"/>
        <v>1268595.137535</v>
      </c>
      <c r="S306" s="1">
        <f ca="1">IF(ISBLANK(EHD[[#This Row],[CALENDAR YEAR]]),ROUNDDOWN(EHD[[#This Row],[Running count]]/500,0)+$S$1,EHD[[#This Row],[CALENDAR YEAR]])</f>
        <v>2026</v>
      </c>
      <c r="T306" s="16"/>
    </row>
    <row r="307" spans="1:20">
      <c r="A307" s="110" t="s">
        <v>389</v>
      </c>
      <c r="B307" s="1" t="str">
        <f>VLOOKUP(A307,Data[],2,FALSE)</f>
        <v>MANHATTAN</v>
      </c>
      <c r="C307" s="9" t="s">
        <v>27</v>
      </c>
      <c r="D307" s="9" t="str">
        <f>VLOOKUP(EHD[[#This Row],[DEVELOPMENT]],Data[],52,FALSE)</f>
        <v>FEDERAL</v>
      </c>
      <c r="E307" s="1" t="str">
        <f>VLOOKUP(EHD[[#This Row],[DEVELOPMENT]],Data[],8,FALSE)</f>
        <v>Zone 4</v>
      </c>
      <c r="F307" s="9" t="str">
        <f>VLOOKUP(EHD[[#This Row],[DEVELOPMENT]],all[[DEVELOPMENT]:[MRST Ext. Comp. Priority]],6,FALSE)</f>
        <v>None</v>
      </c>
      <c r="G307" s="9">
        <v>1</v>
      </c>
      <c r="H307" s="1">
        <f>IF(VLOOKUP(EHD[[#This Row],[DEVELOPMENT]],Data[],9,FALSE)=0,5,VLOOKUP(EHD[[#This Row],[DEVELOPMENT]],Data[],9,FALSE))</f>
        <v>5</v>
      </c>
      <c r="I307" s="9">
        <f>EHD[[#This Row],[MRST '#HD]]</f>
        <v>1</v>
      </c>
      <c r="J307" s="1" t="str">
        <f ca="1">IFERROR(VLOOKUP(EHD[[#This Row],[DEVELOPMENT]],Data[],4,FALSE),"")</f>
        <v/>
      </c>
      <c r="K307" s="1" t="str">
        <f ca="1">IF(EHD[[#This Row],[RAD/PACT]]="","",IF(OR(EHD[[#This Row],[RAD/PACT]]="2021-2025",EHD[[#This Row],[RAD/PACT]]="2019-2020"),"Yes",""))</f>
        <v/>
      </c>
      <c r="L307" s="1"/>
      <c r="M307" s="1"/>
      <c r="N307" s="1"/>
      <c r="O307" s="1"/>
      <c r="P307" s="47">
        <f ca="1">IF(EHD[[#This Row],[RAD/PACT]]="2019-2020",0,INDEX(UnitCosts[],MATCH(EHD[[#This Row],[WORK TYPE]],UnitCosts[Work Type],0),2)*EHD[[#This Row],['# Hopper Doors]])*(1+((EHD[[#This Row],[est. Year]]-YEAR(TODAY()))*$P$2))</f>
        <v>8997.1286349999991</v>
      </c>
      <c r="Q307" s="51">
        <f ca="1">SUM(INDEX(EHD['# Hopper Doors],1):EHD[[#This Row],['# Hopper Doors]])</f>
        <v>3043</v>
      </c>
      <c r="R307" s="47">
        <f t="shared" ca="1" si="4"/>
        <v>1277592.26617</v>
      </c>
      <c r="S307" s="1">
        <f ca="1">IF(ISBLANK(EHD[[#This Row],[CALENDAR YEAR]]),ROUNDDOWN(EHD[[#This Row],[Running count]]/500,0)+$S$1,EHD[[#This Row],[CALENDAR YEAR]])</f>
        <v>2026</v>
      </c>
      <c r="T307" s="16"/>
    </row>
    <row r="308" spans="1:20">
      <c r="A308" s="110" t="s">
        <v>390</v>
      </c>
      <c r="B308" s="1" t="str">
        <f>VLOOKUP(A308,Data[],2,FALSE)</f>
        <v>MANHATTAN</v>
      </c>
      <c r="C308" s="9" t="s">
        <v>27</v>
      </c>
      <c r="D308" s="9" t="str">
        <f>VLOOKUP(EHD[[#This Row],[DEVELOPMENT]],Data[],52,FALSE)</f>
        <v>FEDERAL</v>
      </c>
      <c r="E308" s="1" t="str">
        <f>VLOOKUP(EHD[[#This Row],[DEVELOPMENT]],Data[],8,FALSE)</f>
        <v>Zone 4</v>
      </c>
      <c r="F308" s="9" t="str">
        <f>VLOOKUP(EHD[[#This Row],[DEVELOPMENT]],all[[DEVELOPMENT]:[MRST Ext. Comp. Priority]],6,FALSE)</f>
        <v>None</v>
      </c>
      <c r="G308" s="109">
        <v>2</v>
      </c>
      <c r="H308" s="1">
        <f>IF(VLOOKUP(EHD[[#This Row],[DEVELOPMENT]],Data[],9,FALSE)=0,5,VLOOKUP(EHD[[#This Row],[DEVELOPMENT]],Data[],9,FALSE))</f>
        <v>5</v>
      </c>
      <c r="I308" s="9">
        <f>EHD[[#This Row],[MRST '#HD]]</f>
        <v>2</v>
      </c>
      <c r="J308" s="1" t="str">
        <f ca="1">IFERROR(VLOOKUP(EHD[[#This Row],[DEVELOPMENT]],Data[],4,FALSE),"")</f>
        <v/>
      </c>
      <c r="K308" s="1" t="str">
        <f ca="1">IF(EHD[[#This Row],[RAD/PACT]]="","",IF(OR(EHD[[#This Row],[RAD/PACT]]="2021-2025",EHD[[#This Row],[RAD/PACT]]="2019-2020"),"Yes",""))</f>
        <v/>
      </c>
      <c r="L308" s="1"/>
      <c r="M308" s="1"/>
      <c r="N308" s="1"/>
      <c r="O308" s="1"/>
      <c r="P308" s="47">
        <f ca="1">IF(EHD[[#This Row],[RAD/PACT]]="2019-2020",0,INDEX(UnitCosts[],MATCH(EHD[[#This Row],[WORK TYPE]],UnitCosts[Work Type],0),2)*EHD[[#This Row],['# Hopper Doors]])*(1+((EHD[[#This Row],[est. Year]]-YEAR(TODAY()))*$P$2))</f>
        <v>17994.257269999998</v>
      </c>
      <c r="Q308" s="51">
        <f ca="1">SUM(INDEX(EHD['# Hopper Doors],1):EHD[[#This Row],['# Hopper Doors]])</f>
        <v>3045</v>
      </c>
      <c r="R308" s="47">
        <f t="shared" ca="1" si="4"/>
        <v>1295586.5234399999</v>
      </c>
      <c r="S308" s="1">
        <f ca="1">IF(ISBLANK(EHD[[#This Row],[CALENDAR YEAR]]),ROUNDDOWN(EHD[[#This Row],[Running count]]/500,0)+$S$1,EHD[[#This Row],[CALENDAR YEAR]])</f>
        <v>2026</v>
      </c>
      <c r="T308" s="16"/>
    </row>
    <row r="309" spans="1:20">
      <c r="A309" s="110" t="s">
        <v>391</v>
      </c>
      <c r="B309" s="1" t="str">
        <f>VLOOKUP(A309,Data[],2,FALSE)</f>
        <v>MANHATTAN</v>
      </c>
      <c r="C309" s="9" t="s">
        <v>27</v>
      </c>
      <c r="D309" s="9" t="str">
        <f>VLOOKUP(EHD[[#This Row],[DEVELOPMENT]],Data[],52,FALSE)</f>
        <v>FEDERAL</v>
      </c>
      <c r="E309" s="1">
        <f>VLOOKUP(EHD[[#This Row],[DEVELOPMENT]],Data[],8,FALSE)</f>
        <v>0</v>
      </c>
      <c r="F309" s="9" t="str">
        <f>VLOOKUP(EHD[[#This Row],[DEVELOPMENT]],all[[DEVELOPMENT]:[MRST Ext. Comp. Priority]],6,FALSE)</f>
        <v>None</v>
      </c>
      <c r="G309" s="109">
        <v>2</v>
      </c>
      <c r="H309" s="1">
        <f>IF(VLOOKUP(EHD[[#This Row],[DEVELOPMENT]],Data[],9,FALSE)=0,5,VLOOKUP(EHD[[#This Row],[DEVELOPMENT]],Data[],9,FALSE))</f>
        <v>5</v>
      </c>
      <c r="I309" s="9">
        <f>EHD[[#This Row],[MRST '#HD]]</f>
        <v>2</v>
      </c>
      <c r="J309" s="1" t="str">
        <f ca="1">IFERROR(VLOOKUP(EHD[[#This Row],[DEVELOPMENT]],Data[],4,FALSE),"")</f>
        <v/>
      </c>
      <c r="K309" s="1" t="str">
        <f ca="1">IF(EHD[[#This Row],[RAD/PACT]]="","",IF(OR(EHD[[#This Row],[RAD/PACT]]="2021-2025",EHD[[#This Row],[RAD/PACT]]="2019-2020"),"Yes",""))</f>
        <v/>
      </c>
      <c r="L309" s="1"/>
      <c r="M309" s="1"/>
      <c r="N309" s="1"/>
      <c r="O309" s="1"/>
      <c r="P309" s="47">
        <f ca="1">IF(EHD[[#This Row],[RAD/PACT]]="2019-2020",0,INDEX(UnitCosts[],MATCH(EHD[[#This Row],[WORK TYPE]],UnitCosts[Work Type],0),2)*EHD[[#This Row],['# Hopper Doors]])*(1+((EHD[[#This Row],[est. Year]]-YEAR(TODAY()))*$P$2))</f>
        <v>17994.257269999998</v>
      </c>
      <c r="Q309" s="51">
        <f ca="1">SUM(INDEX(EHD['# Hopper Doors],1):EHD[[#This Row],['# Hopper Doors]])</f>
        <v>3047</v>
      </c>
      <c r="R309" s="47">
        <f t="shared" ca="1" si="4"/>
        <v>1313580.7807099998</v>
      </c>
      <c r="S309" s="1">
        <f ca="1">IF(ISBLANK(EHD[[#This Row],[CALENDAR YEAR]]),ROUNDDOWN(EHD[[#This Row],[Running count]]/500,0)+$S$1,EHD[[#This Row],[CALENDAR YEAR]])</f>
        <v>2026</v>
      </c>
      <c r="T309" s="16"/>
    </row>
    <row r="310" spans="1:20">
      <c r="A310" s="13" t="s">
        <v>374</v>
      </c>
      <c r="B310" s="1" t="str">
        <f>VLOOKUP(A310,Data[],2,FALSE)</f>
        <v>BROOKLYN</v>
      </c>
      <c r="C310" s="9" t="s">
        <v>27</v>
      </c>
      <c r="D310" s="9" t="str">
        <f>VLOOKUP(EHD[[#This Row],[DEVELOPMENT]],Data[],52,FALSE)</f>
        <v>FEDERAL</v>
      </c>
      <c r="E310" s="1">
        <f>VLOOKUP(EHD[[#This Row],[DEVELOPMENT]],Data[],8,FALSE)</f>
        <v>0</v>
      </c>
      <c r="F310" s="9" t="str">
        <f>VLOOKUP(EHD[[#This Row],[DEVELOPMENT]],all[[DEVELOPMENT]:[MRST Ext. Comp. Priority]],6,FALSE)</f>
        <v>None</v>
      </c>
      <c r="G310" s="9">
        <v>1</v>
      </c>
      <c r="H310" s="1">
        <f>IF(VLOOKUP(EHD[[#This Row],[DEVELOPMENT]],Data[],9,FALSE)=0,5,VLOOKUP(EHD[[#This Row],[DEVELOPMENT]],Data[],9,FALSE))</f>
        <v>5</v>
      </c>
      <c r="I310" s="9">
        <f>EHD[[#This Row],[MRST '#HD]]</f>
        <v>1</v>
      </c>
      <c r="J310" s="1" t="str">
        <f ca="1">IFERROR(VLOOKUP(EHD[[#This Row],[DEVELOPMENT]],Data[],4,FALSE),"")</f>
        <v/>
      </c>
      <c r="K310" s="1" t="str">
        <f ca="1">IF(EHD[[#This Row],[RAD/PACT]]="","",IF(OR(EHD[[#This Row],[RAD/PACT]]="2021-2025",EHD[[#This Row],[RAD/PACT]]="2019-2020"),"Yes",""))</f>
        <v/>
      </c>
      <c r="L310" s="1"/>
      <c r="M310" s="1"/>
      <c r="N310" s="1"/>
      <c r="O310" s="1"/>
      <c r="P310" s="47">
        <f ca="1">IF(EHD[[#This Row],[RAD/PACT]]="2019-2020",0,INDEX(UnitCosts[],MATCH(EHD[[#This Row],[WORK TYPE]],UnitCosts[Work Type],0),2)*EHD[[#This Row],['# Hopper Doors]])*(1+((EHD[[#This Row],[est. Year]]-YEAR(TODAY()))*$P$2))</f>
        <v>8997.1286349999991</v>
      </c>
      <c r="Q310" s="51">
        <f ca="1">SUM(INDEX(EHD['# Hopper Doors],1):EHD[[#This Row],['# Hopper Doors]])</f>
        <v>3048</v>
      </c>
      <c r="R310" s="47">
        <f t="shared" ca="1" si="4"/>
        <v>1322577.9093449998</v>
      </c>
      <c r="S310" s="1">
        <f ca="1">IF(ISBLANK(EHD[[#This Row],[CALENDAR YEAR]]),ROUNDDOWN(EHD[[#This Row],[Running count]]/500,0)+$S$1,EHD[[#This Row],[CALENDAR YEAR]])</f>
        <v>2026</v>
      </c>
      <c r="T310" s="16"/>
    </row>
    <row r="311" spans="1:20">
      <c r="A311" s="13" t="s">
        <v>294</v>
      </c>
      <c r="B311" s="1" t="str">
        <f>VLOOKUP(A311,Data[],2,FALSE)</f>
        <v>BROOKLYN</v>
      </c>
      <c r="C311" s="9" t="s">
        <v>27</v>
      </c>
      <c r="D311" s="9" t="str">
        <f>VLOOKUP(EHD[[#This Row],[DEVELOPMENT]],Data[],52,FALSE)</f>
        <v>FEDERAL</v>
      </c>
      <c r="E311" s="1">
        <f>VLOOKUP(EHD[[#This Row],[DEVELOPMENT]],Data[],8,FALSE)</f>
        <v>0</v>
      </c>
      <c r="F311" s="9" t="str">
        <f>VLOOKUP(EHD[[#This Row],[DEVELOPMENT]],all[[DEVELOPMENT]:[MRST Ext. Comp. Priority]],6,FALSE)</f>
        <v>None</v>
      </c>
      <c r="G311" s="9">
        <v>2</v>
      </c>
      <c r="H311" s="1">
        <f>IF(VLOOKUP(EHD[[#This Row],[DEVELOPMENT]],Data[],9,FALSE)=0,5,VLOOKUP(EHD[[#This Row],[DEVELOPMENT]],Data[],9,FALSE))</f>
        <v>5</v>
      </c>
      <c r="I311" s="9">
        <f>EHD[[#This Row],[MRST '#HD]]</f>
        <v>2</v>
      </c>
      <c r="J311" s="1">
        <f ca="1">IFERROR(VLOOKUP(EHD[[#This Row],[DEVELOPMENT]],Data[],4,FALSE),"")</f>
        <v>2019</v>
      </c>
      <c r="K311" s="1" t="str">
        <f ca="1">IF(EHD[[#This Row],[RAD/PACT]]="","",IF(OR(EHD[[#This Row],[RAD/PACT]]="2021-2025",EHD[[#This Row],[RAD/PACT]]="2019-2020"),"Yes",""))</f>
        <v/>
      </c>
      <c r="L311" s="1"/>
      <c r="M311" s="1"/>
      <c r="N311" s="1"/>
      <c r="O311" s="1"/>
      <c r="P311" s="47">
        <f ca="1">IF(EHD[[#This Row],[RAD/PACT]]="2019-2020",0,INDEX(UnitCosts[],MATCH(EHD[[#This Row],[WORK TYPE]],UnitCosts[Work Type],0),2)*EHD[[#This Row],['# Hopper Doors]])*(1+((EHD[[#This Row],[est. Year]]-YEAR(TODAY()))*$P$2))</f>
        <v>17994.257269999998</v>
      </c>
      <c r="Q311" s="51">
        <f ca="1">SUM(INDEX(EHD['# Hopper Doors],1):EHD[[#This Row],['# Hopper Doors]])</f>
        <v>3050</v>
      </c>
      <c r="R311" s="47">
        <f t="shared" ca="1" si="4"/>
        <v>1340572.1666149998</v>
      </c>
      <c r="S311" s="1">
        <f ca="1">IF(ISBLANK(EHD[[#This Row],[CALENDAR YEAR]]),ROUNDDOWN(EHD[[#This Row],[Running count]]/500,0)+$S$1,EHD[[#This Row],[CALENDAR YEAR]])</f>
        <v>2026</v>
      </c>
      <c r="T311" s="16"/>
    </row>
    <row r="312" spans="1:20">
      <c r="A312" s="13" t="s">
        <v>299</v>
      </c>
      <c r="B312" s="1" t="str">
        <f>VLOOKUP(A312,Data[],2,FALSE)</f>
        <v>BROOKLYN</v>
      </c>
      <c r="C312" s="9" t="s">
        <v>27</v>
      </c>
      <c r="D312" s="9" t="str">
        <f>VLOOKUP(EHD[[#This Row],[DEVELOPMENT]],Data[],52,FALSE)</f>
        <v>FEDERAL</v>
      </c>
      <c r="E312" s="1">
        <f>VLOOKUP(EHD[[#This Row],[DEVELOPMENT]],Data[],8,FALSE)</f>
        <v>0</v>
      </c>
      <c r="F312" s="9" t="str">
        <f>VLOOKUP(EHD[[#This Row],[DEVELOPMENT]],all[[DEVELOPMENT]:[MRST Ext. Comp. Priority]],6,FALSE)</f>
        <v>None</v>
      </c>
      <c r="G312" s="9">
        <v>1</v>
      </c>
      <c r="H312" s="1">
        <f>IF(VLOOKUP(EHD[[#This Row],[DEVELOPMENT]],Data[],9,FALSE)=0,5,VLOOKUP(EHD[[#This Row],[DEVELOPMENT]],Data[],9,FALSE))</f>
        <v>5</v>
      </c>
      <c r="I312" s="9">
        <f>EHD[[#This Row],[MRST '#HD]]</f>
        <v>1</v>
      </c>
      <c r="J312" s="1" t="str">
        <f ca="1">IFERROR(VLOOKUP(EHD[[#This Row],[DEVELOPMENT]],Data[],4,FALSE),"")</f>
        <v/>
      </c>
      <c r="K312" s="1" t="str">
        <f ca="1">IF(EHD[[#This Row],[RAD/PACT]]="","",IF(OR(EHD[[#This Row],[RAD/PACT]]="2021-2025",EHD[[#This Row],[RAD/PACT]]="2019-2020"),"Yes",""))</f>
        <v/>
      </c>
      <c r="L312" s="1"/>
      <c r="M312" s="1"/>
      <c r="N312" s="1"/>
      <c r="O312" s="1"/>
      <c r="P312" s="47">
        <f ca="1">IF(EHD[[#This Row],[RAD/PACT]]="2019-2020",0,INDEX(UnitCosts[],MATCH(EHD[[#This Row],[WORK TYPE]],UnitCosts[Work Type],0),2)*EHD[[#This Row],['# Hopper Doors]])*(1+((EHD[[#This Row],[est. Year]]-YEAR(TODAY()))*$P$2))</f>
        <v>8997.1286349999991</v>
      </c>
      <c r="Q312" s="51">
        <f ca="1">SUM(INDEX(EHD['# Hopper Doors],1):EHD[[#This Row],['# Hopper Doors]])</f>
        <v>3051</v>
      </c>
      <c r="R312" s="47">
        <f t="shared" ca="1" si="4"/>
        <v>1349569.2952499997</v>
      </c>
      <c r="S312" s="1">
        <f ca="1">IF(ISBLANK(EHD[[#This Row],[CALENDAR YEAR]]),ROUNDDOWN(EHD[[#This Row],[Running count]]/500,0)+$S$1,EHD[[#This Row],[CALENDAR YEAR]])</f>
        <v>2026</v>
      </c>
      <c r="T312" s="16"/>
    </row>
    <row r="313" spans="1:20">
      <c r="A313" s="110" t="s">
        <v>377</v>
      </c>
      <c r="B313" s="1" t="str">
        <f>VLOOKUP(A313,Data[],2,FALSE)</f>
        <v>MANHATTAN</v>
      </c>
      <c r="C313" s="9" t="s">
        <v>27</v>
      </c>
      <c r="D313" s="9" t="str">
        <f>VLOOKUP(EHD[[#This Row],[DEVELOPMENT]],Data[],52,FALSE)</f>
        <v>FEDERAL</v>
      </c>
      <c r="E313" s="1">
        <f>VLOOKUP(EHD[[#This Row],[DEVELOPMENT]],Data[],8,FALSE)</f>
        <v>0</v>
      </c>
      <c r="F313" s="9" t="str">
        <f>VLOOKUP(EHD[[#This Row],[DEVELOPMENT]],all[[DEVELOPMENT]:[MRST Ext. Comp. Priority]],6,FALSE)</f>
        <v>None</v>
      </c>
      <c r="G313" s="109">
        <v>3</v>
      </c>
      <c r="H313" s="1">
        <f>IF(VLOOKUP(EHD[[#This Row],[DEVELOPMENT]],Data[],9,FALSE)=0,5,VLOOKUP(EHD[[#This Row],[DEVELOPMENT]],Data[],9,FALSE))</f>
        <v>5</v>
      </c>
      <c r="I313" s="9">
        <f>EHD[[#This Row],[MRST '#HD]]</f>
        <v>3</v>
      </c>
      <c r="J313" s="1" t="str">
        <f ca="1">IFERROR(VLOOKUP(EHD[[#This Row],[DEVELOPMENT]],Data[],4,FALSE),"")</f>
        <v/>
      </c>
      <c r="K313" s="1" t="str">
        <f ca="1">IF(EHD[[#This Row],[RAD/PACT]]="","",IF(OR(EHD[[#This Row],[RAD/PACT]]="2021-2025",EHD[[#This Row],[RAD/PACT]]="2019-2020"),"Yes",""))</f>
        <v/>
      </c>
      <c r="L313" s="1"/>
      <c r="M313" s="1"/>
      <c r="N313" s="1"/>
      <c r="O313" s="1"/>
      <c r="P313" s="47">
        <f ca="1">IF(EHD[[#This Row],[RAD/PACT]]="2019-2020",0,INDEX(UnitCosts[],MATCH(EHD[[#This Row],[WORK TYPE]],UnitCosts[Work Type],0),2)*EHD[[#This Row],['# Hopper Doors]])*(1+((EHD[[#This Row],[est. Year]]-YEAR(TODAY()))*$P$2))</f>
        <v>26991.385905000003</v>
      </c>
      <c r="Q313" s="51">
        <f ca="1">SUM(INDEX(EHD['# Hopper Doors],1):EHD[[#This Row],['# Hopper Doors]])</f>
        <v>3054</v>
      </c>
      <c r="R313" s="47">
        <f t="shared" ca="1" si="4"/>
        <v>1376560.6811549996</v>
      </c>
      <c r="S313" s="1">
        <f ca="1">IF(ISBLANK(EHD[[#This Row],[CALENDAR YEAR]]),ROUNDDOWN(EHD[[#This Row],[Running count]]/500,0)+$S$1,EHD[[#This Row],[CALENDAR YEAR]])</f>
        <v>2026</v>
      </c>
      <c r="T313" s="16"/>
    </row>
    <row r="314" spans="1:20">
      <c r="A314" s="139" t="s">
        <v>378</v>
      </c>
      <c r="B314" s="36" t="str">
        <f>VLOOKUP(A314,Data[],2,FALSE)</f>
        <v>MANHATTAN</v>
      </c>
      <c r="C314" s="24" t="s">
        <v>27</v>
      </c>
      <c r="D314" s="24" t="str">
        <f>VLOOKUP(EHD[[#This Row],[DEVELOPMENT]],Data[],52,FALSE)</f>
        <v>FEDERAL</v>
      </c>
      <c r="E314" s="36">
        <f>VLOOKUP(EHD[[#This Row],[DEVELOPMENT]],Data[],8,FALSE)</f>
        <v>0</v>
      </c>
      <c r="F314" s="24" t="str">
        <f>VLOOKUP(EHD[[#This Row],[DEVELOPMENT]],all[[DEVELOPMENT]:[MRST Ext. Comp. Priority]],6,FALSE)</f>
        <v>None</v>
      </c>
      <c r="G314" s="140">
        <v>1</v>
      </c>
      <c r="H314" s="36">
        <f>IF(VLOOKUP(EHD[[#This Row],[DEVELOPMENT]],Data[],9,FALSE)=0,5,VLOOKUP(EHD[[#This Row],[DEVELOPMENT]],Data[],9,FALSE))</f>
        <v>5</v>
      </c>
      <c r="I314" s="24">
        <f>EHD[[#This Row],[MRST '#HD]]</f>
        <v>1</v>
      </c>
      <c r="J314" s="36" t="str">
        <f ca="1">IFERROR(VLOOKUP(EHD[[#This Row],[DEVELOPMENT]],Data[],4,FALSE),"")</f>
        <v/>
      </c>
      <c r="K314" s="36" t="str">
        <f ca="1">IF(EHD[[#This Row],[RAD/PACT]]="","",IF(OR(EHD[[#This Row],[RAD/PACT]]="2021-2025",EHD[[#This Row],[RAD/PACT]]="2019-2020"),"Yes",""))</f>
        <v/>
      </c>
      <c r="L314" s="36"/>
      <c r="M314" s="36"/>
      <c r="N314" s="36"/>
      <c r="O314" s="36"/>
      <c r="P314" s="47">
        <f ca="1">IF(EHD[[#This Row],[RAD/PACT]]="2019-2020",0,INDEX(UnitCosts[],MATCH(EHD[[#This Row],[WORK TYPE]],UnitCosts[Work Type],0),2)*EHD[[#This Row],['# Hopper Doors]])*(1+((EHD[[#This Row],[est. Year]]-YEAR(TODAY()))*$P$2))</f>
        <v>8997.1286349999991</v>
      </c>
      <c r="Q314" s="62">
        <f ca="1">SUM(INDEX(EHD['# Hopper Doors],1):EHD[[#This Row],['# Hopper Doors]])</f>
        <v>3055</v>
      </c>
      <c r="R314" s="53">
        <f t="shared" ca="1" si="4"/>
        <v>1385557.8097899996</v>
      </c>
      <c r="S314" s="1">
        <f ca="1">IF(ISBLANK(EHD[[#This Row],[CALENDAR YEAR]]),ROUNDDOWN(EHD[[#This Row],[Running count]]/500,0)+$S$1,EHD[[#This Row],[CALENDAR YEAR]])</f>
        <v>2026</v>
      </c>
      <c r="T314" s="79"/>
    </row>
  </sheetData>
  <conditionalFormatting sqref="B4:B314 A3:D3 E3:E4 F3:G3 I3:R3 J4:O4 H3:H4">
    <cfRule type="containsErrors" dxfId="399" priority="15">
      <formula>ISERROR(A3)</formula>
    </cfRule>
  </conditionalFormatting>
  <conditionalFormatting sqref="R3">
    <cfRule type="expression" dxfId="398" priority="14">
      <formula>R3&gt;R4</formula>
    </cfRule>
  </conditionalFormatting>
  <conditionalFormatting sqref="C4:I314">
    <cfRule type="containsErrors" dxfId="397" priority="7">
      <formula>ISERROR(C4)</formula>
    </cfRule>
  </conditionalFormatting>
  <conditionalFormatting sqref="P4">
    <cfRule type="containsErrors" dxfId="396" priority="8">
      <formula>ISERROR(P4)</formula>
    </cfRule>
  </conditionalFormatting>
  <conditionalFormatting sqref="A4:A314">
    <cfRule type="containsErrors" dxfId="395" priority="9">
      <formula>ISERROR(A4)</formula>
    </cfRule>
  </conditionalFormatting>
  <conditionalFormatting sqref="R4">
    <cfRule type="containsErrors" dxfId="394" priority="6">
      <formula>ISERROR(R4)</formula>
    </cfRule>
  </conditionalFormatting>
  <conditionalFormatting sqref="R4">
    <cfRule type="expression" dxfId="393" priority="5">
      <formula>R4&gt;R5</formula>
    </cfRule>
  </conditionalFormatting>
  <conditionalFormatting sqref="L238:M238">
    <cfRule type="containsErrors" dxfId="392" priority="4">
      <formula>ISERROR(L238)</formula>
    </cfRule>
  </conditionalFormatting>
  <conditionalFormatting sqref="L5:M30">
    <cfRule type="containsErrors" dxfId="391" priority="3">
      <formula>ISERROR(L5)</formula>
    </cfRule>
  </conditionalFormatting>
  <conditionalFormatting sqref="S1:S314">
    <cfRule type="containsErrors" dxfId="390" priority="2">
      <formula>ISERROR(S1)</formula>
    </cfRule>
  </conditionalFormatting>
  <conditionalFormatting sqref="Q4">
    <cfRule type="containsErrors" dxfId="389" priority="1">
      <formula>ISERROR(Q4)</formula>
    </cfRule>
  </conditionalFormatting>
  <conditionalFormatting sqref="A4:A314">
    <cfRule type="duplicateValues" dxfId="388" priority="61"/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X314"/>
  <sheetViews>
    <sheetView zoomScale="85" workbookViewId="0">
      <pane xSplit="1" ySplit="3" topLeftCell="N23" activePane="bottomRight" state="frozen"/>
      <selection pane="bottomRight" activeCell="R71" sqref="R71"/>
      <selection pane="bottomLeft" activeCell="A4" sqref="A4"/>
      <selection pane="topRight" activeCell="B1" sqref="B1"/>
    </sheetView>
  </sheetViews>
  <sheetFormatPr defaultColWidth="8.7109375" defaultRowHeight="14.45"/>
  <cols>
    <col min="1" max="1" width="58" bestFit="1" customWidth="1"/>
    <col min="2" max="2" width="14.7109375" bestFit="1" customWidth="1"/>
    <col min="3" max="3" width="19.42578125" bestFit="1" customWidth="1"/>
    <col min="4" max="4" width="20" bestFit="1" customWidth="1"/>
    <col min="5" max="5" width="7.42578125" bestFit="1" customWidth="1"/>
    <col min="6" max="6" width="29.28515625" bestFit="1" customWidth="1"/>
    <col min="7" max="7" width="22.7109375" bestFit="1" customWidth="1"/>
    <col min="8" max="8" width="7" customWidth="1"/>
    <col min="9" max="9" width="12.42578125" bestFit="1" customWidth="1"/>
    <col min="10" max="10" width="13.7109375" bestFit="1" customWidth="1"/>
    <col min="11" max="11" width="12.42578125" bestFit="1" customWidth="1"/>
    <col min="12" max="12" width="19.7109375" bestFit="1" customWidth="1"/>
    <col min="13" max="13" width="16.28515625" bestFit="1" customWidth="1"/>
    <col min="14" max="14" width="21.140625" bestFit="1" customWidth="1"/>
    <col min="15" max="15" width="18" bestFit="1" customWidth="1"/>
    <col min="16" max="16" width="14.28515625" bestFit="1" customWidth="1"/>
    <col min="17" max="17" width="17.7109375" bestFit="1" customWidth="1"/>
    <col min="18" max="18" width="15.28515625" bestFit="1" customWidth="1"/>
    <col min="19" max="19" width="8.42578125" bestFit="1" customWidth="1"/>
    <col min="20" max="20" width="25.7109375" bestFit="1" customWidth="1"/>
    <col min="21" max="21" width="11" bestFit="1" customWidth="1"/>
    <col min="22" max="22" width="19.140625" bestFit="1" customWidth="1"/>
    <col min="23" max="23" width="43.7109375" style="20" bestFit="1" customWidth="1"/>
    <col min="24" max="24" width="16.28515625" style="5" bestFit="1" customWidth="1"/>
  </cols>
  <sheetData>
    <row r="1" spans="1:24">
      <c r="R1" t="s">
        <v>2213</v>
      </c>
      <c r="U1">
        <v>2021</v>
      </c>
      <c r="V1" s="99" t="e">
        <f>SUM(IntComp[Estimate])</f>
        <v>#N/A</v>
      </c>
      <c r="W1" s="106"/>
      <c r="X1"/>
    </row>
    <row r="2" spans="1:24">
      <c r="R2" s="61">
        <v>3.5000000000000003E-2</v>
      </c>
      <c r="V2" s="5"/>
      <c r="X2"/>
    </row>
    <row r="3" spans="1:24" s="44" customFormat="1">
      <c r="A3" s="96" t="s">
        <v>7</v>
      </c>
      <c r="B3" s="96" t="s">
        <v>5</v>
      </c>
      <c r="C3" s="96" t="s">
        <v>11</v>
      </c>
      <c r="D3" s="96" t="s">
        <v>2214</v>
      </c>
      <c r="E3" s="96" t="s">
        <v>8</v>
      </c>
      <c r="F3" s="96" t="s">
        <v>2215</v>
      </c>
      <c r="G3" s="96" t="s">
        <v>2210</v>
      </c>
      <c r="H3" s="96" t="s">
        <v>2216</v>
      </c>
      <c r="I3" s="96" t="s">
        <v>2217</v>
      </c>
      <c r="J3" s="96" t="s">
        <v>2218</v>
      </c>
      <c r="K3" s="96" t="s">
        <v>10</v>
      </c>
      <c r="L3" s="96" t="s">
        <v>2219</v>
      </c>
      <c r="M3" s="96" t="s">
        <v>2220</v>
      </c>
      <c r="N3" s="96" t="s">
        <v>2221</v>
      </c>
      <c r="O3" s="96" t="s">
        <v>17</v>
      </c>
      <c r="P3" s="96" t="s">
        <v>18</v>
      </c>
      <c r="Q3" s="96" t="s">
        <v>19</v>
      </c>
      <c r="R3" s="96" t="s">
        <v>2222</v>
      </c>
      <c r="S3" s="96" t="s">
        <v>3</v>
      </c>
      <c r="T3" s="96" t="s">
        <v>442</v>
      </c>
      <c r="U3" s="96" t="s">
        <v>445</v>
      </c>
      <c r="V3" s="97" t="s">
        <v>443</v>
      </c>
      <c r="W3" s="208" t="s">
        <v>24</v>
      </c>
    </row>
    <row r="4" spans="1:24">
      <c r="A4" s="1" t="s">
        <v>40</v>
      </c>
      <c r="B4" s="1" t="str">
        <f>VLOOKUP(A4,Data[],2,FALSE)</f>
        <v>BRONX</v>
      </c>
      <c r="C4" s="9" t="s">
        <v>106</v>
      </c>
      <c r="D4" s="9" t="str">
        <f>VLOOKUP(IntComp[[#This Row],[DEVELOPMENT]],Data[],52,FALSE)</f>
        <v>FEDERAL</v>
      </c>
      <c r="E4" s="9" t="str">
        <f>VLOOKUP(IntComp[[#This Row],[DEVELOPMENT]],Data[],8,FALSE)</f>
        <v>Zone 1</v>
      </c>
      <c r="F4" s="9">
        <f>VLOOKUP(IntComp[[#This Row],[DEVELOPMENT]],all[[DEVELOPMENT]:[MRST Ext. Comp. Priority]],13,FALSE)</f>
        <v>3</v>
      </c>
      <c r="G4" s="9">
        <f>IF(VLOOKUP(IntComp[[#This Row],[DEVELOPMENT]],Data[],9,FALSE)=0,5,VLOOKUP(IntComp[[#This Row],[DEVELOPMENT]],Data[],9,FALSE))</f>
        <v>3</v>
      </c>
      <c r="H4" s="9">
        <f>VLOOKUP(IntComp[[#This Row],[DEVELOPMENT]],Data[],7,FALSE)</f>
        <v>1083</v>
      </c>
      <c r="I4" s="9">
        <f>VLOOKUP(IntComp[[#This Row],[DEVELOPMENT]],Data[],5,FALSE)</f>
        <v>10</v>
      </c>
      <c r="J4" s="9"/>
      <c r="K4" s="9" t="str">
        <f ca="1">IFERROR(VLOOKUP(IntComp[[#This Row],[DEVELOPMENT]],Data[],4,FALSE),"")</f>
        <v/>
      </c>
      <c r="L4" s="9" t="str">
        <f ca="1">IF(IntComp[[#This Row],[RAD/PACT]]="","",IF(OR(IntComp[[#This Row],[RAD/PACT]]="2022-2025",IntComp[[#This Row],[RAD/PACT]]=2019,IntComp[[#This Row],[RAD/PACT]]="2020-2021"),"Yes",""))</f>
        <v/>
      </c>
      <c r="M4" s="1">
        <f ca="1">IF(VLOOKUP(IntComp[[#This Row],[DEVELOPMENT]],Data[],10,FALSE)=0,-1,DATEDIF(VLOOKUP(IntComp[[#This Row],[DEVELOPMENT]],Data[],12,FALSE),TODAY(),"Y"))</f>
        <v>1</v>
      </c>
      <c r="N4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4" s="1">
        <v>2019</v>
      </c>
      <c r="P4" s="1">
        <v>2020</v>
      </c>
      <c r="Q4" s="1" t="s">
        <v>20</v>
      </c>
      <c r="R4" s="47">
        <f>VLOOKUP(IntComp[[#This Row],[DEVELOPMENT]],CPD_Int[],11,FALSE)</f>
        <v>1005592</v>
      </c>
      <c r="S4" s="1">
        <f ca="1">SUM(INDEX(IntComp['# to Replace (MRST)],1):IntComp[[#This Row],['# to Replace (MRST)]])-272</f>
        <v>-272</v>
      </c>
      <c r="T4" s="1" t="s">
        <v>2223</v>
      </c>
      <c r="U4" s="1">
        <f>IF(ISBLANK(IntComp[[#This Row],[CALENDAR YEAR]]),ROUNDDOWN(IntComp[[#This Row],[Count]]/190,0)+$U$1,IntComp[[#This Row],[CALENDAR YEAR]])</f>
        <v>2019</v>
      </c>
      <c r="V4" s="3">
        <f t="shared" ref="V4:V5" si="0">IF(U4=U3,R4+V3,R4)</f>
        <v>1005592</v>
      </c>
      <c r="W4" s="51"/>
      <c r="X4"/>
    </row>
    <row r="5" spans="1:24">
      <c r="A5" s="9" t="s">
        <v>32</v>
      </c>
      <c r="B5" s="1" t="str">
        <f>VLOOKUP(A5,Data[],2,FALSE)</f>
        <v>BRONX</v>
      </c>
      <c r="C5" s="9" t="s">
        <v>106</v>
      </c>
      <c r="D5" s="9" t="str">
        <f>VLOOKUP(IntComp[[#This Row],[DEVELOPMENT]],Data[],52,FALSE)</f>
        <v>FEDERAL</v>
      </c>
      <c r="E5" s="9" t="str">
        <f>VLOOKUP(IntComp[[#This Row],[DEVELOPMENT]],Data[],8,FALSE)</f>
        <v>Zone 1</v>
      </c>
      <c r="F5" s="9">
        <f>VLOOKUP(IntComp[[#This Row],[DEVELOPMENT]],all[[DEVELOPMENT]:[MRST Ext. Comp. Priority]],13,FALSE)</f>
        <v>3</v>
      </c>
      <c r="G5" s="9">
        <f>IF(VLOOKUP(IntComp[[#This Row],[DEVELOPMENT]],Data[],9,FALSE)=0,5,VLOOKUP(IntComp[[#This Row],[DEVELOPMENT]],Data[],9,FALSE))</f>
        <v>4</v>
      </c>
      <c r="H5" s="9">
        <f>VLOOKUP(IntComp[[#This Row],[DEVELOPMENT]],Data[],7,FALSE)</f>
        <v>107</v>
      </c>
      <c r="I5" s="9">
        <f>VLOOKUP(IntComp[[#This Row],[DEVELOPMENT]],Data[],5,FALSE)</f>
        <v>5</v>
      </c>
      <c r="J5" s="9"/>
      <c r="K5" s="9" t="str">
        <f ca="1">IFERROR(VLOOKUP(IntComp[[#This Row],[DEVELOPMENT]],Data[],4,FALSE),"")</f>
        <v>2022-2025</v>
      </c>
      <c r="L5" s="9" t="str">
        <f ca="1">IF(IntComp[[#This Row],[RAD/PACT]]="","",IF(OR(IntComp[[#This Row],[RAD/PACT]]="2022-2025",IntComp[[#This Row],[RAD/PACT]]=2019,IntComp[[#This Row],[RAD/PACT]]="2020-2021"),"Yes",""))</f>
        <v>Yes</v>
      </c>
      <c r="M5" s="1">
        <f ca="1">IF(VLOOKUP(IntComp[[#This Row],[DEVELOPMENT]],Data[],10,FALSE)=0,-1,DATEDIF(VLOOKUP(IntComp[[#This Row],[DEVELOPMENT]],Data[],12,FALSE),TODAY(),"Y"))</f>
        <v>23</v>
      </c>
      <c r="N5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5" s="1">
        <v>2019</v>
      </c>
      <c r="P5" s="1">
        <v>2020</v>
      </c>
      <c r="Q5" s="1" t="s">
        <v>20</v>
      </c>
      <c r="R5" s="47" t="e">
        <f>VLOOKUP(IntComp[[#This Row],[DEVELOPMENT]],CPD_Int[],11,FALSE)</f>
        <v>#N/A</v>
      </c>
      <c r="S5" s="1">
        <f ca="1">SUM(INDEX(IntComp['# to Replace (MRST)],1):IntComp[[#This Row],['# to Replace (MRST)]])-272</f>
        <v>-272</v>
      </c>
      <c r="T5" s="1" t="s">
        <v>2223</v>
      </c>
      <c r="U5" s="1">
        <f>IF(ISBLANK(IntComp[[#This Row],[CALENDAR YEAR]]),ROUNDDOWN(IntComp[[#This Row],[Count]]/190,0)+$U$1,IntComp[[#This Row],[CALENDAR YEAR]])</f>
        <v>2019</v>
      </c>
      <c r="V5" s="3" t="e">
        <f t="shared" si="0"/>
        <v>#N/A</v>
      </c>
      <c r="W5" s="51"/>
      <c r="X5"/>
    </row>
    <row r="6" spans="1:24">
      <c r="A6" s="86" t="s">
        <v>57</v>
      </c>
      <c r="B6" s="1" t="str">
        <f>VLOOKUP(A6,Data[],2,FALSE)</f>
        <v>MANHATTAN</v>
      </c>
      <c r="C6" s="9" t="s">
        <v>106</v>
      </c>
      <c r="D6" s="9" t="str">
        <f>VLOOKUP(IntComp[[#This Row],[DEVELOPMENT]],Data[],52,FALSE)</f>
        <v>FEDERAL</v>
      </c>
      <c r="E6" s="9" t="str">
        <f>VLOOKUP(IntComp[[#This Row],[DEVELOPMENT]],Data[],8,FALSE)</f>
        <v>Zone 1</v>
      </c>
      <c r="F6" s="9">
        <f>VLOOKUP(IntComp[[#This Row],[DEVELOPMENT]],all[[DEVELOPMENT]:[MRST Ext. Comp. Priority]],13,FALSE)</f>
        <v>2</v>
      </c>
      <c r="G6" s="9">
        <f>IF(VLOOKUP(IntComp[[#This Row],[DEVELOPMENT]],Data[],9,FALSE)=0,5,VLOOKUP(IntComp[[#This Row],[DEVELOPMENT]],Data[],9,FALSE))</f>
        <v>3</v>
      </c>
      <c r="H6" s="9">
        <f>VLOOKUP(IntComp[[#This Row],[DEVELOPMENT]],Data[],7,FALSE)</f>
        <v>107</v>
      </c>
      <c r="I6" s="9">
        <f>VLOOKUP(IntComp[[#This Row],[DEVELOPMENT]],Data[],5,FALSE)</f>
        <v>1</v>
      </c>
      <c r="J6" s="9"/>
      <c r="K6" s="9" t="str">
        <f ca="1">IFERROR(VLOOKUP(IntComp[[#This Row],[DEVELOPMENT]],Data[],4,FALSE),"")</f>
        <v/>
      </c>
      <c r="L6" s="9" t="str">
        <f ca="1">IF(IntComp[[#This Row],[RAD/PACT]]="","",IF(OR(IntComp[[#This Row],[RAD/PACT]]="2022-2025",IntComp[[#This Row],[RAD/PACT]]=2019,IntComp[[#This Row],[RAD/PACT]]="2020-2021"),"Yes",""))</f>
        <v/>
      </c>
      <c r="M6" s="1">
        <f ca="1">IF(VLOOKUP(IntComp[[#This Row],[DEVELOPMENT]],Data[],10,FALSE)=0,-1,DATEDIF(VLOOKUP(IntComp[[#This Row],[DEVELOPMENT]],Data[],12,FALSE),TODAY(),"Y"))</f>
        <v>20</v>
      </c>
      <c r="N6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6" s="1">
        <v>2019</v>
      </c>
      <c r="P6" s="1">
        <v>2020</v>
      </c>
      <c r="Q6" s="1" t="str">
        <f>IF(VLOOKUP(IntComp[[#This Row],[DEVELOPMENT]],CPD_Int[],20,FALSE)=1,"COMPLETED","IN PROGRESS")</f>
        <v>COMPLETED</v>
      </c>
      <c r="R6" s="47">
        <f>VLOOKUP(IntComp[[#This Row],[DEVELOPMENT]],CPD_Int[],11,FALSE)</f>
        <v>53023</v>
      </c>
      <c r="S6" s="1">
        <f ca="1">SUM(INDEX(IntComp['# to Replace (MRST)],1):IntComp[[#This Row],['# to Replace (MRST)]])-272</f>
        <v>-271</v>
      </c>
      <c r="T6" s="1" t="s">
        <v>2223</v>
      </c>
      <c r="U6" s="1">
        <f>IF(ISBLANK(IntComp[[#This Row],[CALENDAR YEAR]]),ROUNDDOWN(IntComp[[#This Row],[Count]]/190,0)+$U$1,IntComp[[#This Row],[CALENDAR YEAR]])</f>
        <v>2019</v>
      </c>
      <c r="V6" s="3" t="e">
        <f t="shared" ref="V6:V69" si="1">IF(U6=U5,R6+V5,R6)</f>
        <v>#N/A</v>
      </c>
      <c r="W6" s="51"/>
      <c r="X6"/>
    </row>
    <row r="7" spans="1:24">
      <c r="A7" s="9" t="s">
        <v>65</v>
      </c>
      <c r="B7" s="1" t="str">
        <f>VLOOKUP(A7,Data[],2,FALSE)</f>
        <v>MANHATTAN</v>
      </c>
      <c r="C7" s="9" t="s">
        <v>106</v>
      </c>
      <c r="D7" s="9" t="str">
        <f>VLOOKUP(IntComp[[#This Row],[DEVELOPMENT]],Data[],52,FALSE)</f>
        <v>FEDERAL</v>
      </c>
      <c r="E7" s="9" t="str">
        <f>VLOOKUP(IntComp[[#This Row],[DEVELOPMENT]],Data[],8,FALSE)</f>
        <v>Zone 1</v>
      </c>
      <c r="F7" s="9" t="str">
        <f>VLOOKUP(IntComp[[#This Row],[DEVELOPMENT]],all[[DEVELOPMENT]:[MRST Ext. Comp. Priority]],13,FALSE)</f>
        <v>None</v>
      </c>
      <c r="G7" s="9">
        <f>IF(VLOOKUP(IntComp[[#This Row],[DEVELOPMENT]],Data[],9,FALSE)=0,5,VLOOKUP(IntComp[[#This Row],[DEVELOPMENT]],Data[],9,FALSE))</f>
        <v>4</v>
      </c>
      <c r="H7" s="9">
        <f>VLOOKUP(IntComp[[#This Row],[DEVELOPMENT]],Data[],7,FALSE)</f>
        <v>360</v>
      </c>
      <c r="I7" s="9">
        <f>VLOOKUP(IntComp[[#This Row],[DEVELOPMENT]],Data[],5,FALSE)</f>
        <v>2</v>
      </c>
      <c r="J7" s="9"/>
      <c r="K7" s="9" t="str">
        <f ca="1">IFERROR(VLOOKUP(IntComp[[#This Row],[DEVELOPMENT]],Data[],4,FALSE),"")</f>
        <v/>
      </c>
      <c r="L7" s="9" t="str">
        <f ca="1">IF(IntComp[[#This Row],[RAD/PACT]]="","",IF(OR(IntComp[[#This Row],[RAD/PACT]]="2022-2025",IntComp[[#This Row],[RAD/PACT]]=2019,IntComp[[#This Row],[RAD/PACT]]="2020-2021"),"Yes",""))</f>
        <v/>
      </c>
      <c r="M7" s="1">
        <f ca="1">IF(VLOOKUP(IntComp[[#This Row],[DEVELOPMENT]],Data[],10,FALSE)=0,-1,DATEDIF(VLOOKUP(IntComp[[#This Row],[DEVELOPMENT]],Data[],12,FALSE),TODAY(),"Y"))</f>
        <v>2</v>
      </c>
      <c r="N7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7" s="1">
        <v>2019</v>
      </c>
      <c r="P7" s="1">
        <v>2020</v>
      </c>
      <c r="Q7" s="1" t="s">
        <v>20</v>
      </c>
      <c r="R7" s="47">
        <f>VLOOKUP(IntComp[[#This Row],[DEVELOPMENT]],CPD_Int[],11,FALSE)</f>
        <v>0</v>
      </c>
      <c r="S7" s="1">
        <f ca="1">SUM(INDEX(IntComp['# to Replace (MRST)],1):IntComp[[#This Row],['# to Replace (MRST)]])-272</f>
        <v>-271</v>
      </c>
      <c r="T7" s="1" t="s">
        <v>2223</v>
      </c>
      <c r="U7" s="1">
        <f>IF(ISBLANK(IntComp[[#This Row],[CALENDAR YEAR]]),ROUNDDOWN(IntComp[[#This Row],[Count]]/190,0)+$U$1,IntComp[[#This Row],[CALENDAR YEAR]])</f>
        <v>2019</v>
      </c>
      <c r="V7" s="3" t="e">
        <f t="shared" si="1"/>
        <v>#N/A</v>
      </c>
      <c r="W7" s="51"/>
      <c r="X7"/>
    </row>
    <row r="8" spans="1:24">
      <c r="A8" s="1" t="s">
        <v>332</v>
      </c>
      <c r="B8" s="1" t="str">
        <f>VLOOKUP(A8,Data[],2,FALSE)</f>
        <v>BRONX</v>
      </c>
      <c r="C8" s="9" t="s">
        <v>106</v>
      </c>
      <c r="D8" s="9" t="str">
        <f>VLOOKUP(IntComp[[#This Row],[DEVELOPMENT]],Data[],52,FALSE)</f>
        <v>FEDERAL</v>
      </c>
      <c r="E8" s="50" t="str">
        <f>VLOOKUP(IntComp[[#This Row],[DEVELOPMENT]],Data[],8,FALSE)</f>
        <v>Zone 1</v>
      </c>
      <c r="F8" s="50" t="str">
        <f>VLOOKUP(IntComp[[#This Row],[DEVELOPMENT]],all[[DEVELOPMENT]:[MRST Ext. Comp. Priority]],13,FALSE)</f>
        <v>None</v>
      </c>
      <c r="G8" s="9">
        <f>IF(VLOOKUP(IntComp[[#This Row],[DEVELOPMENT]],Data[],9,FALSE)=0,5,VLOOKUP(IntComp[[#This Row],[DEVELOPMENT]],Data[],9,FALSE))</f>
        <v>4</v>
      </c>
      <c r="H8" s="50">
        <f>VLOOKUP(IntComp[[#This Row],[DEVELOPMENT]],Data[],7,FALSE)</f>
        <v>700</v>
      </c>
      <c r="I8" s="50">
        <f>VLOOKUP(IntComp[[#This Row],[DEVELOPMENT]],Data[],5,FALSE)</f>
        <v>6</v>
      </c>
      <c r="J8" s="9"/>
      <c r="K8" s="50" t="str">
        <f ca="1">IFERROR(VLOOKUP(IntComp[[#This Row],[DEVELOPMENT]],Data[],4,FALSE),"")</f>
        <v/>
      </c>
      <c r="L8" s="50" t="str">
        <f ca="1">IF(IntComp[[#This Row],[RAD/PACT]]="","",IF(OR(IntComp[[#This Row],[RAD/PACT]]="2022-2025",IntComp[[#This Row],[RAD/PACT]]=2019,IntComp[[#This Row],[RAD/PACT]]="2020-2021"),"Yes",""))</f>
        <v/>
      </c>
      <c r="M8" s="51">
        <f ca="1">IF(VLOOKUP(IntComp[[#This Row],[DEVELOPMENT]],Data[],10,FALSE)=0,-1,DATEDIF(VLOOKUP(IntComp[[#This Row],[DEVELOPMENT]],Data[],12,FALSE),TODAY(),"Y"))</f>
        <v>1</v>
      </c>
      <c r="N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8" s="1">
        <v>2019</v>
      </c>
      <c r="P8" s="1">
        <v>2020</v>
      </c>
      <c r="Q8" s="51" t="s">
        <v>20</v>
      </c>
      <c r="R8" s="47">
        <f>VLOOKUP(IntComp[[#This Row],[DEVELOPMENT]],CPD_Int[],11,FALSE)</f>
        <v>285309</v>
      </c>
      <c r="S8" s="1">
        <f ca="1">SUM(INDEX(IntComp['# to Replace (MRST)],1):IntComp[[#This Row],['# to Replace (MRST)]])-272</f>
        <v>-271</v>
      </c>
      <c r="T8" s="51" t="s">
        <v>2223</v>
      </c>
      <c r="U8" s="51">
        <f>IF(ISBLANK(IntComp[[#This Row],[CALENDAR YEAR]]),ROUNDDOWN(IntComp[[#This Row],[Count]]/190,0)+$U$1,IntComp[[#This Row],[CALENDAR YEAR]])</f>
        <v>2019</v>
      </c>
      <c r="V8" s="3" t="e">
        <f t="shared" si="1"/>
        <v>#N/A</v>
      </c>
      <c r="W8" s="51"/>
      <c r="X8"/>
    </row>
    <row r="9" spans="1:24">
      <c r="A9" s="9" t="s">
        <v>66</v>
      </c>
      <c r="B9" s="1" t="str">
        <f>VLOOKUP(A9,Data[],2,FALSE)</f>
        <v>MANHATTAN</v>
      </c>
      <c r="C9" s="9" t="s">
        <v>106</v>
      </c>
      <c r="D9" s="9" t="str">
        <f>VLOOKUP(IntComp[[#This Row],[DEVELOPMENT]],Data[],52,FALSE)</f>
        <v>FEDERAL</v>
      </c>
      <c r="E9" s="9" t="str">
        <f>VLOOKUP(IntComp[[#This Row],[DEVELOPMENT]],Data[],8,FALSE)</f>
        <v>Zone 1</v>
      </c>
      <c r="F9" s="9">
        <f>VLOOKUP(IntComp[[#This Row],[DEVELOPMENT]],all[[DEVELOPMENT]:[MRST Ext. Comp. Priority]],13,FALSE)</f>
        <v>2</v>
      </c>
      <c r="G9" s="9">
        <f>IF(VLOOKUP(IntComp[[#This Row],[DEVELOPMENT]],Data[],9,FALSE)=0,5,VLOOKUP(IntComp[[#This Row],[DEVELOPMENT]],Data[],9,FALSE))</f>
        <v>4</v>
      </c>
      <c r="H9" s="9">
        <f>VLOOKUP(IntComp[[#This Row],[DEVELOPMENT]],Data[],7,FALSE)</f>
        <v>1861</v>
      </c>
      <c r="I9" s="9">
        <f>VLOOKUP(IntComp[[#This Row],[DEVELOPMENT]],Data[],5,FALSE)</f>
        <v>16</v>
      </c>
      <c r="J9" s="9"/>
      <c r="K9" s="9" t="str">
        <f ca="1">IFERROR(VLOOKUP(IntComp[[#This Row],[DEVELOPMENT]],Data[],4,FALSE),"")</f>
        <v/>
      </c>
      <c r="L9" s="9" t="str">
        <f ca="1">IF(IntComp[[#This Row],[RAD/PACT]]="","",IF(OR(IntComp[[#This Row],[RAD/PACT]]="2022-2025",IntComp[[#This Row],[RAD/PACT]]=2019,IntComp[[#This Row],[RAD/PACT]]="2020-2021"),"Yes",""))</f>
        <v/>
      </c>
      <c r="M9" s="1">
        <f ca="1">IF(VLOOKUP(IntComp[[#This Row],[DEVELOPMENT]],Data[],10,FALSE)=0,-1,DATEDIF(VLOOKUP(IntComp[[#This Row],[DEVELOPMENT]],Data[],12,FALSE),TODAY(),"Y"))</f>
        <v>1</v>
      </c>
      <c r="N9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9" s="1">
        <v>2019</v>
      </c>
      <c r="P9" s="1">
        <v>2020</v>
      </c>
      <c r="Q9" s="1" t="s">
        <v>20</v>
      </c>
      <c r="R9" s="47">
        <f>VLOOKUP(IntComp[[#This Row],[DEVELOPMENT]],CPD_Int[],11,FALSE)</f>
        <v>775248</v>
      </c>
      <c r="S9" s="1">
        <f ca="1">SUM(INDEX(IntComp['# to Replace (MRST)],1):IntComp[[#This Row],['# to Replace (MRST)]])-272</f>
        <v>-271</v>
      </c>
      <c r="T9" s="1" t="s">
        <v>2223</v>
      </c>
      <c r="U9" s="1">
        <f>IF(ISBLANK(IntComp[[#This Row],[CALENDAR YEAR]]),ROUNDDOWN(IntComp[[#This Row],[Count]]/190,0)+$U$1,IntComp[[#This Row],[CALENDAR YEAR]])</f>
        <v>2019</v>
      </c>
      <c r="V9" s="3" t="e">
        <f t="shared" si="1"/>
        <v>#N/A</v>
      </c>
      <c r="W9" s="51"/>
      <c r="X9"/>
    </row>
    <row r="10" spans="1:24">
      <c r="A10" s="9" t="s">
        <v>44</v>
      </c>
      <c r="B10" s="1" t="str">
        <f>VLOOKUP(A10,Data[],2,FALSE)</f>
        <v>MANHATTAN</v>
      </c>
      <c r="C10" s="9" t="s">
        <v>106</v>
      </c>
      <c r="D10" s="9" t="str">
        <f>VLOOKUP(IntComp[[#This Row],[DEVELOPMENT]],Data[],52,FALSE)</f>
        <v>FEDERAL</v>
      </c>
      <c r="E10" s="9" t="str">
        <f>VLOOKUP(IntComp[[#This Row],[DEVELOPMENT]],Data[],8,FALSE)</f>
        <v>Zone 1</v>
      </c>
      <c r="F10" s="9">
        <f>VLOOKUP(IntComp[[#This Row],[DEVELOPMENT]],all[[DEVELOPMENT]:[MRST Ext. Comp. Priority]],13,FALSE)</f>
        <v>3</v>
      </c>
      <c r="G10" s="9">
        <f>IF(VLOOKUP(IntComp[[#This Row],[DEVELOPMENT]],Data[],9,FALSE)=0,5,VLOOKUP(IntComp[[#This Row],[DEVELOPMENT]],Data[],9,FALSE))</f>
        <v>4</v>
      </c>
      <c r="H10" s="9">
        <f>VLOOKUP(IntComp[[#This Row],[DEVELOPMENT]],Data[],7,FALSE)</f>
        <v>1934</v>
      </c>
      <c r="I10" s="9">
        <f>VLOOKUP(IntComp[[#This Row],[DEVELOPMENT]],Data[],5,FALSE)</f>
        <v>12</v>
      </c>
      <c r="J10" s="9"/>
      <c r="K10" s="9" t="str">
        <f ca="1">IFERROR(VLOOKUP(IntComp[[#This Row],[DEVELOPMENT]],Data[],4,FALSE),"")</f>
        <v/>
      </c>
      <c r="L10" s="9" t="str">
        <f ca="1">IF(IntComp[[#This Row],[RAD/PACT]]="","",IF(OR(IntComp[[#This Row],[RAD/PACT]]="2022-2025",IntComp[[#This Row],[RAD/PACT]]=2019,IntComp[[#This Row],[RAD/PACT]]="2020-2021"),"Yes",""))</f>
        <v/>
      </c>
      <c r="M10" s="1">
        <f ca="1">IF(VLOOKUP(IntComp[[#This Row],[DEVELOPMENT]],Data[],10,FALSE)=0,-1,DATEDIF(VLOOKUP(IntComp[[#This Row],[DEVELOPMENT]],Data[],12,FALSE),TODAY(),"Y"))</f>
        <v>1</v>
      </c>
      <c r="N1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0" s="1">
        <v>2019</v>
      </c>
      <c r="P10" s="1">
        <v>2020</v>
      </c>
      <c r="Q10" s="1" t="s">
        <v>20</v>
      </c>
      <c r="R10" s="47">
        <f>VLOOKUP(IntComp[[#This Row],[DEVELOPMENT]],CPD_Int[],11,FALSE)</f>
        <v>1153953</v>
      </c>
      <c r="S10" s="1">
        <f ca="1">SUM(INDEX(IntComp['# to Replace (MRST)],1):IntComp[[#This Row],['# to Replace (MRST)]])-272</f>
        <v>-271</v>
      </c>
      <c r="T10" s="1" t="s">
        <v>2223</v>
      </c>
      <c r="U10" s="1">
        <f>IF(ISBLANK(IntComp[[#This Row],[CALENDAR YEAR]]),ROUNDDOWN(IntComp[[#This Row],[Count]]/190,0)+$U$1,IntComp[[#This Row],[CALENDAR YEAR]])</f>
        <v>2019</v>
      </c>
      <c r="V10" s="3" t="e">
        <f t="shared" si="1"/>
        <v>#N/A</v>
      </c>
      <c r="W10" s="51"/>
      <c r="X10"/>
    </row>
    <row r="11" spans="1:24">
      <c r="A11" s="9" t="s">
        <v>45</v>
      </c>
      <c r="B11" s="1" t="str">
        <f>VLOOKUP(A11,Data[],2,FALSE)</f>
        <v>BROOKLYN</v>
      </c>
      <c r="C11" s="9" t="s">
        <v>106</v>
      </c>
      <c r="D11" s="9" t="str">
        <f>VLOOKUP(IntComp[[#This Row],[DEVELOPMENT]],Data[],52,FALSE)</f>
        <v>FEDERAL</v>
      </c>
      <c r="E11" s="9" t="str">
        <f>VLOOKUP(IntComp[[#This Row],[DEVELOPMENT]],Data[],8,FALSE)</f>
        <v>Zone 1</v>
      </c>
      <c r="F11" s="9">
        <f>VLOOKUP(IntComp[[#This Row],[DEVELOPMENT]],all[[DEVELOPMENT]:[MRST Ext. Comp. Priority]],13,FALSE)</f>
        <v>3</v>
      </c>
      <c r="G11" s="9">
        <f>IF(VLOOKUP(IntComp[[#This Row],[DEVELOPMENT]],Data[],9,FALSE)=0,5,VLOOKUP(IntComp[[#This Row],[DEVELOPMENT]],Data[],9,FALSE))</f>
        <v>4</v>
      </c>
      <c r="H11" s="9">
        <f>VLOOKUP(IntComp[[#This Row],[DEVELOPMENT]],Data[],7,FALSE)</f>
        <v>1098</v>
      </c>
      <c r="I11" s="9">
        <f>VLOOKUP(IntComp[[#This Row],[DEVELOPMENT]],Data[],5,FALSE)</f>
        <v>13</v>
      </c>
      <c r="J11" s="9"/>
      <c r="K11" s="9" t="str">
        <f ca="1">IFERROR(VLOOKUP(IntComp[[#This Row],[DEVELOPMENT]],Data[],4,FALSE),"")</f>
        <v/>
      </c>
      <c r="L11" s="9" t="str">
        <f ca="1">IF(IntComp[[#This Row],[RAD/PACT]]="","",IF(OR(IntComp[[#This Row],[RAD/PACT]]="2022-2025",IntComp[[#This Row],[RAD/PACT]]=2019,IntComp[[#This Row],[RAD/PACT]]="2020-2021"),"Yes",""))</f>
        <v/>
      </c>
      <c r="M11" s="1">
        <f ca="1">IF(VLOOKUP(IntComp[[#This Row],[DEVELOPMENT]],Data[],10,FALSE)=0,-1,DATEDIF(VLOOKUP(IntComp[[#This Row],[DEVELOPMENT]],Data[],12,FALSE),TODAY(),"Y"))</f>
        <v>1</v>
      </c>
      <c r="N11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1" s="1">
        <v>2019</v>
      </c>
      <c r="P11" s="1">
        <v>2020</v>
      </c>
      <c r="Q11" s="1" t="s">
        <v>20</v>
      </c>
      <c r="R11" s="47">
        <f>VLOOKUP(IntComp[[#This Row],[DEVELOPMENT]],CPD_Int[],11,FALSE)</f>
        <v>957660</v>
      </c>
      <c r="S11" s="1">
        <f ca="1">SUM(INDEX(IntComp['# to Replace (MRST)],1):IntComp[[#This Row],['# to Replace (MRST)]])-272</f>
        <v>-271</v>
      </c>
      <c r="T11" s="1" t="s">
        <v>2223</v>
      </c>
      <c r="U11" s="1">
        <f>IF(ISBLANK(IntComp[[#This Row],[CALENDAR YEAR]]),ROUNDDOWN(IntComp[[#This Row],[Count]]/190,0)+$U$1,IntComp[[#This Row],[CALENDAR YEAR]])</f>
        <v>2019</v>
      </c>
      <c r="V11" s="3" t="e">
        <f t="shared" si="1"/>
        <v>#N/A</v>
      </c>
      <c r="W11" s="51"/>
      <c r="X11"/>
    </row>
    <row r="12" spans="1:24">
      <c r="A12" s="1" t="s">
        <v>36</v>
      </c>
      <c r="B12" s="1" t="str">
        <f>VLOOKUP(A12,Data[],2,FALSE)</f>
        <v>MANHATTAN</v>
      </c>
      <c r="C12" s="9" t="s">
        <v>106</v>
      </c>
      <c r="D12" s="9" t="str">
        <f>VLOOKUP(IntComp[[#This Row],[DEVELOPMENT]],Data[],52,FALSE)</f>
        <v>FEDERAL</v>
      </c>
      <c r="E12" s="9" t="str">
        <f>VLOOKUP(IntComp[[#This Row],[DEVELOPMENT]],Data[],8,FALSE)</f>
        <v>Zone 1</v>
      </c>
      <c r="F12" s="9">
        <f>VLOOKUP(IntComp[[#This Row],[DEVELOPMENT]],all[[DEVELOPMENT]:[MRST Ext. Comp. Priority]],13,FALSE)</f>
        <v>2</v>
      </c>
      <c r="G12" s="9">
        <f>IF(VLOOKUP(IntComp[[#This Row],[DEVELOPMENT]],Data[],9,FALSE)=0,5,VLOOKUP(IntComp[[#This Row],[DEVELOPMENT]],Data[],9,FALSE))</f>
        <v>3</v>
      </c>
      <c r="H12" s="9">
        <f>VLOOKUP(IntComp[[#This Row],[DEVELOPMENT]],Data[],7,FALSE)</f>
        <v>1091</v>
      </c>
      <c r="I12" s="9">
        <f>VLOOKUP(IntComp[[#This Row],[DEVELOPMENT]],Data[],5,FALSE)</f>
        <v>9</v>
      </c>
      <c r="J12" s="9"/>
      <c r="K12" s="9" t="str">
        <f ca="1">IFERROR(VLOOKUP(IntComp[[#This Row],[DEVELOPMENT]],Data[],4,FALSE),"")</f>
        <v/>
      </c>
      <c r="L12" s="9" t="str">
        <f ca="1">IF(IntComp[[#This Row],[RAD/PACT]]="","",IF(OR(IntComp[[#This Row],[RAD/PACT]]="2022-2025",IntComp[[#This Row],[RAD/PACT]]=2019,IntComp[[#This Row],[RAD/PACT]]="2020-2021"),"Yes",""))</f>
        <v/>
      </c>
      <c r="M12" s="1">
        <f ca="1">IF(VLOOKUP(IntComp[[#This Row],[DEVELOPMENT]],Data[],10,FALSE)=0,-1,DATEDIF(VLOOKUP(IntComp[[#This Row],[DEVELOPMENT]],Data[],12,FALSE),TODAY(),"Y"))</f>
        <v>13</v>
      </c>
      <c r="N12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9</v>
      </c>
      <c r="O12" s="1">
        <v>2019</v>
      </c>
      <c r="P12" s="1">
        <v>2020</v>
      </c>
      <c r="Q12" s="1" t="str">
        <f>IF(VLOOKUP(IntComp[[#This Row],[DEVELOPMENT]],CPD_Int[],20,FALSE)=1,"COMPLETED","IN PROGRESS")</f>
        <v>COMPLETED</v>
      </c>
      <c r="R12" s="47">
        <f>VLOOKUP(IntComp[[#This Row],[DEVELOPMENT]],CPD_Int[],11,FALSE)</f>
        <v>479884</v>
      </c>
      <c r="S12" s="1">
        <f ca="1">SUM(INDEX(IntComp['# to Replace (MRST)],1):IntComp[[#This Row],['# to Replace (MRST)]])-272</f>
        <v>-262</v>
      </c>
      <c r="T12" s="1" t="s">
        <v>2223</v>
      </c>
      <c r="U12" s="1">
        <f>IF(ISBLANK(IntComp[[#This Row],[CALENDAR YEAR]]),ROUNDDOWN(IntComp[[#This Row],[Count]]/190,0)+$U$1,IntComp[[#This Row],[CALENDAR YEAR]])</f>
        <v>2019</v>
      </c>
      <c r="V12" s="3" t="e">
        <f t="shared" si="1"/>
        <v>#N/A</v>
      </c>
      <c r="W12" s="51"/>
      <c r="X12"/>
    </row>
    <row r="13" spans="1:24">
      <c r="A13" s="9" t="s">
        <v>51</v>
      </c>
      <c r="B13" s="1" t="str">
        <f>VLOOKUP(A13,Data[],2,FALSE)</f>
        <v>MANHATTAN</v>
      </c>
      <c r="C13" s="9" t="s">
        <v>106</v>
      </c>
      <c r="D13" s="9" t="str">
        <f>VLOOKUP(IntComp[[#This Row],[DEVELOPMENT]],Data[],52,FALSE)</f>
        <v>FEDERAL</v>
      </c>
      <c r="E13" s="9" t="str">
        <f>VLOOKUP(IntComp[[#This Row],[DEVELOPMENT]],Data[],8,FALSE)</f>
        <v>Zone 1</v>
      </c>
      <c r="F13" s="9">
        <f>VLOOKUP(IntComp[[#This Row],[DEVELOPMENT]],all[[DEVELOPMENT]:[MRST Ext. Comp. Priority]],13,FALSE)</f>
        <v>2</v>
      </c>
      <c r="G13" s="9">
        <f>IF(VLOOKUP(IntComp[[#This Row],[DEVELOPMENT]],Data[],9,FALSE)=0,5,VLOOKUP(IntComp[[#This Row],[DEVELOPMENT]],Data[],9,FALSE))</f>
        <v>4</v>
      </c>
      <c r="H13" s="9">
        <f>VLOOKUP(IntComp[[#This Row],[DEVELOPMENT]],Data[],7,FALSE)</f>
        <v>250</v>
      </c>
      <c r="I13" s="9">
        <f>VLOOKUP(IntComp[[#This Row],[DEVELOPMENT]],Data[],5,FALSE)</f>
        <v>1</v>
      </c>
      <c r="J13" s="9"/>
      <c r="K13" s="9" t="str">
        <f ca="1">IFERROR(VLOOKUP(IntComp[[#This Row],[DEVELOPMENT]],Data[],4,FALSE),"")</f>
        <v/>
      </c>
      <c r="L13" s="9" t="str">
        <f ca="1">IF(IntComp[[#This Row],[RAD/PACT]]="","",IF(OR(IntComp[[#This Row],[RAD/PACT]]="2022-2025",IntComp[[#This Row],[RAD/PACT]]=2019,IntComp[[#This Row],[RAD/PACT]]="2020-2021"),"Yes",""))</f>
        <v/>
      </c>
      <c r="M13" s="1">
        <f ca="1">IF(VLOOKUP(IntComp[[#This Row],[DEVELOPMENT]],Data[],10,FALSE)=0,-1,DATEDIF(VLOOKUP(IntComp[[#This Row],[DEVELOPMENT]],Data[],12,FALSE),TODAY(),"Y"))</f>
        <v>14</v>
      </c>
      <c r="N13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3" s="1">
        <v>2019</v>
      </c>
      <c r="P13" s="1">
        <v>2020</v>
      </c>
      <c r="Q13" s="1" t="str">
        <f>IF(VLOOKUP(IntComp[[#This Row],[DEVELOPMENT]],CPD_Int[],20,FALSE)=1,"COMPLETED","IN PROGRESS")</f>
        <v>COMPLETED</v>
      </c>
      <c r="R13" s="47">
        <f>VLOOKUP(IntComp[[#This Row],[DEVELOPMENT]],CPD_Int[],11,FALSE)</f>
        <v>84804</v>
      </c>
      <c r="S13" s="1">
        <f ca="1">SUM(INDEX(IntComp['# to Replace (MRST)],1):IntComp[[#This Row],['# to Replace (MRST)]])-272</f>
        <v>-261</v>
      </c>
      <c r="T13" s="1" t="s">
        <v>2223</v>
      </c>
      <c r="U13" s="1">
        <f>IF(ISBLANK(IntComp[[#This Row],[CALENDAR YEAR]]),ROUNDDOWN(IntComp[[#This Row],[Count]]/190,0)+$U$1,IntComp[[#This Row],[CALENDAR YEAR]])</f>
        <v>2019</v>
      </c>
      <c r="V13" s="3" t="e">
        <f t="shared" si="1"/>
        <v>#N/A</v>
      </c>
      <c r="W13" s="51"/>
      <c r="X13"/>
    </row>
    <row r="14" spans="1:24">
      <c r="A14" s="9" t="s">
        <v>63</v>
      </c>
      <c r="B14" s="1" t="str">
        <f>VLOOKUP(A14,Data[],2,FALSE)</f>
        <v>MANHATTAN</v>
      </c>
      <c r="C14" s="9" t="s">
        <v>106</v>
      </c>
      <c r="D14" s="9" t="str">
        <f>VLOOKUP(IntComp[[#This Row],[DEVELOPMENT]],Data[],52,FALSE)</f>
        <v>FEDERAL</v>
      </c>
      <c r="E14" s="9" t="str">
        <f>VLOOKUP(IntComp[[#This Row],[DEVELOPMENT]],Data[],8,FALSE)</f>
        <v>Zone 1</v>
      </c>
      <c r="F14" s="9">
        <f>VLOOKUP(IntComp[[#This Row],[DEVELOPMENT]],all[[DEVELOPMENT]:[MRST Ext. Comp. Priority]],13,FALSE)</f>
        <v>3</v>
      </c>
      <c r="G14" s="9">
        <f>IF(VLOOKUP(IntComp[[#This Row],[DEVELOPMENT]],Data[],9,FALSE)=0,5,VLOOKUP(IntComp[[#This Row],[DEVELOPMENT]],Data[],9,FALSE))</f>
        <v>4</v>
      </c>
      <c r="H14" s="9">
        <f>VLOOKUP(IntComp[[#This Row],[DEVELOPMENT]],Data[],7,FALSE)</f>
        <v>188</v>
      </c>
      <c r="I14" s="9">
        <f>VLOOKUP(IntComp[[#This Row],[DEVELOPMENT]],Data[],5,FALSE)</f>
        <v>4</v>
      </c>
      <c r="J14" s="9"/>
      <c r="K14" s="9" t="str">
        <f ca="1">IFERROR(VLOOKUP(IntComp[[#This Row],[DEVELOPMENT]],Data[],4,FALSE),"")</f>
        <v>2026+</v>
      </c>
      <c r="L14" s="9" t="str">
        <f ca="1">IF(IntComp[[#This Row],[RAD/PACT]]="","",IF(OR(IntComp[[#This Row],[RAD/PACT]]="2022-2025",IntComp[[#This Row],[RAD/PACT]]=2019,IntComp[[#This Row],[RAD/PACT]]="2020-2021"),"Yes",""))</f>
        <v/>
      </c>
      <c r="M14" s="1">
        <f ca="1">IF(VLOOKUP(IntComp[[#This Row],[DEVELOPMENT]],Data[],10,FALSE)=0,-1,DATEDIF(VLOOKUP(IntComp[[#This Row],[DEVELOPMENT]],Data[],12,FALSE),TODAY(),"Y"))</f>
        <v>37</v>
      </c>
      <c r="N14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4" s="1">
        <v>2019</v>
      </c>
      <c r="P14" s="1">
        <v>2020</v>
      </c>
      <c r="Q14" s="1" t="e">
        <f>IF(VLOOKUP(IntComp[[#This Row],[DEVELOPMENT]],CPD_Int[],20,FALSE)=1,"COMPLETED","IN PROGRESS")</f>
        <v>#N/A</v>
      </c>
      <c r="R14" s="47" t="e">
        <f>VLOOKUP(IntComp[[#This Row],[DEVELOPMENT]],CPD_Int[],11,FALSE)</f>
        <v>#N/A</v>
      </c>
      <c r="S14" s="1">
        <f ca="1">SUM(INDEX(IntComp['# to Replace (MRST)],1):IntComp[[#This Row],['# to Replace (MRST)]])-272</f>
        <v>-260</v>
      </c>
      <c r="T14" s="1" t="s">
        <v>2223</v>
      </c>
      <c r="U14" s="1">
        <f>IF(ISBLANK(IntComp[[#This Row],[CALENDAR YEAR]]),ROUNDDOWN(IntComp[[#This Row],[Count]]/190,0)+$U$1,IntComp[[#This Row],[CALENDAR YEAR]])</f>
        <v>2019</v>
      </c>
      <c r="V14" s="3" t="e">
        <f t="shared" si="1"/>
        <v>#N/A</v>
      </c>
      <c r="W14" s="51"/>
      <c r="X14"/>
    </row>
    <row r="15" spans="1:24">
      <c r="A15" s="9" t="s">
        <v>103</v>
      </c>
      <c r="B15" s="1" t="str">
        <f>VLOOKUP(A15,Data[],2,FALSE)</f>
        <v>MANHATTAN</v>
      </c>
      <c r="C15" s="9" t="s">
        <v>106</v>
      </c>
      <c r="D15" s="9" t="str">
        <f>VLOOKUP(IntComp[[#This Row],[DEVELOPMENT]],Data[],52,FALSE)</f>
        <v>FEDERAL</v>
      </c>
      <c r="E15" s="9" t="str">
        <f>VLOOKUP(IntComp[[#This Row],[DEVELOPMENT]],Data[],8,FALSE)</f>
        <v>Zone 1</v>
      </c>
      <c r="F15" s="9">
        <f>VLOOKUP(IntComp[[#This Row],[DEVELOPMENT]],all[[DEVELOPMENT]:[MRST Ext. Comp. Priority]],13,FALSE)</f>
        <v>3</v>
      </c>
      <c r="G15" s="9">
        <f>IF(VLOOKUP(IntComp[[#This Row],[DEVELOPMENT]],Data[],9,FALSE)=0,5,VLOOKUP(IntComp[[#This Row],[DEVELOPMENT]],Data[],9,FALSE))</f>
        <v>4</v>
      </c>
      <c r="H15" s="9">
        <f>VLOOKUP(IntComp[[#This Row],[DEVELOPMENT]],Data[],7,FALSE)</f>
        <v>149</v>
      </c>
      <c r="I15" s="9">
        <f>VLOOKUP(IntComp[[#This Row],[DEVELOPMENT]],Data[],5,FALSE)</f>
        <v>1</v>
      </c>
      <c r="J15" s="9"/>
      <c r="K15" s="9" t="str">
        <f ca="1">IFERROR(VLOOKUP(IntComp[[#This Row],[DEVELOPMENT]],Data[],4,FALSE),"")</f>
        <v/>
      </c>
      <c r="L15" s="9" t="str">
        <f ca="1">IF(IntComp[[#This Row],[RAD/PACT]]="","",IF(OR(IntComp[[#This Row],[RAD/PACT]]="2022-2025",IntComp[[#This Row],[RAD/PACT]]=2019,IntComp[[#This Row],[RAD/PACT]]="2020-2021"),"Yes",""))</f>
        <v/>
      </c>
      <c r="M15" s="1">
        <f ca="1">IF(VLOOKUP(IntComp[[#This Row],[DEVELOPMENT]],Data[],10,FALSE)=0,-1,DATEDIF(VLOOKUP(IntComp[[#This Row],[DEVELOPMENT]],Data[],12,FALSE),TODAY(),"Y"))</f>
        <v>21</v>
      </c>
      <c r="N15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5" s="1">
        <v>2019</v>
      </c>
      <c r="P15" s="1">
        <v>2020</v>
      </c>
      <c r="Q15" s="1" t="str">
        <f>IF(VLOOKUP(IntComp[[#This Row],[DEVELOPMENT]],CPD_Int[],20,FALSE)=1,"COMPLETED","IN PROGRESS")</f>
        <v>COMPLETED</v>
      </c>
      <c r="R15" s="47">
        <f>VLOOKUP(IntComp[[#This Row],[DEVELOPMENT]],CPD_Int[],11,FALSE)</f>
        <v>46198</v>
      </c>
      <c r="S15" s="1">
        <f ca="1">SUM(INDEX(IntComp['# to Replace (MRST)],1):IntComp[[#This Row],['# to Replace (MRST)]])-272</f>
        <v>-259</v>
      </c>
      <c r="T15" s="1" t="s">
        <v>2223</v>
      </c>
      <c r="U15" s="1">
        <f>IF(ISBLANK(IntComp[[#This Row],[CALENDAR YEAR]]),ROUNDDOWN(IntComp[[#This Row],[Count]]/190,0)+$U$1,IntComp[[#This Row],[CALENDAR YEAR]])</f>
        <v>2019</v>
      </c>
      <c r="V15" s="3" t="e">
        <f t="shared" si="1"/>
        <v>#N/A</v>
      </c>
      <c r="W15" s="51"/>
      <c r="X15"/>
    </row>
    <row r="16" spans="1:24">
      <c r="A16" s="9" t="s">
        <v>59</v>
      </c>
      <c r="B16" s="1" t="str">
        <f>VLOOKUP(A16,Data[],2,FALSE)</f>
        <v>MANHATTAN</v>
      </c>
      <c r="C16" s="9" t="s">
        <v>106</v>
      </c>
      <c r="D16" s="9" t="str">
        <f>VLOOKUP(IntComp[[#This Row],[DEVELOPMENT]],Data[],52,FALSE)</f>
        <v>FEDERAL</v>
      </c>
      <c r="E16" s="9" t="str">
        <f>VLOOKUP(IntComp[[#This Row],[DEVELOPMENT]],Data[],8,FALSE)</f>
        <v>Zone 1</v>
      </c>
      <c r="F16" s="9">
        <f>VLOOKUP(IntComp[[#This Row],[DEVELOPMENT]],all[[DEVELOPMENT]:[MRST Ext. Comp. Priority]],13,FALSE)</f>
        <v>3</v>
      </c>
      <c r="G16" s="9">
        <f>IF(VLOOKUP(IntComp[[#This Row],[DEVELOPMENT]],Data[],9,FALSE)=0,5,VLOOKUP(IntComp[[#This Row],[DEVELOPMENT]],Data[],9,FALSE))</f>
        <v>4</v>
      </c>
      <c r="H16" s="9">
        <f>VLOOKUP(IntComp[[#This Row],[DEVELOPMENT]],Data[],7,FALSE)</f>
        <v>108</v>
      </c>
      <c r="I16" s="9">
        <f>VLOOKUP(IntComp[[#This Row],[DEVELOPMENT]],Data[],5,FALSE)</f>
        <v>1</v>
      </c>
      <c r="J16" s="9"/>
      <c r="K16" s="9" t="str">
        <f ca="1">IFERROR(VLOOKUP(IntComp[[#This Row],[DEVELOPMENT]],Data[],4,FALSE),"")</f>
        <v>2026+</v>
      </c>
      <c r="L16" s="9" t="str">
        <f ca="1">IF(IntComp[[#This Row],[RAD/PACT]]="","",IF(OR(IntComp[[#This Row],[RAD/PACT]]="2022-2025",IntComp[[#This Row],[RAD/PACT]]=2019,IntComp[[#This Row],[RAD/PACT]]="2020-2021"),"Yes",""))</f>
        <v/>
      </c>
      <c r="M16" s="1">
        <f ca="1">IF(VLOOKUP(IntComp[[#This Row],[DEVELOPMENT]],Data[],10,FALSE)=0,-1,DATEDIF(VLOOKUP(IntComp[[#This Row],[DEVELOPMENT]],Data[],12,FALSE),TODAY(),"Y"))</f>
        <v>21</v>
      </c>
      <c r="N16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16" s="1">
        <v>2019</v>
      </c>
      <c r="P16" s="1">
        <v>2020</v>
      </c>
      <c r="Q16" s="1" t="str">
        <f>IF(VLOOKUP(IntComp[[#This Row],[DEVELOPMENT]],CPD_Int[],20,FALSE)=1,"COMPLETED","IN PROGRESS")</f>
        <v>COMPLETED</v>
      </c>
      <c r="R16" s="47">
        <f>VLOOKUP(IntComp[[#This Row],[DEVELOPMENT]],CPD_Int[],11,FALSE)</f>
        <v>94981</v>
      </c>
      <c r="S16" s="1">
        <f ca="1">SUM(INDEX(IntComp['# to Replace (MRST)],1):IntComp[[#This Row],['# to Replace (MRST)]])-272</f>
        <v>-257</v>
      </c>
      <c r="T16" s="1" t="s">
        <v>2223</v>
      </c>
      <c r="U16" s="1">
        <f>IF(ISBLANK(IntComp[[#This Row],[CALENDAR YEAR]]),ROUNDDOWN(IntComp[[#This Row],[Count]]/190,0)+$U$1,IntComp[[#This Row],[CALENDAR YEAR]])</f>
        <v>2019</v>
      </c>
      <c r="V16" s="3" t="e">
        <f t="shared" si="1"/>
        <v>#N/A</v>
      </c>
      <c r="W16" s="51"/>
      <c r="X16"/>
    </row>
    <row r="17" spans="1:24">
      <c r="A17" s="9" t="s">
        <v>61</v>
      </c>
      <c r="B17" s="1" t="str">
        <f>VLOOKUP(A17,Data[],2,FALSE)</f>
        <v>MANHATTAN</v>
      </c>
      <c r="C17" s="9" t="s">
        <v>106</v>
      </c>
      <c r="D17" s="9" t="str">
        <f>VLOOKUP(IntComp[[#This Row],[DEVELOPMENT]],Data[],52,FALSE)</f>
        <v>FEDERAL</v>
      </c>
      <c r="E17" s="9" t="str">
        <f>VLOOKUP(IntComp[[#This Row],[DEVELOPMENT]],Data[],8,FALSE)</f>
        <v>Zone 1</v>
      </c>
      <c r="F17" s="9">
        <f>VLOOKUP(IntComp[[#This Row],[DEVELOPMENT]],all[[DEVELOPMENT]:[MRST Ext. Comp. Priority]],13,FALSE)</f>
        <v>3</v>
      </c>
      <c r="G17" s="9">
        <f>IF(VLOOKUP(IntComp[[#This Row],[DEVELOPMENT]],Data[],9,FALSE)=0,5,VLOOKUP(IntComp[[#This Row],[DEVELOPMENT]],Data[],9,FALSE))</f>
        <v>4</v>
      </c>
      <c r="H17" s="9">
        <f>VLOOKUP(IntComp[[#This Row],[DEVELOPMENT]],Data[],7,FALSE)</f>
        <v>472</v>
      </c>
      <c r="I17" s="9">
        <f>VLOOKUP(IntComp[[#This Row],[DEVELOPMENT]],Data[],5,FALSE)</f>
        <v>2</v>
      </c>
      <c r="J17" s="9"/>
      <c r="K17" s="9" t="str">
        <f ca="1">IFERROR(VLOOKUP(IntComp[[#This Row],[DEVELOPMENT]],Data[],4,FALSE),"")</f>
        <v/>
      </c>
      <c r="L17" s="9" t="str">
        <f ca="1">IF(IntComp[[#This Row],[RAD/PACT]]="","",IF(OR(IntComp[[#This Row],[RAD/PACT]]="2022-2025",IntComp[[#This Row],[RAD/PACT]]=2019,IntComp[[#This Row],[RAD/PACT]]="2020-2021"),"Yes",""))</f>
        <v/>
      </c>
      <c r="M17" s="1">
        <f ca="1">IF(VLOOKUP(IntComp[[#This Row],[DEVELOPMENT]],Data[],10,FALSE)=0,-1,DATEDIF(VLOOKUP(IntComp[[#This Row],[DEVELOPMENT]],Data[],12,FALSE),TODAY(),"Y"))</f>
        <v>18</v>
      </c>
      <c r="N17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</v>
      </c>
      <c r="O17" s="1">
        <v>2019</v>
      </c>
      <c r="P17" s="1">
        <v>2020</v>
      </c>
      <c r="Q17" s="1" t="str">
        <f>IF(VLOOKUP(IntComp[[#This Row],[DEVELOPMENT]],CPD_Int[],20,FALSE)=1,"COMPLETED","IN PROGRESS")</f>
        <v>COMPLETED</v>
      </c>
      <c r="R17" s="47">
        <f>VLOOKUP(IntComp[[#This Row],[DEVELOPMENT]],CPD_Int[],11,FALSE)</f>
        <v>191322</v>
      </c>
      <c r="S17" s="1">
        <f ca="1">SUM(INDEX(IntComp['# to Replace (MRST)],1):IntComp[[#This Row],['# to Replace (MRST)]])-272</f>
        <v>-253</v>
      </c>
      <c r="T17" s="1" t="s">
        <v>2223</v>
      </c>
      <c r="U17" s="1">
        <f>IF(ISBLANK(IntComp[[#This Row],[CALENDAR YEAR]]),ROUNDDOWN(IntComp[[#This Row],[Count]]/190,0)+$U$1,IntComp[[#This Row],[CALENDAR YEAR]])</f>
        <v>2019</v>
      </c>
      <c r="V17" s="3" t="e">
        <f t="shared" si="1"/>
        <v>#N/A</v>
      </c>
      <c r="W17" s="51"/>
      <c r="X17"/>
    </row>
    <row r="18" spans="1:24">
      <c r="A18" s="9" t="s">
        <v>46</v>
      </c>
      <c r="B18" s="1" t="str">
        <f>VLOOKUP(A18,Data[],2,FALSE)</f>
        <v>BROOKLYN</v>
      </c>
      <c r="C18" s="9" t="s">
        <v>106</v>
      </c>
      <c r="D18" s="9" t="str">
        <f>VLOOKUP(IntComp[[#This Row],[DEVELOPMENT]],Data[],52,FALSE)</f>
        <v>FEDERAL</v>
      </c>
      <c r="E18" s="9" t="str">
        <f>VLOOKUP(IntComp[[#This Row],[DEVELOPMENT]],Data[],8,FALSE)</f>
        <v>Zone 1</v>
      </c>
      <c r="F18" s="9">
        <f>VLOOKUP(IntComp[[#This Row],[DEVELOPMENT]],all[[DEVELOPMENT]:[MRST Ext. Comp. Priority]],13,FALSE)</f>
        <v>3</v>
      </c>
      <c r="G18" s="9">
        <f>IF(VLOOKUP(IntComp[[#This Row],[DEVELOPMENT]],Data[],9,FALSE)=0,5,VLOOKUP(IntComp[[#This Row],[DEVELOPMENT]],Data[],9,FALSE))</f>
        <v>4</v>
      </c>
      <c r="H18" s="9">
        <f>VLOOKUP(IntComp[[#This Row],[DEVELOPMENT]],Data[],7,FALSE)</f>
        <v>1045</v>
      </c>
      <c r="I18" s="9">
        <f>VLOOKUP(IntComp[[#This Row],[DEVELOPMENT]],Data[],5,FALSE)</f>
        <v>8</v>
      </c>
      <c r="J18" s="9"/>
      <c r="K18" s="9" t="str">
        <f ca="1">IFERROR(VLOOKUP(IntComp[[#This Row],[DEVELOPMENT]],Data[],4,FALSE),"")</f>
        <v>2026+</v>
      </c>
      <c r="L18" s="9" t="str">
        <f ca="1">IF(IntComp[[#This Row],[RAD/PACT]]="","",IF(OR(IntComp[[#This Row],[RAD/PACT]]="2022-2025",IntComp[[#This Row],[RAD/PACT]]=2019,IntComp[[#This Row],[RAD/PACT]]="2020-2021"),"Yes",""))</f>
        <v/>
      </c>
      <c r="M18" s="1">
        <f ca="1">IF(VLOOKUP(IntComp[[#This Row],[DEVELOPMENT]],Data[],10,FALSE)=0,-1,DATEDIF(VLOOKUP(IntComp[[#This Row],[DEVELOPMENT]],Data[],12,FALSE),TODAY(),"Y"))</f>
        <v>17</v>
      </c>
      <c r="N18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12</v>
      </c>
      <c r="O18" s="1">
        <v>2019</v>
      </c>
      <c r="P18" s="1">
        <v>2020</v>
      </c>
      <c r="Q18" s="1" t="str">
        <f>IF(VLOOKUP(IntComp[[#This Row],[DEVELOPMENT]],CPD_Int[],20,FALSE)=1,"COMPLETED","IN PROGRESS")</f>
        <v>COMPLETED</v>
      </c>
      <c r="R18" s="47">
        <f>VLOOKUP(IntComp[[#This Row],[DEVELOPMENT]],CPD_Int[],11,FALSE)</f>
        <v>538903</v>
      </c>
      <c r="S18" s="1">
        <f ca="1">SUM(INDEX(IntComp['# to Replace (MRST)],1):IntComp[[#This Row],['# to Replace (MRST)]])-272</f>
        <v>-241</v>
      </c>
      <c r="T18" s="1" t="s">
        <v>2223</v>
      </c>
      <c r="U18" s="1">
        <f>IF(ISBLANK(IntComp[[#This Row],[CALENDAR YEAR]]),ROUNDDOWN(IntComp[[#This Row],[Count]]/190,0)+$U$1,IntComp[[#This Row],[CALENDAR YEAR]])</f>
        <v>2019</v>
      </c>
      <c r="V18" s="3" t="e">
        <f t="shared" si="1"/>
        <v>#N/A</v>
      </c>
      <c r="W18" s="51"/>
      <c r="X18"/>
    </row>
    <row r="19" spans="1:24">
      <c r="A19" s="1" t="s">
        <v>108</v>
      </c>
      <c r="B19" s="1" t="str">
        <f>VLOOKUP(A19,Data[],2,FALSE)</f>
        <v>MANHATTAN</v>
      </c>
      <c r="C19" s="9" t="s">
        <v>106</v>
      </c>
      <c r="D19" s="9" t="str">
        <f>VLOOKUP(IntComp[[#This Row],[DEVELOPMENT]],Data[],52,FALSE)</f>
        <v>FEDERAL</v>
      </c>
      <c r="E19" s="9" t="str">
        <f>VLOOKUP(IntComp[[#This Row],[DEVELOPMENT]],Data[],8,FALSE)</f>
        <v>Zone 1</v>
      </c>
      <c r="F19" s="9">
        <f>VLOOKUP(IntComp[[#This Row],[DEVELOPMENT]],all[[DEVELOPMENT]:[MRST Ext. Comp. Priority]],13,FALSE)</f>
        <v>2</v>
      </c>
      <c r="G19" s="9">
        <f>IF(VLOOKUP(IntComp[[#This Row],[DEVELOPMENT]],Data[],9,FALSE)=0,5,VLOOKUP(IntComp[[#This Row],[DEVELOPMENT]],Data[],9,FALSE))</f>
        <v>4</v>
      </c>
      <c r="H19" s="9">
        <f>VLOOKUP(IntComp[[#This Row],[DEVELOPMENT]],Data[],7,FALSE)</f>
        <v>240</v>
      </c>
      <c r="I19" s="9">
        <f>VLOOKUP(IntComp[[#This Row],[DEVELOPMENT]],Data[],5,FALSE)</f>
        <v>4</v>
      </c>
      <c r="J19" s="9"/>
      <c r="K19" s="9" t="str">
        <f ca="1">IFERROR(VLOOKUP(IntComp[[#This Row],[DEVELOPMENT]],Data[],4,FALSE),"")</f>
        <v/>
      </c>
      <c r="L19" s="9" t="str">
        <f ca="1">IF(IntComp[[#This Row],[RAD/PACT]]="","",IF(OR(IntComp[[#This Row],[RAD/PACT]]="2022-2025",IntComp[[#This Row],[RAD/PACT]]=2019,IntComp[[#This Row],[RAD/PACT]]="2020-2021"),"Yes",""))</f>
        <v/>
      </c>
      <c r="M19" s="1">
        <f ca="1">IF(VLOOKUP(IntComp[[#This Row],[DEVELOPMENT]],Data[],10,FALSE)=0,-1,DATEDIF(VLOOKUP(IntComp[[#This Row],[DEVELOPMENT]],Data[],12,FALSE),TODAY(),"Y"))</f>
        <v>19</v>
      </c>
      <c r="N19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8</v>
      </c>
      <c r="O19" s="1">
        <v>2019</v>
      </c>
      <c r="P19" s="1">
        <v>2020</v>
      </c>
      <c r="Q19" s="1" t="str">
        <f>IF(VLOOKUP(IntComp[[#This Row],[DEVELOPMENT]],CPD_Int[],20,FALSE)=1,"COMPLETED","IN PROGRESS")</f>
        <v>IN PROGRESS</v>
      </c>
      <c r="R19" s="47">
        <f>VLOOKUP(IntComp[[#This Row],[DEVELOPMENT]],CPD_Int[],11,FALSE)</f>
        <v>0</v>
      </c>
      <c r="S19" s="1">
        <f ca="1">SUM(INDEX(IntComp['# to Replace (MRST)],1):IntComp[[#This Row],['# to Replace (MRST)]])-272</f>
        <v>-233</v>
      </c>
      <c r="T19" s="1" t="s">
        <v>2223</v>
      </c>
      <c r="U19" s="1">
        <f>IF(ISBLANK(IntComp[[#This Row],[CALENDAR YEAR]]),ROUNDDOWN(IntComp[[#This Row],[Count]]/190,0)+$U$1,IntComp[[#This Row],[CALENDAR YEAR]])</f>
        <v>2019</v>
      </c>
      <c r="V19" s="3" t="e">
        <f t="shared" si="1"/>
        <v>#N/A</v>
      </c>
      <c r="W19" s="51"/>
      <c r="X19"/>
    </row>
    <row r="20" spans="1:24">
      <c r="A20" s="9" t="s">
        <v>62</v>
      </c>
      <c r="B20" s="1" t="str">
        <f>VLOOKUP(A20,Data[],2,FALSE)</f>
        <v>MANHATTAN</v>
      </c>
      <c r="C20" s="9" t="s">
        <v>106</v>
      </c>
      <c r="D20" s="9" t="str">
        <f>VLOOKUP(IntComp[[#This Row],[DEVELOPMENT]],Data[],52,FALSE)</f>
        <v>FEDERAL</v>
      </c>
      <c r="E20" s="9" t="str">
        <f>VLOOKUP(IntComp[[#This Row],[DEVELOPMENT]],Data[],8,FALSE)</f>
        <v>Zone 1</v>
      </c>
      <c r="F20" s="9">
        <f>VLOOKUP(IntComp[[#This Row],[DEVELOPMENT]],all[[DEVELOPMENT]:[MRST Ext. Comp. Priority]],13,FALSE)</f>
        <v>3</v>
      </c>
      <c r="G20" s="9">
        <f>IF(VLOOKUP(IntComp[[#This Row],[DEVELOPMENT]],Data[],9,FALSE)=0,5,VLOOKUP(IntComp[[#This Row],[DEVELOPMENT]],Data[],9,FALSE))</f>
        <v>3</v>
      </c>
      <c r="H20" s="9">
        <f>VLOOKUP(IntComp[[#This Row],[DEVELOPMENT]],Data[],7,FALSE)</f>
        <v>189</v>
      </c>
      <c r="I20" s="9">
        <f>VLOOKUP(IntComp[[#This Row],[DEVELOPMENT]],Data[],5,FALSE)</f>
        <v>5</v>
      </c>
      <c r="J20" s="9"/>
      <c r="K20" s="9" t="str">
        <f ca="1">IFERROR(VLOOKUP(IntComp[[#This Row],[DEVELOPMENT]],Data[],4,FALSE),"")</f>
        <v/>
      </c>
      <c r="L20" s="9" t="str">
        <f ca="1">IF(IntComp[[#This Row],[RAD/PACT]]="","",IF(OR(IntComp[[#This Row],[RAD/PACT]]="2022-2025",IntComp[[#This Row],[RAD/PACT]]=2019,IntComp[[#This Row],[RAD/PACT]]="2020-2021"),"Yes",""))</f>
        <v/>
      </c>
      <c r="M20" s="1">
        <f ca="1">IF(VLOOKUP(IntComp[[#This Row],[DEVELOPMENT]],Data[],10,FALSE)=0,-1,DATEDIF(VLOOKUP(IntComp[[#This Row],[DEVELOPMENT]],Data[],12,FALSE),TODAY(),"Y"))</f>
        <v>34</v>
      </c>
      <c r="N2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20" s="1">
        <v>2019</v>
      </c>
      <c r="P20" s="1">
        <v>2020</v>
      </c>
      <c r="Q20" s="1" t="str">
        <f>IF(VLOOKUP(IntComp[[#This Row],[DEVELOPMENT]],CPD_Int[],20,FALSE)=1,"COMPLETED","IN PROGRESS")</f>
        <v>IN PROGRESS</v>
      </c>
      <c r="R20" s="47">
        <f>VLOOKUP(IntComp[[#This Row],[DEVELOPMENT]],CPD_Int[],11,FALSE)</f>
        <v>0</v>
      </c>
      <c r="S20" s="1">
        <f ca="1">SUM(INDEX(IntComp['# to Replace (MRST)],1):IntComp[[#This Row],['# to Replace (MRST)]])-272</f>
        <v>-232</v>
      </c>
      <c r="T20" s="1" t="s">
        <v>2223</v>
      </c>
      <c r="U20" s="1">
        <f>IF(ISBLANK(IntComp[[#This Row],[CALENDAR YEAR]]),ROUNDDOWN(IntComp[[#This Row],[Count]]/190,0)+$U$1,IntComp[[#This Row],[CALENDAR YEAR]])</f>
        <v>2019</v>
      </c>
      <c r="V20" s="3" t="e">
        <f t="shared" si="1"/>
        <v>#N/A</v>
      </c>
      <c r="W20" s="51"/>
      <c r="X20"/>
    </row>
    <row r="21" spans="1:24">
      <c r="A21" s="9" t="s">
        <v>56</v>
      </c>
      <c r="B21" s="1" t="str">
        <f>VLOOKUP(A21,Data[],2,FALSE)</f>
        <v>MANHATTAN</v>
      </c>
      <c r="C21" s="9" t="s">
        <v>106</v>
      </c>
      <c r="D21" s="9" t="str">
        <f>VLOOKUP(IntComp[[#This Row],[DEVELOPMENT]],Data[],52,FALSE)</f>
        <v>FEDERAL</v>
      </c>
      <c r="E21" s="9" t="str">
        <f>VLOOKUP(IntComp[[#This Row],[DEVELOPMENT]],Data[],8,FALSE)</f>
        <v>Zone 1</v>
      </c>
      <c r="F21" s="9">
        <f>VLOOKUP(IntComp[[#This Row],[DEVELOPMENT]],all[[DEVELOPMENT]:[MRST Ext. Comp. Priority]],13,FALSE)</f>
        <v>4</v>
      </c>
      <c r="G21" s="9">
        <f>IF(VLOOKUP(IntComp[[#This Row],[DEVELOPMENT]],Data[],9,FALSE)=0,5,VLOOKUP(IntComp[[#This Row],[DEVELOPMENT]],Data[],9,FALSE))</f>
        <v>3</v>
      </c>
      <c r="H21" s="9">
        <f>VLOOKUP(IntComp[[#This Row],[DEVELOPMENT]],Data[],7,FALSE)</f>
        <v>1527</v>
      </c>
      <c r="I21" s="9">
        <f>VLOOKUP(IntComp[[#This Row],[DEVELOPMENT]],Data[],5,FALSE)</f>
        <v>20</v>
      </c>
      <c r="J21" s="9"/>
      <c r="K21" s="9" t="str">
        <f ca="1">IFERROR(VLOOKUP(IntComp[[#This Row],[DEVELOPMENT]],Data[],4,FALSE),"")</f>
        <v/>
      </c>
      <c r="L21" s="9" t="str">
        <f ca="1">IF(IntComp[[#This Row],[RAD/PACT]]="","",IF(OR(IntComp[[#This Row],[RAD/PACT]]="2022-2025",IntComp[[#This Row],[RAD/PACT]]=2019,IntComp[[#This Row],[RAD/PACT]]="2020-2021"),"Yes",""))</f>
        <v/>
      </c>
      <c r="M21" s="1">
        <f ca="1">IF(VLOOKUP(IntComp[[#This Row],[DEVELOPMENT]],Data[],10,FALSE)=0,-1,DATEDIF(VLOOKUP(IntComp[[#This Row],[DEVELOPMENT]],Data[],12,FALSE),TODAY(),"Y"))</f>
        <v>19</v>
      </c>
      <c r="N21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46</v>
      </c>
      <c r="O21" s="1">
        <v>2019</v>
      </c>
      <c r="P21" s="1">
        <v>2020</v>
      </c>
      <c r="Q21" s="1" t="str">
        <f>IF(VLOOKUP(IntComp[[#This Row],[DEVELOPMENT]],CPD_Int[],20,FALSE)=1,"COMPLETED","IN PROGRESS")</f>
        <v>IN PROGRESS</v>
      </c>
      <c r="R21" s="47">
        <f>VLOOKUP(IntComp[[#This Row],[DEVELOPMENT]],CPD_Int[],11,FALSE)</f>
        <v>0</v>
      </c>
      <c r="S21" s="1">
        <f ca="1">SUM(INDEX(IntComp['# to Replace (MRST)],1):IntComp[[#This Row],['# to Replace (MRST)]])-272</f>
        <v>-186</v>
      </c>
      <c r="T21" s="1" t="s">
        <v>2223</v>
      </c>
      <c r="U21" s="1">
        <f>IF(ISBLANK(IntComp[[#This Row],[CALENDAR YEAR]]),ROUNDDOWN(IntComp[[#This Row],[Count]]/190,0)+$U$1,IntComp[[#This Row],[CALENDAR YEAR]])</f>
        <v>2019</v>
      </c>
      <c r="V21" s="3" t="e">
        <f t="shared" si="1"/>
        <v>#N/A</v>
      </c>
      <c r="W21" s="51"/>
      <c r="X21"/>
    </row>
    <row r="22" spans="1:24">
      <c r="A22" s="9" t="s">
        <v>139</v>
      </c>
      <c r="B22" s="1" t="str">
        <f>VLOOKUP(A22,Data[],2,FALSE)</f>
        <v>BROOKLYN</v>
      </c>
      <c r="C22" s="9" t="s">
        <v>106</v>
      </c>
      <c r="D22" s="9" t="str">
        <f>VLOOKUP(IntComp[[#This Row],[DEVELOPMENT]],Data[],52,FALSE)</f>
        <v>FEDERAL</v>
      </c>
      <c r="E22" s="9" t="str">
        <f>VLOOKUP(IntComp[[#This Row],[DEVELOPMENT]],Data[],8,FALSE)</f>
        <v>Zone 1</v>
      </c>
      <c r="F22" s="9">
        <f>VLOOKUP(IntComp[[#This Row],[DEVELOPMENT]],all[[DEVELOPMENT]:[MRST Ext. Comp. Priority]],13,FALSE)</f>
        <v>4</v>
      </c>
      <c r="G22" s="9">
        <f>IF(VLOOKUP(IntComp[[#This Row],[DEVELOPMENT]],Data[],9,FALSE)=0,5,VLOOKUP(IntComp[[#This Row],[DEVELOPMENT]],Data[],9,FALSE))</f>
        <v>4</v>
      </c>
      <c r="H22" s="9">
        <f>VLOOKUP(IntComp[[#This Row],[DEVELOPMENT]],Data[],7,FALSE)</f>
        <v>209</v>
      </c>
      <c r="I22" s="9">
        <f>VLOOKUP(IntComp[[#This Row],[DEVELOPMENT]],Data[],5,FALSE)</f>
        <v>1</v>
      </c>
      <c r="J22" s="9"/>
      <c r="K22" s="9" t="str">
        <f ca="1">IFERROR(VLOOKUP(IntComp[[#This Row],[DEVELOPMENT]],Data[],4,FALSE),"")</f>
        <v/>
      </c>
      <c r="L22" s="9" t="str">
        <f ca="1">IF(IntComp[[#This Row],[RAD/PACT]]="","",IF(OR(IntComp[[#This Row],[RAD/PACT]]="2022-2025",IntComp[[#This Row],[RAD/PACT]]=2019,IntComp[[#This Row],[RAD/PACT]]="2020-2021"),"Yes",""))</f>
        <v/>
      </c>
      <c r="M22" s="1">
        <f ca="1">IF(VLOOKUP(IntComp[[#This Row],[DEVELOPMENT]],Data[],10,FALSE)=0,-1,DATEDIF(VLOOKUP(IntComp[[#This Row],[DEVELOPMENT]],Data[],12,FALSE),TODAY(),"Y"))</f>
        <v>20</v>
      </c>
      <c r="N22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22" s="1">
        <v>2019</v>
      </c>
      <c r="P22" s="1">
        <v>2020</v>
      </c>
      <c r="Q22" s="1" t="str">
        <f>IF(VLOOKUP(IntComp[[#This Row],[DEVELOPMENT]],CPD_Int[],20,FALSE)=1,"COMPLETED","IN PROGRESS")</f>
        <v>IN PROGRESS</v>
      </c>
      <c r="R22" s="47">
        <f>VLOOKUP(IntComp[[#This Row],[DEVELOPMENT]],CPD_Int[],11,FALSE)</f>
        <v>63283</v>
      </c>
      <c r="S22" s="1">
        <f ca="1">SUM(INDEX(IntComp['# to Replace (MRST)],1):IntComp[[#This Row],['# to Replace (MRST)]])-272</f>
        <v>-185</v>
      </c>
      <c r="T22" s="1" t="s">
        <v>2223</v>
      </c>
      <c r="U22" s="1">
        <f>IF(ISBLANK(IntComp[[#This Row],[CALENDAR YEAR]]),ROUNDDOWN(IntComp[[#This Row],[Count]]/190,0)+$U$1,IntComp[[#This Row],[CALENDAR YEAR]])</f>
        <v>2019</v>
      </c>
      <c r="V22" s="3" t="e">
        <f t="shared" si="1"/>
        <v>#N/A</v>
      </c>
      <c r="W22" s="51"/>
      <c r="X22"/>
    </row>
    <row r="23" spans="1:24">
      <c r="A23" s="9" t="s">
        <v>138</v>
      </c>
      <c r="B23" s="1" t="str">
        <f>VLOOKUP(A23,Data[],2,FALSE)</f>
        <v>BRONX</v>
      </c>
      <c r="C23" s="9" t="s">
        <v>106</v>
      </c>
      <c r="D23" s="9" t="str">
        <f>VLOOKUP(IntComp[[#This Row],[DEVELOPMENT]],Data[],52,FALSE)</f>
        <v>FEDERAL</v>
      </c>
      <c r="E23" s="9" t="str">
        <f>VLOOKUP(IntComp[[#This Row],[DEVELOPMENT]],Data[],8,FALSE)</f>
        <v>Zone 1</v>
      </c>
      <c r="F23" s="9">
        <f>VLOOKUP(IntComp[[#This Row],[DEVELOPMENT]],all[[DEVELOPMENT]:[MRST Ext. Comp. Priority]],13,FALSE)</f>
        <v>4</v>
      </c>
      <c r="G23" s="9">
        <f>IF(VLOOKUP(IntComp[[#This Row],[DEVELOPMENT]],Data[],9,FALSE)=0,5,VLOOKUP(IntComp[[#This Row],[DEVELOPMENT]],Data[],9,FALSE))</f>
        <v>4</v>
      </c>
      <c r="H23" s="9">
        <f>VLOOKUP(IntComp[[#This Row],[DEVELOPMENT]],Data[],7,FALSE)</f>
        <v>219</v>
      </c>
      <c r="I23" s="9">
        <f>VLOOKUP(IntComp[[#This Row],[DEVELOPMENT]],Data[],5,FALSE)</f>
        <v>1</v>
      </c>
      <c r="J23" s="9"/>
      <c r="K23" s="9" t="str">
        <f ca="1">IFERROR(VLOOKUP(IntComp[[#This Row],[DEVELOPMENT]],Data[],4,FALSE),"")</f>
        <v/>
      </c>
      <c r="L23" s="9" t="str">
        <f ca="1">IF(IntComp[[#This Row],[RAD/PACT]]="","",IF(OR(IntComp[[#This Row],[RAD/PACT]]="2022-2025",IntComp[[#This Row],[RAD/PACT]]=2019,IntComp[[#This Row],[RAD/PACT]]="2020-2021"),"Yes",""))</f>
        <v/>
      </c>
      <c r="M23" s="1">
        <f ca="1">IF(VLOOKUP(IntComp[[#This Row],[DEVELOPMENT]],Data[],10,FALSE)=0,-1,DATEDIF(VLOOKUP(IntComp[[#This Row],[DEVELOPMENT]],Data[],12,FALSE),TODAY(),"Y"))</f>
        <v>14</v>
      </c>
      <c r="N23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23" s="1">
        <v>2019</v>
      </c>
      <c r="P23" s="1">
        <v>2020</v>
      </c>
      <c r="Q23" s="1" t="str">
        <f>IF(VLOOKUP(IntComp[[#This Row],[DEVELOPMENT]],CPD_Int[],20,FALSE)=1,"COMPLETED","IN PROGRESS")</f>
        <v>IN PROGRESS</v>
      </c>
      <c r="R23" s="47">
        <f>VLOOKUP(IntComp[[#This Row],[DEVELOPMENT]],CPD_Int[],11,FALSE)</f>
        <v>0</v>
      </c>
      <c r="S23" s="1">
        <f ca="1">SUM(INDEX(IntComp['# to Replace (MRST)],1):IntComp[[#This Row],['# to Replace (MRST)]])-272</f>
        <v>-184</v>
      </c>
      <c r="T23" s="1" t="s">
        <v>2223</v>
      </c>
      <c r="U23" s="1">
        <f>IF(ISBLANK(IntComp[[#This Row],[CALENDAR YEAR]]),ROUNDDOWN(IntComp[[#This Row],[Count]]/190,0)+$U$1,IntComp[[#This Row],[CALENDAR YEAR]])</f>
        <v>2019</v>
      </c>
      <c r="V23" s="3" t="e">
        <f t="shared" si="1"/>
        <v>#N/A</v>
      </c>
      <c r="W23" s="51"/>
      <c r="X23"/>
    </row>
    <row r="24" spans="1:24">
      <c r="A24" s="111" t="s">
        <v>242</v>
      </c>
      <c r="B24" s="1" t="str">
        <f>VLOOKUP(A24,Data[],2,FALSE)</f>
        <v>MANHATTAN</v>
      </c>
      <c r="C24" s="9" t="s">
        <v>106</v>
      </c>
      <c r="D24" s="9" t="str">
        <f>VLOOKUP(IntComp[[#This Row],[DEVELOPMENT]],Data[],52,FALSE)</f>
        <v>FEDERAL</v>
      </c>
      <c r="E24" s="9" t="str">
        <f>VLOOKUP(IntComp[[#This Row],[DEVELOPMENT]],Data[],8,FALSE)</f>
        <v>Zone 1</v>
      </c>
      <c r="F24" s="9">
        <f>VLOOKUP(IntComp[[#This Row],[DEVELOPMENT]],all[[DEVELOPMENT]:[MRST Ext. Comp. Priority]],13,FALSE)</f>
        <v>4</v>
      </c>
      <c r="G24" s="9">
        <f>IF(VLOOKUP(IntComp[[#This Row],[DEVELOPMENT]],Data[],9,FALSE)=0,5,VLOOKUP(IntComp[[#This Row],[DEVELOPMENT]],Data[],9,FALSE))</f>
        <v>4</v>
      </c>
      <c r="H24" s="9">
        <f>VLOOKUP(IntComp[[#This Row],[DEVELOPMENT]],Data[],7,FALSE)</f>
        <v>126</v>
      </c>
      <c r="I24" s="9">
        <f>VLOOKUP(IntComp[[#This Row],[DEVELOPMENT]],Data[],5,FALSE)</f>
        <v>8</v>
      </c>
      <c r="J24" s="9"/>
      <c r="K24" s="9" t="str">
        <f ca="1">IFERROR(VLOOKUP(IntComp[[#This Row],[DEVELOPMENT]],Data[],4,FALSE),"")</f>
        <v>2026+</v>
      </c>
      <c r="L24" s="9" t="str">
        <f ca="1">IF(IntComp[[#This Row],[RAD/PACT]]="","",IF(OR(IntComp[[#This Row],[RAD/PACT]]="2022-2025",IntComp[[#This Row],[RAD/PACT]]=2019,IntComp[[#This Row],[RAD/PACT]]="2020-2021"),"Yes",""))</f>
        <v/>
      </c>
      <c r="M24" s="1">
        <f ca="1">IF(VLOOKUP(IntComp[[#This Row],[DEVELOPMENT]],Data[],10,FALSE)=0,-1,DATEDIF(VLOOKUP(IntComp[[#This Row],[DEVELOPMENT]],Data[],12,FALSE),TODAY(),"Y"))</f>
        <v>13</v>
      </c>
      <c r="N24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8</v>
      </c>
      <c r="O24" s="1">
        <v>2019</v>
      </c>
      <c r="P24" s="1">
        <v>2020</v>
      </c>
      <c r="Q24" s="1" t="str">
        <f>IF(VLOOKUP(IntComp[[#This Row],[DEVELOPMENT]],CPD_Int[],20,FALSE)=1,"COMPLETED","IN PROGRESS")</f>
        <v>IN PROGRESS</v>
      </c>
      <c r="R24" s="47">
        <f>VLOOKUP(IntComp[[#This Row],[DEVELOPMENT]],CPD_Int[],11,FALSE)</f>
        <v>405596</v>
      </c>
      <c r="S24" s="1">
        <f ca="1">SUM(INDEX(IntComp['# to Replace (MRST)],1):IntComp[[#This Row],['# to Replace (MRST)]])-272</f>
        <v>-176</v>
      </c>
      <c r="T24" s="1" t="s">
        <v>2223</v>
      </c>
      <c r="U24" s="1">
        <f>IF(ISBLANK(IntComp[[#This Row],[CALENDAR YEAR]]),ROUNDDOWN(IntComp[[#This Row],[Count]]/190,0)+$U$1,IntComp[[#This Row],[CALENDAR YEAR]])</f>
        <v>2019</v>
      </c>
      <c r="V24" s="3" t="e">
        <f t="shared" si="1"/>
        <v>#N/A</v>
      </c>
      <c r="W24" s="51"/>
      <c r="X24"/>
    </row>
    <row r="25" spans="1:24">
      <c r="A25" s="9" t="s">
        <v>121</v>
      </c>
      <c r="B25" s="1" t="str">
        <f>VLOOKUP(A25,Data[],2,FALSE)</f>
        <v>BRONX</v>
      </c>
      <c r="C25" s="9" t="s">
        <v>106</v>
      </c>
      <c r="D25" s="9" t="str">
        <f>VLOOKUP(IntComp[[#This Row],[DEVELOPMENT]],Data[],52,FALSE)</f>
        <v>FEDERAL</v>
      </c>
      <c r="E25" s="9" t="str">
        <f>VLOOKUP(IntComp[[#This Row],[DEVELOPMENT]],Data[],8,FALSE)</f>
        <v>Zone 1</v>
      </c>
      <c r="F25" s="9" t="str">
        <f>VLOOKUP(IntComp[[#This Row],[DEVELOPMENT]],all[[DEVELOPMENT]:[MRST Ext. Comp. Priority]],13,FALSE)</f>
        <v>None</v>
      </c>
      <c r="G25" s="9">
        <f>IF(VLOOKUP(IntComp[[#This Row],[DEVELOPMENT]],Data[],9,FALSE)=0,5,VLOOKUP(IntComp[[#This Row],[DEVELOPMENT]],Data[],9,FALSE))</f>
        <v>3</v>
      </c>
      <c r="H25" s="9">
        <f>VLOOKUP(IntComp[[#This Row],[DEVELOPMENT]],Data[],7,FALSE)</f>
        <v>239</v>
      </c>
      <c r="I25" s="9">
        <f>VLOOKUP(IntComp[[#This Row],[DEVELOPMENT]],Data[],5,FALSE)</f>
        <v>1</v>
      </c>
      <c r="J25" s="9"/>
      <c r="K25" s="9" t="str">
        <f ca="1">IFERROR(VLOOKUP(IntComp[[#This Row],[DEVELOPMENT]],Data[],4,FALSE),"")</f>
        <v/>
      </c>
      <c r="L25" s="9" t="str">
        <f ca="1">IF(IntComp[[#This Row],[RAD/PACT]]="","",IF(OR(IntComp[[#This Row],[RAD/PACT]]="2022-2025",IntComp[[#This Row],[RAD/PACT]]=2019,IntComp[[#This Row],[RAD/PACT]]="2020-2021"),"Yes",""))</f>
        <v/>
      </c>
      <c r="M25" s="1">
        <f ca="1">IF(VLOOKUP(IntComp[[#This Row],[DEVELOPMENT]],Data[],10,FALSE)=0,-1,DATEDIF(VLOOKUP(IntComp[[#This Row],[DEVELOPMENT]],Data[],12,FALSE),TODAY(),"Y"))</f>
        <v>22</v>
      </c>
      <c r="N25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25" s="1">
        <v>2019</v>
      </c>
      <c r="P25" s="1">
        <v>2020</v>
      </c>
      <c r="Q25" s="1" t="str">
        <f>IF(VLOOKUP(IntComp[[#This Row],[DEVELOPMENT]],CPD_Int[],20,FALSE)=1,"COMPLETED","IN PROGRESS")</f>
        <v>IN PROGRESS</v>
      </c>
      <c r="R25" s="47">
        <f>VLOOKUP(IntComp[[#This Row],[DEVELOPMENT]],CPD_Int[],11,FALSE)</f>
        <v>0</v>
      </c>
      <c r="S25" s="1">
        <f ca="1">SUM(INDEX(IntComp['# to Replace (MRST)],1):IntComp[[#This Row],['# to Replace (MRST)]])-272</f>
        <v>-174</v>
      </c>
      <c r="T25" s="1" t="s">
        <v>2223</v>
      </c>
      <c r="U25" s="1">
        <f>IF(ISBLANK(IntComp[[#This Row],[CALENDAR YEAR]]),ROUNDDOWN(IntComp[[#This Row],[Count]]/190,0)+$U$1,IntComp[[#This Row],[CALENDAR YEAR]])</f>
        <v>2019</v>
      </c>
      <c r="V25" s="3" t="e">
        <f t="shared" si="1"/>
        <v>#N/A</v>
      </c>
      <c r="W25" s="51"/>
      <c r="X25"/>
    </row>
    <row r="26" spans="1:24">
      <c r="A26" s="9" t="s">
        <v>31</v>
      </c>
      <c r="B26" s="1" t="str">
        <f>VLOOKUP(A26,Data[],2,FALSE)</f>
        <v>BRONX</v>
      </c>
      <c r="C26" s="9" t="s">
        <v>106</v>
      </c>
      <c r="D26" s="9" t="str">
        <f>VLOOKUP(IntComp[[#This Row],[DEVELOPMENT]],Data[],52,FALSE)</f>
        <v>FEDERAL</v>
      </c>
      <c r="E26" s="9" t="str">
        <f>VLOOKUP(IntComp[[#This Row],[DEVELOPMENT]],Data[],8,FALSE)</f>
        <v>Zone 1</v>
      </c>
      <c r="F26" s="9" t="str">
        <f>VLOOKUP(IntComp[[#This Row],[DEVELOPMENT]],all[[DEVELOPMENT]:[MRST Ext. Comp. Priority]],13,FALSE)</f>
        <v>None</v>
      </c>
      <c r="G26" s="9">
        <f>IF(VLOOKUP(IntComp[[#This Row],[DEVELOPMENT]],Data[],9,FALSE)=0,5,VLOOKUP(IntComp[[#This Row],[DEVELOPMENT]],Data[],9,FALSE))</f>
        <v>3</v>
      </c>
      <c r="H26" s="9">
        <f>VLOOKUP(IntComp[[#This Row],[DEVELOPMENT]],Data[],7,FALSE)</f>
        <v>1476</v>
      </c>
      <c r="I26" s="9">
        <f>VLOOKUP(IntComp[[#This Row],[DEVELOPMENT]],Data[],5,FALSE)</f>
        <v>6</v>
      </c>
      <c r="J26" s="9"/>
      <c r="K26" s="9" t="str">
        <f ca="1">IFERROR(VLOOKUP(IntComp[[#This Row],[DEVELOPMENT]],Data[],4,FALSE),"")</f>
        <v/>
      </c>
      <c r="L26" s="9" t="str">
        <f ca="1">IF(IntComp[[#This Row],[RAD/PACT]]="","",IF(OR(IntComp[[#This Row],[RAD/PACT]]="2022-2025",IntComp[[#This Row],[RAD/PACT]]=2019,IntComp[[#This Row],[RAD/PACT]]="2020-2021"),"Yes",""))</f>
        <v/>
      </c>
      <c r="M26" s="1">
        <f ca="1">IF(VLOOKUP(IntComp[[#This Row],[DEVELOPMENT]],Data[],10,FALSE)=0,-1,DATEDIF(VLOOKUP(IntComp[[#This Row],[DEVELOPMENT]],Data[],12,FALSE),TODAY(),"Y"))</f>
        <v>21</v>
      </c>
      <c r="N26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6</v>
      </c>
      <c r="O26" s="1">
        <v>2019</v>
      </c>
      <c r="P26" s="1">
        <v>2020</v>
      </c>
      <c r="Q26" s="1" t="str">
        <f>IF(VLOOKUP(IntComp[[#This Row],[DEVELOPMENT]],CPD_Int[],20,FALSE)=1,"COMPLETED","IN PROGRESS")</f>
        <v>IN PROGRESS</v>
      </c>
      <c r="R26" s="47">
        <f>VLOOKUP(IntComp[[#This Row],[DEVELOPMENT]],CPD_Int[],11,FALSE)</f>
        <v>0</v>
      </c>
      <c r="S26" s="1">
        <f ca="1">SUM(INDEX(IntComp['# to Replace (MRST)],1):IntComp[[#This Row],['# to Replace (MRST)]])-272</f>
        <v>-168</v>
      </c>
      <c r="T26" s="1" t="s">
        <v>2223</v>
      </c>
      <c r="U26" s="1">
        <f>IF(ISBLANK(IntComp[[#This Row],[CALENDAR YEAR]]),ROUNDDOWN(IntComp[[#This Row],[Count]]/190,0)+$U$1,IntComp[[#This Row],[CALENDAR YEAR]])</f>
        <v>2019</v>
      </c>
      <c r="V26" s="3" t="e">
        <f t="shared" si="1"/>
        <v>#N/A</v>
      </c>
      <c r="W26" s="51"/>
      <c r="X26"/>
    </row>
    <row r="27" spans="1:24">
      <c r="A27" s="1" t="s">
        <v>203</v>
      </c>
      <c r="B27" s="9" t="str">
        <f>VLOOKUP(A27,Data[],2,FALSE)</f>
        <v>BROOKLYN</v>
      </c>
      <c r="C27" s="9" t="s">
        <v>106</v>
      </c>
      <c r="D27" s="9" t="str">
        <f>VLOOKUP(IntComp[[#This Row],[DEVELOPMENT]],Data[],52,FALSE)</f>
        <v>FEDERAL</v>
      </c>
      <c r="E27" s="50">
        <f>VLOOKUP(IntComp[[#This Row],[DEVELOPMENT]],Data[],8,FALSE)</f>
        <v>0</v>
      </c>
      <c r="F27" s="50">
        <f>VLOOKUP(IntComp[[#This Row],[DEVELOPMENT]],all[[DEVELOPMENT]:[MRST Ext. Comp. Priority]],13,FALSE)</f>
        <v>3</v>
      </c>
      <c r="G27" s="50">
        <f>IF(VLOOKUP(IntComp[[#This Row],[DEVELOPMENT]],Data[],9,FALSE)=0,5,VLOOKUP(IntComp[[#This Row],[DEVELOPMENT]],Data[],9,FALSE))</f>
        <v>5</v>
      </c>
      <c r="H27" s="50">
        <f>VLOOKUP(IntComp[[#This Row],[DEVELOPMENT]],Data[],7,FALSE)</f>
        <v>158</v>
      </c>
      <c r="I27" s="50">
        <f>VLOOKUP(IntComp[[#This Row],[DEVELOPMENT]],Data[],5,FALSE)</f>
        <v>8</v>
      </c>
      <c r="J27" s="50"/>
      <c r="K27" s="50" t="str">
        <f ca="1">IFERROR(VLOOKUP(IntComp[[#This Row],[DEVELOPMENT]],Data[],4,FALSE),"")</f>
        <v>2026+</v>
      </c>
      <c r="L27" s="50" t="str">
        <f ca="1">IF(IntComp[[#This Row],[RAD/PACT]]="","",IF(OR(IntComp[[#This Row],[RAD/PACT]]="2022-2025",IntComp[[#This Row],[RAD/PACT]]=2019,IntComp[[#This Row],[RAD/PACT]]="2020-2021"),"Yes",""))</f>
        <v/>
      </c>
      <c r="M27" s="51">
        <f ca="1">IF(VLOOKUP(IntComp[[#This Row],[DEVELOPMENT]],Data[],10,FALSE)=0,-1,DATEDIF(VLOOKUP(IntComp[[#This Row],[DEVELOPMENT]],Data[],12,FALSE),TODAY(),"Y"))</f>
        <v>36</v>
      </c>
      <c r="N27" s="50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10</v>
      </c>
      <c r="O27" s="51">
        <v>2020</v>
      </c>
      <c r="P27" s="51">
        <v>2020</v>
      </c>
      <c r="Q27" s="1" t="s">
        <v>404</v>
      </c>
      <c r="R27" s="47">
        <f ca="1">(IntComp[[#This Row],['# to Replace (MRST)]]*INDEX(UnitCosts[#All],MATCH(IntComp[[#This Row],[WORK TYPE]],UnitCosts[Work Type],0)+1,2))*(1+((IntComp[[#This Row],[est. Year]]-YEAR(TODAY()))*$R$2))</f>
        <v>630875</v>
      </c>
      <c r="S27" s="1">
        <f ca="1">SUM(INDEX(IntComp['# to Replace (MRST)],1):IntComp[[#This Row],['# to Replace (MRST)]])-272</f>
        <v>-158</v>
      </c>
      <c r="T27" s="51"/>
      <c r="U27" s="51">
        <f>IF(ISBLANK(IntComp[[#This Row],[CALENDAR YEAR]]),ROUNDDOWN(IntComp[[#This Row],[Count]]/190,0)+$U$1,IntComp[[#This Row],[CALENDAR YEAR]])</f>
        <v>2020</v>
      </c>
      <c r="V27" s="85">
        <f t="shared" ca="1" si="1"/>
        <v>630875</v>
      </c>
      <c r="W27" s="51"/>
      <c r="X27"/>
    </row>
    <row r="28" spans="1:24">
      <c r="A28" s="1" t="s">
        <v>47</v>
      </c>
      <c r="B28" s="1" t="str">
        <f>VLOOKUP(A28,Data[],2,FALSE)</f>
        <v>BRONX</v>
      </c>
      <c r="C28" s="9" t="s">
        <v>106</v>
      </c>
      <c r="D28" s="9" t="str">
        <f>VLOOKUP(IntComp[[#This Row],[DEVELOPMENT]],Data[],52,FALSE)</f>
        <v>FEDERAL</v>
      </c>
      <c r="E28" s="9" t="str">
        <f>VLOOKUP(IntComp[[#This Row],[DEVELOPMENT]],Data[],8,FALSE)</f>
        <v>Zone 1</v>
      </c>
      <c r="F28" s="9">
        <f>VLOOKUP(IntComp[[#This Row],[DEVELOPMENT]],all[[DEVELOPMENT]:[MRST Ext. Comp. Priority]],13,FALSE)</f>
        <v>4</v>
      </c>
      <c r="G28" s="9">
        <f>IF(VLOOKUP(IntComp[[#This Row],[DEVELOPMENT]],Data[],9,FALSE)=0,5,VLOOKUP(IntComp[[#This Row],[DEVELOPMENT]],Data[],9,FALSE))</f>
        <v>4</v>
      </c>
      <c r="H28" s="9">
        <f>VLOOKUP(IntComp[[#This Row],[DEVELOPMENT]],Data[],7,FALSE)</f>
        <v>606</v>
      </c>
      <c r="I28" s="9">
        <f>VLOOKUP(IntComp[[#This Row],[DEVELOPMENT]],Data[],5,FALSE)</f>
        <v>5</v>
      </c>
      <c r="J28" s="9"/>
      <c r="K28" s="9" t="str">
        <f ca="1">IFERROR(VLOOKUP(IntComp[[#This Row],[DEVELOPMENT]],Data[],4,FALSE),"")</f>
        <v/>
      </c>
      <c r="L28" s="9" t="str">
        <f ca="1">IF(IntComp[[#This Row],[RAD/PACT]]="","",IF(OR(IntComp[[#This Row],[RAD/PACT]]="2022-2025",IntComp[[#This Row],[RAD/PACT]]=2019,IntComp[[#This Row],[RAD/PACT]]="2020-2021"),"Yes",""))</f>
        <v/>
      </c>
      <c r="M28" s="26">
        <f ca="1">IF(VLOOKUP(IntComp[[#This Row],[DEVELOPMENT]],Data[],10,FALSE)=0,-1,DATEDIF(VLOOKUP(IntComp[[#This Row],[DEVELOPMENT]],Data[],12,FALSE),TODAY(),"Y"))</f>
        <v>5</v>
      </c>
      <c r="N28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8" s="1">
        <v>2019</v>
      </c>
      <c r="P28" s="1">
        <v>2020</v>
      </c>
      <c r="Q28" s="1" t="s">
        <v>401</v>
      </c>
      <c r="R28" s="47">
        <f>VLOOKUP(IntComp[[#This Row],[DEVELOPMENT]],CPD_Int[],11,FALSE)</f>
        <v>0</v>
      </c>
      <c r="S28" s="1">
        <f ca="1">SUM(INDEX(IntComp['# to Replace (MRST)],1):IntComp[[#This Row],['# to Replace (MRST)]])-272</f>
        <v>-158</v>
      </c>
      <c r="T28" s="1" t="s">
        <v>2223</v>
      </c>
      <c r="U28" s="1">
        <f>IF(ISBLANK(IntComp[[#This Row],[CALENDAR YEAR]]),ROUNDDOWN(IntComp[[#This Row],[Count]]/190,0)+$U$1,IntComp[[#This Row],[CALENDAR YEAR]])</f>
        <v>2019</v>
      </c>
      <c r="V28" s="3">
        <f t="shared" si="1"/>
        <v>0</v>
      </c>
      <c r="W28" s="51"/>
      <c r="X28"/>
    </row>
    <row r="29" spans="1:24">
      <c r="A29" s="9" t="s">
        <v>42</v>
      </c>
      <c r="B29" s="1" t="str">
        <f>VLOOKUP(A29,Data[],2,FALSE)</f>
        <v>BROOKLYN</v>
      </c>
      <c r="C29" s="9" t="s">
        <v>106</v>
      </c>
      <c r="D29" s="9" t="str">
        <f>VLOOKUP(IntComp[[#This Row],[DEVELOPMENT]],Data[],52,FALSE)</f>
        <v>FEDERAL</v>
      </c>
      <c r="E29" s="9" t="str">
        <f>VLOOKUP(IntComp[[#This Row],[DEVELOPMENT]],Data[],8,FALSE)</f>
        <v>Zone 1</v>
      </c>
      <c r="F29" s="9">
        <f>VLOOKUP(IntComp[[#This Row],[DEVELOPMENT]],all[[DEVELOPMENT]:[MRST Ext. Comp. Priority]],13,FALSE)</f>
        <v>2</v>
      </c>
      <c r="G29" s="9">
        <f>IF(VLOOKUP(IntComp[[#This Row],[DEVELOPMENT]],Data[],9,FALSE)=0,5,VLOOKUP(IntComp[[#This Row],[DEVELOPMENT]],Data[],9,FALSE))</f>
        <v>4</v>
      </c>
      <c r="H29" s="9">
        <f>VLOOKUP(IntComp[[#This Row],[DEVELOPMENT]],Data[],7,FALSE)</f>
        <v>761</v>
      </c>
      <c r="I29" s="9">
        <f>VLOOKUP(IntComp[[#This Row],[DEVELOPMENT]],Data[],5,FALSE)</f>
        <v>6</v>
      </c>
      <c r="J29" s="9"/>
      <c r="K29" s="9" t="str">
        <f ca="1">IFERROR(VLOOKUP(IntComp[[#This Row],[DEVELOPMENT]],Data[],4,FALSE),"")</f>
        <v/>
      </c>
      <c r="L29" s="9" t="str">
        <f ca="1">IF(IntComp[[#This Row],[RAD/PACT]]="","",IF(OR(IntComp[[#This Row],[RAD/PACT]]="2022-2025",IntComp[[#This Row],[RAD/PACT]]=2019,IntComp[[#This Row],[RAD/PACT]]="2020-2021"),"Yes",""))</f>
        <v/>
      </c>
      <c r="M29" s="1">
        <f ca="1">IF(VLOOKUP(IntComp[[#This Row],[DEVELOPMENT]],Data[],10,FALSE)=0,-1,DATEDIF(VLOOKUP(IntComp[[#This Row],[DEVELOPMENT]],Data[],12,FALSE),TODAY(),"Y"))</f>
        <v>21</v>
      </c>
      <c r="N29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6</v>
      </c>
      <c r="O29" s="1">
        <v>2020</v>
      </c>
      <c r="P29" s="1">
        <v>2020</v>
      </c>
      <c r="Q29" s="1" t="str">
        <f>IF(VLOOKUP(IntComp[[#This Row],[DEVELOPMENT]],CPD_Int[],20,FALSE)=1,"COMPLETED","IN PROGRESS")</f>
        <v>COMPLETED</v>
      </c>
      <c r="R29" s="47">
        <f>VLOOKUP(IntComp[[#This Row],[DEVELOPMENT]],CPD_Int[],11,FALSE)</f>
        <v>280640</v>
      </c>
      <c r="S29" s="1">
        <f ca="1">SUM(INDEX(IntComp['# to Replace (MRST)],1):IntComp[[#This Row],['# to Replace (MRST)]])-272</f>
        <v>-152</v>
      </c>
      <c r="T29" s="1" t="s">
        <v>2223</v>
      </c>
      <c r="U29" s="1">
        <f>IF(ISBLANK(IntComp[[#This Row],[CALENDAR YEAR]]),ROUNDDOWN(IntComp[[#This Row],[Count]]/190,0)+$U$1,IntComp[[#This Row],[CALENDAR YEAR]])</f>
        <v>2020</v>
      </c>
      <c r="V29" s="3">
        <f t="shared" si="1"/>
        <v>280640</v>
      </c>
      <c r="W29" s="51"/>
      <c r="X29"/>
    </row>
    <row r="30" spans="1:24">
      <c r="A30" s="1" t="s">
        <v>140</v>
      </c>
      <c r="B30" s="1" t="str">
        <f>VLOOKUP(A30,Data[],2,FALSE)</f>
        <v>BRONX</v>
      </c>
      <c r="C30" s="9" t="s">
        <v>106</v>
      </c>
      <c r="D30" s="9" t="str">
        <f>VLOOKUP(IntComp[[#This Row],[DEVELOPMENT]],Data[],52,FALSE)</f>
        <v>FEDERAL</v>
      </c>
      <c r="E30" s="9" t="str">
        <f>VLOOKUP(IntComp[[#This Row],[DEVELOPMENT]],Data[],8,FALSE)</f>
        <v>Zone 1</v>
      </c>
      <c r="F30" s="9">
        <f>VLOOKUP(IntComp[[#This Row],[DEVELOPMENT]],all[[DEVELOPMENT]:[MRST Ext. Comp. Priority]],13,FALSE)</f>
        <v>3</v>
      </c>
      <c r="G30" s="9">
        <f>IF(VLOOKUP(IntComp[[#This Row],[DEVELOPMENT]],Data[],9,FALSE)=0,5,VLOOKUP(IntComp[[#This Row],[DEVELOPMENT]],Data[],9,FALSE))</f>
        <v>2</v>
      </c>
      <c r="H30" s="9">
        <f>VLOOKUP(IntComp[[#This Row],[DEVELOPMENT]],Data[],7,FALSE)</f>
        <v>802</v>
      </c>
      <c r="I30" s="9">
        <f>VLOOKUP(IntComp[[#This Row],[DEVELOPMENT]],Data[],5,FALSE)</f>
        <v>7</v>
      </c>
      <c r="J30" s="9"/>
      <c r="K30" s="9" t="str">
        <f ca="1">IFERROR(VLOOKUP(IntComp[[#This Row],[DEVELOPMENT]],Data[],4,FALSE),"")</f>
        <v/>
      </c>
      <c r="L30" s="9" t="str">
        <f ca="1">IF(IntComp[[#This Row],[RAD/PACT]]="","",IF(OR(IntComp[[#This Row],[RAD/PACT]]="2022-2025",IntComp[[#This Row],[RAD/PACT]]=2019,IntComp[[#This Row],[RAD/PACT]]="2020-2021"),"Yes",""))</f>
        <v/>
      </c>
      <c r="M30" s="9">
        <f ca="1">IF(VLOOKUP(IntComp[[#This Row],[DEVELOPMENT]],Data[],10,FALSE)=0,-1,DATEDIF(VLOOKUP(IntComp[[#This Row],[DEVELOPMENT]],Data[],12,FALSE),TODAY(),"Y"))</f>
        <v>120</v>
      </c>
      <c r="N30" s="9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8</v>
      </c>
      <c r="O30" s="1">
        <v>2020</v>
      </c>
      <c r="P30" s="1">
        <v>2020</v>
      </c>
      <c r="Q30" s="1" t="str">
        <f>IF(VLOOKUP(IntComp[[#This Row],[DEVELOPMENT]],CPD_Int[],20,FALSE)=1,"COMPLETED","IN PROGRESS")</f>
        <v>COMPLETED</v>
      </c>
      <c r="R30" s="47">
        <f>VLOOKUP(IntComp[[#This Row],[DEVELOPMENT]],CPD_Int[],11,FALSE)</f>
        <v>0</v>
      </c>
      <c r="S30" s="1">
        <f ca="1">SUM(INDEX(IntComp['# to Replace (MRST)],1):IntComp[[#This Row],['# to Replace (MRST)]])-272</f>
        <v>-144</v>
      </c>
      <c r="T30" s="1" t="s">
        <v>2223</v>
      </c>
      <c r="U30" s="1">
        <f>IF(ISBLANK(IntComp[[#This Row],[CALENDAR YEAR]]),ROUNDDOWN(IntComp[[#This Row],[Count]]/190,0)+$U$1,IntComp[[#This Row],[CALENDAR YEAR]])</f>
        <v>2020</v>
      </c>
      <c r="V30" s="3">
        <f t="shared" si="1"/>
        <v>280640</v>
      </c>
      <c r="W30" s="51"/>
      <c r="X30"/>
    </row>
    <row r="31" spans="1:24">
      <c r="A31" s="1" t="s">
        <v>266</v>
      </c>
      <c r="B31" s="1" t="str">
        <f>VLOOKUP(A31,Data[],2,FALSE)</f>
        <v>MANHATTAN</v>
      </c>
      <c r="C31" s="9" t="s">
        <v>106</v>
      </c>
      <c r="D31" s="9" t="str">
        <f>VLOOKUP(IntComp[[#This Row],[DEVELOPMENT]],Data[],52,FALSE)</f>
        <v>FEDERAL</v>
      </c>
      <c r="E31" s="50" t="str">
        <f>VLOOKUP(IntComp[[#This Row],[DEVELOPMENT]],Data[],8,FALSE)</f>
        <v>Zone 1</v>
      </c>
      <c r="F31" s="50">
        <f>VLOOKUP(IntComp[[#This Row],[DEVELOPMENT]],all[[DEVELOPMENT]:[MRST Ext. Comp. Priority]],13,FALSE)</f>
        <v>3</v>
      </c>
      <c r="G31" s="9">
        <f>IF(VLOOKUP(IntComp[[#This Row],[DEVELOPMENT]],Data[],9,FALSE)=0,5,VLOOKUP(IntComp[[#This Row],[DEVELOPMENT]],Data[],9,FALSE))</f>
        <v>3</v>
      </c>
      <c r="H31" s="50">
        <f>VLOOKUP(IntComp[[#This Row],[DEVELOPMENT]],Data[],7,FALSE)</f>
        <v>149</v>
      </c>
      <c r="I31" s="50">
        <f>VLOOKUP(IntComp[[#This Row],[DEVELOPMENT]],Data[],5,FALSE)</f>
        <v>1</v>
      </c>
      <c r="J31" s="9"/>
      <c r="K31" s="50" t="str">
        <f ca="1">IFERROR(VLOOKUP(IntComp[[#This Row],[DEVELOPMENT]],Data[],4,FALSE),"")</f>
        <v/>
      </c>
      <c r="L31" s="50" t="str">
        <f ca="1">IF(IntComp[[#This Row],[RAD/PACT]]="","",IF(OR(IntComp[[#This Row],[RAD/PACT]]="2022-2025",IntComp[[#This Row],[RAD/PACT]]=2019,IntComp[[#This Row],[RAD/PACT]]="2020-2021"),"Yes",""))</f>
        <v/>
      </c>
      <c r="M31" s="50">
        <f ca="1">IF(VLOOKUP(IntComp[[#This Row],[DEVELOPMENT]],Data[],10,FALSE)=0,-1,DATEDIF(VLOOKUP(IntComp[[#This Row],[DEVELOPMENT]],Data[],12,FALSE),TODAY(),"Y"))</f>
        <v>120</v>
      </c>
      <c r="N31" s="50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31" s="51">
        <v>2020</v>
      </c>
      <c r="P31" s="51">
        <v>2020</v>
      </c>
      <c r="Q31" s="1" t="str">
        <f>IF(VLOOKUP(IntComp[[#This Row],[DEVELOPMENT]],CPD_Int[],20,FALSE)=1,"COMPLETED","IN PROGRESS")</f>
        <v>COMPLETED</v>
      </c>
      <c r="R31" s="47">
        <f>VLOOKUP(IntComp[[#This Row],[DEVELOPMENT]],CPD_Int[],11,FALSE)</f>
        <v>59677</v>
      </c>
      <c r="S31" s="1">
        <f ca="1">SUM(INDEX(IntComp['# to Replace (MRST)],1):IntComp[[#This Row],['# to Replace (MRST)]])-272</f>
        <v>-143</v>
      </c>
      <c r="T31" s="1" t="s">
        <v>2223</v>
      </c>
      <c r="U31" s="51">
        <f>IF(ISBLANK(IntComp[[#This Row],[CALENDAR YEAR]]),ROUNDDOWN(IntComp[[#This Row],[Count]]/190,0)+$U$1,IntComp[[#This Row],[CALENDAR YEAR]])</f>
        <v>2020</v>
      </c>
      <c r="V31" s="3">
        <f t="shared" si="1"/>
        <v>340317</v>
      </c>
      <c r="W31" s="51"/>
      <c r="X31"/>
    </row>
    <row r="32" spans="1:24" hidden="1">
      <c r="A32" s="192" t="s">
        <v>95</v>
      </c>
      <c r="B32" s="196" t="str">
        <f>VLOOKUP(A32,Data[],2,FALSE)</f>
        <v>MANHATTAN</v>
      </c>
      <c r="C32" s="197" t="s">
        <v>106</v>
      </c>
      <c r="D32" s="197" t="str">
        <f>VLOOKUP(IntComp[[#This Row],[DEVELOPMENT]],Data[],52,FALSE)</f>
        <v>MIXED FINANCE/LLC1</v>
      </c>
      <c r="E32" s="197" t="str">
        <f>VLOOKUP(IntComp[[#This Row],[DEVELOPMENT]],Data[],8,FALSE)</f>
        <v>Zone 2</v>
      </c>
      <c r="F32" s="197">
        <f>VLOOKUP(IntComp[[#This Row],[DEVELOPMENT]],all[[DEVELOPMENT]:[MRST Ext. Comp. Priority]],13,FALSE)</f>
        <v>2</v>
      </c>
      <c r="G32" s="197">
        <f>IF(VLOOKUP(IntComp[[#This Row],[DEVELOPMENT]],Data[],9,FALSE)=0,5,VLOOKUP(IntComp[[#This Row],[DEVELOPMENT]],Data[],9,FALSE))</f>
        <v>3</v>
      </c>
      <c r="H32" s="197">
        <f>VLOOKUP(IntComp[[#This Row],[DEVELOPMENT]],Data[],7,FALSE)</f>
        <v>664</v>
      </c>
      <c r="I32" s="197">
        <f>VLOOKUP(IntComp[[#This Row],[DEVELOPMENT]],Data[],5,FALSE)</f>
        <v>40</v>
      </c>
      <c r="J32" s="197"/>
      <c r="K32" s="197" t="str">
        <f ca="1">IFERROR(VLOOKUP(IntComp[[#This Row],[DEVELOPMENT]],Data[],4,FALSE),"")</f>
        <v>2020-2021</v>
      </c>
      <c r="L32" s="197" t="str">
        <f ca="1">IF(IntComp[[#This Row],[RAD/PACT]]="","",IF(OR(IntComp[[#This Row],[RAD/PACT]]="2022-2025",IntComp[[#This Row],[RAD/PACT]]=2019,IntComp[[#This Row],[RAD/PACT]]="2020-2021"),"Yes",""))</f>
        <v>Yes</v>
      </c>
      <c r="M32" s="196">
        <f ca="1">IF(VLOOKUP(IntComp[[#This Row],[DEVELOPMENT]],Data[],10,FALSE)=0,-1,DATEDIF(VLOOKUP(IntComp[[#This Row],[DEVELOPMENT]],Data[],12,FALSE),TODAY(),"Y"))</f>
        <v>20</v>
      </c>
      <c r="N32" s="196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32" s="196"/>
      <c r="P32" s="196">
        <v>2022</v>
      </c>
      <c r="Q32" s="196" t="s">
        <v>2224</v>
      </c>
      <c r="R32" s="198">
        <f ca="1">(IntComp[[#This Row],['# to Replace (MRST)]]*INDEX(UnitCosts[#All],MATCH(IntComp[[#This Row],[WORK TYPE]],UnitCosts[Work Type],0)+1,2))*(1+((IntComp[[#This Row],[est. Year]]-YEAR(TODAY()))*$R$2))</f>
        <v>0</v>
      </c>
      <c r="S32" s="196">
        <f ca="1">SUM(INDEX(IntComp['# to Replace (MRST)],1):IntComp[[#This Row],['# to Replace (MRST)]])-272</f>
        <v>-143</v>
      </c>
      <c r="T32" s="196"/>
      <c r="U32" s="196">
        <f ca="1">IF(ISBLANK(IntComp[[#This Row],[CALENDAR YEAR]]),ROUNDDOWN(IntComp[[#This Row],[Count]]/190,0)+$U$1,IntComp[[#This Row],[CALENDAR YEAR]])</f>
        <v>2021</v>
      </c>
      <c r="V32" s="199">
        <f t="shared" ca="1" si="1"/>
        <v>0</v>
      </c>
      <c r="X32"/>
    </row>
    <row r="33" spans="1:24">
      <c r="A33" s="9" t="s">
        <v>50</v>
      </c>
      <c r="B33" s="1" t="str">
        <f>VLOOKUP(A33,Data[],2,FALSE)</f>
        <v>MANHATTAN</v>
      </c>
      <c r="C33" s="9" t="s">
        <v>106</v>
      </c>
      <c r="D33" s="9" t="str">
        <f>VLOOKUP(IntComp[[#This Row],[DEVELOPMENT]],Data[],52,FALSE)</f>
        <v>FEDERAL</v>
      </c>
      <c r="E33" s="9" t="str">
        <f>VLOOKUP(IntComp[[#This Row],[DEVELOPMENT]],Data[],8,FALSE)</f>
        <v>Zone 1</v>
      </c>
      <c r="F33" s="9">
        <f>VLOOKUP(IntComp[[#This Row],[DEVELOPMENT]],all[[DEVELOPMENT]:[MRST Ext. Comp. Priority]],13,FALSE)</f>
        <v>3</v>
      </c>
      <c r="G33" s="9">
        <f>IF(VLOOKUP(IntComp[[#This Row],[DEVELOPMENT]],Data[],9,FALSE)=0,5,VLOOKUP(IntComp[[#This Row],[DEVELOPMENT]],Data[],9,FALSE))</f>
        <v>4</v>
      </c>
      <c r="H33" s="9">
        <f>VLOOKUP(IntComp[[#This Row],[DEVELOPMENT]],Data[],7,FALSE)</f>
        <v>229</v>
      </c>
      <c r="I33" s="9">
        <f>VLOOKUP(IntComp[[#This Row],[DEVELOPMENT]],Data[],5,FALSE)</f>
        <v>1</v>
      </c>
      <c r="J33" s="9"/>
      <c r="K33" s="9" t="str">
        <f ca="1">IFERROR(VLOOKUP(IntComp[[#This Row],[DEVELOPMENT]],Data[],4,FALSE),"")</f>
        <v/>
      </c>
      <c r="L33" s="9" t="str">
        <f ca="1">IF(IntComp[[#This Row],[RAD/PACT]]="","",IF(OR(IntComp[[#This Row],[RAD/PACT]]="2022-2025",IntComp[[#This Row],[RAD/PACT]]=2019,IntComp[[#This Row],[RAD/PACT]]="2020-2021"),"Yes",""))</f>
        <v/>
      </c>
      <c r="M33" s="1">
        <f ca="1">IF(VLOOKUP(IntComp[[#This Row],[DEVELOPMENT]],Data[],10,FALSE)=0,-1,DATEDIF(VLOOKUP(IntComp[[#This Row],[DEVELOPMENT]],Data[],12,FALSE),TODAY(),"Y"))</f>
        <v>40</v>
      </c>
      <c r="N33" s="9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33" s="1">
        <v>2020</v>
      </c>
      <c r="P33" s="1">
        <v>2020</v>
      </c>
      <c r="Q33" s="1" t="str">
        <f>IF(VLOOKUP(IntComp[[#This Row],[DEVELOPMENT]],CPD_Int[],20,FALSE)=1,"COMPLETED","IN PROGRESS")</f>
        <v>COMPLETED</v>
      </c>
      <c r="R33" s="47">
        <f>VLOOKUP(IntComp[[#This Row],[DEVELOPMENT]],CPD_Int[],11,FALSE)</f>
        <v>55349</v>
      </c>
      <c r="S33" s="1">
        <f ca="1">SUM(INDEX(IntComp['# to Replace (MRST)],1):IntComp[[#This Row],['# to Replace (MRST)]])-272</f>
        <v>-142</v>
      </c>
      <c r="T33" s="1" t="s">
        <v>2223</v>
      </c>
      <c r="U33" s="1">
        <f>IF(ISBLANK(IntComp[[#This Row],[CALENDAR YEAR]]),ROUNDDOWN(IntComp[[#This Row],[Count]]/190,0)+$U$1,IntComp[[#This Row],[CALENDAR YEAR]])</f>
        <v>2020</v>
      </c>
      <c r="V33" s="3">
        <f t="shared" ca="1" si="1"/>
        <v>55349</v>
      </c>
      <c r="W33" s="51"/>
      <c r="X33"/>
    </row>
    <row r="34" spans="1:24">
      <c r="A34" s="9" t="s">
        <v>148</v>
      </c>
      <c r="B34" s="1" t="str">
        <f>VLOOKUP(A34,Data[],2,FALSE)</f>
        <v>BROOKLYN</v>
      </c>
      <c r="C34" s="9" t="s">
        <v>106</v>
      </c>
      <c r="D34" s="9" t="str">
        <f>VLOOKUP(IntComp[[#This Row],[DEVELOPMENT]],Data[],52,FALSE)</f>
        <v>FEDERAL</v>
      </c>
      <c r="E34" s="9" t="str">
        <f>VLOOKUP(IntComp[[#This Row],[DEVELOPMENT]],Data[],8,FALSE)</f>
        <v>Zone 1</v>
      </c>
      <c r="F34" s="9">
        <f>VLOOKUP(IntComp[[#This Row],[DEVELOPMENT]],all[[DEVELOPMENT]:[MRST Ext. Comp. Priority]],13,FALSE)</f>
        <v>3</v>
      </c>
      <c r="G34" s="9">
        <f>IF(VLOOKUP(IntComp[[#This Row],[DEVELOPMENT]],Data[],9,FALSE)=0,5,VLOOKUP(IntComp[[#This Row],[DEVELOPMENT]],Data[],9,FALSE))</f>
        <v>4</v>
      </c>
      <c r="H34" s="9">
        <f>VLOOKUP(IntComp[[#This Row],[DEVELOPMENT]],Data[],7,FALSE)</f>
        <v>342</v>
      </c>
      <c r="I34" s="9">
        <f>VLOOKUP(IntComp[[#This Row],[DEVELOPMENT]],Data[],5,FALSE)</f>
        <v>3</v>
      </c>
      <c r="J34" s="9"/>
      <c r="K34" s="9" t="str">
        <f ca="1">IFERROR(VLOOKUP(IntComp[[#This Row],[DEVELOPMENT]],Data[],4,FALSE),"")</f>
        <v/>
      </c>
      <c r="L34" s="9" t="str">
        <f ca="1">IF(IntComp[[#This Row],[RAD/PACT]]="","",IF(OR(IntComp[[#This Row],[RAD/PACT]]="2022-2025",IntComp[[#This Row],[RAD/PACT]]=2019,IntComp[[#This Row],[RAD/PACT]]="2020-2021"),"Yes",""))</f>
        <v/>
      </c>
      <c r="M34" s="1">
        <f ca="1">IF(VLOOKUP(IntComp[[#This Row],[DEVELOPMENT]],Data[],10,FALSE)=0,-1,DATEDIF(VLOOKUP(IntComp[[#This Row],[DEVELOPMENT]],Data[],12,FALSE),TODAY(),"Y"))</f>
        <v>21</v>
      </c>
      <c r="N34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34" s="1">
        <v>2020</v>
      </c>
      <c r="P34" s="1">
        <v>2020</v>
      </c>
      <c r="Q34" s="1" t="str">
        <f>IF(VLOOKUP(IntComp[[#This Row],[DEVELOPMENT]],CPD_Int[],20,FALSE)=1,"COMPLETED","IN PROGRESS")</f>
        <v>COMPLETED</v>
      </c>
      <c r="R34" s="47">
        <f>VLOOKUP(IntComp[[#This Row],[DEVELOPMENT]],CPD_Int[],11,FALSE)</f>
        <v>141242</v>
      </c>
      <c r="S34" s="1">
        <f ca="1">SUM(INDEX(IntComp['# to Replace (MRST)],1):IntComp[[#This Row],['# to Replace (MRST)]])-272</f>
        <v>-139</v>
      </c>
      <c r="T34" s="1" t="s">
        <v>2223</v>
      </c>
      <c r="U34" s="1">
        <f>IF(ISBLANK(IntComp[[#This Row],[CALENDAR YEAR]]),ROUNDDOWN(IntComp[[#This Row],[Count]]/190,0)+$U$1,IntComp[[#This Row],[CALENDAR YEAR]])</f>
        <v>2020</v>
      </c>
      <c r="V34" s="3">
        <f t="shared" ca="1" si="1"/>
        <v>196591</v>
      </c>
      <c r="W34" s="51"/>
      <c r="X34"/>
    </row>
    <row r="35" spans="1:24">
      <c r="A35" s="9" t="s">
        <v>142</v>
      </c>
      <c r="B35" s="1" t="str">
        <f>VLOOKUP(A35,Data[],2,FALSE)</f>
        <v>BROOKLYN</v>
      </c>
      <c r="C35" s="9" t="s">
        <v>106</v>
      </c>
      <c r="D35" s="9" t="str">
        <f>VLOOKUP(IntComp[[#This Row],[DEVELOPMENT]],Data[],52,FALSE)</f>
        <v>FEDERAL</v>
      </c>
      <c r="E35" s="9" t="str">
        <f>VLOOKUP(IntComp[[#This Row],[DEVELOPMENT]],Data[],8,FALSE)</f>
        <v>Zone 1</v>
      </c>
      <c r="F35" s="9">
        <f>VLOOKUP(IntComp[[#This Row],[DEVELOPMENT]],all[[DEVELOPMENT]:[MRST Ext. Comp. Priority]],13,FALSE)</f>
        <v>3</v>
      </c>
      <c r="G35" s="9">
        <f>IF(VLOOKUP(IntComp[[#This Row],[DEVELOPMENT]],Data[],9,FALSE)=0,5,VLOOKUP(IntComp[[#This Row],[DEVELOPMENT]],Data[],9,FALSE))</f>
        <v>4</v>
      </c>
      <c r="H35" s="9">
        <f>VLOOKUP(IntComp[[#This Row],[DEVELOPMENT]],Data[],7,FALSE)</f>
        <v>84</v>
      </c>
      <c r="I35" s="9">
        <f>VLOOKUP(IntComp[[#This Row],[DEVELOPMENT]],Data[],5,FALSE)</f>
        <v>3</v>
      </c>
      <c r="J35" s="9"/>
      <c r="K35" s="9" t="str">
        <f ca="1">IFERROR(VLOOKUP(IntComp[[#This Row],[DEVELOPMENT]],Data[],4,FALSE),"")</f>
        <v/>
      </c>
      <c r="L35" s="9" t="str">
        <f ca="1">IF(IntComp[[#This Row],[RAD/PACT]]="","",IF(OR(IntComp[[#This Row],[RAD/PACT]]="2022-2025",IntComp[[#This Row],[RAD/PACT]]=2019,IntComp[[#This Row],[RAD/PACT]]="2020-2021"),"Yes",""))</f>
        <v/>
      </c>
      <c r="M35" s="1">
        <f ca="1">IF(VLOOKUP(IntComp[[#This Row],[DEVELOPMENT]],Data[],10,FALSE)=0,-1,DATEDIF(VLOOKUP(IntComp[[#This Row],[DEVELOPMENT]],Data[],12,FALSE),TODAY(),"Y"))</f>
        <v>37</v>
      </c>
      <c r="N35" s="9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</v>
      </c>
      <c r="O35" s="1">
        <v>2020</v>
      </c>
      <c r="P35" s="1">
        <v>2020</v>
      </c>
      <c r="Q35" s="1" t="e">
        <f>IF(VLOOKUP(IntComp[[#This Row],[DEVELOPMENT]],CPD_Int[],20,FALSE)=1,"COMPLETED","IN PROGRESS")</f>
        <v>#N/A</v>
      </c>
      <c r="R35" s="47" t="e">
        <f>VLOOKUP(IntComp[[#This Row],[DEVELOPMENT]],CPD_Int[],11,FALSE)</f>
        <v>#N/A</v>
      </c>
      <c r="S35" s="1">
        <f ca="1">SUM(INDEX(IntComp['# to Replace (MRST)],1):IntComp[[#This Row],['# to Replace (MRST)]])-272</f>
        <v>-134</v>
      </c>
      <c r="T35" s="1" t="s">
        <v>2223</v>
      </c>
      <c r="U35" s="1">
        <f>IF(ISBLANK(IntComp[[#This Row],[CALENDAR YEAR]]),ROUNDDOWN(IntComp[[#This Row],[Count]]/190,0)+$U$1,IntComp[[#This Row],[CALENDAR YEAR]])</f>
        <v>2020</v>
      </c>
      <c r="V35" s="3" t="e">
        <f t="shared" ca="1" si="1"/>
        <v>#N/A</v>
      </c>
      <c r="W35" s="51"/>
      <c r="X35"/>
    </row>
    <row r="36" spans="1:24">
      <c r="A36" s="1" t="s">
        <v>249</v>
      </c>
      <c r="B36" s="9" t="str">
        <f>VLOOKUP(A36,Data[],2,FALSE)</f>
        <v>BROOKLYN</v>
      </c>
      <c r="C36" s="9" t="s">
        <v>106</v>
      </c>
      <c r="D36" s="9" t="str">
        <f>VLOOKUP(IntComp[[#This Row],[DEVELOPMENT]],Data[],52,FALSE)</f>
        <v>FEDERAL</v>
      </c>
      <c r="E36" s="50">
        <f>VLOOKUP(IntComp[[#This Row],[DEVELOPMENT]],Data[],8,FALSE)</f>
        <v>0</v>
      </c>
      <c r="F36" s="50">
        <f>VLOOKUP(IntComp[[#This Row],[DEVELOPMENT]],all[[DEVELOPMENT]:[MRST Ext. Comp. Priority]],13,FALSE)</f>
        <v>3</v>
      </c>
      <c r="G36" s="50">
        <f>IF(VLOOKUP(IntComp[[#This Row],[DEVELOPMENT]],Data[],9,FALSE)=0,5,VLOOKUP(IntComp[[#This Row],[DEVELOPMENT]],Data[],9,FALSE))</f>
        <v>5</v>
      </c>
      <c r="H36" s="50">
        <f>VLOOKUP(IntComp[[#This Row],[DEVELOPMENT]],Data[],7,FALSE)</f>
        <v>1500</v>
      </c>
      <c r="I36" s="50">
        <f>VLOOKUP(IntComp[[#This Row],[DEVELOPMENT]],Data[],5,FALSE)</f>
        <v>22</v>
      </c>
      <c r="J36" s="50"/>
      <c r="K36" s="50" t="str">
        <f ca="1">IFERROR(VLOOKUP(IntComp[[#This Row],[DEVELOPMENT]],Data[],4,FALSE),"")</f>
        <v/>
      </c>
      <c r="L36" s="50" t="str">
        <f ca="1">IF(IntComp[[#This Row],[RAD/PACT]]="","",IF(OR(IntComp[[#This Row],[RAD/PACT]]="2022-2025",IntComp[[#This Row],[RAD/PACT]]=2019,IntComp[[#This Row],[RAD/PACT]]="2020-2021"),"Yes",""))</f>
        <v/>
      </c>
      <c r="M36" s="51">
        <f ca="1">IF(VLOOKUP(IntComp[[#This Row],[DEVELOPMENT]],Data[],10,FALSE)=0,-1,DATEDIF(VLOOKUP(IntComp[[#This Row],[DEVELOPMENT]],Data[],12,FALSE),TODAY(),"Y"))</f>
        <v>31</v>
      </c>
      <c r="N36" s="50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22</v>
      </c>
      <c r="O36" s="51">
        <v>2020</v>
      </c>
      <c r="P36" s="51">
        <v>2020</v>
      </c>
      <c r="Q36" s="1" t="s">
        <v>401</v>
      </c>
      <c r="R36" s="47">
        <f ca="1">(IntComp[[#This Row],['# to Replace (MRST)]]*INDEX(UnitCosts[#All],MATCH(IntComp[[#This Row],[WORK TYPE]],UnitCosts[Work Type],0)+1,2))*(1+((IntComp[[#This Row],[est. Year]]-YEAR(TODAY()))*$R$2))</f>
        <v>1387925</v>
      </c>
      <c r="S36" s="1">
        <f ca="1">SUM(INDEX(IntComp['# to Replace (MRST)],1):IntComp[[#This Row],['# to Replace (MRST)]])-272</f>
        <v>-112</v>
      </c>
      <c r="T36" s="1" t="s">
        <v>2223</v>
      </c>
      <c r="U36" s="51">
        <f>IF(ISBLANK(IntComp[[#This Row],[CALENDAR YEAR]]),ROUNDDOWN(IntComp[[#This Row],[Count]]/190,0)+$U$1,IntComp[[#This Row],[CALENDAR YEAR]])</f>
        <v>2020</v>
      </c>
      <c r="V36" s="85" t="e">
        <f t="shared" ca="1" si="1"/>
        <v>#N/A</v>
      </c>
      <c r="W36" s="51"/>
      <c r="X36"/>
    </row>
    <row r="37" spans="1:24">
      <c r="A37" s="1" t="s">
        <v>102</v>
      </c>
      <c r="B37" s="1" t="str">
        <f>VLOOKUP(A37,Data[],2,FALSE)</f>
        <v>MANHATTAN</v>
      </c>
      <c r="C37" s="9" t="s">
        <v>106</v>
      </c>
      <c r="D37" s="9" t="str">
        <f>VLOOKUP(IntComp[[#This Row],[DEVELOPMENT]],Data[],52,FALSE)</f>
        <v>FEDERAL</v>
      </c>
      <c r="E37" s="9" t="str">
        <f>VLOOKUP(IntComp[[#This Row],[DEVELOPMENT]],Data[],8,FALSE)</f>
        <v>Zone 2</v>
      </c>
      <c r="F37" s="9">
        <f>VLOOKUP(IntComp[[#This Row],[DEVELOPMENT]],all[[DEVELOPMENT]:[MRST Ext. Comp. Priority]],13,FALSE)</f>
        <v>1</v>
      </c>
      <c r="G37" s="9">
        <f>IF(VLOOKUP(IntComp[[#This Row],[DEVELOPMENT]],Data[],9,FALSE)=0,5,VLOOKUP(IntComp[[#This Row],[DEVELOPMENT]],Data[],9,FALSE))</f>
        <v>4</v>
      </c>
      <c r="H37" s="9">
        <f>VLOOKUP(IntComp[[#This Row],[DEVELOPMENT]],Data[],7,FALSE)</f>
        <v>246</v>
      </c>
      <c r="I37" s="9">
        <f>VLOOKUP(IntComp[[#This Row],[DEVELOPMENT]],Data[],5,FALSE)</f>
        <v>1</v>
      </c>
      <c r="J37" s="9"/>
      <c r="K37" s="9" t="str">
        <f ca="1">IFERROR(VLOOKUP(IntComp[[#This Row],[DEVELOPMENT]],Data[],4,FALSE),"")</f>
        <v>2026+</v>
      </c>
      <c r="L37" s="9" t="str">
        <f ca="1">IF(IntComp[[#This Row],[RAD/PACT]]="","",IF(OR(IntComp[[#This Row],[RAD/PACT]]="2022-2025",IntComp[[#This Row],[RAD/PACT]]=2019,IntComp[[#This Row],[RAD/PACT]]="2020-2021"),"Yes",""))</f>
        <v/>
      </c>
      <c r="M37" s="1">
        <f ca="1">IF(VLOOKUP(IntComp[[#This Row],[DEVELOPMENT]],Data[],10,FALSE)=0,-1,DATEDIF(VLOOKUP(IntComp[[#This Row],[DEVELOPMENT]],Data[],12,FALSE),TODAY(),"Y"))</f>
        <v>24</v>
      </c>
      <c r="N37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37" s="1">
        <v>2020</v>
      </c>
      <c r="P37" s="1">
        <v>2020</v>
      </c>
      <c r="Q37" s="1" t="s">
        <v>402</v>
      </c>
      <c r="R37" s="47">
        <f ca="1">(IntComp[[#This Row],['# to Replace (MRST)]]*INDEX(UnitCosts[#All],MATCH(IntComp[[#This Row],[WORK TYPE]],UnitCosts[Work Type],0)+1,2))*(1+((IntComp[[#This Row],[est. Year]]-YEAR(TODAY()))*$R$2))</f>
        <v>63087.5</v>
      </c>
      <c r="S37" s="1">
        <f ca="1">SUM(INDEX(IntComp['# to Replace (MRST)],1):IntComp[[#This Row],['# to Replace (MRST)]])-272</f>
        <v>-111</v>
      </c>
      <c r="T37" s="1" t="s">
        <v>2225</v>
      </c>
      <c r="U37" s="1">
        <f>IF(ISBLANK(IntComp[[#This Row],[CALENDAR YEAR]]),ROUNDDOWN(IntComp[[#This Row],[Count]]/190,0)+$U$1,IntComp[[#This Row],[CALENDAR YEAR]])</f>
        <v>2020</v>
      </c>
      <c r="V37" s="3" t="e">
        <f t="shared" ca="1" si="1"/>
        <v>#N/A</v>
      </c>
      <c r="W37" s="51"/>
      <c r="X37"/>
    </row>
    <row r="38" spans="1:24">
      <c r="A38" s="1" t="s">
        <v>55</v>
      </c>
      <c r="B38" s="1" t="str">
        <f>VLOOKUP(A38,Data[],2,FALSE)</f>
        <v>MANHATTAN</v>
      </c>
      <c r="C38" s="9" t="s">
        <v>106</v>
      </c>
      <c r="D38" s="9" t="str">
        <f>VLOOKUP(IntComp[[#This Row],[DEVELOPMENT]],Data[],52,FALSE)</f>
        <v>FEDERAL</v>
      </c>
      <c r="E38" s="9" t="str">
        <f>VLOOKUP(IntComp[[#This Row],[DEVELOPMENT]],Data[],8,FALSE)</f>
        <v>Zone 1</v>
      </c>
      <c r="F38" s="9">
        <f>VLOOKUP(IntComp[[#This Row],[DEVELOPMENT]],all[[DEVELOPMENT]:[MRST Ext. Comp. Priority]],13,FALSE)</f>
        <v>1</v>
      </c>
      <c r="G38" s="9">
        <f>IF(VLOOKUP(IntComp[[#This Row],[DEVELOPMENT]],Data[],9,FALSE)=0,5,VLOOKUP(IntComp[[#This Row],[DEVELOPMENT]],Data[],9,FALSE))</f>
        <v>4</v>
      </c>
      <c r="H38" s="9">
        <f>VLOOKUP(IntComp[[#This Row],[DEVELOPMENT]],Data[],7,FALSE)</f>
        <v>1191</v>
      </c>
      <c r="I38" s="9">
        <f>VLOOKUP(IntComp[[#This Row],[DEVELOPMENT]],Data[],5,FALSE)</f>
        <v>13</v>
      </c>
      <c r="J38" s="9"/>
      <c r="K38" s="9" t="str">
        <f ca="1">IFERROR(VLOOKUP(IntComp[[#This Row],[DEVELOPMENT]],Data[],4,FALSE),"")</f>
        <v/>
      </c>
      <c r="L38" s="9" t="str">
        <f ca="1">IF(IntComp[[#This Row],[RAD/PACT]]="","",IF(OR(IntComp[[#This Row],[RAD/PACT]]="2022-2025",IntComp[[#This Row],[RAD/PACT]]=2019,IntComp[[#This Row],[RAD/PACT]]="2020-2021"),"Yes",""))</f>
        <v/>
      </c>
      <c r="M38" s="1">
        <f ca="1">IF(VLOOKUP(IntComp[[#This Row],[DEVELOPMENT]],Data[],10,FALSE)=0,-1,DATEDIF(VLOOKUP(IntComp[[#This Row],[DEVELOPMENT]],Data[],12,FALSE),TODAY(),"Y"))</f>
        <v>10</v>
      </c>
      <c r="N38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18</v>
      </c>
      <c r="O38" s="1">
        <v>2020</v>
      </c>
      <c r="P38" s="1">
        <v>2020</v>
      </c>
      <c r="Q38" s="1" t="s">
        <v>402</v>
      </c>
      <c r="R38" s="47">
        <f ca="1">(IntComp[[#This Row],['# to Replace (MRST)]]*INDEX(UnitCosts[#All],MATCH(IntComp[[#This Row],[WORK TYPE]],UnitCosts[Work Type],0)+1,2))*(1+((IntComp[[#This Row],[est. Year]]-YEAR(TODAY()))*$R$2))</f>
        <v>1135575</v>
      </c>
      <c r="S38" s="1">
        <f ca="1">SUM(INDEX(IntComp['# to Replace (MRST)],1):IntComp[[#This Row],['# to Replace (MRST)]])-272</f>
        <v>-93</v>
      </c>
      <c r="T38" s="1" t="s">
        <v>2225</v>
      </c>
      <c r="U38" s="1">
        <f>IF(ISBLANK(IntComp[[#This Row],[CALENDAR YEAR]]),ROUNDDOWN(IntComp[[#This Row],[Count]]/190,0)+$U$1,IntComp[[#This Row],[CALENDAR YEAR]])</f>
        <v>2020</v>
      </c>
      <c r="V38" s="3" t="e">
        <f t="shared" ca="1" si="1"/>
        <v>#N/A</v>
      </c>
      <c r="W38" s="51"/>
      <c r="X38"/>
    </row>
    <row r="39" spans="1:24">
      <c r="A39" s="1" t="s">
        <v>187</v>
      </c>
      <c r="B39" s="9" t="str">
        <f>VLOOKUP(A39,Data[],2,FALSE)</f>
        <v>BRONX</v>
      </c>
      <c r="C39" s="9" t="s">
        <v>106</v>
      </c>
      <c r="D39" s="9" t="str">
        <f>VLOOKUP(IntComp[[#This Row],[DEVELOPMENT]],Data[],52,FALSE)</f>
        <v>FEDERAL</v>
      </c>
      <c r="E39" s="50" t="str">
        <f>VLOOKUP(IntComp[[#This Row],[DEVELOPMENT]],Data[],8,FALSE)</f>
        <v>Zone 3</v>
      </c>
      <c r="F39" s="50">
        <f>VLOOKUP(IntComp[[#This Row],[DEVELOPMENT]],all[[DEVELOPMENT]:[MRST Ext. Comp. Priority]],13,FALSE)</f>
        <v>1</v>
      </c>
      <c r="G39" s="50">
        <f>IF(VLOOKUP(IntComp[[#This Row],[DEVELOPMENT]],Data[],9,FALSE)=0,5,VLOOKUP(IntComp[[#This Row],[DEVELOPMENT]],Data[],9,FALSE))</f>
        <v>5</v>
      </c>
      <c r="H39" s="50">
        <f>VLOOKUP(IntComp[[#This Row],[DEVELOPMENT]],Data[],7,FALSE)</f>
        <v>82</v>
      </c>
      <c r="I39" s="50">
        <f>VLOOKUP(IntComp[[#This Row],[DEVELOPMENT]],Data[],5,FALSE)</f>
        <v>3</v>
      </c>
      <c r="J39" s="50"/>
      <c r="K39" s="50" t="str">
        <f ca="1">IFERROR(VLOOKUP(IntComp[[#This Row],[DEVELOPMENT]],Data[],4,FALSE),"")</f>
        <v/>
      </c>
      <c r="L39" s="50" t="str">
        <f ca="1">IF(IntComp[[#This Row],[RAD/PACT]]="","",IF(OR(IntComp[[#This Row],[RAD/PACT]]="2022-2025",IntComp[[#This Row],[RAD/PACT]]=2019,IntComp[[#This Row],[RAD/PACT]]="2020-2021"),"Yes",""))</f>
        <v/>
      </c>
      <c r="M39" s="51">
        <f ca="1">IF(VLOOKUP(IntComp[[#This Row],[DEVELOPMENT]],Data[],10,FALSE)=0,-1,DATEDIF(VLOOKUP(IntComp[[#This Row],[DEVELOPMENT]],Data[],12,FALSE),TODAY(),"Y"))</f>
        <v>35</v>
      </c>
      <c r="N3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39" s="51">
        <v>2020</v>
      </c>
      <c r="P39" s="51">
        <v>2020</v>
      </c>
      <c r="Q39" s="1" t="s">
        <v>402</v>
      </c>
      <c r="R39" s="47">
        <f ca="1">(IntComp[[#This Row],['# to Replace (MRST)]]*INDEX(UnitCosts[#All],MATCH(IntComp[[#This Row],[WORK TYPE]],UnitCosts[Work Type],0)+1,2))*(1+((IntComp[[#This Row],[est. Year]]-YEAR(TODAY()))*$R$2))</f>
        <v>189262.5</v>
      </c>
      <c r="S39" s="1">
        <f ca="1">SUM(INDEX(IntComp['# to Replace (MRST)],1):IntComp[[#This Row],['# to Replace (MRST)]])-272</f>
        <v>-90</v>
      </c>
      <c r="T39" s="51" t="s">
        <v>2225</v>
      </c>
      <c r="U39" s="51">
        <f>IF(ISBLANK(IntComp[[#This Row],[CALENDAR YEAR]]),ROUNDDOWN(IntComp[[#This Row],[Count]]/190,0)+$U$1,IntComp[[#This Row],[CALENDAR YEAR]])</f>
        <v>2020</v>
      </c>
      <c r="V39" s="85" t="e">
        <f t="shared" ca="1" si="1"/>
        <v>#N/A</v>
      </c>
      <c r="W39" s="51"/>
      <c r="X39"/>
    </row>
    <row r="40" spans="1:24">
      <c r="A40" s="1" t="s">
        <v>202</v>
      </c>
      <c r="B40" s="9" t="str">
        <f>VLOOKUP(A40,Data[],2,FALSE)</f>
        <v>BROOKLYN</v>
      </c>
      <c r="C40" s="9" t="s">
        <v>106</v>
      </c>
      <c r="D40" s="9" t="str">
        <f>VLOOKUP(IntComp[[#This Row],[DEVELOPMENT]],Data[],52,FALSE)</f>
        <v>FEDERAL</v>
      </c>
      <c r="E40" s="50">
        <f>VLOOKUP(IntComp[[#This Row],[DEVELOPMENT]],Data[],8,FALSE)</f>
        <v>0</v>
      </c>
      <c r="F40" s="50">
        <f>VLOOKUP(IntComp[[#This Row],[DEVELOPMENT]],all[[DEVELOPMENT]:[MRST Ext. Comp. Priority]],13,FALSE)</f>
        <v>1</v>
      </c>
      <c r="G40" s="50">
        <f>IF(VLOOKUP(IntComp[[#This Row],[DEVELOPMENT]],Data[],9,FALSE)=0,5,VLOOKUP(IntComp[[#This Row],[DEVELOPMENT]],Data[],9,FALSE))</f>
        <v>5</v>
      </c>
      <c r="H40" s="50">
        <f>VLOOKUP(IntComp[[#This Row],[DEVELOPMENT]],Data[],7,FALSE)</f>
        <v>1389</v>
      </c>
      <c r="I40" s="50">
        <f>VLOOKUP(IntComp[[#This Row],[DEVELOPMENT]],Data[],5,FALSE)</f>
        <v>10</v>
      </c>
      <c r="J40" s="50"/>
      <c r="K40" s="50" t="str">
        <f ca="1">IFERROR(VLOOKUP(IntComp[[#This Row],[DEVELOPMENT]],Data[],4,FALSE),"")</f>
        <v>2026+</v>
      </c>
      <c r="L40" s="50" t="str">
        <f ca="1">IF(IntComp[[#This Row],[RAD/PACT]]="","",IF(OR(IntComp[[#This Row],[RAD/PACT]]="2022-2025",IntComp[[#This Row],[RAD/PACT]]=2019,IntComp[[#This Row],[RAD/PACT]]="2020-2021"),"Yes",""))</f>
        <v/>
      </c>
      <c r="M40" s="51">
        <f ca="1">IF(VLOOKUP(IntComp[[#This Row],[DEVELOPMENT]],Data[],10,FALSE)=0,-1,DATEDIF(VLOOKUP(IntComp[[#This Row],[DEVELOPMENT]],Data[],12,FALSE),TODAY(),"Y"))</f>
        <v>25</v>
      </c>
      <c r="N4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10</v>
      </c>
      <c r="O40" s="51">
        <v>2020</v>
      </c>
      <c r="P40" s="51">
        <v>2020</v>
      </c>
      <c r="Q40" s="1" t="s">
        <v>402</v>
      </c>
      <c r="R40" s="47">
        <f ca="1">(IntComp[[#This Row],['# to Replace (MRST)]]*INDEX(UnitCosts[#All],MATCH(IntComp[[#This Row],[WORK TYPE]],UnitCosts[Work Type],0)+1,2))*(1+((IntComp[[#This Row],[est. Year]]-YEAR(TODAY()))*$R$2))</f>
        <v>630875</v>
      </c>
      <c r="S40" s="1">
        <f ca="1">SUM(INDEX(IntComp['# to Replace (MRST)],1):IntComp[[#This Row],['# to Replace (MRST)]])-272</f>
        <v>-80</v>
      </c>
      <c r="T40" s="51" t="s">
        <v>2225</v>
      </c>
      <c r="U40" s="51">
        <f>IF(ISBLANK(IntComp[[#This Row],[CALENDAR YEAR]]),ROUNDDOWN(IntComp[[#This Row],[Count]]/190,0)+$U$1,IntComp[[#This Row],[CALENDAR YEAR]])</f>
        <v>2020</v>
      </c>
      <c r="V40" s="85" t="e">
        <f t="shared" ca="1" si="1"/>
        <v>#N/A</v>
      </c>
      <c r="W40" s="51"/>
      <c r="X40"/>
    </row>
    <row r="41" spans="1:24">
      <c r="A41" s="1" t="s">
        <v>208</v>
      </c>
      <c r="B41" s="9" t="str">
        <f>VLOOKUP(A41,Data[],2,FALSE)</f>
        <v>BROOKLYN</v>
      </c>
      <c r="C41" s="9" t="s">
        <v>106</v>
      </c>
      <c r="D41" s="9" t="str">
        <f>VLOOKUP(IntComp[[#This Row],[DEVELOPMENT]],Data[],52,FALSE)</f>
        <v>FEDERAL</v>
      </c>
      <c r="E41" s="50">
        <f>VLOOKUP(IntComp[[#This Row],[DEVELOPMENT]],Data[],8,FALSE)</f>
        <v>0</v>
      </c>
      <c r="F41" s="50">
        <f>VLOOKUP(IntComp[[#This Row],[DEVELOPMENT]],all[[DEVELOPMENT]:[MRST Ext. Comp. Priority]],13,FALSE)</f>
        <v>1</v>
      </c>
      <c r="G41" s="50">
        <f>IF(VLOOKUP(IntComp[[#This Row],[DEVELOPMENT]],Data[],9,FALSE)=0,5,VLOOKUP(IntComp[[#This Row],[DEVELOPMENT]],Data[],9,FALSE))</f>
        <v>5</v>
      </c>
      <c r="H41" s="50">
        <f>VLOOKUP(IntComp[[#This Row],[DEVELOPMENT]],Data[],7,FALSE)</f>
        <v>229</v>
      </c>
      <c r="I41" s="50">
        <f>VLOOKUP(IntComp[[#This Row],[DEVELOPMENT]],Data[],5,FALSE)</f>
        <v>4</v>
      </c>
      <c r="J41" s="50"/>
      <c r="K41" s="50" t="str">
        <f ca="1">IFERROR(VLOOKUP(IntComp[[#This Row],[DEVELOPMENT]],Data[],4,FALSE),"")</f>
        <v>2026+</v>
      </c>
      <c r="L41" s="50" t="str">
        <f ca="1">IF(IntComp[[#This Row],[RAD/PACT]]="","",IF(OR(IntComp[[#This Row],[RAD/PACT]]="2022-2025",IntComp[[#This Row],[RAD/PACT]]=2019,IntComp[[#This Row],[RAD/PACT]]="2020-2021"),"Yes",""))</f>
        <v/>
      </c>
      <c r="M41" s="51">
        <f ca="1">IF(VLOOKUP(IntComp[[#This Row],[DEVELOPMENT]],Data[],10,FALSE)=0,-1,DATEDIF(VLOOKUP(IntComp[[#This Row],[DEVELOPMENT]],Data[],12,FALSE),TODAY(),"Y"))</f>
        <v>24</v>
      </c>
      <c r="N4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</v>
      </c>
      <c r="O41" s="51">
        <v>2020</v>
      </c>
      <c r="P41" s="51">
        <v>2020</v>
      </c>
      <c r="Q41" s="1" t="s">
        <v>402</v>
      </c>
      <c r="R41" s="47">
        <f ca="1">(IntComp[[#This Row],['# to Replace (MRST)]]*INDEX(UnitCosts[#All],MATCH(IntComp[[#This Row],[WORK TYPE]],UnitCosts[Work Type],0)+1,2))*(1+((IntComp[[#This Row],[est. Year]]-YEAR(TODAY()))*$R$2))</f>
        <v>252350</v>
      </c>
      <c r="S41" s="1">
        <f ca="1">SUM(INDEX(IntComp['# to Replace (MRST)],1):IntComp[[#This Row],['# to Replace (MRST)]])-272</f>
        <v>-76</v>
      </c>
      <c r="T41" s="51" t="s">
        <v>2225</v>
      </c>
      <c r="U41" s="51">
        <f>IF(ISBLANK(IntComp[[#This Row],[CALENDAR YEAR]]),ROUNDDOWN(IntComp[[#This Row],[Count]]/190,0)+$U$1,IntComp[[#This Row],[CALENDAR YEAR]])</f>
        <v>2020</v>
      </c>
      <c r="V41" s="85" t="e">
        <f t="shared" ca="1" si="1"/>
        <v>#N/A</v>
      </c>
      <c r="W41" s="51"/>
      <c r="X41"/>
    </row>
    <row r="42" spans="1:24">
      <c r="A42" s="1" t="s">
        <v>195</v>
      </c>
      <c r="B42" s="9" t="str">
        <f>VLOOKUP(A42,Data[],2,FALSE)</f>
        <v>MANHATTAN</v>
      </c>
      <c r="C42" s="9" t="s">
        <v>106</v>
      </c>
      <c r="D42" s="9" t="str">
        <f>VLOOKUP(IntComp[[#This Row],[DEVELOPMENT]],Data[],52,FALSE)</f>
        <v>FEDERAL</v>
      </c>
      <c r="E42" s="50">
        <f>VLOOKUP(IntComp[[#This Row],[DEVELOPMENT]],Data[],8,FALSE)</f>
        <v>0</v>
      </c>
      <c r="F42" s="50">
        <f>VLOOKUP(IntComp[[#This Row],[DEVELOPMENT]],all[[DEVELOPMENT]:[MRST Ext. Comp. Priority]],13,FALSE)</f>
        <v>1</v>
      </c>
      <c r="G42" s="50">
        <f>IF(VLOOKUP(IntComp[[#This Row],[DEVELOPMENT]],Data[],9,FALSE)=0,5,VLOOKUP(IntComp[[#This Row],[DEVELOPMENT]],Data[],9,FALSE))</f>
        <v>5</v>
      </c>
      <c r="H42" s="50">
        <f>VLOOKUP(IntComp[[#This Row],[DEVELOPMENT]],Data[],7,FALSE)</f>
        <v>150</v>
      </c>
      <c r="I42" s="50">
        <f>VLOOKUP(IntComp[[#This Row],[DEVELOPMENT]],Data[],5,FALSE)</f>
        <v>1</v>
      </c>
      <c r="J42" s="50"/>
      <c r="K42" s="50" t="str">
        <f ca="1">IFERROR(VLOOKUP(IntComp[[#This Row],[DEVELOPMENT]],Data[],4,FALSE),"")</f>
        <v/>
      </c>
      <c r="L42" s="50" t="str">
        <f ca="1">IF(IntComp[[#This Row],[RAD/PACT]]="","",IF(OR(IntComp[[#This Row],[RAD/PACT]]="2022-2025",IntComp[[#This Row],[RAD/PACT]]=2019,IntComp[[#This Row],[RAD/PACT]]="2020-2021"),"Yes",""))</f>
        <v/>
      </c>
      <c r="M42" s="51">
        <f ca="1">IF(VLOOKUP(IntComp[[#This Row],[DEVELOPMENT]],Data[],10,FALSE)=0,-1,DATEDIF(VLOOKUP(IntComp[[#This Row],[DEVELOPMENT]],Data[],12,FALSE),TODAY(),"Y"))</f>
        <v>20</v>
      </c>
      <c r="N4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42" s="51">
        <v>2020</v>
      </c>
      <c r="P42" s="51">
        <v>2020</v>
      </c>
      <c r="Q42" s="1" t="s">
        <v>402</v>
      </c>
      <c r="R42" s="47">
        <f ca="1">(IntComp[[#This Row],['# to Replace (MRST)]]*INDEX(UnitCosts[#All],MATCH(IntComp[[#This Row],[WORK TYPE]],UnitCosts[Work Type],0)+1,2))*(1+((IntComp[[#This Row],[est. Year]]-YEAR(TODAY()))*$R$2))</f>
        <v>63087.5</v>
      </c>
      <c r="S42" s="1">
        <f ca="1">SUM(INDEX(IntComp['# to Replace (MRST)],1):IntComp[[#This Row],['# to Replace (MRST)]])-272</f>
        <v>-75</v>
      </c>
      <c r="T42" s="51" t="s">
        <v>2225</v>
      </c>
      <c r="U42" s="51">
        <f>IF(ISBLANK(IntComp[[#This Row],[CALENDAR YEAR]]),ROUNDDOWN(IntComp[[#This Row],[Count]]/190,0)+$U$1,IntComp[[#This Row],[CALENDAR YEAR]])</f>
        <v>2020</v>
      </c>
      <c r="V42" s="85" t="e">
        <f t="shared" ca="1" si="1"/>
        <v>#N/A</v>
      </c>
      <c r="W42" s="51"/>
      <c r="X42"/>
    </row>
    <row r="43" spans="1:24">
      <c r="A43" s="9" t="s">
        <v>37</v>
      </c>
      <c r="B43" s="1" t="str">
        <f>VLOOKUP(A43,Data[],2,FALSE)</f>
        <v>BROOKLYN</v>
      </c>
      <c r="C43" s="9" t="s">
        <v>106</v>
      </c>
      <c r="D43" s="9" t="str">
        <f>VLOOKUP(IntComp[[#This Row],[DEVELOPMENT]],Data[],52,FALSE)</f>
        <v>FEDERAL</v>
      </c>
      <c r="E43" s="9" t="str">
        <f>VLOOKUP(IntComp[[#This Row],[DEVELOPMENT]],Data[],8,FALSE)</f>
        <v>Zone 1</v>
      </c>
      <c r="F43" s="9">
        <f>VLOOKUP(IntComp[[#This Row],[DEVELOPMENT]],all[[DEVELOPMENT]:[MRST Ext. Comp. Priority]],13,FALSE)</f>
        <v>2</v>
      </c>
      <c r="G43" s="9">
        <f>IF(VLOOKUP(IntComp[[#This Row],[DEVELOPMENT]],Data[],9,FALSE)=0,5,VLOOKUP(IntComp[[#This Row],[DEVELOPMENT]],Data[],9,FALSE))</f>
        <v>2</v>
      </c>
      <c r="H43" s="9">
        <f>VLOOKUP(IntComp[[#This Row],[DEVELOPMENT]],Data[],7,FALSE)</f>
        <v>882</v>
      </c>
      <c r="I43" s="9">
        <f>VLOOKUP(IntComp[[#This Row],[DEVELOPMENT]],Data[],5,FALSE)</f>
        <v>7</v>
      </c>
      <c r="J43" s="9"/>
      <c r="K43" s="9" t="str">
        <f ca="1">IFERROR(VLOOKUP(IntComp[[#This Row],[DEVELOPMENT]],Data[],4,FALSE),"")</f>
        <v/>
      </c>
      <c r="L43" s="9" t="str">
        <f ca="1">IF(IntComp[[#This Row],[RAD/PACT]]="","",IF(OR(IntComp[[#This Row],[RAD/PACT]]="2022-2025",IntComp[[#This Row],[RAD/PACT]]=2019,IntComp[[#This Row],[RAD/PACT]]="2020-2021"),"Yes",""))</f>
        <v/>
      </c>
      <c r="M43" s="1">
        <f ca="1">IF(VLOOKUP(IntComp[[#This Row],[DEVELOPMENT]],Data[],10,FALSE)=0,-1,DATEDIF(VLOOKUP(IntComp[[#This Row],[DEVELOPMENT]],Data[],12,FALSE),TODAY(),"Y"))</f>
        <v>15</v>
      </c>
      <c r="N43" s="26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7</v>
      </c>
      <c r="O43" s="1">
        <v>2020</v>
      </c>
      <c r="P43" s="1">
        <v>2020</v>
      </c>
      <c r="Q43" s="1" t="s">
        <v>402</v>
      </c>
      <c r="R43" s="47">
        <f ca="1">(IntComp[[#This Row],['# to Replace (MRST)]]*INDEX(UnitCosts[#All],MATCH(IntComp[[#This Row],[WORK TYPE]],UnitCosts[Work Type],0)+1,2))*(1+((IntComp[[#This Row],[est. Year]]-YEAR(TODAY()))*$R$2))</f>
        <v>441612.5</v>
      </c>
      <c r="S43" s="1">
        <f ca="1">SUM(INDEX(IntComp['# to Replace (MRST)],1):IntComp[[#This Row],['# to Replace (MRST)]])-272</f>
        <v>-68</v>
      </c>
      <c r="T43" s="1" t="s">
        <v>2225</v>
      </c>
      <c r="U43" s="1">
        <f>IF(ISBLANK(IntComp[[#This Row],[CALENDAR YEAR]]),ROUNDDOWN(IntComp[[#This Row],[Count]]/190,0)+$U$1,IntComp[[#This Row],[CALENDAR YEAR]])</f>
        <v>2020</v>
      </c>
      <c r="V43" s="3" t="e">
        <f t="shared" ca="1" si="1"/>
        <v>#N/A</v>
      </c>
      <c r="W43" s="51"/>
      <c r="X43"/>
    </row>
    <row r="44" spans="1:24">
      <c r="A44" s="9" t="s">
        <v>104</v>
      </c>
      <c r="B44" s="1" t="str">
        <f>VLOOKUP(A44,Data[],2,FALSE)</f>
        <v>MANHATTAN</v>
      </c>
      <c r="C44" s="9" t="s">
        <v>106</v>
      </c>
      <c r="D44" s="9" t="str">
        <f>VLOOKUP(IntComp[[#This Row],[DEVELOPMENT]],Data[],52,FALSE)</f>
        <v>FEDERAL</v>
      </c>
      <c r="E44" s="9" t="str">
        <f>VLOOKUP(IntComp[[#This Row],[DEVELOPMENT]],Data[],8,FALSE)</f>
        <v>Zone 1</v>
      </c>
      <c r="F44" s="9">
        <f>VLOOKUP(IntComp[[#This Row],[DEVELOPMENT]],all[[DEVELOPMENT]:[MRST Ext. Comp. Priority]],13,FALSE)</f>
        <v>2</v>
      </c>
      <c r="G44" s="9">
        <f>IF(VLOOKUP(IntComp[[#This Row],[DEVELOPMENT]],Data[],9,FALSE)=0,5,VLOOKUP(IntComp[[#This Row],[DEVELOPMENT]],Data[],9,FALSE))</f>
        <v>3</v>
      </c>
      <c r="H44" s="9">
        <f>VLOOKUP(IntComp[[#This Row],[DEVELOPMENT]],Data[],7,FALSE)</f>
        <v>577</v>
      </c>
      <c r="I44" s="9">
        <f>VLOOKUP(IntComp[[#This Row],[DEVELOPMENT]],Data[],5,FALSE)</f>
        <v>6</v>
      </c>
      <c r="J44" s="9"/>
      <c r="K44" s="9" t="str">
        <f ca="1">IFERROR(VLOOKUP(IntComp[[#This Row],[DEVELOPMENT]],Data[],4,FALSE),"")</f>
        <v/>
      </c>
      <c r="L44" s="9" t="str">
        <f ca="1">IF(IntComp[[#This Row],[RAD/PACT]]="","",IF(OR(IntComp[[#This Row],[RAD/PACT]]="2022-2025",IntComp[[#This Row],[RAD/PACT]]=2019,IntComp[[#This Row],[RAD/PACT]]="2020-2021"),"Yes",""))</f>
        <v/>
      </c>
      <c r="M44" s="9">
        <f ca="1">IF(VLOOKUP(IntComp[[#This Row],[DEVELOPMENT]],Data[],10,FALSE)=0,-1,DATEDIF(VLOOKUP(IntComp[[#This Row],[DEVELOPMENT]],Data[],12,FALSE),TODAY(),"Y"))</f>
        <v>120</v>
      </c>
      <c r="N44" s="9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8</v>
      </c>
      <c r="O44" s="51">
        <v>2020</v>
      </c>
      <c r="P44" s="51">
        <v>2020</v>
      </c>
      <c r="Q44" s="1" t="s">
        <v>402</v>
      </c>
      <c r="R44" s="47">
        <f ca="1">(IntComp[[#This Row],['# to Replace (MRST)]]*INDEX(UnitCosts[#All],MATCH(IntComp[[#This Row],[WORK TYPE]],UnitCosts[Work Type],0)+1,2))*(1+((IntComp[[#This Row],[est. Year]]-YEAR(TODAY()))*$R$2))</f>
        <v>504700</v>
      </c>
      <c r="S44" s="1">
        <f ca="1">SUM(INDEX(IntComp['# to Replace (MRST)],1):IntComp[[#This Row],['# to Replace (MRST)]])-272</f>
        <v>-60</v>
      </c>
      <c r="T44" s="1" t="s">
        <v>2225</v>
      </c>
      <c r="U44" s="1">
        <f>IF(ISBLANK(IntComp[[#This Row],[CALENDAR YEAR]]),ROUNDDOWN(IntComp[[#This Row],[Count]]/190,0)+$U$1,IntComp[[#This Row],[CALENDAR YEAR]])</f>
        <v>2020</v>
      </c>
      <c r="V44" s="3" t="e">
        <f t="shared" ca="1" si="1"/>
        <v>#N/A</v>
      </c>
      <c r="W44" s="51"/>
      <c r="X44"/>
    </row>
    <row r="45" spans="1:24">
      <c r="A45" s="1" t="s">
        <v>105</v>
      </c>
      <c r="B45" s="1" t="str">
        <f>VLOOKUP(A45,Data[],2,FALSE)</f>
        <v>BRONX</v>
      </c>
      <c r="C45" s="9" t="s">
        <v>106</v>
      </c>
      <c r="D45" s="9" t="str">
        <f>VLOOKUP(IntComp[[#This Row],[DEVELOPMENT]],Data[],52,FALSE)</f>
        <v>FEDERAL</v>
      </c>
      <c r="E45" s="9" t="str">
        <f>VLOOKUP(IntComp[[#This Row],[DEVELOPMENT]],Data[],8,FALSE)</f>
        <v>Zone 3</v>
      </c>
      <c r="F45" s="9">
        <f>VLOOKUP(IntComp[[#This Row],[DEVELOPMENT]],all[[DEVELOPMENT]:[MRST Ext. Comp. Priority]],13,FALSE)</f>
        <v>2</v>
      </c>
      <c r="G45" s="9">
        <f>IF(VLOOKUP(IntComp[[#This Row],[DEVELOPMENT]],Data[],9,FALSE)=0,5,VLOOKUP(IntComp[[#This Row],[DEVELOPMENT]],Data[],9,FALSE))</f>
        <v>4</v>
      </c>
      <c r="H45" s="9">
        <f>VLOOKUP(IntComp[[#This Row],[DEVELOPMENT]],Data[],7,FALSE)</f>
        <v>175</v>
      </c>
      <c r="I45" s="9">
        <f>VLOOKUP(IntComp[[#This Row],[DEVELOPMENT]],Data[],5,FALSE)</f>
        <v>1</v>
      </c>
      <c r="J45" s="9"/>
      <c r="K45" s="9" t="str">
        <f ca="1">IFERROR(VLOOKUP(IntComp[[#This Row],[DEVELOPMENT]],Data[],4,FALSE),"")</f>
        <v>2026+</v>
      </c>
      <c r="L45" s="9" t="str">
        <f ca="1">IF(IntComp[[#This Row],[RAD/PACT]]="","",IF(OR(IntComp[[#This Row],[RAD/PACT]]="2022-2025",IntComp[[#This Row],[RAD/PACT]]=2019,IntComp[[#This Row],[RAD/PACT]]="2020-2021"),"Yes",""))</f>
        <v/>
      </c>
      <c r="M45" s="1">
        <f ca="1">IF(VLOOKUP(IntComp[[#This Row],[DEVELOPMENT]],Data[],10,FALSE)=0,-1,DATEDIF(VLOOKUP(IntComp[[#This Row],[DEVELOPMENT]],Data[],12,FALSE),TODAY(),"Y"))</f>
        <v>30</v>
      </c>
      <c r="N45" s="26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45" s="1">
        <v>2020</v>
      </c>
      <c r="P45" s="1">
        <v>2020</v>
      </c>
      <c r="Q45" s="1" t="s">
        <v>402</v>
      </c>
      <c r="R45" s="47">
        <f ca="1">(IntComp[[#This Row],['# to Replace (MRST)]]*INDEX(UnitCosts[#All],MATCH(IntComp[[#This Row],[WORK TYPE]],UnitCosts[Work Type],0)+1,2))*(1+((IntComp[[#This Row],[est. Year]]-YEAR(TODAY()))*$R$2))</f>
        <v>63087.5</v>
      </c>
      <c r="S45" s="1">
        <f ca="1">SUM(INDEX(IntComp['# to Replace (MRST)],1):IntComp[[#This Row],['# to Replace (MRST)]])-272</f>
        <v>-59</v>
      </c>
      <c r="T45" s="1" t="s">
        <v>2225</v>
      </c>
      <c r="U45" s="1">
        <f>IF(ISBLANK(IntComp[[#This Row],[CALENDAR YEAR]]),ROUNDDOWN(IntComp[[#This Row],[Count]]/190,0)+$U$1,IntComp[[#This Row],[CALENDAR YEAR]])</f>
        <v>2020</v>
      </c>
      <c r="V45" s="3" t="e">
        <f t="shared" ca="1" si="1"/>
        <v>#N/A</v>
      </c>
      <c r="W45" s="51"/>
      <c r="X45"/>
    </row>
    <row r="46" spans="1:24">
      <c r="A46" s="1" t="s">
        <v>75</v>
      </c>
      <c r="B46" s="1" t="str">
        <f>VLOOKUP(A46,Data[],2,FALSE)</f>
        <v>MANHATTAN</v>
      </c>
      <c r="C46" s="9" t="s">
        <v>106</v>
      </c>
      <c r="D46" s="9" t="str">
        <f>VLOOKUP(IntComp[[#This Row],[DEVELOPMENT]],Data[],52,FALSE)</f>
        <v>FEDERAL</v>
      </c>
      <c r="E46" s="9" t="str">
        <f>VLOOKUP(IntComp[[#This Row],[DEVELOPMENT]],Data[],8,FALSE)</f>
        <v>Zone 3</v>
      </c>
      <c r="F46" s="9">
        <f>VLOOKUP(IntComp[[#This Row],[DEVELOPMENT]],all[[DEVELOPMENT]:[MRST Ext. Comp. Priority]],13,FALSE)</f>
        <v>2</v>
      </c>
      <c r="G46" s="9">
        <f>IF(VLOOKUP(IntComp[[#This Row],[DEVELOPMENT]],Data[],9,FALSE)=0,5,VLOOKUP(IntComp[[#This Row],[DEVELOPMENT]],Data[],9,FALSE))</f>
        <v>4</v>
      </c>
      <c r="H46" s="9">
        <f>VLOOKUP(IntComp[[#This Row],[DEVELOPMENT]],Data[],7,FALSE)</f>
        <v>135</v>
      </c>
      <c r="I46" s="9">
        <f>VLOOKUP(IntComp[[#This Row],[DEVELOPMENT]],Data[],5,FALSE)</f>
        <v>1</v>
      </c>
      <c r="J46" s="9"/>
      <c r="K46" s="9" t="str">
        <f ca="1">IFERROR(VLOOKUP(IntComp[[#This Row],[DEVELOPMENT]],Data[],4,FALSE),"")</f>
        <v/>
      </c>
      <c r="L46" s="9" t="str">
        <f ca="1">IF(IntComp[[#This Row],[RAD/PACT]]="","",IF(OR(IntComp[[#This Row],[RAD/PACT]]="2022-2025",IntComp[[#This Row],[RAD/PACT]]=2019,IntComp[[#This Row],[RAD/PACT]]="2020-2021"),"Yes",""))</f>
        <v/>
      </c>
      <c r="M46" s="1">
        <f ca="1">IF(VLOOKUP(IntComp[[#This Row],[DEVELOPMENT]],Data[],10,FALSE)=0,-1,DATEDIF(VLOOKUP(IntComp[[#This Row],[DEVELOPMENT]],Data[],12,FALSE),TODAY(),"Y"))</f>
        <v>19</v>
      </c>
      <c r="N46" s="158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46" s="1">
        <v>2020</v>
      </c>
      <c r="P46" s="1">
        <v>2020</v>
      </c>
      <c r="Q46" s="1" t="s">
        <v>402</v>
      </c>
      <c r="R46" s="47">
        <f ca="1">(IntComp[[#This Row],['# to Replace (MRST)]]*INDEX(UnitCosts[#All],MATCH(IntComp[[#This Row],[WORK TYPE]],UnitCosts[Work Type],0)+1,2))*(1+((IntComp[[#This Row],[est. Year]]-YEAR(TODAY()))*$R$2))</f>
        <v>63087.5</v>
      </c>
      <c r="S46" s="1">
        <f ca="1">SUM(INDEX(IntComp['# to Replace (MRST)],1):IntComp[[#This Row],['# to Replace (MRST)]])-272</f>
        <v>-58</v>
      </c>
      <c r="T46" s="1" t="s">
        <v>2225</v>
      </c>
      <c r="U46" s="1">
        <f>IF(ISBLANK(IntComp[[#This Row],[CALENDAR YEAR]]),ROUNDDOWN(IntComp[[#This Row],[Count]]/190,0)+$U$1,IntComp[[#This Row],[CALENDAR YEAR]])</f>
        <v>2020</v>
      </c>
      <c r="V46" s="3" t="e">
        <f t="shared" ca="1" si="1"/>
        <v>#N/A</v>
      </c>
      <c r="W46" s="51"/>
      <c r="X46"/>
    </row>
    <row r="47" spans="1:24">
      <c r="A47" s="1" t="s">
        <v>98</v>
      </c>
      <c r="B47" s="1" t="str">
        <f>VLOOKUP(A47,Data[],2,FALSE)</f>
        <v>BRONX</v>
      </c>
      <c r="C47" s="9" t="s">
        <v>106</v>
      </c>
      <c r="D47" s="9" t="str">
        <f>VLOOKUP(IntComp[[#This Row],[DEVELOPMENT]],Data[],52,FALSE)</f>
        <v>FEDERAL</v>
      </c>
      <c r="E47" s="9" t="str">
        <f>VLOOKUP(IntComp[[#This Row],[DEVELOPMENT]],Data[],8,FALSE)</f>
        <v>Zone 3</v>
      </c>
      <c r="F47" s="9">
        <f>VLOOKUP(IntComp[[#This Row],[DEVELOPMENT]],all[[DEVELOPMENT]:[MRST Ext. Comp. Priority]],13,FALSE)</f>
        <v>2</v>
      </c>
      <c r="G47" s="9">
        <f>IF(VLOOKUP(IntComp[[#This Row],[DEVELOPMENT]],Data[],9,FALSE)=0,5,VLOOKUP(IntComp[[#This Row],[DEVELOPMENT]],Data[],9,FALSE))</f>
        <v>4</v>
      </c>
      <c r="H47" s="9">
        <f>VLOOKUP(IntComp[[#This Row],[DEVELOPMENT]],Data[],7,FALSE)</f>
        <v>199</v>
      </c>
      <c r="I47" s="9">
        <f>VLOOKUP(IntComp[[#This Row],[DEVELOPMENT]],Data[],5,FALSE)</f>
        <v>1</v>
      </c>
      <c r="J47" s="9"/>
      <c r="K47" s="9" t="str">
        <f ca="1">IFERROR(VLOOKUP(IntComp[[#This Row],[DEVELOPMENT]],Data[],4,FALSE),"")</f>
        <v>2026+</v>
      </c>
      <c r="L47" s="9" t="str">
        <f ca="1">IF(IntComp[[#This Row],[RAD/PACT]]="","",IF(OR(IntComp[[#This Row],[RAD/PACT]]="2022-2025",IntComp[[#This Row],[RAD/PACT]]=2019,IntComp[[#This Row],[RAD/PACT]]="2020-2021"),"Yes",""))</f>
        <v/>
      </c>
      <c r="M47" s="1">
        <f ca="1">IF(VLOOKUP(IntComp[[#This Row],[DEVELOPMENT]],Data[],10,FALSE)=0,-1,DATEDIF(VLOOKUP(IntComp[[#This Row],[DEVELOPMENT]],Data[],12,FALSE),TODAY(),"Y"))</f>
        <v>18</v>
      </c>
      <c r="N47" s="158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47" s="1">
        <v>2020</v>
      </c>
      <c r="P47" s="1">
        <v>2020</v>
      </c>
      <c r="Q47" s="1" t="s">
        <v>402</v>
      </c>
      <c r="R47" s="47">
        <f ca="1">(IntComp[[#This Row],['# to Replace (MRST)]]*INDEX(UnitCosts[#All],MATCH(IntComp[[#This Row],[WORK TYPE]],UnitCosts[Work Type],0)+1,2))*(1+((IntComp[[#This Row],[est. Year]]-YEAR(TODAY()))*$R$2))</f>
        <v>63087.5</v>
      </c>
      <c r="S47" s="1">
        <f ca="1">SUM(INDEX(IntComp['# to Replace (MRST)],1):IntComp[[#This Row],['# to Replace (MRST)]])-272</f>
        <v>-57</v>
      </c>
      <c r="T47" s="1" t="s">
        <v>2225</v>
      </c>
      <c r="U47" s="1">
        <f>IF(ISBLANK(IntComp[[#This Row],[CALENDAR YEAR]]),ROUNDDOWN(IntComp[[#This Row],[Count]]/190,0)+$U$1,IntComp[[#This Row],[CALENDAR YEAR]])</f>
        <v>2020</v>
      </c>
      <c r="V47" s="3" t="e">
        <f t="shared" ca="1" si="1"/>
        <v>#N/A</v>
      </c>
      <c r="W47" s="51"/>
      <c r="X47"/>
    </row>
    <row r="48" spans="1:24">
      <c r="A48" s="9" t="s">
        <v>118</v>
      </c>
      <c r="B48" s="1" t="str">
        <f>VLOOKUP(A48,Data[],2,FALSE)</f>
        <v>BROOKLYN</v>
      </c>
      <c r="C48" s="9" t="s">
        <v>106</v>
      </c>
      <c r="D48" s="9" t="str">
        <f>VLOOKUP(IntComp[[#This Row],[DEVELOPMENT]],Data[],52,FALSE)</f>
        <v>FEDERAL</v>
      </c>
      <c r="E48" s="9" t="str">
        <f>VLOOKUP(IntComp[[#This Row],[DEVELOPMENT]],Data[],8,FALSE)</f>
        <v>Zone 1</v>
      </c>
      <c r="F48" s="9">
        <f>VLOOKUP(IntComp[[#This Row],[DEVELOPMENT]],all[[DEVELOPMENT]:[MRST Ext. Comp. Priority]],13,FALSE)</f>
        <v>2</v>
      </c>
      <c r="G48" s="9">
        <f>IF(VLOOKUP(IntComp[[#This Row],[DEVELOPMENT]],Data[],9,FALSE)=0,5,VLOOKUP(IntComp[[#This Row],[DEVELOPMENT]],Data[],9,FALSE))</f>
        <v>4</v>
      </c>
      <c r="H48" s="9">
        <f>VLOOKUP(IntComp[[#This Row],[DEVELOPMENT]],Data[],7,FALSE)</f>
        <v>234</v>
      </c>
      <c r="I48" s="9">
        <f>VLOOKUP(IntComp[[#This Row],[DEVELOPMENT]],Data[],5,FALSE)</f>
        <v>1</v>
      </c>
      <c r="J48" s="9"/>
      <c r="K48" s="9" t="str">
        <f ca="1">IFERROR(VLOOKUP(IntComp[[#This Row],[DEVELOPMENT]],Data[],4,FALSE),"")</f>
        <v/>
      </c>
      <c r="L48" s="9" t="str">
        <f ca="1">IF(IntComp[[#This Row],[RAD/PACT]]="","",IF(OR(IntComp[[#This Row],[RAD/PACT]]="2022-2025",IntComp[[#This Row],[RAD/PACT]]=2019,IntComp[[#This Row],[RAD/PACT]]="2020-2021"),"Yes",""))</f>
        <v/>
      </c>
      <c r="M48" s="1">
        <f ca="1">IF(VLOOKUP(IntComp[[#This Row],[DEVELOPMENT]],Data[],10,FALSE)=0,-1,DATEDIF(VLOOKUP(IntComp[[#This Row],[DEVELOPMENT]],Data[],12,FALSE),TODAY(),"Y"))</f>
        <v>17</v>
      </c>
      <c r="N48" s="158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48" s="51">
        <v>2020</v>
      </c>
      <c r="P48" s="1">
        <v>2020</v>
      </c>
      <c r="Q48" s="1" t="s">
        <v>402</v>
      </c>
      <c r="R48" s="47">
        <f ca="1">(IntComp[[#This Row],['# to Replace (MRST)]]*INDEX(UnitCosts[#All],MATCH(IntComp[[#This Row],[WORK TYPE]],UnitCosts[Work Type],0)+1,2))*(1+((IntComp[[#This Row],[est. Year]]-YEAR(TODAY()))*$R$2))</f>
        <v>63087.5</v>
      </c>
      <c r="S48" s="1">
        <f ca="1">SUM(INDEX(IntComp['# to Replace (MRST)],1):IntComp[[#This Row],['# to Replace (MRST)]])-272</f>
        <v>-56</v>
      </c>
      <c r="T48" s="1" t="s">
        <v>2225</v>
      </c>
      <c r="U48" s="1">
        <f>IF(ISBLANK(IntComp[[#This Row],[CALENDAR YEAR]]),ROUNDDOWN(IntComp[[#This Row],[Count]]/190,0)+$U$1,IntComp[[#This Row],[CALENDAR YEAR]])</f>
        <v>2020</v>
      </c>
      <c r="V48" s="3" t="e">
        <f t="shared" ca="1" si="1"/>
        <v>#N/A</v>
      </c>
      <c r="W48" s="51"/>
      <c r="X48"/>
    </row>
    <row r="49" spans="1:24">
      <c r="A49" s="1" t="s">
        <v>41</v>
      </c>
      <c r="B49" s="1" t="str">
        <f>VLOOKUP(A49,Data[],2,FALSE)</f>
        <v>BRONX</v>
      </c>
      <c r="C49" s="9" t="s">
        <v>106</v>
      </c>
      <c r="D49" s="9" t="str">
        <f>VLOOKUP(IntComp[[#This Row],[DEVELOPMENT]],Data[],52,FALSE)</f>
        <v>FEDERAL</v>
      </c>
      <c r="E49" s="9" t="str">
        <f>VLOOKUP(IntComp[[#This Row],[DEVELOPMENT]],Data[],8,FALSE)</f>
        <v>Zone 1</v>
      </c>
      <c r="F49" s="9">
        <f>VLOOKUP(IntComp[[#This Row],[DEVELOPMENT]],all[[DEVELOPMENT]:[MRST Ext. Comp. Priority]],13,FALSE)</f>
        <v>2</v>
      </c>
      <c r="G49" s="9">
        <f>IF(VLOOKUP(IntComp[[#This Row],[DEVELOPMENT]],Data[],9,FALSE)=0,5,VLOOKUP(IntComp[[#This Row],[DEVELOPMENT]],Data[],9,FALSE))</f>
        <v>4</v>
      </c>
      <c r="H49" s="9">
        <f>VLOOKUP(IntComp[[#This Row],[DEVELOPMENT]],Data[],7,FALSE)</f>
        <v>841</v>
      </c>
      <c r="I49" s="9">
        <f>VLOOKUP(IntComp[[#This Row],[DEVELOPMENT]],Data[],5,FALSE)</f>
        <v>3</v>
      </c>
      <c r="J49" s="9"/>
      <c r="K49" s="9" t="str">
        <f ca="1">IFERROR(VLOOKUP(IntComp[[#This Row],[DEVELOPMENT]],Data[],4,FALSE),"")</f>
        <v/>
      </c>
      <c r="L49" s="9" t="str">
        <f ca="1">IF(IntComp[[#This Row],[RAD/PACT]]="","",IF(OR(IntComp[[#This Row],[RAD/PACT]]="2022-2025",IntComp[[#This Row],[RAD/PACT]]=2019,IntComp[[#This Row],[RAD/PACT]]="2020-2021"),"Yes",""))</f>
        <v/>
      </c>
      <c r="M49" s="1">
        <f ca="1">IF(VLOOKUP(IntComp[[#This Row],[DEVELOPMENT]],Data[],10,FALSE)=0,-1,DATEDIF(VLOOKUP(IntComp[[#This Row],[DEVELOPMENT]],Data[],12,FALSE),TODAY(),"Y"))</f>
        <v>15</v>
      </c>
      <c r="N49" s="158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</v>
      </c>
      <c r="O49" s="51">
        <v>2020</v>
      </c>
      <c r="P49" s="1">
        <v>2020</v>
      </c>
      <c r="Q49" s="1" t="s">
        <v>402</v>
      </c>
      <c r="R49" s="47">
        <f ca="1">(IntComp[[#This Row],['# to Replace (MRST)]]*INDEX(UnitCosts[#All],MATCH(IntComp[[#This Row],[WORK TYPE]],UnitCosts[Work Type],0)+1,2))*(1+((IntComp[[#This Row],[est. Year]]-YEAR(TODAY()))*$R$2))</f>
        <v>315437.5</v>
      </c>
      <c r="S49" s="1">
        <f ca="1">SUM(INDEX(IntComp['# to Replace (MRST)],1):IntComp[[#This Row],['# to Replace (MRST)]])-272</f>
        <v>-51</v>
      </c>
      <c r="T49" s="1" t="s">
        <v>2225</v>
      </c>
      <c r="U49" s="1">
        <f>IF(ISBLANK(IntComp[[#This Row],[CALENDAR YEAR]]),ROUNDDOWN(IntComp[[#This Row],[Count]]/190,0)+$U$1,IntComp[[#This Row],[CALENDAR YEAR]])</f>
        <v>2020</v>
      </c>
      <c r="V49" s="3" t="e">
        <f t="shared" ca="1" si="1"/>
        <v>#N/A</v>
      </c>
      <c r="W49" s="51"/>
      <c r="X49"/>
    </row>
    <row r="50" spans="1:24">
      <c r="A50" s="1" t="s">
        <v>131</v>
      </c>
      <c r="B50" s="1" t="str">
        <f>VLOOKUP(A50,Data[],2,FALSE)</f>
        <v>MANHATTAN</v>
      </c>
      <c r="C50" s="9" t="s">
        <v>106</v>
      </c>
      <c r="D50" s="9" t="str">
        <f>VLOOKUP(IntComp[[#This Row],[DEVELOPMENT]],Data[],52,FALSE)</f>
        <v>FEDERAL</v>
      </c>
      <c r="E50" s="9" t="str">
        <f>VLOOKUP(IntComp[[#This Row],[DEVELOPMENT]],Data[],8,FALSE)</f>
        <v>Zone 2</v>
      </c>
      <c r="F50" s="9">
        <f>VLOOKUP(IntComp[[#This Row],[DEVELOPMENT]],all[[DEVELOPMENT]:[MRST Ext. Comp. Priority]],13,FALSE)</f>
        <v>3</v>
      </c>
      <c r="G50" s="9">
        <f>IF(VLOOKUP(IntComp[[#This Row],[DEVELOPMENT]],Data[],9,FALSE)=0,5,VLOOKUP(IntComp[[#This Row],[DEVELOPMENT]],Data[],9,FALSE))</f>
        <v>2</v>
      </c>
      <c r="H50" s="9">
        <f>VLOOKUP(IntComp[[#This Row],[DEVELOPMENT]],Data[],7,FALSE)</f>
        <v>1377</v>
      </c>
      <c r="I50" s="9">
        <f>VLOOKUP(IntComp[[#This Row],[DEVELOPMENT]],Data[],5,FALSE)</f>
        <v>10</v>
      </c>
      <c r="J50" s="9"/>
      <c r="K50" s="9" t="str">
        <f ca="1">IFERROR(VLOOKUP(IntComp[[#This Row],[DEVELOPMENT]],Data[],4,FALSE),"")</f>
        <v/>
      </c>
      <c r="L50" s="9" t="str">
        <f ca="1">IF(IntComp[[#This Row],[RAD/PACT]]="","",IF(OR(IntComp[[#This Row],[RAD/PACT]]="2022-2025",IntComp[[#This Row],[RAD/PACT]]=2019,IntComp[[#This Row],[RAD/PACT]]="2020-2021"),"Yes",""))</f>
        <v/>
      </c>
      <c r="M50" s="1">
        <f ca="1">IF(VLOOKUP(IntComp[[#This Row],[DEVELOPMENT]],Data[],10,FALSE)=0,-1,DATEDIF(VLOOKUP(IntComp[[#This Row],[DEVELOPMENT]],Data[],12,FALSE),TODAY(),"Y"))</f>
        <v>20</v>
      </c>
      <c r="N5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10</v>
      </c>
      <c r="O50" s="1">
        <v>2020</v>
      </c>
      <c r="P50" s="1">
        <v>2020</v>
      </c>
      <c r="Q50" s="1" t="s">
        <v>402</v>
      </c>
      <c r="R50" s="47">
        <f ca="1">(IntComp[[#This Row],['# to Replace (MRST)]]*INDEX(UnitCosts[#All],MATCH(IntComp[[#This Row],[WORK TYPE]],UnitCosts[Work Type],0)+1,2))*(1+((IntComp[[#This Row],[est. Year]]-YEAR(TODAY()))*$R$2))</f>
        <v>630875</v>
      </c>
      <c r="S50" s="1">
        <f ca="1">SUM(INDEX(IntComp['# to Replace (MRST)],1):IntComp[[#This Row],['# to Replace (MRST)]])-272</f>
        <v>-41</v>
      </c>
      <c r="T50" s="51" t="s">
        <v>2225</v>
      </c>
      <c r="U50" s="1">
        <f>IF(ISBLANK(IntComp[[#This Row],[CALENDAR YEAR]]),ROUNDDOWN(IntComp[[#This Row],[Count]]/190,0)+$U$1,IntComp[[#This Row],[CALENDAR YEAR]])</f>
        <v>2020</v>
      </c>
      <c r="V50" s="3" t="e">
        <f t="shared" ca="1" si="1"/>
        <v>#N/A</v>
      </c>
      <c r="W50" s="51" t="s">
        <v>2224</v>
      </c>
      <c r="X50"/>
    </row>
    <row r="51" spans="1:24">
      <c r="A51" s="1" t="s">
        <v>107</v>
      </c>
      <c r="B51" s="1" t="str">
        <f>VLOOKUP(A51,Data[],2,FALSE)</f>
        <v>MANHATTAN</v>
      </c>
      <c r="C51" s="9" t="s">
        <v>106</v>
      </c>
      <c r="D51" s="9" t="str">
        <f>VLOOKUP(IntComp[[#This Row],[DEVELOPMENT]],Data[],52,FALSE)</f>
        <v>FEDERAL</v>
      </c>
      <c r="E51" s="9" t="str">
        <f>VLOOKUP(IntComp[[#This Row],[DEVELOPMENT]],Data[],8,FALSE)</f>
        <v>Zone 2</v>
      </c>
      <c r="F51" s="9">
        <f>VLOOKUP(IntComp[[#This Row],[DEVELOPMENT]],all[[DEVELOPMENT]:[MRST Ext. Comp. Priority]],13,FALSE)</f>
        <v>3</v>
      </c>
      <c r="G51" s="9">
        <f>IF(VLOOKUP(IntComp[[#This Row],[DEVELOPMENT]],Data[],9,FALSE)=0,5,VLOOKUP(IntComp[[#This Row],[DEVELOPMENT]],Data[],9,FALSE))</f>
        <v>3</v>
      </c>
      <c r="H51" s="9">
        <f>VLOOKUP(IntComp[[#This Row],[DEVELOPMENT]],Data[],7,FALSE)</f>
        <v>188</v>
      </c>
      <c r="I51" s="9">
        <f>VLOOKUP(IntComp[[#This Row],[DEVELOPMENT]],Data[],5,FALSE)</f>
        <v>1</v>
      </c>
      <c r="J51" s="9"/>
      <c r="K51" s="9" t="str">
        <f ca="1">IFERROR(VLOOKUP(IntComp[[#This Row],[DEVELOPMENT]],Data[],4,FALSE),"")</f>
        <v/>
      </c>
      <c r="L51" s="9" t="str">
        <f ca="1">IF(IntComp[[#This Row],[RAD/PACT]]="","",IF(OR(IntComp[[#This Row],[RAD/PACT]]="2022-2025",IntComp[[#This Row],[RAD/PACT]]=2019,IntComp[[#This Row],[RAD/PACT]]="2020-2021"),"Yes",""))</f>
        <v/>
      </c>
      <c r="M51" s="1">
        <f ca="1">IF(VLOOKUP(IntComp[[#This Row],[DEVELOPMENT]],Data[],10,FALSE)=0,-1,DATEDIF(VLOOKUP(IntComp[[#This Row],[DEVELOPMENT]],Data[],12,FALSE),TODAY(),"Y"))</f>
        <v>40</v>
      </c>
      <c r="N51" s="9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51" s="1">
        <v>2020</v>
      </c>
      <c r="P51" s="9">
        <v>2020</v>
      </c>
      <c r="Q51" s="1" t="s">
        <v>402</v>
      </c>
      <c r="R51" s="47">
        <f ca="1">(IntComp[[#This Row],['# to Replace (MRST)]]*INDEX(UnitCosts[#All],MATCH(IntComp[[#This Row],[WORK TYPE]],UnitCosts[Work Type],0)+1,2))*(1+((IntComp[[#This Row],[est. Year]]-YEAR(TODAY()))*$R$2))</f>
        <v>126175</v>
      </c>
      <c r="S51" s="1">
        <f ca="1">SUM(INDEX(IntComp['# to Replace (MRST)],1):IntComp[[#This Row],['# to Replace (MRST)]])-272</f>
        <v>-39</v>
      </c>
      <c r="T51" s="1" t="s">
        <v>2225</v>
      </c>
      <c r="U51" s="1">
        <f>IF(ISBLANK(IntComp[[#This Row],[CALENDAR YEAR]]),ROUNDDOWN(IntComp[[#This Row],[Count]]/190,0)+$U$1,IntComp[[#This Row],[CALENDAR YEAR]])</f>
        <v>2020</v>
      </c>
      <c r="V51" s="3" t="e">
        <f t="shared" ca="1" si="1"/>
        <v>#N/A</v>
      </c>
      <c r="W51" s="51"/>
      <c r="X51"/>
    </row>
    <row r="52" spans="1:24">
      <c r="A52" s="1" t="s">
        <v>382</v>
      </c>
      <c r="B52" s="9" t="str">
        <f>VLOOKUP(A52,Data[],2,FALSE)</f>
        <v>BRONX</v>
      </c>
      <c r="C52" s="9" t="s">
        <v>106</v>
      </c>
      <c r="D52" s="9" t="str">
        <f>VLOOKUP(IntComp[[#This Row],[DEVELOPMENT]],Data[],52,FALSE)</f>
        <v>FEDERAL</v>
      </c>
      <c r="E52" s="50" t="str">
        <f>VLOOKUP(IntComp[[#This Row],[DEVELOPMENT]],Data[],8,FALSE)</f>
        <v>Zone 4</v>
      </c>
      <c r="F52" s="50">
        <f>VLOOKUP(IntComp[[#This Row],[DEVELOPMENT]],all[[DEVELOPMENT]:[MRST Ext. Comp. Priority]],13,FALSE)</f>
        <v>3</v>
      </c>
      <c r="G52" s="50">
        <f>IF(VLOOKUP(IntComp[[#This Row],[DEVELOPMENT]],Data[],9,FALSE)=0,5,VLOOKUP(IntComp[[#This Row],[DEVELOPMENT]],Data[],9,FALSE))</f>
        <v>5</v>
      </c>
      <c r="H52" s="50">
        <f>VLOOKUP(IntComp[[#This Row],[DEVELOPMENT]],Data[],7,FALSE)</f>
        <v>148</v>
      </c>
      <c r="I52" s="50">
        <f>VLOOKUP(IntComp[[#This Row],[DEVELOPMENT]],Data[],5,FALSE)</f>
        <v>1</v>
      </c>
      <c r="J52" s="50"/>
      <c r="K52" s="50" t="str">
        <f ca="1">IFERROR(VLOOKUP(IntComp[[#This Row],[DEVELOPMENT]],Data[],4,FALSE),"")</f>
        <v/>
      </c>
      <c r="L52" s="50" t="str">
        <f ca="1">IF(IntComp[[#This Row],[RAD/PACT]]="","",IF(OR(IntComp[[#This Row],[RAD/PACT]]="2022-2025",IntComp[[#This Row],[RAD/PACT]]=2019,IntComp[[#This Row],[RAD/PACT]]="2020-2021"),"Yes",""))</f>
        <v/>
      </c>
      <c r="M52" s="51">
        <f ca="1">IF(VLOOKUP(IntComp[[#This Row],[DEVELOPMENT]],Data[],10,FALSE)=0,-1,DATEDIF(VLOOKUP(IntComp[[#This Row],[DEVELOPMENT]],Data[],12,FALSE),TODAY(),"Y"))</f>
        <v>38</v>
      </c>
      <c r="N52" s="50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52" s="51">
        <v>2020</v>
      </c>
      <c r="P52" s="51">
        <v>2020</v>
      </c>
      <c r="Q52" s="1" t="s">
        <v>402</v>
      </c>
      <c r="R52" s="47">
        <f ca="1">(IntComp[[#This Row],['# to Replace (MRST)]]*INDEX(UnitCosts[#All],MATCH(IntComp[[#This Row],[WORK TYPE]],UnitCosts[Work Type],0)+1,2))*(1+((IntComp[[#This Row],[est. Year]]-YEAR(TODAY()))*$R$2))</f>
        <v>63087.5</v>
      </c>
      <c r="S52" s="1">
        <f ca="1">SUM(INDEX(IntComp['# to Replace (MRST)],1):IntComp[[#This Row],['# to Replace (MRST)]])-272</f>
        <v>-38</v>
      </c>
      <c r="T52" s="51" t="s">
        <v>2225</v>
      </c>
      <c r="U52" s="51">
        <f>IF(ISBLANK(IntComp[[#This Row],[CALENDAR YEAR]]),ROUNDDOWN(IntComp[[#This Row],[Count]]/190,0)+$U$1,IntComp[[#This Row],[CALENDAR YEAR]])</f>
        <v>2020</v>
      </c>
      <c r="V52" s="85" t="e">
        <f t="shared" ca="1" si="1"/>
        <v>#N/A</v>
      </c>
      <c r="W52" s="51"/>
      <c r="X52"/>
    </row>
    <row r="53" spans="1:24">
      <c r="A53" s="1" t="s">
        <v>345</v>
      </c>
      <c r="B53" s="9" t="str">
        <f>VLOOKUP(A53,Data[],2,FALSE)</f>
        <v>BRONX</v>
      </c>
      <c r="C53" s="9" t="s">
        <v>106</v>
      </c>
      <c r="D53" s="9" t="str">
        <f>VLOOKUP(IntComp[[#This Row],[DEVELOPMENT]],Data[],52,FALSE)</f>
        <v>FEDERAL</v>
      </c>
      <c r="E53" s="50">
        <f>VLOOKUP(IntComp[[#This Row],[DEVELOPMENT]],Data[],8,FALSE)</f>
        <v>0</v>
      </c>
      <c r="F53" s="50">
        <f>VLOOKUP(IntComp[[#This Row],[DEVELOPMENT]],all[[DEVELOPMENT]:[MRST Ext. Comp. Priority]],13,FALSE)</f>
        <v>3</v>
      </c>
      <c r="G53" s="50">
        <f>IF(VLOOKUP(IntComp[[#This Row],[DEVELOPMENT]],Data[],9,FALSE)=0,5,VLOOKUP(IntComp[[#This Row],[DEVELOPMENT]],Data[],9,FALSE))</f>
        <v>5</v>
      </c>
      <c r="H53" s="50">
        <f>VLOOKUP(IntComp[[#This Row],[DEVELOPMENT]],Data[],7,FALSE)</f>
        <v>177</v>
      </c>
      <c r="I53" s="50">
        <f>VLOOKUP(IntComp[[#This Row],[DEVELOPMENT]],Data[],5,FALSE)</f>
        <v>1</v>
      </c>
      <c r="J53" s="50"/>
      <c r="K53" s="50" t="str">
        <f ca="1">IFERROR(VLOOKUP(IntComp[[#This Row],[DEVELOPMENT]],Data[],4,FALSE),"")</f>
        <v>2026+</v>
      </c>
      <c r="L53" s="50" t="str">
        <f ca="1">IF(IntComp[[#This Row],[RAD/PACT]]="","",IF(OR(IntComp[[#This Row],[RAD/PACT]]="2022-2025",IntComp[[#This Row],[RAD/PACT]]=2019,IntComp[[#This Row],[RAD/PACT]]="2020-2021"),"Yes",""))</f>
        <v/>
      </c>
      <c r="M53" s="51">
        <f ca="1">IF(VLOOKUP(IntComp[[#This Row],[DEVELOPMENT]],Data[],10,FALSE)=0,-1,DATEDIF(VLOOKUP(IntComp[[#This Row],[DEVELOPMENT]],Data[],12,FALSE),TODAY(),"Y"))</f>
        <v>36</v>
      </c>
      <c r="N53" s="50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53" s="51">
        <v>2020</v>
      </c>
      <c r="P53" s="51">
        <v>2020</v>
      </c>
      <c r="Q53" s="1" t="s">
        <v>402</v>
      </c>
      <c r="R53" s="47">
        <f ca="1">(IntComp[[#This Row],['# to Replace (MRST)]]*INDEX(UnitCosts[#All],MATCH(IntComp[[#This Row],[WORK TYPE]],UnitCosts[Work Type],0)+1,2))*(1+((IntComp[[#This Row],[est. Year]]-YEAR(TODAY()))*$R$2))</f>
        <v>63087.5</v>
      </c>
      <c r="S53" s="1">
        <f ca="1">SUM(INDEX(IntComp['# to Replace (MRST)],1):IntComp[[#This Row],['# to Replace (MRST)]])-272</f>
        <v>-37</v>
      </c>
      <c r="T53" s="51" t="s">
        <v>2225</v>
      </c>
      <c r="U53" s="51">
        <f>IF(ISBLANK(IntComp[[#This Row],[CALENDAR YEAR]]),ROUNDDOWN(IntComp[[#This Row],[Count]]/190,0)+$U$1,IntComp[[#This Row],[CALENDAR YEAR]])</f>
        <v>2020</v>
      </c>
      <c r="V53" s="85" t="e">
        <f t="shared" ca="1" si="1"/>
        <v>#N/A</v>
      </c>
      <c r="W53" s="51"/>
      <c r="X53"/>
    </row>
    <row r="54" spans="1:24">
      <c r="A54" s="9" t="s">
        <v>64</v>
      </c>
      <c r="B54" s="1" t="str">
        <f>VLOOKUP(A54,Data[],2,FALSE)</f>
        <v>MANHATTAN</v>
      </c>
      <c r="C54" s="9" t="s">
        <v>106</v>
      </c>
      <c r="D54" s="9" t="str">
        <f>VLOOKUP(IntComp[[#This Row],[DEVELOPMENT]],Data[],52,FALSE)</f>
        <v>FEDERAL</v>
      </c>
      <c r="E54" s="9" t="str">
        <f>VLOOKUP(IntComp[[#This Row],[DEVELOPMENT]],Data[],8,FALSE)</f>
        <v>Zone 1</v>
      </c>
      <c r="F54" s="9">
        <f>VLOOKUP(IntComp[[#This Row],[DEVELOPMENT]],all[[DEVELOPMENT]:[MRST Ext. Comp. Priority]],13,FALSE)</f>
        <v>4</v>
      </c>
      <c r="G54" s="9">
        <f>IF(VLOOKUP(IntComp[[#This Row],[DEVELOPMENT]],Data[],9,FALSE)=0,5,VLOOKUP(IntComp[[#This Row],[DEVELOPMENT]],Data[],9,FALSE))</f>
        <v>3</v>
      </c>
      <c r="H54" s="9">
        <f>VLOOKUP(IntComp[[#This Row],[DEVELOPMENT]],Data[],7,FALSE)</f>
        <v>55</v>
      </c>
      <c r="I54" s="9">
        <f>VLOOKUP(IntComp[[#This Row],[DEVELOPMENT]],Data[],5,FALSE)</f>
        <v>2</v>
      </c>
      <c r="J54" s="9"/>
      <c r="K54" s="9" t="str">
        <f ca="1">IFERROR(VLOOKUP(IntComp[[#This Row],[DEVELOPMENT]],Data[],4,FALSE),"")</f>
        <v>2026+</v>
      </c>
      <c r="L54" s="9" t="str">
        <f ca="1">IF(IntComp[[#This Row],[RAD/PACT]]="","",IF(OR(IntComp[[#This Row],[RAD/PACT]]="2022-2025",IntComp[[#This Row],[RAD/PACT]]=2019,IntComp[[#This Row],[RAD/PACT]]="2020-2021"),"Yes",""))</f>
        <v/>
      </c>
      <c r="M54" s="1">
        <f ca="1">IF(VLOOKUP(IntComp[[#This Row],[DEVELOPMENT]],Data[],10,FALSE)=0,-1,DATEDIF(VLOOKUP(IntComp[[#This Row],[DEVELOPMENT]],Data[],12,FALSE),TODAY(),"Y"))</f>
        <v>34</v>
      </c>
      <c r="N54" s="9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54" s="51">
        <v>2020</v>
      </c>
      <c r="P54" s="1">
        <v>2020</v>
      </c>
      <c r="Q54" s="1" t="s">
        <v>402</v>
      </c>
      <c r="R54" s="47">
        <f ca="1">(IntComp[[#This Row],['# to Replace (MRST)]]*INDEX(UnitCosts[#All],MATCH(IntComp[[#This Row],[WORK TYPE]],UnitCosts[Work Type],0)+1,2))*(1+((IntComp[[#This Row],[est. Year]]-YEAR(TODAY()))*$R$2))</f>
        <v>189262.5</v>
      </c>
      <c r="S54" s="1">
        <f ca="1">SUM(INDEX(IntComp['# to Replace (MRST)],1):IntComp[[#This Row],['# to Replace (MRST)]])-272</f>
        <v>-34</v>
      </c>
      <c r="T54" s="1" t="s">
        <v>2225</v>
      </c>
      <c r="U54" s="1">
        <f>IF(ISBLANK(IntComp[[#This Row],[CALENDAR YEAR]]),ROUNDDOWN(IntComp[[#This Row],[Count]]/190,0)+$U$1,IntComp[[#This Row],[CALENDAR YEAR]])</f>
        <v>2020</v>
      </c>
      <c r="V54" s="3" t="e">
        <f t="shared" ca="1" si="1"/>
        <v>#N/A</v>
      </c>
      <c r="W54" s="51"/>
      <c r="X54"/>
    </row>
    <row r="55" spans="1:24">
      <c r="A55" s="1" t="s">
        <v>265</v>
      </c>
      <c r="B55" s="9" t="str">
        <f>VLOOKUP(A55,Data[],2,FALSE)</f>
        <v>MANHATTAN</v>
      </c>
      <c r="C55" s="9" t="s">
        <v>106</v>
      </c>
      <c r="D55" s="9" t="str">
        <f>VLOOKUP(IntComp[[#This Row],[DEVELOPMENT]],Data[],52,FALSE)</f>
        <v>FEDERAL</v>
      </c>
      <c r="E55" s="50">
        <f>VLOOKUP(IntComp[[#This Row],[DEVELOPMENT]],Data[],8,FALSE)</f>
        <v>0</v>
      </c>
      <c r="F55" s="50">
        <f>VLOOKUP(IntComp[[#This Row],[DEVELOPMENT]],all[[DEVELOPMENT]:[MRST Ext. Comp. Priority]],13,FALSE)</f>
        <v>4</v>
      </c>
      <c r="G55" s="50">
        <f>IF(VLOOKUP(IntComp[[#This Row],[DEVELOPMENT]],Data[],9,FALSE)=0,5,VLOOKUP(IntComp[[#This Row],[DEVELOPMENT]],Data[],9,FALSE))</f>
        <v>5</v>
      </c>
      <c r="H55" s="50">
        <f>VLOOKUP(IntComp[[#This Row],[DEVELOPMENT]],Data[],7,FALSE)</f>
        <v>377</v>
      </c>
      <c r="I55" s="50">
        <f>VLOOKUP(IntComp[[#This Row],[DEVELOPMENT]],Data[],5,FALSE)</f>
        <v>2</v>
      </c>
      <c r="J55" s="50"/>
      <c r="K55" s="50" t="str">
        <f ca="1">IFERROR(VLOOKUP(IntComp[[#This Row],[DEVELOPMENT]],Data[],4,FALSE),"")</f>
        <v/>
      </c>
      <c r="L55" s="50" t="str">
        <f ca="1">IF(IntComp[[#This Row],[RAD/PACT]]="","",IF(OR(IntComp[[#This Row],[RAD/PACT]]="2022-2025",IntComp[[#This Row],[RAD/PACT]]=2019,IntComp[[#This Row],[RAD/PACT]]="2020-2021"),"Yes",""))</f>
        <v/>
      </c>
      <c r="M55" s="51">
        <f ca="1">IF(VLOOKUP(IntComp[[#This Row],[DEVELOPMENT]],Data[],10,FALSE)=0,-1,DATEDIF(VLOOKUP(IntComp[[#This Row],[DEVELOPMENT]],Data[],12,FALSE),TODAY(),"Y"))</f>
        <v>36</v>
      </c>
      <c r="N55" s="50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55" s="51">
        <v>2020</v>
      </c>
      <c r="P55" s="51">
        <v>2020</v>
      </c>
      <c r="Q55" s="1" t="s">
        <v>402</v>
      </c>
      <c r="R55" s="47">
        <f ca="1">(IntComp[[#This Row],['# to Replace (MRST)]]*INDEX(UnitCosts[#All],MATCH(IntComp[[#This Row],[WORK TYPE]],UnitCosts[Work Type],0)+1,2))*(1+((IntComp[[#This Row],[est. Year]]-YEAR(TODAY()))*$R$2))</f>
        <v>126175</v>
      </c>
      <c r="S55" s="1">
        <f ca="1">SUM(INDEX(IntComp['# to Replace (MRST)],1):IntComp[[#This Row],['# to Replace (MRST)]])-272</f>
        <v>-32</v>
      </c>
      <c r="T55" s="51" t="s">
        <v>2225</v>
      </c>
      <c r="U55" s="51">
        <f>IF(ISBLANK(IntComp[[#This Row],[CALENDAR YEAR]]),ROUNDDOWN(IntComp[[#This Row],[Count]]/190,0)+$U$1,IntComp[[#This Row],[CALENDAR YEAR]])</f>
        <v>2020</v>
      </c>
      <c r="V55" s="85" t="e">
        <f t="shared" ca="1" si="1"/>
        <v>#N/A</v>
      </c>
      <c r="W55" s="51"/>
      <c r="X55"/>
    </row>
    <row r="56" spans="1:24">
      <c r="A56" s="1" t="s">
        <v>250</v>
      </c>
      <c r="B56" s="9" t="str">
        <f>VLOOKUP(A56,Data[],2,FALSE)</f>
        <v>MANHATTAN</v>
      </c>
      <c r="C56" s="9" t="s">
        <v>106</v>
      </c>
      <c r="D56" s="9" t="str">
        <f>VLOOKUP(IntComp[[#This Row],[DEVELOPMENT]],Data[],52,FALSE)</f>
        <v>FEDERAL</v>
      </c>
      <c r="E56" s="50" t="str">
        <f>VLOOKUP(IntComp[[#This Row],[DEVELOPMENT]],Data[],8,FALSE)</f>
        <v>Zone 3</v>
      </c>
      <c r="F56" s="50">
        <f>VLOOKUP(IntComp[[#This Row],[DEVELOPMENT]],all[[DEVELOPMENT]:[MRST Ext. Comp. Priority]],13,FALSE)</f>
        <v>4</v>
      </c>
      <c r="G56" s="50">
        <f>IF(VLOOKUP(IntComp[[#This Row],[DEVELOPMENT]],Data[],9,FALSE)=0,5,VLOOKUP(IntComp[[#This Row],[DEVELOPMENT]],Data[],9,FALSE))</f>
        <v>5</v>
      </c>
      <c r="H56" s="50">
        <f>VLOOKUP(IntComp[[#This Row],[DEVELOPMENT]],Data[],7,FALSE)</f>
        <v>112</v>
      </c>
      <c r="I56" s="50">
        <f>VLOOKUP(IntComp[[#This Row],[DEVELOPMENT]],Data[],5,FALSE)</f>
        <v>4</v>
      </c>
      <c r="J56" s="50"/>
      <c r="K56" s="50" t="str">
        <f ca="1">IFERROR(VLOOKUP(IntComp[[#This Row],[DEVELOPMENT]],Data[],4,FALSE),"")</f>
        <v/>
      </c>
      <c r="L56" s="50" t="str">
        <f ca="1">IF(IntComp[[#This Row],[RAD/PACT]]="","",IF(OR(IntComp[[#This Row],[RAD/PACT]]="2022-2025",IntComp[[#This Row],[RAD/PACT]]=2019,IntComp[[#This Row],[RAD/PACT]]="2020-2021"),"Yes",""))</f>
        <v/>
      </c>
      <c r="M56" s="51">
        <f ca="1">IF(VLOOKUP(IntComp[[#This Row],[DEVELOPMENT]],Data[],10,FALSE)=0,-1,DATEDIF(VLOOKUP(IntComp[[#This Row],[DEVELOPMENT]],Data[],12,FALSE),TODAY(),"Y"))</f>
        <v>35</v>
      </c>
      <c r="N56" s="50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56" s="51">
        <v>2020</v>
      </c>
      <c r="P56" s="51">
        <v>2020</v>
      </c>
      <c r="Q56" s="1" t="s">
        <v>402</v>
      </c>
      <c r="R56" s="47">
        <f ca="1">(IntComp[[#This Row],['# to Replace (MRST)]]*INDEX(UnitCosts[#All],MATCH(IntComp[[#This Row],[WORK TYPE]],UnitCosts[Work Type],0)+1,2))*(1+((IntComp[[#This Row],[est. Year]]-YEAR(TODAY()))*$R$2))</f>
        <v>63087.5</v>
      </c>
      <c r="S56" s="1">
        <f ca="1">SUM(INDEX(IntComp['# to Replace (MRST)],1):IntComp[[#This Row],['# to Replace (MRST)]])-272</f>
        <v>-31</v>
      </c>
      <c r="T56" s="51" t="s">
        <v>2225</v>
      </c>
      <c r="U56" s="51">
        <f>IF(ISBLANK(IntComp[[#This Row],[CALENDAR YEAR]]),ROUNDDOWN(IntComp[[#This Row],[Count]]/190,0)+$U$1,IntComp[[#This Row],[CALENDAR YEAR]])</f>
        <v>2020</v>
      </c>
      <c r="V56" s="85" t="e">
        <f t="shared" ca="1" si="1"/>
        <v>#N/A</v>
      </c>
      <c r="W56" s="51"/>
      <c r="X56"/>
    </row>
    <row r="57" spans="1:24">
      <c r="A57" s="1" t="s">
        <v>233</v>
      </c>
      <c r="B57" s="9" t="str">
        <f>VLOOKUP(A57,Data[],2,FALSE)</f>
        <v>QUEENS</v>
      </c>
      <c r="C57" s="9" t="s">
        <v>106</v>
      </c>
      <c r="D57" s="9" t="str">
        <f>VLOOKUP(IntComp[[#This Row],[DEVELOPMENT]],Data[],52,FALSE)</f>
        <v>FEDERAL</v>
      </c>
      <c r="E57" s="50">
        <f>VLOOKUP(IntComp[[#This Row],[DEVELOPMENT]],Data[],8,FALSE)</f>
        <v>0</v>
      </c>
      <c r="F57" s="50">
        <f>VLOOKUP(IntComp[[#This Row],[DEVELOPMENT]],all[[DEVELOPMENT]:[MRST Ext. Comp. Priority]],13,FALSE)</f>
        <v>4</v>
      </c>
      <c r="G57" s="50">
        <f>IF(VLOOKUP(IntComp[[#This Row],[DEVELOPMENT]],Data[],9,FALSE)=0,5,VLOOKUP(IntComp[[#This Row],[DEVELOPMENT]],Data[],9,FALSE))</f>
        <v>5</v>
      </c>
      <c r="H57" s="50">
        <f>VLOOKUP(IntComp[[#This Row],[DEVELOPMENT]],Data[],7,FALSE)</f>
        <v>399</v>
      </c>
      <c r="I57" s="50">
        <f>VLOOKUP(IntComp[[#This Row],[DEVELOPMENT]],Data[],5,FALSE)</f>
        <v>5</v>
      </c>
      <c r="J57" s="50"/>
      <c r="K57" s="50" t="str">
        <f ca="1">IFERROR(VLOOKUP(IntComp[[#This Row],[DEVELOPMENT]],Data[],4,FALSE),"")</f>
        <v/>
      </c>
      <c r="L57" s="50" t="str">
        <f ca="1">IF(IntComp[[#This Row],[RAD/PACT]]="","",IF(OR(IntComp[[#This Row],[RAD/PACT]]="2022-2025",IntComp[[#This Row],[RAD/PACT]]=2019,IntComp[[#This Row],[RAD/PACT]]="2020-2021"),"Yes",""))</f>
        <v/>
      </c>
      <c r="M57" s="51">
        <f ca="1">IF(VLOOKUP(IntComp[[#This Row],[DEVELOPMENT]],Data[],10,FALSE)=0,-1,DATEDIF(VLOOKUP(IntComp[[#This Row],[DEVELOPMENT]],Data[],12,FALSE),TODAY(),"Y"))</f>
        <v>19</v>
      </c>
      <c r="N57" s="50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</v>
      </c>
      <c r="O57" s="51">
        <v>2020</v>
      </c>
      <c r="P57" s="51">
        <v>2020</v>
      </c>
      <c r="Q57" s="1" t="s">
        <v>402</v>
      </c>
      <c r="R57" s="47">
        <f ca="1">(IntComp[[#This Row],['# to Replace (MRST)]]*INDEX(UnitCosts[#All],MATCH(IntComp[[#This Row],[WORK TYPE]],UnitCosts[Work Type],0)+1,2))*(1+((IntComp[[#This Row],[est. Year]]-YEAR(TODAY()))*$R$2))</f>
        <v>315437.5</v>
      </c>
      <c r="S57" s="1">
        <f ca="1">SUM(INDEX(IntComp['# to Replace (MRST)],1):IntComp[[#This Row],['# to Replace (MRST)]])-272</f>
        <v>-26</v>
      </c>
      <c r="T57" s="51" t="s">
        <v>2225</v>
      </c>
      <c r="U57" s="51">
        <f>IF(ISBLANK(IntComp[[#This Row],[CALENDAR YEAR]]),ROUNDDOWN(IntComp[[#This Row],[Count]]/190,0)+$U$1,IntComp[[#This Row],[CALENDAR YEAR]])</f>
        <v>2020</v>
      </c>
      <c r="V57" s="85" t="e">
        <f t="shared" ca="1" si="1"/>
        <v>#N/A</v>
      </c>
      <c r="W57" s="51"/>
      <c r="X57"/>
    </row>
    <row r="58" spans="1:24">
      <c r="A58" s="1" t="s">
        <v>305</v>
      </c>
      <c r="B58" s="9" t="str">
        <f>VLOOKUP(A58,Data[],2,FALSE)</f>
        <v>BROOKLYN</v>
      </c>
      <c r="C58" s="9" t="s">
        <v>106</v>
      </c>
      <c r="D58" s="9" t="str">
        <f>VLOOKUP(IntComp[[#This Row],[DEVELOPMENT]],Data[],52,FALSE)</f>
        <v>FEDERAL</v>
      </c>
      <c r="E58" s="50">
        <f>VLOOKUP(IntComp[[#This Row],[DEVELOPMENT]],Data[],8,FALSE)</f>
        <v>0</v>
      </c>
      <c r="F58" s="50" t="str">
        <f>VLOOKUP(IntComp[[#This Row],[DEVELOPMENT]],all[[DEVELOPMENT]:[MRST Ext. Comp. Priority]],13,FALSE)</f>
        <v>None</v>
      </c>
      <c r="G58" s="50">
        <f>IF(VLOOKUP(IntComp[[#This Row],[DEVELOPMENT]],Data[],9,FALSE)=0,5,VLOOKUP(IntComp[[#This Row],[DEVELOPMENT]],Data[],9,FALSE))</f>
        <v>5</v>
      </c>
      <c r="H58" s="50">
        <f>VLOOKUP(IntComp[[#This Row],[DEVELOPMENT]],Data[],7,FALSE)</f>
        <v>200</v>
      </c>
      <c r="I58" s="50">
        <f>VLOOKUP(IntComp[[#This Row],[DEVELOPMENT]],Data[],5,FALSE)</f>
        <v>2</v>
      </c>
      <c r="J58" s="50"/>
      <c r="K58" s="50" t="str">
        <f ca="1">IFERROR(VLOOKUP(IntComp[[#This Row],[DEVELOPMENT]],Data[],4,FALSE),"")</f>
        <v/>
      </c>
      <c r="L58" s="50" t="str">
        <f ca="1">IF(IntComp[[#This Row],[RAD/PACT]]="","",IF(OR(IntComp[[#This Row],[RAD/PACT]]="2022-2025",IntComp[[#This Row],[RAD/PACT]]=2019,IntComp[[#This Row],[RAD/PACT]]="2020-2021"),"Yes",""))</f>
        <v/>
      </c>
      <c r="M58" s="51">
        <f ca="1">IF(VLOOKUP(IntComp[[#This Row],[DEVELOPMENT]],Data[],10,FALSE)=0,-1,DATEDIF(VLOOKUP(IntComp[[#This Row],[DEVELOPMENT]],Data[],12,FALSE),TODAY(),"Y"))</f>
        <v>35</v>
      </c>
      <c r="N5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58" s="51">
        <v>2020</v>
      </c>
      <c r="P58" s="51">
        <v>2020</v>
      </c>
      <c r="Q58" s="1" t="s">
        <v>402</v>
      </c>
      <c r="R58" s="47">
        <f ca="1">(IntComp[[#This Row],['# to Replace (MRST)]]*INDEX(UnitCosts[#All],MATCH(IntComp[[#This Row],[WORK TYPE]],UnitCosts[Work Type],0)+1,2))*(1+((IntComp[[#This Row],[est. Year]]-YEAR(TODAY()))*$R$2))</f>
        <v>126175</v>
      </c>
      <c r="S58" s="1">
        <f ca="1">SUM(INDEX(IntComp['# to Replace (MRST)],1):IntComp[[#This Row],['# to Replace (MRST)]])-272</f>
        <v>-24</v>
      </c>
      <c r="T58" s="51" t="s">
        <v>2225</v>
      </c>
      <c r="U58" s="51">
        <f>IF(ISBLANK(IntComp[[#This Row],[CALENDAR YEAR]]),ROUNDDOWN(IntComp[[#This Row],[Count]]/190,0)+$U$1,IntComp[[#This Row],[CALENDAR YEAR]])</f>
        <v>2020</v>
      </c>
      <c r="V58" s="85" t="e">
        <f t="shared" ca="1" si="1"/>
        <v>#N/A</v>
      </c>
      <c r="W58" s="51"/>
      <c r="X58"/>
    </row>
    <row r="59" spans="1:24">
      <c r="A59" s="1" t="s">
        <v>258</v>
      </c>
      <c r="B59" s="9" t="str">
        <f>VLOOKUP(A59,Data[],2,FALSE)</f>
        <v>BROOKLYN</v>
      </c>
      <c r="C59" s="9" t="s">
        <v>106</v>
      </c>
      <c r="D59" s="9" t="str">
        <f>VLOOKUP(IntComp[[#This Row],[DEVELOPMENT]],Data[],52,FALSE)</f>
        <v>FEDERAL</v>
      </c>
      <c r="E59" s="50">
        <f>VLOOKUP(IntComp[[#This Row],[DEVELOPMENT]],Data[],8,FALSE)</f>
        <v>0</v>
      </c>
      <c r="F59" s="50">
        <f>VLOOKUP(IntComp[[#This Row],[DEVELOPMENT]],all[[DEVELOPMENT]:[MRST Ext. Comp. Priority]],13,FALSE)</f>
        <v>4</v>
      </c>
      <c r="G59" s="50">
        <f>IF(VLOOKUP(IntComp[[#This Row],[DEVELOPMENT]],Data[],9,FALSE)=0,5,VLOOKUP(IntComp[[#This Row],[DEVELOPMENT]],Data[],9,FALSE))</f>
        <v>5</v>
      </c>
      <c r="H59" s="50">
        <f>VLOOKUP(IntComp[[#This Row],[DEVELOPMENT]],Data[],7,FALSE)</f>
        <v>150</v>
      </c>
      <c r="I59" s="50">
        <f>VLOOKUP(IntComp[[#This Row],[DEVELOPMENT]],Data[],5,FALSE)</f>
        <v>1</v>
      </c>
      <c r="J59" s="50"/>
      <c r="K59" s="50" t="str">
        <f ca="1">IFERROR(VLOOKUP(IntComp[[#This Row],[DEVELOPMENT]],Data[],4,FALSE),"")</f>
        <v>2026+</v>
      </c>
      <c r="L59" s="50" t="str">
        <f ca="1">IF(IntComp[[#This Row],[RAD/PACT]]="","",IF(OR(IntComp[[#This Row],[RAD/PACT]]="2022-2025",IntComp[[#This Row],[RAD/PACT]]=2019,IntComp[[#This Row],[RAD/PACT]]="2020-2021"),"Yes",""))</f>
        <v/>
      </c>
      <c r="M59" s="51">
        <f ca="1">IF(VLOOKUP(IntComp[[#This Row],[DEVELOPMENT]],Data[],10,FALSE)=0,-1,DATEDIF(VLOOKUP(IntComp[[#This Row],[DEVELOPMENT]],Data[],12,FALSE),TODAY(),"Y"))</f>
        <v>35</v>
      </c>
      <c r="N59" s="50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59" s="51">
        <v>2020</v>
      </c>
      <c r="P59" s="51">
        <v>2020</v>
      </c>
      <c r="Q59" s="1" t="e">
        <f>IF(VLOOKUP(IntComp[[#This Row],[DEVELOPMENT]],CPD_Int[],20,FALSE)=1,"COMPLETED","IN PROGRESS")</f>
        <v>#N/A</v>
      </c>
      <c r="R59" s="47" t="e">
        <f>VLOOKUP(IntComp[[#This Row],[DEVELOPMENT]],CPD_Int[],11,FALSE)</f>
        <v>#N/A</v>
      </c>
      <c r="S59" s="1">
        <f ca="1">SUM(INDEX(IntComp['# to Replace (MRST)],1):IntComp[[#This Row],['# to Replace (MRST)]])-272</f>
        <v>-23</v>
      </c>
      <c r="T59" s="1" t="s">
        <v>2223</v>
      </c>
      <c r="U59" s="51">
        <f>IF(ISBLANK(IntComp[[#This Row],[CALENDAR YEAR]]),ROUNDDOWN(IntComp[[#This Row],[Count]]/190,0)+$U$1,IntComp[[#This Row],[CALENDAR YEAR]])</f>
        <v>2020</v>
      </c>
      <c r="V59" s="85" t="e">
        <f t="shared" ca="1" si="1"/>
        <v>#N/A</v>
      </c>
      <c r="W59" s="51"/>
      <c r="X59"/>
    </row>
    <row r="60" spans="1:24" ht="14.25" customHeight="1">
      <c r="A60" s="1" t="s">
        <v>129</v>
      </c>
      <c r="B60" s="1" t="str">
        <f>VLOOKUP(A60,Data[],2,FALSE)</f>
        <v>MANHATTAN</v>
      </c>
      <c r="C60" s="9" t="s">
        <v>106</v>
      </c>
      <c r="D60" s="9" t="str">
        <f>VLOOKUP(IntComp[[#This Row],[DEVELOPMENT]],Data[],52,FALSE)</f>
        <v>FEDERAL</v>
      </c>
      <c r="E60" s="9" t="str">
        <f>VLOOKUP(IntComp[[#This Row],[DEVELOPMENT]],Data[],8,FALSE)</f>
        <v>Zone 2</v>
      </c>
      <c r="F60" s="9">
        <f>VLOOKUP(IntComp[[#This Row],[DEVELOPMENT]],all[[DEVELOPMENT]:[MRST Ext. Comp. Priority]],13,FALSE)</f>
        <v>3</v>
      </c>
      <c r="G60" s="9">
        <f>IF(VLOOKUP(IntComp[[#This Row],[DEVELOPMENT]],Data[],9,FALSE)=0,5,VLOOKUP(IntComp[[#This Row],[DEVELOPMENT]],Data[],9,FALSE))</f>
        <v>1</v>
      </c>
      <c r="H60" s="9">
        <f>VLOOKUP(IntComp[[#This Row],[DEVELOPMENT]],Data[],7,FALSE)</f>
        <v>748</v>
      </c>
      <c r="I60" s="9">
        <f>VLOOKUP(IntComp[[#This Row],[DEVELOPMENT]],Data[],5,FALSE)</f>
        <v>6</v>
      </c>
      <c r="J60" s="9"/>
      <c r="K60" s="9" t="str">
        <f ca="1">IFERROR(VLOOKUP(IntComp[[#This Row],[DEVELOPMENT]],Data[],4,FALSE),"")</f>
        <v/>
      </c>
      <c r="L60" s="9" t="str">
        <f ca="1">IF(IntComp[[#This Row],[RAD/PACT]]="","",IF(OR(IntComp[[#This Row],[RAD/PACT]]="2022-2025",IntComp[[#This Row],[RAD/PACT]]=2019,IntComp[[#This Row],[RAD/PACT]]="2020-2021"),"Yes",""))</f>
        <v/>
      </c>
      <c r="M60" s="1">
        <f ca="1">IF(VLOOKUP(IntComp[[#This Row],[DEVELOPMENT]],Data[],10,FALSE)=0,-1,DATEDIF(VLOOKUP(IntComp[[#This Row],[DEVELOPMENT]],Data[],12,FALSE),TODAY(),"Y"))</f>
        <v>20</v>
      </c>
      <c r="N6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6</v>
      </c>
      <c r="O60" s="1">
        <v>2020</v>
      </c>
      <c r="P60" s="1">
        <v>2021</v>
      </c>
      <c r="Q60" s="1" t="s">
        <v>402</v>
      </c>
      <c r="R60" s="47">
        <f ca="1">(IntComp[[#This Row],['# to Replace (MRST)]]*INDEX(UnitCosts[#All],MATCH(IntComp[[#This Row],[WORK TYPE]],UnitCosts[Work Type],0)+1,2))*(1+((IntComp[[#This Row],[est. Year]]-YEAR(TODAY()))*$R$2))</f>
        <v>378525</v>
      </c>
      <c r="S60" s="1">
        <f ca="1">SUM(INDEX(IntComp['# to Replace (MRST)],1):IntComp[[#This Row],['# to Replace (MRST)]])-272</f>
        <v>-17</v>
      </c>
      <c r="T60" s="1" t="s">
        <v>2225</v>
      </c>
      <c r="U60" s="1">
        <f>IF(ISBLANK(IntComp[[#This Row],[CALENDAR YEAR]]),ROUNDDOWN(IntComp[[#This Row],[Count]]/190,0)+$U$1,IntComp[[#This Row],[CALENDAR YEAR]])</f>
        <v>2020</v>
      </c>
      <c r="V60" s="3" t="e">
        <f t="shared" ca="1" si="1"/>
        <v>#N/A</v>
      </c>
      <c r="W60" s="51" t="s">
        <v>2224</v>
      </c>
      <c r="X60"/>
    </row>
    <row r="61" spans="1:24" ht="14.25" hidden="1" customHeight="1">
      <c r="A61" s="200" t="s">
        <v>43</v>
      </c>
      <c r="B61" s="196" t="str">
        <f>VLOOKUP(A61,Data[],2,FALSE)</f>
        <v>MANHATTAN</v>
      </c>
      <c r="C61" s="197" t="s">
        <v>106</v>
      </c>
      <c r="D61" s="197" t="str">
        <f>VLOOKUP(IntComp[[#This Row],[DEVELOPMENT]],Data[],52,FALSE)</f>
        <v>MIXED FINANCE/LLC1</v>
      </c>
      <c r="E61" s="197" t="str">
        <f>VLOOKUP(IntComp[[#This Row],[DEVELOPMENT]],Data[],8,FALSE)</f>
        <v>Zone 1</v>
      </c>
      <c r="F61" s="197">
        <f>VLOOKUP(IntComp[[#This Row],[DEVELOPMENT]],all[[DEVELOPMENT]:[MRST Ext. Comp. Priority]],13,FALSE)</f>
        <v>2</v>
      </c>
      <c r="G61" s="197">
        <f>IF(VLOOKUP(IntComp[[#This Row],[DEVELOPMENT]],Data[],9,FALSE)=0,5,VLOOKUP(IntComp[[#This Row],[DEVELOPMENT]],Data[],9,FALSE))</f>
        <v>4</v>
      </c>
      <c r="H61" s="197">
        <f>VLOOKUP(IntComp[[#This Row],[DEVELOPMENT]],Data[],7,FALSE)</f>
        <v>721</v>
      </c>
      <c r="I61" s="197">
        <f>VLOOKUP(IntComp[[#This Row],[DEVELOPMENT]],Data[],5,FALSE)</f>
        <v>5</v>
      </c>
      <c r="J61" s="197"/>
      <c r="K61" s="197" t="str">
        <f ca="1">IFERROR(VLOOKUP(IntComp[[#This Row],[DEVELOPMENT]],Data[],4,FALSE),"")</f>
        <v/>
      </c>
      <c r="L61" s="197" t="str">
        <f ca="1">IF(IntComp[[#This Row],[RAD/PACT]]="","",IF(OR(IntComp[[#This Row],[RAD/PACT]]="2022-2025",IntComp[[#This Row],[RAD/PACT]]=2019,IntComp[[#This Row],[RAD/PACT]]="2020-2021"),"Yes",""))</f>
        <v/>
      </c>
      <c r="M61" s="196">
        <f ca="1">IF(VLOOKUP(IntComp[[#This Row],[DEVELOPMENT]],Data[],10,FALSE)=0,-1,DATEDIF(VLOOKUP(IntComp[[#This Row],[DEVELOPMENT]],Data[],12,FALSE),TODAY(),"Y"))</f>
        <v>17</v>
      </c>
      <c r="N61" s="196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61" s="196"/>
      <c r="P61" s="196"/>
      <c r="Q61" s="196"/>
      <c r="R61" s="198">
        <f ca="1">(IntComp[[#This Row],['# to Replace (MRST)]]*INDEX(UnitCosts[#All],MATCH(IntComp[[#This Row],[WORK TYPE]],UnitCosts[Work Type],0)+1,2))*(1+((IntComp[[#This Row],[est. Year]]-YEAR(TODAY()))*$R$2))</f>
        <v>0</v>
      </c>
      <c r="S61" s="196">
        <f ca="1">SUM(INDEX(IntComp['# to Replace (MRST)],1):IntComp[[#This Row],['# to Replace (MRST)]])-272</f>
        <v>-17</v>
      </c>
      <c r="T61" s="196"/>
      <c r="U61" s="196">
        <f ca="1">IF(ISBLANK(IntComp[[#This Row],[CALENDAR YEAR]]),ROUNDDOWN(IntComp[[#This Row],[Count]]/190,0)+$U$1,IntComp[[#This Row],[CALENDAR YEAR]])</f>
        <v>2021</v>
      </c>
      <c r="V61" s="199">
        <f t="shared" ca="1" si="1"/>
        <v>0</v>
      </c>
      <c r="X61"/>
    </row>
    <row r="62" spans="1:24" ht="14.25" customHeight="1">
      <c r="A62" s="1" t="s">
        <v>83</v>
      </c>
      <c r="B62" s="1" t="str">
        <f>VLOOKUP(A62,Data[],2,FALSE)</f>
        <v>MANHATTAN</v>
      </c>
      <c r="C62" s="9" t="s">
        <v>106</v>
      </c>
      <c r="D62" s="9" t="str">
        <f>VLOOKUP(IntComp[[#This Row],[DEVELOPMENT]],Data[],52,FALSE)</f>
        <v>FEDERAL</v>
      </c>
      <c r="E62" s="9" t="str">
        <f>VLOOKUP(IntComp[[#This Row],[DEVELOPMENT]],Data[],8,FALSE)</f>
        <v>Zone 2</v>
      </c>
      <c r="F62" s="9">
        <f>VLOOKUP(IntComp[[#This Row],[DEVELOPMENT]],all[[DEVELOPMENT]:[MRST Ext. Comp. Priority]],13,FALSE)</f>
        <v>3</v>
      </c>
      <c r="G62" s="9">
        <f>IF(VLOOKUP(IntComp[[#This Row],[DEVELOPMENT]],Data[],9,FALSE)=0,5,VLOOKUP(IntComp[[#This Row],[DEVELOPMENT]],Data[],9,FALSE))</f>
        <v>2</v>
      </c>
      <c r="H62" s="9">
        <f>VLOOKUP(IntComp[[#This Row],[DEVELOPMENT]],Data[],7,FALSE)</f>
        <v>1296</v>
      </c>
      <c r="I62" s="9">
        <f>VLOOKUP(IntComp[[#This Row],[DEVELOPMENT]],Data[],5,FALSE)</f>
        <v>10</v>
      </c>
      <c r="J62" s="9"/>
      <c r="K62" s="9" t="str">
        <f ca="1">IFERROR(VLOOKUP(IntComp[[#This Row],[DEVELOPMENT]],Data[],4,FALSE),"")</f>
        <v>2026+</v>
      </c>
      <c r="L62" s="9" t="str">
        <f ca="1">IF(IntComp[[#This Row],[RAD/PACT]]="","",IF(OR(IntComp[[#This Row],[RAD/PACT]]="2022-2025",IntComp[[#This Row],[RAD/PACT]]=2019,IntComp[[#This Row],[RAD/PACT]]="2020-2021"),"Yes",""))</f>
        <v/>
      </c>
      <c r="M62" s="1">
        <f ca="1">IF(VLOOKUP(IntComp[[#This Row],[DEVELOPMENT]],Data[],10,FALSE)=0,-1,DATEDIF(VLOOKUP(IntComp[[#This Row],[DEVELOPMENT]],Data[],12,FALSE),TODAY(),"Y"))</f>
        <v>20</v>
      </c>
      <c r="N62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17</v>
      </c>
      <c r="O62" s="1">
        <v>2020</v>
      </c>
      <c r="P62" s="1">
        <v>2021</v>
      </c>
      <c r="Q62" s="1" t="s">
        <v>402</v>
      </c>
      <c r="R62" s="47">
        <f ca="1">(IntComp[[#This Row],['# to Replace (MRST)]]*INDEX(UnitCosts[#All],MATCH(IntComp[[#This Row],[WORK TYPE]],UnitCosts[Work Type],0)+1,2))*(1+((IntComp[[#This Row],[est. Year]]-YEAR(TODAY()))*$R$2))</f>
        <v>1072487.5</v>
      </c>
      <c r="S62" s="1">
        <f ca="1">SUM(INDEX(IntComp['# to Replace (MRST)],1):IntComp[[#This Row],['# to Replace (MRST)]])-272</f>
        <v>0</v>
      </c>
      <c r="T62" s="1" t="s">
        <v>2225</v>
      </c>
      <c r="U62" s="1">
        <f>IF(ISBLANK(IntComp[[#This Row],[CALENDAR YEAR]]),ROUNDDOWN(IntComp[[#This Row],[Count]]/190,0)+$U$1,IntComp[[#This Row],[CALENDAR YEAR]])</f>
        <v>2020</v>
      </c>
      <c r="V62" s="3">
        <f t="shared" ca="1" si="1"/>
        <v>1072487.5</v>
      </c>
      <c r="W62" s="51" t="s">
        <v>2224</v>
      </c>
      <c r="X62"/>
    </row>
    <row r="63" spans="1:24" ht="14.25" customHeight="1">
      <c r="A63" s="1" t="s">
        <v>224</v>
      </c>
      <c r="B63" s="9" t="str">
        <f>VLOOKUP(A63,Data[],2,FALSE)</f>
        <v>QUEENS</v>
      </c>
      <c r="C63" s="9" t="s">
        <v>106</v>
      </c>
      <c r="D63" s="9" t="str">
        <f>VLOOKUP(IntComp[[#This Row],[DEVELOPMENT]],Data[],52,FALSE)</f>
        <v>FEDERAL</v>
      </c>
      <c r="E63" s="50">
        <f>VLOOKUP(IntComp[[#This Row],[DEVELOPMENT]],Data[],8,FALSE)</f>
        <v>0</v>
      </c>
      <c r="F63" s="50">
        <f>VLOOKUP(IntComp[[#This Row],[DEVELOPMENT]],all[[DEVELOPMENT]:[MRST Ext. Comp. Priority]],13,FALSE)</f>
        <v>1</v>
      </c>
      <c r="G63" s="50">
        <f>IF(VLOOKUP(IntComp[[#This Row],[DEVELOPMENT]],Data[],9,FALSE)=0,5,VLOOKUP(IntComp[[#This Row],[DEVELOPMENT]],Data[],9,FALSE))</f>
        <v>5</v>
      </c>
      <c r="H63" s="50">
        <f>VLOOKUP(IntComp[[#This Row],[DEVELOPMENT]],Data[],7,FALSE)</f>
        <v>448</v>
      </c>
      <c r="I63" s="50">
        <f>VLOOKUP(IntComp[[#This Row],[DEVELOPMENT]],Data[],5,FALSE)</f>
        <v>11</v>
      </c>
      <c r="J63" s="50"/>
      <c r="K63" s="50" t="str">
        <f ca="1">IFERROR(VLOOKUP(IntComp[[#This Row],[DEVELOPMENT]],Data[],4,FALSE),"")</f>
        <v>2026+</v>
      </c>
      <c r="L63" s="50" t="str">
        <f ca="1">IF(IntComp[[#This Row],[RAD/PACT]]="","",IF(OR(IntComp[[#This Row],[RAD/PACT]]="2022-2025",IntComp[[#This Row],[RAD/PACT]]=2019,IntComp[[#This Row],[RAD/PACT]]="2020-2021"),"Yes",""))</f>
        <v/>
      </c>
      <c r="M63" s="51">
        <f ca="1">IF(VLOOKUP(IntComp[[#This Row],[DEVELOPMENT]],Data[],10,FALSE)=0,-1,DATEDIF(VLOOKUP(IntComp[[#This Row],[DEVELOPMENT]],Data[],12,FALSE),TODAY(),"Y"))</f>
        <v>17</v>
      </c>
      <c r="N6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33</v>
      </c>
      <c r="O63" s="51"/>
      <c r="P63" s="51"/>
      <c r="Q63" s="51"/>
      <c r="R63" s="47">
        <f ca="1">(IntComp[[#This Row],['# to Replace (MRST)]]*INDEX(UnitCosts[#All],MATCH(IntComp[[#This Row],[WORK TYPE]],UnitCosts[Work Type],0)+1,2))*(1+((IntComp[[#This Row],[est. Year]]-YEAR(TODAY()))*$R$2))</f>
        <v>2154753.5625</v>
      </c>
      <c r="S63" s="1">
        <f ca="1">SUM(INDEX(IntComp['# to Replace (MRST)],1):IntComp[[#This Row],['# to Replace (MRST)]])-272</f>
        <v>33</v>
      </c>
      <c r="T63" s="51"/>
      <c r="U63" s="51">
        <f ca="1">IF(ISBLANK(IntComp[[#This Row],[CALENDAR YEAR]]),ROUNDDOWN(IntComp[[#This Row],[Count]]/190,0)+$U$1,IntComp[[#This Row],[CALENDAR YEAR]])</f>
        <v>2021</v>
      </c>
      <c r="V63" s="85">
        <f t="shared" ca="1" si="1"/>
        <v>2154753.5625</v>
      </c>
      <c r="W63" s="51"/>
      <c r="X63"/>
    </row>
    <row r="64" spans="1:24" ht="14.25" customHeight="1">
      <c r="A64" s="1" t="s">
        <v>92</v>
      </c>
      <c r="B64" s="1" t="str">
        <f>VLOOKUP(A64,Data[],2,FALSE)</f>
        <v>MANHATTAN</v>
      </c>
      <c r="C64" s="9" t="s">
        <v>106</v>
      </c>
      <c r="D64" s="9" t="str">
        <f>VLOOKUP(IntComp[[#This Row],[DEVELOPMENT]],Data[],52,FALSE)</f>
        <v>FEDERAL</v>
      </c>
      <c r="E64" s="9" t="str">
        <f>VLOOKUP(IntComp[[#This Row],[DEVELOPMENT]],Data[],8,FALSE)</f>
        <v>Zone 2</v>
      </c>
      <c r="F64" s="9">
        <f>VLOOKUP(IntComp[[#This Row],[DEVELOPMENT]],all[[DEVELOPMENT]:[MRST Ext. Comp. Priority]],13,FALSE)</f>
        <v>2</v>
      </c>
      <c r="G64" s="9">
        <f>IF(VLOOKUP(IntComp[[#This Row],[DEVELOPMENT]],Data[],9,FALSE)=0,5,VLOOKUP(IntComp[[#This Row],[DEVELOPMENT]],Data[],9,FALSE))</f>
        <v>1</v>
      </c>
      <c r="H64" s="9">
        <f>VLOOKUP(IntComp[[#This Row],[DEVELOPMENT]],Data[],7,FALSE)</f>
        <v>97</v>
      </c>
      <c r="I64" s="9">
        <f>VLOOKUP(IntComp[[#This Row],[DEVELOPMENT]],Data[],5,FALSE)</f>
        <v>1</v>
      </c>
      <c r="J64" s="9"/>
      <c r="K64" s="9" t="str">
        <f ca="1">IFERROR(VLOOKUP(IntComp[[#This Row],[DEVELOPMENT]],Data[],4,FALSE),"")</f>
        <v/>
      </c>
      <c r="L64" s="9" t="str">
        <f ca="1">IF(IntComp[[#This Row],[RAD/PACT]]="","",IF(OR(IntComp[[#This Row],[RAD/PACT]]="2022-2025",IntComp[[#This Row],[RAD/PACT]]=2019,IntComp[[#This Row],[RAD/PACT]]="2020-2021"),"Yes",""))</f>
        <v/>
      </c>
      <c r="M64" s="1">
        <f ca="1">IF(VLOOKUP(IntComp[[#This Row],[DEVELOPMENT]],Data[],10,FALSE)=0,-1,DATEDIF(VLOOKUP(IntComp[[#This Row],[DEVELOPMENT]],Data[],12,FALSE),TODAY(),"Y"))</f>
        <v>20</v>
      </c>
      <c r="N64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64" s="1"/>
      <c r="P64" s="1"/>
      <c r="Q64" s="1"/>
      <c r="R64" s="47">
        <f ca="1">(IntComp[[#This Row],['# to Replace (MRST)]]*INDEX(UnitCosts[#All],MATCH(IntComp[[#This Row],[WORK TYPE]],UnitCosts[Work Type],0)+1,2))*(1+((IntComp[[#This Row],[est. Year]]-YEAR(TODAY()))*$R$2))</f>
        <v>65295.562499999993</v>
      </c>
      <c r="S64" s="1">
        <f ca="1">SUM(INDEX(IntComp['# to Replace (MRST)],1):IntComp[[#This Row],['# to Replace (MRST)]])-272</f>
        <v>34</v>
      </c>
      <c r="T64" s="1"/>
      <c r="U64" s="1">
        <f ca="1">IF(ISBLANK(IntComp[[#This Row],[CALENDAR YEAR]]),ROUNDDOWN(IntComp[[#This Row],[Count]]/190,0)+$U$1,IntComp[[#This Row],[CALENDAR YEAR]])</f>
        <v>2021</v>
      </c>
      <c r="V64" s="3">
        <f t="shared" ca="1" si="1"/>
        <v>2220049.125</v>
      </c>
      <c r="W64" s="51" t="s">
        <v>2224</v>
      </c>
      <c r="X64"/>
    </row>
    <row r="65" spans="1:24" ht="14.25" customHeight="1">
      <c r="A65" s="1" t="s">
        <v>119</v>
      </c>
      <c r="B65" s="1" t="str">
        <f>VLOOKUP(A65,Data[],2,FALSE)</f>
        <v>BROOKLYN</v>
      </c>
      <c r="C65" s="9" t="s">
        <v>106</v>
      </c>
      <c r="D65" s="9" t="str">
        <f>VLOOKUP(IntComp[[#This Row],[DEVELOPMENT]],Data[],52,FALSE)</f>
        <v>FEDERAL</v>
      </c>
      <c r="E65" s="9" t="str">
        <f>VLOOKUP(IntComp[[#This Row],[DEVELOPMENT]],Data[],8,FALSE)</f>
        <v>Zone 3</v>
      </c>
      <c r="F65" s="9">
        <f>VLOOKUP(IntComp[[#This Row],[DEVELOPMENT]],all[[DEVELOPMENT]:[MRST Ext. Comp. Priority]],13,FALSE)</f>
        <v>2</v>
      </c>
      <c r="G65" s="9">
        <f>IF(VLOOKUP(IntComp[[#This Row],[DEVELOPMENT]],Data[],9,FALSE)=0,5,VLOOKUP(IntComp[[#This Row],[DEVELOPMENT]],Data[],9,FALSE))</f>
        <v>1</v>
      </c>
      <c r="H65" s="9">
        <f>VLOOKUP(IntComp[[#This Row],[DEVELOPMENT]],Data[],7,FALSE)</f>
        <v>509</v>
      </c>
      <c r="I65" s="9">
        <f>VLOOKUP(IntComp[[#This Row],[DEVELOPMENT]],Data[],5,FALSE)</f>
        <v>8</v>
      </c>
      <c r="J65" s="9"/>
      <c r="K65" s="9" t="str">
        <f ca="1">IFERROR(VLOOKUP(IntComp[[#This Row],[DEVELOPMENT]],Data[],4,FALSE),"")</f>
        <v>2026+</v>
      </c>
      <c r="L65" s="9" t="str">
        <f ca="1">IF(IntComp[[#This Row],[RAD/PACT]]="","",IF(OR(IntComp[[#This Row],[RAD/PACT]]="2022-2025",IntComp[[#This Row],[RAD/PACT]]=2019,IntComp[[#This Row],[RAD/PACT]]="2020-2021"),"Yes",""))</f>
        <v/>
      </c>
      <c r="M65" s="9">
        <f ca="1">IF(VLOOKUP(IntComp[[#This Row],[DEVELOPMENT]],Data[],10,FALSE)=0,-1,DATEDIF(VLOOKUP(IntComp[[#This Row],[DEVELOPMENT]],Data[],12,FALSE),TODAY(),"Y"))</f>
        <v>8</v>
      </c>
      <c r="N65" s="9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8</v>
      </c>
      <c r="O65" s="1"/>
      <c r="P65" s="1"/>
      <c r="Q65" s="1"/>
      <c r="R65" s="47">
        <f ca="1">(IntComp[[#This Row],['# to Replace (MRST)]]*INDEX(UnitCosts[#All],MATCH(IntComp[[#This Row],[WORK TYPE]],UnitCosts[Work Type],0)+1,2))*(1+((IntComp[[#This Row],[est. Year]]-YEAR(TODAY()))*$R$2))</f>
        <v>522364.49999999994</v>
      </c>
      <c r="S65" s="1">
        <f ca="1">SUM(INDEX(IntComp['# to Replace (MRST)],1):IntComp[[#This Row],['# to Replace (MRST)]])-272</f>
        <v>42</v>
      </c>
      <c r="T65" s="1"/>
      <c r="U65" s="1">
        <f ca="1">IF(ISBLANK(IntComp[[#This Row],[CALENDAR YEAR]]),ROUNDDOWN(IntComp[[#This Row],[Count]]/190,0)+$U$1,IntComp[[#This Row],[CALENDAR YEAR]])</f>
        <v>2021</v>
      </c>
      <c r="V65" s="3">
        <f t="shared" ca="1" si="1"/>
        <v>2742413.625</v>
      </c>
      <c r="W65" s="51"/>
      <c r="X65"/>
    </row>
    <row r="66" spans="1:24" ht="14.25" customHeight="1">
      <c r="A66" s="1" t="s">
        <v>115</v>
      </c>
      <c r="B66" s="1" t="str">
        <f>VLOOKUP(A66,Data[],2,FALSE)</f>
        <v>MANHATTAN</v>
      </c>
      <c r="C66" s="9" t="s">
        <v>106</v>
      </c>
      <c r="D66" s="9" t="str">
        <f>VLOOKUP(IntComp[[#This Row],[DEVELOPMENT]],Data[],52,FALSE)</f>
        <v>FEDERAL</v>
      </c>
      <c r="E66" s="9" t="str">
        <f>VLOOKUP(IntComp[[#This Row],[DEVELOPMENT]],Data[],8,FALSE)</f>
        <v>Zone 2</v>
      </c>
      <c r="F66" s="9">
        <f>VLOOKUP(IntComp[[#This Row],[DEVELOPMENT]],all[[DEVELOPMENT]:[MRST Ext. Comp. Priority]],13,FALSE)</f>
        <v>2</v>
      </c>
      <c r="G66" s="9">
        <f>IF(VLOOKUP(IntComp[[#This Row],[DEVELOPMENT]],Data[],9,FALSE)=0,5,VLOOKUP(IntComp[[#This Row],[DEVELOPMENT]],Data[],9,FALSE))</f>
        <v>4</v>
      </c>
      <c r="H66" s="9">
        <f>VLOOKUP(IntComp[[#This Row],[DEVELOPMENT]],Data[],7,FALSE)</f>
        <v>982</v>
      </c>
      <c r="I66" s="9">
        <f>VLOOKUP(IntComp[[#This Row],[DEVELOPMENT]],Data[],5,FALSE)</f>
        <v>8</v>
      </c>
      <c r="J66" s="9"/>
      <c r="K66" s="9" t="str">
        <f ca="1">IFERROR(VLOOKUP(IntComp[[#This Row],[DEVELOPMENT]],Data[],4,FALSE),"")</f>
        <v/>
      </c>
      <c r="L66" s="9" t="str">
        <f ca="1">IF(IntComp[[#This Row],[RAD/PACT]]="","",IF(OR(IntComp[[#This Row],[RAD/PACT]]="2022-2025",IntComp[[#This Row],[RAD/PACT]]=2019,IntComp[[#This Row],[RAD/PACT]]="2020-2021"),"Yes",""))</f>
        <v/>
      </c>
      <c r="M66" s="1">
        <f ca="1">IF(VLOOKUP(IntComp[[#This Row],[DEVELOPMENT]],Data[],10,FALSE)=0,-1,DATEDIF(VLOOKUP(IntComp[[#This Row],[DEVELOPMENT]],Data[],12,FALSE),TODAY(),"Y"))</f>
        <v>23</v>
      </c>
      <c r="N66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9</v>
      </c>
      <c r="O66" s="1"/>
      <c r="P66" s="1"/>
      <c r="Q66" s="1"/>
      <c r="R66" s="47">
        <f ca="1">(IntComp[[#This Row],['# to Replace (MRST)]]*INDEX(UnitCosts[#All],MATCH(IntComp[[#This Row],[WORK TYPE]],UnitCosts[Work Type],0)+1,2))*(1+((IntComp[[#This Row],[est. Year]]-YEAR(TODAY()))*$R$2))</f>
        <v>587660.0625</v>
      </c>
      <c r="S66" s="1">
        <f ca="1">SUM(INDEX(IntComp['# to Replace (MRST)],1):IntComp[[#This Row],['# to Replace (MRST)]])-272</f>
        <v>51</v>
      </c>
      <c r="T66" s="1"/>
      <c r="U66" s="1">
        <f ca="1">IF(ISBLANK(IntComp[[#This Row],[CALENDAR YEAR]]),ROUNDDOWN(IntComp[[#This Row],[Count]]/190,0)+$U$1,IntComp[[#This Row],[CALENDAR YEAR]])</f>
        <v>2021</v>
      </c>
      <c r="V66" s="3">
        <f t="shared" ca="1" si="1"/>
        <v>3330073.6875</v>
      </c>
      <c r="W66" s="51"/>
      <c r="X66"/>
    </row>
    <row r="67" spans="1:24" ht="14.25" customHeight="1">
      <c r="A67" s="1" t="s">
        <v>114</v>
      </c>
      <c r="B67" s="1" t="str">
        <f>VLOOKUP(A67,Data[],2,FALSE)</f>
        <v>BRONX</v>
      </c>
      <c r="C67" s="9" t="s">
        <v>106</v>
      </c>
      <c r="D67" s="9" t="str">
        <f>VLOOKUP(IntComp[[#This Row],[DEVELOPMENT]],Data[],52,FALSE)</f>
        <v>FEDERAL</v>
      </c>
      <c r="E67" s="9" t="str">
        <f>VLOOKUP(IntComp[[#This Row],[DEVELOPMENT]],Data[],8,FALSE)</f>
        <v>Zone 3</v>
      </c>
      <c r="F67" s="9">
        <f>VLOOKUP(IntComp[[#This Row],[DEVELOPMENT]],all[[DEVELOPMENT]:[MRST Ext. Comp. Priority]],13,FALSE)</f>
        <v>2</v>
      </c>
      <c r="G67" s="9">
        <f>IF(VLOOKUP(IntComp[[#This Row],[DEVELOPMENT]],Data[],9,FALSE)=0,5,VLOOKUP(IntComp[[#This Row],[DEVELOPMENT]],Data[],9,FALSE))</f>
        <v>4</v>
      </c>
      <c r="H67" s="9">
        <f>VLOOKUP(IntComp[[#This Row],[DEVELOPMENT]],Data[],7,FALSE)</f>
        <v>1100</v>
      </c>
      <c r="I67" s="9">
        <f>VLOOKUP(IntComp[[#This Row],[DEVELOPMENT]],Data[],5,FALSE)</f>
        <v>12</v>
      </c>
      <c r="J67" s="9"/>
      <c r="K67" s="9" t="str">
        <f ca="1">IFERROR(VLOOKUP(IntComp[[#This Row],[DEVELOPMENT]],Data[],4,FALSE),"")</f>
        <v>2026+</v>
      </c>
      <c r="L67" s="9" t="str">
        <f ca="1">IF(IntComp[[#This Row],[RAD/PACT]]="","",IF(OR(IntComp[[#This Row],[RAD/PACT]]="2022-2025",IntComp[[#This Row],[RAD/PACT]]=2019,IntComp[[#This Row],[RAD/PACT]]="2020-2021"),"Yes",""))</f>
        <v/>
      </c>
      <c r="M67" s="1">
        <f ca="1">IF(VLOOKUP(IntComp[[#This Row],[DEVELOPMENT]],Data[],10,FALSE)=0,-1,DATEDIF(VLOOKUP(IntComp[[#This Row],[DEVELOPMENT]],Data[],12,FALSE),TODAY(),"Y"))</f>
        <v>20</v>
      </c>
      <c r="N67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18</v>
      </c>
      <c r="O67" s="1"/>
      <c r="P67" s="1"/>
      <c r="Q67" s="1"/>
      <c r="R67" s="47">
        <f ca="1">(IntComp[[#This Row],['# to Replace (MRST)]]*INDEX(UnitCosts[#All],MATCH(IntComp[[#This Row],[WORK TYPE]],UnitCosts[Work Type],0)+1,2))*(1+((IntComp[[#This Row],[est. Year]]-YEAR(TODAY()))*$R$2))</f>
        <v>1175320.125</v>
      </c>
      <c r="S67" s="1">
        <f ca="1">SUM(INDEX(IntComp['# to Replace (MRST)],1):IntComp[[#This Row],['# to Replace (MRST)]])-272</f>
        <v>69</v>
      </c>
      <c r="T67" s="1"/>
      <c r="U67" s="1">
        <f ca="1">IF(ISBLANK(IntComp[[#This Row],[CALENDAR YEAR]]),ROUNDDOWN(IntComp[[#This Row],[Count]]/190,0)+$U$1,IntComp[[#This Row],[CALENDAR YEAR]])</f>
        <v>2021</v>
      </c>
      <c r="V67" s="3">
        <f t="shared" ca="1" si="1"/>
        <v>4505393.8125</v>
      </c>
      <c r="W67" s="51"/>
      <c r="X67"/>
    </row>
    <row r="68" spans="1:24" ht="14.25" hidden="1" customHeight="1">
      <c r="A68" s="192" t="s">
        <v>122</v>
      </c>
      <c r="B68" s="196" t="str">
        <f>VLOOKUP(A68,Data[],2,FALSE)</f>
        <v>MANHATTAN</v>
      </c>
      <c r="C68" s="197" t="s">
        <v>106</v>
      </c>
      <c r="D68" s="197" t="str">
        <f>VLOOKUP(IntComp[[#This Row],[DEVELOPMENT]],Data[],52,FALSE)</f>
        <v>MIXED FINANCE/LLC1</v>
      </c>
      <c r="E68" s="197" t="str">
        <f>VLOOKUP(IntComp[[#This Row],[DEVELOPMENT]],Data[],8,FALSE)</f>
        <v>Zone 2</v>
      </c>
      <c r="F68" s="197">
        <f>VLOOKUP(IntComp[[#This Row],[DEVELOPMENT]],all[[DEVELOPMENT]:[MRST Ext. Comp. Priority]],13,FALSE)</f>
        <v>2</v>
      </c>
      <c r="G68" s="197">
        <f>IF(VLOOKUP(IntComp[[#This Row],[DEVELOPMENT]],Data[],9,FALSE)=0,5,VLOOKUP(IntComp[[#This Row],[DEVELOPMENT]],Data[],9,FALSE))</f>
        <v>4</v>
      </c>
      <c r="H68" s="197">
        <f>VLOOKUP(IntComp[[#This Row],[DEVELOPMENT]],Data[],7,FALSE)</f>
        <v>1272</v>
      </c>
      <c r="I68" s="197">
        <f>VLOOKUP(IntComp[[#This Row],[DEVELOPMENT]],Data[],5,FALSE)</f>
        <v>6</v>
      </c>
      <c r="J68" s="197"/>
      <c r="K68" s="197" t="str">
        <f ca="1">IFERROR(VLOOKUP(IntComp[[#This Row],[DEVELOPMENT]],Data[],4,FALSE),"")</f>
        <v>2026+</v>
      </c>
      <c r="L68" s="197" t="str">
        <f ca="1">IF(IntComp[[#This Row],[RAD/PACT]]="","",IF(OR(IntComp[[#This Row],[RAD/PACT]]="2022-2025",IntComp[[#This Row],[RAD/PACT]]=2019,IntComp[[#This Row],[RAD/PACT]]="2020-2021"),"Yes",""))</f>
        <v/>
      </c>
      <c r="M68" s="196">
        <f ca="1">IF(VLOOKUP(IntComp[[#This Row],[DEVELOPMENT]],Data[],10,FALSE)=0,-1,DATEDIF(VLOOKUP(IntComp[[#This Row],[DEVELOPMENT]],Data[],12,FALSE),TODAY(),"Y"))</f>
        <v>10</v>
      </c>
      <c r="N68" s="196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68" s="196"/>
      <c r="P68" s="196"/>
      <c r="Q68" s="196"/>
      <c r="R68" s="198">
        <f ca="1">(IntComp[[#This Row],['# to Replace (MRST)]]*INDEX(UnitCosts[#All],MATCH(IntComp[[#This Row],[WORK TYPE]],UnitCosts[Work Type],0)+1,2))*(1+((IntComp[[#This Row],[est. Year]]-YEAR(TODAY()))*$R$2))</f>
        <v>0</v>
      </c>
      <c r="S68" s="196">
        <f ca="1">SUM(INDEX(IntComp['# to Replace (MRST)],1):IntComp[[#This Row],['# to Replace (MRST)]])-272</f>
        <v>69</v>
      </c>
      <c r="T68" s="196"/>
      <c r="U68" s="196">
        <f ca="1">IF(ISBLANK(IntComp[[#This Row],[CALENDAR YEAR]]),ROUNDDOWN(IntComp[[#This Row],[Count]]/190,0)+$U$1,IntComp[[#This Row],[CALENDAR YEAR]])</f>
        <v>2021</v>
      </c>
      <c r="V68" s="199">
        <f t="shared" ca="1" si="1"/>
        <v>4505393.8125</v>
      </c>
      <c r="X68"/>
    </row>
    <row r="69" spans="1:24" ht="14.25" customHeight="1">
      <c r="A69" s="1" t="s">
        <v>90</v>
      </c>
      <c r="B69" s="1" t="str">
        <f>VLOOKUP(A69,Data[],2,FALSE)</f>
        <v>MANHATTAN</v>
      </c>
      <c r="C69" s="9" t="s">
        <v>106</v>
      </c>
      <c r="D69" s="9" t="str">
        <f>VLOOKUP(IntComp[[#This Row],[DEVELOPMENT]],Data[],52,FALSE)</f>
        <v>FEDERAL</v>
      </c>
      <c r="E69" s="9" t="str">
        <f>VLOOKUP(IntComp[[#This Row],[DEVELOPMENT]],Data[],8,FALSE)</f>
        <v>Zone 2</v>
      </c>
      <c r="F69" s="9">
        <f>VLOOKUP(IntComp[[#This Row],[DEVELOPMENT]],all[[DEVELOPMENT]:[MRST Ext. Comp. Priority]],13,FALSE)</f>
        <v>2</v>
      </c>
      <c r="G69" s="9">
        <f>IF(VLOOKUP(IntComp[[#This Row],[DEVELOPMENT]],Data[],9,FALSE)=0,5,VLOOKUP(IntComp[[#This Row],[DEVELOPMENT]],Data[],9,FALSE))</f>
        <v>4</v>
      </c>
      <c r="H69" s="9">
        <f>VLOOKUP(IntComp[[#This Row],[DEVELOPMENT]],Data[],7,FALSE)</f>
        <v>271</v>
      </c>
      <c r="I69" s="9">
        <f>VLOOKUP(IntComp[[#This Row],[DEVELOPMENT]],Data[],5,FALSE)</f>
        <v>3</v>
      </c>
      <c r="J69" s="9"/>
      <c r="K69" s="9" t="str">
        <f ca="1">IFERROR(VLOOKUP(IntComp[[#This Row],[DEVELOPMENT]],Data[],4,FALSE),"")</f>
        <v>2026+</v>
      </c>
      <c r="L69" s="9" t="str">
        <f ca="1">IF(IntComp[[#This Row],[RAD/PACT]]="","",IF(OR(IntComp[[#This Row],[RAD/PACT]]="2022-2025",IntComp[[#This Row],[RAD/PACT]]=2019,IntComp[[#This Row],[RAD/PACT]]="2020-2021"),"Yes",""))</f>
        <v/>
      </c>
      <c r="M69" s="1">
        <f ca="1">IF(VLOOKUP(IntComp[[#This Row],[DEVELOPMENT]],Data[],10,FALSE)=0,-1,DATEDIF(VLOOKUP(IntComp[[#This Row],[DEVELOPMENT]],Data[],12,FALSE),TODAY(),"Y"))</f>
        <v>20</v>
      </c>
      <c r="N69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69" s="1"/>
      <c r="P69" s="1"/>
      <c r="Q69" s="1"/>
      <c r="R69" s="47">
        <f ca="1">(IntComp[[#This Row],['# to Replace (MRST)]]*INDEX(UnitCosts[#All],MATCH(IntComp[[#This Row],[WORK TYPE]],UnitCosts[Work Type],0)+1,2))*(1+((IntComp[[#This Row],[est. Year]]-YEAR(TODAY()))*$R$2))</f>
        <v>195886.68749999997</v>
      </c>
      <c r="S69" s="1">
        <f ca="1">SUM(INDEX(IntComp['# to Replace (MRST)],1):IntComp[[#This Row],['# to Replace (MRST)]])-272</f>
        <v>72</v>
      </c>
      <c r="T69" s="1"/>
      <c r="U69" s="1">
        <f ca="1">IF(ISBLANK(IntComp[[#This Row],[CALENDAR YEAR]]),ROUNDDOWN(IntComp[[#This Row],[Count]]/190,0)+$U$1,IntComp[[#This Row],[CALENDAR YEAR]])</f>
        <v>2021</v>
      </c>
      <c r="V69" s="3">
        <f t="shared" ca="1" si="1"/>
        <v>4701280.5</v>
      </c>
      <c r="W69" s="51"/>
      <c r="X69"/>
    </row>
    <row r="70" spans="1:24" ht="14.25" customHeight="1">
      <c r="A70" s="1" t="s">
        <v>293</v>
      </c>
      <c r="B70" s="9" t="str">
        <f>VLOOKUP(A70,Data[],2,FALSE)</f>
        <v>BRONX</v>
      </c>
      <c r="C70" s="9" t="s">
        <v>106</v>
      </c>
      <c r="D70" s="9" t="str">
        <f>VLOOKUP(IntComp[[#This Row],[DEVELOPMENT]],Data[],52,FALSE)</f>
        <v>FEDERAL</v>
      </c>
      <c r="E70" s="50">
        <f>VLOOKUP(IntComp[[#This Row],[DEVELOPMENT]],Data[],8,FALSE)</f>
        <v>0</v>
      </c>
      <c r="F70" s="50">
        <f>VLOOKUP(IntComp[[#This Row],[DEVELOPMENT]],all[[DEVELOPMENT]:[MRST Ext. Comp. Priority]],13,FALSE)</f>
        <v>2</v>
      </c>
      <c r="G70" s="50">
        <f>IF(VLOOKUP(IntComp[[#This Row],[DEVELOPMENT]],Data[],9,FALSE)=0,5,VLOOKUP(IntComp[[#This Row],[DEVELOPMENT]],Data[],9,FALSE))</f>
        <v>5</v>
      </c>
      <c r="H70" s="50">
        <f>VLOOKUP(IntComp[[#This Row],[DEVELOPMENT]],Data[],7,FALSE)</f>
        <v>65</v>
      </c>
      <c r="I70" s="50">
        <f>VLOOKUP(IntComp[[#This Row],[DEVELOPMENT]],Data[],5,FALSE)</f>
        <v>1</v>
      </c>
      <c r="J70" s="50"/>
      <c r="K70" s="50" t="str">
        <f ca="1">IFERROR(VLOOKUP(IntComp[[#This Row],[DEVELOPMENT]],Data[],4,FALSE),"")</f>
        <v>2022-2025</v>
      </c>
      <c r="L70" s="50" t="str">
        <f ca="1">IF(IntComp[[#This Row],[RAD/PACT]]="","",IF(OR(IntComp[[#This Row],[RAD/PACT]]="2022-2025",IntComp[[#This Row],[RAD/PACT]]=2019,IntComp[[#This Row],[RAD/PACT]]="2020-2021"),"Yes",""))</f>
        <v>Yes</v>
      </c>
      <c r="M70" s="51">
        <f ca="1">IF(VLOOKUP(IntComp[[#This Row],[DEVELOPMENT]],Data[],10,FALSE)=0,-1,DATEDIF(VLOOKUP(IntComp[[#This Row],[DEVELOPMENT]],Data[],12,FALSE),TODAY(),"Y"))</f>
        <v>36</v>
      </c>
      <c r="N7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70" s="51"/>
      <c r="P70" s="51"/>
      <c r="Q70" s="51"/>
      <c r="R70" s="47">
        <f ca="1">(IntComp[[#This Row],['# to Replace (MRST)]]*INDEX(UnitCosts[#All],MATCH(IntComp[[#This Row],[WORK TYPE]],UnitCosts[Work Type],0)+1,2))*(1+((IntComp[[#This Row],[est. Year]]-YEAR(TODAY()))*$R$2))</f>
        <v>0</v>
      </c>
      <c r="S70" s="1">
        <f ca="1">SUM(INDEX(IntComp['# to Replace (MRST)],1):IntComp[[#This Row],['# to Replace (MRST)]])-272</f>
        <v>72</v>
      </c>
      <c r="T70" s="51"/>
      <c r="U70" s="51">
        <f ca="1">IF(ISBLANK(IntComp[[#This Row],[CALENDAR YEAR]]),ROUNDDOWN(IntComp[[#This Row],[Count]]/190,0)+$U$1,IntComp[[#This Row],[CALENDAR YEAR]])</f>
        <v>2021</v>
      </c>
      <c r="V70" s="85">
        <f t="shared" ref="V70:V133" ca="1" si="2">IF(U70=U69,R70+V69,R70)</f>
        <v>4701280.5</v>
      </c>
      <c r="W70" s="51"/>
      <c r="X70"/>
    </row>
    <row r="71" spans="1:24" ht="14.25" customHeight="1">
      <c r="A71" s="1" t="s">
        <v>352</v>
      </c>
      <c r="B71" s="9" t="str">
        <f>VLOOKUP(A71,Data[],2,FALSE)</f>
        <v>BROOKLYN</v>
      </c>
      <c r="C71" s="9" t="s">
        <v>106</v>
      </c>
      <c r="D71" s="9" t="str">
        <f>VLOOKUP(IntComp[[#This Row],[DEVELOPMENT]],Data[],52,FALSE)</f>
        <v>FEDERAL</v>
      </c>
      <c r="E71" s="50">
        <f>VLOOKUP(IntComp[[#This Row],[DEVELOPMENT]],Data[],8,FALSE)</f>
        <v>0</v>
      </c>
      <c r="F71" s="50">
        <f>VLOOKUP(IntComp[[#This Row],[DEVELOPMENT]],all[[DEVELOPMENT]:[MRST Ext. Comp. Priority]],13,FALSE)</f>
        <v>3</v>
      </c>
      <c r="G71" s="50">
        <f>IF(VLOOKUP(IntComp[[#This Row],[DEVELOPMENT]],Data[],9,FALSE)=0,5,VLOOKUP(IntComp[[#This Row],[DEVELOPMENT]],Data[],9,FALSE))</f>
        <v>5</v>
      </c>
      <c r="H71" s="50">
        <f>VLOOKUP(IntComp[[#This Row],[DEVELOPMENT]],Data[],7,FALSE)</f>
        <v>134</v>
      </c>
      <c r="I71" s="50">
        <f>VLOOKUP(IntComp[[#This Row],[DEVELOPMENT]],Data[],5,FALSE)</f>
        <v>9</v>
      </c>
      <c r="J71" s="50"/>
      <c r="K71" s="50" t="str">
        <f ca="1">IFERROR(VLOOKUP(IntComp[[#This Row],[DEVELOPMENT]],Data[],4,FALSE),"")</f>
        <v>2022-2025</v>
      </c>
      <c r="L71" s="50" t="str">
        <f ca="1">IF(IntComp[[#This Row],[RAD/PACT]]="","",IF(OR(IntComp[[#This Row],[RAD/PACT]]="2022-2025",IntComp[[#This Row],[RAD/PACT]]=2019,IntComp[[#This Row],[RAD/PACT]]="2020-2021"),"Yes",""))</f>
        <v>Yes</v>
      </c>
      <c r="M71" s="51">
        <f ca="1">IF(VLOOKUP(IntComp[[#This Row],[DEVELOPMENT]],Data[],10,FALSE)=0,-1,DATEDIF(VLOOKUP(IntComp[[#This Row],[DEVELOPMENT]],Data[],12,FALSE),TODAY(),"Y"))</f>
        <v>35</v>
      </c>
      <c r="N7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71" s="51"/>
      <c r="P71" s="51"/>
      <c r="Q71" s="51"/>
      <c r="R71" s="47">
        <f ca="1">(IntComp[[#This Row],['# to Replace (MRST)]]*INDEX(UnitCosts[#All],MATCH(IntComp[[#This Row],[WORK TYPE]],UnitCosts[Work Type],0)+1,2))*(1+((IntComp[[#This Row],[est. Year]]-YEAR(TODAY()))*$R$2))</f>
        <v>0</v>
      </c>
      <c r="S71" s="1">
        <f ca="1">SUM(INDEX(IntComp['# to Replace (MRST)],1):IntComp[[#This Row],['# to Replace (MRST)]])-272</f>
        <v>72</v>
      </c>
      <c r="T71" s="51"/>
      <c r="U71" s="51">
        <f ca="1">IF(ISBLANK(IntComp[[#This Row],[CALENDAR YEAR]]),ROUNDDOWN(IntComp[[#This Row],[Count]]/190,0)+$U$1,IntComp[[#This Row],[CALENDAR YEAR]])</f>
        <v>2021</v>
      </c>
      <c r="V71" s="85">
        <f t="shared" ca="1" si="2"/>
        <v>4701280.5</v>
      </c>
      <c r="W71" s="71"/>
      <c r="X71"/>
    </row>
    <row r="72" spans="1:24" ht="14.25" customHeight="1">
      <c r="A72" s="1" t="s">
        <v>369</v>
      </c>
      <c r="B72" s="9" t="str">
        <f>VLOOKUP(A72,Data[],2,FALSE)</f>
        <v>BROOKLYN</v>
      </c>
      <c r="C72" s="9" t="s">
        <v>106</v>
      </c>
      <c r="D72" s="9" t="str">
        <f>VLOOKUP(IntComp[[#This Row],[DEVELOPMENT]],Data[],52,FALSE)</f>
        <v>FEDERAL</v>
      </c>
      <c r="E72" s="50">
        <f>VLOOKUP(IntComp[[#This Row],[DEVELOPMENT]],Data[],8,FALSE)</f>
        <v>0</v>
      </c>
      <c r="F72" s="50">
        <f>VLOOKUP(IntComp[[#This Row],[DEVELOPMENT]],all[[DEVELOPMENT]:[MRST Ext. Comp. Priority]],13,FALSE)</f>
        <v>4</v>
      </c>
      <c r="G72" s="50">
        <f>IF(VLOOKUP(IntComp[[#This Row],[DEVELOPMENT]],Data[],9,FALSE)=0,5,VLOOKUP(IntComp[[#This Row],[DEVELOPMENT]],Data[],9,FALSE))</f>
        <v>5</v>
      </c>
      <c r="H72" s="50">
        <f>VLOOKUP(IntComp[[#This Row],[DEVELOPMENT]],Data[],7,FALSE)</f>
        <v>155</v>
      </c>
      <c r="I72" s="50">
        <f>VLOOKUP(IntComp[[#This Row],[DEVELOPMENT]],Data[],5,FALSE)</f>
        <v>8</v>
      </c>
      <c r="J72" s="50"/>
      <c r="K72" s="50" t="str">
        <f ca="1">IFERROR(VLOOKUP(IntComp[[#This Row],[DEVELOPMENT]],Data[],4,FALSE),"")</f>
        <v>2020-2021</v>
      </c>
      <c r="L72" s="50" t="str">
        <f ca="1">IF(IntComp[[#This Row],[RAD/PACT]]="","",IF(OR(IntComp[[#This Row],[RAD/PACT]]="2022-2025",IntComp[[#This Row],[RAD/PACT]]=2019,IntComp[[#This Row],[RAD/PACT]]="2020-2021"),"Yes",""))</f>
        <v>Yes</v>
      </c>
      <c r="M72" s="51">
        <f ca="1">IF(VLOOKUP(IntComp[[#This Row],[DEVELOPMENT]],Data[],10,FALSE)=0,-1,DATEDIF(VLOOKUP(IntComp[[#This Row],[DEVELOPMENT]],Data[],12,FALSE),TODAY(),"Y"))</f>
        <v>35</v>
      </c>
      <c r="N7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72" s="51"/>
      <c r="P72" s="51"/>
      <c r="Q72" s="51"/>
      <c r="R72" s="47">
        <f ca="1">(IntComp[[#This Row],['# to Replace (MRST)]]*INDEX(UnitCosts[#All],MATCH(IntComp[[#This Row],[WORK TYPE]],UnitCosts[Work Type],0)+1,2))*(1+((IntComp[[#This Row],[est. Year]]-YEAR(TODAY()))*$R$2))</f>
        <v>0</v>
      </c>
      <c r="S72" s="1">
        <f ca="1">SUM(INDEX(IntComp['# to Replace (MRST)],1):IntComp[[#This Row],['# to Replace (MRST)]])-272</f>
        <v>72</v>
      </c>
      <c r="T72" s="51"/>
      <c r="U72" s="51">
        <f ca="1">IF(ISBLANK(IntComp[[#This Row],[CALENDAR YEAR]]),ROUNDDOWN(IntComp[[#This Row],[Count]]/190,0)+$U$1,IntComp[[#This Row],[CALENDAR YEAR]])</f>
        <v>2021</v>
      </c>
      <c r="V72" s="85">
        <f t="shared" ca="1" si="2"/>
        <v>4701280.5</v>
      </c>
      <c r="W72" s="71"/>
      <c r="X72"/>
    </row>
    <row r="73" spans="1:24" ht="14.25" customHeight="1">
      <c r="A73" s="1" t="s">
        <v>350</v>
      </c>
      <c r="B73" s="9" t="str">
        <f>VLOOKUP(A73,Data[],2,FALSE)</f>
        <v>BROOKLYN</v>
      </c>
      <c r="C73" s="9" t="s">
        <v>106</v>
      </c>
      <c r="D73" s="9" t="str">
        <f>VLOOKUP(IntComp[[#This Row],[DEVELOPMENT]],Data[],52,FALSE)</f>
        <v>FEDERAL</v>
      </c>
      <c r="E73" s="50">
        <f>VLOOKUP(IntComp[[#This Row],[DEVELOPMENT]],Data[],8,FALSE)</f>
        <v>0</v>
      </c>
      <c r="F73" s="50">
        <f>VLOOKUP(IntComp[[#This Row],[DEVELOPMENT]],all[[DEVELOPMENT]:[MRST Ext. Comp. Priority]],13,FALSE)</f>
        <v>2</v>
      </c>
      <c r="G73" s="50">
        <f>IF(VLOOKUP(IntComp[[#This Row],[DEVELOPMENT]],Data[],9,FALSE)=0,5,VLOOKUP(IntComp[[#This Row],[DEVELOPMENT]],Data[],9,FALSE))</f>
        <v>5</v>
      </c>
      <c r="H73" s="50">
        <f>VLOOKUP(IntComp[[#This Row],[DEVELOPMENT]],Data[],7,FALSE)</f>
        <v>125</v>
      </c>
      <c r="I73" s="50">
        <f>VLOOKUP(IntComp[[#This Row],[DEVELOPMENT]],Data[],5,FALSE)</f>
        <v>5</v>
      </c>
      <c r="J73" s="50"/>
      <c r="K73" s="50" t="str">
        <f ca="1">IFERROR(VLOOKUP(IntComp[[#This Row],[DEVELOPMENT]],Data[],4,FALSE),"")</f>
        <v>2022-2025</v>
      </c>
      <c r="L73" s="50" t="str">
        <f ca="1">IF(IntComp[[#This Row],[RAD/PACT]]="","",IF(OR(IntComp[[#This Row],[RAD/PACT]]="2022-2025",IntComp[[#This Row],[RAD/PACT]]=2019,IntComp[[#This Row],[RAD/PACT]]="2020-2021"),"Yes",""))</f>
        <v>Yes</v>
      </c>
      <c r="M73" s="51">
        <f ca="1">IF(VLOOKUP(IntComp[[#This Row],[DEVELOPMENT]],Data[],10,FALSE)=0,-1,DATEDIF(VLOOKUP(IntComp[[#This Row],[DEVELOPMENT]],Data[],12,FALSE),TODAY(),"Y"))</f>
        <v>34</v>
      </c>
      <c r="N7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73" s="51"/>
      <c r="P73" s="51"/>
      <c r="Q73" s="51"/>
      <c r="R73" s="47">
        <f ca="1">(IntComp[[#This Row],['# to Replace (MRST)]]*INDEX(UnitCosts[#All],MATCH(IntComp[[#This Row],[WORK TYPE]],UnitCosts[Work Type],0)+1,2))*(1+((IntComp[[#This Row],[est. Year]]-YEAR(TODAY()))*$R$2))</f>
        <v>0</v>
      </c>
      <c r="S73" s="1">
        <f ca="1">SUM(INDEX(IntComp['# to Replace (MRST)],1):IntComp[[#This Row],['# to Replace (MRST)]])-272</f>
        <v>72</v>
      </c>
      <c r="T73" s="51"/>
      <c r="U73" s="51">
        <f ca="1">IF(ISBLANK(IntComp[[#This Row],[CALENDAR YEAR]]),ROUNDDOWN(IntComp[[#This Row],[Count]]/190,0)+$U$1,IntComp[[#This Row],[CALENDAR YEAR]])</f>
        <v>2021</v>
      </c>
      <c r="V73" s="85">
        <f t="shared" ca="1" si="2"/>
        <v>4701280.5</v>
      </c>
      <c r="W73" s="51"/>
      <c r="X73"/>
    </row>
    <row r="74" spans="1:24" ht="14.25" customHeight="1">
      <c r="A74" s="1" t="s">
        <v>340</v>
      </c>
      <c r="B74" s="9" t="str">
        <f>VLOOKUP(A74,Data[],2,FALSE)</f>
        <v>BROOKLYN</v>
      </c>
      <c r="C74" s="9" t="s">
        <v>106</v>
      </c>
      <c r="D74" s="9" t="str">
        <f>VLOOKUP(IntComp[[#This Row],[DEVELOPMENT]],Data[],52,FALSE)</f>
        <v>FEDERAL</v>
      </c>
      <c r="E74" s="50">
        <f>VLOOKUP(IntComp[[#This Row],[DEVELOPMENT]],Data[],8,FALSE)</f>
        <v>0</v>
      </c>
      <c r="F74" s="50">
        <f>VLOOKUP(IntComp[[#This Row],[DEVELOPMENT]],all[[DEVELOPMENT]:[MRST Ext. Comp. Priority]],13,FALSE)</f>
        <v>3</v>
      </c>
      <c r="G74" s="50">
        <f>IF(VLOOKUP(IntComp[[#This Row],[DEVELOPMENT]],Data[],9,FALSE)=0,5,VLOOKUP(IntComp[[#This Row],[DEVELOPMENT]],Data[],9,FALSE))</f>
        <v>5</v>
      </c>
      <c r="H74" s="50">
        <f>VLOOKUP(IntComp[[#This Row],[DEVELOPMENT]],Data[],7,FALSE)</f>
        <v>74</v>
      </c>
      <c r="I74" s="50">
        <f>VLOOKUP(IntComp[[#This Row],[DEVELOPMENT]],Data[],5,FALSE)</f>
        <v>3</v>
      </c>
      <c r="J74" s="50"/>
      <c r="K74" s="50" t="str">
        <f ca="1">IFERROR(VLOOKUP(IntComp[[#This Row],[DEVELOPMENT]],Data[],4,FALSE),"")</f>
        <v>2020-2021</v>
      </c>
      <c r="L74" s="50" t="str">
        <f ca="1">IF(IntComp[[#This Row],[RAD/PACT]]="","",IF(OR(IntComp[[#This Row],[RAD/PACT]]="2022-2025",IntComp[[#This Row],[RAD/PACT]]=2019,IntComp[[#This Row],[RAD/PACT]]="2020-2021"),"Yes",""))</f>
        <v>Yes</v>
      </c>
      <c r="M74" s="51">
        <f ca="1">IF(VLOOKUP(IntComp[[#This Row],[DEVELOPMENT]],Data[],10,FALSE)=0,-1,DATEDIF(VLOOKUP(IntComp[[#This Row],[DEVELOPMENT]],Data[],12,FALSE),TODAY(),"Y"))</f>
        <v>34</v>
      </c>
      <c r="N7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74" s="51"/>
      <c r="P74" s="51"/>
      <c r="Q74" s="51"/>
      <c r="R74" s="47">
        <f ca="1">(IntComp[[#This Row],['# to Replace (MRST)]]*INDEX(UnitCosts[#All],MATCH(IntComp[[#This Row],[WORK TYPE]],UnitCosts[Work Type],0)+1,2))*(1+((IntComp[[#This Row],[est. Year]]-YEAR(TODAY()))*$R$2))</f>
        <v>0</v>
      </c>
      <c r="S74" s="1">
        <f ca="1">SUM(INDEX(IntComp['# to Replace (MRST)],1):IntComp[[#This Row],['# to Replace (MRST)]])-272</f>
        <v>72</v>
      </c>
      <c r="T74" s="51"/>
      <c r="U74" s="51">
        <f ca="1">IF(ISBLANK(IntComp[[#This Row],[CALENDAR YEAR]]),ROUNDDOWN(IntComp[[#This Row],[Count]]/190,0)+$U$1,IntComp[[#This Row],[CALENDAR YEAR]])</f>
        <v>2021</v>
      </c>
      <c r="V74" s="85">
        <f t="shared" ca="1" si="2"/>
        <v>4701280.5</v>
      </c>
      <c r="W74" s="71"/>
      <c r="X74"/>
    </row>
    <row r="75" spans="1:24">
      <c r="A75" s="1" t="s">
        <v>314</v>
      </c>
      <c r="B75" s="9" t="str">
        <f>VLOOKUP(A75,Data[],2,FALSE)</f>
        <v>BROOKLYN</v>
      </c>
      <c r="C75" s="9" t="s">
        <v>106</v>
      </c>
      <c r="D75" s="9" t="str">
        <f>VLOOKUP(IntComp[[#This Row],[DEVELOPMENT]],Data[],52,FALSE)</f>
        <v>FEDERAL</v>
      </c>
      <c r="E75" s="50" t="str">
        <f>VLOOKUP(IntComp[[#This Row],[DEVELOPMENT]],Data[],8,FALSE)</f>
        <v>Zone 4</v>
      </c>
      <c r="F75" s="50">
        <f>VLOOKUP(IntComp[[#This Row],[DEVELOPMENT]],all[[DEVELOPMENT]:[MRST Ext. Comp. Priority]],13,FALSE)</f>
        <v>3</v>
      </c>
      <c r="G75" s="50">
        <f>IF(VLOOKUP(IntComp[[#This Row],[DEVELOPMENT]],Data[],9,FALSE)=0,5,VLOOKUP(IntComp[[#This Row],[DEVELOPMENT]],Data[],9,FALSE))</f>
        <v>5</v>
      </c>
      <c r="H75" s="50">
        <f>VLOOKUP(IntComp[[#This Row],[DEVELOPMENT]],Data[],7,FALSE)</f>
        <v>121</v>
      </c>
      <c r="I75" s="50">
        <f>VLOOKUP(IntComp[[#This Row],[DEVELOPMENT]],Data[],5,FALSE)</f>
        <v>8</v>
      </c>
      <c r="J75" s="50"/>
      <c r="K75" s="50" t="str">
        <f ca="1">IFERROR(VLOOKUP(IntComp[[#This Row],[DEVELOPMENT]],Data[],4,FALSE),"")</f>
        <v>2022-2025</v>
      </c>
      <c r="L75" s="50" t="str">
        <f ca="1">IF(IntComp[[#This Row],[RAD/PACT]]="","",IF(OR(IntComp[[#This Row],[RAD/PACT]]="2022-2025",IntComp[[#This Row],[RAD/PACT]]=2019,IntComp[[#This Row],[RAD/PACT]]="2020-2021"),"Yes",""))</f>
        <v>Yes</v>
      </c>
      <c r="M75" s="51">
        <f ca="1">IF(VLOOKUP(IntComp[[#This Row],[DEVELOPMENT]],Data[],10,FALSE)=0,-1,DATEDIF(VLOOKUP(IntComp[[#This Row],[DEVELOPMENT]],Data[],12,FALSE),TODAY(),"Y"))</f>
        <v>34</v>
      </c>
      <c r="N7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75" s="51"/>
      <c r="P75" s="51"/>
      <c r="Q75" s="51"/>
      <c r="R75" s="47">
        <f ca="1">(IntComp[[#This Row],['# to Replace (MRST)]]*INDEX(UnitCosts[#All],MATCH(IntComp[[#This Row],[WORK TYPE]],UnitCosts[Work Type],0)+1,2))*(1+((IntComp[[#This Row],[est. Year]]-YEAR(TODAY()))*$R$2))</f>
        <v>0</v>
      </c>
      <c r="S75" s="1">
        <f ca="1">SUM(INDEX(IntComp['# to Replace (MRST)],1):IntComp[[#This Row],['# to Replace (MRST)]])-272</f>
        <v>72</v>
      </c>
      <c r="T75" s="51"/>
      <c r="U75" s="51">
        <f ca="1">IF(ISBLANK(IntComp[[#This Row],[CALENDAR YEAR]]),ROUNDDOWN(IntComp[[#This Row],[Count]]/190,0)+$U$1,IntComp[[#This Row],[CALENDAR YEAR]])</f>
        <v>2021</v>
      </c>
      <c r="V75" s="85">
        <f t="shared" ca="1" si="2"/>
        <v>4701280.5</v>
      </c>
      <c r="W75" s="71"/>
      <c r="X75"/>
    </row>
    <row r="76" spans="1:24">
      <c r="A76" s="1" t="s">
        <v>303</v>
      </c>
      <c r="B76" s="9" t="str">
        <f>VLOOKUP(A76,Data[],2,FALSE)</f>
        <v>BROOKLYN</v>
      </c>
      <c r="C76" s="9" t="s">
        <v>106</v>
      </c>
      <c r="D76" s="9" t="str">
        <f>VLOOKUP(IntComp[[#This Row],[DEVELOPMENT]],Data[],52,FALSE)</f>
        <v>FEDERAL</v>
      </c>
      <c r="E76" s="50">
        <f>VLOOKUP(IntComp[[#This Row],[DEVELOPMENT]],Data[],8,FALSE)</f>
        <v>0</v>
      </c>
      <c r="F76" s="50">
        <f>VLOOKUP(IntComp[[#This Row],[DEVELOPMENT]],all[[DEVELOPMENT]:[MRST Ext. Comp. Priority]],13,FALSE)</f>
        <v>2</v>
      </c>
      <c r="G76" s="50">
        <f>IF(VLOOKUP(IntComp[[#This Row],[DEVELOPMENT]],Data[],9,FALSE)=0,5,VLOOKUP(IntComp[[#This Row],[DEVELOPMENT]],Data[],9,FALSE))</f>
        <v>5</v>
      </c>
      <c r="H76" s="50">
        <f>VLOOKUP(IntComp[[#This Row],[DEVELOPMENT]],Data[],7,FALSE)</f>
        <v>150</v>
      </c>
      <c r="I76" s="50">
        <f>VLOOKUP(IntComp[[#This Row],[DEVELOPMENT]],Data[],5,FALSE)</f>
        <v>4</v>
      </c>
      <c r="J76" s="50"/>
      <c r="K76" s="50">
        <f ca="1">IFERROR(VLOOKUP(IntComp[[#This Row],[DEVELOPMENT]],Data[],4,FALSE),"")</f>
        <v>2019</v>
      </c>
      <c r="L76" s="50" t="str">
        <f ca="1">IF(IntComp[[#This Row],[RAD/PACT]]="","",IF(OR(IntComp[[#This Row],[RAD/PACT]]="2022-2025",IntComp[[#This Row],[RAD/PACT]]=2019,IntComp[[#This Row],[RAD/PACT]]="2020-2021"),"Yes",""))</f>
        <v>Yes</v>
      </c>
      <c r="M76" s="51">
        <f ca="1">IF(VLOOKUP(IntComp[[#This Row],[DEVELOPMENT]],Data[],10,FALSE)=0,-1,DATEDIF(VLOOKUP(IntComp[[#This Row],[DEVELOPMENT]],Data[],12,FALSE),TODAY(),"Y"))</f>
        <v>30</v>
      </c>
      <c r="N7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76" s="51"/>
      <c r="P76" s="51"/>
      <c r="Q76" s="51"/>
      <c r="R76" s="47">
        <f ca="1">(IntComp[[#This Row],['# to Replace (MRST)]]*INDEX(UnitCosts[#All],MATCH(IntComp[[#This Row],[WORK TYPE]],UnitCosts[Work Type],0)+1,2))*(1+((IntComp[[#This Row],[est. Year]]-YEAR(TODAY()))*$R$2))</f>
        <v>0</v>
      </c>
      <c r="S76" s="1">
        <f ca="1">SUM(INDEX(IntComp['# to Replace (MRST)],1):IntComp[[#This Row],['# to Replace (MRST)]])-272</f>
        <v>72</v>
      </c>
      <c r="T76" s="51"/>
      <c r="U76" s="51">
        <f ca="1">IF(ISBLANK(IntComp[[#This Row],[CALENDAR YEAR]]),ROUNDDOWN(IntComp[[#This Row],[Count]]/190,0)+$U$1,IntComp[[#This Row],[CALENDAR YEAR]])</f>
        <v>2021</v>
      </c>
      <c r="V76" s="85">
        <f t="shared" ca="1" si="2"/>
        <v>4701280.5</v>
      </c>
      <c r="W76" s="51"/>
      <c r="X76"/>
    </row>
    <row r="77" spans="1:24">
      <c r="A77" s="1" t="s">
        <v>136</v>
      </c>
      <c r="B77" s="1" t="str">
        <f>VLOOKUP(A77,Data[],2,FALSE)</f>
        <v>MANHATTAN</v>
      </c>
      <c r="C77" s="9" t="s">
        <v>106</v>
      </c>
      <c r="D77" s="9" t="str">
        <f>VLOOKUP(IntComp[[#This Row],[DEVELOPMENT]],Data[],52,FALSE)</f>
        <v>FEDERAL</v>
      </c>
      <c r="E77" s="9" t="str">
        <f>VLOOKUP(IntComp[[#This Row],[DEVELOPMENT]],Data[],8,FALSE)</f>
        <v>Zone 2</v>
      </c>
      <c r="F77" s="9">
        <f>VLOOKUP(IntComp[[#This Row],[DEVELOPMENT]],all[[DEVELOPMENT]:[MRST Ext. Comp. Priority]],13,FALSE)</f>
        <v>2</v>
      </c>
      <c r="G77" s="9">
        <f>IF(VLOOKUP(IntComp[[#This Row],[DEVELOPMENT]],Data[],9,FALSE)=0,5,VLOOKUP(IntComp[[#This Row],[DEVELOPMENT]],Data[],9,FALSE))</f>
        <v>4</v>
      </c>
      <c r="H77" s="9">
        <f>VLOOKUP(IntComp[[#This Row],[DEVELOPMENT]],Data[],7,FALSE)</f>
        <v>1525</v>
      </c>
      <c r="I77" s="9">
        <f>VLOOKUP(IntComp[[#This Row],[DEVELOPMENT]],Data[],5,FALSE)</f>
        <v>13</v>
      </c>
      <c r="J77" s="9"/>
      <c r="K77" s="9" t="str">
        <f ca="1">IFERROR(VLOOKUP(IntComp[[#This Row],[DEVELOPMENT]],Data[],4,FALSE),"")</f>
        <v>2026+</v>
      </c>
      <c r="L77" s="9" t="str">
        <f ca="1">IF(IntComp[[#This Row],[RAD/PACT]]="","",IF(OR(IntComp[[#This Row],[RAD/PACT]]="2022-2025",IntComp[[#This Row],[RAD/PACT]]=2019,IntComp[[#This Row],[RAD/PACT]]="2020-2021"),"Yes",""))</f>
        <v/>
      </c>
      <c r="M77" s="1">
        <f ca="1">IF(VLOOKUP(IntComp[[#This Row],[DEVELOPMENT]],Data[],10,FALSE)=0,-1,DATEDIF(VLOOKUP(IntComp[[#This Row],[DEVELOPMENT]],Data[],12,FALSE),TODAY(),"Y"))</f>
        <v>20</v>
      </c>
      <c r="N77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14</v>
      </c>
      <c r="O77" s="1"/>
      <c r="P77" s="1"/>
      <c r="Q77" s="1"/>
      <c r="R77" s="47">
        <f ca="1">(IntComp[[#This Row],['# to Replace (MRST)]]*INDEX(UnitCosts[#All],MATCH(IntComp[[#This Row],[WORK TYPE]],UnitCosts[Work Type],0)+1,2))*(1+((IntComp[[#This Row],[est. Year]]-YEAR(TODAY()))*$R$2))</f>
        <v>914137.87499999988</v>
      </c>
      <c r="S77" s="1">
        <f ca="1">SUM(INDEX(IntComp['# to Replace (MRST)],1):IntComp[[#This Row],['# to Replace (MRST)]])-272</f>
        <v>86</v>
      </c>
      <c r="T77" s="1"/>
      <c r="U77" s="1">
        <f ca="1">IF(ISBLANK(IntComp[[#This Row],[CALENDAR YEAR]]),ROUNDDOWN(IntComp[[#This Row],[Count]]/190,0)+$U$1,IntComp[[#This Row],[CALENDAR YEAR]])</f>
        <v>2021</v>
      </c>
      <c r="V77" s="3">
        <f t="shared" ca="1" si="2"/>
        <v>5615418.375</v>
      </c>
      <c r="W77" s="51"/>
      <c r="X77"/>
    </row>
    <row r="78" spans="1:24" hidden="1">
      <c r="A78" s="192" t="s">
        <v>282</v>
      </c>
      <c r="B78" s="197" t="str">
        <f>VLOOKUP(A78,Data[],2,FALSE)</f>
        <v>MANHATTAN</v>
      </c>
      <c r="C78" s="197" t="s">
        <v>106</v>
      </c>
      <c r="D78" s="197" t="str">
        <f>VLOOKUP(IntComp[[#This Row],[DEVELOPMENT]],Data[],52,FALSE)</f>
        <v>MIXED FINANCE/LLC2</v>
      </c>
      <c r="E78" s="201">
        <f>VLOOKUP(IntComp[[#This Row],[DEVELOPMENT]],Data[],8,FALSE)</f>
        <v>0</v>
      </c>
      <c r="F78" s="201">
        <f>VLOOKUP(IntComp[[#This Row],[DEVELOPMENT]],all[[DEVELOPMENT]:[MRST Ext. Comp. Priority]],13,FALSE)</f>
        <v>2</v>
      </c>
      <c r="G78" s="201">
        <f>IF(VLOOKUP(IntComp[[#This Row],[DEVELOPMENT]],Data[],9,FALSE)=0,5,VLOOKUP(IntComp[[#This Row],[DEVELOPMENT]],Data[],9,FALSE))</f>
        <v>5</v>
      </c>
      <c r="H78" s="201">
        <f>VLOOKUP(IntComp[[#This Row],[DEVELOPMENT]],Data[],7,FALSE)</f>
        <v>225</v>
      </c>
      <c r="I78" s="201">
        <f>VLOOKUP(IntComp[[#This Row],[DEVELOPMENT]],Data[],5,FALSE)</f>
        <v>1</v>
      </c>
      <c r="J78" s="201"/>
      <c r="K78" s="201" t="str">
        <f ca="1">IFERROR(VLOOKUP(IntComp[[#This Row],[DEVELOPMENT]],Data[],4,FALSE),"")</f>
        <v>2020-2021</v>
      </c>
      <c r="L78" s="201" t="str">
        <f ca="1">IF(IntComp[[#This Row],[RAD/PACT]]="","",IF(OR(IntComp[[#This Row],[RAD/PACT]]="2022-2025",IntComp[[#This Row],[RAD/PACT]]=2019,IntComp[[#This Row],[RAD/PACT]]="2020-2021"),"Yes",""))</f>
        <v>Yes</v>
      </c>
      <c r="M78" s="202">
        <f ca="1">IF(VLOOKUP(IntComp[[#This Row],[DEVELOPMENT]],Data[],10,FALSE)=0,-1,DATEDIF(VLOOKUP(IntComp[[#This Row],[DEVELOPMENT]],Data[],12,FALSE),TODAY(),"Y"))</f>
        <v>24</v>
      </c>
      <c r="N78" s="202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78" s="202"/>
      <c r="P78" s="202"/>
      <c r="Q78" s="202"/>
      <c r="R78" s="198">
        <f ca="1">(IntComp[[#This Row],['# to Replace (MRST)]]*INDEX(UnitCosts[#All],MATCH(IntComp[[#This Row],[WORK TYPE]],UnitCosts[Work Type],0)+1,2))*(1+((IntComp[[#This Row],[est. Year]]-YEAR(TODAY()))*$R$2))</f>
        <v>0</v>
      </c>
      <c r="S78" s="196">
        <f ca="1">SUM(INDEX(IntComp['# to Replace (MRST)],1):IntComp[[#This Row],['# to Replace (MRST)]])-272</f>
        <v>86</v>
      </c>
      <c r="T78" s="202"/>
      <c r="U78" s="202">
        <f ca="1">IF(ISBLANK(IntComp[[#This Row],[CALENDAR YEAR]]),ROUNDDOWN(IntComp[[#This Row],[Count]]/190,0)+$U$1,IntComp[[#This Row],[CALENDAR YEAR]])</f>
        <v>2021</v>
      </c>
      <c r="V78" s="203">
        <f t="shared" ca="1" si="2"/>
        <v>5615418.375</v>
      </c>
      <c r="X78"/>
    </row>
    <row r="79" spans="1:24">
      <c r="A79" s="1" t="s">
        <v>355</v>
      </c>
      <c r="B79" s="9" t="str">
        <f>VLOOKUP(A79,Data[],2,FALSE)</f>
        <v>BROOKLYN</v>
      </c>
      <c r="C79" s="9" t="s">
        <v>106</v>
      </c>
      <c r="D79" s="9" t="str">
        <f>VLOOKUP(IntComp[[#This Row],[DEVELOPMENT]],Data[],52,FALSE)</f>
        <v>FEDERAL</v>
      </c>
      <c r="E79" s="50">
        <f>VLOOKUP(IntComp[[#This Row],[DEVELOPMENT]],Data[],8,FALSE)</f>
        <v>0</v>
      </c>
      <c r="F79" s="50">
        <f>VLOOKUP(IntComp[[#This Row],[DEVELOPMENT]],all[[DEVELOPMENT]:[MRST Ext. Comp. Priority]],13,FALSE)</f>
        <v>2</v>
      </c>
      <c r="G79" s="50">
        <f>IF(VLOOKUP(IntComp[[#This Row],[DEVELOPMENT]],Data[],9,FALSE)=0,5,VLOOKUP(IntComp[[#This Row],[DEVELOPMENT]],Data[],9,FALSE))</f>
        <v>5</v>
      </c>
      <c r="H79" s="50">
        <f>VLOOKUP(IntComp[[#This Row],[DEVELOPMENT]],Data[],7,FALSE)</f>
        <v>118</v>
      </c>
      <c r="I79" s="50">
        <f>VLOOKUP(IntComp[[#This Row],[DEVELOPMENT]],Data[],5,FALSE)</f>
        <v>5</v>
      </c>
      <c r="J79" s="50"/>
      <c r="K79" s="50" t="str">
        <f ca="1">IFERROR(VLOOKUP(IntComp[[#This Row],[DEVELOPMENT]],Data[],4,FALSE),"")</f>
        <v>2020-2021</v>
      </c>
      <c r="L79" s="50" t="str">
        <f ca="1">IF(IntComp[[#This Row],[RAD/PACT]]="","",IF(OR(IntComp[[#This Row],[RAD/PACT]]="2022-2025",IntComp[[#This Row],[RAD/PACT]]=2019,IntComp[[#This Row],[RAD/PACT]]="2020-2021"),"Yes",""))</f>
        <v>Yes</v>
      </c>
      <c r="M79" s="51">
        <f ca="1">IF(VLOOKUP(IntComp[[#This Row],[DEVELOPMENT]],Data[],10,FALSE)=0,-1,DATEDIF(VLOOKUP(IntComp[[#This Row],[DEVELOPMENT]],Data[],12,FALSE),TODAY(),"Y"))</f>
        <v>29</v>
      </c>
      <c r="N7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79" s="51"/>
      <c r="P79" s="51"/>
      <c r="Q79" s="51"/>
      <c r="R79" s="47">
        <f ca="1">(IntComp[[#This Row],['# to Replace (MRST)]]*INDEX(UnitCosts[#All],MATCH(IntComp[[#This Row],[WORK TYPE]],UnitCosts[Work Type],0)+1,2))*(1+((IntComp[[#This Row],[est. Year]]-YEAR(TODAY()))*$R$2))</f>
        <v>0</v>
      </c>
      <c r="S79" s="1">
        <f ca="1">SUM(INDEX(IntComp['# to Replace (MRST)],1):IntComp[[#This Row],['# to Replace (MRST)]])-272</f>
        <v>86</v>
      </c>
      <c r="T79" s="51"/>
      <c r="U79" s="51">
        <f ca="1">IF(ISBLANK(IntComp[[#This Row],[CALENDAR YEAR]]),ROUNDDOWN(IntComp[[#This Row],[Count]]/190,0)+$U$1,IntComp[[#This Row],[CALENDAR YEAR]])</f>
        <v>2021</v>
      </c>
      <c r="V79" s="85">
        <f t="shared" ca="1" si="2"/>
        <v>5615418.375</v>
      </c>
      <c r="W79" s="51"/>
      <c r="X79"/>
    </row>
    <row r="80" spans="1:24">
      <c r="A80" s="1" t="s">
        <v>111</v>
      </c>
      <c r="B80" s="1" t="str">
        <f>VLOOKUP(A80,Data[],2,FALSE)</f>
        <v>MANHATTAN</v>
      </c>
      <c r="C80" s="9" t="s">
        <v>106</v>
      </c>
      <c r="D80" s="9" t="str">
        <f>VLOOKUP(IntComp[[#This Row],[DEVELOPMENT]],Data[],52,FALSE)</f>
        <v>FEDERAL</v>
      </c>
      <c r="E80" s="9" t="str">
        <f>VLOOKUP(IntComp[[#This Row],[DEVELOPMENT]],Data[],8,FALSE)</f>
        <v>Zone 3</v>
      </c>
      <c r="F80" s="9">
        <f>VLOOKUP(IntComp[[#This Row],[DEVELOPMENT]],all[[DEVELOPMENT]:[MRST Ext. Comp. Priority]],13,FALSE)</f>
        <v>2</v>
      </c>
      <c r="G80" s="9">
        <f>IF(VLOOKUP(IntComp[[#This Row],[DEVELOPMENT]],Data[],9,FALSE)=0,5,VLOOKUP(IntComp[[#This Row],[DEVELOPMENT]],Data[],9,FALSE))</f>
        <v>4</v>
      </c>
      <c r="H80" s="9">
        <f>VLOOKUP(IntComp[[#This Row],[DEVELOPMENT]],Data[],7,FALSE)</f>
        <v>944</v>
      </c>
      <c r="I80" s="9">
        <f>VLOOKUP(IntComp[[#This Row],[DEVELOPMENT]],Data[],5,FALSE)</f>
        <v>11</v>
      </c>
      <c r="J80" s="9"/>
      <c r="K80" s="9" t="str">
        <f ca="1">IFERROR(VLOOKUP(IntComp[[#This Row],[DEVELOPMENT]],Data[],4,FALSE),"")</f>
        <v/>
      </c>
      <c r="L80" s="9" t="str">
        <f ca="1">IF(IntComp[[#This Row],[RAD/PACT]]="","",IF(OR(IntComp[[#This Row],[RAD/PACT]]="2022-2025",IntComp[[#This Row],[RAD/PACT]]=2019,IntComp[[#This Row],[RAD/PACT]]="2020-2021"),"Yes",""))</f>
        <v/>
      </c>
      <c r="M80" s="1">
        <f ca="1">IF(VLOOKUP(IntComp[[#This Row],[DEVELOPMENT]],Data[],10,FALSE)=0,-1,DATEDIF(VLOOKUP(IntComp[[#This Row],[DEVELOPMENT]],Data[],12,FALSE),TODAY(),"Y"))</f>
        <v>18</v>
      </c>
      <c r="N8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19</v>
      </c>
      <c r="O80" s="1"/>
      <c r="P80" s="1"/>
      <c r="Q80" s="1"/>
      <c r="R80" s="47">
        <f ca="1">(IntComp[[#This Row],['# to Replace (MRST)]]*INDEX(UnitCosts[#All],MATCH(IntComp[[#This Row],[WORK TYPE]],UnitCosts[Work Type],0)+1,2))*(1+((IntComp[[#This Row],[est. Year]]-YEAR(TODAY()))*$R$2))</f>
        <v>1240615.6875</v>
      </c>
      <c r="S80" s="1">
        <f ca="1">SUM(INDEX(IntComp['# to Replace (MRST)],1):IntComp[[#This Row],['# to Replace (MRST)]])-272</f>
        <v>105</v>
      </c>
      <c r="T80" s="1"/>
      <c r="U80" s="1">
        <f ca="1">IF(ISBLANK(IntComp[[#This Row],[CALENDAR YEAR]]),ROUNDDOWN(IntComp[[#This Row],[Count]]/190,0)+$U$1,IntComp[[#This Row],[CALENDAR YEAR]])</f>
        <v>2021</v>
      </c>
      <c r="V80" s="3">
        <f t="shared" ca="1" si="2"/>
        <v>6856034.0625</v>
      </c>
      <c r="W80" s="51"/>
      <c r="X80"/>
    </row>
    <row r="81" spans="1:24">
      <c r="A81" s="1" t="s">
        <v>256</v>
      </c>
      <c r="B81" s="9" t="str">
        <f>VLOOKUP(A81,Data[],2,FALSE)</f>
        <v>BROOKLYN</v>
      </c>
      <c r="C81" s="9" t="s">
        <v>106</v>
      </c>
      <c r="D81" s="9" t="str">
        <f>VLOOKUP(IntComp[[#This Row],[DEVELOPMENT]],Data[],52,FALSE)</f>
        <v>FEDERAL</v>
      </c>
      <c r="E81" s="50">
        <f>VLOOKUP(IntComp[[#This Row],[DEVELOPMENT]],Data[],8,FALSE)</f>
        <v>0</v>
      </c>
      <c r="F81" s="50">
        <f>VLOOKUP(IntComp[[#This Row],[DEVELOPMENT]],all[[DEVELOPMENT]:[MRST Ext. Comp. Priority]],13,FALSE)</f>
        <v>3</v>
      </c>
      <c r="G81" s="50">
        <f>IF(VLOOKUP(IntComp[[#This Row],[DEVELOPMENT]],Data[],9,FALSE)=0,5,VLOOKUP(IntComp[[#This Row],[DEVELOPMENT]],Data[],9,FALSE))</f>
        <v>5</v>
      </c>
      <c r="H81" s="50">
        <f>VLOOKUP(IntComp[[#This Row],[DEVELOPMENT]],Data[],7,FALSE)</f>
        <v>125</v>
      </c>
      <c r="I81" s="50">
        <f>VLOOKUP(IntComp[[#This Row],[DEVELOPMENT]],Data[],5,FALSE)</f>
        <v>7</v>
      </c>
      <c r="J81" s="50"/>
      <c r="K81" s="50" t="str">
        <f ca="1">IFERROR(VLOOKUP(IntComp[[#This Row],[DEVELOPMENT]],Data[],4,FALSE),"")</f>
        <v>2022-2025</v>
      </c>
      <c r="L81" s="50" t="str">
        <f ca="1">IF(IntComp[[#This Row],[RAD/PACT]]="","",IF(OR(IntComp[[#This Row],[RAD/PACT]]="2022-2025",IntComp[[#This Row],[RAD/PACT]]=2019,IntComp[[#This Row],[RAD/PACT]]="2020-2021"),"Yes",""))</f>
        <v>Yes</v>
      </c>
      <c r="M81" s="51">
        <f ca="1">IF(VLOOKUP(IntComp[[#This Row],[DEVELOPMENT]],Data[],10,FALSE)=0,-1,DATEDIF(VLOOKUP(IntComp[[#This Row],[DEVELOPMENT]],Data[],12,FALSE),TODAY(),"Y"))</f>
        <v>30</v>
      </c>
      <c r="N8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81" s="51"/>
      <c r="P81" s="51"/>
      <c r="Q81" s="51"/>
      <c r="R81" s="47">
        <f ca="1">(IntComp[[#This Row],['# to Replace (MRST)]]*INDEX(UnitCosts[#All],MATCH(IntComp[[#This Row],[WORK TYPE]],UnitCosts[Work Type],0)+1,2))*(1+((IntComp[[#This Row],[est. Year]]-YEAR(TODAY()))*$R$2))</f>
        <v>0</v>
      </c>
      <c r="S81" s="1">
        <f ca="1">SUM(INDEX(IntComp['# to Replace (MRST)],1):IntComp[[#This Row],['# to Replace (MRST)]])-272</f>
        <v>105</v>
      </c>
      <c r="T81" s="51"/>
      <c r="U81" s="51">
        <f ca="1">IF(ISBLANK(IntComp[[#This Row],[CALENDAR YEAR]]),ROUNDDOWN(IntComp[[#This Row],[Count]]/190,0)+$U$1,IntComp[[#This Row],[CALENDAR YEAR]])</f>
        <v>2021</v>
      </c>
      <c r="V81" s="85">
        <f t="shared" ca="1" si="2"/>
        <v>6856034.0625</v>
      </c>
      <c r="W81" s="71"/>
      <c r="X81"/>
    </row>
    <row r="82" spans="1:24">
      <c r="A82" s="1" t="s">
        <v>366</v>
      </c>
      <c r="B82" s="9" t="str">
        <f>VLOOKUP(A82,Data[],2,FALSE)</f>
        <v>BROOKLYN</v>
      </c>
      <c r="C82" s="9" t="s">
        <v>106</v>
      </c>
      <c r="D82" s="9" t="str">
        <f>VLOOKUP(IntComp[[#This Row],[DEVELOPMENT]],Data[],52,FALSE)</f>
        <v>FEDERAL</v>
      </c>
      <c r="E82" s="50">
        <f>VLOOKUP(IntComp[[#This Row],[DEVELOPMENT]],Data[],8,FALSE)</f>
        <v>0</v>
      </c>
      <c r="F82" s="50">
        <f>VLOOKUP(IntComp[[#This Row],[DEVELOPMENT]],all[[DEVELOPMENT]:[MRST Ext. Comp. Priority]],13,FALSE)</f>
        <v>4</v>
      </c>
      <c r="G82" s="50">
        <f>IF(VLOOKUP(IntComp[[#This Row],[DEVELOPMENT]],Data[],9,FALSE)=0,5,VLOOKUP(IntComp[[#This Row],[DEVELOPMENT]],Data[],9,FALSE))</f>
        <v>5</v>
      </c>
      <c r="H82" s="50">
        <f>VLOOKUP(IntComp[[#This Row],[DEVELOPMENT]],Data[],7,FALSE)</f>
        <v>83</v>
      </c>
      <c r="I82" s="50">
        <f>VLOOKUP(IntComp[[#This Row],[DEVELOPMENT]],Data[],5,FALSE)</f>
        <v>5</v>
      </c>
      <c r="J82" s="50"/>
      <c r="K82" s="50" t="str">
        <f ca="1">IFERROR(VLOOKUP(IntComp[[#This Row],[DEVELOPMENT]],Data[],4,FALSE),"")</f>
        <v>2022-2025</v>
      </c>
      <c r="L82" s="50" t="str">
        <f ca="1">IF(IntComp[[#This Row],[RAD/PACT]]="","",IF(OR(IntComp[[#This Row],[RAD/PACT]]="2022-2025",IntComp[[#This Row],[RAD/PACT]]=2019,IntComp[[#This Row],[RAD/PACT]]="2020-2021"),"Yes",""))</f>
        <v>Yes</v>
      </c>
      <c r="M82" s="51">
        <f ca="1">IF(VLOOKUP(IntComp[[#This Row],[DEVELOPMENT]],Data[],10,FALSE)=0,-1,DATEDIF(VLOOKUP(IntComp[[#This Row],[DEVELOPMENT]],Data[],12,FALSE),TODAY(),"Y"))</f>
        <v>30</v>
      </c>
      <c r="N8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82" s="51"/>
      <c r="P82" s="51"/>
      <c r="Q82" s="51"/>
      <c r="R82" s="47">
        <f ca="1">(IntComp[[#This Row],['# to Replace (MRST)]]*INDEX(UnitCosts[#All],MATCH(IntComp[[#This Row],[WORK TYPE]],UnitCosts[Work Type],0)+1,2))*(1+((IntComp[[#This Row],[est. Year]]-YEAR(TODAY()))*$R$2))</f>
        <v>0</v>
      </c>
      <c r="S82" s="1">
        <f ca="1">SUM(INDEX(IntComp['# to Replace (MRST)],1):IntComp[[#This Row],['# to Replace (MRST)]])-272</f>
        <v>105</v>
      </c>
      <c r="T82" s="51"/>
      <c r="U82" s="51">
        <f ca="1">IF(ISBLANK(IntComp[[#This Row],[CALENDAR YEAR]]),ROUNDDOWN(IntComp[[#This Row],[Count]]/190,0)+$U$1,IntComp[[#This Row],[CALENDAR YEAR]])</f>
        <v>2021</v>
      </c>
      <c r="V82" s="85">
        <f t="shared" ca="1" si="2"/>
        <v>6856034.0625</v>
      </c>
      <c r="W82" s="71"/>
      <c r="X82"/>
    </row>
    <row r="83" spans="1:24">
      <c r="A83" s="1" t="s">
        <v>133</v>
      </c>
      <c r="B83" s="1" t="str">
        <f>VLOOKUP(A83,Data[],2,FALSE)</f>
        <v>MANHATTAN</v>
      </c>
      <c r="C83" s="9" t="s">
        <v>106</v>
      </c>
      <c r="D83" s="9" t="str">
        <f>VLOOKUP(IntComp[[#This Row],[DEVELOPMENT]],Data[],52,FALSE)</f>
        <v>FEDERAL</v>
      </c>
      <c r="E83" s="9" t="str">
        <f>VLOOKUP(IntComp[[#This Row],[DEVELOPMENT]],Data[],8,FALSE)</f>
        <v>Zone 2</v>
      </c>
      <c r="F83" s="9">
        <f>VLOOKUP(IntComp[[#This Row],[DEVELOPMENT]],all[[DEVELOPMENT]:[MRST Ext. Comp. Priority]],13,FALSE)</f>
        <v>2</v>
      </c>
      <c r="G83" s="9">
        <f>IF(VLOOKUP(IntComp[[#This Row],[DEVELOPMENT]],Data[],9,FALSE)=0,5,VLOOKUP(IntComp[[#This Row],[DEVELOPMENT]],Data[],9,FALSE))</f>
        <v>4</v>
      </c>
      <c r="H83" s="9">
        <f>VLOOKUP(IntComp[[#This Row],[DEVELOPMENT]],Data[],7,FALSE)</f>
        <v>1614</v>
      </c>
      <c r="I83" s="9">
        <f>VLOOKUP(IntComp[[#This Row],[DEVELOPMENT]],Data[],5,FALSE)</f>
        <v>4</v>
      </c>
      <c r="J83" s="9"/>
      <c r="K83" s="9" t="str">
        <f ca="1">IFERROR(VLOOKUP(IntComp[[#This Row],[DEVELOPMENT]],Data[],4,FALSE),"")</f>
        <v/>
      </c>
      <c r="L83" s="9" t="str">
        <f ca="1">IF(IntComp[[#This Row],[RAD/PACT]]="","",IF(OR(IntComp[[#This Row],[RAD/PACT]]="2022-2025",IntComp[[#This Row],[RAD/PACT]]=2019,IntComp[[#This Row],[RAD/PACT]]="2020-2021"),"Yes",""))</f>
        <v/>
      </c>
      <c r="M83" s="1">
        <f ca="1">IF(VLOOKUP(IntComp[[#This Row],[DEVELOPMENT]],Data[],10,FALSE)=0,-1,DATEDIF(VLOOKUP(IntComp[[#This Row],[DEVELOPMENT]],Data[],12,FALSE),TODAY(),"Y"))</f>
        <v>12</v>
      </c>
      <c r="N83" s="1">
        <v>0</v>
      </c>
      <c r="O83" s="1"/>
      <c r="P83" s="1"/>
      <c r="Q83" s="1"/>
      <c r="R83" s="47">
        <v>0</v>
      </c>
      <c r="S83" s="1">
        <f ca="1">SUM(INDEX(IntComp['# to Replace (MRST)],1):IntComp[[#This Row],['# to Replace (MRST)]])-272</f>
        <v>105</v>
      </c>
      <c r="T83" s="1"/>
      <c r="U83" s="1">
        <f ca="1">IF(ISBLANK(IntComp[[#This Row],[CALENDAR YEAR]]),ROUNDDOWN(IntComp[[#This Row],[Count]]/190,0)+$U$1,IntComp[[#This Row],[CALENDAR YEAR]])</f>
        <v>2021</v>
      </c>
      <c r="V83" s="3">
        <f t="shared" ca="1" si="2"/>
        <v>6856034.0625</v>
      </c>
      <c r="W83" s="51"/>
      <c r="X83"/>
    </row>
    <row r="84" spans="1:24">
      <c r="A84" s="1" t="s">
        <v>368</v>
      </c>
      <c r="B84" s="9" t="str">
        <f>VLOOKUP(A84,Data[],2,FALSE)</f>
        <v>BROOKLYN</v>
      </c>
      <c r="C84" s="9" t="s">
        <v>106</v>
      </c>
      <c r="D84" s="9" t="str">
        <f>VLOOKUP(IntComp[[#This Row],[DEVELOPMENT]],Data[],52,FALSE)</f>
        <v>FEDERAL</v>
      </c>
      <c r="E84" s="50">
        <f>VLOOKUP(IntComp[[#This Row],[DEVELOPMENT]],Data[],8,FALSE)</f>
        <v>0</v>
      </c>
      <c r="F84" s="50">
        <f>VLOOKUP(IntComp[[#This Row],[DEVELOPMENT]],all[[DEVELOPMENT]:[MRST Ext. Comp. Priority]],13,FALSE)</f>
        <v>2</v>
      </c>
      <c r="G84" s="50">
        <f>IF(VLOOKUP(IntComp[[#This Row],[DEVELOPMENT]],Data[],9,FALSE)=0,5,VLOOKUP(IntComp[[#This Row],[DEVELOPMENT]],Data[],9,FALSE))</f>
        <v>5</v>
      </c>
      <c r="H84" s="50">
        <f>VLOOKUP(IntComp[[#This Row],[DEVELOPMENT]],Data[],7,FALSE)</f>
        <v>100</v>
      </c>
      <c r="I84" s="50">
        <f>VLOOKUP(IntComp[[#This Row],[DEVELOPMENT]],Data[],5,FALSE)</f>
        <v>3</v>
      </c>
      <c r="J84" s="50"/>
      <c r="K84" s="50" t="str">
        <f ca="1">IFERROR(VLOOKUP(IntComp[[#This Row],[DEVELOPMENT]],Data[],4,FALSE),"")</f>
        <v>2020-2021</v>
      </c>
      <c r="L84" s="50" t="str">
        <f ca="1">IF(IntComp[[#This Row],[RAD/PACT]]="","",IF(OR(IntComp[[#This Row],[RAD/PACT]]="2022-2025",IntComp[[#This Row],[RAD/PACT]]=2019,IntComp[[#This Row],[RAD/PACT]]="2020-2021"),"Yes",""))</f>
        <v>Yes</v>
      </c>
      <c r="M84" s="51">
        <f ca="1">IF(VLOOKUP(IntComp[[#This Row],[DEVELOPMENT]],Data[],10,FALSE)=0,-1,DATEDIF(VLOOKUP(IntComp[[#This Row],[DEVELOPMENT]],Data[],12,FALSE),TODAY(),"Y"))</f>
        <v>26</v>
      </c>
      <c r="N8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84" s="51"/>
      <c r="P84" s="51"/>
      <c r="Q84" s="51"/>
      <c r="R84" s="47">
        <f ca="1">(IntComp[[#This Row],['# to Replace (MRST)]]*INDEX(UnitCosts[#All],MATCH(IntComp[[#This Row],[WORK TYPE]],UnitCosts[Work Type],0)+1,2))*(1+((IntComp[[#This Row],[est. Year]]-YEAR(TODAY()))*$R$2))</f>
        <v>0</v>
      </c>
      <c r="S84" s="1">
        <f ca="1">SUM(INDEX(IntComp['# to Replace (MRST)],1):IntComp[[#This Row],['# to Replace (MRST)]])-272</f>
        <v>105</v>
      </c>
      <c r="T84" s="51"/>
      <c r="U84" s="51">
        <f ca="1">IF(ISBLANK(IntComp[[#This Row],[CALENDAR YEAR]]),ROUNDDOWN(IntComp[[#This Row],[Count]]/190,0)+$U$1,IntComp[[#This Row],[CALENDAR YEAR]])</f>
        <v>2021</v>
      </c>
      <c r="V84" s="85">
        <f t="shared" ca="1" si="2"/>
        <v>6856034.0625</v>
      </c>
      <c r="W84" s="51"/>
      <c r="X84"/>
    </row>
    <row r="85" spans="1:24">
      <c r="A85" s="1" t="s">
        <v>294</v>
      </c>
      <c r="B85" s="9" t="str">
        <f>VLOOKUP(A85,Data[],2,FALSE)</f>
        <v>BROOKLYN</v>
      </c>
      <c r="C85" s="9" t="s">
        <v>106</v>
      </c>
      <c r="D85" s="9" t="str">
        <f>VLOOKUP(IntComp[[#This Row],[DEVELOPMENT]],Data[],52,FALSE)</f>
        <v>FEDERAL</v>
      </c>
      <c r="E85" s="50">
        <f>VLOOKUP(IntComp[[#This Row],[DEVELOPMENT]],Data[],8,FALSE)</f>
        <v>0</v>
      </c>
      <c r="F85" s="50">
        <f>VLOOKUP(IntComp[[#This Row],[DEVELOPMENT]],all[[DEVELOPMENT]:[MRST Ext. Comp. Priority]],13,FALSE)</f>
        <v>2</v>
      </c>
      <c r="G85" s="50">
        <f>IF(VLOOKUP(IntComp[[#This Row],[DEVELOPMENT]],Data[],9,FALSE)=0,5,VLOOKUP(IntComp[[#This Row],[DEVELOPMENT]],Data[],9,FALSE))</f>
        <v>5</v>
      </c>
      <c r="H85" s="50">
        <f>VLOOKUP(IntComp[[#This Row],[DEVELOPMENT]],Data[],7,FALSE)</f>
        <v>200</v>
      </c>
      <c r="I85" s="50">
        <f>VLOOKUP(IntComp[[#This Row],[DEVELOPMENT]],Data[],5,FALSE)</f>
        <v>1</v>
      </c>
      <c r="J85" s="50"/>
      <c r="K85" s="50">
        <f ca="1">IFERROR(VLOOKUP(IntComp[[#This Row],[DEVELOPMENT]],Data[],4,FALSE),"")</f>
        <v>2019</v>
      </c>
      <c r="L85" s="50" t="str">
        <f ca="1">IF(IntComp[[#This Row],[RAD/PACT]]="","",IF(OR(IntComp[[#This Row],[RAD/PACT]]="2022-2025",IntComp[[#This Row],[RAD/PACT]]=2019,IntComp[[#This Row],[RAD/PACT]]="2020-2021"),"Yes",""))</f>
        <v>Yes</v>
      </c>
      <c r="M85" s="51">
        <f ca="1">IF(VLOOKUP(IntComp[[#This Row],[DEVELOPMENT]],Data[],10,FALSE)=0,-1,DATEDIF(VLOOKUP(IntComp[[#This Row],[DEVELOPMENT]],Data[],12,FALSE),TODAY(),"Y"))</f>
        <v>26</v>
      </c>
      <c r="N8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85" s="51"/>
      <c r="P85" s="51"/>
      <c r="Q85" s="51"/>
      <c r="R85" s="47">
        <f ca="1">(IntComp[[#This Row],['# to Replace (MRST)]]*INDEX(UnitCosts[#All],MATCH(IntComp[[#This Row],[WORK TYPE]],UnitCosts[Work Type],0)+1,2))*(1+((IntComp[[#This Row],[est. Year]]-YEAR(TODAY()))*$R$2))</f>
        <v>0</v>
      </c>
      <c r="S85" s="1">
        <f ca="1">SUM(INDEX(IntComp['# to Replace (MRST)],1):IntComp[[#This Row],['# to Replace (MRST)]])-272</f>
        <v>105</v>
      </c>
      <c r="T85" s="51"/>
      <c r="U85" s="51">
        <f ca="1">IF(ISBLANK(IntComp[[#This Row],[CALENDAR YEAR]]),ROUNDDOWN(IntComp[[#This Row],[Count]]/190,0)+$U$1,IntComp[[#This Row],[CALENDAR YEAR]])</f>
        <v>2021</v>
      </c>
      <c r="V85" s="85">
        <f t="shared" ca="1" si="2"/>
        <v>6856034.0625</v>
      </c>
      <c r="W85" s="51"/>
      <c r="X85"/>
    </row>
    <row r="86" spans="1:24">
      <c r="A86" s="9" t="s">
        <v>58</v>
      </c>
      <c r="B86" s="1" t="str">
        <f>VLOOKUP(A86,Data[],2,FALSE)</f>
        <v>MANHATTAN</v>
      </c>
      <c r="C86" s="9" t="s">
        <v>106</v>
      </c>
      <c r="D86" s="9" t="str">
        <f>VLOOKUP(IntComp[[#This Row],[DEVELOPMENT]],Data[],52,FALSE)</f>
        <v>FEDERAL</v>
      </c>
      <c r="E86" s="9" t="str">
        <f>VLOOKUP(IntComp[[#This Row],[DEVELOPMENT]],Data[],8,FALSE)</f>
        <v>Zone 1</v>
      </c>
      <c r="F86" s="9">
        <f>VLOOKUP(IntComp[[#This Row],[DEVELOPMENT]],all[[DEVELOPMENT]:[MRST Ext. Comp. Priority]],13,FALSE)</f>
        <v>2</v>
      </c>
      <c r="G86" s="9">
        <f>IF(VLOOKUP(IntComp[[#This Row],[DEVELOPMENT]],Data[],9,FALSE)=0,5,VLOOKUP(IntComp[[#This Row],[DEVELOPMENT]],Data[],9,FALSE))</f>
        <v>4</v>
      </c>
      <c r="H86" s="9">
        <f>VLOOKUP(IntComp[[#This Row],[DEVELOPMENT]],Data[],7,FALSE)</f>
        <v>2193</v>
      </c>
      <c r="I86" s="9">
        <f>VLOOKUP(IntComp[[#This Row],[DEVELOPMENT]],Data[],5,FALSE)</f>
        <v>17</v>
      </c>
      <c r="J86" s="9"/>
      <c r="K86" s="9" t="str">
        <f ca="1">IFERROR(VLOOKUP(IntComp[[#This Row],[DEVELOPMENT]],Data[],4,FALSE),"")</f>
        <v/>
      </c>
      <c r="L86" s="9" t="str">
        <f ca="1">IF(IntComp[[#This Row],[RAD/PACT]]="","",IF(OR(IntComp[[#This Row],[RAD/PACT]]="2022-2025",IntComp[[#This Row],[RAD/PACT]]=2019,IntComp[[#This Row],[RAD/PACT]]="2020-2021"),"Yes",""))</f>
        <v/>
      </c>
      <c r="M86" s="1">
        <f ca="1">IF(VLOOKUP(IntComp[[#This Row],[DEVELOPMENT]],Data[],10,FALSE)=0,-1,DATEDIF(VLOOKUP(IntComp[[#This Row],[DEVELOPMENT]],Data[],12,FALSE),TODAY(),"Y"))</f>
        <v>10</v>
      </c>
      <c r="N86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17</v>
      </c>
      <c r="O86" s="1"/>
      <c r="P86" s="1"/>
      <c r="Q86" s="1"/>
      <c r="R86" s="47">
        <f ca="1">(IntComp[[#This Row],['# to Replace (MRST)]]*INDEX(UnitCosts[#All],MATCH(IntComp[[#This Row],[WORK TYPE]],UnitCosts[Work Type],0)+1,2))*(1+((IntComp[[#This Row],[est. Year]]-YEAR(TODAY()))*$R$2))</f>
        <v>1110024.5625</v>
      </c>
      <c r="S86" s="1">
        <f ca="1">SUM(INDEX(IntComp['# to Replace (MRST)],1):IntComp[[#This Row],['# to Replace (MRST)]])-272</f>
        <v>122</v>
      </c>
      <c r="T86" s="1"/>
      <c r="U86" s="1">
        <f ca="1">IF(ISBLANK(IntComp[[#This Row],[CALENDAR YEAR]]),ROUNDDOWN(IntComp[[#This Row],[Count]]/190,0)+$U$1,IntComp[[#This Row],[CALENDAR YEAR]])</f>
        <v>2021</v>
      </c>
      <c r="V86" s="3">
        <f t="shared" ca="1" si="2"/>
        <v>7966058.625</v>
      </c>
      <c r="W86" s="51"/>
      <c r="X86"/>
    </row>
    <row r="87" spans="1:24">
      <c r="A87" s="9" t="s">
        <v>48</v>
      </c>
      <c r="B87" s="1" t="str">
        <f>VLOOKUP(A87,Data[],2,FALSE)</f>
        <v>MANHATTAN</v>
      </c>
      <c r="C87" s="9" t="s">
        <v>106</v>
      </c>
      <c r="D87" s="9" t="str">
        <f>VLOOKUP(IntComp[[#This Row],[DEVELOPMENT]],Data[],52,FALSE)</f>
        <v>FEDERAL</v>
      </c>
      <c r="E87" s="9" t="str">
        <f>VLOOKUP(IntComp[[#This Row],[DEVELOPMENT]],Data[],8,FALSE)</f>
        <v>Zone 1</v>
      </c>
      <c r="F87" s="9">
        <f>VLOOKUP(IntComp[[#This Row],[DEVELOPMENT]],all[[DEVELOPMENT]:[MRST Ext. Comp. Priority]],13,FALSE)</f>
        <v>2</v>
      </c>
      <c r="G87" s="9">
        <f>IF(VLOOKUP(IntComp[[#This Row],[DEVELOPMENT]],Data[],9,FALSE)=0,5,VLOOKUP(IntComp[[#This Row],[DEVELOPMENT]],Data[],9,FALSE))</f>
        <v>4</v>
      </c>
      <c r="H87" s="9">
        <f>VLOOKUP(IntComp[[#This Row],[DEVELOPMENT]],Data[],7,FALSE)</f>
        <v>197</v>
      </c>
      <c r="I87" s="9">
        <f>VLOOKUP(IntComp[[#This Row],[DEVELOPMENT]],Data[],5,FALSE)</f>
        <v>1</v>
      </c>
      <c r="J87" s="9"/>
      <c r="K87" s="9" t="str">
        <f ca="1">IFERROR(VLOOKUP(IntComp[[#This Row],[DEVELOPMENT]],Data[],4,FALSE),"")</f>
        <v/>
      </c>
      <c r="L87" s="9" t="str">
        <f ca="1">IF(IntComp[[#This Row],[RAD/PACT]]="","",IF(OR(IntComp[[#This Row],[RAD/PACT]]="2022-2025",IntComp[[#This Row],[RAD/PACT]]=2019,IntComp[[#This Row],[RAD/PACT]]="2020-2021"),"Yes",""))</f>
        <v/>
      </c>
      <c r="M87" s="1">
        <f ca="1">IF(VLOOKUP(IntComp[[#This Row],[DEVELOPMENT]],Data[],10,FALSE)=0,-1,DATEDIF(VLOOKUP(IntComp[[#This Row],[DEVELOPMENT]],Data[],12,FALSE),TODAY(),"Y"))</f>
        <v>10</v>
      </c>
      <c r="N87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87" s="1"/>
      <c r="P87" s="1"/>
      <c r="Q87" s="1"/>
      <c r="R87" s="47">
        <f ca="1">(IntComp[[#This Row],['# to Replace (MRST)]]*INDEX(UnitCosts[#All],MATCH(IntComp[[#This Row],[WORK TYPE]],UnitCosts[Work Type],0)+1,2))*(1+((IntComp[[#This Row],[est. Year]]-YEAR(TODAY()))*$R$2))</f>
        <v>65295.562499999993</v>
      </c>
      <c r="S87" s="1">
        <f ca="1">SUM(INDEX(IntComp['# to Replace (MRST)],1):IntComp[[#This Row],['# to Replace (MRST)]])-272</f>
        <v>123</v>
      </c>
      <c r="T87" s="1"/>
      <c r="U87" s="1">
        <f ca="1">IF(ISBLANK(IntComp[[#This Row],[CALENDAR YEAR]]),ROUNDDOWN(IntComp[[#This Row],[Count]]/190,0)+$U$1,IntComp[[#This Row],[CALENDAR YEAR]])</f>
        <v>2021</v>
      </c>
      <c r="V87" s="3">
        <f t="shared" ca="1" si="2"/>
        <v>8031354.1875</v>
      </c>
      <c r="W87" s="51"/>
      <c r="X87"/>
    </row>
    <row r="88" spans="1:24">
      <c r="A88" s="1" t="s">
        <v>225</v>
      </c>
      <c r="B88" s="9" t="str">
        <f>VLOOKUP(A88,Data[],2,FALSE)</f>
        <v>BRONX</v>
      </c>
      <c r="C88" s="9" t="s">
        <v>106</v>
      </c>
      <c r="D88" s="9" t="str">
        <f>VLOOKUP(IntComp[[#This Row],[DEVELOPMENT]],Data[],52,FALSE)</f>
        <v>FEDERAL</v>
      </c>
      <c r="E88" s="50">
        <f>VLOOKUP(IntComp[[#This Row],[DEVELOPMENT]],Data[],8,FALSE)</f>
        <v>0</v>
      </c>
      <c r="F88" s="50">
        <f>VLOOKUP(IntComp[[#This Row],[DEVELOPMENT]],all[[DEVELOPMENT]:[MRST Ext. Comp. Priority]],13,FALSE)</f>
        <v>4</v>
      </c>
      <c r="G88" s="50">
        <f>IF(VLOOKUP(IntComp[[#This Row],[DEVELOPMENT]],Data[],9,FALSE)=0,5,VLOOKUP(IntComp[[#This Row],[DEVELOPMENT]],Data[],9,FALSE))</f>
        <v>5</v>
      </c>
      <c r="H88" s="50">
        <f>VLOOKUP(IntComp[[#This Row],[DEVELOPMENT]],Data[],7,FALSE)</f>
        <v>287</v>
      </c>
      <c r="I88" s="50">
        <f>VLOOKUP(IntComp[[#This Row],[DEVELOPMENT]],Data[],5,FALSE)</f>
        <v>4</v>
      </c>
      <c r="J88" s="50"/>
      <c r="K88" s="50" t="str">
        <f ca="1">IFERROR(VLOOKUP(IntComp[[#This Row],[DEVELOPMENT]],Data[],4,FALSE),"")</f>
        <v>2020-2021</v>
      </c>
      <c r="L88" s="50" t="str">
        <f ca="1">IF(IntComp[[#This Row],[RAD/PACT]]="","",IF(OR(IntComp[[#This Row],[RAD/PACT]]="2022-2025",IntComp[[#This Row],[RAD/PACT]]=2019,IntComp[[#This Row],[RAD/PACT]]="2020-2021"),"Yes",""))</f>
        <v>Yes</v>
      </c>
      <c r="M88" s="51">
        <f ca="1">IF(VLOOKUP(IntComp[[#This Row],[DEVELOPMENT]],Data[],10,FALSE)=0,-1,DATEDIF(VLOOKUP(IntComp[[#This Row],[DEVELOPMENT]],Data[],12,FALSE),TODAY(),"Y"))</f>
        <v>26</v>
      </c>
      <c r="N8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88" s="51"/>
      <c r="P88" s="51"/>
      <c r="Q88" s="51"/>
      <c r="R88" s="47">
        <f ca="1">(IntComp[[#This Row],['# to Replace (MRST)]]*INDEX(UnitCosts[#All],MATCH(IntComp[[#This Row],[WORK TYPE]],UnitCosts[Work Type],0)+1,2))*(1+((IntComp[[#This Row],[est. Year]]-YEAR(TODAY()))*$R$2))</f>
        <v>0</v>
      </c>
      <c r="S88" s="1">
        <f ca="1">SUM(INDEX(IntComp['# to Replace (MRST)],1):IntComp[[#This Row],['# to Replace (MRST)]])-272</f>
        <v>123</v>
      </c>
      <c r="T88" s="51"/>
      <c r="U88" s="51">
        <f ca="1">IF(ISBLANK(IntComp[[#This Row],[CALENDAR YEAR]]),ROUNDDOWN(IntComp[[#This Row],[Count]]/190,0)+$U$1,IntComp[[#This Row],[CALENDAR YEAR]])</f>
        <v>2021</v>
      </c>
      <c r="V88" s="85">
        <f t="shared" ca="1" si="2"/>
        <v>8031354.1875</v>
      </c>
      <c r="W88" s="71"/>
      <c r="X88"/>
    </row>
    <row r="89" spans="1:24">
      <c r="A89" s="1" t="s">
        <v>194</v>
      </c>
      <c r="B89" s="9" t="str">
        <f>VLOOKUP(A89,Data[],2,FALSE)</f>
        <v>QUEENS</v>
      </c>
      <c r="C89" s="9" t="s">
        <v>106</v>
      </c>
      <c r="D89" s="9" t="str">
        <f>VLOOKUP(IntComp[[#This Row],[DEVELOPMENT]],Data[],52,FALSE)</f>
        <v>FEDERAL</v>
      </c>
      <c r="E89" s="50">
        <f>VLOOKUP(IntComp[[#This Row],[DEVELOPMENT]],Data[],8,FALSE)</f>
        <v>0</v>
      </c>
      <c r="F89" s="50">
        <f>VLOOKUP(IntComp[[#This Row],[DEVELOPMENT]],all[[DEVELOPMENT]:[MRST Ext. Comp. Priority]],13,FALSE)</f>
        <v>1</v>
      </c>
      <c r="G89" s="50">
        <f>IF(VLOOKUP(IntComp[[#This Row],[DEVELOPMENT]],Data[],9,FALSE)=0,5,VLOOKUP(IntComp[[#This Row],[DEVELOPMENT]],Data[],9,FALSE))</f>
        <v>5</v>
      </c>
      <c r="H89" s="50">
        <f>VLOOKUP(IntComp[[#This Row],[DEVELOPMENT]],Data[],7,FALSE)</f>
        <v>599</v>
      </c>
      <c r="I89" s="50">
        <f>VLOOKUP(IntComp[[#This Row],[DEVELOPMENT]],Data[],5,FALSE)</f>
        <v>9</v>
      </c>
      <c r="J89" s="50"/>
      <c r="K89" s="50" t="str">
        <f ca="1">IFERROR(VLOOKUP(IntComp[[#This Row],[DEVELOPMENT]],Data[],4,FALSE),"")</f>
        <v>2020-2021</v>
      </c>
      <c r="L89" s="50" t="str">
        <f ca="1">IF(IntComp[[#This Row],[RAD/PACT]]="","",IF(OR(IntComp[[#This Row],[RAD/PACT]]="2022-2025",IntComp[[#This Row],[RAD/PACT]]=2019,IntComp[[#This Row],[RAD/PACT]]="2020-2021"),"Yes",""))</f>
        <v>Yes</v>
      </c>
      <c r="M89" s="51">
        <f ca="1">IF(VLOOKUP(IntComp[[#This Row],[DEVELOPMENT]],Data[],10,FALSE)=0,-1,DATEDIF(VLOOKUP(IntComp[[#This Row],[DEVELOPMENT]],Data[],12,FALSE),TODAY(),"Y"))</f>
        <v>24</v>
      </c>
      <c r="N8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89" s="51"/>
      <c r="P89" s="51"/>
      <c r="Q89" s="51"/>
      <c r="R89" s="47">
        <f ca="1">(IntComp[[#This Row],['# to Replace (MRST)]]*INDEX(UnitCosts[#All],MATCH(IntComp[[#This Row],[WORK TYPE]],UnitCosts[Work Type],0)+1,2))*(1+((IntComp[[#This Row],[est. Year]]-YEAR(TODAY()))*$R$2))</f>
        <v>0</v>
      </c>
      <c r="S89" s="1">
        <f ca="1">SUM(INDEX(IntComp['# to Replace (MRST)],1):IntComp[[#This Row],['# to Replace (MRST)]])-272</f>
        <v>123</v>
      </c>
      <c r="T89" s="51"/>
      <c r="U89" s="51">
        <f ca="1">IF(ISBLANK(IntComp[[#This Row],[CALENDAR YEAR]]),ROUNDDOWN(IntComp[[#This Row],[Count]]/190,0)+$U$1,IntComp[[#This Row],[CALENDAR YEAR]])</f>
        <v>2021</v>
      </c>
      <c r="V89" s="85">
        <f t="shared" ca="1" si="2"/>
        <v>8031354.1875</v>
      </c>
      <c r="W89" s="51"/>
      <c r="X89"/>
    </row>
    <row r="90" spans="1:24" hidden="1">
      <c r="A90" s="193" t="s">
        <v>341</v>
      </c>
      <c r="B90" s="95" t="str">
        <f>VLOOKUP(A90,Data[],2,FALSE)</f>
        <v>BROOKLYN</v>
      </c>
      <c r="C90" s="95" t="s">
        <v>106</v>
      </c>
      <c r="D90" s="95" t="str">
        <f>VLOOKUP(IntComp[[#This Row],[DEVELOPMENT]],Data[],52,FALSE)</f>
        <v>MIXED FINANCE/LLC2</v>
      </c>
      <c r="E90" s="204">
        <f>VLOOKUP(IntComp[[#This Row],[DEVELOPMENT]],Data[],8,FALSE)</f>
        <v>0</v>
      </c>
      <c r="F90" s="204">
        <f>VLOOKUP(IntComp[[#This Row],[DEVELOPMENT]],all[[DEVELOPMENT]:[MRST Ext. Comp. Priority]],13,FALSE)</f>
        <v>2</v>
      </c>
      <c r="G90" s="204">
        <f>IF(VLOOKUP(IntComp[[#This Row],[DEVELOPMENT]],Data[],9,FALSE)=0,5,VLOOKUP(IntComp[[#This Row],[DEVELOPMENT]],Data[],9,FALSE))</f>
        <v>5</v>
      </c>
      <c r="H90" s="204">
        <f>VLOOKUP(IntComp[[#This Row],[DEVELOPMENT]],Data[],7,FALSE)</f>
        <v>1586</v>
      </c>
      <c r="I90" s="204">
        <f>VLOOKUP(IntComp[[#This Row],[DEVELOPMENT]],Data[],5,FALSE)</f>
        <v>19</v>
      </c>
      <c r="J90" s="204"/>
      <c r="K90" s="204" t="str">
        <f ca="1">IFERROR(VLOOKUP(IntComp[[#This Row],[DEVELOPMENT]],Data[],4,FALSE),"")</f>
        <v>2020-2021</v>
      </c>
      <c r="L90" s="204" t="str">
        <f ca="1">IF(IntComp[[#This Row],[RAD/PACT]]="","",IF(OR(IntComp[[#This Row],[RAD/PACT]]="2022-2025",IntComp[[#This Row],[RAD/PACT]]=2019,IntComp[[#This Row],[RAD/PACT]]="2020-2021"),"Yes",""))</f>
        <v>Yes</v>
      </c>
      <c r="M90" s="205">
        <f ca="1">IF(VLOOKUP(IntComp[[#This Row],[DEVELOPMENT]],Data[],10,FALSE)=0,-1,DATEDIF(VLOOKUP(IntComp[[#This Row],[DEVELOPMENT]],Data[],12,FALSE),TODAY(),"Y"))</f>
        <v>21</v>
      </c>
      <c r="N90" s="205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90" s="205"/>
      <c r="P90" s="205"/>
      <c r="Q90" s="205"/>
      <c r="R90" s="206">
        <f ca="1">(IntComp[[#This Row],['# to Replace (MRST)]]*INDEX(UnitCosts[#All],MATCH(IntComp[[#This Row],[WORK TYPE]],UnitCosts[Work Type],0)+1,2))*(1+((IntComp[[#This Row],[est. Year]]-YEAR(TODAY()))*$R$2))</f>
        <v>0</v>
      </c>
      <c r="S90" s="94">
        <f ca="1">SUM(INDEX(IntComp['# to Replace (MRST)],1):IntComp[[#This Row],['# to Replace (MRST)]])-272</f>
        <v>123</v>
      </c>
      <c r="T90" s="205"/>
      <c r="U90" s="205">
        <f ca="1">IF(ISBLANK(IntComp[[#This Row],[CALENDAR YEAR]]),ROUNDDOWN(IntComp[[#This Row],[Count]]/190,0)+$U$1,IntComp[[#This Row],[CALENDAR YEAR]])</f>
        <v>2021</v>
      </c>
      <c r="V90" s="207">
        <f t="shared" ca="1" si="2"/>
        <v>8031354.1875</v>
      </c>
      <c r="X90"/>
    </row>
    <row r="91" spans="1:24" hidden="1">
      <c r="A91" s="48" t="s">
        <v>342</v>
      </c>
      <c r="B91" s="24" t="str">
        <f>VLOOKUP(A91,Data[],2,FALSE)</f>
        <v>BRONX</v>
      </c>
      <c r="C91" s="24" t="s">
        <v>106</v>
      </c>
      <c r="D91" s="24" t="str">
        <f>VLOOKUP(IntComp[[#This Row],[DEVELOPMENT]],Data[],52,FALSE)</f>
        <v>MIXED FINANCE/LLC1</v>
      </c>
      <c r="E91" s="52">
        <f>VLOOKUP(IntComp[[#This Row],[DEVELOPMENT]],Data[],8,FALSE)</f>
        <v>0</v>
      </c>
      <c r="F91" s="52">
        <f>VLOOKUP(IntComp[[#This Row],[DEVELOPMENT]],all[[DEVELOPMENT]:[MRST Ext. Comp. Priority]],13,FALSE)</f>
        <v>2</v>
      </c>
      <c r="G91" s="52">
        <f>IF(VLOOKUP(IntComp[[#This Row],[DEVELOPMENT]],Data[],9,FALSE)=0,5,VLOOKUP(IntComp[[#This Row],[DEVELOPMENT]],Data[],9,FALSE))</f>
        <v>5</v>
      </c>
      <c r="H91" s="52">
        <f>VLOOKUP(IntComp[[#This Row],[DEVELOPMENT]],Data[],7,FALSE)</f>
        <v>1680</v>
      </c>
      <c r="I91" s="52">
        <f>VLOOKUP(IntComp[[#This Row],[DEVELOPMENT]],Data[],5,FALSE)</f>
        <v>11</v>
      </c>
      <c r="J91" s="52"/>
      <c r="K91" s="52" t="str">
        <f ca="1">IFERROR(VLOOKUP(IntComp[[#This Row],[DEVELOPMENT]],Data[],4,FALSE),"")</f>
        <v/>
      </c>
      <c r="L91" s="52" t="str">
        <f ca="1">IF(IntComp[[#This Row],[RAD/PACT]]="","",IF(OR(IntComp[[#This Row],[RAD/PACT]]="2022-2025",IntComp[[#This Row],[RAD/PACT]]=2019,IntComp[[#This Row],[RAD/PACT]]="2020-2021"),"Yes",""))</f>
        <v/>
      </c>
      <c r="M91" s="62">
        <f ca="1">IF(VLOOKUP(IntComp[[#This Row],[DEVELOPMENT]],Data[],10,FALSE)=0,-1,DATEDIF(VLOOKUP(IntComp[[#This Row],[DEVELOPMENT]],Data[],12,FALSE),TODAY(),"Y"))</f>
        <v>20</v>
      </c>
      <c r="N91" s="62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91" s="62"/>
      <c r="P91" s="62"/>
      <c r="Q91" s="62"/>
      <c r="R91" s="53">
        <f ca="1">(IntComp[[#This Row],['# to Replace (MRST)]]*INDEX(UnitCosts[#All],MATCH(IntComp[[#This Row],[WORK TYPE]],UnitCosts[Work Type],0)+1,2))*(1+((IntComp[[#This Row],[est. Year]]-YEAR(TODAY()))*$R$2))</f>
        <v>0</v>
      </c>
      <c r="S91" s="36">
        <f ca="1">SUM(INDEX(IntComp['# to Replace (MRST)],1):IntComp[[#This Row],['# to Replace (MRST)]])-272</f>
        <v>123</v>
      </c>
      <c r="T91" s="62"/>
      <c r="U91" s="62">
        <f ca="1">IF(ISBLANK(IntComp[[#This Row],[CALENDAR YEAR]]),ROUNDDOWN(IntComp[[#This Row],[Count]]/190,0)+$U$1,IntComp[[#This Row],[CALENDAR YEAR]])</f>
        <v>2021</v>
      </c>
      <c r="V91" s="141">
        <f t="shared" ca="1" si="2"/>
        <v>8031354.1875</v>
      </c>
      <c r="X91"/>
    </row>
    <row r="92" spans="1:24">
      <c r="A92" s="1" t="s">
        <v>354</v>
      </c>
      <c r="B92" s="9" t="str">
        <f>VLOOKUP(A92,Data[],2,FALSE)</f>
        <v>BROOKLYN</v>
      </c>
      <c r="C92" s="9" t="s">
        <v>106</v>
      </c>
      <c r="D92" s="9" t="str">
        <f>VLOOKUP(IntComp[[#This Row],[DEVELOPMENT]],Data[],52,FALSE)</f>
        <v>FEDERAL</v>
      </c>
      <c r="E92" s="50">
        <f>VLOOKUP(IntComp[[#This Row],[DEVELOPMENT]],Data[],8,FALSE)</f>
        <v>0</v>
      </c>
      <c r="F92" s="50">
        <f>VLOOKUP(IntComp[[#This Row],[DEVELOPMENT]],all[[DEVELOPMENT]:[MRST Ext. Comp. Priority]],13,FALSE)</f>
        <v>2</v>
      </c>
      <c r="G92" s="50">
        <f>IF(VLOOKUP(IntComp[[#This Row],[DEVELOPMENT]],Data[],9,FALSE)=0,5,VLOOKUP(IntComp[[#This Row],[DEVELOPMENT]],Data[],9,FALSE))</f>
        <v>5</v>
      </c>
      <c r="H92" s="50">
        <f>VLOOKUP(IntComp[[#This Row],[DEVELOPMENT]],Data[],7,FALSE)</f>
        <v>336</v>
      </c>
      <c r="I92" s="50">
        <f>VLOOKUP(IntComp[[#This Row],[DEVELOPMENT]],Data[],5,FALSE)</f>
        <v>3</v>
      </c>
      <c r="J92" s="50"/>
      <c r="K92" s="50" t="str">
        <f ca="1">IFERROR(VLOOKUP(IntComp[[#This Row],[DEVELOPMENT]],Data[],4,FALSE),"")</f>
        <v/>
      </c>
      <c r="L92" s="50" t="str">
        <f ca="1">IF(IntComp[[#This Row],[RAD/PACT]]="","",IF(OR(IntComp[[#This Row],[RAD/PACT]]="2022-2025",IntComp[[#This Row],[RAD/PACT]]=2019,IntComp[[#This Row],[RAD/PACT]]="2020-2021"),"Yes",""))</f>
        <v/>
      </c>
      <c r="M92" s="51">
        <f ca="1">IF(VLOOKUP(IntComp[[#This Row],[DEVELOPMENT]],Data[],10,FALSE)=0,-1,DATEDIF(VLOOKUP(IntComp[[#This Row],[DEVELOPMENT]],Data[],12,FALSE),TODAY(),"Y"))</f>
        <v>29</v>
      </c>
      <c r="N9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92" s="51"/>
      <c r="P92" s="51"/>
      <c r="Q92" s="51"/>
      <c r="R92" s="47">
        <f ca="1">(IntComp[[#This Row],['# to Replace (MRST)]]*INDEX(UnitCosts[#All],MATCH(IntComp[[#This Row],[WORK TYPE]],UnitCosts[Work Type],0)+1,2))*(1+((IntComp[[#This Row],[est. Year]]-YEAR(TODAY()))*$R$2))</f>
        <v>195886.68749999997</v>
      </c>
      <c r="S92" s="1">
        <f ca="1">SUM(INDEX(IntComp['# to Replace (MRST)],1):IntComp[[#This Row],['# to Replace (MRST)]])-272</f>
        <v>126</v>
      </c>
      <c r="T92" s="51"/>
      <c r="U92" s="51">
        <f ca="1">IF(ISBLANK(IntComp[[#This Row],[CALENDAR YEAR]]),ROUNDDOWN(IntComp[[#This Row],[Count]]/190,0)+$U$1,IntComp[[#This Row],[CALENDAR YEAR]])</f>
        <v>2021</v>
      </c>
      <c r="V92" s="85">
        <f t="shared" ca="1" si="2"/>
        <v>8227240.875</v>
      </c>
      <c r="W92" s="51"/>
      <c r="X92"/>
    </row>
    <row r="93" spans="1:24">
      <c r="A93" s="1" t="s">
        <v>295</v>
      </c>
      <c r="B93" s="9" t="str">
        <f>VLOOKUP(A93,Data[],2,FALSE)</f>
        <v>MANHATTAN</v>
      </c>
      <c r="C93" s="9" t="s">
        <v>106</v>
      </c>
      <c r="D93" s="9" t="str">
        <f>VLOOKUP(IntComp[[#This Row],[DEVELOPMENT]],Data[],52,FALSE)</f>
        <v>FEDERAL</v>
      </c>
      <c r="E93" s="50">
        <f>VLOOKUP(IntComp[[#This Row],[DEVELOPMENT]],Data[],8,FALSE)</f>
        <v>0</v>
      </c>
      <c r="F93" s="50">
        <f>VLOOKUP(IntComp[[#This Row],[DEVELOPMENT]],all[[DEVELOPMENT]:[MRST Ext. Comp. Priority]],13,FALSE)</f>
        <v>2</v>
      </c>
      <c r="G93" s="50">
        <f>IF(VLOOKUP(IntComp[[#This Row],[DEVELOPMENT]],Data[],9,FALSE)=0,5,VLOOKUP(IntComp[[#This Row],[DEVELOPMENT]],Data[],9,FALSE))</f>
        <v>5</v>
      </c>
      <c r="H93" s="50">
        <f>VLOOKUP(IntComp[[#This Row],[DEVELOPMENT]],Data[],7,FALSE)</f>
        <v>158</v>
      </c>
      <c r="I93" s="50">
        <f>VLOOKUP(IntComp[[#This Row],[DEVELOPMENT]],Data[],5,FALSE)</f>
        <v>1</v>
      </c>
      <c r="J93" s="50"/>
      <c r="K93" s="50" t="str">
        <f ca="1">IFERROR(VLOOKUP(IntComp[[#This Row],[DEVELOPMENT]],Data[],4,FALSE),"")</f>
        <v/>
      </c>
      <c r="L93" s="50" t="str">
        <f ca="1">IF(IntComp[[#This Row],[RAD/PACT]]="","",IF(OR(IntComp[[#This Row],[RAD/PACT]]="2022-2025",IntComp[[#This Row],[RAD/PACT]]=2019,IntComp[[#This Row],[RAD/PACT]]="2020-2021"),"Yes",""))</f>
        <v/>
      </c>
      <c r="M93" s="51">
        <f ca="1">IF(VLOOKUP(IntComp[[#This Row],[DEVELOPMENT]],Data[],10,FALSE)=0,-1,DATEDIF(VLOOKUP(IntComp[[#This Row],[DEVELOPMENT]],Data[],12,FALSE),TODAY(),"Y"))</f>
        <v>24</v>
      </c>
      <c r="N9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93" s="51"/>
      <c r="P93" s="51"/>
      <c r="Q93" s="51"/>
      <c r="R93" s="47">
        <f ca="1">(IntComp[[#This Row],['# to Replace (MRST)]]*INDEX(UnitCosts[#All],MATCH(IntComp[[#This Row],[WORK TYPE]],UnitCosts[Work Type],0)+1,2))*(1+((IntComp[[#This Row],[est. Year]]-YEAR(TODAY()))*$R$2))</f>
        <v>65295.562499999993</v>
      </c>
      <c r="S93" s="1">
        <f ca="1">SUM(INDEX(IntComp['# to Replace (MRST)],1):IntComp[[#This Row],['# to Replace (MRST)]])-272</f>
        <v>127</v>
      </c>
      <c r="T93" s="51"/>
      <c r="U93" s="51">
        <f ca="1">IF(ISBLANK(IntComp[[#This Row],[CALENDAR YEAR]]),ROUNDDOWN(IntComp[[#This Row],[Count]]/190,0)+$U$1,IntComp[[#This Row],[CALENDAR YEAR]])</f>
        <v>2021</v>
      </c>
      <c r="V93" s="85">
        <f t="shared" ca="1" si="2"/>
        <v>8292536.4375</v>
      </c>
      <c r="W93" s="51"/>
      <c r="X93"/>
    </row>
    <row r="94" spans="1:24">
      <c r="A94" s="1" t="s">
        <v>263</v>
      </c>
      <c r="B94" s="9" t="str">
        <f>VLOOKUP(A94,Data[],2,FALSE)</f>
        <v>MANHATTAN</v>
      </c>
      <c r="C94" s="9" t="s">
        <v>106</v>
      </c>
      <c r="D94" s="9" t="str">
        <f>VLOOKUP(IntComp[[#This Row],[DEVELOPMENT]],Data[],52,FALSE)</f>
        <v>FEDERAL</v>
      </c>
      <c r="E94" s="50" t="str">
        <f>VLOOKUP(IntComp[[#This Row],[DEVELOPMENT]],Data[],8,FALSE)</f>
        <v>Zone 3</v>
      </c>
      <c r="F94" s="50">
        <f>VLOOKUP(IntComp[[#This Row],[DEVELOPMENT]],all[[DEVELOPMENT]:[MRST Ext. Comp. Priority]],13,FALSE)</f>
        <v>2</v>
      </c>
      <c r="G94" s="50">
        <f>IF(VLOOKUP(IntComp[[#This Row],[DEVELOPMENT]],Data[],9,FALSE)=0,5,VLOOKUP(IntComp[[#This Row],[DEVELOPMENT]],Data[],9,FALSE))</f>
        <v>5</v>
      </c>
      <c r="H94" s="50">
        <f>VLOOKUP(IntComp[[#This Row],[DEVELOPMENT]],Data[],7,FALSE)</f>
        <v>219</v>
      </c>
      <c r="I94" s="50">
        <f>VLOOKUP(IntComp[[#This Row],[DEVELOPMENT]],Data[],5,FALSE)</f>
        <v>1</v>
      </c>
      <c r="J94" s="50"/>
      <c r="K94" s="50" t="str">
        <f ca="1">IFERROR(VLOOKUP(IntComp[[#This Row],[DEVELOPMENT]],Data[],4,FALSE),"")</f>
        <v/>
      </c>
      <c r="L94" s="50" t="str">
        <f ca="1">IF(IntComp[[#This Row],[RAD/PACT]]="","",IF(OR(IntComp[[#This Row],[RAD/PACT]]="2022-2025",IntComp[[#This Row],[RAD/PACT]]=2019,IntComp[[#This Row],[RAD/PACT]]="2020-2021"),"Yes",""))</f>
        <v/>
      </c>
      <c r="M94" s="51">
        <f ca="1">IF(VLOOKUP(IntComp[[#This Row],[DEVELOPMENT]],Data[],10,FALSE)=0,-1,DATEDIF(VLOOKUP(IntComp[[#This Row],[DEVELOPMENT]],Data[],12,FALSE),TODAY(),"Y"))</f>
        <v>24</v>
      </c>
      <c r="N9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94" s="51"/>
      <c r="P94" s="51"/>
      <c r="Q94" s="51"/>
      <c r="R94" s="47">
        <f ca="1">(IntComp[[#This Row],['# to Replace (MRST)]]*INDEX(UnitCosts[#All],MATCH(IntComp[[#This Row],[WORK TYPE]],UnitCosts[Work Type],0)+1,2))*(1+((IntComp[[#This Row],[est. Year]]-YEAR(TODAY()))*$R$2))</f>
        <v>65295.562499999993</v>
      </c>
      <c r="S94" s="1">
        <f ca="1">SUM(INDEX(IntComp['# to Replace (MRST)],1):IntComp[[#This Row],['# to Replace (MRST)]])-272</f>
        <v>128</v>
      </c>
      <c r="T94" s="51"/>
      <c r="U94" s="51">
        <f ca="1">IF(ISBLANK(IntComp[[#This Row],[CALENDAR YEAR]]),ROUNDDOWN(IntComp[[#This Row],[Count]]/190,0)+$U$1,IntComp[[#This Row],[CALENDAR YEAR]])</f>
        <v>2021</v>
      </c>
      <c r="V94" s="85">
        <f t="shared" ca="1" si="2"/>
        <v>8357832</v>
      </c>
      <c r="W94" s="51"/>
      <c r="X94"/>
    </row>
    <row r="95" spans="1:24">
      <c r="A95" s="1" t="s">
        <v>389</v>
      </c>
      <c r="B95" s="9" t="str">
        <f>VLOOKUP(A95,Data[],2,FALSE)</f>
        <v>MANHATTAN</v>
      </c>
      <c r="C95" s="9" t="s">
        <v>106</v>
      </c>
      <c r="D95" s="9" t="str">
        <f>VLOOKUP(IntComp[[#This Row],[DEVELOPMENT]],Data[],52,FALSE)</f>
        <v>FEDERAL</v>
      </c>
      <c r="E95" s="50" t="str">
        <f>VLOOKUP(IntComp[[#This Row],[DEVELOPMENT]],Data[],8,FALSE)</f>
        <v>Zone 4</v>
      </c>
      <c r="F95" s="50">
        <f>VLOOKUP(IntComp[[#This Row],[DEVELOPMENT]],all[[DEVELOPMENT]:[MRST Ext. Comp. Priority]],13,FALSE)</f>
        <v>2</v>
      </c>
      <c r="G95" s="50">
        <f>IF(VLOOKUP(IntComp[[#This Row],[DEVELOPMENT]],Data[],9,FALSE)=0,5,VLOOKUP(IntComp[[#This Row],[DEVELOPMENT]],Data[],9,FALSE))</f>
        <v>5</v>
      </c>
      <c r="H95" s="50">
        <f>VLOOKUP(IntComp[[#This Row],[DEVELOPMENT]],Data[],7,FALSE)</f>
        <v>69</v>
      </c>
      <c r="I95" s="50">
        <f>VLOOKUP(IntComp[[#This Row],[DEVELOPMENT]],Data[],5,FALSE)</f>
        <v>1</v>
      </c>
      <c r="J95" s="50"/>
      <c r="K95" s="50" t="str">
        <f ca="1">IFERROR(VLOOKUP(IntComp[[#This Row],[DEVELOPMENT]],Data[],4,FALSE),"")</f>
        <v/>
      </c>
      <c r="L95" s="50" t="str">
        <f ca="1">IF(IntComp[[#This Row],[RAD/PACT]]="","",IF(OR(IntComp[[#This Row],[RAD/PACT]]="2022-2025",IntComp[[#This Row],[RAD/PACT]]=2019,IntComp[[#This Row],[RAD/PACT]]="2020-2021"),"Yes",""))</f>
        <v/>
      </c>
      <c r="M95" s="51">
        <f ca="1">IF(VLOOKUP(IntComp[[#This Row],[DEVELOPMENT]],Data[],10,FALSE)=0,-1,DATEDIF(VLOOKUP(IntComp[[#This Row],[DEVELOPMENT]],Data[],12,FALSE),TODAY(),"Y"))</f>
        <v>24</v>
      </c>
      <c r="N9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95" s="51"/>
      <c r="P95" s="51"/>
      <c r="Q95" s="51"/>
      <c r="R95" s="47">
        <f ca="1">(IntComp[[#This Row],['# to Replace (MRST)]]*INDEX(UnitCosts[#All],MATCH(IntComp[[#This Row],[WORK TYPE]],UnitCosts[Work Type],0)+1,2))*(1+((IntComp[[#This Row],[est. Year]]-YEAR(TODAY()))*$R$2))</f>
        <v>65295.562499999993</v>
      </c>
      <c r="S95" s="1">
        <f ca="1">SUM(INDEX(IntComp['# to Replace (MRST)],1):IntComp[[#This Row],['# to Replace (MRST)]])-272</f>
        <v>129</v>
      </c>
      <c r="T95" s="51"/>
      <c r="U95" s="51">
        <f ca="1">IF(ISBLANK(IntComp[[#This Row],[CALENDAR YEAR]]),ROUNDDOWN(IntComp[[#This Row],[Count]]/190,0)+$U$1,IntComp[[#This Row],[CALENDAR YEAR]])</f>
        <v>2021</v>
      </c>
      <c r="V95" s="85">
        <f t="shared" ca="1" si="2"/>
        <v>8423127.5625</v>
      </c>
      <c r="W95" s="51"/>
      <c r="X95"/>
    </row>
    <row r="96" spans="1:24" hidden="1">
      <c r="A96" s="192" t="s">
        <v>231</v>
      </c>
      <c r="B96" s="197" t="str">
        <f>VLOOKUP(A96,Data[],2,FALSE)</f>
        <v>BROOKLYN</v>
      </c>
      <c r="C96" s="197" t="s">
        <v>106</v>
      </c>
      <c r="D96" s="197" t="str">
        <f>VLOOKUP(IntComp[[#This Row],[DEVELOPMENT]],Data[],52,FALSE)</f>
        <v>MIXED FINANCE/LLC1</v>
      </c>
      <c r="E96" s="201">
        <f>VLOOKUP(IntComp[[#This Row],[DEVELOPMENT]],Data[],8,FALSE)</f>
        <v>0</v>
      </c>
      <c r="F96" s="201">
        <f>VLOOKUP(IntComp[[#This Row],[DEVELOPMENT]],all[[DEVELOPMENT]:[MRST Ext. Comp. Priority]],13,FALSE)</f>
        <v>2</v>
      </c>
      <c r="G96" s="201">
        <f>IF(VLOOKUP(IntComp[[#This Row],[DEVELOPMENT]],Data[],9,FALSE)=0,5,VLOOKUP(IntComp[[#This Row],[DEVELOPMENT]],Data[],9,FALSE))</f>
        <v>5</v>
      </c>
      <c r="H96" s="201">
        <f>VLOOKUP(IntComp[[#This Row],[DEVELOPMENT]],Data[],7,FALSE)</f>
        <v>1609</v>
      </c>
      <c r="I96" s="201">
        <f>VLOOKUP(IntComp[[#This Row],[DEVELOPMENT]],Data[],5,FALSE)</f>
        <v>23</v>
      </c>
      <c r="J96" s="201"/>
      <c r="K96" s="201" t="str">
        <f ca="1">IFERROR(VLOOKUP(IntComp[[#This Row],[DEVELOPMENT]],Data[],4,FALSE),"")</f>
        <v>2026+</v>
      </c>
      <c r="L96" s="201" t="str">
        <f ca="1">IF(IntComp[[#This Row],[RAD/PACT]]="","",IF(OR(IntComp[[#This Row],[RAD/PACT]]="2022-2025",IntComp[[#This Row],[RAD/PACT]]=2019,IntComp[[#This Row],[RAD/PACT]]="2020-2021"),"Yes",""))</f>
        <v/>
      </c>
      <c r="M96" s="202">
        <f ca="1">IF(VLOOKUP(IntComp[[#This Row],[DEVELOPMENT]],Data[],10,FALSE)=0,-1,DATEDIF(VLOOKUP(IntComp[[#This Row],[DEVELOPMENT]],Data[],12,FALSE),TODAY(),"Y"))</f>
        <v>18</v>
      </c>
      <c r="N96" s="202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96" s="202"/>
      <c r="P96" s="202"/>
      <c r="Q96" s="202"/>
      <c r="R96" s="198">
        <f ca="1">(IntComp[[#This Row],['# to Replace (MRST)]]*INDEX(UnitCosts[#All],MATCH(IntComp[[#This Row],[WORK TYPE]],UnitCosts[Work Type],0)+1,2))*(1+((IntComp[[#This Row],[est. Year]]-YEAR(TODAY()))*$R$2))</f>
        <v>0</v>
      </c>
      <c r="S96" s="196">
        <f ca="1">SUM(INDEX(IntComp['# to Replace (MRST)],1):IntComp[[#This Row],['# to Replace (MRST)]])-272</f>
        <v>129</v>
      </c>
      <c r="T96" s="202"/>
      <c r="U96" s="202">
        <f ca="1">IF(ISBLANK(IntComp[[#This Row],[CALENDAR YEAR]]),ROUNDDOWN(IntComp[[#This Row],[Count]]/190,0)+$U$1,IntComp[[#This Row],[CALENDAR YEAR]])</f>
        <v>2021</v>
      </c>
      <c r="V96" s="203">
        <f t="shared" ca="1" si="2"/>
        <v>8423127.5625</v>
      </c>
      <c r="X96"/>
    </row>
    <row r="97" spans="1:24">
      <c r="A97" s="1" t="s">
        <v>390</v>
      </c>
      <c r="B97" s="9" t="str">
        <f>VLOOKUP(A97,Data[],2,FALSE)</f>
        <v>MANHATTAN</v>
      </c>
      <c r="C97" s="9" t="s">
        <v>106</v>
      </c>
      <c r="D97" s="9" t="str">
        <f>VLOOKUP(IntComp[[#This Row],[DEVELOPMENT]],Data[],52,FALSE)</f>
        <v>FEDERAL</v>
      </c>
      <c r="E97" s="50" t="str">
        <f>VLOOKUP(IntComp[[#This Row],[DEVELOPMENT]],Data[],8,FALSE)</f>
        <v>Zone 4</v>
      </c>
      <c r="F97" s="50">
        <f>VLOOKUP(IntComp[[#This Row],[DEVELOPMENT]],all[[DEVELOPMENT]:[MRST Ext. Comp. Priority]],13,FALSE)</f>
        <v>2</v>
      </c>
      <c r="G97" s="50">
        <f>IF(VLOOKUP(IntComp[[#This Row],[DEVELOPMENT]],Data[],9,FALSE)=0,5,VLOOKUP(IntComp[[#This Row],[DEVELOPMENT]],Data[],9,FALSE))</f>
        <v>5</v>
      </c>
      <c r="H97" s="50">
        <f>VLOOKUP(IntComp[[#This Row],[DEVELOPMENT]],Data[],7,FALSE)</f>
        <v>168</v>
      </c>
      <c r="I97" s="50">
        <f>VLOOKUP(IntComp[[#This Row],[DEVELOPMENT]],Data[],5,FALSE)</f>
        <v>1</v>
      </c>
      <c r="J97" s="50"/>
      <c r="K97" s="50" t="str">
        <f ca="1">IFERROR(VLOOKUP(IntComp[[#This Row],[DEVELOPMENT]],Data[],4,FALSE),"")</f>
        <v/>
      </c>
      <c r="L97" s="50" t="str">
        <f ca="1">IF(IntComp[[#This Row],[RAD/PACT]]="","",IF(OR(IntComp[[#This Row],[RAD/PACT]]="2022-2025",IntComp[[#This Row],[RAD/PACT]]=2019,IntComp[[#This Row],[RAD/PACT]]="2020-2021"),"Yes",""))</f>
        <v/>
      </c>
      <c r="M97" s="51">
        <f ca="1">IF(VLOOKUP(IntComp[[#This Row],[DEVELOPMENT]],Data[],10,FALSE)=0,-1,DATEDIF(VLOOKUP(IntComp[[#This Row],[DEVELOPMENT]],Data[],12,FALSE),TODAY(),"Y"))</f>
        <v>24</v>
      </c>
      <c r="N9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97" s="51"/>
      <c r="P97" s="51"/>
      <c r="Q97" s="51"/>
      <c r="R97" s="47">
        <f ca="1">(IntComp[[#This Row],['# to Replace (MRST)]]*INDEX(UnitCosts[#All],MATCH(IntComp[[#This Row],[WORK TYPE]],UnitCosts[Work Type],0)+1,2))*(1+((IntComp[[#This Row],[est. Year]]-YEAR(TODAY()))*$R$2))</f>
        <v>65295.562499999993</v>
      </c>
      <c r="S97" s="1">
        <f ca="1">SUM(INDEX(IntComp['# to Replace (MRST)],1):IntComp[[#This Row],['# to Replace (MRST)]])-272</f>
        <v>130</v>
      </c>
      <c r="T97" s="51"/>
      <c r="U97" s="51">
        <f ca="1">IF(ISBLANK(IntComp[[#This Row],[CALENDAR YEAR]]),ROUNDDOWN(IntComp[[#This Row],[Count]]/190,0)+$U$1,IntComp[[#This Row],[CALENDAR YEAR]])</f>
        <v>2021</v>
      </c>
      <c r="V97" s="85">
        <f t="shared" ca="1" si="2"/>
        <v>8488423.125</v>
      </c>
      <c r="W97" s="51"/>
      <c r="X97"/>
    </row>
    <row r="98" spans="1:24">
      <c r="A98" s="1" t="s">
        <v>315</v>
      </c>
      <c r="B98" s="9" t="str">
        <f>VLOOKUP(A98,Data[],2,FALSE)</f>
        <v>BROOKLYN</v>
      </c>
      <c r="C98" s="9" t="s">
        <v>106</v>
      </c>
      <c r="D98" s="9" t="str">
        <f>VLOOKUP(IntComp[[#This Row],[DEVELOPMENT]],Data[],52,FALSE)</f>
        <v>FEDERAL</v>
      </c>
      <c r="E98" s="50">
        <f>VLOOKUP(IntComp[[#This Row],[DEVELOPMENT]],Data[],8,FALSE)</f>
        <v>0</v>
      </c>
      <c r="F98" s="50">
        <f>VLOOKUP(IntComp[[#This Row],[DEVELOPMENT]],all[[DEVELOPMENT]:[MRST Ext. Comp. Priority]],13,FALSE)</f>
        <v>2</v>
      </c>
      <c r="G98" s="50">
        <f>IF(VLOOKUP(IntComp[[#This Row],[DEVELOPMENT]],Data[],9,FALSE)=0,5,VLOOKUP(IntComp[[#This Row],[DEVELOPMENT]],Data[],9,FALSE))</f>
        <v>5</v>
      </c>
      <c r="H98" s="50">
        <f>VLOOKUP(IntComp[[#This Row],[DEVELOPMENT]],Data[],7,FALSE)</f>
        <v>1439</v>
      </c>
      <c r="I98" s="50">
        <f>VLOOKUP(IntComp[[#This Row],[DEVELOPMENT]],Data[],5,FALSE)</f>
        <v>15</v>
      </c>
      <c r="J98" s="50"/>
      <c r="K98" s="50" t="str">
        <f ca="1">IFERROR(VLOOKUP(IntComp[[#This Row],[DEVELOPMENT]],Data[],4,FALSE),"")</f>
        <v>2022-2025</v>
      </c>
      <c r="L98" s="50" t="str">
        <f ca="1">IF(IntComp[[#This Row],[RAD/PACT]]="","",IF(OR(IntComp[[#This Row],[RAD/PACT]]="2022-2025",IntComp[[#This Row],[RAD/PACT]]=2019,IntComp[[#This Row],[RAD/PACT]]="2020-2021"),"Yes",""))</f>
        <v>Yes</v>
      </c>
      <c r="M98" s="51">
        <f ca="1">IF(VLOOKUP(IntComp[[#This Row],[DEVELOPMENT]],Data[],10,FALSE)=0,-1,DATEDIF(VLOOKUP(IntComp[[#This Row],[DEVELOPMENT]],Data[],12,FALSE),TODAY(),"Y"))</f>
        <v>24</v>
      </c>
      <c r="N9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98" s="51"/>
      <c r="P98" s="51"/>
      <c r="Q98" s="51"/>
      <c r="R98" s="47">
        <f ca="1">(IntComp[[#This Row],['# to Replace (MRST)]]*INDEX(UnitCosts[#All],MATCH(IntComp[[#This Row],[WORK TYPE]],UnitCosts[Work Type],0)+1,2))*(1+((IntComp[[#This Row],[est. Year]]-YEAR(TODAY()))*$R$2))</f>
        <v>0</v>
      </c>
      <c r="S98" s="1">
        <f ca="1">SUM(INDEX(IntComp['# to Replace (MRST)],1):IntComp[[#This Row],['# to Replace (MRST)]])-272</f>
        <v>130</v>
      </c>
      <c r="T98" s="51"/>
      <c r="U98" s="51">
        <f ca="1">IF(ISBLANK(IntComp[[#This Row],[CALENDAR YEAR]]),ROUNDDOWN(IntComp[[#This Row],[Count]]/190,0)+$U$1,IntComp[[#This Row],[CALENDAR YEAR]])</f>
        <v>2021</v>
      </c>
      <c r="V98" s="85">
        <f t="shared" ca="1" si="2"/>
        <v>8488423.125</v>
      </c>
      <c r="W98" s="51"/>
      <c r="X98"/>
    </row>
    <row r="99" spans="1:24">
      <c r="A99" s="1" t="s">
        <v>391</v>
      </c>
      <c r="B99" s="9" t="str">
        <f>VLOOKUP(A99,Data[],2,FALSE)</f>
        <v>MANHATTAN</v>
      </c>
      <c r="C99" s="9" t="s">
        <v>106</v>
      </c>
      <c r="D99" s="9" t="str">
        <f>VLOOKUP(IntComp[[#This Row],[DEVELOPMENT]],Data[],52,FALSE)</f>
        <v>FEDERAL</v>
      </c>
      <c r="E99" s="50">
        <f>VLOOKUP(IntComp[[#This Row],[DEVELOPMENT]],Data[],8,FALSE)</f>
        <v>0</v>
      </c>
      <c r="F99" s="50">
        <f>VLOOKUP(IntComp[[#This Row],[DEVELOPMENT]],all[[DEVELOPMENT]:[MRST Ext. Comp. Priority]],13,FALSE)</f>
        <v>2</v>
      </c>
      <c r="G99" s="50">
        <f>IF(VLOOKUP(IntComp[[#This Row],[DEVELOPMENT]],Data[],9,FALSE)=0,5,VLOOKUP(IntComp[[#This Row],[DEVELOPMENT]],Data[],9,FALSE))</f>
        <v>5</v>
      </c>
      <c r="H99" s="50">
        <f>VLOOKUP(IntComp[[#This Row],[DEVELOPMENT]],Data[],7,FALSE)</f>
        <v>158</v>
      </c>
      <c r="I99" s="50">
        <f>VLOOKUP(IntComp[[#This Row],[DEVELOPMENT]],Data[],5,FALSE)</f>
        <v>1</v>
      </c>
      <c r="J99" s="50"/>
      <c r="K99" s="50" t="str">
        <f ca="1">IFERROR(VLOOKUP(IntComp[[#This Row],[DEVELOPMENT]],Data[],4,FALSE),"")</f>
        <v/>
      </c>
      <c r="L99" s="50" t="str">
        <f ca="1">IF(IntComp[[#This Row],[RAD/PACT]]="","",IF(OR(IntComp[[#This Row],[RAD/PACT]]="2022-2025",IntComp[[#This Row],[RAD/PACT]]=2019,IntComp[[#This Row],[RAD/PACT]]="2020-2021"),"Yes",""))</f>
        <v/>
      </c>
      <c r="M99" s="51">
        <f ca="1">IF(VLOOKUP(IntComp[[#This Row],[DEVELOPMENT]],Data[],10,FALSE)=0,-1,DATEDIF(VLOOKUP(IntComp[[#This Row],[DEVELOPMENT]],Data[],12,FALSE),TODAY(),"Y"))</f>
        <v>24</v>
      </c>
      <c r="N9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99" s="51"/>
      <c r="P99" s="51"/>
      <c r="Q99" s="51"/>
      <c r="R99" s="47">
        <f ca="1">(IntComp[[#This Row],['# to Replace (MRST)]]*INDEX(UnitCosts[#All],MATCH(IntComp[[#This Row],[WORK TYPE]],UnitCosts[Work Type],0)+1,2))*(1+((IntComp[[#This Row],[est. Year]]-YEAR(TODAY()))*$R$2))</f>
        <v>65295.562499999993</v>
      </c>
      <c r="S99" s="1">
        <f ca="1">SUM(INDEX(IntComp['# to Replace (MRST)],1):IntComp[[#This Row],['# to Replace (MRST)]])-272</f>
        <v>131</v>
      </c>
      <c r="T99" s="51"/>
      <c r="U99" s="51">
        <f ca="1">IF(ISBLANK(IntComp[[#This Row],[CALENDAR YEAR]]),ROUNDDOWN(IntComp[[#This Row],[Count]]/190,0)+$U$1,IntComp[[#This Row],[CALENDAR YEAR]])</f>
        <v>2021</v>
      </c>
      <c r="V99" s="85">
        <f t="shared" ca="1" si="2"/>
        <v>8553718.6875</v>
      </c>
      <c r="W99" s="51"/>
      <c r="X99"/>
    </row>
    <row r="100" spans="1:24">
      <c r="A100" s="1" t="s">
        <v>264</v>
      </c>
      <c r="B100" s="9" t="str">
        <f>VLOOKUP(A100,Data[],2,FALSE)</f>
        <v>BRONX</v>
      </c>
      <c r="C100" s="9" t="s">
        <v>106</v>
      </c>
      <c r="D100" s="9" t="str">
        <f>VLOOKUP(IntComp[[#This Row],[DEVELOPMENT]],Data[],52,FALSE)</f>
        <v>FEDERAL</v>
      </c>
      <c r="E100" s="50">
        <f>VLOOKUP(IntComp[[#This Row],[DEVELOPMENT]],Data[],8,FALSE)</f>
        <v>0</v>
      </c>
      <c r="F100" s="50">
        <f>VLOOKUP(IntComp[[#This Row],[DEVELOPMENT]],all[[DEVELOPMENT]:[MRST Ext. Comp. Priority]],13,FALSE)</f>
        <v>2</v>
      </c>
      <c r="G100" s="50">
        <f>IF(VLOOKUP(IntComp[[#This Row],[DEVELOPMENT]],Data[],9,FALSE)=0,5,VLOOKUP(IntComp[[#This Row],[DEVELOPMENT]],Data[],9,FALSE))</f>
        <v>5</v>
      </c>
      <c r="H100" s="50">
        <f>VLOOKUP(IntComp[[#This Row],[DEVELOPMENT]],Data[],7,FALSE)</f>
        <v>65</v>
      </c>
      <c r="I100" s="50">
        <f>VLOOKUP(IntComp[[#This Row],[DEVELOPMENT]],Data[],5,FALSE)</f>
        <v>1</v>
      </c>
      <c r="J100" s="50"/>
      <c r="K100" s="50" t="str">
        <f ca="1">IFERROR(VLOOKUP(IntComp[[#This Row],[DEVELOPMENT]],Data[],4,FALSE),"")</f>
        <v>2026+</v>
      </c>
      <c r="L100" s="50" t="str">
        <f ca="1">IF(IntComp[[#This Row],[RAD/PACT]]="","",IF(OR(IntComp[[#This Row],[RAD/PACT]]="2022-2025",IntComp[[#This Row],[RAD/PACT]]=2019,IntComp[[#This Row],[RAD/PACT]]="2020-2021"),"Yes",""))</f>
        <v/>
      </c>
      <c r="M100" s="51">
        <f ca="1">IF(VLOOKUP(IntComp[[#This Row],[DEVELOPMENT]],Data[],10,FALSE)=0,-1,DATEDIF(VLOOKUP(IntComp[[#This Row],[DEVELOPMENT]],Data[],12,FALSE),TODAY(),"Y"))</f>
        <v>24</v>
      </c>
      <c r="N10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00" s="51"/>
      <c r="P100" s="51"/>
      <c r="Q100" s="51"/>
      <c r="R100" s="47">
        <f ca="1">(IntComp[[#This Row],['# to Replace (MRST)]]*INDEX(UnitCosts[#All],MATCH(IntComp[[#This Row],[WORK TYPE]],UnitCosts[Work Type],0)+1,2))*(1+((IntComp[[#This Row],[est. Year]]-YEAR(TODAY()))*$R$2))</f>
        <v>65295.562499999993</v>
      </c>
      <c r="S100" s="1">
        <f ca="1">SUM(INDEX(IntComp['# to Replace (MRST)],1):IntComp[[#This Row],['# to Replace (MRST)]])-272</f>
        <v>132</v>
      </c>
      <c r="T100" s="51"/>
      <c r="U100" s="51">
        <f ca="1">IF(ISBLANK(IntComp[[#This Row],[CALENDAR YEAR]]),ROUNDDOWN(IntComp[[#This Row],[Count]]/190,0)+$U$1,IntComp[[#This Row],[CALENDAR YEAR]])</f>
        <v>2021</v>
      </c>
      <c r="V100" s="85">
        <f t="shared" ca="1" si="2"/>
        <v>8619014.25</v>
      </c>
      <c r="W100" s="51"/>
      <c r="X100"/>
    </row>
    <row r="101" spans="1:24">
      <c r="A101" s="1" t="s">
        <v>336</v>
      </c>
      <c r="B101" s="9" t="str">
        <f>VLOOKUP(A101,Data[],2,FALSE)</f>
        <v>QUEENS</v>
      </c>
      <c r="C101" s="9" t="s">
        <v>106</v>
      </c>
      <c r="D101" s="9" t="str">
        <f>VLOOKUP(IntComp[[#This Row],[DEVELOPMENT]],Data[],52,FALSE)</f>
        <v>FEDERAL</v>
      </c>
      <c r="E101" s="50">
        <f>VLOOKUP(IntComp[[#This Row],[DEVELOPMENT]],Data[],8,FALSE)</f>
        <v>0</v>
      </c>
      <c r="F101" s="50">
        <f>VLOOKUP(IntComp[[#This Row],[DEVELOPMENT]],all[[DEVELOPMENT]:[MRST Ext. Comp. Priority]],13,FALSE)</f>
        <v>2</v>
      </c>
      <c r="G101" s="50">
        <f>IF(VLOOKUP(IntComp[[#This Row],[DEVELOPMENT]],Data[],9,FALSE)=0,5,VLOOKUP(IntComp[[#This Row],[DEVELOPMENT]],Data[],9,FALSE))</f>
        <v>5</v>
      </c>
      <c r="H101" s="50">
        <f>VLOOKUP(IntComp[[#This Row],[DEVELOPMENT]],Data[],7,FALSE)</f>
        <v>146</v>
      </c>
      <c r="I101" s="50">
        <f>VLOOKUP(IntComp[[#This Row],[DEVELOPMENT]],Data[],5,FALSE)</f>
        <v>1</v>
      </c>
      <c r="J101" s="50"/>
      <c r="K101" s="50" t="str">
        <f ca="1">IFERROR(VLOOKUP(IntComp[[#This Row],[DEVELOPMENT]],Data[],4,FALSE),"")</f>
        <v/>
      </c>
      <c r="L101" s="50" t="str">
        <f ca="1">IF(IntComp[[#This Row],[RAD/PACT]]="","",IF(OR(IntComp[[#This Row],[RAD/PACT]]="2022-2025",IntComp[[#This Row],[RAD/PACT]]=2019,IntComp[[#This Row],[RAD/PACT]]="2020-2021"),"Yes",""))</f>
        <v/>
      </c>
      <c r="M101" s="51">
        <f ca="1">IF(VLOOKUP(IntComp[[#This Row],[DEVELOPMENT]],Data[],10,FALSE)=0,-1,DATEDIF(VLOOKUP(IntComp[[#This Row],[DEVELOPMENT]],Data[],12,FALSE),TODAY(),"Y"))</f>
        <v>24</v>
      </c>
      <c r="N10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01" s="51"/>
      <c r="P101" s="51"/>
      <c r="Q101" s="51"/>
      <c r="R101" s="47">
        <f ca="1">(IntComp[[#This Row],['# to Replace (MRST)]]*INDEX(UnitCosts[#All],MATCH(IntComp[[#This Row],[WORK TYPE]],UnitCosts[Work Type],0)+1,2))*(1+((IntComp[[#This Row],[est. Year]]-YEAR(TODAY()))*$R$2))</f>
        <v>65295.562499999993</v>
      </c>
      <c r="S101" s="1">
        <f ca="1">SUM(INDEX(IntComp['# to Replace (MRST)],1):IntComp[[#This Row],['# to Replace (MRST)]])-272</f>
        <v>133</v>
      </c>
      <c r="T101" s="51"/>
      <c r="U101" s="51">
        <f ca="1">IF(ISBLANK(IntComp[[#This Row],[CALENDAR YEAR]]),ROUNDDOWN(IntComp[[#This Row],[Count]]/190,0)+$U$1,IntComp[[#This Row],[CALENDAR YEAR]])</f>
        <v>2021</v>
      </c>
      <c r="V101" s="85">
        <f t="shared" ca="1" si="2"/>
        <v>8684309.8125</v>
      </c>
      <c r="W101" s="51"/>
      <c r="X101"/>
    </row>
    <row r="102" spans="1:24">
      <c r="A102" s="1" t="s">
        <v>268</v>
      </c>
      <c r="B102" s="9" t="str">
        <f>VLOOKUP(A102,Data[],2,FALSE)</f>
        <v>BRONX</v>
      </c>
      <c r="C102" s="9" t="s">
        <v>106</v>
      </c>
      <c r="D102" s="9" t="str">
        <f>VLOOKUP(IntComp[[#This Row],[DEVELOPMENT]],Data[],52,FALSE)</f>
        <v>FEDERAL</v>
      </c>
      <c r="E102" s="50">
        <f>VLOOKUP(IntComp[[#This Row],[DEVELOPMENT]],Data[],8,FALSE)</f>
        <v>0</v>
      </c>
      <c r="F102" s="50" t="str">
        <f>VLOOKUP(IntComp[[#This Row],[DEVELOPMENT]],all[[DEVELOPMENT]:[MRST Ext. Comp. Priority]],13,FALSE)</f>
        <v>None</v>
      </c>
      <c r="G102" s="50">
        <f>IF(VLOOKUP(IntComp[[#This Row],[DEVELOPMENT]],Data[],9,FALSE)=0,5,VLOOKUP(IntComp[[#This Row],[DEVELOPMENT]],Data[],9,FALSE))</f>
        <v>5</v>
      </c>
      <c r="H102" s="50">
        <f>VLOOKUP(IntComp[[#This Row],[DEVELOPMENT]],Data[],7,FALSE)</f>
        <v>251</v>
      </c>
      <c r="I102" s="50">
        <f>VLOOKUP(IntComp[[#This Row],[DEVELOPMENT]],Data[],5,FALSE)</f>
        <v>3</v>
      </c>
      <c r="J102" s="50"/>
      <c r="K102" s="50" t="str">
        <f ca="1">IFERROR(VLOOKUP(IntComp[[#This Row],[DEVELOPMENT]],Data[],4,FALSE),"")</f>
        <v>2020-2021</v>
      </c>
      <c r="L102" s="50" t="str">
        <f ca="1">IF(IntComp[[#This Row],[RAD/PACT]]="","",IF(OR(IntComp[[#This Row],[RAD/PACT]]="2022-2025",IntComp[[#This Row],[RAD/PACT]]=2019,IntComp[[#This Row],[RAD/PACT]]="2020-2021"),"Yes",""))</f>
        <v>Yes</v>
      </c>
      <c r="M102" s="51">
        <f ca="1">IF(VLOOKUP(IntComp[[#This Row],[DEVELOPMENT]],Data[],10,FALSE)=0,-1,DATEDIF(VLOOKUP(IntComp[[#This Row],[DEVELOPMENT]],Data[],12,FALSE),TODAY(),"Y"))</f>
        <v>25</v>
      </c>
      <c r="N10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02" s="51"/>
      <c r="P102" s="51"/>
      <c r="Q102" s="51"/>
      <c r="R102" s="47">
        <f ca="1">(IntComp[[#This Row],['# to Replace (MRST)]]*INDEX(UnitCosts[#All],MATCH(IntComp[[#This Row],[WORK TYPE]],UnitCosts[Work Type],0)+1,2))*(1+((IntComp[[#This Row],[est. Year]]-YEAR(TODAY()))*$R$2))</f>
        <v>0</v>
      </c>
      <c r="S102" s="1">
        <f ca="1">SUM(INDEX(IntComp['# to Replace (MRST)],1):IntComp[[#This Row],['# to Replace (MRST)]])-272</f>
        <v>133</v>
      </c>
      <c r="T102" s="51"/>
      <c r="U102" s="51">
        <f ca="1">IF(ISBLANK(IntComp[[#This Row],[CALENDAR YEAR]]),ROUNDDOWN(IntComp[[#This Row],[Count]]/190,0)+$U$1,IntComp[[#This Row],[CALENDAR YEAR]])</f>
        <v>2021</v>
      </c>
      <c r="V102" s="85">
        <f t="shared" ca="1" si="2"/>
        <v>8684309.8125</v>
      </c>
      <c r="W102" s="71"/>
      <c r="X102"/>
    </row>
    <row r="103" spans="1:24" hidden="1">
      <c r="A103" s="192" t="s">
        <v>200</v>
      </c>
      <c r="B103" s="197" t="str">
        <f>VLOOKUP(A103,Data[],2,FALSE)</f>
        <v>BRONX</v>
      </c>
      <c r="C103" s="197" t="s">
        <v>106</v>
      </c>
      <c r="D103" s="197" t="str">
        <f>VLOOKUP(IntComp[[#This Row],[DEVELOPMENT]],Data[],52,FALSE)</f>
        <v>MIXED FINANCE/LLC1</v>
      </c>
      <c r="E103" s="201">
        <f>VLOOKUP(IntComp[[#This Row],[DEVELOPMENT]],Data[],8,FALSE)</f>
        <v>0</v>
      </c>
      <c r="F103" s="201">
        <f>VLOOKUP(IntComp[[#This Row],[DEVELOPMENT]],all[[DEVELOPMENT]:[MRST Ext. Comp. Priority]],13,FALSE)</f>
        <v>2</v>
      </c>
      <c r="G103" s="201">
        <f>IF(VLOOKUP(IntComp[[#This Row],[DEVELOPMENT]],Data[],9,FALSE)=0,5,VLOOKUP(IntComp[[#This Row],[DEVELOPMENT]],Data[],9,FALSE))</f>
        <v>5</v>
      </c>
      <c r="H103" s="201">
        <f>VLOOKUP(IntComp[[#This Row],[DEVELOPMENT]],Data[],7,FALSE)</f>
        <v>2022</v>
      </c>
      <c r="I103" s="201">
        <f>VLOOKUP(IntComp[[#This Row],[DEVELOPMENT]],Data[],5,FALSE)</f>
        <v>14</v>
      </c>
      <c r="J103" s="201"/>
      <c r="K103" s="201" t="str">
        <f ca="1">IFERROR(VLOOKUP(IntComp[[#This Row],[DEVELOPMENT]],Data[],4,FALSE),"")</f>
        <v/>
      </c>
      <c r="L103" s="201" t="str">
        <f ca="1">IF(IntComp[[#This Row],[RAD/PACT]]="","",IF(OR(IntComp[[#This Row],[RAD/PACT]]="2022-2025",IntComp[[#This Row],[RAD/PACT]]=2019,IntComp[[#This Row],[RAD/PACT]]="2020-2021"),"Yes",""))</f>
        <v/>
      </c>
      <c r="M103" s="202">
        <f ca="1">IF(VLOOKUP(IntComp[[#This Row],[DEVELOPMENT]],Data[],10,FALSE)=0,-1,DATEDIF(VLOOKUP(IntComp[[#This Row],[DEVELOPMENT]],Data[],12,FALSE),TODAY(),"Y"))</f>
        <v>17</v>
      </c>
      <c r="N103" s="202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03" s="202"/>
      <c r="P103" s="202"/>
      <c r="Q103" s="202"/>
      <c r="R103" s="198">
        <f ca="1">(IntComp[[#This Row],['# to Replace (MRST)]]*INDEX(UnitCosts[#All],MATCH(IntComp[[#This Row],[WORK TYPE]],UnitCosts[Work Type],0)+1,2))*(1+((IntComp[[#This Row],[est. Year]]-YEAR(TODAY()))*$R$2))</f>
        <v>0</v>
      </c>
      <c r="S103" s="196">
        <f ca="1">SUM(INDEX(IntComp['# to Replace (MRST)],1):IntComp[[#This Row],['# to Replace (MRST)]])-272</f>
        <v>133</v>
      </c>
      <c r="T103" s="202"/>
      <c r="U103" s="202">
        <f ca="1">IF(ISBLANK(IntComp[[#This Row],[CALENDAR YEAR]]),ROUNDDOWN(IntComp[[#This Row],[Count]]/190,0)+$U$1,IntComp[[#This Row],[CALENDAR YEAR]])</f>
        <v>2021</v>
      </c>
      <c r="V103" s="203">
        <f t="shared" ca="1" si="2"/>
        <v>8684309.8125</v>
      </c>
      <c r="X103"/>
    </row>
    <row r="104" spans="1:24">
      <c r="A104" s="1" t="s">
        <v>216</v>
      </c>
      <c r="B104" s="9" t="str">
        <f>VLOOKUP(A104,Data[],2,FALSE)</f>
        <v>BROOKLYN</v>
      </c>
      <c r="C104" s="9" t="s">
        <v>106</v>
      </c>
      <c r="D104" s="9" t="str">
        <f>VLOOKUP(IntComp[[#This Row],[DEVELOPMENT]],Data[],52,FALSE)</f>
        <v>FEDERAL</v>
      </c>
      <c r="E104" s="50">
        <f>VLOOKUP(IntComp[[#This Row],[DEVELOPMENT]],Data[],8,FALSE)</f>
        <v>0</v>
      </c>
      <c r="F104" s="50">
        <f>VLOOKUP(IntComp[[#This Row],[DEVELOPMENT]],all[[DEVELOPMENT]:[MRST Ext. Comp. Priority]],13,FALSE)</f>
        <v>2</v>
      </c>
      <c r="G104" s="50">
        <f>IF(VLOOKUP(IntComp[[#This Row],[DEVELOPMENT]],Data[],9,FALSE)=0,5,VLOOKUP(IntComp[[#This Row],[DEVELOPMENT]],Data[],9,FALSE))</f>
        <v>5</v>
      </c>
      <c r="H104" s="50">
        <f>VLOOKUP(IntComp[[#This Row],[DEVELOPMENT]],Data[],7,FALSE)</f>
        <v>60</v>
      </c>
      <c r="I104" s="50">
        <f>VLOOKUP(IntComp[[#This Row],[DEVELOPMENT]],Data[],5,FALSE)</f>
        <v>1</v>
      </c>
      <c r="J104" s="50"/>
      <c r="K104" s="50" t="str">
        <f ca="1">IFERROR(VLOOKUP(IntComp[[#This Row],[DEVELOPMENT]],Data[],4,FALSE),"")</f>
        <v>2020-2021</v>
      </c>
      <c r="L104" s="50" t="str">
        <f ca="1">IF(IntComp[[#This Row],[RAD/PACT]]="","",IF(OR(IntComp[[#This Row],[RAD/PACT]]="2022-2025",IntComp[[#This Row],[RAD/PACT]]=2019,IntComp[[#This Row],[RAD/PACT]]="2020-2021"),"Yes",""))</f>
        <v>Yes</v>
      </c>
      <c r="M104" s="51">
        <f ca="1">IF(VLOOKUP(IntComp[[#This Row],[DEVELOPMENT]],Data[],10,FALSE)=0,-1,DATEDIF(VLOOKUP(IntComp[[#This Row],[DEVELOPMENT]],Data[],12,FALSE),TODAY(),"Y"))</f>
        <v>24</v>
      </c>
      <c r="N10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04" s="51"/>
      <c r="P104" s="51"/>
      <c r="Q104" s="51"/>
      <c r="R104" s="47">
        <f ca="1">(IntComp[[#This Row],['# to Replace (MRST)]]*INDEX(UnitCosts[#All],MATCH(IntComp[[#This Row],[WORK TYPE]],UnitCosts[Work Type],0)+1,2))*(1+((IntComp[[#This Row],[est. Year]]-YEAR(TODAY()))*$R$2))</f>
        <v>0</v>
      </c>
      <c r="S104" s="1">
        <f ca="1">SUM(INDEX(IntComp['# to Replace (MRST)],1):IntComp[[#This Row],['# to Replace (MRST)]])-272</f>
        <v>133</v>
      </c>
      <c r="T104" s="51"/>
      <c r="U104" s="51">
        <f ca="1">IF(ISBLANK(IntComp[[#This Row],[CALENDAR YEAR]]),ROUNDDOWN(IntComp[[#This Row],[Count]]/190,0)+$U$1,IntComp[[#This Row],[CALENDAR YEAR]])</f>
        <v>2021</v>
      </c>
      <c r="V104" s="85">
        <f t="shared" ca="1" si="2"/>
        <v>8684309.8125</v>
      </c>
      <c r="W104" s="51"/>
      <c r="X104"/>
    </row>
    <row r="105" spans="1:24">
      <c r="A105" s="1" t="s">
        <v>380</v>
      </c>
      <c r="B105" s="9" t="str">
        <f>VLOOKUP(A105,Data[],2,FALSE)</f>
        <v>STATEN ISLAND</v>
      </c>
      <c r="C105" s="9" t="s">
        <v>106</v>
      </c>
      <c r="D105" s="9" t="str">
        <f>VLOOKUP(IntComp[[#This Row],[DEVELOPMENT]],Data[],52,FALSE)</f>
        <v>FEDERAL</v>
      </c>
      <c r="E105" s="50">
        <f>VLOOKUP(IntComp[[#This Row],[DEVELOPMENT]],Data[],8,FALSE)</f>
        <v>0</v>
      </c>
      <c r="F105" s="50">
        <f>VLOOKUP(IntComp[[#This Row],[DEVELOPMENT]],all[[DEVELOPMENT]:[MRST Ext. Comp. Priority]],13,FALSE)</f>
        <v>2</v>
      </c>
      <c r="G105" s="50">
        <f>IF(VLOOKUP(IntComp[[#This Row],[DEVELOPMENT]],Data[],9,FALSE)=0,5,VLOOKUP(IntComp[[#This Row],[DEVELOPMENT]],Data[],9,FALSE))</f>
        <v>5</v>
      </c>
      <c r="H105" s="50">
        <f>VLOOKUP(IntComp[[#This Row],[DEVELOPMENT]],Data[],7,FALSE)</f>
        <v>487</v>
      </c>
      <c r="I105" s="50">
        <f>VLOOKUP(IntComp[[#This Row],[DEVELOPMENT]],Data[],5,FALSE)</f>
        <v>8</v>
      </c>
      <c r="J105" s="50"/>
      <c r="K105" s="50" t="str">
        <f ca="1">IFERROR(VLOOKUP(IntComp[[#This Row],[DEVELOPMENT]],Data[],4,FALSE),"")</f>
        <v/>
      </c>
      <c r="L105" s="50" t="str">
        <f ca="1">IF(IntComp[[#This Row],[RAD/PACT]]="","",IF(OR(IntComp[[#This Row],[RAD/PACT]]="2022-2025",IntComp[[#This Row],[RAD/PACT]]=2019,IntComp[[#This Row],[RAD/PACT]]="2020-2021"),"Yes",""))</f>
        <v/>
      </c>
      <c r="M105" s="51">
        <f ca="1">IF(VLOOKUP(IntComp[[#This Row],[DEVELOPMENT]],Data[],10,FALSE)=0,-1,DATEDIF(VLOOKUP(IntComp[[#This Row],[DEVELOPMENT]],Data[],12,FALSE),TODAY(),"Y"))</f>
        <v>21</v>
      </c>
      <c r="N10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8</v>
      </c>
      <c r="O105" s="51"/>
      <c r="P105" s="51"/>
      <c r="Q105" s="51"/>
      <c r="R105" s="47">
        <f ca="1">(IntComp[[#This Row],['# to Replace (MRST)]]*INDEX(UnitCosts[#All],MATCH(IntComp[[#This Row],[WORK TYPE]],UnitCosts[Work Type],0)+1,2))*(1+((IntComp[[#This Row],[est. Year]]-YEAR(TODAY()))*$R$2))</f>
        <v>522364.49999999994</v>
      </c>
      <c r="S105" s="1">
        <f ca="1">SUM(INDEX(IntComp['# to Replace (MRST)],1):IntComp[[#This Row],['# to Replace (MRST)]])-272</f>
        <v>141</v>
      </c>
      <c r="T105" s="51"/>
      <c r="U105" s="51">
        <f ca="1">IF(ISBLANK(IntComp[[#This Row],[CALENDAR YEAR]]),ROUNDDOWN(IntComp[[#This Row],[Count]]/190,0)+$U$1,IntComp[[#This Row],[CALENDAR YEAR]])</f>
        <v>2021</v>
      </c>
      <c r="V105" s="85">
        <f t="shared" ca="1" si="2"/>
        <v>9206674.3125</v>
      </c>
      <c r="W105" s="51"/>
      <c r="X105"/>
    </row>
    <row r="106" spans="1:24">
      <c r="A106" s="1" t="s">
        <v>275</v>
      </c>
      <c r="B106" s="9" t="str">
        <f>VLOOKUP(A106,Data[],2,FALSE)</f>
        <v>BRONX</v>
      </c>
      <c r="C106" s="9" t="s">
        <v>106</v>
      </c>
      <c r="D106" s="9" t="str">
        <f>VLOOKUP(IntComp[[#This Row],[DEVELOPMENT]],Data[],52,FALSE)</f>
        <v>FEDERAL</v>
      </c>
      <c r="E106" s="50">
        <f>VLOOKUP(IntComp[[#This Row],[DEVELOPMENT]],Data[],8,FALSE)</f>
        <v>0</v>
      </c>
      <c r="F106" s="50">
        <f>VLOOKUP(IntComp[[#This Row],[DEVELOPMENT]],all[[DEVELOPMENT]:[MRST Ext. Comp. Priority]],13,FALSE)</f>
        <v>3</v>
      </c>
      <c r="G106" s="50">
        <f>IF(VLOOKUP(IntComp[[#This Row],[DEVELOPMENT]],Data[],9,FALSE)=0,5,VLOOKUP(IntComp[[#This Row],[DEVELOPMENT]],Data[],9,FALSE))</f>
        <v>5</v>
      </c>
      <c r="H106" s="50">
        <f>VLOOKUP(IntComp[[#This Row],[DEVELOPMENT]],Data[],7,FALSE)</f>
        <v>221</v>
      </c>
      <c r="I106" s="50">
        <f>VLOOKUP(IntComp[[#This Row],[DEVELOPMENT]],Data[],5,FALSE)</f>
        <v>2</v>
      </c>
      <c r="J106" s="50"/>
      <c r="K106" s="50" t="str">
        <f ca="1">IFERROR(VLOOKUP(IntComp[[#This Row],[DEVELOPMENT]],Data[],4,FALSE),"")</f>
        <v>2022-2025</v>
      </c>
      <c r="L106" s="50" t="str">
        <f ca="1">IF(IntComp[[#This Row],[RAD/PACT]]="","",IF(OR(IntComp[[#This Row],[RAD/PACT]]="2022-2025",IntComp[[#This Row],[RAD/PACT]]=2019,IntComp[[#This Row],[RAD/PACT]]="2020-2021"),"Yes",""))</f>
        <v>Yes</v>
      </c>
      <c r="M106" s="51">
        <f ca="1">IF(VLOOKUP(IntComp[[#This Row],[DEVELOPMENT]],Data[],10,FALSE)=0,-1,DATEDIF(VLOOKUP(IntComp[[#This Row],[DEVELOPMENT]],Data[],12,FALSE),TODAY(),"Y"))</f>
        <v>24</v>
      </c>
      <c r="N10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06" s="51"/>
      <c r="P106" s="51"/>
      <c r="Q106" s="51"/>
      <c r="R106" s="47">
        <f ca="1">(IntComp[[#This Row],['# to Replace (MRST)]]*INDEX(UnitCosts[#All],MATCH(IntComp[[#This Row],[WORK TYPE]],UnitCosts[Work Type],0)+1,2))*(1+((IntComp[[#This Row],[est. Year]]-YEAR(TODAY()))*$R$2))</f>
        <v>0</v>
      </c>
      <c r="S106" s="1">
        <f ca="1">SUM(INDEX(IntComp['# to Replace (MRST)],1):IntComp[[#This Row],['# to Replace (MRST)]])-272</f>
        <v>141</v>
      </c>
      <c r="T106" s="51"/>
      <c r="U106" s="51">
        <f ca="1">IF(ISBLANK(IntComp[[#This Row],[CALENDAR YEAR]]),ROUNDDOWN(IntComp[[#This Row],[Count]]/190,0)+$U$1,IntComp[[#This Row],[CALENDAR YEAR]])</f>
        <v>2021</v>
      </c>
      <c r="V106" s="85">
        <f t="shared" ca="1" si="2"/>
        <v>9206674.3125</v>
      </c>
      <c r="W106" s="71"/>
      <c r="X106"/>
    </row>
    <row r="107" spans="1:24">
      <c r="A107" s="1" t="s">
        <v>260</v>
      </c>
      <c r="B107" s="9" t="str">
        <f>VLOOKUP(A107,Data[],2,FALSE)</f>
        <v>BROOKLYN</v>
      </c>
      <c r="C107" s="9" t="s">
        <v>106</v>
      </c>
      <c r="D107" s="9" t="str">
        <f>VLOOKUP(IntComp[[#This Row],[DEVELOPMENT]],Data[],52,FALSE)</f>
        <v>FEDERAL</v>
      </c>
      <c r="E107" s="50">
        <f>VLOOKUP(IntComp[[#This Row],[DEVELOPMENT]],Data[],8,FALSE)</f>
        <v>0</v>
      </c>
      <c r="F107" s="50">
        <f>VLOOKUP(IntComp[[#This Row],[DEVELOPMENT]],all[[DEVELOPMENT]:[MRST Ext. Comp. Priority]],13,FALSE)</f>
        <v>2</v>
      </c>
      <c r="G107" s="50">
        <f>IF(VLOOKUP(IntComp[[#This Row],[DEVELOPMENT]],Data[],9,FALSE)=0,5,VLOOKUP(IntComp[[#This Row],[DEVELOPMENT]],Data[],9,FALSE))</f>
        <v>5</v>
      </c>
      <c r="H107" s="50">
        <f>VLOOKUP(IntComp[[#This Row],[DEVELOPMENT]],Data[],7,FALSE)</f>
        <v>528</v>
      </c>
      <c r="I107" s="50">
        <f>VLOOKUP(IntComp[[#This Row],[DEVELOPMENT]],Data[],5,FALSE)</f>
        <v>3</v>
      </c>
      <c r="J107" s="50"/>
      <c r="K107" s="50" t="str">
        <f ca="1">IFERROR(VLOOKUP(IntComp[[#This Row],[DEVELOPMENT]],Data[],4,FALSE),"")</f>
        <v/>
      </c>
      <c r="L107" s="50" t="str">
        <f ca="1">IF(IntComp[[#This Row],[RAD/PACT]]="","",IF(OR(IntComp[[#This Row],[RAD/PACT]]="2022-2025",IntComp[[#This Row],[RAD/PACT]]=2019,IntComp[[#This Row],[RAD/PACT]]="2020-2021"),"Yes",""))</f>
        <v/>
      </c>
      <c r="M107" s="51">
        <f ca="1">IF(VLOOKUP(IntComp[[#This Row],[DEVELOPMENT]],Data[],10,FALSE)=0,-1,DATEDIF(VLOOKUP(IntComp[[#This Row],[DEVELOPMENT]],Data[],12,FALSE),TODAY(),"Y"))</f>
        <v>21</v>
      </c>
      <c r="N10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107" s="51"/>
      <c r="P107" s="51"/>
      <c r="Q107" s="51"/>
      <c r="R107" s="47">
        <f ca="1">(IntComp[[#This Row],['# to Replace (MRST)]]*INDEX(UnitCosts[#All],MATCH(IntComp[[#This Row],[WORK TYPE]],UnitCosts[Work Type],0)+1,2))*(1+((IntComp[[#This Row],[est. Year]]-YEAR(TODAY()))*$R$2))</f>
        <v>195886.68749999997</v>
      </c>
      <c r="S107" s="1">
        <f ca="1">SUM(INDEX(IntComp['# to Replace (MRST)],1):IntComp[[#This Row],['# to Replace (MRST)]])-272</f>
        <v>144</v>
      </c>
      <c r="T107" s="51"/>
      <c r="U107" s="51">
        <f ca="1">IF(ISBLANK(IntComp[[#This Row],[CALENDAR YEAR]]),ROUNDDOWN(IntComp[[#This Row],[Count]]/190,0)+$U$1,IntComp[[#This Row],[CALENDAR YEAR]])</f>
        <v>2021</v>
      </c>
      <c r="V107" s="85">
        <f t="shared" ca="1" si="2"/>
        <v>9402561</v>
      </c>
      <c r="W107" s="51"/>
      <c r="X107"/>
    </row>
    <row r="108" spans="1:24">
      <c r="A108" s="1" t="s">
        <v>212</v>
      </c>
      <c r="B108" s="9" t="str">
        <f>VLOOKUP(A108,Data[],2,FALSE)</f>
        <v>QUEENS</v>
      </c>
      <c r="C108" s="9" t="s">
        <v>106</v>
      </c>
      <c r="D108" s="9" t="str">
        <f>VLOOKUP(IntComp[[#This Row],[DEVELOPMENT]],Data[],52,FALSE)</f>
        <v>FEDERAL</v>
      </c>
      <c r="E108" s="50">
        <f>VLOOKUP(IntComp[[#This Row],[DEVELOPMENT]],Data[],8,FALSE)</f>
        <v>0</v>
      </c>
      <c r="F108" s="50">
        <f>VLOOKUP(IntComp[[#This Row],[DEVELOPMENT]],all[[DEVELOPMENT]:[MRST Ext. Comp. Priority]],13,FALSE)</f>
        <v>2</v>
      </c>
      <c r="G108" s="50">
        <f>IF(VLOOKUP(IntComp[[#This Row],[DEVELOPMENT]],Data[],9,FALSE)=0,5,VLOOKUP(IntComp[[#This Row],[DEVELOPMENT]],Data[],9,FALSE))</f>
        <v>5</v>
      </c>
      <c r="H108" s="50">
        <f>VLOOKUP(IntComp[[#This Row],[DEVELOPMENT]],Data[],7,FALSE)</f>
        <v>2164</v>
      </c>
      <c r="I108" s="50">
        <f>VLOOKUP(IntComp[[#This Row],[DEVELOPMENT]],Data[],5,FALSE)</f>
        <v>31</v>
      </c>
      <c r="J108" s="50"/>
      <c r="K108" s="50" t="str">
        <f ca="1">IFERROR(VLOOKUP(IntComp[[#This Row],[DEVELOPMENT]],Data[],4,FALSE),"")</f>
        <v/>
      </c>
      <c r="L108" s="50" t="str">
        <f ca="1">IF(IntComp[[#This Row],[RAD/PACT]]="","",IF(OR(IntComp[[#This Row],[RAD/PACT]]="2022-2025",IntComp[[#This Row],[RAD/PACT]]=2019,IntComp[[#This Row],[RAD/PACT]]="2020-2021"),"Yes",""))</f>
        <v/>
      </c>
      <c r="M108" s="51">
        <f ca="1">IF(VLOOKUP(IntComp[[#This Row],[DEVELOPMENT]],Data[],10,FALSE)=0,-1,DATEDIF(VLOOKUP(IntComp[[#This Row],[DEVELOPMENT]],Data[],12,FALSE),TODAY(),"Y"))</f>
        <v>20</v>
      </c>
      <c r="N10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45</v>
      </c>
      <c r="O108" s="51"/>
      <c r="P108" s="51"/>
      <c r="Q108" s="51"/>
      <c r="R108" s="47">
        <f ca="1">(IntComp[[#This Row],['# to Replace (MRST)]]*INDEX(UnitCosts[#All],MATCH(IntComp[[#This Row],[WORK TYPE]],UnitCosts[Work Type],0)+1,2))*(1+((IntComp[[#This Row],[est. Year]]-YEAR(TODAY()))*$R$2))</f>
        <v>2938300.3125</v>
      </c>
      <c r="S108" s="1">
        <f ca="1">SUM(INDEX(IntComp['# to Replace (MRST)],1):IntComp[[#This Row],['# to Replace (MRST)]])-272</f>
        <v>189</v>
      </c>
      <c r="T108" s="51"/>
      <c r="U108" s="51">
        <f ca="1">IF(ISBLANK(IntComp[[#This Row],[CALENDAR YEAR]]),ROUNDDOWN(IntComp[[#This Row],[Count]]/190,0)+$U$1,IntComp[[#This Row],[CALENDAR YEAR]])</f>
        <v>2021</v>
      </c>
      <c r="V108" s="85">
        <f t="shared" ca="1" si="2"/>
        <v>12340861.3125</v>
      </c>
      <c r="W108" s="51"/>
      <c r="X108"/>
    </row>
    <row r="109" spans="1:24">
      <c r="A109" s="1" t="s">
        <v>261</v>
      </c>
      <c r="B109" s="9" t="str">
        <f>VLOOKUP(A109,Data[],2,FALSE)</f>
        <v>MANHATTAN</v>
      </c>
      <c r="C109" s="9" t="s">
        <v>106</v>
      </c>
      <c r="D109" s="9" t="str">
        <f>VLOOKUP(IntComp[[#This Row],[DEVELOPMENT]],Data[],52,FALSE)</f>
        <v>FEDERAL</v>
      </c>
      <c r="E109" s="50" t="str">
        <f>VLOOKUP(IntComp[[#This Row],[DEVELOPMENT]],Data[],8,FALSE)</f>
        <v>Zone 4</v>
      </c>
      <c r="F109" s="50">
        <f>VLOOKUP(IntComp[[#This Row],[DEVELOPMENT]],all[[DEVELOPMENT]:[MRST Ext. Comp. Priority]],13,FALSE)</f>
        <v>2</v>
      </c>
      <c r="G109" s="50">
        <f>IF(VLOOKUP(IntComp[[#This Row],[DEVELOPMENT]],Data[],9,FALSE)=0,5,VLOOKUP(IntComp[[#This Row],[DEVELOPMENT]],Data[],9,FALSE))</f>
        <v>5</v>
      </c>
      <c r="H109" s="50">
        <f>VLOOKUP(IntComp[[#This Row],[DEVELOPMENT]],Data[],7,FALSE)</f>
        <v>1084</v>
      </c>
      <c r="I109" s="50">
        <f>VLOOKUP(IntComp[[#This Row],[DEVELOPMENT]],Data[],5,FALSE)</f>
        <v>13</v>
      </c>
      <c r="J109" s="50"/>
      <c r="K109" s="50" t="str">
        <f ca="1">IFERROR(VLOOKUP(IntComp[[#This Row],[DEVELOPMENT]],Data[],4,FALSE),"")</f>
        <v/>
      </c>
      <c r="L109" s="50" t="str">
        <f ca="1">IF(IntComp[[#This Row],[RAD/PACT]]="","",IF(OR(IntComp[[#This Row],[RAD/PACT]]="2022-2025",IntComp[[#This Row],[RAD/PACT]]=2019,IntComp[[#This Row],[RAD/PACT]]="2020-2021"),"Yes",""))</f>
        <v/>
      </c>
      <c r="M109" s="51">
        <f ca="1">IF(VLOOKUP(IntComp[[#This Row],[DEVELOPMENT]],Data[],10,FALSE)=0,-1,DATEDIF(VLOOKUP(IntComp[[#This Row],[DEVELOPMENT]],Data[],12,FALSE),TODAY(),"Y"))</f>
        <v>20</v>
      </c>
      <c r="N10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24</v>
      </c>
      <c r="O109" s="51"/>
      <c r="P109" s="51"/>
      <c r="Q109" s="51"/>
      <c r="R109" s="47">
        <f ca="1">(IntComp[[#This Row],['# to Replace (MRST)]]*INDEX(UnitCosts[#All],MATCH(IntComp[[#This Row],[WORK TYPE]],UnitCosts[Work Type],0)+1,2))*(1+((IntComp[[#This Row],[est. Year]]-YEAR(TODAY()))*$R$2))</f>
        <v>1620087</v>
      </c>
      <c r="S109" s="1">
        <f ca="1">SUM(INDEX(IntComp['# to Replace (MRST)],1):IntComp[[#This Row],['# to Replace (MRST)]])-272</f>
        <v>213</v>
      </c>
      <c r="T109" s="51"/>
      <c r="U109" s="51">
        <f ca="1">IF(ISBLANK(IntComp[[#This Row],[CALENDAR YEAR]]),ROUNDDOWN(IntComp[[#This Row],[Count]]/190,0)+$U$1,IntComp[[#This Row],[CALENDAR YEAR]])</f>
        <v>2022</v>
      </c>
      <c r="V109" s="85">
        <f t="shared" ca="1" si="2"/>
        <v>1620087</v>
      </c>
      <c r="W109" s="51"/>
      <c r="X109"/>
    </row>
    <row r="110" spans="1:24">
      <c r="A110" s="1" t="s">
        <v>292</v>
      </c>
      <c r="B110" s="9" t="str">
        <f>VLOOKUP(A110,Data[],2,FALSE)</f>
        <v>BROOKLYN</v>
      </c>
      <c r="C110" s="9" t="s">
        <v>106</v>
      </c>
      <c r="D110" s="9" t="str">
        <f>VLOOKUP(IntComp[[#This Row],[DEVELOPMENT]],Data[],52,FALSE)</f>
        <v>FEDERAL</v>
      </c>
      <c r="E110" s="50">
        <f>VLOOKUP(IntComp[[#This Row],[DEVELOPMENT]],Data[],8,FALSE)</f>
        <v>0</v>
      </c>
      <c r="F110" s="50">
        <f>VLOOKUP(IntComp[[#This Row],[DEVELOPMENT]],all[[DEVELOPMENT]:[MRST Ext. Comp. Priority]],13,FALSE)</f>
        <v>4</v>
      </c>
      <c r="G110" s="50">
        <f>IF(VLOOKUP(IntComp[[#This Row],[DEVELOPMENT]],Data[],9,FALSE)=0,5,VLOOKUP(IntComp[[#This Row],[DEVELOPMENT]],Data[],9,FALSE))</f>
        <v>5</v>
      </c>
      <c r="H110" s="50">
        <f>VLOOKUP(IntComp[[#This Row],[DEVELOPMENT]],Data[],7,FALSE)</f>
        <v>30</v>
      </c>
      <c r="I110" s="50">
        <f>VLOOKUP(IntComp[[#This Row],[DEVELOPMENT]],Data[],5,FALSE)</f>
        <v>1</v>
      </c>
      <c r="J110" s="50"/>
      <c r="K110" s="50" t="str">
        <f ca="1">IFERROR(VLOOKUP(IntComp[[#This Row],[DEVELOPMENT]],Data[],4,FALSE),"")</f>
        <v>2020-2021</v>
      </c>
      <c r="L110" s="50" t="str">
        <f ca="1">IF(IntComp[[#This Row],[RAD/PACT]]="","",IF(OR(IntComp[[#This Row],[RAD/PACT]]="2022-2025",IntComp[[#This Row],[RAD/PACT]]=2019,IntComp[[#This Row],[RAD/PACT]]="2020-2021"),"Yes",""))</f>
        <v>Yes</v>
      </c>
      <c r="M110" s="51">
        <f ca="1">IF(VLOOKUP(IntComp[[#This Row],[DEVELOPMENT]],Data[],10,FALSE)=0,-1,DATEDIF(VLOOKUP(IntComp[[#This Row],[DEVELOPMENT]],Data[],12,FALSE),TODAY(),"Y"))</f>
        <v>23</v>
      </c>
      <c r="N11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10" s="51"/>
      <c r="P110" s="51"/>
      <c r="Q110" s="51"/>
      <c r="R110" s="47">
        <f ca="1">(IntComp[[#This Row],['# to Replace (MRST)]]*INDEX(UnitCosts[#All],MATCH(IntComp[[#This Row],[WORK TYPE]],UnitCosts[Work Type],0)+1,2))*(1+((IntComp[[#This Row],[est. Year]]-YEAR(TODAY()))*$R$2))</f>
        <v>0</v>
      </c>
      <c r="S110" s="1">
        <f ca="1">SUM(INDEX(IntComp['# to Replace (MRST)],1):IntComp[[#This Row],['# to Replace (MRST)]])-272</f>
        <v>213</v>
      </c>
      <c r="T110" s="51"/>
      <c r="U110" s="51">
        <f ca="1">IF(ISBLANK(IntComp[[#This Row],[CALENDAR YEAR]]),ROUNDDOWN(IntComp[[#This Row],[Count]]/190,0)+$U$1,IntComp[[#This Row],[CALENDAR YEAR]])</f>
        <v>2022</v>
      </c>
      <c r="V110" s="85">
        <f t="shared" ca="1" si="2"/>
        <v>1620087</v>
      </c>
      <c r="W110" s="71"/>
      <c r="X110"/>
    </row>
    <row r="111" spans="1:24">
      <c r="A111" s="1" t="s">
        <v>223</v>
      </c>
      <c r="B111" s="9" t="str">
        <f>VLOOKUP(A111,Data[],2,FALSE)</f>
        <v>BRONX</v>
      </c>
      <c r="C111" s="9" t="s">
        <v>106</v>
      </c>
      <c r="D111" s="9" t="str">
        <f>VLOOKUP(IntComp[[#This Row],[DEVELOPMENT]],Data[],52,FALSE)</f>
        <v>FEDERAL</v>
      </c>
      <c r="E111" s="50">
        <f>VLOOKUP(IntComp[[#This Row],[DEVELOPMENT]],Data[],8,FALSE)</f>
        <v>0</v>
      </c>
      <c r="F111" s="50">
        <f>VLOOKUP(IntComp[[#This Row],[DEVELOPMENT]],all[[DEVELOPMENT]:[MRST Ext. Comp. Priority]],13,FALSE)</f>
        <v>2</v>
      </c>
      <c r="G111" s="50">
        <f>IF(VLOOKUP(IntComp[[#This Row],[DEVELOPMENT]],Data[],9,FALSE)=0,5,VLOOKUP(IntComp[[#This Row],[DEVELOPMENT]],Data[],9,FALSE))</f>
        <v>5</v>
      </c>
      <c r="H111" s="50">
        <f>VLOOKUP(IntComp[[#This Row],[DEVELOPMENT]],Data[],7,FALSE)</f>
        <v>1732</v>
      </c>
      <c r="I111" s="50">
        <f>VLOOKUP(IntComp[[#This Row],[DEVELOPMENT]],Data[],5,FALSE)</f>
        <v>10</v>
      </c>
      <c r="J111" s="50"/>
      <c r="K111" s="50" t="str">
        <f ca="1">IFERROR(VLOOKUP(IntComp[[#This Row],[DEVELOPMENT]],Data[],4,FALSE),"")</f>
        <v>2026+</v>
      </c>
      <c r="L111" s="50" t="str">
        <f ca="1">IF(IntComp[[#This Row],[RAD/PACT]]="","",IF(OR(IntComp[[#This Row],[RAD/PACT]]="2022-2025",IntComp[[#This Row],[RAD/PACT]]=2019,IntComp[[#This Row],[RAD/PACT]]="2020-2021"),"Yes",""))</f>
        <v/>
      </c>
      <c r="M111" s="51">
        <f ca="1">IF(VLOOKUP(IntComp[[#This Row],[DEVELOPMENT]],Data[],10,FALSE)=0,-1,DATEDIF(VLOOKUP(IntComp[[#This Row],[DEVELOPMENT]],Data[],12,FALSE),TODAY(),"Y"))</f>
        <v>18</v>
      </c>
      <c r="N11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10</v>
      </c>
      <c r="O111" s="51"/>
      <c r="P111" s="51"/>
      <c r="Q111" s="51"/>
      <c r="R111" s="47">
        <f ca="1">(IntComp[[#This Row],['# to Replace (MRST)]]*INDEX(UnitCosts[#All],MATCH(IntComp[[#This Row],[WORK TYPE]],UnitCosts[Work Type],0)+1,2))*(1+((IntComp[[#This Row],[est. Year]]-YEAR(TODAY()))*$R$2))</f>
        <v>675036.25</v>
      </c>
      <c r="S111" s="1">
        <f ca="1">SUM(INDEX(IntComp['# to Replace (MRST)],1):IntComp[[#This Row],['# to Replace (MRST)]])-272</f>
        <v>223</v>
      </c>
      <c r="T111" s="51"/>
      <c r="U111" s="51">
        <f ca="1">IF(ISBLANK(IntComp[[#This Row],[CALENDAR YEAR]]),ROUNDDOWN(IntComp[[#This Row],[Count]]/190,0)+$U$1,IntComp[[#This Row],[CALENDAR YEAR]])</f>
        <v>2022</v>
      </c>
      <c r="V111" s="85">
        <f t="shared" ca="1" si="2"/>
        <v>2295123.25</v>
      </c>
      <c r="W111" s="71"/>
      <c r="X111"/>
    </row>
    <row r="112" spans="1:24">
      <c r="A112" s="1" t="s">
        <v>278</v>
      </c>
      <c r="B112" s="9" t="str">
        <f>VLOOKUP(A112,Data[],2,FALSE)</f>
        <v>BRONX</v>
      </c>
      <c r="C112" s="9" t="s">
        <v>106</v>
      </c>
      <c r="D112" s="9" t="str">
        <f>VLOOKUP(IntComp[[#This Row],[DEVELOPMENT]],Data[],52,FALSE)</f>
        <v>FEDERAL</v>
      </c>
      <c r="E112" s="50">
        <f>VLOOKUP(IntComp[[#This Row],[DEVELOPMENT]],Data[],8,FALSE)</f>
        <v>0</v>
      </c>
      <c r="F112" s="50">
        <f>VLOOKUP(IntComp[[#This Row],[DEVELOPMENT]],all[[DEVELOPMENT]:[MRST Ext. Comp. Priority]],13,FALSE)</f>
        <v>2</v>
      </c>
      <c r="G112" s="50">
        <f>IF(VLOOKUP(IntComp[[#This Row],[DEVELOPMENT]],Data[],9,FALSE)=0,5,VLOOKUP(IntComp[[#This Row],[DEVELOPMENT]],Data[],9,FALSE))</f>
        <v>5</v>
      </c>
      <c r="H112" s="50">
        <f>VLOOKUP(IntComp[[#This Row],[DEVELOPMENT]],Data[],7,FALSE)</f>
        <v>924</v>
      </c>
      <c r="I112" s="50">
        <f>VLOOKUP(IntComp[[#This Row],[DEVELOPMENT]],Data[],5,FALSE)</f>
        <v>7</v>
      </c>
      <c r="J112" s="50"/>
      <c r="K112" s="50" t="str">
        <f ca="1">IFERROR(VLOOKUP(IntComp[[#This Row],[DEVELOPMENT]],Data[],4,FALSE),"")</f>
        <v/>
      </c>
      <c r="L112" s="50" t="str">
        <f ca="1">IF(IntComp[[#This Row],[RAD/PACT]]="","",IF(OR(IntComp[[#This Row],[RAD/PACT]]="2022-2025",IntComp[[#This Row],[RAD/PACT]]=2019,IntComp[[#This Row],[RAD/PACT]]="2020-2021"),"Yes",""))</f>
        <v/>
      </c>
      <c r="M112" s="51">
        <f ca="1">IF(VLOOKUP(IntComp[[#This Row],[DEVELOPMENT]],Data[],10,FALSE)=0,-1,DATEDIF(VLOOKUP(IntComp[[#This Row],[DEVELOPMENT]],Data[],12,FALSE),TODAY(),"Y"))</f>
        <v>18</v>
      </c>
      <c r="N11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7</v>
      </c>
      <c r="O112" s="51"/>
      <c r="P112" s="51"/>
      <c r="Q112" s="51"/>
      <c r="R112" s="47">
        <f ca="1">(IntComp[[#This Row],['# to Replace (MRST)]]*INDEX(UnitCosts[#All],MATCH(IntComp[[#This Row],[WORK TYPE]],UnitCosts[Work Type],0)+1,2))*(1+((IntComp[[#This Row],[est. Year]]-YEAR(TODAY()))*$R$2))</f>
        <v>472525.375</v>
      </c>
      <c r="S112" s="1">
        <f ca="1">SUM(INDEX(IntComp['# to Replace (MRST)],1):IntComp[[#This Row],['# to Replace (MRST)]])-272</f>
        <v>230</v>
      </c>
      <c r="T112" s="51"/>
      <c r="U112" s="51">
        <f ca="1">IF(ISBLANK(IntComp[[#This Row],[CALENDAR YEAR]]),ROUNDDOWN(IntComp[[#This Row],[Count]]/190,0)+$U$1,IntComp[[#This Row],[CALENDAR YEAR]])</f>
        <v>2022</v>
      </c>
      <c r="V112" s="85">
        <f t="shared" ca="1" si="2"/>
        <v>2767648.625</v>
      </c>
      <c r="W112" s="51"/>
      <c r="X112"/>
    </row>
    <row r="113" spans="1:24">
      <c r="A113" s="1" t="s">
        <v>334</v>
      </c>
      <c r="B113" s="9" t="str">
        <f>VLOOKUP(A113,Data[],2,FALSE)</f>
        <v>BROOKLYN</v>
      </c>
      <c r="C113" s="9" t="s">
        <v>106</v>
      </c>
      <c r="D113" s="9" t="str">
        <f>VLOOKUP(IntComp[[#This Row],[DEVELOPMENT]],Data[],52,FALSE)</f>
        <v>FEDERAL</v>
      </c>
      <c r="E113" s="50">
        <f>VLOOKUP(IntComp[[#This Row],[DEVELOPMENT]],Data[],8,FALSE)</f>
        <v>0</v>
      </c>
      <c r="F113" s="50">
        <f>VLOOKUP(IntComp[[#This Row],[DEVELOPMENT]],all[[DEVELOPMENT]:[MRST Ext. Comp. Priority]],13,FALSE)</f>
        <v>2</v>
      </c>
      <c r="G113" s="50">
        <f>IF(VLOOKUP(IntComp[[#This Row],[DEVELOPMENT]],Data[],9,FALSE)=0,5,VLOOKUP(IntComp[[#This Row],[DEVELOPMENT]],Data[],9,FALSE))</f>
        <v>5</v>
      </c>
      <c r="H113" s="50">
        <f>VLOOKUP(IntComp[[#This Row],[DEVELOPMENT]],Data[],7,FALSE)</f>
        <v>509</v>
      </c>
      <c r="I113" s="50">
        <f>VLOOKUP(IntComp[[#This Row],[DEVELOPMENT]],Data[],5,FALSE)</f>
        <v>3</v>
      </c>
      <c r="J113" s="50"/>
      <c r="K113" s="50" t="str">
        <f ca="1">IFERROR(VLOOKUP(IntComp[[#This Row],[DEVELOPMENT]],Data[],4,FALSE),"")</f>
        <v/>
      </c>
      <c r="L113" s="50" t="str">
        <f ca="1">IF(IntComp[[#This Row],[RAD/PACT]]="","",IF(OR(IntComp[[#This Row],[RAD/PACT]]="2022-2025",IntComp[[#This Row],[RAD/PACT]]=2019,IntComp[[#This Row],[RAD/PACT]]="2020-2021"),"Yes",""))</f>
        <v/>
      </c>
      <c r="M113" s="51">
        <f ca="1">IF(VLOOKUP(IntComp[[#This Row],[DEVELOPMENT]],Data[],10,FALSE)=0,-1,DATEDIF(VLOOKUP(IntComp[[#This Row],[DEVELOPMENT]],Data[],12,FALSE),TODAY(),"Y"))</f>
        <v>17</v>
      </c>
      <c r="N11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113" s="51"/>
      <c r="P113" s="51"/>
      <c r="Q113" s="51"/>
      <c r="R113" s="47">
        <f ca="1">(IntComp[[#This Row],['# to Replace (MRST)]]*INDEX(UnitCosts[#All],MATCH(IntComp[[#This Row],[WORK TYPE]],UnitCosts[Work Type],0)+1,2))*(1+((IntComp[[#This Row],[est. Year]]-YEAR(TODAY()))*$R$2))</f>
        <v>202510.875</v>
      </c>
      <c r="S113" s="1">
        <f ca="1">SUM(INDEX(IntComp['# to Replace (MRST)],1):IntComp[[#This Row],['# to Replace (MRST)]])-272</f>
        <v>233</v>
      </c>
      <c r="T113" s="51"/>
      <c r="U113" s="51">
        <f ca="1">IF(ISBLANK(IntComp[[#This Row],[CALENDAR YEAR]]),ROUNDDOWN(IntComp[[#This Row],[Count]]/190,0)+$U$1,IntComp[[#This Row],[CALENDAR YEAR]])</f>
        <v>2022</v>
      </c>
      <c r="V113" s="85">
        <f t="shared" ca="1" si="2"/>
        <v>2970159.5</v>
      </c>
      <c r="W113" s="51"/>
      <c r="X113"/>
    </row>
    <row r="114" spans="1:24">
      <c r="A114" s="1" t="s">
        <v>269</v>
      </c>
      <c r="B114" s="9" t="str">
        <f>VLOOKUP(A114,Data[],2,FALSE)</f>
        <v>QUEENS</v>
      </c>
      <c r="C114" s="9" t="s">
        <v>106</v>
      </c>
      <c r="D114" s="9" t="str">
        <f>VLOOKUP(IntComp[[#This Row],[DEVELOPMENT]],Data[],52,FALSE)</f>
        <v>FEDERAL</v>
      </c>
      <c r="E114" s="50">
        <f>VLOOKUP(IntComp[[#This Row],[DEVELOPMENT]],Data[],8,FALSE)</f>
        <v>0</v>
      </c>
      <c r="F114" s="50">
        <f>VLOOKUP(IntComp[[#This Row],[DEVELOPMENT]],all[[DEVELOPMENT]:[MRST Ext. Comp. Priority]],13,FALSE)</f>
        <v>2</v>
      </c>
      <c r="G114" s="50">
        <f>IF(VLOOKUP(IntComp[[#This Row],[DEVELOPMENT]],Data[],9,FALSE)=0,5,VLOOKUP(IntComp[[#This Row],[DEVELOPMENT]],Data[],9,FALSE))</f>
        <v>5</v>
      </c>
      <c r="H114" s="50">
        <f>VLOOKUP(IntComp[[#This Row],[DEVELOPMENT]],Data[],7,FALSE)</f>
        <v>598</v>
      </c>
      <c r="I114" s="50">
        <f>VLOOKUP(IntComp[[#This Row],[DEVELOPMENT]],Data[],5,FALSE)</f>
        <v>16</v>
      </c>
      <c r="J114" s="50"/>
      <c r="K114" s="50" t="str">
        <f ca="1">IFERROR(VLOOKUP(IntComp[[#This Row],[DEVELOPMENT]],Data[],4,FALSE),"")</f>
        <v>2026+</v>
      </c>
      <c r="L114" s="50" t="str">
        <f ca="1">IF(IntComp[[#This Row],[RAD/PACT]]="","",IF(OR(IntComp[[#This Row],[RAD/PACT]]="2022-2025",IntComp[[#This Row],[RAD/PACT]]=2019,IntComp[[#This Row],[RAD/PACT]]="2020-2021"),"Yes",""))</f>
        <v/>
      </c>
      <c r="M114" s="51">
        <f ca="1">IF(VLOOKUP(IntComp[[#This Row],[DEVELOPMENT]],Data[],10,FALSE)=0,-1,DATEDIF(VLOOKUP(IntComp[[#This Row],[DEVELOPMENT]],Data[],12,FALSE),TODAY(),"Y"))</f>
        <v>17</v>
      </c>
      <c r="N11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27</v>
      </c>
      <c r="O114" s="51"/>
      <c r="P114" s="51"/>
      <c r="Q114" s="51"/>
      <c r="R114" s="47">
        <f ca="1">(IntComp[[#This Row],['# to Replace (MRST)]]*INDEX(UnitCosts[#All],MATCH(IntComp[[#This Row],[WORK TYPE]],UnitCosts[Work Type],0)+1,2))*(1+((IntComp[[#This Row],[est. Year]]-YEAR(TODAY()))*$R$2))</f>
        <v>1822597.875</v>
      </c>
      <c r="S114" s="1">
        <f ca="1">SUM(INDEX(IntComp['# to Replace (MRST)],1):IntComp[[#This Row],['# to Replace (MRST)]])-272</f>
        <v>260</v>
      </c>
      <c r="T114" s="51"/>
      <c r="U114" s="51">
        <f ca="1">IF(ISBLANK(IntComp[[#This Row],[CALENDAR YEAR]]),ROUNDDOWN(IntComp[[#This Row],[Count]]/190,0)+$U$1,IntComp[[#This Row],[CALENDAR YEAR]])</f>
        <v>2022</v>
      </c>
      <c r="V114" s="85">
        <f t="shared" ca="1" si="2"/>
        <v>4792757.375</v>
      </c>
      <c r="W114" s="71"/>
      <c r="X114"/>
    </row>
    <row r="115" spans="1:24">
      <c r="A115" s="1" t="s">
        <v>325</v>
      </c>
      <c r="B115" s="9" t="str">
        <f>VLOOKUP(A115,Data[],2,FALSE)</f>
        <v>BROOKLYN</v>
      </c>
      <c r="C115" s="9" t="s">
        <v>106</v>
      </c>
      <c r="D115" s="9" t="str">
        <f>VLOOKUP(IntComp[[#This Row],[DEVELOPMENT]],Data[],52,FALSE)</f>
        <v>FEDERAL</v>
      </c>
      <c r="E115" s="50">
        <f>VLOOKUP(IntComp[[#This Row],[DEVELOPMENT]],Data[],8,FALSE)</f>
        <v>0</v>
      </c>
      <c r="F115" s="50">
        <f>VLOOKUP(IntComp[[#This Row],[DEVELOPMENT]],all[[DEVELOPMENT]:[MRST Ext. Comp. Priority]],13,FALSE)</f>
        <v>2</v>
      </c>
      <c r="G115" s="50">
        <f>IF(VLOOKUP(IntComp[[#This Row],[DEVELOPMENT]],Data[],9,FALSE)=0,5,VLOOKUP(IntComp[[#This Row],[DEVELOPMENT]],Data[],9,FALSE))</f>
        <v>5</v>
      </c>
      <c r="H115" s="50">
        <f>VLOOKUP(IntComp[[#This Row],[DEVELOPMENT]],Data[],7,FALSE)</f>
        <v>1186</v>
      </c>
      <c r="I115" s="50">
        <f>VLOOKUP(IntComp[[#This Row],[DEVELOPMENT]],Data[],5,FALSE)</f>
        <v>20</v>
      </c>
      <c r="J115" s="50"/>
      <c r="K115" s="50" t="str">
        <f ca="1">IFERROR(VLOOKUP(IntComp[[#This Row],[DEVELOPMENT]],Data[],4,FALSE),"")</f>
        <v>2026+</v>
      </c>
      <c r="L115" s="50" t="str">
        <f ca="1">IF(IntComp[[#This Row],[RAD/PACT]]="","",IF(OR(IntComp[[#This Row],[RAD/PACT]]="2022-2025",IntComp[[#This Row],[RAD/PACT]]=2019,IntComp[[#This Row],[RAD/PACT]]="2020-2021"),"Yes",""))</f>
        <v/>
      </c>
      <c r="M115" s="51">
        <f ca="1">IF(VLOOKUP(IntComp[[#This Row],[DEVELOPMENT]],Data[],10,FALSE)=0,-1,DATEDIF(VLOOKUP(IntComp[[#This Row],[DEVELOPMENT]],Data[],12,FALSE),TODAY(),"Y"))</f>
        <v>16</v>
      </c>
      <c r="N11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40</v>
      </c>
      <c r="O115" s="51"/>
      <c r="P115" s="51"/>
      <c r="Q115" s="51"/>
      <c r="R115" s="47">
        <f ca="1">(IntComp[[#This Row],['# to Replace (MRST)]]*INDEX(UnitCosts[#All],MATCH(IntComp[[#This Row],[WORK TYPE]],UnitCosts[Work Type],0)+1,2))*(1+((IntComp[[#This Row],[est. Year]]-YEAR(TODAY()))*$R$2))</f>
        <v>2700145</v>
      </c>
      <c r="S115" s="1">
        <f ca="1">SUM(INDEX(IntComp['# to Replace (MRST)],1):IntComp[[#This Row],['# to Replace (MRST)]])-272</f>
        <v>300</v>
      </c>
      <c r="T115" s="51"/>
      <c r="U115" s="51">
        <f ca="1">IF(ISBLANK(IntComp[[#This Row],[CALENDAR YEAR]]),ROUNDDOWN(IntComp[[#This Row],[Count]]/190,0)+$U$1,IntComp[[#This Row],[CALENDAR YEAR]])</f>
        <v>2022</v>
      </c>
      <c r="V115" s="85">
        <f t="shared" ca="1" si="2"/>
        <v>7492902.375</v>
      </c>
      <c r="W115" s="71"/>
      <c r="X115"/>
    </row>
    <row r="116" spans="1:24">
      <c r="A116" s="1" t="s">
        <v>327</v>
      </c>
      <c r="B116" s="9" t="str">
        <f>VLOOKUP(A116,Data[],2,FALSE)</f>
        <v>BROOKLYN</v>
      </c>
      <c r="C116" s="9" t="s">
        <v>106</v>
      </c>
      <c r="D116" s="9" t="str">
        <f>VLOOKUP(IntComp[[#This Row],[DEVELOPMENT]],Data[],52,FALSE)</f>
        <v>FEDERAL</v>
      </c>
      <c r="E116" s="50">
        <f>VLOOKUP(IntComp[[#This Row],[DEVELOPMENT]],Data[],8,FALSE)</f>
        <v>0</v>
      </c>
      <c r="F116" s="50">
        <f>VLOOKUP(IntComp[[#This Row],[DEVELOPMENT]],all[[DEVELOPMENT]:[MRST Ext. Comp. Priority]],13,FALSE)</f>
        <v>2</v>
      </c>
      <c r="G116" s="50">
        <f>IF(VLOOKUP(IntComp[[#This Row],[DEVELOPMENT]],Data[],9,FALSE)=0,5,VLOOKUP(IntComp[[#This Row],[DEVELOPMENT]],Data[],9,FALSE))</f>
        <v>5</v>
      </c>
      <c r="H116" s="50">
        <f>VLOOKUP(IntComp[[#This Row],[DEVELOPMENT]],Data[],7,FALSE)</f>
        <v>627</v>
      </c>
      <c r="I116" s="50">
        <f>VLOOKUP(IntComp[[#This Row],[DEVELOPMENT]],Data[],5,FALSE)</f>
        <v>15</v>
      </c>
      <c r="J116" s="50"/>
      <c r="K116" s="50" t="str">
        <f ca="1">IFERROR(VLOOKUP(IntComp[[#This Row],[DEVELOPMENT]],Data[],4,FALSE),"")</f>
        <v>2026+</v>
      </c>
      <c r="L116" s="50" t="str">
        <f ca="1">IF(IntComp[[#This Row],[RAD/PACT]]="","",IF(OR(IntComp[[#This Row],[RAD/PACT]]="2022-2025",IntComp[[#This Row],[RAD/PACT]]=2019,IntComp[[#This Row],[RAD/PACT]]="2020-2021"),"Yes",""))</f>
        <v/>
      </c>
      <c r="M116" s="51">
        <f ca="1">IF(VLOOKUP(IntComp[[#This Row],[DEVELOPMENT]],Data[],10,FALSE)=0,-1,DATEDIF(VLOOKUP(IntComp[[#This Row],[DEVELOPMENT]],Data[],12,FALSE),TODAY(),"Y"))</f>
        <v>16</v>
      </c>
      <c r="N11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15</v>
      </c>
      <c r="O116" s="51"/>
      <c r="P116" s="51"/>
      <c r="Q116" s="51"/>
      <c r="R116" s="47">
        <f ca="1">(IntComp[[#This Row],['# to Replace (MRST)]]*INDEX(UnitCosts[#All],MATCH(IntComp[[#This Row],[WORK TYPE]],UnitCosts[Work Type],0)+1,2))*(1+((IntComp[[#This Row],[est. Year]]-YEAR(TODAY()))*$R$2))</f>
        <v>1012554.3750000001</v>
      </c>
      <c r="S116" s="1">
        <f ca="1">SUM(INDEX(IntComp['# to Replace (MRST)],1):IntComp[[#This Row],['# to Replace (MRST)]])-272</f>
        <v>315</v>
      </c>
      <c r="T116" s="51"/>
      <c r="U116" s="51">
        <f ca="1">IF(ISBLANK(IntComp[[#This Row],[CALENDAR YEAR]]),ROUNDDOWN(IntComp[[#This Row],[Count]]/190,0)+$U$1,IntComp[[#This Row],[CALENDAR YEAR]])</f>
        <v>2022</v>
      </c>
      <c r="V116" s="85">
        <f t="shared" ca="1" si="2"/>
        <v>8505456.75</v>
      </c>
      <c r="W116" s="71"/>
      <c r="X116"/>
    </row>
    <row r="117" spans="1:24">
      <c r="A117" s="1" t="s">
        <v>329</v>
      </c>
      <c r="B117" s="9" t="str">
        <f>VLOOKUP(A117,Data[],2,FALSE)</f>
        <v>BROOKLYN</v>
      </c>
      <c r="C117" s="9" t="s">
        <v>106</v>
      </c>
      <c r="D117" s="9" t="str">
        <f>VLOOKUP(IntComp[[#This Row],[DEVELOPMENT]],Data[],52,FALSE)</f>
        <v>FEDERAL</v>
      </c>
      <c r="E117" s="50">
        <f>VLOOKUP(IntComp[[#This Row],[DEVELOPMENT]],Data[],8,FALSE)</f>
        <v>0</v>
      </c>
      <c r="F117" s="50">
        <f>VLOOKUP(IntComp[[#This Row],[DEVELOPMENT]],all[[DEVELOPMENT]:[MRST Ext. Comp. Priority]],13,FALSE)</f>
        <v>2</v>
      </c>
      <c r="G117" s="50">
        <f>IF(VLOOKUP(IntComp[[#This Row],[DEVELOPMENT]],Data[],9,FALSE)=0,5,VLOOKUP(IntComp[[#This Row],[DEVELOPMENT]],Data[],9,FALSE))</f>
        <v>5</v>
      </c>
      <c r="H117" s="50">
        <f>VLOOKUP(IntComp[[#This Row],[DEVELOPMENT]],Data[],7,FALSE)</f>
        <v>380</v>
      </c>
      <c r="I117" s="50">
        <f>VLOOKUP(IntComp[[#This Row],[DEVELOPMENT]],Data[],5,FALSE)</f>
        <v>3</v>
      </c>
      <c r="J117" s="50"/>
      <c r="K117" s="50" t="str">
        <f ca="1">IFERROR(VLOOKUP(IntComp[[#This Row],[DEVELOPMENT]],Data[],4,FALSE),"")</f>
        <v/>
      </c>
      <c r="L117" s="50" t="str">
        <f ca="1">IF(IntComp[[#This Row],[RAD/PACT]]="","",IF(OR(IntComp[[#This Row],[RAD/PACT]]="2022-2025",IntComp[[#This Row],[RAD/PACT]]=2019,IntComp[[#This Row],[RAD/PACT]]="2020-2021"),"Yes",""))</f>
        <v/>
      </c>
      <c r="M117" s="51">
        <f ca="1">IF(VLOOKUP(IntComp[[#This Row],[DEVELOPMENT]],Data[],10,FALSE)=0,-1,DATEDIF(VLOOKUP(IntComp[[#This Row],[DEVELOPMENT]],Data[],12,FALSE),TODAY(),"Y"))</f>
        <v>16</v>
      </c>
      <c r="N11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117" s="51"/>
      <c r="P117" s="51"/>
      <c r="Q117" s="51"/>
      <c r="R117" s="47">
        <f ca="1">(IntComp[[#This Row],['# to Replace (MRST)]]*INDEX(UnitCosts[#All],MATCH(IntComp[[#This Row],[WORK TYPE]],UnitCosts[Work Type],0)+1,2))*(1+((IntComp[[#This Row],[est. Year]]-YEAR(TODAY()))*$R$2))</f>
        <v>202510.875</v>
      </c>
      <c r="S117" s="1">
        <f ca="1">SUM(INDEX(IntComp['# to Replace (MRST)],1):IntComp[[#This Row],['# to Replace (MRST)]])-272</f>
        <v>318</v>
      </c>
      <c r="T117" s="51"/>
      <c r="U117" s="51">
        <f ca="1">IF(ISBLANK(IntComp[[#This Row],[CALENDAR YEAR]]),ROUNDDOWN(IntComp[[#This Row],[Count]]/190,0)+$U$1,IntComp[[#This Row],[CALENDAR YEAR]])</f>
        <v>2022</v>
      </c>
      <c r="V117" s="85">
        <f t="shared" ca="1" si="2"/>
        <v>8707967.625</v>
      </c>
      <c r="W117" s="71"/>
      <c r="X117"/>
    </row>
    <row r="118" spans="1:24">
      <c r="A118" s="1" t="s">
        <v>277</v>
      </c>
      <c r="B118" s="9" t="str">
        <f>VLOOKUP(A118,Data[],2,FALSE)</f>
        <v>BRONX</v>
      </c>
      <c r="C118" s="9" t="s">
        <v>106</v>
      </c>
      <c r="D118" s="9" t="str">
        <f>VLOOKUP(IntComp[[#This Row],[DEVELOPMENT]],Data[],52,FALSE)</f>
        <v>FEDERAL</v>
      </c>
      <c r="E118" s="50">
        <f>VLOOKUP(IntComp[[#This Row],[DEVELOPMENT]],Data[],8,FALSE)</f>
        <v>0</v>
      </c>
      <c r="F118" s="50">
        <f>VLOOKUP(IntComp[[#This Row],[DEVELOPMENT]],all[[DEVELOPMENT]:[MRST Ext. Comp. Priority]],13,FALSE)</f>
        <v>2</v>
      </c>
      <c r="G118" s="50">
        <f>IF(VLOOKUP(IntComp[[#This Row],[DEVELOPMENT]],Data[],9,FALSE)=0,5,VLOOKUP(IntComp[[#This Row],[DEVELOPMENT]],Data[],9,FALSE))</f>
        <v>5</v>
      </c>
      <c r="H118" s="50">
        <f>VLOOKUP(IntComp[[#This Row],[DEVELOPMENT]],Data[],7,FALSE)</f>
        <v>125</v>
      </c>
      <c r="I118" s="50">
        <f>VLOOKUP(IntComp[[#This Row],[DEVELOPMENT]],Data[],5,FALSE)</f>
        <v>1</v>
      </c>
      <c r="J118" s="50"/>
      <c r="K118" s="50" t="str">
        <f ca="1">IFERROR(VLOOKUP(IntComp[[#This Row],[DEVELOPMENT]],Data[],4,FALSE),"")</f>
        <v/>
      </c>
      <c r="L118" s="50" t="str">
        <f ca="1">IF(IntComp[[#This Row],[RAD/PACT]]="","",IF(OR(IntComp[[#This Row],[RAD/PACT]]="2022-2025",IntComp[[#This Row],[RAD/PACT]]=2019,IntComp[[#This Row],[RAD/PACT]]="2020-2021"),"Yes",""))</f>
        <v/>
      </c>
      <c r="M118" s="51">
        <f ca="1">IF(VLOOKUP(IntComp[[#This Row],[DEVELOPMENT]],Data[],10,FALSE)=0,-1,DATEDIF(VLOOKUP(IntComp[[#This Row],[DEVELOPMENT]],Data[],12,FALSE),TODAY(),"Y"))</f>
        <v>16</v>
      </c>
      <c r="N11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18" s="51"/>
      <c r="P118" s="51"/>
      <c r="Q118" s="51"/>
      <c r="R118" s="47">
        <f ca="1">(IntComp[[#This Row],['# to Replace (MRST)]]*INDEX(UnitCosts[#All],MATCH(IntComp[[#This Row],[WORK TYPE]],UnitCosts[Work Type],0)+1,2))*(1+((IntComp[[#This Row],[est. Year]]-YEAR(TODAY()))*$R$2))</f>
        <v>67503.625</v>
      </c>
      <c r="S118" s="1">
        <f ca="1">SUM(INDEX(IntComp['# to Replace (MRST)],1):IntComp[[#This Row],['# to Replace (MRST)]])-272</f>
        <v>319</v>
      </c>
      <c r="T118" s="51"/>
      <c r="U118" s="51">
        <f ca="1">IF(ISBLANK(IntComp[[#This Row],[CALENDAR YEAR]]),ROUNDDOWN(IntComp[[#This Row],[Count]]/190,0)+$U$1,IntComp[[#This Row],[CALENDAR YEAR]])</f>
        <v>2022</v>
      </c>
      <c r="V118" s="85">
        <f t="shared" ca="1" si="2"/>
        <v>8775471.25</v>
      </c>
      <c r="W118" s="71"/>
      <c r="X118"/>
    </row>
    <row r="119" spans="1:24">
      <c r="A119" s="1" t="s">
        <v>373</v>
      </c>
      <c r="B119" s="9" t="str">
        <f>VLOOKUP(A119,Data[],2,FALSE)</f>
        <v>BROOKLYN</v>
      </c>
      <c r="C119" s="9" t="s">
        <v>106</v>
      </c>
      <c r="D119" s="9" t="str">
        <f>VLOOKUP(IntComp[[#This Row],[DEVELOPMENT]],Data[],52,FALSE)</f>
        <v>FEDERAL</v>
      </c>
      <c r="E119" s="50">
        <f>VLOOKUP(IntComp[[#This Row],[DEVELOPMENT]],Data[],8,FALSE)</f>
        <v>0</v>
      </c>
      <c r="F119" s="50">
        <f>VLOOKUP(IntComp[[#This Row],[DEVELOPMENT]],all[[DEVELOPMENT]:[MRST Ext. Comp. Priority]],13,FALSE)</f>
        <v>4</v>
      </c>
      <c r="G119" s="50">
        <f>IF(VLOOKUP(IntComp[[#This Row],[DEVELOPMENT]],Data[],9,FALSE)=0,5,VLOOKUP(IntComp[[#This Row],[DEVELOPMENT]],Data[],9,FALSE))</f>
        <v>5</v>
      </c>
      <c r="H119" s="50">
        <f>VLOOKUP(IntComp[[#This Row],[DEVELOPMENT]],Data[],7,FALSE)</f>
        <v>1603</v>
      </c>
      <c r="I119" s="50">
        <f>VLOOKUP(IntComp[[#This Row],[DEVELOPMENT]],Data[],5,FALSE)</f>
        <v>22</v>
      </c>
      <c r="J119" s="50"/>
      <c r="K119" s="50" t="str">
        <f ca="1">IFERROR(VLOOKUP(IntComp[[#This Row],[DEVELOPMENT]],Data[],4,FALSE),"")</f>
        <v>2022-2025</v>
      </c>
      <c r="L119" s="50" t="str">
        <f ca="1">IF(IntComp[[#This Row],[RAD/PACT]]="","",IF(OR(IntComp[[#This Row],[RAD/PACT]]="2022-2025",IntComp[[#This Row],[RAD/PACT]]=2019,IntComp[[#This Row],[RAD/PACT]]="2020-2021"),"Yes",""))</f>
        <v>Yes</v>
      </c>
      <c r="M119" s="51">
        <f ca="1">IF(VLOOKUP(IntComp[[#This Row],[DEVELOPMENT]],Data[],10,FALSE)=0,-1,DATEDIF(VLOOKUP(IntComp[[#This Row],[DEVELOPMENT]],Data[],12,FALSE),TODAY(),"Y"))</f>
        <v>22</v>
      </c>
      <c r="N11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19" s="51"/>
      <c r="P119" s="51"/>
      <c r="Q119" s="51"/>
      <c r="R119" s="47">
        <f ca="1">(IntComp[[#This Row],['# to Replace (MRST)]]*INDEX(UnitCosts[#All],MATCH(IntComp[[#This Row],[WORK TYPE]],UnitCosts[Work Type],0)+1,2))*(1+((IntComp[[#This Row],[est. Year]]-YEAR(TODAY()))*$R$2))</f>
        <v>0</v>
      </c>
      <c r="S119" s="1">
        <f ca="1">SUM(INDEX(IntComp['# to Replace (MRST)],1):IntComp[[#This Row],['# to Replace (MRST)]])-272</f>
        <v>319</v>
      </c>
      <c r="T119" s="51"/>
      <c r="U119" s="51">
        <f ca="1">IF(ISBLANK(IntComp[[#This Row],[CALENDAR YEAR]]),ROUNDDOWN(IntComp[[#This Row],[Count]]/190,0)+$U$1,IntComp[[#This Row],[CALENDAR YEAR]])</f>
        <v>2022</v>
      </c>
      <c r="V119" s="85">
        <f t="shared" ca="1" si="2"/>
        <v>8775471.25</v>
      </c>
      <c r="W119" s="71" t="s">
        <v>2226</v>
      </c>
      <c r="X119"/>
    </row>
    <row r="120" spans="1:24">
      <c r="A120" s="1" t="s">
        <v>232</v>
      </c>
      <c r="B120" s="9" t="str">
        <f>VLOOKUP(A120,Data[],2,FALSE)</f>
        <v>STATEN ISLAND</v>
      </c>
      <c r="C120" s="9" t="s">
        <v>106</v>
      </c>
      <c r="D120" s="9" t="str">
        <f>VLOOKUP(IntComp[[#This Row],[DEVELOPMENT]],Data[],52,FALSE)</f>
        <v>FEDERAL</v>
      </c>
      <c r="E120" s="50">
        <f>VLOOKUP(IntComp[[#This Row],[DEVELOPMENT]],Data[],8,FALSE)</f>
        <v>0</v>
      </c>
      <c r="F120" s="50">
        <f>VLOOKUP(IntComp[[#This Row],[DEVELOPMENT]],all[[DEVELOPMENT]:[MRST Ext. Comp. Priority]],13,FALSE)</f>
        <v>2</v>
      </c>
      <c r="G120" s="50">
        <f>IF(VLOOKUP(IntComp[[#This Row],[DEVELOPMENT]],Data[],9,FALSE)=0,5,VLOOKUP(IntComp[[#This Row],[DEVELOPMENT]],Data[],9,FALSE))</f>
        <v>5</v>
      </c>
      <c r="H120" s="50">
        <f>VLOOKUP(IntComp[[#This Row],[DEVELOPMENT]],Data[],7,FALSE)</f>
        <v>506</v>
      </c>
      <c r="I120" s="50">
        <f>VLOOKUP(IntComp[[#This Row],[DEVELOPMENT]],Data[],5,FALSE)</f>
        <v>8</v>
      </c>
      <c r="J120" s="50"/>
      <c r="K120" s="50" t="str">
        <f ca="1">IFERROR(VLOOKUP(IntComp[[#This Row],[DEVELOPMENT]],Data[],4,FALSE),"")</f>
        <v/>
      </c>
      <c r="L120" s="50" t="str">
        <f ca="1">IF(IntComp[[#This Row],[RAD/PACT]]="","",IF(OR(IntComp[[#This Row],[RAD/PACT]]="2022-2025",IntComp[[#This Row],[RAD/PACT]]=2019,IntComp[[#This Row],[RAD/PACT]]="2020-2021"),"Yes",""))</f>
        <v/>
      </c>
      <c r="M120" s="51">
        <f ca="1">IF(VLOOKUP(IntComp[[#This Row],[DEVELOPMENT]],Data[],10,FALSE)=0,-1,DATEDIF(VLOOKUP(IntComp[[#This Row],[DEVELOPMENT]],Data[],12,FALSE),TODAY(),"Y"))</f>
        <v>15</v>
      </c>
      <c r="N12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16</v>
      </c>
      <c r="O120" s="51"/>
      <c r="P120" s="51"/>
      <c r="Q120" s="51"/>
      <c r="R120" s="47">
        <f ca="1">(IntComp[[#This Row],['# to Replace (MRST)]]*INDEX(UnitCosts[#All],MATCH(IntComp[[#This Row],[WORK TYPE]],UnitCosts[Work Type],0)+1,2))*(1+((IntComp[[#This Row],[est. Year]]-YEAR(TODAY()))*$R$2))</f>
        <v>1080058</v>
      </c>
      <c r="S120" s="1">
        <f ca="1">SUM(INDEX(IntComp['# to Replace (MRST)],1):IntComp[[#This Row],['# to Replace (MRST)]])-272</f>
        <v>335</v>
      </c>
      <c r="T120" s="51"/>
      <c r="U120" s="51">
        <f ca="1">IF(ISBLANK(IntComp[[#This Row],[CALENDAR YEAR]]),ROUNDDOWN(IntComp[[#This Row],[Count]]/190,0)+$U$1,IntComp[[#This Row],[CALENDAR YEAR]])</f>
        <v>2022</v>
      </c>
      <c r="V120" s="85">
        <f t="shared" ca="1" si="2"/>
        <v>9855529.25</v>
      </c>
      <c r="W120" s="71"/>
      <c r="X120"/>
    </row>
    <row r="121" spans="1:24">
      <c r="A121" s="1" t="s">
        <v>362</v>
      </c>
      <c r="B121" s="9" t="str">
        <f>VLOOKUP(A121,Data[],2,FALSE)</f>
        <v>QUEENS</v>
      </c>
      <c r="C121" s="9" t="s">
        <v>106</v>
      </c>
      <c r="D121" s="9" t="str">
        <f>VLOOKUP(IntComp[[#This Row],[DEVELOPMENT]],Data[],52,FALSE)</f>
        <v>FEDERAL</v>
      </c>
      <c r="E121" s="50">
        <f>VLOOKUP(IntComp[[#This Row],[DEVELOPMENT]],Data[],8,FALSE)</f>
        <v>0</v>
      </c>
      <c r="F121" s="50">
        <f>VLOOKUP(IntComp[[#This Row],[DEVELOPMENT]],all[[DEVELOPMENT]:[MRST Ext. Comp. Priority]],13,FALSE)</f>
        <v>2</v>
      </c>
      <c r="G121" s="50">
        <f>IF(VLOOKUP(IntComp[[#This Row],[DEVELOPMENT]],Data[],9,FALSE)=0,5,VLOOKUP(IntComp[[#This Row],[DEVELOPMENT]],Data[],9,FALSE))</f>
        <v>5</v>
      </c>
      <c r="H121" s="50">
        <f>VLOOKUP(IntComp[[#This Row],[DEVELOPMENT]],Data[],7,FALSE)</f>
        <v>153</v>
      </c>
      <c r="I121" s="50">
        <f>VLOOKUP(IntComp[[#This Row],[DEVELOPMENT]],Data[],5,FALSE)</f>
        <v>1</v>
      </c>
      <c r="J121" s="50"/>
      <c r="K121" s="50" t="str">
        <f ca="1">IFERROR(VLOOKUP(IntComp[[#This Row],[DEVELOPMENT]],Data[],4,FALSE),"")</f>
        <v/>
      </c>
      <c r="L121" s="50" t="str">
        <f ca="1">IF(IntComp[[#This Row],[RAD/PACT]]="","",IF(OR(IntComp[[#This Row],[RAD/PACT]]="2022-2025",IntComp[[#This Row],[RAD/PACT]]=2019,IntComp[[#This Row],[RAD/PACT]]="2020-2021"),"Yes",""))</f>
        <v/>
      </c>
      <c r="M121" s="51">
        <f ca="1">IF(VLOOKUP(IntComp[[#This Row],[DEVELOPMENT]],Data[],10,FALSE)=0,-1,DATEDIF(VLOOKUP(IntComp[[#This Row],[DEVELOPMENT]],Data[],12,FALSE),TODAY(),"Y"))</f>
        <v>15</v>
      </c>
      <c r="N12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21" s="51"/>
      <c r="P121" s="51"/>
      <c r="Q121" s="51"/>
      <c r="R121" s="47">
        <f ca="1">(IntComp[[#This Row],['# to Replace (MRST)]]*INDEX(UnitCosts[#All],MATCH(IntComp[[#This Row],[WORK TYPE]],UnitCosts[Work Type],0)+1,2))*(1+((IntComp[[#This Row],[est. Year]]-YEAR(TODAY()))*$R$2))</f>
        <v>67503.625</v>
      </c>
      <c r="S121" s="1">
        <f ca="1">SUM(INDEX(IntComp['# to Replace (MRST)],1):IntComp[[#This Row],['# to Replace (MRST)]])-272</f>
        <v>336</v>
      </c>
      <c r="T121" s="51"/>
      <c r="U121" s="51">
        <f ca="1">IF(ISBLANK(IntComp[[#This Row],[CALENDAR YEAR]]),ROUNDDOWN(IntComp[[#This Row],[Count]]/190,0)+$U$1,IntComp[[#This Row],[CALENDAR YEAR]])</f>
        <v>2022</v>
      </c>
      <c r="V121" s="85">
        <f t="shared" ca="1" si="2"/>
        <v>9923032.875</v>
      </c>
      <c r="W121" s="71"/>
      <c r="X121"/>
    </row>
    <row r="122" spans="1:24">
      <c r="A122" s="1" t="s">
        <v>363</v>
      </c>
      <c r="B122" s="9" t="str">
        <f>VLOOKUP(A122,Data[],2,FALSE)</f>
        <v>BRONX</v>
      </c>
      <c r="C122" s="9" t="s">
        <v>106</v>
      </c>
      <c r="D122" s="9" t="str">
        <f>VLOOKUP(IntComp[[#This Row],[DEVELOPMENT]],Data[],52,FALSE)</f>
        <v>FEDERAL</v>
      </c>
      <c r="E122" s="50">
        <f>VLOOKUP(IntComp[[#This Row],[DEVELOPMENT]],Data[],8,FALSE)</f>
        <v>0</v>
      </c>
      <c r="F122" s="50">
        <f>VLOOKUP(IntComp[[#This Row],[DEVELOPMENT]],all[[DEVELOPMENT]:[MRST Ext. Comp. Priority]],13,FALSE)</f>
        <v>2</v>
      </c>
      <c r="G122" s="50">
        <f>IF(VLOOKUP(IntComp[[#This Row],[DEVELOPMENT]],Data[],9,FALSE)=0,5,VLOOKUP(IntComp[[#This Row],[DEVELOPMENT]],Data[],9,FALSE))</f>
        <v>5</v>
      </c>
      <c r="H122" s="50">
        <f>VLOOKUP(IntComp[[#This Row],[DEVELOPMENT]],Data[],7,FALSE)</f>
        <v>1258</v>
      </c>
      <c r="I122" s="50">
        <f>VLOOKUP(IntComp[[#This Row],[DEVELOPMENT]],Data[],5,FALSE)</f>
        <v>13</v>
      </c>
      <c r="J122" s="50"/>
      <c r="K122" s="50" t="str">
        <f ca="1">IFERROR(VLOOKUP(IntComp[[#This Row],[DEVELOPMENT]],Data[],4,FALSE),"")</f>
        <v>2022-2025</v>
      </c>
      <c r="L122" s="50" t="str">
        <f ca="1">IF(IntComp[[#This Row],[RAD/PACT]]="","",IF(OR(IntComp[[#This Row],[RAD/PACT]]="2022-2025",IntComp[[#This Row],[RAD/PACT]]=2019,IntComp[[#This Row],[RAD/PACT]]="2020-2021"),"Yes",""))</f>
        <v>Yes</v>
      </c>
      <c r="M122" s="51">
        <f ca="1">IF(VLOOKUP(IntComp[[#This Row],[DEVELOPMENT]],Data[],10,FALSE)=0,-1,DATEDIF(VLOOKUP(IntComp[[#This Row],[DEVELOPMENT]],Data[],12,FALSE),TODAY(),"Y"))</f>
        <v>20</v>
      </c>
      <c r="N12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22" s="51"/>
      <c r="P122" s="51"/>
      <c r="Q122" s="51"/>
      <c r="R122" s="47">
        <f ca="1">(IntComp[[#This Row],['# to Replace (MRST)]]*INDEX(UnitCosts[#All],MATCH(IntComp[[#This Row],[WORK TYPE]],UnitCosts[Work Type],0)+1,2))*(1+((IntComp[[#This Row],[est. Year]]-YEAR(TODAY()))*$R$2))</f>
        <v>0</v>
      </c>
      <c r="S122" s="1">
        <f ca="1">SUM(INDEX(IntComp['# to Replace (MRST)],1):IntComp[[#This Row],['# to Replace (MRST)]])-272</f>
        <v>336</v>
      </c>
      <c r="T122" s="51"/>
      <c r="U122" s="51">
        <f ca="1">IF(ISBLANK(IntComp[[#This Row],[CALENDAR YEAR]]),ROUNDDOWN(IntComp[[#This Row],[Count]]/190,0)+$U$1,IntComp[[#This Row],[CALENDAR YEAR]])</f>
        <v>2022</v>
      </c>
      <c r="V122" s="85">
        <f t="shared" ca="1" si="2"/>
        <v>9923032.875</v>
      </c>
      <c r="W122" s="51"/>
      <c r="X122"/>
    </row>
    <row r="123" spans="1:24">
      <c r="A123" s="1" t="s">
        <v>198</v>
      </c>
      <c r="B123" s="9" t="str">
        <f>VLOOKUP(A123,Data[],2,FALSE)</f>
        <v>MANHATTAN</v>
      </c>
      <c r="C123" s="9" t="s">
        <v>106</v>
      </c>
      <c r="D123" s="9" t="str">
        <f>VLOOKUP(IntComp[[#This Row],[DEVELOPMENT]],Data[],52,FALSE)</f>
        <v>FEDERAL</v>
      </c>
      <c r="E123" s="50">
        <f>VLOOKUP(IntComp[[#This Row],[DEVELOPMENT]],Data[],8,FALSE)</f>
        <v>0</v>
      </c>
      <c r="F123" s="50">
        <f>VLOOKUP(IntComp[[#This Row],[DEVELOPMENT]],all[[DEVELOPMENT]:[MRST Ext. Comp. Priority]],13,FALSE)</f>
        <v>2</v>
      </c>
      <c r="G123" s="50">
        <f>IF(VLOOKUP(IntComp[[#This Row],[DEVELOPMENT]],Data[],9,FALSE)=0,5,VLOOKUP(IntComp[[#This Row],[DEVELOPMENT]],Data[],9,FALSE))</f>
        <v>5</v>
      </c>
      <c r="H123" s="50">
        <f>VLOOKUP(IntComp[[#This Row],[DEVELOPMENT]],Data[],7,FALSE)</f>
        <v>267</v>
      </c>
      <c r="I123" s="50">
        <f>VLOOKUP(IntComp[[#This Row],[DEVELOPMENT]],Data[],5,FALSE)</f>
        <v>2</v>
      </c>
      <c r="J123" s="50"/>
      <c r="K123" s="50" t="str">
        <f ca="1">IFERROR(VLOOKUP(IntComp[[#This Row],[DEVELOPMENT]],Data[],4,FALSE),"")</f>
        <v/>
      </c>
      <c r="L123" s="50" t="str">
        <f ca="1">IF(IntComp[[#This Row],[RAD/PACT]]="","",IF(OR(IntComp[[#This Row],[RAD/PACT]]="2022-2025",IntComp[[#This Row],[RAD/PACT]]=2019,IntComp[[#This Row],[RAD/PACT]]="2020-2021"),"Yes",""))</f>
        <v/>
      </c>
      <c r="M123" s="51">
        <f ca="1">IF(VLOOKUP(IntComp[[#This Row],[DEVELOPMENT]],Data[],10,FALSE)=0,-1,DATEDIF(VLOOKUP(IntComp[[#This Row],[DEVELOPMENT]],Data[],12,FALSE),TODAY(),"Y"))</f>
        <v>14</v>
      </c>
      <c r="N12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123" s="51"/>
      <c r="P123" s="51"/>
      <c r="Q123" s="51"/>
      <c r="R123" s="47">
        <f ca="1">(IntComp[[#This Row],['# to Replace (MRST)]]*INDEX(UnitCosts[#All],MATCH(IntComp[[#This Row],[WORK TYPE]],UnitCosts[Work Type],0)+1,2))*(1+((IntComp[[#This Row],[est. Year]]-YEAR(TODAY()))*$R$2))</f>
        <v>135007.25</v>
      </c>
      <c r="S123" s="1">
        <f ca="1">SUM(INDEX(IntComp['# to Replace (MRST)],1):IntComp[[#This Row],['# to Replace (MRST)]])-272</f>
        <v>338</v>
      </c>
      <c r="T123" s="51"/>
      <c r="U123" s="51">
        <f ca="1">IF(ISBLANK(IntComp[[#This Row],[CALENDAR YEAR]]),ROUNDDOWN(IntComp[[#This Row],[Count]]/190,0)+$U$1,IntComp[[#This Row],[CALENDAR YEAR]])</f>
        <v>2022</v>
      </c>
      <c r="V123" s="85">
        <f t="shared" ca="1" si="2"/>
        <v>10058040.125</v>
      </c>
      <c r="W123" s="71" t="s">
        <v>2227</v>
      </c>
      <c r="X123"/>
    </row>
    <row r="124" spans="1:24">
      <c r="A124" s="1" t="s">
        <v>300</v>
      </c>
      <c r="B124" s="9" t="str">
        <f>VLOOKUP(A124,Data[],2,FALSE)</f>
        <v>QUEENS</v>
      </c>
      <c r="C124" s="9" t="s">
        <v>106</v>
      </c>
      <c r="D124" s="9" t="str">
        <f>VLOOKUP(IntComp[[#This Row],[DEVELOPMENT]],Data[],52,FALSE)</f>
        <v>FEDERAL</v>
      </c>
      <c r="E124" s="50">
        <f>VLOOKUP(IntComp[[#This Row],[DEVELOPMENT]],Data[],8,FALSE)</f>
        <v>0</v>
      </c>
      <c r="F124" s="50">
        <f>VLOOKUP(IntComp[[#This Row],[DEVELOPMENT]],all[[DEVELOPMENT]:[MRST Ext. Comp. Priority]],13,FALSE)</f>
        <v>2</v>
      </c>
      <c r="G124" s="50">
        <f>IF(VLOOKUP(IntComp[[#This Row],[DEVELOPMENT]],Data[],9,FALSE)=0,5,VLOOKUP(IntComp[[#This Row],[DEVELOPMENT]],Data[],9,FALSE))</f>
        <v>5</v>
      </c>
      <c r="H124" s="50">
        <f>VLOOKUP(IntComp[[#This Row],[DEVELOPMENT]],Data[],7,FALSE)</f>
        <v>381</v>
      </c>
      <c r="I124" s="50">
        <f>VLOOKUP(IntComp[[#This Row],[DEVELOPMENT]],Data[],5,FALSE)</f>
        <v>5</v>
      </c>
      <c r="J124" s="50"/>
      <c r="K124" s="50" t="str">
        <f ca="1">IFERROR(VLOOKUP(IntComp[[#This Row],[DEVELOPMENT]],Data[],4,FALSE),"")</f>
        <v/>
      </c>
      <c r="L124" s="50" t="str">
        <f ca="1">IF(IntComp[[#This Row],[RAD/PACT]]="","",IF(OR(IntComp[[#This Row],[RAD/PACT]]="2022-2025",IntComp[[#This Row],[RAD/PACT]]=2019,IntComp[[#This Row],[RAD/PACT]]="2020-2021"),"Yes",""))</f>
        <v/>
      </c>
      <c r="M124" s="51">
        <f ca="1">IF(VLOOKUP(IntComp[[#This Row],[DEVELOPMENT]],Data[],10,FALSE)=0,-1,DATEDIF(VLOOKUP(IntComp[[#This Row],[DEVELOPMENT]],Data[],12,FALSE),TODAY(),"Y"))</f>
        <v>14</v>
      </c>
      <c r="N12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</v>
      </c>
      <c r="O124" s="51"/>
      <c r="P124" s="51"/>
      <c r="Q124" s="51"/>
      <c r="R124" s="47">
        <f ca="1">(IntComp[[#This Row],['# to Replace (MRST)]]*INDEX(UnitCosts[#All],MATCH(IntComp[[#This Row],[WORK TYPE]],UnitCosts[Work Type],0)+1,2))*(1+((IntComp[[#This Row],[est. Year]]-YEAR(TODAY()))*$R$2))</f>
        <v>337518.125</v>
      </c>
      <c r="S124" s="1">
        <f ca="1">SUM(INDEX(IntComp['# to Replace (MRST)],1):IntComp[[#This Row],['# to Replace (MRST)]])-272</f>
        <v>343</v>
      </c>
      <c r="T124" s="51"/>
      <c r="U124" s="51">
        <f ca="1">IF(ISBLANK(IntComp[[#This Row],[CALENDAR YEAR]]),ROUNDDOWN(IntComp[[#This Row],[Count]]/190,0)+$U$1,IntComp[[#This Row],[CALENDAR YEAR]])</f>
        <v>2022</v>
      </c>
      <c r="V124" s="85">
        <f t="shared" ca="1" si="2"/>
        <v>10395558.25</v>
      </c>
      <c r="W124" s="71"/>
      <c r="X124"/>
    </row>
    <row r="125" spans="1:24">
      <c r="A125" s="1" t="s">
        <v>385</v>
      </c>
      <c r="B125" s="9" t="str">
        <f>VLOOKUP(A125,Data[],2,FALSE)</f>
        <v>BROOKLYN</v>
      </c>
      <c r="C125" s="9" t="s">
        <v>106</v>
      </c>
      <c r="D125" s="9" t="str">
        <f>VLOOKUP(IntComp[[#This Row],[DEVELOPMENT]],Data[],52,FALSE)</f>
        <v>FEDERAL</v>
      </c>
      <c r="E125" s="50">
        <f>VLOOKUP(IntComp[[#This Row],[DEVELOPMENT]],Data[],8,FALSE)</f>
        <v>0</v>
      </c>
      <c r="F125" s="50">
        <f>VLOOKUP(IntComp[[#This Row],[DEVELOPMENT]],all[[DEVELOPMENT]:[MRST Ext. Comp. Priority]],13,FALSE)</f>
        <v>2</v>
      </c>
      <c r="G125" s="50">
        <f>IF(VLOOKUP(IntComp[[#This Row],[DEVELOPMENT]],Data[],9,FALSE)=0,5,VLOOKUP(IntComp[[#This Row],[DEVELOPMENT]],Data[],9,FALSE))</f>
        <v>5</v>
      </c>
      <c r="H125" s="50">
        <f>VLOOKUP(IntComp[[#This Row],[DEVELOPMENT]],Data[],7,FALSE)</f>
        <v>1627</v>
      </c>
      <c r="I125" s="50">
        <f>VLOOKUP(IntComp[[#This Row],[DEVELOPMENT]],Data[],5,FALSE)</f>
        <v>20</v>
      </c>
      <c r="J125" s="50"/>
      <c r="K125" s="50" t="str">
        <f ca="1">IFERROR(VLOOKUP(IntComp[[#This Row],[DEVELOPMENT]],Data[],4,FALSE),"")</f>
        <v>2020-2021</v>
      </c>
      <c r="L125" s="50" t="str">
        <f ca="1">IF(IntComp[[#This Row],[RAD/PACT]]="","",IF(OR(IntComp[[#This Row],[RAD/PACT]]="2022-2025",IntComp[[#This Row],[RAD/PACT]]=2019,IntComp[[#This Row],[RAD/PACT]]="2020-2021"),"Yes",""))</f>
        <v>Yes</v>
      </c>
      <c r="M125" s="51">
        <f ca="1">IF(VLOOKUP(IntComp[[#This Row],[DEVELOPMENT]],Data[],10,FALSE)=0,-1,DATEDIF(VLOOKUP(IntComp[[#This Row],[DEVELOPMENT]],Data[],12,FALSE),TODAY(),"Y"))</f>
        <v>20</v>
      </c>
      <c r="N12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25" s="51"/>
      <c r="P125" s="51"/>
      <c r="Q125" s="51"/>
      <c r="R125" s="47">
        <f ca="1">(IntComp[[#This Row],['# to Replace (MRST)]]*INDEX(UnitCosts[#All],MATCH(IntComp[[#This Row],[WORK TYPE]],UnitCosts[Work Type],0)+1,2))*(1+((IntComp[[#This Row],[est. Year]]-YEAR(TODAY()))*$R$2))</f>
        <v>0</v>
      </c>
      <c r="S125" s="1">
        <f ca="1">SUM(INDEX(IntComp['# to Replace (MRST)],1):IntComp[[#This Row],['# to Replace (MRST)]])-272</f>
        <v>343</v>
      </c>
      <c r="T125" s="51"/>
      <c r="U125" s="51">
        <f ca="1">IF(ISBLANK(IntComp[[#This Row],[CALENDAR YEAR]]),ROUNDDOWN(IntComp[[#This Row],[Count]]/190,0)+$U$1,IntComp[[#This Row],[CALENDAR YEAR]])</f>
        <v>2022</v>
      </c>
      <c r="V125" s="85">
        <f t="shared" ca="1" si="2"/>
        <v>10395558.25</v>
      </c>
      <c r="W125" s="51"/>
      <c r="X125"/>
    </row>
    <row r="126" spans="1:24">
      <c r="A126" s="1" t="s">
        <v>113</v>
      </c>
      <c r="B126" s="1" t="str">
        <f>VLOOKUP(A126,Data[],2,FALSE)</f>
        <v>MANHATTAN</v>
      </c>
      <c r="C126" s="9" t="s">
        <v>106</v>
      </c>
      <c r="D126" s="9" t="str">
        <f>VLOOKUP(IntComp[[#This Row],[DEVELOPMENT]],Data[],52,FALSE)</f>
        <v>FEDERAL</v>
      </c>
      <c r="E126" s="9" t="str">
        <f>VLOOKUP(IntComp[[#This Row],[DEVELOPMENT]],Data[],8,FALSE)</f>
        <v>Zone 2</v>
      </c>
      <c r="F126" s="9">
        <f>VLOOKUP(IntComp[[#This Row],[DEVELOPMENT]],all[[DEVELOPMENT]:[MRST Ext. Comp. Priority]],13,FALSE)</f>
        <v>3</v>
      </c>
      <c r="G126" s="9">
        <f>IF(VLOOKUP(IntComp[[#This Row],[DEVELOPMENT]],Data[],9,FALSE)=0,5,VLOOKUP(IntComp[[#This Row],[DEVELOPMENT]],Data[],9,FALSE))</f>
        <v>1</v>
      </c>
      <c r="H126" s="9">
        <f>VLOOKUP(IntComp[[#This Row],[DEVELOPMENT]],Data[],7,FALSE)</f>
        <v>1280</v>
      </c>
      <c r="I126" s="9">
        <f>VLOOKUP(IntComp[[#This Row],[DEVELOPMENT]],Data[],5,FALSE)</f>
        <v>14</v>
      </c>
      <c r="J126" s="9"/>
      <c r="K126" s="9" t="str">
        <f ca="1">IFERROR(VLOOKUP(IntComp[[#This Row],[DEVELOPMENT]],Data[],4,FALSE),"")</f>
        <v>2026+</v>
      </c>
      <c r="L126" s="9" t="str">
        <f ca="1">IF(IntComp[[#This Row],[RAD/PACT]]="","",IF(OR(IntComp[[#This Row],[RAD/PACT]]="2022-2025",IntComp[[#This Row],[RAD/PACT]]=2019,IntComp[[#This Row],[RAD/PACT]]="2020-2021"),"Yes",""))</f>
        <v/>
      </c>
      <c r="M126" s="1">
        <f ca="1">IF(VLOOKUP(IntComp[[#This Row],[DEVELOPMENT]],Data[],10,FALSE)=0,-1,DATEDIF(VLOOKUP(IntComp[[#This Row],[DEVELOPMENT]],Data[],12,FALSE),TODAY(),"Y"))</f>
        <v>20</v>
      </c>
      <c r="N126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20</v>
      </c>
      <c r="O126" s="1"/>
      <c r="P126" s="1"/>
      <c r="Q126" s="1"/>
      <c r="R126" s="47">
        <f ca="1">(IntComp[[#This Row],['# to Replace (MRST)]]*INDEX(UnitCosts[#All],MATCH(IntComp[[#This Row],[WORK TYPE]],UnitCosts[Work Type],0)+1,2))*(1+((IntComp[[#This Row],[est. Year]]-YEAR(TODAY()))*$R$2))</f>
        <v>1350072.5</v>
      </c>
      <c r="S126" s="1">
        <f ca="1">SUM(INDEX(IntComp['# to Replace (MRST)],1):IntComp[[#This Row],['# to Replace (MRST)]])-272</f>
        <v>363</v>
      </c>
      <c r="T126" s="1"/>
      <c r="U126" s="1">
        <f ca="1">IF(ISBLANK(IntComp[[#This Row],[CALENDAR YEAR]]),ROUNDDOWN(IntComp[[#This Row],[Count]]/190,0)+$U$1,IntComp[[#This Row],[CALENDAR YEAR]])</f>
        <v>2022</v>
      </c>
      <c r="V126" s="3">
        <f t="shared" ca="1" si="2"/>
        <v>11745630.75</v>
      </c>
      <c r="W126" s="51" t="s">
        <v>2224</v>
      </c>
      <c r="X126"/>
    </row>
    <row r="127" spans="1:24">
      <c r="A127" s="1" t="s">
        <v>128</v>
      </c>
      <c r="B127" s="1" t="str">
        <f>VLOOKUP(A127,Data[],2,FALSE)</f>
        <v>MANHATTAN</v>
      </c>
      <c r="C127" s="9" t="s">
        <v>106</v>
      </c>
      <c r="D127" s="9" t="str">
        <f>VLOOKUP(IntComp[[#This Row],[DEVELOPMENT]],Data[],52,FALSE)</f>
        <v>FEDERAL</v>
      </c>
      <c r="E127" s="9" t="str">
        <f>VLOOKUP(IntComp[[#This Row],[DEVELOPMENT]],Data[],8,FALSE)</f>
        <v>Zone 2</v>
      </c>
      <c r="F127" s="9">
        <f>VLOOKUP(IntComp[[#This Row],[DEVELOPMENT]],all[[DEVELOPMENT]:[MRST Ext. Comp. Priority]],13,FALSE)</f>
        <v>3</v>
      </c>
      <c r="G127" s="9">
        <f>IF(VLOOKUP(IntComp[[#This Row],[DEVELOPMENT]],Data[],9,FALSE)=0,5,VLOOKUP(IntComp[[#This Row],[DEVELOPMENT]],Data[],9,FALSE))</f>
        <v>2</v>
      </c>
      <c r="H127" s="9">
        <f>VLOOKUP(IntComp[[#This Row],[DEVELOPMENT]],Data[],7,FALSE)</f>
        <v>1463</v>
      </c>
      <c r="I127" s="9">
        <f>VLOOKUP(IntComp[[#This Row],[DEVELOPMENT]],Data[],5,FALSE)</f>
        <v>9</v>
      </c>
      <c r="J127" s="9"/>
      <c r="K127" s="9" t="str">
        <f ca="1">IFERROR(VLOOKUP(IntComp[[#This Row],[DEVELOPMENT]],Data[],4,FALSE),"")</f>
        <v>2026+</v>
      </c>
      <c r="L127" s="9" t="str">
        <f ca="1">IF(IntComp[[#This Row],[RAD/PACT]]="","",IF(OR(IntComp[[#This Row],[RAD/PACT]]="2022-2025",IntComp[[#This Row],[RAD/PACT]]=2019,IntComp[[#This Row],[RAD/PACT]]="2020-2021"),"Yes",""))</f>
        <v/>
      </c>
      <c r="M127" s="1">
        <f ca="1">IF(VLOOKUP(IntComp[[#This Row],[DEVELOPMENT]],Data[],10,FALSE)=0,-1,DATEDIF(VLOOKUP(IntComp[[#This Row],[DEVELOPMENT]],Data[],12,FALSE),TODAY(),"Y"))</f>
        <v>21</v>
      </c>
      <c r="N127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18</v>
      </c>
      <c r="O127" s="1"/>
      <c r="P127" s="1"/>
      <c r="Q127" s="1"/>
      <c r="R127" s="47">
        <f ca="1">(IntComp[[#This Row],['# to Replace (MRST)]]*INDEX(UnitCosts[#All],MATCH(IntComp[[#This Row],[WORK TYPE]],UnitCosts[Work Type],0)+1,2))*(1+((IntComp[[#This Row],[est. Year]]-YEAR(TODAY()))*$R$2))</f>
        <v>1254810.375</v>
      </c>
      <c r="S127" s="1">
        <f ca="1">SUM(INDEX(IntComp['# to Replace (MRST)],1):IntComp[[#This Row],['# to Replace (MRST)]])-272</f>
        <v>381</v>
      </c>
      <c r="T127" s="1"/>
      <c r="U127" s="1">
        <f ca="1">IF(ISBLANK(IntComp[[#This Row],[CALENDAR YEAR]]),ROUNDDOWN(IntComp[[#This Row],[Count]]/190,0)+$U$1,IntComp[[#This Row],[CALENDAR YEAR]])</f>
        <v>2023</v>
      </c>
      <c r="V127" s="3">
        <f t="shared" ca="1" si="2"/>
        <v>1254810.375</v>
      </c>
      <c r="W127" s="51" t="s">
        <v>2224</v>
      </c>
      <c r="X127"/>
    </row>
    <row r="128" spans="1:24">
      <c r="A128" s="1" t="s">
        <v>130</v>
      </c>
      <c r="B128" s="1" t="str">
        <f>VLOOKUP(A128,Data[],2,FALSE)</f>
        <v>MANHATTAN</v>
      </c>
      <c r="C128" s="9" t="s">
        <v>106</v>
      </c>
      <c r="D128" s="9" t="str">
        <f>VLOOKUP(IntComp[[#This Row],[DEVELOPMENT]],Data[],52,FALSE)</f>
        <v>FEDERAL</v>
      </c>
      <c r="E128" s="9" t="str">
        <f>VLOOKUP(IntComp[[#This Row],[DEVELOPMENT]],Data[],8,FALSE)</f>
        <v>Zone 3</v>
      </c>
      <c r="F128" s="9">
        <f>VLOOKUP(IntComp[[#This Row],[DEVELOPMENT]],all[[DEVELOPMENT]:[MRST Ext. Comp. Priority]],13,FALSE)</f>
        <v>3</v>
      </c>
      <c r="G128" s="9">
        <f>IF(VLOOKUP(IntComp[[#This Row],[DEVELOPMENT]],Data[],9,FALSE)=0,5,VLOOKUP(IntComp[[#This Row],[DEVELOPMENT]],Data[],9,FALSE))</f>
        <v>2</v>
      </c>
      <c r="H128" s="9">
        <f>VLOOKUP(IntComp[[#This Row],[DEVELOPMENT]],Data[],7,FALSE)</f>
        <v>1302</v>
      </c>
      <c r="I128" s="9">
        <f>VLOOKUP(IntComp[[#This Row],[DEVELOPMENT]],Data[],5,FALSE)</f>
        <v>11</v>
      </c>
      <c r="J128" s="9"/>
      <c r="K128" s="9" t="str">
        <f ca="1">IFERROR(VLOOKUP(IntComp[[#This Row],[DEVELOPMENT]],Data[],4,FALSE),"")</f>
        <v/>
      </c>
      <c r="L128" s="9" t="str">
        <f ca="1">IF(IntComp[[#This Row],[RAD/PACT]]="","",IF(OR(IntComp[[#This Row],[RAD/PACT]]="2022-2025",IntComp[[#This Row],[RAD/PACT]]=2019,IntComp[[#This Row],[RAD/PACT]]="2020-2021"),"Yes",""))</f>
        <v/>
      </c>
      <c r="M128" s="1">
        <f ca="1">IF(VLOOKUP(IntComp[[#This Row],[DEVELOPMENT]],Data[],10,FALSE)=0,-1,DATEDIF(VLOOKUP(IntComp[[#This Row],[DEVELOPMENT]],Data[],12,FALSE),TODAY(),"Y"))</f>
        <v>19</v>
      </c>
      <c r="N128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11</v>
      </c>
      <c r="O128" s="1"/>
      <c r="P128" s="1"/>
      <c r="Q128" s="1"/>
      <c r="R128" s="47">
        <f ca="1">(IntComp[[#This Row],['# to Replace (MRST)]]*INDEX(UnitCosts[#All],MATCH(IntComp[[#This Row],[WORK TYPE]],UnitCosts[Work Type],0)+1,2))*(1+((IntComp[[#This Row],[est. Year]]-YEAR(TODAY()))*$R$2))</f>
        <v>766828.5625</v>
      </c>
      <c r="S128" s="1">
        <f ca="1">SUM(INDEX(IntComp['# to Replace (MRST)],1):IntComp[[#This Row],['# to Replace (MRST)]])-272</f>
        <v>392</v>
      </c>
      <c r="T128" s="1"/>
      <c r="U128" s="1">
        <f ca="1">IF(ISBLANK(IntComp[[#This Row],[CALENDAR YEAR]]),ROUNDDOWN(IntComp[[#This Row],[Count]]/190,0)+$U$1,IntComp[[#This Row],[CALENDAR YEAR]])</f>
        <v>2023</v>
      </c>
      <c r="V128" s="3">
        <f t="shared" ca="1" si="2"/>
        <v>2021638.9375</v>
      </c>
      <c r="W128" s="71"/>
      <c r="X128"/>
    </row>
    <row r="129" spans="1:24">
      <c r="A129" s="1" t="s">
        <v>76</v>
      </c>
      <c r="B129" s="1" t="str">
        <f>VLOOKUP(A129,Data[],2,FALSE)</f>
        <v>MANHATTAN</v>
      </c>
      <c r="C129" s="9" t="s">
        <v>106</v>
      </c>
      <c r="D129" s="9" t="str">
        <f>VLOOKUP(IntComp[[#This Row],[DEVELOPMENT]],Data[],52,FALSE)</f>
        <v>FEDERAL</v>
      </c>
      <c r="E129" s="9" t="str">
        <f>VLOOKUP(IntComp[[#This Row],[DEVELOPMENT]],Data[],8,FALSE)</f>
        <v>Zone 3</v>
      </c>
      <c r="F129" s="9">
        <f>VLOOKUP(IntComp[[#This Row],[DEVELOPMENT]],all[[DEVELOPMENT]:[MRST Ext. Comp. Priority]],13,FALSE)</f>
        <v>3</v>
      </c>
      <c r="G129" s="9">
        <f>IF(VLOOKUP(IntComp[[#This Row],[DEVELOPMENT]],Data[],9,FALSE)=0,5,VLOOKUP(IntComp[[#This Row],[DEVELOPMENT]],Data[],9,FALSE))</f>
        <v>2</v>
      </c>
      <c r="H129" s="9">
        <f>VLOOKUP(IntComp[[#This Row],[DEVELOPMENT]],Data[],7,FALSE)</f>
        <v>752</v>
      </c>
      <c r="I129" s="9">
        <f>VLOOKUP(IntComp[[#This Row],[DEVELOPMENT]],Data[],5,FALSE)</f>
        <v>6</v>
      </c>
      <c r="J129" s="9"/>
      <c r="K129" s="9" t="str">
        <f ca="1">IFERROR(VLOOKUP(IntComp[[#This Row],[DEVELOPMENT]],Data[],4,FALSE),"")</f>
        <v/>
      </c>
      <c r="L129" s="9" t="str">
        <f ca="1">IF(IntComp[[#This Row],[RAD/PACT]]="","",IF(OR(IntComp[[#This Row],[RAD/PACT]]="2022-2025",IntComp[[#This Row],[RAD/PACT]]=2019,IntComp[[#This Row],[RAD/PACT]]="2020-2021"),"Yes",""))</f>
        <v/>
      </c>
      <c r="M129" s="1">
        <f ca="1">IF(VLOOKUP(IntComp[[#This Row],[DEVELOPMENT]],Data[],10,FALSE)=0,-1,DATEDIF(VLOOKUP(IntComp[[#This Row],[DEVELOPMENT]],Data[],12,FALSE),TODAY(),"Y"))</f>
        <v>19</v>
      </c>
      <c r="N129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6</v>
      </c>
      <c r="O129" s="1"/>
      <c r="P129" s="1"/>
      <c r="Q129" s="1"/>
      <c r="R129" s="47">
        <f ca="1">(IntComp[[#This Row],['# to Replace (MRST)]]*INDEX(UnitCosts[#All],MATCH(IntComp[[#This Row],[WORK TYPE]],UnitCosts[Work Type],0)+1,2))*(1+((IntComp[[#This Row],[est. Year]]-YEAR(TODAY()))*$R$2))</f>
        <v>418270.125</v>
      </c>
      <c r="S129" s="1">
        <f ca="1">SUM(INDEX(IntComp['# to Replace (MRST)],1):IntComp[[#This Row],['# to Replace (MRST)]])-272</f>
        <v>398</v>
      </c>
      <c r="T129" s="1"/>
      <c r="U129" s="1">
        <f ca="1">IF(ISBLANK(IntComp[[#This Row],[CALENDAR YEAR]]),ROUNDDOWN(IntComp[[#This Row],[Count]]/190,0)+$U$1,IntComp[[#This Row],[CALENDAR YEAR]])</f>
        <v>2023</v>
      </c>
      <c r="V129" s="3">
        <f t="shared" ca="1" si="2"/>
        <v>2439909.0625</v>
      </c>
      <c r="W129" s="71"/>
      <c r="X129"/>
    </row>
    <row r="130" spans="1:24">
      <c r="A130" s="1" t="s">
        <v>72</v>
      </c>
      <c r="B130" s="1" t="str">
        <f>VLOOKUP(A130,Data[],2,FALSE)</f>
        <v>BROOKLYN</v>
      </c>
      <c r="C130" s="9" t="s">
        <v>106</v>
      </c>
      <c r="D130" s="9" t="str">
        <f>VLOOKUP(IntComp[[#This Row],[DEVELOPMENT]],Data[],52,FALSE)</f>
        <v>FEDERAL</v>
      </c>
      <c r="E130" s="9" t="str">
        <f>VLOOKUP(IntComp[[#This Row],[DEVELOPMENT]],Data[],8,FALSE)</f>
        <v>Zone 3</v>
      </c>
      <c r="F130" s="9">
        <f>VLOOKUP(IntComp[[#This Row],[DEVELOPMENT]],all[[DEVELOPMENT]:[MRST Ext. Comp. Priority]],13,FALSE)</f>
        <v>3</v>
      </c>
      <c r="G130" s="9">
        <f>IF(VLOOKUP(IntComp[[#This Row],[DEVELOPMENT]],Data[],9,FALSE)=0,5,VLOOKUP(IntComp[[#This Row],[DEVELOPMENT]],Data[],9,FALSE))</f>
        <v>2</v>
      </c>
      <c r="H130" s="9">
        <f>VLOOKUP(IntComp[[#This Row],[DEVELOPMENT]],Data[],7,FALSE)</f>
        <v>425</v>
      </c>
      <c r="I130" s="9">
        <f>VLOOKUP(IntComp[[#This Row],[DEVELOPMENT]],Data[],5,FALSE)</f>
        <v>7</v>
      </c>
      <c r="J130" s="9"/>
      <c r="K130" s="9" t="str">
        <f ca="1">IFERROR(VLOOKUP(IntComp[[#This Row],[DEVELOPMENT]],Data[],4,FALSE),"")</f>
        <v>2026+</v>
      </c>
      <c r="L130" s="9" t="str">
        <f ca="1">IF(IntComp[[#This Row],[RAD/PACT]]="","",IF(OR(IntComp[[#This Row],[RAD/PACT]]="2022-2025",IntComp[[#This Row],[RAD/PACT]]=2019,IntComp[[#This Row],[RAD/PACT]]="2020-2021"),"Yes",""))</f>
        <v/>
      </c>
      <c r="M130" s="1">
        <f ca="1">IF(VLOOKUP(IntComp[[#This Row],[DEVELOPMENT]],Data[],10,FALSE)=0,-1,DATEDIF(VLOOKUP(IntComp[[#This Row],[DEVELOPMENT]],Data[],12,FALSE),TODAY(),"Y"))</f>
        <v>8</v>
      </c>
      <c r="N13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7</v>
      </c>
      <c r="O130" s="1"/>
      <c r="P130" s="1"/>
      <c r="Q130" s="1"/>
      <c r="R130" s="47">
        <f ca="1">(IntComp[[#This Row],['# to Replace (MRST)]]*INDEX(UnitCosts[#All],MATCH(IntComp[[#This Row],[WORK TYPE]],UnitCosts[Work Type],0)+1,2))*(1+((IntComp[[#This Row],[est. Year]]-YEAR(TODAY()))*$R$2))</f>
        <v>487981.8125</v>
      </c>
      <c r="S130" s="1">
        <f ca="1">SUM(INDEX(IntComp['# to Replace (MRST)],1):IntComp[[#This Row],['# to Replace (MRST)]])-272</f>
        <v>405</v>
      </c>
      <c r="T130" s="1"/>
      <c r="U130" s="1">
        <f ca="1">IF(ISBLANK(IntComp[[#This Row],[CALENDAR YEAR]]),ROUNDDOWN(IntComp[[#This Row],[Count]]/190,0)+$U$1,IntComp[[#This Row],[CALENDAR YEAR]])</f>
        <v>2023</v>
      </c>
      <c r="V130" s="3">
        <f t="shared" ca="1" si="2"/>
        <v>2927890.875</v>
      </c>
      <c r="W130" s="71"/>
      <c r="X130"/>
    </row>
    <row r="131" spans="1:24">
      <c r="A131" s="1" t="s">
        <v>112</v>
      </c>
      <c r="B131" s="1" t="str">
        <f>VLOOKUP(A131,Data[],2,FALSE)</f>
        <v>MANHATTAN</v>
      </c>
      <c r="C131" s="9" t="s">
        <v>106</v>
      </c>
      <c r="D131" s="9" t="str">
        <f>VLOOKUP(IntComp[[#This Row],[DEVELOPMENT]],Data[],52,FALSE)</f>
        <v>FEDERAL</v>
      </c>
      <c r="E131" s="9" t="str">
        <f>VLOOKUP(IntComp[[#This Row],[DEVELOPMENT]],Data[],8,FALSE)</f>
        <v>Zone 2</v>
      </c>
      <c r="F131" s="9">
        <f>VLOOKUP(IntComp[[#This Row],[DEVELOPMENT]],all[[DEVELOPMENT]:[MRST Ext. Comp. Priority]],13,FALSE)</f>
        <v>3</v>
      </c>
      <c r="G131" s="9">
        <f>IF(VLOOKUP(IntComp[[#This Row],[DEVELOPMENT]],Data[],9,FALSE)=0,5,VLOOKUP(IntComp[[#This Row],[DEVELOPMENT]],Data[],9,FALSE))</f>
        <v>3</v>
      </c>
      <c r="H131" s="9">
        <f>VLOOKUP(IntComp[[#This Row],[DEVELOPMENT]],Data[],7,FALSE)</f>
        <v>1486</v>
      </c>
      <c r="I131" s="9">
        <f>VLOOKUP(IntComp[[#This Row],[DEVELOPMENT]],Data[],5,FALSE)</f>
        <v>18</v>
      </c>
      <c r="J131" s="9"/>
      <c r="K131" s="9" t="str">
        <f ca="1">IFERROR(VLOOKUP(IntComp[[#This Row],[DEVELOPMENT]],Data[],4,FALSE),"")</f>
        <v>2026+</v>
      </c>
      <c r="L131" s="9" t="str">
        <f ca="1">IF(IntComp[[#This Row],[RAD/PACT]]="","",IF(OR(IntComp[[#This Row],[RAD/PACT]]="2022-2025",IntComp[[#This Row],[RAD/PACT]]=2019,IntComp[[#This Row],[RAD/PACT]]="2020-2021"),"Yes",""))</f>
        <v/>
      </c>
      <c r="M131" s="1">
        <f ca="1">IF(VLOOKUP(IntComp[[#This Row],[DEVELOPMENT]],Data[],10,FALSE)=0,-1,DATEDIF(VLOOKUP(IntComp[[#This Row],[DEVELOPMENT]],Data[],12,FALSE),TODAY(),"Y"))</f>
        <v>20</v>
      </c>
      <c r="N131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34</v>
      </c>
      <c r="O131" s="1"/>
      <c r="P131" s="1"/>
      <c r="Q131" s="1"/>
      <c r="R131" s="47">
        <f ca="1">(IntComp[[#This Row],['# to Replace (MRST)]]*INDEX(UnitCosts[#All],MATCH(IntComp[[#This Row],[WORK TYPE]],UnitCosts[Work Type],0)+1,2))*(1+((IntComp[[#This Row],[est. Year]]-YEAR(TODAY()))*$R$2))</f>
        <v>2370197.375</v>
      </c>
      <c r="S131" s="1">
        <f ca="1">SUM(INDEX(IntComp['# to Replace (MRST)],1):IntComp[[#This Row],['# to Replace (MRST)]])-272</f>
        <v>439</v>
      </c>
      <c r="T131" s="1"/>
      <c r="U131" s="1">
        <f ca="1">IF(ISBLANK(IntComp[[#This Row],[CALENDAR YEAR]]),ROUNDDOWN(IntComp[[#This Row],[Count]]/190,0)+$U$1,IntComp[[#This Row],[CALENDAR YEAR]])</f>
        <v>2023</v>
      </c>
      <c r="V131" s="3">
        <f t="shared" ca="1" si="2"/>
        <v>5298088.25</v>
      </c>
      <c r="W131" s="51" t="s">
        <v>2224</v>
      </c>
      <c r="X131"/>
    </row>
    <row r="132" spans="1:24">
      <c r="A132" s="1" t="s">
        <v>91</v>
      </c>
      <c r="B132" s="1" t="str">
        <f>VLOOKUP(A132,Data[],2,FALSE)</f>
        <v>BRONX</v>
      </c>
      <c r="C132" s="9" t="s">
        <v>106</v>
      </c>
      <c r="D132" s="9" t="str">
        <f>VLOOKUP(IntComp[[#This Row],[DEVELOPMENT]],Data[],52,FALSE)</f>
        <v>FEDERAL</v>
      </c>
      <c r="E132" s="9" t="str">
        <f>VLOOKUP(IntComp[[#This Row],[DEVELOPMENT]],Data[],8,FALSE)</f>
        <v>Zone 3</v>
      </c>
      <c r="F132" s="9">
        <f>VLOOKUP(IntComp[[#This Row],[DEVELOPMENT]],all[[DEVELOPMENT]:[MRST Ext. Comp. Priority]],13,FALSE)</f>
        <v>3</v>
      </c>
      <c r="G132" s="9">
        <f>IF(VLOOKUP(IntComp[[#This Row],[DEVELOPMENT]],Data[],9,FALSE)=0,5,VLOOKUP(IntComp[[#This Row],[DEVELOPMENT]],Data[],9,FALSE))</f>
        <v>3</v>
      </c>
      <c r="H132" s="9">
        <f>VLOOKUP(IntComp[[#This Row],[DEVELOPMENT]],Data[],7,FALSE)</f>
        <v>463</v>
      </c>
      <c r="I132" s="9">
        <f>VLOOKUP(IntComp[[#This Row],[DEVELOPMENT]],Data[],5,FALSE)</f>
        <v>2</v>
      </c>
      <c r="J132" s="9"/>
      <c r="K132" s="9" t="str">
        <f ca="1">IFERROR(VLOOKUP(IntComp[[#This Row],[DEVELOPMENT]],Data[],4,FALSE),"")</f>
        <v>2026+</v>
      </c>
      <c r="L132" s="9" t="str">
        <f ca="1">IF(IntComp[[#This Row],[RAD/PACT]]="","",IF(OR(IntComp[[#This Row],[RAD/PACT]]="2022-2025",IntComp[[#This Row],[RAD/PACT]]=2019,IntComp[[#This Row],[RAD/PACT]]="2020-2021"),"Yes",""))</f>
        <v/>
      </c>
      <c r="M132" s="1">
        <f ca="1">IF(VLOOKUP(IntComp[[#This Row],[DEVELOPMENT]],Data[],10,FALSE)=0,-1,DATEDIF(VLOOKUP(IntComp[[#This Row],[DEVELOPMENT]],Data[],12,FALSE),TODAY(),"Y"))</f>
        <v>19</v>
      </c>
      <c r="N132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</v>
      </c>
      <c r="O132" s="1"/>
      <c r="P132" s="1"/>
      <c r="Q132" s="1"/>
      <c r="R132" s="47">
        <f ca="1">(IntComp[[#This Row],['# to Replace (MRST)]]*INDEX(UnitCosts[#All],MATCH(IntComp[[#This Row],[WORK TYPE]],UnitCosts[Work Type],0)+1,2))*(1+((IntComp[[#This Row],[est. Year]]-YEAR(TODAY()))*$R$2))</f>
        <v>278846.75</v>
      </c>
      <c r="S132" s="1">
        <f ca="1">SUM(INDEX(IntComp['# to Replace (MRST)],1):IntComp[[#This Row],['# to Replace (MRST)]])-272</f>
        <v>443</v>
      </c>
      <c r="T132" s="1"/>
      <c r="U132" s="1">
        <f ca="1">IF(ISBLANK(IntComp[[#This Row],[CALENDAR YEAR]]),ROUNDDOWN(IntComp[[#This Row],[Count]]/190,0)+$U$1,IntComp[[#This Row],[CALENDAR YEAR]])</f>
        <v>2023</v>
      </c>
      <c r="V132" s="3">
        <f t="shared" ca="1" si="2"/>
        <v>5576935</v>
      </c>
      <c r="W132" s="71"/>
      <c r="X132"/>
    </row>
    <row r="133" spans="1:24">
      <c r="A133" s="9" t="s">
        <v>38</v>
      </c>
      <c r="B133" s="1" t="str">
        <f>VLOOKUP(A133,Data[],2,FALSE)</f>
        <v>BROOKLYN</v>
      </c>
      <c r="C133" s="9" t="s">
        <v>106</v>
      </c>
      <c r="D133" s="9" t="str">
        <f>VLOOKUP(IntComp[[#This Row],[DEVELOPMENT]],Data[],52,FALSE)</f>
        <v>FEDERAL</v>
      </c>
      <c r="E133" s="9" t="str">
        <f>VLOOKUP(IntComp[[#This Row],[DEVELOPMENT]],Data[],8,FALSE)</f>
        <v>Zone 1</v>
      </c>
      <c r="F133" s="9">
        <f>VLOOKUP(IntComp[[#This Row],[DEVELOPMENT]],all[[DEVELOPMENT]:[MRST Ext. Comp. Priority]],13,FALSE)</f>
        <v>3</v>
      </c>
      <c r="G133" s="9">
        <f>IF(VLOOKUP(IntComp[[#This Row],[DEVELOPMENT]],Data[],9,FALSE)=0,5,VLOOKUP(IntComp[[#This Row],[DEVELOPMENT]],Data[],9,FALSE))</f>
        <v>3</v>
      </c>
      <c r="H133" s="9">
        <f>VLOOKUP(IntComp[[#This Row],[DEVELOPMENT]],Data[],7,FALSE)</f>
        <v>1716</v>
      </c>
      <c r="I133" s="9">
        <f>VLOOKUP(IntComp[[#This Row],[DEVELOPMENT]],Data[],5,FALSE)</f>
        <v>27</v>
      </c>
      <c r="J133" s="9"/>
      <c r="K133" s="9" t="str">
        <f ca="1">IFERROR(VLOOKUP(IntComp[[#This Row],[DEVELOPMENT]],Data[],4,FALSE),"")</f>
        <v>2026+</v>
      </c>
      <c r="L133" s="9" t="str">
        <f ca="1">IF(IntComp[[#This Row],[RAD/PACT]]="","",IF(OR(IntComp[[#This Row],[RAD/PACT]]="2022-2025",IntComp[[#This Row],[RAD/PACT]]=2019,IntComp[[#This Row],[RAD/PACT]]="2020-2021"),"Yes",""))</f>
        <v/>
      </c>
      <c r="M133" s="1">
        <f ca="1">IF(VLOOKUP(IntComp[[#This Row],[DEVELOPMENT]],Data[],10,FALSE)=0,-1,DATEDIF(VLOOKUP(IntComp[[#This Row],[DEVELOPMENT]],Data[],12,FALSE),TODAY(),"Y"))</f>
        <v>10</v>
      </c>
      <c r="N133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70</v>
      </c>
      <c r="O133" s="51"/>
      <c r="P133" s="1"/>
      <c r="Q133" s="1"/>
      <c r="R133" s="47">
        <f ca="1">(IntComp[[#This Row],['# to Replace (MRST)]]*INDEX(UnitCosts[#All],MATCH(IntComp[[#This Row],[WORK TYPE]],UnitCosts[Work Type],0)+1,2))*(1+((IntComp[[#This Row],[est. Year]]-YEAR(TODAY()))*$R$2))</f>
        <v>4879818.125</v>
      </c>
      <c r="S133" s="1">
        <f ca="1">SUM(INDEX(IntComp['# to Replace (MRST)],1):IntComp[[#This Row],['# to Replace (MRST)]])-272</f>
        <v>513</v>
      </c>
      <c r="T133" s="1"/>
      <c r="U133" s="1">
        <f ca="1">IF(ISBLANK(IntComp[[#This Row],[CALENDAR YEAR]]),ROUNDDOWN(IntComp[[#This Row],[Count]]/190,0)+$U$1,IntComp[[#This Row],[CALENDAR YEAR]])</f>
        <v>2023</v>
      </c>
      <c r="V133" s="3">
        <f t="shared" ca="1" si="2"/>
        <v>10456753.125</v>
      </c>
      <c r="W133" s="71"/>
      <c r="X133"/>
    </row>
    <row r="134" spans="1:24">
      <c r="A134" s="1" t="s">
        <v>74</v>
      </c>
      <c r="B134" s="1" t="str">
        <f>VLOOKUP(A134,Data[],2,FALSE)</f>
        <v>MANHATTAN</v>
      </c>
      <c r="C134" s="9" t="s">
        <v>106</v>
      </c>
      <c r="D134" s="9" t="str">
        <f>VLOOKUP(IntComp[[#This Row],[DEVELOPMENT]],Data[],52,FALSE)</f>
        <v>FEDERAL</v>
      </c>
      <c r="E134" s="9" t="str">
        <f>VLOOKUP(IntComp[[#This Row],[DEVELOPMENT]],Data[],8,FALSE)</f>
        <v>Zone 2</v>
      </c>
      <c r="F134" s="9">
        <f>VLOOKUP(IntComp[[#This Row],[DEVELOPMENT]],all[[DEVELOPMENT]:[MRST Ext. Comp. Priority]],13,FALSE)</f>
        <v>3</v>
      </c>
      <c r="G134" s="9">
        <f>IF(VLOOKUP(IntComp[[#This Row],[DEVELOPMENT]],Data[],9,FALSE)=0,5,VLOOKUP(IntComp[[#This Row],[DEVELOPMENT]],Data[],9,FALSE))</f>
        <v>4</v>
      </c>
      <c r="H134" s="9">
        <f>VLOOKUP(IntComp[[#This Row],[DEVELOPMENT]],Data[],7,FALSE)</f>
        <v>171</v>
      </c>
      <c r="I134" s="9">
        <f>VLOOKUP(IntComp[[#This Row],[DEVELOPMENT]],Data[],5,FALSE)</f>
        <v>1</v>
      </c>
      <c r="J134" s="9"/>
      <c r="K134" s="9" t="str">
        <f ca="1">IFERROR(VLOOKUP(IntComp[[#This Row],[DEVELOPMENT]],Data[],4,FALSE),"")</f>
        <v>2026+</v>
      </c>
      <c r="L134" s="9" t="str">
        <f ca="1">IF(IntComp[[#This Row],[RAD/PACT]]="","",IF(OR(IntComp[[#This Row],[RAD/PACT]]="2022-2025",IntComp[[#This Row],[RAD/PACT]]=2019,IntComp[[#This Row],[RAD/PACT]]="2020-2021"),"Yes",""))</f>
        <v/>
      </c>
      <c r="M134" s="1">
        <f ca="1">IF(VLOOKUP(IntComp[[#This Row],[DEVELOPMENT]],Data[],10,FALSE)=0,-1,DATEDIF(VLOOKUP(IntComp[[#This Row],[DEVELOPMENT]],Data[],12,FALSE),TODAY(),"Y"))</f>
        <v>24</v>
      </c>
      <c r="N134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34" s="1"/>
      <c r="P134" s="1"/>
      <c r="Q134" s="1"/>
      <c r="R134" s="47">
        <f ca="1">(IntComp[[#This Row],['# to Replace (MRST)]]*INDEX(UnitCosts[#All],MATCH(IntComp[[#This Row],[WORK TYPE]],UnitCosts[Work Type],0)+1,2))*(1+((IntComp[[#This Row],[est. Year]]-YEAR(TODAY()))*$R$2))</f>
        <v>69711.6875</v>
      </c>
      <c r="S134" s="1">
        <f ca="1">SUM(INDEX(IntComp['# to Replace (MRST)],1):IntComp[[#This Row],['# to Replace (MRST)]])-272</f>
        <v>514</v>
      </c>
      <c r="T134" s="1"/>
      <c r="U134" s="1">
        <f ca="1">IF(ISBLANK(IntComp[[#This Row],[CALENDAR YEAR]]),ROUNDDOWN(IntComp[[#This Row],[Count]]/190,0)+$U$1,IntComp[[#This Row],[CALENDAR YEAR]])</f>
        <v>2023</v>
      </c>
      <c r="V134" s="3">
        <f t="shared" ref="V134:V197" ca="1" si="3">IF(U134=U133,R134+V133,R134)</f>
        <v>10526464.8125</v>
      </c>
      <c r="W134" s="71"/>
      <c r="X134"/>
    </row>
    <row r="135" spans="1:24" hidden="1">
      <c r="A135" s="200" t="s">
        <v>26</v>
      </c>
      <c r="B135" s="196" t="str">
        <f>VLOOKUP(A135,Data[],2,FALSE)</f>
        <v>BROOKLYN</v>
      </c>
      <c r="C135" s="197" t="s">
        <v>106</v>
      </c>
      <c r="D135" s="197" t="str">
        <f>VLOOKUP(IntComp[[#This Row],[DEVELOPMENT]],Data[],52,FALSE)</f>
        <v>MIXED FINANCE/LLC1</v>
      </c>
      <c r="E135" s="197" t="str">
        <f>VLOOKUP(IntComp[[#This Row],[DEVELOPMENT]],Data[],8,FALSE)</f>
        <v>Zone 1</v>
      </c>
      <c r="F135" s="197">
        <f>VLOOKUP(IntComp[[#This Row],[DEVELOPMENT]],all[[DEVELOPMENT]:[MRST Ext. Comp. Priority]],13,FALSE)</f>
        <v>3</v>
      </c>
      <c r="G135" s="197">
        <f>IF(VLOOKUP(IntComp[[#This Row],[DEVELOPMENT]],Data[],9,FALSE)=0,5,VLOOKUP(IntComp[[#This Row],[DEVELOPMENT]],Data[],9,FALSE))</f>
        <v>3</v>
      </c>
      <c r="H135" s="197">
        <f>VLOOKUP(IntComp[[#This Row],[DEVELOPMENT]],Data[],7,FALSE)</f>
        <v>1219</v>
      </c>
      <c r="I135" s="197">
        <f>VLOOKUP(IntComp[[#This Row],[DEVELOPMENT]],Data[],5,FALSE)</f>
        <v>8</v>
      </c>
      <c r="J135" s="197"/>
      <c r="K135" s="197" t="str">
        <f ca="1">IFERROR(VLOOKUP(IntComp[[#This Row],[DEVELOPMENT]],Data[],4,FALSE),"")</f>
        <v/>
      </c>
      <c r="L135" s="197" t="str">
        <f ca="1">IF(IntComp[[#This Row],[RAD/PACT]]="","",IF(OR(IntComp[[#This Row],[RAD/PACT]]="2022-2025",IntComp[[#This Row],[RAD/PACT]]=2019,IntComp[[#This Row],[RAD/PACT]]="2020-2021"),"Yes",""))</f>
        <v/>
      </c>
      <c r="M135" s="196">
        <f ca="1">IF(VLOOKUP(IntComp[[#This Row],[DEVELOPMENT]],Data[],10,FALSE)=0,-1,DATEDIF(VLOOKUP(IntComp[[#This Row],[DEVELOPMENT]],Data[],12,FALSE),TODAY(),"Y"))</f>
        <v>20</v>
      </c>
      <c r="N135" s="196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35" s="196"/>
      <c r="P135" s="196"/>
      <c r="Q135" s="196"/>
      <c r="R135" s="198">
        <f ca="1">(IntComp[[#This Row],['# to Replace (MRST)]]*INDEX(UnitCosts[#All],MATCH(IntComp[[#This Row],[WORK TYPE]],UnitCosts[Work Type],0)+1,2))*(1+((IntComp[[#This Row],[est. Year]]-YEAR(TODAY()))*$R$2))</f>
        <v>0</v>
      </c>
      <c r="S135" s="196">
        <f ca="1">SUM(INDEX(IntComp['# to Replace (MRST)],1):IntComp[[#This Row],['# to Replace (MRST)]])-272</f>
        <v>514</v>
      </c>
      <c r="T135" s="196"/>
      <c r="U135" s="196">
        <f ca="1">IF(ISBLANK(IntComp[[#This Row],[CALENDAR YEAR]]),ROUNDDOWN(IntComp[[#This Row],[Count]]/190,0)+$U$1,IntComp[[#This Row],[CALENDAR YEAR]])</f>
        <v>2023</v>
      </c>
      <c r="V135" s="199">
        <f t="shared" ca="1" si="3"/>
        <v>10526464.8125</v>
      </c>
      <c r="W135" s="106"/>
      <c r="X135"/>
    </row>
    <row r="136" spans="1:24">
      <c r="A136" s="1" t="s">
        <v>272</v>
      </c>
      <c r="B136" s="9" t="str">
        <f>VLOOKUP(A136,Data[],2,FALSE)</f>
        <v>QUEENS</v>
      </c>
      <c r="C136" s="9" t="s">
        <v>106</v>
      </c>
      <c r="D136" s="9" t="str">
        <f>VLOOKUP(IntComp[[#This Row],[DEVELOPMENT]],Data[],52,FALSE)</f>
        <v>FEDERAL</v>
      </c>
      <c r="E136" s="50">
        <f>VLOOKUP(IntComp[[#This Row],[DEVELOPMENT]],Data[],8,FALSE)</f>
        <v>0</v>
      </c>
      <c r="F136" s="50">
        <f>VLOOKUP(IntComp[[#This Row],[DEVELOPMENT]],all[[DEVELOPMENT]:[MRST Ext. Comp. Priority]],13,FALSE)</f>
        <v>3</v>
      </c>
      <c r="G136" s="50">
        <f>IF(VLOOKUP(IntComp[[#This Row],[DEVELOPMENT]],Data[],9,FALSE)=0,5,VLOOKUP(IntComp[[#This Row],[DEVELOPMENT]],Data[],9,FALSE))</f>
        <v>5</v>
      </c>
      <c r="H136" s="50">
        <f>VLOOKUP(IntComp[[#This Row],[DEVELOPMENT]],Data[],7,FALSE)</f>
        <v>1104</v>
      </c>
      <c r="I136" s="50">
        <f>VLOOKUP(IntComp[[#This Row],[DEVELOPMENT]],Data[],5,FALSE)</f>
        <v>22</v>
      </c>
      <c r="J136" s="50"/>
      <c r="K136" s="50" t="str">
        <f ca="1">IFERROR(VLOOKUP(IntComp[[#This Row],[DEVELOPMENT]],Data[],4,FALSE),"")</f>
        <v>2022-2025</v>
      </c>
      <c r="L136" s="50" t="str">
        <f ca="1">IF(IntComp[[#This Row],[RAD/PACT]]="","",IF(OR(IntComp[[#This Row],[RAD/PACT]]="2022-2025",IntComp[[#This Row],[RAD/PACT]]=2019,IntComp[[#This Row],[RAD/PACT]]="2020-2021"),"Yes",""))</f>
        <v>Yes</v>
      </c>
      <c r="M136" s="51">
        <f ca="1">IF(VLOOKUP(IntComp[[#This Row],[DEVELOPMENT]],Data[],10,FALSE)=0,-1,DATEDIF(VLOOKUP(IntComp[[#This Row],[DEVELOPMENT]],Data[],12,FALSE),TODAY(),"Y"))</f>
        <v>18</v>
      </c>
      <c r="N13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36" s="51"/>
      <c r="P136" s="51"/>
      <c r="Q136" s="51"/>
      <c r="R136" s="47">
        <f ca="1">(IntComp[[#This Row],['# to Replace (MRST)]]*INDEX(UnitCosts[#All],MATCH(IntComp[[#This Row],[WORK TYPE]],UnitCosts[Work Type],0)+1,2))*(1+((IntComp[[#This Row],[est. Year]]-YEAR(TODAY()))*$R$2))</f>
        <v>0</v>
      </c>
      <c r="S136" s="1">
        <f ca="1">SUM(INDEX(IntComp['# to Replace (MRST)],1):IntComp[[#This Row],['# to Replace (MRST)]])-272</f>
        <v>514</v>
      </c>
      <c r="T136" s="51"/>
      <c r="U136" s="51">
        <f ca="1">IF(ISBLANK(IntComp[[#This Row],[CALENDAR YEAR]]),ROUNDDOWN(IntComp[[#This Row],[Count]]/190,0)+$U$1,IntComp[[#This Row],[CALENDAR YEAR]])</f>
        <v>2023</v>
      </c>
      <c r="V136" s="85">
        <f t="shared" ca="1" si="3"/>
        <v>10526464.8125</v>
      </c>
      <c r="W136" s="71"/>
      <c r="X136"/>
    </row>
    <row r="137" spans="1:24">
      <c r="A137" s="1" t="s">
        <v>253</v>
      </c>
      <c r="B137" s="9" t="str">
        <f>VLOOKUP(A137,Data[],2,FALSE)</f>
        <v>BRONX</v>
      </c>
      <c r="C137" s="9" t="s">
        <v>106</v>
      </c>
      <c r="D137" s="9" t="str">
        <f>VLOOKUP(IntComp[[#This Row],[DEVELOPMENT]],Data[],52,FALSE)</f>
        <v>FEDERAL</v>
      </c>
      <c r="E137" s="50">
        <f>VLOOKUP(IntComp[[#This Row],[DEVELOPMENT]],Data[],8,FALSE)</f>
        <v>0</v>
      </c>
      <c r="F137" s="50">
        <f>VLOOKUP(IntComp[[#This Row],[DEVELOPMENT]],all[[DEVELOPMENT]:[MRST Ext. Comp. Priority]],13,FALSE)</f>
        <v>3</v>
      </c>
      <c r="G137" s="50">
        <f>IF(VLOOKUP(IntComp[[#This Row],[DEVELOPMENT]],Data[],9,FALSE)=0,5,VLOOKUP(IntComp[[#This Row],[DEVELOPMENT]],Data[],9,FALSE))</f>
        <v>5</v>
      </c>
      <c r="H137" s="50">
        <f>VLOOKUP(IntComp[[#This Row],[DEVELOPMENT]],Data[],7,FALSE)</f>
        <v>411</v>
      </c>
      <c r="I137" s="50">
        <f>VLOOKUP(IntComp[[#This Row],[DEVELOPMENT]],Data[],5,FALSE)</f>
        <v>7</v>
      </c>
      <c r="J137" s="50"/>
      <c r="K137" s="50" t="str">
        <f ca="1">IFERROR(VLOOKUP(IntComp[[#This Row],[DEVELOPMENT]],Data[],4,FALSE),"")</f>
        <v>2022-2025</v>
      </c>
      <c r="L137" s="50" t="str">
        <f ca="1">IF(IntComp[[#This Row],[RAD/PACT]]="","",IF(OR(IntComp[[#This Row],[RAD/PACT]]="2022-2025",IntComp[[#This Row],[RAD/PACT]]=2019,IntComp[[#This Row],[RAD/PACT]]="2020-2021"),"Yes",""))</f>
        <v>Yes</v>
      </c>
      <c r="M137" s="51">
        <f ca="1">IF(VLOOKUP(IntComp[[#This Row],[DEVELOPMENT]],Data[],10,FALSE)=0,-1,DATEDIF(VLOOKUP(IntComp[[#This Row],[DEVELOPMENT]],Data[],12,FALSE),TODAY(),"Y"))</f>
        <v>18</v>
      </c>
      <c r="N13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37" s="51"/>
      <c r="P137" s="51"/>
      <c r="Q137" s="51"/>
      <c r="R137" s="47">
        <f ca="1">(IntComp[[#This Row],['# to Replace (MRST)]]*INDEX(UnitCosts[#All],MATCH(IntComp[[#This Row],[WORK TYPE]],UnitCosts[Work Type],0)+1,2))*(1+((IntComp[[#This Row],[est. Year]]-YEAR(TODAY()))*$R$2))</f>
        <v>0</v>
      </c>
      <c r="S137" s="1">
        <f ca="1">SUM(INDEX(IntComp['# to Replace (MRST)],1):IntComp[[#This Row],['# to Replace (MRST)]])-272</f>
        <v>514</v>
      </c>
      <c r="T137" s="51"/>
      <c r="U137" s="51">
        <f ca="1">IF(ISBLANK(IntComp[[#This Row],[CALENDAR YEAR]]),ROUNDDOWN(IntComp[[#This Row],[Count]]/190,0)+$U$1,IntComp[[#This Row],[CALENDAR YEAR]])</f>
        <v>2023</v>
      </c>
      <c r="V137" s="85">
        <f t="shared" ca="1" si="3"/>
        <v>10526464.8125</v>
      </c>
      <c r="W137" s="71"/>
      <c r="X137"/>
    </row>
    <row r="138" spans="1:24">
      <c r="A138" s="1" t="s">
        <v>84</v>
      </c>
      <c r="B138" s="1" t="str">
        <f>VLOOKUP(A138,Data[],2,FALSE)</f>
        <v>BROOKLYN</v>
      </c>
      <c r="C138" s="9" t="s">
        <v>106</v>
      </c>
      <c r="D138" s="9" t="str">
        <f>VLOOKUP(IntComp[[#This Row],[DEVELOPMENT]],Data[],52,FALSE)</f>
        <v>FEDERAL</v>
      </c>
      <c r="E138" s="9" t="str">
        <f>VLOOKUP(IntComp[[#This Row],[DEVELOPMENT]],Data[],8,FALSE)</f>
        <v>Zone 3</v>
      </c>
      <c r="F138" s="9">
        <f>VLOOKUP(IntComp[[#This Row],[DEVELOPMENT]],all[[DEVELOPMENT]:[MRST Ext. Comp. Priority]],13,FALSE)</f>
        <v>3</v>
      </c>
      <c r="G138" s="9">
        <f>IF(VLOOKUP(IntComp[[#This Row],[DEVELOPMENT]],Data[],9,FALSE)=0,5,VLOOKUP(IntComp[[#This Row],[DEVELOPMENT]],Data[],9,FALSE))</f>
        <v>4</v>
      </c>
      <c r="H138" s="9">
        <f>VLOOKUP(IntComp[[#This Row],[DEVELOPMENT]],Data[],7,FALSE)</f>
        <v>1154</v>
      </c>
      <c r="I138" s="9">
        <f>VLOOKUP(IntComp[[#This Row],[DEVELOPMENT]],Data[],5,FALSE)</f>
        <v>16</v>
      </c>
      <c r="J138" s="9"/>
      <c r="K138" s="9" t="str">
        <f ca="1">IFERROR(VLOOKUP(IntComp[[#This Row],[DEVELOPMENT]],Data[],4,FALSE),"")</f>
        <v/>
      </c>
      <c r="L138" s="9" t="str">
        <f ca="1">IF(IntComp[[#This Row],[RAD/PACT]]="","",IF(OR(IntComp[[#This Row],[RAD/PACT]]="2022-2025",IntComp[[#This Row],[RAD/PACT]]=2019,IntComp[[#This Row],[RAD/PACT]]="2020-2021"),"Yes",""))</f>
        <v/>
      </c>
      <c r="M138" s="1">
        <f ca="1">IF(VLOOKUP(IntComp[[#This Row],[DEVELOPMENT]],Data[],10,FALSE)=0,-1,DATEDIF(VLOOKUP(IntComp[[#This Row],[DEVELOPMENT]],Data[],12,FALSE),TODAY(),"Y"))</f>
        <v>21</v>
      </c>
      <c r="N138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35</v>
      </c>
      <c r="O138" s="1"/>
      <c r="P138" s="1"/>
      <c r="Q138" s="1"/>
      <c r="R138" s="47">
        <f ca="1">(IntComp[[#This Row],['# to Replace (MRST)]]*INDEX(UnitCosts[#All],MATCH(IntComp[[#This Row],[WORK TYPE]],UnitCosts[Work Type],0)+1,2))*(1+((IntComp[[#This Row],[est. Year]]-YEAR(TODAY()))*$R$2))</f>
        <v>2439909.0625</v>
      </c>
      <c r="S138" s="1">
        <f ca="1">SUM(INDEX(IntComp['# to Replace (MRST)],1):IntComp[[#This Row],['# to Replace (MRST)]])-272</f>
        <v>549</v>
      </c>
      <c r="T138" s="1"/>
      <c r="U138" s="1">
        <f ca="1">IF(ISBLANK(IntComp[[#This Row],[CALENDAR YEAR]]),ROUNDDOWN(IntComp[[#This Row],[Count]]/190,0)+$U$1,IntComp[[#This Row],[CALENDAR YEAR]])</f>
        <v>2023</v>
      </c>
      <c r="V138" s="3">
        <f t="shared" ca="1" si="3"/>
        <v>12966373.875</v>
      </c>
      <c r="W138" s="71"/>
      <c r="X138"/>
    </row>
    <row r="139" spans="1:24">
      <c r="A139" s="1" t="s">
        <v>127</v>
      </c>
      <c r="B139" s="1" t="str">
        <f>VLOOKUP(A139,Data[],2,FALSE)</f>
        <v>MANHATTAN</v>
      </c>
      <c r="C139" s="9" t="s">
        <v>106</v>
      </c>
      <c r="D139" s="9" t="str">
        <f>VLOOKUP(IntComp[[#This Row],[DEVELOPMENT]],Data[],52,FALSE)</f>
        <v>FEDERAL</v>
      </c>
      <c r="E139" s="9" t="str">
        <f>VLOOKUP(IntComp[[#This Row],[DEVELOPMENT]],Data[],8,FALSE)</f>
        <v>Zone 2</v>
      </c>
      <c r="F139" s="9">
        <f>VLOOKUP(IntComp[[#This Row],[DEVELOPMENT]],all[[DEVELOPMENT]:[MRST Ext. Comp. Priority]],13,FALSE)</f>
        <v>3</v>
      </c>
      <c r="G139" s="9">
        <f>IF(VLOOKUP(IntComp[[#This Row],[DEVELOPMENT]],Data[],9,FALSE)=0,5,VLOOKUP(IntComp[[#This Row],[DEVELOPMENT]],Data[],9,FALSE))</f>
        <v>4</v>
      </c>
      <c r="H139" s="9">
        <f>VLOOKUP(IntComp[[#This Row],[DEVELOPMENT]],Data[],7,FALSE)</f>
        <v>2151</v>
      </c>
      <c r="I139" s="9">
        <f>VLOOKUP(IntComp[[#This Row],[DEVELOPMENT]],Data[],5,FALSE)</f>
        <v>22</v>
      </c>
      <c r="J139" s="9"/>
      <c r="K139" s="9" t="str">
        <f ca="1">IFERROR(VLOOKUP(IntComp[[#This Row],[DEVELOPMENT]],Data[],4,FALSE),"")</f>
        <v>2026+</v>
      </c>
      <c r="L139" s="9" t="str">
        <f ca="1">IF(IntComp[[#This Row],[RAD/PACT]]="","",IF(OR(IntComp[[#This Row],[RAD/PACT]]="2022-2025",IntComp[[#This Row],[RAD/PACT]]=2019,IntComp[[#This Row],[RAD/PACT]]="2020-2021"),"Yes",""))</f>
        <v/>
      </c>
      <c r="M139" s="1">
        <f ca="1">IF(VLOOKUP(IntComp[[#This Row],[DEVELOPMENT]],Data[],10,FALSE)=0,-1,DATEDIF(VLOOKUP(IntComp[[#This Row],[DEVELOPMENT]],Data[],12,FALSE),TODAY(),"Y"))</f>
        <v>21</v>
      </c>
      <c r="N139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22</v>
      </c>
      <c r="O139" s="1"/>
      <c r="P139" s="1"/>
      <c r="Q139" s="1"/>
      <c r="R139" s="47">
        <f ca="1">(IntComp[[#This Row],['# to Replace (MRST)]]*INDEX(UnitCosts[#All],MATCH(IntComp[[#This Row],[WORK TYPE]],UnitCosts[Work Type],0)+1,2))*(1+((IntComp[[#This Row],[est. Year]]-YEAR(TODAY()))*$R$2))</f>
        <v>1582234.5000000002</v>
      </c>
      <c r="S139" s="1">
        <f ca="1">SUM(INDEX(IntComp['# to Replace (MRST)],1):IntComp[[#This Row],['# to Replace (MRST)]])-272</f>
        <v>571</v>
      </c>
      <c r="T139" s="1"/>
      <c r="U139" s="1">
        <f ca="1">IF(ISBLANK(IntComp[[#This Row],[CALENDAR YEAR]]),ROUNDDOWN(IntComp[[#This Row],[Count]]/190,0)+$U$1,IntComp[[#This Row],[CALENDAR YEAR]])</f>
        <v>2024</v>
      </c>
      <c r="V139" s="3">
        <f t="shared" ca="1" si="3"/>
        <v>1582234.5000000002</v>
      </c>
      <c r="W139" s="71"/>
      <c r="X139"/>
    </row>
    <row r="140" spans="1:24">
      <c r="A140" s="1" t="s">
        <v>134</v>
      </c>
      <c r="B140" s="1" t="str">
        <f>VLOOKUP(A140,Data[],2,FALSE)</f>
        <v>QUEENS</v>
      </c>
      <c r="C140" s="9" t="s">
        <v>106</v>
      </c>
      <c r="D140" s="9" t="str">
        <f>VLOOKUP(IntComp[[#This Row],[DEVELOPMENT]],Data[],52,FALSE)</f>
        <v>FEDERAL</v>
      </c>
      <c r="E140" s="9" t="str">
        <f>VLOOKUP(IntComp[[#This Row],[DEVELOPMENT]],Data[],8,FALSE)</f>
        <v>Zone 3</v>
      </c>
      <c r="F140" s="9">
        <f>VLOOKUP(IntComp[[#This Row],[DEVELOPMENT]],all[[DEVELOPMENT]:[MRST Ext. Comp. Priority]],13,FALSE)</f>
        <v>3</v>
      </c>
      <c r="G140" s="9">
        <f>IF(VLOOKUP(IntComp[[#This Row],[DEVELOPMENT]],Data[],9,FALSE)=0,5,VLOOKUP(IntComp[[#This Row],[DEVELOPMENT]],Data[],9,FALSE))</f>
        <v>4</v>
      </c>
      <c r="H140" s="9">
        <f>VLOOKUP(IntComp[[#This Row],[DEVELOPMENT]],Data[],7,FALSE)</f>
        <v>1542</v>
      </c>
      <c r="I140" s="9">
        <f>VLOOKUP(IntComp[[#This Row],[DEVELOPMENT]],Data[],5,FALSE)</f>
        <v>13</v>
      </c>
      <c r="J140" s="9"/>
      <c r="K140" s="9" t="str">
        <f ca="1">IFERROR(VLOOKUP(IntComp[[#This Row],[DEVELOPMENT]],Data[],4,FALSE),"")</f>
        <v>2026+</v>
      </c>
      <c r="L140" s="9" t="str">
        <f ca="1">IF(IntComp[[#This Row],[RAD/PACT]]="","",IF(OR(IntComp[[#This Row],[RAD/PACT]]="2022-2025",IntComp[[#This Row],[RAD/PACT]]=2019,IntComp[[#This Row],[RAD/PACT]]="2020-2021"),"Yes",""))</f>
        <v/>
      </c>
      <c r="M140" s="1">
        <f ca="1">IF(VLOOKUP(IntComp[[#This Row],[DEVELOPMENT]],Data[],10,FALSE)=0,-1,DATEDIF(VLOOKUP(IntComp[[#This Row],[DEVELOPMENT]],Data[],12,FALSE),TODAY(),"Y"))</f>
        <v>17</v>
      </c>
      <c r="N14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47</v>
      </c>
      <c r="O140" s="1"/>
      <c r="P140" s="1"/>
      <c r="Q140" s="1"/>
      <c r="R140" s="47">
        <f ca="1">(IntComp[[#This Row],['# to Replace (MRST)]]*INDEX(UnitCosts[#All],MATCH(IntComp[[#This Row],[WORK TYPE]],UnitCosts[Work Type],0)+1,2))*(1+((IntComp[[#This Row],[est. Year]]-YEAR(TODAY()))*$R$2))</f>
        <v>3380228.2500000005</v>
      </c>
      <c r="S140" s="1">
        <f ca="1">SUM(INDEX(IntComp['# to Replace (MRST)],1):IntComp[[#This Row],['# to Replace (MRST)]])-272</f>
        <v>618</v>
      </c>
      <c r="T140" s="1"/>
      <c r="U140" s="1">
        <f ca="1">IF(ISBLANK(IntComp[[#This Row],[CALENDAR YEAR]]),ROUNDDOWN(IntComp[[#This Row],[Count]]/190,0)+$U$1,IntComp[[#This Row],[CALENDAR YEAR]])</f>
        <v>2024</v>
      </c>
      <c r="V140" s="3">
        <f t="shared" ca="1" si="3"/>
        <v>4962462.7500000009</v>
      </c>
      <c r="W140" s="71"/>
      <c r="X140"/>
    </row>
    <row r="141" spans="1:24">
      <c r="A141" s="1" t="s">
        <v>210</v>
      </c>
      <c r="B141" s="9" t="str">
        <f>VLOOKUP(A141,Data[],2,FALSE)</f>
        <v>BRONX</v>
      </c>
      <c r="C141" s="9" t="s">
        <v>106</v>
      </c>
      <c r="D141" s="9" t="str">
        <f>VLOOKUP(IntComp[[#This Row],[DEVELOPMENT]],Data[],52,FALSE)</f>
        <v>FEDERAL</v>
      </c>
      <c r="E141" s="50">
        <f>VLOOKUP(IntComp[[#This Row],[DEVELOPMENT]],Data[],8,FALSE)</f>
        <v>0</v>
      </c>
      <c r="F141" s="50">
        <f>VLOOKUP(IntComp[[#This Row],[DEVELOPMENT]],all[[DEVELOPMENT]:[MRST Ext. Comp. Priority]],13,FALSE)</f>
        <v>2</v>
      </c>
      <c r="G141" s="50">
        <f>IF(VLOOKUP(IntComp[[#This Row],[DEVELOPMENT]],Data[],9,FALSE)=0,5,VLOOKUP(IntComp[[#This Row],[DEVELOPMENT]],Data[],9,FALSE))</f>
        <v>5</v>
      </c>
      <c r="H141" s="50">
        <f>VLOOKUP(IntComp[[#This Row],[DEVELOPMENT]],Data[],7,FALSE)</f>
        <v>1265</v>
      </c>
      <c r="I141" s="50">
        <f>VLOOKUP(IntComp[[#This Row],[DEVELOPMENT]],Data[],5,FALSE)</f>
        <v>23</v>
      </c>
      <c r="J141" s="50"/>
      <c r="K141" s="50" t="str">
        <f ca="1">IFERROR(VLOOKUP(IntComp[[#This Row],[DEVELOPMENT]],Data[],4,FALSE),"")</f>
        <v>2022-2025</v>
      </c>
      <c r="L141" s="50" t="str">
        <f ca="1">IF(IntComp[[#This Row],[RAD/PACT]]="","",IF(OR(IntComp[[#This Row],[RAD/PACT]]="2022-2025",IntComp[[#This Row],[RAD/PACT]]=2019,IntComp[[#This Row],[RAD/PACT]]="2020-2021"),"Yes",""))</f>
        <v>Yes</v>
      </c>
      <c r="M141" s="51">
        <f ca="1">IF(VLOOKUP(IntComp[[#This Row],[DEVELOPMENT]],Data[],10,FALSE)=0,-1,DATEDIF(VLOOKUP(IntComp[[#This Row],[DEVELOPMENT]],Data[],12,FALSE),TODAY(),"Y"))</f>
        <v>18</v>
      </c>
      <c r="N14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41" s="51"/>
      <c r="P141" s="51"/>
      <c r="Q141" s="51"/>
      <c r="R141" s="47">
        <f ca="1">(IntComp[[#This Row],['# to Replace (MRST)]]*INDEX(UnitCosts[#All],MATCH(IntComp[[#This Row],[WORK TYPE]],UnitCosts[Work Type],0)+1,2))*(1+((IntComp[[#This Row],[est. Year]]-YEAR(TODAY()))*$R$2))</f>
        <v>0</v>
      </c>
      <c r="S141" s="1">
        <f ca="1">SUM(INDEX(IntComp['# to Replace (MRST)],1):IntComp[[#This Row],['# to Replace (MRST)]])-272</f>
        <v>618</v>
      </c>
      <c r="T141" s="51"/>
      <c r="U141" s="51">
        <f ca="1">IF(ISBLANK(IntComp[[#This Row],[CALENDAR YEAR]]),ROUNDDOWN(IntComp[[#This Row],[Count]]/190,0)+$U$1,IntComp[[#This Row],[CALENDAR YEAR]])</f>
        <v>2024</v>
      </c>
      <c r="V141" s="85">
        <f t="shared" ca="1" si="3"/>
        <v>4962462.7500000009</v>
      </c>
      <c r="W141" s="51"/>
      <c r="X141"/>
    </row>
    <row r="142" spans="1:24">
      <c r="A142" s="1" t="s">
        <v>135</v>
      </c>
      <c r="B142" s="1" t="str">
        <f>VLOOKUP(A142,Data[],2,FALSE)</f>
        <v>QUEENS</v>
      </c>
      <c r="C142" s="9" t="s">
        <v>106</v>
      </c>
      <c r="D142" s="9" t="str">
        <f>VLOOKUP(IntComp[[#This Row],[DEVELOPMENT]],Data[],52,FALSE)</f>
        <v>FEDERAL</v>
      </c>
      <c r="E142" s="9" t="str">
        <f>VLOOKUP(IntComp[[#This Row],[DEVELOPMENT]],Data[],8,FALSE)</f>
        <v>Zone 3</v>
      </c>
      <c r="F142" s="9">
        <f>VLOOKUP(IntComp[[#This Row],[DEVELOPMENT]],all[[DEVELOPMENT]:[MRST Ext. Comp. Priority]],13,FALSE)</f>
        <v>3</v>
      </c>
      <c r="G142" s="9">
        <f>IF(VLOOKUP(IntComp[[#This Row],[DEVELOPMENT]],Data[],9,FALSE)=0,5,VLOOKUP(IntComp[[#This Row],[DEVELOPMENT]],Data[],9,FALSE))</f>
        <v>4</v>
      </c>
      <c r="H142" s="9">
        <f>VLOOKUP(IntComp[[#This Row],[DEVELOPMENT]],Data[],7,FALSE)</f>
        <v>1603</v>
      </c>
      <c r="I142" s="9">
        <f>VLOOKUP(IntComp[[#This Row],[DEVELOPMENT]],Data[],5,FALSE)</f>
        <v>13</v>
      </c>
      <c r="J142" s="9"/>
      <c r="K142" s="9" t="str">
        <f ca="1">IFERROR(VLOOKUP(IntComp[[#This Row],[DEVELOPMENT]],Data[],4,FALSE),"")</f>
        <v>2026+</v>
      </c>
      <c r="L142" s="9" t="str">
        <f ca="1">IF(IntComp[[#This Row],[RAD/PACT]]="","",IF(OR(IntComp[[#This Row],[RAD/PACT]]="2022-2025",IntComp[[#This Row],[RAD/PACT]]=2019,IntComp[[#This Row],[RAD/PACT]]="2020-2021"),"Yes",""))</f>
        <v/>
      </c>
      <c r="M142" s="1">
        <f ca="1">IF(VLOOKUP(IntComp[[#This Row],[DEVELOPMENT]],Data[],10,FALSE)=0,-1,DATEDIF(VLOOKUP(IntComp[[#This Row],[DEVELOPMENT]],Data[],12,FALSE),TODAY(),"Y"))</f>
        <v>17</v>
      </c>
      <c r="N142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49</v>
      </c>
      <c r="O142" s="1"/>
      <c r="P142" s="1"/>
      <c r="Q142" s="1"/>
      <c r="R142" s="47">
        <f ca="1">(IntComp[[#This Row],['# to Replace (MRST)]]*INDEX(UnitCosts[#All],MATCH(IntComp[[#This Row],[WORK TYPE]],UnitCosts[Work Type],0)+1,2))*(1+((IntComp[[#This Row],[est. Year]]-YEAR(TODAY()))*$R$2))</f>
        <v>3524067.7500000005</v>
      </c>
      <c r="S142" s="1">
        <f ca="1">SUM(INDEX(IntComp['# to Replace (MRST)],1):IntComp[[#This Row],['# to Replace (MRST)]])-272</f>
        <v>667</v>
      </c>
      <c r="T142" s="1"/>
      <c r="U142" s="1">
        <f ca="1">IF(ISBLANK(IntComp[[#This Row],[CALENDAR YEAR]]),ROUNDDOWN(IntComp[[#This Row],[Count]]/190,0)+$U$1,IntComp[[#This Row],[CALENDAR YEAR]])</f>
        <v>2024</v>
      </c>
      <c r="V142" s="3">
        <f t="shared" ca="1" si="3"/>
        <v>8486530.5000000019</v>
      </c>
      <c r="W142" s="71"/>
      <c r="X142"/>
    </row>
    <row r="143" spans="1:24">
      <c r="A143" s="1" t="s">
        <v>116</v>
      </c>
      <c r="B143" s="1" t="str">
        <f>VLOOKUP(A143,Data[],2,FALSE)</f>
        <v>MANHATTAN</v>
      </c>
      <c r="C143" s="9" t="s">
        <v>106</v>
      </c>
      <c r="D143" s="9" t="str">
        <f>VLOOKUP(IntComp[[#This Row],[DEVELOPMENT]],Data[],52,FALSE)</f>
        <v>FEDERAL</v>
      </c>
      <c r="E143" s="9" t="str">
        <f>VLOOKUP(IntComp[[#This Row],[DEVELOPMENT]],Data[],8,FALSE)</f>
        <v>Zone 2</v>
      </c>
      <c r="F143" s="9">
        <f>VLOOKUP(IntComp[[#This Row],[DEVELOPMENT]],all[[DEVELOPMENT]:[MRST Ext. Comp. Priority]],13,FALSE)</f>
        <v>3</v>
      </c>
      <c r="G143" s="9">
        <f>IF(VLOOKUP(IntComp[[#This Row],[DEVELOPMENT]],Data[],9,FALSE)=0,5,VLOOKUP(IntComp[[#This Row],[DEVELOPMENT]],Data[],9,FALSE))</f>
        <v>4</v>
      </c>
      <c r="H143" s="9">
        <f>VLOOKUP(IntComp[[#This Row],[DEVELOPMENT]],Data[],7,FALSE)</f>
        <v>398</v>
      </c>
      <c r="I143" s="9">
        <f>VLOOKUP(IntComp[[#This Row],[DEVELOPMENT]],Data[],5,FALSE)</f>
        <v>3</v>
      </c>
      <c r="J143" s="9"/>
      <c r="K143" s="9" t="str">
        <f ca="1">IFERROR(VLOOKUP(IntComp[[#This Row],[DEVELOPMENT]],Data[],4,FALSE),"")</f>
        <v>2026+</v>
      </c>
      <c r="L143" s="9" t="str">
        <f ca="1">IF(IntComp[[#This Row],[RAD/PACT]]="","",IF(OR(IntComp[[#This Row],[RAD/PACT]]="2022-2025",IntComp[[#This Row],[RAD/PACT]]=2019,IntComp[[#This Row],[RAD/PACT]]="2020-2021"),"Yes",""))</f>
        <v/>
      </c>
      <c r="M143" s="1">
        <f ca="1">IF(VLOOKUP(IntComp[[#This Row],[DEVELOPMENT]],Data[],10,FALSE)=0,-1,DATEDIF(VLOOKUP(IntComp[[#This Row],[DEVELOPMENT]],Data[],12,FALSE),TODAY(),"Y"))</f>
        <v>15</v>
      </c>
      <c r="N143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143" s="1"/>
      <c r="P143" s="1"/>
      <c r="Q143" s="1"/>
      <c r="R143" s="47">
        <f ca="1">(IntComp[[#This Row],['# to Replace (MRST)]]*INDEX(UnitCosts[#All],MATCH(IntComp[[#This Row],[WORK TYPE]],UnitCosts[Work Type],0)+1,2))*(1+((IntComp[[#This Row],[est. Year]]-YEAR(TODAY()))*$R$2))</f>
        <v>215759.25000000003</v>
      </c>
      <c r="S143" s="1">
        <f ca="1">SUM(INDEX(IntComp['# to Replace (MRST)],1):IntComp[[#This Row],['# to Replace (MRST)]])-272</f>
        <v>670</v>
      </c>
      <c r="T143" s="1"/>
      <c r="U143" s="1">
        <f ca="1">IF(ISBLANK(IntComp[[#This Row],[CALENDAR YEAR]]),ROUNDDOWN(IntComp[[#This Row],[Count]]/190,0)+$U$1,IntComp[[#This Row],[CALENDAR YEAR]])</f>
        <v>2024</v>
      </c>
      <c r="V143" s="3">
        <f t="shared" ca="1" si="3"/>
        <v>8702289.7500000019</v>
      </c>
      <c r="W143" s="71"/>
      <c r="X143"/>
    </row>
    <row r="144" spans="1:24">
      <c r="A144" s="9" t="s">
        <v>35</v>
      </c>
      <c r="B144" s="1" t="str">
        <f>VLOOKUP(A144,Data[],2,FALSE)</f>
        <v>BRONX</v>
      </c>
      <c r="C144" s="9" t="s">
        <v>106</v>
      </c>
      <c r="D144" s="9" t="str">
        <f>VLOOKUP(IntComp[[#This Row],[DEVELOPMENT]],Data[],52,FALSE)</f>
        <v>FEDERAL</v>
      </c>
      <c r="E144" s="9" t="str">
        <f>VLOOKUP(IntComp[[#This Row],[DEVELOPMENT]],Data[],8,FALSE)</f>
        <v>Zone 1</v>
      </c>
      <c r="F144" s="9">
        <f>VLOOKUP(IntComp[[#This Row],[DEVELOPMENT]],all[[DEVELOPMENT]:[MRST Ext. Comp. Priority]],13,FALSE)</f>
        <v>3</v>
      </c>
      <c r="G144" s="9">
        <f>IF(VLOOKUP(IntComp[[#This Row],[DEVELOPMENT]],Data[],9,FALSE)=0,5,VLOOKUP(IntComp[[#This Row],[DEVELOPMENT]],Data[],9,FALSE))</f>
        <v>4</v>
      </c>
      <c r="H144" s="9">
        <f>VLOOKUP(IntComp[[#This Row],[DEVELOPMENT]],Data[],7,FALSE)</f>
        <v>868</v>
      </c>
      <c r="I144" s="9">
        <f>VLOOKUP(IntComp[[#This Row],[DEVELOPMENT]],Data[],5,FALSE)</f>
        <v>7</v>
      </c>
      <c r="J144" s="9"/>
      <c r="K144" s="9" t="str">
        <f ca="1">IFERROR(VLOOKUP(IntComp[[#This Row],[DEVELOPMENT]],Data[],4,FALSE),"")</f>
        <v/>
      </c>
      <c r="L144" s="9" t="str">
        <f ca="1">IF(IntComp[[#This Row],[RAD/PACT]]="","",IF(OR(IntComp[[#This Row],[RAD/PACT]]="2022-2025",IntComp[[#This Row],[RAD/PACT]]=2019,IntComp[[#This Row],[RAD/PACT]]="2020-2021"),"Yes",""))</f>
        <v/>
      </c>
      <c r="M144" s="1">
        <f ca="1">IF(VLOOKUP(IntComp[[#This Row],[DEVELOPMENT]],Data[],10,FALSE)=0,-1,DATEDIF(VLOOKUP(IntComp[[#This Row],[DEVELOPMENT]],Data[],12,FALSE),TODAY(),"Y"))</f>
        <v>14</v>
      </c>
      <c r="N144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7</v>
      </c>
      <c r="O144" s="1"/>
      <c r="P144" s="1"/>
      <c r="Q144" s="1"/>
      <c r="R144" s="47">
        <f ca="1">(IntComp[[#This Row],['# to Replace (MRST)]]*INDEX(UnitCosts[#All],MATCH(IntComp[[#This Row],[WORK TYPE]],UnitCosts[Work Type],0)+1,2))*(1+((IntComp[[#This Row],[est. Year]]-YEAR(TODAY()))*$R$2))</f>
        <v>503438.25000000006</v>
      </c>
      <c r="S144" s="1">
        <f ca="1">SUM(INDEX(IntComp['# to Replace (MRST)],1):IntComp[[#This Row],['# to Replace (MRST)]])-272</f>
        <v>677</v>
      </c>
      <c r="T144" s="1"/>
      <c r="U144" s="1">
        <f ca="1">IF(ISBLANK(IntComp[[#This Row],[CALENDAR YEAR]]),ROUNDDOWN(IntComp[[#This Row],[Count]]/190,0)+$U$1,IntComp[[#This Row],[CALENDAR YEAR]])</f>
        <v>2024</v>
      </c>
      <c r="V144" s="3">
        <f t="shared" ca="1" si="3"/>
        <v>9205728.0000000019</v>
      </c>
      <c r="W144" s="71"/>
      <c r="X144"/>
    </row>
    <row r="145" spans="1:24">
      <c r="A145" s="1" t="s">
        <v>126</v>
      </c>
      <c r="B145" s="1" t="str">
        <f>VLOOKUP(A145,Data[],2,FALSE)</f>
        <v>MANHATTAN</v>
      </c>
      <c r="C145" s="9" t="s">
        <v>106</v>
      </c>
      <c r="D145" s="9" t="str">
        <f>VLOOKUP(IntComp[[#This Row],[DEVELOPMENT]],Data[],52,FALSE)</f>
        <v>FEDERAL</v>
      </c>
      <c r="E145" s="9" t="str">
        <f>VLOOKUP(IntComp[[#This Row],[DEVELOPMENT]],Data[],8,FALSE)</f>
        <v>Zone 2</v>
      </c>
      <c r="F145" s="9">
        <f>VLOOKUP(IntComp[[#This Row],[DEVELOPMENT]],all[[DEVELOPMENT]:[MRST Ext. Comp. Priority]],13,FALSE)</f>
        <v>3</v>
      </c>
      <c r="G145" s="9">
        <f>IF(VLOOKUP(IntComp[[#This Row],[DEVELOPMENT]],Data[],9,FALSE)=0,5,VLOOKUP(IntComp[[#This Row],[DEVELOPMENT]],Data[],9,FALSE))</f>
        <v>4</v>
      </c>
      <c r="H145" s="9">
        <f>VLOOKUP(IntComp[[#This Row],[DEVELOPMENT]],Data[],7,FALSE)</f>
        <v>179</v>
      </c>
      <c r="I145" s="9">
        <f>VLOOKUP(IntComp[[#This Row],[DEVELOPMENT]],Data[],5,FALSE)</f>
        <v>1</v>
      </c>
      <c r="J145" s="9"/>
      <c r="K145" s="9" t="str">
        <f ca="1">IFERROR(VLOOKUP(IntComp[[#This Row],[DEVELOPMENT]],Data[],4,FALSE),"")</f>
        <v/>
      </c>
      <c r="L145" s="9" t="str">
        <f ca="1">IF(IntComp[[#This Row],[RAD/PACT]]="","",IF(OR(IntComp[[#This Row],[RAD/PACT]]="2022-2025",IntComp[[#This Row],[RAD/PACT]]=2019,IntComp[[#This Row],[RAD/PACT]]="2020-2021"),"Yes",""))</f>
        <v/>
      </c>
      <c r="M145" s="1">
        <f ca="1">IF(VLOOKUP(IntComp[[#This Row],[DEVELOPMENT]],Data[],10,FALSE)=0,-1,DATEDIF(VLOOKUP(IntComp[[#This Row],[DEVELOPMENT]],Data[],12,FALSE),TODAY(),"Y"))</f>
        <v>12</v>
      </c>
      <c r="N145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45" s="1"/>
      <c r="P145" s="1"/>
      <c r="Q145" s="1"/>
      <c r="R145" s="47">
        <f ca="1">(IntComp[[#This Row],['# to Replace (MRST)]]*INDEX(UnitCosts[#All],MATCH(IntComp[[#This Row],[WORK TYPE]],UnitCosts[Work Type],0)+1,2))*(1+((IntComp[[#This Row],[est. Year]]-YEAR(TODAY()))*$R$2))</f>
        <v>71919.750000000015</v>
      </c>
      <c r="S145" s="1">
        <f ca="1">SUM(INDEX(IntComp['# to Replace (MRST)],1):IntComp[[#This Row],['# to Replace (MRST)]])-272</f>
        <v>678</v>
      </c>
      <c r="T145" s="1"/>
      <c r="U145" s="1">
        <f ca="1">IF(ISBLANK(IntComp[[#This Row],[CALENDAR YEAR]]),ROUNDDOWN(IntComp[[#This Row],[Count]]/190,0)+$U$1,IntComp[[#This Row],[CALENDAR YEAR]])</f>
        <v>2024</v>
      </c>
      <c r="V145" s="3">
        <f t="shared" ca="1" si="3"/>
        <v>9277647.7500000019</v>
      </c>
      <c r="W145" s="71"/>
      <c r="X145"/>
    </row>
    <row r="146" spans="1:24">
      <c r="A146" s="1" t="s">
        <v>257</v>
      </c>
      <c r="B146" s="9" t="str">
        <f>VLOOKUP(A146,Data[],2,FALSE)</f>
        <v>BROOKLYN</v>
      </c>
      <c r="C146" s="9" t="s">
        <v>106</v>
      </c>
      <c r="D146" s="9" t="str">
        <f>VLOOKUP(IntComp[[#This Row],[DEVELOPMENT]],Data[],52,FALSE)</f>
        <v>FEDERAL</v>
      </c>
      <c r="E146" s="50">
        <f>VLOOKUP(IntComp[[#This Row],[DEVELOPMENT]],Data[],8,FALSE)</f>
        <v>0</v>
      </c>
      <c r="F146" s="50">
        <f>VLOOKUP(IntComp[[#This Row],[DEVELOPMENT]],all[[DEVELOPMENT]:[MRST Ext. Comp. Priority]],13,FALSE)</f>
        <v>3</v>
      </c>
      <c r="G146" s="50">
        <f>IF(VLOOKUP(IntComp[[#This Row],[DEVELOPMENT]],Data[],9,FALSE)=0,5,VLOOKUP(IntComp[[#This Row],[DEVELOPMENT]],Data[],9,FALSE))</f>
        <v>5</v>
      </c>
      <c r="H146" s="50">
        <f>VLOOKUP(IntComp[[#This Row],[DEVELOPMENT]],Data[],7,FALSE)</f>
        <v>329</v>
      </c>
      <c r="I146" s="50">
        <f>VLOOKUP(IntComp[[#This Row],[DEVELOPMENT]],Data[],5,FALSE)</f>
        <v>5</v>
      </c>
      <c r="J146" s="50"/>
      <c r="K146" s="50" t="str">
        <f ca="1">IFERROR(VLOOKUP(IntComp[[#This Row],[DEVELOPMENT]],Data[],4,FALSE),"")</f>
        <v>2026+</v>
      </c>
      <c r="L146" s="50" t="str">
        <f ca="1">IF(IntComp[[#This Row],[RAD/PACT]]="","",IF(OR(IntComp[[#This Row],[RAD/PACT]]="2022-2025",IntComp[[#This Row],[RAD/PACT]]=2019,IntComp[[#This Row],[RAD/PACT]]="2020-2021"),"Yes",""))</f>
        <v/>
      </c>
      <c r="M146" s="51">
        <f ca="1">IF(VLOOKUP(IntComp[[#This Row],[DEVELOPMENT]],Data[],10,FALSE)=0,-1,DATEDIF(VLOOKUP(IntComp[[#This Row],[DEVELOPMENT]],Data[],12,FALSE),TODAY(),"Y"))</f>
        <v>30</v>
      </c>
      <c r="N14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11</v>
      </c>
      <c r="O146" s="51"/>
      <c r="P146" s="51"/>
      <c r="Q146" s="51"/>
      <c r="R146" s="47">
        <f ca="1">(IntComp[[#This Row],['# to Replace (MRST)]]*INDEX(UnitCosts[#All],MATCH(IntComp[[#This Row],[WORK TYPE]],UnitCosts[Work Type],0)+1,2))*(1+((IntComp[[#This Row],[est. Year]]-YEAR(TODAY()))*$R$2))</f>
        <v>791117.25000000012</v>
      </c>
      <c r="S146" s="1">
        <f ca="1">SUM(INDEX(IntComp['# to Replace (MRST)],1):IntComp[[#This Row],['# to Replace (MRST)]])-272</f>
        <v>689</v>
      </c>
      <c r="T146" s="51"/>
      <c r="U146" s="51">
        <f ca="1">IF(ISBLANK(IntComp[[#This Row],[CALENDAR YEAR]]),ROUNDDOWN(IntComp[[#This Row],[Count]]/190,0)+$U$1,IntComp[[#This Row],[CALENDAR YEAR]])</f>
        <v>2024</v>
      </c>
      <c r="V146" s="85">
        <f t="shared" ca="1" si="3"/>
        <v>10068765.000000002</v>
      </c>
      <c r="W146" s="71"/>
      <c r="X146"/>
    </row>
    <row r="147" spans="1:24">
      <c r="A147" s="1" t="s">
        <v>213</v>
      </c>
      <c r="B147" s="9" t="str">
        <f>VLOOKUP(A147,Data[],2,FALSE)</f>
        <v>BROOKLYN</v>
      </c>
      <c r="C147" s="9" t="s">
        <v>106</v>
      </c>
      <c r="D147" s="9" t="str">
        <f>VLOOKUP(IntComp[[#This Row],[DEVELOPMENT]],Data[],52,FALSE)</f>
        <v>FEDERAL</v>
      </c>
      <c r="E147" s="50">
        <f>VLOOKUP(IntComp[[#This Row],[DEVELOPMENT]],Data[],8,FALSE)</f>
        <v>0</v>
      </c>
      <c r="F147" s="50">
        <f>VLOOKUP(IntComp[[#This Row],[DEVELOPMENT]],all[[DEVELOPMENT]:[MRST Ext. Comp. Priority]],13,FALSE)</f>
        <v>3</v>
      </c>
      <c r="G147" s="50">
        <f>IF(VLOOKUP(IntComp[[#This Row],[DEVELOPMENT]],Data[],9,FALSE)=0,5,VLOOKUP(IntComp[[#This Row],[DEVELOPMENT]],Data[],9,FALSE))</f>
        <v>5</v>
      </c>
      <c r="H147" s="50">
        <f>VLOOKUP(IntComp[[#This Row],[DEVELOPMENT]],Data[],7,FALSE)</f>
        <v>1404</v>
      </c>
      <c r="I147" s="50">
        <f>VLOOKUP(IntComp[[#This Row],[DEVELOPMENT]],Data[],5,FALSE)</f>
        <v>16</v>
      </c>
      <c r="J147" s="50"/>
      <c r="K147" s="50" t="str">
        <f ca="1">IFERROR(VLOOKUP(IntComp[[#This Row],[DEVELOPMENT]],Data[],4,FALSE),"")</f>
        <v>2022-2025</v>
      </c>
      <c r="L147" s="50" t="str">
        <f ca="1">IF(IntComp[[#This Row],[RAD/PACT]]="","",IF(OR(IntComp[[#This Row],[RAD/PACT]]="2022-2025",IntComp[[#This Row],[RAD/PACT]]=2019,IntComp[[#This Row],[RAD/PACT]]="2020-2021"),"Yes",""))</f>
        <v>Yes</v>
      </c>
      <c r="M147" s="51">
        <f ca="1">IF(VLOOKUP(IntComp[[#This Row],[DEVELOPMENT]],Data[],10,FALSE)=0,-1,DATEDIF(VLOOKUP(IntComp[[#This Row],[DEVELOPMENT]],Data[],12,FALSE),TODAY(),"Y"))</f>
        <v>17</v>
      </c>
      <c r="N14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47" s="51"/>
      <c r="P147" s="51"/>
      <c r="Q147" s="51"/>
      <c r="R147" s="47">
        <f ca="1">(IntComp[[#This Row],['# to Replace (MRST)]]*INDEX(UnitCosts[#All],MATCH(IntComp[[#This Row],[WORK TYPE]],UnitCosts[Work Type],0)+1,2))*(1+((IntComp[[#This Row],[est. Year]]-YEAR(TODAY()))*$R$2))</f>
        <v>0</v>
      </c>
      <c r="S147" s="1">
        <f ca="1">SUM(INDEX(IntComp['# to Replace (MRST)],1):IntComp[[#This Row],['# to Replace (MRST)]])-272</f>
        <v>689</v>
      </c>
      <c r="T147" s="51"/>
      <c r="U147" s="51">
        <f ca="1">IF(ISBLANK(IntComp[[#This Row],[CALENDAR YEAR]]),ROUNDDOWN(IntComp[[#This Row],[Count]]/190,0)+$U$1,IntComp[[#This Row],[CALENDAR YEAR]])</f>
        <v>2024</v>
      </c>
      <c r="V147" s="85">
        <f t="shared" ca="1" si="3"/>
        <v>10068765.000000002</v>
      </c>
      <c r="W147" s="71"/>
      <c r="X147"/>
    </row>
    <row r="148" spans="1:24">
      <c r="A148" s="1" t="s">
        <v>353</v>
      </c>
      <c r="B148" s="9" t="str">
        <f>VLOOKUP(A148,Data[],2,FALSE)</f>
        <v>BRONX</v>
      </c>
      <c r="C148" s="9" t="s">
        <v>106</v>
      </c>
      <c r="D148" s="9" t="str">
        <f>VLOOKUP(IntComp[[#This Row],[DEVELOPMENT]],Data[],52,FALSE)</f>
        <v>FEDERAL</v>
      </c>
      <c r="E148" s="50">
        <f>VLOOKUP(IntComp[[#This Row],[DEVELOPMENT]],Data[],8,FALSE)</f>
        <v>0</v>
      </c>
      <c r="F148" s="50">
        <f>VLOOKUP(IntComp[[#This Row],[DEVELOPMENT]],all[[DEVELOPMENT]:[MRST Ext. Comp. Priority]],13,FALSE)</f>
        <v>3</v>
      </c>
      <c r="G148" s="50">
        <f>IF(VLOOKUP(IntComp[[#This Row],[DEVELOPMENT]],Data[],9,FALSE)=0,5,VLOOKUP(IntComp[[#This Row],[DEVELOPMENT]],Data[],9,FALSE))</f>
        <v>5</v>
      </c>
      <c r="H148" s="50">
        <f>VLOOKUP(IntComp[[#This Row],[DEVELOPMENT]],Data[],7,FALSE)</f>
        <v>879</v>
      </c>
      <c r="I148" s="50">
        <f>VLOOKUP(IntComp[[#This Row],[DEVELOPMENT]],Data[],5,FALSE)</f>
        <v>14</v>
      </c>
      <c r="J148" s="50"/>
      <c r="K148" s="50" t="str">
        <f ca="1">IFERROR(VLOOKUP(IntComp[[#This Row],[DEVELOPMENT]],Data[],4,FALSE),"")</f>
        <v>2026+</v>
      </c>
      <c r="L148" s="50" t="str">
        <f ca="1">IF(IntComp[[#This Row],[RAD/PACT]]="","",IF(OR(IntComp[[#This Row],[RAD/PACT]]="2022-2025",IntComp[[#This Row],[RAD/PACT]]=2019,IntComp[[#This Row],[RAD/PACT]]="2020-2021"),"Yes",""))</f>
        <v/>
      </c>
      <c r="M148" s="51">
        <f ca="1">IF(VLOOKUP(IntComp[[#This Row],[DEVELOPMENT]],Data[],10,FALSE)=0,-1,DATEDIF(VLOOKUP(IntComp[[#This Row],[DEVELOPMENT]],Data[],12,FALSE),TODAY(),"Y"))</f>
        <v>26</v>
      </c>
      <c r="N14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20</v>
      </c>
      <c r="O148" s="51"/>
      <c r="P148" s="51"/>
      <c r="Q148" s="51"/>
      <c r="R148" s="47">
        <f ca="1">(IntComp[[#This Row],['# to Replace (MRST)]]*INDEX(UnitCosts[#All],MATCH(IntComp[[#This Row],[WORK TYPE]],UnitCosts[Work Type],0)+1,2))*(1+((IntComp[[#This Row],[est. Year]]-YEAR(TODAY()))*$R$2))</f>
        <v>1438395.0000000002</v>
      </c>
      <c r="S148" s="1">
        <f ca="1">SUM(INDEX(IntComp['# to Replace (MRST)],1):IntComp[[#This Row],['# to Replace (MRST)]])-272</f>
        <v>709</v>
      </c>
      <c r="T148" s="51"/>
      <c r="U148" s="51">
        <f ca="1">IF(ISBLANK(IntComp[[#This Row],[CALENDAR YEAR]]),ROUNDDOWN(IntComp[[#This Row],[Count]]/190,0)+$U$1,IntComp[[#This Row],[CALENDAR YEAR]])</f>
        <v>2024</v>
      </c>
      <c r="V148" s="85">
        <f t="shared" ca="1" si="3"/>
        <v>11507160.000000002</v>
      </c>
      <c r="W148" s="71"/>
      <c r="X148"/>
    </row>
    <row r="149" spans="1:24">
      <c r="A149" s="1" t="s">
        <v>199</v>
      </c>
      <c r="B149" s="9" t="str">
        <f>VLOOKUP(A149,Data[],2,FALSE)</f>
        <v>BROOKLYN</v>
      </c>
      <c r="C149" s="9" t="s">
        <v>106</v>
      </c>
      <c r="D149" s="9" t="str">
        <f>VLOOKUP(IntComp[[#This Row],[DEVELOPMENT]],Data[],52,FALSE)</f>
        <v>FEDERAL</v>
      </c>
      <c r="E149" s="50">
        <f>VLOOKUP(IntComp[[#This Row],[DEVELOPMENT]],Data[],8,FALSE)</f>
        <v>0</v>
      </c>
      <c r="F149" s="50">
        <f>VLOOKUP(IntComp[[#This Row],[DEVELOPMENT]],all[[DEVELOPMENT]:[MRST Ext. Comp. Priority]],13,FALSE)</f>
        <v>3</v>
      </c>
      <c r="G149" s="50">
        <f>IF(VLOOKUP(IntComp[[#This Row],[DEVELOPMENT]],Data[],9,FALSE)=0,5,VLOOKUP(IntComp[[#This Row],[DEVELOPMENT]],Data[],9,FALSE))</f>
        <v>5</v>
      </c>
      <c r="H149" s="50">
        <f>VLOOKUP(IntComp[[#This Row],[DEVELOPMENT]],Data[],7,FALSE)</f>
        <v>894</v>
      </c>
      <c r="I149" s="50">
        <f>VLOOKUP(IntComp[[#This Row],[DEVELOPMENT]],Data[],5,FALSE)</f>
        <v>13</v>
      </c>
      <c r="J149" s="50"/>
      <c r="K149" s="50" t="str">
        <f ca="1">IFERROR(VLOOKUP(IntComp[[#This Row],[DEVELOPMENT]],Data[],4,FALSE),"")</f>
        <v>2026+</v>
      </c>
      <c r="L149" s="50" t="str">
        <f ca="1">IF(IntComp[[#This Row],[RAD/PACT]]="","",IF(OR(IntComp[[#This Row],[RAD/PACT]]="2022-2025",IntComp[[#This Row],[RAD/PACT]]=2019,IntComp[[#This Row],[RAD/PACT]]="2020-2021"),"Yes",""))</f>
        <v/>
      </c>
      <c r="M149" s="51">
        <f ca="1">IF(VLOOKUP(IntComp[[#This Row],[DEVELOPMENT]],Data[],10,FALSE)=0,-1,DATEDIF(VLOOKUP(IntComp[[#This Row],[DEVELOPMENT]],Data[],12,FALSE),TODAY(),"Y"))</f>
        <v>25</v>
      </c>
      <c r="N14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26</v>
      </c>
      <c r="O149" s="51"/>
      <c r="P149" s="51"/>
      <c r="Q149" s="51"/>
      <c r="R149" s="47">
        <f ca="1">(IntComp[[#This Row],['# to Replace (MRST)]]*INDEX(UnitCosts[#All],MATCH(IntComp[[#This Row],[WORK TYPE]],UnitCosts[Work Type],0)+1,2))*(1+((IntComp[[#This Row],[est. Year]]-YEAR(TODAY()))*$R$2))</f>
        <v>1869913.5000000002</v>
      </c>
      <c r="S149" s="1">
        <f ca="1">SUM(INDEX(IntComp['# to Replace (MRST)],1):IntComp[[#This Row],['# to Replace (MRST)]])-272</f>
        <v>735</v>
      </c>
      <c r="T149" s="51"/>
      <c r="U149" s="51">
        <f ca="1">IF(ISBLANK(IntComp[[#This Row],[CALENDAR YEAR]]),ROUNDDOWN(IntComp[[#This Row],[Count]]/190,0)+$U$1,IntComp[[#This Row],[CALENDAR YEAR]])</f>
        <v>2024</v>
      </c>
      <c r="V149" s="85">
        <f t="shared" ca="1" si="3"/>
        <v>13377073.500000002</v>
      </c>
      <c r="W149" s="71"/>
      <c r="X149"/>
    </row>
    <row r="150" spans="1:24">
      <c r="A150" s="1" t="s">
        <v>243</v>
      </c>
      <c r="B150" s="9" t="str">
        <f>VLOOKUP(A150,Data[],2,FALSE)</f>
        <v>BRONX</v>
      </c>
      <c r="C150" s="9" t="s">
        <v>106</v>
      </c>
      <c r="D150" s="9" t="str">
        <f>VLOOKUP(IntComp[[#This Row],[DEVELOPMENT]],Data[],52,FALSE)</f>
        <v>FEDERAL</v>
      </c>
      <c r="E150" s="50">
        <f>VLOOKUP(IntComp[[#This Row],[DEVELOPMENT]],Data[],8,FALSE)</f>
        <v>0</v>
      </c>
      <c r="F150" s="50">
        <f>VLOOKUP(IntComp[[#This Row],[DEVELOPMENT]],all[[DEVELOPMENT]:[MRST Ext. Comp. Priority]],13,FALSE)</f>
        <v>3</v>
      </c>
      <c r="G150" s="50">
        <f>IF(VLOOKUP(IntComp[[#This Row],[DEVELOPMENT]],Data[],9,FALSE)=0,5,VLOOKUP(IntComp[[#This Row],[DEVELOPMENT]],Data[],9,FALSE))</f>
        <v>5</v>
      </c>
      <c r="H150" s="50">
        <f>VLOOKUP(IntComp[[#This Row],[DEVELOPMENT]],Data[],7,FALSE)</f>
        <v>131</v>
      </c>
      <c r="I150" s="50">
        <f>VLOOKUP(IntComp[[#This Row],[DEVELOPMENT]],Data[],5,FALSE)</f>
        <v>1</v>
      </c>
      <c r="J150" s="50"/>
      <c r="K150" s="50" t="str">
        <f ca="1">IFERROR(VLOOKUP(IntComp[[#This Row],[DEVELOPMENT]],Data[],4,FALSE),"")</f>
        <v>2026+</v>
      </c>
      <c r="L150" s="50" t="str">
        <f ca="1">IF(IntComp[[#This Row],[RAD/PACT]]="","",IF(OR(IntComp[[#This Row],[RAD/PACT]]="2022-2025",IntComp[[#This Row],[RAD/PACT]]=2019,IntComp[[#This Row],[RAD/PACT]]="2020-2021"),"Yes",""))</f>
        <v/>
      </c>
      <c r="M150" s="51">
        <f ca="1">IF(VLOOKUP(IntComp[[#This Row],[DEVELOPMENT]],Data[],10,FALSE)=0,-1,DATEDIF(VLOOKUP(IntComp[[#This Row],[DEVELOPMENT]],Data[],12,FALSE),TODAY(),"Y"))</f>
        <v>24</v>
      </c>
      <c r="N15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50" s="51"/>
      <c r="P150" s="51"/>
      <c r="Q150" s="51"/>
      <c r="R150" s="47">
        <f ca="1">(IntComp[[#This Row],['# to Replace (MRST)]]*INDEX(UnitCosts[#All],MATCH(IntComp[[#This Row],[WORK TYPE]],UnitCosts[Work Type],0)+1,2))*(1+((IntComp[[#This Row],[est. Year]]-YEAR(TODAY()))*$R$2))</f>
        <v>71919.750000000015</v>
      </c>
      <c r="S150" s="1">
        <f ca="1">SUM(INDEX(IntComp['# to Replace (MRST)],1):IntComp[[#This Row],['# to Replace (MRST)]])-272</f>
        <v>736</v>
      </c>
      <c r="T150" s="51"/>
      <c r="U150" s="51">
        <f ca="1">IF(ISBLANK(IntComp[[#This Row],[CALENDAR YEAR]]),ROUNDDOWN(IntComp[[#This Row],[Count]]/190,0)+$U$1,IntComp[[#This Row],[CALENDAR YEAR]])</f>
        <v>2024</v>
      </c>
      <c r="V150" s="85">
        <f t="shared" ca="1" si="3"/>
        <v>13448993.250000002</v>
      </c>
      <c r="W150" s="71"/>
      <c r="X150"/>
    </row>
    <row r="151" spans="1:24">
      <c r="A151" s="1" t="s">
        <v>197</v>
      </c>
      <c r="B151" s="9" t="str">
        <f>VLOOKUP(A151,Data[],2,FALSE)</f>
        <v>BRONX</v>
      </c>
      <c r="C151" s="9" t="s">
        <v>106</v>
      </c>
      <c r="D151" s="9" t="str">
        <f>VLOOKUP(IntComp[[#This Row],[DEVELOPMENT]],Data[],52,FALSE)</f>
        <v>FEDERAL</v>
      </c>
      <c r="E151" s="50">
        <f>VLOOKUP(IntComp[[#This Row],[DEVELOPMENT]],Data[],8,FALSE)</f>
        <v>0</v>
      </c>
      <c r="F151" s="50">
        <f>VLOOKUP(IntComp[[#This Row],[DEVELOPMENT]],all[[DEVELOPMENT]:[MRST Ext. Comp. Priority]],13,FALSE)</f>
        <v>3</v>
      </c>
      <c r="G151" s="50">
        <f>IF(VLOOKUP(IntComp[[#This Row],[DEVELOPMENT]],Data[],9,FALSE)=0,5,VLOOKUP(IntComp[[#This Row],[DEVELOPMENT]],Data[],9,FALSE))</f>
        <v>5</v>
      </c>
      <c r="H151" s="50">
        <f>VLOOKUP(IntComp[[#This Row],[DEVELOPMENT]],Data[],7,FALSE)</f>
        <v>1495</v>
      </c>
      <c r="I151" s="50">
        <f>VLOOKUP(IntComp[[#This Row],[DEVELOPMENT]],Data[],5,FALSE)</f>
        <v>28</v>
      </c>
      <c r="J151" s="50"/>
      <c r="K151" s="50" t="str">
        <f ca="1">IFERROR(VLOOKUP(IntComp[[#This Row],[DEVELOPMENT]],Data[],4,FALSE),"")</f>
        <v>2026+</v>
      </c>
      <c r="L151" s="50" t="str">
        <f ca="1">IF(IntComp[[#This Row],[RAD/PACT]]="","",IF(OR(IntComp[[#This Row],[RAD/PACT]]="2022-2025",IntComp[[#This Row],[RAD/PACT]]=2019,IntComp[[#This Row],[RAD/PACT]]="2020-2021"),"Yes",""))</f>
        <v/>
      </c>
      <c r="M151" s="51">
        <f ca="1">IF(VLOOKUP(IntComp[[#This Row],[DEVELOPMENT]],Data[],10,FALSE)=0,-1,DATEDIF(VLOOKUP(IntComp[[#This Row],[DEVELOPMENT]],Data[],12,FALSE),TODAY(),"Y"))</f>
        <v>24</v>
      </c>
      <c r="N15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28</v>
      </c>
      <c r="O151" s="51"/>
      <c r="P151" s="51"/>
      <c r="Q151" s="51"/>
      <c r="R151" s="47">
        <f ca="1">(IntComp[[#This Row],['# to Replace (MRST)]]*INDEX(UnitCosts[#All],MATCH(IntComp[[#This Row],[WORK TYPE]],UnitCosts[Work Type],0)+1,2))*(1+((IntComp[[#This Row],[est. Year]]-YEAR(TODAY()))*$R$2))</f>
        <v>2075578.75</v>
      </c>
      <c r="S151" s="1">
        <f ca="1">SUM(INDEX(IntComp['# to Replace (MRST)],1):IntComp[[#This Row],['# to Replace (MRST)]])-272</f>
        <v>764</v>
      </c>
      <c r="T151" s="51"/>
      <c r="U151" s="51">
        <f ca="1">IF(ISBLANK(IntComp[[#This Row],[CALENDAR YEAR]]),ROUNDDOWN(IntComp[[#This Row],[Count]]/190,0)+$U$1,IntComp[[#This Row],[CALENDAR YEAR]])</f>
        <v>2025</v>
      </c>
      <c r="V151" s="85">
        <f t="shared" ca="1" si="3"/>
        <v>2075578.75</v>
      </c>
      <c r="W151" s="71"/>
      <c r="X151"/>
    </row>
    <row r="152" spans="1:24">
      <c r="A152" s="1" t="s">
        <v>347</v>
      </c>
      <c r="B152" s="9" t="str">
        <f>VLOOKUP(A152,Data[],2,FALSE)</f>
        <v>STATEN ISLAND</v>
      </c>
      <c r="C152" s="9" t="s">
        <v>106</v>
      </c>
      <c r="D152" s="9" t="str">
        <f>VLOOKUP(IntComp[[#This Row],[DEVELOPMENT]],Data[],52,FALSE)</f>
        <v>FEDERAL</v>
      </c>
      <c r="E152" s="50">
        <f>VLOOKUP(IntComp[[#This Row],[DEVELOPMENT]],Data[],8,FALSE)</f>
        <v>0</v>
      </c>
      <c r="F152" s="50">
        <f>VLOOKUP(IntComp[[#This Row],[DEVELOPMENT]],all[[DEVELOPMENT]:[MRST Ext. Comp. Priority]],13,FALSE)</f>
        <v>3</v>
      </c>
      <c r="G152" s="50">
        <f>IF(VLOOKUP(IntComp[[#This Row],[DEVELOPMENT]],Data[],9,FALSE)=0,5,VLOOKUP(IntComp[[#This Row],[DEVELOPMENT]],Data[],9,FALSE))</f>
        <v>5</v>
      </c>
      <c r="H152" s="50">
        <f>VLOOKUP(IntComp[[#This Row],[DEVELOPMENT]],Data[],7,FALSE)</f>
        <v>276</v>
      </c>
      <c r="I152" s="50">
        <f>VLOOKUP(IntComp[[#This Row],[DEVELOPMENT]],Data[],5,FALSE)</f>
        <v>1</v>
      </c>
      <c r="J152" s="50"/>
      <c r="K152" s="50" t="str">
        <f ca="1">IFERROR(VLOOKUP(IntComp[[#This Row],[DEVELOPMENT]],Data[],4,FALSE),"")</f>
        <v/>
      </c>
      <c r="L152" s="50" t="str">
        <f ca="1">IF(IntComp[[#This Row],[RAD/PACT]]="","",IF(OR(IntComp[[#This Row],[RAD/PACT]]="2022-2025",IntComp[[#This Row],[RAD/PACT]]=2019,IntComp[[#This Row],[RAD/PACT]]="2020-2021"),"Yes",""))</f>
        <v/>
      </c>
      <c r="M152" s="51">
        <f ca="1">IF(VLOOKUP(IntComp[[#This Row],[DEVELOPMENT]],Data[],10,FALSE)=0,-1,DATEDIF(VLOOKUP(IntComp[[#This Row],[DEVELOPMENT]],Data[],12,FALSE),TODAY(),"Y"))</f>
        <v>23</v>
      </c>
      <c r="N15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52" s="51"/>
      <c r="P152" s="51"/>
      <c r="Q152" s="51"/>
      <c r="R152" s="47">
        <f ca="1">(IntComp[[#This Row],['# to Replace (MRST)]]*INDEX(UnitCosts[#All],MATCH(IntComp[[#This Row],[WORK TYPE]],UnitCosts[Work Type],0)+1,2))*(1+((IntComp[[#This Row],[est. Year]]-YEAR(TODAY()))*$R$2))</f>
        <v>74127.8125</v>
      </c>
      <c r="S152" s="1">
        <f ca="1">SUM(INDEX(IntComp['# to Replace (MRST)],1):IntComp[[#This Row],['# to Replace (MRST)]])-272</f>
        <v>765</v>
      </c>
      <c r="T152" s="51"/>
      <c r="U152" s="51">
        <f ca="1">IF(ISBLANK(IntComp[[#This Row],[CALENDAR YEAR]]),ROUNDDOWN(IntComp[[#This Row],[Count]]/190,0)+$U$1,IntComp[[#This Row],[CALENDAR YEAR]])</f>
        <v>2025</v>
      </c>
      <c r="V152" s="85">
        <f t="shared" ca="1" si="3"/>
        <v>2149706.5625</v>
      </c>
      <c r="W152" s="71"/>
      <c r="X152"/>
    </row>
    <row r="153" spans="1:24">
      <c r="A153" s="1" t="s">
        <v>190</v>
      </c>
      <c r="B153" s="9" t="str">
        <f>VLOOKUP(A153,Data[],2,FALSE)</f>
        <v>BROOKLYN</v>
      </c>
      <c r="C153" s="9" t="s">
        <v>106</v>
      </c>
      <c r="D153" s="9" t="str">
        <f>VLOOKUP(IntComp[[#This Row],[DEVELOPMENT]],Data[],52,FALSE)</f>
        <v>FEDERAL</v>
      </c>
      <c r="E153" s="50">
        <f>VLOOKUP(IntComp[[#This Row],[DEVELOPMENT]],Data[],8,FALSE)</f>
        <v>0</v>
      </c>
      <c r="F153" s="50">
        <f>VLOOKUP(IntComp[[#This Row],[DEVELOPMENT]],all[[DEVELOPMENT]:[MRST Ext. Comp. Priority]],13,FALSE)</f>
        <v>3</v>
      </c>
      <c r="G153" s="50">
        <f>IF(VLOOKUP(IntComp[[#This Row],[DEVELOPMENT]],Data[],9,FALSE)=0,5,VLOOKUP(IntComp[[#This Row],[DEVELOPMENT]],Data[],9,FALSE))</f>
        <v>5</v>
      </c>
      <c r="H153" s="50">
        <f>VLOOKUP(IntComp[[#This Row],[DEVELOPMENT]],Data[],7,FALSE)</f>
        <v>700</v>
      </c>
      <c r="I153" s="50">
        <f>VLOOKUP(IntComp[[#This Row],[DEVELOPMENT]],Data[],5,FALSE)</f>
        <v>11</v>
      </c>
      <c r="J153" s="50"/>
      <c r="K153" s="50" t="str">
        <f ca="1">IFERROR(VLOOKUP(IntComp[[#This Row],[DEVELOPMENT]],Data[],4,FALSE),"")</f>
        <v>2026+</v>
      </c>
      <c r="L153" s="50" t="str">
        <f ca="1">IF(IntComp[[#This Row],[RAD/PACT]]="","",IF(OR(IntComp[[#This Row],[RAD/PACT]]="2022-2025",IntComp[[#This Row],[RAD/PACT]]=2019,IntComp[[#This Row],[RAD/PACT]]="2020-2021"),"Yes",""))</f>
        <v/>
      </c>
      <c r="M153" s="51">
        <f ca="1">IF(VLOOKUP(IntComp[[#This Row],[DEVELOPMENT]],Data[],10,FALSE)=0,-1,DATEDIF(VLOOKUP(IntComp[[#This Row],[DEVELOPMENT]],Data[],12,FALSE),TODAY(),"Y"))</f>
        <v>21</v>
      </c>
      <c r="N15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13</v>
      </c>
      <c r="O153" s="51"/>
      <c r="P153" s="51"/>
      <c r="Q153" s="51"/>
      <c r="R153" s="47">
        <f ca="1">(IntComp[[#This Row],['# to Replace (MRST)]]*INDEX(UnitCosts[#All],MATCH(IntComp[[#This Row],[WORK TYPE]],UnitCosts[Work Type],0)+1,2))*(1+((IntComp[[#This Row],[est. Year]]-YEAR(TODAY()))*$R$2))</f>
        <v>963661.5625</v>
      </c>
      <c r="S153" s="1">
        <f ca="1">SUM(INDEX(IntComp['# to Replace (MRST)],1):IntComp[[#This Row],['# to Replace (MRST)]])-272</f>
        <v>778</v>
      </c>
      <c r="T153" s="51"/>
      <c r="U153" s="51">
        <f ca="1">IF(ISBLANK(IntComp[[#This Row],[CALENDAR YEAR]]),ROUNDDOWN(IntComp[[#This Row],[Count]]/190,0)+$U$1,IntComp[[#This Row],[CALENDAR YEAR]])</f>
        <v>2025</v>
      </c>
      <c r="V153" s="85">
        <f t="shared" ca="1" si="3"/>
        <v>3113368.125</v>
      </c>
      <c r="W153" s="71"/>
      <c r="X153"/>
    </row>
    <row r="154" spans="1:24">
      <c r="A154" s="1" t="s">
        <v>214</v>
      </c>
      <c r="B154" s="9" t="str">
        <f>VLOOKUP(A154,Data[],2,FALSE)</f>
        <v>BROOKLYN</v>
      </c>
      <c r="C154" s="9" t="s">
        <v>106</v>
      </c>
      <c r="D154" s="9" t="str">
        <f>VLOOKUP(IntComp[[#This Row],[DEVELOPMENT]],Data[],52,FALSE)</f>
        <v>FEDERAL</v>
      </c>
      <c r="E154" s="50">
        <f>VLOOKUP(IntComp[[#This Row],[DEVELOPMENT]],Data[],8,FALSE)</f>
        <v>0</v>
      </c>
      <c r="F154" s="50">
        <f>VLOOKUP(IntComp[[#This Row],[DEVELOPMENT]],all[[DEVELOPMENT]:[MRST Ext. Comp. Priority]],13,FALSE)</f>
        <v>4</v>
      </c>
      <c r="G154" s="50">
        <f>IF(VLOOKUP(IntComp[[#This Row],[DEVELOPMENT]],Data[],9,FALSE)=0,5,VLOOKUP(IntComp[[#This Row],[DEVELOPMENT]],Data[],9,FALSE))</f>
        <v>5</v>
      </c>
      <c r="H154" s="50">
        <f>VLOOKUP(IntComp[[#This Row],[DEVELOPMENT]],Data[],7,FALSE)</f>
        <v>1471</v>
      </c>
      <c r="I154" s="50">
        <f>VLOOKUP(IntComp[[#This Row],[DEVELOPMENT]],Data[],5,FALSE)</f>
        <v>14</v>
      </c>
      <c r="J154" s="50"/>
      <c r="K154" s="50" t="str">
        <f ca="1">IFERROR(VLOOKUP(IntComp[[#This Row],[DEVELOPMENT]],Data[],4,FALSE),"")</f>
        <v>2022-2025</v>
      </c>
      <c r="L154" s="50" t="str">
        <f ca="1">IF(IntComp[[#This Row],[RAD/PACT]]="","",IF(OR(IntComp[[#This Row],[RAD/PACT]]="2022-2025",IntComp[[#This Row],[RAD/PACT]]=2019,IntComp[[#This Row],[RAD/PACT]]="2020-2021"),"Yes",""))</f>
        <v>Yes</v>
      </c>
      <c r="M154" s="51">
        <f ca="1">IF(VLOOKUP(IntComp[[#This Row],[DEVELOPMENT]],Data[],10,FALSE)=0,-1,DATEDIF(VLOOKUP(IntComp[[#This Row],[DEVELOPMENT]],Data[],12,FALSE),TODAY(),"Y"))</f>
        <v>17</v>
      </c>
      <c r="N15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54" s="51"/>
      <c r="P154" s="51"/>
      <c r="Q154" s="51"/>
      <c r="R154" s="47">
        <f ca="1">(IntComp[[#This Row],['# to Replace (MRST)]]*INDEX(UnitCosts[#All],MATCH(IntComp[[#This Row],[WORK TYPE]],UnitCosts[Work Type],0)+1,2))*(1+((IntComp[[#This Row],[est. Year]]-YEAR(TODAY()))*$R$2))</f>
        <v>0</v>
      </c>
      <c r="S154" s="1">
        <f ca="1">SUM(INDEX(IntComp['# to Replace (MRST)],1):IntComp[[#This Row],['# to Replace (MRST)]])-272</f>
        <v>778</v>
      </c>
      <c r="T154" s="51"/>
      <c r="U154" s="51">
        <f ca="1">IF(ISBLANK(IntComp[[#This Row],[CALENDAR YEAR]]),ROUNDDOWN(IntComp[[#This Row],[Count]]/190,0)+$U$1,IntComp[[#This Row],[CALENDAR YEAR]])</f>
        <v>2025</v>
      </c>
      <c r="V154" s="85">
        <f t="shared" ca="1" si="3"/>
        <v>3113368.125</v>
      </c>
      <c r="W154" s="71"/>
      <c r="X154"/>
    </row>
    <row r="155" spans="1:24">
      <c r="A155" s="1" t="s">
        <v>207</v>
      </c>
      <c r="B155" s="9" t="str">
        <f>VLOOKUP(A155,Data[],2,FALSE)</f>
        <v>BROOKLYN</v>
      </c>
      <c r="C155" s="9" t="s">
        <v>106</v>
      </c>
      <c r="D155" s="9" t="str">
        <f>VLOOKUP(IntComp[[#This Row],[DEVELOPMENT]],Data[],52,FALSE)</f>
        <v>FEDERAL</v>
      </c>
      <c r="E155" s="50">
        <f>VLOOKUP(IntComp[[#This Row],[DEVELOPMENT]],Data[],8,FALSE)</f>
        <v>0</v>
      </c>
      <c r="F155" s="50">
        <f>VLOOKUP(IntComp[[#This Row],[DEVELOPMENT]],all[[DEVELOPMENT]:[MRST Ext. Comp. Priority]],13,FALSE)</f>
        <v>3</v>
      </c>
      <c r="G155" s="50">
        <f>IF(VLOOKUP(IntComp[[#This Row],[DEVELOPMENT]],Data[],9,FALSE)=0,5,VLOOKUP(IntComp[[#This Row],[DEVELOPMENT]],Data[],9,FALSE))</f>
        <v>5</v>
      </c>
      <c r="H155" s="50">
        <f>VLOOKUP(IntComp[[#This Row],[DEVELOPMENT]],Data[],7,FALSE)</f>
        <v>1830</v>
      </c>
      <c r="I155" s="50">
        <f>VLOOKUP(IntComp[[#This Row],[DEVELOPMENT]],Data[],5,FALSE)</f>
        <v>20</v>
      </c>
      <c r="J155" s="50"/>
      <c r="K155" s="50" t="str">
        <f ca="1">IFERROR(VLOOKUP(IntComp[[#This Row],[DEVELOPMENT]],Data[],4,FALSE),"")</f>
        <v/>
      </c>
      <c r="L155" s="50" t="str">
        <f ca="1">IF(IntComp[[#This Row],[RAD/PACT]]="","",IF(OR(IntComp[[#This Row],[RAD/PACT]]="2022-2025",IntComp[[#This Row],[RAD/PACT]]=2019,IntComp[[#This Row],[RAD/PACT]]="2020-2021"),"Yes",""))</f>
        <v/>
      </c>
      <c r="M155" s="51">
        <f ca="1">IF(VLOOKUP(IntComp[[#This Row],[DEVELOPMENT]],Data[],10,FALSE)=0,-1,DATEDIF(VLOOKUP(IntComp[[#This Row],[DEVELOPMENT]],Data[],12,FALSE),TODAY(),"Y"))</f>
        <v>21</v>
      </c>
      <c r="N15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45</v>
      </c>
      <c r="O155" s="51"/>
      <c r="P155" s="51"/>
      <c r="Q155" s="51"/>
      <c r="R155" s="47">
        <f ca="1">(IntComp[[#This Row],['# to Replace (MRST)]]*INDEX(UnitCosts[#All],MATCH(IntComp[[#This Row],[WORK TYPE]],UnitCosts[Work Type],0)+1,2))*(1+((IntComp[[#This Row],[est. Year]]-YEAR(TODAY()))*$R$2))</f>
        <v>3335751.5625</v>
      </c>
      <c r="S155" s="1">
        <f ca="1">SUM(INDEX(IntComp['# to Replace (MRST)],1):IntComp[[#This Row],['# to Replace (MRST)]])-272</f>
        <v>823</v>
      </c>
      <c r="T155" s="51"/>
      <c r="U155" s="51">
        <f ca="1">IF(ISBLANK(IntComp[[#This Row],[CALENDAR YEAR]]),ROUNDDOWN(IntComp[[#This Row],[Count]]/190,0)+$U$1,IntComp[[#This Row],[CALENDAR YEAR]])</f>
        <v>2025</v>
      </c>
      <c r="V155" s="85">
        <f t="shared" ca="1" si="3"/>
        <v>6449119.6875</v>
      </c>
      <c r="W155" s="71"/>
      <c r="X155"/>
    </row>
    <row r="156" spans="1:24">
      <c r="A156" s="1" t="s">
        <v>317</v>
      </c>
      <c r="B156" s="9" t="str">
        <f>VLOOKUP(A156,Data[],2,FALSE)</f>
        <v>BRONX</v>
      </c>
      <c r="C156" s="9" t="s">
        <v>106</v>
      </c>
      <c r="D156" s="9" t="str">
        <f>VLOOKUP(IntComp[[#This Row],[DEVELOPMENT]],Data[],52,FALSE)</f>
        <v>FEDERAL</v>
      </c>
      <c r="E156" s="50">
        <f>VLOOKUP(IntComp[[#This Row],[DEVELOPMENT]],Data[],8,FALSE)</f>
        <v>0</v>
      </c>
      <c r="F156" s="50">
        <f>VLOOKUP(IntComp[[#This Row],[DEVELOPMENT]],all[[DEVELOPMENT]:[MRST Ext. Comp. Priority]],13,FALSE)</f>
        <v>3</v>
      </c>
      <c r="G156" s="50">
        <f>IF(VLOOKUP(IntComp[[#This Row],[DEVELOPMENT]],Data[],9,FALSE)=0,5,VLOOKUP(IntComp[[#This Row],[DEVELOPMENT]],Data[],9,FALSE))</f>
        <v>5</v>
      </c>
      <c r="H156" s="50">
        <f>VLOOKUP(IntComp[[#This Row],[DEVELOPMENT]],Data[],7,FALSE)</f>
        <v>877</v>
      </c>
      <c r="I156" s="50">
        <f>VLOOKUP(IntComp[[#This Row],[DEVELOPMENT]],Data[],5,FALSE)</f>
        <v>10</v>
      </c>
      <c r="J156" s="50"/>
      <c r="K156" s="50" t="str">
        <f ca="1">IFERROR(VLOOKUP(IntComp[[#This Row],[DEVELOPMENT]],Data[],4,FALSE),"")</f>
        <v>2026+</v>
      </c>
      <c r="L156" s="50" t="str">
        <f ca="1">IF(IntComp[[#This Row],[RAD/PACT]]="","",IF(OR(IntComp[[#This Row],[RAD/PACT]]="2022-2025",IntComp[[#This Row],[RAD/PACT]]=2019,IntComp[[#This Row],[RAD/PACT]]="2020-2021"),"Yes",""))</f>
        <v/>
      </c>
      <c r="M156" s="51">
        <f ca="1">IF(VLOOKUP(IntComp[[#This Row],[DEVELOPMENT]],Data[],10,FALSE)=0,-1,DATEDIF(VLOOKUP(IntComp[[#This Row],[DEVELOPMENT]],Data[],12,FALSE),TODAY(),"Y"))</f>
        <v>21</v>
      </c>
      <c r="N15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15</v>
      </c>
      <c r="O156" s="51"/>
      <c r="P156" s="51"/>
      <c r="Q156" s="51"/>
      <c r="R156" s="47">
        <f ca="1">(IntComp[[#This Row],['# to Replace (MRST)]]*INDEX(UnitCosts[#All],MATCH(IntComp[[#This Row],[WORK TYPE]],UnitCosts[Work Type],0)+1,2))*(1+((IntComp[[#This Row],[est. Year]]-YEAR(TODAY()))*$R$2))</f>
        <v>1111917.1875</v>
      </c>
      <c r="S156" s="1">
        <f ca="1">SUM(INDEX(IntComp['# to Replace (MRST)],1):IntComp[[#This Row],['# to Replace (MRST)]])-272</f>
        <v>838</v>
      </c>
      <c r="T156" s="51"/>
      <c r="U156" s="51">
        <f ca="1">IF(ISBLANK(IntComp[[#This Row],[CALENDAR YEAR]]),ROUNDDOWN(IntComp[[#This Row],[Count]]/190,0)+$U$1,IntComp[[#This Row],[CALENDAR YEAR]])</f>
        <v>2025</v>
      </c>
      <c r="V156" s="85">
        <f t="shared" ca="1" si="3"/>
        <v>7561036.875</v>
      </c>
      <c r="W156" s="71"/>
      <c r="X156"/>
    </row>
    <row r="157" spans="1:24">
      <c r="A157" s="1" t="s">
        <v>370</v>
      </c>
      <c r="B157" s="9" t="str">
        <f>VLOOKUP(A157,Data[],2,FALSE)</f>
        <v>BROOKLYN</v>
      </c>
      <c r="C157" s="9" t="s">
        <v>106</v>
      </c>
      <c r="D157" s="9" t="str">
        <f>VLOOKUP(IntComp[[#This Row],[DEVELOPMENT]],Data[],52,FALSE)</f>
        <v>FEDERAL</v>
      </c>
      <c r="E157" s="50">
        <f>VLOOKUP(IntComp[[#This Row],[DEVELOPMENT]],Data[],8,FALSE)</f>
        <v>0</v>
      </c>
      <c r="F157" s="50">
        <f>VLOOKUP(IntComp[[#This Row],[DEVELOPMENT]],all[[DEVELOPMENT]:[MRST Ext. Comp. Priority]],13,FALSE)</f>
        <v>3</v>
      </c>
      <c r="G157" s="50">
        <f>IF(VLOOKUP(IntComp[[#This Row],[DEVELOPMENT]],Data[],9,FALSE)=0,5,VLOOKUP(IntComp[[#This Row],[DEVELOPMENT]],Data[],9,FALSE))</f>
        <v>5</v>
      </c>
      <c r="H157" s="50">
        <f>VLOOKUP(IntComp[[#This Row],[DEVELOPMENT]],Data[],7,FALSE)</f>
        <v>525</v>
      </c>
      <c r="I157" s="50">
        <f>VLOOKUP(IntComp[[#This Row],[DEVELOPMENT]],Data[],5,FALSE)</f>
        <v>5</v>
      </c>
      <c r="J157" s="50"/>
      <c r="K157" s="50" t="str">
        <f ca="1">IFERROR(VLOOKUP(IntComp[[#This Row],[DEVELOPMENT]],Data[],4,FALSE),"")</f>
        <v/>
      </c>
      <c r="L157" s="50" t="str">
        <f ca="1">IF(IntComp[[#This Row],[RAD/PACT]]="","",IF(OR(IntComp[[#This Row],[RAD/PACT]]="2022-2025",IntComp[[#This Row],[RAD/PACT]]=2019,IntComp[[#This Row],[RAD/PACT]]="2020-2021"),"Yes",""))</f>
        <v/>
      </c>
      <c r="M157" s="51">
        <f ca="1">IF(VLOOKUP(IntComp[[#This Row],[DEVELOPMENT]],Data[],10,FALSE)=0,-1,DATEDIF(VLOOKUP(IntComp[[#This Row],[DEVELOPMENT]],Data[],12,FALSE),TODAY(),"Y"))</f>
        <v>21</v>
      </c>
      <c r="N15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</v>
      </c>
      <c r="O157" s="51"/>
      <c r="P157" s="51"/>
      <c r="Q157" s="51"/>
      <c r="R157" s="47">
        <f ca="1">(IntComp[[#This Row],['# to Replace (MRST)]]*INDEX(UnitCosts[#All],MATCH(IntComp[[#This Row],[WORK TYPE]],UnitCosts[Work Type],0)+1,2))*(1+((IntComp[[#This Row],[est. Year]]-YEAR(TODAY()))*$R$2))</f>
        <v>370639.0625</v>
      </c>
      <c r="S157" s="1">
        <f ca="1">SUM(INDEX(IntComp['# to Replace (MRST)],1):IntComp[[#This Row],['# to Replace (MRST)]])-272</f>
        <v>843</v>
      </c>
      <c r="T157" s="51"/>
      <c r="U157" s="51">
        <f ca="1">IF(ISBLANK(IntComp[[#This Row],[CALENDAR YEAR]]),ROUNDDOWN(IntComp[[#This Row],[Count]]/190,0)+$U$1,IntComp[[#This Row],[CALENDAR YEAR]])</f>
        <v>2025</v>
      </c>
      <c r="V157" s="85">
        <f t="shared" ca="1" si="3"/>
        <v>7931675.9375</v>
      </c>
      <c r="W157" s="71"/>
      <c r="X157"/>
    </row>
    <row r="158" spans="1:24">
      <c r="A158" s="1" t="s">
        <v>296</v>
      </c>
      <c r="B158" s="9" t="str">
        <f>VLOOKUP(A158,Data[],2,FALSE)</f>
        <v>BROOKLYN</v>
      </c>
      <c r="C158" s="9" t="s">
        <v>106</v>
      </c>
      <c r="D158" s="9" t="str">
        <f>VLOOKUP(IntComp[[#This Row],[DEVELOPMENT]],Data[],52,FALSE)</f>
        <v>FEDERAL</v>
      </c>
      <c r="E158" s="50">
        <f>VLOOKUP(IntComp[[#This Row],[DEVELOPMENT]],Data[],8,FALSE)</f>
        <v>0</v>
      </c>
      <c r="F158" s="50">
        <f>VLOOKUP(IntComp[[#This Row],[DEVELOPMENT]],all[[DEVELOPMENT]:[MRST Ext. Comp. Priority]],13,FALSE)</f>
        <v>2</v>
      </c>
      <c r="G158" s="50">
        <f>IF(VLOOKUP(IntComp[[#This Row],[DEVELOPMENT]],Data[],9,FALSE)=0,5,VLOOKUP(IntComp[[#This Row],[DEVELOPMENT]],Data[],9,FALSE))</f>
        <v>5</v>
      </c>
      <c r="H158" s="50">
        <f>VLOOKUP(IntComp[[#This Row],[DEVELOPMENT]],Data[],7,FALSE)</f>
        <v>823</v>
      </c>
      <c r="I158" s="50">
        <f>VLOOKUP(IntComp[[#This Row],[DEVELOPMENT]],Data[],5,FALSE)</f>
        <v>6</v>
      </c>
      <c r="J158" s="50"/>
      <c r="K158" s="50" t="str">
        <f ca="1">IFERROR(VLOOKUP(IntComp[[#This Row],[DEVELOPMENT]],Data[],4,FALSE),"")</f>
        <v>2022-2025</v>
      </c>
      <c r="L158" s="50" t="str">
        <f ca="1">IF(IntComp[[#This Row],[RAD/PACT]]="","",IF(OR(IntComp[[#This Row],[RAD/PACT]]="2022-2025",IntComp[[#This Row],[RAD/PACT]]=2019,IntComp[[#This Row],[RAD/PACT]]="2020-2021"),"Yes",""))</f>
        <v>Yes</v>
      </c>
      <c r="M158" s="51">
        <f ca="1">IF(VLOOKUP(IntComp[[#This Row],[DEVELOPMENT]],Data[],10,FALSE)=0,-1,DATEDIF(VLOOKUP(IntComp[[#This Row],[DEVELOPMENT]],Data[],12,FALSE),TODAY(),"Y"))</f>
        <v>17</v>
      </c>
      <c r="N15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58" s="51"/>
      <c r="P158" s="51"/>
      <c r="Q158" s="51"/>
      <c r="R158" s="47">
        <f ca="1">(IntComp[[#This Row],['# to Replace (MRST)]]*INDEX(UnitCosts[#All],MATCH(IntComp[[#This Row],[WORK TYPE]],UnitCosts[Work Type],0)+1,2))*(1+((IntComp[[#This Row],[est. Year]]-YEAR(TODAY()))*$R$2))</f>
        <v>0</v>
      </c>
      <c r="S158" s="1">
        <f ca="1">SUM(INDEX(IntComp['# to Replace (MRST)],1):IntComp[[#This Row],['# to Replace (MRST)]])-272</f>
        <v>843</v>
      </c>
      <c r="T158" s="51"/>
      <c r="U158" s="51">
        <f ca="1">IF(ISBLANK(IntComp[[#This Row],[CALENDAR YEAR]]),ROUNDDOWN(IntComp[[#This Row],[Count]]/190,0)+$U$1,IntComp[[#This Row],[CALENDAR YEAR]])</f>
        <v>2025</v>
      </c>
      <c r="V158" s="85">
        <f t="shared" ca="1" si="3"/>
        <v>7931675.9375</v>
      </c>
      <c r="W158" s="71"/>
      <c r="X158"/>
    </row>
    <row r="159" spans="1:24">
      <c r="A159" s="1" t="s">
        <v>297</v>
      </c>
      <c r="B159" s="9" t="str">
        <f>VLOOKUP(A159,Data[],2,FALSE)</f>
        <v>BROOKLYN</v>
      </c>
      <c r="C159" s="9" t="s">
        <v>106</v>
      </c>
      <c r="D159" s="9" t="str">
        <f>VLOOKUP(IntComp[[#This Row],[DEVELOPMENT]],Data[],52,FALSE)</f>
        <v>FEDERAL</v>
      </c>
      <c r="E159" s="50">
        <f>VLOOKUP(IntComp[[#This Row],[DEVELOPMENT]],Data[],8,FALSE)</f>
        <v>0</v>
      </c>
      <c r="F159" s="50">
        <f>VLOOKUP(IntComp[[#This Row],[DEVELOPMENT]],all[[DEVELOPMENT]:[MRST Ext. Comp. Priority]],13,FALSE)</f>
        <v>2</v>
      </c>
      <c r="G159" s="50">
        <f>IF(VLOOKUP(IntComp[[#This Row],[DEVELOPMENT]],Data[],9,FALSE)=0,5,VLOOKUP(IntComp[[#This Row],[DEVELOPMENT]],Data[],9,FALSE))</f>
        <v>5</v>
      </c>
      <c r="H159" s="50">
        <f>VLOOKUP(IntComp[[#This Row],[DEVELOPMENT]],Data[],7,FALSE)</f>
        <v>400</v>
      </c>
      <c r="I159" s="50">
        <f>VLOOKUP(IntComp[[#This Row],[DEVELOPMENT]],Data[],5,FALSE)</f>
        <v>3</v>
      </c>
      <c r="J159" s="50"/>
      <c r="K159" s="50" t="str">
        <f ca="1">IFERROR(VLOOKUP(IntComp[[#This Row],[DEVELOPMENT]],Data[],4,FALSE),"")</f>
        <v>2022-2025</v>
      </c>
      <c r="L159" s="50" t="str">
        <f ca="1">IF(IntComp[[#This Row],[RAD/PACT]]="","",IF(OR(IntComp[[#This Row],[RAD/PACT]]="2022-2025",IntComp[[#This Row],[RAD/PACT]]=2019,IntComp[[#This Row],[RAD/PACT]]="2020-2021"),"Yes",""))</f>
        <v>Yes</v>
      </c>
      <c r="M159" s="51">
        <f ca="1">IF(VLOOKUP(IntComp[[#This Row],[DEVELOPMENT]],Data[],10,FALSE)=0,-1,DATEDIF(VLOOKUP(IntComp[[#This Row],[DEVELOPMENT]],Data[],12,FALSE),TODAY(),"Y"))</f>
        <v>17</v>
      </c>
      <c r="N15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59" s="51"/>
      <c r="P159" s="51"/>
      <c r="Q159" s="51"/>
      <c r="R159" s="47">
        <f ca="1">(IntComp[[#This Row],['# to Replace (MRST)]]*INDEX(UnitCosts[#All],MATCH(IntComp[[#This Row],[WORK TYPE]],UnitCosts[Work Type],0)+1,2))*(1+((IntComp[[#This Row],[est. Year]]-YEAR(TODAY()))*$R$2))</f>
        <v>0</v>
      </c>
      <c r="S159" s="1">
        <f ca="1">SUM(INDEX(IntComp['# to Replace (MRST)],1):IntComp[[#This Row],['# to Replace (MRST)]])-272</f>
        <v>843</v>
      </c>
      <c r="T159" s="51"/>
      <c r="U159" s="51">
        <f ca="1">IF(ISBLANK(IntComp[[#This Row],[CALENDAR YEAR]]),ROUNDDOWN(IntComp[[#This Row],[Count]]/190,0)+$U$1,IntComp[[#This Row],[CALENDAR YEAR]])</f>
        <v>2025</v>
      </c>
      <c r="V159" s="85">
        <f t="shared" ca="1" si="3"/>
        <v>7931675.9375</v>
      </c>
      <c r="W159" s="71"/>
      <c r="X159"/>
    </row>
    <row r="160" spans="1:24">
      <c r="A160" s="1" t="s">
        <v>375</v>
      </c>
      <c r="B160" s="9" t="str">
        <f>VLOOKUP(A160,Data[],2,FALSE)</f>
        <v>BROOKLYN</v>
      </c>
      <c r="C160" s="9" t="s">
        <v>106</v>
      </c>
      <c r="D160" s="9" t="str">
        <f>VLOOKUP(IntComp[[#This Row],[DEVELOPMENT]],Data[],52,FALSE)</f>
        <v>FEDERAL</v>
      </c>
      <c r="E160" s="50">
        <f>VLOOKUP(IntComp[[#This Row],[DEVELOPMENT]],Data[],8,FALSE)</f>
        <v>0</v>
      </c>
      <c r="F160" s="50">
        <f>VLOOKUP(IntComp[[#This Row],[DEVELOPMENT]],all[[DEVELOPMENT]:[MRST Ext. Comp. Priority]],13,FALSE)</f>
        <v>3</v>
      </c>
      <c r="G160" s="50">
        <f>IF(VLOOKUP(IntComp[[#This Row],[DEVELOPMENT]],Data[],9,FALSE)=0,5,VLOOKUP(IntComp[[#This Row],[DEVELOPMENT]],Data[],9,FALSE))</f>
        <v>5</v>
      </c>
      <c r="H160" s="50">
        <f>VLOOKUP(IntComp[[#This Row],[DEVELOPMENT]],Data[],7,FALSE)</f>
        <v>288</v>
      </c>
      <c r="I160" s="50">
        <f>VLOOKUP(IntComp[[#This Row],[DEVELOPMENT]],Data[],5,FALSE)</f>
        <v>2</v>
      </c>
      <c r="J160" s="50"/>
      <c r="K160" s="50" t="str">
        <f ca="1">IFERROR(VLOOKUP(IntComp[[#This Row],[DEVELOPMENT]],Data[],4,FALSE),"")</f>
        <v/>
      </c>
      <c r="L160" s="50" t="str">
        <f ca="1">IF(IntComp[[#This Row],[RAD/PACT]]="","",IF(OR(IntComp[[#This Row],[RAD/PACT]]="2022-2025",IntComp[[#This Row],[RAD/PACT]]=2019,IntComp[[#This Row],[RAD/PACT]]="2020-2021"),"Yes",""))</f>
        <v/>
      </c>
      <c r="M160" s="51">
        <f ca="1">IF(VLOOKUP(IntComp[[#This Row],[DEVELOPMENT]],Data[],10,FALSE)=0,-1,DATEDIF(VLOOKUP(IntComp[[#This Row],[DEVELOPMENT]],Data[],12,FALSE),TODAY(),"Y"))</f>
        <v>20</v>
      </c>
      <c r="N16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160" s="51"/>
      <c r="P160" s="51"/>
      <c r="Q160" s="51"/>
      <c r="R160" s="47">
        <f ca="1">(IntComp[[#This Row],['# to Replace (MRST)]]*INDEX(UnitCosts[#All],MATCH(IntComp[[#This Row],[WORK TYPE]],UnitCosts[Work Type],0)+1,2))*(1+((IntComp[[#This Row],[est. Year]]-YEAR(TODAY()))*$R$2))</f>
        <v>148255.625</v>
      </c>
      <c r="S160" s="1">
        <f ca="1">SUM(INDEX(IntComp['# to Replace (MRST)],1):IntComp[[#This Row],['# to Replace (MRST)]])-272</f>
        <v>845</v>
      </c>
      <c r="T160" s="51"/>
      <c r="U160" s="51">
        <f ca="1">IF(ISBLANK(IntComp[[#This Row],[CALENDAR YEAR]]),ROUNDDOWN(IntComp[[#This Row],[Count]]/190,0)+$U$1,IntComp[[#This Row],[CALENDAR YEAR]])</f>
        <v>2025</v>
      </c>
      <c r="V160" s="85">
        <f t="shared" ca="1" si="3"/>
        <v>8079931.5625</v>
      </c>
      <c r="W160" s="71"/>
      <c r="X160"/>
    </row>
    <row r="161" spans="1:24">
      <c r="A161" s="1" t="s">
        <v>211</v>
      </c>
      <c r="B161" s="9" t="str">
        <f>VLOOKUP(A161,Data[],2,FALSE)</f>
        <v>QUEENS</v>
      </c>
      <c r="C161" s="9" t="s">
        <v>106</v>
      </c>
      <c r="D161" s="9" t="str">
        <f>VLOOKUP(IntComp[[#This Row],[DEVELOPMENT]],Data[],52,FALSE)</f>
        <v>FEDERAL</v>
      </c>
      <c r="E161" s="50">
        <f>VLOOKUP(IntComp[[#This Row],[DEVELOPMENT]],Data[],8,FALSE)</f>
        <v>0</v>
      </c>
      <c r="F161" s="50">
        <f>VLOOKUP(IntComp[[#This Row],[DEVELOPMENT]],all[[DEVELOPMENT]:[MRST Ext. Comp. Priority]],13,FALSE)</f>
        <v>3</v>
      </c>
      <c r="G161" s="50">
        <f>IF(VLOOKUP(IntComp[[#This Row],[DEVELOPMENT]],Data[],9,FALSE)=0,5,VLOOKUP(IntComp[[#This Row],[DEVELOPMENT]],Data[],9,FALSE))</f>
        <v>5</v>
      </c>
      <c r="H161" s="50">
        <f>VLOOKUP(IntComp[[#This Row],[DEVELOPMENT]],Data[],7,FALSE)</f>
        <v>2069</v>
      </c>
      <c r="I161" s="50">
        <f>VLOOKUP(IntComp[[#This Row],[DEVELOPMENT]],Data[],5,FALSE)</f>
        <v>35</v>
      </c>
      <c r="J161" s="50">
        <v>1</v>
      </c>
      <c r="K161" s="50" t="str">
        <f ca="1">IFERROR(VLOOKUP(IntComp[[#This Row],[DEVELOPMENT]],Data[],4,FALSE),"")</f>
        <v>2026+</v>
      </c>
      <c r="L161" s="50" t="str">
        <f ca="1">IF(IntComp[[#This Row],[RAD/PACT]]="","",IF(OR(IntComp[[#This Row],[RAD/PACT]]="2022-2025",IntComp[[#This Row],[RAD/PACT]]=2019,IntComp[[#This Row],[RAD/PACT]]="2020-2021"),"Yes",""))</f>
        <v/>
      </c>
      <c r="M161" s="51">
        <f ca="1">IF(VLOOKUP(IntComp[[#This Row],[DEVELOPMENT]],Data[],10,FALSE)=0,-1,DATEDIF(VLOOKUP(IntComp[[#This Row],[DEVELOPMENT]],Data[],12,FALSE),TODAY(),"Y"))</f>
        <v>20</v>
      </c>
      <c r="N16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121</v>
      </c>
      <c r="O161" s="51"/>
      <c r="P161" s="51"/>
      <c r="Q161" s="51"/>
      <c r="R161" s="47">
        <f ca="1">(IntComp[[#This Row],['# to Replace (MRST)]]*INDEX(UnitCosts[#All],MATCH(IntComp[[#This Row],[WORK TYPE]],UnitCosts[Work Type],0)+1,2))*(1+((IntComp[[#This Row],[est. Year]]-YEAR(TODAY()))*$R$2))</f>
        <v>8969465.3125</v>
      </c>
      <c r="S161" s="1">
        <f ca="1">SUM(INDEX(IntComp['# to Replace (MRST)],1):IntComp[[#This Row],['# to Replace (MRST)]])-272</f>
        <v>966</v>
      </c>
      <c r="T161" s="51"/>
      <c r="U161" s="51">
        <v>2025</v>
      </c>
      <c r="V161" s="85">
        <f t="shared" ca="1" si="3"/>
        <v>17049396.875</v>
      </c>
      <c r="W161" s="71"/>
      <c r="X161"/>
    </row>
    <row r="162" spans="1:24">
      <c r="A162" s="1" t="s">
        <v>221</v>
      </c>
      <c r="B162" s="9" t="str">
        <f>VLOOKUP(A162,Data[],2,FALSE)</f>
        <v>MANHATTAN</v>
      </c>
      <c r="C162" s="9" t="s">
        <v>106</v>
      </c>
      <c r="D162" s="9" t="str">
        <f>VLOOKUP(IntComp[[#This Row],[DEVELOPMENT]],Data[],52,FALSE)</f>
        <v>FEDERAL</v>
      </c>
      <c r="E162" s="50" t="str">
        <f>VLOOKUP(IntComp[[#This Row],[DEVELOPMENT]],Data[],8,FALSE)</f>
        <v>Zone 3</v>
      </c>
      <c r="F162" s="50">
        <f>VLOOKUP(IntComp[[#This Row],[DEVELOPMENT]],all[[DEVELOPMENT]:[MRST Ext. Comp. Priority]],13,FALSE)</f>
        <v>3</v>
      </c>
      <c r="G162" s="50">
        <f>IF(VLOOKUP(IntComp[[#This Row],[DEVELOPMENT]],Data[],9,FALSE)=0,5,VLOOKUP(IntComp[[#This Row],[DEVELOPMENT]],Data[],9,FALSE))</f>
        <v>5</v>
      </c>
      <c r="H162" s="50">
        <f>VLOOKUP(IntComp[[#This Row],[DEVELOPMENT]],Data[],7,FALSE)</f>
        <v>606</v>
      </c>
      <c r="I162" s="50">
        <f>VLOOKUP(IntComp[[#This Row],[DEVELOPMENT]],Data[],5,FALSE)</f>
        <v>4</v>
      </c>
      <c r="J162" s="50"/>
      <c r="K162" s="50" t="str">
        <f ca="1">IFERROR(VLOOKUP(IntComp[[#This Row],[DEVELOPMENT]],Data[],4,FALSE),"")</f>
        <v/>
      </c>
      <c r="L162" s="50" t="str">
        <f ca="1">IF(IntComp[[#This Row],[RAD/PACT]]="","",IF(OR(IntComp[[#This Row],[RAD/PACT]]="2022-2025",IntComp[[#This Row],[RAD/PACT]]=2019,IntComp[[#This Row],[RAD/PACT]]="2020-2021"),"Yes",""))</f>
        <v/>
      </c>
      <c r="M162" s="51">
        <f ca="1">IF(VLOOKUP(IntComp[[#This Row],[DEVELOPMENT]],Data[],10,FALSE)=0,-1,DATEDIF(VLOOKUP(IntComp[[#This Row],[DEVELOPMENT]],Data[],12,FALSE),TODAY(),"Y"))</f>
        <v>20</v>
      </c>
      <c r="N16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8</v>
      </c>
      <c r="O162" s="51"/>
      <c r="P162" s="51"/>
      <c r="Q162" s="51"/>
      <c r="R162" s="47">
        <f ca="1">(IntComp[[#This Row],['# to Replace (MRST)]]*INDEX(UnitCosts[#All],MATCH(IntComp[[#This Row],[WORK TYPE]],UnitCosts[Work Type],0)+1,2))*(1+((IntComp[[#This Row],[est. Year]]-YEAR(TODAY()))*$R$2))</f>
        <v>610687</v>
      </c>
      <c r="S162" s="1">
        <f ca="1">SUM(INDEX(IntComp['# to Replace (MRST)],1):IntComp[[#This Row],['# to Replace (MRST)]])-272</f>
        <v>974</v>
      </c>
      <c r="T162" s="51"/>
      <c r="U162" s="51">
        <f ca="1">IF(ISBLANK(IntComp[[#This Row],[CALENDAR YEAR]]),ROUNDDOWN(IntComp[[#This Row],[Count]]/190,0)+$U$1,IntComp[[#This Row],[CALENDAR YEAR]])</f>
        <v>2026</v>
      </c>
      <c r="V162" s="85">
        <f t="shared" ca="1" si="3"/>
        <v>610687</v>
      </c>
      <c r="W162" s="71"/>
      <c r="X162"/>
    </row>
    <row r="163" spans="1:24">
      <c r="A163" s="1" t="s">
        <v>348</v>
      </c>
      <c r="B163" s="9" t="str">
        <f>VLOOKUP(A163,Data[],2,FALSE)</f>
        <v>QUEENS</v>
      </c>
      <c r="C163" s="9" t="s">
        <v>106</v>
      </c>
      <c r="D163" s="9" t="str">
        <f>VLOOKUP(IntComp[[#This Row],[DEVELOPMENT]],Data[],52,FALSE)</f>
        <v>FEDERAL</v>
      </c>
      <c r="E163" s="50">
        <f>VLOOKUP(IntComp[[#This Row],[DEVELOPMENT]],Data[],8,FALSE)</f>
        <v>0</v>
      </c>
      <c r="F163" s="50">
        <f>VLOOKUP(IntComp[[#This Row],[DEVELOPMENT]],all[[DEVELOPMENT]:[MRST Ext. Comp. Priority]],13,FALSE)</f>
        <v>3</v>
      </c>
      <c r="G163" s="50">
        <f>IF(VLOOKUP(IntComp[[#This Row],[DEVELOPMENT]],Data[],9,FALSE)=0,5,VLOOKUP(IntComp[[#This Row],[DEVELOPMENT]],Data[],9,FALSE))</f>
        <v>5</v>
      </c>
      <c r="H163" s="50">
        <f>VLOOKUP(IntComp[[#This Row],[DEVELOPMENT]],Data[],7,FALSE)</f>
        <v>417</v>
      </c>
      <c r="I163" s="50">
        <f>VLOOKUP(IntComp[[#This Row],[DEVELOPMENT]],Data[],5,FALSE)</f>
        <v>7</v>
      </c>
      <c r="J163" s="50"/>
      <c r="K163" s="50" t="str">
        <f ca="1">IFERROR(VLOOKUP(IntComp[[#This Row],[DEVELOPMENT]],Data[],4,FALSE),"")</f>
        <v>2026+</v>
      </c>
      <c r="L163" s="50" t="str">
        <f ca="1">IF(IntComp[[#This Row],[RAD/PACT]]="","",IF(OR(IntComp[[#This Row],[RAD/PACT]]="2022-2025",IntComp[[#This Row],[RAD/PACT]]=2019,IntComp[[#This Row],[RAD/PACT]]="2020-2021"),"Yes",""))</f>
        <v/>
      </c>
      <c r="M163" s="51">
        <f ca="1">IF(VLOOKUP(IntComp[[#This Row],[DEVELOPMENT]],Data[],10,FALSE)=0,-1,DATEDIF(VLOOKUP(IntComp[[#This Row],[DEVELOPMENT]],Data[],12,FALSE),TODAY(),"Y"))</f>
        <v>19</v>
      </c>
      <c r="N16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14</v>
      </c>
      <c r="O163" s="51"/>
      <c r="P163" s="51"/>
      <c r="Q163" s="51"/>
      <c r="R163" s="47">
        <f ca="1">(IntComp[[#This Row],['# to Replace (MRST)]]*INDEX(UnitCosts[#All],MATCH(IntComp[[#This Row],[WORK TYPE]],UnitCosts[Work Type],0)+1,2))*(1+((IntComp[[#This Row],[est. Year]]-YEAR(TODAY()))*$R$2))</f>
        <v>1068702.25</v>
      </c>
      <c r="S163" s="1">
        <f ca="1">SUM(INDEX(IntComp['# to Replace (MRST)],1):IntComp[[#This Row],['# to Replace (MRST)]])-272</f>
        <v>988</v>
      </c>
      <c r="T163" s="51"/>
      <c r="U163" s="51">
        <f ca="1">IF(ISBLANK(IntComp[[#This Row],[CALENDAR YEAR]]),ROUNDDOWN(IntComp[[#This Row],[Count]]/190,0)+$U$1,IntComp[[#This Row],[CALENDAR YEAR]])</f>
        <v>2026</v>
      </c>
      <c r="V163" s="85">
        <f t="shared" ca="1" si="3"/>
        <v>1679389.25</v>
      </c>
      <c r="W163" s="71"/>
      <c r="X163"/>
    </row>
    <row r="164" spans="1:24">
      <c r="A164" s="1" t="s">
        <v>333</v>
      </c>
      <c r="B164" s="9" t="str">
        <f>VLOOKUP(A164,Data[],2,FALSE)</f>
        <v>MANHATTAN</v>
      </c>
      <c r="C164" s="9" t="s">
        <v>106</v>
      </c>
      <c r="D164" s="9" t="str">
        <f>VLOOKUP(IntComp[[#This Row],[DEVELOPMENT]],Data[],52,FALSE)</f>
        <v>FEDERAL</v>
      </c>
      <c r="E164" s="50">
        <f>VLOOKUP(IntComp[[#This Row],[DEVELOPMENT]],Data[],8,FALSE)</f>
        <v>0</v>
      </c>
      <c r="F164" s="50">
        <f>VLOOKUP(IntComp[[#This Row],[DEVELOPMENT]],all[[DEVELOPMENT]:[MRST Ext. Comp. Priority]],13,FALSE)</f>
        <v>3</v>
      </c>
      <c r="G164" s="50">
        <f>IF(VLOOKUP(IntComp[[#This Row],[DEVELOPMENT]],Data[],9,FALSE)=0,5,VLOOKUP(IntComp[[#This Row],[DEVELOPMENT]],Data[],9,FALSE))</f>
        <v>5</v>
      </c>
      <c r="H164" s="50">
        <f>VLOOKUP(IntComp[[#This Row],[DEVELOPMENT]],Data[],7,FALSE)</f>
        <v>536</v>
      </c>
      <c r="I164" s="50">
        <f>VLOOKUP(IntComp[[#This Row],[DEVELOPMENT]],Data[],5,FALSE)</f>
        <v>2</v>
      </c>
      <c r="J164" s="50"/>
      <c r="K164" s="50" t="str">
        <f ca="1">IFERROR(VLOOKUP(IntComp[[#This Row],[DEVELOPMENT]],Data[],4,FALSE),"")</f>
        <v/>
      </c>
      <c r="L164" s="50" t="str">
        <f ca="1">IF(IntComp[[#This Row],[RAD/PACT]]="","",IF(OR(IntComp[[#This Row],[RAD/PACT]]="2022-2025",IntComp[[#This Row],[RAD/PACT]]=2019,IntComp[[#This Row],[RAD/PACT]]="2020-2021"),"Yes",""))</f>
        <v/>
      </c>
      <c r="M164" s="51">
        <f ca="1">IF(VLOOKUP(IntComp[[#This Row],[DEVELOPMENT]],Data[],10,FALSE)=0,-1,DATEDIF(VLOOKUP(IntComp[[#This Row],[DEVELOPMENT]],Data[],12,FALSE),TODAY(),"Y"))</f>
        <v>18</v>
      </c>
      <c r="N16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164" s="51"/>
      <c r="P164" s="51"/>
      <c r="Q164" s="51"/>
      <c r="R164" s="47">
        <f ca="1">(IntComp[[#This Row],['# to Replace (MRST)]]*INDEX(UnitCosts[#All],MATCH(IntComp[[#This Row],[WORK TYPE]],UnitCosts[Work Type],0)+1,2))*(1+((IntComp[[#This Row],[est. Year]]-YEAR(TODAY()))*$R$2))</f>
        <v>152671.75</v>
      </c>
      <c r="S164" s="1">
        <f ca="1">SUM(INDEX(IntComp['# to Replace (MRST)],1):IntComp[[#This Row],['# to Replace (MRST)]])-272</f>
        <v>990</v>
      </c>
      <c r="T164" s="51"/>
      <c r="U164" s="51">
        <f ca="1">IF(ISBLANK(IntComp[[#This Row],[CALENDAR YEAR]]),ROUNDDOWN(IntComp[[#This Row],[Count]]/190,0)+$U$1,IntComp[[#This Row],[CALENDAR YEAR]])</f>
        <v>2026</v>
      </c>
      <c r="V164" s="85">
        <f t="shared" ca="1" si="3"/>
        <v>1832061</v>
      </c>
      <c r="W164" s="71"/>
      <c r="X164"/>
    </row>
    <row r="165" spans="1:24">
      <c r="A165" s="1" t="s">
        <v>234</v>
      </c>
      <c r="B165" s="9" t="str">
        <f>VLOOKUP(A165,Data[],2,FALSE)</f>
        <v>BRONX</v>
      </c>
      <c r="C165" s="9" t="s">
        <v>106</v>
      </c>
      <c r="D165" s="9" t="str">
        <f>VLOOKUP(IntComp[[#This Row],[DEVELOPMENT]],Data[],52,FALSE)</f>
        <v>FEDERAL</v>
      </c>
      <c r="E165" s="50">
        <f>VLOOKUP(IntComp[[#This Row],[DEVELOPMENT]],Data[],8,FALSE)</f>
        <v>0</v>
      </c>
      <c r="F165" s="50">
        <f>VLOOKUP(IntComp[[#This Row],[DEVELOPMENT]],all[[DEVELOPMENT]:[MRST Ext. Comp. Priority]],13,FALSE)</f>
        <v>3</v>
      </c>
      <c r="G165" s="50">
        <f>IF(VLOOKUP(IntComp[[#This Row],[DEVELOPMENT]],Data[],9,FALSE)=0,5,VLOOKUP(IntComp[[#This Row],[DEVELOPMENT]],Data[],9,FALSE))</f>
        <v>5</v>
      </c>
      <c r="H165" s="50">
        <f>VLOOKUP(IntComp[[#This Row],[DEVELOPMENT]],Data[],7,FALSE)</f>
        <v>232</v>
      </c>
      <c r="I165" s="50">
        <f>VLOOKUP(IntComp[[#This Row],[DEVELOPMENT]],Data[],5,FALSE)</f>
        <v>1</v>
      </c>
      <c r="J165" s="50"/>
      <c r="K165" s="50" t="str">
        <f ca="1">IFERROR(VLOOKUP(IntComp[[#This Row],[DEVELOPMENT]],Data[],4,FALSE),"")</f>
        <v>2022-2025</v>
      </c>
      <c r="L165" s="50" t="str">
        <f ca="1">IF(IntComp[[#This Row],[RAD/PACT]]="","",IF(OR(IntComp[[#This Row],[RAD/PACT]]="2022-2025",IntComp[[#This Row],[RAD/PACT]]=2019,IntComp[[#This Row],[RAD/PACT]]="2020-2021"),"Yes",""))</f>
        <v>Yes</v>
      </c>
      <c r="M165" s="51">
        <f ca="1">IF(VLOOKUP(IntComp[[#This Row],[DEVELOPMENT]],Data[],10,FALSE)=0,-1,DATEDIF(VLOOKUP(IntComp[[#This Row],[DEVELOPMENT]],Data[],12,FALSE),TODAY(),"Y"))</f>
        <v>17</v>
      </c>
      <c r="N16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65" s="51"/>
      <c r="P165" s="51"/>
      <c r="Q165" s="51"/>
      <c r="R165" s="47">
        <f ca="1">(IntComp[[#This Row],['# to Replace (MRST)]]*INDEX(UnitCosts[#All],MATCH(IntComp[[#This Row],[WORK TYPE]],UnitCosts[Work Type],0)+1,2))*(1+((IntComp[[#This Row],[est. Year]]-YEAR(TODAY()))*$R$2))</f>
        <v>0</v>
      </c>
      <c r="S165" s="1">
        <f ca="1">SUM(INDEX(IntComp['# to Replace (MRST)],1):IntComp[[#This Row],['# to Replace (MRST)]])-272</f>
        <v>990</v>
      </c>
      <c r="T165" s="51"/>
      <c r="U165" s="51">
        <f ca="1">IF(ISBLANK(IntComp[[#This Row],[CALENDAR YEAR]]),ROUNDDOWN(IntComp[[#This Row],[Count]]/190,0)+$U$1,IntComp[[#This Row],[CALENDAR YEAR]])</f>
        <v>2026</v>
      </c>
      <c r="V165" s="85">
        <f t="shared" ca="1" si="3"/>
        <v>1832061</v>
      </c>
      <c r="W165" s="71"/>
      <c r="X165"/>
    </row>
    <row r="166" spans="1:24">
      <c r="A166" s="1" t="s">
        <v>337</v>
      </c>
      <c r="B166" s="9" t="str">
        <f>VLOOKUP(A166,Data[],2,FALSE)</f>
        <v>MANHATTAN</v>
      </c>
      <c r="C166" s="9" t="s">
        <v>106</v>
      </c>
      <c r="D166" s="9" t="str">
        <f>VLOOKUP(IntComp[[#This Row],[DEVELOPMENT]],Data[],52,FALSE)</f>
        <v>FEDERAL</v>
      </c>
      <c r="E166" s="50">
        <f>VLOOKUP(IntComp[[#This Row],[DEVELOPMENT]],Data[],8,FALSE)</f>
        <v>0</v>
      </c>
      <c r="F166" s="50">
        <f>VLOOKUP(IntComp[[#This Row],[DEVELOPMENT]],all[[DEVELOPMENT]:[MRST Ext. Comp. Priority]],13,FALSE)</f>
        <v>3</v>
      </c>
      <c r="G166" s="50">
        <f>IF(VLOOKUP(IntComp[[#This Row],[DEVELOPMENT]],Data[],9,FALSE)=0,5,VLOOKUP(IntComp[[#This Row],[DEVELOPMENT]],Data[],9,FALSE))</f>
        <v>5</v>
      </c>
      <c r="H166" s="50">
        <f>VLOOKUP(IntComp[[#This Row],[DEVELOPMENT]],Data[],7,FALSE)</f>
        <v>634</v>
      </c>
      <c r="I166" s="50">
        <f>VLOOKUP(IntComp[[#This Row],[DEVELOPMENT]],Data[],5,FALSE)</f>
        <v>3</v>
      </c>
      <c r="J166" s="50"/>
      <c r="K166" s="50" t="str">
        <f ca="1">IFERROR(VLOOKUP(IntComp[[#This Row],[DEVELOPMENT]],Data[],4,FALSE),"")</f>
        <v/>
      </c>
      <c r="L166" s="50" t="str">
        <f ca="1">IF(IntComp[[#This Row],[RAD/PACT]]="","",IF(OR(IntComp[[#This Row],[RAD/PACT]]="2022-2025",IntComp[[#This Row],[RAD/PACT]]=2019,IntComp[[#This Row],[RAD/PACT]]="2020-2021"),"Yes",""))</f>
        <v/>
      </c>
      <c r="M166" s="51">
        <f ca="1">IF(VLOOKUP(IntComp[[#This Row],[DEVELOPMENT]],Data[],10,FALSE)=0,-1,DATEDIF(VLOOKUP(IntComp[[#This Row],[DEVELOPMENT]],Data[],12,FALSE),TODAY(),"Y"))</f>
        <v>18</v>
      </c>
      <c r="N16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166" s="51"/>
      <c r="P166" s="51"/>
      <c r="Q166" s="51"/>
      <c r="R166" s="47">
        <f ca="1">(IntComp[[#This Row],['# to Replace (MRST)]]*INDEX(UnitCosts[#All],MATCH(IntComp[[#This Row],[WORK TYPE]],UnitCosts[Work Type],0)+1,2))*(1+((IntComp[[#This Row],[est. Year]]-YEAR(TODAY()))*$R$2))</f>
        <v>229007.625</v>
      </c>
      <c r="S166" s="1">
        <f ca="1">SUM(INDEX(IntComp['# to Replace (MRST)],1):IntComp[[#This Row],['# to Replace (MRST)]])-272</f>
        <v>993</v>
      </c>
      <c r="T166" s="51"/>
      <c r="U166" s="51">
        <f ca="1">IF(ISBLANK(IntComp[[#This Row],[CALENDAR YEAR]]),ROUNDDOWN(IntComp[[#This Row],[Count]]/190,0)+$U$1,IntComp[[#This Row],[CALENDAR YEAR]])</f>
        <v>2026</v>
      </c>
      <c r="V166" s="85">
        <f t="shared" ca="1" si="3"/>
        <v>2061068.625</v>
      </c>
      <c r="W166" s="71"/>
      <c r="X166"/>
    </row>
    <row r="167" spans="1:24">
      <c r="A167" s="1" t="s">
        <v>192</v>
      </c>
      <c r="B167" s="9" t="str">
        <f>VLOOKUP(A167,Data[],2,FALSE)</f>
        <v>BROOKLYN</v>
      </c>
      <c r="C167" s="9" t="s">
        <v>106</v>
      </c>
      <c r="D167" s="9" t="str">
        <f>VLOOKUP(IntComp[[#This Row],[DEVELOPMENT]],Data[],52,FALSE)</f>
        <v>FEDERAL</v>
      </c>
      <c r="E167" s="50">
        <f>VLOOKUP(IntComp[[#This Row],[DEVELOPMENT]],Data[],8,FALSE)</f>
        <v>0</v>
      </c>
      <c r="F167" s="50">
        <f>VLOOKUP(IntComp[[#This Row],[DEVELOPMENT]],all[[DEVELOPMENT]:[MRST Ext. Comp. Priority]],13,FALSE)</f>
        <v>3</v>
      </c>
      <c r="G167" s="50">
        <f>IF(VLOOKUP(IntComp[[#This Row],[DEVELOPMENT]],Data[],9,FALSE)=0,5,VLOOKUP(IntComp[[#This Row],[DEVELOPMENT]],Data[],9,FALSE))</f>
        <v>5</v>
      </c>
      <c r="H167" s="50">
        <f>VLOOKUP(IntComp[[#This Row],[DEVELOPMENT]],Data[],7,FALSE)</f>
        <v>534</v>
      </c>
      <c r="I167" s="50">
        <f>VLOOKUP(IntComp[[#This Row],[DEVELOPMENT]],Data[],5,FALSE)</f>
        <v>4</v>
      </c>
      <c r="J167" s="50"/>
      <c r="K167" s="50" t="str">
        <f ca="1">IFERROR(VLOOKUP(IntComp[[#This Row],[DEVELOPMENT]],Data[],4,FALSE),"")</f>
        <v/>
      </c>
      <c r="L167" s="50" t="str">
        <f ca="1">IF(IntComp[[#This Row],[RAD/PACT]]="","",IF(OR(IntComp[[#This Row],[RAD/PACT]]="2022-2025",IntComp[[#This Row],[RAD/PACT]]=2019,IntComp[[#This Row],[RAD/PACT]]="2020-2021"),"Yes",""))</f>
        <v/>
      </c>
      <c r="M167" s="51">
        <f ca="1">IF(VLOOKUP(IntComp[[#This Row],[DEVELOPMENT]],Data[],10,FALSE)=0,-1,DATEDIF(VLOOKUP(IntComp[[#This Row],[DEVELOPMENT]],Data[],12,FALSE),TODAY(),"Y"))</f>
        <v>17</v>
      </c>
      <c r="N16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</v>
      </c>
      <c r="O167" s="51"/>
      <c r="P167" s="51"/>
      <c r="Q167" s="51"/>
      <c r="R167" s="47">
        <f ca="1">(IntComp[[#This Row],['# to Replace (MRST)]]*INDEX(UnitCosts[#All],MATCH(IntComp[[#This Row],[WORK TYPE]],UnitCosts[Work Type],0)+1,2))*(1+((IntComp[[#This Row],[est. Year]]-YEAR(TODAY()))*$R$2))</f>
        <v>305343.5</v>
      </c>
      <c r="S167" s="1">
        <f ca="1">SUM(INDEX(IntComp['# to Replace (MRST)],1):IntComp[[#This Row],['# to Replace (MRST)]])-272</f>
        <v>997</v>
      </c>
      <c r="T167" s="51"/>
      <c r="U167" s="51">
        <f ca="1">IF(ISBLANK(IntComp[[#This Row],[CALENDAR YEAR]]),ROUNDDOWN(IntComp[[#This Row],[Count]]/190,0)+$U$1,IntComp[[#This Row],[CALENDAR YEAR]])</f>
        <v>2026</v>
      </c>
      <c r="V167" s="85">
        <f t="shared" ca="1" si="3"/>
        <v>2366412.125</v>
      </c>
      <c r="W167" s="71"/>
      <c r="X167"/>
    </row>
    <row r="168" spans="1:24">
      <c r="A168" s="1" t="s">
        <v>271</v>
      </c>
      <c r="B168" s="9" t="str">
        <f>VLOOKUP(A168,Data[],2,FALSE)</f>
        <v>QUEENS</v>
      </c>
      <c r="C168" s="9" t="s">
        <v>106</v>
      </c>
      <c r="D168" s="9" t="str">
        <f>VLOOKUP(IntComp[[#This Row],[DEVELOPMENT]],Data[],52,FALSE)</f>
        <v>FEDERAL</v>
      </c>
      <c r="E168" s="50">
        <f>VLOOKUP(IntComp[[#This Row],[DEVELOPMENT]],Data[],8,FALSE)</f>
        <v>0</v>
      </c>
      <c r="F168" s="50">
        <f>VLOOKUP(IntComp[[#This Row],[DEVELOPMENT]],all[[DEVELOPMENT]:[MRST Ext. Comp. Priority]],13,FALSE)</f>
        <v>3</v>
      </c>
      <c r="G168" s="50">
        <f>IF(VLOOKUP(IntComp[[#This Row],[DEVELOPMENT]],Data[],9,FALSE)=0,5,VLOOKUP(IntComp[[#This Row],[DEVELOPMENT]],Data[],9,FALSE))</f>
        <v>5</v>
      </c>
      <c r="H168" s="50">
        <f>VLOOKUP(IntComp[[#This Row],[DEVELOPMENT]],Data[],7,FALSE)</f>
        <v>1355</v>
      </c>
      <c r="I168" s="50">
        <f>VLOOKUP(IntComp[[#This Row],[DEVELOPMENT]],Data[],5,FALSE)</f>
        <v>20</v>
      </c>
      <c r="J168" s="50"/>
      <c r="K168" s="50" t="str">
        <f ca="1">IFERROR(VLOOKUP(IntComp[[#This Row],[DEVELOPMENT]],Data[],4,FALSE),"")</f>
        <v/>
      </c>
      <c r="L168" s="50" t="str">
        <f ca="1">IF(IntComp[[#This Row],[RAD/PACT]]="","",IF(OR(IntComp[[#This Row],[RAD/PACT]]="2022-2025",IntComp[[#This Row],[RAD/PACT]]=2019,IntComp[[#This Row],[RAD/PACT]]="2020-2021"),"Yes",""))</f>
        <v/>
      </c>
      <c r="M168" s="51">
        <f ca="1">IF(VLOOKUP(IntComp[[#This Row],[DEVELOPMENT]],Data[],10,FALSE)=0,-1,DATEDIF(VLOOKUP(IntComp[[#This Row],[DEVELOPMENT]],Data[],12,FALSE),TODAY(),"Y"))</f>
        <v>17</v>
      </c>
      <c r="N16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55</v>
      </c>
      <c r="O168" s="51"/>
      <c r="P168" s="51"/>
      <c r="Q168" s="51"/>
      <c r="R168" s="47">
        <f ca="1">(IntComp[[#This Row],['# to Replace (MRST)]]*INDEX(UnitCosts[#All],MATCH(IntComp[[#This Row],[WORK TYPE]],UnitCosts[Work Type],0)+1,2))*(1+((IntComp[[#This Row],[est. Year]]-YEAR(TODAY()))*$R$2))</f>
        <v>4198473.125</v>
      </c>
      <c r="S168" s="1">
        <f ca="1">SUM(INDEX(IntComp['# to Replace (MRST)],1):IntComp[[#This Row],['# to Replace (MRST)]])-272</f>
        <v>1052</v>
      </c>
      <c r="T168" s="51"/>
      <c r="U168" s="51">
        <f ca="1">IF(ISBLANK(IntComp[[#This Row],[CALENDAR YEAR]]),ROUNDDOWN(IntComp[[#This Row],[Count]]/190,0)+$U$1,IntComp[[#This Row],[CALENDAR YEAR]])</f>
        <v>2026</v>
      </c>
      <c r="V168" s="85">
        <f t="shared" ca="1" si="3"/>
        <v>6564885.25</v>
      </c>
      <c r="W168" s="71"/>
      <c r="X168"/>
    </row>
    <row r="169" spans="1:24">
      <c r="A169" s="1" t="s">
        <v>387</v>
      </c>
      <c r="B169" s="9" t="str">
        <f>VLOOKUP(A169,Data[],2,FALSE)</f>
        <v>BROOKLYN</v>
      </c>
      <c r="C169" s="9" t="s">
        <v>106</v>
      </c>
      <c r="D169" s="9" t="str">
        <f>VLOOKUP(IntComp[[#This Row],[DEVELOPMENT]],Data[],52,FALSE)</f>
        <v>FEDERAL</v>
      </c>
      <c r="E169" s="50">
        <f>VLOOKUP(IntComp[[#This Row],[DEVELOPMENT]],Data[],8,FALSE)</f>
        <v>0</v>
      </c>
      <c r="F169" s="50">
        <f>VLOOKUP(IntComp[[#This Row],[DEVELOPMENT]],all[[DEVELOPMENT]:[MRST Ext. Comp. Priority]],13,FALSE)</f>
        <v>3</v>
      </c>
      <c r="G169" s="50">
        <f>IF(VLOOKUP(IntComp[[#This Row],[DEVELOPMENT]],Data[],9,FALSE)=0,5,VLOOKUP(IntComp[[#This Row],[DEVELOPMENT]],Data[],9,FALSE))</f>
        <v>5</v>
      </c>
      <c r="H169" s="50">
        <f>VLOOKUP(IntComp[[#This Row],[DEVELOPMENT]],Data[],7,FALSE)</f>
        <v>407</v>
      </c>
      <c r="I169" s="50">
        <f>VLOOKUP(IntComp[[#This Row],[DEVELOPMENT]],Data[],5,FALSE)</f>
        <v>2</v>
      </c>
      <c r="J169" s="50"/>
      <c r="K169" s="50" t="str">
        <f ca="1">IFERROR(VLOOKUP(IntComp[[#This Row],[DEVELOPMENT]],Data[],4,FALSE),"")</f>
        <v/>
      </c>
      <c r="L169" s="50" t="str">
        <f ca="1">IF(IntComp[[#This Row],[RAD/PACT]]="","",IF(OR(IntComp[[#This Row],[RAD/PACT]]="2022-2025",IntComp[[#This Row],[RAD/PACT]]=2019,IntComp[[#This Row],[RAD/PACT]]="2020-2021"),"Yes",""))</f>
        <v/>
      </c>
      <c r="M169" s="51">
        <f ca="1">IF(VLOOKUP(IntComp[[#This Row],[DEVELOPMENT]],Data[],10,FALSE)=0,-1,DATEDIF(VLOOKUP(IntComp[[#This Row],[DEVELOPMENT]],Data[],12,FALSE),TODAY(),"Y"))</f>
        <v>17</v>
      </c>
      <c r="N16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169" s="51"/>
      <c r="P169" s="51"/>
      <c r="Q169" s="51"/>
      <c r="R169" s="47">
        <f ca="1">(IntComp[[#This Row],['# to Replace (MRST)]]*INDEX(UnitCosts[#All],MATCH(IntComp[[#This Row],[WORK TYPE]],UnitCosts[Work Type],0)+1,2))*(1+((IntComp[[#This Row],[est. Year]]-YEAR(TODAY()))*$R$2))</f>
        <v>229007.625</v>
      </c>
      <c r="S169" s="1">
        <f ca="1">SUM(INDEX(IntComp['# to Replace (MRST)],1):IntComp[[#This Row],['# to Replace (MRST)]])-272</f>
        <v>1055</v>
      </c>
      <c r="T169" s="51"/>
      <c r="U169" s="51">
        <f ca="1">IF(ISBLANK(IntComp[[#This Row],[CALENDAR YEAR]]),ROUNDDOWN(IntComp[[#This Row],[Count]]/190,0)+$U$1,IntComp[[#This Row],[CALENDAR YEAR]])</f>
        <v>2026</v>
      </c>
      <c r="V169" s="85">
        <f t="shared" ca="1" si="3"/>
        <v>6793892.875</v>
      </c>
      <c r="W169" s="71"/>
      <c r="X169"/>
    </row>
    <row r="170" spans="1:24">
      <c r="A170" s="1" t="s">
        <v>273</v>
      </c>
      <c r="B170" s="9" t="str">
        <f>VLOOKUP(A170,Data[],2,FALSE)</f>
        <v>BRONX</v>
      </c>
      <c r="C170" s="9" t="s">
        <v>106</v>
      </c>
      <c r="D170" s="9" t="str">
        <f>VLOOKUP(IntComp[[#This Row],[DEVELOPMENT]],Data[],52,FALSE)</f>
        <v>FEDERAL</v>
      </c>
      <c r="E170" s="50">
        <f>VLOOKUP(IntComp[[#This Row],[DEVELOPMENT]],Data[],8,FALSE)</f>
        <v>0</v>
      </c>
      <c r="F170" s="50">
        <f>VLOOKUP(IntComp[[#This Row],[DEVELOPMENT]],all[[DEVELOPMENT]:[MRST Ext. Comp. Priority]],13,FALSE)</f>
        <v>3</v>
      </c>
      <c r="G170" s="50">
        <f>IF(VLOOKUP(IntComp[[#This Row],[DEVELOPMENT]],Data[],9,FALSE)=0,5,VLOOKUP(IntComp[[#This Row],[DEVELOPMENT]],Data[],9,FALSE))</f>
        <v>5</v>
      </c>
      <c r="H170" s="50">
        <f>VLOOKUP(IntComp[[#This Row],[DEVELOPMENT]],Data[],7,FALSE)</f>
        <v>232</v>
      </c>
      <c r="I170" s="50">
        <f>VLOOKUP(IntComp[[#This Row],[DEVELOPMENT]],Data[],5,FALSE)</f>
        <v>1</v>
      </c>
      <c r="J170" s="50"/>
      <c r="K170" s="50" t="str">
        <f ca="1">IFERROR(VLOOKUP(IntComp[[#This Row],[DEVELOPMENT]],Data[],4,FALSE),"")</f>
        <v/>
      </c>
      <c r="L170" s="50" t="str">
        <f ca="1">IF(IntComp[[#This Row],[RAD/PACT]]="","",IF(OR(IntComp[[#This Row],[RAD/PACT]]="2022-2025",IntComp[[#This Row],[RAD/PACT]]=2019,IntComp[[#This Row],[RAD/PACT]]="2020-2021"),"Yes",""))</f>
        <v/>
      </c>
      <c r="M170" s="51">
        <f ca="1">IF(VLOOKUP(IntComp[[#This Row],[DEVELOPMENT]],Data[],10,FALSE)=0,-1,DATEDIF(VLOOKUP(IntComp[[#This Row],[DEVELOPMENT]],Data[],12,FALSE),TODAY(),"Y"))</f>
        <v>17</v>
      </c>
      <c r="N17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70" s="51"/>
      <c r="P170" s="51"/>
      <c r="Q170" s="51"/>
      <c r="R170" s="47">
        <f ca="1">(IntComp[[#This Row],['# to Replace (MRST)]]*INDEX(UnitCosts[#All],MATCH(IntComp[[#This Row],[WORK TYPE]],UnitCosts[Work Type],0)+1,2))*(1+((IntComp[[#This Row],[est. Year]]-YEAR(TODAY()))*$R$2))</f>
        <v>76335.875</v>
      </c>
      <c r="S170" s="1">
        <f ca="1">SUM(INDEX(IntComp['# to Replace (MRST)],1):IntComp[[#This Row],['# to Replace (MRST)]])-272</f>
        <v>1056</v>
      </c>
      <c r="T170" s="51"/>
      <c r="U170" s="51">
        <f ca="1">IF(ISBLANK(IntComp[[#This Row],[CALENDAR YEAR]]),ROUNDDOWN(IntComp[[#This Row],[Count]]/190,0)+$U$1,IntComp[[#This Row],[CALENDAR YEAR]])</f>
        <v>2026</v>
      </c>
      <c r="V170" s="85">
        <f t="shared" ca="1" si="3"/>
        <v>6870228.75</v>
      </c>
      <c r="W170" s="71"/>
      <c r="X170"/>
    </row>
    <row r="171" spans="1:24">
      <c r="A171" s="1" t="s">
        <v>252</v>
      </c>
      <c r="B171" s="9" t="str">
        <f>VLOOKUP(A171,Data[],2,FALSE)</f>
        <v>MANHATTAN</v>
      </c>
      <c r="C171" s="9" t="s">
        <v>106</v>
      </c>
      <c r="D171" s="9" t="str">
        <f>VLOOKUP(IntComp[[#This Row],[DEVELOPMENT]],Data[],52,FALSE)</f>
        <v>FEDERAL</v>
      </c>
      <c r="E171" s="50" t="str">
        <f>VLOOKUP(IntComp[[#This Row],[DEVELOPMENT]],Data[],8,FALSE)</f>
        <v>Zone 4</v>
      </c>
      <c r="F171" s="50">
        <f>VLOOKUP(IntComp[[#This Row],[DEVELOPMENT]],all[[DEVELOPMENT]:[MRST Ext. Comp. Priority]],13,FALSE)</f>
        <v>3</v>
      </c>
      <c r="G171" s="50">
        <f>IF(VLOOKUP(IntComp[[#This Row],[DEVELOPMENT]],Data[],9,FALSE)=0,5,VLOOKUP(IntComp[[#This Row],[DEVELOPMENT]],Data[],9,FALSE))</f>
        <v>5</v>
      </c>
      <c r="H171" s="50">
        <f>VLOOKUP(IntComp[[#This Row],[DEVELOPMENT]],Data[],7,FALSE)</f>
        <v>40</v>
      </c>
      <c r="I171" s="50">
        <f>VLOOKUP(IntComp[[#This Row],[DEVELOPMENT]],Data[],5,FALSE)</f>
        <v>1</v>
      </c>
      <c r="J171" s="50"/>
      <c r="K171" s="50" t="str">
        <f ca="1">IFERROR(VLOOKUP(IntComp[[#This Row],[DEVELOPMENT]],Data[],4,FALSE),"")</f>
        <v/>
      </c>
      <c r="L171" s="50" t="str">
        <f ca="1">IF(IntComp[[#This Row],[RAD/PACT]]="","",IF(OR(IntComp[[#This Row],[RAD/PACT]]="2022-2025",IntComp[[#This Row],[RAD/PACT]]=2019,IntComp[[#This Row],[RAD/PACT]]="2020-2021"),"Yes",""))</f>
        <v/>
      </c>
      <c r="M171" s="51">
        <f ca="1">IF(VLOOKUP(IntComp[[#This Row],[DEVELOPMENT]],Data[],10,FALSE)=0,-1,DATEDIF(VLOOKUP(IntComp[[#This Row],[DEVELOPMENT]],Data[],12,FALSE),TODAY(),"Y"))</f>
        <v>16</v>
      </c>
      <c r="N17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71" s="51"/>
      <c r="P171" s="51"/>
      <c r="Q171" s="51"/>
      <c r="R171" s="47">
        <f ca="1">(IntComp[[#This Row],['# to Replace (MRST)]]*INDEX(UnitCosts[#All],MATCH(IntComp[[#This Row],[WORK TYPE]],UnitCosts[Work Type],0)+1,2))*(1+((IntComp[[#This Row],[est. Year]]-YEAR(TODAY()))*$R$2))</f>
        <v>76335.875</v>
      </c>
      <c r="S171" s="1">
        <f ca="1">SUM(INDEX(IntComp['# to Replace (MRST)],1):IntComp[[#This Row],['# to Replace (MRST)]])-272</f>
        <v>1057</v>
      </c>
      <c r="T171" s="51"/>
      <c r="U171" s="51">
        <f ca="1">IF(ISBLANK(IntComp[[#This Row],[CALENDAR YEAR]]),ROUNDDOWN(IntComp[[#This Row],[Count]]/190,0)+$U$1,IntComp[[#This Row],[CALENDAR YEAR]])</f>
        <v>2026</v>
      </c>
      <c r="V171" s="85">
        <f t="shared" ca="1" si="3"/>
        <v>6946564.625</v>
      </c>
      <c r="W171" s="71"/>
      <c r="X171"/>
    </row>
    <row r="172" spans="1:24">
      <c r="A172" s="1" t="s">
        <v>217</v>
      </c>
      <c r="B172" s="9" t="str">
        <f>VLOOKUP(A172,Data[],2,FALSE)</f>
        <v>BRONX</v>
      </c>
      <c r="C172" s="9" t="s">
        <v>106</v>
      </c>
      <c r="D172" s="9" t="str">
        <f>VLOOKUP(IntComp[[#This Row],[DEVELOPMENT]],Data[],52,FALSE)</f>
        <v>FEDERAL</v>
      </c>
      <c r="E172" s="50">
        <f>VLOOKUP(IntComp[[#This Row],[DEVELOPMENT]],Data[],8,FALSE)</f>
        <v>0</v>
      </c>
      <c r="F172" s="50">
        <f>VLOOKUP(IntComp[[#This Row],[DEVELOPMENT]],all[[DEVELOPMENT]:[MRST Ext. Comp. Priority]],13,FALSE)</f>
        <v>4</v>
      </c>
      <c r="G172" s="50">
        <f>IF(VLOOKUP(IntComp[[#This Row],[DEVELOPMENT]],Data[],9,FALSE)=0,5,VLOOKUP(IntComp[[#This Row],[DEVELOPMENT]],Data[],9,FALSE))</f>
        <v>5</v>
      </c>
      <c r="H172" s="50">
        <f>VLOOKUP(IntComp[[#This Row],[DEVELOPMENT]],Data[],7,FALSE)</f>
        <v>1182</v>
      </c>
      <c r="I172" s="50">
        <f>VLOOKUP(IntComp[[#This Row],[DEVELOPMENT]],Data[],5,FALSE)</f>
        <v>29</v>
      </c>
      <c r="J172" s="50"/>
      <c r="K172" s="50" t="str">
        <f ca="1">IFERROR(VLOOKUP(IntComp[[#This Row],[DEVELOPMENT]],Data[],4,FALSE),"")</f>
        <v>2020-2021</v>
      </c>
      <c r="L172" s="50" t="str">
        <f ca="1">IF(IntComp[[#This Row],[RAD/PACT]]="","",IF(OR(IntComp[[#This Row],[RAD/PACT]]="2022-2025",IntComp[[#This Row],[RAD/PACT]]=2019,IntComp[[#This Row],[RAD/PACT]]="2020-2021"),"Yes",""))</f>
        <v>Yes</v>
      </c>
      <c r="M172" s="51">
        <f ca="1">IF(VLOOKUP(IntComp[[#This Row],[DEVELOPMENT]],Data[],10,FALSE)=0,-1,DATEDIF(VLOOKUP(IntComp[[#This Row],[DEVELOPMENT]],Data[],12,FALSE),TODAY(),"Y"))</f>
        <v>17</v>
      </c>
      <c r="N17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72" s="51"/>
      <c r="P172" s="51"/>
      <c r="Q172" s="51"/>
      <c r="R172" s="47">
        <f ca="1">(IntComp[[#This Row],['# to Replace (MRST)]]*INDEX(UnitCosts[#All],MATCH(IntComp[[#This Row],[WORK TYPE]],UnitCosts[Work Type],0)+1,2))*(1+((IntComp[[#This Row],[est. Year]]-YEAR(TODAY()))*$R$2))</f>
        <v>0</v>
      </c>
      <c r="S172" s="1">
        <f ca="1">SUM(INDEX(IntComp['# to Replace (MRST)],1):IntComp[[#This Row],['# to Replace (MRST)]])-272</f>
        <v>1057</v>
      </c>
      <c r="T172" s="51"/>
      <c r="U172" s="51">
        <f ca="1">IF(ISBLANK(IntComp[[#This Row],[CALENDAR YEAR]]),ROUNDDOWN(IntComp[[#This Row],[Count]]/190,0)+$U$1,IntComp[[#This Row],[CALENDAR YEAR]])</f>
        <v>2026</v>
      </c>
      <c r="V172" s="85">
        <f t="shared" ca="1" si="3"/>
        <v>6946564.625</v>
      </c>
      <c r="W172" s="71"/>
      <c r="X172"/>
    </row>
    <row r="173" spans="1:24">
      <c r="A173" s="1" t="s">
        <v>191</v>
      </c>
      <c r="B173" s="9" t="str">
        <f>VLOOKUP(A173,Data[],2,FALSE)</f>
        <v>BROOKLYN</v>
      </c>
      <c r="C173" s="9" t="s">
        <v>106</v>
      </c>
      <c r="D173" s="9" t="str">
        <f>VLOOKUP(IntComp[[#This Row],[DEVELOPMENT]],Data[],52,FALSE)</f>
        <v>FEDERAL</v>
      </c>
      <c r="E173" s="50" t="str">
        <f>VLOOKUP(IntComp[[#This Row],[DEVELOPMENT]],Data[],8,FALSE)</f>
        <v>Zone 4</v>
      </c>
      <c r="F173" s="50">
        <f>VLOOKUP(IntComp[[#This Row],[DEVELOPMENT]],all[[DEVELOPMENT]:[MRST Ext. Comp. Priority]],13,FALSE)</f>
        <v>3</v>
      </c>
      <c r="G173" s="50">
        <f>IF(VLOOKUP(IntComp[[#This Row],[DEVELOPMENT]],Data[],9,FALSE)=0,5,VLOOKUP(IntComp[[#This Row],[DEVELOPMENT]],Data[],9,FALSE))</f>
        <v>5</v>
      </c>
      <c r="H173" s="50">
        <f>VLOOKUP(IntComp[[#This Row],[DEVELOPMENT]],Data[],7,FALSE)</f>
        <v>182</v>
      </c>
      <c r="I173" s="50">
        <f>VLOOKUP(IntComp[[#This Row],[DEVELOPMENT]],Data[],5,FALSE)</f>
        <v>1</v>
      </c>
      <c r="J173" s="50"/>
      <c r="K173" s="50" t="str">
        <f ca="1">IFERROR(VLOOKUP(IntComp[[#This Row],[DEVELOPMENT]],Data[],4,FALSE),"")</f>
        <v/>
      </c>
      <c r="L173" s="50" t="str">
        <f ca="1">IF(IntComp[[#This Row],[RAD/PACT]]="","",IF(OR(IntComp[[#This Row],[RAD/PACT]]="2022-2025",IntComp[[#This Row],[RAD/PACT]]=2019,IntComp[[#This Row],[RAD/PACT]]="2020-2021"),"Yes",""))</f>
        <v/>
      </c>
      <c r="M173" s="51">
        <f ca="1">IF(VLOOKUP(IntComp[[#This Row],[DEVELOPMENT]],Data[],10,FALSE)=0,-1,DATEDIF(VLOOKUP(IntComp[[#This Row],[DEVELOPMENT]],Data[],12,FALSE),TODAY(),"Y"))</f>
        <v>16</v>
      </c>
      <c r="N17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73" s="51"/>
      <c r="P173" s="51"/>
      <c r="Q173" s="51"/>
      <c r="R173" s="47">
        <f ca="1">(IntComp[[#This Row],['# to Replace (MRST)]]*INDEX(UnitCosts[#All],MATCH(IntComp[[#This Row],[WORK TYPE]],UnitCosts[Work Type],0)+1,2))*(1+((IntComp[[#This Row],[est. Year]]-YEAR(TODAY()))*$R$2))</f>
        <v>76335.875</v>
      </c>
      <c r="S173" s="1">
        <f ca="1">SUM(INDEX(IntComp['# to Replace (MRST)],1):IntComp[[#This Row],['# to Replace (MRST)]])-272</f>
        <v>1058</v>
      </c>
      <c r="T173" s="51"/>
      <c r="U173" s="51">
        <f ca="1">IF(ISBLANK(IntComp[[#This Row],[CALENDAR YEAR]]),ROUNDDOWN(IntComp[[#This Row],[Count]]/190,0)+$U$1,IntComp[[#This Row],[CALENDAR YEAR]])</f>
        <v>2026</v>
      </c>
      <c r="V173" s="85">
        <f t="shared" ca="1" si="3"/>
        <v>7022900.5</v>
      </c>
      <c r="W173" s="71"/>
      <c r="X173"/>
    </row>
    <row r="174" spans="1:24">
      <c r="A174" s="1" t="s">
        <v>299</v>
      </c>
      <c r="B174" s="9" t="str">
        <f>VLOOKUP(A174,Data[],2,FALSE)</f>
        <v>BROOKLYN</v>
      </c>
      <c r="C174" s="9" t="s">
        <v>106</v>
      </c>
      <c r="D174" s="9" t="str">
        <f>VLOOKUP(IntComp[[#This Row],[DEVELOPMENT]],Data[],52,FALSE)</f>
        <v>FEDERAL</v>
      </c>
      <c r="E174" s="50">
        <f>VLOOKUP(IntComp[[#This Row],[DEVELOPMENT]],Data[],8,FALSE)</f>
        <v>0</v>
      </c>
      <c r="F174" s="50">
        <f>VLOOKUP(IntComp[[#This Row],[DEVELOPMENT]],all[[DEVELOPMENT]:[MRST Ext. Comp. Priority]],13,FALSE)</f>
        <v>3</v>
      </c>
      <c r="G174" s="50">
        <f>IF(VLOOKUP(IntComp[[#This Row],[DEVELOPMENT]],Data[],9,FALSE)=0,5,VLOOKUP(IntComp[[#This Row],[DEVELOPMENT]],Data[],9,FALSE))</f>
        <v>5</v>
      </c>
      <c r="H174" s="50">
        <f>VLOOKUP(IntComp[[#This Row],[DEVELOPMENT]],Data[],7,FALSE)</f>
        <v>299</v>
      </c>
      <c r="I174" s="50">
        <f>VLOOKUP(IntComp[[#This Row],[DEVELOPMENT]],Data[],5,FALSE)</f>
        <v>1</v>
      </c>
      <c r="J174" s="50"/>
      <c r="K174" s="50" t="str">
        <f ca="1">IFERROR(VLOOKUP(IntComp[[#This Row],[DEVELOPMENT]],Data[],4,FALSE),"")</f>
        <v/>
      </c>
      <c r="L174" s="50" t="str">
        <f ca="1">IF(IntComp[[#This Row],[RAD/PACT]]="","",IF(OR(IntComp[[#This Row],[RAD/PACT]]="2022-2025",IntComp[[#This Row],[RAD/PACT]]=2019,IntComp[[#This Row],[RAD/PACT]]="2020-2021"),"Yes",""))</f>
        <v/>
      </c>
      <c r="M174" s="51">
        <f ca="1">IF(VLOOKUP(IntComp[[#This Row],[DEVELOPMENT]],Data[],10,FALSE)=0,-1,DATEDIF(VLOOKUP(IntComp[[#This Row],[DEVELOPMENT]],Data[],12,FALSE),TODAY(),"Y"))</f>
        <v>16</v>
      </c>
      <c r="N17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74" s="51"/>
      <c r="P174" s="51"/>
      <c r="Q174" s="51"/>
      <c r="R174" s="47">
        <f ca="1">(IntComp[[#This Row],['# to Replace (MRST)]]*INDEX(UnitCosts[#All],MATCH(IntComp[[#This Row],[WORK TYPE]],UnitCosts[Work Type],0)+1,2))*(1+((IntComp[[#This Row],[est. Year]]-YEAR(TODAY()))*$R$2))</f>
        <v>76335.875</v>
      </c>
      <c r="S174" s="1">
        <f ca="1">SUM(INDEX(IntComp['# to Replace (MRST)],1):IntComp[[#This Row],['# to Replace (MRST)]])-272</f>
        <v>1059</v>
      </c>
      <c r="T174" s="51"/>
      <c r="U174" s="51">
        <f ca="1">IF(ISBLANK(IntComp[[#This Row],[CALENDAR YEAR]]),ROUNDDOWN(IntComp[[#This Row],[Count]]/190,0)+$U$1,IntComp[[#This Row],[CALENDAR YEAR]])</f>
        <v>2026</v>
      </c>
      <c r="V174" s="85">
        <f t="shared" ca="1" si="3"/>
        <v>7099236.375</v>
      </c>
      <c r="W174" s="71"/>
      <c r="X174"/>
    </row>
    <row r="175" spans="1:24">
      <c r="A175" s="1" t="s">
        <v>205</v>
      </c>
      <c r="B175" s="9" t="str">
        <f>VLOOKUP(A175,Data[],2,FALSE)</f>
        <v>BROOKLYN</v>
      </c>
      <c r="C175" s="9" t="s">
        <v>106</v>
      </c>
      <c r="D175" s="9" t="str">
        <f>VLOOKUP(IntComp[[#This Row],[DEVELOPMENT]],Data[],52,FALSE)</f>
        <v>FEDERAL</v>
      </c>
      <c r="E175" s="50">
        <f>VLOOKUP(IntComp[[#This Row],[DEVELOPMENT]],Data[],8,FALSE)</f>
        <v>0</v>
      </c>
      <c r="F175" s="50">
        <f>VLOOKUP(IntComp[[#This Row],[DEVELOPMENT]],all[[DEVELOPMENT]:[MRST Ext. Comp. Priority]],13,FALSE)</f>
        <v>3</v>
      </c>
      <c r="G175" s="50">
        <f>IF(VLOOKUP(IntComp[[#This Row],[DEVELOPMENT]],Data[],9,FALSE)=0,5,VLOOKUP(IntComp[[#This Row],[DEVELOPMENT]],Data[],9,FALSE))</f>
        <v>5</v>
      </c>
      <c r="H175" s="50">
        <f>VLOOKUP(IntComp[[#This Row],[DEVELOPMENT]],Data[],7,FALSE)</f>
        <v>439</v>
      </c>
      <c r="I175" s="50">
        <f>VLOOKUP(IntComp[[#This Row],[DEVELOPMENT]],Data[],5,FALSE)</f>
        <v>4</v>
      </c>
      <c r="J175" s="50"/>
      <c r="K175" s="50" t="str">
        <f ca="1">IFERROR(VLOOKUP(IntComp[[#This Row],[DEVELOPMENT]],Data[],4,FALSE),"")</f>
        <v/>
      </c>
      <c r="L175" s="50" t="str">
        <f ca="1">IF(IntComp[[#This Row],[RAD/PACT]]="","",IF(OR(IntComp[[#This Row],[RAD/PACT]]="2022-2025",IntComp[[#This Row],[RAD/PACT]]=2019,IntComp[[#This Row],[RAD/PACT]]="2020-2021"),"Yes",""))</f>
        <v/>
      </c>
      <c r="M175" s="51">
        <f ca="1">IF(VLOOKUP(IntComp[[#This Row],[DEVELOPMENT]],Data[],10,FALSE)=0,-1,DATEDIF(VLOOKUP(IntComp[[#This Row],[DEVELOPMENT]],Data[],12,FALSE),TODAY(),"Y"))</f>
        <v>16</v>
      </c>
      <c r="N17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</v>
      </c>
      <c r="O175" s="51"/>
      <c r="P175" s="51"/>
      <c r="Q175" s="51"/>
      <c r="R175" s="47">
        <f ca="1">(IntComp[[#This Row],['# to Replace (MRST)]]*INDEX(UnitCosts[#All],MATCH(IntComp[[#This Row],[WORK TYPE]],UnitCosts[Work Type],0)+1,2))*(1+((IntComp[[#This Row],[est. Year]]-YEAR(TODAY()))*$R$2))</f>
        <v>381679.375</v>
      </c>
      <c r="S175" s="1">
        <f ca="1">SUM(INDEX(IntComp['# to Replace (MRST)],1):IntComp[[#This Row],['# to Replace (MRST)]])-272</f>
        <v>1064</v>
      </c>
      <c r="T175" s="51"/>
      <c r="U175" s="51">
        <f ca="1">IF(ISBLANK(IntComp[[#This Row],[CALENDAR YEAR]]),ROUNDDOWN(IntComp[[#This Row],[Count]]/190,0)+$U$1,IntComp[[#This Row],[CALENDAR YEAR]])</f>
        <v>2026</v>
      </c>
      <c r="V175" s="85">
        <f t="shared" ca="1" si="3"/>
        <v>7480915.75</v>
      </c>
      <c r="W175" s="71"/>
      <c r="X175"/>
    </row>
    <row r="176" spans="1:24">
      <c r="A176" s="1" t="s">
        <v>267</v>
      </c>
      <c r="B176" s="9" t="str">
        <f>VLOOKUP(A176,Data[],2,FALSE)</f>
        <v>BRONX</v>
      </c>
      <c r="C176" s="9" t="s">
        <v>106</v>
      </c>
      <c r="D176" s="9" t="str">
        <f>VLOOKUP(IntComp[[#This Row],[DEVELOPMENT]],Data[],52,FALSE)</f>
        <v>FEDERAL</v>
      </c>
      <c r="E176" s="50">
        <f>VLOOKUP(IntComp[[#This Row],[DEVELOPMENT]],Data[],8,FALSE)</f>
        <v>0</v>
      </c>
      <c r="F176" s="50">
        <f>VLOOKUP(IntComp[[#This Row],[DEVELOPMENT]],all[[DEVELOPMENT]:[MRST Ext. Comp. Priority]],13,FALSE)</f>
        <v>3</v>
      </c>
      <c r="G176" s="50">
        <f>IF(VLOOKUP(IntComp[[#This Row],[DEVELOPMENT]],Data[],9,FALSE)=0,5,VLOOKUP(IntComp[[#This Row],[DEVELOPMENT]],Data[],9,FALSE))</f>
        <v>5</v>
      </c>
      <c r="H176" s="50">
        <f>VLOOKUP(IntComp[[#This Row],[DEVELOPMENT]],Data[],7,FALSE)</f>
        <v>1251</v>
      </c>
      <c r="I176" s="50">
        <f>VLOOKUP(IntComp[[#This Row],[DEVELOPMENT]],Data[],5,FALSE)</f>
        <v>9</v>
      </c>
      <c r="J176" s="50"/>
      <c r="K176" s="50" t="str">
        <f ca="1">IFERROR(VLOOKUP(IntComp[[#This Row],[DEVELOPMENT]],Data[],4,FALSE),"")</f>
        <v/>
      </c>
      <c r="L176" s="50" t="str">
        <f ca="1">IF(IntComp[[#This Row],[RAD/PACT]]="","",IF(OR(IntComp[[#This Row],[RAD/PACT]]="2022-2025",IntComp[[#This Row],[RAD/PACT]]=2019,IntComp[[#This Row],[RAD/PACT]]="2020-2021"),"Yes",""))</f>
        <v/>
      </c>
      <c r="M176" s="51">
        <f ca="1">IF(VLOOKUP(IntComp[[#This Row],[DEVELOPMENT]],Data[],10,FALSE)=0,-1,DATEDIF(VLOOKUP(IntComp[[#This Row],[DEVELOPMENT]],Data[],12,FALSE),TODAY(),"Y"))</f>
        <v>16</v>
      </c>
      <c r="N17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12</v>
      </c>
      <c r="O176" s="51"/>
      <c r="P176" s="51"/>
      <c r="Q176" s="51"/>
      <c r="R176" s="47">
        <f ca="1">(IntComp[[#This Row],['# to Replace (MRST)]]*INDEX(UnitCosts[#All],MATCH(IntComp[[#This Row],[WORK TYPE]],UnitCosts[Work Type],0)+1,2))*(1+((IntComp[[#This Row],[est. Year]]-YEAR(TODAY()))*$R$2))</f>
        <v>916030.5</v>
      </c>
      <c r="S176" s="1">
        <f ca="1">SUM(INDEX(IntComp['# to Replace (MRST)],1):IntComp[[#This Row],['# to Replace (MRST)]])-272</f>
        <v>1076</v>
      </c>
      <c r="T176" s="51"/>
      <c r="U176" s="51">
        <f ca="1">IF(ISBLANK(IntComp[[#This Row],[CALENDAR YEAR]]),ROUNDDOWN(IntComp[[#This Row],[Count]]/190,0)+$U$1,IntComp[[#This Row],[CALENDAR YEAR]])</f>
        <v>2026</v>
      </c>
      <c r="V176" s="85">
        <f t="shared" ca="1" si="3"/>
        <v>8396946.25</v>
      </c>
      <c r="W176" s="71"/>
      <c r="X176"/>
    </row>
    <row r="177" spans="1:24">
      <c r="A177" s="1" t="s">
        <v>255</v>
      </c>
      <c r="B177" s="9" t="str">
        <f>VLOOKUP(A177,Data[],2,FALSE)</f>
        <v>STATEN ISLAND</v>
      </c>
      <c r="C177" s="9" t="s">
        <v>106</v>
      </c>
      <c r="D177" s="9" t="str">
        <f>VLOOKUP(IntComp[[#This Row],[DEVELOPMENT]],Data[],52,FALSE)</f>
        <v>FEDERAL</v>
      </c>
      <c r="E177" s="50">
        <f>VLOOKUP(IntComp[[#This Row],[DEVELOPMENT]],Data[],8,FALSE)</f>
        <v>0</v>
      </c>
      <c r="F177" s="50">
        <f>VLOOKUP(IntComp[[#This Row],[DEVELOPMENT]],all[[DEVELOPMENT]:[MRST Ext. Comp. Priority]],13,FALSE)</f>
        <v>3</v>
      </c>
      <c r="G177" s="50">
        <f>IF(VLOOKUP(IntComp[[#This Row],[DEVELOPMENT]],Data[],9,FALSE)=0,5,VLOOKUP(IntComp[[#This Row],[DEVELOPMENT]],Data[],9,FALSE))</f>
        <v>5</v>
      </c>
      <c r="H177" s="50">
        <f>VLOOKUP(IntComp[[#This Row],[DEVELOPMENT]],Data[],7,FALSE)</f>
        <v>421</v>
      </c>
      <c r="I177" s="50">
        <f>VLOOKUP(IntComp[[#This Row],[DEVELOPMENT]],Data[],5,FALSE)</f>
        <v>8</v>
      </c>
      <c r="J177" s="50"/>
      <c r="K177" s="50" t="str">
        <f ca="1">IFERROR(VLOOKUP(IntComp[[#This Row],[DEVELOPMENT]],Data[],4,FALSE),"")</f>
        <v/>
      </c>
      <c r="L177" s="50" t="str">
        <f ca="1">IF(IntComp[[#This Row],[RAD/PACT]]="","",IF(OR(IntComp[[#This Row],[RAD/PACT]]="2022-2025",IntComp[[#This Row],[RAD/PACT]]=2019,IntComp[[#This Row],[RAD/PACT]]="2020-2021"),"Yes",""))</f>
        <v/>
      </c>
      <c r="M177" s="51">
        <f ca="1">IF(VLOOKUP(IntComp[[#This Row],[DEVELOPMENT]],Data[],10,FALSE)=0,-1,DATEDIF(VLOOKUP(IntComp[[#This Row],[DEVELOPMENT]],Data[],12,FALSE),TODAY(),"Y"))</f>
        <v>15</v>
      </c>
      <c r="N17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15</v>
      </c>
      <c r="O177" s="51"/>
      <c r="P177" s="51"/>
      <c r="Q177" s="51"/>
      <c r="R177" s="47">
        <f ca="1">(IntComp[[#This Row],['# to Replace (MRST)]]*INDEX(UnitCosts[#All],MATCH(IntComp[[#This Row],[WORK TYPE]],UnitCosts[Work Type],0)+1,2))*(1+((IntComp[[#This Row],[est. Year]]-YEAR(TODAY()))*$R$2))</f>
        <v>1145038.125</v>
      </c>
      <c r="S177" s="1">
        <f ca="1">SUM(INDEX(IntComp['# to Replace (MRST)],1):IntComp[[#This Row],['# to Replace (MRST)]])-272</f>
        <v>1091</v>
      </c>
      <c r="T177" s="51"/>
      <c r="U177" s="51">
        <f ca="1">IF(ISBLANK(IntComp[[#This Row],[CALENDAR YEAR]]),ROUNDDOWN(IntComp[[#This Row],[Count]]/190,0)+$U$1,IntComp[[#This Row],[CALENDAR YEAR]])</f>
        <v>2026</v>
      </c>
      <c r="V177" s="85">
        <f t="shared" ca="1" si="3"/>
        <v>9541984.375</v>
      </c>
      <c r="W177" s="71"/>
      <c r="X177"/>
    </row>
    <row r="178" spans="1:24">
      <c r="A178" s="1" t="s">
        <v>254</v>
      </c>
      <c r="B178" s="9" t="str">
        <f>VLOOKUP(A178,Data[],2,FALSE)</f>
        <v>BROOKLYN</v>
      </c>
      <c r="C178" s="9" t="s">
        <v>106</v>
      </c>
      <c r="D178" s="9" t="str">
        <f>VLOOKUP(IntComp[[#This Row],[DEVELOPMENT]],Data[],52,FALSE)</f>
        <v>FEDERAL</v>
      </c>
      <c r="E178" s="50">
        <f>VLOOKUP(IntComp[[#This Row],[DEVELOPMENT]],Data[],8,FALSE)</f>
        <v>0</v>
      </c>
      <c r="F178" s="50">
        <f>VLOOKUP(IntComp[[#This Row],[DEVELOPMENT]],all[[DEVELOPMENT]:[MRST Ext. Comp. Priority]],13,FALSE)</f>
        <v>3</v>
      </c>
      <c r="G178" s="50">
        <f>IF(VLOOKUP(IntComp[[#This Row],[DEVELOPMENT]],Data[],9,FALSE)=0,5,VLOOKUP(IntComp[[#This Row],[DEVELOPMENT]],Data[],9,FALSE))</f>
        <v>5</v>
      </c>
      <c r="H178" s="50">
        <f>VLOOKUP(IntComp[[#This Row],[DEVELOPMENT]],Data[],7,FALSE)</f>
        <v>125</v>
      </c>
      <c r="I178" s="50">
        <f>VLOOKUP(IntComp[[#This Row],[DEVELOPMENT]],Data[],5,FALSE)</f>
        <v>1</v>
      </c>
      <c r="J178" s="50"/>
      <c r="K178" s="50" t="str">
        <f ca="1">IFERROR(VLOOKUP(IntComp[[#This Row],[DEVELOPMENT]],Data[],4,FALSE),"")</f>
        <v/>
      </c>
      <c r="L178" s="50" t="str">
        <f ca="1">IF(IntComp[[#This Row],[RAD/PACT]]="","",IF(OR(IntComp[[#This Row],[RAD/PACT]]="2022-2025",IntComp[[#This Row],[RAD/PACT]]=2019,IntComp[[#This Row],[RAD/PACT]]="2020-2021"),"Yes",""))</f>
        <v/>
      </c>
      <c r="M178" s="51">
        <f ca="1">IF(VLOOKUP(IntComp[[#This Row],[DEVELOPMENT]],Data[],10,FALSE)=0,-1,DATEDIF(VLOOKUP(IntComp[[#This Row],[DEVELOPMENT]],Data[],12,FALSE),TODAY(),"Y"))</f>
        <v>13</v>
      </c>
      <c r="N17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78" s="51"/>
      <c r="P178" s="51"/>
      <c r="Q178" s="51"/>
      <c r="R178" s="47">
        <f ca="1">(IntComp[[#This Row],['# to Replace (MRST)]]*INDEX(UnitCosts[#All],MATCH(IntComp[[#This Row],[WORK TYPE]],UnitCosts[Work Type],0)+1,2))*(1+((IntComp[[#This Row],[est. Year]]-YEAR(TODAY()))*$R$2))</f>
        <v>76335.875</v>
      </c>
      <c r="S178" s="1">
        <f ca="1">SUM(INDEX(IntComp['# to Replace (MRST)],1):IntComp[[#This Row],['# to Replace (MRST)]])-272</f>
        <v>1092</v>
      </c>
      <c r="T178" s="51"/>
      <c r="U178" s="51">
        <f ca="1">IF(ISBLANK(IntComp[[#This Row],[CALENDAR YEAR]]),ROUNDDOWN(IntComp[[#This Row],[Count]]/190,0)+$U$1,IntComp[[#This Row],[CALENDAR YEAR]])</f>
        <v>2026</v>
      </c>
      <c r="V178" s="85">
        <f t="shared" ca="1" si="3"/>
        <v>9618320.25</v>
      </c>
      <c r="W178" s="71"/>
      <c r="X178"/>
    </row>
    <row r="179" spans="1:24" hidden="1">
      <c r="A179" s="193" t="s">
        <v>262</v>
      </c>
      <c r="B179" s="95" t="str">
        <f>VLOOKUP(A179,Data[],2,FALSE)</f>
        <v>MANHATTAN</v>
      </c>
      <c r="C179" s="95" t="s">
        <v>106</v>
      </c>
      <c r="D179" s="95" t="str">
        <f>VLOOKUP(IntComp[[#This Row],[DEVELOPMENT]],Data[],52,FALSE)</f>
        <v>MIXED FINANCE/LLC1</v>
      </c>
      <c r="E179" s="204">
        <f>VLOOKUP(IntComp[[#This Row],[DEVELOPMENT]],Data[],8,FALSE)</f>
        <v>0</v>
      </c>
      <c r="F179" s="204">
        <f>VLOOKUP(IntComp[[#This Row],[DEVELOPMENT]],all[[DEVELOPMENT]:[MRST Ext. Comp. Priority]],13,FALSE)</f>
        <v>3</v>
      </c>
      <c r="G179" s="204">
        <f>IF(VLOOKUP(IntComp[[#This Row],[DEVELOPMENT]],Data[],9,FALSE)=0,5,VLOOKUP(IntComp[[#This Row],[DEVELOPMENT]],Data[],9,FALSE))</f>
        <v>5</v>
      </c>
      <c r="H179" s="204">
        <f>VLOOKUP(IntComp[[#This Row],[DEVELOPMENT]],Data[],7,FALSE)</f>
        <v>175</v>
      </c>
      <c r="I179" s="204">
        <f>VLOOKUP(IntComp[[#This Row],[DEVELOPMENT]],Data[],5,FALSE)</f>
        <v>1</v>
      </c>
      <c r="J179" s="204"/>
      <c r="K179" s="204" t="str">
        <f ca="1">IFERROR(VLOOKUP(IntComp[[#This Row],[DEVELOPMENT]],Data[],4,FALSE),"")</f>
        <v/>
      </c>
      <c r="L179" s="204" t="str">
        <f ca="1">IF(IntComp[[#This Row],[RAD/PACT]]="","",IF(OR(IntComp[[#This Row],[RAD/PACT]]="2022-2025",IntComp[[#This Row],[RAD/PACT]]=2019,IntComp[[#This Row],[RAD/PACT]]="2020-2021"),"Yes",""))</f>
        <v/>
      </c>
      <c r="M179" s="205">
        <f ca="1">IF(VLOOKUP(IntComp[[#This Row],[DEVELOPMENT]],Data[],10,FALSE)=0,-1,DATEDIF(VLOOKUP(IntComp[[#This Row],[DEVELOPMENT]],Data[],12,FALSE),TODAY(),"Y"))</f>
        <v>20</v>
      </c>
      <c r="N179" s="205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79" s="205"/>
      <c r="P179" s="205"/>
      <c r="Q179" s="205"/>
      <c r="R179" s="206">
        <f ca="1">(IntComp[[#This Row],['# to Replace (MRST)]]*INDEX(UnitCosts[#All],MATCH(IntComp[[#This Row],[WORK TYPE]],UnitCosts[Work Type],0)+1,2))*(1+((IntComp[[#This Row],[est. Year]]-YEAR(TODAY()))*$R$2))</f>
        <v>0</v>
      </c>
      <c r="S179" s="94">
        <f ca="1">SUM(INDEX(IntComp['# to Replace (MRST)],1):IntComp[[#This Row],['# to Replace (MRST)]])-272</f>
        <v>1092</v>
      </c>
      <c r="T179" s="205"/>
      <c r="U179" s="205">
        <f ca="1">IF(ISBLANK(IntComp[[#This Row],[CALENDAR YEAR]]),ROUNDDOWN(IntComp[[#This Row],[Count]]/190,0)+$U$1,IntComp[[#This Row],[CALENDAR YEAR]])</f>
        <v>2026</v>
      </c>
      <c r="V179" s="207">
        <f t="shared" ca="1" si="3"/>
        <v>9618320.25</v>
      </c>
      <c r="W179" s="106"/>
      <c r="X179"/>
    </row>
    <row r="180" spans="1:24" hidden="1">
      <c r="A180" s="48" t="s">
        <v>193</v>
      </c>
      <c r="B180" s="24" t="str">
        <f>VLOOKUP(A180,Data[],2,FALSE)</f>
        <v>BROOKLYN</v>
      </c>
      <c r="C180" s="24" t="s">
        <v>106</v>
      </c>
      <c r="D180" s="24" t="str">
        <f>VLOOKUP(IntComp[[#This Row],[DEVELOPMENT]],Data[],52,FALSE)</f>
        <v>MIXED FINANCE/LLC1</v>
      </c>
      <c r="E180" s="52">
        <f>VLOOKUP(IntComp[[#This Row],[DEVELOPMENT]],Data[],8,FALSE)</f>
        <v>0</v>
      </c>
      <c r="F180" s="52">
        <f>VLOOKUP(IntComp[[#This Row],[DEVELOPMENT]],all[[DEVELOPMENT]:[MRST Ext. Comp. Priority]],13,FALSE)</f>
        <v>3</v>
      </c>
      <c r="G180" s="52">
        <f>IF(VLOOKUP(IntComp[[#This Row],[DEVELOPMENT]],Data[],9,FALSE)=0,5,VLOOKUP(IntComp[[#This Row],[DEVELOPMENT]],Data[],9,FALSE))</f>
        <v>5</v>
      </c>
      <c r="H180" s="52">
        <f>VLOOKUP(IntComp[[#This Row],[DEVELOPMENT]],Data[],7,FALSE)</f>
        <v>1764</v>
      </c>
      <c r="I180" s="52">
        <f>VLOOKUP(IntComp[[#This Row],[DEVELOPMENT]],Data[],5,FALSE)</f>
        <v>28</v>
      </c>
      <c r="J180" s="52"/>
      <c r="K180" s="52" t="str">
        <f ca="1">IFERROR(VLOOKUP(IntComp[[#This Row],[DEVELOPMENT]],Data[],4,FALSE),"")</f>
        <v>2026+</v>
      </c>
      <c r="L180" s="52" t="str">
        <f ca="1">IF(IntComp[[#This Row],[RAD/PACT]]="","",IF(OR(IntComp[[#This Row],[RAD/PACT]]="2022-2025",IntComp[[#This Row],[RAD/PACT]]=2019,IntComp[[#This Row],[RAD/PACT]]="2020-2021"),"Yes",""))</f>
        <v/>
      </c>
      <c r="M180" s="62">
        <f ca="1">IF(VLOOKUP(IntComp[[#This Row],[DEVELOPMENT]],Data[],10,FALSE)=0,-1,DATEDIF(VLOOKUP(IntComp[[#This Row],[DEVELOPMENT]],Data[],12,FALSE),TODAY(),"Y"))</f>
        <v>19</v>
      </c>
      <c r="N180" s="62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80" s="62"/>
      <c r="P180" s="62"/>
      <c r="Q180" s="62"/>
      <c r="R180" s="53">
        <f ca="1">(IntComp[[#This Row],['# to Replace (MRST)]]*INDEX(UnitCosts[#All],MATCH(IntComp[[#This Row],[WORK TYPE]],UnitCosts[Work Type],0)+1,2))*(1+((IntComp[[#This Row],[est. Year]]-YEAR(TODAY()))*$R$2))</f>
        <v>0</v>
      </c>
      <c r="S180" s="36">
        <f ca="1">SUM(INDEX(IntComp['# to Replace (MRST)],1):IntComp[[#This Row],['# to Replace (MRST)]])-272</f>
        <v>1092</v>
      </c>
      <c r="T180" s="62"/>
      <c r="U180" s="62">
        <f ca="1">IF(ISBLANK(IntComp[[#This Row],[CALENDAR YEAR]]),ROUNDDOWN(IntComp[[#This Row],[Count]]/190,0)+$U$1,IntComp[[#This Row],[CALENDAR YEAR]])</f>
        <v>2026</v>
      </c>
      <c r="V180" s="141">
        <f t="shared" ca="1" si="3"/>
        <v>9618320.25</v>
      </c>
      <c r="W180" s="106"/>
      <c r="X180"/>
    </row>
    <row r="181" spans="1:24">
      <c r="A181" s="1" t="s">
        <v>313</v>
      </c>
      <c r="B181" s="9" t="str">
        <f>VLOOKUP(A181,Data[],2,FALSE)</f>
        <v>QUEENS</v>
      </c>
      <c r="C181" s="9" t="s">
        <v>106</v>
      </c>
      <c r="D181" s="9" t="str">
        <f>VLOOKUP(IntComp[[#This Row],[DEVELOPMENT]],Data[],52,FALSE)</f>
        <v>FEDERAL</v>
      </c>
      <c r="E181" s="50">
        <f>VLOOKUP(IntComp[[#This Row],[DEVELOPMENT]],Data[],8,FALSE)</f>
        <v>0</v>
      </c>
      <c r="F181" s="50">
        <f>VLOOKUP(IntComp[[#This Row],[DEVELOPMENT]],all[[DEVELOPMENT]:[MRST Ext. Comp. Priority]],13,FALSE)</f>
        <v>3</v>
      </c>
      <c r="G181" s="50">
        <f>IF(VLOOKUP(IntComp[[#This Row],[DEVELOPMENT]],Data[],9,FALSE)=0,5,VLOOKUP(IntComp[[#This Row],[DEVELOPMENT]],Data[],9,FALSE))</f>
        <v>5</v>
      </c>
      <c r="H181" s="50">
        <f>VLOOKUP(IntComp[[#This Row],[DEVELOPMENT]],Data[],7,FALSE)</f>
        <v>214</v>
      </c>
      <c r="I181" s="50">
        <f>VLOOKUP(IntComp[[#This Row],[DEVELOPMENT]],Data[],5,FALSE)</f>
        <v>1</v>
      </c>
      <c r="J181" s="50"/>
      <c r="K181" s="50" t="str">
        <f ca="1">IFERROR(VLOOKUP(IntComp[[#This Row],[DEVELOPMENT]],Data[],4,FALSE),"")</f>
        <v/>
      </c>
      <c r="L181" s="50" t="str">
        <f ca="1">IF(IntComp[[#This Row],[RAD/PACT]]="","",IF(OR(IntComp[[#This Row],[RAD/PACT]]="2022-2025",IntComp[[#This Row],[RAD/PACT]]=2019,IntComp[[#This Row],[RAD/PACT]]="2020-2021"),"Yes",""))</f>
        <v/>
      </c>
      <c r="M181" s="51">
        <f ca="1">IF(VLOOKUP(IntComp[[#This Row],[DEVELOPMENT]],Data[],10,FALSE)=0,-1,DATEDIF(VLOOKUP(IntComp[[#This Row],[DEVELOPMENT]],Data[],12,FALSE),TODAY(),"Y"))</f>
        <v>13</v>
      </c>
      <c r="N18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81" s="51"/>
      <c r="P181" s="51"/>
      <c r="Q181" s="51"/>
      <c r="R181" s="47">
        <f ca="1">(IntComp[[#This Row],['# to Replace (MRST)]]*INDEX(UnitCosts[#All],MATCH(IntComp[[#This Row],[WORK TYPE]],UnitCosts[Work Type],0)+1,2))*(1+((IntComp[[#This Row],[est. Year]]-YEAR(TODAY()))*$R$2))</f>
        <v>76335.875</v>
      </c>
      <c r="S181" s="1">
        <f ca="1">SUM(INDEX(IntComp['# to Replace (MRST)],1):IntComp[[#This Row],['# to Replace (MRST)]])-272</f>
        <v>1093</v>
      </c>
      <c r="T181" s="51"/>
      <c r="U181" s="51">
        <f ca="1">IF(ISBLANK(IntComp[[#This Row],[CALENDAR YEAR]]),ROUNDDOWN(IntComp[[#This Row],[Count]]/190,0)+$U$1,IntComp[[#This Row],[CALENDAR YEAR]])</f>
        <v>2026</v>
      </c>
      <c r="V181" s="85">
        <f t="shared" ca="1" si="3"/>
        <v>9694656.125</v>
      </c>
      <c r="W181" s="71"/>
      <c r="X181"/>
    </row>
    <row r="182" spans="1:24">
      <c r="A182" s="1" t="s">
        <v>218</v>
      </c>
      <c r="B182" s="9" t="str">
        <f>VLOOKUP(A182,Data[],2,FALSE)</f>
        <v>BROOKLYN</v>
      </c>
      <c r="C182" s="9" t="s">
        <v>106</v>
      </c>
      <c r="D182" s="9" t="str">
        <f>VLOOKUP(IntComp[[#This Row],[DEVELOPMENT]],Data[],52,FALSE)</f>
        <v>FEDERAL</v>
      </c>
      <c r="E182" s="50">
        <f>VLOOKUP(IntComp[[#This Row],[DEVELOPMENT]],Data[],8,FALSE)</f>
        <v>0</v>
      </c>
      <c r="F182" s="50">
        <f>VLOOKUP(IntComp[[#This Row],[DEVELOPMENT]],all[[DEVELOPMENT]:[MRST Ext. Comp. Priority]],13,FALSE)</f>
        <v>3</v>
      </c>
      <c r="G182" s="50">
        <f>IF(VLOOKUP(IntComp[[#This Row],[DEVELOPMENT]],Data[],9,FALSE)=0,5,VLOOKUP(IntComp[[#This Row],[DEVELOPMENT]],Data[],9,FALSE))</f>
        <v>5</v>
      </c>
      <c r="H182" s="50">
        <f>VLOOKUP(IntComp[[#This Row],[DEVELOPMENT]],Data[],7,FALSE)</f>
        <v>167</v>
      </c>
      <c r="I182" s="50">
        <f>VLOOKUP(IntComp[[#This Row],[DEVELOPMENT]],Data[],5,FALSE)</f>
        <v>3</v>
      </c>
      <c r="J182" s="50"/>
      <c r="K182" s="50" t="str">
        <f ca="1">IFERROR(VLOOKUP(IntComp[[#This Row],[DEVELOPMENT]],Data[],4,FALSE),"")</f>
        <v>2026+</v>
      </c>
      <c r="L182" s="50" t="str">
        <f ca="1">IF(IntComp[[#This Row],[RAD/PACT]]="","",IF(OR(IntComp[[#This Row],[RAD/PACT]]="2022-2025",IntComp[[#This Row],[RAD/PACT]]=2019,IntComp[[#This Row],[RAD/PACT]]="2020-2021"),"Yes",""))</f>
        <v/>
      </c>
      <c r="M182" s="51">
        <f ca="1">IF(VLOOKUP(IntComp[[#This Row],[DEVELOPMENT]],Data[],10,FALSE)=0,-1,DATEDIF(VLOOKUP(IntComp[[#This Row],[DEVELOPMENT]],Data[],12,FALSE),TODAY(),"Y"))</f>
        <v>12</v>
      </c>
      <c r="N18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</v>
      </c>
      <c r="O182" s="51"/>
      <c r="P182" s="51"/>
      <c r="Q182" s="51"/>
      <c r="R182" s="47">
        <f ca="1">(IntComp[[#This Row],['# to Replace (MRST)]]*INDEX(UnitCosts[#All],MATCH(IntComp[[#This Row],[WORK TYPE]],UnitCosts[Work Type],0)+1,2))*(1+((IntComp[[#This Row],[est. Year]]-YEAR(TODAY()))*$R$2))</f>
        <v>305343.5</v>
      </c>
      <c r="S182" s="1">
        <f ca="1">SUM(INDEX(IntComp['# to Replace (MRST)],1):IntComp[[#This Row],['# to Replace (MRST)]])-272</f>
        <v>1097</v>
      </c>
      <c r="T182" s="51"/>
      <c r="U182" s="51">
        <f ca="1">IF(ISBLANK(IntComp[[#This Row],[CALENDAR YEAR]]),ROUNDDOWN(IntComp[[#This Row],[Count]]/190,0)+$U$1,IntComp[[#This Row],[CALENDAR YEAR]])</f>
        <v>2026</v>
      </c>
      <c r="V182" s="85">
        <f t="shared" ca="1" si="3"/>
        <v>9999999.625</v>
      </c>
      <c r="W182" s="71"/>
      <c r="X182"/>
    </row>
    <row r="183" spans="1:24">
      <c r="A183" s="1" t="s">
        <v>219</v>
      </c>
      <c r="B183" s="9" t="str">
        <f>VLOOKUP(A183,Data[],2,FALSE)</f>
        <v>BROOKLYN</v>
      </c>
      <c r="C183" s="9" t="s">
        <v>106</v>
      </c>
      <c r="D183" s="9" t="str">
        <f>VLOOKUP(IntComp[[#This Row],[DEVELOPMENT]],Data[],52,FALSE)</f>
        <v>FEDERAL</v>
      </c>
      <c r="E183" s="50">
        <f>VLOOKUP(IntComp[[#This Row],[DEVELOPMENT]],Data[],8,FALSE)</f>
        <v>0</v>
      </c>
      <c r="F183" s="50">
        <f>VLOOKUP(IntComp[[#This Row],[DEVELOPMENT]],all[[DEVELOPMENT]:[MRST Ext. Comp. Priority]],13,FALSE)</f>
        <v>3</v>
      </c>
      <c r="G183" s="50">
        <f>IF(VLOOKUP(IntComp[[#This Row],[DEVELOPMENT]],Data[],9,FALSE)=0,5,VLOOKUP(IntComp[[#This Row],[DEVELOPMENT]],Data[],9,FALSE))</f>
        <v>5</v>
      </c>
      <c r="H183" s="50">
        <f>VLOOKUP(IntComp[[#This Row],[DEVELOPMENT]],Data[],7,FALSE)</f>
        <v>460</v>
      </c>
      <c r="I183" s="50">
        <f>VLOOKUP(IntComp[[#This Row],[DEVELOPMENT]],Data[],5,FALSE)</f>
        <v>5</v>
      </c>
      <c r="J183" s="50"/>
      <c r="K183" s="50" t="str">
        <f ca="1">IFERROR(VLOOKUP(IntComp[[#This Row],[DEVELOPMENT]],Data[],4,FALSE),"")</f>
        <v>2026+</v>
      </c>
      <c r="L183" s="50" t="str">
        <f ca="1">IF(IntComp[[#This Row],[RAD/PACT]]="","",IF(OR(IntComp[[#This Row],[RAD/PACT]]="2022-2025",IntComp[[#This Row],[RAD/PACT]]=2019,IntComp[[#This Row],[RAD/PACT]]="2020-2021"),"Yes",""))</f>
        <v/>
      </c>
      <c r="M183" s="51">
        <f ca="1">IF(VLOOKUP(IntComp[[#This Row],[DEVELOPMENT]],Data[],10,FALSE)=0,-1,DATEDIF(VLOOKUP(IntComp[[#This Row],[DEVELOPMENT]],Data[],12,FALSE),TODAY(),"Y"))</f>
        <v>12</v>
      </c>
      <c r="N18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13</v>
      </c>
      <c r="O183" s="51"/>
      <c r="P183" s="51"/>
      <c r="Q183" s="51"/>
      <c r="R183" s="47">
        <f ca="1">(IntComp[[#This Row],['# to Replace (MRST)]]*INDEX(UnitCosts[#All],MATCH(IntComp[[#This Row],[WORK TYPE]],UnitCosts[Work Type],0)+1,2))*(1+((IntComp[[#This Row],[est. Year]]-YEAR(TODAY()))*$R$2))</f>
        <v>992366.375</v>
      </c>
      <c r="S183" s="1">
        <f ca="1">SUM(INDEX(IntComp['# to Replace (MRST)],1):IntComp[[#This Row],['# to Replace (MRST)]])-272</f>
        <v>1110</v>
      </c>
      <c r="T183" s="51"/>
      <c r="U183" s="51">
        <f ca="1">IF(ISBLANK(IntComp[[#This Row],[CALENDAR YEAR]]),ROUNDDOWN(IntComp[[#This Row],[Count]]/190,0)+$U$1,IntComp[[#This Row],[CALENDAR YEAR]])</f>
        <v>2026</v>
      </c>
      <c r="V183" s="85">
        <f t="shared" ca="1" si="3"/>
        <v>10992366</v>
      </c>
      <c r="W183" s="71"/>
      <c r="X183"/>
    </row>
    <row r="184" spans="1:24">
      <c r="A184" s="1" t="s">
        <v>146</v>
      </c>
      <c r="B184" s="9" t="str">
        <f>VLOOKUP(A184,Data[],2,FALSE)</f>
        <v>MANHATTAN</v>
      </c>
      <c r="C184" s="9" t="s">
        <v>106</v>
      </c>
      <c r="D184" s="9" t="str">
        <f>VLOOKUP(IntComp[[#This Row],[DEVELOPMENT]],Data[],52,FALSE)</f>
        <v>FEDERAL</v>
      </c>
      <c r="E184" s="50">
        <f>VLOOKUP(IntComp[[#This Row],[DEVELOPMENT]],Data[],8,FALSE)</f>
        <v>0</v>
      </c>
      <c r="F184" s="50">
        <f>VLOOKUP(IntComp[[#This Row],[DEVELOPMENT]],all[[DEVELOPMENT]:[MRST Ext. Comp. Priority]],13,FALSE)</f>
        <v>3</v>
      </c>
      <c r="G184" s="50">
        <f>IF(VLOOKUP(IntComp[[#This Row],[DEVELOPMENT]],Data[],9,FALSE)=0,5,VLOOKUP(IntComp[[#This Row],[DEVELOPMENT]],Data[],9,FALSE))</f>
        <v>5</v>
      </c>
      <c r="H184" s="50">
        <f>VLOOKUP(IntComp[[#This Row],[DEVELOPMENT]],Data[],7,FALSE)</f>
        <v>617</v>
      </c>
      <c r="I184" s="50">
        <f>VLOOKUP(IntComp[[#This Row],[DEVELOPMENT]],Data[],5,FALSE)</f>
        <v>4</v>
      </c>
      <c r="J184" s="50"/>
      <c r="K184" s="50" t="str">
        <f ca="1">IFERROR(VLOOKUP(IntComp[[#This Row],[DEVELOPMENT]],Data[],4,FALSE),"")</f>
        <v/>
      </c>
      <c r="L184" s="50" t="str">
        <f ca="1">IF(IntComp[[#This Row],[RAD/PACT]]="","",IF(OR(IntComp[[#This Row],[RAD/PACT]]="2022-2025",IntComp[[#This Row],[RAD/PACT]]=2019,IntComp[[#This Row],[RAD/PACT]]="2020-2021"),"Yes",""))</f>
        <v/>
      </c>
      <c r="M184" s="51">
        <f ca="1">IF(VLOOKUP(IntComp[[#This Row],[DEVELOPMENT]],Data[],10,FALSE)=0,-1,DATEDIF(VLOOKUP(IntComp[[#This Row],[DEVELOPMENT]],Data[],12,FALSE),TODAY(),"Y"))</f>
        <v>10</v>
      </c>
      <c r="N18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</v>
      </c>
      <c r="O184" s="51"/>
      <c r="P184" s="51"/>
      <c r="Q184" s="51"/>
      <c r="R184" s="47">
        <f ca="1">(IntComp[[#This Row],['# to Replace (MRST)]]*INDEX(UnitCosts[#All],MATCH(IntComp[[#This Row],[WORK TYPE]],UnitCosts[Work Type],0)+1,2))*(1+((IntComp[[#This Row],[est. Year]]-YEAR(TODAY()))*$R$2))</f>
        <v>305343.5</v>
      </c>
      <c r="S184" s="1">
        <f ca="1">SUM(INDEX(IntComp['# to Replace (MRST)],1):IntComp[[#This Row],['# to Replace (MRST)]])-272</f>
        <v>1114</v>
      </c>
      <c r="T184" s="51"/>
      <c r="U184" s="51">
        <f ca="1">IF(ISBLANK(IntComp[[#This Row],[CALENDAR YEAR]]),ROUNDDOWN(IntComp[[#This Row],[Count]]/190,0)+$U$1,IntComp[[#This Row],[CALENDAR YEAR]])</f>
        <v>2026</v>
      </c>
      <c r="V184" s="85">
        <f t="shared" ca="1" si="3"/>
        <v>11297709.5</v>
      </c>
      <c r="W184" s="71"/>
      <c r="X184"/>
    </row>
    <row r="185" spans="1:24">
      <c r="A185" s="1" t="s">
        <v>188</v>
      </c>
      <c r="B185" s="9" t="str">
        <f>VLOOKUP(A185,Data[],2,FALSE)</f>
        <v>BROOKLYN</v>
      </c>
      <c r="C185" s="9" t="s">
        <v>106</v>
      </c>
      <c r="D185" s="9" t="str">
        <f>VLOOKUP(IntComp[[#This Row],[DEVELOPMENT]],Data[],52,FALSE)</f>
        <v>FEDERAL</v>
      </c>
      <c r="E185" s="50">
        <f>VLOOKUP(IntComp[[#This Row],[DEVELOPMENT]],Data[],8,FALSE)</f>
        <v>0</v>
      </c>
      <c r="F185" s="50" t="str">
        <f>VLOOKUP(IntComp[[#This Row],[DEVELOPMENT]],all[[DEVELOPMENT]:[MRST Ext. Comp. Priority]],13,FALSE)</f>
        <v>None</v>
      </c>
      <c r="G185" s="50">
        <f>IF(VLOOKUP(IntComp[[#This Row],[DEVELOPMENT]],Data[],9,FALSE)=0,5,VLOOKUP(IntComp[[#This Row],[DEVELOPMENT]],Data[],9,FALSE))</f>
        <v>5</v>
      </c>
      <c r="H185" s="50">
        <f>VLOOKUP(IntComp[[#This Row],[DEVELOPMENT]],Data[],7,FALSE)</f>
        <v>1592</v>
      </c>
      <c r="I185" s="50">
        <f>VLOOKUP(IntComp[[#This Row],[DEVELOPMENT]],Data[],5,FALSE)</f>
        <v>30</v>
      </c>
      <c r="J185" s="50"/>
      <c r="K185" s="50" t="str">
        <f ca="1">IFERROR(VLOOKUP(IntComp[[#This Row],[DEVELOPMENT]],Data[],4,FALSE),"")</f>
        <v>2020-2021</v>
      </c>
      <c r="L185" s="50" t="str">
        <f ca="1">IF(IntComp[[#This Row],[RAD/PACT]]="","",IF(OR(IntComp[[#This Row],[RAD/PACT]]="2022-2025",IntComp[[#This Row],[RAD/PACT]]=2019,IntComp[[#This Row],[RAD/PACT]]="2020-2021"),"Yes",""))</f>
        <v>Yes</v>
      </c>
      <c r="M185" s="51">
        <f ca="1">IF(VLOOKUP(IntComp[[#This Row],[DEVELOPMENT]],Data[],10,FALSE)=0,-1,DATEDIF(VLOOKUP(IntComp[[#This Row],[DEVELOPMENT]],Data[],12,FALSE),TODAY(),"Y"))</f>
        <v>16</v>
      </c>
      <c r="N18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85" s="51"/>
      <c r="P185" s="51"/>
      <c r="Q185" s="51"/>
      <c r="R185" s="47">
        <f ca="1">(IntComp[[#This Row],['# to Replace (MRST)]]*INDEX(UnitCosts[#All],MATCH(IntComp[[#This Row],[WORK TYPE]],UnitCosts[Work Type],0)+1,2))*(1+((IntComp[[#This Row],[est. Year]]-YEAR(TODAY()))*$R$2))</f>
        <v>0</v>
      </c>
      <c r="S185" s="1">
        <f ca="1">SUM(INDEX(IntComp['# to Replace (MRST)],1):IntComp[[#This Row],['# to Replace (MRST)]])-272</f>
        <v>1114</v>
      </c>
      <c r="T185" s="51"/>
      <c r="U185" s="51">
        <f ca="1">IF(ISBLANK(IntComp[[#This Row],[CALENDAR YEAR]]),ROUNDDOWN(IntComp[[#This Row],[Count]]/190,0)+$U$1,IntComp[[#This Row],[CALENDAR YEAR]])</f>
        <v>2026</v>
      </c>
      <c r="V185" s="85">
        <f t="shared" ca="1" si="3"/>
        <v>11297709.5</v>
      </c>
      <c r="W185" s="71"/>
      <c r="X185"/>
    </row>
    <row r="186" spans="1:24">
      <c r="A186" s="1" t="s">
        <v>235</v>
      </c>
      <c r="B186" s="9" t="str">
        <f>VLOOKUP(A186,Data[],2,FALSE)</f>
        <v>BROOKLYN</v>
      </c>
      <c r="C186" s="9" t="s">
        <v>106</v>
      </c>
      <c r="D186" s="9" t="str">
        <f>VLOOKUP(IntComp[[#This Row],[DEVELOPMENT]],Data[],52,FALSE)</f>
        <v>FEDERAL</v>
      </c>
      <c r="E186" s="50">
        <f>VLOOKUP(IntComp[[#This Row],[DEVELOPMENT]],Data[],8,FALSE)</f>
        <v>0</v>
      </c>
      <c r="F186" s="50">
        <f>VLOOKUP(IntComp[[#This Row],[DEVELOPMENT]],all[[DEVELOPMENT]:[MRST Ext. Comp. Priority]],13,FALSE)</f>
        <v>3</v>
      </c>
      <c r="G186" s="50">
        <f>IF(VLOOKUP(IntComp[[#This Row],[DEVELOPMENT]],Data[],9,FALSE)=0,5,VLOOKUP(IntComp[[#This Row],[DEVELOPMENT]],Data[],9,FALSE))</f>
        <v>5</v>
      </c>
      <c r="H186" s="50">
        <f>VLOOKUP(IntComp[[#This Row],[DEVELOPMENT]],Data[],7,FALSE)</f>
        <v>530</v>
      </c>
      <c r="I186" s="50">
        <f>VLOOKUP(IntComp[[#This Row],[DEVELOPMENT]],Data[],5,FALSE)</f>
        <v>5</v>
      </c>
      <c r="J186" s="50"/>
      <c r="K186" s="50" t="str">
        <f ca="1">IFERROR(VLOOKUP(IntComp[[#This Row],[DEVELOPMENT]],Data[],4,FALSE),"")</f>
        <v/>
      </c>
      <c r="L186" s="50" t="str">
        <f ca="1">IF(IntComp[[#This Row],[RAD/PACT]]="","",IF(OR(IntComp[[#This Row],[RAD/PACT]]="2022-2025",IntComp[[#This Row],[RAD/PACT]]=2019,IntComp[[#This Row],[RAD/PACT]]="2020-2021"),"Yes",""))</f>
        <v/>
      </c>
      <c r="M186" s="51">
        <f ca="1">IF(VLOOKUP(IntComp[[#This Row],[DEVELOPMENT]],Data[],10,FALSE)=0,-1,DATEDIF(VLOOKUP(IntComp[[#This Row],[DEVELOPMENT]],Data[],12,FALSE),TODAY(),"Y"))</f>
        <v>8</v>
      </c>
      <c r="N18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</v>
      </c>
      <c r="O186" s="51"/>
      <c r="P186" s="51"/>
      <c r="Q186" s="51"/>
      <c r="R186" s="47">
        <f ca="1">(IntComp[[#This Row],['# to Replace (MRST)]]*INDEX(UnitCosts[#All],MATCH(IntComp[[#This Row],[WORK TYPE]],UnitCosts[Work Type],0)+1,2))*(1+((IntComp[[#This Row],[est. Year]]-YEAR(TODAY()))*$R$2))</f>
        <v>381679.375</v>
      </c>
      <c r="S186" s="1">
        <f ca="1">SUM(INDEX(IntComp['# to Replace (MRST)],1):IntComp[[#This Row],['# to Replace (MRST)]])-272</f>
        <v>1119</v>
      </c>
      <c r="T186" s="51"/>
      <c r="U186" s="51">
        <f ca="1">IF(ISBLANK(IntComp[[#This Row],[CALENDAR YEAR]]),ROUNDDOWN(IntComp[[#This Row],[Count]]/190,0)+$U$1,IntComp[[#This Row],[CALENDAR YEAR]])</f>
        <v>2026</v>
      </c>
      <c r="V186" s="85">
        <f t="shared" ca="1" si="3"/>
        <v>11679388.875</v>
      </c>
      <c r="W186" s="71"/>
      <c r="X186"/>
    </row>
    <row r="187" spans="1:24">
      <c r="A187" s="1" t="s">
        <v>367</v>
      </c>
      <c r="B187" s="9" t="str">
        <f>VLOOKUP(A187,Data[],2,FALSE)</f>
        <v>BROOKLYN</v>
      </c>
      <c r="C187" s="9" t="s">
        <v>106</v>
      </c>
      <c r="D187" s="9" t="str">
        <f>VLOOKUP(IntComp[[#This Row],[DEVELOPMENT]],Data[],52,FALSE)</f>
        <v>FEDERAL</v>
      </c>
      <c r="E187" s="50">
        <f>VLOOKUP(IntComp[[#This Row],[DEVELOPMENT]],Data[],8,FALSE)</f>
        <v>0</v>
      </c>
      <c r="F187" s="50">
        <f>VLOOKUP(IntComp[[#This Row],[DEVELOPMENT]],all[[DEVELOPMENT]:[MRST Ext. Comp. Priority]],13,FALSE)</f>
        <v>3</v>
      </c>
      <c r="G187" s="50">
        <f>IF(VLOOKUP(IntComp[[#This Row],[DEVELOPMENT]],Data[],9,FALSE)=0,5,VLOOKUP(IntComp[[#This Row],[DEVELOPMENT]],Data[],9,FALSE))</f>
        <v>5</v>
      </c>
      <c r="H187" s="50">
        <f>VLOOKUP(IntComp[[#This Row],[DEVELOPMENT]],Data[],7,FALSE)</f>
        <v>594</v>
      </c>
      <c r="I187" s="50">
        <f>VLOOKUP(IntComp[[#This Row],[DEVELOPMENT]],Data[],5,FALSE)</f>
        <v>5</v>
      </c>
      <c r="J187" s="50"/>
      <c r="K187" s="50" t="str">
        <f ca="1">IFERROR(VLOOKUP(IntComp[[#This Row],[DEVELOPMENT]],Data[],4,FALSE),"")</f>
        <v/>
      </c>
      <c r="L187" s="50" t="str">
        <f ca="1">IF(IntComp[[#This Row],[RAD/PACT]]="","",IF(OR(IntComp[[#This Row],[RAD/PACT]]="2022-2025",IntComp[[#This Row],[RAD/PACT]]=2019,IntComp[[#This Row],[RAD/PACT]]="2020-2021"),"Yes",""))</f>
        <v/>
      </c>
      <c r="M187" s="51">
        <f ca="1">IF(VLOOKUP(IntComp[[#This Row],[DEVELOPMENT]],Data[],10,FALSE)=0,-1,DATEDIF(VLOOKUP(IntComp[[#This Row],[DEVELOPMENT]],Data[],12,FALSE),TODAY(),"Y"))</f>
        <v>8</v>
      </c>
      <c r="N18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</v>
      </c>
      <c r="O187" s="51"/>
      <c r="P187" s="51"/>
      <c r="Q187" s="51"/>
      <c r="R187" s="47">
        <f ca="1">(IntComp[[#This Row],['# to Replace (MRST)]]*INDEX(UnitCosts[#All],MATCH(IntComp[[#This Row],[WORK TYPE]],UnitCosts[Work Type],0)+1,2))*(1+((IntComp[[#This Row],[est. Year]]-YEAR(TODAY()))*$R$2))</f>
        <v>381679.375</v>
      </c>
      <c r="S187" s="1">
        <f ca="1">SUM(INDEX(IntComp['# to Replace (MRST)],1):IntComp[[#This Row],['# to Replace (MRST)]])-272</f>
        <v>1124</v>
      </c>
      <c r="T187" s="51"/>
      <c r="U187" s="51">
        <f ca="1">IF(ISBLANK(IntComp[[#This Row],[CALENDAR YEAR]]),ROUNDDOWN(IntComp[[#This Row],[Count]]/190,0)+$U$1,IntComp[[#This Row],[CALENDAR YEAR]])</f>
        <v>2026</v>
      </c>
      <c r="V187" s="85">
        <f t="shared" ca="1" si="3"/>
        <v>12061068.25</v>
      </c>
      <c r="W187" s="71"/>
      <c r="X187"/>
    </row>
    <row r="188" spans="1:24">
      <c r="A188" s="1" t="s">
        <v>67</v>
      </c>
      <c r="B188" s="1" t="str">
        <f>VLOOKUP(A188,Data[],2,FALSE)</f>
        <v>MANHATTAN</v>
      </c>
      <c r="C188" s="9" t="s">
        <v>106</v>
      </c>
      <c r="D188" s="9" t="str">
        <f>VLOOKUP(IntComp[[#This Row],[DEVELOPMENT]],Data[],52,FALSE)</f>
        <v>FEDERAL</v>
      </c>
      <c r="E188" s="9" t="str">
        <f>VLOOKUP(IntComp[[#This Row],[DEVELOPMENT]],Data[],8,FALSE)</f>
        <v>Zone 2</v>
      </c>
      <c r="F188" s="9">
        <f>VLOOKUP(IntComp[[#This Row],[DEVELOPMENT]],all[[DEVELOPMENT]:[MRST Ext. Comp. Priority]],13,FALSE)</f>
        <v>4</v>
      </c>
      <c r="G188" s="9">
        <f>IF(VLOOKUP(IntComp[[#This Row],[DEVELOPMENT]],Data[],9,FALSE)=0,5,VLOOKUP(IntComp[[#This Row],[DEVELOPMENT]],Data[],9,FALSE))</f>
        <v>4</v>
      </c>
      <c r="H188" s="9">
        <f>VLOOKUP(IntComp[[#This Row],[DEVELOPMENT]],Data[],7,FALSE)</f>
        <v>98</v>
      </c>
      <c r="I188" s="9">
        <f>VLOOKUP(IntComp[[#This Row],[DEVELOPMENT]],Data[],5,FALSE)</f>
        <v>1</v>
      </c>
      <c r="J188" s="9"/>
      <c r="K188" s="9" t="str">
        <f ca="1">IFERROR(VLOOKUP(IntComp[[#This Row],[DEVELOPMENT]],Data[],4,FALSE),"")</f>
        <v>2026+</v>
      </c>
      <c r="L188" s="9" t="str">
        <f ca="1">IF(IntComp[[#This Row],[RAD/PACT]]="","",IF(OR(IntComp[[#This Row],[RAD/PACT]]="2022-2025",IntComp[[#This Row],[RAD/PACT]]=2019,IntComp[[#This Row],[RAD/PACT]]="2020-2021"),"Yes",""))</f>
        <v/>
      </c>
      <c r="M188" s="1">
        <f ca="1">IF(VLOOKUP(IntComp[[#This Row],[DEVELOPMENT]],Data[],10,FALSE)=0,-1,DATEDIF(VLOOKUP(IntComp[[#This Row],[DEVELOPMENT]],Data[],12,FALSE),TODAY(),"Y"))</f>
        <v>24</v>
      </c>
      <c r="N188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88" s="1"/>
      <c r="P188" s="1"/>
      <c r="Q188" s="1"/>
      <c r="R188" s="47">
        <f ca="1">(IntComp[[#This Row],['# to Replace (MRST)]]*INDEX(UnitCosts[#All],MATCH(IntComp[[#This Row],[WORK TYPE]],UnitCosts[Work Type],0)+1,2))*(1+((IntComp[[#This Row],[est. Year]]-YEAR(TODAY()))*$R$2))</f>
        <v>76335.875</v>
      </c>
      <c r="S188" s="1">
        <f ca="1">SUM(INDEX(IntComp['# to Replace (MRST)],1):IntComp[[#This Row],['# to Replace (MRST)]])-272</f>
        <v>1125</v>
      </c>
      <c r="T188" s="1"/>
      <c r="U188" s="1">
        <f ca="1">IF(ISBLANK(IntComp[[#This Row],[CALENDAR YEAR]]),ROUNDDOWN(IntComp[[#This Row],[Count]]/190,0)+$U$1,IntComp[[#This Row],[CALENDAR YEAR]])</f>
        <v>2026</v>
      </c>
      <c r="V188" s="3">
        <f t="shared" ca="1" si="3"/>
        <v>12137404.125</v>
      </c>
      <c r="W188" s="71"/>
      <c r="X188"/>
    </row>
    <row r="189" spans="1:24">
      <c r="A189" s="1" t="s">
        <v>124</v>
      </c>
      <c r="B189" s="1" t="str">
        <f>VLOOKUP(A189,Data[],2,FALSE)</f>
        <v>BRONX</v>
      </c>
      <c r="C189" s="9" t="s">
        <v>106</v>
      </c>
      <c r="D189" s="9" t="str">
        <f>VLOOKUP(IntComp[[#This Row],[DEVELOPMENT]],Data[],52,FALSE)</f>
        <v>FEDERAL</v>
      </c>
      <c r="E189" s="9" t="str">
        <f>VLOOKUP(IntComp[[#This Row],[DEVELOPMENT]],Data[],8,FALSE)</f>
        <v>Zone 3</v>
      </c>
      <c r="F189" s="9">
        <f>VLOOKUP(IntComp[[#This Row],[DEVELOPMENT]],all[[DEVELOPMENT]:[MRST Ext. Comp. Priority]],13,FALSE)</f>
        <v>4</v>
      </c>
      <c r="G189" s="9">
        <f>IF(VLOOKUP(IntComp[[#This Row],[DEVELOPMENT]],Data[],9,FALSE)=0,5,VLOOKUP(IntComp[[#This Row],[DEVELOPMENT]],Data[],9,FALSE))</f>
        <v>4</v>
      </c>
      <c r="H189" s="9">
        <f>VLOOKUP(IntComp[[#This Row],[DEVELOPMENT]],Data[],7,FALSE)</f>
        <v>187</v>
      </c>
      <c r="I189" s="9">
        <f>VLOOKUP(IntComp[[#This Row],[DEVELOPMENT]],Data[],5,FALSE)</f>
        <v>3</v>
      </c>
      <c r="J189" s="9"/>
      <c r="K189" s="9" t="str">
        <f ca="1">IFERROR(VLOOKUP(IntComp[[#This Row],[DEVELOPMENT]],Data[],4,FALSE),"")</f>
        <v>2026+</v>
      </c>
      <c r="L189" s="9" t="str">
        <f ca="1">IF(IntComp[[#This Row],[RAD/PACT]]="","",IF(OR(IntComp[[#This Row],[RAD/PACT]]="2022-2025",IntComp[[#This Row],[RAD/PACT]]=2019,IntComp[[#This Row],[RAD/PACT]]="2020-2021"),"Yes",""))</f>
        <v/>
      </c>
      <c r="M189" s="1">
        <f ca="1">IF(VLOOKUP(IntComp[[#This Row],[DEVELOPMENT]],Data[],10,FALSE)=0,-1,DATEDIF(VLOOKUP(IntComp[[#This Row],[DEVELOPMENT]],Data[],12,FALSE),TODAY(),"Y"))</f>
        <v>24</v>
      </c>
      <c r="N189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189" s="1"/>
      <c r="P189" s="1"/>
      <c r="Q189" s="1"/>
      <c r="R189" s="47">
        <f ca="1">(IntComp[[#This Row],['# to Replace (MRST)]]*INDEX(UnitCosts[#All],MATCH(IntComp[[#This Row],[WORK TYPE]],UnitCosts[Work Type],0)+1,2))*(1+((IntComp[[#This Row],[est. Year]]-YEAR(TODAY()))*$R$2))</f>
        <v>229007.625</v>
      </c>
      <c r="S189" s="1">
        <f ca="1">SUM(INDEX(IntComp['# to Replace (MRST)],1):IntComp[[#This Row],['# to Replace (MRST)]])-272</f>
        <v>1128</v>
      </c>
      <c r="T189" s="1"/>
      <c r="U189" s="1">
        <f ca="1">IF(ISBLANK(IntComp[[#This Row],[CALENDAR YEAR]]),ROUNDDOWN(IntComp[[#This Row],[Count]]/190,0)+$U$1,IntComp[[#This Row],[CALENDAR YEAR]])</f>
        <v>2026</v>
      </c>
      <c r="V189" s="3">
        <f t="shared" ca="1" si="3"/>
        <v>12366411.75</v>
      </c>
      <c r="W189" s="71"/>
      <c r="X189"/>
    </row>
    <row r="190" spans="1:24">
      <c r="A190" s="1" t="s">
        <v>100</v>
      </c>
      <c r="B190" s="1" t="str">
        <f>VLOOKUP(A190,Data[],2,FALSE)</f>
        <v>MANHATTAN</v>
      </c>
      <c r="C190" s="9" t="s">
        <v>106</v>
      </c>
      <c r="D190" s="9" t="str">
        <f>VLOOKUP(IntComp[[#This Row],[DEVELOPMENT]],Data[],52,FALSE)</f>
        <v>FEDERAL</v>
      </c>
      <c r="E190" s="9" t="str">
        <f>VLOOKUP(IntComp[[#This Row],[DEVELOPMENT]],Data[],8,FALSE)</f>
        <v>Zone 2</v>
      </c>
      <c r="F190" s="9">
        <f>VLOOKUP(IntComp[[#This Row],[DEVELOPMENT]],all[[DEVELOPMENT]:[MRST Ext. Comp. Priority]],13,FALSE)</f>
        <v>4</v>
      </c>
      <c r="G190" s="9">
        <f>IF(VLOOKUP(IntComp[[#This Row],[DEVELOPMENT]],Data[],9,FALSE)=0,5,VLOOKUP(IntComp[[#This Row],[DEVELOPMENT]],Data[],9,FALSE))</f>
        <v>4</v>
      </c>
      <c r="H190" s="9">
        <f>VLOOKUP(IntComp[[#This Row],[DEVELOPMENT]],Data[],7,FALSE)</f>
        <v>150</v>
      </c>
      <c r="I190" s="9">
        <f>VLOOKUP(IntComp[[#This Row],[DEVELOPMENT]],Data[],5,FALSE)</f>
        <v>1</v>
      </c>
      <c r="J190" s="9"/>
      <c r="K190" s="9" t="str">
        <f ca="1">IFERROR(VLOOKUP(IntComp[[#This Row],[DEVELOPMENT]],Data[],4,FALSE),"")</f>
        <v/>
      </c>
      <c r="L190" s="9" t="str">
        <f ca="1">IF(IntComp[[#This Row],[RAD/PACT]]="","",IF(OR(IntComp[[#This Row],[RAD/PACT]]="2022-2025",IntComp[[#This Row],[RAD/PACT]]=2019,IntComp[[#This Row],[RAD/PACT]]="2020-2021"),"Yes",""))</f>
        <v/>
      </c>
      <c r="M190" s="1">
        <f ca="1">IF(VLOOKUP(IntComp[[#This Row],[DEVELOPMENT]],Data[],10,FALSE)=0,-1,DATEDIF(VLOOKUP(IntComp[[#This Row],[DEVELOPMENT]],Data[],12,FALSE),TODAY(),"Y"))</f>
        <v>12</v>
      </c>
      <c r="N19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90" s="1"/>
      <c r="P190" s="1"/>
      <c r="Q190" s="1"/>
      <c r="R190" s="47">
        <f ca="1">(IntComp[[#This Row],['# to Replace (MRST)]]*INDEX(UnitCosts[#All],MATCH(IntComp[[#This Row],[WORK TYPE]],UnitCosts[Work Type],0)+1,2))*(1+((IntComp[[#This Row],[est. Year]]-YEAR(TODAY()))*$R$2))</f>
        <v>76335.875</v>
      </c>
      <c r="S190" s="1">
        <f ca="1">SUM(INDEX(IntComp['# to Replace (MRST)],1):IntComp[[#This Row],['# to Replace (MRST)]])-272</f>
        <v>1129</v>
      </c>
      <c r="T190" s="1"/>
      <c r="U190" s="1">
        <f ca="1">IF(ISBLANK(IntComp[[#This Row],[CALENDAR YEAR]]),ROUNDDOWN(IntComp[[#This Row],[Count]]/190,0)+$U$1,IntComp[[#This Row],[CALENDAR YEAR]])</f>
        <v>2026</v>
      </c>
      <c r="V190" s="3">
        <f t="shared" ca="1" si="3"/>
        <v>12442747.625</v>
      </c>
      <c r="W190" s="71"/>
      <c r="X190"/>
    </row>
    <row r="191" spans="1:24">
      <c r="A191" s="1" t="s">
        <v>244</v>
      </c>
      <c r="B191" s="9" t="str">
        <f>VLOOKUP(A191,Data[],2,FALSE)</f>
        <v>QUEENS</v>
      </c>
      <c r="C191" s="9" t="s">
        <v>106</v>
      </c>
      <c r="D191" s="9" t="str">
        <f>VLOOKUP(IntComp[[#This Row],[DEVELOPMENT]],Data[],52,FALSE)</f>
        <v>FEDERAL</v>
      </c>
      <c r="E191" s="50">
        <f>VLOOKUP(IntComp[[#This Row],[DEVELOPMENT]],Data[],8,FALSE)</f>
        <v>0</v>
      </c>
      <c r="F191" s="50">
        <f>VLOOKUP(IntComp[[#This Row],[DEVELOPMENT]],all[[DEVELOPMENT]:[MRST Ext. Comp. Priority]],13,FALSE)</f>
        <v>4</v>
      </c>
      <c r="G191" s="50">
        <f>IF(VLOOKUP(IntComp[[#This Row],[DEVELOPMENT]],Data[],9,FALSE)=0,5,VLOOKUP(IntComp[[#This Row],[DEVELOPMENT]],Data[],9,FALSE))</f>
        <v>5</v>
      </c>
      <c r="H191" s="50">
        <f>VLOOKUP(IntComp[[#This Row],[DEVELOPMENT]],Data[],7,FALSE)</f>
        <v>710</v>
      </c>
      <c r="I191" s="50">
        <f>VLOOKUP(IntComp[[#This Row],[DEVELOPMENT]],Data[],5,FALSE)</f>
        <v>14</v>
      </c>
      <c r="J191" s="50"/>
      <c r="K191" s="50" t="str">
        <f ca="1">IFERROR(VLOOKUP(IntComp[[#This Row],[DEVELOPMENT]],Data[],4,FALSE),"")</f>
        <v>2026+</v>
      </c>
      <c r="L191" s="50" t="str">
        <f ca="1">IF(IntComp[[#This Row],[RAD/PACT]]="","",IF(OR(IntComp[[#This Row],[RAD/PACT]]="2022-2025",IntComp[[#This Row],[RAD/PACT]]=2019,IntComp[[#This Row],[RAD/PACT]]="2020-2021"),"Yes",""))</f>
        <v/>
      </c>
      <c r="M191" s="51">
        <f ca="1">IF(VLOOKUP(IntComp[[#This Row],[DEVELOPMENT]],Data[],10,FALSE)=0,-1,DATEDIF(VLOOKUP(IntComp[[#This Row],[DEVELOPMENT]],Data[],12,FALSE),TODAY(),"Y"))</f>
        <v>27</v>
      </c>
      <c r="N19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14</v>
      </c>
      <c r="O191" s="51"/>
      <c r="P191" s="51"/>
      <c r="Q191" s="51"/>
      <c r="R191" s="47">
        <f ca="1">(IntComp[[#This Row],['# to Replace (MRST)]]*INDEX(UnitCosts[#All],MATCH(IntComp[[#This Row],[WORK TYPE]],UnitCosts[Work Type],0)+1,2))*(1+((IntComp[[#This Row],[est. Year]]-YEAR(TODAY()))*$R$2))</f>
        <v>1099615.125</v>
      </c>
      <c r="S191" s="1">
        <f ca="1">SUM(INDEX(IntComp['# to Replace (MRST)],1):IntComp[[#This Row],['# to Replace (MRST)]])-272</f>
        <v>1143</v>
      </c>
      <c r="T191" s="51"/>
      <c r="U191" s="51">
        <f ca="1">IF(ISBLANK(IntComp[[#This Row],[CALENDAR YEAR]]),ROUNDDOWN(IntComp[[#This Row],[Count]]/190,0)+$U$1,IntComp[[#This Row],[CALENDAR YEAR]])</f>
        <v>2027</v>
      </c>
      <c r="V191" s="85">
        <f t="shared" ca="1" si="3"/>
        <v>1099615.125</v>
      </c>
      <c r="W191" s="71"/>
      <c r="X191"/>
    </row>
    <row r="192" spans="1:24" hidden="1">
      <c r="A192" s="192" t="s">
        <v>386</v>
      </c>
      <c r="B192" s="197" t="str">
        <f>VLOOKUP(A192,Data[],2,FALSE)</f>
        <v>MANHATTAN</v>
      </c>
      <c r="C192" s="197" t="s">
        <v>106</v>
      </c>
      <c r="D192" s="197" t="str">
        <f>VLOOKUP(IntComp[[#This Row],[DEVELOPMENT]],Data[],52,FALSE)</f>
        <v>MIXED FINANCE/LLC2</v>
      </c>
      <c r="E192" s="201" t="str">
        <f>VLOOKUP(IntComp[[#This Row],[DEVELOPMENT]],Data[],8,FALSE)</f>
        <v>Zone 4</v>
      </c>
      <c r="F192" s="201">
        <f>VLOOKUP(IntComp[[#This Row],[DEVELOPMENT]],all[[DEVELOPMENT]:[MRST Ext. Comp. Priority]],13,FALSE)</f>
        <v>3</v>
      </c>
      <c r="G192" s="201">
        <f>IF(VLOOKUP(IntComp[[#This Row],[DEVELOPMENT]],Data[],9,FALSE)=0,5,VLOOKUP(IntComp[[#This Row],[DEVELOPMENT]],Data[],9,FALSE))</f>
        <v>5</v>
      </c>
      <c r="H192" s="201">
        <f>VLOOKUP(IntComp[[#This Row],[DEVELOPMENT]],Data[],7,FALSE)</f>
        <v>397</v>
      </c>
      <c r="I192" s="201">
        <f>VLOOKUP(IntComp[[#This Row],[DEVELOPMENT]],Data[],5,FALSE)</f>
        <v>2</v>
      </c>
      <c r="J192" s="201"/>
      <c r="K192" s="201" t="str">
        <f ca="1">IFERROR(VLOOKUP(IntComp[[#This Row],[DEVELOPMENT]],Data[],4,FALSE),"")</f>
        <v>2020-2021</v>
      </c>
      <c r="L192" s="201" t="str">
        <f ca="1">IF(IntComp[[#This Row],[RAD/PACT]]="","",IF(OR(IntComp[[#This Row],[RAD/PACT]]="2022-2025",IntComp[[#This Row],[RAD/PACT]]=2019,IntComp[[#This Row],[RAD/PACT]]="2020-2021"),"Yes",""))</f>
        <v>Yes</v>
      </c>
      <c r="M192" s="202">
        <f ca="1">IF(VLOOKUP(IntComp[[#This Row],[DEVELOPMENT]],Data[],10,FALSE)=0,-1,DATEDIF(VLOOKUP(IntComp[[#This Row],[DEVELOPMENT]],Data[],12,FALSE),TODAY(),"Y"))</f>
        <v>17</v>
      </c>
      <c r="N192" s="202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92" s="202"/>
      <c r="P192" s="202"/>
      <c r="Q192" s="202"/>
      <c r="R192" s="198">
        <f ca="1">(IntComp[[#This Row],['# to Replace (MRST)]]*INDEX(UnitCosts[#All],MATCH(IntComp[[#This Row],[WORK TYPE]],UnitCosts[Work Type],0)+1,2))*(1+((IntComp[[#This Row],[est. Year]]-YEAR(TODAY()))*$R$2))</f>
        <v>0</v>
      </c>
      <c r="S192" s="196">
        <f ca="1">SUM(INDEX(IntComp['# to Replace (MRST)],1):IntComp[[#This Row],['# to Replace (MRST)]])-272</f>
        <v>1143</v>
      </c>
      <c r="T192" s="202"/>
      <c r="U192" s="202">
        <f ca="1">IF(ISBLANK(IntComp[[#This Row],[CALENDAR YEAR]]),ROUNDDOWN(IntComp[[#This Row],[Count]]/190,0)+$U$1,IntComp[[#This Row],[CALENDAR YEAR]])</f>
        <v>2027</v>
      </c>
      <c r="V192" s="203">
        <f t="shared" ca="1" si="3"/>
        <v>1099615.125</v>
      </c>
      <c r="W192" s="106"/>
      <c r="X192"/>
    </row>
    <row r="193" spans="1:24">
      <c r="A193" s="1" t="s">
        <v>227</v>
      </c>
      <c r="B193" s="9" t="str">
        <f>VLOOKUP(A193,Data[],2,FALSE)</f>
        <v>BRONX</v>
      </c>
      <c r="C193" s="9" t="s">
        <v>106</v>
      </c>
      <c r="D193" s="9" t="str">
        <f>VLOOKUP(IntComp[[#This Row],[DEVELOPMENT]],Data[],52,FALSE)</f>
        <v>FEDERAL</v>
      </c>
      <c r="E193" s="50" t="str">
        <f>VLOOKUP(IntComp[[#This Row],[DEVELOPMENT]],Data[],8,FALSE)</f>
        <v>Zone 3</v>
      </c>
      <c r="F193" s="50">
        <f>VLOOKUP(IntComp[[#This Row],[DEVELOPMENT]],all[[DEVELOPMENT]:[MRST Ext. Comp. Priority]],13,FALSE)</f>
        <v>4</v>
      </c>
      <c r="G193" s="50">
        <f>IF(VLOOKUP(IntComp[[#This Row],[DEVELOPMENT]],Data[],9,FALSE)=0,5,VLOOKUP(IntComp[[#This Row],[DEVELOPMENT]],Data[],9,FALSE))</f>
        <v>5</v>
      </c>
      <c r="H193" s="50">
        <f>VLOOKUP(IntComp[[#This Row],[DEVELOPMENT]],Data[],7,FALSE)</f>
        <v>96</v>
      </c>
      <c r="I193" s="50">
        <f>VLOOKUP(IntComp[[#This Row],[DEVELOPMENT]],Data[],5,FALSE)</f>
        <v>1</v>
      </c>
      <c r="J193" s="50"/>
      <c r="K193" s="50" t="str">
        <f ca="1">IFERROR(VLOOKUP(IntComp[[#This Row],[DEVELOPMENT]],Data[],4,FALSE),"")</f>
        <v>2026+</v>
      </c>
      <c r="L193" s="50" t="str">
        <f ca="1">IF(IntComp[[#This Row],[RAD/PACT]]="","",IF(OR(IntComp[[#This Row],[RAD/PACT]]="2022-2025",IntComp[[#This Row],[RAD/PACT]]=2019,IntComp[[#This Row],[RAD/PACT]]="2020-2021"),"Yes",""))</f>
        <v/>
      </c>
      <c r="M193" s="51">
        <f ca="1">IF(VLOOKUP(IntComp[[#This Row],[DEVELOPMENT]],Data[],10,FALSE)=0,-1,DATEDIF(VLOOKUP(IntComp[[#This Row],[DEVELOPMENT]],Data[],12,FALSE),TODAY(),"Y"))</f>
        <v>24</v>
      </c>
      <c r="N19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193" s="51"/>
      <c r="P193" s="51"/>
      <c r="Q193" s="51"/>
      <c r="R193" s="47">
        <f ca="1">(IntComp[[#This Row],['# to Replace (MRST)]]*INDEX(UnitCosts[#All],MATCH(IntComp[[#This Row],[WORK TYPE]],UnitCosts[Work Type],0)+1,2))*(1+((IntComp[[#This Row],[est. Year]]-YEAR(TODAY()))*$R$2))</f>
        <v>157087.875</v>
      </c>
      <c r="S193" s="1">
        <f ca="1">SUM(INDEX(IntComp['# to Replace (MRST)],1):IntComp[[#This Row],['# to Replace (MRST)]])-272</f>
        <v>1145</v>
      </c>
      <c r="T193" s="51"/>
      <c r="U193" s="51">
        <f ca="1">IF(ISBLANK(IntComp[[#This Row],[CALENDAR YEAR]]),ROUNDDOWN(IntComp[[#This Row],[Count]]/190,0)+$U$1,IntComp[[#This Row],[CALENDAR YEAR]])</f>
        <v>2027</v>
      </c>
      <c r="V193" s="85">
        <f t="shared" ca="1" si="3"/>
        <v>1256703</v>
      </c>
      <c r="W193" s="71"/>
      <c r="X193"/>
    </row>
    <row r="194" spans="1:24">
      <c r="A194" s="1" t="s">
        <v>236</v>
      </c>
      <c r="B194" s="9" t="str">
        <f>VLOOKUP(A194,Data[],2,FALSE)</f>
        <v>BROOKLYN</v>
      </c>
      <c r="C194" s="9" t="s">
        <v>106</v>
      </c>
      <c r="D194" s="9" t="str">
        <f>VLOOKUP(IntComp[[#This Row],[DEVELOPMENT]],Data[],52,FALSE)</f>
        <v>FEDERAL</v>
      </c>
      <c r="E194" s="50">
        <f>VLOOKUP(IntComp[[#This Row],[DEVELOPMENT]],Data[],8,FALSE)</f>
        <v>0</v>
      </c>
      <c r="F194" s="50">
        <f>VLOOKUP(IntComp[[#This Row],[DEVELOPMENT]],all[[DEVELOPMENT]:[MRST Ext. Comp. Priority]],13,FALSE)</f>
        <v>4</v>
      </c>
      <c r="G194" s="50">
        <f>IF(VLOOKUP(IntComp[[#This Row],[DEVELOPMENT]],Data[],9,FALSE)=0,5,VLOOKUP(IntComp[[#This Row],[DEVELOPMENT]],Data[],9,FALSE))</f>
        <v>5</v>
      </c>
      <c r="H194" s="50">
        <f>VLOOKUP(IntComp[[#This Row],[DEVELOPMENT]],Data[],7,FALSE)</f>
        <v>124</v>
      </c>
      <c r="I194" s="50">
        <f>VLOOKUP(IntComp[[#This Row],[DEVELOPMENT]],Data[],5,FALSE)</f>
        <v>1</v>
      </c>
      <c r="J194" s="50"/>
      <c r="K194" s="50" t="str">
        <f ca="1">IFERROR(VLOOKUP(IntComp[[#This Row],[DEVELOPMENT]],Data[],4,FALSE),"")</f>
        <v>2026+</v>
      </c>
      <c r="L194" s="50" t="str">
        <f ca="1">IF(IntComp[[#This Row],[RAD/PACT]]="","",IF(OR(IntComp[[#This Row],[RAD/PACT]]="2022-2025",IntComp[[#This Row],[RAD/PACT]]=2019,IntComp[[#This Row],[RAD/PACT]]="2020-2021"),"Yes",""))</f>
        <v/>
      </c>
      <c r="M194" s="51">
        <f ca="1">IF(VLOOKUP(IntComp[[#This Row],[DEVELOPMENT]],Data[],10,FALSE)=0,-1,DATEDIF(VLOOKUP(IntComp[[#This Row],[DEVELOPMENT]],Data[],12,FALSE),TODAY(),"Y"))</f>
        <v>23</v>
      </c>
      <c r="N19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94" s="51"/>
      <c r="P194" s="51"/>
      <c r="Q194" s="51"/>
      <c r="R194" s="47">
        <f ca="1">(IntComp[[#This Row],['# to Replace (MRST)]]*INDEX(UnitCosts[#All],MATCH(IntComp[[#This Row],[WORK TYPE]],UnitCosts[Work Type],0)+1,2))*(1+((IntComp[[#This Row],[est. Year]]-YEAR(TODAY()))*$R$2))</f>
        <v>78543.9375</v>
      </c>
      <c r="S194" s="1">
        <f ca="1">SUM(INDEX(IntComp['# to Replace (MRST)],1):IntComp[[#This Row],['# to Replace (MRST)]])-272</f>
        <v>1146</v>
      </c>
      <c r="T194" s="51"/>
      <c r="U194" s="51">
        <f ca="1">IF(ISBLANK(IntComp[[#This Row],[CALENDAR YEAR]]),ROUNDDOWN(IntComp[[#This Row],[Count]]/190,0)+$U$1,IntComp[[#This Row],[CALENDAR YEAR]])</f>
        <v>2027</v>
      </c>
      <c r="V194" s="85">
        <f t="shared" ca="1" si="3"/>
        <v>1335246.9375</v>
      </c>
      <c r="W194" s="71"/>
      <c r="X194"/>
    </row>
    <row r="195" spans="1:24">
      <c r="A195" s="1" t="s">
        <v>291</v>
      </c>
      <c r="B195" s="9" t="str">
        <f>VLOOKUP(A195,Data[],2,FALSE)</f>
        <v>BRONX</v>
      </c>
      <c r="C195" s="9" t="s">
        <v>106</v>
      </c>
      <c r="D195" s="9" t="str">
        <f>VLOOKUP(IntComp[[#This Row],[DEVELOPMENT]],Data[],52,FALSE)</f>
        <v>FEDERAL</v>
      </c>
      <c r="E195" s="50">
        <f>VLOOKUP(IntComp[[#This Row],[DEVELOPMENT]],Data[],8,FALSE)</f>
        <v>0</v>
      </c>
      <c r="F195" s="50">
        <f>VLOOKUP(IntComp[[#This Row],[DEVELOPMENT]],all[[DEVELOPMENT]:[MRST Ext. Comp. Priority]],13,FALSE)</f>
        <v>4</v>
      </c>
      <c r="G195" s="50">
        <f>IF(VLOOKUP(IntComp[[#This Row],[DEVELOPMENT]],Data[],9,FALSE)=0,5,VLOOKUP(IntComp[[#This Row],[DEVELOPMENT]],Data[],9,FALSE))</f>
        <v>5</v>
      </c>
      <c r="H195" s="50">
        <f>VLOOKUP(IntComp[[#This Row],[DEVELOPMENT]],Data[],7,FALSE)</f>
        <v>218</v>
      </c>
      <c r="I195" s="50">
        <f>VLOOKUP(IntComp[[#This Row],[DEVELOPMENT]],Data[],5,FALSE)</f>
        <v>1</v>
      </c>
      <c r="J195" s="50"/>
      <c r="K195" s="50" t="str">
        <f ca="1">IFERROR(VLOOKUP(IntComp[[#This Row],[DEVELOPMENT]],Data[],4,FALSE),"")</f>
        <v/>
      </c>
      <c r="L195" s="50" t="str">
        <f ca="1">IF(IntComp[[#This Row],[RAD/PACT]]="","",IF(OR(IntComp[[#This Row],[RAD/PACT]]="2022-2025",IntComp[[#This Row],[RAD/PACT]]=2019,IntComp[[#This Row],[RAD/PACT]]="2020-2021"),"Yes",""))</f>
        <v/>
      </c>
      <c r="M195" s="51">
        <f ca="1">IF(VLOOKUP(IntComp[[#This Row],[DEVELOPMENT]],Data[],10,FALSE)=0,-1,DATEDIF(VLOOKUP(IntComp[[#This Row],[DEVELOPMENT]],Data[],12,FALSE),TODAY(),"Y"))</f>
        <v>22</v>
      </c>
      <c r="N19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195" s="51"/>
      <c r="P195" s="51"/>
      <c r="Q195" s="51"/>
      <c r="R195" s="47">
        <f ca="1">(IntComp[[#This Row],['# to Replace (MRST)]]*INDEX(UnitCosts[#All],MATCH(IntComp[[#This Row],[WORK TYPE]],UnitCosts[Work Type],0)+1,2))*(1+((IntComp[[#This Row],[est. Year]]-YEAR(TODAY()))*$R$2))</f>
        <v>78543.9375</v>
      </c>
      <c r="S195" s="1">
        <f ca="1">SUM(INDEX(IntComp['# to Replace (MRST)],1):IntComp[[#This Row],['# to Replace (MRST)]])-272</f>
        <v>1147</v>
      </c>
      <c r="T195" s="51"/>
      <c r="U195" s="51">
        <f ca="1">IF(ISBLANK(IntComp[[#This Row],[CALENDAR YEAR]]),ROUNDDOWN(IntComp[[#This Row],[Count]]/190,0)+$U$1,IntComp[[#This Row],[CALENDAR YEAR]])</f>
        <v>2027</v>
      </c>
      <c r="V195" s="85">
        <f t="shared" ca="1" si="3"/>
        <v>1413790.875</v>
      </c>
      <c r="W195" s="71"/>
      <c r="X195"/>
    </row>
    <row r="196" spans="1:24">
      <c r="A196" s="1" t="s">
        <v>324</v>
      </c>
      <c r="B196" s="9" t="str">
        <f>VLOOKUP(A196,Data[],2,FALSE)</f>
        <v>BROOKLYN</v>
      </c>
      <c r="C196" s="9" t="s">
        <v>106</v>
      </c>
      <c r="D196" s="9" t="str">
        <f>VLOOKUP(IntComp[[#This Row],[DEVELOPMENT]],Data[],52,FALSE)</f>
        <v>FEDERAL</v>
      </c>
      <c r="E196" s="50">
        <f>VLOOKUP(IntComp[[#This Row],[DEVELOPMENT]],Data[],8,FALSE)</f>
        <v>0</v>
      </c>
      <c r="F196" s="50">
        <f>VLOOKUP(IntComp[[#This Row],[DEVELOPMENT]],all[[DEVELOPMENT]:[MRST Ext. Comp. Priority]],13,FALSE)</f>
        <v>4</v>
      </c>
      <c r="G196" s="50">
        <f>IF(VLOOKUP(IntComp[[#This Row],[DEVELOPMENT]],Data[],9,FALSE)=0,5,VLOOKUP(IntComp[[#This Row],[DEVELOPMENT]],Data[],9,FALSE))</f>
        <v>5</v>
      </c>
      <c r="H196" s="50">
        <f>VLOOKUP(IntComp[[#This Row],[DEVELOPMENT]],Data[],7,FALSE)</f>
        <v>320</v>
      </c>
      <c r="I196" s="50">
        <f>VLOOKUP(IntComp[[#This Row],[DEVELOPMENT]],Data[],5,FALSE)</f>
        <v>3</v>
      </c>
      <c r="J196" s="50"/>
      <c r="K196" s="50" t="str">
        <f ca="1">IFERROR(VLOOKUP(IntComp[[#This Row],[DEVELOPMENT]],Data[],4,FALSE),"")</f>
        <v/>
      </c>
      <c r="L196" s="50" t="str">
        <f ca="1">IF(IntComp[[#This Row],[RAD/PACT]]="","",IF(OR(IntComp[[#This Row],[RAD/PACT]]="2022-2025",IntComp[[#This Row],[RAD/PACT]]=2019,IntComp[[#This Row],[RAD/PACT]]="2020-2021"),"Yes",""))</f>
        <v/>
      </c>
      <c r="M196" s="51">
        <f ca="1">IF(VLOOKUP(IntComp[[#This Row],[DEVELOPMENT]],Data[],10,FALSE)=0,-1,DATEDIF(VLOOKUP(IntComp[[#This Row],[DEVELOPMENT]],Data[],12,FALSE),TODAY(),"Y"))</f>
        <v>22</v>
      </c>
      <c r="N19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</v>
      </c>
      <c r="O196" s="51"/>
      <c r="P196" s="51"/>
      <c r="Q196" s="51"/>
      <c r="R196" s="47">
        <f ca="1">(IntComp[[#This Row],['# to Replace (MRST)]]*INDEX(UnitCosts[#All],MATCH(IntComp[[#This Row],[WORK TYPE]],UnitCosts[Work Type],0)+1,2))*(1+((IntComp[[#This Row],[est. Year]]-YEAR(TODAY()))*$R$2))</f>
        <v>392719.68750000006</v>
      </c>
      <c r="S196" s="1">
        <f ca="1">SUM(INDEX(IntComp['# to Replace (MRST)],1):IntComp[[#This Row],['# to Replace (MRST)]])-272</f>
        <v>1152</v>
      </c>
      <c r="T196" s="51"/>
      <c r="U196" s="51">
        <f ca="1">IF(ISBLANK(IntComp[[#This Row],[CALENDAR YEAR]]),ROUNDDOWN(IntComp[[#This Row],[Count]]/190,0)+$U$1,IntComp[[#This Row],[CALENDAR YEAR]])</f>
        <v>2027</v>
      </c>
      <c r="V196" s="85">
        <f t="shared" ca="1" si="3"/>
        <v>1806510.5625</v>
      </c>
      <c r="W196" s="71"/>
      <c r="X196"/>
    </row>
    <row r="197" spans="1:24">
      <c r="A197" s="1" t="s">
        <v>206</v>
      </c>
      <c r="B197" s="9" t="str">
        <f>VLOOKUP(A197,Data[],2,FALSE)</f>
        <v>BROOKLYN</v>
      </c>
      <c r="C197" s="9" t="s">
        <v>106</v>
      </c>
      <c r="D197" s="9" t="str">
        <f>VLOOKUP(IntComp[[#This Row],[DEVELOPMENT]],Data[],52,FALSE)</f>
        <v>FEDERAL</v>
      </c>
      <c r="E197" s="50">
        <f>VLOOKUP(IntComp[[#This Row],[DEVELOPMENT]],Data[],8,FALSE)</f>
        <v>0</v>
      </c>
      <c r="F197" s="50">
        <f>VLOOKUP(IntComp[[#This Row],[DEVELOPMENT]],all[[DEVELOPMENT]:[MRST Ext. Comp. Priority]],13,FALSE)</f>
        <v>4</v>
      </c>
      <c r="G197" s="50">
        <f>IF(VLOOKUP(IntComp[[#This Row],[DEVELOPMENT]],Data[],9,FALSE)=0,5,VLOOKUP(IntComp[[#This Row],[DEVELOPMENT]],Data[],9,FALSE))</f>
        <v>5</v>
      </c>
      <c r="H197" s="50">
        <f>VLOOKUP(IntComp[[#This Row],[DEVELOPMENT]],Data[],7,FALSE)</f>
        <v>813</v>
      </c>
      <c r="I197" s="50">
        <f>VLOOKUP(IntComp[[#This Row],[DEVELOPMENT]],Data[],5,FALSE)</f>
        <v>10</v>
      </c>
      <c r="J197" s="50"/>
      <c r="K197" s="50" t="str">
        <f ca="1">IFERROR(VLOOKUP(IntComp[[#This Row],[DEVELOPMENT]],Data[],4,FALSE),"")</f>
        <v>2026+</v>
      </c>
      <c r="L197" s="50" t="str">
        <f ca="1">IF(IntComp[[#This Row],[RAD/PACT]]="","",IF(OR(IntComp[[#This Row],[RAD/PACT]]="2022-2025",IntComp[[#This Row],[RAD/PACT]]=2019,IntComp[[#This Row],[RAD/PACT]]="2020-2021"),"Yes",""))</f>
        <v/>
      </c>
      <c r="M197" s="51">
        <f ca="1">IF(VLOOKUP(IntComp[[#This Row],[DEVELOPMENT]],Data[],10,FALSE)=0,-1,DATEDIF(VLOOKUP(IntComp[[#This Row],[DEVELOPMENT]],Data[],12,FALSE),TODAY(),"Y"))</f>
        <v>21</v>
      </c>
      <c r="N19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16</v>
      </c>
      <c r="O197" s="51"/>
      <c r="P197" s="51"/>
      <c r="Q197" s="51"/>
      <c r="R197" s="47">
        <f ca="1">(IntComp[[#This Row],['# to Replace (MRST)]]*INDEX(UnitCosts[#All],MATCH(IntComp[[#This Row],[WORK TYPE]],UnitCosts[Work Type],0)+1,2))*(1+((IntComp[[#This Row],[est. Year]]-YEAR(TODAY()))*$R$2))</f>
        <v>1256703</v>
      </c>
      <c r="S197" s="1">
        <f ca="1">SUM(INDEX(IntComp['# to Replace (MRST)],1):IntComp[[#This Row],['# to Replace (MRST)]])-272</f>
        <v>1168</v>
      </c>
      <c r="T197" s="51"/>
      <c r="U197" s="51">
        <f ca="1">IF(ISBLANK(IntComp[[#This Row],[CALENDAR YEAR]]),ROUNDDOWN(IntComp[[#This Row],[Count]]/190,0)+$U$1,IntComp[[#This Row],[CALENDAR YEAR]])</f>
        <v>2027</v>
      </c>
      <c r="V197" s="85">
        <f t="shared" ca="1" si="3"/>
        <v>3063213.5625</v>
      </c>
      <c r="W197" s="71"/>
      <c r="X197"/>
    </row>
    <row r="198" spans="1:24">
      <c r="A198" s="1" t="s">
        <v>201</v>
      </c>
      <c r="B198" s="9" t="str">
        <f>VLOOKUP(A198,Data[],2,FALSE)</f>
        <v>BRONX</v>
      </c>
      <c r="C198" s="9" t="s">
        <v>106</v>
      </c>
      <c r="D198" s="9" t="str">
        <f>VLOOKUP(IntComp[[#This Row],[DEVELOPMENT]],Data[],52,FALSE)</f>
        <v>FEDERAL</v>
      </c>
      <c r="E198" s="50">
        <f>VLOOKUP(IntComp[[#This Row],[DEVELOPMENT]],Data[],8,FALSE)</f>
        <v>0</v>
      </c>
      <c r="F198" s="50">
        <f>VLOOKUP(IntComp[[#This Row],[DEVELOPMENT]],all[[DEVELOPMENT]:[MRST Ext. Comp. Priority]],13,FALSE)</f>
        <v>4</v>
      </c>
      <c r="G198" s="50">
        <f>IF(VLOOKUP(IntComp[[#This Row],[DEVELOPMENT]],Data[],9,FALSE)=0,5,VLOOKUP(IntComp[[#This Row],[DEVELOPMENT]],Data[],9,FALSE))</f>
        <v>5</v>
      </c>
      <c r="H198" s="50">
        <f>VLOOKUP(IntComp[[#This Row],[DEVELOPMENT]],Data[],7,FALSE)</f>
        <v>2035</v>
      </c>
      <c r="I198" s="50">
        <f>VLOOKUP(IntComp[[#This Row],[DEVELOPMENT]],Data[],5,FALSE)</f>
        <v>40</v>
      </c>
      <c r="J198" s="50"/>
      <c r="K198" s="50" t="str">
        <f ca="1">IFERROR(VLOOKUP(IntComp[[#This Row],[DEVELOPMENT]],Data[],4,FALSE),"")</f>
        <v>2022-2025</v>
      </c>
      <c r="L198" s="50" t="str">
        <f ca="1">IF(IntComp[[#This Row],[RAD/PACT]]="","",IF(OR(IntComp[[#This Row],[RAD/PACT]]="2022-2025",IntComp[[#This Row],[RAD/PACT]]=2019,IntComp[[#This Row],[RAD/PACT]]="2020-2021"),"Yes",""))</f>
        <v>Yes</v>
      </c>
      <c r="M198" s="51">
        <f ca="1">IF(VLOOKUP(IntComp[[#This Row],[DEVELOPMENT]],Data[],10,FALSE)=0,-1,DATEDIF(VLOOKUP(IntComp[[#This Row],[DEVELOPMENT]],Data[],12,FALSE),TODAY(),"Y"))</f>
        <v>10</v>
      </c>
      <c r="N19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198" s="51"/>
      <c r="P198" s="51"/>
      <c r="Q198" s="51"/>
      <c r="R198" s="47">
        <f ca="1">(IntComp[[#This Row],['# to Replace (MRST)]]*INDEX(UnitCosts[#All],MATCH(IntComp[[#This Row],[WORK TYPE]],UnitCosts[Work Type],0)+1,2))*(1+((IntComp[[#This Row],[est. Year]]-YEAR(TODAY()))*$R$2))</f>
        <v>0</v>
      </c>
      <c r="S198" s="1">
        <f ca="1">SUM(INDEX(IntComp['# to Replace (MRST)],1):IntComp[[#This Row],['# to Replace (MRST)]])-272</f>
        <v>1168</v>
      </c>
      <c r="T198" s="51"/>
      <c r="U198" s="51">
        <f ca="1">IF(ISBLANK(IntComp[[#This Row],[CALENDAR YEAR]]),ROUNDDOWN(IntComp[[#This Row],[Count]]/190,0)+$U$1,IntComp[[#This Row],[CALENDAR YEAR]])</f>
        <v>2027</v>
      </c>
      <c r="V198" s="85">
        <f t="shared" ref="V198:V261" ca="1" si="4">IF(U198=U197,R198+V197,R198)</f>
        <v>3063213.5625</v>
      </c>
      <c r="W198" s="71"/>
      <c r="X198"/>
    </row>
    <row r="199" spans="1:24">
      <c r="A199" s="1" t="s">
        <v>349</v>
      </c>
      <c r="B199" s="9" t="str">
        <f>VLOOKUP(A199,Data[],2,FALSE)</f>
        <v>BROOKLYN</v>
      </c>
      <c r="C199" s="9" t="s">
        <v>106</v>
      </c>
      <c r="D199" s="9" t="str">
        <f>VLOOKUP(IntComp[[#This Row],[DEVELOPMENT]],Data[],52,FALSE)</f>
        <v>FEDERAL</v>
      </c>
      <c r="E199" s="50">
        <f>VLOOKUP(IntComp[[#This Row],[DEVELOPMENT]],Data[],8,FALSE)</f>
        <v>0</v>
      </c>
      <c r="F199" s="50">
        <f>VLOOKUP(IntComp[[#This Row],[DEVELOPMENT]],all[[DEVELOPMENT]:[MRST Ext. Comp. Priority]],13,FALSE)</f>
        <v>4</v>
      </c>
      <c r="G199" s="50">
        <f>IF(VLOOKUP(IntComp[[#This Row],[DEVELOPMENT]],Data[],9,FALSE)=0,5,VLOOKUP(IntComp[[#This Row],[DEVELOPMENT]],Data[],9,FALSE))</f>
        <v>5</v>
      </c>
      <c r="H199" s="50">
        <f>VLOOKUP(IntComp[[#This Row],[DEVELOPMENT]],Data[],7,FALSE)</f>
        <v>238</v>
      </c>
      <c r="I199" s="50">
        <f>VLOOKUP(IntComp[[#This Row],[DEVELOPMENT]],Data[],5,FALSE)</f>
        <v>3</v>
      </c>
      <c r="J199" s="50"/>
      <c r="K199" s="50" t="str">
        <f ca="1">IFERROR(VLOOKUP(IntComp[[#This Row],[DEVELOPMENT]],Data[],4,FALSE),"")</f>
        <v/>
      </c>
      <c r="L199" s="50" t="str">
        <f ca="1">IF(IntComp[[#This Row],[RAD/PACT]]="","",IF(OR(IntComp[[#This Row],[RAD/PACT]]="2022-2025",IntComp[[#This Row],[RAD/PACT]]=2019,IntComp[[#This Row],[RAD/PACT]]="2020-2021"),"Yes",""))</f>
        <v/>
      </c>
      <c r="M199" s="51">
        <f ca="1">IF(VLOOKUP(IntComp[[#This Row],[DEVELOPMENT]],Data[],10,FALSE)=0,-1,DATEDIF(VLOOKUP(IntComp[[#This Row],[DEVELOPMENT]],Data[],12,FALSE),TODAY(),"Y"))</f>
        <v>21</v>
      </c>
      <c r="N19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199" s="51"/>
      <c r="P199" s="51"/>
      <c r="Q199" s="51"/>
      <c r="R199" s="47">
        <f ca="1">(IntComp[[#This Row],['# to Replace (MRST)]]*INDEX(UnitCosts[#All],MATCH(IntComp[[#This Row],[WORK TYPE]],UnitCosts[Work Type],0)+1,2))*(1+((IntComp[[#This Row],[est. Year]]-YEAR(TODAY()))*$R$2))</f>
        <v>235631.81250000003</v>
      </c>
      <c r="S199" s="1">
        <f ca="1">SUM(INDEX(IntComp['# to Replace (MRST)],1):IntComp[[#This Row],['# to Replace (MRST)]])-272</f>
        <v>1171</v>
      </c>
      <c r="T199" s="51"/>
      <c r="U199" s="51">
        <f ca="1">IF(ISBLANK(IntComp[[#This Row],[CALENDAR YEAR]]),ROUNDDOWN(IntComp[[#This Row],[Count]]/190,0)+$U$1,IntComp[[#This Row],[CALENDAR YEAR]])</f>
        <v>2027</v>
      </c>
      <c r="V199" s="85">
        <f t="shared" ca="1" si="4"/>
        <v>3298845.375</v>
      </c>
      <c r="W199" s="71"/>
      <c r="X199"/>
    </row>
    <row r="200" spans="1:24">
      <c r="A200" s="1" t="s">
        <v>279</v>
      </c>
      <c r="B200" s="9" t="str">
        <f>VLOOKUP(A200,Data[],2,FALSE)</f>
        <v>MANHATTAN</v>
      </c>
      <c r="C200" s="9" t="s">
        <v>106</v>
      </c>
      <c r="D200" s="9" t="str">
        <f>VLOOKUP(IntComp[[#This Row],[DEVELOPMENT]],Data[],52,FALSE)</f>
        <v>FEDERAL</v>
      </c>
      <c r="E200" s="50">
        <f>VLOOKUP(IntComp[[#This Row],[DEVELOPMENT]],Data[],8,FALSE)</f>
        <v>0</v>
      </c>
      <c r="F200" s="50">
        <f>VLOOKUP(IntComp[[#This Row],[DEVELOPMENT]],all[[DEVELOPMENT]:[MRST Ext. Comp. Priority]],13,FALSE)</f>
        <v>4</v>
      </c>
      <c r="G200" s="50">
        <f>IF(VLOOKUP(IntComp[[#This Row],[DEVELOPMENT]],Data[],9,FALSE)=0,5,VLOOKUP(IntComp[[#This Row],[DEVELOPMENT]],Data[],9,FALSE))</f>
        <v>5</v>
      </c>
      <c r="H200" s="50">
        <f>VLOOKUP(IntComp[[#This Row],[DEVELOPMENT]],Data[],7,FALSE)</f>
        <v>1167</v>
      </c>
      <c r="I200" s="50">
        <f>VLOOKUP(IntComp[[#This Row],[DEVELOPMENT]],Data[],5,FALSE)</f>
        <v>7</v>
      </c>
      <c r="J200" s="50"/>
      <c r="K200" s="50" t="str">
        <f ca="1">IFERROR(VLOOKUP(IntComp[[#This Row],[DEVELOPMENT]],Data[],4,FALSE),"")</f>
        <v/>
      </c>
      <c r="L200" s="50" t="str">
        <f ca="1">IF(IntComp[[#This Row],[RAD/PACT]]="","",IF(OR(IntComp[[#This Row],[RAD/PACT]]="2022-2025",IntComp[[#This Row],[RAD/PACT]]=2019,IntComp[[#This Row],[RAD/PACT]]="2020-2021"),"Yes",""))</f>
        <v/>
      </c>
      <c r="M200" s="51">
        <f ca="1">IF(VLOOKUP(IntComp[[#This Row],[DEVELOPMENT]],Data[],10,FALSE)=0,-1,DATEDIF(VLOOKUP(IntComp[[#This Row],[DEVELOPMENT]],Data[],12,FALSE),TODAY(),"Y"))</f>
        <v>20</v>
      </c>
      <c r="N20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7</v>
      </c>
      <c r="O200" s="51"/>
      <c r="P200" s="51"/>
      <c r="Q200" s="51"/>
      <c r="R200" s="47">
        <f ca="1">(IntComp[[#This Row],['# to Replace (MRST)]]*INDEX(UnitCosts[#All],MATCH(IntComp[[#This Row],[WORK TYPE]],UnitCosts[Work Type],0)+1,2))*(1+((IntComp[[#This Row],[est. Year]]-YEAR(TODAY()))*$R$2))</f>
        <v>549807.5625</v>
      </c>
      <c r="S200" s="1">
        <f ca="1">SUM(INDEX(IntComp['# to Replace (MRST)],1):IntComp[[#This Row],['# to Replace (MRST)]])-272</f>
        <v>1178</v>
      </c>
      <c r="T200" s="51"/>
      <c r="U200" s="51">
        <f ca="1">IF(ISBLANK(IntComp[[#This Row],[CALENDAR YEAR]]),ROUNDDOWN(IntComp[[#This Row],[Count]]/190,0)+$U$1,IntComp[[#This Row],[CALENDAR YEAR]])</f>
        <v>2027</v>
      </c>
      <c r="V200" s="85">
        <f t="shared" ca="1" si="4"/>
        <v>3848652.9375</v>
      </c>
      <c r="W200" s="71"/>
      <c r="X200"/>
    </row>
    <row r="201" spans="1:24">
      <c r="A201" s="1" t="s">
        <v>376</v>
      </c>
      <c r="B201" s="9" t="str">
        <f>VLOOKUP(A201,Data[],2,FALSE)</f>
        <v>MANHATTAN</v>
      </c>
      <c r="C201" s="9" t="s">
        <v>106</v>
      </c>
      <c r="D201" s="9" t="str">
        <f>VLOOKUP(IntComp[[#This Row],[DEVELOPMENT]],Data[],52,FALSE)</f>
        <v>FEDERAL</v>
      </c>
      <c r="E201" s="50">
        <f>VLOOKUP(IntComp[[#This Row],[DEVELOPMENT]],Data[],8,FALSE)</f>
        <v>0</v>
      </c>
      <c r="F201" s="50">
        <f>VLOOKUP(IntComp[[#This Row],[DEVELOPMENT]],all[[DEVELOPMENT]:[MRST Ext. Comp. Priority]],13,FALSE)</f>
        <v>4</v>
      </c>
      <c r="G201" s="50">
        <f>IF(VLOOKUP(IntComp[[#This Row],[DEVELOPMENT]],Data[],9,FALSE)=0,5,VLOOKUP(IntComp[[#This Row],[DEVELOPMENT]],Data[],9,FALSE))</f>
        <v>5</v>
      </c>
      <c r="H201" s="50">
        <f>VLOOKUP(IntComp[[#This Row],[DEVELOPMENT]],Data[],7,FALSE)</f>
        <v>215</v>
      </c>
      <c r="I201" s="50">
        <f>VLOOKUP(IntComp[[#This Row],[DEVELOPMENT]],Data[],5,FALSE)</f>
        <v>5</v>
      </c>
      <c r="J201" s="50"/>
      <c r="K201" s="50" t="str">
        <f ca="1">IFERROR(VLOOKUP(IntComp[[#This Row],[DEVELOPMENT]],Data[],4,FALSE),"")</f>
        <v>2020-2021</v>
      </c>
      <c r="L201" s="50" t="str">
        <f ca="1">IF(IntComp[[#This Row],[RAD/PACT]]="","",IF(OR(IntComp[[#This Row],[RAD/PACT]]="2022-2025",IntComp[[#This Row],[RAD/PACT]]=2019,IntComp[[#This Row],[RAD/PACT]]="2020-2021"),"Yes",""))</f>
        <v>Yes</v>
      </c>
      <c r="M201" s="51">
        <f ca="1">IF(VLOOKUP(IntComp[[#This Row],[DEVELOPMENT]],Data[],10,FALSE)=0,-1,DATEDIF(VLOOKUP(IntComp[[#This Row],[DEVELOPMENT]],Data[],12,FALSE),TODAY(),"Y"))</f>
        <v>8</v>
      </c>
      <c r="N20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01" s="51"/>
      <c r="P201" s="51"/>
      <c r="Q201" s="51"/>
      <c r="R201" s="47">
        <f ca="1">(IntComp[[#This Row],['# to Replace (MRST)]]*INDEX(UnitCosts[#All],MATCH(IntComp[[#This Row],[WORK TYPE]],UnitCosts[Work Type],0)+1,2))*(1+((IntComp[[#This Row],[est. Year]]-YEAR(TODAY()))*$R$2))</f>
        <v>0</v>
      </c>
      <c r="S201" s="1">
        <f ca="1">SUM(INDEX(IntComp['# to Replace (MRST)],1):IntComp[[#This Row],['# to Replace (MRST)]])-272</f>
        <v>1178</v>
      </c>
      <c r="T201" s="51"/>
      <c r="U201" s="51">
        <f ca="1">IF(ISBLANK(IntComp[[#This Row],[CALENDAR YEAR]]),ROUNDDOWN(IntComp[[#This Row],[Count]]/190,0)+$U$1,IntComp[[#This Row],[CALENDAR YEAR]])</f>
        <v>2027</v>
      </c>
      <c r="V201" s="85">
        <f t="shared" ca="1" si="4"/>
        <v>3848652.9375</v>
      </c>
      <c r="W201" s="71"/>
      <c r="X201"/>
    </row>
    <row r="202" spans="1:24" hidden="1">
      <c r="A202" s="193" t="s">
        <v>365</v>
      </c>
      <c r="B202" s="95" t="str">
        <f>VLOOKUP(A202,Data[],2,FALSE)</f>
        <v>STATEN ISLAND</v>
      </c>
      <c r="C202" s="95" t="s">
        <v>106</v>
      </c>
      <c r="D202" s="95" t="str">
        <f>VLOOKUP(IntComp[[#This Row],[DEVELOPMENT]],Data[],52,FALSE)</f>
        <v>MIXED FINANCE/LLC1</v>
      </c>
      <c r="E202" s="204">
        <f>VLOOKUP(IntComp[[#This Row],[DEVELOPMENT]],Data[],8,FALSE)</f>
        <v>0</v>
      </c>
      <c r="F202" s="204">
        <f>VLOOKUP(IntComp[[#This Row],[DEVELOPMENT]],all[[DEVELOPMENT]:[MRST Ext. Comp. Priority]],13,FALSE)</f>
        <v>3</v>
      </c>
      <c r="G202" s="204">
        <f>IF(VLOOKUP(IntComp[[#This Row],[DEVELOPMENT]],Data[],9,FALSE)=0,5,VLOOKUP(IntComp[[#This Row],[DEVELOPMENT]],Data[],9,FALSE))</f>
        <v>5</v>
      </c>
      <c r="H202" s="204">
        <f>VLOOKUP(IntComp[[#This Row],[DEVELOPMENT]],Data[],7,FALSE)</f>
        <v>693</v>
      </c>
      <c r="I202" s="204">
        <f>VLOOKUP(IntComp[[#This Row],[DEVELOPMENT]],Data[],5,FALSE)</f>
        <v>6</v>
      </c>
      <c r="J202" s="204"/>
      <c r="K202" s="204" t="str">
        <f ca="1">IFERROR(VLOOKUP(IntComp[[#This Row],[DEVELOPMENT]],Data[],4,FALSE),"")</f>
        <v/>
      </c>
      <c r="L202" s="204" t="str">
        <f ca="1">IF(IntComp[[#This Row],[RAD/PACT]]="","",IF(OR(IntComp[[#This Row],[RAD/PACT]]="2022-2025",IntComp[[#This Row],[RAD/PACT]]=2019,IntComp[[#This Row],[RAD/PACT]]="2020-2021"),"Yes",""))</f>
        <v/>
      </c>
      <c r="M202" s="205">
        <f ca="1">IF(VLOOKUP(IntComp[[#This Row],[DEVELOPMENT]],Data[],10,FALSE)=0,-1,DATEDIF(VLOOKUP(IntComp[[#This Row],[DEVELOPMENT]],Data[],12,FALSE),TODAY(),"Y"))</f>
        <v>15</v>
      </c>
      <c r="N202" s="205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02" s="205"/>
      <c r="P202" s="205"/>
      <c r="Q202" s="205"/>
      <c r="R202" s="206">
        <f ca="1">(IntComp[[#This Row],['# to Replace (MRST)]]*INDEX(UnitCosts[#All],MATCH(IntComp[[#This Row],[WORK TYPE]],UnitCosts[Work Type],0)+1,2))*(1+((IntComp[[#This Row],[est. Year]]-YEAR(TODAY()))*$R$2))</f>
        <v>0</v>
      </c>
      <c r="S202" s="94">
        <f ca="1">SUM(INDEX(IntComp['# to Replace (MRST)],1):IntComp[[#This Row],['# to Replace (MRST)]])-272</f>
        <v>1178</v>
      </c>
      <c r="T202" s="205"/>
      <c r="U202" s="205">
        <f ca="1">IF(ISBLANK(IntComp[[#This Row],[CALENDAR YEAR]]),ROUNDDOWN(IntComp[[#This Row],[Count]]/190,0)+$U$1,IntComp[[#This Row],[CALENDAR YEAR]])</f>
        <v>2027</v>
      </c>
      <c r="V202" s="207">
        <f t="shared" ca="1" si="4"/>
        <v>3848652.9375</v>
      </c>
      <c r="W202" s="106"/>
      <c r="X202"/>
    </row>
    <row r="203" spans="1:24" hidden="1">
      <c r="A203" s="48" t="s">
        <v>384</v>
      </c>
      <c r="B203" s="24" t="str">
        <f>VLOOKUP(A203,Data[],2,FALSE)</f>
        <v>BROOKLYN</v>
      </c>
      <c r="C203" s="24" t="s">
        <v>106</v>
      </c>
      <c r="D203" s="24" t="str">
        <f>VLOOKUP(IntComp[[#This Row],[DEVELOPMENT]],Data[],52,FALSE)</f>
        <v>MIXED FINANCE/LLC2</v>
      </c>
      <c r="E203" s="52">
        <f>VLOOKUP(IntComp[[#This Row],[DEVELOPMENT]],Data[],8,FALSE)</f>
        <v>0</v>
      </c>
      <c r="F203" s="52">
        <f>VLOOKUP(IntComp[[#This Row],[DEVELOPMENT]],all[[DEVELOPMENT]:[MRST Ext. Comp. Priority]],13,FALSE)</f>
        <v>3</v>
      </c>
      <c r="G203" s="52">
        <f>IF(VLOOKUP(IntComp[[#This Row],[DEVELOPMENT]],Data[],9,FALSE)=0,5,VLOOKUP(IntComp[[#This Row],[DEVELOPMENT]],Data[],9,FALSE))</f>
        <v>5</v>
      </c>
      <c r="H203" s="52">
        <f>VLOOKUP(IntComp[[#This Row],[DEVELOPMENT]],Data[],7,FALSE)</f>
        <v>577</v>
      </c>
      <c r="I203" s="52">
        <f>VLOOKUP(IntComp[[#This Row],[DEVELOPMENT]],Data[],5,FALSE)</f>
        <v>5</v>
      </c>
      <c r="J203" s="52"/>
      <c r="K203" s="52">
        <f ca="1">IFERROR(VLOOKUP(IntComp[[#This Row],[DEVELOPMENT]],Data[],4,FALSE),"")</f>
        <v>2019</v>
      </c>
      <c r="L203" s="52" t="str">
        <f ca="1">IF(IntComp[[#This Row],[RAD/PACT]]="","",IF(OR(IntComp[[#This Row],[RAD/PACT]]="2022-2025",IntComp[[#This Row],[RAD/PACT]]=2019,IntComp[[#This Row],[RAD/PACT]]="2020-2021"),"Yes",""))</f>
        <v>Yes</v>
      </c>
      <c r="M203" s="62">
        <f ca="1">IF(VLOOKUP(IntComp[[#This Row],[DEVELOPMENT]],Data[],10,FALSE)=0,-1,DATEDIF(VLOOKUP(IntComp[[#This Row],[DEVELOPMENT]],Data[],12,FALSE),TODAY(),"Y"))</f>
        <v>15</v>
      </c>
      <c r="N203" s="62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03" s="62"/>
      <c r="P203" s="62"/>
      <c r="Q203" s="62"/>
      <c r="R203" s="53">
        <f ca="1">(IntComp[[#This Row],['# to Replace (MRST)]]*INDEX(UnitCosts[#All],MATCH(IntComp[[#This Row],[WORK TYPE]],UnitCosts[Work Type],0)+1,2))*(1+((IntComp[[#This Row],[est. Year]]-YEAR(TODAY()))*$R$2))</f>
        <v>0</v>
      </c>
      <c r="S203" s="36">
        <f ca="1">SUM(INDEX(IntComp['# to Replace (MRST)],1):IntComp[[#This Row],['# to Replace (MRST)]])-272</f>
        <v>1178</v>
      </c>
      <c r="T203" s="62"/>
      <c r="U203" s="62">
        <f ca="1">IF(ISBLANK(IntComp[[#This Row],[CALENDAR YEAR]]),ROUNDDOWN(IntComp[[#This Row],[Count]]/190,0)+$U$1,IntComp[[#This Row],[CALENDAR YEAR]])</f>
        <v>2027</v>
      </c>
      <c r="V203" s="141">
        <f t="shared" ca="1" si="4"/>
        <v>3848652.9375</v>
      </c>
      <c r="W203" s="106"/>
      <c r="X203"/>
    </row>
    <row r="204" spans="1:24">
      <c r="A204" s="1" t="s">
        <v>288</v>
      </c>
      <c r="B204" s="9" t="str">
        <f>VLOOKUP(A204,Data[],2,FALSE)</f>
        <v>STATEN ISLAND</v>
      </c>
      <c r="C204" s="9" t="s">
        <v>106</v>
      </c>
      <c r="D204" s="9" t="str">
        <f>VLOOKUP(IntComp[[#This Row],[DEVELOPMENT]],Data[],52,FALSE)</f>
        <v>FEDERAL</v>
      </c>
      <c r="E204" s="50">
        <f>VLOOKUP(IntComp[[#This Row],[DEVELOPMENT]],Data[],8,FALSE)</f>
        <v>0</v>
      </c>
      <c r="F204" s="50">
        <f>VLOOKUP(IntComp[[#This Row],[DEVELOPMENT]],all[[DEVELOPMENT]:[MRST Ext. Comp. Priority]],13,FALSE)</f>
        <v>4</v>
      </c>
      <c r="G204" s="50">
        <f>IF(VLOOKUP(IntComp[[#This Row],[DEVELOPMENT]],Data[],9,FALSE)=0,5,VLOOKUP(IntComp[[#This Row],[DEVELOPMENT]],Data[],9,FALSE))</f>
        <v>5</v>
      </c>
      <c r="H204" s="50">
        <f>VLOOKUP(IntComp[[#This Row],[DEVELOPMENT]],Data[],7,FALSE)</f>
        <v>502</v>
      </c>
      <c r="I204" s="50">
        <f>VLOOKUP(IntComp[[#This Row],[DEVELOPMENT]],Data[],5,FALSE)</f>
        <v>7</v>
      </c>
      <c r="J204" s="50"/>
      <c r="K204" s="50" t="str">
        <f ca="1">IFERROR(VLOOKUP(IntComp[[#This Row],[DEVELOPMENT]],Data[],4,FALSE),"")</f>
        <v/>
      </c>
      <c r="L204" s="50" t="str">
        <f ca="1">IF(IntComp[[#This Row],[RAD/PACT]]="","",IF(OR(IntComp[[#This Row],[RAD/PACT]]="2022-2025",IntComp[[#This Row],[RAD/PACT]]=2019,IntComp[[#This Row],[RAD/PACT]]="2020-2021"),"Yes",""))</f>
        <v/>
      </c>
      <c r="M204" s="51">
        <f ca="1">IF(VLOOKUP(IntComp[[#This Row],[DEVELOPMENT]],Data[],10,FALSE)=0,-1,DATEDIF(VLOOKUP(IntComp[[#This Row],[DEVELOPMENT]],Data[],12,FALSE),TODAY(),"Y"))</f>
        <v>18</v>
      </c>
      <c r="N20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14</v>
      </c>
      <c r="O204" s="51"/>
      <c r="P204" s="51"/>
      <c r="Q204" s="51"/>
      <c r="R204" s="47">
        <f ca="1">(IntComp[[#This Row],['# to Replace (MRST)]]*INDEX(UnitCosts[#All],MATCH(IntComp[[#This Row],[WORK TYPE]],UnitCosts[Work Type],0)+1,2))*(1+((IntComp[[#This Row],[est. Year]]-YEAR(TODAY()))*$R$2))</f>
        <v>1099615.125</v>
      </c>
      <c r="S204" s="1">
        <f ca="1">SUM(INDEX(IntComp['# to Replace (MRST)],1):IntComp[[#This Row],['# to Replace (MRST)]])-272</f>
        <v>1192</v>
      </c>
      <c r="T204" s="51"/>
      <c r="U204" s="51">
        <f ca="1">IF(ISBLANK(IntComp[[#This Row],[CALENDAR YEAR]]),ROUNDDOWN(IntComp[[#This Row],[Count]]/190,0)+$U$1,IntComp[[#This Row],[CALENDAR YEAR]])</f>
        <v>2027</v>
      </c>
      <c r="V204" s="85">
        <f t="shared" ca="1" si="4"/>
        <v>4948268.0625</v>
      </c>
      <c r="W204" s="71"/>
      <c r="X204"/>
    </row>
    <row r="205" spans="1:24">
      <c r="A205" s="1" t="s">
        <v>374</v>
      </c>
      <c r="B205" s="9" t="str">
        <f>VLOOKUP(A205,Data[],2,FALSE)</f>
        <v>BROOKLYN</v>
      </c>
      <c r="C205" s="9" t="s">
        <v>106</v>
      </c>
      <c r="D205" s="9" t="str">
        <f>VLOOKUP(IntComp[[#This Row],[DEVELOPMENT]],Data[],52,FALSE)</f>
        <v>FEDERAL</v>
      </c>
      <c r="E205" s="50">
        <f>VLOOKUP(IntComp[[#This Row],[DEVELOPMENT]],Data[],8,FALSE)</f>
        <v>0</v>
      </c>
      <c r="F205" s="50">
        <f>VLOOKUP(IntComp[[#This Row],[DEVELOPMENT]],all[[DEVELOPMENT]:[MRST Ext. Comp. Priority]],13,FALSE)</f>
        <v>4</v>
      </c>
      <c r="G205" s="50">
        <f>IF(VLOOKUP(IntComp[[#This Row],[DEVELOPMENT]],Data[],9,FALSE)=0,5,VLOOKUP(IntComp[[#This Row],[DEVELOPMENT]],Data[],9,FALSE))</f>
        <v>5</v>
      </c>
      <c r="H205" s="50">
        <f>VLOOKUP(IntComp[[#This Row],[DEVELOPMENT]],Data[],7,FALSE)</f>
        <v>111</v>
      </c>
      <c r="I205" s="50">
        <f>VLOOKUP(IntComp[[#This Row],[DEVELOPMENT]],Data[],5,FALSE)</f>
        <v>1</v>
      </c>
      <c r="J205" s="50"/>
      <c r="K205" s="50" t="str">
        <f ca="1">IFERROR(VLOOKUP(IntComp[[#This Row],[DEVELOPMENT]],Data[],4,FALSE),"")</f>
        <v/>
      </c>
      <c r="L205" s="50" t="str">
        <f ca="1">IF(IntComp[[#This Row],[RAD/PACT]]="","",IF(OR(IntComp[[#This Row],[RAD/PACT]]="2022-2025",IntComp[[#This Row],[RAD/PACT]]=2019,IntComp[[#This Row],[RAD/PACT]]="2020-2021"),"Yes",""))</f>
        <v/>
      </c>
      <c r="M205" s="51">
        <f ca="1">IF(VLOOKUP(IntComp[[#This Row],[DEVELOPMENT]],Data[],10,FALSE)=0,-1,DATEDIF(VLOOKUP(IntComp[[#This Row],[DEVELOPMENT]],Data[],12,FALSE),TODAY(),"Y"))</f>
        <v>18</v>
      </c>
      <c r="N20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205" s="51"/>
      <c r="P205" s="51"/>
      <c r="Q205" s="51"/>
      <c r="R205" s="47">
        <f ca="1">(IntComp[[#This Row],['# to Replace (MRST)]]*INDEX(UnitCosts[#All],MATCH(IntComp[[#This Row],[WORK TYPE]],UnitCosts[Work Type],0)+1,2))*(1+((IntComp[[#This Row],[est. Year]]-YEAR(TODAY()))*$R$2))</f>
        <v>78543.9375</v>
      </c>
      <c r="S205" s="1">
        <f ca="1">SUM(INDEX(IntComp['# to Replace (MRST)],1):IntComp[[#This Row],['# to Replace (MRST)]])-272</f>
        <v>1193</v>
      </c>
      <c r="T205" s="51"/>
      <c r="U205" s="51">
        <f ca="1">IF(ISBLANK(IntComp[[#This Row],[CALENDAR YEAR]]),ROUNDDOWN(IntComp[[#This Row],[Count]]/190,0)+$U$1,IntComp[[#This Row],[CALENDAR YEAR]])</f>
        <v>2027</v>
      </c>
      <c r="V205" s="85">
        <f t="shared" ca="1" si="4"/>
        <v>5026812</v>
      </c>
      <c r="W205" s="71" t="s">
        <v>2226</v>
      </c>
      <c r="X205"/>
    </row>
    <row r="206" spans="1:24">
      <c r="A206" s="1" t="s">
        <v>311</v>
      </c>
      <c r="B206" s="9" t="str">
        <f>VLOOKUP(A206,Data[],2,FALSE)</f>
        <v>BROOKLYN</v>
      </c>
      <c r="C206" s="9" t="s">
        <v>106</v>
      </c>
      <c r="D206" s="9" t="str">
        <f>VLOOKUP(IntComp[[#This Row],[DEVELOPMENT]],Data[],52,FALSE)</f>
        <v>FEDERAL</v>
      </c>
      <c r="E206" s="50">
        <f>VLOOKUP(IntComp[[#This Row],[DEVELOPMENT]],Data[],8,FALSE)</f>
        <v>0</v>
      </c>
      <c r="F206" s="50">
        <f>VLOOKUP(IntComp[[#This Row],[DEVELOPMENT]],all[[DEVELOPMENT]:[MRST Ext. Comp. Priority]],13,FALSE)</f>
        <v>2</v>
      </c>
      <c r="G206" s="50">
        <f>IF(VLOOKUP(IntComp[[#This Row],[DEVELOPMENT]],Data[],9,FALSE)=0,5,VLOOKUP(IntComp[[#This Row],[DEVELOPMENT]],Data[],9,FALSE))</f>
        <v>5</v>
      </c>
      <c r="H206" s="50">
        <f>VLOOKUP(IntComp[[#This Row],[DEVELOPMENT]],Data[],7,FALSE)</f>
        <v>192</v>
      </c>
      <c r="I206" s="50">
        <f>VLOOKUP(IntComp[[#This Row],[DEVELOPMENT]],Data[],5,FALSE)</f>
        <v>1</v>
      </c>
      <c r="J206" s="50"/>
      <c r="K206" s="50" t="str">
        <f ca="1">IFERROR(VLOOKUP(IntComp[[#This Row],[DEVELOPMENT]],Data[],4,FALSE),"")</f>
        <v/>
      </c>
      <c r="L206" s="50" t="str">
        <f ca="1">IF(IntComp[[#This Row],[RAD/PACT]]="","",IF(OR(IntComp[[#This Row],[RAD/PACT]]="2022-2025",IntComp[[#This Row],[RAD/PACT]]=2019,IntComp[[#This Row],[RAD/PACT]]="2020-2021"),"Yes",""))</f>
        <v/>
      </c>
      <c r="M206" s="51">
        <f ca="1">IF(VLOOKUP(IntComp[[#This Row],[DEVELOPMENT]],Data[],10,FALSE)=0,-1,DATEDIF(VLOOKUP(IntComp[[#This Row],[DEVELOPMENT]],Data[],12,FALSE),TODAY(),"Y"))</f>
        <v>2</v>
      </c>
      <c r="N20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06" s="51"/>
      <c r="P206" s="51"/>
      <c r="Q206" s="51"/>
      <c r="R206" s="47">
        <f ca="1">(IntComp[[#This Row],['# to Replace (MRST)]]*INDEX(UnitCosts[#All],MATCH(IntComp[[#This Row],[WORK TYPE]],UnitCosts[Work Type],0)+1,2))*(1+((IntComp[[#This Row],[est. Year]]-YEAR(TODAY()))*$R$2))</f>
        <v>0</v>
      </c>
      <c r="S206" s="1">
        <f ca="1">SUM(INDEX(IntComp['# to Replace (MRST)],1):IntComp[[#This Row],['# to Replace (MRST)]])-272</f>
        <v>1193</v>
      </c>
      <c r="T206" s="51"/>
      <c r="U206" s="51">
        <f ca="1">IF(ISBLANK(IntComp[[#This Row],[CALENDAR YEAR]]),ROUNDDOWN(IntComp[[#This Row],[Count]]/190,0)+$U$1,IntComp[[#This Row],[CALENDAR YEAR]])</f>
        <v>2027</v>
      </c>
      <c r="V206" s="85">
        <f t="shared" ca="1" si="4"/>
        <v>5026812</v>
      </c>
      <c r="W206" s="71"/>
      <c r="X206"/>
    </row>
    <row r="207" spans="1:24">
      <c r="A207" s="1" t="s">
        <v>356</v>
      </c>
      <c r="B207" s="9" t="str">
        <f>VLOOKUP(A207,Data[],2,FALSE)</f>
        <v>BROOKLYN</v>
      </c>
      <c r="C207" s="9" t="s">
        <v>106</v>
      </c>
      <c r="D207" s="9" t="str">
        <f>VLOOKUP(IntComp[[#This Row],[DEVELOPMENT]],Data[],52,FALSE)</f>
        <v>FEDERAL</v>
      </c>
      <c r="E207" s="50">
        <f>VLOOKUP(IntComp[[#This Row],[DEVELOPMENT]],Data[],8,FALSE)</f>
        <v>0</v>
      </c>
      <c r="F207" s="50">
        <f>VLOOKUP(IntComp[[#This Row],[DEVELOPMENT]],all[[DEVELOPMENT]:[MRST Ext. Comp. Priority]],13,FALSE)</f>
        <v>3</v>
      </c>
      <c r="G207" s="50">
        <f>IF(VLOOKUP(IntComp[[#This Row],[DEVELOPMENT]],Data[],9,FALSE)=0,5,VLOOKUP(IntComp[[#This Row],[DEVELOPMENT]],Data[],9,FALSE))</f>
        <v>5</v>
      </c>
      <c r="H207" s="50">
        <f>VLOOKUP(IntComp[[#This Row],[DEVELOPMENT]],Data[],7,FALSE)</f>
        <v>227</v>
      </c>
      <c r="I207" s="50">
        <f>VLOOKUP(IntComp[[#This Row],[DEVELOPMENT]],Data[],5,FALSE)</f>
        <v>1</v>
      </c>
      <c r="J207" s="50"/>
      <c r="K207" s="50" t="str">
        <f ca="1">IFERROR(VLOOKUP(IntComp[[#This Row],[DEVELOPMENT]],Data[],4,FALSE),"")</f>
        <v>2020-2021</v>
      </c>
      <c r="L207" s="50" t="str">
        <f ca="1">IF(IntComp[[#This Row],[RAD/PACT]]="","",IF(OR(IntComp[[#This Row],[RAD/PACT]]="2022-2025",IntComp[[#This Row],[RAD/PACT]]=2019,IntComp[[#This Row],[RAD/PACT]]="2020-2021"),"Yes",""))</f>
        <v>Yes</v>
      </c>
      <c r="M207" s="51">
        <f ca="1">IF(VLOOKUP(IntComp[[#This Row],[DEVELOPMENT]],Data[],10,FALSE)=0,-1,DATEDIF(VLOOKUP(IntComp[[#This Row],[DEVELOPMENT]],Data[],12,FALSE),TODAY(),"Y"))</f>
        <v>2</v>
      </c>
      <c r="N20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07" s="51"/>
      <c r="P207" s="51"/>
      <c r="Q207" s="51"/>
      <c r="R207" s="47">
        <f ca="1">(IntComp[[#This Row],['# to Replace (MRST)]]*INDEX(UnitCosts[#All],MATCH(IntComp[[#This Row],[WORK TYPE]],UnitCosts[Work Type],0)+1,2))*(1+((IntComp[[#This Row],[est. Year]]-YEAR(TODAY()))*$R$2))</f>
        <v>0</v>
      </c>
      <c r="S207" s="1">
        <f ca="1">SUM(INDEX(IntComp['# to Replace (MRST)],1):IntComp[[#This Row],['# to Replace (MRST)]])-272</f>
        <v>1193</v>
      </c>
      <c r="T207" s="51"/>
      <c r="U207" s="51">
        <f ca="1">IF(ISBLANK(IntComp[[#This Row],[CALENDAR YEAR]]),ROUNDDOWN(IntComp[[#This Row],[Count]]/190,0)+$U$1,IntComp[[#This Row],[CALENDAR YEAR]])</f>
        <v>2027</v>
      </c>
      <c r="V207" s="85">
        <f t="shared" ca="1" si="4"/>
        <v>5026812</v>
      </c>
      <c r="W207" s="71"/>
      <c r="X207"/>
    </row>
    <row r="208" spans="1:24">
      <c r="A208" s="1" t="s">
        <v>312</v>
      </c>
      <c r="B208" s="9" t="str">
        <f>VLOOKUP(A208,Data[],2,FALSE)</f>
        <v>BROOKLYN</v>
      </c>
      <c r="C208" s="9" t="s">
        <v>106</v>
      </c>
      <c r="D208" s="9" t="str">
        <f>VLOOKUP(IntComp[[#This Row],[DEVELOPMENT]],Data[],52,FALSE)</f>
        <v>FEDERAL</v>
      </c>
      <c r="E208" s="50">
        <f>VLOOKUP(IntComp[[#This Row],[DEVELOPMENT]],Data[],8,FALSE)</f>
        <v>0</v>
      </c>
      <c r="F208" s="50">
        <f>VLOOKUP(IntComp[[#This Row],[DEVELOPMENT]],all[[DEVELOPMENT]:[MRST Ext. Comp. Priority]],13,FALSE)</f>
        <v>3</v>
      </c>
      <c r="G208" s="50">
        <f>IF(VLOOKUP(IntComp[[#This Row],[DEVELOPMENT]],Data[],9,FALSE)=0,5,VLOOKUP(IntComp[[#This Row],[DEVELOPMENT]],Data[],9,FALSE))</f>
        <v>5</v>
      </c>
      <c r="H208" s="50">
        <f>VLOOKUP(IntComp[[#This Row],[DEVELOPMENT]],Data[],7,FALSE)</f>
        <v>376</v>
      </c>
      <c r="I208" s="50">
        <f>VLOOKUP(IntComp[[#This Row],[DEVELOPMENT]],Data[],5,FALSE)</f>
        <v>1</v>
      </c>
      <c r="J208" s="50"/>
      <c r="K208" s="50" t="str">
        <f ca="1">IFERROR(VLOOKUP(IntComp[[#This Row],[DEVELOPMENT]],Data[],4,FALSE),"")</f>
        <v/>
      </c>
      <c r="L208" s="50" t="str">
        <f ca="1">IF(IntComp[[#This Row],[RAD/PACT]]="","",IF(OR(IntComp[[#This Row],[RAD/PACT]]="2022-2025",IntComp[[#This Row],[RAD/PACT]]=2019,IntComp[[#This Row],[RAD/PACT]]="2020-2021"),"Yes",""))</f>
        <v/>
      </c>
      <c r="M208" s="51">
        <f ca="1">IF(VLOOKUP(IntComp[[#This Row],[DEVELOPMENT]],Data[],10,FALSE)=0,-1,DATEDIF(VLOOKUP(IntComp[[#This Row],[DEVELOPMENT]],Data[],12,FALSE),TODAY(),"Y"))</f>
        <v>2</v>
      </c>
      <c r="N20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08" s="51"/>
      <c r="P208" s="51"/>
      <c r="Q208" s="51"/>
      <c r="R208" s="47">
        <f ca="1">(IntComp[[#This Row],['# to Replace (MRST)]]*INDEX(UnitCosts[#All],MATCH(IntComp[[#This Row],[WORK TYPE]],UnitCosts[Work Type],0)+1,2))*(1+((IntComp[[#This Row],[est. Year]]-YEAR(TODAY()))*$R$2))</f>
        <v>0</v>
      </c>
      <c r="S208" s="1">
        <f ca="1">SUM(INDEX(IntComp['# to Replace (MRST)],1):IntComp[[#This Row],['# to Replace (MRST)]])-272</f>
        <v>1193</v>
      </c>
      <c r="T208" s="51"/>
      <c r="U208" s="51">
        <f ca="1">IF(ISBLANK(IntComp[[#This Row],[CALENDAR YEAR]]),ROUNDDOWN(IntComp[[#This Row],[Count]]/190,0)+$U$1,IntComp[[#This Row],[CALENDAR YEAR]])</f>
        <v>2027</v>
      </c>
      <c r="V208" s="85">
        <f t="shared" ca="1" si="4"/>
        <v>5026812</v>
      </c>
      <c r="W208" s="71"/>
      <c r="X208"/>
    </row>
    <row r="209" spans="1:24">
      <c r="A209" s="1" t="s">
        <v>229</v>
      </c>
      <c r="B209" s="9" t="str">
        <f>VLOOKUP(A209,Data[],2,FALSE)</f>
        <v>MANHATTAN</v>
      </c>
      <c r="C209" s="9" t="s">
        <v>106</v>
      </c>
      <c r="D209" s="9" t="str">
        <f>VLOOKUP(IntComp[[#This Row],[DEVELOPMENT]],Data[],52,FALSE)</f>
        <v>FEDERAL</v>
      </c>
      <c r="E209" s="50">
        <f>VLOOKUP(IntComp[[#This Row],[DEVELOPMENT]],Data[],8,FALSE)</f>
        <v>0</v>
      </c>
      <c r="F209" s="50">
        <f>VLOOKUP(IntComp[[#This Row],[DEVELOPMENT]],all[[DEVELOPMENT]:[MRST Ext. Comp. Priority]],13,FALSE)</f>
        <v>2</v>
      </c>
      <c r="G209" s="50">
        <f>IF(VLOOKUP(IntComp[[#This Row],[DEVELOPMENT]],Data[],9,FALSE)=0,5,VLOOKUP(IntComp[[#This Row],[DEVELOPMENT]],Data[],9,FALSE))</f>
        <v>5</v>
      </c>
      <c r="H209" s="50">
        <f>VLOOKUP(IntComp[[#This Row],[DEVELOPMENT]],Data[],7,FALSE)</f>
        <v>35</v>
      </c>
      <c r="I209" s="50">
        <f>VLOOKUP(IntComp[[#This Row],[DEVELOPMENT]],Data[],5,FALSE)</f>
        <v>1</v>
      </c>
      <c r="J209" s="50"/>
      <c r="K209" s="50" t="str">
        <f ca="1">IFERROR(VLOOKUP(IntComp[[#This Row],[DEVELOPMENT]],Data[],4,FALSE),"")</f>
        <v/>
      </c>
      <c r="L209" s="50" t="str">
        <f ca="1">IF(IntComp[[#This Row],[RAD/PACT]]="","",IF(OR(IntComp[[#This Row],[RAD/PACT]]="2022-2025",IntComp[[#This Row],[RAD/PACT]]=2019,IntComp[[#This Row],[RAD/PACT]]="2020-2021"),"Yes",""))</f>
        <v/>
      </c>
      <c r="M209" s="51">
        <f ca="1">IF(VLOOKUP(IntComp[[#This Row],[DEVELOPMENT]],Data[],10,FALSE)=0,-1,DATEDIF(VLOOKUP(IntComp[[#This Row],[DEVELOPMENT]],Data[],12,FALSE),TODAY(),"Y"))</f>
        <v>-1</v>
      </c>
      <c r="N20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09" s="51"/>
      <c r="P209" s="51"/>
      <c r="Q209" s="51"/>
      <c r="R209" s="47">
        <f ca="1">(IntComp[[#This Row],['# to Replace (MRST)]]*INDEX(UnitCosts[#All],MATCH(IntComp[[#This Row],[WORK TYPE]],UnitCosts[Work Type],0)+1,2))*(1+((IntComp[[#This Row],[est. Year]]-YEAR(TODAY()))*$R$2))</f>
        <v>0</v>
      </c>
      <c r="S209" s="1">
        <f ca="1">SUM(INDEX(IntComp['# to Replace (MRST)],1):IntComp[[#This Row],['# to Replace (MRST)]])-272</f>
        <v>1193</v>
      </c>
      <c r="T209" s="51"/>
      <c r="U209" s="51">
        <f ca="1">IF(ISBLANK(IntComp[[#This Row],[CALENDAR YEAR]]),ROUNDDOWN(IntComp[[#This Row],[Count]]/190,0)+$U$1,IntComp[[#This Row],[CALENDAR YEAR]])</f>
        <v>2027</v>
      </c>
      <c r="V209" s="85">
        <f t="shared" ca="1" si="4"/>
        <v>5026812</v>
      </c>
      <c r="W209" s="71"/>
      <c r="X209"/>
    </row>
    <row r="210" spans="1:24">
      <c r="A210" s="1" t="s">
        <v>318</v>
      </c>
      <c r="B210" s="9" t="str">
        <f>VLOOKUP(A210,Data[],2,FALSE)</f>
        <v>BROOKLYN</v>
      </c>
      <c r="C210" s="9" t="s">
        <v>106</v>
      </c>
      <c r="D210" s="9" t="str">
        <f>VLOOKUP(IntComp[[#This Row],[DEVELOPMENT]],Data[],52,FALSE)</f>
        <v>FEDERAL</v>
      </c>
      <c r="E210" s="50">
        <f>VLOOKUP(IntComp[[#This Row],[DEVELOPMENT]],Data[],8,FALSE)</f>
        <v>0</v>
      </c>
      <c r="F210" s="50">
        <f>VLOOKUP(IntComp[[#This Row],[DEVELOPMENT]],all[[DEVELOPMENT]:[MRST Ext. Comp. Priority]],13,FALSE)</f>
        <v>2</v>
      </c>
      <c r="G210" s="50">
        <f>IF(VLOOKUP(IntComp[[#This Row],[DEVELOPMENT]],Data[],9,FALSE)=0,5,VLOOKUP(IntComp[[#This Row],[DEVELOPMENT]],Data[],9,FALSE))</f>
        <v>5</v>
      </c>
      <c r="H210" s="50">
        <f>VLOOKUP(IntComp[[#This Row],[DEVELOPMENT]],Data[],7,FALSE)</f>
        <v>36</v>
      </c>
      <c r="I210" s="50">
        <f>VLOOKUP(IntComp[[#This Row],[DEVELOPMENT]],Data[],5,FALSE)</f>
        <v>18</v>
      </c>
      <c r="J210" s="50"/>
      <c r="K210" s="50" t="str">
        <f ca="1">IFERROR(VLOOKUP(IntComp[[#This Row],[DEVELOPMENT]],Data[],4,FALSE),"")</f>
        <v>2020-2021</v>
      </c>
      <c r="L210" s="50" t="str">
        <f ca="1">IF(IntComp[[#This Row],[RAD/PACT]]="","",IF(OR(IntComp[[#This Row],[RAD/PACT]]="2022-2025",IntComp[[#This Row],[RAD/PACT]]=2019,IntComp[[#This Row],[RAD/PACT]]="2020-2021"),"Yes",""))</f>
        <v>Yes</v>
      </c>
      <c r="M210" s="51">
        <f ca="1">IF(VLOOKUP(IntComp[[#This Row],[DEVELOPMENT]],Data[],10,FALSE)=0,-1,DATEDIF(VLOOKUP(IntComp[[#This Row],[DEVELOPMENT]],Data[],12,FALSE),TODAY(),"Y"))</f>
        <v>-1</v>
      </c>
      <c r="N21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10" s="51"/>
      <c r="P210" s="51"/>
      <c r="Q210" s="51"/>
      <c r="R210" s="47">
        <f ca="1">(IntComp[[#This Row],['# to Replace (MRST)]]*INDEX(UnitCosts[#All],MATCH(IntComp[[#This Row],[WORK TYPE]],UnitCosts[Work Type],0)+1,2))*(1+((IntComp[[#This Row],[est. Year]]-YEAR(TODAY()))*$R$2))</f>
        <v>0</v>
      </c>
      <c r="S210" s="1">
        <f ca="1">SUM(INDEX(IntComp['# to Replace (MRST)],1):IntComp[[#This Row],['# to Replace (MRST)]])-272</f>
        <v>1193</v>
      </c>
      <c r="T210" s="51"/>
      <c r="U210" s="51">
        <f ca="1">IF(ISBLANK(IntComp[[#This Row],[CALENDAR YEAR]]),ROUNDDOWN(IntComp[[#This Row],[Count]]/190,0)+$U$1,IntComp[[#This Row],[CALENDAR YEAR]])</f>
        <v>2027</v>
      </c>
      <c r="V210" s="85">
        <f t="shared" ca="1" si="4"/>
        <v>5026812</v>
      </c>
      <c r="W210" s="71"/>
      <c r="X210"/>
    </row>
    <row r="211" spans="1:24" hidden="1">
      <c r="A211" s="192" t="s">
        <v>226</v>
      </c>
      <c r="B211" s="197" t="str">
        <f>VLOOKUP(A211,Data[],2,FALSE)</f>
        <v>BROOKLYN</v>
      </c>
      <c r="C211" s="197" t="s">
        <v>106</v>
      </c>
      <c r="D211" s="197" t="str">
        <f>VLOOKUP(IntComp[[#This Row],[DEVELOPMENT]],Data[],52,FALSE)</f>
        <v>MIXED FINANCE/LLC2</v>
      </c>
      <c r="E211" s="201">
        <f>VLOOKUP(IntComp[[#This Row],[DEVELOPMENT]],Data[],8,FALSE)</f>
        <v>0</v>
      </c>
      <c r="F211" s="201">
        <f>VLOOKUP(IntComp[[#This Row],[DEVELOPMENT]],all[[DEVELOPMENT]:[MRST Ext. Comp. Priority]],13,FALSE)</f>
        <v>3</v>
      </c>
      <c r="G211" s="201">
        <f>IF(VLOOKUP(IntComp[[#This Row],[DEVELOPMENT]],Data[],9,FALSE)=0,5,VLOOKUP(IntComp[[#This Row],[DEVELOPMENT]],Data[],9,FALSE))</f>
        <v>5</v>
      </c>
      <c r="H211" s="201">
        <f>VLOOKUP(IntComp[[#This Row],[DEVELOPMENT]],Data[],7,FALSE)</f>
        <v>1424</v>
      </c>
      <c r="I211" s="201">
        <f>VLOOKUP(IntComp[[#This Row],[DEVELOPMENT]],Data[],5,FALSE)</f>
        <v>18</v>
      </c>
      <c r="J211" s="201"/>
      <c r="K211" s="201" t="str">
        <f ca="1">IFERROR(VLOOKUP(IntComp[[#This Row],[DEVELOPMENT]],Data[],4,FALSE),"")</f>
        <v>2020-2021</v>
      </c>
      <c r="L211" s="201" t="str">
        <f ca="1">IF(IntComp[[#This Row],[RAD/PACT]]="","",IF(OR(IntComp[[#This Row],[RAD/PACT]]="2022-2025",IntComp[[#This Row],[RAD/PACT]]=2019,IntComp[[#This Row],[RAD/PACT]]="2020-2021"),"Yes",""))</f>
        <v>Yes</v>
      </c>
      <c r="M211" s="202">
        <f ca="1">IF(VLOOKUP(IntComp[[#This Row],[DEVELOPMENT]],Data[],10,FALSE)=0,-1,DATEDIF(VLOOKUP(IntComp[[#This Row],[DEVELOPMENT]],Data[],12,FALSE),TODAY(),"Y"))</f>
        <v>6</v>
      </c>
      <c r="N211" s="202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11" s="202"/>
      <c r="P211" s="202"/>
      <c r="Q211" s="202"/>
      <c r="R211" s="198">
        <f ca="1">(IntComp[[#This Row],['# to Replace (MRST)]]*INDEX(UnitCosts[#All],MATCH(IntComp[[#This Row],[WORK TYPE]],UnitCosts[Work Type],0)+1,2))*(1+((IntComp[[#This Row],[est. Year]]-YEAR(TODAY()))*$R$2))</f>
        <v>0</v>
      </c>
      <c r="S211" s="196">
        <f ca="1">SUM(INDEX(IntComp['# to Replace (MRST)],1):IntComp[[#This Row],['# to Replace (MRST)]])-272</f>
        <v>1193</v>
      </c>
      <c r="T211" s="202"/>
      <c r="U211" s="202">
        <f ca="1">IF(ISBLANK(IntComp[[#This Row],[CALENDAR YEAR]]),ROUNDDOWN(IntComp[[#This Row],[Count]]/190,0)+$U$1,IntComp[[#This Row],[CALENDAR YEAR]])</f>
        <v>2027</v>
      </c>
      <c r="V211" s="203">
        <f t="shared" ca="1" si="4"/>
        <v>5026812</v>
      </c>
      <c r="W211" s="106"/>
      <c r="X211"/>
    </row>
    <row r="212" spans="1:24">
      <c r="A212" s="1" t="s">
        <v>321</v>
      </c>
      <c r="B212" s="9">
        <f>VLOOKUP(A212,Data[],2,FALSE)</f>
        <v>0</v>
      </c>
      <c r="C212" s="9" t="s">
        <v>106</v>
      </c>
      <c r="D212" s="9" t="str">
        <f>VLOOKUP(IntComp[[#This Row],[DEVELOPMENT]],Data[],52,FALSE)</f>
        <v>FEDERAL</v>
      </c>
      <c r="E212" s="50">
        <f>VLOOKUP(IntComp[[#This Row],[DEVELOPMENT]],Data[],8,FALSE)</f>
        <v>0</v>
      </c>
      <c r="F212" s="50">
        <f>VLOOKUP(IntComp[[#This Row],[DEVELOPMENT]],all[[DEVELOPMENT]:[MRST Ext. Comp. Priority]],13,FALSE)</f>
        <v>2</v>
      </c>
      <c r="G212" s="50">
        <f>IF(VLOOKUP(IntComp[[#This Row],[DEVELOPMENT]],Data[],9,FALSE)=0,5,VLOOKUP(IntComp[[#This Row],[DEVELOPMENT]],Data[],9,FALSE))</f>
        <v>5</v>
      </c>
      <c r="H212" s="50">
        <f>VLOOKUP(IntComp[[#This Row],[DEVELOPMENT]],Data[],7,FALSE)</f>
        <v>6</v>
      </c>
      <c r="I212" s="50">
        <f>VLOOKUP(IntComp[[#This Row],[DEVELOPMENT]],Data[],5,FALSE)</f>
        <v>7</v>
      </c>
      <c r="J212" s="50"/>
      <c r="K212" s="50" t="str">
        <f ca="1">IFERROR(VLOOKUP(IntComp[[#This Row],[DEVELOPMENT]],Data[],4,FALSE),"")</f>
        <v/>
      </c>
      <c r="L212" s="50" t="str">
        <f ca="1">IF(IntComp[[#This Row],[RAD/PACT]]="","",IF(OR(IntComp[[#This Row],[RAD/PACT]]="2022-2025",IntComp[[#This Row],[RAD/PACT]]=2019,IntComp[[#This Row],[RAD/PACT]]="2020-2021"),"Yes",""))</f>
        <v/>
      </c>
      <c r="M212" s="51">
        <f ca="1">IF(VLOOKUP(IntComp[[#This Row],[DEVELOPMENT]],Data[],10,FALSE)=0,-1,DATEDIF(VLOOKUP(IntComp[[#This Row],[DEVELOPMENT]],Data[],12,FALSE),TODAY(),"Y"))</f>
        <v>-1</v>
      </c>
      <c r="N21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12" s="51"/>
      <c r="P212" s="51"/>
      <c r="Q212" s="51"/>
      <c r="R212" s="47">
        <f ca="1">(IntComp[[#This Row],['# to Replace (MRST)]]*INDEX(UnitCosts[#All],MATCH(IntComp[[#This Row],[WORK TYPE]],UnitCosts[Work Type],0)+1,2))*(1+((IntComp[[#This Row],[est. Year]]-YEAR(TODAY()))*$R$2))</f>
        <v>0</v>
      </c>
      <c r="S212" s="1">
        <f ca="1">SUM(INDEX(IntComp['# to Replace (MRST)],1):IntComp[[#This Row],['# to Replace (MRST)]])-272</f>
        <v>1193</v>
      </c>
      <c r="T212" s="51"/>
      <c r="U212" s="51">
        <f ca="1">IF(ISBLANK(IntComp[[#This Row],[CALENDAR YEAR]]),ROUNDDOWN(IntComp[[#This Row],[Count]]/190,0)+$U$1,IntComp[[#This Row],[CALENDAR YEAR]])</f>
        <v>2027</v>
      </c>
      <c r="V212" s="85">
        <f t="shared" ca="1" si="4"/>
        <v>5026812</v>
      </c>
      <c r="W212" s="71"/>
      <c r="X212"/>
    </row>
    <row r="213" spans="1:24">
      <c r="A213" s="1" t="s">
        <v>323</v>
      </c>
      <c r="B213" s="9">
        <f>VLOOKUP(A213,Data[],2,FALSE)</f>
        <v>0</v>
      </c>
      <c r="C213" s="9" t="s">
        <v>106</v>
      </c>
      <c r="D213" s="9" t="str">
        <f>VLOOKUP(IntComp[[#This Row],[DEVELOPMENT]],Data[],52,FALSE)</f>
        <v>FEDERAL</v>
      </c>
      <c r="E213" s="50">
        <f>VLOOKUP(IntComp[[#This Row],[DEVELOPMENT]],Data[],8,FALSE)</f>
        <v>0</v>
      </c>
      <c r="F213" s="50">
        <f>VLOOKUP(IntComp[[#This Row],[DEVELOPMENT]],all[[DEVELOPMENT]:[MRST Ext. Comp. Priority]],13,FALSE)</f>
        <v>2</v>
      </c>
      <c r="G213" s="50">
        <f>IF(VLOOKUP(IntComp[[#This Row],[DEVELOPMENT]],Data[],9,FALSE)=0,5,VLOOKUP(IntComp[[#This Row],[DEVELOPMENT]],Data[],9,FALSE))</f>
        <v>5</v>
      </c>
      <c r="H213" s="50">
        <f>VLOOKUP(IntComp[[#This Row],[DEVELOPMENT]],Data[],7,FALSE)</f>
        <v>16</v>
      </c>
      <c r="I213" s="50">
        <f>VLOOKUP(IntComp[[#This Row],[DEVELOPMENT]],Data[],5,FALSE)</f>
        <v>20</v>
      </c>
      <c r="J213" s="50"/>
      <c r="K213" s="50" t="str">
        <f ca="1">IFERROR(VLOOKUP(IntComp[[#This Row],[DEVELOPMENT]],Data[],4,FALSE),"")</f>
        <v/>
      </c>
      <c r="L213" s="50" t="str">
        <f ca="1">IF(IntComp[[#This Row],[RAD/PACT]]="","",IF(OR(IntComp[[#This Row],[RAD/PACT]]="2022-2025",IntComp[[#This Row],[RAD/PACT]]=2019,IntComp[[#This Row],[RAD/PACT]]="2020-2021"),"Yes",""))</f>
        <v/>
      </c>
      <c r="M213" s="51">
        <f ca="1">IF(VLOOKUP(IntComp[[#This Row],[DEVELOPMENT]],Data[],10,FALSE)=0,-1,DATEDIF(VLOOKUP(IntComp[[#This Row],[DEVELOPMENT]],Data[],12,FALSE),TODAY(),"Y"))</f>
        <v>-1</v>
      </c>
      <c r="N21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13" s="51"/>
      <c r="P213" s="51"/>
      <c r="Q213" s="51"/>
      <c r="R213" s="47">
        <f ca="1">(IntComp[[#This Row],['# to Replace (MRST)]]*INDEX(UnitCosts[#All],MATCH(IntComp[[#This Row],[WORK TYPE]],UnitCosts[Work Type],0)+1,2))*(1+((IntComp[[#This Row],[est. Year]]-YEAR(TODAY()))*$R$2))</f>
        <v>0</v>
      </c>
      <c r="S213" s="1">
        <f ca="1">SUM(INDEX(IntComp['# to Replace (MRST)],1):IntComp[[#This Row],['# to Replace (MRST)]])-272</f>
        <v>1193</v>
      </c>
      <c r="T213" s="51"/>
      <c r="U213" s="51">
        <f ca="1">IF(ISBLANK(IntComp[[#This Row],[CALENDAR YEAR]]),ROUNDDOWN(IntComp[[#This Row],[Count]]/190,0)+$U$1,IntComp[[#This Row],[CALENDAR YEAR]])</f>
        <v>2027</v>
      </c>
      <c r="V213" s="85">
        <f t="shared" ca="1" si="4"/>
        <v>5026812</v>
      </c>
      <c r="W213" s="71"/>
      <c r="X213"/>
    </row>
    <row r="214" spans="1:24">
      <c r="A214" s="1" t="s">
        <v>248</v>
      </c>
      <c r="B214" s="9" t="str">
        <f>VLOOKUP(A214,Data[],2,FALSE)</f>
        <v>BROOKLYN</v>
      </c>
      <c r="C214" s="9" t="s">
        <v>106</v>
      </c>
      <c r="D214" s="9" t="str">
        <f>VLOOKUP(IntComp[[#This Row],[DEVELOPMENT]],Data[],52,FALSE)</f>
        <v>FEDERAL</v>
      </c>
      <c r="E214" s="50">
        <f>VLOOKUP(IntComp[[#This Row],[DEVELOPMENT]],Data[],8,FALSE)</f>
        <v>0</v>
      </c>
      <c r="F214" s="50">
        <f>VLOOKUP(IntComp[[#This Row],[DEVELOPMENT]],all[[DEVELOPMENT]:[MRST Ext. Comp. Priority]],13,FALSE)</f>
        <v>2</v>
      </c>
      <c r="G214" s="50">
        <f>IF(VLOOKUP(IntComp[[#This Row],[DEVELOPMENT]],Data[],9,FALSE)=0,5,VLOOKUP(IntComp[[#This Row],[DEVELOPMENT]],Data[],9,FALSE))</f>
        <v>5</v>
      </c>
      <c r="H214" s="50">
        <f>VLOOKUP(IntComp[[#This Row],[DEVELOPMENT]],Data[],7,FALSE)</f>
        <v>30</v>
      </c>
      <c r="I214" s="50">
        <f>VLOOKUP(IntComp[[#This Row],[DEVELOPMENT]],Data[],5,FALSE)</f>
        <v>1</v>
      </c>
      <c r="J214" s="50"/>
      <c r="K214" s="50">
        <f ca="1">IFERROR(VLOOKUP(IntComp[[#This Row],[DEVELOPMENT]],Data[],4,FALSE),"")</f>
        <v>2019</v>
      </c>
      <c r="L214" s="50" t="str">
        <f ca="1">IF(IntComp[[#This Row],[RAD/PACT]]="","",IF(OR(IntComp[[#This Row],[RAD/PACT]]="2022-2025",IntComp[[#This Row],[RAD/PACT]]=2019,IntComp[[#This Row],[RAD/PACT]]="2020-2021"),"Yes",""))</f>
        <v>Yes</v>
      </c>
      <c r="M214" s="51">
        <f ca="1">IF(VLOOKUP(IntComp[[#This Row],[DEVELOPMENT]],Data[],10,FALSE)=0,-1,DATEDIF(VLOOKUP(IntComp[[#This Row],[DEVELOPMENT]],Data[],12,FALSE),TODAY(),"Y"))</f>
        <v>-1</v>
      </c>
      <c r="N21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14" s="51"/>
      <c r="P214" s="51"/>
      <c r="Q214" s="51"/>
      <c r="R214" s="47">
        <f ca="1">(IntComp[[#This Row],['# to Replace (MRST)]]*INDEX(UnitCosts[#All],MATCH(IntComp[[#This Row],[WORK TYPE]],UnitCosts[Work Type],0)+1,2))*(1+((IntComp[[#This Row],[est. Year]]-YEAR(TODAY()))*$R$2))</f>
        <v>0</v>
      </c>
      <c r="S214" s="1">
        <f ca="1">SUM(INDEX(IntComp['# to Replace (MRST)],1):IntComp[[#This Row],['# to Replace (MRST)]])-272</f>
        <v>1193</v>
      </c>
      <c r="T214" s="51"/>
      <c r="U214" s="51">
        <f ca="1">IF(ISBLANK(IntComp[[#This Row],[CALENDAR YEAR]]),ROUNDDOWN(IntComp[[#This Row],[Count]]/190,0)+$U$1,IntComp[[#This Row],[CALENDAR YEAR]])</f>
        <v>2027</v>
      </c>
      <c r="V214" s="85">
        <f t="shared" ca="1" si="4"/>
        <v>5026812</v>
      </c>
      <c r="W214" s="71"/>
      <c r="X214"/>
    </row>
    <row r="215" spans="1:24">
      <c r="A215" s="1" t="s">
        <v>251</v>
      </c>
      <c r="B215" s="9" t="str">
        <f>VLOOKUP(A215,Data[],2,FALSE)</f>
        <v>MANHATTAN</v>
      </c>
      <c r="C215" s="9" t="s">
        <v>106</v>
      </c>
      <c r="D215" s="9" t="str">
        <f>VLOOKUP(IntComp[[#This Row],[DEVELOPMENT]],Data[],52,FALSE)</f>
        <v>FEDERAL</v>
      </c>
      <c r="E215" s="50">
        <f>VLOOKUP(IntComp[[#This Row],[DEVELOPMENT]],Data[],8,FALSE)</f>
        <v>0</v>
      </c>
      <c r="F215" s="50">
        <f>VLOOKUP(IntComp[[#This Row],[DEVELOPMENT]],all[[DEVELOPMENT]:[MRST Ext. Comp. Priority]],13,FALSE)</f>
        <v>2</v>
      </c>
      <c r="G215" s="50">
        <f>IF(VLOOKUP(IntComp[[#This Row],[DEVELOPMENT]],Data[],9,FALSE)=0,5,VLOOKUP(IntComp[[#This Row],[DEVELOPMENT]],Data[],9,FALSE))</f>
        <v>5</v>
      </c>
      <c r="H215" s="50">
        <f>VLOOKUP(IntComp[[#This Row],[DEVELOPMENT]],Data[],7,FALSE)</f>
        <v>156</v>
      </c>
      <c r="I215" s="50">
        <f>VLOOKUP(IntComp[[#This Row],[DEVELOPMENT]],Data[],5,FALSE)</f>
        <v>4</v>
      </c>
      <c r="J215" s="50"/>
      <c r="K215" s="50" t="str">
        <f ca="1">IFERROR(VLOOKUP(IntComp[[#This Row],[DEVELOPMENT]],Data[],4,FALSE),"")</f>
        <v/>
      </c>
      <c r="L215" s="50" t="str">
        <f ca="1">IF(IntComp[[#This Row],[RAD/PACT]]="","",IF(OR(IntComp[[#This Row],[RAD/PACT]]="2022-2025",IntComp[[#This Row],[RAD/PACT]]=2019,IntComp[[#This Row],[RAD/PACT]]="2020-2021"),"Yes",""))</f>
        <v/>
      </c>
      <c r="M215" s="51">
        <f ca="1">IF(VLOOKUP(IntComp[[#This Row],[DEVELOPMENT]],Data[],10,FALSE)=0,-1,DATEDIF(VLOOKUP(IntComp[[#This Row],[DEVELOPMENT]],Data[],12,FALSE),TODAY(),"Y"))</f>
        <v>-1</v>
      </c>
      <c r="N21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15" s="51"/>
      <c r="P215" s="51"/>
      <c r="Q215" s="51"/>
      <c r="R215" s="47">
        <f ca="1">(IntComp[[#This Row],['# to Replace (MRST)]]*INDEX(UnitCosts[#All],MATCH(IntComp[[#This Row],[WORK TYPE]],UnitCosts[Work Type],0)+1,2))*(1+((IntComp[[#This Row],[est. Year]]-YEAR(TODAY()))*$R$2))</f>
        <v>0</v>
      </c>
      <c r="S215" s="1">
        <f ca="1">SUM(INDEX(IntComp['# to Replace (MRST)],1):IntComp[[#This Row],['# to Replace (MRST)]])-272</f>
        <v>1193</v>
      </c>
      <c r="T215" s="51"/>
      <c r="U215" s="51">
        <f ca="1">IF(ISBLANK(IntComp[[#This Row],[CALENDAR YEAR]]),ROUNDDOWN(IntComp[[#This Row],[Count]]/190,0)+$U$1,IntComp[[#This Row],[CALENDAR YEAR]])</f>
        <v>2027</v>
      </c>
      <c r="V215" s="85">
        <f t="shared" ca="1" si="4"/>
        <v>5026812</v>
      </c>
      <c r="W215" s="71"/>
      <c r="X215"/>
    </row>
    <row r="216" spans="1:24">
      <c r="A216" s="1" t="s">
        <v>359</v>
      </c>
      <c r="B216" s="9" t="str">
        <f>VLOOKUP(A216,Data[],2,FALSE)</f>
        <v>MANHATTAN</v>
      </c>
      <c r="C216" s="9" t="s">
        <v>106</v>
      </c>
      <c r="D216" s="9" t="str">
        <f>VLOOKUP(IntComp[[#This Row],[DEVELOPMENT]],Data[],52,FALSE)</f>
        <v>MHOP</v>
      </c>
      <c r="E216" s="50">
        <f>VLOOKUP(IntComp[[#This Row],[DEVELOPMENT]],Data[],8,FALSE)</f>
        <v>0</v>
      </c>
      <c r="F216" s="50">
        <f>VLOOKUP(IntComp[[#This Row],[DEVELOPMENT]],all[[DEVELOPMENT]:[MRST Ext. Comp. Priority]],13,FALSE)</f>
        <v>2</v>
      </c>
      <c r="G216" s="50">
        <f>IF(VLOOKUP(IntComp[[#This Row],[DEVELOPMENT]],Data[],9,FALSE)=0,5,VLOOKUP(IntComp[[#This Row],[DEVELOPMENT]],Data[],9,FALSE))</f>
        <v>5</v>
      </c>
      <c r="H216" s="50">
        <f>VLOOKUP(IntComp[[#This Row],[DEVELOPMENT]],Data[],7,FALSE)</f>
        <v>4</v>
      </c>
      <c r="I216" s="50">
        <f>VLOOKUP(IntComp[[#This Row],[DEVELOPMENT]],Data[],5,FALSE)</f>
        <v>1</v>
      </c>
      <c r="J216" s="50"/>
      <c r="K216" s="50" t="str">
        <f ca="1">IFERROR(VLOOKUP(IntComp[[#This Row],[DEVELOPMENT]],Data[],4,FALSE),"")</f>
        <v>2020-2021</v>
      </c>
      <c r="L216" s="50" t="str">
        <f ca="1">IF(IntComp[[#This Row],[RAD/PACT]]="","",IF(OR(IntComp[[#This Row],[RAD/PACT]]="2022-2025",IntComp[[#This Row],[RAD/PACT]]=2019,IntComp[[#This Row],[RAD/PACT]]="2020-2021"),"Yes",""))</f>
        <v>Yes</v>
      </c>
      <c r="M216" s="51">
        <f ca="1">IF(VLOOKUP(IntComp[[#This Row],[DEVELOPMENT]],Data[],10,FALSE)=0,-1,DATEDIF(VLOOKUP(IntComp[[#This Row],[DEVELOPMENT]],Data[],12,FALSE),TODAY(),"Y"))</f>
        <v>-1</v>
      </c>
      <c r="N21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16" s="51"/>
      <c r="P216" s="51"/>
      <c r="Q216" s="51"/>
      <c r="R216" s="47">
        <f ca="1">(IntComp[[#This Row],['# to Replace (MRST)]]*INDEX(UnitCosts[#All],MATCH(IntComp[[#This Row],[WORK TYPE]],UnitCosts[Work Type],0)+1,2))*(1+((IntComp[[#This Row],[est. Year]]-YEAR(TODAY()))*$R$2))</f>
        <v>0</v>
      </c>
      <c r="S216" s="1">
        <f ca="1">SUM(INDEX(IntComp['# to Replace (MRST)],1):IntComp[[#This Row],['# to Replace (MRST)]])-272</f>
        <v>1193</v>
      </c>
      <c r="T216" s="51"/>
      <c r="U216" s="51">
        <f ca="1">IF(ISBLANK(IntComp[[#This Row],[CALENDAR YEAR]]),ROUNDDOWN(IntComp[[#This Row],[Count]]/190,0)+$U$1,IntComp[[#This Row],[CALENDAR YEAR]])</f>
        <v>2027</v>
      </c>
      <c r="V216" s="85">
        <f t="shared" ca="1" si="4"/>
        <v>5026812</v>
      </c>
      <c r="W216" s="71"/>
      <c r="X216"/>
    </row>
    <row r="217" spans="1:24">
      <c r="A217" s="1" t="s">
        <v>360</v>
      </c>
      <c r="B217" s="9" t="str">
        <f>VLOOKUP(A217,Data[],2,FALSE)</f>
        <v>MANHATTAN</v>
      </c>
      <c r="C217" s="9" t="s">
        <v>106</v>
      </c>
      <c r="D217" s="9" t="str">
        <f>VLOOKUP(IntComp[[#This Row],[DEVELOPMENT]],Data[],52,FALSE)</f>
        <v>MHOP</v>
      </c>
      <c r="E217" s="50">
        <f>VLOOKUP(IntComp[[#This Row],[DEVELOPMENT]],Data[],8,FALSE)</f>
        <v>0</v>
      </c>
      <c r="F217" s="50">
        <f>VLOOKUP(IntComp[[#This Row],[DEVELOPMENT]],all[[DEVELOPMENT]:[MRST Ext. Comp. Priority]],13,FALSE)</f>
        <v>2</v>
      </c>
      <c r="G217" s="50">
        <f>IF(VLOOKUP(IntComp[[#This Row],[DEVELOPMENT]],Data[],9,FALSE)=0,5,VLOOKUP(IntComp[[#This Row],[DEVELOPMENT]],Data[],9,FALSE))</f>
        <v>5</v>
      </c>
      <c r="H217" s="50">
        <f>VLOOKUP(IntComp[[#This Row],[DEVELOPMENT]],Data[],7,FALSE)</f>
        <v>1</v>
      </c>
      <c r="I217" s="50">
        <f>VLOOKUP(IntComp[[#This Row],[DEVELOPMENT]],Data[],5,FALSE)</f>
        <v>1</v>
      </c>
      <c r="J217" s="50"/>
      <c r="K217" s="50" t="str">
        <f ca="1">IFERROR(VLOOKUP(IntComp[[#This Row],[DEVELOPMENT]],Data[],4,FALSE),"")</f>
        <v>2020-2021</v>
      </c>
      <c r="L217" s="50" t="str">
        <f ca="1">IF(IntComp[[#This Row],[RAD/PACT]]="","",IF(OR(IntComp[[#This Row],[RAD/PACT]]="2022-2025",IntComp[[#This Row],[RAD/PACT]]=2019,IntComp[[#This Row],[RAD/PACT]]="2020-2021"),"Yes",""))</f>
        <v>Yes</v>
      </c>
      <c r="M217" s="51">
        <f ca="1">IF(VLOOKUP(IntComp[[#This Row],[DEVELOPMENT]],Data[],10,FALSE)=0,-1,DATEDIF(VLOOKUP(IntComp[[#This Row],[DEVELOPMENT]],Data[],12,FALSE),TODAY(),"Y"))</f>
        <v>-1</v>
      </c>
      <c r="N21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17" s="51"/>
      <c r="P217" s="51"/>
      <c r="Q217" s="51"/>
      <c r="R217" s="47">
        <f ca="1">(IntComp[[#This Row],['# to Replace (MRST)]]*INDEX(UnitCosts[#All],MATCH(IntComp[[#This Row],[WORK TYPE]],UnitCosts[Work Type],0)+1,2))*(1+((IntComp[[#This Row],[est. Year]]-YEAR(TODAY()))*$R$2))</f>
        <v>0</v>
      </c>
      <c r="S217" s="1">
        <f ca="1">SUM(INDEX(IntComp['# to Replace (MRST)],1):IntComp[[#This Row],['# to Replace (MRST)]])-272</f>
        <v>1193</v>
      </c>
      <c r="T217" s="51"/>
      <c r="U217" s="51">
        <f ca="1">IF(ISBLANK(IntComp[[#This Row],[CALENDAR YEAR]]),ROUNDDOWN(IntComp[[#This Row],[Count]]/190,0)+$U$1,IntComp[[#This Row],[CALENDAR YEAR]])</f>
        <v>2027</v>
      </c>
      <c r="V217" s="85">
        <f t="shared" ca="1" si="4"/>
        <v>5026812</v>
      </c>
      <c r="W217" s="71"/>
      <c r="X217"/>
    </row>
    <row r="218" spans="1:24">
      <c r="A218" s="1" t="s">
        <v>259</v>
      </c>
      <c r="B218" s="9" t="str">
        <f>VLOOKUP(A218,Data[],2,FALSE)</f>
        <v>MANHATTAN</v>
      </c>
      <c r="C218" s="9" t="s">
        <v>106</v>
      </c>
      <c r="D218" s="9" t="str">
        <f>VLOOKUP(IntComp[[#This Row],[DEVELOPMENT]],Data[],52,FALSE)</f>
        <v>FEDERAL</v>
      </c>
      <c r="E218" s="50">
        <f>VLOOKUP(IntComp[[#This Row],[DEVELOPMENT]],Data[],8,FALSE)</f>
        <v>0</v>
      </c>
      <c r="F218" s="50">
        <f>VLOOKUP(IntComp[[#This Row],[DEVELOPMENT]],all[[DEVELOPMENT]:[MRST Ext. Comp. Priority]],13,FALSE)</f>
        <v>2</v>
      </c>
      <c r="G218" s="50">
        <f>IF(VLOOKUP(IntComp[[#This Row],[DEVELOPMENT]],Data[],9,FALSE)=0,5,VLOOKUP(IntComp[[#This Row],[DEVELOPMENT]],Data[],9,FALSE))</f>
        <v>5</v>
      </c>
      <c r="H218" s="50">
        <f>VLOOKUP(IntComp[[#This Row],[DEVELOPMENT]],Data[],7,FALSE)</f>
        <v>32</v>
      </c>
      <c r="I218" s="50">
        <f>VLOOKUP(IntComp[[#This Row],[DEVELOPMENT]],Data[],5,FALSE)</f>
        <v>2</v>
      </c>
      <c r="J218" s="50"/>
      <c r="K218" s="50" t="str">
        <f ca="1">IFERROR(VLOOKUP(IntComp[[#This Row],[DEVELOPMENT]],Data[],4,FALSE),"")</f>
        <v>2020-2021</v>
      </c>
      <c r="L218" s="50" t="str">
        <f ca="1">IF(IntComp[[#This Row],[RAD/PACT]]="","",IF(OR(IntComp[[#This Row],[RAD/PACT]]="2022-2025",IntComp[[#This Row],[RAD/PACT]]=2019,IntComp[[#This Row],[RAD/PACT]]="2020-2021"),"Yes",""))</f>
        <v>Yes</v>
      </c>
      <c r="M218" s="51">
        <f ca="1">IF(VLOOKUP(IntComp[[#This Row],[DEVELOPMENT]],Data[],10,FALSE)=0,-1,DATEDIF(VLOOKUP(IntComp[[#This Row],[DEVELOPMENT]],Data[],12,FALSE),TODAY(),"Y"))</f>
        <v>-1</v>
      </c>
      <c r="N21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18" s="51"/>
      <c r="P218" s="51"/>
      <c r="Q218" s="51"/>
      <c r="R218" s="47">
        <f ca="1">(IntComp[[#This Row],['# to Replace (MRST)]]*INDEX(UnitCosts[#All],MATCH(IntComp[[#This Row],[WORK TYPE]],UnitCosts[Work Type],0)+1,2))*(1+((IntComp[[#This Row],[est. Year]]-YEAR(TODAY()))*$R$2))</f>
        <v>0</v>
      </c>
      <c r="S218" s="1">
        <f ca="1">SUM(INDEX(IntComp['# to Replace (MRST)],1):IntComp[[#This Row],['# to Replace (MRST)]])-272</f>
        <v>1193</v>
      </c>
      <c r="T218" s="51"/>
      <c r="U218" s="51">
        <f ca="1">IF(ISBLANK(IntComp[[#This Row],[CALENDAR YEAR]]),ROUNDDOWN(IntComp[[#This Row],[Count]]/190,0)+$U$1,IntComp[[#This Row],[CALENDAR YEAR]])</f>
        <v>2027</v>
      </c>
      <c r="V218" s="85">
        <f t="shared" ca="1" si="4"/>
        <v>5026812</v>
      </c>
      <c r="W218" s="71"/>
      <c r="X218"/>
    </row>
    <row r="219" spans="1:24">
      <c r="A219" s="1" t="s">
        <v>220</v>
      </c>
      <c r="B219" s="9" t="str">
        <f>VLOOKUP(A219,Data[],2,FALSE)</f>
        <v>BROOKLYN</v>
      </c>
      <c r="C219" s="9" t="s">
        <v>106</v>
      </c>
      <c r="D219" s="9" t="str">
        <f>VLOOKUP(IntComp[[#This Row],[DEVELOPMENT]],Data[],52,FALSE)</f>
        <v>FEDERAL</v>
      </c>
      <c r="E219" s="50">
        <f>VLOOKUP(IntComp[[#This Row],[DEVELOPMENT]],Data[],8,FALSE)</f>
        <v>0</v>
      </c>
      <c r="F219" s="50">
        <f>VLOOKUP(IntComp[[#This Row],[DEVELOPMENT]],all[[DEVELOPMENT]:[MRST Ext. Comp. Priority]],13,FALSE)</f>
        <v>2</v>
      </c>
      <c r="G219" s="50">
        <f>IF(VLOOKUP(IntComp[[#This Row],[DEVELOPMENT]],Data[],9,FALSE)=0,5,VLOOKUP(IntComp[[#This Row],[DEVELOPMENT]],Data[],9,FALSE))</f>
        <v>5</v>
      </c>
      <c r="H219" s="50">
        <f>VLOOKUP(IntComp[[#This Row],[DEVELOPMENT]],Data[],7,FALSE)</f>
        <v>256</v>
      </c>
      <c r="I219" s="50">
        <f>VLOOKUP(IntComp[[#This Row],[DEVELOPMENT]],Data[],5,FALSE)</f>
        <v>2</v>
      </c>
      <c r="J219" s="50"/>
      <c r="K219" s="50">
        <f ca="1">IFERROR(VLOOKUP(IntComp[[#This Row],[DEVELOPMENT]],Data[],4,FALSE),"")</f>
        <v>2019</v>
      </c>
      <c r="L219" s="50" t="str">
        <f ca="1">IF(IntComp[[#This Row],[RAD/PACT]]="","",IF(OR(IntComp[[#This Row],[RAD/PACT]]="2022-2025",IntComp[[#This Row],[RAD/PACT]]=2019,IntComp[[#This Row],[RAD/PACT]]="2020-2021"),"Yes",""))</f>
        <v>Yes</v>
      </c>
      <c r="M219" s="51">
        <f ca="1">IF(VLOOKUP(IntComp[[#This Row],[DEVELOPMENT]],Data[],10,FALSE)=0,-1,DATEDIF(VLOOKUP(IntComp[[#This Row],[DEVELOPMENT]],Data[],12,FALSE),TODAY(),"Y"))</f>
        <v>-1</v>
      </c>
      <c r="N21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19" s="51"/>
      <c r="P219" s="51"/>
      <c r="Q219" s="51"/>
      <c r="R219" s="47">
        <f ca="1">(IntComp[[#This Row],['# to Replace (MRST)]]*INDEX(UnitCosts[#All],MATCH(IntComp[[#This Row],[WORK TYPE]],UnitCosts[Work Type],0)+1,2))*(1+((IntComp[[#This Row],[est. Year]]-YEAR(TODAY()))*$R$2))</f>
        <v>0</v>
      </c>
      <c r="S219" s="1">
        <f ca="1">SUM(INDEX(IntComp['# to Replace (MRST)],1):IntComp[[#This Row],['# to Replace (MRST)]])-272</f>
        <v>1193</v>
      </c>
      <c r="T219" s="51"/>
      <c r="U219" s="51">
        <f ca="1">IF(ISBLANK(IntComp[[#This Row],[CALENDAR YEAR]]),ROUNDDOWN(IntComp[[#This Row],[Count]]/190,0)+$U$1,IntComp[[#This Row],[CALENDAR YEAR]])</f>
        <v>2027</v>
      </c>
      <c r="V219" s="85">
        <f t="shared" ca="1" si="4"/>
        <v>5026812</v>
      </c>
      <c r="W219" s="71"/>
      <c r="X219"/>
    </row>
    <row r="220" spans="1:24">
      <c r="A220" s="1" t="s">
        <v>381</v>
      </c>
      <c r="B220" s="9" t="str">
        <f>VLOOKUP(A220,Data[],2,FALSE)</f>
        <v>STATEN ISLAND</v>
      </c>
      <c r="C220" s="9" t="s">
        <v>106</v>
      </c>
      <c r="D220" s="9" t="str">
        <f>VLOOKUP(IntComp[[#This Row],[DEVELOPMENT]],Data[],52,FALSE)</f>
        <v>FEDERAL</v>
      </c>
      <c r="E220" s="50">
        <f>VLOOKUP(IntComp[[#This Row],[DEVELOPMENT]],Data[],8,FALSE)</f>
        <v>0</v>
      </c>
      <c r="F220" s="50">
        <f>VLOOKUP(IntComp[[#This Row],[DEVELOPMENT]],all[[DEVELOPMENT]:[MRST Ext. Comp. Priority]],13,FALSE)</f>
        <v>2</v>
      </c>
      <c r="G220" s="50">
        <f>IF(VLOOKUP(IntComp[[#This Row],[DEVELOPMENT]],Data[],9,FALSE)=0,5,VLOOKUP(IntComp[[#This Row],[DEVELOPMENT]],Data[],9,FALSE))</f>
        <v>5</v>
      </c>
      <c r="H220" s="50">
        <f>VLOOKUP(IntComp[[#This Row],[DEVELOPMENT]],Data[],7,FALSE)</f>
        <v>120</v>
      </c>
      <c r="I220" s="50">
        <f>VLOOKUP(IntComp[[#This Row],[DEVELOPMENT]],Data[],5,FALSE)</f>
        <v>8</v>
      </c>
      <c r="J220" s="50"/>
      <c r="K220" s="50" t="str">
        <f ca="1">IFERROR(VLOOKUP(IntComp[[#This Row],[DEVELOPMENT]],Data[],4,FALSE),"")</f>
        <v/>
      </c>
      <c r="L220" s="50" t="str">
        <f ca="1">IF(IntComp[[#This Row],[RAD/PACT]]="","",IF(OR(IntComp[[#This Row],[RAD/PACT]]="2022-2025",IntComp[[#This Row],[RAD/PACT]]=2019,IntComp[[#This Row],[RAD/PACT]]="2020-2021"),"Yes",""))</f>
        <v/>
      </c>
      <c r="M220" s="51">
        <f ca="1">IF(VLOOKUP(IntComp[[#This Row],[DEVELOPMENT]],Data[],10,FALSE)=0,-1,DATEDIF(VLOOKUP(IntComp[[#This Row],[DEVELOPMENT]],Data[],12,FALSE),TODAY(),"Y"))</f>
        <v>-1</v>
      </c>
      <c r="N22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20" s="51"/>
      <c r="P220" s="51"/>
      <c r="Q220" s="51"/>
      <c r="R220" s="47">
        <f ca="1">(IntComp[[#This Row],['# to Replace (MRST)]]*INDEX(UnitCosts[#All],MATCH(IntComp[[#This Row],[WORK TYPE]],UnitCosts[Work Type],0)+1,2))*(1+((IntComp[[#This Row],[est. Year]]-YEAR(TODAY()))*$R$2))</f>
        <v>0</v>
      </c>
      <c r="S220" s="1">
        <f ca="1">SUM(INDEX(IntComp['# to Replace (MRST)],1):IntComp[[#This Row],['# to Replace (MRST)]])-272</f>
        <v>1193</v>
      </c>
      <c r="T220" s="51"/>
      <c r="U220" s="51">
        <f ca="1">IF(ISBLANK(IntComp[[#This Row],[CALENDAR YEAR]]),ROUNDDOWN(IntComp[[#This Row],[Count]]/190,0)+$U$1,IntComp[[#This Row],[CALENDAR YEAR]])</f>
        <v>2027</v>
      </c>
      <c r="V220" s="85">
        <f t="shared" ca="1" si="4"/>
        <v>5026812</v>
      </c>
      <c r="W220" s="71"/>
      <c r="X220"/>
    </row>
    <row r="221" spans="1:24">
      <c r="A221" s="1" t="s">
        <v>289</v>
      </c>
      <c r="B221" s="9" t="str">
        <f>VLOOKUP(A221,Data[],2,FALSE)</f>
        <v>BRONX</v>
      </c>
      <c r="C221" s="9" t="s">
        <v>106</v>
      </c>
      <c r="D221" s="9" t="str">
        <f>VLOOKUP(IntComp[[#This Row],[DEVELOPMENT]],Data[],52,FALSE)</f>
        <v>FEDERAL</v>
      </c>
      <c r="E221" s="50">
        <f>VLOOKUP(IntComp[[#This Row],[DEVELOPMENT]],Data[],8,FALSE)</f>
        <v>0</v>
      </c>
      <c r="F221" s="50">
        <f>VLOOKUP(IntComp[[#This Row],[DEVELOPMENT]],all[[DEVELOPMENT]:[MRST Ext. Comp. Priority]],13,FALSE)</f>
        <v>2</v>
      </c>
      <c r="G221" s="50">
        <f>IF(VLOOKUP(IntComp[[#This Row],[DEVELOPMENT]],Data[],9,FALSE)=0,5,VLOOKUP(IntComp[[#This Row],[DEVELOPMENT]],Data[],9,FALSE))</f>
        <v>5</v>
      </c>
      <c r="H221" s="50">
        <f>VLOOKUP(IntComp[[#This Row],[DEVELOPMENT]],Data[],7,FALSE)</f>
        <v>208</v>
      </c>
      <c r="I221" s="50">
        <f>VLOOKUP(IntComp[[#This Row],[DEVELOPMENT]],Data[],5,FALSE)</f>
        <v>4</v>
      </c>
      <c r="J221" s="50"/>
      <c r="K221" s="50" t="str">
        <f ca="1">IFERROR(VLOOKUP(IntComp[[#This Row],[DEVELOPMENT]],Data[],4,FALSE),"")</f>
        <v/>
      </c>
      <c r="L221" s="50" t="str">
        <f ca="1">IF(IntComp[[#This Row],[RAD/PACT]]="","",IF(OR(IntComp[[#This Row],[RAD/PACT]]="2022-2025",IntComp[[#This Row],[RAD/PACT]]=2019,IntComp[[#This Row],[RAD/PACT]]="2020-2021"),"Yes",""))</f>
        <v/>
      </c>
      <c r="M221" s="51">
        <f ca="1">IF(VLOOKUP(IntComp[[#This Row],[DEVELOPMENT]],Data[],10,FALSE)=0,-1,DATEDIF(VLOOKUP(IntComp[[#This Row],[DEVELOPMENT]],Data[],12,FALSE),TODAY(),"Y"))</f>
        <v>-1</v>
      </c>
      <c r="N22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21" s="51"/>
      <c r="P221" s="51"/>
      <c r="Q221" s="51"/>
      <c r="R221" s="47">
        <f ca="1">(IntComp[[#This Row],['# to Replace (MRST)]]*INDEX(UnitCosts[#All],MATCH(IntComp[[#This Row],[WORK TYPE]],UnitCosts[Work Type],0)+1,2))*(1+((IntComp[[#This Row],[est. Year]]-YEAR(TODAY()))*$R$2))</f>
        <v>0</v>
      </c>
      <c r="S221" s="1">
        <f ca="1">SUM(INDEX(IntComp['# to Replace (MRST)],1):IntComp[[#This Row],['# to Replace (MRST)]])-272</f>
        <v>1193</v>
      </c>
      <c r="T221" s="51"/>
      <c r="U221" s="51">
        <f ca="1">IF(ISBLANK(IntComp[[#This Row],[CALENDAR YEAR]]),ROUNDDOWN(IntComp[[#This Row],[Count]]/190,0)+$U$1,IntComp[[#This Row],[CALENDAR YEAR]])</f>
        <v>2027</v>
      </c>
      <c r="V221" s="85">
        <f t="shared" ca="1" si="4"/>
        <v>5026812</v>
      </c>
      <c r="W221" s="71"/>
      <c r="X221"/>
    </row>
    <row r="222" spans="1:24">
      <c r="A222" s="1" t="s">
        <v>290</v>
      </c>
      <c r="B222" s="9" t="str">
        <f>VLOOKUP(A222,Data[],2,FALSE)</f>
        <v>BRONX</v>
      </c>
      <c r="C222" s="9" t="s">
        <v>106</v>
      </c>
      <c r="D222" s="9" t="str">
        <f>VLOOKUP(IntComp[[#This Row],[DEVELOPMENT]],Data[],52,FALSE)</f>
        <v>FEDERAL</v>
      </c>
      <c r="E222" s="50">
        <f>VLOOKUP(IntComp[[#This Row],[DEVELOPMENT]],Data[],8,FALSE)</f>
        <v>0</v>
      </c>
      <c r="F222" s="50">
        <f>VLOOKUP(IntComp[[#This Row],[DEVELOPMENT]],all[[DEVELOPMENT]:[MRST Ext. Comp. Priority]],13,FALSE)</f>
        <v>2</v>
      </c>
      <c r="G222" s="50">
        <f>IF(VLOOKUP(IntComp[[#This Row],[DEVELOPMENT]],Data[],9,FALSE)=0,5,VLOOKUP(IntComp[[#This Row],[DEVELOPMENT]],Data[],9,FALSE))</f>
        <v>5</v>
      </c>
      <c r="H222" s="50">
        <f>VLOOKUP(IntComp[[#This Row],[DEVELOPMENT]],Data[],7,FALSE)</f>
        <v>20</v>
      </c>
      <c r="I222" s="50">
        <f>VLOOKUP(IntComp[[#This Row],[DEVELOPMENT]],Data[],5,FALSE)</f>
        <v>1</v>
      </c>
      <c r="J222" s="50"/>
      <c r="K222" s="50" t="str">
        <f ca="1">IFERROR(VLOOKUP(IntComp[[#This Row],[DEVELOPMENT]],Data[],4,FALSE),"")</f>
        <v/>
      </c>
      <c r="L222" s="50" t="str">
        <f ca="1">IF(IntComp[[#This Row],[RAD/PACT]]="","",IF(OR(IntComp[[#This Row],[RAD/PACT]]="2022-2025",IntComp[[#This Row],[RAD/PACT]]=2019,IntComp[[#This Row],[RAD/PACT]]="2020-2021"),"Yes",""))</f>
        <v/>
      </c>
      <c r="M222" s="51">
        <f ca="1">IF(VLOOKUP(IntComp[[#This Row],[DEVELOPMENT]],Data[],10,FALSE)=0,-1,DATEDIF(VLOOKUP(IntComp[[#This Row],[DEVELOPMENT]],Data[],12,FALSE),TODAY(),"Y"))</f>
        <v>-1</v>
      </c>
      <c r="N22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22" s="51"/>
      <c r="P222" s="51"/>
      <c r="Q222" s="51"/>
      <c r="R222" s="47">
        <f ca="1">(IntComp[[#This Row],['# to Replace (MRST)]]*INDEX(UnitCosts[#All],MATCH(IntComp[[#This Row],[WORK TYPE]],UnitCosts[Work Type],0)+1,2))*(1+((IntComp[[#This Row],[est. Year]]-YEAR(TODAY()))*$R$2))</f>
        <v>0</v>
      </c>
      <c r="S222" s="1">
        <f ca="1">SUM(INDEX(IntComp['# to Replace (MRST)],1):IntComp[[#This Row],['# to Replace (MRST)]])-272</f>
        <v>1193</v>
      </c>
      <c r="T222" s="51"/>
      <c r="U222" s="51">
        <f ca="1">IF(ISBLANK(IntComp[[#This Row],[CALENDAR YEAR]]),ROUNDDOWN(IntComp[[#This Row],[Count]]/190,0)+$U$1,IntComp[[#This Row],[CALENDAR YEAR]])</f>
        <v>2027</v>
      </c>
      <c r="V222" s="85">
        <f t="shared" ca="1" si="4"/>
        <v>5026812</v>
      </c>
      <c r="W222" s="71"/>
      <c r="X222"/>
    </row>
    <row r="223" spans="1:24">
      <c r="A223" s="1" t="s">
        <v>310</v>
      </c>
      <c r="B223" s="9" t="str">
        <f>VLOOKUP(A223,Data[],2,FALSE)</f>
        <v>BRONX</v>
      </c>
      <c r="C223" s="9" t="s">
        <v>106</v>
      </c>
      <c r="D223" s="9" t="str">
        <f>VLOOKUP(IntComp[[#This Row],[DEVELOPMENT]],Data[],52,FALSE)</f>
        <v>FEDERAL</v>
      </c>
      <c r="E223" s="50">
        <f>VLOOKUP(IntComp[[#This Row],[DEVELOPMENT]],Data[],8,FALSE)</f>
        <v>0</v>
      </c>
      <c r="F223" s="50">
        <f>VLOOKUP(IntComp[[#This Row],[DEVELOPMENT]],all[[DEVELOPMENT]:[MRST Ext. Comp. Priority]],13,FALSE)</f>
        <v>3</v>
      </c>
      <c r="G223" s="50">
        <f>IF(VLOOKUP(IntComp[[#This Row],[DEVELOPMENT]],Data[],9,FALSE)=0,5,VLOOKUP(IntComp[[#This Row],[DEVELOPMENT]],Data[],9,FALSE))</f>
        <v>5</v>
      </c>
      <c r="H223" s="50">
        <f>VLOOKUP(IntComp[[#This Row],[DEVELOPMENT]],Data[],7,FALSE)</f>
        <v>401</v>
      </c>
      <c r="I223" s="50">
        <f>VLOOKUP(IntComp[[#This Row],[DEVELOPMENT]],Data[],5,FALSE)</f>
        <v>46</v>
      </c>
      <c r="J223" s="50"/>
      <c r="K223" s="50" t="str">
        <f ca="1">IFERROR(VLOOKUP(IntComp[[#This Row],[DEVELOPMENT]],Data[],4,FALSE),"")</f>
        <v>2022-2025</v>
      </c>
      <c r="L223" s="50" t="str">
        <f ca="1">IF(IntComp[[#This Row],[RAD/PACT]]="","",IF(OR(IntComp[[#This Row],[RAD/PACT]]="2022-2025",IntComp[[#This Row],[RAD/PACT]]=2019,IntComp[[#This Row],[RAD/PACT]]="2020-2021"),"Yes",""))</f>
        <v>Yes</v>
      </c>
      <c r="M223" s="51">
        <f ca="1">IF(VLOOKUP(IntComp[[#This Row],[DEVELOPMENT]],Data[],10,FALSE)=0,-1,DATEDIF(VLOOKUP(IntComp[[#This Row],[DEVELOPMENT]],Data[],12,FALSE),TODAY(),"Y"))</f>
        <v>-1</v>
      </c>
      <c r="N22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23" s="51"/>
      <c r="P223" s="51"/>
      <c r="Q223" s="51"/>
      <c r="R223" s="47">
        <f ca="1">(IntComp[[#This Row],['# to Replace (MRST)]]*INDEX(UnitCosts[#All],MATCH(IntComp[[#This Row],[WORK TYPE]],UnitCosts[Work Type],0)+1,2))*(1+((IntComp[[#This Row],[est. Year]]-YEAR(TODAY()))*$R$2))</f>
        <v>0</v>
      </c>
      <c r="S223" s="1">
        <f ca="1">SUM(INDEX(IntComp['# to Replace (MRST)],1):IntComp[[#This Row],['# to Replace (MRST)]])-272</f>
        <v>1193</v>
      </c>
      <c r="T223" s="51"/>
      <c r="U223" s="51">
        <f ca="1">IF(ISBLANK(IntComp[[#This Row],[CALENDAR YEAR]]),ROUNDDOWN(IntComp[[#This Row],[Count]]/190,0)+$U$1,IntComp[[#This Row],[CALENDAR YEAR]])</f>
        <v>2027</v>
      </c>
      <c r="V223" s="85">
        <f t="shared" ca="1" si="4"/>
        <v>5026812</v>
      </c>
      <c r="W223" s="71"/>
      <c r="X223"/>
    </row>
    <row r="224" spans="1:24">
      <c r="A224" s="1" t="s">
        <v>280</v>
      </c>
      <c r="B224" s="9" t="str">
        <f>VLOOKUP(A224,Data[],2,FALSE)</f>
        <v>BRONX</v>
      </c>
      <c r="C224" s="9" t="s">
        <v>106</v>
      </c>
      <c r="D224" s="9" t="str">
        <f>VLOOKUP(IntComp[[#This Row],[DEVELOPMENT]],Data[],52,FALSE)</f>
        <v>FEDERAL</v>
      </c>
      <c r="E224" s="50" t="str">
        <f>VLOOKUP(IntComp[[#This Row],[DEVELOPMENT]],Data[],8,FALSE)</f>
        <v>Zone 4</v>
      </c>
      <c r="F224" s="50">
        <f>VLOOKUP(IntComp[[#This Row],[DEVELOPMENT]],all[[DEVELOPMENT]:[MRST Ext. Comp. Priority]],13,FALSE)</f>
        <v>3</v>
      </c>
      <c r="G224" s="50">
        <f>IF(VLOOKUP(IntComp[[#This Row],[DEVELOPMENT]],Data[],9,FALSE)=0,5,VLOOKUP(IntComp[[#This Row],[DEVELOPMENT]],Data[],9,FALSE))</f>
        <v>5</v>
      </c>
      <c r="H224" s="50">
        <f>VLOOKUP(IntComp[[#This Row],[DEVELOPMENT]],Data[],7,FALSE)</f>
        <v>111</v>
      </c>
      <c r="I224" s="50">
        <f>VLOOKUP(IntComp[[#This Row],[DEVELOPMENT]],Data[],5,FALSE)</f>
        <v>5</v>
      </c>
      <c r="J224" s="50"/>
      <c r="K224" s="50" t="str">
        <f ca="1">IFERROR(VLOOKUP(IntComp[[#This Row],[DEVELOPMENT]],Data[],4,FALSE),"")</f>
        <v/>
      </c>
      <c r="L224" s="50" t="str">
        <f ca="1">IF(IntComp[[#This Row],[RAD/PACT]]="","",IF(OR(IntComp[[#This Row],[RAD/PACT]]="2022-2025",IntComp[[#This Row],[RAD/PACT]]=2019,IntComp[[#This Row],[RAD/PACT]]="2020-2021"),"Yes",""))</f>
        <v/>
      </c>
      <c r="M224" s="51">
        <f ca="1">IF(VLOOKUP(IntComp[[#This Row],[DEVELOPMENT]],Data[],10,FALSE)=0,-1,DATEDIF(VLOOKUP(IntComp[[#This Row],[DEVELOPMENT]],Data[],12,FALSE),TODAY(),"Y"))</f>
        <v>-1</v>
      </c>
      <c r="N22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24" s="51"/>
      <c r="P224" s="51"/>
      <c r="Q224" s="51"/>
      <c r="R224" s="47">
        <f ca="1">(IntComp[[#This Row],['# to Replace (MRST)]]*INDEX(UnitCosts[#All],MATCH(IntComp[[#This Row],[WORK TYPE]],UnitCosts[Work Type],0)+1,2))*(1+((IntComp[[#This Row],[est. Year]]-YEAR(TODAY()))*$R$2))</f>
        <v>0</v>
      </c>
      <c r="S224" s="1">
        <f ca="1">SUM(INDEX(IntComp['# to Replace (MRST)],1):IntComp[[#This Row],['# to Replace (MRST)]])-272</f>
        <v>1193</v>
      </c>
      <c r="T224" s="51"/>
      <c r="U224" s="51">
        <f ca="1">IF(ISBLANK(IntComp[[#This Row],[CALENDAR YEAR]]),ROUNDDOWN(IntComp[[#This Row],[Count]]/190,0)+$U$1,IntComp[[#This Row],[CALENDAR YEAR]])</f>
        <v>2027</v>
      </c>
      <c r="V224" s="85">
        <f t="shared" ca="1" si="4"/>
        <v>5026812</v>
      </c>
      <c r="W224" s="71"/>
      <c r="X224"/>
    </row>
    <row r="225" spans="1:24">
      <c r="A225" s="1" t="s">
        <v>316</v>
      </c>
      <c r="B225" s="9" t="str">
        <f>VLOOKUP(A225,Data[],2,FALSE)</f>
        <v>BROOKLYN</v>
      </c>
      <c r="C225" s="9" t="s">
        <v>106</v>
      </c>
      <c r="D225" s="9" t="str">
        <f>VLOOKUP(IntComp[[#This Row],[DEVELOPMENT]],Data[],52,FALSE)</f>
        <v>FEDERAL</v>
      </c>
      <c r="E225" s="50">
        <f>VLOOKUP(IntComp[[#This Row],[DEVELOPMENT]],Data[],8,FALSE)</f>
        <v>0</v>
      </c>
      <c r="F225" s="50">
        <f>VLOOKUP(IntComp[[#This Row],[DEVELOPMENT]],all[[DEVELOPMENT]:[MRST Ext. Comp. Priority]],13,FALSE)</f>
        <v>3</v>
      </c>
      <c r="G225" s="50">
        <f>IF(VLOOKUP(IntComp[[#This Row],[DEVELOPMENT]],Data[],9,FALSE)=0,5,VLOOKUP(IntComp[[#This Row],[DEVELOPMENT]],Data[],9,FALSE))</f>
        <v>5</v>
      </c>
      <c r="H225" s="50">
        <f>VLOOKUP(IntComp[[#This Row],[DEVELOPMENT]],Data[],7,FALSE)</f>
        <v>66</v>
      </c>
      <c r="I225" s="50">
        <f>VLOOKUP(IntComp[[#This Row],[DEVELOPMENT]],Data[],5,FALSE)</f>
        <v>33</v>
      </c>
      <c r="J225" s="50"/>
      <c r="K225" s="50" t="str">
        <f ca="1">IFERROR(VLOOKUP(IntComp[[#This Row],[DEVELOPMENT]],Data[],4,FALSE),"")</f>
        <v>2022-2025</v>
      </c>
      <c r="L225" s="50" t="str">
        <f ca="1">IF(IntComp[[#This Row],[RAD/PACT]]="","",IF(OR(IntComp[[#This Row],[RAD/PACT]]="2022-2025",IntComp[[#This Row],[RAD/PACT]]=2019,IntComp[[#This Row],[RAD/PACT]]="2020-2021"),"Yes",""))</f>
        <v>Yes</v>
      </c>
      <c r="M225" s="51">
        <f ca="1">IF(VLOOKUP(IntComp[[#This Row],[DEVELOPMENT]],Data[],10,FALSE)=0,-1,DATEDIF(VLOOKUP(IntComp[[#This Row],[DEVELOPMENT]],Data[],12,FALSE),TODAY(),"Y"))</f>
        <v>-1</v>
      </c>
      <c r="N22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25" s="51"/>
      <c r="P225" s="51"/>
      <c r="Q225" s="51"/>
      <c r="R225" s="47">
        <f ca="1">(IntComp[[#This Row],['# to Replace (MRST)]]*INDEX(UnitCosts[#All],MATCH(IntComp[[#This Row],[WORK TYPE]],UnitCosts[Work Type],0)+1,2))*(1+((IntComp[[#This Row],[est. Year]]-YEAR(TODAY()))*$R$2))</f>
        <v>0</v>
      </c>
      <c r="S225" s="1">
        <f ca="1">SUM(INDEX(IntComp['# to Replace (MRST)],1):IntComp[[#This Row],['# to Replace (MRST)]])-272</f>
        <v>1193</v>
      </c>
      <c r="T225" s="51"/>
      <c r="U225" s="51">
        <f ca="1">IF(ISBLANK(IntComp[[#This Row],[CALENDAR YEAR]]),ROUNDDOWN(IntComp[[#This Row],[Count]]/190,0)+$U$1,IntComp[[#This Row],[CALENDAR YEAR]])</f>
        <v>2027</v>
      </c>
      <c r="V225" s="85">
        <f t="shared" ca="1" si="4"/>
        <v>5026812</v>
      </c>
      <c r="W225" s="71"/>
      <c r="X225"/>
    </row>
    <row r="226" spans="1:24">
      <c r="A226" s="1" t="s">
        <v>319</v>
      </c>
      <c r="B226" s="9">
        <f>VLOOKUP(A226,Data[],2,FALSE)</f>
        <v>0</v>
      </c>
      <c r="C226" s="9" t="s">
        <v>106</v>
      </c>
      <c r="D226" s="9" t="str">
        <f>VLOOKUP(IntComp[[#This Row],[DEVELOPMENT]],Data[],52,FALSE)</f>
        <v>FEDERAL</v>
      </c>
      <c r="E226" s="50">
        <f>VLOOKUP(IntComp[[#This Row],[DEVELOPMENT]],Data[],8,FALSE)</f>
        <v>0</v>
      </c>
      <c r="F226" s="50">
        <f>VLOOKUP(IntComp[[#This Row],[DEVELOPMENT]],all[[DEVELOPMENT]:[MRST Ext. Comp. Priority]],13,FALSE)</f>
        <v>3</v>
      </c>
      <c r="G226" s="50">
        <f>IF(VLOOKUP(IntComp[[#This Row],[DEVELOPMENT]],Data[],9,FALSE)=0,5,VLOOKUP(IntComp[[#This Row],[DEVELOPMENT]],Data[],9,FALSE))</f>
        <v>5</v>
      </c>
      <c r="H226" s="50">
        <f>VLOOKUP(IntComp[[#This Row],[DEVELOPMENT]],Data[],7,FALSE)</f>
        <v>21</v>
      </c>
      <c r="I226" s="50">
        <f>VLOOKUP(IntComp[[#This Row],[DEVELOPMENT]],Data[],5,FALSE)</f>
        <v>26</v>
      </c>
      <c r="J226" s="50"/>
      <c r="K226" s="50" t="str">
        <f ca="1">IFERROR(VLOOKUP(IntComp[[#This Row],[DEVELOPMENT]],Data[],4,FALSE),"")</f>
        <v/>
      </c>
      <c r="L226" s="50" t="str">
        <f ca="1">IF(IntComp[[#This Row],[RAD/PACT]]="","",IF(OR(IntComp[[#This Row],[RAD/PACT]]="2022-2025",IntComp[[#This Row],[RAD/PACT]]=2019,IntComp[[#This Row],[RAD/PACT]]="2020-2021"),"Yes",""))</f>
        <v/>
      </c>
      <c r="M226" s="51">
        <f ca="1">IF(VLOOKUP(IntComp[[#This Row],[DEVELOPMENT]],Data[],10,FALSE)=0,-1,DATEDIF(VLOOKUP(IntComp[[#This Row],[DEVELOPMENT]],Data[],12,FALSE),TODAY(),"Y"))</f>
        <v>-1</v>
      </c>
      <c r="N22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26" s="51"/>
      <c r="P226" s="51"/>
      <c r="Q226" s="51"/>
      <c r="R226" s="47">
        <f ca="1">(IntComp[[#This Row],['# to Replace (MRST)]]*INDEX(UnitCosts[#All],MATCH(IntComp[[#This Row],[WORK TYPE]],UnitCosts[Work Type],0)+1,2))*(1+((IntComp[[#This Row],[est. Year]]-YEAR(TODAY()))*$R$2))</f>
        <v>0</v>
      </c>
      <c r="S226" s="1">
        <f ca="1">SUM(INDEX(IntComp['# to Replace (MRST)],1):IntComp[[#This Row],['# to Replace (MRST)]])-272</f>
        <v>1193</v>
      </c>
      <c r="T226" s="51"/>
      <c r="U226" s="51">
        <f ca="1">IF(ISBLANK(IntComp[[#This Row],[CALENDAR YEAR]]),ROUNDDOWN(IntComp[[#This Row],[Count]]/190,0)+$U$1,IntComp[[#This Row],[CALENDAR YEAR]])</f>
        <v>2027</v>
      </c>
      <c r="V226" s="85">
        <f t="shared" ca="1" si="4"/>
        <v>5026812</v>
      </c>
      <c r="W226" s="71"/>
      <c r="X226"/>
    </row>
    <row r="227" spans="1:24">
      <c r="A227" s="1" t="s">
        <v>237</v>
      </c>
      <c r="B227" s="9">
        <f>VLOOKUP(A227,Data[],2,FALSE)</f>
        <v>0</v>
      </c>
      <c r="C227" s="9" t="s">
        <v>106</v>
      </c>
      <c r="D227" s="9" t="str">
        <f>VLOOKUP(IntComp[[#This Row],[DEVELOPMENT]],Data[],52,FALSE)</f>
        <v>FEDERAL</v>
      </c>
      <c r="E227" s="50">
        <f>VLOOKUP(IntComp[[#This Row],[DEVELOPMENT]],Data[],8,FALSE)</f>
        <v>0</v>
      </c>
      <c r="F227" s="50">
        <f>VLOOKUP(IntComp[[#This Row],[DEVELOPMENT]],all[[DEVELOPMENT]:[MRST Ext. Comp. Priority]],13,FALSE)</f>
        <v>3</v>
      </c>
      <c r="G227" s="50">
        <f>IF(VLOOKUP(IntComp[[#This Row],[DEVELOPMENT]],Data[],9,FALSE)=0,5,VLOOKUP(IntComp[[#This Row],[DEVELOPMENT]],Data[],9,FALSE))</f>
        <v>5</v>
      </c>
      <c r="H227" s="50">
        <f>VLOOKUP(IntComp[[#This Row],[DEVELOPMENT]],Data[],7,FALSE)</f>
        <v>10</v>
      </c>
      <c r="I227" s="50">
        <f>VLOOKUP(IntComp[[#This Row],[DEVELOPMENT]],Data[],5,FALSE)</f>
        <v>12</v>
      </c>
      <c r="J227" s="50"/>
      <c r="K227" s="50" t="str">
        <f ca="1">IFERROR(VLOOKUP(IntComp[[#This Row],[DEVELOPMENT]],Data[],4,FALSE),"")</f>
        <v/>
      </c>
      <c r="L227" s="50" t="str">
        <f ca="1">IF(IntComp[[#This Row],[RAD/PACT]]="","",IF(OR(IntComp[[#This Row],[RAD/PACT]]="2022-2025",IntComp[[#This Row],[RAD/PACT]]=2019,IntComp[[#This Row],[RAD/PACT]]="2020-2021"),"Yes",""))</f>
        <v/>
      </c>
      <c r="M227" s="51">
        <f ca="1">IF(VLOOKUP(IntComp[[#This Row],[DEVELOPMENT]],Data[],10,FALSE)=0,-1,DATEDIF(VLOOKUP(IntComp[[#This Row],[DEVELOPMENT]],Data[],12,FALSE),TODAY(),"Y"))</f>
        <v>-1</v>
      </c>
      <c r="N22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27" s="51"/>
      <c r="P227" s="51"/>
      <c r="Q227" s="51"/>
      <c r="R227" s="47">
        <f ca="1">(IntComp[[#This Row],['# to Replace (MRST)]]*INDEX(UnitCosts[#All],MATCH(IntComp[[#This Row],[WORK TYPE]],UnitCosts[Work Type],0)+1,2))*(1+((IntComp[[#This Row],[est. Year]]-YEAR(TODAY()))*$R$2))</f>
        <v>0</v>
      </c>
      <c r="S227" s="1">
        <f ca="1">SUM(INDEX(IntComp['# to Replace (MRST)],1):IntComp[[#This Row],['# to Replace (MRST)]])-272</f>
        <v>1193</v>
      </c>
      <c r="T227" s="51"/>
      <c r="U227" s="51">
        <f ca="1">IF(ISBLANK(IntComp[[#This Row],[CALENDAR YEAR]]),ROUNDDOWN(IntComp[[#This Row],[Count]]/190,0)+$U$1,IntComp[[#This Row],[CALENDAR YEAR]])</f>
        <v>2027</v>
      </c>
      <c r="V227" s="85">
        <f t="shared" ca="1" si="4"/>
        <v>5026812</v>
      </c>
      <c r="W227" s="71"/>
      <c r="X227"/>
    </row>
    <row r="228" spans="1:24">
      <c r="A228" s="1" t="s">
        <v>238</v>
      </c>
      <c r="B228" s="9">
        <f>VLOOKUP(A228,Data[],2,FALSE)</f>
        <v>0</v>
      </c>
      <c r="C228" s="9" t="s">
        <v>106</v>
      </c>
      <c r="D228" s="9" t="str">
        <f>VLOOKUP(IntComp[[#This Row],[DEVELOPMENT]],Data[],52,FALSE)</f>
        <v>FEDERAL</v>
      </c>
      <c r="E228" s="50">
        <f>VLOOKUP(IntComp[[#This Row],[DEVELOPMENT]],Data[],8,FALSE)</f>
        <v>0</v>
      </c>
      <c r="F228" s="50">
        <f>VLOOKUP(IntComp[[#This Row],[DEVELOPMENT]],all[[DEVELOPMENT]:[MRST Ext. Comp. Priority]],13,FALSE)</f>
        <v>3</v>
      </c>
      <c r="G228" s="50">
        <f>IF(VLOOKUP(IntComp[[#This Row],[DEVELOPMENT]],Data[],9,FALSE)=0,5,VLOOKUP(IntComp[[#This Row],[DEVELOPMENT]],Data[],9,FALSE))</f>
        <v>5</v>
      </c>
      <c r="H228" s="50">
        <f>VLOOKUP(IntComp[[#This Row],[DEVELOPMENT]],Data[],7,FALSE)</f>
        <v>11</v>
      </c>
      <c r="I228" s="50">
        <f>VLOOKUP(IntComp[[#This Row],[DEVELOPMENT]],Data[],5,FALSE)</f>
        <v>12</v>
      </c>
      <c r="J228" s="50"/>
      <c r="K228" s="50" t="str">
        <f ca="1">IFERROR(VLOOKUP(IntComp[[#This Row],[DEVELOPMENT]],Data[],4,FALSE),"")</f>
        <v/>
      </c>
      <c r="L228" s="50" t="str">
        <f ca="1">IF(IntComp[[#This Row],[RAD/PACT]]="","",IF(OR(IntComp[[#This Row],[RAD/PACT]]="2022-2025",IntComp[[#This Row],[RAD/PACT]]=2019,IntComp[[#This Row],[RAD/PACT]]="2020-2021"),"Yes",""))</f>
        <v/>
      </c>
      <c r="M228" s="51">
        <f ca="1">IF(VLOOKUP(IntComp[[#This Row],[DEVELOPMENT]],Data[],10,FALSE)=0,-1,DATEDIF(VLOOKUP(IntComp[[#This Row],[DEVELOPMENT]],Data[],12,FALSE),TODAY(),"Y"))</f>
        <v>-1</v>
      </c>
      <c r="N22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28" s="51"/>
      <c r="P228" s="51"/>
      <c r="Q228" s="51"/>
      <c r="R228" s="47">
        <f ca="1">(IntComp[[#This Row],['# to Replace (MRST)]]*INDEX(UnitCosts[#All],MATCH(IntComp[[#This Row],[WORK TYPE]],UnitCosts[Work Type],0)+1,2))*(1+((IntComp[[#This Row],[est. Year]]-YEAR(TODAY()))*$R$2))</f>
        <v>0</v>
      </c>
      <c r="S228" s="1">
        <f ca="1">SUM(INDEX(IntComp['# to Replace (MRST)],1):IntComp[[#This Row],['# to Replace (MRST)]])-272</f>
        <v>1193</v>
      </c>
      <c r="T228" s="51"/>
      <c r="U228" s="51">
        <f ca="1">IF(ISBLANK(IntComp[[#This Row],[CALENDAR YEAR]]),ROUNDDOWN(IntComp[[#This Row],[Count]]/190,0)+$U$1,IntComp[[#This Row],[CALENDAR YEAR]])</f>
        <v>2027</v>
      </c>
      <c r="V228" s="85">
        <f t="shared" ca="1" si="4"/>
        <v>5026812</v>
      </c>
      <c r="W228" s="71"/>
      <c r="X228"/>
    </row>
    <row r="229" spans="1:24">
      <c r="A229" s="1" t="s">
        <v>239</v>
      </c>
      <c r="B229" s="9">
        <f>VLOOKUP(A229,Data[],2,FALSE)</f>
        <v>0</v>
      </c>
      <c r="C229" s="9" t="s">
        <v>106</v>
      </c>
      <c r="D229" s="9" t="str">
        <f>VLOOKUP(IntComp[[#This Row],[DEVELOPMENT]],Data[],52,FALSE)</f>
        <v>FEDERAL</v>
      </c>
      <c r="E229" s="50">
        <f>VLOOKUP(IntComp[[#This Row],[DEVELOPMENT]],Data[],8,FALSE)</f>
        <v>0</v>
      </c>
      <c r="F229" s="50">
        <f>VLOOKUP(IntComp[[#This Row],[DEVELOPMENT]],all[[DEVELOPMENT]:[MRST Ext. Comp. Priority]],13,FALSE)</f>
        <v>3</v>
      </c>
      <c r="G229" s="50">
        <f>IF(VLOOKUP(IntComp[[#This Row],[DEVELOPMENT]],Data[],9,FALSE)=0,5,VLOOKUP(IntComp[[#This Row],[DEVELOPMENT]],Data[],9,FALSE))</f>
        <v>5</v>
      </c>
      <c r="H229" s="50">
        <f>VLOOKUP(IntComp[[#This Row],[DEVELOPMENT]],Data[],7,FALSE)</f>
        <v>10</v>
      </c>
      <c r="I229" s="50">
        <f>VLOOKUP(IntComp[[#This Row],[DEVELOPMENT]],Data[],5,FALSE)</f>
        <v>13</v>
      </c>
      <c r="J229" s="50"/>
      <c r="K229" s="50" t="str">
        <f ca="1">IFERROR(VLOOKUP(IntComp[[#This Row],[DEVELOPMENT]],Data[],4,FALSE),"")</f>
        <v/>
      </c>
      <c r="L229" s="50" t="str">
        <f ca="1">IF(IntComp[[#This Row],[RAD/PACT]]="","",IF(OR(IntComp[[#This Row],[RAD/PACT]]="2022-2025",IntComp[[#This Row],[RAD/PACT]]=2019,IntComp[[#This Row],[RAD/PACT]]="2020-2021"),"Yes",""))</f>
        <v/>
      </c>
      <c r="M229" s="51">
        <f ca="1">IF(VLOOKUP(IntComp[[#This Row],[DEVELOPMENT]],Data[],10,FALSE)=0,-1,DATEDIF(VLOOKUP(IntComp[[#This Row],[DEVELOPMENT]],Data[],12,FALSE),TODAY(),"Y"))</f>
        <v>-1</v>
      </c>
      <c r="N22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29" s="51"/>
      <c r="P229" s="51"/>
      <c r="Q229" s="51"/>
      <c r="R229" s="47">
        <f ca="1">(IntComp[[#This Row],['# to Replace (MRST)]]*INDEX(UnitCosts[#All],MATCH(IntComp[[#This Row],[WORK TYPE]],UnitCosts[Work Type],0)+1,2))*(1+((IntComp[[#This Row],[est. Year]]-YEAR(TODAY()))*$R$2))</f>
        <v>0</v>
      </c>
      <c r="S229" s="1">
        <f ca="1">SUM(INDEX(IntComp['# to Replace (MRST)],1):IntComp[[#This Row],['# to Replace (MRST)]])-272</f>
        <v>1193</v>
      </c>
      <c r="T229" s="51"/>
      <c r="U229" s="51">
        <f ca="1">IF(ISBLANK(IntComp[[#This Row],[CALENDAR YEAR]]),ROUNDDOWN(IntComp[[#This Row],[Count]]/190,0)+$U$1,IntComp[[#This Row],[CALENDAR YEAR]])</f>
        <v>2027</v>
      </c>
      <c r="V229" s="85">
        <f t="shared" ca="1" si="4"/>
        <v>5026812</v>
      </c>
      <c r="W229" s="71"/>
      <c r="X229"/>
    </row>
    <row r="230" spans="1:24">
      <c r="A230" s="1" t="s">
        <v>240</v>
      </c>
      <c r="B230" s="9">
        <f>VLOOKUP(A230,Data[],2,FALSE)</f>
        <v>0</v>
      </c>
      <c r="C230" s="9" t="s">
        <v>106</v>
      </c>
      <c r="D230" s="9" t="str">
        <f>VLOOKUP(IntComp[[#This Row],[DEVELOPMENT]],Data[],52,FALSE)</f>
        <v>FEDERAL</v>
      </c>
      <c r="E230" s="50" t="str">
        <f>VLOOKUP(IntComp[[#This Row],[DEVELOPMENT]],Data[],8,FALSE)</f>
        <v>Zone 4</v>
      </c>
      <c r="F230" s="50">
        <f>VLOOKUP(IntComp[[#This Row],[DEVELOPMENT]],all[[DEVELOPMENT]:[MRST Ext. Comp. Priority]],13,FALSE)</f>
        <v>3</v>
      </c>
      <c r="G230" s="50">
        <f>IF(VLOOKUP(IntComp[[#This Row],[DEVELOPMENT]],Data[],9,FALSE)=0,5,VLOOKUP(IntComp[[#This Row],[DEVELOPMENT]],Data[],9,FALSE))</f>
        <v>5</v>
      </c>
      <c r="H230" s="50">
        <f>VLOOKUP(IntComp[[#This Row],[DEVELOPMENT]],Data[],7,FALSE)</f>
        <v>16</v>
      </c>
      <c r="I230" s="50">
        <f>VLOOKUP(IntComp[[#This Row],[DEVELOPMENT]],Data[],5,FALSE)</f>
        <v>16</v>
      </c>
      <c r="J230" s="50"/>
      <c r="K230" s="50" t="str">
        <f ca="1">IFERROR(VLOOKUP(IntComp[[#This Row],[DEVELOPMENT]],Data[],4,FALSE),"")</f>
        <v/>
      </c>
      <c r="L230" s="50" t="str">
        <f ca="1">IF(IntComp[[#This Row],[RAD/PACT]]="","",IF(OR(IntComp[[#This Row],[RAD/PACT]]="2022-2025",IntComp[[#This Row],[RAD/PACT]]=2019,IntComp[[#This Row],[RAD/PACT]]="2020-2021"),"Yes",""))</f>
        <v/>
      </c>
      <c r="M230" s="51">
        <f ca="1">IF(VLOOKUP(IntComp[[#This Row],[DEVELOPMENT]],Data[],10,FALSE)=0,-1,DATEDIF(VLOOKUP(IntComp[[#This Row],[DEVELOPMENT]],Data[],12,FALSE),TODAY(),"Y"))</f>
        <v>-1</v>
      </c>
      <c r="N23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30" s="51"/>
      <c r="P230" s="51"/>
      <c r="Q230" s="51"/>
      <c r="R230" s="47">
        <f ca="1">(IntComp[[#This Row],['# to Replace (MRST)]]*INDEX(UnitCosts[#All],MATCH(IntComp[[#This Row],[WORK TYPE]],UnitCosts[Work Type],0)+1,2))*(1+((IntComp[[#This Row],[est. Year]]-YEAR(TODAY()))*$R$2))</f>
        <v>0</v>
      </c>
      <c r="S230" s="1">
        <f ca="1">SUM(INDEX(IntComp['# to Replace (MRST)],1):IntComp[[#This Row],['# to Replace (MRST)]])-272</f>
        <v>1193</v>
      </c>
      <c r="T230" s="51"/>
      <c r="U230" s="51">
        <f ca="1">IF(ISBLANK(IntComp[[#This Row],[CALENDAR YEAR]]),ROUNDDOWN(IntComp[[#This Row],[Count]]/190,0)+$U$1,IntComp[[#This Row],[CALENDAR YEAR]])</f>
        <v>2027</v>
      </c>
      <c r="V230" s="85">
        <f t="shared" ca="1" si="4"/>
        <v>5026812</v>
      </c>
      <c r="W230" s="71"/>
      <c r="X230"/>
    </row>
    <row r="231" spans="1:24">
      <c r="A231" s="1" t="s">
        <v>320</v>
      </c>
      <c r="B231" s="9">
        <f>VLOOKUP(A231,Data[],2,FALSE)</f>
        <v>0</v>
      </c>
      <c r="C231" s="9" t="s">
        <v>106</v>
      </c>
      <c r="D231" s="9" t="str">
        <f>VLOOKUP(IntComp[[#This Row],[DEVELOPMENT]],Data[],52,FALSE)</f>
        <v>FEDERAL</v>
      </c>
      <c r="E231" s="50">
        <f>VLOOKUP(IntComp[[#This Row],[DEVELOPMENT]],Data[],8,FALSE)</f>
        <v>0</v>
      </c>
      <c r="F231" s="50">
        <f>VLOOKUP(IntComp[[#This Row],[DEVELOPMENT]],all[[DEVELOPMENT]:[MRST Ext. Comp. Priority]],13,FALSE)</f>
        <v>3</v>
      </c>
      <c r="G231" s="50">
        <f>IF(VLOOKUP(IntComp[[#This Row],[DEVELOPMENT]],Data[],9,FALSE)=0,5,VLOOKUP(IntComp[[#This Row],[DEVELOPMENT]],Data[],9,FALSE))</f>
        <v>5</v>
      </c>
      <c r="H231" s="50">
        <f>VLOOKUP(IntComp[[#This Row],[DEVELOPMENT]],Data[],7,FALSE)</f>
        <v>29</v>
      </c>
      <c r="I231" s="50">
        <f>VLOOKUP(IntComp[[#This Row],[DEVELOPMENT]],Data[],5,FALSE)</f>
        <v>31</v>
      </c>
      <c r="J231" s="50"/>
      <c r="K231" s="50" t="str">
        <f ca="1">IFERROR(VLOOKUP(IntComp[[#This Row],[DEVELOPMENT]],Data[],4,FALSE),"")</f>
        <v/>
      </c>
      <c r="L231" s="50" t="str">
        <f ca="1">IF(IntComp[[#This Row],[RAD/PACT]]="","",IF(OR(IntComp[[#This Row],[RAD/PACT]]="2022-2025",IntComp[[#This Row],[RAD/PACT]]=2019,IntComp[[#This Row],[RAD/PACT]]="2020-2021"),"Yes",""))</f>
        <v/>
      </c>
      <c r="M231" s="51">
        <f ca="1">IF(VLOOKUP(IntComp[[#This Row],[DEVELOPMENT]],Data[],10,FALSE)=0,-1,DATEDIF(VLOOKUP(IntComp[[#This Row],[DEVELOPMENT]],Data[],12,FALSE),TODAY(),"Y"))</f>
        <v>-1</v>
      </c>
      <c r="N23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31" s="51"/>
      <c r="P231" s="51"/>
      <c r="Q231" s="51"/>
      <c r="R231" s="47">
        <f ca="1">(IntComp[[#This Row],['# to Replace (MRST)]]*INDEX(UnitCosts[#All],MATCH(IntComp[[#This Row],[WORK TYPE]],UnitCosts[Work Type],0)+1,2))*(1+((IntComp[[#This Row],[est. Year]]-YEAR(TODAY()))*$R$2))</f>
        <v>0</v>
      </c>
      <c r="S231" s="1">
        <f ca="1">SUM(INDEX(IntComp['# to Replace (MRST)],1):IntComp[[#This Row],['# to Replace (MRST)]])-272</f>
        <v>1193</v>
      </c>
      <c r="T231" s="51"/>
      <c r="U231" s="51">
        <f ca="1">IF(ISBLANK(IntComp[[#This Row],[CALENDAR YEAR]]),ROUNDDOWN(IntComp[[#This Row],[Count]]/190,0)+$U$1,IntComp[[#This Row],[CALENDAR YEAR]])</f>
        <v>2027</v>
      </c>
      <c r="V231" s="85">
        <f t="shared" ca="1" si="4"/>
        <v>5026812</v>
      </c>
      <c r="W231" s="71"/>
      <c r="X231"/>
    </row>
    <row r="232" spans="1:24">
      <c r="A232" s="1" t="s">
        <v>322</v>
      </c>
      <c r="B232" s="9">
        <f>VLOOKUP(A232,Data[],2,FALSE)</f>
        <v>0</v>
      </c>
      <c r="C232" s="9" t="s">
        <v>106</v>
      </c>
      <c r="D232" s="9" t="str">
        <f>VLOOKUP(IntComp[[#This Row],[DEVELOPMENT]],Data[],52,FALSE)</f>
        <v>FEDERAL</v>
      </c>
      <c r="E232" s="50">
        <f>VLOOKUP(IntComp[[#This Row],[DEVELOPMENT]],Data[],8,FALSE)</f>
        <v>0</v>
      </c>
      <c r="F232" s="50">
        <f>VLOOKUP(IntComp[[#This Row],[DEVELOPMENT]],all[[DEVELOPMENT]:[MRST Ext. Comp. Priority]],13,FALSE)</f>
        <v>3</v>
      </c>
      <c r="G232" s="50">
        <f>IF(VLOOKUP(IntComp[[#This Row],[DEVELOPMENT]],Data[],9,FALSE)=0,5,VLOOKUP(IntComp[[#This Row],[DEVELOPMENT]],Data[],9,FALSE))</f>
        <v>5</v>
      </c>
      <c r="H232" s="50">
        <f>VLOOKUP(IntComp[[#This Row],[DEVELOPMENT]],Data[],7,FALSE)</f>
        <v>5</v>
      </c>
      <c r="I232" s="50">
        <f>VLOOKUP(IntComp[[#This Row],[DEVELOPMENT]],Data[],5,FALSE)</f>
        <v>8</v>
      </c>
      <c r="J232" s="50"/>
      <c r="K232" s="50" t="str">
        <f ca="1">IFERROR(VLOOKUP(IntComp[[#This Row],[DEVELOPMENT]],Data[],4,FALSE),"")</f>
        <v/>
      </c>
      <c r="L232" s="50" t="str">
        <f ca="1">IF(IntComp[[#This Row],[RAD/PACT]]="","",IF(OR(IntComp[[#This Row],[RAD/PACT]]="2022-2025",IntComp[[#This Row],[RAD/PACT]]=2019,IntComp[[#This Row],[RAD/PACT]]="2020-2021"),"Yes",""))</f>
        <v/>
      </c>
      <c r="M232" s="51">
        <f ca="1">IF(VLOOKUP(IntComp[[#This Row],[DEVELOPMENT]],Data[],10,FALSE)=0,-1,DATEDIF(VLOOKUP(IntComp[[#This Row],[DEVELOPMENT]],Data[],12,FALSE),TODAY(),"Y"))</f>
        <v>-1</v>
      </c>
      <c r="N23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32" s="51"/>
      <c r="P232" s="51"/>
      <c r="Q232" s="51"/>
      <c r="R232" s="47">
        <f ca="1">(IntComp[[#This Row],['# to Replace (MRST)]]*INDEX(UnitCosts[#All],MATCH(IntComp[[#This Row],[WORK TYPE]],UnitCosts[Work Type],0)+1,2))*(1+((IntComp[[#This Row],[est. Year]]-YEAR(TODAY()))*$R$2))</f>
        <v>0</v>
      </c>
      <c r="S232" s="1">
        <f ca="1">SUM(INDEX(IntComp['# to Replace (MRST)],1):IntComp[[#This Row],['# to Replace (MRST)]])-272</f>
        <v>1193</v>
      </c>
      <c r="T232" s="51"/>
      <c r="U232" s="51">
        <f ca="1">IF(ISBLANK(IntComp[[#This Row],[CALENDAR YEAR]]),ROUNDDOWN(IntComp[[#This Row],[Count]]/190,0)+$U$1,IntComp[[#This Row],[CALENDAR YEAR]])</f>
        <v>2027</v>
      </c>
      <c r="V232" s="85">
        <f t="shared" ca="1" si="4"/>
        <v>5026812</v>
      </c>
      <c r="W232" s="71"/>
      <c r="X232"/>
    </row>
    <row r="233" spans="1:24">
      <c r="A233" s="1" t="s">
        <v>285</v>
      </c>
      <c r="B233" s="9" t="str">
        <f>VLOOKUP(A233,Data[],2,FALSE)</f>
        <v>BRONX</v>
      </c>
      <c r="C233" s="9" t="s">
        <v>106</v>
      </c>
      <c r="D233" s="9" t="str">
        <f>VLOOKUP(IntComp[[#This Row],[DEVELOPMENT]],Data[],52,FALSE)</f>
        <v>FEDERAL</v>
      </c>
      <c r="E233" s="50">
        <f>VLOOKUP(IntComp[[#This Row],[DEVELOPMENT]],Data[],8,FALSE)</f>
        <v>0</v>
      </c>
      <c r="F233" s="50">
        <f>VLOOKUP(IntComp[[#This Row],[DEVELOPMENT]],all[[DEVELOPMENT]:[MRST Ext. Comp. Priority]],13,FALSE)</f>
        <v>3</v>
      </c>
      <c r="G233" s="50">
        <f>IF(VLOOKUP(IntComp[[#This Row],[DEVELOPMENT]],Data[],9,FALSE)=0,5,VLOOKUP(IntComp[[#This Row],[DEVELOPMENT]],Data[],9,FALSE))</f>
        <v>5</v>
      </c>
      <c r="H233" s="50">
        <f>VLOOKUP(IntComp[[#This Row],[DEVELOPMENT]],Data[],7,FALSE)</f>
        <v>65</v>
      </c>
      <c r="I233" s="50">
        <f>VLOOKUP(IntComp[[#This Row],[DEVELOPMENT]],Data[],5,FALSE)</f>
        <v>1</v>
      </c>
      <c r="J233" s="50"/>
      <c r="K233" s="50" t="str">
        <f ca="1">IFERROR(VLOOKUP(IntComp[[#This Row],[DEVELOPMENT]],Data[],4,FALSE),"")</f>
        <v/>
      </c>
      <c r="L233" s="50" t="str">
        <f ca="1">IF(IntComp[[#This Row],[RAD/PACT]]="","",IF(OR(IntComp[[#This Row],[RAD/PACT]]="2022-2025",IntComp[[#This Row],[RAD/PACT]]=2019,IntComp[[#This Row],[RAD/PACT]]="2020-2021"),"Yes",""))</f>
        <v/>
      </c>
      <c r="M233" s="51">
        <f ca="1">IF(VLOOKUP(IntComp[[#This Row],[DEVELOPMENT]],Data[],10,FALSE)=0,-1,DATEDIF(VLOOKUP(IntComp[[#This Row],[DEVELOPMENT]],Data[],12,FALSE),TODAY(),"Y"))</f>
        <v>-1</v>
      </c>
      <c r="N23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33" s="51"/>
      <c r="P233" s="51"/>
      <c r="Q233" s="51"/>
      <c r="R233" s="47">
        <f ca="1">(IntComp[[#This Row],['# to Replace (MRST)]]*INDEX(UnitCosts[#All],MATCH(IntComp[[#This Row],[WORK TYPE]],UnitCosts[Work Type],0)+1,2))*(1+((IntComp[[#This Row],[est. Year]]-YEAR(TODAY()))*$R$2))</f>
        <v>0</v>
      </c>
      <c r="S233" s="1">
        <f ca="1">SUM(INDEX(IntComp['# to Replace (MRST)],1):IntComp[[#This Row],['# to Replace (MRST)]])-272</f>
        <v>1193</v>
      </c>
      <c r="T233" s="51"/>
      <c r="U233" s="51">
        <f ca="1">IF(ISBLANK(IntComp[[#This Row],[CALENDAR YEAR]]),ROUNDDOWN(IntComp[[#This Row],[Count]]/190,0)+$U$1,IntComp[[#This Row],[CALENDAR YEAR]])</f>
        <v>2027</v>
      </c>
      <c r="V233" s="85">
        <f t="shared" ca="1" si="4"/>
        <v>5026812</v>
      </c>
      <c r="W233" s="71"/>
      <c r="X233"/>
    </row>
    <row r="234" spans="1:24">
      <c r="A234" s="1" t="s">
        <v>286</v>
      </c>
      <c r="B234" s="9" t="str">
        <f>VLOOKUP(A234,Data[],2,FALSE)</f>
        <v>BRONX</v>
      </c>
      <c r="C234" s="9" t="s">
        <v>106</v>
      </c>
      <c r="D234" s="9" t="str">
        <f>VLOOKUP(IntComp[[#This Row],[DEVELOPMENT]],Data[],52,FALSE)</f>
        <v>FEDERAL</v>
      </c>
      <c r="E234" s="50" t="str">
        <f>VLOOKUP(IntComp[[#This Row],[DEVELOPMENT]],Data[],8,FALSE)</f>
        <v>Zone 3</v>
      </c>
      <c r="F234" s="50">
        <f>VLOOKUP(IntComp[[#This Row],[DEVELOPMENT]],all[[DEVELOPMENT]:[MRST Ext. Comp. Priority]],13,FALSE)</f>
        <v>3</v>
      </c>
      <c r="G234" s="50">
        <f>IF(VLOOKUP(IntComp[[#This Row],[DEVELOPMENT]],Data[],9,FALSE)=0,5,VLOOKUP(IntComp[[#This Row],[DEVELOPMENT]],Data[],9,FALSE))</f>
        <v>5</v>
      </c>
      <c r="H234" s="50">
        <f>VLOOKUP(IntComp[[#This Row],[DEVELOPMENT]],Data[],7,FALSE)</f>
        <v>131</v>
      </c>
      <c r="I234" s="50">
        <f>VLOOKUP(IntComp[[#This Row],[DEVELOPMENT]],Data[],5,FALSE)</f>
        <v>13</v>
      </c>
      <c r="J234" s="50"/>
      <c r="K234" s="50" t="str">
        <f ca="1">IFERROR(VLOOKUP(IntComp[[#This Row],[DEVELOPMENT]],Data[],4,FALSE),"")</f>
        <v/>
      </c>
      <c r="L234" s="50" t="str">
        <f ca="1">IF(IntComp[[#This Row],[RAD/PACT]]="","",IF(OR(IntComp[[#This Row],[RAD/PACT]]="2022-2025",IntComp[[#This Row],[RAD/PACT]]=2019,IntComp[[#This Row],[RAD/PACT]]="2020-2021"),"Yes",""))</f>
        <v/>
      </c>
      <c r="M234" s="51">
        <f ca="1">IF(VLOOKUP(IntComp[[#This Row],[DEVELOPMENT]],Data[],10,FALSE)=0,-1,DATEDIF(VLOOKUP(IntComp[[#This Row],[DEVELOPMENT]],Data[],12,FALSE),TODAY(),"Y"))</f>
        <v>-1</v>
      </c>
      <c r="N23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34" s="51"/>
      <c r="P234" s="51"/>
      <c r="Q234" s="51"/>
      <c r="R234" s="47">
        <f ca="1">(IntComp[[#This Row],['# to Replace (MRST)]]*INDEX(UnitCosts[#All],MATCH(IntComp[[#This Row],[WORK TYPE]],UnitCosts[Work Type],0)+1,2))*(1+((IntComp[[#This Row],[est. Year]]-YEAR(TODAY()))*$R$2))</f>
        <v>0</v>
      </c>
      <c r="S234" s="1">
        <f ca="1">SUM(INDEX(IntComp['# to Replace (MRST)],1):IntComp[[#This Row],['# to Replace (MRST)]])-272</f>
        <v>1193</v>
      </c>
      <c r="T234" s="51"/>
      <c r="U234" s="51">
        <f ca="1">IF(ISBLANK(IntComp[[#This Row],[CALENDAR YEAR]]),ROUNDDOWN(IntComp[[#This Row],[Count]]/190,0)+$U$1,IntComp[[#This Row],[CALENDAR YEAR]])</f>
        <v>2027</v>
      </c>
      <c r="V234" s="85">
        <f t="shared" ca="1" si="4"/>
        <v>5026812</v>
      </c>
      <c r="W234" s="71"/>
      <c r="X234"/>
    </row>
    <row r="235" spans="1:24">
      <c r="A235" s="1" t="s">
        <v>287</v>
      </c>
      <c r="B235" s="9" t="str">
        <f>VLOOKUP(A235,Data[],2,FALSE)</f>
        <v>BRONX</v>
      </c>
      <c r="C235" s="9" t="s">
        <v>106</v>
      </c>
      <c r="D235" s="9" t="str">
        <f>VLOOKUP(IntComp[[#This Row],[DEVELOPMENT]],Data[],52,FALSE)</f>
        <v>FEDERAL</v>
      </c>
      <c r="E235" s="50">
        <f>VLOOKUP(IntComp[[#This Row],[DEVELOPMENT]],Data[],8,FALSE)</f>
        <v>0</v>
      </c>
      <c r="F235" s="50">
        <f>VLOOKUP(IntComp[[#This Row],[DEVELOPMENT]],all[[DEVELOPMENT]:[MRST Ext. Comp. Priority]],13,FALSE)</f>
        <v>3</v>
      </c>
      <c r="G235" s="50">
        <f>IF(VLOOKUP(IntComp[[#This Row],[DEVELOPMENT]],Data[],9,FALSE)=0,5,VLOOKUP(IntComp[[#This Row],[DEVELOPMENT]],Data[],9,FALSE))</f>
        <v>5</v>
      </c>
      <c r="H235" s="50">
        <f>VLOOKUP(IntComp[[#This Row],[DEVELOPMENT]],Data[],7,FALSE)</f>
        <v>75</v>
      </c>
      <c r="I235" s="50">
        <f>VLOOKUP(IntComp[[#This Row],[DEVELOPMENT]],Data[],5,FALSE)</f>
        <v>2</v>
      </c>
      <c r="J235" s="50"/>
      <c r="K235" s="50" t="str">
        <f ca="1">IFERROR(VLOOKUP(IntComp[[#This Row],[DEVELOPMENT]],Data[],4,FALSE),"")</f>
        <v/>
      </c>
      <c r="L235" s="50" t="str">
        <f ca="1">IF(IntComp[[#This Row],[RAD/PACT]]="","",IF(OR(IntComp[[#This Row],[RAD/PACT]]="2022-2025",IntComp[[#This Row],[RAD/PACT]]=2019,IntComp[[#This Row],[RAD/PACT]]="2020-2021"),"Yes",""))</f>
        <v/>
      </c>
      <c r="M235" s="51">
        <f ca="1">IF(VLOOKUP(IntComp[[#This Row],[DEVELOPMENT]],Data[],10,FALSE)=0,-1,DATEDIF(VLOOKUP(IntComp[[#This Row],[DEVELOPMENT]],Data[],12,FALSE),TODAY(),"Y"))</f>
        <v>-1</v>
      </c>
      <c r="N23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35" s="51"/>
      <c r="P235" s="51"/>
      <c r="Q235" s="51"/>
      <c r="R235" s="47">
        <f ca="1">(IntComp[[#This Row],['# to Replace (MRST)]]*INDEX(UnitCosts[#All],MATCH(IntComp[[#This Row],[WORK TYPE]],UnitCosts[Work Type],0)+1,2))*(1+((IntComp[[#This Row],[est. Year]]-YEAR(TODAY()))*$R$2))</f>
        <v>0</v>
      </c>
      <c r="S235" s="1">
        <f ca="1">SUM(INDEX(IntComp['# to Replace (MRST)],1):IntComp[[#This Row],['# to Replace (MRST)]])-272</f>
        <v>1193</v>
      </c>
      <c r="T235" s="51"/>
      <c r="U235" s="51">
        <f ca="1">IF(ISBLANK(IntComp[[#This Row],[CALENDAR YEAR]]),ROUNDDOWN(IntComp[[#This Row],[Count]]/190,0)+$U$1,IntComp[[#This Row],[CALENDAR YEAR]])</f>
        <v>2027</v>
      </c>
      <c r="V235" s="85">
        <f t="shared" ca="1" si="4"/>
        <v>5026812</v>
      </c>
      <c r="W235" s="71"/>
      <c r="X235"/>
    </row>
    <row r="236" spans="1:24">
      <c r="A236" s="1" t="s">
        <v>215</v>
      </c>
      <c r="B236" s="9" t="str">
        <f>VLOOKUP(A236,Data[],2,FALSE)</f>
        <v>QUEENS</v>
      </c>
      <c r="C236" s="9" t="s">
        <v>106</v>
      </c>
      <c r="D236" s="9" t="str">
        <f>VLOOKUP(IntComp[[#This Row],[DEVELOPMENT]],Data[],52,FALSE)</f>
        <v>FEDERAL</v>
      </c>
      <c r="E236" s="50">
        <f>VLOOKUP(IntComp[[#This Row],[DEVELOPMENT]],Data[],8,FALSE)</f>
        <v>0</v>
      </c>
      <c r="F236" s="50">
        <f>VLOOKUP(IntComp[[#This Row],[DEVELOPMENT]],all[[DEVELOPMENT]:[MRST Ext. Comp. Priority]],13,FALSE)</f>
        <v>3</v>
      </c>
      <c r="G236" s="50">
        <f>IF(VLOOKUP(IntComp[[#This Row],[DEVELOPMENT]],Data[],9,FALSE)=0,5,VLOOKUP(IntComp[[#This Row],[DEVELOPMENT]],Data[],9,FALSE))</f>
        <v>5</v>
      </c>
      <c r="H236" s="50">
        <f>VLOOKUP(IntComp[[#This Row],[DEVELOPMENT]],Data[],7,FALSE)</f>
        <v>13</v>
      </c>
      <c r="I236" s="50">
        <f>VLOOKUP(IntComp[[#This Row],[DEVELOPMENT]],Data[],5,FALSE)</f>
        <v>1</v>
      </c>
      <c r="J236" s="50"/>
      <c r="K236" s="50" t="str">
        <f ca="1">IFERROR(VLOOKUP(IntComp[[#This Row],[DEVELOPMENT]],Data[],4,FALSE),"")</f>
        <v/>
      </c>
      <c r="L236" s="50" t="str">
        <f ca="1">IF(IntComp[[#This Row],[RAD/PACT]]="","",IF(OR(IntComp[[#This Row],[RAD/PACT]]="2022-2025",IntComp[[#This Row],[RAD/PACT]]=2019,IntComp[[#This Row],[RAD/PACT]]="2020-2021"),"Yes",""))</f>
        <v/>
      </c>
      <c r="M236" s="51">
        <f ca="1">IF(VLOOKUP(IntComp[[#This Row],[DEVELOPMENT]],Data[],10,FALSE)=0,-1,DATEDIF(VLOOKUP(IntComp[[#This Row],[DEVELOPMENT]],Data[],12,FALSE),TODAY(),"Y"))</f>
        <v>-1</v>
      </c>
      <c r="N23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36" s="51"/>
      <c r="P236" s="51"/>
      <c r="Q236" s="51"/>
      <c r="R236" s="47">
        <f ca="1">(IntComp[[#This Row],['# to Replace (MRST)]]*INDEX(UnitCosts[#All],MATCH(IntComp[[#This Row],[WORK TYPE]],UnitCosts[Work Type],0)+1,2))*(1+((IntComp[[#This Row],[est. Year]]-YEAR(TODAY()))*$R$2))</f>
        <v>0</v>
      </c>
      <c r="S236" s="1">
        <f ca="1">SUM(INDEX(IntComp['# to Replace (MRST)],1):IntComp[[#This Row],['# to Replace (MRST)]])-272</f>
        <v>1193</v>
      </c>
      <c r="T236" s="51"/>
      <c r="U236" s="51">
        <f ca="1">IF(ISBLANK(IntComp[[#This Row],[CALENDAR YEAR]]),ROUNDDOWN(IntComp[[#This Row],[Count]]/190,0)+$U$1,IntComp[[#This Row],[CALENDAR YEAR]])</f>
        <v>2027</v>
      </c>
      <c r="V236" s="85">
        <f t="shared" ca="1" si="4"/>
        <v>5026812</v>
      </c>
      <c r="W236" s="71"/>
      <c r="X236"/>
    </row>
    <row r="237" spans="1:24">
      <c r="A237" s="1" t="s">
        <v>364</v>
      </c>
      <c r="B237" s="9" t="str">
        <f>VLOOKUP(A237,Data[],2,FALSE)</f>
        <v>MANHATTAN</v>
      </c>
      <c r="C237" s="9" t="s">
        <v>106</v>
      </c>
      <c r="D237" s="9" t="str">
        <f>VLOOKUP(IntComp[[#This Row],[DEVELOPMENT]],Data[],52,FALSE)</f>
        <v>FEDERAL</v>
      </c>
      <c r="E237" s="50">
        <f>VLOOKUP(IntComp[[#This Row],[DEVELOPMENT]],Data[],8,FALSE)</f>
        <v>0</v>
      </c>
      <c r="F237" s="50">
        <f>VLOOKUP(IntComp[[#This Row],[DEVELOPMENT]],all[[DEVELOPMENT]:[MRST Ext. Comp. Priority]],13,FALSE)</f>
        <v>3</v>
      </c>
      <c r="G237" s="50">
        <f>IF(VLOOKUP(IntComp[[#This Row],[DEVELOPMENT]],Data[],9,FALSE)=0,5,VLOOKUP(IntComp[[#This Row],[DEVELOPMENT]],Data[],9,FALSE))</f>
        <v>5</v>
      </c>
      <c r="H237" s="50">
        <f>VLOOKUP(IntComp[[#This Row],[DEVELOPMENT]],Data[],7,FALSE)</f>
        <v>13</v>
      </c>
      <c r="I237" s="50">
        <f>VLOOKUP(IntComp[[#This Row],[DEVELOPMENT]],Data[],5,FALSE)</f>
        <v>1</v>
      </c>
      <c r="J237" s="50"/>
      <c r="K237" s="50" t="str">
        <f ca="1">IFERROR(VLOOKUP(IntComp[[#This Row],[DEVELOPMENT]],Data[],4,FALSE),"")</f>
        <v/>
      </c>
      <c r="L237" s="50" t="str">
        <f ca="1">IF(IntComp[[#This Row],[RAD/PACT]]="","",IF(OR(IntComp[[#This Row],[RAD/PACT]]="2022-2025",IntComp[[#This Row],[RAD/PACT]]=2019,IntComp[[#This Row],[RAD/PACT]]="2020-2021"),"Yes",""))</f>
        <v/>
      </c>
      <c r="M237" s="51">
        <f ca="1">IF(VLOOKUP(IntComp[[#This Row],[DEVELOPMENT]],Data[],10,FALSE)=0,-1,DATEDIF(VLOOKUP(IntComp[[#This Row],[DEVELOPMENT]],Data[],12,FALSE),TODAY(),"Y"))</f>
        <v>-1</v>
      </c>
      <c r="N23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37" s="51"/>
      <c r="P237" s="51"/>
      <c r="Q237" s="51"/>
      <c r="R237" s="47">
        <f ca="1">(IntComp[[#This Row],['# to Replace (MRST)]]*INDEX(UnitCosts[#All],MATCH(IntComp[[#This Row],[WORK TYPE]],UnitCosts[Work Type],0)+1,2))*(1+((IntComp[[#This Row],[est. Year]]-YEAR(TODAY()))*$R$2))</f>
        <v>0</v>
      </c>
      <c r="S237" s="1">
        <f ca="1">SUM(INDEX(IntComp['# to Replace (MRST)],1):IntComp[[#This Row],['# to Replace (MRST)]])-272</f>
        <v>1193</v>
      </c>
      <c r="T237" s="51"/>
      <c r="U237" s="51">
        <f ca="1">IF(ISBLANK(IntComp[[#This Row],[CALENDAR YEAR]]),ROUNDDOWN(IntComp[[#This Row],[Count]]/190,0)+$U$1,IntComp[[#This Row],[CALENDAR YEAR]])</f>
        <v>2027</v>
      </c>
      <c r="V237" s="85">
        <f t="shared" ca="1" si="4"/>
        <v>5026812</v>
      </c>
      <c r="W237" s="71"/>
      <c r="X237"/>
    </row>
    <row r="238" spans="1:24">
      <c r="A238" s="1" t="s">
        <v>372</v>
      </c>
      <c r="B238" s="9" t="str">
        <f>VLOOKUP(A238,Data[],2,FALSE)</f>
        <v>BRONX</v>
      </c>
      <c r="C238" s="9" t="s">
        <v>106</v>
      </c>
      <c r="D238" s="9" t="str">
        <f>VLOOKUP(IntComp[[#This Row],[DEVELOPMENT]],Data[],52,FALSE)</f>
        <v>FEDERAL</v>
      </c>
      <c r="E238" s="50">
        <f>VLOOKUP(IntComp[[#This Row],[DEVELOPMENT]],Data[],8,FALSE)</f>
        <v>0</v>
      </c>
      <c r="F238" s="50">
        <f>VLOOKUP(IntComp[[#This Row],[DEVELOPMENT]],all[[DEVELOPMENT]:[MRST Ext. Comp. Priority]],13,FALSE)</f>
        <v>3</v>
      </c>
      <c r="G238" s="50">
        <f>IF(VLOOKUP(IntComp[[#This Row],[DEVELOPMENT]],Data[],9,FALSE)=0,5,VLOOKUP(IntComp[[#This Row],[DEVELOPMENT]],Data[],9,FALSE))</f>
        <v>5</v>
      </c>
      <c r="H238" s="50">
        <f>VLOOKUP(IntComp[[#This Row],[DEVELOPMENT]],Data[],7,FALSE)</f>
        <v>230</v>
      </c>
      <c r="I238" s="50">
        <f>VLOOKUP(IntComp[[#This Row],[DEVELOPMENT]],Data[],5,FALSE)</f>
        <v>4</v>
      </c>
      <c r="J238" s="50"/>
      <c r="K238" s="50" t="str">
        <f ca="1">IFERROR(VLOOKUP(IntComp[[#This Row],[DEVELOPMENT]],Data[],4,FALSE),"")</f>
        <v/>
      </c>
      <c r="L238" s="50" t="str">
        <f ca="1">IF(IntComp[[#This Row],[RAD/PACT]]="","",IF(OR(IntComp[[#This Row],[RAD/PACT]]="2022-2025",IntComp[[#This Row],[RAD/PACT]]=2019,IntComp[[#This Row],[RAD/PACT]]="2020-2021"),"Yes",""))</f>
        <v/>
      </c>
      <c r="M238" s="51">
        <f ca="1">IF(VLOOKUP(IntComp[[#This Row],[DEVELOPMENT]],Data[],10,FALSE)=0,-1,DATEDIF(VLOOKUP(IntComp[[#This Row],[DEVELOPMENT]],Data[],12,FALSE),TODAY(),"Y"))</f>
        <v>-1</v>
      </c>
      <c r="N23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38" s="51"/>
      <c r="P238" s="51"/>
      <c r="Q238" s="51"/>
      <c r="R238" s="47">
        <f ca="1">(IntComp[[#This Row],['# to Replace (MRST)]]*INDEX(UnitCosts[#All],MATCH(IntComp[[#This Row],[WORK TYPE]],UnitCosts[Work Type],0)+1,2))*(1+((IntComp[[#This Row],[est. Year]]-YEAR(TODAY()))*$R$2))</f>
        <v>0</v>
      </c>
      <c r="S238" s="1">
        <f ca="1">SUM(INDEX(IntComp['# to Replace (MRST)],1):IntComp[[#This Row],['# to Replace (MRST)]])-272</f>
        <v>1193</v>
      </c>
      <c r="T238" s="51"/>
      <c r="U238" s="51">
        <f ca="1">IF(ISBLANK(IntComp[[#This Row],[CALENDAR YEAR]]),ROUNDDOWN(IntComp[[#This Row],[Count]]/190,0)+$U$1,IntComp[[#This Row],[CALENDAR YEAR]])</f>
        <v>2027</v>
      </c>
      <c r="V238" s="85">
        <f t="shared" ca="1" si="4"/>
        <v>5026812</v>
      </c>
      <c r="W238" s="71"/>
      <c r="X238"/>
    </row>
    <row r="239" spans="1:24">
      <c r="A239" s="1" t="s">
        <v>241</v>
      </c>
      <c r="B239" s="9">
        <f>VLOOKUP(A239,Data[],2,FALSE)</f>
        <v>0</v>
      </c>
      <c r="C239" s="9" t="s">
        <v>106</v>
      </c>
      <c r="D239" s="9" t="str">
        <f>VLOOKUP(IntComp[[#This Row],[DEVELOPMENT]],Data[],52,FALSE)</f>
        <v>FEDERAL</v>
      </c>
      <c r="E239" s="50">
        <f>VLOOKUP(IntComp[[#This Row],[DEVELOPMENT]],Data[],8,FALSE)</f>
        <v>0</v>
      </c>
      <c r="F239" s="50">
        <f>VLOOKUP(IntComp[[#This Row],[DEVELOPMENT]],all[[DEVELOPMENT]:[MRST Ext. Comp. Priority]],13,FALSE)</f>
        <v>4</v>
      </c>
      <c r="G239" s="50">
        <f>IF(VLOOKUP(IntComp[[#This Row],[DEVELOPMENT]],Data[],9,FALSE)=0,5,VLOOKUP(IntComp[[#This Row],[DEVELOPMENT]],Data[],9,FALSE))</f>
        <v>5</v>
      </c>
      <c r="H239" s="50">
        <f>VLOOKUP(IntComp[[#This Row],[DEVELOPMENT]],Data[],7,FALSE)</f>
        <v>5</v>
      </c>
      <c r="I239" s="50">
        <f>VLOOKUP(IntComp[[#This Row],[DEVELOPMENT]],Data[],5,FALSE)</f>
        <v>9</v>
      </c>
      <c r="J239" s="50"/>
      <c r="K239" s="50" t="str">
        <f ca="1">IFERROR(VLOOKUP(IntComp[[#This Row],[DEVELOPMENT]],Data[],4,FALSE),"")</f>
        <v/>
      </c>
      <c r="L239" s="50" t="str">
        <f ca="1">IF(IntComp[[#This Row],[RAD/PACT]]="","",IF(OR(IntComp[[#This Row],[RAD/PACT]]="2022-2025",IntComp[[#This Row],[RAD/PACT]]=2019,IntComp[[#This Row],[RAD/PACT]]="2020-2021"),"Yes",""))</f>
        <v/>
      </c>
      <c r="M239" s="51">
        <f ca="1">IF(VLOOKUP(IntComp[[#This Row],[DEVELOPMENT]],Data[],10,FALSE)=0,-1,DATEDIF(VLOOKUP(IntComp[[#This Row],[DEVELOPMENT]],Data[],12,FALSE),TODAY(),"Y"))</f>
        <v>-1</v>
      </c>
      <c r="N23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39" s="51"/>
      <c r="P239" s="51"/>
      <c r="Q239" s="51"/>
      <c r="R239" s="47">
        <f ca="1">(IntComp[[#This Row],['# to Replace (MRST)]]*INDEX(UnitCosts[#All],MATCH(IntComp[[#This Row],[WORK TYPE]],UnitCosts[Work Type],0)+1,2))*(1+((IntComp[[#This Row],[est. Year]]-YEAR(TODAY()))*$R$2))</f>
        <v>0</v>
      </c>
      <c r="S239" s="1">
        <f ca="1">SUM(INDEX(IntComp['# to Replace (MRST)],1):IntComp[[#This Row],['# to Replace (MRST)]])-272</f>
        <v>1193</v>
      </c>
      <c r="T239" s="51"/>
      <c r="U239" s="51">
        <f ca="1">IF(ISBLANK(IntComp[[#This Row],[CALENDAR YEAR]]),ROUNDDOWN(IntComp[[#This Row],[Count]]/190,0)+$U$1,IntComp[[#This Row],[CALENDAR YEAR]])</f>
        <v>2027</v>
      </c>
      <c r="V239" s="85">
        <f t="shared" ca="1" si="4"/>
        <v>5026812</v>
      </c>
      <c r="W239" s="71"/>
      <c r="X239"/>
    </row>
    <row r="240" spans="1:24">
      <c r="A240" s="1" t="s">
        <v>330</v>
      </c>
      <c r="B240" s="9" t="str">
        <f>VLOOKUP(A240,Data[],2,FALSE)</f>
        <v>BRONX</v>
      </c>
      <c r="C240" s="9" t="s">
        <v>106</v>
      </c>
      <c r="D240" s="9" t="str">
        <f>VLOOKUP(IntComp[[#This Row],[DEVELOPMENT]],Data[],52,FALSE)</f>
        <v>FEDERAL</v>
      </c>
      <c r="E240" s="50">
        <f>VLOOKUP(IntComp[[#This Row],[DEVELOPMENT]],Data[],8,FALSE)</f>
        <v>0</v>
      </c>
      <c r="F240" s="50">
        <f>VLOOKUP(IntComp[[#This Row],[DEVELOPMENT]],all[[DEVELOPMENT]:[MRST Ext. Comp. Priority]],13,FALSE)</f>
        <v>4</v>
      </c>
      <c r="G240" s="50">
        <f>IF(VLOOKUP(IntComp[[#This Row],[DEVELOPMENT]],Data[],9,FALSE)=0,5,VLOOKUP(IntComp[[#This Row],[DEVELOPMENT]],Data[],9,FALSE))</f>
        <v>5</v>
      </c>
      <c r="H240" s="50">
        <f>VLOOKUP(IntComp[[#This Row],[DEVELOPMENT]],Data[],7,FALSE)</f>
        <v>34</v>
      </c>
      <c r="I240" s="50">
        <f>VLOOKUP(IntComp[[#This Row],[DEVELOPMENT]],Data[],5,FALSE)</f>
        <v>1</v>
      </c>
      <c r="J240" s="50"/>
      <c r="K240" s="50" t="str">
        <f ca="1">IFERROR(VLOOKUP(IntComp[[#This Row],[DEVELOPMENT]],Data[],4,FALSE),"")</f>
        <v/>
      </c>
      <c r="L240" s="50" t="str">
        <f ca="1">IF(IntComp[[#This Row],[RAD/PACT]]="","",IF(OR(IntComp[[#This Row],[RAD/PACT]]="2022-2025",IntComp[[#This Row],[RAD/PACT]]=2019,IntComp[[#This Row],[RAD/PACT]]="2020-2021"),"Yes",""))</f>
        <v/>
      </c>
      <c r="M240" s="51">
        <f ca="1">IF(VLOOKUP(IntComp[[#This Row],[DEVELOPMENT]],Data[],10,FALSE)=0,-1,DATEDIF(VLOOKUP(IntComp[[#This Row],[DEVELOPMENT]],Data[],12,FALSE),TODAY(),"Y"))</f>
        <v>-1</v>
      </c>
      <c r="N24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40" s="51"/>
      <c r="P240" s="51"/>
      <c r="Q240" s="51"/>
      <c r="R240" s="47">
        <f ca="1">(IntComp[[#This Row],['# to Replace (MRST)]]*INDEX(UnitCosts[#All],MATCH(IntComp[[#This Row],[WORK TYPE]],UnitCosts[Work Type],0)+1,2))*(1+((IntComp[[#This Row],[est. Year]]-YEAR(TODAY()))*$R$2))</f>
        <v>0</v>
      </c>
      <c r="S240" s="1">
        <f ca="1">SUM(INDEX(IntComp['# to Replace (MRST)],1):IntComp[[#This Row],['# to Replace (MRST)]])-272</f>
        <v>1193</v>
      </c>
      <c r="T240" s="51"/>
      <c r="U240" s="51">
        <f ca="1">IF(ISBLANK(IntComp[[#This Row],[CALENDAR YEAR]]),ROUNDDOWN(IntComp[[#This Row],[Count]]/190,0)+$U$1,IntComp[[#This Row],[CALENDAR YEAR]])</f>
        <v>2027</v>
      </c>
      <c r="V240" s="85">
        <f t="shared" ca="1" si="4"/>
        <v>5026812</v>
      </c>
      <c r="W240" s="71"/>
      <c r="X240"/>
    </row>
    <row r="241" spans="1:24">
      <c r="A241" s="1" t="s">
        <v>245</v>
      </c>
      <c r="B241" s="9" t="str">
        <f>VLOOKUP(A241,Data[],2,FALSE)</f>
        <v>BROOKLYN</v>
      </c>
      <c r="C241" s="9" t="s">
        <v>106</v>
      </c>
      <c r="D241" s="9" t="str">
        <f>VLOOKUP(IntComp[[#This Row],[DEVELOPMENT]],Data[],52,FALSE)</f>
        <v>FEDERAL</v>
      </c>
      <c r="E241" s="50">
        <f>VLOOKUP(IntComp[[#This Row],[DEVELOPMENT]],Data[],8,FALSE)</f>
        <v>0</v>
      </c>
      <c r="F241" s="50">
        <f>VLOOKUP(IntComp[[#This Row],[DEVELOPMENT]],all[[DEVELOPMENT]:[MRST Ext. Comp. Priority]],13,FALSE)</f>
        <v>4</v>
      </c>
      <c r="G241" s="50">
        <f>IF(VLOOKUP(IntComp[[#This Row],[DEVELOPMENT]],Data[],9,FALSE)=0,5,VLOOKUP(IntComp[[#This Row],[DEVELOPMENT]],Data[],9,FALSE))</f>
        <v>5</v>
      </c>
      <c r="H241" s="50">
        <f>VLOOKUP(IntComp[[#This Row],[DEVELOPMENT]],Data[],7,FALSE)</f>
        <v>148</v>
      </c>
      <c r="I241" s="50">
        <f>VLOOKUP(IntComp[[#This Row],[DEVELOPMENT]],Data[],5,FALSE)</f>
        <v>5</v>
      </c>
      <c r="J241" s="50"/>
      <c r="K241" s="50" t="str">
        <f ca="1">IFERROR(VLOOKUP(IntComp[[#This Row],[DEVELOPMENT]],Data[],4,FALSE),"")</f>
        <v>2022-2025</v>
      </c>
      <c r="L241" s="50" t="str">
        <f ca="1">IF(IntComp[[#This Row],[RAD/PACT]]="","",IF(OR(IntComp[[#This Row],[RAD/PACT]]="2022-2025",IntComp[[#This Row],[RAD/PACT]]=2019,IntComp[[#This Row],[RAD/PACT]]="2020-2021"),"Yes",""))</f>
        <v>Yes</v>
      </c>
      <c r="M241" s="51">
        <f ca="1">IF(VLOOKUP(IntComp[[#This Row],[DEVELOPMENT]],Data[],10,FALSE)=0,-1,DATEDIF(VLOOKUP(IntComp[[#This Row],[DEVELOPMENT]],Data[],12,FALSE),TODAY(),"Y"))</f>
        <v>-1</v>
      </c>
      <c r="N24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41" s="51"/>
      <c r="P241" s="51"/>
      <c r="Q241" s="51"/>
      <c r="R241" s="47">
        <f ca="1">(IntComp[[#This Row],['# to Replace (MRST)]]*INDEX(UnitCosts[#All],MATCH(IntComp[[#This Row],[WORK TYPE]],UnitCosts[Work Type],0)+1,2))*(1+((IntComp[[#This Row],[est. Year]]-YEAR(TODAY()))*$R$2))</f>
        <v>0</v>
      </c>
      <c r="S241" s="1">
        <f ca="1">SUM(INDEX(IntComp['# to Replace (MRST)],1):IntComp[[#This Row],['# to Replace (MRST)]])-272</f>
        <v>1193</v>
      </c>
      <c r="T241" s="51"/>
      <c r="U241" s="51">
        <f ca="1">IF(ISBLANK(IntComp[[#This Row],[CALENDAR YEAR]]),ROUNDDOWN(IntComp[[#This Row],[Count]]/190,0)+$U$1,IntComp[[#This Row],[CALENDAR YEAR]])</f>
        <v>2027</v>
      </c>
      <c r="V241" s="85">
        <f t="shared" ca="1" si="4"/>
        <v>5026812</v>
      </c>
      <c r="W241" s="71"/>
      <c r="X241"/>
    </row>
    <row r="242" spans="1:24">
      <c r="A242" s="1" t="s">
        <v>246</v>
      </c>
      <c r="B242" s="9" t="str">
        <f>VLOOKUP(A242,Data[],2,FALSE)</f>
        <v>BROOKLYN</v>
      </c>
      <c r="C242" s="9" t="s">
        <v>106</v>
      </c>
      <c r="D242" s="9" t="str">
        <f>VLOOKUP(IntComp[[#This Row],[DEVELOPMENT]],Data[],52,FALSE)</f>
        <v>FEDERAL</v>
      </c>
      <c r="E242" s="50" t="str">
        <f>VLOOKUP(IntComp[[#This Row],[DEVELOPMENT]],Data[],8,FALSE)</f>
        <v>Zone 4</v>
      </c>
      <c r="F242" s="50">
        <f>VLOOKUP(IntComp[[#This Row],[DEVELOPMENT]],all[[DEVELOPMENT]:[MRST Ext. Comp. Priority]],13,FALSE)</f>
        <v>4</v>
      </c>
      <c r="G242" s="50">
        <f>IF(VLOOKUP(IntComp[[#This Row],[DEVELOPMENT]],Data[],9,FALSE)=0,5,VLOOKUP(IntComp[[#This Row],[DEVELOPMENT]],Data[],9,FALSE))</f>
        <v>5</v>
      </c>
      <c r="H242" s="50">
        <f>VLOOKUP(IntComp[[#This Row],[DEVELOPMENT]],Data[],7,FALSE)</f>
        <v>155</v>
      </c>
      <c r="I242" s="50">
        <f>VLOOKUP(IntComp[[#This Row],[DEVELOPMENT]],Data[],5,FALSE)</f>
        <v>8</v>
      </c>
      <c r="J242" s="50"/>
      <c r="K242" s="50" t="str">
        <f ca="1">IFERROR(VLOOKUP(IntComp[[#This Row],[DEVELOPMENT]],Data[],4,FALSE),"")</f>
        <v>2022-2025</v>
      </c>
      <c r="L242" s="50" t="str">
        <f ca="1">IF(IntComp[[#This Row],[RAD/PACT]]="","",IF(OR(IntComp[[#This Row],[RAD/PACT]]="2022-2025",IntComp[[#This Row],[RAD/PACT]]=2019,IntComp[[#This Row],[RAD/PACT]]="2020-2021"),"Yes",""))</f>
        <v>Yes</v>
      </c>
      <c r="M242" s="51">
        <f ca="1">IF(VLOOKUP(IntComp[[#This Row],[DEVELOPMENT]],Data[],10,FALSE)=0,-1,DATEDIF(VLOOKUP(IntComp[[#This Row],[DEVELOPMENT]],Data[],12,FALSE),TODAY(),"Y"))</f>
        <v>-1</v>
      </c>
      <c r="N24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42" s="51"/>
      <c r="P242" s="51"/>
      <c r="Q242" s="51"/>
      <c r="R242" s="47">
        <f ca="1">(IntComp[[#This Row],['# to Replace (MRST)]]*INDEX(UnitCosts[#All],MATCH(IntComp[[#This Row],[WORK TYPE]],UnitCosts[Work Type],0)+1,2))*(1+((IntComp[[#This Row],[est. Year]]-YEAR(TODAY()))*$R$2))</f>
        <v>0</v>
      </c>
      <c r="S242" s="1">
        <f ca="1">SUM(INDEX(IntComp['# to Replace (MRST)],1):IntComp[[#This Row],['# to Replace (MRST)]])-272</f>
        <v>1193</v>
      </c>
      <c r="T242" s="51"/>
      <c r="U242" s="51">
        <f ca="1">IF(ISBLANK(IntComp[[#This Row],[CALENDAR YEAR]]),ROUNDDOWN(IntComp[[#This Row],[Count]]/190,0)+$U$1,IntComp[[#This Row],[CALENDAR YEAR]])</f>
        <v>2027</v>
      </c>
      <c r="V242" s="85">
        <f t="shared" ca="1" si="4"/>
        <v>5026812</v>
      </c>
      <c r="W242" s="71"/>
      <c r="X242"/>
    </row>
    <row r="243" spans="1:24">
      <c r="A243" s="1" t="s">
        <v>358</v>
      </c>
      <c r="B243" s="9" t="str">
        <f>VLOOKUP(A243,Data[],2,FALSE)</f>
        <v>MANHATTAN</v>
      </c>
      <c r="C243" s="9" t="s">
        <v>106</v>
      </c>
      <c r="D243" s="9" t="str">
        <f>VLOOKUP(IntComp[[#This Row],[DEVELOPMENT]],Data[],52,FALSE)</f>
        <v>MHOP</v>
      </c>
      <c r="E243" s="50">
        <f>VLOOKUP(IntComp[[#This Row],[DEVELOPMENT]],Data[],8,FALSE)</f>
        <v>0</v>
      </c>
      <c r="F243" s="50">
        <f>VLOOKUP(IntComp[[#This Row],[DEVELOPMENT]],all[[DEVELOPMENT]:[MRST Ext. Comp. Priority]],13,FALSE)</f>
        <v>4</v>
      </c>
      <c r="G243" s="50">
        <f>IF(VLOOKUP(IntComp[[#This Row],[DEVELOPMENT]],Data[],9,FALSE)=0,5,VLOOKUP(IntComp[[#This Row],[DEVELOPMENT]],Data[],9,FALSE))</f>
        <v>5</v>
      </c>
      <c r="H243" s="50">
        <f>VLOOKUP(IntComp[[#This Row],[DEVELOPMENT]],Data[],7,FALSE)</f>
        <v>24</v>
      </c>
      <c r="I243" s="50">
        <f>VLOOKUP(IntComp[[#This Row],[DEVELOPMENT]],Data[],5,FALSE)</f>
        <v>5</v>
      </c>
      <c r="J243" s="50"/>
      <c r="K243" s="50" t="str">
        <f ca="1">IFERROR(VLOOKUP(IntComp[[#This Row],[DEVELOPMENT]],Data[],4,FALSE),"")</f>
        <v>2020-2021</v>
      </c>
      <c r="L243" s="50" t="str">
        <f ca="1">IF(IntComp[[#This Row],[RAD/PACT]]="","",IF(OR(IntComp[[#This Row],[RAD/PACT]]="2022-2025",IntComp[[#This Row],[RAD/PACT]]=2019,IntComp[[#This Row],[RAD/PACT]]="2020-2021"),"Yes",""))</f>
        <v>Yes</v>
      </c>
      <c r="M243" s="51">
        <f ca="1">IF(VLOOKUP(IntComp[[#This Row],[DEVELOPMENT]],Data[],10,FALSE)=0,-1,DATEDIF(VLOOKUP(IntComp[[#This Row],[DEVELOPMENT]],Data[],12,FALSE),TODAY(),"Y"))</f>
        <v>-1</v>
      </c>
      <c r="N24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43" s="51"/>
      <c r="P243" s="51"/>
      <c r="Q243" s="51"/>
      <c r="R243" s="47">
        <f ca="1">(IntComp[[#This Row],['# to Replace (MRST)]]*INDEX(UnitCosts[#All],MATCH(IntComp[[#This Row],[WORK TYPE]],UnitCosts[Work Type],0)+1,2))*(1+((IntComp[[#This Row],[est. Year]]-YEAR(TODAY()))*$R$2))</f>
        <v>0</v>
      </c>
      <c r="S243" s="1">
        <f ca="1">SUM(INDEX(IntComp['# to Replace (MRST)],1):IntComp[[#This Row],['# to Replace (MRST)]])-272</f>
        <v>1193</v>
      </c>
      <c r="T243" s="51"/>
      <c r="U243" s="51">
        <f ca="1">IF(ISBLANK(IntComp[[#This Row],[CALENDAR YEAR]]),ROUNDDOWN(IntComp[[#This Row],[Count]]/190,0)+$U$1,IntComp[[#This Row],[CALENDAR YEAR]])</f>
        <v>2027</v>
      </c>
      <c r="V243" s="85">
        <f t="shared" ca="1" si="4"/>
        <v>5026812</v>
      </c>
      <c r="W243" s="71"/>
      <c r="X243"/>
    </row>
    <row r="244" spans="1:24">
      <c r="A244" s="1" t="s">
        <v>377</v>
      </c>
      <c r="B244" s="9" t="str">
        <f>VLOOKUP(A244,Data[],2,FALSE)</f>
        <v>MANHATTAN</v>
      </c>
      <c r="C244" s="9" t="s">
        <v>106</v>
      </c>
      <c r="D244" s="9" t="str">
        <f>VLOOKUP(IntComp[[#This Row],[DEVELOPMENT]],Data[],52,FALSE)</f>
        <v>FEDERAL</v>
      </c>
      <c r="E244" s="50">
        <f>VLOOKUP(IntComp[[#This Row],[DEVELOPMENT]],Data[],8,FALSE)</f>
        <v>0</v>
      </c>
      <c r="F244" s="50">
        <f>VLOOKUP(IntComp[[#This Row],[DEVELOPMENT]],all[[DEVELOPMENT]:[MRST Ext. Comp. Priority]],13,FALSE)</f>
        <v>4</v>
      </c>
      <c r="G244" s="50">
        <f>IF(VLOOKUP(IntComp[[#This Row],[DEVELOPMENT]],Data[],9,FALSE)=0,5,VLOOKUP(IntComp[[#This Row],[DEVELOPMENT]],Data[],9,FALSE))</f>
        <v>5</v>
      </c>
      <c r="H244" s="50">
        <f>VLOOKUP(IntComp[[#This Row],[DEVELOPMENT]],Data[],7,FALSE)</f>
        <v>88</v>
      </c>
      <c r="I244" s="50">
        <f>VLOOKUP(IntComp[[#This Row],[DEVELOPMENT]],Data[],5,FALSE)</f>
        <v>7</v>
      </c>
      <c r="J244" s="50"/>
      <c r="K244" s="50" t="str">
        <f ca="1">IFERROR(VLOOKUP(IntComp[[#This Row],[DEVELOPMENT]],Data[],4,FALSE),"")</f>
        <v/>
      </c>
      <c r="L244" s="50" t="str">
        <f ca="1">IF(IntComp[[#This Row],[RAD/PACT]]="","",IF(OR(IntComp[[#This Row],[RAD/PACT]]="2022-2025",IntComp[[#This Row],[RAD/PACT]]=2019,IntComp[[#This Row],[RAD/PACT]]="2020-2021"),"Yes",""))</f>
        <v/>
      </c>
      <c r="M244" s="51">
        <f ca="1">IF(VLOOKUP(IntComp[[#This Row],[DEVELOPMENT]],Data[],10,FALSE)=0,-1,DATEDIF(VLOOKUP(IntComp[[#This Row],[DEVELOPMENT]],Data[],12,FALSE),TODAY(),"Y"))</f>
        <v>-1</v>
      </c>
      <c r="N24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44" s="51"/>
      <c r="P244" s="51"/>
      <c r="Q244" s="51"/>
      <c r="R244" s="47">
        <f ca="1">(IntComp[[#This Row],['# to Replace (MRST)]]*INDEX(UnitCosts[#All],MATCH(IntComp[[#This Row],[WORK TYPE]],UnitCosts[Work Type],0)+1,2))*(1+((IntComp[[#This Row],[est. Year]]-YEAR(TODAY()))*$R$2))</f>
        <v>0</v>
      </c>
      <c r="S244" s="1">
        <f ca="1">SUM(INDEX(IntComp['# to Replace (MRST)],1):IntComp[[#This Row],['# to Replace (MRST)]])-272</f>
        <v>1193</v>
      </c>
      <c r="T244" s="51"/>
      <c r="U244" s="51">
        <f ca="1">IF(ISBLANK(IntComp[[#This Row],[CALENDAR YEAR]]),ROUNDDOWN(IntComp[[#This Row],[Count]]/190,0)+$U$1,IntComp[[#This Row],[CALENDAR YEAR]])</f>
        <v>2027</v>
      </c>
      <c r="V244" s="85">
        <f t="shared" ca="1" si="4"/>
        <v>5026812</v>
      </c>
      <c r="W244" s="71"/>
      <c r="X244"/>
    </row>
    <row r="245" spans="1:24">
      <c r="A245" s="1" t="s">
        <v>302</v>
      </c>
      <c r="B245" s="9" t="str">
        <f>VLOOKUP(A245,Data[],2,FALSE)</f>
        <v>BROOKLYN</v>
      </c>
      <c r="C245" s="9" t="s">
        <v>106</v>
      </c>
      <c r="D245" s="9" t="str">
        <f>VLOOKUP(IntComp[[#This Row],[DEVELOPMENT]],Data[],52,FALSE)</f>
        <v>FEDERAL</v>
      </c>
      <c r="E245" s="50">
        <f>VLOOKUP(IntComp[[#This Row],[DEVELOPMENT]],Data[],8,FALSE)</f>
        <v>0</v>
      </c>
      <c r="F245" s="50" t="str">
        <f>VLOOKUP(IntComp[[#This Row],[DEVELOPMENT]],all[[DEVELOPMENT]:[MRST Ext. Comp. Priority]],13,FALSE)</f>
        <v>None</v>
      </c>
      <c r="G245" s="50">
        <f>IF(VLOOKUP(IntComp[[#This Row],[DEVELOPMENT]],Data[],9,FALSE)=0,5,VLOOKUP(IntComp[[#This Row],[DEVELOPMENT]],Data[],9,FALSE))</f>
        <v>5</v>
      </c>
      <c r="H245" s="50">
        <f>VLOOKUP(IntComp[[#This Row],[DEVELOPMENT]],Data[],7,FALSE)</f>
        <v>72</v>
      </c>
      <c r="I245" s="50">
        <f>VLOOKUP(IntComp[[#This Row],[DEVELOPMENT]],Data[],5,FALSE)</f>
        <v>3</v>
      </c>
      <c r="J245" s="50"/>
      <c r="K245" s="50" t="str">
        <f ca="1">IFERROR(VLOOKUP(IntComp[[#This Row],[DEVELOPMENT]],Data[],4,FALSE),"")</f>
        <v/>
      </c>
      <c r="L245" s="50" t="str">
        <f ca="1">IF(IntComp[[#This Row],[RAD/PACT]]="","",IF(OR(IntComp[[#This Row],[RAD/PACT]]="2022-2025",IntComp[[#This Row],[RAD/PACT]]=2019,IntComp[[#This Row],[RAD/PACT]]="2020-2021"),"Yes",""))</f>
        <v/>
      </c>
      <c r="M245" s="51">
        <f ca="1">IF(VLOOKUP(IntComp[[#This Row],[DEVELOPMENT]],Data[],10,FALSE)=0,-1,DATEDIF(VLOOKUP(IntComp[[#This Row],[DEVELOPMENT]],Data[],12,FALSE),TODAY(),"Y"))</f>
        <v>-1</v>
      </c>
      <c r="N24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45" s="51"/>
      <c r="P245" s="51"/>
      <c r="Q245" s="51"/>
      <c r="R245" s="47">
        <f ca="1">(IntComp[[#This Row],['# to Replace (MRST)]]*INDEX(UnitCosts[#All],MATCH(IntComp[[#This Row],[WORK TYPE]],UnitCosts[Work Type],0)+1,2))*(1+((IntComp[[#This Row],[est. Year]]-YEAR(TODAY()))*$R$2))</f>
        <v>0</v>
      </c>
      <c r="S245" s="1">
        <f ca="1">SUM(INDEX(IntComp['# to Replace (MRST)],1):IntComp[[#This Row],['# to Replace (MRST)]])-272</f>
        <v>1193</v>
      </c>
      <c r="T245" s="51"/>
      <c r="U245" s="51">
        <f ca="1">IF(ISBLANK(IntComp[[#This Row],[CALENDAR YEAR]]),ROUNDDOWN(IntComp[[#This Row],[Count]]/190,0)+$U$1,IntComp[[#This Row],[CALENDAR YEAR]])</f>
        <v>2027</v>
      </c>
      <c r="V245" s="85">
        <f t="shared" ca="1" si="4"/>
        <v>5026812</v>
      </c>
      <c r="W245" s="71"/>
      <c r="X245"/>
    </row>
    <row r="246" spans="1:24">
      <c r="A246" s="1" t="s">
        <v>283</v>
      </c>
      <c r="B246" s="9" t="str">
        <f>VLOOKUP(A246,Data[],2,FALSE)</f>
        <v>BRONX</v>
      </c>
      <c r="C246" s="9" t="s">
        <v>106</v>
      </c>
      <c r="D246" s="9" t="str">
        <f>VLOOKUP(IntComp[[#This Row],[DEVELOPMENT]],Data[],52,FALSE)</f>
        <v>FEDERAL</v>
      </c>
      <c r="E246" s="50">
        <f>VLOOKUP(IntComp[[#This Row],[DEVELOPMENT]],Data[],8,FALSE)</f>
        <v>0</v>
      </c>
      <c r="F246" s="50" t="str">
        <f>VLOOKUP(IntComp[[#This Row],[DEVELOPMENT]],all[[DEVELOPMENT]:[MRST Ext. Comp. Priority]],13,FALSE)</f>
        <v>None</v>
      </c>
      <c r="G246" s="50">
        <f>IF(VLOOKUP(IntComp[[#This Row],[DEVELOPMENT]],Data[],9,FALSE)=0,5,VLOOKUP(IntComp[[#This Row],[DEVELOPMENT]],Data[],9,FALSE))</f>
        <v>5</v>
      </c>
      <c r="H246" s="50">
        <f>VLOOKUP(IntComp[[#This Row],[DEVELOPMENT]],Data[],7,FALSE)</f>
        <v>72</v>
      </c>
      <c r="I246" s="50">
        <f>VLOOKUP(IntComp[[#This Row],[DEVELOPMENT]],Data[],5,FALSE)</f>
        <v>1</v>
      </c>
      <c r="J246" s="50"/>
      <c r="K246" s="50" t="str">
        <f ca="1">IFERROR(VLOOKUP(IntComp[[#This Row],[DEVELOPMENT]],Data[],4,FALSE),"")</f>
        <v/>
      </c>
      <c r="L246" s="50" t="str">
        <f ca="1">IF(IntComp[[#This Row],[RAD/PACT]]="","",IF(OR(IntComp[[#This Row],[RAD/PACT]]="2022-2025",IntComp[[#This Row],[RAD/PACT]]=2019,IntComp[[#This Row],[RAD/PACT]]="2020-2021"),"Yes",""))</f>
        <v/>
      </c>
      <c r="M246" s="51">
        <f ca="1">IF(VLOOKUP(IntComp[[#This Row],[DEVELOPMENT]],Data[],10,FALSE)=0,-1,DATEDIF(VLOOKUP(IntComp[[#This Row],[DEVELOPMENT]],Data[],12,FALSE),TODAY(),"Y"))</f>
        <v>-1</v>
      </c>
      <c r="N24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46" s="51"/>
      <c r="P246" s="51"/>
      <c r="Q246" s="51"/>
      <c r="R246" s="47">
        <f ca="1">(IntComp[[#This Row],['# to Replace (MRST)]]*INDEX(UnitCosts[#All],MATCH(IntComp[[#This Row],[WORK TYPE]],UnitCosts[Work Type],0)+1,2))*(1+((IntComp[[#This Row],[est. Year]]-YEAR(TODAY()))*$R$2))</f>
        <v>0</v>
      </c>
      <c r="S246" s="1">
        <f ca="1">SUM(INDEX(IntComp['# to Replace (MRST)],1):IntComp[[#This Row],['# to Replace (MRST)]])-272</f>
        <v>1193</v>
      </c>
      <c r="T246" s="51"/>
      <c r="U246" s="51">
        <f ca="1">IF(ISBLANK(IntComp[[#This Row],[CALENDAR YEAR]]),ROUNDDOWN(IntComp[[#This Row],[Count]]/190,0)+$U$1,IntComp[[#This Row],[CALENDAR YEAR]])</f>
        <v>2027</v>
      </c>
      <c r="V246" s="85">
        <f t="shared" ca="1" si="4"/>
        <v>5026812</v>
      </c>
      <c r="W246" s="71"/>
      <c r="X246"/>
    </row>
    <row r="247" spans="1:24">
      <c r="A247" s="1" t="s">
        <v>284</v>
      </c>
      <c r="B247" s="9" t="str">
        <f>VLOOKUP(A247,Data[],2,FALSE)</f>
        <v>BRONX</v>
      </c>
      <c r="C247" s="9" t="s">
        <v>106</v>
      </c>
      <c r="D247" s="9" t="str">
        <f>VLOOKUP(IntComp[[#This Row],[DEVELOPMENT]],Data[],52,FALSE)</f>
        <v>FEDERAL</v>
      </c>
      <c r="E247" s="50" t="str">
        <f>VLOOKUP(IntComp[[#This Row],[DEVELOPMENT]],Data[],8,FALSE)</f>
        <v>Zone 4</v>
      </c>
      <c r="F247" s="50" t="str">
        <f>VLOOKUP(IntComp[[#This Row],[DEVELOPMENT]],all[[DEVELOPMENT]:[MRST Ext. Comp. Priority]],13,FALSE)</f>
        <v>None</v>
      </c>
      <c r="G247" s="50">
        <f>IF(VLOOKUP(IntComp[[#This Row],[DEVELOPMENT]],Data[],9,FALSE)=0,5,VLOOKUP(IntComp[[#This Row],[DEVELOPMENT]],Data[],9,FALSE))</f>
        <v>5</v>
      </c>
      <c r="H247" s="50">
        <f>VLOOKUP(IntComp[[#This Row],[DEVELOPMENT]],Data[],7,FALSE)</f>
        <v>168</v>
      </c>
      <c r="I247" s="50">
        <f>VLOOKUP(IntComp[[#This Row],[DEVELOPMENT]],Data[],5,FALSE)</f>
        <v>7</v>
      </c>
      <c r="J247" s="50"/>
      <c r="K247" s="50" t="str">
        <f ca="1">IFERROR(VLOOKUP(IntComp[[#This Row],[DEVELOPMENT]],Data[],4,FALSE),"")</f>
        <v/>
      </c>
      <c r="L247" s="50" t="str">
        <f ca="1">IF(IntComp[[#This Row],[RAD/PACT]]="","",IF(OR(IntComp[[#This Row],[RAD/PACT]]="2022-2025",IntComp[[#This Row],[RAD/PACT]]=2019,IntComp[[#This Row],[RAD/PACT]]="2020-2021"),"Yes",""))</f>
        <v/>
      </c>
      <c r="M247" s="51">
        <f ca="1">IF(VLOOKUP(IntComp[[#This Row],[DEVELOPMENT]],Data[],10,FALSE)=0,-1,DATEDIF(VLOOKUP(IntComp[[#This Row],[DEVELOPMENT]],Data[],12,FALSE),TODAY(),"Y"))</f>
        <v>-1</v>
      </c>
      <c r="N24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47" s="51"/>
      <c r="P247" s="51"/>
      <c r="Q247" s="51"/>
      <c r="R247" s="47">
        <f ca="1">(IntComp[[#This Row],['# to Replace (MRST)]]*INDEX(UnitCosts[#All],MATCH(IntComp[[#This Row],[WORK TYPE]],UnitCosts[Work Type],0)+1,2))*(1+((IntComp[[#This Row],[est. Year]]-YEAR(TODAY()))*$R$2))</f>
        <v>0</v>
      </c>
      <c r="S247" s="1">
        <f ca="1">SUM(INDEX(IntComp['# to Replace (MRST)],1):IntComp[[#This Row],['# to Replace (MRST)]])-272</f>
        <v>1193</v>
      </c>
      <c r="T247" s="51"/>
      <c r="U247" s="51">
        <f ca="1">IF(ISBLANK(IntComp[[#This Row],[CALENDAR YEAR]]),ROUNDDOWN(IntComp[[#This Row],[Count]]/190,0)+$U$1,IntComp[[#This Row],[CALENDAR YEAR]])</f>
        <v>2027</v>
      </c>
      <c r="V247" s="85">
        <f t="shared" ca="1" si="4"/>
        <v>5026812</v>
      </c>
      <c r="W247" s="71"/>
      <c r="X247"/>
    </row>
    <row r="248" spans="1:24">
      <c r="A248" s="1" t="s">
        <v>331</v>
      </c>
      <c r="B248" s="9" t="str">
        <f>VLOOKUP(A248,Data[],2,FALSE)</f>
        <v>BRONX</v>
      </c>
      <c r="C248" s="9" t="s">
        <v>106</v>
      </c>
      <c r="D248" s="9" t="str">
        <f>VLOOKUP(IntComp[[#This Row],[DEVELOPMENT]],Data[],52,FALSE)</f>
        <v>FEDERAL</v>
      </c>
      <c r="E248" s="50">
        <f>VLOOKUP(IntComp[[#This Row],[DEVELOPMENT]],Data[],8,FALSE)</f>
        <v>0</v>
      </c>
      <c r="F248" s="50" t="str">
        <f>VLOOKUP(IntComp[[#This Row],[DEVELOPMENT]],all[[DEVELOPMENT]:[MRST Ext. Comp. Priority]],13,FALSE)</f>
        <v>None</v>
      </c>
      <c r="G248" s="50">
        <f>IF(VLOOKUP(IntComp[[#This Row],[DEVELOPMENT]],Data[],9,FALSE)=0,5,VLOOKUP(IntComp[[#This Row],[DEVELOPMENT]],Data[],9,FALSE))</f>
        <v>5</v>
      </c>
      <c r="H248" s="50">
        <f>VLOOKUP(IntComp[[#This Row],[DEVELOPMENT]],Data[],7,FALSE)</f>
        <v>150</v>
      </c>
      <c r="I248" s="50">
        <f>VLOOKUP(IntComp[[#This Row],[DEVELOPMENT]],Data[],5,FALSE)</f>
        <v>4</v>
      </c>
      <c r="J248" s="50"/>
      <c r="K248" s="50" t="str">
        <f ca="1">IFERROR(VLOOKUP(IntComp[[#This Row],[DEVELOPMENT]],Data[],4,FALSE),"")</f>
        <v/>
      </c>
      <c r="L248" s="50" t="str">
        <f ca="1">IF(IntComp[[#This Row],[RAD/PACT]]="","",IF(OR(IntComp[[#This Row],[RAD/PACT]]="2022-2025",IntComp[[#This Row],[RAD/PACT]]=2019,IntComp[[#This Row],[RAD/PACT]]="2020-2021"),"Yes",""))</f>
        <v/>
      </c>
      <c r="M248" s="51">
        <f ca="1">IF(VLOOKUP(IntComp[[#This Row],[DEVELOPMENT]],Data[],10,FALSE)=0,-1,DATEDIF(VLOOKUP(IntComp[[#This Row],[DEVELOPMENT]],Data[],12,FALSE),TODAY(),"Y"))</f>
        <v>-1</v>
      </c>
      <c r="N24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48" s="51"/>
      <c r="P248" s="51"/>
      <c r="Q248" s="51"/>
      <c r="R248" s="47">
        <f ca="1">(IntComp[[#This Row],['# to Replace (MRST)]]*INDEX(UnitCosts[#All],MATCH(IntComp[[#This Row],[WORK TYPE]],UnitCosts[Work Type],0)+1,2))*(1+((IntComp[[#This Row],[est. Year]]-YEAR(TODAY()))*$R$2))</f>
        <v>0</v>
      </c>
      <c r="S248" s="1">
        <f ca="1">SUM(INDEX(IntComp['# to Replace (MRST)],1):IntComp[[#This Row],['# to Replace (MRST)]])-272</f>
        <v>1193</v>
      </c>
      <c r="T248" s="51"/>
      <c r="U248" s="51">
        <f ca="1">IF(ISBLANK(IntComp[[#This Row],[CALENDAR YEAR]]),ROUNDDOWN(IntComp[[#This Row],[Count]]/190,0)+$U$1,IntComp[[#This Row],[CALENDAR YEAR]])</f>
        <v>2027</v>
      </c>
      <c r="V248" s="85">
        <f t="shared" ca="1" si="4"/>
        <v>5026812</v>
      </c>
      <c r="W248" s="71"/>
      <c r="X248"/>
    </row>
    <row r="249" spans="1:24">
      <c r="A249" s="1" t="s">
        <v>371</v>
      </c>
      <c r="B249" s="9" t="str">
        <f>VLOOKUP(A249,Data[],2,FALSE)</f>
        <v>MANHATTAN</v>
      </c>
      <c r="C249" s="9" t="s">
        <v>106</v>
      </c>
      <c r="D249" s="9" t="str">
        <f>VLOOKUP(IntComp[[#This Row],[DEVELOPMENT]],Data[],52,FALSE)</f>
        <v>FEDERAL</v>
      </c>
      <c r="E249" s="50" t="str">
        <f>VLOOKUP(IntComp[[#This Row],[DEVELOPMENT]],Data[],8,FALSE)</f>
        <v>Zone 4</v>
      </c>
      <c r="F249" s="50" t="str">
        <f>VLOOKUP(IntComp[[#This Row],[DEVELOPMENT]],all[[DEVELOPMENT]:[MRST Ext. Comp. Priority]],13,FALSE)</f>
        <v>None</v>
      </c>
      <c r="G249" s="50">
        <f>IF(VLOOKUP(IntComp[[#This Row],[DEVELOPMENT]],Data[],9,FALSE)=0,5,VLOOKUP(IntComp[[#This Row],[DEVELOPMENT]],Data[],9,FALSE))</f>
        <v>5</v>
      </c>
      <c r="H249" s="50">
        <f>VLOOKUP(IntComp[[#This Row],[DEVELOPMENT]],Data[],7,FALSE)</f>
        <v>87</v>
      </c>
      <c r="I249" s="50">
        <f>VLOOKUP(IntComp[[#This Row],[DEVELOPMENT]],Data[],5,FALSE)</f>
        <v>1</v>
      </c>
      <c r="J249" s="50"/>
      <c r="K249" s="50" t="str">
        <f ca="1">IFERROR(VLOOKUP(IntComp[[#This Row],[DEVELOPMENT]],Data[],4,FALSE),"")</f>
        <v/>
      </c>
      <c r="L249" s="50" t="str">
        <f ca="1">IF(IntComp[[#This Row],[RAD/PACT]]="","",IF(OR(IntComp[[#This Row],[RAD/PACT]]="2022-2025",IntComp[[#This Row],[RAD/PACT]]=2019,IntComp[[#This Row],[RAD/PACT]]="2020-2021"),"Yes",""))</f>
        <v/>
      </c>
      <c r="M249" s="51">
        <f ca="1">IF(VLOOKUP(IntComp[[#This Row],[DEVELOPMENT]],Data[],10,FALSE)=0,-1,DATEDIF(VLOOKUP(IntComp[[#This Row],[DEVELOPMENT]],Data[],12,FALSE),TODAY(),"Y"))</f>
        <v>-1</v>
      </c>
      <c r="N24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49" s="51"/>
      <c r="P249" s="51"/>
      <c r="Q249" s="51"/>
      <c r="R249" s="47">
        <f ca="1">(IntComp[[#This Row],['# to Replace (MRST)]]*INDEX(UnitCosts[#All],MATCH(IntComp[[#This Row],[WORK TYPE]],UnitCosts[Work Type],0)+1,2))*(1+((IntComp[[#This Row],[est. Year]]-YEAR(TODAY()))*$R$2))</f>
        <v>0</v>
      </c>
      <c r="S249" s="1">
        <f ca="1">SUM(INDEX(IntComp['# to Replace (MRST)],1):IntComp[[#This Row],['# to Replace (MRST)]])-272</f>
        <v>1193</v>
      </c>
      <c r="T249" s="51"/>
      <c r="U249" s="51">
        <f ca="1">IF(ISBLANK(IntComp[[#This Row],[CALENDAR YEAR]]),ROUNDDOWN(IntComp[[#This Row],[Count]]/190,0)+$U$1,IntComp[[#This Row],[CALENDAR YEAR]])</f>
        <v>2027</v>
      </c>
      <c r="V249" s="85">
        <f t="shared" ca="1" si="4"/>
        <v>5026812</v>
      </c>
      <c r="W249" s="71"/>
      <c r="X249"/>
    </row>
    <row r="250" spans="1:24">
      <c r="A250" s="1" t="s">
        <v>378</v>
      </c>
      <c r="B250" s="9" t="str">
        <f>VLOOKUP(A250,Data[],2,FALSE)</f>
        <v>MANHATTAN</v>
      </c>
      <c r="C250" s="9" t="s">
        <v>106</v>
      </c>
      <c r="D250" s="9" t="str">
        <f>VLOOKUP(IntComp[[#This Row],[DEVELOPMENT]],Data[],52,FALSE)</f>
        <v>FEDERAL</v>
      </c>
      <c r="E250" s="50">
        <f>VLOOKUP(IntComp[[#This Row],[DEVELOPMENT]],Data[],8,FALSE)</f>
        <v>0</v>
      </c>
      <c r="F250" s="50" t="str">
        <f>VLOOKUP(IntComp[[#This Row],[DEVELOPMENT]],all[[DEVELOPMENT]:[MRST Ext. Comp. Priority]],13,FALSE)</f>
        <v>None</v>
      </c>
      <c r="G250" s="50">
        <f>IF(VLOOKUP(IntComp[[#This Row],[DEVELOPMENT]],Data[],9,FALSE)=0,5,VLOOKUP(IntComp[[#This Row],[DEVELOPMENT]],Data[],9,FALSE))</f>
        <v>5</v>
      </c>
      <c r="H250" s="50">
        <f>VLOOKUP(IntComp[[#This Row],[DEVELOPMENT]],Data[],7,FALSE)</f>
        <v>14</v>
      </c>
      <c r="I250" s="50">
        <f>VLOOKUP(IntComp[[#This Row],[DEVELOPMENT]],Data[],5,FALSE)</f>
        <v>1</v>
      </c>
      <c r="J250" s="50"/>
      <c r="K250" s="50" t="str">
        <f ca="1">IFERROR(VLOOKUP(IntComp[[#This Row],[DEVELOPMENT]],Data[],4,FALSE),"")</f>
        <v/>
      </c>
      <c r="L250" s="50" t="str">
        <f ca="1">IF(IntComp[[#This Row],[RAD/PACT]]="","",IF(OR(IntComp[[#This Row],[RAD/PACT]]="2022-2025",IntComp[[#This Row],[RAD/PACT]]=2019,IntComp[[#This Row],[RAD/PACT]]="2020-2021"),"Yes",""))</f>
        <v/>
      </c>
      <c r="M250" s="51">
        <f ca="1">IF(VLOOKUP(IntComp[[#This Row],[DEVELOPMENT]],Data[],10,FALSE)=0,-1,DATEDIF(VLOOKUP(IntComp[[#This Row],[DEVELOPMENT]],Data[],12,FALSE),TODAY(),"Y"))</f>
        <v>-1</v>
      </c>
      <c r="N25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50" s="51"/>
      <c r="P250" s="51"/>
      <c r="Q250" s="51"/>
      <c r="R250" s="47">
        <f ca="1">(IntComp[[#This Row],['# to Replace (MRST)]]*INDEX(UnitCosts[#All],MATCH(IntComp[[#This Row],[WORK TYPE]],UnitCosts[Work Type],0)+1,2))*(1+((IntComp[[#This Row],[est. Year]]-YEAR(TODAY()))*$R$2))</f>
        <v>0</v>
      </c>
      <c r="S250" s="1">
        <f ca="1">SUM(INDEX(IntComp['# to Replace (MRST)],1):IntComp[[#This Row],['# to Replace (MRST)]])-272</f>
        <v>1193</v>
      </c>
      <c r="T250" s="51"/>
      <c r="U250" s="51">
        <f ca="1">IF(ISBLANK(IntComp[[#This Row],[CALENDAR YEAR]]),ROUNDDOWN(IntComp[[#This Row],[Count]]/190,0)+$U$1,IntComp[[#This Row],[CALENDAR YEAR]])</f>
        <v>2027</v>
      </c>
      <c r="V250" s="85">
        <f t="shared" ca="1" si="4"/>
        <v>5026812</v>
      </c>
      <c r="W250" s="71"/>
      <c r="X250"/>
    </row>
    <row r="251" spans="1:24">
      <c r="A251" s="1" t="s">
        <v>379</v>
      </c>
      <c r="B251" s="9" t="str">
        <f>VLOOKUP(A251,Data[],2,FALSE)</f>
        <v>MANHATTAN</v>
      </c>
      <c r="C251" s="9" t="s">
        <v>106</v>
      </c>
      <c r="D251" s="9" t="str">
        <f>VLOOKUP(IntComp[[#This Row],[DEVELOPMENT]],Data[],52,FALSE)</f>
        <v>FEDERAL</v>
      </c>
      <c r="E251" s="50">
        <f>VLOOKUP(IntComp[[#This Row],[DEVELOPMENT]],Data[],8,FALSE)</f>
        <v>0</v>
      </c>
      <c r="F251" s="50" t="str">
        <f>VLOOKUP(IntComp[[#This Row],[DEVELOPMENT]],all[[DEVELOPMENT]:[MRST Ext. Comp. Priority]],13,FALSE)</f>
        <v>None</v>
      </c>
      <c r="G251" s="50">
        <f>IF(VLOOKUP(IntComp[[#This Row],[DEVELOPMENT]],Data[],9,FALSE)=0,5,VLOOKUP(IntComp[[#This Row],[DEVELOPMENT]],Data[],9,FALSE))</f>
        <v>5</v>
      </c>
      <c r="H251" s="50">
        <f>VLOOKUP(IntComp[[#This Row],[DEVELOPMENT]],Data[],7,FALSE)</f>
        <v>32</v>
      </c>
      <c r="I251" s="50">
        <f>VLOOKUP(IntComp[[#This Row],[DEVELOPMENT]],Data[],5,FALSE)</f>
        <v>2</v>
      </c>
      <c r="J251" s="50"/>
      <c r="K251" s="50" t="str">
        <f ca="1">IFERROR(VLOOKUP(IntComp[[#This Row],[DEVELOPMENT]],Data[],4,FALSE),"")</f>
        <v>2020-2021</v>
      </c>
      <c r="L251" s="50" t="str">
        <f ca="1">IF(IntComp[[#This Row],[RAD/PACT]]="","",IF(OR(IntComp[[#This Row],[RAD/PACT]]="2022-2025",IntComp[[#This Row],[RAD/PACT]]=2019,IntComp[[#This Row],[RAD/PACT]]="2020-2021"),"Yes",""))</f>
        <v>Yes</v>
      </c>
      <c r="M251" s="51">
        <f ca="1">IF(VLOOKUP(IntComp[[#This Row],[DEVELOPMENT]],Data[],10,FALSE)=0,-1,DATEDIF(VLOOKUP(IntComp[[#This Row],[DEVELOPMENT]],Data[],12,FALSE),TODAY(),"Y"))</f>
        <v>-1</v>
      </c>
      <c r="N25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51" s="51"/>
      <c r="P251" s="51"/>
      <c r="Q251" s="51"/>
      <c r="R251" s="47">
        <f ca="1">(IntComp[[#This Row],['# to Replace (MRST)]]*INDEX(UnitCosts[#All],MATCH(IntComp[[#This Row],[WORK TYPE]],UnitCosts[Work Type],0)+1,2))*(1+((IntComp[[#This Row],[est. Year]]-YEAR(TODAY()))*$R$2))</f>
        <v>0</v>
      </c>
      <c r="S251" s="1">
        <f ca="1">SUM(INDEX(IntComp['# to Replace (MRST)],1):IntComp[[#This Row],['# to Replace (MRST)]])-272</f>
        <v>1193</v>
      </c>
      <c r="T251" s="51"/>
      <c r="U251" s="51">
        <f ca="1">IF(ISBLANK(IntComp[[#This Row],[CALENDAR YEAR]]),ROUNDDOWN(IntComp[[#This Row],[Count]]/190,0)+$U$1,IntComp[[#This Row],[CALENDAR YEAR]])</f>
        <v>2027</v>
      </c>
      <c r="V251" s="85">
        <f t="shared" ca="1" si="4"/>
        <v>5026812</v>
      </c>
      <c r="W251" s="71"/>
      <c r="X251"/>
    </row>
    <row r="252" spans="1:24">
      <c r="A252" s="1" t="s">
        <v>388</v>
      </c>
      <c r="B252" s="9" t="str">
        <f>VLOOKUP(A252,Data[],2,FALSE)</f>
        <v>MANHATTAN</v>
      </c>
      <c r="C252" s="9" t="s">
        <v>106</v>
      </c>
      <c r="D252" s="9" t="str">
        <f>VLOOKUP(IntComp[[#This Row],[DEVELOPMENT]],Data[],52,FALSE)</f>
        <v>FEDERAL</v>
      </c>
      <c r="E252" s="50" t="str">
        <f>VLOOKUP(IntComp[[#This Row],[DEVELOPMENT]],Data[],8,FALSE)</f>
        <v>Zone 4</v>
      </c>
      <c r="F252" s="50" t="str">
        <f>VLOOKUP(IntComp[[#This Row],[DEVELOPMENT]],all[[DEVELOPMENT]:[MRST Ext. Comp. Priority]],13,FALSE)</f>
        <v>None</v>
      </c>
      <c r="G252" s="50">
        <f>IF(VLOOKUP(IntComp[[#This Row],[DEVELOPMENT]],Data[],9,FALSE)=0,5,VLOOKUP(IntComp[[#This Row],[DEVELOPMENT]],Data[],9,FALSE))</f>
        <v>5</v>
      </c>
      <c r="H252" s="50">
        <f>VLOOKUP(IntComp[[#This Row],[DEVELOPMENT]],Data[],7,FALSE)</f>
        <v>236</v>
      </c>
      <c r="I252" s="50">
        <f>VLOOKUP(IntComp[[#This Row],[DEVELOPMENT]],Data[],5,FALSE)</f>
        <v>36</v>
      </c>
      <c r="J252" s="50"/>
      <c r="K252" s="50" t="str">
        <f ca="1">IFERROR(VLOOKUP(IntComp[[#This Row],[DEVELOPMENT]],Data[],4,FALSE),"")</f>
        <v/>
      </c>
      <c r="L252" s="50" t="str">
        <f ca="1">IF(IntComp[[#This Row],[RAD/PACT]]="","",IF(OR(IntComp[[#This Row],[RAD/PACT]]="2022-2025",IntComp[[#This Row],[RAD/PACT]]=2019,IntComp[[#This Row],[RAD/PACT]]="2020-2021"),"Yes",""))</f>
        <v/>
      </c>
      <c r="M252" s="51">
        <f ca="1">IF(VLOOKUP(IntComp[[#This Row],[DEVELOPMENT]],Data[],10,FALSE)=0,-1,DATEDIF(VLOOKUP(IntComp[[#This Row],[DEVELOPMENT]],Data[],12,FALSE),TODAY(),"Y"))</f>
        <v>-1</v>
      </c>
      <c r="N25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52" s="51"/>
      <c r="P252" s="51"/>
      <c r="Q252" s="51"/>
      <c r="R252" s="47">
        <f ca="1">(IntComp[[#This Row],['# to Replace (MRST)]]*INDEX(UnitCosts[#All],MATCH(IntComp[[#This Row],[WORK TYPE]],UnitCosts[Work Type],0)+1,2))*(1+((IntComp[[#This Row],[est. Year]]-YEAR(TODAY()))*$R$2))</f>
        <v>0</v>
      </c>
      <c r="S252" s="1">
        <f ca="1">SUM(INDEX(IntComp['# to Replace (MRST)],1):IntComp[[#This Row],['# to Replace (MRST)]])-272</f>
        <v>1193</v>
      </c>
      <c r="T252" s="51"/>
      <c r="U252" s="51">
        <f ca="1">IF(ISBLANK(IntComp[[#This Row],[CALENDAR YEAR]]),ROUNDDOWN(IntComp[[#This Row],[Count]]/190,0)+$U$1,IntComp[[#This Row],[CALENDAR YEAR]])</f>
        <v>2027</v>
      </c>
      <c r="V252" s="85">
        <f t="shared" ca="1" si="4"/>
        <v>5026812</v>
      </c>
      <c r="W252" s="71"/>
      <c r="X252"/>
    </row>
    <row r="253" spans="1:24">
      <c r="A253" s="1" t="s">
        <v>274</v>
      </c>
      <c r="B253" s="9" t="str">
        <f>VLOOKUP(A253,Data[],2,FALSE)</f>
        <v>MANHATTAN</v>
      </c>
      <c r="C253" s="9" t="s">
        <v>106</v>
      </c>
      <c r="D253" s="9" t="str">
        <f>VLOOKUP(IntComp[[#This Row],[DEVELOPMENT]],Data[],52,FALSE)</f>
        <v>FEDERAL</v>
      </c>
      <c r="E253" s="50" t="str">
        <f>VLOOKUP(IntComp[[#This Row],[DEVELOPMENT]],Data[],8,FALSE)</f>
        <v>Zone 3</v>
      </c>
      <c r="F253" s="50">
        <f>VLOOKUP(IntComp[[#This Row],[DEVELOPMENT]],all[[DEVELOPMENT]:[MRST Ext. Comp. Priority]],13,FALSE)</f>
        <v>4</v>
      </c>
      <c r="G253" s="50">
        <f>IF(VLOOKUP(IntComp[[#This Row],[DEVELOPMENT]],Data[],9,FALSE)=0,5,VLOOKUP(IntComp[[#This Row],[DEVELOPMENT]],Data[],9,FALSE))</f>
        <v>5</v>
      </c>
      <c r="H253" s="50">
        <f>VLOOKUP(IntComp[[#This Row],[DEVELOPMENT]],Data[],7,FALSE)</f>
        <v>96</v>
      </c>
      <c r="I253" s="50">
        <f>VLOOKUP(IntComp[[#This Row],[DEVELOPMENT]],Data[],5,FALSE)</f>
        <v>1</v>
      </c>
      <c r="J253" s="50"/>
      <c r="K253" s="50" t="str">
        <f ca="1">IFERROR(VLOOKUP(IntComp[[#This Row],[DEVELOPMENT]],Data[],4,FALSE),"")</f>
        <v/>
      </c>
      <c r="L253" s="50" t="str">
        <f ca="1">IF(IntComp[[#This Row],[RAD/PACT]]="","",IF(OR(IntComp[[#This Row],[RAD/PACT]]="2022-2025",IntComp[[#This Row],[RAD/PACT]]=2019,IntComp[[#This Row],[RAD/PACT]]="2020-2021"),"Yes",""))</f>
        <v/>
      </c>
      <c r="M253" s="51">
        <f ca="1">IF(VLOOKUP(IntComp[[#This Row],[DEVELOPMENT]],Data[],10,FALSE)=0,-1,DATEDIF(VLOOKUP(IntComp[[#This Row],[DEVELOPMENT]],Data[],12,FALSE),TODAY(),"Y"))</f>
        <v>17</v>
      </c>
      <c r="N25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253" s="51"/>
      <c r="P253" s="51"/>
      <c r="Q253" s="51"/>
      <c r="R253" s="47">
        <f ca="1">(IntComp[[#This Row],['# to Replace (MRST)]]*INDEX(UnitCosts[#All],MATCH(IntComp[[#This Row],[WORK TYPE]],UnitCosts[Work Type],0)+1,2))*(1+((IntComp[[#This Row],[est. Year]]-YEAR(TODAY()))*$R$2))</f>
        <v>78543.9375</v>
      </c>
      <c r="S253" s="1">
        <f ca="1">SUM(INDEX(IntComp['# to Replace (MRST)],1):IntComp[[#This Row],['# to Replace (MRST)]])-272</f>
        <v>1194</v>
      </c>
      <c r="T253" s="51"/>
      <c r="U253" s="51">
        <f ca="1">IF(ISBLANK(IntComp[[#This Row],[CALENDAR YEAR]]),ROUNDDOWN(IntComp[[#This Row],[Count]]/190,0)+$U$1,IntComp[[#This Row],[CALENDAR YEAR]])</f>
        <v>2027</v>
      </c>
      <c r="V253" s="85">
        <f t="shared" ca="1" si="4"/>
        <v>5105355.9375</v>
      </c>
      <c r="W253" s="71"/>
      <c r="X253"/>
    </row>
    <row r="254" spans="1:24" hidden="1">
      <c r="A254" s="192" t="s">
        <v>309</v>
      </c>
      <c r="B254" s="197" t="str">
        <f>VLOOKUP(A254,Data[],2,FALSE)</f>
        <v>MANHATTAN</v>
      </c>
      <c r="C254" s="197" t="s">
        <v>106</v>
      </c>
      <c r="D254" s="197" t="str">
        <f>VLOOKUP(IntComp[[#This Row],[DEVELOPMENT]],Data[],52,FALSE)</f>
        <v>MIXED FINANCE/LLC1</v>
      </c>
      <c r="E254" s="201">
        <f>VLOOKUP(IntComp[[#This Row],[DEVELOPMENT]],Data[],8,FALSE)</f>
        <v>0</v>
      </c>
      <c r="F254" s="201">
        <f>VLOOKUP(IntComp[[#This Row],[DEVELOPMENT]],all[[DEVELOPMENT]:[MRST Ext. Comp. Priority]],13,FALSE)</f>
        <v>4</v>
      </c>
      <c r="G254" s="201">
        <f>IF(VLOOKUP(IntComp[[#This Row],[DEVELOPMENT]],Data[],9,FALSE)=0,5,VLOOKUP(IntComp[[#This Row],[DEVELOPMENT]],Data[],9,FALSE))</f>
        <v>5</v>
      </c>
      <c r="H254" s="201">
        <f>VLOOKUP(IntComp[[#This Row],[DEVELOPMENT]],Data[],7,FALSE)</f>
        <v>425</v>
      </c>
      <c r="I254" s="201">
        <f>VLOOKUP(IntComp[[#This Row],[DEVELOPMENT]],Data[],5,FALSE)</f>
        <v>2</v>
      </c>
      <c r="J254" s="201"/>
      <c r="K254" s="201" t="str">
        <f ca="1">IFERROR(VLOOKUP(IntComp[[#This Row],[DEVELOPMENT]],Data[],4,FALSE),"")</f>
        <v/>
      </c>
      <c r="L254" s="201" t="str">
        <f ca="1">IF(IntComp[[#This Row],[RAD/PACT]]="","",IF(OR(IntComp[[#This Row],[RAD/PACT]]="2022-2025",IntComp[[#This Row],[RAD/PACT]]=2019,IntComp[[#This Row],[RAD/PACT]]="2020-2021"),"Yes",""))</f>
        <v/>
      </c>
      <c r="M254" s="202">
        <f ca="1">IF(VLOOKUP(IntComp[[#This Row],[DEVELOPMENT]],Data[],10,FALSE)=0,-1,DATEDIF(VLOOKUP(IntComp[[#This Row],[DEVELOPMENT]],Data[],12,FALSE),TODAY(),"Y"))</f>
        <v>20</v>
      </c>
      <c r="N254" s="202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54" s="202"/>
      <c r="P254" s="202"/>
      <c r="Q254" s="202"/>
      <c r="R254" s="198">
        <f ca="1">(IntComp[[#This Row],['# to Replace (MRST)]]*INDEX(UnitCosts[#All],MATCH(IntComp[[#This Row],[WORK TYPE]],UnitCosts[Work Type],0)+1,2))*(1+((IntComp[[#This Row],[est. Year]]-YEAR(TODAY()))*$R$2))</f>
        <v>0</v>
      </c>
      <c r="S254" s="196">
        <f ca="1">SUM(INDEX(IntComp['# to Replace (MRST)],1):IntComp[[#This Row],['# to Replace (MRST)]])-272</f>
        <v>1194</v>
      </c>
      <c r="T254" s="202"/>
      <c r="U254" s="202">
        <f ca="1">IF(ISBLANK(IntComp[[#This Row],[CALENDAR YEAR]]),ROUNDDOWN(IntComp[[#This Row],[Count]]/190,0)+$U$1,IntComp[[#This Row],[CALENDAR YEAR]])</f>
        <v>2027</v>
      </c>
      <c r="V254" s="203">
        <f t="shared" ca="1" si="4"/>
        <v>5105355.9375</v>
      </c>
      <c r="W254" s="106"/>
      <c r="X254"/>
    </row>
    <row r="255" spans="1:24">
      <c r="A255" s="1" t="s">
        <v>344</v>
      </c>
      <c r="B255" s="9" t="str">
        <f>VLOOKUP(A255,Data[],2,FALSE)</f>
        <v>STATEN ISLAND</v>
      </c>
      <c r="C255" s="9" t="s">
        <v>106</v>
      </c>
      <c r="D255" s="9" t="str">
        <f>VLOOKUP(IntComp[[#This Row],[DEVELOPMENT]],Data[],52,FALSE)</f>
        <v>FEDERAL</v>
      </c>
      <c r="E255" s="50">
        <f>VLOOKUP(IntComp[[#This Row],[DEVELOPMENT]],Data[],8,FALSE)</f>
        <v>0</v>
      </c>
      <c r="F255" s="50">
        <f>VLOOKUP(IntComp[[#This Row],[DEVELOPMENT]],all[[DEVELOPMENT]:[MRST Ext. Comp. Priority]],13,FALSE)</f>
        <v>4</v>
      </c>
      <c r="G255" s="50">
        <f>IF(VLOOKUP(IntComp[[#This Row],[DEVELOPMENT]],Data[],9,FALSE)=0,5,VLOOKUP(IntComp[[#This Row],[DEVELOPMENT]],Data[],9,FALSE))</f>
        <v>5</v>
      </c>
      <c r="H255" s="50">
        <f>VLOOKUP(IntComp[[#This Row],[DEVELOPMENT]],Data[],7,FALSE)</f>
        <v>606</v>
      </c>
      <c r="I255" s="50">
        <f>VLOOKUP(IntComp[[#This Row],[DEVELOPMENT]],Data[],5,FALSE)</f>
        <v>22</v>
      </c>
      <c r="J255" s="50"/>
      <c r="K255" s="50" t="str">
        <f ca="1">IFERROR(VLOOKUP(IntComp[[#This Row],[DEVELOPMENT]],Data[],4,FALSE),"")</f>
        <v>2026+</v>
      </c>
      <c r="L255" s="50" t="str">
        <f ca="1">IF(IntComp[[#This Row],[RAD/PACT]]="","",IF(OR(IntComp[[#This Row],[RAD/PACT]]="2022-2025",IntComp[[#This Row],[RAD/PACT]]=2019,IntComp[[#This Row],[RAD/PACT]]="2020-2021"),"Yes",""))</f>
        <v/>
      </c>
      <c r="M255" s="51">
        <f ca="1">IF(VLOOKUP(IntComp[[#This Row],[DEVELOPMENT]],Data[],10,FALSE)=0,-1,DATEDIF(VLOOKUP(IntComp[[#This Row],[DEVELOPMENT]],Data[],12,FALSE),TODAY(),"Y"))</f>
        <v>17</v>
      </c>
      <c r="N25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32</v>
      </c>
      <c r="O255" s="51"/>
      <c r="P255" s="51"/>
      <c r="Q255" s="51"/>
      <c r="R255" s="47">
        <f ca="1">(IntComp[[#This Row],['# to Replace (MRST)]]*INDEX(UnitCosts[#All],MATCH(IntComp[[#This Row],[WORK TYPE]],UnitCosts[Work Type],0)+1,2))*(1+((IntComp[[#This Row],[est. Year]]-YEAR(TODAY()))*$R$2))</f>
        <v>2513406</v>
      </c>
      <c r="S255" s="1">
        <f ca="1">SUM(INDEX(IntComp['# to Replace (MRST)],1):IntComp[[#This Row],['# to Replace (MRST)]])-272</f>
        <v>1226</v>
      </c>
      <c r="T255" s="51"/>
      <c r="U255" s="51">
        <f ca="1">IF(ISBLANK(IntComp[[#This Row],[CALENDAR YEAR]]),ROUNDDOWN(IntComp[[#This Row],[Count]]/190,0)+$U$1,IntComp[[#This Row],[CALENDAR YEAR]])</f>
        <v>2027</v>
      </c>
      <c r="V255" s="85">
        <f t="shared" ca="1" si="4"/>
        <v>7618761.9375</v>
      </c>
      <c r="W255" s="71"/>
      <c r="X255"/>
    </row>
    <row r="256" spans="1:24">
      <c r="A256" s="1" t="s">
        <v>70</v>
      </c>
      <c r="B256" s="1" t="str">
        <f>VLOOKUP(A256,Data[],2,FALSE)</f>
        <v>MANHATTAN</v>
      </c>
      <c r="C256" s="9" t="s">
        <v>106</v>
      </c>
      <c r="D256" s="9" t="str">
        <f>VLOOKUP(IntComp[[#This Row],[DEVELOPMENT]],Data[],52,FALSE)</f>
        <v>FEDERAL</v>
      </c>
      <c r="E256" s="9" t="str">
        <f>VLOOKUP(IntComp[[#This Row],[DEVELOPMENT]],Data[],8,FALSE)</f>
        <v>Zone 3</v>
      </c>
      <c r="F256" s="9">
        <f>VLOOKUP(IntComp[[#This Row],[DEVELOPMENT]],all[[DEVELOPMENT]:[MRST Ext. Comp. Priority]],13,FALSE)</f>
        <v>3</v>
      </c>
      <c r="G256" s="9">
        <f>IF(VLOOKUP(IntComp[[#This Row],[DEVELOPMENT]],Data[],9,FALSE)=0,5,VLOOKUP(IntComp[[#This Row],[DEVELOPMENT]],Data[],9,FALSE))</f>
        <v>1</v>
      </c>
      <c r="H256" s="9">
        <f>VLOOKUP(IntComp[[#This Row],[DEVELOPMENT]],Data[],7,FALSE)</f>
        <v>167</v>
      </c>
      <c r="I256" s="9">
        <f>VLOOKUP(IntComp[[#This Row],[DEVELOPMENT]],Data[],5,FALSE)</f>
        <v>1</v>
      </c>
      <c r="J256" s="9"/>
      <c r="K256" s="9" t="str">
        <f ca="1">IFERROR(VLOOKUP(IntComp[[#This Row],[DEVELOPMENT]],Data[],4,FALSE),"")</f>
        <v>2020-2021</v>
      </c>
      <c r="L256" s="9" t="str">
        <f ca="1">IF(IntComp[[#This Row],[RAD/PACT]]="","",IF(OR(IntComp[[#This Row],[RAD/PACT]]="2022-2025",IntComp[[#This Row],[RAD/PACT]]=2019,IntComp[[#This Row],[RAD/PACT]]="2020-2021"),"Yes",""))</f>
        <v>Yes</v>
      </c>
      <c r="M256" s="1">
        <f ca="1">IF(VLOOKUP(IntComp[[#This Row],[DEVELOPMENT]],Data[],10,FALSE)=0,-1,DATEDIF(VLOOKUP(IntComp[[#This Row],[DEVELOPMENT]],Data[],12,FALSE),TODAY(),"Y"))</f>
        <v>8</v>
      </c>
      <c r="N256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56" s="1"/>
      <c r="P256" s="1"/>
      <c r="Q256" s="1"/>
      <c r="R256" s="47">
        <f ca="1">(IntComp[[#This Row],['# to Replace (MRST)]]*INDEX(UnitCosts[#All],MATCH(IntComp[[#This Row],[WORK TYPE]],UnitCosts[Work Type],0)+1,2))*(1+((IntComp[[#This Row],[est. Year]]-YEAR(TODAY()))*$R$2))</f>
        <v>0</v>
      </c>
      <c r="S256" s="1">
        <f ca="1">SUM(INDEX(IntComp['# to Replace (MRST)],1):IntComp[[#This Row],['# to Replace (MRST)]])-272</f>
        <v>1226</v>
      </c>
      <c r="T256" s="1"/>
      <c r="U256" s="1">
        <f ca="1">IF(ISBLANK(IntComp[[#This Row],[CALENDAR YEAR]]),ROUNDDOWN(IntComp[[#This Row],[Count]]/190,0)+$U$1,IntComp[[#This Row],[CALENDAR YEAR]])</f>
        <v>2027</v>
      </c>
      <c r="V256" s="3">
        <f t="shared" ca="1" si="4"/>
        <v>7618761.9375</v>
      </c>
      <c r="W256" s="71"/>
      <c r="X256"/>
    </row>
    <row r="257" spans="1:24">
      <c r="A257" s="1" t="s">
        <v>81</v>
      </c>
      <c r="B257" s="1" t="str">
        <f>VLOOKUP(A257,Data[],2,FALSE)</f>
        <v>MANHATTAN</v>
      </c>
      <c r="C257" s="9" t="s">
        <v>106</v>
      </c>
      <c r="D257" s="9" t="str">
        <f>VLOOKUP(IntComp[[#This Row],[DEVELOPMENT]],Data[],52,FALSE)</f>
        <v>FEDERAL</v>
      </c>
      <c r="E257" s="9" t="str">
        <f>VLOOKUP(IntComp[[#This Row],[DEVELOPMENT]],Data[],8,FALSE)</f>
        <v>Zone 2</v>
      </c>
      <c r="F257" s="9">
        <f>VLOOKUP(IntComp[[#This Row],[DEVELOPMENT]],all[[DEVELOPMENT]:[MRST Ext. Comp. Priority]],13,FALSE)</f>
        <v>2</v>
      </c>
      <c r="G257" s="9">
        <f>IF(VLOOKUP(IntComp[[#This Row],[DEVELOPMENT]],Data[],9,FALSE)=0,5,VLOOKUP(IntComp[[#This Row],[DEVELOPMENT]],Data[],9,FALSE))</f>
        <v>1</v>
      </c>
      <c r="H257" s="9">
        <f>VLOOKUP(IntComp[[#This Row],[DEVELOPMENT]],Data[],7,FALSE)</f>
        <v>1939</v>
      </c>
      <c r="I257" s="9">
        <f>VLOOKUP(IntComp[[#This Row],[DEVELOPMENT]],Data[],5,FALSE)</f>
        <v>9</v>
      </c>
      <c r="J257" s="9"/>
      <c r="K257" s="9" t="str">
        <f ca="1">IFERROR(VLOOKUP(IntComp[[#This Row],[DEVELOPMENT]],Data[],4,FALSE),"")</f>
        <v>2026+</v>
      </c>
      <c r="L257" s="9" t="str">
        <f ca="1">IF(IntComp[[#This Row],[RAD/PACT]]="","",IF(OR(IntComp[[#This Row],[RAD/PACT]]="2022-2025",IntComp[[#This Row],[RAD/PACT]]=2019,IntComp[[#This Row],[RAD/PACT]]="2020-2021"),"Yes",""))</f>
        <v/>
      </c>
      <c r="M257" s="1">
        <f ca="1">IF(VLOOKUP(IntComp[[#This Row],[DEVELOPMENT]],Data[],10,FALSE)=0,-1,DATEDIF(VLOOKUP(IntComp[[#This Row],[DEVELOPMENT]],Data[],12,FALSE),TODAY(),"Y"))</f>
        <v>3</v>
      </c>
      <c r="N257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57" s="1"/>
      <c r="P257" s="1"/>
      <c r="Q257" s="1"/>
      <c r="R257" s="47">
        <f ca="1">(IntComp[[#This Row],['# to Replace (MRST)]]*INDEX(UnitCosts[#All],MATCH(IntComp[[#This Row],[WORK TYPE]],UnitCosts[Work Type],0)+1,2))*(1+((IntComp[[#This Row],[est. Year]]-YEAR(TODAY()))*$R$2))</f>
        <v>0</v>
      </c>
      <c r="S257" s="1">
        <f ca="1">SUM(INDEX(IntComp['# to Replace (MRST)],1):IntComp[[#This Row],['# to Replace (MRST)]])-272</f>
        <v>1226</v>
      </c>
      <c r="T257" s="1"/>
      <c r="U257" s="1">
        <f ca="1">IF(ISBLANK(IntComp[[#This Row],[CALENDAR YEAR]]),ROUNDDOWN(IntComp[[#This Row],[Count]]/190,0)+$U$1,IntComp[[#This Row],[CALENDAR YEAR]])</f>
        <v>2027</v>
      </c>
      <c r="V257" s="3">
        <f t="shared" ca="1" si="4"/>
        <v>7618761.9375</v>
      </c>
      <c r="W257" s="51"/>
      <c r="X257"/>
    </row>
    <row r="258" spans="1:24">
      <c r="A258" s="1" t="s">
        <v>361</v>
      </c>
      <c r="B258" s="9" t="str">
        <f>VLOOKUP(A258,Data[],2,FALSE)</f>
        <v>BRONX</v>
      </c>
      <c r="C258" s="9" t="s">
        <v>106</v>
      </c>
      <c r="D258" s="9" t="str">
        <f>VLOOKUP(IntComp[[#This Row],[DEVELOPMENT]],Data[],52,FALSE)</f>
        <v>FEDERAL</v>
      </c>
      <c r="E258" s="50">
        <f>VLOOKUP(IntComp[[#This Row],[DEVELOPMENT]],Data[],8,FALSE)</f>
        <v>0</v>
      </c>
      <c r="F258" s="50">
        <f>VLOOKUP(IntComp[[#This Row],[DEVELOPMENT]],all[[DEVELOPMENT]:[MRST Ext. Comp. Priority]],13,FALSE)</f>
        <v>4</v>
      </c>
      <c r="G258" s="50">
        <f>IF(VLOOKUP(IntComp[[#This Row],[DEVELOPMENT]],Data[],9,FALSE)=0,5,VLOOKUP(IntComp[[#This Row],[DEVELOPMENT]],Data[],9,FALSE))</f>
        <v>5</v>
      </c>
      <c r="H258" s="50">
        <f>VLOOKUP(IntComp[[#This Row],[DEVELOPMENT]],Data[],7,FALSE)</f>
        <v>783</v>
      </c>
      <c r="I258" s="50">
        <f>VLOOKUP(IntComp[[#This Row],[DEVELOPMENT]],Data[],5,FALSE)</f>
        <v>7</v>
      </c>
      <c r="J258" s="50"/>
      <c r="K258" s="50" t="str">
        <f ca="1">IFERROR(VLOOKUP(IntComp[[#This Row],[DEVELOPMENT]],Data[],4,FALSE),"")</f>
        <v/>
      </c>
      <c r="L258" s="50" t="str">
        <f ca="1">IF(IntComp[[#This Row],[RAD/PACT]]="","",IF(OR(IntComp[[#This Row],[RAD/PACT]]="2022-2025",IntComp[[#This Row],[RAD/PACT]]=2019,IntComp[[#This Row],[RAD/PACT]]="2020-2021"),"Yes",""))</f>
        <v/>
      </c>
      <c r="M258" s="51">
        <f ca="1">IF(VLOOKUP(IntComp[[#This Row],[DEVELOPMENT]],Data[],10,FALSE)=0,-1,DATEDIF(VLOOKUP(IntComp[[#This Row],[DEVELOPMENT]],Data[],12,FALSE),TODAY(),"Y"))</f>
        <v>17</v>
      </c>
      <c r="N25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7</v>
      </c>
      <c r="O258" s="51"/>
      <c r="P258" s="51"/>
      <c r="Q258" s="51"/>
      <c r="R258" s="47">
        <f ca="1">(IntComp[[#This Row],['# to Replace (MRST)]]*INDEX(UnitCosts[#All],MATCH(IntComp[[#This Row],[WORK TYPE]],UnitCosts[Work Type],0)+1,2))*(1+((IntComp[[#This Row],[est. Year]]-YEAR(TODAY()))*$R$2))</f>
        <v>549807.5625</v>
      </c>
      <c r="S258" s="1">
        <f ca="1">SUM(INDEX(IntComp['# to Replace (MRST)],1):IntComp[[#This Row],['# to Replace (MRST)]])-272</f>
        <v>1233</v>
      </c>
      <c r="T258" s="51"/>
      <c r="U258" s="51">
        <f ca="1">IF(ISBLANK(IntComp[[#This Row],[CALENDAR YEAR]]),ROUNDDOWN(IntComp[[#This Row],[Count]]/190,0)+$U$1,IntComp[[#This Row],[CALENDAR YEAR]])</f>
        <v>2027</v>
      </c>
      <c r="V258" s="85">
        <f t="shared" ca="1" si="4"/>
        <v>8168569.5</v>
      </c>
      <c r="W258" s="71"/>
      <c r="X258"/>
    </row>
    <row r="259" spans="1:24">
      <c r="A259" s="1" t="s">
        <v>304</v>
      </c>
      <c r="B259" s="9" t="str">
        <f>VLOOKUP(A259,Data[],2,FALSE)</f>
        <v>BRONX</v>
      </c>
      <c r="C259" s="9" t="s">
        <v>106</v>
      </c>
      <c r="D259" s="9" t="str">
        <f>VLOOKUP(IntComp[[#This Row],[DEVELOPMENT]],Data[],52,FALSE)</f>
        <v>FEDERAL</v>
      </c>
      <c r="E259" s="50">
        <f>VLOOKUP(IntComp[[#This Row],[DEVELOPMENT]],Data[],8,FALSE)</f>
        <v>0</v>
      </c>
      <c r="F259" s="50">
        <f>VLOOKUP(IntComp[[#This Row],[DEVELOPMENT]],all[[DEVELOPMENT]:[MRST Ext. Comp. Priority]],13,FALSE)</f>
        <v>4</v>
      </c>
      <c r="G259" s="50">
        <f>IF(VLOOKUP(IntComp[[#This Row],[DEVELOPMENT]],Data[],9,FALSE)=0,5,VLOOKUP(IntComp[[#This Row],[DEVELOPMENT]],Data[],9,FALSE))</f>
        <v>5</v>
      </c>
      <c r="H259" s="50">
        <f>VLOOKUP(IntComp[[#This Row],[DEVELOPMENT]],Data[],7,FALSE)</f>
        <v>538</v>
      </c>
      <c r="I259" s="50">
        <f>VLOOKUP(IntComp[[#This Row],[DEVELOPMENT]],Data[],5,FALSE)</f>
        <v>4</v>
      </c>
      <c r="J259" s="50"/>
      <c r="K259" s="50" t="str">
        <f ca="1">IFERROR(VLOOKUP(IntComp[[#This Row],[DEVELOPMENT]],Data[],4,FALSE),"")</f>
        <v/>
      </c>
      <c r="L259" s="50" t="str">
        <f ca="1">IF(IntComp[[#This Row],[RAD/PACT]]="","",IF(OR(IntComp[[#This Row],[RAD/PACT]]="2022-2025",IntComp[[#This Row],[RAD/PACT]]=2019,IntComp[[#This Row],[RAD/PACT]]="2020-2021"),"Yes",""))</f>
        <v/>
      </c>
      <c r="M259" s="51">
        <f ca="1">IF(VLOOKUP(IntComp[[#This Row],[DEVELOPMENT]],Data[],10,FALSE)=0,-1,DATEDIF(VLOOKUP(IntComp[[#This Row],[DEVELOPMENT]],Data[],12,FALSE),TODAY(),"Y"))</f>
        <v>17</v>
      </c>
      <c r="N25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</v>
      </c>
      <c r="O259" s="51"/>
      <c r="P259" s="51"/>
      <c r="Q259" s="51"/>
      <c r="R259" s="47">
        <f ca="1">(IntComp[[#This Row],['# to Replace (MRST)]]*INDEX(UnitCosts[#All],MATCH(IntComp[[#This Row],[WORK TYPE]],UnitCosts[Work Type],0)+1,2))*(1+((IntComp[[#This Row],[est. Year]]-YEAR(TODAY()))*$R$2))</f>
        <v>314175.75</v>
      </c>
      <c r="S259" s="1">
        <f ca="1">SUM(INDEX(IntComp['# to Replace (MRST)],1):IntComp[[#This Row],['# to Replace (MRST)]])-272</f>
        <v>1237</v>
      </c>
      <c r="T259" s="51"/>
      <c r="U259" s="51">
        <f ca="1">IF(ISBLANK(IntComp[[#This Row],[CALENDAR YEAR]]),ROUNDDOWN(IntComp[[#This Row],[Count]]/190,0)+$U$1,IntComp[[#This Row],[CALENDAR YEAR]])</f>
        <v>2027</v>
      </c>
      <c r="V259" s="85">
        <f t="shared" ca="1" si="4"/>
        <v>8482745.25</v>
      </c>
      <c r="W259" s="71"/>
      <c r="X259"/>
    </row>
    <row r="260" spans="1:24">
      <c r="A260" s="1" t="s">
        <v>137</v>
      </c>
      <c r="B260" s="1" t="str">
        <f>VLOOKUP(A260,Data[],2,FALSE)</f>
        <v>MANHATTAN</v>
      </c>
      <c r="C260" s="9" t="s">
        <v>106</v>
      </c>
      <c r="D260" s="9" t="str">
        <f>VLOOKUP(IntComp[[#This Row],[DEVELOPMENT]],Data[],52,FALSE)</f>
        <v>FEDERAL</v>
      </c>
      <c r="E260" s="9" t="str">
        <f>VLOOKUP(IntComp[[#This Row],[DEVELOPMENT]],Data[],8,FALSE)</f>
        <v>Zone 2</v>
      </c>
      <c r="F260" s="9">
        <f>VLOOKUP(IntComp[[#This Row],[DEVELOPMENT]],all[[DEVELOPMENT]:[MRST Ext. Comp. Priority]],13,FALSE)</f>
        <v>3</v>
      </c>
      <c r="G260" s="9">
        <f>IF(VLOOKUP(IntComp[[#This Row],[DEVELOPMENT]],Data[],9,FALSE)=0,5,VLOOKUP(IntComp[[#This Row],[DEVELOPMENT]],Data[],9,FALSE))</f>
        <v>2</v>
      </c>
      <c r="H260" s="9">
        <f>VLOOKUP(IntComp[[#This Row],[DEVELOPMENT]],Data[],7,FALSE)</f>
        <v>1515</v>
      </c>
      <c r="I260" s="9">
        <f>VLOOKUP(IntComp[[#This Row],[DEVELOPMENT]],Data[],5,FALSE)</f>
        <v>14</v>
      </c>
      <c r="J260" s="9"/>
      <c r="K260" s="9" t="str">
        <f ca="1">IFERROR(VLOOKUP(IntComp[[#This Row],[DEVELOPMENT]],Data[],4,FALSE),"")</f>
        <v>2022-2025</v>
      </c>
      <c r="L260" s="9" t="str">
        <f ca="1">IF(IntComp[[#This Row],[RAD/PACT]]="","",IF(OR(IntComp[[#This Row],[RAD/PACT]]="2022-2025",IntComp[[#This Row],[RAD/PACT]]=2019,IntComp[[#This Row],[RAD/PACT]]="2020-2021"),"Yes",""))</f>
        <v>Yes</v>
      </c>
      <c r="M260" s="1">
        <f ca="1">IF(VLOOKUP(IntComp[[#This Row],[DEVELOPMENT]],Data[],10,FALSE)=0,-1,DATEDIF(VLOOKUP(IntComp[[#This Row],[DEVELOPMENT]],Data[],12,FALSE),TODAY(),"Y"))</f>
        <v>10</v>
      </c>
      <c r="N26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60" s="1"/>
      <c r="P260" s="1"/>
      <c r="Q260" s="1"/>
      <c r="R260" s="47">
        <f ca="1">(IntComp[[#This Row],['# to Replace (MRST)]]*INDEX(UnitCosts[#All],MATCH(IntComp[[#This Row],[WORK TYPE]],UnitCosts[Work Type],0)+1,2))*(1+((IntComp[[#This Row],[est. Year]]-YEAR(TODAY()))*$R$2))</f>
        <v>0</v>
      </c>
      <c r="S260" s="1">
        <f ca="1">SUM(INDEX(IntComp['# to Replace (MRST)],1):IntComp[[#This Row],['# to Replace (MRST)]])-272</f>
        <v>1237</v>
      </c>
      <c r="T260" s="1"/>
      <c r="U260" s="1">
        <f ca="1">IF(ISBLANK(IntComp[[#This Row],[CALENDAR YEAR]]),ROUNDDOWN(IntComp[[#This Row],[Count]]/190,0)+$U$1,IntComp[[#This Row],[CALENDAR YEAR]])</f>
        <v>2027</v>
      </c>
      <c r="V260" s="3">
        <f t="shared" ca="1" si="4"/>
        <v>8482745.25</v>
      </c>
      <c r="W260" s="71"/>
      <c r="X260"/>
    </row>
    <row r="261" spans="1:24">
      <c r="A261" s="1" t="s">
        <v>209</v>
      </c>
      <c r="B261" s="9" t="str">
        <f>VLOOKUP(A261,Data[],2,FALSE)</f>
        <v>BROOKLYN</v>
      </c>
      <c r="C261" s="9" t="s">
        <v>106</v>
      </c>
      <c r="D261" s="9" t="str">
        <f>VLOOKUP(IntComp[[#This Row],[DEVELOPMENT]],Data[],52,FALSE)</f>
        <v>FEDERAL</v>
      </c>
      <c r="E261" s="50">
        <f>VLOOKUP(IntComp[[#This Row],[DEVELOPMENT]],Data[],8,FALSE)</f>
        <v>0</v>
      </c>
      <c r="F261" s="50">
        <f>VLOOKUP(IntComp[[#This Row],[DEVELOPMENT]],all[[DEVELOPMENT]:[MRST Ext. Comp. Priority]],13,FALSE)</f>
        <v>4</v>
      </c>
      <c r="G261" s="50">
        <f>IF(VLOOKUP(IntComp[[#This Row],[DEVELOPMENT]],Data[],9,FALSE)=0,5,VLOOKUP(IntComp[[#This Row],[DEVELOPMENT]],Data[],9,FALSE))</f>
        <v>5</v>
      </c>
      <c r="H261" s="50">
        <f>VLOOKUP(IntComp[[#This Row],[DEVELOPMENT]],Data[],7,FALSE)</f>
        <v>1146</v>
      </c>
      <c r="I261" s="50">
        <f>VLOOKUP(IntComp[[#This Row],[DEVELOPMENT]],Data[],5,FALSE)</f>
        <v>16</v>
      </c>
      <c r="J261" s="50"/>
      <c r="K261" s="50" t="str">
        <f ca="1">IFERROR(VLOOKUP(IntComp[[#This Row],[DEVELOPMENT]],Data[],4,FALSE),"")</f>
        <v>2026+</v>
      </c>
      <c r="L261" s="50" t="str">
        <f ca="1">IF(IntComp[[#This Row],[RAD/PACT]]="","",IF(OR(IntComp[[#This Row],[RAD/PACT]]="2022-2025",IntComp[[#This Row],[RAD/PACT]]=2019,IntComp[[#This Row],[RAD/PACT]]="2020-2021"),"Yes",""))</f>
        <v/>
      </c>
      <c r="M261" s="51">
        <f ca="1">IF(VLOOKUP(IntComp[[#This Row],[DEVELOPMENT]],Data[],10,FALSE)=0,-1,DATEDIF(VLOOKUP(IntComp[[#This Row],[DEVELOPMENT]],Data[],12,FALSE),TODAY(),"Y"))</f>
        <v>16</v>
      </c>
      <c r="N261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32</v>
      </c>
      <c r="O261" s="51"/>
      <c r="P261" s="51"/>
      <c r="Q261" s="51"/>
      <c r="R261" s="47">
        <f ca="1">(IntComp[[#This Row],['# to Replace (MRST)]]*INDEX(UnitCosts[#All],MATCH(IntComp[[#This Row],[WORK TYPE]],UnitCosts[Work Type],0)+1,2))*(1+((IntComp[[#This Row],[est. Year]]-YEAR(TODAY()))*$R$2))</f>
        <v>2513406</v>
      </c>
      <c r="S261" s="1">
        <f ca="1">SUM(INDEX(IntComp['# to Replace (MRST)],1):IntComp[[#This Row],['# to Replace (MRST)]])-272</f>
        <v>1269</v>
      </c>
      <c r="T261" s="51"/>
      <c r="U261" s="51">
        <f ca="1">IF(ISBLANK(IntComp[[#This Row],[CALENDAR YEAR]]),ROUNDDOWN(IntComp[[#This Row],[Count]]/190,0)+$U$1,IntComp[[#This Row],[CALENDAR YEAR]])</f>
        <v>2027</v>
      </c>
      <c r="V261" s="85">
        <f t="shared" ca="1" si="4"/>
        <v>10996151.25</v>
      </c>
      <c r="W261" s="71"/>
      <c r="X261"/>
    </row>
    <row r="262" spans="1:24">
      <c r="A262" s="1" t="s">
        <v>97</v>
      </c>
      <c r="B262" s="1" t="str">
        <f>VLOOKUP(A262,Data[],2,FALSE)</f>
        <v>BRONX</v>
      </c>
      <c r="C262" s="9" t="s">
        <v>106</v>
      </c>
      <c r="D262" s="9" t="str">
        <f>VLOOKUP(IntComp[[#This Row],[DEVELOPMENT]],Data[],52,FALSE)</f>
        <v>FEDERAL</v>
      </c>
      <c r="E262" s="9" t="str">
        <f>VLOOKUP(IntComp[[#This Row],[DEVELOPMENT]],Data[],8,FALSE)</f>
        <v>Zone 3</v>
      </c>
      <c r="F262" s="9">
        <f>VLOOKUP(IntComp[[#This Row],[DEVELOPMENT]],all[[DEVELOPMENT]:[MRST Ext. Comp. Priority]],13,FALSE)</f>
        <v>3</v>
      </c>
      <c r="G262" s="9">
        <f>IF(VLOOKUP(IntComp[[#This Row],[DEVELOPMENT]],Data[],9,FALSE)=0,5,VLOOKUP(IntComp[[#This Row],[DEVELOPMENT]],Data[],9,FALSE))</f>
        <v>2</v>
      </c>
      <c r="H262" s="9">
        <f>VLOOKUP(IntComp[[#This Row],[DEVELOPMENT]],Data[],7,FALSE)</f>
        <v>119</v>
      </c>
      <c r="I262" s="9">
        <f>VLOOKUP(IntComp[[#This Row],[DEVELOPMENT]],Data[],5,FALSE)</f>
        <v>2</v>
      </c>
      <c r="J262" s="9"/>
      <c r="K262" s="9" t="str">
        <f ca="1">IFERROR(VLOOKUP(IntComp[[#This Row],[DEVELOPMENT]],Data[],4,FALSE),"")</f>
        <v>2026+</v>
      </c>
      <c r="L262" s="9" t="str">
        <f ca="1">IF(IntComp[[#This Row],[RAD/PACT]]="","",IF(OR(IntComp[[#This Row],[RAD/PACT]]="2022-2025",IntComp[[#This Row],[RAD/PACT]]=2019,IntComp[[#This Row],[RAD/PACT]]="2020-2021"),"Yes",""))</f>
        <v/>
      </c>
      <c r="M262" s="1">
        <f ca="1">IF(VLOOKUP(IntComp[[#This Row],[DEVELOPMENT]],Data[],10,FALSE)=0,-1,DATEDIF(VLOOKUP(IntComp[[#This Row],[DEVELOPMENT]],Data[],12,FALSE),TODAY(),"Y"))</f>
        <v>-1</v>
      </c>
      <c r="N262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62" s="1"/>
      <c r="P262" s="1"/>
      <c r="Q262" s="1"/>
      <c r="R262" s="47">
        <f ca="1">(IntComp[[#This Row],['# to Replace (MRST)]]*INDEX(UnitCosts[#All],MATCH(IntComp[[#This Row],[WORK TYPE]],UnitCosts[Work Type],0)+1,2))*(1+((IntComp[[#This Row],[est. Year]]-YEAR(TODAY()))*$R$2))</f>
        <v>0</v>
      </c>
      <c r="S262" s="1">
        <f ca="1">SUM(INDEX(IntComp['# to Replace (MRST)],1):IntComp[[#This Row],['# to Replace (MRST)]])-272</f>
        <v>1269</v>
      </c>
      <c r="T262" s="1"/>
      <c r="U262" s="1">
        <f ca="1">IF(ISBLANK(IntComp[[#This Row],[CALENDAR YEAR]]),ROUNDDOWN(IntComp[[#This Row],[Count]]/190,0)+$U$1,IntComp[[#This Row],[CALENDAR YEAR]])</f>
        <v>2027</v>
      </c>
      <c r="V262" s="3">
        <f t="shared" ref="V262:V307" ca="1" si="5">IF(U262=U261,R262+V261,R262)</f>
        <v>10996151.25</v>
      </c>
      <c r="W262" s="71"/>
      <c r="X262"/>
    </row>
    <row r="263" spans="1:24">
      <c r="A263" s="1" t="s">
        <v>93</v>
      </c>
      <c r="B263" s="1" t="str">
        <f>VLOOKUP(A263,Data[],2,FALSE)</f>
        <v>MANHATTAN</v>
      </c>
      <c r="C263" s="9" t="s">
        <v>106</v>
      </c>
      <c r="D263" s="9" t="str">
        <f>VLOOKUP(IntComp[[#This Row],[DEVELOPMENT]],Data[],52,FALSE)</f>
        <v>FEDERAL</v>
      </c>
      <c r="E263" s="9" t="str">
        <f>VLOOKUP(IntComp[[#This Row],[DEVELOPMENT]],Data[],8,FALSE)</f>
        <v>Zone 3</v>
      </c>
      <c r="F263" s="9" t="str">
        <f>VLOOKUP(IntComp[[#This Row],[DEVELOPMENT]],all[[DEVELOPMENT]:[MRST Ext. Comp. Priority]],13,FALSE)</f>
        <v>None</v>
      </c>
      <c r="G263" s="9">
        <f>IF(VLOOKUP(IntComp[[#This Row],[DEVELOPMENT]],Data[],9,FALSE)=0,5,VLOOKUP(IntComp[[#This Row],[DEVELOPMENT]],Data[],9,FALSE))</f>
        <v>3</v>
      </c>
      <c r="H263" s="9">
        <f>VLOOKUP(IntComp[[#This Row],[DEVELOPMENT]],Data[],7,FALSE)</f>
        <v>90</v>
      </c>
      <c r="I263" s="9">
        <f>VLOOKUP(IntComp[[#This Row],[DEVELOPMENT]],Data[],5,FALSE)</f>
        <v>2</v>
      </c>
      <c r="J263" s="9"/>
      <c r="K263" s="9" t="str">
        <f ca="1">IFERROR(VLOOKUP(IntComp[[#This Row],[DEVELOPMENT]],Data[],4,FALSE),"")</f>
        <v>2020-2021</v>
      </c>
      <c r="L263" s="9" t="str">
        <f ca="1">IF(IntComp[[#This Row],[RAD/PACT]]="","",IF(OR(IntComp[[#This Row],[RAD/PACT]]="2022-2025",IntComp[[#This Row],[RAD/PACT]]=2019,IntComp[[#This Row],[RAD/PACT]]="2020-2021"),"Yes",""))</f>
        <v>Yes</v>
      </c>
      <c r="M263" s="1">
        <f ca="1">IF(VLOOKUP(IntComp[[#This Row],[DEVELOPMENT]],Data[],10,FALSE)=0,-1,DATEDIF(VLOOKUP(IntComp[[#This Row],[DEVELOPMENT]],Data[],12,FALSE),TODAY(),"Y"))</f>
        <v>40</v>
      </c>
      <c r="N263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63" s="1"/>
      <c r="P263" s="1"/>
      <c r="Q263" s="1"/>
      <c r="R263" s="47">
        <f ca="1">(IntComp[[#This Row],['# to Replace (MRST)]]*INDEX(UnitCosts[#All],MATCH(IntComp[[#This Row],[WORK TYPE]],UnitCosts[Work Type],0)+1,2))*(1+((IntComp[[#This Row],[est. Year]]-YEAR(TODAY()))*$R$2))</f>
        <v>0</v>
      </c>
      <c r="S263" s="1">
        <f ca="1">SUM(INDEX(IntComp['# to Replace (MRST)],1):IntComp[[#This Row],['# to Replace (MRST)]])-272</f>
        <v>1269</v>
      </c>
      <c r="T263" s="1"/>
      <c r="U263" s="1">
        <f ca="1">IF(ISBLANK(IntComp[[#This Row],[CALENDAR YEAR]]),ROUNDDOWN(IntComp[[#This Row],[Count]]/190,0)+$U$1,IntComp[[#This Row],[CALENDAR YEAR]])</f>
        <v>2027</v>
      </c>
      <c r="V263" s="3">
        <f t="shared" ca="1" si="5"/>
        <v>10996151.25</v>
      </c>
      <c r="W263" s="71"/>
      <c r="X263"/>
    </row>
    <row r="264" spans="1:24">
      <c r="A264" s="1" t="s">
        <v>82</v>
      </c>
      <c r="B264" s="1" t="str">
        <f>VLOOKUP(A264,Data[],2,FALSE)</f>
        <v>MANHATTAN</v>
      </c>
      <c r="C264" s="9" t="s">
        <v>106</v>
      </c>
      <c r="D264" s="9" t="str">
        <f>VLOOKUP(IntComp[[#This Row],[DEVELOPMENT]],Data[],52,FALSE)</f>
        <v>FEDERAL</v>
      </c>
      <c r="E264" s="9" t="str">
        <f>VLOOKUP(IntComp[[#This Row],[DEVELOPMENT]],Data[],8,FALSE)</f>
        <v>Zone 3</v>
      </c>
      <c r="F264" s="9">
        <f>VLOOKUP(IntComp[[#This Row],[DEVELOPMENT]],all[[DEVELOPMENT]:[MRST Ext. Comp. Priority]],13,FALSE)</f>
        <v>3</v>
      </c>
      <c r="G264" s="9">
        <f>IF(VLOOKUP(IntComp[[#This Row],[DEVELOPMENT]],Data[],9,FALSE)=0,5,VLOOKUP(IntComp[[#This Row],[DEVELOPMENT]],Data[],9,FALSE))</f>
        <v>3</v>
      </c>
      <c r="H264" s="9">
        <f>VLOOKUP(IntComp[[#This Row],[DEVELOPMENT]],Data[],7,FALSE)</f>
        <v>116</v>
      </c>
      <c r="I264" s="9">
        <f>VLOOKUP(IntComp[[#This Row],[DEVELOPMENT]],Data[],5,FALSE)</f>
        <v>1</v>
      </c>
      <c r="J264" s="9"/>
      <c r="K264" s="9" t="str">
        <f ca="1">IFERROR(VLOOKUP(IntComp[[#This Row],[DEVELOPMENT]],Data[],4,FALSE),"")</f>
        <v>2020-2021</v>
      </c>
      <c r="L264" s="9" t="str">
        <f ca="1">IF(IntComp[[#This Row],[RAD/PACT]]="","",IF(OR(IntComp[[#This Row],[RAD/PACT]]="2022-2025",IntComp[[#This Row],[RAD/PACT]]=2019,IntComp[[#This Row],[RAD/PACT]]="2020-2021"),"Yes",""))</f>
        <v>Yes</v>
      </c>
      <c r="M264" s="1">
        <f ca="1">IF(VLOOKUP(IntComp[[#This Row],[DEVELOPMENT]],Data[],10,FALSE)=0,-1,DATEDIF(VLOOKUP(IntComp[[#This Row],[DEVELOPMENT]],Data[],12,FALSE),TODAY(),"Y"))</f>
        <v>23</v>
      </c>
      <c r="N264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64" s="1"/>
      <c r="P264" s="1"/>
      <c r="Q264" s="1"/>
      <c r="R264" s="47">
        <f ca="1">(IntComp[[#This Row],['# to Replace (MRST)]]*INDEX(UnitCosts[#All],MATCH(IntComp[[#This Row],[WORK TYPE]],UnitCosts[Work Type],0)+1,2))*(1+((IntComp[[#This Row],[est. Year]]-YEAR(TODAY()))*$R$2))</f>
        <v>0</v>
      </c>
      <c r="S264" s="1">
        <f ca="1">SUM(INDEX(IntComp['# to Replace (MRST)],1):IntComp[[#This Row],['# to Replace (MRST)]])-272</f>
        <v>1269</v>
      </c>
      <c r="T264" s="1"/>
      <c r="U264" s="1">
        <f ca="1">IF(ISBLANK(IntComp[[#This Row],[CALENDAR YEAR]]),ROUNDDOWN(IntComp[[#This Row],[Count]]/190,0)+$U$1,IntComp[[#This Row],[CALENDAR YEAR]])</f>
        <v>2027</v>
      </c>
      <c r="V264" s="3">
        <f t="shared" ca="1" si="5"/>
        <v>10996151.25</v>
      </c>
      <c r="W264" s="71"/>
      <c r="X264"/>
    </row>
    <row r="265" spans="1:24">
      <c r="A265" s="1" t="s">
        <v>196</v>
      </c>
      <c r="B265" s="9" t="str">
        <f>VLOOKUP(A265,Data[],2,FALSE)</f>
        <v>BROOKLYN</v>
      </c>
      <c r="C265" s="9" t="s">
        <v>106</v>
      </c>
      <c r="D265" s="9" t="str">
        <f>VLOOKUP(IntComp[[#This Row],[DEVELOPMENT]],Data[],52,FALSE)</f>
        <v>FEDERAL</v>
      </c>
      <c r="E265" s="50">
        <f>VLOOKUP(IntComp[[#This Row],[DEVELOPMENT]],Data[],8,FALSE)</f>
        <v>0</v>
      </c>
      <c r="F265" s="50">
        <f>VLOOKUP(IntComp[[#This Row],[DEVELOPMENT]],all[[DEVELOPMENT]:[MRST Ext. Comp. Priority]],13,FALSE)</f>
        <v>4</v>
      </c>
      <c r="G265" s="50">
        <f>IF(VLOOKUP(IntComp[[#This Row],[DEVELOPMENT]],Data[],9,FALSE)=0,5,VLOOKUP(IntComp[[#This Row],[DEVELOPMENT]],Data[],9,FALSE))</f>
        <v>5</v>
      </c>
      <c r="H265" s="50">
        <f>VLOOKUP(IntComp[[#This Row],[DEVELOPMENT]],Data[],7,FALSE)</f>
        <v>1054</v>
      </c>
      <c r="I265" s="50">
        <f>VLOOKUP(IntComp[[#This Row],[DEVELOPMENT]],Data[],5,FALSE)</f>
        <v>18</v>
      </c>
      <c r="J265" s="50"/>
      <c r="K265" s="50" t="str">
        <f ca="1">IFERROR(VLOOKUP(IntComp[[#This Row],[DEVELOPMENT]],Data[],4,FALSE),"")</f>
        <v>2026+</v>
      </c>
      <c r="L265" s="50" t="str">
        <f ca="1">IF(IntComp[[#This Row],[RAD/PACT]]="","",IF(OR(IntComp[[#This Row],[RAD/PACT]]="2022-2025",IntComp[[#This Row],[RAD/PACT]]=2019,IntComp[[#This Row],[RAD/PACT]]="2020-2021"),"Yes",""))</f>
        <v/>
      </c>
      <c r="M265" s="51">
        <f ca="1">IF(VLOOKUP(IntComp[[#This Row],[DEVELOPMENT]],Data[],10,FALSE)=0,-1,DATEDIF(VLOOKUP(IntComp[[#This Row],[DEVELOPMENT]],Data[],12,FALSE),TODAY(),"Y"))</f>
        <v>16</v>
      </c>
      <c r="N26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36</v>
      </c>
      <c r="O265" s="51"/>
      <c r="P265" s="51"/>
      <c r="Q265" s="51"/>
      <c r="R265" s="47">
        <f ca="1">(IntComp[[#This Row],['# to Replace (MRST)]]*INDEX(UnitCosts[#All],MATCH(IntComp[[#This Row],[WORK TYPE]],UnitCosts[Work Type],0)+1,2))*(1+((IntComp[[#This Row],[est. Year]]-YEAR(TODAY()))*$R$2))</f>
        <v>2827581.7500000005</v>
      </c>
      <c r="S265" s="1">
        <f ca="1">SUM(INDEX(IntComp['# to Replace (MRST)],1):IntComp[[#This Row],['# to Replace (MRST)]])-272</f>
        <v>1305</v>
      </c>
      <c r="T265" s="51"/>
      <c r="U265" s="51">
        <f ca="1">IF(ISBLANK(IntComp[[#This Row],[CALENDAR YEAR]]),ROUNDDOWN(IntComp[[#This Row],[Count]]/190,0)+$U$1,IntComp[[#This Row],[CALENDAR YEAR]])</f>
        <v>2027</v>
      </c>
      <c r="V265" s="85">
        <f t="shared" ca="1" si="5"/>
        <v>13823733</v>
      </c>
      <c r="W265" s="71"/>
      <c r="X265"/>
    </row>
    <row r="266" spans="1:24">
      <c r="A266" s="1" t="s">
        <v>71</v>
      </c>
      <c r="B266" s="1" t="str">
        <f>VLOOKUP(A266,Data[],2,FALSE)</f>
        <v>MANHATTAN</v>
      </c>
      <c r="C266" s="9" t="s">
        <v>106</v>
      </c>
      <c r="D266" s="9" t="str">
        <f>VLOOKUP(IntComp[[#This Row],[DEVELOPMENT]],Data[],52,FALSE)</f>
        <v>FEDERAL</v>
      </c>
      <c r="E266" s="9" t="str">
        <f>VLOOKUP(IntComp[[#This Row],[DEVELOPMENT]],Data[],8,FALSE)</f>
        <v>Zone 3</v>
      </c>
      <c r="F266" s="9" t="str">
        <f>VLOOKUP(IntComp[[#This Row],[DEVELOPMENT]],all[[DEVELOPMENT]:[MRST Ext. Comp. Priority]],13,FALSE)</f>
        <v>None</v>
      </c>
      <c r="G266" s="9">
        <f>IF(VLOOKUP(IntComp[[#This Row],[DEVELOPMENT]],Data[],9,FALSE)=0,5,VLOOKUP(IntComp[[#This Row],[DEVELOPMENT]],Data[],9,FALSE))</f>
        <v>3</v>
      </c>
      <c r="H266" s="9">
        <f>VLOOKUP(IntComp[[#This Row],[DEVELOPMENT]],Data[],7,FALSE)</f>
        <v>210</v>
      </c>
      <c r="I266" s="9">
        <f>VLOOKUP(IntComp[[#This Row],[DEVELOPMENT]],Data[],5,FALSE)</f>
        <v>1</v>
      </c>
      <c r="J266" s="9"/>
      <c r="K266" s="9" t="str">
        <f ca="1">IFERROR(VLOOKUP(IntComp[[#This Row],[DEVELOPMENT]],Data[],4,FALSE),"")</f>
        <v>2020-2021</v>
      </c>
      <c r="L266" s="9" t="str">
        <f ca="1">IF(IntComp[[#This Row],[RAD/PACT]]="","",IF(OR(IntComp[[#This Row],[RAD/PACT]]="2022-2025",IntComp[[#This Row],[RAD/PACT]]=2019,IntComp[[#This Row],[RAD/PACT]]="2020-2021"),"Yes",""))</f>
        <v>Yes</v>
      </c>
      <c r="M266" s="1">
        <f ca="1">IF(VLOOKUP(IntComp[[#This Row],[DEVELOPMENT]],Data[],10,FALSE)=0,-1,DATEDIF(VLOOKUP(IntComp[[#This Row],[DEVELOPMENT]],Data[],12,FALSE),TODAY(),"Y"))</f>
        <v>19</v>
      </c>
      <c r="N266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66" s="1"/>
      <c r="P266" s="1"/>
      <c r="Q266" s="1"/>
      <c r="R266" s="47">
        <f ca="1">(IntComp[[#This Row],['# to Replace (MRST)]]*INDEX(UnitCosts[#All],MATCH(IntComp[[#This Row],[WORK TYPE]],UnitCosts[Work Type],0)+1,2))*(1+((IntComp[[#This Row],[est. Year]]-YEAR(TODAY()))*$R$2))</f>
        <v>0</v>
      </c>
      <c r="S266" s="1">
        <f ca="1">SUM(INDEX(IntComp['# to Replace (MRST)],1):IntComp[[#This Row],['# to Replace (MRST)]])-272</f>
        <v>1305</v>
      </c>
      <c r="T266" s="1"/>
      <c r="U266" s="1">
        <f ca="1">IF(ISBLANK(IntComp[[#This Row],[CALENDAR YEAR]]),ROUNDDOWN(IntComp[[#This Row],[Count]]/190,0)+$U$1,IntComp[[#This Row],[CALENDAR YEAR]])</f>
        <v>2027</v>
      </c>
      <c r="V266" s="3">
        <f t="shared" ca="1" si="5"/>
        <v>13823733</v>
      </c>
      <c r="W266" s="71"/>
      <c r="X266"/>
    </row>
    <row r="267" spans="1:24">
      <c r="A267" s="1" t="s">
        <v>270</v>
      </c>
      <c r="B267" s="9" t="str">
        <f>VLOOKUP(A267,Data[],2,FALSE)</f>
        <v>BROOKLYN</v>
      </c>
      <c r="C267" s="9" t="s">
        <v>106</v>
      </c>
      <c r="D267" s="9" t="str">
        <f>VLOOKUP(IntComp[[#This Row],[DEVELOPMENT]],Data[],52,FALSE)</f>
        <v>FEDERAL</v>
      </c>
      <c r="E267" s="50">
        <f>VLOOKUP(IntComp[[#This Row],[DEVELOPMENT]],Data[],8,FALSE)</f>
        <v>0</v>
      </c>
      <c r="F267" s="50">
        <f>VLOOKUP(IntComp[[#This Row],[DEVELOPMENT]],all[[DEVELOPMENT]:[MRST Ext. Comp. Priority]],13,FALSE)</f>
        <v>4</v>
      </c>
      <c r="G267" s="50">
        <f>IF(VLOOKUP(IntComp[[#This Row],[DEVELOPMENT]],Data[],9,FALSE)=0,5,VLOOKUP(IntComp[[#This Row],[DEVELOPMENT]],Data[],9,FALSE))</f>
        <v>5</v>
      </c>
      <c r="H267" s="50">
        <f>VLOOKUP(IntComp[[#This Row],[DEVELOPMENT]],Data[],7,FALSE)</f>
        <v>998</v>
      </c>
      <c r="I267" s="50">
        <f>VLOOKUP(IntComp[[#This Row],[DEVELOPMENT]],Data[],5,FALSE)</f>
        <v>8</v>
      </c>
      <c r="J267" s="50"/>
      <c r="K267" s="50" t="str">
        <f ca="1">IFERROR(VLOOKUP(IntComp[[#This Row],[DEVELOPMENT]],Data[],4,FALSE),"")</f>
        <v/>
      </c>
      <c r="L267" s="50" t="str">
        <f ca="1">IF(IntComp[[#This Row],[RAD/PACT]]="","",IF(OR(IntComp[[#This Row],[RAD/PACT]]="2022-2025",IntComp[[#This Row],[RAD/PACT]]=2019,IntComp[[#This Row],[RAD/PACT]]="2020-2021"),"Yes",""))</f>
        <v/>
      </c>
      <c r="M267" s="51">
        <f ca="1">IF(VLOOKUP(IntComp[[#This Row],[DEVELOPMENT]],Data[],10,FALSE)=0,-1,DATEDIF(VLOOKUP(IntComp[[#This Row],[DEVELOPMENT]],Data[],12,FALSE),TODAY(),"Y"))</f>
        <v>16</v>
      </c>
      <c r="N26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8</v>
      </c>
      <c r="O267" s="51"/>
      <c r="P267" s="51"/>
      <c r="Q267" s="51"/>
      <c r="R267" s="47">
        <f ca="1">(IntComp[[#This Row],['# to Replace (MRST)]]*INDEX(UnitCosts[#All],MATCH(IntComp[[#This Row],[WORK TYPE]],UnitCosts[Work Type],0)+1,2))*(1+((IntComp[[#This Row],[est. Year]]-YEAR(TODAY()))*$R$2))</f>
        <v>628351.5</v>
      </c>
      <c r="S267" s="1">
        <f ca="1">SUM(INDEX(IntComp['# to Replace (MRST)],1):IntComp[[#This Row],['# to Replace (MRST)]])-272</f>
        <v>1313</v>
      </c>
      <c r="T267" s="51"/>
      <c r="U267" s="51">
        <f ca="1">IF(ISBLANK(IntComp[[#This Row],[CALENDAR YEAR]]),ROUNDDOWN(IntComp[[#This Row],[Count]]/190,0)+$U$1,IntComp[[#This Row],[CALENDAR YEAR]])</f>
        <v>2027</v>
      </c>
      <c r="V267" s="85">
        <f t="shared" ca="1" si="5"/>
        <v>14452084.5</v>
      </c>
      <c r="W267" s="71"/>
      <c r="X267"/>
    </row>
    <row r="268" spans="1:24">
      <c r="A268" s="1" t="s">
        <v>89</v>
      </c>
      <c r="B268" s="1" t="str">
        <f>VLOOKUP(A268,Data[],2,FALSE)</f>
        <v>MANHATTAN</v>
      </c>
      <c r="C268" s="9" t="s">
        <v>106</v>
      </c>
      <c r="D268" s="9" t="str">
        <f>VLOOKUP(IntComp[[#This Row],[DEVELOPMENT]],Data[],52,FALSE)</f>
        <v>FEDERAL</v>
      </c>
      <c r="E268" s="9" t="str">
        <f>VLOOKUP(IntComp[[#This Row],[DEVELOPMENT]],Data[],8,FALSE)</f>
        <v>Zone 3</v>
      </c>
      <c r="F268" s="9">
        <f>VLOOKUP(IntComp[[#This Row],[DEVELOPMENT]],all[[DEVELOPMENT]:[MRST Ext. Comp. Priority]],13,FALSE)</f>
        <v>1</v>
      </c>
      <c r="G268" s="9">
        <f>IF(VLOOKUP(IntComp[[#This Row],[DEVELOPMENT]],Data[],9,FALSE)=0,5,VLOOKUP(IntComp[[#This Row],[DEVELOPMENT]],Data[],9,FALSE))</f>
        <v>3</v>
      </c>
      <c r="H268" s="9">
        <f>VLOOKUP(IntComp[[#This Row],[DEVELOPMENT]],Data[],7,FALSE)</f>
        <v>180</v>
      </c>
      <c r="I268" s="9">
        <f>VLOOKUP(IntComp[[#This Row],[DEVELOPMENT]],Data[],5,FALSE)</f>
        <v>1</v>
      </c>
      <c r="J268" s="9"/>
      <c r="K268" s="9" t="str">
        <f ca="1">IFERROR(VLOOKUP(IntComp[[#This Row],[DEVELOPMENT]],Data[],4,FALSE),"")</f>
        <v>2020-2021</v>
      </c>
      <c r="L268" s="9" t="str">
        <f ca="1">IF(IntComp[[#This Row],[RAD/PACT]]="","",IF(OR(IntComp[[#This Row],[RAD/PACT]]="2022-2025",IntComp[[#This Row],[RAD/PACT]]=2019,IntComp[[#This Row],[RAD/PACT]]="2020-2021"),"Yes",""))</f>
        <v>Yes</v>
      </c>
      <c r="M268" s="1">
        <f ca="1">IF(VLOOKUP(IntComp[[#This Row],[DEVELOPMENT]],Data[],10,FALSE)=0,-1,DATEDIF(VLOOKUP(IntComp[[#This Row],[DEVELOPMENT]],Data[],12,FALSE),TODAY(),"Y"))</f>
        <v>8</v>
      </c>
      <c r="N268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68" s="1"/>
      <c r="P268" s="1"/>
      <c r="Q268" s="1"/>
      <c r="R268" s="47">
        <f ca="1">(IntComp[[#This Row],['# to Replace (MRST)]]*INDEX(UnitCosts[#All],MATCH(IntComp[[#This Row],[WORK TYPE]],UnitCosts[Work Type],0)+1,2))*(1+((IntComp[[#This Row],[est. Year]]-YEAR(TODAY()))*$R$2))</f>
        <v>0</v>
      </c>
      <c r="S268" s="1">
        <f ca="1">SUM(INDEX(IntComp['# to Replace (MRST)],1):IntComp[[#This Row],['# to Replace (MRST)]])-272</f>
        <v>1313</v>
      </c>
      <c r="T268" s="1"/>
      <c r="U268" s="1">
        <f ca="1">IF(ISBLANK(IntComp[[#This Row],[CALENDAR YEAR]]),ROUNDDOWN(IntComp[[#This Row],[Count]]/190,0)+$U$1,IntComp[[#This Row],[CALENDAR YEAR]])</f>
        <v>2027</v>
      </c>
      <c r="V268" s="3">
        <f t="shared" ca="1" si="5"/>
        <v>14452084.5</v>
      </c>
      <c r="W268" s="51"/>
      <c r="X268"/>
    </row>
    <row r="269" spans="1:24">
      <c r="A269" s="1" t="s">
        <v>132</v>
      </c>
      <c r="B269" s="1" t="str">
        <f>VLOOKUP(A269,Data[],2,FALSE)</f>
        <v>BRONX</v>
      </c>
      <c r="C269" s="9" t="s">
        <v>106</v>
      </c>
      <c r="D269" s="9" t="str">
        <f>VLOOKUP(IntComp[[#This Row],[DEVELOPMENT]],Data[],52,FALSE)</f>
        <v>FEDERAL</v>
      </c>
      <c r="E269" s="9" t="str">
        <f>VLOOKUP(IntComp[[#This Row],[DEVELOPMENT]],Data[],8,FALSE)</f>
        <v>Zone 3</v>
      </c>
      <c r="F269" s="9">
        <f>VLOOKUP(IntComp[[#This Row],[DEVELOPMENT]],all[[DEVELOPMENT]:[MRST Ext. Comp. Priority]],13,FALSE)</f>
        <v>2</v>
      </c>
      <c r="G269" s="9">
        <f>IF(VLOOKUP(IntComp[[#This Row],[DEVELOPMENT]],Data[],9,FALSE)=0,5,VLOOKUP(IntComp[[#This Row],[DEVELOPMENT]],Data[],9,FALSE))</f>
        <v>3</v>
      </c>
      <c r="H269" s="9">
        <f>VLOOKUP(IntComp[[#This Row],[DEVELOPMENT]],Data[],7,FALSE)</f>
        <v>1789</v>
      </c>
      <c r="I269" s="9">
        <f>VLOOKUP(IntComp[[#This Row],[DEVELOPMENT]],Data[],5,FALSE)</f>
        <v>15</v>
      </c>
      <c r="J269" s="9"/>
      <c r="K269" s="9" t="str">
        <f ca="1">IFERROR(VLOOKUP(IntComp[[#This Row],[DEVELOPMENT]],Data[],4,FALSE),"")</f>
        <v>2022-2025</v>
      </c>
      <c r="L269" s="9" t="str">
        <f ca="1">IF(IntComp[[#This Row],[RAD/PACT]]="","",IF(OR(IntComp[[#This Row],[RAD/PACT]]="2022-2025",IntComp[[#This Row],[RAD/PACT]]=2019,IntComp[[#This Row],[RAD/PACT]]="2020-2021"),"Yes",""))</f>
        <v>Yes</v>
      </c>
      <c r="M269" s="1">
        <f ca="1">IF(VLOOKUP(IntComp[[#This Row],[DEVELOPMENT]],Data[],10,FALSE)=0,-1,DATEDIF(VLOOKUP(IntComp[[#This Row],[DEVELOPMENT]],Data[],12,FALSE),TODAY(),"Y"))</f>
        <v>4</v>
      </c>
      <c r="N269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69" s="1"/>
      <c r="P269" s="1"/>
      <c r="Q269" s="1"/>
      <c r="R269" s="47">
        <f ca="1">(IntComp[[#This Row],['# to Replace (MRST)]]*INDEX(UnitCosts[#All],MATCH(IntComp[[#This Row],[WORK TYPE]],UnitCosts[Work Type],0)+1,2))*(1+((IntComp[[#This Row],[est. Year]]-YEAR(TODAY()))*$R$2))</f>
        <v>0</v>
      </c>
      <c r="S269" s="1">
        <f ca="1">SUM(INDEX(IntComp['# to Replace (MRST)],1):IntComp[[#This Row],['# to Replace (MRST)]])-272</f>
        <v>1313</v>
      </c>
      <c r="T269" s="1"/>
      <c r="U269" s="1">
        <f ca="1">IF(ISBLANK(IntComp[[#This Row],[CALENDAR YEAR]]),ROUNDDOWN(IntComp[[#This Row],[Count]]/190,0)+$U$1,IntComp[[#This Row],[CALENDAR YEAR]])</f>
        <v>2027</v>
      </c>
      <c r="V269" s="3">
        <f t="shared" ca="1" si="5"/>
        <v>14452084.5</v>
      </c>
      <c r="W269" s="51"/>
      <c r="X269"/>
    </row>
    <row r="270" spans="1:24">
      <c r="A270" s="9" t="s">
        <v>60</v>
      </c>
      <c r="B270" s="1" t="str">
        <f>VLOOKUP(A270,Data[],2,FALSE)</f>
        <v>MANHATTAN</v>
      </c>
      <c r="C270" s="9" t="s">
        <v>106</v>
      </c>
      <c r="D270" s="9" t="str">
        <f>VLOOKUP(IntComp[[#This Row],[DEVELOPMENT]],Data[],52,FALSE)</f>
        <v>FEDERAL</v>
      </c>
      <c r="E270" s="9" t="str">
        <f>VLOOKUP(IntComp[[#This Row],[DEVELOPMENT]],Data[],8,FALSE)</f>
        <v>Zone 1</v>
      </c>
      <c r="F270" s="9">
        <f>VLOOKUP(IntComp[[#This Row],[DEVELOPMENT]],all[[DEVELOPMENT]:[MRST Ext. Comp. Priority]],13,FALSE)</f>
        <v>3</v>
      </c>
      <c r="G270" s="9">
        <f>IF(VLOOKUP(IntComp[[#This Row],[DEVELOPMENT]],Data[],9,FALSE)=0,5,VLOOKUP(IntComp[[#This Row],[DEVELOPMENT]],Data[],9,FALSE))</f>
        <v>3</v>
      </c>
      <c r="H270" s="9">
        <f>VLOOKUP(IntComp[[#This Row],[DEVELOPMENT]],Data[],7,FALSE)</f>
        <v>224</v>
      </c>
      <c r="I270" s="9">
        <f>VLOOKUP(IntComp[[#This Row],[DEVELOPMENT]],Data[],5,FALSE)</f>
        <v>2</v>
      </c>
      <c r="J270" s="9"/>
      <c r="K270" s="9" t="str">
        <f ca="1">IFERROR(VLOOKUP(IntComp[[#This Row],[DEVELOPMENT]],Data[],4,FALSE),"")</f>
        <v>2026+</v>
      </c>
      <c r="L270" s="9" t="str">
        <f ca="1">IF(IntComp[[#This Row],[RAD/PACT]]="","",IF(OR(IntComp[[#This Row],[RAD/PACT]]="2022-2025",IntComp[[#This Row],[RAD/PACT]]=2019,IntComp[[#This Row],[RAD/PACT]]="2020-2021"),"Yes",""))</f>
        <v/>
      </c>
      <c r="M270" s="1">
        <f ca="1">IF(VLOOKUP(IntComp[[#This Row],[DEVELOPMENT]],Data[],10,FALSE)=0,-1,DATEDIF(VLOOKUP(IntComp[[#This Row],[DEVELOPMENT]],Data[],12,FALSE),TODAY(),"Y"))</f>
        <v>2</v>
      </c>
      <c r="N27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70" s="1"/>
      <c r="P270" s="1"/>
      <c r="Q270" s="1"/>
      <c r="R270" s="47">
        <f ca="1">(IntComp[[#This Row],['# to Replace (MRST)]]*INDEX(UnitCosts[#All],MATCH(IntComp[[#This Row],[WORK TYPE]],UnitCosts[Work Type],0)+1,2))*(1+((IntComp[[#This Row],[est. Year]]-YEAR(TODAY()))*$R$2))</f>
        <v>0</v>
      </c>
      <c r="S270" s="1">
        <f ca="1">SUM(INDEX(IntComp['# to Replace (MRST)],1):IntComp[[#This Row],['# to Replace (MRST)]])-272</f>
        <v>1313</v>
      </c>
      <c r="T270" s="1"/>
      <c r="U270" s="1">
        <f ca="1">IF(ISBLANK(IntComp[[#This Row],[CALENDAR YEAR]]),ROUNDDOWN(IntComp[[#This Row],[Count]]/190,0)+$U$1,IntComp[[#This Row],[CALENDAR YEAR]])</f>
        <v>2027</v>
      </c>
      <c r="V270" s="3">
        <f t="shared" ca="1" si="5"/>
        <v>14452084.5</v>
      </c>
      <c r="W270" s="71"/>
      <c r="X270"/>
    </row>
    <row r="271" spans="1:24">
      <c r="A271" s="1" t="s">
        <v>96</v>
      </c>
      <c r="B271" s="1" t="str">
        <f>VLOOKUP(A271,Data[],2,FALSE)</f>
        <v>BRONX</v>
      </c>
      <c r="C271" s="9" t="s">
        <v>106</v>
      </c>
      <c r="D271" s="9" t="str">
        <f>VLOOKUP(IntComp[[#This Row],[DEVELOPMENT]],Data[],52,FALSE)</f>
        <v>FEDERAL</v>
      </c>
      <c r="E271" s="9" t="str">
        <f>VLOOKUP(IntComp[[#This Row],[DEVELOPMENT]],Data[],8,FALSE)</f>
        <v>Zone 3</v>
      </c>
      <c r="F271" s="9">
        <f>VLOOKUP(IntComp[[#This Row],[DEVELOPMENT]],all[[DEVELOPMENT]:[MRST Ext. Comp. Priority]],13,FALSE)</f>
        <v>2</v>
      </c>
      <c r="G271" s="9">
        <f>IF(VLOOKUP(IntComp[[#This Row],[DEVELOPMENT]],Data[],9,FALSE)=0,5,VLOOKUP(IntComp[[#This Row],[DEVELOPMENT]],Data[],9,FALSE))</f>
        <v>3</v>
      </c>
      <c r="H271" s="9">
        <f>VLOOKUP(IntComp[[#This Row],[DEVELOPMENT]],Data[],7,FALSE)</f>
        <v>112</v>
      </c>
      <c r="I271" s="9">
        <f>VLOOKUP(IntComp[[#This Row],[DEVELOPMENT]],Data[],5,FALSE)</f>
        <v>4</v>
      </c>
      <c r="J271" s="9"/>
      <c r="K271" s="9" t="str">
        <f ca="1">IFERROR(VLOOKUP(IntComp[[#This Row],[DEVELOPMENT]],Data[],4,FALSE),"")</f>
        <v>2026+</v>
      </c>
      <c r="L271" s="9" t="str">
        <f ca="1">IF(IntComp[[#This Row],[RAD/PACT]]="","",IF(OR(IntComp[[#This Row],[RAD/PACT]]="2022-2025",IntComp[[#This Row],[RAD/PACT]]=2019,IntComp[[#This Row],[RAD/PACT]]="2020-2021"),"Yes",""))</f>
        <v/>
      </c>
      <c r="M271" s="1">
        <f ca="1">IF(VLOOKUP(IntComp[[#This Row],[DEVELOPMENT]],Data[],10,FALSE)=0,-1,DATEDIF(VLOOKUP(IntComp[[#This Row],[DEVELOPMENT]],Data[],12,FALSE),TODAY(),"Y"))</f>
        <v>-1</v>
      </c>
      <c r="N271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71" s="1"/>
      <c r="P271" s="1"/>
      <c r="Q271" s="1"/>
      <c r="R271" s="47">
        <f ca="1">(IntComp[[#This Row],['# to Replace (MRST)]]*INDEX(UnitCosts[#All],MATCH(IntComp[[#This Row],[WORK TYPE]],UnitCosts[Work Type],0)+1,2))*(1+((IntComp[[#This Row],[est. Year]]-YEAR(TODAY()))*$R$2))</f>
        <v>0</v>
      </c>
      <c r="S271" s="1">
        <f ca="1">SUM(INDEX(IntComp['# to Replace (MRST)],1):IntComp[[#This Row],['# to Replace (MRST)]])-272</f>
        <v>1313</v>
      </c>
      <c r="T271" s="1"/>
      <c r="U271" s="1">
        <f ca="1">IF(ISBLANK(IntComp[[#This Row],[CALENDAR YEAR]]),ROUNDDOWN(IntComp[[#This Row],[Count]]/190,0)+$U$1,IntComp[[#This Row],[CALENDAR YEAR]])</f>
        <v>2027</v>
      </c>
      <c r="V271" s="3">
        <f t="shared" ca="1" si="5"/>
        <v>14452084.5</v>
      </c>
      <c r="W271" s="51"/>
      <c r="X271"/>
    </row>
    <row r="272" spans="1:24">
      <c r="A272" s="1" t="s">
        <v>94</v>
      </c>
      <c r="B272" s="1" t="str">
        <f>VLOOKUP(A272,Data[],2,FALSE)</f>
        <v>MANHATTAN</v>
      </c>
      <c r="C272" s="9" t="s">
        <v>106</v>
      </c>
      <c r="D272" s="9" t="str">
        <f>VLOOKUP(IntComp[[#This Row],[DEVELOPMENT]],Data[],52,FALSE)</f>
        <v>FEDERAL</v>
      </c>
      <c r="E272" s="9" t="str">
        <f>VLOOKUP(IntComp[[#This Row],[DEVELOPMENT]],Data[],8,FALSE)</f>
        <v>Zone 3</v>
      </c>
      <c r="F272" s="9">
        <f>VLOOKUP(IntComp[[#This Row],[DEVELOPMENT]],all[[DEVELOPMENT]:[MRST Ext. Comp. Priority]],13,FALSE)</f>
        <v>3</v>
      </c>
      <c r="G272" s="9">
        <f>IF(VLOOKUP(IntComp[[#This Row],[DEVELOPMENT]],Data[],9,FALSE)=0,5,VLOOKUP(IntComp[[#This Row],[DEVELOPMENT]],Data[],9,FALSE))</f>
        <v>4</v>
      </c>
      <c r="H272" s="9">
        <f>VLOOKUP(IntComp[[#This Row],[DEVELOPMENT]],Data[],7,FALSE)</f>
        <v>125</v>
      </c>
      <c r="I272" s="9">
        <f>VLOOKUP(IntComp[[#This Row],[DEVELOPMENT]],Data[],5,FALSE)</f>
        <v>1</v>
      </c>
      <c r="J272" s="9"/>
      <c r="K272" s="9" t="str">
        <f ca="1">IFERROR(VLOOKUP(IntComp[[#This Row],[DEVELOPMENT]],Data[],4,FALSE),"")</f>
        <v>2020-2021</v>
      </c>
      <c r="L272" s="9" t="str">
        <f ca="1">IF(IntComp[[#This Row],[RAD/PACT]]="","",IF(OR(IntComp[[#This Row],[RAD/PACT]]="2022-2025",IntComp[[#This Row],[RAD/PACT]]=2019,IntComp[[#This Row],[RAD/PACT]]="2020-2021"),"Yes",""))</f>
        <v>Yes</v>
      </c>
      <c r="M272" s="1">
        <f ca="1">IF(VLOOKUP(IntComp[[#This Row],[DEVELOPMENT]],Data[],10,FALSE)=0,-1,DATEDIF(VLOOKUP(IntComp[[#This Row],[DEVELOPMENT]],Data[],12,FALSE),TODAY(),"Y"))</f>
        <v>30</v>
      </c>
      <c r="N272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72" s="1"/>
      <c r="P272" s="1"/>
      <c r="Q272" s="1"/>
      <c r="R272" s="47">
        <f ca="1">(IntComp[[#This Row],['# to Replace (MRST)]]*INDEX(UnitCosts[#All],MATCH(IntComp[[#This Row],[WORK TYPE]],UnitCosts[Work Type],0)+1,2))*(1+((IntComp[[#This Row],[est. Year]]-YEAR(TODAY()))*$R$2))</f>
        <v>0</v>
      </c>
      <c r="S272" s="1">
        <f ca="1">SUM(INDEX(IntComp['# to Replace (MRST)],1):IntComp[[#This Row],['# to Replace (MRST)]])-272</f>
        <v>1313</v>
      </c>
      <c r="T272" s="1"/>
      <c r="U272" s="1">
        <f ca="1">IF(ISBLANK(IntComp[[#This Row],[CALENDAR YEAR]]),ROUNDDOWN(IntComp[[#This Row],[Count]]/190,0)+$U$1,IntComp[[#This Row],[CALENDAR YEAR]])</f>
        <v>2027</v>
      </c>
      <c r="V272" s="3">
        <f t="shared" ca="1" si="5"/>
        <v>14452084.5</v>
      </c>
      <c r="W272" s="71"/>
      <c r="X272"/>
    </row>
    <row r="273" spans="1:24">
      <c r="A273" s="9" t="s">
        <v>145</v>
      </c>
      <c r="B273" s="1" t="str">
        <f>VLOOKUP(A273,Data[],2,FALSE)</f>
        <v>BRONX</v>
      </c>
      <c r="C273" s="9" t="s">
        <v>106</v>
      </c>
      <c r="D273" s="9" t="str">
        <f>VLOOKUP(IntComp[[#This Row],[DEVELOPMENT]],Data[],52,FALSE)</f>
        <v>FEDERAL</v>
      </c>
      <c r="E273" s="9" t="str">
        <f>VLOOKUP(IntComp[[#This Row],[DEVELOPMENT]],Data[],8,FALSE)</f>
        <v>Zone 1</v>
      </c>
      <c r="F273" s="9">
        <f>VLOOKUP(IntComp[[#This Row],[DEVELOPMENT]],all[[DEVELOPMENT]:[MRST Ext. Comp. Priority]],13,FALSE)</f>
        <v>3</v>
      </c>
      <c r="G273" s="9">
        <f>IF(VLOOKUP(IntComp[[#This Row],[DEVELOPMENT]],Data[],9,FALSE)=0,5,VLOOKUP(IntComp[[#This Row],[DEVELOPMENT]],Data[],9,FALSE))</f>
        <v>4</v>
      </c>
      <c r="H273" s="9">
        <f>VLOOKUP(IntComp[[#This Row],[DEVELOPMENT]],Data[],7,FALSE)</f>
        <v>95</v>
      </c>
      <c r="I273" s="9">
        <f>VLOOKUP(IntComp[[#This Row],[DEVELOPMENT]],Data[],5,FALSE)</f>
        <v>1</v>
      </c>
      <c r="J273" s="9"/>
      <c r="K273" s="9" t="str">
        <f ca="1">IFERROR(VLOOKUP(IntComp[[#This Row],[DEVELOPMENT]],Data[],4,FALSE),"")</f>
        <v>2022-2025</v>
      </c>
      <c r="L273" s="9" t="str">
        <f ca="1">IF(IntComp[[#This Row],[RAD/PACT]]="","",IF(OR(IntComp[[#This Row],[RAD/PACT]]="2022-2025",IntComp[[#This Row],[RAD/PACT]]=2019,IntComp[[#This Row],[RAD/PACT]]="2020-2021"),"Yes",""))</f>
        <v>Yes</v>
      </c>
      <c r="M273" s="1">
        <f ca="1">IF(VLOOKUP(IntComp[[#This Row],[DEVELOPMENT]],Data[],10,FALSE)=0,-1,DATEDIF(VLOOKUP(IntComp[[#This Row],[DEVELOPMENT]],Data[],12,FALSE),TODAY(),"Y"))</f>
        <v>28</v>
      </c>
      <c r="N273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73" s="1"/>
      <c r="P273" s="1"/>
      <c r="Q273" s="1"/>
      <c r="R273" s="47">
        <f ca="1">(IntComp[[#This Row],['# to Replace (MRST)]]*INDEX(UnitCosts[#All],MATCH(IntComp[[#This Row],[WORK TYPE]],UnitCosts[Work Type],0)+1,2))*(1+((IntComp[[#This Row],[est. Year]]-YEAR(TODAY()))*$R$2))</f>
        <v>0</v>
      </c>
      <c r="S273" s="1">
        <f ca="1">SUM(INDEX(IntComp['# to Replace (MRST)],1):IntComp[[#This Row],['# to Replace (MRST)]])-272</f>
        <v>1313</v>
      </c>
      <c r="T273" s="1"/>
      <c r="U273" s="1">
        <f ca="1">IF(ISBLANK(IntComp[[#This Row],[CALENDAR YEAR]]),ROUNDDOWN(IntComp[[#This Row],[Count]]/190,0)+$U$1,IntComp[[#This Row],[CALENDAR YEAR]])</f>
        <v>2027</v>
      </c>
      <c r="V273" s="3">
        <f t="shared" ca="1" si="5"/>
        <v>14452084.5</v>
      </c>
      <c r="W273" s="71"/>
      <c r="X273"/>
    </row>
    <row r="274" spans="1:24">
      <c r="A274" s="1" t="s">
        <v>80</v>
      </c>
      <c r="B274" s="1" t="str">
        <f>VLOOKUP(A274,Data[],2,FALSE)</f>
        <v>MANHATTAN</v>
      </c>
      <c r="C274" s="9" t="s">
        <v>106</v>
      </c>
      <c r="D274" s="9" t="str">
        <f>VLOOKUP(IntComp[[#This Row],[DEVELOPMENT]],Data[],52,FALSE)</f>
        <v>FEDERAL</v>
      </c>
      <c r="E274" s="9" t="str">
        <f>VLOOKUP(IntComp[[#This Row],[DEVELOPMENT]],Data[],8,FALSE)</f>
        <v>Zone 3</v>
      </c>
      <c r="F274" s="9">
        <f>VLOOKUP(IntComp[[#This Row],[DEVELOPMENT]],all[[DEVELOPMENT]:[MRST Ext. Comp. Priority]],13,FALSE)</f>
        <v>3</v>
      </c>
      <c r="G274" s="9">
        <f>IF(VLOOKUP(IntComp[[#This Row],[DEVELOPMENT]],Data[],9,FALSE)=0,5,VLOOKUP(IntComp[[#This Row],[DEVELOPMENT]],Data[],9,FALSE))</f>
        <v>4</v>
      </c>
      <c r="H274" s="9">
        <f>VLOOKUP(IntComp[[#This Row],[DEVELOPMENT]],Data[],7,FALSE)</f>
        <v>35</v>
      </c>
      <c r="I274" s="9">
        <f>VLOOKUP(IntComp[[#This Row],[DEVELOPMENT]],Data[],5,FALSE)</f>
        <v>1</v>
      </c>
      <c r="J274" s="9"/>
      <c r="K274" s="9" t="str">
        <f ca="1">IFERROR(VLOOKUP(IntComp[[#This Row],[DEVELOPMENT]],Data[],4,FALSE),"")</f>
        <v>2020-2021</v>
      </c>
      <c r="L274" s="9" t="str">
        <f ca="1">IF(IntComp[[#This Row],[RAD/PACT]]="","",IF(OR(IntComp[[#This Row],[RAD/PACT]]="2022-2025",IntComp[[#This Row],[RAD/PACT]]=2019,IntComp[[#This Row],[RAD/PACT]]="2020-2021"),"Yes",""))</f>
        <v>Yes</v>
      </c>
      <c r="M274" s="1">
        <f ca="1">IF(VLOOKUP(IntComp[[#This Row],[DEVELOPMENT]],Data[],10,FALSE)=0,-1,DATEDIF(VLOOKUP(IntComp[[#This Row],[DEVELOPMENT]],Data[],12,FALSE),TODAY(),"Y"))</f>
        <v>27</v>
      </c>
      <c r="N274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74" s="1"/>
      <c r="P274" s="1"/>
      <c r="Q274" s="1"/>
      <c r="R274" s="47">
        <f ca="1">(IntComp[[#This Row],['# to Replace (MRST)]]*INDEX(UnitCosts[#All],MATCH(IntComp[[#This Row],[WORK TYPE]],UnitCosts[Work Type],0)+1,2))*(1+((IntComp[[#This Row],[est. Year]]-YEAR(TODAY()))*$R$2))</f>
        <v>0</v>
      </c>
      <c r="S274" s="1">
        <f ca="1">SUM(INDEX(IntComp['# to Replace (MRST)],1):IntComp[[#This Row],['# to Replace (MRST)]])-272</f>
        <v>1313</v>
      </c>
      <c r="T274" s="1"/>
      <c r="U274" s="1">
        <f ca="1">IF(ISBLANK(IntComp[[#This Row],[CALENDAR YEAR]]),ROUNDDOWN(IntComp[[#This Row],[Count]]/190,0)+$U$1,IntComp[[#This Row],[CALENDAR YEAR]])</f>
        <v>2027</v>
      </c>
      <c r="V274" s="3">
        <f t="shared" ca="1" si="5"/>
        <v>14452084.5</v>
      </c>
      <c r="W274" s="71"/>
      <c r="X274"/>
    </row>
    <row r="275" spans="1:24">
      <c r="A275" s="1" t="s">
        <v>117</v>
      </c>
      <c r="B275" s="1" t="str">
        <f>VLOOKUP(A275,Data[],2,FALSE)</f>
        <v>MANHATTAN</v>
      </c>
      <c r="C275" s="9" t="s">
        <v>106</v>
      </c>
      <c r="D275" s="9" t="str">
        <f>VLOOKUP(IntComp[[#This Row],[DEVELOPMENT]],Data[],52,FALSE)</f>
        <v>FEDERAL</v>
      </c>
      <c r="E275" s="9" t="str">
        <f>VLOOKUP(IntComp[[#This Row],[DEVELOPMENT]],Data[],8,FALSE)</f>
        <v>Zone 3</v>
      </c>
      <c r="F275" s="9">
        <f>VLOOKUP(IntComp[[#This Row],[DEVELOPMENT]],all[[DEVELOPMENT]:[MRST Ext. Comp. Priority]],13,FALSE)</f>
        <v>4</v>
      </c>
      <c r="G275" s="9">
        <f>IF(VLOOKUP(IntComp[[#This Row],[DEVELOPMENT]],Data[],9,FALSE)=0,5,VLOOKUP(IntComp[[#This Row],[DEVELOPMENT]],Data[],9,FALSE))</f>
        <v>4</v>
      </c>
      <c r="H275" s="9">
        <f>VLOOKUP(IntComp[[#This Row],[DEVELOPMENT]],Data[],7,FALSE)</f>
        <v>574</v>
      </c>
      <c r="I275" s="9">
        <f>VLOOKUP(IntComp[[#This Row],[DEVELOPMENT]],Data[],5,FALSE)</f>
        <v>7</v>
      </c>
      <c r="J275" s="9"/>
      <c r="K275" s="9" t="str">
        <f ca="1">IFERROR(VLOOKUP(IntComp[[#This Row],[DEVELOPMENT]],Data[],4,FALSE),"")</f>
        <v>2020-2021</v>
      </c>
      <c r="L275" s="9" t="str">
        <f ca="1">IF(IntComp[[#This Row],[RAD/PACT]]="","",IF(OR(IntComp[[#This Row],[RAD/PACT]]="2022-2025",IntComp[[#This Row],[RAD/PACT]]=2019,IntComp[[#This Row],[RAD/PACT]]="2020-2021"),"Yes",""))</f>
        <v>Yes</v>
      </c>
      <c r="M275" s="1">
        <f ca="1">IF(VLOOKUP(IntComp[[#This Row],[DEVELOPMENT]],Data[],10,FALSE)=0,-1,DATEDIF(VLOOKUP(IntComp[[#This Row],[DEVELOPMENT]],Data[],12,FALSE),TODAY(),"Y"))</f>
        <v>25</v>
      </c>
      <c r="N275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75" s="1"/>
      <c r="P275" s="1"/>
      <c r="Q275" s="1"/>
      <c r="R275" s="47">
        <f ca="1">(IntComp[[#This Row],['# to Replace (MRST)]]*INDEX(UnitCosts[#All],MATCH(IntComp[[#This Row],[WORK TYPE]],UnitCosts[Work Type],0)+1,2))*(1+((IntComp[[#This Row],[est. Year]]-YEAR(TODAY()))*$R$2))</f>
        <v>0</v>
      </c>
      <c r="S275" s="1">
        <f ca="1">SUM(INDEX(IntComp['# to Replace (MRST)],1):IntComp[[#This Row],['# to Replace (MRST)]])-272</f>
        <v>1313</v>
      </c>
      <c r="T275" s="1"/>
      <c r="U275" s="1">
        <f ca="1">IF(ISBLANK(IntComp[[#This Row],[CALENDAR YEAR]]),ROUNDDOWN(IntComp[[#This Row],[Count]]/190,0)+$U$1,IntComp[[#This Row],[CALENDAR YEAR]])</f>
        <v>2027</v>
      </c>
      <c r="V275" s="3">
        <f t="shared" ca="1" si="5"/>
        <v>14452084.5</v>
      </c>
      <c r="W275" s="71"/>
      <c r="X275"/>
    </row>
    <row r="276" spans="1:24">
      <c r="A276" s="1" t="s">
        <v>69</v>
      </c>
      <c r="B276" s="1" t="str">
        <f>VLOOKUP(A276,Data[],2,FALSE)</f>
        <v>MANHATTAN</v>
      </c>
      <c r="C276" s="9" t="s">
        <v>106</v>
      </c>
      <c r="D276" s="9" t="str">
        <f>VLOOKUP(IntComp[[#This Row],[DEVELOPMENT]],Data[],52,FALSE)</f>
        <v>FEDERAL</v>
      </c>
      <c r="E276" s="9" t="str">
        <f>VLOOKUP(IntComp[[#This Row],[DEVELOPMENT]],Data[],8,FALSE)</f>
        <v>Zone 3</v>
      </c>
      <c r="F276" s="9">
        <f>VLOOKUP(IntComp[[#This Row],[DEVELOPMENT]],all[[DEVELOPMENT]:[MRST Ext. Comp. Priority]],13,FALSE)</f>
        <v>2</v>
      </c>
      <c r="G276" s="9">
        <f>IF(VLOOKUP(IntComp[[#This Row],[DEVELOPMENT]],Data[],9,FALSE)=0,5,VLOOKUP(IntComp[[#This Row],[DEVELOPMENT]],Data[],9,FALSE))</f>
        <v>4</v>
      </c>
      <c r="H276" s="9">
        <f>VLOOKUP(IntComp[[#This Row],[DEVELOPMENT]],Data[],7,FALSE)</f>
        <v>66</v>
      </c>
      <c r="I276" s="9">
        <f>VLOOKUP(IntComp[[#This Row],[DEVELOPMENT]],Data[],5,FALSE)</f>
        <v>1</v>
      </c>
      <c r="J276" s="9"/>
      <c r="K276" s="9" t="str">
        <f ca="1">IFERROR(VLOOKUP(IntComp[[#This Row],[DEVELOPMENT]],Data[],4,FALSE),"")</f>
        <v>2020-2021</v>
      </c>
      <c r="L276" s="9" t="str">
        <f ca="1">IF(IntComp[[#This Row],[RAD/PACT]]="","",IF(OR(IntComp[[#This Row],[RAD/PACT]]="2022-2025",IntComp[[#This Row],[RAD/PACT]]=2019,IntComp[[#This Row],[RAD/PACT]]="2020-2021"),"Yes",""))</f>
        <v>Yes</v>
      </c>
      <c r="M276" s="1">
        <f ca="1">IF(VLOOKUP(IntComp[[#This Row],[DEVELOPMENT]],Data[],10,FALSE)=0,-1,DATEDIF(VLOOKUP(IntComp[[#This Row],[DEVELOPMENT]],Data[],12,FALSE),TODAY(),"Y"))</f>
        <v>24</v>
      </c>
      <c r="N276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76" s="1"/>
      <c r="P276" s="1"/>
      <c r="Q276" s="1"/>
      <c r="R276" s="47">
        <f ca="1">(IntComp[[#This Row],['# to Replace (MRST)]]*INDEX(UnitCosts[#All],MATCH(IntComp[[#This Row],[WORK TYPE]],UnitCosts[Work Type],0)+1,2))*(1+((IntComp[[#This Row],[est. Year]]-YEAR(TODAY()))*$R$2))</f>
        <v>0</v>
      </c>
      <c r="S276" s="1">
        <f ca="1">SUM(INDEX(IntComp['# to Replace (MRST)],1):IntComp[[#This Row],['# to Replace (MRST)]])-272</f>
        <v>1313</v>
      </c>
      <c r="T276" s="1"/>
      <c r="U276" s="1">
        <f ca="1">IF(ISBLANK(IntComp[[#This Row],[CALENDAR YEAR]]),ROUNDDOWN(IntComp[[#This Row],[Count]]/190,0)+$U$1,IntComp[[#This Row],[CALENDAR YEAR]])</f>
        <v>2027</v>
      </c>
      <c r="V276" s="3">
        <f t="shared" ca="1" si="5"/>
        <v>14452084.5</v>
      </c>
      <c r="W276" s="51"/>
      <c r="X276"/>
    </row>
    <row r="277" spans="1:24" hidden="1">
      <c r="A277" s="192" t="s">
        <v>335</v>
      </c>
      <c r="B277" s="197" t="str">
        <f>VLOOKUP(A277,Data[],2,FALSE)</f>
        <v>BROOKLYN</v>
      </c>
      <c r="C277" s="197" t="s">
        <v>106</v>
      </c>
      <c r="D277" s="197" t="str">
        <f>VLOOKUP(IntComp[[#This Row],[DEVELOPMENT]],Data[],52,FALSE)</f>
        <v>MIXED FINANCE/LLC2</v>
      </c>
      <c r="E277" s="201">
        <f>VLOOKUP(IntComp[[#This Row],[DEVELOPMENT]],Data[],8,FALSE)</f>
        <v>0</v>
      </c>
      <c r="F277" s="201">
        <f>VLOOKUP(IntComp[[#This Row],[DEVELOPMENT]],all[[DEVELOPMENT]:[MRST Ext. Comp. Priority]],13,FALSE)</f>
        <v>4</v>
      </c>
      <c r="G277" s="201">
        <f>IF(VLOOKUP(IntComp[[#This Row],[DEVELOPMENT]],Data[],9,FALSE)=0,5,VLOOKUP(IntComp[[#This Row],[DEVELOPMENT]],Data[],9,FALSE))</f>
        <v>5</v>
      </c>
      <c r="H277" s="201">
        <f>VLOOKUP(IntComp[[#This Row],[DEVELOPMENT]],Data[],7,FALSE)</f>
        <v>741</v>
      </c>
      <c r="I277" s="201">
        <f>VLOOKUP(IntComp[[#This Row],[DEVELOPMENT]],Data[],5,FALSE)</f>
        <v>6</v>
      </c>
      <c r="J277" s="201"/>
      <c r="K277" s="201">
        <f ca="1">IFERROR(VLOOKUP(IntComp[[#This Row],[DEVELOPMENT]],Data[],4,FALSE),"")</f>
        <v>2019</v>
      </c>
      <c r="L277" s="201" t="str">
        <f ca="1">IF(IntComp[[#This Row],[RAD/PACT]]="","",IF(OR(IntComp[[#This Row],[RAD/PACT]]="2022-2025",IntComp[[#This Row],[RAD/PACT]]=2019,IntComp[[#This Row],[RAD/PACT]]="2020-2021"),"Yes",""))</f>
        <v>Yes</v>
      </c>
      <c r="M277" s="202">
        <f ca="1">IF(VLOOKUP(IntComp[[#This Row],[DEVELOPMENT]],Data[],10,FALSE)=0,-1,DATEDIF(VLOOKUP(IntComp[[#This Row],[DEVELOPMENT]],Data[],12,FALSE),TODAY(),"Y"))</f>
        <v>7</v>
      </c>
      <c r="N277" s="202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77" s="202"/>
      <c r="P277" s="202"/>
      <c r="Q277" s="202"/>
      <c r="R277" s="198">
        <f ca="1">(IntComp[[#This Row],['# to Replace (MRST)]]*INDEX(UnitCosts[#All],MATCH(IntComp[[#This Row],[WORK TYPE]],UnitCosts[Work Type],0)+1,2))*(1+((IntComp[[#This Row],[est. Year]]-YEAR(TODAY()))*$R$2))</f>
        <v>0</v>
      </c>
      <c r="S277" s="196">
        <f ca="1">SUM(INDEX(IntComp['# to Replace (MRST)],1):IntComp[[#This Row],['# to Replace (MRST)]])-272</f>
        <v>1313</v>
      </c>
      <c r="T277" s="202"/>
      <c r="U277" s="202">
        <f ca="1">IF(ISBLANK(IntComp[[#This Row],[CALENDAR YEAR]]),ROUNDDOWN(IntComp[[#This Row],[Count]]/190,0)+$U$1,IntComp[[#This Row],[CALENDAR YEAR]])</f>
        <v>2027</v>
      </c>
      <c r="V277" s="203">
        <f t="shared" ca="1" si="5"/>
        <v>14452084.5</v>
      </c>
      <c r="W277" s="106"/>
      <c r="X277"/>
    </row>
    <row r="278" spans="1:24">
      <c r="A278" s="1" t="s">
        <v>326</v>
      </c>
      <c r="B278" s="9" t="str">
        <f>VLOOKUP(A278,Data[],2,FALSE)</f>
        <v>BROOKLYN</v>
      </c>
      <c r="C278" s="9" t="s">
        <v>106</v>
      </c>
      <c r="D278" s="9" t="str">
        <f>VLOOKUP(IntComp[[#This Row],[DEVELOPMENT]],Data[],52,FALSE)</f>
        <v>FEDERAL</v>
      </c>
      <c r="E278" s="50">
        <f>VLOOKUP(IntComp[[#This Row],[DEVELOPMENT]],Data[],8,FALSE)</f>
        <v>0</v>
      </c>
      <c r="F278" s="50">
        <f>VLOOKUP(IntComp[[#This Row],[DEVELOPMENT]],all[[DEVELOPMENT]:[MRST Ext. Comp. Priority]],13,FALSE)</f>
        <v>4</v>
      </c>
      <c r="G278" s="50">
        <f>IF(VLOOKUP(IntComp[[#This Row],[DEVELOPMENT]],Data[],9,FALSE)=0,5,VLOOKUP(IntComp[[#This Row],[DEVELOPMENT]],Data[],9,FALSE))</f>
        <v>5</v>
      </c>
      <c r="H278" s="50">
        <f>VLOOKUP(IntComp[[#This Row],[DEVELOPMENT]],Data[],7,FALSE)</f>
        <v>1137</v>
      </c>
      <c r="I278" s="50">
        <f>VLOOKUP(IntComp[[#This Row],[DEVELOPMENT]],Data[],5,FALSE)</f>
        <v>15</v>
      </c>
      <c r="J278" s="50"/>
      <c r="K278" s="50" t="str">
        <f ca="1">IFERROR(VLOOKUP(IntComp[[#This Row],[DEVELOPMENT]],Data[],4,FALSE),"")</f>
        <v>2026+</v>
      </c>
      <c r="L278" s="50" t="str">
        <f ca="1">IF(IntComp[[#This Row],[RAD/PACT]]="","",IF(OR(IntComp[[#This Row],[RAD/PACT]]="2022-2025",IntComp[[#This Row],[RAD/PACT]]=2019,IntComp[[#This Row],[RAD/PACT]]="2020-2021"),"Yes",""))</f>
        <v/>
      </c>
      <c r="M278" s="51">
        <f ca="1">IF(VLOOKUP(IntComp[[#This Row],[DEVELOPMENT]],Data[],10,FALSE)=0,-1,DATEDIF(VLOOKUP(IntComp[[#This Row],[DEVELOPMENT]],Data[],12,FALSE),TODAY(),"Y"))</f>
        <v>15</v>
      </c>
      <c r="N278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24</v>
      </c>
      <c r="O278" s="51"/>
      <c r="P278" s="51"/>
      <c r="Q278" s="51"/>
      <c r="R278" s="47">
        <f ca="1">(IntComp[[#This Row],['# to Replace (MRST)]]*INDEX(UnitCosts[#All],MATCH(IntComp[[#This Row],[WORK TYPE]],UnitCosts[Work Type],0)+1,2))*(1+((IntComp[[#This Row],[est. Year]]-YEAR(TODAY()))*$R$2))</f>
        <v>1938048</v>
      </c>
      <c r="S278" s="1">
        <f ca="1">SUM(INDEX(IntComp['# to Replace (MRST)],1):IntComp[[#This Row],['# to Replace (MRST)]])-272</f>
        <v>1337</v>
      </c>
      <c r="T278" s="51"/>
      <c r="U278" s="51">
        <f ca="1">IF(ISBLANK(IntComp[[#This Row],[CALENDAR YEAR]]),ROUNDDOWN(IntComp[[#This Row],[Count]]/190,0)+$U$1,IntComp[[#This Row],[CALENDAR YEAR]])</f>
        <v>2028</v>
      </c>
      <c r="V278" s="85">
        <f t="shared" ca="1" si="5"/>
        <v>1938048</v>
      </c>
      <c r="W278" s="71"/>
      <c r="X278"/>
    </row>
    <row r="279" spans="1:24">
      <c r="A279" s="1" t="s">
        <v>204</v>
      </c>
      <c r="B279" s="9" t="str">
        <f>VLOOKUP(A279,Data[],2,FALSE)</f>
        <v>BRONX</v>
      </c>
      <c r="C279" s="9" t="s">
        <v>106</v>
      </c>
      <c r="D279" s="9" t="str">
        <f>VLOOKUP(IntComp[[#This Row],[DEVELOPMENT]],Data[],52,FALSE)</f>
        <v>FEDERAL</v>
      </c>
      <c r="E279" s="50" t="str">
        <f>VLOOKUP(IntComp[[#This Row],[DEVELOPMENT]],Data[],8,FALSE)</f>
        <v>Zone 4</v>
      </c>
      <c r="F279" s="50">
        <f>VLOOKUP(IntComp[[#This Row],[DEVELOPMENT]],all[[DEVELOPMENT]:[MRST Ext. Comp. Priority]],13,FALSE)</f>
        <v>4</v>
      </c>
      <c r="G279" s="50">
        <f>IF(VLOOKUP(IntComp[[#This Row],[DEVELOPMENT]],Data[],9,FALSE)=0,5,VLOOKUP(IntComp[[#This Row],[DEVELOPMENT]],Data[],9,FALSE))</f>
        <v>5</v>
      </c>
      <c r="H279" s="50">
        <f>VLOOKUP(IntComp[[#This Row],[DEVELOPMENT]],Data[],7,FALSE)</f>
        <v>1348</v>
      </c>
      <c r="I279" s="50">
        <f>VLOOKUP(IntComp[[#This Row],[DEVELOPMENT]],Data[],5,FALSE)</f>
        <v>15</v>
      </c>
      <c r="J279" s="50"/>
      <c r="K279" s="50" t="str">
        <f ca="1">IFERROR(VLOOKUP(IntComp[[#This Row],[DEVELOPMENT]],Data[],4,FALSE),"")</f>
        <v>2026+</v>
      </c>
      <c r="L279" s="50" t="str">
        <f ca="1">IF(IntComp[[#This Row],[RAD/PACT]]="","",IF(OR(IntComp[[#This Row],[RAD/PACT]]="2022-2025",IntComp[[#This Row],[RAD/PACT]]=2019,IntComp[[#This Row],[RAD/PACT]]="2020-2021"),"Yes",""))</f>
        <v/>
      </c>
      <c r="M279" s="51">
        <f ca="1">IF(VLOOKUP(IntComp[[#This Row],[DEVELOPMENT]],Data[],10,FALSE)=0,-1,DATEDIF(VLOOKUP(IntComp[[#This Row],[DEVELOPMENT]],Data[],12,FALSE),TODAY(),"Y"))</f>
        <v>14</v>
      </c>
      <c r="N27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15</v>
      </c>
      <c r="O279" s="51"/>
      <c r="P279" s="51"/>
      <c r="Q279" s="51"/>
      <c r="R279" s="47">
        <f ca="1">(IntComp[[#This Row],['# to Replace (MRST)]]*INDEX(UnitCosts[#All],MATCH(IntComp[[#This Row],[WORK TYPE]],UnitCosts[Work Type],0)+1,2))*(1+((IntComp[[#This Row],[est. Year]]-YEAR(TODAY()))*$R$2))</f>
        <v>1211280</v>
      </c>
      <c r="S279" s="1">
        <f ca="1">SUM(INDEX(IntComp['# to Replace (MRST)],1):IntComp[[#This Row],['# to Replace (MRST)]])-272</f>
        <v>1352</v>
      </c>
      <c r="T279" s="51"/>
      <c r="U279" s="51">
        <f ca="1">IF(ISBLANK(IntComp[[#This Row],[CALENDAR YEAR]]),ROUNDDOWN(IntComp[[#This Row],[Count]]/190,0)+$U$1,IntComp[[#This Row],[CALENDAR YEAR]])</f>
        <v>2028</v>
      </c>
      <c r="V279" s="85">
        <f t="shared" ca="1" si="5"/>
        <v>3149328</v>
      </c>
      <c r="W279" s="71"/>
      <c r="X279"/>
    </row>
    <row r="280" spans="1:24">
      <c r="A280" s="1" t="s">
        <v>338</v>
      </c>
      <c r="B280" s="9" t="str">
        <f>VLOOKUP(A280,Data[],2,FALSE)</f>
        <v>QUEENS</v>
      </c>
      <c r="C280" s="9" t="s">
        <v>106</v>
      </c>
      <c r="D280" s="9" t="str">
        <f>VLOOKUP(IntComp[[#This Row],[DEVELOPMENT]],Data[],52,FALSE)</f>
        <v>FEDERAL</v>
      </c>
      <c r="E280" s="50">
        <f>VLOOKUP(IntComp[[#This Row],[DEVELOPMENT]],Data[],8,FALSE)</f>
        <v>0</v>
      </c>
      <c r="F280" s="50">
        <f>VLOOKUP(IntComp[[#This Row],[DEVELOPMENT]],all[[DEVELOPMENT]:[MRST Ext. Comp. Priority]],13,FALSE)</f>
        <v>4</v>
      </c>
      <c r="G280" s="50">
        <f>IF(VLOOKUP(IntComp[[#This Row],[DEVELOPMENT]],Data[],9,FALSE)=0,5,VLOOKUP(IntComp[[#This Row],[DEVELOPMENT]],Data[],9,FALSE))</f>
        <v>5</v>
      </c>
      <c r="H280" s="50">
        <f>VLOOKUP(IntComp[[#This Row],[DEVELOPMENT]],Data[],7,FALSE)</f>
        <v>423</v>
      </c>
      <c r="I280" s="50">
        <f>VLOOKUP(IntComp[[#This Row],[DEVELOPMENT]],Data[],5,FALSE)</f>
        <v>4</v>
      </c>
      <c r="J280" s="50"/>
      <c r="K280" s="50" t="str">
        <f ca="1">IFERROR(VLOOKUP(IntComp[[#This Row],[DEVELOPMENT]],Data[],4,FALSE),"")</f>
        <v/>
      </c>
      <c r="L280" s="50" t="str">
        <f ca="1">IF(IntComp[[#This Row],[RAD/PACT]]="","",IF(OR(IntComp[[#This Row],[RAD/PACT]]="2022-2025",IntComp[[#This Row],[RAD/PACT]]=2019,IntComp[[#This Row],[RAD/PACT]]="2020-2021"),"Yes",""))</f>
        <v/>
      </c>
      <c r="M280" s="51">
        <f ca="1">IF(VLOOKUP(IntComp[[#This Row],[DEVELOPMENT]],Data[],10,FALSE)=0,-1,DATEDIF(VLOOKUP(IntComp[[#This Row],[DEVELOPMENT]],Data[],12,FALSE),TODAY(),"Y"))</f>
        <v>14</v>
      </c>
      <c r="N28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</v>
      </c>
      <c r="O280" s="51"/>
      <c r="P280" s="51"/>
      <c r="Q280" s="51"/>
      <c r="R280" s="47">
        <f ca="1">(IntComp[[#This Row],['# to Replace (MRST)]]*INDEX(UnitCosts[#All],MATCH(IntComp[[#This Row],[WORK TYPE]],UnitCosts[Work Type],0)+1,2))*(1+((IntComp[[#This Row],[est. Year]]-YEAR(TODAY()))*$R$2))</f>
        <v>323008</v>
      </c>
      <c r="S280" s="1">
        <f ca="1">SUM(INDEX(IntComp['# to Replace (MRST)],1):IntComp[[#This Row],['# to Replace (MRST)]])-272</f>
        <v>1356</v>
      </c>
      <c r="T280" s="51"/>
      <c r="U280" s="51">
        <f ca="1">IF(ISBLANK(IntComp[[#This Row],[CALENDAR YEAR]]),ROUNDDOWN(IntComp[[#This Row],[Count]]/190,0)+$U$1,IntComp[[#This Row],[CALENDAR YEAR]])</f>
        <v>2028</v>
      </c>
      <c r="V280" s="85">
        <f t="shared" ca="1" si="5"/>
        <v>3472336</v>
      </c>
      <c r="W280" s="71"/>
      <c r="X280"/>
    </row>
    <row r="281" spans="1:24">
      <c r="A281" s="9" t="s">
        <v>34</v>
      </c>
      <c r="B281" s="1" t="str">
        <f>VLOOKUP(A281,Data[],2,FALSE)</f>
        <v>BRONX</v>
      </c>
      <c r="C281" s="9" t="s">
        <v>106</v>
      </c>
      <c r="D281" s="9" t="str">
        <f>VLOOKUP(IntComp[[#This Row],[DEVELOPMENT]],Data[],52,FALSE)</f>
        <v>FEDERAL</v>
      </c>
      <c r="E281" s="9" t="str">
        <f>VLOOKUP(IntComp[[#This Row],[DEVELOPMENT]],Data[],8,FALSE)</f>
        <v>Zone 1</v>
      </c>
      <c r="F281" s="9">
        <f>VLOOKUP(IntComp[[#This Row],[DEVELOPMENT]],all[[DEVELOPMENT]:[MRST Ext. Comp. Priority]],13,FALSE)</f>
        <v>2</v>
      </c>
      <c r="G281" s="9">
        <f>IF(VLOOKUP(IntComp[[#This Row],[DEVELOPMENT]],Data[],9,FALSE)=0,5,VLOOKUP(IntComp[[#This Row],[DEVELOPMENT]],Data[],9,FALSE))</f>
        <v>4</v>
      </c>
      <c r="H281" s="9">
        <f>VLOOKUP(IntComp[[#This Row],[DEVELOPMENT]],Data[],7,FALSE)</f>
        <v>147</v>
      </c>
      <c r="I281" s="9">
        <f>VLOOKUP(IntComp[[#This Row],[DEVELOPMENT]],Data[],5,FALSE)</f>
        <v>9</v>
      </c>
      <c r="J281" s="9"/>
      <c r="K281" s="9" t="str">
        <f ca="1">IFERROR(VLOOKUP(IntComp[[#This Row],[DEVELOPMENT]],Data[],4,FALSE),"")</f>
        <v>2022-2025</v>
      </c>
      <c r="L281" s="9" t="str">
        <f ca="1">IF(IntComp[[#This Row],[RAD/PACT]]="","",IF(OR(IntComp[[#This Row],[RAD/PACT]]="2022-2025",IntComp[[#This Row],[RAD/PACT]]=2019,IntComp[[#This Row],[RAD/PACT]]="2020-2021"),"Yes",""))</f>
        <v>Yes</v>
      </c>
      <c r="M281" s="1">
        <f ca="1">IF(VLOOKUP(IntComp[[#This Row],[DEVELOPMENT]],Data[],10,FALSE)=0,-1,DATEDIF(VLOOKUP(IntComp[[#This Row],[DEVELOPMENT]],Data[],12,FALSE),TODAY(),"Y"))</f>
        <v>24</v>
      </c>
      <c r="N281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81" s="1"/>
      <c r="P281" s="1"/>
      <c r="Q281" s="1"/>
      <c r="R281" s="47">
        <f ca="1">(IntComp[[#This Row],['# to Replace (MRST)]]*INDEX(UnitCosts[#All],MATCH(IntComp[[#This Row],[WORK TYPE]],UnitCosts[Work Type],0)+1,2))*(1+((IntComp[[#This Row],[est. Year]]-YEAR(TODAY()))*$R$2))</f>
        <v>0</v>
      </c>
      <c r="S281" s="1">
        <f ca="1">SUM(INDEX(IntComp['# to Replace (MRST)],1):IntComp[[#This Row],['# to Replace (MRST)]])-272</f>
        <v>1356</v>
      </c>
      <c r="T281" s="1"/>
      <c r="U281" s="1">
        <f ca="1">IF(ISBLANK(IntComp[[#This Row],[CALENDAR YEAR]]),ROUNDDOWN(IntComp[[#This Row],[Count]]/190,0)+$U$1,IntComp[[#This Row],[CALENDAR YEAR]])</f>
        <v>2028</v>
      </c>
      <c r="V281" s="3">
        <f t="shared" ca="1" si="5"/>
        <v>3472336</v>
      </c>
      <c r="W281" s="51"/>
      <c r="X281"/>
    </row>
    <row r="282" spans="1:24">
      <c r="A282" s="9" t="s">
        <v>144</v>
      </c>
      <c r="B282" s="1" t="str">
        <f>VLOOKUP(A282,Data[],2,FALSE)</f>
        <v>BRONX</v>
      </c>
      <c r="C282" s="9" t="s">
        <v>106</v>
      </c>
      <c r="D282" s="9" t="str">
        <f>VLOOKUP(IntComp[[#This Row],[DEVELOPMENT]],Data[],52,FALSE)</f>
        <v>FEDERAL</v>
      </c>
      <c r="E282" s="9" t="str">
        <f>VLOOKUP(IntComp[[#This Row],[DEVELOPMENT]],Data[],8,FALSE)</f>
        <v>Zone 1</v>
      </c>
      <c r="F282" s="9">
        <f>VLOOKUP(IntComp[[#This Row],[DEVELOPMENT]],all[[DEVELOPMENT]:[MRST Ext. Comp. Priority]],13,FALSE)</f>
        <v>2</v>
      </c>
      <c r="G282" s="9">
        <f>IF(VLOOKUP(IntComp[[#This Row],[DEVELOPMENT]],Data[],9,FALSE)=0,5,VLOOKUP(IntComp[[#This Row],[DEVELOPMENT]],Data[],9,FALSE))</f>
        <v>4</v>
      </c>
      <c r="H282" s="9">
        <f>VLOOKUP(IntComp[[#This Row],[DEVELOPMENT]],Data[],7,FALSE)</f>
        <v>129</v>
      </c>
      <c r="I282" s="9">
        <f>VLOOKUP(IntComp[[#This Row],[DEVELOPMENT]],Data[],5,FALSE)</f>
        <v>3</v>
      </c>
      <c r="J282" s="9"/>
      <c r="K282" s="9" t="str">
        <f ca="1">IFERROR(VLOOKUP(IntComp[[#This Row],[DEVELOPMENT]],Data[],4,FALSE),"")</f>
        <v>2022-2025</v>
      </c>
      <c r="L282" s="9" t="str">
        <f ca="1">IF(IntComp[[#This Row],[RAD/PACT]]="","",IF(OR(IntComp[[#This Row],[RAD/PACT]]="2022-2025",IntComp[[#This Row],[RAD/PACT]]=2019,IntComp[[#This Row],[RAD/PACT]]="2020-2021"),"Yes",""))</f>
        <v>Yes</v>
      </c>
      <c r="M282" s="1">
        <f ca="1">IF(VLOOKUP(IntComp[[#This Row],[DEVELOPMENT]],Data[],10,FALSE)=0,-1,DATEDIF(VLOOKUP(IntComp[[#This Row],[DEVELOPMENT]],Data[],12,FALSE),TODAY(),"Y"))</f>
        <v>24</v>
      </c>
      <c r="N282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82" s="1"/>
      <c r="P282" s="1"/>
      <c r="Q282" s="1"/>
      <c r="R282" s="47">
        <f ca="1">(IntComp[[#This Row],['# to Replace (MRST)]]*INDEX(UnitCosts[#All],MATCH(IntComp[[#This Row],[WORK TYPE]],UnitCosts[Work Type],0)+1,2))*(1+((IntComp[[#This Row],[est. Year]]-YEAR(TODAY()))*$R$2))</f>
        <v>0</v>
      </c>
      <c r="S282" s="1">
        <f ca="1">SUM(INDEX(IntComp['# to Replace (MRST)],1):IntComp[[#This Row],['# to Replace (MRST)]])-272</f>
        <v>1356</v>
      </c>
      <c r="T282" s="1"/>
      <c r="U282" s="1">
        <f ca="1">IF(ISBLANK(IntComp[[#This Row],[CALENDAR YEAR]]),ROUNDDOWN(IntComp[[#This Row],[Count]]/190,0)+$U$1,IntComp[[#This Row],[CALENDAR YEAR]])</f>
        <v>2028</v>
      </c>
      <c r="V282" s="3">
        <f t="shared" ca="1" si="5"/>
        <v>3472336</v>
      </c>
      <c r="W282" s="51"/>
      <c r="X282"/>
    </row>
    <row r="283" spans="1:24">
      <c r="A283" s="9" t="s">
        <v>149</v>
      </c>
      <c r="B283" s="1" t="str">
        <f>VLOOKUP(A283,Data[],2,FALSE)</f>
        <v>BRONX</v>
      </c>
      <c r="C283" s="9" t="s">
        <v>106</v>
      </c>
      <c r="D283" s="9" t="str">
        <f>VLOOKUP(IntComp[[#This Row],[DEVELOPMENT]],Data[],52,FALSE)</f>
        <v>FEDERAL</v>
      </c>
      <c r="E283" s="9" t="str">
        <f>VLOOKUP(IntComp[[#This Row],[DEVELOPMENT]],Data[],8,FALSE)</f>
        <v>Zone 1</v>
      </c>
      <c r="F283" s="9">
        <f>VLOOKUP(IntComp[[#This Row],[DEVELOPMENT]],all[[DEVELOPMENT]:[MRST Ext. Comp. Priority]],13,FALSE)</f>
        <v>3</v>
      </c>
      <c r="G283" s="9">
        <f>IF(VLOOKUP(IntComp[[#This Row],[DEVELOPMENT]],Data[],9,FALSE)=0,5,VLOOKUP(IntComp[[#This Row],[DEVELOPMENT]],Data[],9,FALSE))</f>
        <v>4</v>
      </c>
      <c r="H283" s="9">
        <f>VLOOKUP(IntComp[[#This Row],[DEVELOPMENT]],Data[],7,FALSE)</f>
        <v>90</v>
      </c>
      <c r="I283" s="9">
        <f>VLOOKUP(IntComp[[#This Row],[DEVELOPMENT]],Data[],5,FALSE)</f>
        <v>1</v>
      </c>
      <c r="J283" s="9"/>
      <c r="K283" s="9" t="str">
        <f ca="1">IFERROR(VLOOKUP(IntComp[[#This Row],[DEVELOPMENT]],Data[],4,FALSE),"")</f>
        <v>2022-2025</v>
      </c>
      <c r="L283" s="9" t="str">
        <f ca="1">IF(IntComp[[#This Row],[RAD/PACT]]="","",IF(OR(IntComp[[#This Row],[RAD/PACT]]="2022-2025",IntComp[[#This Row],[RAD/PACT]]=2019,IntComp[[#This Row],[RAD/PACT]]="2020-2021"),"Yes",""))</f>
        <v>Yes</v>
      </c>
      <c r="M283" s="1">
        <f ca="1">IF(VLOOKUP(IntComp[[#This Row],[DEVELOPMENT]],Data[],10,FALSE)=0,-1,DATEDIF(VLOOKUP(IntComp[[#This Row],[DEVELOPMENT]],Data[],12,FALSE),TODAY(),"Y"))</f>
        <v>24</v>
      </c>
      <c r="N283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83" s="1"/>
      <c r="P283" s="1"/>
      <c r="Q283" s="1"/>
      <c r="R283" s="47">
        <f ca="1">(IntComp[[#This Row],['# to Replace (MRST)]]*INDEX(UnitCosts[#All],MATCH(IntComp[[#This Row],[WORK TYPE]],UnitCosts[Work Type],0)+1,2))*(1+((IntComp[[#This Row],[est. Year]]-YEAR(TODAY()))*$R$2))</f>
        <v>0</v>
      </c>
      <c r="S283" s="1">
        <f ca="1">SUM(INDEX(IntComp['# to Replace (MRST)],1):IntComp[[#This Row],['# to Replace (MRST)]])-272</f>
        <v>1356</v>
      </c>
      <c r="T283" s="1"/>
      <c r="U283" s="1">
        <f ca="1">IF(ISBLANK(IntComp[[#This Row],[CALENDAR YEAR]]),ROUNDDOWN(IntComp[[#This Row],[Count]]/190,0)+$U$1,IntComp[[#This Row],[CALENDAR YEAR]])</f>
        <v>2028</v>
      </c>
      <c r="V283" s="3">
        <f t="shared" ca="1" si="5"/>
        <v>3472336</v>
      </c>
      <c r="W283" s="71"/>
      <c r="X283"/>
    </row>
    <row r="284" spans="1:24">
      <c r="A284" s="1" t="s">
        <v>276</v>
      </c>
      <c r="B284" s="9" t="str">
        <f>VLOOKUP(A284,Data[],2,FALSE)</f>
        <v>BRONX</v>
      </c>
      <c r="C284" s="9" t="s">
        <v>106</v>
      </c>
      <c r="D284" s="9" t="str">
        <f>VLOOKUP(IntComp[[#This Row],[DEVELOPMENT]],Data[],52,FALSE)</f>
        <v>FEDERAL</v>
      </c>
      <c r="E284" s="50">
        <f>VLOOKUP(IntComp[[#This Row],[DEVELOPMENT]],Data[],8,FALSE)</f>
        <v>0</v>
      </c>
      <c r="F284" s="50">
        <f>VLOOKUP(IntComp[[#This Row],[DEVELOPMENT]],all[[DEVELOPMENT]:[MRST Ext. Comp. Priority]],13,FALSE)</f>
        <v>4</v>
      </c>
      <c r="G284" s="50">
        <f>IF(VLOOKUP(IntComp[[#This Row],[DEVELOPMENT]],Data[],9,FALSE)=0,5,VLOOKUP(IntComp[[#This Row],[DEVELOPMENT]],Data[],9,FALSE))</f>
        <v>5</v>
      </c>
      <c r="H284" s="50">
        <f>VLOOKUP(IntComp[[#This Row],[DEVELOPMENT]],Data[],7,FALSE)</f>
        <v>342</v>
      </c>
      <c r="I284" s="50">
        <f>VLOOKUP(IntComp[[#This Row],[DEVELOPMENT]],Data[],5,FALSE)</f>
        <v>1</v>
      </c>
      <c r="J284" s="50"/>
      <c r="K284" s="50" t="str">
        <f ca="1">IFERROR(VLOOKUP(IntComp[[#This Row],[DEVELOPMENT]],Data[],4,FALSE),"")</f>
        <v/>
      </c>
      <c r="L284" s="50" t="str">
        <f ca="1">IF(IntComp[[#This Row],[RAD/PACT]]="","",IF(OR(IntComp[[#This Row],[RAD/PACT]]="2022-2025",IntComp[[#This Row],[RAD/PACT]]=2019,IntComp[[#This Row],[RAD/PACT]]="2020-2021"),"Yes",""))</f>
        <v/>
      </c>
      <c r="M284" s="51">
        <f ca="1">IF(VLOOKUP(IntComp[[#This Row],[DEVELOPMENT]],Data[],10,FALSE)=0,-1,DATEDIF(VLOOKUP(IntComp[[#This Row],[DEVELOPMENT]],Data[],12,FALSE),TODAY(),"Y"))</f>
        <v>14</v>
      </c>
      <c r="N28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284" s="51"/>
      <c r="P284" s="51"/>
      <c r="Q284" s="51"/>
      <c r="R284" s="47">
        <f ca="1">(IntComp[[#This Row],['# to Replace (MRST)]]*INDEX(UnitCosts[#All],MATCH(IntComp[[#This Row],[WORK TYPE]],UnitCosts[Work Type],0)+1,2))*(1+((IntComp[[#This Row],[est. Year]]-YEAR(TODAY()))*$R$2))</f>
        <v>161504</v>
      </c>
      <c r="S284" s="1">
        <f ca="1">SUM(INDEX(IntComp['# to Replace (MRST)],1):IntComp[[#This Row],['# to Replace (MRST)]])-272</f>
        <v>1358</v>
      </c>
      <c r="T284" s="51"/>
      <c r="U284" s="51">
        <f ca="1">IF(ISBLANK(IntComp[[#This Row],[CALENDAR YEAR]]),ROUNDDOWN(IntComp[[#This Row],[Count]]/190,0)+$U$1,IntComp[[#This Row],[CALENDAR YEAR]])</f>
        <v>2028</v>
      </c>
      <c r="V284" s="85">
        <f t="shared" ca="1" si="5"/>
        <v>3633840</v>
      </c>
      <c r="W284" s="71"/>
      <c r="X284"/>
    </row>
    <row r="285" spans="1:24">
      <c r="A285" s="1" t="s">
        <v>222</v>
      </c>
      <c r="B285" s="9" t="str">
        <f>VLOOKUP(A285,Data[],2,FALSE)</f>
        <v>BRONX</v>
      </c>
      <c r="C285" s="9" t="s">
        <v>106</v>
      </c>
      <c r="D285" s="9" t="str">
        <f>VLOOKUP(IntComp[[#This Row],[DEVELOPMENT]],Data[],52,FALSE)</f>
        <v>FEDERAL</v>
      </c>
      <c r="E285" s="50" t="str">
        <f>VLOOKUP(IntComp[[#This Row],[DEVELOPMENT]],Data[],8,FALSE)</f>
        <v>Zone 4</v>
      </c>
      <c r="F285" s="50">
        <f>VLOOKUP(IntComp[[#This Row],[DEVELOPMENT]],all[[DEVELOPMENT]:[MRST Ext. Comp. Priority]],13,FALSE)</f>
        <v>4</v>
      </c>
      <c r="G285" s="50">
        <f>IF(VLOOKUP(IntComp[[#This Row],[DEVELOPMENT]],Data[],9,FALSE)=0,5,VLOOKUP(IntComp[[#This Row],[DEVELOPMENT]],Data[],9,FALSE))</f>
        <v>5</v>
      </c>
      <c r="H285" s="50">
        <f>VLOOKUP(IntComp[[#This Row],[DEVELOPMENT]],Data[],7,FALSE)</f>
        <v>615</v>
      </c>
      <c r="I285" s="50">
        <f>VLOOKUP(IntComp[[#This Row],[DEVELOPMENT]],Data[],5,FALSE)</f>
        <v>5</v>
      </c>
      <c r="J285" s="50"/>
      <c r="K285" s="50" t="str">
        <f ca="1">IFERROR(VLOOKUP(IntComp[[#This Row],[DEVELOPMENT]],Data[],4,FALSE),"")</f>
        <v>2026+</v>
      </c>
      <c r="L285" s="50" t="str">
        <f ca="1">IF(IntComp[[#This Row],[RAD/PACT]]="","",IF(OR(IntComp[[#This Row],[RAD/PACT]]="2022-2025",IntComp[[#This Row],[RAD/PACT]]=2019,IntComp[[#This Row],[RAD/PACT]]="2020-2021"),"Yes",""))</f>
        <v/>
      </c>
      <c r="M285" s="51">
        <f ca="1">IF(VLOOKUP(IntComp[[#This Row],[DEVELOPMENT]],Data[],10,FALSE)=0,-1,DATEDIF(VLOOKUP(IntComp[[#This Row],[DEVELOPMENT]],Data[],12,FALSE),TODAY(),"Y"))</f>
        <v>14</v>
      </c>
      <c r="N28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5</v>
      </c>
      <c r="O285" s="51"/>
      <c r="P285" s="51"/>
      <c r="Q285" s="51"/>
      <c r="R285" s="47">
        <f ca="1">(IntComp[[#This Row],['# to Replace (MRST)]]*INDEX(UnitCosts[#All],MATCH(IntComp[[#This Row],[WORK TYPE]],UnitCosts[Work Type],0)+1,2))*(1+((IntComp[[#This Row],[est. Year]]-YEAR(TODAY()))*$R$2))</f>
        <v>403760</v>
      </c>
      <c r="S285" s="1">
        <f ca="1">SUM(INDEX(IntComp['# to Replace (MRST)],1):IntComp[[#This Row],['# to Replace (MRST)]])-272</f>
        <v>1363</v>
      </c>
      <c r="T285" s="51"/>
      <c r="U285" s="51">
        <f ca="1">IF(ISBLANK(IntComp[[#This Row],[CALENDAR YEAR]]),ROUNDDOWN(IntComp[[#This Row],[Count]]/190,0)+$U$1,IntComp[[#This Row],[CALENDAR YEAR]])</f>
        <v>2028</v>
      </c>
      <c r="V285" s="85">
        <f t="shared" ca="1" si="5"/>
        <v>4037600</v>
      </c>
      <c r="W285" s="71"/>
      <c r="X285"/>
    </row>
    <row r="286" spans="1:24">
      <c r="A286" s="1" t="s">
        <v>298</v>
      </c>
      <c r="B286" s="1" t="str">
        <f>VLOOKUP(A286,Data[],2,FALSE)</f>
        <v>BROOKLYN</v>
      </c>
      <c r="C286" s="9" t="s">
        <v>106</v>
      </c>
      <c r="D286" s="9" t="str">
        <f>VLOOKUP(IntComp[[#This Row],[DEVELOPMENT]],Data[],52,FALSE)</f>
        <v>FEDERAL</v>
      </c>
      <c r="E286" s="50" t="str">
        <f>VLOOKUP(IntComp[[#This Row],[DEVELOPMENT]],Data[],8,FALSE)</f>
        <v>Zone 1</v>
      </c>
      <c r="F286" s="50">
        <f>VLOOKUP(IntComp[[#This Row],[DEVELOPMENT]],all[[DEVELOPMENT]:[MRST Ext. Comp. Priority]],13,FALSE)</f>
        <v>2</v>
      </c>
      <c r="G286" s="9">
        <f>IF(VLOOKUP(IntComp[[#This Row],[DEVELOPMENT]],Data[],9,FALSE)=0,5,VLOOKUP(IntComp[[#This Row],[DEVELOPMENT]],Data[],9,FALSE))</f>
        <v>4</v>
      </c>
      <c r="H286" s="50">
        <f>VLOOKUP(IntComp[[#This Row],[DEVELOPMENT]],Data[],7,FALSE)</f>
        <v>369</v>
      </c>
      <c r="I286" s="50">
        <f>VLOOKUP(IntComp[[#This Row],[DEVELOPMENT]],Data[],5,FALSE)</f>
        <v>11</v>
      </c>
      <c r="J286" s="9"/>
      <c r="K286" s="50">
        <f ca="1">IFERROR(VLOOKUP(IntComp[[#This Row],[DEVELOPMENT]],Data[],4,FALSE),"")</f>
        <v>2019</v>
      </c>
      <c r="L286" s="50" t="str">
        <f ca="1">IF(IntComp[[#This Row],[RAD/PACT]]="","",IF(OR(IntComp[[#This Row],[RAD/PACT]]="2022-2025",IntComp[[#This Row],[RAD/PACT]]=2019,IntComp[[#This Row],[RAD/PACT]]="2020-2021"),"Yes",""))</f>
        <v>Yes</v>
      </c>
      <c r="M286" s="51">
        <f ca="1">IF(VLOOKUP(IntComp[[#This Row],[DEVELOPMENT]],Data[],10,FALSE)=0,-1,DATEDIF(VLOOKUP(IntComp[[#This Row],[DEVELOPMENT]],Data[],12,FALSE),TODAY(),"Y"))</f>
        <v>21</v>
      </c>
      <c r="N28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86" s="51"/>
      <c r="P286" s="51"/>
      <c r="Q286" s="51"/>
      <c r="R286" s="47">
        <f ca="1">(IntComp[[#This Row],['# to Replace (MRST)]]*INDEX(UnitCosts[#All],MATCH(IntComp[[#This Row],[WORK TYPE]],UnitCosts[Work Type],0)+1,2))*(1+((IntComp[[#This Row],[est. Year]]-YEAR(TODAY()))*$R$2))</f>
        <v>0</v>
      </c>
      <c r="S286" s="1">
        <f ca="1">SUM(INDEX(IntComp['# to Replace (MRST)],1):IntComp[[#This Row],['# to Replace (MRST)]])-272</f>
        <v>1363</v>
      </c>
      <c r="T286" s="51"/>
      <c r="U286" s="51">
        <f ca="1">IF(ISBLANK(IntComp[[#This Row],[CALENDAR YEAR]]),ROUNDDOWN(IntComp[[#This Row],[Count]]/190,0)+$U$1,IntComp[[#This Row],[CALENDAR YEAR]])</f>
        <v>2028</v>
      </c>
      <c r="V286" s="3">
        <f t="shared" ca="1" si="5"/>
        <v>4037600</v>
      </c>
      <c r="W286" s="51"/>
      <c r="X286"/>
    </row>
    <row r="287" spans="1:24">
      <c r="A287" s="1" t="s">
        <v>351</v>
      </c>
      <c r="B287" s="9" t="str">
        <f>VLOOKUP(A287,Data[],2,FALSE)</f>
        <v>BROOKLYN</v>
      </c>
      <c r="C287" s="9" t="s">
        <v>106</v>
      </c>
      <c r="D287" s="9" t="str">
        <f>VLOOKUP(IntComp[[#This Row],[DEVELOPMENT]],Data[],52,FALSE)</f>
        <v>FEDERAL</v>
      </c>
      <c r="E287" s="50">
        <f>VLOOKUP(IntComp[[#This Row],[DEVELOPMENT]],Data[],8,FALSE)</f>
        <v>0</v>
      </c>
      <c r="F287" s="50">
        <f>VLOOKUP(IntComp[[#This Row],[DEVELOPMENT]],all[[DEVELOPMENT]:[MRST Ext. Comp. Priority]],13,FALSE)</f>
        <v>4</v>
      </c>
      <c r="G287" s="50">
        <f>IF(VLOOKUP(IntComp[[#This Row],[DEVELOPMENT]],Data[],9,FALSE)=0,5,VLOOKUP(IntComp[[#This Row],[DEVELOPMENT]],Data[],9,FALSE))</f>
        <v>5</v>
      </c>
      <c r="H287" s="50">
        <f>VLOOKUP(IntComp[[#This Row],[DEVELOPMENT]],Data[],7,FALSE)</f>
        <v>570</v>
      </c>
      <c r="I287" s="50">
        <f>VLOOKUP(IntComp[[#This Row],[DEVELOPMENT]],Data[],5,FALSE)</f>
        <v>6</v>
      </c>
      <c r="J287" s="50"/>
      <c r="K287" s="50" t="str">
        <f ca="1">IFERROR(VLOOKUP(IntComp[[#This Row],[DEVELOPMENT]],Data[],4,FALSE),"")</f>
        <v>2026+</v>
      </c>
      <c r="L287" s="50" t="str">
        <f ca="1">IF(IntComp[[#This Row],[RAD/PACT]]="","",IF(OR(IntComp[[#This Row],[RAD/PACT]]="2022-2025",IntComp[[#This Row],[RAD/PACT]]=2019,IntComp[[#This Row],[RAD/PACT]]="2020-2021"),"Yes",""))</f>
        <v/>
      </c>
      <c r="M287" s="51">
        <f ca="1">IF(VLOOKUP(IntComp[[#This Row],[DEVELOPMENT]],Data[],10,FALSE)=0,-1,DATEDIF(VLOOKUP(IntComp[[#This Row],[DEVELOPMENT]],Data[],12,FALSE),TODAY(),"Y"))</f>
        <v>8</v>
      </c>
      <c r="N28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6</v>
      </c>
      <c r="O287" s="51"/>
      <c r="P287" s="51"/>
      <c r="Q287" s="51"/>
      <c r="R287" s="47">
        <f ca="1">(IntComp[[#This Row],['# to Replace (MRST)]]*INDEX(UnitCosts[#All],MATCH(IntComp[[#This Row],[WORK TYPE]],UnitCosts[Work Type],0)+1,2))*(1+((IntComp[[#This Row],[est. Year]]-YEAR(TODAY()))*$R$2))</f>
        <v>484512</v>
      </c>
      <c r="S287" s="1">
        <f ca="1">SUM(INDEX(IntComp['# to Replace (MRST)],1):IntComp[[#This Row],['# to Replace (MRST)]])-272</f>
        <v>1369</v>
      </c>
      <c r="T287" s="51"/>
      <c r="U287" s="51">
        <f ca="1">IF(ISBLANK(IntComp[[#This Row],[CALENDAR YEAR]]),ROUNDDOWN(IntComp[[#This Row],[Count]]/190,0)+$U$1,IntComp[[#This Row],[CALENDAR YEAR]])</f>
        <v>2028</v>
      </c>
      <c r="V287" s="85">
        <f t="shared" ca="1" si="5"/>
        <v>4522112</v>
      </c>
      <c r="W287" s="71"/>
      <c r="X287"/>
    </row>
    <row r="288" spans="1:24">
      <c r="A288" s="9" t="s">
        <v>147</v>
      </c>
      <c r="B288" s="1" t="str">
        <f>VLOOKUP(A288,Data[],2,FALSE)</f>
        <v>BRONX</v>
      </c>
      <c r="C288" s="9" t="s">
        <v>106</v>
      </c>
      <c r="D288" s="9" t="str">
        <f>VLOOKUP(IntComp[[#This Row],[DEVELOPMENT]],Data[],52,FALSE)</f>
        <v>FEDERAL</v>
      </c>
      <c r="E288" s="9" t="str">
        <f>VLOOKUP(IntComp[[#This Row],[DEVELOPMENT]],Data[],8,FALSE)</f>
        <v>Zone 1</v>
      </c>
      <c r="F288" s="9" t="str">
        <f>VLOOKUP(IntComp[[#This Row],[DEVELOPMENT]],all[[DEVELOPMENT]:[MRST Ext. Comp. Priority]],13,FALSE)</f>
        <v>None</v>
      </c>
      <c r="G288" s="9">
        <f>IF(VLOOKUP(IntComp[[#This Row],[DEVELOPMENT]],Data[],9,FALSE)=0,5,VLOOKUP(IntComp[[#This Row],[DEVELOPMENT]],Data[],9,FALSE))</f>
        <v>1</v>
      </c>
      <c r="H288" s="9">
        <f>VLOOKUP(IntComp[[#This Row],[DEVELOPMENT]],Data[],7,FALSE)</f>
        <v>206</v>
      </c>
      <c r="I288" s="9">
        <f>VLOOKUP(IntComp[[#This Row],[DEVELOPMENT]],Data[],5,FALSE)</f>
        <v>2</v>
      </c>
      <c r="J288" s="9"/>
      <c r="K288" s="1" t="str">
        <f ca="1">IFERROR(VLOOKUP(IntComp[[#This Row],[DEVELOPMENT]],Data[],4,FALSE),"")</f>
        <v/>
      </c>
      <c r="L288" s="1" t="str">
        <f ca="1">IF(IntComp[[#This Row],[RAD/PACT]]="","",IF(OR(IntComp[[#This Row],[RAD/PACT]]="2022-2025",IntComp[[#This Row],[RAD/PACT]]=2019,IntComp[[#This Row],[RAD/PACT]]="2020-2021"),"Yes",""))</f>
        <v/>
      </c>
      <c r="M288" s="1">
        <f ca="1">IF(VLOOKUP(IntComp[[#This Row],[DEVELOPMENT]],Data[],10,FALSE)=0,-1,DATEDIF(VLOOKUP(IntComp[[#This Row],[DEVELOPMENT]],Data[],12,FALSE),TODAY(),"Y"))</f>
        <v>15</v>
      </c>
      <c r="N288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288" s="1"/>
      <c r="P288" s="1"/>
      <c r="Q288" s="1"/>
      <c r="R288" s="47">
        <f ca="1">(IntComp[[#This Row],['# to Replace (MRST)]]*INDEX(UnitCosts[#All],MATCH(IntComp[[#This Row],[WORK TYPE]],UnitCosts[Work Type],0)+1,2))*(1+((IntComp[[#This Row],[est. Year]]-YEAR(TODAY()))*$R$2))</f>
        <v>161504</v>
      </c>
      <c r="S288" s="1">
        <f ca="1">SUM(INDEX(IntComp['# to Replace (MRST)],1):IntComp[[#This Row],['# to Replace (MRST)]])-272</f>
        <v>1371</v>
      </c>
      <c r="T288" s="1"/>
      <c r="U288" s="1">
        <f ca="1">IF(ISBLANK(IntComp[[#This Row],[CALENDAR YEAR]]),ROUNDDOWN(IntComp[[#This Row],[Count]]/190,0)+$U$1,IntComp[[#This Row],[CALENDAR YEAR]])</f>
        <v>2028</v>
      </c>
      <c r="V288" s="3">
        <f t="shared" ca="1" si="5"/>
        <v>4683616</v>
      </c>
      <c r="W288" s="71"/>
      <c r="X288"/>
    </row>
    <row r="289" spans="1:24" hidden="1">
      <c r="A289" s="193" t="s">
        <v>123</v>
      </c>
      <c r="B289" s="94" t="str">
        <f>VLOOKUP(A289,Data[],2,FALSE)</f>
        <v>BRONX</v>
      </c>
      <c r="C289" s="95" t="s">
        <v>106</v>
      </c>
      <c r="D289" s="95" t="str">
        <f>VLOOKUP(IntComp[[#This Row],[DEVELOPMENT]],Data[],52,FALSE)</f>
        <v>MIXED FINANCE/LLC1</v>
      </c>
      <c r="E289" s="95" t="str">
        <f>VLOOKUP(IntComp[[#This Row],[DEVELOPMENT]],Data[],8,FALSE)</f>
        <v>Zone 3</v>
      </c>
      <c r="F289" s="95" t="str">
        <f>VLOOKUP(IntComp[[#This Row],[DEVELOPMENT]],all[[DEVELOPMENT]:[MRST Ext. Comp. Priority]],13,FALSE)</f>
        <v>None</v>
      </c>
      <c r="G289" s="95">
        <f>IF(VLOOKUP(IntComp[[#This Row],[DEVELOPMENT]],Data[],9,FALSE)=0,5,VLOOKUP(IntComp[[#This Row],[DEVELOPMENT]],Data[],9,FALSE))</f>
        <v>4</v>
      </c>
      <c r="H289" s="95">
        <f>VLOOKUP(IntComp[[#This Row],[DEVELOPMENT]],Data[],7,FALSE)</f>
        <v>1005</v>
      </c>
      <c r="I289" s="95">
        <f>VLOOKUP(IntComp[[#This Row],[DEVELOPMENT]],Data[],5,FALSE)</f>
        <v>6</v>
      </c>
      <c r="J289" s="95"/>
      <c r="K289" s="95" t="str">
        <f ca="1">IFERROR(VLOOKUP(IntComp[[#This Row],[DEVELOPMENT]],Data[],4,FALSE),"")</f>
        <v>2026+</v>
      </c>
      <c r="L289" s="95" t="str">
        <f ca="1">IF(IntComp[[#This Row],[RAD/PACT]]="","",IF(OR(IntComp[[#This Row],[RAD/PACT]]="2022-2025",IntComp[[#This Row],[RAD/PACT]]=2019,IntComp[[#This Row],[RAD/PACT]]="2020-2021"),"Yes",""))</f>
        <v/>
      </c>
      <c r="M289" s="94">
        <f ca="1">IF(VLOOKUP(IntComp[[#This Row],[DEVELOPMENT]],Data[],10,FALSE)=0,-1,DATEDIF(VLOOKUP(IntComp[[#This Row],[DEVELOPMENT]],Data[],12,FALSE),TODAY(),"Y"))</f>
        <v>20</v>
      </c>
      <c r="N289" s="94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89" s="94"/>
      <c r="P289" s="94"/>
      <c r="Q289" s="94"/>
      <c r="R289" s="206">
        <f ca="1">(IntComp[[#This Row],['# to Replace (MRST)]]*INDEX(UnitCosts[#All],MATCH(IntComp[[#This Row],[WORK TYPE]],UnitCosts[Work Type],0)+1,2))*(1+((IntComp[[#This Row],[est. Year]]-YEAR(TODAY()))*$R$2))</f>
        <v>0</v>
      </c>
      <c r="S289" s="94">
        <f ca="1">SUM(INDEX(IntComp['# to Replace (MRST)],1):IntComp[[#This Row],['# to Replace (MRST)]])-272</f>
        <v>1371</v>
      </c>
      <c r="T289" s="94"/>
      <c r="U289" s="94">
        <f ca="1">IF(ISBLANK(IntComp[[#This Row],[CALENDAR YEAR]]),ROUNDDOWN(IntComp[[#This Row],[Count]]/190,0)+$U$1,IntComp[[#This Row],[CALENDAR YEAR]])</f>
        <v>2028</v>
      </c>
      <c r="V289" s="72">
        <f t="shared" ca="1" si="5"/>
        <v>4683616</v>
      </c>
      <c r="W289" s="106"/>
      <c r="X289"/>
    </row>
    <row r="290" spans="1:24" hidden="1">
      <c r="A290" s="48" t="s">
        <v>77</v>
      </c>
      <c r="B290" s="36" t="str">
        <f>VLOOKUP(A290,Data[],2,FALSE)</f>
        <v>MANHATTAN</v>
      </c>
      <c r="C290" s="24" t="s">
        <v>106</v>
      </c>
      <c r="D290" s="24" t="str">
        <f>VLOOKUP(IntComp[[#This Row],[DEVELOPMENT]],Data[],52,FALSE)</f>
        <v>MIXED FINANCE/LLC1</v>
      </c>
      <c r="E290" s="24" t="str">
        <f>VLOOKUP(IntComp[[#This Row],[DEVELOPMENT]],Data[],8,FALSE)</f>
        <v>Zone 2</v>
      </c>
      <c r="F290" s="24" t="str">
        <f>VLOOKUP(IntComp[[#This Row],[DEVELOPMENT]],all[[DEVELOPMENT]:[MRST Ext. Comp. Priority]],13,FALSE)</f>
        <v>None</v>
      </c>
      <c r="G290" s="24">
        <f>IF(VLOOKUP(IntComp[[#This Row],[DEVELOPMENT]],Data[],9,FALSE)=0,5,VLOOKUP(IntComp[[#This Row],[DEVELOPMENT]],Data[],9,FALSE))</f>
        <v>4</v>
      </c>
      <c r="H290" s="24">
        <f>VLOOKUP(IntComp[[#This Row],[DEVELOPMENT]],Data[],7,FALSE)</f>
        <v>1211</v>
      </c>
      <c r="I290" s="24">
        <f>VLOOKUP(IntComp[[#This Row],[DEVELOPMENT]],Data[],5,FALSE)</f>
        <v>5</v>
      </c>
      <c r="J290" s="24"/>
      <c r="K290" s="24" t="str">
        <f ca="1">IFERROR(VLOOKUP(IntComp[[#This Row],[DEVELOPMENT]],Data[],4,FALSE),"")</f>
        <v/>
      </c>
      <c r="L290" s="24" t="str">
        <f ca="1">IF(IntComp[[#This Row],[RAD/PACT]]="","",IF(OR(IntComp[[#This Row],[RAD/PACT]]="2022-2025",IntComp[[#This Row],[RAD/PACT]]=2019,IntComp[[#This Row],[RAD/PACT]]="2020-2021"),"Yes",""))</f>
        <v/>
      </c>
      <c r="M290" s="36">
        <f ca="1">IF(VLOOKUP(IntComp[[#This Row],[DEVELOPMENT]],Data[],10,FALSE)=0,-1,DATEDIF(VLOOKUP(IntComp[[#This Row],[DEVELOPMENT]],Data[],12,FALSE),TODAY(),"Y"))</f>
        <v>17</v>
      </c>
      <c r="N290" s="36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90" s="36"/>
      <c r="P290" s="36"/>
      <c r="Q290" s="36"/>
      <c r="R290" s="53">
        <f ca="1">(IntComp[[#This Row],['# to Replace (MRST)]]*INDEX(UnitCosts[#All],MATCH(IntComp[[#This Row],[WORK TYPE]],UnitCosts[Work Type],0)+1,2))*(1+((IntComp[[#This Row],[est. Year]]-YEAR(TODAY()))*$R$2))</f>
        <v>0</v>
      </c>
      <c r="S290" s="36">
        <f ca="1">SUM(INDEX(IntComp['# to Replace (MRST)],1):IntComp[[#This Row],['# to Replace (MRST)]])-272</f>
        <v>1371</v>
      </c>
      <c r="T290" s="36"/>
      <c r="U290" s="36">
        <f ca="1">IF(ISBLANK(IntComp[[#This Row],[CALENDAR YEAR]]),ROUNDDOWN(IntComp[[#This Row],[Count]]/190,0)+$U$1,IntComp[[#This Row],[CALENDAR YEAR]])</f>
        <v>2028</v>
      </c>
      <c r="V290" s="68">
        <f t="shared" ca="1" si="5"/>
        <v>4683616</v>
      </c>
      <c r="W290" s="106"/>
      <c r="X290"/>
    </row>
    <row r="291" spans="1:24">
      <c r="A291" s="1" t="s">
        <v>120</v>
      </c>
      <c r="B291" s="1" t="str">
        <f>VLOOKUP(A291,Data[],2,FALSE)</f>
        <v>MANHATTAN</v>
      </c>
      <c r="C291" s="9" t="s">
        <v>106</v>
      </c>
      <c r="D291" s="9" t="str">
        <f>VLOOKUP(IntComp[[#This Row],[DEVELOPMENT]],Data[],52,FALSE)</f>
        <v>FEDERAL</v>
      </c>
      <c r="E291" s="9" t="str">
        <f>VLOOKUP(IntComp[[#This Row],[DEVELOPMENT]],Data[],8,FALSE)</f>
        <v>Zone 2</v>
      </c>
      <c r="F291" s="9" t="str">
        <f>VLOOKUP(IntComp[[#This Row],[DEVELOPMENT]],all[[DEVELOPMENT]:[MRST Ext. Comp. Priority]],13,FALSE)</f>
        <v>None</v>
      </c>
      <c r="G291" s="9">
        <f>IF(VLOOKUP(IntComp[[#This Row],[DEVELOPMENT]],Data[],9,FALSE)=0,5,VLOOKUP(IntComp[[#This Row],[DEVELOPMENT]],Data[],9,FALSE))</f>
        <v>3</v>
      </c>
      <c r="H291" s="9">
        <f>VLOOKUP(IntComp[[#This Row],[DEVELOPMENT]],Data[],7,FALSE)</f>
        <v>1244</v>
      </c>
      <c r="I291" s="9">
        <f>VLOOKUP(IntComp[[#This Row],[DEVELOPMENT]],Data[],5,FALSE)</f>
        <v>13</v>
      </c>
      <c r="J291" s="9"/>
      <c r="K291" s="9" t="str">
        <f ca="1">IFERROR(VLOOKUP(IntComp[[#This Row],[DEVELOPMENT]],Data[],4,FALSE),"")</f>
        <v>2026+</v>
      </c>
      <c r="L291" s="9" t="str">
        <f ca="1">IF(IntComp[[#This Row],[RAD/PACT]]="","",IF(OR(IntComp[[#This Row],[RAD/PACT]]="2022-2025",IntComp[[#This Row],[RAD/PACT]]=2019,IntComp[[#This Row],[RAD/PACT]]="2020-2021"),"Yes",""))</f>
        <v/>
      </c>
      <c r="M291" s="1">
        <f ca="1">IF(VLOOKUP(IntComp[[#This Row],[DEVELOPMENT]],Data[],10,FALSE)=0,-1,DATEDIF(VLOOKUP(IntComp[[#This Row],[DEVELOPMENT]],Data[],12,FALSE),TODAY(),"Y"))</f>
        <v>19</v>
      </c>
      <c r="N291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13</v>
      </c>
      <c r="O291" s="1"/>
      <c r="P291" s="1"/>
      <c r="Q291" s="1"/>
      <c r="R291" s="47">
        <f ca="1">(IntComp[[#This Row],['# to Replace (MRST)]]*INDEX(UnitCosts[#All],MATCH(IntComp[[#This Row],[WORK TYPE]],UnitCosts[Work Type],0)+1,2))*(1+((IntComp[[#This Row],[est. Year]]-YEAR(TODAY()))*$R$2))</f>
        <v>1049776</v>
      </c>
      <c r="S291" s="1">
        <f ca="1">SUM(INDEX(IntComp['# to Replace (MRST)],1):IntComp[[#This Row],['# to Replace (MRST)]])-272</f>
        <v>1384</v>
      </c>
      <c r="T291" s="1"/>
      <c r="U291" s="1">
        <f ca="1">IF(ISBLANK(IntComp[[#This Row],[CALENDAR YEAR]]),ROUNDDOWN(IntComp[[#This Row],[Count]]/190,0)+$U$1,IntComp[[#This Row],[CALENDAR YEAR]])</f>
        <v>2028</v>
      </c>
      <c r="V291" s="3">
        <f t="shared" ca="1" si="5"/>
        <v>5733392</v>
      </c>
      <c r="W291" s="51" t="s">
        <v>2224</v>
      </c>
      <c r="X291"/>
    </row>
    <row r="292" spans="1:24">
      <c r="A292" s="1" t="s">
        <v>73</v>
      </c>
      <c r="B292" s="1" t="str">
        <f>VLOOKUP(A292,Data[],2,FALSE)</f>
        <v>BRONX</v>
      </c>
      <c r="C292" s="9" t="s">
        <v>106</v>
      </c>
      <c r="D292" s="9" t="str">
        <f>VLOOKUP(IntComp[[#This Row],[DEVELOPMENT]],Data[],52,FALSE)</f>
        <v>FEDERAL</v>
      </c>
      <c r="E292" s="9" t="str">
        <f>VLOOKUP(IntComp[[#This Row],[DEVELOPMENT]],Data[],8,FALSE)</f>
        <v>Zone 3</v>
      </c>
      <c r="F292" s="9" t="str">
        <f>VLOOKUP(IntComp[[#This Row],[DEVELOPMENT]],all[[DEVELOPMENT]:[MRST Ext. Comp. Priority]],13,FALSE)</f>
        <v>None</v>
      </c>
      <c r="G292" s="9">
        <f>IF(VLOOKUP(IntComp[[#This Row],[DEVELOPMENT]],Data[],9,FALSE)=0,5,VLOOKUP(IntComp[[#This Row],[DEVELOPMENT]],Data[],9,FALSE))</f>
        <v>4</v>
      </c>
      <c r="H292" s="9">
        <f>VLOOKUP(IntComp[[#This Row],[DEVELOPMENT]],Data[],7,FALSE)</f>
        <v>1245</v>
      </c>
      <c r="I292" s="9">
        <f>VLOOKUP(IntComp[[#This Row],[DEVELOPMENT]],Data[],5,FALSE)</f>
        <v>9</v>
      </c>
      <c r="J292" s="9"/>
      <c r="K292" s="9" t="str">
        <f ca="1">IFERROR(VLOOKUP(IntComp[[#This Row],[DEVELOPMENT]],Data[],4,FALSE),"")</f>
        <v/>
      </c>
      <c r="L292" s="9" t="str">
        <f ca="1">IF(IntComp[[#This Row],[RAD/PACT]]="","",IF(OR(IntComp[[#This Row],[RAD/PACT]]="2022-2025",IntComp[[#This Row],[RAD/PACT]]=2019,IntComp[[#This Row],[RAD/PACT]]="2020-2021"),"Yes",""))</f>
        <v/>
      </c>
      <c r="M292" s="1">
        <f ca="1">IF(VLOOKUP(IntComp[[#This Row],[DEVELOPMENT]],Data[],10,FALSE)=0,-1,DATEDIF(VLOOKUP(IntComp[[#This Row],[DEVELOPMENT]],Data[],12,FALSE),TODAY(),"Y"))</f>
        <v>17</v>
      </c>
      <c r="N292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9</v>
      </c>
      <c r="O292" s="1"/>
      <c r="P292" s="1"/>
      <c r="Q292" s="1"/>
      <c r="R292" s="47">
        <f ca="1">(IntComp[[#This Row],['# to Replace (MRST)]]*INDEX(UnitCosts[#All],MATCH(IntComp[[#This Row],[WORK TYPE]],UnitCosts[Work Type],0)+1,2))*(1+((IntComp[[#This Row],[est. Year]]-YEAR(TODAY()))*$R$2))</f>
        <v>726768</v>
      </c>
      <c r="S292" s="1">
        <f ca="1">SUM(INDEX(IntComp['# to Replace (MRST)],1):IntComp[[#This Row],['# to Replace (MRST)]])-272</f>
        <v>1393</v>
      </c>
      <c r="T292" s="1"/>
      <c r="U292" s="1">
        <f ca="1">IF(ISBLANK(IntComp[[#This Row],[CALENDAR YEAR]]),ROUNDDOWN(IntComp[[#This Row],[Count]]/190,0)+$U$1,IntComp[[#This Row],[CALENDAR YEAR]])</f>
        <v>2028</v>
      </c>
      <c r="V292" s="3">
        <f t="shared" ca="1" si="5"/>
        <v>6460160</v>
      </c>
      <c r="W292" s="71"/>
      <c r="X292"/>
    </row>
    <row r="293" spans="1:24">
      <c r="A293" s="1" t="s">
        <v>307</v>
      </c>
      <c r="B293" s="9" t="str">
        <f>VLOOKUP(A293,Data[],2,FALSE)</f>
        <v>QUEENS</v>
      </c>
      <c r="C293" s="9" t="s">
        <v>106</v>
      </c>
      <c r="D293" s="9" t="str">
        <f>VLOOKUP(IntComp[[#This Row],[DEVELOPMENT]],Data[],52,FALSE)</f>
        <v>FEDERAL</v>
      </c>
      <c r="E293" s="50">
        <f>VLOOKUP(IntComp[[#This Row],[DEVELOPMENT]],Data[],8,FALSE)</f>
        <v>0</v>
      </c>
      <c r="F293" s="50" t="str">
        <f>VLOOKUP(IntComp[[#This Row],[DEVELOPMENT]],all[[DEVELOPMENT]:[MRST Ext. Comp. Priority]],13,FALSE)</f>
        <v>None</v>
      </c>
      <c r="G293" s="50">
        <f>IF(VLOOKUP(IntComp[[#This Row],[DEVELOPMENT]],Data[],9,FALSE)=0,5,VLOOKUP(IntComp[[#This Row],[DEVELOPMENT]],Data[],9,FALSE))</f>
        <v>5</v>
      </c>
      <c r="H293" s="50">
        <f>VLOOKUP(IntComp[[#This Row],[DEVELOPMENT]],Data[],7,FALSE)</f>
        <v>169</v>
      </c>
      <c r="I293" s="50">
        <f>VLOOKUP(IntComp[[#This Row],[DEVELOPMENT]],Data[],5,FALSE)</f>
        <v>1</v>
      </c>
      <c r="J293" s="50"/>
      <c r="K293" s="50" t="str">
        <f ca="1">IFERROR(VLOOKUP(IntComp[[#This Row],[DEVELOPMENT]],Data[],4,FALSE),"")</f>
        <v>2026+</v>
      </c>
      <c r="L293" s="50" t="str">
        <f ca="1">IF(IntComp[[#This Row],[RAD/PACT]]="","",IF(OR(IntComp[[#This Row],[RAD/PACT]]="2022-2025",IntComp[[#This Row],[RAD/PACT]]=2019,IntComp[[#This Row],[RAD/PACT]]="2020-2021"),"Yes",""))</f>
        <v/>
      </c>
      <c r="M293" s="51">
        <f ca="1">IF(VLOOKUP(IntComp[[#This Row],[DEVELOPMENT]],Data[],10,FALSE)=0,-1,DATEDIF(VLOOKUP(IntComp[[#This Row],[DEVELOPMENT]],Data[],12,FALSE),TODAY(),"Y"))</f>
        <v>24</v>
      </c>
      <c r="N29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293" s="51"/>
      <c r="P293" s="51"/>
      <c r="Q293" s="51"/>
      <c r="R293" s="47">
        <f ca="1">(IntComp[[#This Row],['# to Replace (MRST)]]*INDEX(UnitCosts[#All],MATCH(IntComp[[#This Row],[WORK TYPE]],UnitCosts[Work Type],0)+1,2))*(1+((IntComp[[#This Row],[est. Year]]-YEAR(TODAY()))*$R$2))</f>
        <v>80752</v>
      </c>
      <c r="S293" s="1">
        <f ca="1">SUM(INDEX(IntComp['# to Replace (MRST)],1):IntComp[[#This Row],['# to Replace (MRST)]])-272</f>
        <v>1394</v>
      </c>
      <c r="T293" s="51"/>
      <c r="U293" s="51">
        <f ca="1">IF(ISBLANK(IntComp[[#This Row],[CALENDAR YEAR]]),ROUNDDOWN(IntComp[[#This Row],[Count]]/190,0)+$U$1,IntComp[[#This Row],[CALENDAR YEAR]])</f>
        <v>2028</v>
      </c>
      <c r="V293" s="85">
        <f t="shared" ca="1" si="5"/>
        <v>6540912</v>
      </c>
      <c r="W293" s="71"/>
      <c r="X293"/>
    </row>
    <row r="294" spans="1:24">
      <c r="A294" s="1" t="s">
        <v>383</v>
      </c>
      <c r="B294" s="9" t="str">
        <f>VLOOKUP(A294,Data[],2,FALSE)</f>
        <v>BROOKLYN</v>
      </c>
      <c r="C294" s="9" t="s">
        <v>106</v>
      </c>
      <c r="D294" s="9" t="str">
        <f>VLOOKUP(IntComp[[#This Row],[DEVELOPMENT]],Data[],52,FALSE)</f>
        <v>FEDERAL</v>
      </c>
      <c r="E294" s="50">
        <f>VLOOKUP(IntComp[[#This Row],[DEVELOPMENT]],Data[],8,FALSE)</f>
        <v>0</v>
      </c>
      <c r="F294" s="50" t="str">
        <f>VLOOKUP(IntComp[[#This Row],[DEVELOPMENT]],all[[DEVELOPMENT]:[MRST Ext. Comp. Priority]],13,FALSE)</f>
        <v>None</v>
      </c>
      <c r="G294" s="50">
        <f>IF(VLOOKUP(IntComp[[#This Row],[DEVELOPMENT]],Data[],9,FALSE)=0,5,VLOOKUP(IntComp[[#This Row],[DEVELOPMENT]],Data[],9,FALSE))</f>
        <v>5</v>
      </c>
      <c r="H294" s="50">
        <f>VLOOKUP(IntComp[[#This Row],[DEVELOPMENT]],Data[],7,FALSE)</f>
        <v>1651</v>
      </c>
      <c r="I294" s="50">
        <f>VLOOKUP(IntComp[[#This Row],[DEVELOPMENT]],Data[],5,FALSE)</f>
        <v>15</v>
      </c>
      <c r="J294" s="50"/>
      <c r="K294" s="50" t="str">
        <f ca="1">IFERROR(VLOOKUP(IntComp[[#This Row],[DEVELOPMENT]],Data[],4,FALSE),"")</f>
        <v/>
      </c>
      <c r="L294" s="50" t="str">
        <f ca="1">IF(IntComp[[#This Row],[RAD/PACT]]="","",IF(OR(IntComp[[#This Row],[RAD/PACT]]="2022-2025",IntComp[[#This Row],[RAD/PACT]]=2019,IntComp[[#This Row],[RAD/PACT]]="2020-2021"),"Yes",""))</f>
        <v/>
      </c>
      <c r="M294" s="51">
        <f ca="1">IF(VLOOKUP(IntComp[[#This Row],[DEVELOPMENT]],Data[],10,FALSE)=0,-1,DATEDIF(VLOOKUP(IntComp[[#This Row],[DEVELOPMENT]],Data[],12,FALSE),TODAY(),"Y"))</f>
        <v>22</v>
      </c>
      <c r="N29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32</v>
      </c>
      <c r="O294" s="51"/>
      <c r="P294" s="51"/>
      <c r="Q294" s="51"/>
      <c r="R294" s="47">
        <f ca="1">(IntComp[[#This Row],['# to Replace (MRST)]]*INDEX(UnitCosts[#All],MATCH(IntComp[[#This Row],[WORK TYPE]],UnitCosts[Work Type],0)+1,2))*(1+((IntComp[[#This Row],[est. Year]]-YEAR(TODAY()))*$R$2))</f>
        <v>2584064</v>
      </c>
      <c r="S294" s="1">
        <f ca="1">SUM(INDEX(IntComp['# to Replace (MRST)],1):IntComp[[#This Row],['# to Replace (MRST)]])-272</f>
        <v>1426</v>
      </c>
      <c r="T294" s="51"/>
      <c r="U294" s="51">
        <f ca="1">IF(ISBLANK(IntComp[[#This Row],[CALENDAR YEAR]]),ROUNDDOWN(IntComp[[#This Row],[Count]]/190,0)+$U$1,IntComp[[#This Row],[CALENDAR YEAR]])</f>
        <v>2028</v>
      </c>
      <c r="V294" s="85">
        <f t="shared" ca="1" si="5"/>
        <v>9124976</v>
      </c>
      <c r="W294" s="71"/>
      <c r="X294"/>
    </row>
    <row r="295" spans="1:24">
      <c r="A295" s="1" t="s">
        <v>346</v>
      </c>
      <c r="B295" s="9" t="str">
        <f>VLOOKUP(A295,Data[],2,FALSE)</f>
        <v>BRONX</v>
      </c>
      <c r="C295" s="9" t="s">
        <v>106</v>
      </c>
      <c r="D295" s="9" t="str">
        <f>VLOOKUP(IntComp[[#This Row],[DEVELOPMENT]],Data[],52,FALSE)</f>
        <v>FEDERAL</v>
      </c>
      <c r="E295" s="50">
        <f>VLOOKUP(IntComp[[#This Row],[DEVELOPMENT]],Data[],8,FALSE)</f>
        <v>0</v>
      </c>
      <c r="F295" s="50" t="str">
        <f>VLOOKUP(IntComp[[#This Row],[DEVELOPMENT]],all[[DEVELOPMENT]:[MRST Ext. Comp. Priority]],13,FALSE)</f>
        <v>None</v>
      </c>
      <c r="G295" s="50">
        <f>IF(VLOOKUP(IntComp[[#This Row],[DEVELOPMENT]],Data[],9,FALSE)=0,5,VLOOKUP(IntComp[[#This Row],[DEVELOPMENT]],Data[],9,FALSE))</f>
        <v>5</v>
      </c>
      <c r="H295" s="50">
        <f>VLOOKUP(IntComp[[#This Row],[DEVELOPMENT]],Data[],7,FALSE)</f>
        <v>992</v>
      </c>
      <c r="I295" s="50">
        <f>VLOOKUP(IntComp[[#This Row],[DEVELOPMENT]],Data[],5,FALSE)</f>
        <v>8</v>
      </c>
      <c r="J295" s="50"/>
      <c r="K295" s="50" t="str">
        <f ca="1">IFERROR(VLOOKUP(IntComp[[#This Row],[DEVELOPMENT]],Data[],4,FALSE),"")</f>
        <v>2026+</v>
      </c>
      <c r="L295" s="50" t="str">
        <f ca="1">IF(IntComp[[#This Row],[RAD/PACT]]="","",IF(OR(IntComp[[#This Row],[RAD/PACT]]="2022-2025",IntComp[[#This Row],[RAD/PACT]]=2019,IntComp[[#This Row],[RAD/PACT]]="2020-2021"),"Yes",""))</f>
        <v/>
      </c>
      <c r="M295" s="51">
        <f ca="1">IF(VLOOKUP(IntComp[[#This Row],[DEVELOPMENT]],Data[],10,FALSE)=0,-1,DATEDIF(VLOOKUP(IntComp[[#This Row],[DEVELOPMENT]],Data[],12,FALSE),TODAY(),"Y"))</f>
        <v>21</v>
      </c>
      <c r="N29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8</v>
      </c>
      <c r="O295" s="51"/>
      <c r="P295" s="51"/>
      <c r="Q295" s="51"/>
      <c r="R295" s="47">
        <f ca="1">(IntComp[[#This Row],['# to Replace (MRST)]]*INDEX(UnitCosts[#All],MATCH(IntComp[[#This Row],[WORK TYPE]],UnitCosts[Work Type],0)+1,2))*(1+((IntComp[[#This Row],[est. Year]]-YEAR(TODAY()))*$R$2))</f>
        <v>646016</v>
      </c>
      <c r="S295" s="1">
        <f ca="1">SUM(INDEX(IntComp['# to Replace (MRST)],1):IntComp[[#This Row],['# to Replace (MRST)]])-272</f>
        <v>1434</v>
      </c>
      <c r="T295" s="51"/>
      <c r="U295" s="51">
        <f ca="1">IF(ISBLANK(IntComp[[#This Row],[CALENDAR YEAR]]),ROUNDDOWN(IntComp[[#This Row],[Count]]/190,0)+$U$1,IntComp[[#This Row],[CALENDAR YEAR]])</f>
        <v>2028</v>
      </c>
      <c r="V295" s="85">
        <f t="shared" ca="1" si="5"/>
        <v>9770992</v>
      </c>
      <c r="W295" s="71"/>
      <c r="X295"/>
    </row>
    <row r="296" spans="1:24">
      <c r="A296" s="1" t="s">
        <v>328</v>
      </c>
      <c r="B296" s="9" t="str">
        <f>VLOOKUP(A296,Data[],2,FALSE)</f>
        <v>BRONX</v>
      </c>
      <c r="C296" s="9" t="s">
        <v>106</v>
      </c>
      <c r="D296" s="9" t="str">
        <f>VLOOKUP(IntComp[[#This Row],[DEVELOPMENT]],Data[],52,FALSE)</f>
        <v>FEDERAL</v>
      </c>
      <c r="E296" s="50">
        <f>VLOOKUP(IntComp[[#This Row],[DEVELOPMENT]],Data[],8,FALSE)</f>
        <v>0</v>
      </c>
      <c r="F296" s="50" t="str">
        <f>VLOOKUP(IntComp[[#This Row],[DEVELOPMENT]],all[[DEVELOPMENT]:[MRST Ext. Comp. Priority]],13,FALSE)</f>
        <v>None</v>
      </c>
      <c r="G296" s="50">
        <f>IF(VLOOKUP(IntComp[[#This Row],[DEVELOPMENT]],Data[],9,FALSE)=0,5,VLOOKUP(IntComp[[#This Row],[DEVELOPMENT]],Data[],9,FALSE))</f>
        <v>5</v>
      </c>
      <c r="H296" s="50">
        <f>VLOOKUP(IntComp[[#This Row],[DEVELOPMENT]],Data[],7,FALSE)</f>
        <v>732</v>
      </c>
      <c r="I296" s="50">
        <f>VLOOKUP(IntComp[[#This Row],[DEVELOPMENT]],Data[],5,FALSE)</f>
        <v>6</v>
      </c>
      <c r="J296" s="50"/>
      <c r="K296" s="50" t="str">
        <f ca="1">IFERROR(VLOOKUP(IntComp[[#This Row],[DEVELOPMENT]],Data[],4,FALSE),"")</f>
        <v/>
      </c>
      <c r="L296" s="50" t="str">
        <f ca="1">IF(IntComp[[#This Row],[RAD/PACT]]="","",IF(OR(IntComp[[#This Row],[RAD/PACT]]="2022-2025",IntComp[[#This Row],[RAD/PACT]]=2019,IntComp[[#This Row],[RAD/PACT]]="2020-2021"),"Yes",""))</f>
        <v/>
      </c>
      <c r="M296" s="51">
        <f ca="1">IF(VLOOKUP(IntComp[[#This Row],[DEVELOPMENT]],Data[],10,FALSE)=0,-1,DATEDIF(VLOOKUP(IntComp[[#This Row],[DEVELOPMENT]],Data[],12,FALSE),TODAY(),"Y"))</f>
        <v>18</v>
      </c>
      <c r="N29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6</v>
      </c>
      <c r="O296" s="51"/>
      <c r="P296" s="51"/>
      <c r="Q296" s="51"/>
      <c r="R296" s="47">
        <f ca="1">(IntComp[[#This Row],['# to Replace (MRST)]]*INDEX(UnitCosts[#All],MATCH(IntComp[[#This Row],[WORK TYPE]],UnitCosts[Work Type],0)+1,2))*(1+((IntComp[[#This Row],[est. Year]]-YEAR(TODAY()))*$R$2))</f>
        <v>484512</v>
      </c>
      <c r="S296" s="1">
        <f ca="1">SUM(INDEX(IntComp['# to Replace (MRST)],1):IntComp[[#This Row],['# to Replace (MRST)]])-272</f>
        <v>1440</v>
      </c>
      <c r="T296" s="51"/>
      <c r="U296" s="51">
        <f ca="1">IF(ISBLANK(IntComp[[#This Row],[CALENDAR YEAR]]),ROUNDDOWN(IntComp[[#This Row],[Count]]/190,0)+$U$1,IntComp[[#This Row],[CALENDAR YEAR]])</f>
        <v>2028</v>
      </c>
      <c r="V296" s="85">
        <f t="shared" ca="1" si="5"/>
        <v>10255504</v>
      </c>
      <c r="W296" s="71"/>
      <c r="X296"/>
    </row>
    <row r="297" spans="1:24">
      <c r="A297" s="1" t="s">
        <v>230</v>
      </c>
      <c r="B297" s="1" t="str">
        <f>VLOOKUP(A297,Data[],2,FALSE)</f>
        <v>BROOKLYN</v>
      </c>
      <c r="C297" s="9" t="s">
        <v>106</v>
      </c>
      <c r="D297" s="9" t="str">
        <f>VLOOKUP(IntComp[[#This Row],[DEVELOPMENT]],Data[],52,FALSE)</f>
        <v>FEDERAL</v>
      </c>
      <c r="E297" s="50" t="str">
        <f>VLOOKUP(IntComp[[#This Row],[DEVELOPMENT]],Data[],8,FALSE)</f>
        <v>Zone 1</v>
      </c>
      <c r="F297" s="50">
        <f>VLOOKUP(IntComp[[#This Row],[DEVELOPMENT]],all[[DEVELOPMENT]:[MRST Ext. Comp. Priority]],13,FALSE)</f>
        <v>3</v>
      </c>
      <c r="G297" s="9">
        <f>IF(VLOOKUP(IntComp[[#This Row],[DEVELOPMENT]],Data[],9,FALSE)=0,5,VLOOKUP(IntComp[[#This Row],[DEVELOPMENT]],Data[],9,FALSE))</f>
        <v>4</v>
      </c>
      <c r="H297" s="50">
        <f>VLOOKUP(IntComp[[#This Row],[DEVELOPMENT]],Data[],7,FALSE)</f>
        <v>248</v>
      </c>
      <c r="I297" s="50">
        <f>VLOOKUP(IntComp[[#This Row],[DEVELOPMENT]],Data[],5,FALSE)</f>
        <v>5</v>
      </c>
      <c r="J297" s="9"/>
      <c r="K297" s="50">
        <f ca="1">IFERROR(VLOOKUP(IntComp[[#This Row],[DEVELOPMENT]],Data[],4,FALSE),"")</f>
        <v>2019</v>
      </c>
      <c r="L297" s="50" t="str">
        <f ca="1">IF(IntComp[[#This Row],[RAD/PACT]]="","",IF(OR(IntComp[[#This Row],[RAD/PACT]]="2022-2025",IntComp[[#This Row],[RAD/PACT]]=2019,IntComp[[#This Row],[RAD/PACT]]="2020-2021"),"Yes",""))</f>
        <v>Yes</v>
      </c>
      <c r="M297" s="51">
        <f ca="1">IF(VLOOKUP(IntComp[[#This Row],[DEVELOPMENT]],Data[],10,FALSE)=0,-1,DATEDIF(VLOOKUP(IntComp[[#This Row],[DEVELOPMENT]],Data[],12,FALSE),TODAY(),"Y"))</f>
        <v>16</v>
      </c>
      <c r="N29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97" s="51"/>
      <c r="P297" s="51"/>
      <c r="Q297" s="51"/>
      <c r="R297" s="47">
        <f ca="1">(IntComp[[#This Row],['# to Replace (MRST)]]*INDEX(UnitCosts[#All],MATCH(IntComp[[#This Row],[WORK TYPE]],UnitCosts[Work Type],0)+1,2))*(1+((IntComp[[#This Row],[est. Year]]-YEAR(TODAY()))*$R$2))</f>
        <v>0</v>
      </c>
      <c r="S297" s="1">
        <f ca="1">SUM(INDEX(IntComp['# to Replace (MRST)],1):IntComp[[#This Row],['# to Replace (MRST)]])-272</f>
        <v>1440</v>
      </c>
      <c r="T297" s="51"/>
      <c r="U297" s="51">
        <f ca="1">IF(ISBLANK(IntComp[[#This Row],[CALENDAR YEAR]]),ROUNDDOWN(IntComp[[#This Row],[Count]]/190,0)+$U$1,IntComp[[#This Row],[CALENDAR YEAR]])</f>
        <v>2028</v>
      </c>
      <c r="V297" s="3">
        <f t="shared" ca="1" si="5"/>
        <v>10255504</v>
      </c>
      <c r="W297" s="71"/>
      <c r="X297"/>
    </row>
    <row r="298" spans="1:24">
      <c r="A298" s="1" t="s">
        <v>39</v>
      </c>
      <c r="B298" s="1" t="str">
        <f>VLOOKUP(A298,Data[],2,FALSE)</f>
        <v>BRONX</v>
      </c>
      <c r="C298" s="9" t="s">
        <v>106</v>
      </c>
      <c r="D298" s="9" t="str">
        <f>VLOOKUP(IntComp[[#This Row],[DEVELOPMENT]],Data[],52,FALSE)</f>
        <v>FEDERAL</v>
      </c>
      <c r="E298" s="9" t="str">
        <f>VLOOKUP(IntComp[[#This Row],[DEVELOPMENT]],Data[],8,FALSE)</f>
        <v>Zone 1</v>
      </c>
      <c r="F298" s="9">
        <f>VLOOKUP(IntComp[[#This Row],[DEVELOPMENT]],all[[DEVELOPMENT]:[MRST Ext. Comp. Priority]],13,FALSE)</f>
        <v>1</v>
      </c>
      <c r="G298" s="9">
        <f>IF(VLOOKUP(IntComp[[#This Row],[DEVELOPMENT]],Data[],9,FALSE)=0,5,VLOOKUP(IntComp[[#This Row],[DEVELOPMENT]],Data[],9,FALSE))</f>
        <v>4</v>
      </c>
      <c r="H298" s="9">
        <f>VLOOKUP(IntComp[[#This Row],[DEVELOPMENT]],Data[],7,FALSE)</f>
        <v>1021</v>
      </c>
      <c r="I298" s="9">
        <f>VLOOKUP(IntComp[[#This Row],[DEVELOPMENT]],Data[],5,FALSE)</f>
        <v>8</v>
      </c>
      <c r="J298" s="9"/>
      <c r="K298" s="9" t="str">
        <f ca="1">IFERROR(VLOOKUP(IntComp[[#This Row],[DEVELOPMENT]],Data[],4,FALSE),"")</f>
        <v>2022-2025</v>
      </c>
      <c r="L298" s="9" t="str">
        <f ca="1">IF(IntComp[[#This Row],[RAD/PACT]]="","",IF(OR(IntComp[[#This Row],[RAD/PACT]]="2022-2025",IntComp[[#This Row],[RAD/PACT]]=2019,IntComp[[#This Row],[RAD/PACT]]="2020-2021"),"Yes",""))</f>
        <v>Yes</v>
      </c>
      <c r="M298" s="1">
        <f ca="1">IF(VLOOKUP(IntComp[[#This Row],[DEVELOPMENT]],Data[],10,FALSE)=0,-1,DATEDIF(VLOOKUP(IntComp[[#This Row],[DEVELOPMENT]],Data[],12,FALSE),TODAY(),"Y"))</f>
        <v>14</v>
      </c>
      <c r="N298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298" s="51"/>
      <c r="P298" s="1"/>
      <c r="Q298" s="1"/>
      <c r="R298" s="47">
        <f ca="1">(IntComp[[#This Row],['# to Replace (MRST)]]*INDEX(UnitCosts[#All],MATCH(IntComp[[#This Row],[WORK TYPE]],UnitCosts[Work Type],0)+1,2))*(1+((IntComp[[#This Row],[est. Year]]-YEAR(TODAY()))*$R$2))</f>
        <v>0</v>
      </c>
      <c r="S298" s="1">
        <f ca="1">SUM(INDEX(IntComp['# to Replace (MRST)],1):IntComp[[#This Row],['# to Replace (MRST)]])-272</f>
        <v>1440</v>
      </c>
      <c r="T298" s="1"/>
      <c r="U298" s="1">
        <f ca="1">IF(ISBLANK(IntComp[[#This Row],[CALENDAR YEAR]]),ROUNDDOWN(IntComp[[#This Row],[Count]]/190,0)+$U$1,IntComp[[#This Row],[CALENDAR YEAR]])</f>
        <v>2028</v>
      </c>
      <c r="V298" s="3">
        <f t="shared" ca="1" si="5"/>
        <v>10255504</v>
      </c>
      <c r="W298" s="51"/>
      <c r="X298"/>
    </row>
    <row r="299" spans="1:24">
      <c r="A299" s="1" t="s">
        <v>392</v>
      </c>
      <c r="B299" s="9" t="str">
        <f>VLOOKUP(A299,Data[],2,FALSE)</f>
        <v>BROOKLYN</v>
      </c>
      <c r="C299" s="9" t="s">
        <v>106</v>
      </c>
      <c r="D299" s="9" t="str">
        <f>VLOOKUP(IntComp[[#This Row],[DEVELOPMENT]],Data[],52,FALSE)</f>
        <v>FEDERAL</v>
      </c>
      <c r="E299" s="50">
        <f>VLOOKUP(IntComp[[#This Row],[DEVELOPMENT]],Data[],8,FALSE)</f>
        <v>0</v>
      </c>
      <c r="F299" s="50" t="str">
        <f>VLOOKUP(IntComp[[#This Row],[DEVELOPMENT]],all[[DEVELOPMENT]:[MRST Ext. Comp. Priority]],13,FALSE)</f>
        <v>None</v>
      </c>
      <c r="G299" s="50">
        <f>IF(VLOOKUP(IntComp[[#This Row],[DEVELOPMENT]],Data[],9,FALSE)=0,5,VLOOKUP(IntComp[[#This Row],[DEVELOPMENT]],Data[],9,FALSE))</f>
        <v>5</v>
      </c>
      <c r="H299" s="50">
        <f>VLOOKUP(IntComp[[#This Row],[DEVELOPMENT]],Data[],7,FALSE)</f>
        <v>1336</v>
      </c>
      <c r="I299" s="50">
        <f>VLOOKUP(IntComp[[#This Row],[DEVELOPMENT]],Data[],5,FALSE)</f>
        <v>27</v>
      </c>
      <c r="J299" s="50"/>
      <c r="K299" s="50" t="str">
        <f ca="1">IFERROR(VLOOKUP(IntComp[[#This Row],[DEVELOPMENT]],Data[],4,FALSE),"")</f>
        <v>2026+</v>
      </c>
      <c r="L299" s="50" t="str">
        <f ca="1">IF(IntComp[[#This Row],[RAD/PACT]]="","",IF(OR(IntComp[[#This Row],[RAD/PACT]]="2022-2025",IntComp[[#This Row],[RAD/PACT]]=2019,IntComp[[#This Row],[RAD/PACT]]="2020-2021"),"Yes",""))</f>
        <v/>
      </c>
      <c r="M299" s="51">
        <f ca="1">IF(VLOOKUP(IntComp[[#This Row],[DEVELOPMENT]],Data[],10,FALSE)=0,-1,DATEDIF(VLOOKUP(IntComp[[#This Row],[DEVELOPMENT]],Data[],12,FALSE),TODAY(),"Y"))</f>
        <v>18</v>
      </c>
      <c r="N299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46</v>
      </c>
      <c r="O299" s="51"/>
      <c r="P299" s="51"/>
      <c r="Q299" s="51"/>
      <c r="R299" s="47">
        <f ca="1">(IntComp[[#This Row],['# to Replace (MRST)]]*INDEX(UnitCosts[#All],MATCH(IntComp[[#This Row],[WORK TYPE]],UnitCosts[Work Type],0)+1,2))*(1+((IntComp[[#This Row],[est. Year]]-YEAR(TODAY()))*$R$2))</f>
        <v>3714592</v>
      </c>
      <c r="S299" s="1">
        <f ca="1">SUM(INDEX(IntComp['# to Replace (MRST)],1):IntComp[[#This Row],['# to Replace (MRST)]])-272</f>
        <v>1486</v>
      </c>
      <c r="T299" s="51"/>
      <c r="U299" s="51">
        <f ca="1">IF(ISBLANK(IntComp[[#This Row],[CALENDAR YEAR]]),ROUNDDOWN(IntComp[[#This Row],[Count]]/190,0)+$U$1,IntComp[[#This Row],[CALENDAR YEAR]])</f>
        <v>2028</v>
      </c>
      <c r="V299" s="85">
        <f t="shared" ca="1" si="5"/>
        <v>13970096</v>
      </c>
      <c r="W299" s="71"/>
      <c r="X299"/>
    </row>
    <row r="300" spans="1:24">
      <c r="A300" s="1" t="s">
        <v>306</v>
      </c>
      <c r="B300" s="9" t="str">
        <f>VLOOKUP(A300,Data[],2,FALSE)</f>
        <v>BROOKLYN</v>
      </c>
      <c r="C300" s="9" t="s">
        <v>106</v>
      </c>
      <c r="D300" s="9" t="str">
        <f>VLOOKUP(IntComp[[#This Row],[DEVELOPMENT]],Data[],52,FALSE)</f>
        <v>FEDERAL</v>
      </c>
      <c r="E300" s="50">
        <f>VLOOKUP(IntComp[[#This Row],[DEVELOPMENT]],Data[],8,FALSE)</f>
        <v>0</v>
      </c>
      <c r="F300" s="50" t="str">
        <f>VLOOKUP(IntComp[[#This Row],[DEVELOPMENT]],all[[DEVELOPMENT]:[MRST Ext. Comp. Priority]],13,FALSE)</f>
        <v>None</v>
      </c>
      <c r="G300" s="50">
        <f>IF(VLOOKUP(IntComp[[#This Row],[DEVELOPMENT]],Data[],9,FALSE)=0,5,VLOOKUP(IntComp[[#This Row],[DEVELOPMENT]],Data[],9,FALSE))</f>
        <v>5</v>
      </c>
      <c r="H300" s="50">
        <f>VLOOKUP(IntComp[[#This Row],[DEVELOPMENT]],Data[],7,FALSE)</f>
        <v>682</v>
      </c>
      <c r="I300" s="50">
        <f>VLOOKUP(IntComp[[#This Row],[DEVELOPMENT]],Data[],5,FALSE)</f>
        <v>3</v>
      </c>
      <c r="J300" s="50"/>
      <c r="K300" s="50" t="str">
        <f ca="1">IFERROR(VLOOKUP(IntComp[[#This Row],[DEVELOPMENT]],Data[],4,FALSE),"")</f>
        <v/>
      </c>
      <c r="L300" s="50" t="str">
        <f ca="1">IF(IntComp[[#This Row],[RAD/PACT]]="","",IF(OR(IntComp[[#This Row],[RAD/PACT]]="2022-2025",IntComp[[#This Row],[RAD/PACT]]=2019,IntComp[[#This Row],[RAD/PACT]]="2020-2021"),"Yes",""))</f>
        <v/>
      </c>
      <c r="M300" s="51">
        <f ca="1">IF(VLOOKUP(IntComp[[#This Row],[DEVELOPMENT]],Data[],10,FALSE)=0,-1,DATEDIF(VLOOKUP(IntComp[[#This Row],[DEVELOPMENT]],Data[],12,FALSE),TODAY(),"Y"))</f>
        <v>17</v>
      </c>
      <c r="N300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3</v>
      </c>
      <c r="O300" s="51"/>
      <c r="P300" s="51"/>
      <c r="Q300" s="51"/>
      <c r="R300" s="47">
        <f ca="1">(IntComp[[#This Row],['# to Replace (MRST)]]*INDEX(UnitCosts[#All],MATCH(IntComp[[#This Row],[WORK TYPE]],UnitCosts[Work Type],0)+1,2))*(1+((IntComp[[#This Row],[est. Year]]-YEAR(TODAY()))*$R$2))</f>
        <v>242256</v>
      </c>
      <c r="S300" s="1">
        <f ca="1">SUM(INDEX(IntComp['# to Replace (MRST)],1):IntComp[[#This Row],['# to Replace (MRST)]])-272</f>
        <v>1489</v>
      </c>
      <c r="T300" s="51"/>
      <c r="U300" s="51">
        <f ca="1">IF(ISBLANK(IntComp[[#This Row],[CALENDAR YEAR]]),ROUNDDOWN(IntComp[[#This Row],[Count]]/190,0)+$U$1,IntComp[[#This Row],[CALENDAR YEAR]])</f>
        <v>2028</v>
      </c>
      <c r="V300" s="85">
        <f t="shared" ca="1" si="5"/>
        <v>14212352</v>
      </c>
      <c r="W300" s="71"/>
      <c r="X300"/>
    </row>
    <row r="301" spans="1:24">
      <c r="A301" s="1" t="s">
        <v>88</v>
      </c>
      <c r="B301" s="1" t="str">
        <f>VLOOKUP(A301,Data[],2,FALSE)</f>
        <v>MANHATTAN</v>
      </c>
      <c r="C301" s="9" t="s">
        <v>106</v>
      </c>
      <c r="D301" s="9" t="str">
        <f>VLOOKUP(IntComp[[#This Row],[DEVELOPMENT]],Data[],52,FALSE)</f>
        <v>FEDERAL</v>
      </c>
      <c r="E301" s="9" t="str">
        <f>VLOOKUP(IntComp[[#This Row],[DEVELOPMENT]],Data[],8,FALSE)</f>
        <v>Zone 3</v>
      </c>
      <c r="F301" s="9">
        <f>VLOOKUP(IntComp[[#This Row],[DEVELOPMENT]],all[[DEVELOPMENT]:[MRST Ext. Comp. Priority]],13,FALSE)</f>
        <v>2</v>
      </c>
      <c r="G301" s="9">
        <f>IF(VLOOKUP(IntComp[[#This Row],[DEVELOPMENT]],Data[],9,FALSE)=0,5,VLOOKUP(IntComp[[#This Row],[DEVELOPMENT]],Data[],9,FALSE))</f>
        <v>4</v>
      </c>
      <c r="H301" s="9">
        <f>VLOOKUP(IntComp[[#This Row],[DEVELOPMENT]],Data[],7,FALSE)</f>
        <v>51</v>
      </c>
      <c r="I301" s="9">
        <f>VLOOKUP(IntComp[[#This Row],[DEVELOPMENT]],Data[],5,FALSE)</f>
        <v>2</v>
      </c>
      <c r="J301" s="9"/>
      <c r="K301" s="9" t="str">
        <f ca="1">IFERROR(VLOOKUP(IntComp[[#This Row],[DEVELOPMENT]],Data[],4,FALSE),"")</f>
        <v>2020-2021</v>
      </c>
      <c r="L301" s="9" t="str">
        <f ca="1">IF(IntComp[[#This Row],[RAD/PACT]]="","",IF(OR(IntComp[[#This Row],[RAD/PACT]]="2022-2025",IntComp[[#This Row],[RAD/PACT]]=2019,IntComp[[#This Row],[RAD/PACT]]="2020-2021"),"Yes",""))</f>
        <v>Yes</v>
      </c>
      <c r="M301" s="1">
        <f ca="1">IF(VLOOKUP(IntComp[[#This Row],[DEVELOPMENT]],Data[],10,FALSE)=0,-1,DATEDIF(VLOOKUP(IntComp[[#This Row],[DEVELOPMENT]],Data[],12,FALSE),TODAY(),"Y"))</f>
        <v>14</v>
      </c>
      <c r="N301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301" s="1"/>
      <c r="P301" s="1"/>
      <c r="Q301" s="1"/>
      <c r="R301" s="47">
        <f ca="1">(IntComp[[#This Row],['# to Replace (MRST)]]*INDEX(UnitCosts[#All],MATCH(IntComp[[#This Row],[WORK TYPE]],UnitCosts[Work Type],0)+1,2))*(1+((IntComp[[#This Row],[est. Year]]-YEAR(TODAY()))*$R$2))</f>
        <v>0</v>
      </c>
      <c r="S301" s="1">
        <f ca="1">SUM(INDEX(IntComp['# to Replace (MRST)],1):IntComp[[#This Row],['# to Replace (MRST)]])-272</f>
        <v>1489</v>
      </c>
      <c r="T301" s="1"/>
      <c r="U301" s="1">
        <f ca="1">IF(ISBLANK(IntComp[[#This Row],[CALENDAR YEAR]]),ROUNDDOWN(IntComp[[#This Row],[Count]]/190,0)+$U$1,IntComp[[#This Row],[CALENDAR YEAR]])</f>
        <v>2028</v>
      </c>
      <c r="V301" s="3">
        <f t="shared" ca="1" si="5"/>
        <v>14212352</v>
      </c>
      <c r="W301" s="51"/>
      <c r="X301"/>
    </row>
    <row r="302" spans="1:24">
      <c r="A302" s="1" t="s">
        <v>87</v>
      </c>
      <c r="B302" s="1" t="str">
        <f>VLOOKUP(A302,Data[],2,FALSE)</f>
        <v>MANHATTAN</v>
      </c>
      <c r="C302" s="9" t="s">
        <v>106</v>
      </c>
      <c r="D302" s="9" t="str">
        <f>VLOOKUP(IntComp[[#This Row],[DEVELOPMENT]],Data[],52,FALSE)</f>
        <v>FEDERAL</v>
      </c>
      <c r="E302" s="9" t="str">
        <f>VLOOKUP(IntComp[[#This Row],[DEVELOPMENT]],Data[],8,FALSE)</f>
        <v>Zone 3</v>
      </c>
      <c r="F302" s="9">
        <f>VLOOKUP(IntComp[[#This Row],[DEVELOPMENT]],all[[DEVELOPMENT]:[MRST Ext. Comp. Priority]],13,FALSE)</f>
        <v>4</v>
      </c>
      <c r="G302" s="9">
        <f>IF(VLOOKUP(IntComp[[#This Row],[DEVELOPMENT]],Data[],9,FALSE)=0,5,VLOOKUP(IntComp[[#This Row],[DEVELOPMENT]],Data[],9,FALSE))</f>
        <v>4</v>
      </c>
      <c r="H302" s="9">
        <f>VLOOKUP(IntComp[[#This Row],[DEVELOPMENT]],Data[],7,FALSE)</f>
        <v>46</v>
      </c>
      <c r="I302" s="9">
        <f>VLOOKUP(IntComp[[#This Row],[DEVELOPMENT]],Data[],5,FALSE)</f>
        <v>3</v>
      </c>
      <c r="J302" s="9"/>
      <c r="K302" s="9" t="str">
        <f ca="1">IFERROR(VLOOKUP(IntComp[[#This Row],[DEVELOPMENT]],Data[],4,FALSE),"")</f>
        <v>2020-2021</v>
      </c>
      <c r="L302" s="9" t="str">
        <f ca="1">IF(IntComp[[#This Row],[RAD/PACT]]="","",IF(OR(IntComp[[#This Row],[RAD/PACT]]="2022-2025",IntComp[[#This Row],[RAD/PACT]]=2019,IntComp[[#This Row],[RAD/PACT]]="2020-2021"),"Yes",""))</f>
        <v>Yes</v>
      </c>
      <c r="M302" s="1">
        <f ca="1">IF(VLOOKUP(IntComp[[#This Row],[DEVELOPMENT]],Data[],10,FALSE)=0,-1,DATEDIF(VLOOKUP(IntComp[[#This Row],[DEVELOPMENT]],Data[],12,FALSE),TODAY(),"Y"))</f>
        <v>14</v>
      </c>
      <c r="N302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302" s="1"/>
      <c r="P302" s="1"/>
      <c r="Q302" s="1"/>
      <c r="R302" s="47">
        <f ca="1">(IntComp[[#This Row],['# to Replace (MRST)]]*INDEX(UnitCosts[#All],MATCH(IntComp[[#This Row],[WORK TYPE]],UnitCosts[Work Type],0)+1,2))*(1+((IntComp[[#This Row],[est. Year]]-YEAR(TODAY()))*$R$2))</f>
        <v>0</v>
      </c>
      <c r="S302" s="1">
        <f ca="1">SUM(INDEX(IntComp['# to Replace (MRST)],1):IntComp[[#This Row],['# to Replace (MRST)]])-272</f>
        <v>1489</v>
      </c>
      <c r="T302" s="1"/>
      <c r="U302" s="1">
        <f ca="1">IF(ISBLANK(IntComp[[#This Row],[CALENDAR YEAR]]),ROUNDDOWN(IntComp[[#This Row],[Count]]/190,0)+$U$1,IntComp[[#This Row],[CALENDAR YEAR]])</f>
        <v>2028</v>
      </c>
      <c r="V302" s="3">
        <f t="shared" ca="1" si="5"/>
        <v>14212352</v>
      </c>
      <c r="W302" s="71"/>
      <c r="X302"/>
    </row>
    <row r="303" spans="1:24">
      <c r="A303" s="1" t="s">
        <v>301</v>
      </c>
      <c r="B303" s="9" t="str">
        <f>VLOOKUP(A303,Data[],2,FALSE)</f>
        <v>QUEENS</v>
      </c>
      <c r="C303" s="9" t="s">
        <v>106</v>
      </c>
      <c r="D303" s="9" t="str">
        <f>VLOOKUP(IntComp[[#This Row],[DEVELOPMENT]],Data[],52,FALSE)</f>
        <v>FEDERAL</v>
      </c>
      <c r="E303" s="50">
        <f>VLOOKUP(IntComp[[#This Row],[DEVELOPMENT]],Data[],8,FALSE)</f>
        <v>0</v>
      </c>
      <c r="F303" s="50" t="str">
        <f>VLOOKUP(IntComp[[#This Row],[DEVELOPMENT]],all[[DEVELOPMENT]:[MRST Ext. Comp. Priority]],13,FALSE)</f>
        <v>None</v>
      </c>
      <c r="G303" s="50">
        <f>IF(VLOOKUP(IntComp[[#This Row],[DEVELOPMENT]],Data[],9,FALSE)=0,5,VLOOKUP(IntComp[[#This Row],[DEVELOPMENT]],Data[],9,FALSE))</f>
        <v>5</v>
      </c>
      <c r="H303" s="50">
        <f>VLOOKUP(IntComp[[#This Row],[DEVELOPMENT]],Data[],7,FALSE)</f>
        <v>712</v>
      </c>
      <c r="I303" s="50">
        <f>VLOOKUP(IntComp[[#This Row],[DEVELOPMENT]],Data[],5,FALSE)</f>
        <v>4</v>
      </c>
      <c r="J303" s="50"/>
      <c r="K303" s="50" t="str">
        <f ca="1">IFERROR(VLOOKUP(IntComp[[#This Row],[DEVELOPMENT]],Data[],4,FALSE),"")</f>
        <v>2026+</v>
      </c>
      <c r="L303" s="50" t="str">
        <f ca="1">IF(IntComp[[#This Row],[RAD/PACT]]="","",IF(OR(IntComp[[#This Row],[RAD/PACT]]="2022-2025",IntComp[[#This Row],[RAD/PACT]]=2019,IntComp[[#This Row],[RAD/PACT]]="2020-2021"),"Yes",""))</f>
        <v/>
      </c>
      <c r="M303" s="51">
        <f ca="1">IF(VLOOKUP(IntComp[[#This Row],[DEVELOPMENT]],Data[],10,FALSE)=0,-1,DATEDIF(VLOOKUP(IntComp[[#This Row],[DEVELOPMENT]],Data[],12,FALSE),TODAY(),"Y"))</f>
        <v>17</v>
      </c>
      <c r="N303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6</v>
      </c>
      <c r="O303" s="51"/>
      <c r="P303" s="51"/>
      <c r="Q303" s="51"/>
      <c r="R303" s="47">
        <f ca="1">(IntComp[[#This Row],['# to Replace (MRST)]]*INDEX(UnitCosts[#All],MATCH(IntComp[[#This Row],[WORK TYPE]],UnitCosts[Work Type],0)+1,2))*(1+((IntComp[[#This Row],[est. Year]]-YEAR(TODAY()))*$R$2))</f>
        <v>484512</v>
      </c>
      <c r="S303" s="1">
        <f ca="1">SUM(INDEX(IntComp['# to Replace (MRST)],1):IntComp[[#This Row],['# to Replace (MRST)]])-272</f>
        <v>1495</v>
      </c>
      <c r="T303" s="51"/>
      <c r="U303" s="51">
        <f ca="1">IF(ISBLANK(IntComp[[#This Row],[CALENDAR YEAR]]),ROUNDDOWN(IntComp[[#This Row],[Count]]/190,0)+$U$1,IntComp[[#This Row],[CALENDAR YEAR]])</f>
        <v>2028</v>
      </c>
      <c r="V303" s="85">
        <f t="shared" ca="1" si="5"/>
        <v>14696864</v>
      </c>
      <c r="W303" s="71"/>
      <c r="X303"/>
    </row>
    <row r="304" spans="1:24">
      <c r="A304" s="1" t="s">
        <v>189</v>
      </c>
      <c r="B304" s="9" t="str">
        <f>VLOOKUP(A304,Data[],2,FALSE)</f>
        <v>BRONX</v>
      </c>
      <c r="C304" s="9" t="s">
        <v>106</v>
      </c>
      <c r="D304" s="9" t="str">
        <f>VLOOKUP(IntComp[[#This Row],[DEVELOPMENT]],Data[],52,FALSE)</f>
        <v>FEDERAL</v>
      </c>
      <c r="E304" s="50" t="str">
        <f>VLOOKUP(IntComp[[#This Row],[DEVELOPMENT]],Data[],8,FALSE)</f>
        <v>Zone 3</v>
      </c>
      <c r="F304" s="50" t="str">
        <f>VLOOKUP(IntComp[[#This Row],[DEVELOPMENT]],all[[DEVELOPMENT]:[MRST Ext. Comp. Priority]],13,FALSE)</f>
        <v>None</v>
      </c>
      <c r="G304" s="50">
        <f>IF(VLOOKUP(IntComp[[#This Row],[DEVELOPMENT]],Data[],9,FALSE)=0,5,VLOOKUP(IntComp[[#This Row],[DEVELOPMENT]],Data[],9,FALSE))</f>
        <v>5</v>
      </c>
      <c r="H304" s="50">
        <f>VLOOKUP(IntComp[[#This Row],[DEVELOPMENT]],Data[],7,FALSE)</f>
        <v>226</v>
      </c>
      <c r="I304" s="50">
        <f>VLOOKUP(IntComp[[#This Row],[DEVELOPMENT]],Data[],5,FALSE)</f>
        <v>2</v>
      </c>
      <c r="J304" s="50"/>
      <c r="K304" s="50" t="str">
        <f ca="1">IFERROR(VLOOKUP(IntComp[[#This Row],[DEVELOPMENT]],Data[],4,FALSE),"")</f>
        <v/>
      </c>
      <c r="L304" s="50" t="str">
        <f ca="1">IF(IntComp[[#This Row],[RAD/PACT]]="","",IF(OR(IntComp[[#This Row],[RAD/PACT]]="2022-2025",IntComp[[#This Row],[RAD/PACT]]=2019,IntComp[[#This Row],[RAD/PACT]]="2020-2021"),"Yes",""))</f>
        <v/>
      </c>
      <c r="M304" s="51">
        <f ca="1">IF(VLOOKUP(IntComp[[#This Row],[DEVELOPMENT]],Data[],10,FALSE)=0,-1,DATEDIF(VLOOKUP(IntComp[[#This Row],[DEVELOPMENT]],Data[],12,FALSE),TODAY(),"Y"))</f>
        <v>17</v>
      </c>
      <c r="N30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2</v>
      </c>
      <c r="O304" s="51"/>
      <c r="P304" s="51"/>
      <c r="Q304" s="51"/>
      <c r="R304" s="47">
        <f ca="1">(IntComp[[#This Row],['# to Replace (MRST)]]*INDEX(UnitCosts[#All],MATCH(IntComp[[#This Row],[WORK TYPE]],UnitCosts[Work Type],0)+1,2))*(1+((IntComp[[#This Row],[est. Year]]-YEAR(TODAY()))*$R$2))</f>
        <v>161504</v>
      </c>
      <c r="S304" s="1">
        <f ca="1">SUM(INDEX(IntComp['# to Replace (MRST)],1):IntComp[[#This Row],['# to Replace (MRST)]])-272</f>
        <v>1497</v>
      </c>
      <c r="T304" s="51"/>
      <c r="U304" s="51">
        <f ca="1">IF(ISBLANK(IntComp[[#This Row],[CALENDAR YEAR]]),ROUNDDOWN(IntComp[[#This Row],[Count]]/190,0)+$U$1,IntComp[[#This Row],[CALENDAR YEAR]])</f>
        <v>2028</v>
      </c>
      <c r="V304" s="85">
        <f t="shared" ca="1" si="5"/>
        <v>14858368</v>
      </c>
      <c r="W304" s="71"/>
      <c r="X304"/>
    </row>
    <row r="305" spans="1:24">
      <c r="A305" s="1" t="s">
        <v>357</v>
      </c>
      <c r="B305" s="9" t="str">
        <f>VLOOKUP(A305,Data[],2,FALSE)</f>
        <v>STATEN ISLAND</v>
      </c>
      <c r="C305" s="9" t="s">
        <v>106</v>
      </c>
      <c r="D305" s="9" t="str">
        <f>VLOOKUP(IntComp[[#This Row],[DEVELOPMENT]],Data[],52,FALSE)</f>
        <v>FEDERAL</v>
      </c>
      <c r="E305" s="50">
        <f>VLOOKUP(IntComp[[#This Row],[DEVELOPMENT]],Data[],8,FALSE)</f>
        <v>0</v>
      </c>
      <c r="F305" s="50" t="str">
        <f>VLOOKUP(IntComp[[#This Row],[DEVELOPMENT]],all[[DEVELOPMENT]:[MRST Ext. Comp. Priority]],13,FALSE)</f>
        <v>None</v>
      </c>
      <c r="G305" s="50">
        <f>IF(VLOOKUP(IntComp[[#This Row],[DEVELOPMENT]],Data[],9,FALSE)=0,5,VLOOKUP(IntComp[[#This Row],[DEVELOPMENT]],Data[],9,FALSE))</f>
        <v>5</v>
      </c>
      <c r="H305" s="50">
        <f>VLOOKUP(IntComp[[#This Row],[DEVELOPMENT]],Data[],7,FALSE)</f>
        <v>488</v>
      </c>
      <c r="I305" s="50">
        <f>VLOOKUP(IntComp[[#This Row],[DEVELOPMENT]],Data[],5,FALSE)</f>
        <v>6</v>
      </c>
      <c r="J305" s="50"/>
      <c r="K305" s="50" t="str">
        <f ca="1">IFERROR(VLOOKUP(IntComp[[#This Row],[DEVELOPMENT]],Data[],4,FALSE),"")</f>
        <v/>
      </c>
      <c r="L305" s="50" t="str">
        <f ca="1">IF(IntComp[[#This Row],[RAD/PACT]]="","",IF(OR(IntComp[[#This Row],[RAD/PACT]]="2022-2025",IntComp[[#This Row],[RAD/PACT]]=2019,IntComp[[#This Row],[RAD/PACT]]="2020-2021"),"Yes",""))</f>
        <v/>
      </c>
      <c r="M305" s="51">
        <f ca="1">IF(VLOOKUP(IntComp[[#This Row],[DEVELOPMENT]],Data[],10,FALSE)=0,-1,DATEDIF(VLOOKUP(IntComp[[#This Row],[DEVELOPMENT]],Data[],12,FALSE),TODAY(),"Y"))</f>
        <v>16</v>
      </c>
      <c r="N305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6</v>
      </c>
      <c r="O305" s="51"/>
      <c r="P305" s="51"/>
      <c r="Q305" s="51"/>
      <c r="R305" s="47">
        <f ca="1">(IntComp[[#This Row],['# to Replace (MRST)]]*INDEX(UnitCosts[#All],MATCH(IntComp[[#This Row],[WORK TYPE]],UnitCosts[Work Type],0)+1,2))*(1+((IntComp[[#This Row],[est. Year]]-YEAR(TODAY()))*$R$2))</f>
        <v>484512</v>
      </c>
      <c r="S305" s="1">
        <f ca="1">SUM(INDEX(IntComp['# to Replace (MRST)],1):IntComp[[#This Row],['# to Replace (MRST)]])-272</f>
        <v>1503</v>
      </c>
      <c r="T305" s="51"/>
      <c r="U305" s="51">
        <f ca="1">IF(ISBLANK(IntComp[[#This Row],[CALENDAR YEAR]]),ROUNDDOWN(IntComp[[#This Row],[Count]]/190,0)+$U$1,IntComp[[#This Row],[CALENDAR YEAR]])</f>
        <v>2028</v>
      </c>
      <c r="V305" s="85">
        <f t="shared" ca="1" si="5"/>
        <v>15342880</v>
      </c>
      <c r="W305" s="71"/>
      <c r="X305"/>
    </row>
    <row r="306" spans="1:24">
      <c r="A306" s="1" t="s">
        <v>339</v>
      </c>
      <c r="B306" s="9" t="str">
        <f>VLOOKUP(A306,Data[],2,FALSE)</f>
        <v>QUEENS</v>
      </c>
      <c r="C306" s="9" t="s">
        <v>106</v>
      </c>
      <c r="D306" s="9" t="str">
        <f>VLOOKUP(IntComp[[#This Row],[DEVELOPMENT]],Data[],52,FALSE)</f>
        <v>FEDERAL</v>
      </c>
      <c r="E306" s="50">
        <f>VLOOKUP(IntComp[[#This Row],[DEVELOPMENT]],Data[],8,FALSE)</f>
        <v>0</v>
      </c>
      <c r="F306" s="50" t="str">
        <f>VLOOKUP(IntComp[[#This Row],[DEVELOPMENT]],all[[DEVELOPMENT]:[MRST Ext. Comp. Priority]],13,FALSE)</f>
        <v>None</v>
      </c>
      <c r="G306" s="50">
        <f>IF(VLOOKUP(IntComp[[#This Row],[DEVELOPMENT]],Data[],9,FALSE)=0,5,VLOOKUP(IntComp[[#This Row],[DEVELOPMENT]],Data[],9,FALSE))</f>
        <v>5</v>
      </c>
      <c r="H306" s="50">
        <f>VLOOKUP(IntComp[[#This Row],[DEVELOPMENT]],Data[],7,FALSE)</f>
        <v>83</v>
      </c>
      <c r="I306" s="50">
        <f>VLOOKUP(IntComp[[#This Row],[DEVELOPMENT]],Data[],5,FALSE)</f>
        <v>1</v>
      </c>
      <c r="J306" s="50"/>
      <c r="K306" s="50" t="str">
        <f ca="1">IFERROR(VLOOKUP(IntComp[[#This Row],[DEVELOPMENT]],Data[],4,FALSE),"")</f>
        <v/>
      </c>
      <c r="L306" s="50" t="str">
        <f ca="1">IF(IntComp[[#This Row],[RAD/PACT]]="","",IF(OR(IntComp[[#This Row],[RAD/PACT]]="2022-2025",IntComp[[#This Row],[RAD/PACT]]=2019,IntComp[[#This Row],[RAD/PACT]]="2020-2021"),"Yes",""))</f>
        <v/>
      </c>
      <c r="M306" s="51">
        <f ca="1">IF(VLOOKUP(IntComp[[#This Row],[DEVELOPMENT]],Data[],10,FALSE)=0,-1,DATEDIF(VLOOKUP(IntComp[[#This Row],[DEVELOPMENT]],Data[],12,FALSE),TODAY(),"Y"))</f>
        <v>12</v>
      </c>
      <c r="N306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1</v>
      </c>
      <c r="O306" s="51"/>
      <c r="P306" s="51"/>
      <c r="Q306" s="51"/>
      <c r="R306" s="47">
        <f ca="1">(IntComp[[#This Row],['# to Replace (MRST)]]*INDEX(UnitCosts[#All],MATCH(IntComp[[#This Row],[WORK TYPE]],UnitCosts[Work Type],0)+1,2))*(1+((IntComp[[#This Row],[est. Year]]-YEAR(TODAY()))*$R$2))</f>
        <v>80752</v>
      </c>
      <c r="S306" s="1">
        <f ca="1">SUM(INDEX(IntComp['# to Replace (MRST)],1):IntComp[[#This Row],['# to Replace (MRST)]])-272</f>
        <v>1504</v>
      </c>
      <c r="T306" s="51"/>
      <c r="U306" s="51">
        <f ca="1">IF(ISBLANK(IntComp[[#This Row],[CALENDAR YEAR]]),ROUNDDOWN(IntComp[[#This Row],[Count]]/190,0)+$U$1,IntComp[[#This Row],[CALENDAR YEAR]])</f>
        <v>2028</v>
      </c>
      <c r="V306" s="85">
        <f t="shared" ca="1" si="5"/>
        <v>15423632</v>
      </c>
      <c r="W306" s="71"/>
      <c r="X306"/>
    </row>
    <row r="307" spans="1:24">
      <c r="A307" s="1" t="s">
        <v>308</v>
      </c>
      <c r="B307" s="9" t="str">
        <f>VLOOKUP(A307,Data[],2,FALSE)</f>
        <v>STATEN ISLAND</v>
      </c>
      <c r="C307" s="9" t="s">
        <v>106</v>
      </c>
      <c r="D307" s="9" t="str">
        <f>VLOOKUP(IntComp[[#This Row],[DEVELOPMENT]],Data[],52,FALSE)</f>
        <v>FEDERAL</v>
      </c>
      <c r="E307" s="50">
        <f>VLOOKUP(IntComp[[#This Row],[DEVELOPMENT]],Data[],8,FALSE)</f>
        <v>0</v>
      </c>
      <c r="F307" s="50" t="str">
        <f>VLOOKUP(IntComp[[#This Row],[DEVELOPMENT]],all[[DEVELOPMENT]:[MRST Ext. Comp. Priority]],13,FALSE)</f>
        <v>None</v>
      </c>
      <c r="G307" s="50">
        <f>IF(VLOOKUP(IntComp[[#This Row],[DEVELOPMENT]],Data[],9,FALSE)=0,5,VLOOKUP(IntComp[[#This Row],[DEVELOPMENT]],Data[],9,FALSE))</f>
        <v>5</v>
      </c>
      <c r="H307" s="50">
        <f>VLOOKUP(IntComp[[#This Row],[DEVELOPMENT]],Data[],7,FALSE)</f>
        <v>378</v>
      </c>
      <c r="I307" s="50">
        <f>VLOOKUP(IntComp[[#This Row],[DEVELOPMENT]],Data[],5,FALSE)</f>
        <v>4</v>
      </c>
      <c r="J307" s="50"/>
      <c r="K307" s="50" t="str">
        <f ca="1">IFERROR(VLOOKUP(IntComp[[#This Row],[DEVELOPMENT]],Data[],4,FALSE),"")</f>
        <v/>
      </c>
      <c r="L307" s="50" t="str">
        <f ca="1">IF(IntComp[[#This Row],[RAD/PACT]]="","",IF(OR(IntComp[[#This Row],[RAD/PACT]]="2022-2025",IntComp[[#This Row],[RAD/PACT]]=2019,IntComp[[#This Row],[RAD/PACT]]="2020-2021"),"Yes",""))</f>
        <v/>
      </c>
      <c r="M307" s="51">
        <f ca="1">IF(VLOOKUP(IntComp[[#This Row],[DEVELOPMENT]],Data[],10,FALSE)=0,-1,DATEDIF(VLOOKUP(IntComp[[#This Row],[DEVELOPMENT]],Data[],12,FALSE),TODAY(),"Y"))</f>
        <v>8</v>
      </c>
      <c r="N307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4</v>
      </c>
      <c r="O307" s="51"/>
      <c r="P307" s="51"/>
      <c r="Q307" s="51"/>
      <c r="R307" s="47">
        <f ca="1">(IntComp[[#This Row],['# to Replace (MRST)]]*INDEX(UnitCosts[#All],MATCH(IntComp[[#This Row],[WORK TYPE]],UnitCosts[Work Type],0)+1,2))*(1+((IntComp[[#This Row],[est. Year]]-YEAR(TODAY()))*$R$2))</f>
        <v>323008</v>
      </c>
      <c r="S307" s="1">
        <f ca="1">SUM(INDEX(IntComp['# to Replace (MRST)],1):IntComp[[#This Row],['# to Replace (MRST)]])-272</f>
        <v>1508</v>
      </c>
      <c r="T307" s="51"/>
      <c r="U307" s="51">
        <f ca="1">IF(ISBLANK(IntComp[[#This Row],[CALENDAR YEAR]]),ROUNDDOWN(IntComp[[#This Row],[Count]]/190,0)+$U$1,IntComp[[#This Row],[CALENDAR YEAR]])</f>
        <v>2028</v>
      </c>
      <c r="V307" s="85">
        <f t="shared" ca="1" si="5"/>
        <v>15746640</v>
      </c>
      <c r="W307" s="71"/>
      <c r="X307"/>
    </row>
    <row r="308" spans="1:24">
      <c r="A308" s="1" t="s">
        <v>125</v>
      </c>
      <c r="B308" s="1" t="str">
        <f>VLOOKUP(A308,Data[],2,FALSE)</f>
        <v>MANHATTAN</v>
      </c>
      <c r="C308" s="9" t="s">
        <v>106</v>
      </c>
      <c r="D308" s="9" t="str">
        <f>VLOOKUP(IntComp[[#This Row],[DEVELOPMENT]],Data[],52,FALSE)</f>
        <v>FEDERAL</v>
      </c>
      <c r="E308" s="9" t="str">
        <f>VLOOKUP(IntComp[[#This Row],[DEVELOPMENT]],Data[],8,FALSE)</f>
        <v>Zone 2</v>
      </c>
      <c r="F308" s="9">
        <f>VLOOKUP(IntComp[[#This Row],[DEVELOPMENT]],all[[DEVELOPMENT]:[MRST Ext. Comp. Priority]],13,FALSE)</f>
        <v>3</v>
      </c>
      <c r="G308" s="9">
        <f>IF(VLOOKUP(IntComp[[#This Row],[DEVELOPMENT]],Data[],9,FALSE)=0,5,VLOOKUP(IntComp[[#This Row],[DEVELOPMENT]],Data[],9,FALSE))</f>
        <v>4</v>
      </c>
      <c r="H308" s="9">
        <f>VLOOKUP(IntComp[[#This Row],[DEVELOPMENT]],Data[],7,FALSE)</f>
        <v>448</v>
      </c>
      <c r="I308" s="9">
        <f>VLOOKUP(IntComp[[#This Row],[DEVELOPMENT]],Data[],5,FALSE)</f>
        <v>4</v>
      </c>
      <c r="J308" s="9"/>
      <c r="K308" s="9" t="str">
        <f ca="1">IFERROR(VLOOKUP(IntComp[[#This Row],[DEVELOPMENT]],Data[],4,FALSE),"")</f>
        <v>2022-2025</v>
      </c>
      <c r="L308" s="9" t="str">
        <f ca="1">IF(IntComp[[#This Row],[RAD/PACT]]="","",IF(OR(IntComp[[#This Row],[RAD/PACT]]="2022-2025",IntComp[[#This Row],[RAD/PACT]]=2019,IntComp[[#This Row],[RAD/PACT]]="2020-2021"),"Yes",""))</f>
        <v>Yes</v>
      </c>
      <c r="M308" s="1">
        <f ca="1">IF(VLOOKUP(IntComp[[#This Row],[DEVELOPMENT]],Data[],10,FALSE)=0,-1,DATEDIF(VLOOKUP(IntComp[[#This Row],[DEVELOPMENT]],Data[],12,FALSE),TODAY(),"Y"))</f>
        <v>10</v>
      </c>
      <c r="N308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308" s="1"/>
      <c r="P308" s="1"/>
      <c r="Q308" s="1"/>
      <c r="R308" s="47">
        <f ca="1">(IntComp[[#This Row],['# to Replace (MRST)]]*INDEX(UnitCosts[#All],MATCH(IntComp[[#This Row],[WORK TYPE]],UnitCosts[Work Type],0)+1,2))*(1+((IntComp[[#This Row],[est. Year]]-YEAR(TODAY()))*$R$2))</f>
        <v>0</v>
      </c>
      <c r="S308" s="1">
        <f ca="1">SUM(INDEX(IntComp['# to Replace (MRST)],1):IntComp[[#This Row],['# to Replace (MRST)]])-272</f>
        <v>1508</v>
      </c>
      <c r="T308" s="1"/>
      <c r="U308" s="1">
        <f ca="1">IF(ISBLANK(IntComp[[#This Row],[CALENDAR YEAR]]),ROUNDDOWN(IntComp[[#This Row],[Count]]/190,0)+$U$1,IntComp[[#This Row],[CALENDAR YEAR]])</f>
        <v>2028</v>
      </c>
      <c r="V308" s="3">
        <f t="shared" ref="V308:V314" ca="1" si="6">IF(U308=U307,R308+V307,R308)</f>
        <v>15746640</v>
      </c>
      <c r="W308" s="71"/>
      <c r="X308"/>
    </row>
    <row r="309" spans="1:24">
      <c r="A309" s="1" t="s">
        <v>79</v>
      </c>
      <c r="B309" s="1" t="str">
        <f>VLOOKUP(A309,Data[],2,FALSE)</f>
        <v>MANHATTAN</v>
      </c>
      <c r="C309" s="9" t="s">
        <v>106</v>
      </c>
      <c r="D309" s="9" t="str">
        <f>VLOOKUP(IntComp[[#This Row],[DEVELOPMENT]],Data[],52,FALSE)</f>
        <v>FEDERAL</v>
      </c>
      <c r="E309" s="9" t="str">
        <f>VLOOKUP(IntComp[[#This Row],[DEVELOPMENT]],Data[],8,FALSE)</f>
        <v>Zone 3</v>
      </c>
      <c r="F309" s="9">
        <f>VLOOKUP(IntComp[[#This Row],[DEVELOPMENT]],all[[DEVELOPMENT]:[MRST Ext. Comp. Priority]],13,FALSE)</f>
        <v>4</v>
      </c>
      <c r="G309" s="9">
        <f>IF(VLOOKUP(IntComp[[#This Row],[DEVELOPMENT]],Data[],9,FALSE)=0,5,VLOOKUP(IntComp[[#This Row],[DEVELOPMENT]],Data[],9,FALSE))</f>
        <v>4</v>
      </c>
      <c r="H309" s="9">
        <f>VLOOKUP(IntComp[[#This Row],[DEVELOPMENT]],Data[],7,FALSE)</f>
        <v>226</v>
      </c>
      <c r="I309" s="9">
        <f>VLOOKUP(IntComp[[#This Row],[DEVELOPMENT]],Data[],5,FALSE)</f>
        <v>1</v>
      </c>
      <c r="J309" s="9"/>
      <c r="K309" s="9" t="str">
        <f ca="1">IFERROR(VLOOKUP(IntComp[[#This Row],[DEVELOPMENT]],Data[],4,FALSE),"")</f>
        <v>2020-2021</v>
      </c>
      <c r="L309" s="9" t="str">
        <f ca="1">IF(IntComp[[#This Row],[RAD/PACT]]="","",IF(OR(IntComp[[#This Row],[RAD/PACT]]="2022-2025",IntComp[[#This Row],[RAD/PACT]]=2019,IntComp[[#This Row],[RAD/PACT]]="2020-2021"),"Yes",""))</f>
        <v>Yes</v>
      </c>
      <c r="M309" s="1">
        <f ca="1">IF(VLOOKUP(IntComp[[#This Row],[DEVELOPMENT]],Data[],10,FALSE)=0,-1,DATEDIF(VLOOKUP(IntComp[[#This Row],[DEVELOPMENT]],Data[],12,FALSE),TODAY(),"Y"))</f>
        <v>8</v>
      </c>
      <c r="N309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309" s="1"/>
      <c r="P309" s="1"/>
      <c r="Q309" s="1"/>
      <c r="R309" s="47">
        <f ca="1">(IntComp[[#This Row],['# to Replace (MRST)]]*INDEX(UnitCosts[#All],MATCH(IntComp[[#This Row],[WORK TYPE]],UnitCosts[Work Type],0)+1,2))*(1+((IntComp[[#This Row],[est. Year]]-YEAR(TODAY()))*$R$2))</f>
        <v>0</v>
      </c>
      <c r="S309" s="1">
        <f ca="1">SUM(INDEX(IntComp['# to Replace (MRST)],1):IntComp[[#This Row],['# to Replace (MRST)]])-272</f>
        <v>1508</v>
      </c>
      <c r="T309" s="1"/>
      <c r="U309" s="1">
        <f ca="1">IF(ISBLANK(IntComp[[#This Row],[CALENDAR YEAR]]),ROUNDDOWN(IntComp[[#This Row],[Count]]/190,0)+$U$1,IntComp[[#This Row],[CALENDAR YEAR]])</f>
        <v>2028</v>
      </c>
      <c r="V309" s="3">
        <f t="shared" ca="1" si="6"/>
        <v>15746640</v>
      </c>
      <c r="W309" s="71"/>
      <c r="X309"/>
    </row>
    <row r="310" spans="1:24">
      <c r="A310" s="1" t="s">
        <v>78</v>
      </c>
      <c r="B310" s="1" t="str">
        <f>VLOOKUP(A310,Data[],2,FALSE)</f>
        <v>MANHATTAN</v>
      </c>
      <c r="C310" s="9" t="s">
        <v>106</v>
      </c>
      <c r="D310" s="9" t="str">
        <f>VLOOKUP(IntComp[[#This Row],[DEVELOPMENT]],Data[],52,FALSE)</f>
        <v>FEDERAL</v>
      </c>
      <c r="E310" s="9" t="str">
        <f>VLOOKUP(IntComp[[#This Row],[DEVELOPMENT]],Data[],8,FALSE)</f>
        <v>Zone 2</v>
      </c>
      <c r="F310" s="9">
        <f>VLOOKUP(IntComp[[#This Row],[DEVELOPMENT]],all[[DEVELOPMENT]:[MRST Ext. Comp. Priority]],13,FALSE)</f>
        <v>4</v>
      </c>
      <c r="G310" s="9">
        <f>IF(VLOOKUP(IntComp[[#This Row],[DEVELOPMENT]],Data[],9,FALSE)=0,5,VLOOKUP(IntComp[[#This Row],[DEVELOPMENT]],Data[],9,FALSE))</f>
        <v>4</v>
      </c>
      <c r="H310" s="9">
        <f>VLOOKUP(IntComp[[#This Row],[DEVELOPMENT]],Data[],7,FALSE)</f>
        <v>1156</v>
      </c>
      <c r="I310" s="9">
        <f>VLOOKUP(IntComp[[#This Row],[DEVELOPMENT]],Data[],5,FALSE)</f>
        <v>10</v>
      </c>
      <c r="J310" s="9"/>
      <c r="K310" s="9" t="str">
        <f ca="1">IFERROR(VLOOKUP(IntComp[[#This Row],[DEVELOPMENT]],Data[],4,FALSE),"")</f>
        <v>2022-2025</v>
      </c>
      <c r="L310" s="9" t="str">
        <f ca="1">IF(IntComp[[#This Row],[RAD/PACT]]="","",IF(OR(IntComp[[#This Row],[RAD/PACT]]="2022-2025",IntComp[[#This Row],[RAD/PACT]]=2019,IntComp[[#This Row],[RAD/PACT]]="2020-2021"),"Yes",""))</f>
        <v>Yes</v>
      </c>
      <c r="M310" s="1">
        <f ca="1">IF(VLOOKUP(IntComp[[#This Row],[DEVELOPMENT]],Data[],10,FALSE)=0,-1,DATEDIF(VLOOKUP(IntComp[[#This Row],[DEVELOPMENT]],Data[],12,FALSE),TODAY(),"Y"))</f>
        <v>2</v>
      </c>
      <c r="N310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310" s="1"/>
      <c r="P310" s="1"/>
      <c r="Q310" s="1"/>
      <c r="R310" s="47">
        <f ca="1">(IntComp[[#This Row],['# to Replace (MRST)]]*INDEX(UnitCosts[#All],MATCH(IntComp[[#This Row],[WORK TYPE]],UnitCosts[Work Type],0)+1,2))*(1+((IntComp[[#This Row],[est. Year]]-YEAR(TODAY()))*$R$2))</f>
        <v>0</v>
      </c>
      <c r="S310" s="1">
        <f ca="1">SUM(INDEX(IntComp['# to Replace (MRST)],1):IntComp[[#This Row],['# to Replace (MRST)]])-272</f>
        <v>1508</v>
      </c>
      <c r="T310" s="1"/>
      <c r="U310" s="1">
        <f ca="1">IF(ISBLANK(IntComp[[#This Row],[CALENDAR YEAR]]),ROUNDDOWN(IntComp[[#This Row],[Count]]/190,0)+$U$1,IntComp[[#This Row],[CALENDAR YEAR]])</f>
        <v>2028</v>
      </c>
      <c r="V310" s="3">
        <f t="shared" ca="1" si="6"/>
        <v>15746640</v>
      </c>
      <c r="W310" s="71"/>
      <c r="X310"/>
    </row>
    <row r="311" spans="1:24">
      <c r="A311" s="9" t="s">
        <v>143</v>
      </c>
      <c r="B311" s="1" t="str">
        <f>VLOOKUP(A311,Data[],2,FALSE)</f>
        <v>BRONX</v>
      </c>
      <c r="C311" s="9" t="s">
        <v>106</v>
      </c>
      <c r="D311" s="9" t="str">
        <f>VLOOKUP(IntComp[[#This Row],[DEVELOPMENT]],Data[],52,FALSE)</f>
        <v>FEDERAL</v>
      </c>
      <c r="E311" s="9" t="str">
        <f>VLOOKUP(IntComp[[#This Row],[DEVELOPMENT]],Data[],8,FALSE)</f>
        <v>Zone 1</v>
      </c>
      <c r="F311" s="9">
        <f>VLOOKUP(IntComp[[#This Row],[DEVELOPMENT]],all[[DEVELOPMENT]:[MRST Ext. Comp. Priority]],13,FALSE)</f>
        <v>4</v>
      </c>
      <c r="G311" s="9">
        <f>IF(VLOOKUP(IntComp[[#This Row],[DEVELOPMENT]],Data[],9,FALSE)=0,5,VLOOKUP(IntComp[[#This Row],[DEVELOPMENT]],Data[],9,FALSE))</f>
        <v>4</v>
      </c>
      <c r="H311" s="9">
        <f>VLOOKUP(IntComp[[#This Row],[DEVELOPMENT]],Data[],7,FALSE)</f>
        <v>106</v>
      </c>
      <c r="I311" s="9">
        <f>VLOOKUP(IntComp[[#This Row],[DEVELOPMENT]],Data[],5,FALSE)</f>
        <v>6</v>
      </c>
      <c r="J311" s="9"/>
      <c r="K311" s="9" t="str">
        <f ca="1">IFERROR(VLOOKUP(IntComp[[#This Row],[DEVELOPMENT]],Data[],4,FALSE),"")</f>
        <v>2022-2025</v>
      </c>
      <c r="L311" s="9" t="str">
        <f ca="1">IF(IntComp[[#This Row],[RAD/PACT]]="","",IF(OR(IntComp[[#This Row],[RAD/PACT]]="2022-2025",IntComp[[#This Row],[RAD/PACT]]=2019,IntComp[[#This Row],[RAD/PACT]]="2020-2021"),"Yes",""))</f>
        <v>Yes</v>
      </c>
      <c r="M311" s="1">
        <f ca="1">IF(VLOOKUP(IntComp[[#This Row],[DEVELOPMENT]],Data[],10,FALSE)=0,-1,DATEDIF(VLOOKUP(IntComp[[#This Row],[DEVELOPMENT]],Data[],12,FALSE),TODAY(),"Y"))</f>
        <v>1</v>
      </c>
      <c r="N311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311" s="1"/>
      <c r="P311" s="1"/>
      <c r="Q311" s="1"/>
      <c r="R311" s="47">
        <f ca="1">(IntComp[[#This Row],['# to Replace (MRST)]]*INDEX(UnitCosts[#All],MATCH(IntComp[[#This Row],[WORK TYPE]],UnitCosts[Work Type],0)+1,2))*(1+((IntComp[[#This Row],[est. Year]]-YEAR(TODAY()))*$R$2))</f>
        <v>0</v>
      </c>
      <c r="S311" s="1">
        <f ca="1">SUM(INDEX(IntComp['# to Replace (MRST)],1):IntComp[[#This Row],['# to Replace (MRST)]])-272</f>
        <v>1508</v>
      </c>
      <c r="T311" s="1"/>
      <c r="U311" s="1">
        <f ca="1">IF(ISBLANK(IntComp[[#This Row],[CALENDAR YEAR]]),ROUNDDOWN(IntComp[[#This Row],[Count]]/190,0)+$U$1,IntComp[[#This Row],[CALENDAR YEAR]])</f>
        <v>2028</v>
      </c>
      <c r="V311" s="3">
        <f t="shared" ca="1" si="6"/>
        <v>15746640</v>
      </c>
      <c r="W311" s="71"/>
      <c r="X311"/>
    </row>
    <row r="312" spans="1:24">
      <c r="A312" s="1" t="s">
        <v>343</v>
      </c>
      <c r="B312" s="1" t="str">
        <f>VLOOKUP(A312,Data[],2,FALSE)</f>
        <v>BROOKLYN</v>
      </c>
      <c r="C312" s="9" t="s">
        <v>106</v>
      </c>
      <c r="D312" s="9" t="str">
        <f>VLOOKUP(IntComp[[#This Row],[DEVELOPMENT]],Data[],52,FALSE)</f>
        <v>FEDERAL</v>
      </c>
      <c r="E312" s="50" t="str">
        <f>VLOOKUP(IntComp[[#This Row],[DEVELOPMENT]],Data[],8,FALSE)</f>
        <v>Zone 1</v>
      </c>
      <c r="F312" s="50">
        <f>VLOOKUP(IntComp[[#This Row],[DEVELOPMENT]],all[[DEVELOPMENT]:[MRST Ext. Comp. Priority]],13,FALSE)</f>
        <v>2</v>
      </c>
      <c r="G312" s="9">
        <f>IF(VLOOKUP(IntComp[[#This Row],[DEVELOPMENT]],Data[],9,FALSE)=0,5,VLOOKUP(IntComp[[#This Row],[DEVELOPMENT]],Data[],9,FALSE))</f>
        <v>4</v>
      </c>
      <c r="H312" s="50">
        <f>VLOOKUP(IntComp[[#This Row],[DEVELOPMENT]],Data[],7,FALSE)</f>
        <v>48</v>
      </c>
      <c r="I312" s="50">
        <f>VLOOKUP(IntComp[[#This Row],[DEVELOPMENT]],Data[],5,FALSE)</f>
        <v>2</v>
      </c>
      <c r="J312" s="9"/>
      <c r="K312" s="50">
        <f ca="1">IFERROR(VLOOKUP(IntComp[[#This Row],[DEVELOPMENT]],Data[],4,FALSE),"")</f>
        <v>2019</v>
      </c>
      <c r="L312" s="50" t="str">
        <f ca="1">IF(IntComp[[#This Row],[RAD/PACT]]="","",IF(OR(IntComp[[#This Row],[RAD/PACT]]="2022-2025",IntComp[[#This Row],[RAD/PACT]]=2019,IntComp[[#This Row],[RAD/PACT]]="2020-2021"),"Yes",""))</f>
        <v>Yes</v>
      </c>
      <c r="M312" s="51">
        <f ca="1">IF(VLOOKUP(IntComp[[#This Row],[DEVELOPMENT]],Data[],10,FALSE)=0,-1,DATEDIF(VLOOKUP(IntComp[[#This Row],[DEVELOPMENT]],Data[],12,FALSE),TODAY(),"Y"))</f>
        <v>-1</v>
      </c>
      <c r="N312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312" s="51"/>
      <c r="P312" s="51"/>
      <c r="Q312" s="51"/>
      <c r="R312" s="47">
        <f ca="1">(IntComp[[#This Row],['# to Replace (MRST)]]*INDEX(UnitCosts[#All],MATCH(IntComp[[#This Row],[WORK TYPE]],UnitCosts[Work Type],0)+1,2))*(1+((IntComp[[#This Row],[est. Year]]-YEAR(TODAY()))*$R$2))</f>
        <v>0</v>
      </c>
      <c r="S312" s="1">
        <f ca="1">SUM(INDEX(IntComp['# to Replace (MRST)],1):IntComp[[#This Row],['# to Replace (MRST)]])-272</f>
        <v>1508</v>
      </c>
      <c r="T312" s="51"/>
      <c r="U312" s="51">
        <f ca="1">IF(ISBLANK(IntComp[[#This Row],[CALENDAR YEAR]]),ROUNDDOWN(IntComp[[#This Row],[Count]]/190,0)+$U$1,IntComp[[#This Row],[CALENDAR YEAR]])</f>
        <v>2028</v>
      </c>
      <c r="V312" s="3">
        <f t="shared" ca="1" si="6"/>
        <v>15746640</v>
      </c>
      <c r="W312" s="51"/>
      <c r="X312"/>
    </row>
    <row r="313" spans="1:24">
      <c r="A313" s="1" t="s">
        <v>99</v>
      </c>
      <c r="B313" s="1" t="str">
        <f>VLOOKUP(A313,Data[],2,FALSE)</f>
        <v>BRONX</v>
      </c>
      <c r="C313" s="9" t="s">
        <v>106</v>
      </c>
      <c r="D313" s="9" t="str">
        <f>VLOOKUP(IntComp[[#This Row],[DEVELOPMENT]],Data[],52,FALSE)</f>
        <v>FEDERAL</v>
      </c>
      <c r="E313" s="9" t="str">
        <f>VLOOKUP(IntComp[[#This Row],[DEVELOPMENT]],Data[],8,FALSE)</f>
        <v>Zone 3</v>
      </c>
      <c r="F313" s="9">
        <f>VLOOKUP(IntComp[[#This Row],[DEVELOPMENT]],all[[DEVELOPMENT]:[MRST Ext. Comp. Priority]],13,FALSE)</f>
        <v>3</v>
      </c>
      <c r="G313" s="9">
        <f>IF(VLOOKUP(IntComp[[#This Row],[DEVELOPMENT]],Data[],9,FALSE)=0,5,VLOOKUP(IntComp[[#This Row],[DEVELOPMENT]],Data[],9,FALSE))</f>
        <v>4</v>
      </c>
      <c r="H313" s="9">
        <f>VLOOKUP(IntComp[[#This Row],[DEVELOPMENT]],Data[],7,FALSE)</f>
        <v>120</v>
      </c>
      <c r="I313" s="9">
        <f>VLOOKUP(IntComp[[#This Row],[DEVELOPMENT]],Data[],5,FALSE)</f>
        <v>6</v>
      </c>
      <c r="J313" s="9"/>
      <c r="K313" s="9" t="str">
        <f ca="1">IFERROR(VLOOKUP(IntComp[[#This Row],[DEVELOPMENT]],Data[],4,FALSE),"")</f>
        <v>2026+</v>
      </c>
      <c r="L313" s="9" t="str">
        <f ca="1">IF(IntComp[[#This Row],[RAD/PACT]]="","",IF(OR(IntComp[[#This Row],[RAD/PACT]]="2022-2025",IntComp[[#This Row],[RAD/PACT]]=2019,IntComp[[#This Row],[RAD/PACT]]="2020-2021"),"Yes",""))</f>
        <v/>
      </c>
      <c r="M313" s="1">
        <f ca="1">IF(VLOOKUP(IntComp[[#This Row],[DEVELOPMENT]],Data[],10,FALSE)=0,-1,DATEDIF(VLOOKUP(IntComp[[#This Row],[DEVELOPMENT]],Data[],12,FALSE),TODAY(),"Y"))</f>
        <v>-1</v>
      </c>
      <c r="N313" s="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313" s="1"/>
      <c r="P313" s="1"/>
      <c r="Q313" s="1"/>
      <c r="R313" s="47">
        <f ca="1">(IntComp[[#This Row],['# to Replace (MRST)]]*INDEX(UnitCosts[#All],MATCH(IntComp[[#This Row],[WORK TYPE]],UnitCosts[Work Type],0)+1,2))*(1+((IntComp[[#This Row],[est. Year]]-YEAR(TODAY()))*$R$2))</f>
        <v>0</v>
      </c>
      <c r="S313" s="1">
        <f ca="1">SUM(INDEX(IntComp['# to Replace (MRST)],1):IntComp[[#This Row],['# to Replace (MRST)]])-272</f>
        <v>1508</v>
      </c>
      <c r="T313" s="1"/>
      <c r="U313" s="1">
        <f ca="1">IF(ISBLANK(IntComp[[#This Row],[CALENDAR YEAR]]),ROUNDDOWN(IntComp[[#This Row],[Count]]/190,0)+$U$1,IntComp[[#This Row],[CALENDAR YEAR]])</f>
        <v>2028</v>
      </c>
      <c r="V313" s="3">
        <f t="shared" ca="1" si="6"/>
        <v>15746640</v>
      </c>
      <c r="W313" s="71"/>
      <c r="X313"/>
    </row>
    <row r="314" spans="1:24">
      <c r="A314" s="1" t="s">
        <v>247</v>
      </c>
      <c r="B314" s="1" t="str">
        <f>VLOOKUP(A314,Data[],2,FALSE)</f>
        <v>MANHATTAN</v>
      </c>
      <c r="C314" s="9" t="s">
        <v>106</v>
      </c>
      <c r="D314" s="9" t="str">
        <f>VLOOKUP(IntComp[[#This Row],[DEVELOPMENT]],Data[],52,FALSE)</f>
        <v>FEDERAL</v>
      </c>
      <c r="E314" s="50" t="str">
        <f>VLOOKUP(IntComp[[#This Row],[DEVELOPMENT]],Data[],8,FALSE)</f>
        <v>Zone 1</v>
      </c>
      <c r="F314" s="50">
        <f>VLOOKUP(IntComp[[#This Row],[DEVELOPMENT]],all[[DEVELOPMENT]:[MRST Ext. Comp. Priority]],13,FALSE)</f>
        <v>4</v>
      </c>
      <c r="G314" s="9">
        <f>IF(VLOOKUP(IntComp[[#This Row],[DEVELOPMENT]],Data[],9,FALSE)=0,5,VLOOKUP(IntComp[[#This Row],[DEVELOPMENT]],Data[],9,FALSE))</f>
        <v>4</v>
      </c>
      <c r="H314" s="50">
        <f>VLOOKUP(IntComp[[#This Row],[DEVELOPMENT]],Data[],7,FALSE)</f>
        <v>56</v>
      </c>
      <c r="I314" s="50">
        <f>VLOOKUP(IntComp[[#This Row],[DEVELOPMENT]],Data[],5,FALSE)</f>
        <v>2</v>
      </c>
      <c r="J314" s="9"/>
      <c r="K314" s="50" t="str">
        <f ca="1">IFERROR(VLOOKUP(IntComp[[#This Row],[DEVELOPMENT]],Data[],4,FALSE),"")</f>
        <v/>
      </c>
      <c r="L314" s="50" t="str">
        <f ca="1">IF(IntComp[[#This Row],[RAD/PACT]]="","",IF(OR(IntComp[[#This Row],[RAD/PACT]]="2022-2025",IntComp[[#This Row],[RAD/PACT]]=2019,IntComp[[#This Row],[RAD/PACT]]="2020-2021"),"Yes",""))</f>
        <v/>
      </c>
      <c r="M314" s="51">
        <f ca="1">IF(VLOOKUP(IntComp[[#This Row],[DEVELOPMENT]],Data[],10,FALSE)=0,-1,DATEDIF(VLOOKUP(IntComp[[#This Row],[DEVELOPMENT]],Data[],12,FALSE),TODAY(),"Y"))</f>
        <v>-1</v>
      </c>
      <c r="N314" s="51">
        <f ca="1">IF(IntComp[[#This Row],[AGE (2019) (Y)]]&lt;7,0,IF(ISNUMBER(SEARCH("LLC",IntComp[[#This Row],[Program]])),0,IF(IntComp[[#This Row],[RAD/PACT]]="",VLOOKUP(IntComp[[#This Row],[DEVELOPMENT]],Data[],10,FALSE),IF(IntComp[[#This Row],[RAD/PACT by 2025]]="yes",0,VLOOKUP(IntComp[[#This Row],[DEVELOPMENT]],Data[],10,FALSE)))))</f>
        <v>0</v>
      </c>
      <c r="O314" s="51"/>
      <c r="P314" s="51"/>
      <c r="Q314" s="51"/>
      <c r="R314" s="47">
        <f ca="1">(IntComp[[#This Row],['# to Replace (MRST)]]*INDEX(UnitCosts[#All],MATCH(IntComp[[#This Row],[WORK TYPE]],UnitCosts[Work Type],0)+1,2))*(1+((IntComp[[#This Row],[est. Year]]-YEAR(TODAY()))*$R$2))</f>
        <v>0</v>
      </c>
      <c r="S314" s="1">
        <f ca="1">SUM(INDEX(IntComp['# to Replace (MRST)],1):IntComp[[#This Row],['# to Replace (MRST)]])-272</f>
        <v>1508</v>
      </c>
      <c r="T314" s="51"/>
      <c r="U314" s="51">
        <f ca="1">IF(ISBLANK(IntComp[[#This Row],[CALENDAR YEAR]]),ROUNDDOWN(IntComp[[#This Row],[Count]]/190,0)+$U$1,IntComp[[#This Row],[CALENDAR YEAR]])</f>
        <v>2028</v>
      </c>
      <c r="V314" s="3">
        <f t="shared" ca="1" si="6"/>
        <v>15746640</v>
      </c>
      <c r="W314" s="71"/>
      <c r="X314"/>
    </row>
  </sheetData>
  <conditionalFormatting sqref="R3:XFD3 X1:XFD1 J3:N3 A1:I1048576 J2:XFD2 J1:V1 K315:XFD1048576 J4:XFD314">
    <cfRule type="containsErrors" dxfId="344" priority="14">
      <formula>ISERROR(A1)</formula>
    </cfRule>
  </conditionalFormatting>
  <conditionalFormatting sqref="V1:V313 W315:W1048565">
    <cfRule type="expression" dxfId="343" priority="2">
      <formula>V1&gt;V2</formula>
    </cfRule>
  </conditionalFormatting>
  <conditionalFormatting sqref="O3:Q3">
    <cfRule type="containsErrors" dxfId="342" priority="1">
      <formula>ISERROR(O3)</formula>
    </cfRule>
  </conditionalFormatting>
  <conditionalFormatting sqref="W1048566:W1048576">
    <cfRule type="expression" dxfId="341" priority="66">
      <formula>W1048566&gt;V1</formula>
    </cfRule>
  </conditionalFormatting>
  <conditionalFormatting sqref="V314">
    <cfRule type="expression" dxfId="340" priority="68">
      <formula>V314&gt;#REF!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P193"/>
  <sheetViews>
    <sheetView workbookViewId="0">
      <selection activeCell="A193" sqref="A4:K193"/>
    </sheetView>
  </sheetViews>
  <sheetFormatPr defaultColWidth="8.7109375" defaultRowHeight="14.45"/>
  <cols>
    <col min="1" max="1" width="12.7109375" bestFit="1" customWidth="1"/>
    <col min="2" max="2" width="15.7109375" hidden="1" customWidth="1"/>
    <col min="3" max="3" width="52.140625" bestFit="1" customWidth="1"/>
    <col min="4" max="4" width="7" bestFit="1" customWidth="1"/>
    <col min="5" max="5" width="24.7109375" bestFit="1" customWidth="1"/>
    <col min="6" max="6" width="20.140625" bestFit="1" customWidth="1"/>
    <col min="7" max="7" width="16.42578125" bestFit="1" customWidth="1"/>
    <col min="8" max="8" width="12.28515625" bestFit="1" customWidth="1"/>
    <col min="9" max="9" width="11.42578125" style="5" bestFit="1" customWidth="1"/>
    <col min="10" max="10" width="16.7109375" style="5" bestFit="1" customWidth="1"/>
    <col min="11" max="11" width="14.7109375" bestFit="1" customWidth="1"/>
  </cols>
  <sheetData>
    <row r="1" spans="1:11">
      <c r="I1" s="5">
        <f>SUM(Table3[COST])</f>
        <v>0</v>
      </c>
      <c r="J1" s="5" t="e">
        <f>SUM(Table3[ESTIMATES])</f>
        <v>#N/A</v>
      </c>
      <c r="K1" t="e">
        <f>SUM(I1:J1)</f>
        <v>#N/A</v>
      </c>
    </row>
    <row r="3" spans="1:11">
      <c r="A3" s="14" t="s">
        <v>5</v>
      </c>
      <c r="B3" s="14" t="s">
        <v>6</v>
      </c>
      <c r="C3" s="14" t="s">
        <v>7</v>
      </c>
      <c r="D3" s="14" t="s">
        <v>8</v>
      </c>
      <c r="E3" s="14" t="s">
        <v>11</v>
      </c>
      <c r="F3" s="15" t="s">
        <v>17</v>
      </c>
      <c r="G3" s="15" t="s">
        <v>18</v>
      </c>
      <c r="H3" s="15" t="s">
        <v>19</v>
      </c>
      <c r="I3" s="38" t="s">
        <v>21</v>
      </c>
      <c r="J3" s="38" t="s">
        <v>22</v>
      </c>
      <c r="K3" s="15" t="s">
        <v>23</v>
      </c>
    </row>
    <row r="4" spans="1:11">
      <c r="A4" s="1" t="str">
        <f>VLOOKUP(C4,Data[],2,FALSE)</f>
        <v>MANHATTAN</v>
      </c>
      <c r="B4" s="1"/>
      <c r="C4" s="1" t="s">
        <v>69</v>
      </c>
      <c r="D4" s="1" t="s">
        <v>2228</v>
      </c>
      <c r="E4" s="1"/>
      <c r="F4" s="1"/>
      <c r="G4" s="1"/>
      <c r="H4" s="1"/>
      <c r="I4" s="3"/>
      <c r="J4" s="3" t="e">
        <f>INDEX(UnitCosts[],MATCH(Table3[[#This Row],[WORK TYPE]],UnitCosts[Work Type],0),2)*VLOOKUP(Table3[[#This Row],[DEVELOPMENT]],Data[],MATCH(Table3[[#This Row],[WORK TYPE]],Data[#Headers],0),FALSE)</f>
        <v>#N/A</v>
      </c>
      <c r="K4" s="1"/>
    </row>
    <row r="5" spans="1:11">
      <c r="A5" s="1" t="str">
        <f>VLOOKUP(C5,Data[],2,FALSE)</f>
        <v>MANHATTAN</v>
      </c>
      <c r="B5" s="1"/>
      <c r="C5" s="1" t="s">
        <v>70</v>
      </c>
      <c r="D5" s="1" t="s">
        <v>2228</v>
      </c>
      <c r="E5" s="1"/>
      <c r="F5" s="1"/>
      <c r="G5" s="1"/>
      <c r="H5" s="1"/>
      <c r="I5" s="3"/>
      <c r="J5" s="3" t="e">
        <f>INDEX(UnitCosts[],MATCH(Table3[[#This Row],[WORK TYPE]],UnitCosts[Work Type],0),2)*VLOOKUP(Table3[[#This Row],[DEVELOPMENT]],Data[],MATCH(Table3[[#This Row],[WORK TYPE]],Data[#Headers],0),FALSE)</f>
        <v>#N/A</v>
      </c>
      <c r="K5" s="1"/>
    </row>
    <row r="6" spans="1:11">
      <c r="A6" s="1" t="str">
        <f>VLOOKUP(C6,Data[],2,FALSE)</f>
        <v>MANHATTAN</v>
      </c>
      <c r="B6" s="1"/>
      <c r="C6" s="1" t="s">
        <v>71</v>
      </c>
      <c r="D6" s="1" t="s">
        <v>2228</v>
      </c>
      <c r="E6" s="1"/>
      <c r="F6" s="1"/>
      <c r="G6" s="1"/>
      <c r="H6" s="1"/>
      <c r="I6" s="3"/>
      <c r="J6" s="3" t="e">
        <f>INDEX(UnitCosts[],MATCH(Table3[[#This Row],[WORK TYPE]],UnitCosts[Work Type],0),2)*VLOOKUP(Table3[[#This Row],[DEVELOPMENT]],Data[],MATCH(Table3[[#This Row],[WORK TYPE]],Data[#Headers],0),FALSE)</f>
        <v>#N/A</v>
      </c>
      <c r="K6" s="1"/>
    </row>
    <row r="7" spans="1:11">
      <c r="A7" s="1" t="str">
        <f>VLOOKUP(C7,Data[],2,FALSE)</f>
        <v>BROOKLYN</v>
      </c>
      <c r="B7" s="1"/>
      <c r="C7" s="1" t="s">
        <v>119</v>
      </c>
      <c r="D7" s="1" t="s">
        <v>2228</v>
      </c>
      <c r="E7" s="1"/>
      <c r="F7" s="1"/>
      <c r="G7" s="1"/>
      <c r="H7" s="1"/>
      <c r="I7" s="3"/>
      <c r="J7" s="3" t="e">
        <f>INDEX(UnitCosts[],MATCH(Table3[[#This Row],[WORK TYPE]],UnitCosts[Work Type],0),2)*VLOOKUP(Table3[[#This Row],[DEVELOPMENT]],Data[],MATCH(Table3[[#This Row],[WORK TYPE]],Data[#Headers],0),FALSE)</f>
        <v>#N/A</v>
      </c>
      <c r="K7" s="1"/>
    </row>
    <row r="8" spans="1:11">
      <c r="A8" s="1" t="str">
        <f>VLOOKUP(C8,Data[],2,FALSE)</f>
        <v>BROOKLYN</v>
      </c>
      <c r="B8" s="1"/>
      <c r="C8" s="1" t="s">
        <v>72</v>
      </c>
      <c r="D8" s="1" t="s">
        <v>2228</v>
      </c>
      <c r="E8" s="1"/>
      <c r="F8" s="1"/>
      <c r="G8" s="1"/>
      <c r="H8" s="1"/>
      <c r="I8" s="3"/>
      <c r="J8" s="3" t="e">
        <f>INDEX(UnitCosts[],MATCH(Table3[[#This Row],[WORK TYPE]],UnitCosts[Work Type],0),2)*VLOOKUP(Table3[[#This Row],[DEVELOPMENT]],Data[],MATCH(Table3[[#This Row],[WORK TYPE]],Data[#Headers],0),FALSE)</f>
        <v>#N/A</v>
      </c>
      <c r="K8" s="1"/>
    </row>
    <row r="9" spans="1:11">
      <c r="A9" s="1" t="str">
        <f>VLOOKUP(C9,Data[],2,FALSE)</f>
        <v>BRONX</v>
      </c>
      <c r="B9" s="1"/>
      <c r="C9" s="1" t="s">
        <v>73</v>
      </c>
      <c r="D9" s="1" t="s">
        <v>2228</v>
      </c>
      <c r="E9" s="1"/>
      <c r="F9" s="1"/>
      <c r="G9" s="1"/>
      <c r="H9" s="1"/>
      <c r="I9" s="3"/>
      <c r="J9" s="3" t="e">
        <f>INDEX(UnitCosts[],MATCH(Table3[[#This Row],[WORK TYPE]],UnitCosts[Work Type],0),2)*VLOOKUP(Table3[[#This Row],[DEVELOPMENT]],Data[],MATCH(Table3[[#This Row],[WORK TYPE]],Data[#Headers],0),FALSE)</f>
        <v>#N/A</v>
      </c>
      <c r="K9" s="1"/>
    </row>
    <row r="10" spans="1:11">
      <c r="A10" s="1" t="str">
        <f>VLOOKUP(C10,Data[],2,FALSE)</f>
        <v>BRONX</v>
      </c>
      <c r="B10" s="1"/>
      <c r="C10" s="1" t="s">
        <v>124</v>
      </c>
      <c r="D10" s="1" t="s">
        <v>2228</v>
      </c>
      <c r="E10" s="1"/>
      <c r="F10" s="1"/>
      <c r="G10" s="1"/>
      <c r="H10" s="1"/>
      <c r="I10" s="3"/>
      <c r="J10" s="3" t="e">
        <f>INDEX(UnitCosts[],MATCH(Table3[[#This Row],[WORK TYPE]],UnitCosts[Work Type],0),2)*VLOOKUP(Table3[[#This Row],[DEVELOPMENT]],Data[],MATCH(Table3[[#This Row],[WORK TYPE]],Data[#Headers],0),FALSE)</f>
        <v>#N/A</v>
      </c>
      <c r="K10" s="1"/>
    </row>
    <row r="11" spans="1:11">
      <c r="A11" s="1" t="str">
        <f>VLOOKUP(C11,Data[],2,FALSE)</f>
        <v>BRONX</v>
      </c>
      <c r="B11" s="1"/>
      <c r="C11" s="1" t="s">
        <v>105</v>
      </c>
      <c r="D11" s="1" t="s">
        <v>2228</v>
      </c>
      <c r="E11" s="1"/>
      <c r="F11" s="1"/>
      <c r="G11" s="1"/>
      <c r="H11" s="1"/>
      <c r="I11" s="3"/>
      <c r="J11" s="3" t="e">
        <f>INDEX(UnitCosts[],MATCH(Table3[[#This Row],[WORK TYPE]],UnitCosts[Work Type],0),2)*VLOOKUP(Table3[[#This Row],[DEVELOPMENT]],Data[],MATCH(Table3[[#This Row],[WORK TYPE]],Data[#Headers],0),FALSE)</f>
        <v>#N/A</v>
      </c>
      <c r="K11" s="1"/>
    </row>
    <row r="12" spans="1:11">
      <c r="A12" s="1" t="str">
        <f>VLOOKUP(C12,Data[],2,FALSE)</f>
        <v>MANHATTAN</v>
      </c>
      <c r="B12" s="1"/>
      <c r="C12" s="1" t="s">
        <v>75</v>
      </c>
      <c r="D12" s="1" t="s">
        <v>2228</v>
      </c>
      <c r="E12" s="1"/>
      <c r="F12" s="1"/>
      <c r="G12" s="1"/>
      <c r="H12" s="1"/>
      <c r="I12" s="3"/>
      <c r="J12" s="3" t="e">
        <f>INDEX(UnitCosts[],MATCH(Table3[[#This Row],[WORK TYPE]],UnitCosts[Work Type],0),2)*VLOOKUP(Table3[[#This Row],[DEVELOPMENT]],Data[],MATCH(Table3[[#This Row],[WORK TYPE]],Data[#Headers],0),FALSE)</f>
        <v>#N/A</v>
      </c>
      <c r="K12" s="1"/>
    </row>
    <row r="13" spans="1:11">
      <c r="A13" s="1" t="str">
        <f>VLOOKUP(C13,Data[],2,FALSE)</f>
        <v>MANHATTAN</v>
      </c>
      <c r="B13" s="1"/>
      <c r="C13" s="1" t="s">
        <v>130</v>
      </c>
      <c r="D13" s="1" t="s">
        <v>2228</v>
      </c>
      <c r="E13" s="1"/>
      <c r="F13" s="1"/>
      <c r="G13" s="1"/>
      <c r="H13" s="1"/>
      <c r="I13" s="3"/>
      <c r="J13" s="3" t="e">
        <f>INDEX(UnitCosts[],MATCH(Table3[[#This Row],[WORK TYPE]],UnitCosts[Work Type],0),2)*VLOOKUP(Table3[[#This Row],[DEVELOPMENT]],Data[],MATCH(Table3[[#This Row],[WORK TYPE]],Data[#Headers],0),FALSE)</f>
        <v>#N/A</v>
      </c>
      <c r="K13" s="1"/>
    </row>
    <row r="14" spans="1:11">
      <c r="A14" s="1" t="str">
        <f>VLOOKUP(C14,Data[],2,FALSE)</f>
        <v>MANHATTAN</v>
      </c>
      <c r="B14" s="1"/>
      <c r="C14" s="1" t="s">
        <v>76</v>
      </c>
      <c r="D14" s="1" t="s">
        <v>2228</v>
      </c>
      <c r="E14" s="1"/>
      <c r="F14" s="1"/>
      <c r="G14" s="1"/>
      <c r="H14" s="1"/>
      <c r="I14" s="3"/>
      <c r="J14" s="3" t="e">
        <f>INDEX(UnitCosts[],MATCH(Table3[[#This Row],[WORK TYPE]],UnitCosts[Work Type],0),2)*VLOOKUP(Table3[[#This Row],[DEVELOPMENT]],Data[],MATCH(Table3[[#This Row],[WORK TYPE]],Data[#Headers],0),FALSE)</f>
        <v>#N/A</v>
      </c>
      <c r="K14" s="1"/>
    </row>
    <row r="15" spans="1:11">
      <c r="A15" s="1" t="str">
        <f>VLOOKUP(C15,Data[],2,FALSE)</f>
        <v>MANHATTAN</v>
      </c>
      <c r="B15" s="1"/>
      <c r="C15" s="1" t="s">
        <v>79</v>
      </c>
      <c r="D15" s="1" t="s">
        <v>2228</v>
      </c>
      <c r="E15" s="1"/>
      <c r="F15" s="1"/>
      <c r="G15" s="1"/>
      <c r="H15" s="1"/>
      <c r="I15" s="3"/>
      <c r="J15" s="3" t="e">
        <f>INDEX(UnitCosts[],MATCH(Table3[[#This Row],[WORK TYPE]],UnitCosts[Work Type],0),2)*VLOOKUP(Table3[[#This Row],[DEVELOPMENT]],Data[],MATCH(Table3[[#This Row],[WORK TYPE]],Data[#Headers],0),FALSE)</f>
        <v>#N/A</v>
      </c>
      <c r="K15" s="1"/>
    </row>
    <row r="16" spans="1:11">
      <c r="A16" s="1" t="str">
        <f>VLOOKUP(C16,Data[],2,FALSE)</f>
        <v>MANHATTAN</v>
      </c>
      <c r="B16" s="1"/>
      <c r="C16" s="1" t="s">
        <v>111</v>
      </c>
      <c r="D16" s="1" t="s">
        <v>2228</v>
      </c>
      <c r="E16" s="1"/>
      <c r="F16" s="1"/>
      <c r="G16" s="1"/>
      <c r="H16" s="1"/>
      <c r="I16" s="3"/>
      <c r="J16" s="3" t="e">
        <f>INDEX(UnitCosts[],MATCH(Table3[[#This Row],[WORK TYPE]],UnitCosts[Work Type],0),2)*VLOOKUP(Table3[[#This Row],[DEVELOPMENT]],Data[],MATCH(Table3[[#This Row],[WORK TYPE]],Data[#Headers],0),FALSE)</f>
        <v>#N/A</v>
      </c>
      <c r="K16" s="1"/>
    </row>
    <row r="17" spans="1:11">
      <c r="A17" s="1" t="str">
        <f>VLOOKUP(C17,Data[],2,FALSE)</f>
        <v>MANHATTAN</v>
      </c>
      <c r="B17" s="1"/>
      <c r="C17" s="1" t="s">
        <v>80</v>
      </c>
      <c r="D17" s="1" t="s">
        <v>2228</v>
      </c>
      <c r="E17" s="1"/>
      <c r="F17" s="1"/>
      <c r="G17" s="1"/>
      <c r="H17" s="1"/>
      <c r="I17" s="3"/>
      <c r="J17" s="3" t="e">
        <f>INDEX(UnitCosts[],MATCH(Table3[[#This Row],[WORK TYPE]],UnitCosts[Work Type],0),2)*VLOOKUP(Table3[[#This Row],[DEVELOPMENT]],Data[],MATCH(Table3[[#This Row],[WORK TYPE]],Data[#Headers],0),FALSE)</f>
        <v>#N/A</v>
      </c>
      <c r="K17" s="1"/>
    </row>
    <row r="18" spans="1:11">
      <c r="A18" s="1" t="str">
        <f>VLOOKUP(C18,Data[],2,FALSE)</f>
        <v>MANHATTAN</v>
      </c>
      <c r="B18" s="1"/>
      <c r="C18" s="1" t="s">
        <v>117</v>
      </c>
      <c r="D18" s="1" t="s">
        <v>2228</v>
      </c>
      <c r="E18" s="1"/>
      <c r="F18" s="1"/>
      <c r="G18" s="1"/>
      <c r="H18" s="1"/>
      <c r="I18" s="3"/>
      <c r="J18" s="3" t="e">
        <f>INDEX(UnitCosts[],MATCH(Table3[[#This Row],[WORK TYPE]],UnitCosts[Work Type],0),2)*VLOOKUP(Table3[[#This Row],[DEVELOPMENT]],Data[],MATCH(Table3[[#This Row],[WORK TYPE]],Data[#Headers],0),FALSE)</f>
        <v>#N/A</v>
      </c>
      <c r="K18" s="1"/>
    </row>
    <row r="19" spans="1:11">
      <c r="A19" s="1" t="str">
        <f>VLOOKUP(C19,Data[],2,FALSE)</f>
        <v>MANHATTAN</v>
      </c>
      <c r="B19" s="1"/>
      <c r="C19" s="1" t="s">
        <v>82</v>
      </c>
      <c r="D19" s="1" t="s">
        <v>2228</v>
      </c>
      <c r="E19" s="1"/>
      <c r="F19" s="1"/>
      <c r="G19" s="1"/>
      <c r="H19" s="1"/>
      <c r="I19" s="3"/>
      <c r="J19" s="3" t="e">
        <f>INDEX(UnitCosts[],MATCH(Table3[[#This Row],[WORK TYPE]],UnitCosts[Work Type],0),2)*VLOOKUP(Table3[[#This Row],[DEVELOPMENT]],Data[],MATCH(Table3[[#This Row],[WORK TYPE]],Data[#Headers],0),FALSE)</f>
        <v>#N/A</v>
      </c>
      <c r="K19" s="1"/>
    </row>
    <row r="20" spans="1:11">
      <c r="A20" s="1" t="str">
        <f>VLOOKUP(C20,Data[],2,FALSE)</f>
        <v>BROOKLYN</v>
      </c>
      <c r="B20" s="1"/>
      <c r="C20" s="1" t="s">
        <v>84</v>
      </c>
      <c r="D20" s="1" t="s">
        <v>2228</v>
      </c>
      <c r="E20" s="1"/>
      <c r="F20" s="1"/>
      <c r="G20" s="1"/>
      <c r="H20" s="1"/>
      <c r="I20" s="3"/>
      <c r="J20" s="3" t="e">
        <f>INDEX(UnitCosts[],MATCH(Table3[[#This Row],[WORK TYPE]],UnitCosts[Work Type],0),2)*VLOOKUP(Table3[[#This Row],[DEVELOPMENT]],Data[],MATCH(Table3[[#This Row],[WORK TYPE]],Data[#Headers],0),FALSE)</f>
        <v>#N/A</v>
      </c>
      <c r="K20" s="1"/>
    </row>
    <row r="21" spans="1:11">
      <c r="A21" s="1" t="str">
        <f>VLOOKUP(C21,Data[],2,FALSE)</f>
        <v>MANHATTAN</v>
      </c>
      <c r="B21" s="1"/>
      <c r="C21" s="1" t="s">
        <v>87</v>
      </c>
      <c r="D21" s="1" t="s">
        <v>2228</v>
      </c>
      <c r="E21" s="1"/>
      <c r="F21" s="1"/>
      <c r="G21" s="1"/>
      <c r="H21" s="1"/>
      <c r="I21" s="3"/>
      <c r="J21" s="3" t="e">
        <f>INDEX(UnitCosts[],MATCH(Table3[[#This Row],[WORK TYPE]],UnitCosts[Work Type],0),2)*VLOOKUP(Table3[[#This Row],[DEVELOPMENT]],Data[],MATCH(Table3[[#This Row],[WORK TYPE]],Data[#Headers],0),FALSE)</f>
        <v>#N/A</v>
      </c>
      <c r="K21" s="1"/>
    </row>
    <row r="22" spans="1:11">
      <c r="A22" s="1" t="str">
        <f>VLOOKUP(C22,Data[],2,FALSE)</f>
        <v>MANHATTAN</v>
      </c>
      <c r="B22" s="1"/>
      <c r="C22" s="1" t="s">
        <v>88</v>
      </c>
      <c r="D22" s="1" t="s">
        <v>2228</v>
      </c>
      <c r="E22" s="1"/>
      <c r="F22" s="1"/>
      <c r="G22" s="1"/>
      <c r="H22" s="1"/>
      <c r="I22" s="3"/>
      <c r="J22" s="3" t="e">
        <f>INDEX(UnitCosts[],MATCH(Table3[[#This Row],[WORK TYPE]],UnitCosts[Work Type],0),2)*VLOOKUP(Table3[[#This Row],[DEVELOPMENT]],Data[],MATCH(Table3[[#This Row],[WORK TYPE]],Data[#Headers],0),FALSE)</f>
        <v>#N/A</v>
      </c>
      <c r="K22" s="1"/>
    </row>
    <row r="23" spans="1:11">
      <c r="A23" s="1" t="str">
        <f>VLOOKUP(C23,Data[],2,FALSE)</f>
        <v>MANHATTAN</v>
      </c>
      <c r="B23" s="1"/>
      <c r="C23" s="1" t="s">
        <v>89</v>
      </c>
      <c r="D23" s="1" t="s">
        <v>2228</v>
      </c>
      <c r="E23" s="1"/>
      <c r="F23" s="1"/>
      <c r="G23" s="1"/>
      <c r="H23" s="1"/>
      <c r="I23" s="3"/>
      <c r="J23" s="3" t="e">
        <f>INDEX(UnitCosts[],MATCH(Table3[[#This Row],[WORK TYPE]],UnitCosts[Work Type],0),2)*VLOOKUP(Table3[[#This Row],[DEVELOPMENT]],Data[],MATCH(Table3[[#This Row],[WORK TYPE]],Data[#Headers],0),FALSE)</f>
        <v>#N/A</v>
      </c>
      <c r="K23" s="1"/>
    </row>
    <row r="24" spans="1:11">
      <c r="A24" s="1" t="str">
        <f>VLOOKUP(C24,Data[],2,FALSE)</f>
        <v>BRONX</v>
      </c>
      <c r="B24" s="1"/>
      <c r="C24" s="1" t="s">
        <v>114</v>
      </c>
      <c r="D24" s="1" t="s">
        <v>2228</v>
      </c>
      <c r="E24" s="1"/>
      <c r="F24" s="1"/>
      <c r="G24" s="1"/>
      <c r="H24" s="1"/>
      <c r="I24" s="3"/>
      <c r="J24" s="3" t="e">
        <f>INDEX(UnitCosts[],MATCH(Table3[[#This Row],[WORK TYPE]],UnitCosts[Work Type],0),2)*VLOOKUP(Table3[[#This Row],[DEVELOPMENT]],Data[],MATCH(Table3[[#This Row],[WORK TYPE]],Data[#Headers],0),FALSE)</f>
        <v>#N/A</v>
      </c>
      <c r="K24" s="1"/>
    </row>
    <row r="25" spans="1:11">
      <c r="A25" s="1" t="str">
        <f>VLOOKUP(C25,Data[],2,FALSE)</f>
        <v>BRONX</v>
      </c>
      <c r="B25" s="1"/>
      <c r="C25" s="1" t="s">
        <v>91</v>
      </c>
      <c r="D25" s="1" t="s">
        <v>2228</v>
      </c>
      <c r="E25" s="1"/>
      <c r="F25" s="1"/>
      <c r="G25" s="1"/>
      <c r="H25" s="1"/>
      <c r="I25" s="3"/>
      <c r="J25" s="3" t="e">
        <f>INDEX(UnitCosts[],MATCH(Table3[[#This Row],[WORK TYPE]],UnitCosts[Work Type],0),2)*VLOOKUP(Table3[[#This Row],[DEVELOPMENT]],Data[],MATCH(Table3[[#This Row],[WORK TYPE]],Data[#Headers],0),FALSE)</f>
        <v>#N/A</v>
      </c>
      <c r="K25" s="1"/>
    </row>
    <row r="26" spans="1:11">
      <c r="A26" s="1" t="str">
        <f>VLOOKUP(C26,Data[],2,FALSE)</f>
        <v>MANHATTAN</v>
      </c>
      <c r="B26" s="1"/>
      <c r="C26" s="1" t="s">
        <v>93</v>
      </c>
      <c r="D26" s="1" t="s">
        <v>2228</v>
      </c>
      <c r="E26" s="1"/>
      <c r="F26" s="1"/>
      <c r="G26" s="1"/>
      <c r="H26" s="1"/>
      <c r="I26" s="3"/>
      <c r="J26" s="3" t="e">
        <f>INDEX(UnitCosts[],MATCH(Table3[[#This Row],[WORK TYPE]],UnitCosts[Work Type],0),2)*VLOOKUP(Table3[[#This Row],[DEVELOPMENT]],Data[],MATCH(Table3[[#This Row],[WORK TYPE]],Data[#Headers],0),FALSE)</f>
        <v>#N/A</v>
      </c>
      <c r="K26" s="1"/>
    </row>
    <row r="27" spans="1:11">
      <c r="A27" s="1" t="str">
        <f>VLOOKUP(C27,Data[],2,FALSE)</f>
        <v>BRONX</v>
      </c>
      <c r="B27" s="1"/>
      <c r="C27" s="1" t="s">
        <v>132</v>
      </c>
      <c r="D27" s="1" t="s">
        <v>2228</v>
      </c>
      <c r="E27" s="1"/>
      <c r="F27" s="1"/>
      <c r="G27" s="1"/>
      <c r="H27" s="1"/>
      <c r="I27" s="3"/>
      <c r="J27" s="3" t="e">
        <f>INDEX(UnitCosts[],MATCH(Table3[[#This Row],[WORK TYPE]],UnitCosts[Work Type],0),2)*VLOOKUP(Table3[[#This Row],[DEVELOPMENT]],Data[],MATCH(Table3[[#This Row],[WORK TYPE]],Data[#Headers],0),FALSE)</f>
        <v>#N/A</v>
      </c>
      <c r="K27" s="1"/>
    </row>
    <row r="28" spans="1:11">
      <c r="A28" s="1" t="str">
        <f>VLOOKUP(C28,Data[],2,FALSE)</f>
        <v>MANHATTAN</v>
      </c>
      <c r="B28" s="1"/>
      <c r="C28" s="1" t="s">
        <v>94</v>
      </c>
      <c r="D28" s="1" t="s">
        <v>2228</v>
      </c>
      <c r="E28" s="1"/>
      <c r="F28" s="1"/>
      <c r="G28" s="1"/>
      <c r="H28" s="1"/>
      <c r="I28" s="3"/>
      <c r="J28" s="3" t="e">
        <f>INDEX(UnitCosts[],MATCH(Table3[[#This Row],[WORK TYPE]],UnitCosts[Work Type],0),2)*VLOOKUP(Table3[[#This Row],[DEVELOPMENT]],Data[],MATCH(Table3[[#This Row],[WORK TYPE]],Data[#Headers],0),FALSE)</f>
        <v>#N/A</v>
      </c>
      <c r="K28" s="1"/>
    </row>
    <row r="29" spans="1:11">
      <c r="A29" s="1" t="str">
        <f>VLOOKUP(C29,Data[],2,FALSE)</f>
        <v>QUEENS</v>
      </c>
      <c r="B29" s="1"/>
      <c r="C29" s="1" t="s">
        <v>134</v>
      </c>
      <c r="D29" s="1" t="s">
        <v>2228</v>
      </c>
      <c r="E29" s="1"/>
      <c r="F29" s="1"/>
      <c r="G29" s="1"/>
      <c r="H29" s="1"/>
      <c r="I29" s="3"/>
      <c r="J29" s="3" t="e">
        <f>INDEX(UnitCosts[],MATCH(Table3[[#This Row],[WORK TYPE]],UnitCosts[Work Type],0),2)*VLOOKUP(Table3[[#This Row],[DEVELOPMENT]],Data[],MATCH(Table3[[#This Row],[WORK TYPE]],Data[#Headers],0),FALSE)</f>
        <v>#N/A</v>
      </c>
      <c r="K29" s="1"/>
    </row>
    <row r="30" spans="1:11">
      <c r="A30" s="1" t="str">
        <f>VLOOKUP(C30,Data[],2,FALSE)</f>
        <v>QUEENS</v>
      </c>
      <c r="B30" s="1"/>
      <c r="C30" s="1" t="s">
        <v>135</v>
      </c>
      <c r="D30" s="1" t="s">
        <v>2228</v>
      </c>
      <c r="E30" s="1"/>
      <c r="F30" s="1"/>
      <c r="G30" s="1"/>
      <c r="H30" s="1"/>
      <c r="I30" s="3"/>
      <c r="J30" s="3" t="e">
        <f>INDEX(UnitCosts[],MATCH(Table3[[#This Row],[WORK TYPE]],UnitCosts[Work Type],0),2)*VLOOKUP(Table3[[#This Row],[DEVELOPMENT]],Data[],MATCH(Table3[[#This Row],[WORK TYPE]],Data[#Headers],0),FALSE)</f>
        <v>#N/A</v>
      </c>
      <c r="K30" s="1"/>
    </row>
    <row r="31" spans="1:11">
      <c r="A31" s="1" t="str">
        <f>VLOOKUP(C31,Data[],2,FALSE)</f>
        <v>BRONX</v>
      </c>
      <c r="B31" s="1"/>
      <c r="C31" s="1" t="s">
        <v>96</v>
      </c>
      <c r="D31" s="1" t="s">
        <v>2228</v>
      </c>
      <c r="E31" s="1"/>
      <c r="F31" s="1"/>
      <c r="G31" s="1"/>
      <c r="H31" s="1"/>
      <c r="I31" s="3"/>
      <c r="J31" s="3" t="e">
        <f>INDEX(UnitCosts[],MATCH(Table3[[#This Row],[WORK TYPE]],UnitCosts[Work Type],0),2)*VLOOKUP(Table3[[#This Row],[DEVELOPMENT]],Data[],MATCH(Table3[[#This Row],[WORK TYPE]],Data[#Headers],0),FALSE)</f>
        <v>#N/A</v>
      </c>
      <c r="K31" s="1"/>
    </row>
    <row r="32" spans="1:11">
      <c r="A32" s="1" t="str">
        <f>VLOOKUP(C32,Data[],2,FALSE)</f>
        <v>BRONX</v>
      </c>
      <c r="B32" s="1"/>
      <c r="C32" s="1" t="s">
        <v>123</v>
      </c>
      <c r="D32" s="1" t="s">
        <v>2228</v>
      </c>
      <c r="E32" s="1"/>
      <c r="F32" s="1"/>
      <c r="G32" s="1"/>
      <c r="H32" s="1"/>
      <c r="I32" s="3"/>
      <c r="J32" s="3" t="e">
        <f>INDEX(UnitCosts[],MATCH(Table3[[#This Row],[WORK TYPE]],UnitCosts[Work Type],0),2)*VLOOKUP(Table3[[#This Row],[DEVELOPMENT]],Data[],MATCH(Table3[[#This Row],[WORK TYPE]],Data[#Headers],0),FALSE)</f>
        <v>#N/A</v>
      </c>
      <c r="K32" s="1"/>
    </row>
    <row r="33" spans="1:14">
      <c r="A33" s="1" t="str">
        <f>VLOOKUP(C33,Data[],2,FALSE)</f>
        <v>BRONX</v>
      </c>
      <c r="B33" s="1"/>
      <c r="C33" s="1" t="s">
        <v>97</v>
      </c>
      <c r="D33" s="1" t="s">
        <v>2228</v>
      </c>
      <c r="E33" s="1"/>
      <c r="F33" s="1"/>
      <c r="G33" s="1"/>
      <c r="H33" s="1"/>
      <c r="I33" s="3"/>
      <c r="J33" s="3" t="e">
        <f>INDEX(UnitCosts[],MATCH(Table3[[#This Row],[WORK TYPE]],UnitCosts[Work Type],0),2)*VLOOKUP(Table3[[#This Row],[DEVELOPMENT]],Data[],MATCH(Table3[[#This Row],[WORK TYPE]],Data[#Headers],0),FALSE)</f>
        <v>#N/A</v>
      </c>
      <c r="K33" s="1"/>
    </row>
    <row r="34" spans="1:14">
      <c r="A34" s="1" t="str">
        <f>VLOOKUP(C34,Data[],2,FALSE)</f>
        <v>BRONX</v>
      </c>
      <c r="B34" s="1"/>
      <c r="C34" s="1" t="s">
        <v>98</v>
      </c>
      <c r="D34" s="1" t="s">
        <v>2228</v>
      </c>
      <c r="E34" s="1"/>
      <c r="F34" s="1"/>
      <c r="G34" s="1"/>
      <c r="H34" s="1"/>
      <c r="I34" s="3"/>
      <c r="J34" s="3" t="e">
        <f>INDEX(UnitCosts[],MATCH(Table3[[#This Row],[WORK TYPE]],UnitCosts[Work Type],0),2)*VLOOKUP(Table3[[#This Row],[DEVELOPMENT]],Data[],MATCH(Table3[[#This Row],[WORK TYPE]],Data[#Headers],0),FALSE)</f>
        <v>#N/A</v>
      </c>
      <c r="K34" s="1"/>
    </row>
    <row r="35" spans="1:14">
      <c r="A35" s="1" t="str">
        <f>VLOOKUP(C35,Data[],2,FALSE)</f>
        <v>BRONX</v>
      </c>
      <c r="B35" s="1"/>
      <c r="C35" s="1" t="s">
        <v>99</v>
      </c>
      <c r="D35" s="1" t="s">
        <v>2228</v>
      </c>
      <c r="E35" s="1"/>
      <c r="F35" s="1"/>
      <c r="G35" s="1"/>
      <c r="H35" s="1"/>
      <c r="I35" s="3"/>
      <c r="J35" s="3" t="e">
        <f>INDEX(UnitCosts[],MATCH(Table3[[#This Row],[WORK TYPE]],UnitCosts[Work Type],0),2)*VLOOKUP(Table3[[#This Row],[DEVELOPMENT]],Data[],MATCH(Table3[[#This Row],[WORK TYPE]],Data[#Headers],0),FALSE)</f>
        <v>#N/A</v>
      </c>
      <c r="K35" s="1"/>
    </row>
    <row r="36" spans="1:14">
      <c r="A36" s="1" t="str">
        <f>VLOOKUP(C36,Data[],2,FALSE)</f>
        <v>MANHATTAN</v>
      </c>
      <c r="B36" s="1"/>
      <c r="C36" s="1" t="s">
        <v>101</v>
      </c>
      <c r="D36" s="1" t="s">
        <v>2228</v>
      </c>
      <c r="E36" s="1"/>
      <c r="F36" s="1"/>
      <c r="G36" s="1"/>
      <c r="H36" s="1"/>
      <c r="I36" s="3"/>
      <c r="J36" s="3" t="e">
        <f>INDEX(UnitCosts[],MATCH(Table3[[#This Row],[WORK TYPE]],UnitCosts[Work Type],0),2)*VLOOKUP(Table3[[#This Row],[DEVELOPMENT]],Data[],MATCH(Table3[[#This Row],[WORK TYPE]],Data[#Headers],0),FALSE)</f>
        <v>#N/A</v>
      </c>
      <c r="K36" s="1"/>
    </row>
    <row r="37" spans="1:14">
      <c r="A37" s="1" t="str">
        <f>VLOOKUP(C37,Data[],2,FALSE)</f>
        <v>MANHATTAN</v>
      </c>
      <c r="B37" s="1"/>
      <c r="C37" s="26" t="s">
        <v>146</v>
      </c>
      <c r="D37" s="9" t="s">
        <v>2229</v>
      </c>
      <c r="E37" s="9" t="s">
        <v>27</v>
      </c>
      <c r="F37" s="1"/>
      <c r="G37" s="1"/>
      <c r="H37" s="1"/>
      <c r="I37" s="3"/>
      <c r="J37" s="3">
        <f>INDEX(UnitCosts[],MATCH(Table3[[#This Row],[WORK TYPE]],UnitCosts[Work Type],0),2)*VLOOKUP(Table3[[#This Row],[DEVELOPMENT]],Data[],MATCH(Table3[[#This Row],[WORK TYPE]],Data[#Headers],0),FALSE)</f>
        <v>29742.574000000001</v>
      </c>
      <c r="K37" s="1"/>
      <c r="M37" s="29"/>
      <c r="N37" s="30"/>
    </row>
    <row r="38" spans="1:14">
      <c r="A38" s="1" t="str">
        <f>VLOOKUP(C38,Data[],2,FALSE)</f>
        <v>MANHATTAN</v>
      </c>
      <c r="B38" s="1"/>
      <c r="C38" s="1" t="s">
        <v>129</v>
      </c>
      <c r="D38" s="9" t="s">
        <v>2229</v>
      </c>
      <c r="E38" s="9" t="s">
        <v>27</v>
      </c>
      <c r="F38" s="1"/>
      <c r="G38" s="1"/>
      <c r="H38" s="1"/>
      <c r="I38" s="3"/>
      <c r="J38" s="3">
        <f>INDEX(UnitCosts[],MATCH(Table3[[#This Row],[WORK TYPE]],UnitCosts[Work Type],0),2)*VLOOKUP(Table3[[#This Row],[DEVELOPMENT]],Data[],MATCH(Table3[[#This Row],[WORK TYPE]],Data[#Headers],0),FALSE)</f>
        <v>44613.861000000004</v>
      </c>
      <c r="K38" s="1"/>
      <c r="M38" s="29"/>
      <c r="N38" s="30"/>
    </row>
    <row r="39" spans="1:14">
      <c r="A39" s="1" t="str">
        <f>VLOOKUP(C39,Data[],2,FALSE)</f>
        <v>MANHATTAN</v>
      </c>
      <c r="B39" s="1"/>
      <c r="C39" s="1" t="s">
        <v>131</v>
      </c>
      <c r="D39" s="9" t="s">
        <v>2229</v>
      </c>
      <c r="E39" s="9" t="s">
        <v>27</v>
      </c>
      <c r="F39" s="1"/>
      <c r="G39" s="1"/>
      <c r="H39" s="1"/>
      <c r="I39" s="3"/>
      <c r="J39" s="3">
        <f>INDEX(UnitCosts[],MATCH(Table3[[#This Row],[WORK TYPE]],UnitCosts[Work Type],0),2)*VLOOKUP(Table3[[#This Row],[DEVELOPMENT]],Data[],MATCH(Table3[[#This Row],[WORK TYPE]],Data[#Headers],0),FALSE)</f>
        <v>74356.434999999998</v>
      </c>
      <c r="K39" s="1"/>
      <c r="M39" s="29"/>
      <c r="N39" s="30"/>
    </row>
    <row r="40" spans="1:14">
      <c r="A40" s="1" t="str">
        <f>VLOOKUP(C40,Data[],2,FALSE)</f>
        <v>MANHATTAN</v>
      </c>
      <c r="B40" s="1"/>
      <c r="C40" s="1" t="s">
        <v>133</v>
      </c>
      <c r="D40" s="9" t="s">
        <v>2229</v>
      </c>
      <c r="E40" s="9" t="s">
        <v>27</v>
      </c>
      <c r="F40" s="1"/>
      <c r="G40" s="1"/>
      <c r="H40" s="1"/>
      <c r="I40" s="3"/>
      <c r="J40" s="3">
        <f>INDEX(UnitCosts[],MATCH(Table3[[#This Row],[WORK TYPE]],UnitCosts[Work Type],0),2)*VLOOKUP(Table3[[#This Row],[DEVELOPMENT]],Data[],MATCH(Table3[[#This Row],[WORK TYPE]],Data[#Headers],0),FALSE)</f>
        <v>59485.148000000001</v>
      </c>
      <c r="K40" s="1"/>
      <c r="M40" s="29"/>
      <c r="N40" s="30"/>
    </row>
    <row r="41" spans="1:14">
      <c r="A41" s="1" t="str">
        <f>VLOOKUP(C41,Data[],2,FALSE)</f>
        <v>MANHATTAN</v>
      </c>
      <c r="B41" s="1"/>
      <c r="C41" s="1" t="s">
        <v>137</v>
      </c>
      <c r="D41" s="9" t="s">
        <v>2229</v>
      </c>
      <c r="E41" s="9" t="s">
        <v>27</v>
      </c>
      <c r="F41" s="1"/>
      <c r="G41" s="1"/>
      <c r="H41" s="1"/>
      <c r="I41" s="3"/>
      <c r="J41" s="3">
        <f>INDEX(UnitCosts[],MATCH(Table3[[#This Row],[WORK TYPE]],UnitCosts[Work Type],0),2)*VLOOKUP(Table3[[#This Row],[DEVELOPMENT]],Data[],MATCH(Table3[[#This Row],[WORK TYPE]],Data[#Headers],0),FALSE)</f>
        <v>104099.00900000001</v>
      </c>
      <c r="K41" s="1"/>
      <c r="M41" s="29"/>
      <c r="N41" s="30"/>
    </row>
    <row r="42" spans="1:14">
      <c r="A42" s="1" t="str">
        <f>VLOOKUP(C42,Data[],2,FALSE)</f>
        <v>MANHATTAN</v>
      </c>
      <c r="B42" s="1"/>
      <c r="C42" s="1" t="s">
        <v>125</v>
      </c>
      <c r="D42" s="9" t="s">
        <v>2229</v>
      </c>
      <c r="E42" s="9" t="s">
        <v>27</v>
      </c>
      <c r="F42" s="1"/>
      <c r="G42" s="1"/>
      <c r="H42" s="1"/>
      <c r="I42" s="3"/>
      <c r="J42" s="3">
        <f>INDEX(UnitCosts[],MATCH(Table3[[#This Row],[WORK TYPE]],UnitCosts[Work Type],0),2)*VLOOKUP(Table3[[#This Row],[DEVELOPMENT]],Data[],MATCH(Table3[[#This Row],[WORK TYPE]],Data[#Headers],0),FALSE)</f>
        <v>29742.574000000001</v>
      </c>
      <c r="K42" s="1"/>
      <c r="M42" s="29"/>
      <c r="N42" s="30"/>
    </row>
    <row r="43" spans="1:14">
      <c r="A43" s="1" t="str">
        <f>VLOOKUP(C43,Data[],2,FALSE)</f>
        <v>MANHATTAN</v>
      </c>
      <c r="B43" s="1"/>
      <c r="C43" s="1" t="s">
        <v>126</v>
      </c>
      <c r="D43" s="9" t="s">
        <v>2229</v>
      </c>
      <c r="E43" s="9" t="s">
        <v>27</v>
      </c>
      <c r="F43" s="1"/>
      <c r="G43" s="1"/>
      <c r="H43" s="1"/>
      <c r="I43" s="3"/>
      <c r="J43" s="3">
        <f>INDEX(UnitCosts[],MATCH(Table3[[#This Row],[WORK TYPE]],UnitCosts[Work Type],0),2)*VLOOKUP(Table3[[#This Row],[DEVELOPMENT]],Data[],MATCH(Table3[[#This Row],[WORK TYPE]],Data[#Headers],0),FALSE)</f>
        <v>7435.6435000000001</v>
      </c>
      <c r="K43" s="1"/>
      <c r="M43" s="29"/>
      <c r="N43" s="30"/>
    </row>
    <row r="44" spans="1:14">
      <c r="A44" s="1" t="str">
        <f>VLOOKUP(C44,Data[],2,FALSE)</f>
        <v>MANHATTAN</v>
      </c>
      <c r="B44" s="1"/>
      <c r="C44" s="1" t="s">
        <v>100</v>
      </c>
      <c r="D44" s="9" t="s">
        <v>2229</v>
      </c>
      <c r="E44" s="9" t="s">
        <v>27</v>
      </c>
      <c r="F44" s="1"/>
      <c r="G44" s="1"/>
      <c r="H44" s="1"/>
      <c r="I44" s="3"/>
      <c r="J44" s="3">
        <f>INDEX(UnitCosts[],MATCH(Table3[[#This Row],[WORK TYPE]],UnitCosts[Work Type],0),2)*VLOOKUP(Table3[[#This Row],[DEVELOPMENT]],Data[],MATCH(Table3[[#This Row],[WORK TYPE]],Data[#Headers],0),FALSE)</f>
        <v>7435.6435000000001</v>
      </c>
      <c r="K44" s="1"/>
      <c r="M44" s="29"/>
      <c r="N44" s="30"/>
    </row>
    <row r="45" spans="1:14">
      <c r="A45" s="1" t="str">
        <f>VLOOKUP(C45,Data[],2,FALSE)</f>
        <v>MANHATTAN</v>
      </c>
      <c r="B45" s="1"/>
      <c r="C45" s="1" t="s">
        <v>116</v>
      </c>
      <c r="D45" s="9" t="s">
        <v>2229</v>
      </c>
      <c r="E45" s="9" t="s">
        <v>27</v>
      </c>
      <c r="F45" s="1"/>
      <c r="G45" s="1"/>
      <c r="H45" s="1"/>
      <c r="I45" s="3"/>
      <c r="J45" s="3">
        <f>INDEX(UnitCosts[],MATCH(Table3[[#This Row],[WORK TYPE]],UnitCosts[Work Type],0),2)*VLOOKUP(Table3[[#This Row],[DEVELOPMENT]],Data[],MATCH(Table3[[#This Row],[WORK TYPE]],Data[#Headers],0),FALSE)</f>
        <v>22306.930500000002</v>
      </c>
      <c r="K45" s="1"/>
      <c r="M45" s="29"/>
      <c r="N45" s="30"/>
    </row>
    <row r="46" spans="1:14">
      <c r="A46" s="1" t="str">
        <f>VLOOKUP(C46,Data[],2,FALSE)</f>
        <v>MANHATTAN</v>
      </c>
      <c r="B46" s="1"/>
      <c r="C46" s="1" t="s">
        <v>127</v>
      </c>
      <c r="D46" s="9" t="s">
        <v>2229</v>
      </c>
      <c r="E46" s="9" t="s">
        <v>27</v>
      </c>
      <c r="F46" s="1"/>
      <c r="G46" s="1"/>
      <c r="H46" s="1"/>
      <c r="I46" s="3"/>
      <c r="J46" s="3">
        <f>INDEX(UnitCosts[],MATCH(Table3[[#This Row],[WORK TYPE]],UnitCosts[Work Type],0),2)*VLOOKUP(Table3[[#This Row],[DEVELOPMENT]],Data[],MATCH(Table3[[#This Row],[WORK TYPE]],Data[#Headers],0),FALSE)</f>
        <v>163584.15700000001</v>
      </c>
      <c r="K46" s="1"/>
      <c r="M46" s="29"/>
      <c r="N46" s="30"/>
    </row>
    <row r="47" spans="1:14">
      <c r="A47" s="1" t="str">
        <f>VLOOKUP(C47,Data[],2,FALSE)</f>
        <v>MANHATTAN</v>
      </c>
      <c r="B47" s="1"/>
      <c r="C47" s="1" t="s">
        <v>122</v>
      </c>
      <c r="D47" s="9" t="s">
        <v>2229</v>
      </c>
      <c r="E47" s="9" t="s">
        <v>27</v>
      </c>
      <c r="F47" s="1"/>
      <c r="G47" s="1"/>
      <c r="H47" s="1"/>
      <c r="I47" s="3"/>
      <c r="J47" s="3">
        <f>INDEX(UnitCosts[],MATCH(Table3[[#This Row],[WORK TYPE]],UnitCosts[Work Type],0),2)*VLOOKUP(Table3[[#This Row],[DEVELOPMENT]],Data[],MATCH(Table3[[#This Row],[WORK TYPE]],Data[#Headers],0),FALSE)</f>
        <v>44613.861000000004</v>
      </c>
      <c r="K47" s="1"/>
      <c r="M47" s="29"/>
      <c r="N47" s="30"/>
    </row>
    <row r="48" spans="1:14">
      <c r="A48" s="1" t="str">
        <f>VLOOKUP(C48,Data[],2,FALSE)</f>
        <v>MANHATTAN</v>
      </c>
      <c r="B48" s="1"/>
      <c r="C48" s="1" t="s">
        <v>120</v>
      </c>
      <c r="D48" s="9" t="s">
        <v>2229</v>
      </c>
      <c r="E48" s="9" t="s">
        <v>27</v>
      </c>
      <c r="F48" s="1"/>
      <c r="G48" s="1"/>
      <c r="H48" s="1"/>
      <c r="I48" s="3"/>
      <c r="J48" s="3">
        <f>INDEX(UnitCosts[],MATCH(Table3[[#This Row],[WORK TYPE]],UnitCosts[Work Type],0),2)*VLOOKUP(Table3[[#This Row],[DEVELOPMENT]],Data[],MATCH(Table3[[#This Row],[WORK TYPE]],Data[#Headers],0),FALSE)</f>
        <v>96663.3655</v>
      </c>
      <c r="K48" s="1"/>
      <c r="M48" s="29"/>
      <c r="N48" s="30"/>
    </row>
    <row r="49" spans="1:14">
      <c r="A49" s="1" t="str">
        <f>VLOOKUP(C49,Data[],2,FALSE)</f>
        <v>MANHATTAN</v>
      </c>
      <c r="B49" s="1"/>
      <c r="C49" s="1" t="s">
        <v>113</v>
      </c>
      <c r="D49" s="9" t="s">
        <v>2229</v>
      </c>
      <c r="E49" s="9" t="s">
        <v>27</v>
      </c>
      <c r="F49" s="1"/>
      <c r="G49" s="1"/>
      <c r="H49" s="1"/>
      <c r="I49" s="3"/>
      <c r="J49" s="3">
        <f>INDEX(UnitCosts[],MATCH(Table3[[#This Row],[WORK TYPE]],UnitCosts[Work Type],0),2)*VLOOKUP(Table3[[#This Row],[DEVELOPMENT]],Data[],MATCH(Table3[[#This Row],[WORK TYPE]],Data[#Headers],0),FALSE)</f>
        <v>148712.87</v>
      </c>
      <c r="K49" s="1"/>
      <c r="M49" s="29"/>
      <c r="N49" s="30"/>
    </row>
    <row r="50" spans="1:14">
      <c r="A50" s="1" t="str">
        <f>VLOOKUP(C50,Data[],2,FALSE)</f>
        <v>MANHATTAN</v>
      </c>
      <c r="B50" s="1"/>
      <c r="C50" s="1" t="s">
        <v>115</v>
      </c>
      <c r="D50" s="9" t="s">
        <v>2229</v>
      </c>
      <c r="E50" s="9" t="s">
        <v>27</v>
      </c>
      <c r="F50" s="1"/>
      <c r="G50" s="1"/>
      <c r="H50" s="1"/>
      <c r="I50" s="3"/>
      <c r="J50" s="3">
        <f>INDEX(UnitCosts[],MATCH(Table3[[#This Row],[WORK TYPE]],UnitCosts[Work Type],0),2)*VLOOKUP(Table3[[#This Row],[DEVELOPMENT]],Data[],MATCH(Table3[[#This Row],[WORK TYPE]],Data[#Headers],0),FALSE)</f>
        <v>66920.791500000007</v>
      </c>
      <c r="K50" s="1"/>
      <c r="M50" s="29"/>
      <c r="N50" s="30"/>
    </row>
    <row r="51" spans="1:14">
      <c r="A51" s="1" t="str">
        <f>VLOOKUP(C51,Data[],2,FALSE)</f>
        <v>MANHATTAN</v>
      </c>
      <c r="B51" s="1"/>
      <c r="C51" s="1" t="s">
        <v>112</v>
      </c>
      <c r="D51" s="9" t="s">
        <v>2229</v>
      </c>
      <c r="E51" s="9" t="s">
        <v>27</v>
      </c>
      <c r="F51" s="1"/>
      <c r="G51" s="1"/>
      <c r="H51" s="1"/>
      <c r="I51" s="3"/>
      <c r="J51" s="3">
        <f>INDEX(UnitCosts[],MATCH(Table3[[#This Row],[WORK TYPE]],UnitCosts[Work Type],0),2)*VLOOKUP(Table3[[#This Row],[DEVELOPMENT]],Data[],MATCH(Table3[[#This Row],[WORK TYPE]],Data[#Headers],0),FALSE)</f>
        <v>252811.87900000002</v>
      </c>
      <c r="K51" s="1"/>
      <c r="M51" s="29"/>
      <c r="N51" s="30"/>
    </row>
    <row r="52" spans="1:14">
      <c r="A52" s="1" t="str">
        <f>VLOOKUP(C52,Data[],2,FALSE)</f>
        <v>MANHATTAN</v>
      </c>
      <c r="B52" s="1"/>
      <c r="C52" s="1" t="s">
        <v>77</v>
      </c>
      <c r="D52" s="9" t="s">
        <v>2229</v>
      </c>
      <c r="E52" s="9" t="s">
        <v>27</v>
      </c>
      <c r="F52" s="1"/>
      <c r="G52" s="1"/>
      <c r="H52" s="1"/>
      <c r="I52" s="3"/>
      <c r="J52" s="3">
        <f>INDEX(UnitCosts[],MATCH(Table3[[#This Row],[WORK TYPE]],UnitCosts[Work Type],0),2)*VLOOKUP(Table3[[#This Row],[DEVELOPMENT]],Data[],MATCH(Table3[[#This Row],[WORK TYPE]],Data[#Headers],0),FALSE)</f>
        <v>37178.217499999999</v>
      </c>
      <c r="K52" s="1"/>
      <c r="M52" s="29"/>
      <c r="N52" s="30"/>
    </row>
    <row r="53" spans="1:14">
      <c r="A53" s="1" t="str">
        <f>VLOOKUP(C53,Data[],2,FALSE)</f>
        <v>MANHATTAN</v>
      </c>
      <c r="B53" s="1"/>
      <c r="C53" s="1" t="s">
        <v>83</v>
      </c>
      <c r="D53" s="9" t="s">
        <v>2229</v>
      </c>
      <c r="E53" s="9" t="s">
        <v>27</v>
      </c>
      <c r="F53" s="1"/>
      <c r="G53" s="1"/>
      <c r="H53" s="1"/>
      <c r="I53" s="3"/>
      <c r="J53" s="3">
        <f>INDEX(UnitCosts[],MATCH(Table3[[#This Row],[WORK TYPE]],UnitCosts[Work Type],0),2)*VLOOKUP(Table3[[#This Row],[DEVELOPMENT]],Data[],MATCH(Table3[[#This Row],[WORK TYPE]],Data[#Headers],0),FALSE)</f>
        <v>126405.93950000001</v>
      </c>
      <c r="K53" s="1"/>
      <c r="M53" s="29"/>
      <c r="N53" s="30"/>
    </row>
    <row r="54" spans="1:14">
      <c r="A54" s="1" t="str">
        <f>VLOOKUP(C54,Data[],2,FALSE)</f>
        <v>MANHATTAN</v>
      </c>
      <c r="B54" s="1"/>
      <c r="C54" s="1" t="s">
        <v>136</v>
      </c>
      <c r="D54" s="9" t="s">
        <v>2229</v>
      </c>
      <c r="E54" s="9" t="s">
        <v>27</v>
      </c>
      <c r="F54" s="1"/>
      <c r="G54" s="1"/>
      <c r="H54" s="1"/>
      <c r="I54" s="3"/>
      <c r="J54" s="3">
        <f>INDEX(UnitCosts[],MATCH(Table3[[#This Row],[WORK TYPE]],UnitCosts[Work Type],0),2)*VLOOKUP(Table3[[#This Row],[DEVELOPMENT]],Data[],MATCH(Table3[[#This Row],[WORK TYPE]],Data[#Headers],0),FALSE)</f>
        <v>104099.00900000001</v>
      </c>
      <c r="K54" s="1"/>
      <c r="M54" s="29"/>
      <c r="N54" s="30"/>
    </row>
    <row r="55" spans="1:14">
      <c r="A55" s="1" t="str">
        <f>VLOOKUP(C55,Data[],2,FALSE)</f>
        <v>MANHATTAN</v>
      </c>
      <c r="B55" s="1"/>
      <c r="C55" s="1" t="s">
        <v>78</v>
      </c>
      <c r="D55" s="9" t="s">
        <v>2229</v>
      </c>
      <c r="E55" s="9" t="s">
        <v>27</v>
      </c>
      <c r="F55" s="1"/>
      <c r="G55" s="1"/>
      <c r="H55" s="1"/>
      <c r="I55" s="3"/>
      <c r="J55" s="3">
        <f>INDEX(UnitCosts[],MATCH(Table3[[#This Row],[WORK TYPE]],UnitCosts[Work Type],0),2)*VLOOKUP(Table3[[#This Row],[DEVELOPMENT]],Data[],MATCH(Table3[[#This Row],[WORK TYPE]],Data[#Headers],0),FALSE)</f>
        <v>215633.66150000002</v>
      </c>
      <c r="K55" s="1"/>
      <c r="M55" s="29"/>
      <c r="N55" s="30"/>
    </row>
    <row r="56" spans="1:14">
      <c r="A56" s="1" t="str">
        <f>VLOOKUP(C56,Data[],2,FALSE)</f>
        <v>MANHATTAN</v>
      </c>
      <c r="B56" s="1"/>
      <c r="C56" s="1" t="s">
        <v>128</v>
      </c>
      <c r="D56" s="9" t="s">
        <v>2229</v>
      </c>
      <c r="E56" s="9" t="s">
        <v>27</v>
      </c>
      <c r="F56" s="1"/>
      <c r="G56" s="1"/>
      <c r="H56" s="1"/>
      <c r="I56" s="3"/>
      <c r="J56" s="3">
        <f>INDEX(UnitCosts[],MATCH(Table3[[#This Row],[WORK TYPE]],UnitCosts[Work Type],0),2)*VLOOKUP(Table3[[#This Row],[DEVELOPMENT]],Data[],MATCH(Table3[[#This Row],[WORK TYPE]],Data[#Headers],0),FALSE)</f>
        <v>133841.58300000001</v>
      </c>
      <c r="K56" s="1"/>
      <c r="M56" s="29"/>
      <c r="N56" s="30"/>
    </row>
    <row r="57" spans="1:14">
      <c r="A57" s="1" t="str">
        <f>VLOOKUP(C57,Data[],2,FALSE)</f>
        <v>MANHATTAN</v>
      </c>
      <c r="B57" s="1"/>
      <c r="C57" s="1" t="s">
        <v>95</v>
      </c>
      <c r="D57" s="9" t="s">
        <v>2229</v>
      </c>
      <c r="E57" s="9" t="s">
        <v>27</v>
      </c>
      <c r="F57" s="1"/>
      <c r="G57" s="1"/>
      <c r="H57" s="1"/>
      <c r="I57" s="3"/>
      <c r="J57" s="3">
        <f>INDEX(UnitCosts[],MATCH(Table3[[#This Row],[WORK TYPE]],UnitCosts[Work Type],0),2)*VLOOKUP(Table3[[#This Row],[DEVELOPMENT]],Data[],MATCH(Table3[[#This Row],[WORK TYPE]],Data[#Headers],0),FALSE)</f>
        <v>297425.74</v>
      </c>
      <c r="K57" s="1"/>
      <c r="M57" s="29"/>
      <c r="N57" s="30"/>
    </row>
    <row r="58" spans="1:14">
      <c r="A58" s="1" t="str">
        <f>VLOOKUP(C58,Data[],2,FALSE)</f>
        <v>MANHATTAN</v>
      </c>
      <c r="B58" s="1"/>
      <c r="C58" s="1" t="s">
        <v>90</v>
      </c>
      <c r="D58" s="9" t="s">
        <v>2229</v>
      </c>
      <c r="E58" s="9" t="s">
        <v>27</v>
      </c>
      <c r="F58" s="1"/>
      <c r="G58" s="1"/>
      <c r="H58" s="1"/>
      <c r="I58" s="3"/>
      <c r="J58" s="3">
        <f>INDEX(UnitCosts[],MATCH(Table3[[#This Row],[WORK TYPE]],UnitCosts[Work Type],0),2)*VLOOKUP(Table3[[#This Row],[DEVELOPMENT]],Data[],MATCH(Table3[[#This Row],[WORK TYPE]],Data[#Headers],0),FALSE)</f>
        <v>22306.930500000002</v>
      </c>
      <c r="K58" s="1"/>
      <c r="M58" s="29"/>
      <c r="N58" s="30"/>
    </row>
    <row r="59" spans="1:14">
      <c r="A59" s="1" t="str">
        <f>VLOOKUP(C59,Data[],2,FALSE)</f>
        <v>MANHATTAN</v>
      </c>
      <c r="B59" s="1"/>
      <c r="C59" s="1" t="s">
        <v>81</v>
      </c>
      <c r="D59" s="9" t="s">
        <v>2229</v>
      </c>
      <c r="E59" s="9" t="s">
        <v>27</v>
      </c>
      <c r="F59" s="1"/>
      <c r="G59" s="1"/>
      <c r="H59" s="1"/>
      <c r="I59" s="3"/>
      <c r="J59" s="3">
        <f>INDEX(UnitCosts[],MATCH(Table3[[#This Row],[WORK TYPE]],UnitCosts[Work Type],0),2)*VLOOKUP(Table3[[#This Row],[DEVELOPMENT]],Data[],MATCH(Table3[[#This Row],[WORK TYPE]],Data[#Headers],0),FALSE)</f>
        <v>66920.791500000007</v>
      </c>
      <c r="K59" s="1"/>
      <c r="M59" s="29"/>
      <c r="N59" s="30"/>
    </row>
    <row r="60" spans="1:14">
      <c r="A60" s="1" t="str">
        <f>VLOOKUP(C60,Data[],2,FALSE)</f>
        <v>MANHATTAN</v>
      </c>
      <c r="B60" s="1"/>
      <c r="C60" s="1" t="s">
        <v>74</v>
      </c>
      <c r="D60" s="9" t="s">
        <v>2229</v>
      </c>
      <c r="E60" s="9" t="s">
        <v>27</v>
      </c>
      <c r="F60" s="1"/>
      <c r="G60" s="1"/>
      <c r="H60" s="1"/>
      <c r="I60" s="3"/>
      <c r="J60" s="3">
        <f>INDEX(UnitCosts[],MATCH(Table3[[#This Row],[WORK TYPE]],UnitCosts[Work Type],0),2)*VLOOKUP(Table3[[#This Row],[DEVELOPMENT]],Data[],MATCH(Table3[[#This Row],[WORK TYPE]],Data[#Headers],0),FALSE)</f>
        <v>7435.6435000000001</v>
      </c>
      <c r="K60" s="1"/>
      <c r="M60" s="29"/>
      <c r="N60" s="30"/>
    </row>
    <row r="61" spans="1:14">
      <c r="A61" s="1" t="str">
        <f>VLOOKUP(C61,Data[],2,FALSE)</f>
        <v>MANHATTAN</v>
      </c>
      <c r="B61" s="1"/>
      <c r="C61" s="1" t="s">
        <v>67</v>
      </c>
      <c r="D61" s="9" t="s">
        <v>2229</v>
      </c>
      <c r="E61" s="9" t="s">
        <v>27</v>
      </c>
      <c r="F61" s="1"/>
      <c r="G61" s="1"/>
      <c r="H61" s="1"/>
      <c r="I61" s="3"/>
      <c r="J61" s="3">
        <f>INDEX(UnitCosts[],MATCH(Table3[[#This Row],[WORK TYPE]],UnitCosts[Work Type],0),2)*VLOOKUP(Table3[[#This Row],[DEVELOPMENT]],Data[],MATCH(Table3[[#This Row],[WORK TYPE]],Data[#Headers],0),FALSE)</f>
        <v>7435.6435000000001</v>
      </c>
      <c r="K61" s="1"/>
      <c r="M61" s="29"/>
      <c r="N61" s="30"/>
    </row>
    <row r="62" spans="1:14">
      <c r="A62" s="1" t="str">
        <f>VLOOKUP(C62,Data[],2,FALSE)</f>
        <v>MANHATTAN</v>
      </c>
      <c r="B62" s="1"/>
      <c r="C62" s="1" t="s">
        <v>102</v>
      </c>
      <c r="D62" s="9" t="s">
        <v>2229</v>
      </c>
      <c r="E62" s="9" t="s">
        <v>27</v>
      </c>
      <c r="F62" s="1"/>
      <c r="G62" s="1"/>
      <c r="H62" s="1"/>
      <c r="I62" s="3"/>
      <c r="J62" s="3">
        <f>INDEX(UnitCosts[],MATCH(Table3[[#This Row],[WORK TYPE]],UnitCosts[Work Type],0),2)*VLOOKUP(Table3[[#This Row],[DEVELOPMENT]],Data[],MATCH(Table3[[#This Row],[WORK TYPE]],Data[#Headers],0),FALSE)</f>
        <v>7435.6435000000001</v>
      </c>
      <c r="K62" s="1"/>
      <c r="M62" s="29"/>
      <c r="N62" s="30"/>
    </row>
    <row r="63" spans="1:14">
      <c r="A63" s="1" t="str">
        <f>VLOOKUP(C63,Data[],2,FALSE)</f>
        <v>MANHATTAN</v>
      </c>
      <c r="B63" s="1"/>
      <c r="C63" s="1" t="s">
        <v>107</v>
      </c>
      <c r="D63" s="9" t="s">
        <v>2229</v>
      </c>
      <c r="E63" s="9" t="s">
        <v>27</v>
      </c>
      <c r="F63" s="1"/>
      <c r="G63" s="1"/>
      <c r="H63" s="1"/>
      <c r="I63" s="3"/>
      <c r="J63" s="3">
        <f>INDEX(UnitCosts[],MATCH(Table3[[#This Row],[WORK TYPE]],UnitCosts[Work Type],0),2)*VLOOKUP(Table3[[#This Row],[DEVELOPMENT]],Data[],MATCH(Table3[[#This Row],[WORK TYPE]],Data[#Headers],0),FALSE)</f>
        <v>14871.287</v>
      </c>
      <c r="K63" s="1"/>
      <c r="M63" s="29"/>
      <c r="N63" s="30"/>
    </row>
    <row r="64" spans="1:14">
      <c r="A64" s="1" t="str">
        <f>VLOOKUP(C64,Data[],2,FALSE)</f>
        <v>MANHATTAN</v>
      </c>
      <c r="B64" s="1"/>
      <c r="C64" s="1" t="s">
        <v>92</v>
      </c>
      <c r="D64" s="9" t="s">
        <v>2229</v>
      </c>
      <c r="E64" s="9" t="s">
        <v>27</v>
      </c>
      <c r="F64" s="1"/>
      <c r="G64" s="1"/>
      <c r="H64" s="1"/>
      <c r="I64" s="3"/>
      <c r="J64" s="3">
        <f>INDEX(UnitCosts[],MATCH(Table3[[#This Row],[WORK TYPE]],UnitCosts[Work Type],0),2)*VLOOKUP(Table3[[#This Row],[DEVELOPMENT]],Data[],MATCH(Table3[[#This Row],[WORK TYPE]],Data[#Headers],0),FALSE)</f>
        <v>7435.6435000000001</v>
      </c>
      <c r="K64" s="1"/>
      <c r="M64" s="29"/>
      <c r="N64" s="30"/>
    </row>
    <row r="65" spans="1:14">
      <c r="A65" s="1" t="str">
        <f>VLOOKUP(C65,Data[],2,FALSE)</f>
        <v>MANHATTAN</v>
      </c>
      <c r="B65" s="1"/>
      <c r="C65" s="1" t="s">
        <v>129</v>
      </c>
      <c r="D65" s="9" t="s">
        <v>2229</v>
      </c>
      <c r="E65" s="9" t="s">
        <v>52</v>
      </c>
      <c r="F65" s="39"/>
      <c r="G65" s="1"/>
      <c r="H65" s="1"/>
      <c r="I65" s="3"/>
      <c r="J65" s="3">
        <f>INDEX(UnitCosts[],MATCH(Table3[[#This Row],[WORK TYPE]],UnitCosts[Work Type],0),2)*VLOOKUP(Table3[[#This Row],[DEVELOPMENT]],Data[],MATCH(Table3[[#This Row],[WORK TYPE]],Data[#Headers],0),FALSE)</f>
        <v>38885.4</v>
      </c>
      <c r="K65" s="1"/>
      <c r="M65" s="29"/>
      <c r="N65" s="30"/>
    </row>
    <row r="66" spans="1:14">
      <c r="A66" s="1" t="str">
        <f>VLOOKUP(C66,Data[],2,FALSE)</f>
        <v>MANHATTAN</v>
      </c>
      <c r="B66" s="1"/>
      <c r="C66" s="1" t="s">
        <v>131</v>
      </c>
      <c r="D66" s="9" t="s">
        <v>2229</v>
      </c>
      <c r="E66" s="9" t="s">
        <v>52</v>
      </c>
      <c r="F66" s="39"/>
      <c r="G66" s="1"/>
      <c r="H66" s="1"/>
      <c r="I66" s="3"/>
      <c r="J66" s="3">
        <f>INDEX(UnitCosts[],MATCH(Table3[[#This Row],[WORK TYPE]],UnitCosts[Work Type],0),2)*VLOOKUP(Table3[[#This Row],[DEVELOPMENT]],Data[],MATCH(Table3[[#This Row],[WORK TYPE]],Data[#Headers],0),FALSE)</f>
        <v>38885.4</v>
      </c>
      <c r="K66" s="1"/>
    </row>
    <row r="67" spans="1:14">
      <c r="A67" s="1" t="str">
        <f>VLOOKUP(C67,Data[],2,FALSE)</f>
        <v>MANHATTAN</v>
      </c>
      <c r="B67" s="1"/>
      <c r="C67" s="1" t="s">
        <v>133</v>
      </c>
      <c r="D67" s="9" t="s">
        <v>2229</v>
      </c>
      <c r="E67" s="9" t="s">
        <v>52</v>
      </c>
      <c r="F67" s="39"/>
      <c r="G67" s="1"/>
      <c r="H67" s="1"/>
      <c r="I67" s="3"/>
      <c r="J67" s="3">
        <f>INDEX(UnitCosts[],MATCH(Table3[[#This Row],[WORK TYPE]],UnitCosts[Work Type],0),2)*VLOOKUP(Table3[[#This Row],[DEVELOPMENT]],Data[],MATCH(Table3[[#This Row],[WORK TYPE]],Data[#Headers],0),FALSE)</f>
        <v>38885.4</v>
      </c>
      <c r="K67" s="1"/>
    </row>
    <row r="68" spans="1:14">
      <c r="A68" s="1" t="str">
        <f>VLOOKUP(C68,Data[],2,FALSE)</f>
        <v>MANHATTAN</v>
      </c>
      <c r="B68" s="1"/>
      <c r="C68" s="1" t="s">
        <v>127</v>
      </c>
      <c r="D68" s="9" t="s">
        <v>2229</v>
      </c>
      <c r="E68" s="9" t="s">
        <v>52</v>
      </c>
      <c r="F68" s="39"/>
      <c r="G68" s="1"/>
      <c r="H68" s="1"/>
      <c r="I68" s="3"/>
      <c r="J68" s="3">
        <f>INDEX(UnitCosts[],MATCH(Table3[[#This Row],[WORK TYPE]],UnitCosts[Work Type],0),2)*VLOOKUP(Table3[[#This Row],[DEVELOPMENT]],Data[],MATCH(Table3[[#This Row],[WORK TYPE]],Data[#Headers],0),FALSE)</f>
        <v>38885.4</v>
      </c>
      <c r="K68" s="1"/>
    </row>
    <row r="69" spans="1:14">
      <c r="A69" s="1" t="str">
        <f>VLOOKUP(C69,Data[],2,FALSE)</f>
        <v>MANHATTAN</v>
      </c>
      <c r="B69" s="1"/>
      <c r="C69" s="1" t="s">
        <v>122</v>
      </c>
      <c r="D69" s="9" t="s">
        <v>2229</v>
      </c>
      <c r="E69" s="9" t="s">
        <v>52</v>
      </c>
      <c r="F69" s="39"/>
      <c r="G69" s="1"/>
      <c r="H69" s="1"/>
      <c r="I69" s="3"/>
      <c r="J69" s="3">
        <f>INDEX(UnitCosts[],MATCH(Table3[[#This Row],[WORK TYPE]],UnitCosts[Work Type],0),2)*VLOOKUP(Table3[[#This Row],[DEVELOPMENT]],Data[],MATCH(Table3[[#This Row],[WORK TYPE]],Data[#Headers],0),FALSE)</f>
        <v>38885.4</v>
      </c>
      <c r="K69" s="1"/>
    </row>
    <row r="70" spans="1:14">
      <c r="A70" s="1" t="str">
        <f>VLOOKUP(C70,Data[],2,FALSE)</f>
        <v>MANHATTAN</v>
      </c>
      <c r="B70" s="1"/>
      <c r="C70" s="1" t="s">
        <v>120</v>
      </c>
      <c r="D70" s="9" t="s">
        <v>2229</v>
      </c>
      <c r="E70" s="9" t="s">
        <v>52</v>
      </c>
      <c r="F70" s="39"/>
      <c r="G70" s="1"/>
      <c r="H70" s="1"/>
      <c r="I70" s="3"/>
      <c r="J70" s="3">
        <f>INDEX(UnitCosts[],MATCH(Table3[[#This Row],[WORK TYPE]],UnitCosts[Work Type],0),2)*VLOOKUP(Table3[[#This Row],[DEVELOPMENT]],Data[],MATCH(Table3[[#This Row],[WORK TYPE]],Data[#Headers],0),FALSE)</f>
        <v>38885.4</v>
      </c>
      <c r="K70" s="1"/>
    </row>
    <row r="71" spans="1:14">
      <c r="A71" s="1" t="str">
        <f>VLOOKUP(C71,Data[],2,FALSE)</f>
        <v>MANHATTAN</v>
      </c>
      <c r="B71" s="1"/>
      <c r="C71" s="1" t="s">
        <v>113</v>
      </c>
      <c r="D71" s="9" t="s">
        <v>2229</v>
      </c>
      <c r="E71" s="9" t="s">
        <v>52</v>
      </c>
      <c r="F71" s="39"/>
      <c r="G71" s="1"/>
      <c r="H71" s="1"/>
      <c r="I71" s="3"/>
      <c r="J71" s="3">
        <f>INDEX(UnitCosts[],MATCH(Table3[[#This Row],[WORK TYPE]],UnitCosts[Work Type],0),2)*VLOOKUP(Table3[[#This Row],[DEVELOPMENT]],Data[],MATCH(Table3[[#This Row],[WORK TYPE]],Data[#Headers],0),FALSE)</f>
        <v>38885.4</v>
      </c>
      <c r="K71" s="1"/>
    </row>
    <row r="72" spans="1:14">
      <c r="A72" s="1" t="str">
        <f>VLOOKUP(C72,Data[],2,FALSE)</f>
        <v>MANHATTAN</v>
      </c>
      <c r="B72" s="1"/>
      <c r="C72" s="1" t="s">
        <v>115</v>
      </c>
      <c r="D72" s="9" t="s">
        <v>2229</v>
      </c>
      <c r="E72" s="9" t="s">
        <v>52</v>
      </c>
      <c r="F72" s="39"/>
      <c r="G72" s="1"/>
      <c r="H72" s="1"/>
      <c r="I72" s="3"/>
      <c r="J72" s="3">
        <f>INDEX(UnitCosts[],MATCH(Table3[[#This Row],[WORK TYPE]],UnitCosts[Work Type],0),2)*VLOOKUP(Table3[[#This Row],[DEVELOPMENT]],Data[],MATCH(Table3[[#This Row],[WORK TYPE]],Data[#Headers],0),FALSE)</f>
        <v>38885.4</v>
      </c>
      <c r="K72" s="1"/>
    </row>
    <row r="73" spans="1:14">
      <c r="A73" s="1" t="str">
        <f>VLOOKUP(C73,Data[],2,FALSE)</f>
        <v>MANHATTAN</v>
      </c>
      <c r="B73" s="1"/>
      <c r="C73" s="1" t="s">
        <v>112</v>
      </c>
      <c r="D73" s="9" t="s">
        <v>2229</v>
      </c>
      <c r="E73" s="9" t="s">
        <v>52</v>
      </c>
      <c r="F73" s="39"/>
      <c r="G73" s="1"/>
      <c r="H73" s="1"/>
      <c r="I73" s="3"/>
      <c r="J73" s="3">
        <f>INDEX(UnitCosts[],MATCH(Table3[[#This Row],[WORK TYPE]],UnitCosts[Work Type],0),2)*VLOOKUP(Table3[[#This Row],[DEVELOPMENT]],Data[],MATCH(Table3[[#This Row],[WORK TYPE]],Data[#Headers],0),FALSE)</f>
        <v>38885.4</v>
      </c>
      <c r="K73" s="1"/>
    </row>
    <row r="74" spans="1:14">
      <c r="A74" s="1" t="str">
        <f>VLOOKUP(C74,Data[],2,FALSE)</f>
        <v>MANHATTAN</v>
      </c>
      <c r="B74" s="1"/>
      <c r="C74" s="1" t="s">
        <v>77</v>
      </c>
      <c r="D74" s="9" t="s">
        <v>2229</v>
      </c>
      <c r="E74" s="9" t="s">
        <v>52</v>
      </c>
      <c r="F74" s="39"/>
      <c r="G74" s="1"/>
      <c r="H74" s="1"/>
      <c r="I74" s="3"/>
      <c r="J74" s="3">
        <f>INDEX(UnitCosts[],MATCH(Table3[[#This Row],[WORK TYPE]],UnitCosts[Work Type],0),2)*VLOOKUP(Table3[[#This Row],[DEVELOPMENT]],Data[],MATCH(Table3[[#This Row],[WORK TYPE]],Data[#Headers],0),FALSE)</f>
        <v>38885.4</v>
      </c>
      <c r="K74" s="1"/>
    </row>
    <row r="75" spans="1:14">
      <c r="A75" s="1" t="str">
        <f>VLOOKUP(C75,Data[],2,FALSE)</f>
        <v>MANHATTAN</v>
      </c>
      <c r="B75" s="1"/>
      <c r="C75" s="1" t="s">
        <v>83</v>
      </c>
      <c r="D75" s="9" t="s">
        <v>2229</v>
      </c>
      <c r="E75" s="9" t="s">
        <v>52</v>
      </c>
      <c r="F75" s="39"/>
      <c r="G75" s="1"/>
      <c r="H75" s="1"/>
      <c r="I75" s="3"/>
      <c r="J75" s="3">
        <f>INDEX(UnitCosts[],MATCH(Table3[[#This Row],[WORK TYPE]],UnitCosts[Work Type],0),2)*VLOOKUP(Table3[[#This Row],[DEVELOPMENT]],Data[],MATCH(Table3[[#This Row],[WORK TYPE]],Data[#Headers],0),FALSE)</f>
        <v>38885.4</v>
      </c>
      <c r="K75" s="1"/>
    </row>
    <row r="76" spans="1:14">
      <c r="A76" s="1" t="str">
        <f>VLOOKUP(C76,Data[],2,FALSE)</f>
        <v>MANHATTAN</v>
      </c>
      <c r="B76" s="1"/>
      <c r="C76" s="1" t="s">
        <v>136</v>
      </c>
      <c r="D76" s="9" t="s">
        <v>2229</v>
      </c>
      <c r="E76" s="9" t="s">
        <v>52</v>
      </c>
      <c r="F76" s="39"/>
      <c r="G76" s="1"/>
      <c r="H76" s="1"/>
      <c r="I76" s="3"/>
      <c r="J76" s="3">
        <f>INDEX(UnitCosts[],MATCH(Table3[[#This Row],[WORK TYPE]],UnitCosts[Work Type],0),2)*VLOOKUP(Table3[[#This Row],[DEVELOPMENT]],Data[],MATCH(Table3[[#This Row],[WORK TYPE]],Data[#Headers],0),FALSE)</f>
        <v>38885.4</v>
      </c>
      <c r="K76" s="1"/>
    </row>
    <row r="77" spans="1:14">
      <c r="A77" s="1" t="str">
        <f>VLOOKUP(C77,Data[],2,FALSE)</f>
        <v>MANHATTAN</v>
      </c>
      <c r="B77" s="1"/>
      <c r="C77" s="1" t="s">
        <v>78</v>
      </c>
      <c r="D77" s="9" t="s">
        <v>2229</v>
      </c>
      <c r="E77" s="9" t="s">
        <v>52</v>
      </c>
      <c r="F77" s="39"/>
      <c r="G77" s="1"/>
      <c r="H77" s="1"/>
      <c r="I77" s="3"/>
      <c r="J77" s="3">
        <f>INDEX(UnitCosts[],MATCH(Table3[[#This Row],[WORK TYPE]],UnitCosts[Work Type],0),2)*VLOOKUP(Table3[[#This Row],[DEVELOPMENT]],Data[],MATCH(Table3[[#This Row],[WORK TYPE]],Data[#Headers],0),FALSE)</f>
        <v>38885.4</v>
      </c>
      <c r="K77" s="1"/>
    </row>
    <row r="78" spans="1:14">
      <c r="A78" s="1" t="str">
        <f>VLOOKUP(C78,Data[],2,FALSE)</f>
        <v>MANHATTAN</v>
      </c>
      <c r="B78" s="1"/>
      <c r="C78" s="1" t="s">
        <v>128</v>
      </c>
      <c r="D78" s="9" t="s">
        <v>2229</v>
      </c>
      <c r="E78" s="9" t="s">
        <v>52</v>
      </c>
      <c r="F78" s="39"/>
      <c r="G78" s="1"/>
      <c r="H78" s="1"/>
      <c r="I78" s="3"/>
      <c r="J78" s="3">
        <f>INDEX(UnitCosts[],MATCH(Table3[[#This Row],[WORK TYPE]],UnitCosts[Work Type],0),2)*VLOOKUP(Table3[[#This Row],[DEVELOPMENT]],Data[],MATCH(Table3[[#This Row],[WORK TYPE]],Data[#Headers],0),FALSE)</f>
        <v>38885.4</v>
      </c>
      <c r="K78" s="1"/>
    </row>
    <row r="79" spans="1:14">
      <c r="A79" s="1" t="str">
        <f>VLOOKUP(C79,Data[],2,FALSE)</f>
        <v>MANHATTAN</v>
      </c>
      <c r="B79" s="1"/>
      <c r="C79" s="1" t="s">
        <v>90</v>
      </c>
      <c r="D79" s="9" t="s">
        <v>2229</v>
      </c>
      <c r="E79" s="9" t="s">
        <v>52</v>
      </c>
      <c r="F79" s="39"/>
      <c r="G79" s="1"/>
      <c r="H79" s="1"/>
      <c r="I79" s="3"/>
      <c r="J79" s="3">
        <f>INDEX(UnitCosts[],MATCH(Table3[[#This Row],[WORK TYPE]],UnitCosts[Work Type],0),2)*VLOOKUP(Table3[[#This Row],[DEVELOPMENT]],Data[],MATCH(Table3[[#This Row],[WORK TYPE]],Data[#Headers],0),FALSE)</f>
        <v>38885.4</v>
      </c>
      <c r="K79" s="1"/>
    </row>
    <row r="80" spans="1:14">
      <c r="A80" s="1" t="str">
        <f>VLOOKUP(C80,Data[],2,FALSE)</f>
        <v>MANHATTAN</v>
      </c>
      <c r="B80" s="1"/>
      <c r="C80" s="1" t="s">
        <v>81</v>
      </c>
      <c r="D80" s="9" t="s">
        <v>2229</v>
      </c>
      <c r="E80" s="9" t="s">
        <v>52</v>
      </c>
      <c r="F80" s="39"/>
      <c r="G80" s="1"/>
      <c r="H80" s="1"/>
      <c r="I80" s="3"/>
      <c r="J80" s="3">
        <f>INDEX(UnitCosts[],MATCH(Table3[[#This Row],[WORK TYPE]],UnitCosts[Work Type],0),2)*VLOOKUP(Table3[[#This Row],[DEVELOPMENT]],Data[],MATCH(Table3[[#This Row],[WORK TYPE]],Data[#Headers],0),FALSE)</f>
        <v>38885.4</v>
      </c>
      <c r="K80" s="1"/>
    </row>
    <row r="81" spans="1:11">
      <c r="A81" s="1" t="str">
        <f>VLOOKUP(C81,Data[],2,FALSE)</f>
        <v>MANHATTAN</v>
      </c>
      <c r="B81" s="1"/>
      <c r="C81" s="1" t="s">
        <v>146</v>
      </c>
      <c r="D81" s="9" t="s">
        <v>2229</v>
      </c>
      <c r="E81" s="9" t="s">
        <v>106</v>
      </c>
      <c r="F81" s="39"/>
      <c r="G81" s="1"/>
      <c r="H81" s="1"/>
      <c r="I81" s="3"/>
      <c r="J81" s="3" t="e">
        <f>INDEX(UnitCosts[],MATCH(Table3[[#This Row],[WORK TYPE]],UnitCosts[Work Type],0),2)*VLOOKUP(Table3[[#This Row],[DEVELOPMENT]],Data[],MATCH(Table3[[#This Row],[WORK TYPE]],Data[#Headers],0),FALSE)</f>
        <v>#N/A</v>
      </c>
      <c r="K81" s="1"/>
    </row>
    <row r="82" spans="1:11">
      <c r="A82" s="1" t="str">
        <f>VLOOKUP(C82,Data[],2,FALSE)</f>
        <v>MANHATTAN</v>
      </c>
      <c r="B82" s="1"/>
      <c r="C82" s="1" t="s">
        <v>129</v>
      </c>
      <c r="D82" s="9" t="s">
        <v>2229</v>
      </c>
      <c r="E82" s="9" t="s">
        <v>106</v>
      </c>
      <c r="F82" s="39"/>
      <c r="G82" s="1"/>
      <c r="H82" s="1"/>
      <c r="I82" s="3"/>
      <c r="J82" s="3" t="e">
        <f>INDEX(UnitCosts[],MATCH(Table3[[#This Row],[WORK TYPE]],UnitCosts[Work Type],0),2)*VLOOKUP(Table3[[#This Row],[DEVELOPMENT]],Data[],MATCH(Table3[[#This Row],[WORK TYPE]],Data[#Headers],0),FALSE)</f>
        <v>#N/A</v>
      </c>
      <c r="K82" s="1"/>
    </row>
    <row r="83" spans="1:11">
      <c r="A83" s="1" t="str">
        <f>VLOOKUP(C83,Data[],2,FALSE)</f>
        <v>MANHATTAN</v>
      </c>
      <c r="B83" s="1"/>
      <c r="C83" s="1" t="s">
        <v>131</v>
      </c>
      <c r="D83" s="9" t="s">
        <v>2229</v>
      </c>
      <c r="E83" s="9" t="s">
        <v>106</v>
      </c>
      <c r="F83" s="39"/>
      <c r="G83" s="1"/>
      <c r="H83" s="1"/>
      <c r="I83" s="3"/>
      <c r="J83" s="3" t="e">
        <f>INDEX(UnitCosts[],MATCH(Table3[[#This Row],[WORK TYPE]],UnitCosts[Work Type],0),2)*VLOOKUP(Table3[[#This Row],[DEVELOPMENT]],Data[],MATCH(Table3[[#This Row],[WORK TYPE]],Data[#Headers],0),FALSE)</f>
        <v>#N/A</v>
      </c>
      <c r="K83" s="1"/>
    </row>
    <row r="84" spans="1:11">
      <c r="A84" s="1" t="str">
        <f>VLOOKUP(C84,Data[],2,FALSE)</f>
        <v>MANHATTAN</v>
      </c>
      <c r="B84" s="1"/>
      <c r="C84" s="1" t="s">
        <v>133</v>
      </c>
      <c r="D84" s="9" t="s">
        <v>2229</v>
      </c>
      <c r="E84" s="9" t="s">
        <v>106</v>
      </c>
      <c r="F84" s="39"/>
      <c r="G84" s="1"/>
      <c r="H84" s="1"/>
      <c r="I84" s="3"/>
      <c r="J84" s="3" t="e">
        <f>INDEX(UnitCosts[],MATCH(Table3[[#This Row],[WORK TYPE]],UnitCosts[Work Type],0),2)*VLOOKUP(Table3[[#This Row],[DEVELOPMENT]],Data[],MATCH(Table3[[#This Row],[WORK TYPE]],Data[#Headers],0),FALSE)</f>
        <v>#N/A</v>
      </c>
      <c r="K84" s="1"/>
    </row>
    <row r="85" spans="1:11">
      <c r="A85" s="1" t="str">
        <f>VLOOKUP(C85,Data[],2,FALSE)</f>
        <v>MANHATTAN</v>
      </c>
      <c r="B85" s="1"/>
      <c r="C85" s="1" t="s">
        <v>137</v>
      </c>
      <c r="D85" s="9" t="s">
        <v>2229</v>
      </c>
      <c r="E85" s="9" t="s">
        <v>106</v>
      </c>
      <c r="F85" s="39"/>
      <c r="G85" s="1"/>
      <c r="H85" s="1"/>
      <c r="I85" s="3"/>
      <c r="J85" s="3" t="e">
        <f>INDEX(UnitCosts[],MATCH(Table3[[#This Row],[WORK TYPE]],UnitCosts[Work Type],0),2)*VLOOKUP(Table3[[#This Row],[DEVELOPMENT]],Data[],MATCH(Table3[[#This Row],[WORK TYPE]],Data[#Headers],0),FALSE)</f>
        <v>#N/A</v>
      </c>
      <c r="K85" s="1"/>
    </row>
    <row r="86" spans="1:11">
      <c r="A86" s="1" t="str">
        <f>VLOOKUP(C86,Data[],2,FALSE)</f>
        <v>MANHATTAN</v>
      </c>
      <c r="B86" s="1"/>
      <c r="C86" s="1" t="s">
        <v>125</v>
      </c>
      <c r="D86" s="9" t="s">
        <v>2229</v>
      </c>
      <c r="E86" s="9" t="s">
        <v>106</v>
      </c>
      <c r="F86" s="39"/>
      <c r="G86" s="1"/>
      <c r="H86" s="1"/>
      <c r="I86" s="3"/>
      <c r="J86" s="3" t="e">
        <f>INDEX(UnitCosts[],MATCH(Table3[[#This Row],[WORK TYPE]],UnitCosts[Work Type],0),2)*VLOOKUP(Table3[[#This Row],[DEVELOPMENT]],Data[],MATCH(Table3[[#This Row],[WORK TYPE]],Data[#Headers],0),FALSE)</f>
        <v>#N/A</v>
      </c>
      <c r="K86" s="1"/>
    </row>
    <row r="87" spans="1:11">
      <c r="A87" s="1" t="str">
        <f>VLOOKUP(C87,Data[],2,FALSE)</f>
        <v>MANHATTAN</v>
      </c>
      <c r="B87" s="1"/>
      <c r="C87" s="1" t="s">
        <v>126</v>
      </c>
      <c r="D87" s="9" t="s">
        <v>2229</v>
      </c>
      <c r="E87" s="9" t="s">
        <v>106</v>
      </c>
      <c r="F87" s="39"/>
      <c r="G87" s="1"/>
      <c r="H87" s="1"/>
      <c r="I87" s="3"/>
      <c r="J87" s="3" t="e">
        <f>INDEX(UnitCosts[],MATCH(Table3[[#This Row],[WORK TYPE]],UnitCosts[Work Type],0),2)*VLOOKUP(Table3[[#This Row],[DEVELOPMENT]],Data[],MATCH(Table3[[#This Row],[WORK TYPE]],Data[#Headers],0),FALSE)</f>
        <v>#N/A</v>
      </c>
      <c r="K87" s="1"/>
    </row>
    <row r="88" spans="1:11">
      <c r="A88" s="1" t="str">
        <f>VLOOKUP(C88,Data[],2,FALSE)</f>
        <v>MANHATTAN</v>
      </c>
      <c r="B88" s="1"/>
      <c r="C88" s="1" t="s">
        <v>100</v>
      </c>
      <c r="D88" s="9" t="s">
        <v>2229</v>
      </c>
      <c r="E88" s="9" t="s">
        <v>106</v>
      </c>
      <c r="F88" s="39"/>
      <c r="G88" s="1"/>
      <c r="H88" s="1"/>
      <c r="I88" s="3"/>
      <c r="J88" s="3" t="e">
        <f>INDEX(UnitCosts[],MATCH(Table3[[#This Row],[WORK TYPE]],UnitCosts[Work Type],0),2)*VLOOKUP(Table3[[#This Row],[DEVELOPMENT]],Data[],MATCH(Table3[[#This Row],[WORK TYPE]],Data[#Headers],0),FALSE)</f>
        <v>#N/A</v>
      </c>
      <c r="K88" s="1"/>
    </row>
    <row r="89" spans="1:11">
      <c r="A89" s="1" t="str">
        <f>VLOOKUP(C89,Data[],2,FALSE)</f>
        <v>MANHATTAN</v>
      </c>
      <c r="B89" s="1"/>
      <c r="C89" s="1" t="s">
        <v>116</v>
      </c>
      <c r="D89" s="9" t="s">
        <v>2229</v>
      </c>
      <c r="E89" s="9" t="s">
        <v>106</v>
      </c>
      <c r="F89" s="39"/>
      <c r="G89" s="1"/>
      <c r="H89" s="1"/>
      <c r="I89" s="3"/>
      <c r="J89" s="3" t="e">
        <f>INDEX(UnitCosts[],MATCH(Table3[[#This Row],[WORK TYPE]],UnitCosts[Work Type],0),2)*VLOOKUP(Table3[[#This Row],[DEVELOPMENT]],Data[],MATCH(Table3[[#This Row],[WORK TYPE]],Data[#Headers],0),FALSE)</f>
        <v>#N/A</v>
      </c>
      <c r="K89" s="1"/>
    </row>
    <row r="90" spans="1:11">
      <c r="A90" s="1" t="str">
        <f>VLOOKUP(C90,Data[],2,FALSE)</f>
        <v>MANHATTAN</v>
      </c>
      <c r="B90" s="1"/>
      <c r="C90" s="1" t="s">
        <v>127</v>
      </c>
      <c r="D90" s="9" t="s">
        <v>2229</v>
      </c>
      <c r="E90" s="9" t="s">
        <v>106</v>
      </c>
      <c r="F90" s="39"/>
      <c r="G90" s="1"/>
      <c r="H90" s="1"/>
      <c r="I90" s="3"/>
      <c r="J90" s="3" t="e">
        <f>INDEX(UnitCosts[],MATCH(Table3[[#This Row],[WORK TYPE]],UnitCosts[Work Type],0),2)*VLOOKUP(Table3[[#This Row],[DEVELOPMENT]],Data[],MATCH(Table3[[#This Row],[WORK TYPE]],Data[#Headers],0),FALSE)</f>
        <v>#N/A</v>
      </c>
      <c r="K90" s="1"/>
    </row>
    <row r="91" spans="1:11">
      <c r="A91" s="1" t="str">
        <f>VLOOKUP(C91,Data[],2,FALSE)</f>
        <v>MANHATTAN</v>
      </c>
      <c r="B91" s="1"/>
      <c r="C91" s="1" t="s">
        <v>122</v>
      </c>
      <c r="D91" s="9" t="s">
        <v>2229</v>
      </c>
      <c r="E91" s="9" t="s">
        <v>106</v>
      </c>
      <c r="F91" s="39"/>
      <c r="G91" s="1"/>
      <c r="H91" s="1"/>
      <c r="I91" s="3"/>
      <c r="J91" s="3" t="e">
        <f>INDEX(UnitCosts[],MATCH(Table3[[#This Row],[WORK TYPE]],UnitCosts[Work Type],0),2)*VLOOKUP(Table3[[#This Row],[DEVELOPMENT]],Data[],MATCH(Table3[[#This Row],[WORK TYPE]],Data[#Headers],0),FALSE)</f>
        <v>#N/A</v>
      </c>
      <c r="K91" s="1"/>
    </row>
    <row r="92" spans="1:11">
      <c r="A92" s="1" t="str">
        <f>VLOOKUP(C92,Data[],2,FALSE)</f>
        <v>MANHATTAN</v>
      </c>
      <c r="B92" s="1"/>
      <c r="C92" s="1" t="s">
        <v>120</v>
      </c>
      <c r="D92" s="9" t="s">
        <v>2229</v>
      </c>
      <c r="E92" s="9" t="s">
        <v>106</v>
      </c>
      <c r="F92" s="39"/>
      <c r="G92" s="1"/>
      <c r="H92" s="1"/>
      <c r="I92" s="3"/>
      <c r="J92" s="3" t="e">
        <f>INDEX(UnitCosts[],MATCH(Table3[[#This Row],[WORK TYPE]],UnitCosts[Work Type],0),2)*VLOOKUP(Table3[[#This Row],[DEVELOPMENT]],Data[],MATCH(Table3[[#This Row],[WORK TYPE]],Data[#Headers],0),FALSE)</f>
        <v>#N/A</v>
      </c>
      <c r="K92" s="1"/>
    </row>
    <row r="93" spans="1:11">
      <c r="A93" s="1" t="str">
        <f>VLOOKUP(C93,Data[],2,FALSE)</f>
        <v>MANHATTAN</v>
      </c>
      <c r="B93" s="1"/>
      <c r="C93" s="1" t="s">
        <v>113</v>
      </c>
      <c r="D93" s="9" t="s">
        <v>2229</v>
      </c>
      <c r="E93" s="9" t="s">
        <v>106</v>
      </c>
      <c r="F93" s="1"/>
      <c r="G93" s="1"/>
      <c r="H93" s="1"/>
      <c r="I93" s="3"/>
      <c r="J93" s="3" t="e">
        <f>INDEX(UnitCosts[],MATCH(Table3[[#This Row],[WORK TYPE]],UnitCosts[Work Type],0),2)*VLOOKUP(Table3[[#This Row],[DEVELOPMENT]],Data[],MATCH(Table3[[#This Row],[WORK TYPE]],Data[#Headers],0),FALSE)</f>
        <v>#N/A</v>
      </c>
      <c r="K93" s="1"/>
    </row>
    <row r="94" spans="1:11">
      <c r="A94" s="1" t="str">
        <f>VLOOKUP(C94,Data[],2,FALSE)</f>
        <v>MANHATTAN</v>
      </c>
      <c r="B94" s="1"/>
      <c r="C94" s="1" t="s">
        <v>115</v>
      </c>
      <c r="D94" s="9" t="s">
        <v>2229</v>
      </c>
      <c r="E94" s="9" t="s">
        <v>106</v>
      </c>
      <c r="F94" s="1"/>
      <c r="G94" s="1"/>
      <c r="H94" s="1"/>
      <c r="I94" s="3"/>
      <c r="J94" s="3" t="e">
        <f>INDEX(UnitCosts[],MATCH(Table3[[#This Row],[WORK TYPE]],UnitCosts[Work Type],0),2)*VLOOKUP(Table3[[#This Row],[DEVELOPMENT]],Data[],MATCH(Table3[[#This Row],[WORK TYPE]],Data[#Headers],0),FALSE)</f>
        <v>#N/A</v>
      </c>
      <c r="K94" s="1"/>
    </row>
    <row r="95" spans="1:11">
      <c r="A95" s="1" t="str">
        <f>VLOOKUP(C95,Data[],2,FALSE)</f>
        <v>MANHATTAN</v>
      </c>
      <c r="B95" s="1"/>
      <c r="C95" s="1" t="s">
        <v>112</v>
      </c>
      <c r="D95" s="9" t="s">
        <v>2229</v>
      </c>
      <c r="E95" s="9" t="s">
        <v>106</v>
      </c>
      <c r="F95" s="1"/>
      <c r="G95" s="1"/>
      <c r="H95" s="1"/>
      <c r="I95" s="3"/>
      <c r="J95" s="3" t="e">
        <f>INDEX(UnitCosts[],MATCH(Table3[[#This Row],[WORK TYPE]],UnitCosts[Work Type],0),2)*VLOOKUP(Table3[[#This Row],[DEVELOPMENT]],Data[],MATCH(Table3[[#This Row],[WORK TYPE]],Data[#Headers],0),FALSE)</f>
        <v>#N/A</v>
      </c>
      <c r="K95" s="1"/>
    </row>
    <row r="96" spans="1:11">
      <c r="A96" s="1" t="str">
        <f>VLOOKUP(C96,Data[],2,FALSE)</f>
        <v>MANHATTAN</v>
      </c>
      <c r="B96" s="1"/>
      <c r="C96" s="1" t="s">
        <v>77</v>
      </c>
      <c r="D96" s="9" t="s">
        <v>2229</v>
      </c>
      <c r="E96" s="9" t="s">
        <v>106</v>
      </c>
      <c r="F96" s="1"/>
      <c r="G96" s="1"/>
      <c r="H96" s="1"/>
      <c r="I96" s="3"/>
      <c r="J96" s="3" t="e">
        <f>INDEX(UnitCosts[],MATCH(Table3[[#This Row],[WORK TYPE]],UnitCosts[Work Type],0),2)*VLOOKUP(Table3[[#This Row],[DEVELOPMENT]],Data[],MATCH(Table3[[#This Row],[WORK TYPE]],Data[#Headers],0),FALSE)</f>
        <v>#N/A</v>
      </c>
      <c r="K96" s="1"/>
    </row>
    <row r="97" spans="1:16">
      <c r="A97" s="1" t="str">
        <f>VLOOKUP(C97,Data[],2,FALSE)</f>
        <v>MANHATTAN</v>
      </c>
      <c r="B97" s="1"/>
      <c r="C97" s="1" t="s">
        <v>83</v>
      </c>
      <c r="D97" s="9" t="s">
        <v>2229</v>
      </c>
      <c r="E97" s="9" t="s">
        <v>106</v>
      </c>
      <c r="F97" s="1"/>
      <c r="G97" s="1"/>
      <c r="H97" s="1"/>
      <c r="I97" s="3"/>
      <c r="J97" s="3" t="e">
        <f>INDEX(UnitCosts[],MATCH(Table3[[#This Row],[WORK TYPE]],UnitCosts[Work Type],0),2)*VLOOKUP(Table3[[#This Row],[DEVELOPMENT]],Data[],MATCH(Table3[[#This Row],[WORK TYPE]],Data[#Headers],0),FALSE)</f>
        <v>#N/A</v>
      </c>
      <c r="K97" s="1"/>
    </row>
    <row r="98" spans="1:16">
      <c r="A98" s="1" t="str">
        <f>VLOOKUP(C98,Data[],2,FALSE)</f>
        <v>MANHATTAN</v>
      </c>
      <c r="B98" s="1"/>
      <c r="C98" s="1" t="s">
        <v>136</v>
      </c>
      <c r="D98" s="9" t="s">
        <v>2229</v>
      </c>
      <c r="E98" s="9" t="s">
        <v>106</v>
      </c>
      <c r="F98" s="1"/>
      <c r="G98" s="1"/>
      <c r="H98" s="1"/>
      <c r="I98" s="3"/>
      <c r="J98" s="3" t="e">
        <f>INDEX(UnitCosts[],MATCH(Table3[[#This Row],[WORK TYPE]],UnitCosts[Work Type],0),2)*VLOOKUP(Table3[[#This Row],[DEVELOPMENT]],Data[],MATCH(Table3[[#This Row],[WORK TYPE]],Data[#Headers],0),FALSE)</f>
        <v>#N/A</v>
      </c>
      <c r="K98" s="1"/>
    </row>
    <row r="99" spans="1:16">
      <c r="A99" s="1" t="str">
        <f>VLOOKUP(C99,Data[],2,FALSE)</f>
        <v>MANHATTAN</v>
      </c>
      <c r="B99" s="1"/>
      <c r="C99" s="1" t="s">
        <v>78</v>
      </c>
      <c r="D99" s="9" t="s">
        <v>2229</v>
      </c>
      <c r="E99" s="9" t="s">
        <v>106</v>
      </c>
      <c r="F99" s="1"/>
      <c r="G99" s="1"/>
      <c r="H99" s="1"/>
      <c r="I99" s="3"/>
      <c r="J99" s="3" t="e">
        <f>INDEX(UnitCosts[],MATCH(Table3[[#This Row],[WORK TYPE]],UnitCosts[Work Type],0),2)*VLOOKUP(Table3[[#This Row],[DEVELOPMENT]],Data[],MATCH(Table3[[#This Row],[WORK TYPE]],Data[#Headers],0),FALSE)</f>
        <v>#N/A</v>
      </c>
      <c r="K99" s="1"/>
    </row>
    <row r="100" spans="1:16">
      <c r="A100" s="1" t="str">
        <f>VLOOKUP(C100,Data[],2,FALSE)</f>
        <v>MANHATTAN</v>
      </c>
      <c r="B100" s="1"/>
      <c r="C100" s="1" t="s">
        <v>128</v>
      </c>
      <c r="D100" s="9" t="s">
        <v>2229</v>
      </c>
      <c r="E100" s="9" t="s">
        <v>106</v>
      </c>
      <c r="F100" s="1"/>
      <c r="G100" s="1"/>
      <c r="H100" s="1"/>
      <c r="I100" s="3"/>
      <c r="J100" s="3" t="e">
        <f>INDEX(UnitCosts[],MATCH(Table3[[#This Row],[WORK TYPE]],UnitCosts[Work Type],0),2)*VLOOKUP(Table3[[#This Row],[DEVELOPMENT]],Data[],MATCH(Table3[[#This Row],[WORK TYPE]],Data[#Headers],0),FALSE)</f>
        <v>#N/A</v>
      </c>
      <c r="K100" s="1"/>
    </row>
    <row r="101" spans="1:16">
      <c r="A101" s="1" t="str">
        <f>VLOOKUP(C101,Data[],2,FALSE)</f>
        <v>MANHATTAN</v>
      </c>
      <c r="B101" s="1"/>
      <c r="C101" s="1" t="s">
        <v>95</v>
      </c>
      <c r="D101" s="9" t="s">
        <v>2229</v>
      </c>
      <c r="E101" s="9" t="s">
        <v>106</v>
      </c>
      <c r="F101" s="1"/>
      <c r="G101" s="1"/>
      <c r="H101" s="1"/>
      <c r="I101" s="3"/>
      <c r="J101" s="3" t="e">
        <f>INDEX(UnitCosts[],MATCH(Table3[[#This Row],[WORK TYPE]],UnitCosts[Work Type],0),2)*VLOOKUP(Table3[[#This Row],[DEVELOPMENT]],Data[],MATCH(Table3[[#This Row],[WORK TYPE]],Data[#Headers],0),FALSE)</f>
        <v>#N/A</v>
      </c>
      <c r="K101" s="1"/>
    </row>
    <row r="102" spans="1:16">
      <c r="A102" s="1" t="str">
        <f>VLOOKUP(C102,Data[],2,FALSE)</f>
        <v>MANHATTAN</v>
      </c>
      <c r="B102" s="1"/>
      <c r="C102" s="1" t="s">
        <v>90</v>
      </c>
      <c r="D102" s="9" t="s">
        <v>2229</v>
      </c>
      <c r="E102" s="9" t="s">
        <v>106</v>
      </c>
      <c r="F102" s="1"/>
      <c r="G102" s="1"/>
      <c r="H102" s="1"/>
      <c r="I102" s="3"/>
      <c r="J102" s="3" t="e">
        <f>INDEX(UnitCosts[],MATCH(Table3[[#This Row],[WORK TYPE]],UnitCosts[Work Type],0),2)*VLOOKUP(Table3[[#This Row],[DEVELOPMENT]],Data[],MATCH(Table3[[#This Row],[WORK TYPE]],Data[#Headers],0),FALSE)</f>
        <v>#N/A</v>
      </c>
      <c r="K102" s="1"/>
    </row>
    <row r="103" spans="1:16">
      <c r="A103" s="1" t="str">
        <f>VLOOKUP(C103,Data[],2,FALSE)</f>
        <v>MANHATTAN</v>
      </c>
      <c r="B103" s="1"/>
      <c r="C103" s="1" t="s">
        <v>81</v>
      </c>
      <c r="D103" s="9" t="s">
        <v>2229</v>
      </c>
      <c r="E103" s="9" t="s">
        <v>106</v>
      </c>
      <c r="F103" s="1"/>
      <c r="G103" s="1"/>
      <c r="H103" s="1"/>
      <c r="I103" s="3"/>
      <c r="J103" s="3" t="e">
        <f>INDEX(UnitCosts[],MATCH(Table3[[#This Row],[WORK TYPE]],UnitCosts[Work Type],0),2)*VLOOKUP(Table3[[#This Row],[DEVELOPMENT]],Data[],MATCH(Table3[[#This Row],[WORK TYPE]],Data[#Headers],0),FALSE)</f>
        <v>#N/A</v>
      </c>
      <c r="K103" s="1"/>
    </row>
    <row r="104" spans="1:16">
      <c r="A104" s="1" t="str">
        <f>VLOOKUP(C104,Data[],2,FALSE)</f>
        <v>MANHATTAN</v>
      </c>
      <c r="B104" s="1"/>
      <c r="C104" s="1" t="s">
        <v>74</v>
      </c>
      <c r="D104" s="9" t="s">
        <v>2229</v>
      </c>
      <c r="E104" s="9" t="s">
        <v>106</v>
      </c>
      <c r="F104" s="1"/>
      <c r="G104" s="1"/>
      <c r="H104" s="1"/>
      <c r="I104" s="3"/>
      <c r="J104" s="3" t="e">
        <f>INDEX(UnitCosts[],MATCH(Table3[[#This Row],[WORK TYPE]],UnitCosts[Work Type],0),2)*VLOOKUP(Table3[[#This Row],[DEVELOPMENT]],Data[],MATCH(Table3[[#This Row],[WORK TYPE]],Data[#Headers],0),FALSE)</f>
        <v>#N/A</v>
      </c>
      <c r="K104" s="1"/>
    </row>
    <row r="105" spans="1:16">
      <c r="A105" s="1" t="str">
        <f>VLOOKUP(C105,Data[],2,FALSE)</f>
        <v>MANHATTAN</v>
      </c>
      <c r="B105" s="1"/>
      <c r="C105" s="1" t="s">
        <v>67</v>
      </c>
      <c r="D105" s="9" t="s">
        <v>2229</v>
      </c>
      <c r="E105" s="9" t="s">
        <v>106</v>
      </c>
      <c r="F105" s="1"/>
      <c r="G105" s="1"/>
      <c r="H105" s="1"/>
      <c r="I105" s="3"/>
      <c r="J105" s="3" t="e">
        <f>INDEX(UnitCosts[],MATCH(Table3[[#This Row],[WORK TYPE]],UnitCosts[Work Type],0),2)*VLOOKUP(Table3[[#This Row],[DEVELOPMENT]],Data[],MATCH(Table3[[#This Row],[WORK TYPE]],Data[#Headers],0),FALSE)</f>
        <v>#N/A</v>
      </c>
      <c r="K105" s="1"/>
    </row>
    <row r="106" spans="1:16">
      <c r="A106" s="1" t="str">
        <f>VLOOKUP(C106,Data[],2,FALSE)</f>
        <v>MANHATTAN</v>
      </c>
      <c r="B106" s="1"/>
      <c r="C106" s="1" t="s">
        <v>102</v>
      </c>
      <c r="D106" s="9" t="s">
        <v>2229</v>
      </c>
      <c r="E106" s="9" t="s">
        <v>106</v>
      </c>
      <c r="F106" s="1"/>
      <c r="G106" s="1"/>
      <c r="H106" s="1"/>
      <c r="I106" s="3"/>
      <c r="J106" s="3" t="e">
        <f>INDEX(UnitCosts[],MATCH(Table3[[#This Row],[WORK TYPE]],UnitCosts[Work Type],0),2)*VLOOKUP(Table3[[#This Row],[DEVELOPMENT]],Data[],MATCH(Table3[[#This Row],[WORK TYPE]],Data[#Headers],0),FALSE)</f>
        <v>#N/A</v>
      </c>
      <c r="K106" s="1"/>
    </row>
    <row r="107" spans="1:16">
      <c r="A107" s="1" t="str">
        <f>VLOOKUP(C107,Data[],2,FALSE)</f>
        <v>MANHATTAN</v>
      </c>
      <c r="B107" s="1"/>
      <c r="C107" s="1" t="s">
        <v>107</v>
      </c>
      <c r="D107" s="9" t="s">
        <v>2229</v>
      </c>
      <c r="E107" s="9" t="s">
        <v>106</v>
      </c>
      <c r="F107" s="1"/>
      <c r="G107" s="1"/>
      <c r="H107" s="1"/>
      <c r="I107" s="3"/>
      <c r="J107" s="3" t="e">
        <f>INDEX(UnitCosts[],MATCH(Table3[[#This Row],[WORK TYPE]],UnitCosts[Work Type],0),2)*VLOOKUP(Table3[[#This Row],[DEVELOPMENT]],Data[],MATCH(Table3[[#This Row],[WORK TYPE]],Data[#Headers],0),FALSE)</f>
        <v>#N/A</v>
      </c>
      <c r="K107" s="1"/>
    </row>
    <row r="108" spans="1:16">
      <c r="A108" s="1" t="str">
        <f>VLOOKUP(C108,Data[],2,FALSE)</f>
        <v>MANHATTAN</v>
      </c>
      <c r="B108" s="1"/>
      <c r="C108" s="1" t="s">
        <v>92</v>
      </c>
      <c r="D108" s="9" t="s">
        <v>2229</v>
      </c>
      <c r="E108" s="9" t="s">
        <v>106</v>
      </c>
      <c r="F108" s="1"/>
      <c r="G108" s="1"/>
      <c r="H108" s="1"/>
      <c r="I108" s="3"/>
      <c r="J108" s="3" t="e">
        <f>INDEX(UnitCosts[],MATCH(Table3[[#This Row],[WORK TYPE]],UnitCosts[Work Type],0),2)*VLOOKUP(Table3[[#This Row],[DEVELOPMENT]],Data[],MATCH(Table3[[#This Row],[WORK TYPE]],Data[#Headers],0),FALSE)</f>
        <v>#N/A</v>
      </c>
      <c r="K108" s="1"/>
    </row>
    <row r="109" spans="1:16">
      <c r="A109" s="1" t="str">
        <f>VLOOKUP(C109,Data[],2,FALSE)</f>
        <v>MANHATTAN</v>
      </c>
      <c r="B109" s="1"/>
      <c r="C109" s="26" t="s">
        <v>251</v>
      </c>
      <c r="D109" s="9" t="s">
        <v>2229</v>
      </c>
      <c r="E109" s="9" t="s">
        <v>106</v>
      </c>
      <c r="F109" s="1"/>
      <c r="G109" s="1"/>
      <c r="H109" s="1"/>
      <c r="I109" s="3"/>
      <c r="J109" s="3" t="e">
        <f>INDEX(UnitCosts[],MATCH(Table3[[#This Row],[WORK TYPE]],UnitCosts[Work Type],0),2)*VLOOKUP(Table3[[#This Row],[DEVELOPMENT]],Data[],MATCH(Table3[[#This Row],[WORK TYPE]],Data[#Headers],0),FALSE)</f>
        <v>#N/A</v>
      </c>
      <c r="K109" s="1"/>
      <c r="N109" s="33"/>
      <c r="O109" s="33"/>
      <c r="P109" s="33"/>
    </row>
    <row r="110" spans="1:16">
      <c r="A110" s="1" t="str">
        <f>VLOOKUP(C110,Data[],2,FALSE)</f>
        <v>MANHATTAN</v>
      </c>
      <c r="B110" s="1"/>
      <c r="C110" s="1" t="s">
        <v>146</v>
      </c>
      <c r="D110" s="9" t="s">
        <v>2229</v>
      </c>
      <c r="E110" s="9" t="s">
        <v>68</v>
      </c>
      <c r="F110" s="1"/>
      <c r="G110" s="1"/>
      <c r="H110" s="1"/>
      <c r="I110" s="3"/>
      <c r="J110" s="3" t="e">
        <f>INDEX(UnitCosts[],MATCH(Table3[[#This Row],[WORK TYPE]],UnitCosts[Work Type],0),2)*VLOOKUP(Table3[[#This Row],[DEVELOPMENT]],Data[],MATCH(Table3[[#This Row],[WORK TYPE]],Data[#Headers],0),FALSE)</f>
        <v>#N/A</v>
      </c>
      <c r="K110" s="1"/>
      <c r="M110" s="31"/>
      <c r="N110" s="30"/>
      <c r="O110" s="30"/>
      <c r="P110" s="32"/>
    </row>
    <row r="111" spans="1:16">
      <c r="A111" s="1" t="str">
        <f>VLOOKUP(C111,Data[],2,FALSE)</f>
        <v>MANHATTAN</v>
      </c>
      <c r="B111" s="1"/>
      <c r="C111" s="1" t="s">
        <v>129</v>
      </c>
      <c r="D111" s="9" t="s">
        <v>2229</v>
      </c>
      <c r="E111" s="9" t="s">
        <v>68</v>
      </c>
      <c r="F111" s="1"/>
      <c r="G111" s="1"/>
      <c r="H111" s="1"/>
      <c r="I111" s="3"/>
      <c r="J111" s="3" t="e">
        <f>INDEX(UnitCosts[],MATCH(Table3[[#This Row],[WORK TYPE]],UnitCosts[Work Type],0),2)*VLOOKUP(Table3[[#This Row],[DEVELOPMENT]],Data[],MATCH(Table3[[#This Row],[WORK TYPE]],Data[#Headers],0),FALSE)</f>
        <v>#N/A</v>
      </c>
      <c r="K111" s="1"/>
      <c r="M111" s="31"/>
      <c r="N111" s="30"/>
      <c r="O111" s="30"/>
      <c r="P111" s="32"/>
    </row>
    <row r="112" spans="1:16">
      <c r="A112" s="1" t="str">
        <f>VLOOKUP(C112,Data[],2,FALSE)</f>
        <v>MANHATTAN</v>
      </c>
      <c r="B112" s="1"/>
      <c r="C112" s="1" t="s">
        <v>131</v>
      </c>
      <c r="D112" s="9" t="s">
        <v>2229</v>
      </c>
      <c r="E112" s="9" t="s">
        <v>68</v>
      </c>
      <c r="F112" s="1"/>
      <c r="G112" s="1"/>
      <c r="H112" s="1"/>
      <c r="I112" s="3"/>
      <c r="J112" s="3" t="e">
        <f>INDEX(UnitCosts[],MATCH(Table3[[#This Row],[WORK TYPE]],UnitCosts[Work Type],0),2)*VLOOKUP(Table3[[#This Row],[DEVELOPMENT]],Data[],MATCH(Table3[[#This Row],[WORK TYPE]],Data[#Headers],0),FALSE)</f>
        <v>#N/A</v>
      </c>
      <c r="K112" s="1"/>
      <c r="M112" s="31"/>
      <c r="N112" s="30"/>
      <c r="O112" s="30"/>
      <c r="P112" s="32"/>
    </row>
    <row r="113" spans="1:16">
      <c r="A113" s="1" t="str">
        <f>VLOOKUP(C113,Data[],2,FALSE)</f>
        <v>MANHATTAN</v>
      </c>
      <c r="B113" s="1"/>
      <c r="C113" s="1" t="s">
        <v>133</v>
      </c>
      <c r="D113" s="9" t="s">
        <v>2229</v>
      </c>
      <c r="E113" s="9" t="s">
        <v>68</v>
      </c>
      <c r="F113" s="1"/>
      <c r="G113" s="1"/>
      <c r="H113" s="1"/>
      <c r="I113" s="3"/>
      <c r="J113" s="3" t="e">
        <f>INDEX(UnitCosts[],MATCH(Table3[[#This Row],[WORK TYPE]],UnitCosts[Work Type],0),2)*VLOOKUP(Table3[[#This Row],[DEVELOPMENT]],Data[],MATCH(Table3[[#This Row],[WORK TYPE]],Data[#Headers],0),FALSE)</f>
        <v>#N/A</v>
      </c>
      <c r="K113" s="1"/>
      <c r="M113" s="31"/>
      <c r="N113" s="30"/>
      <c r="O113" s="30"/>
      <c r="P113" s="32"/>
    </row>
    <row r="114" spans="1:16">
      <c r="A114" s="1" t="str">
        <f>VLOOKUP(C114,Data[],2,FALSE)</f>
        <v>MANHATTAN</v>
      </c>
      <c r="B114" s="1"/>
      <c r="C114" s="1" t="s">
        <v>137</v>
      </c>
      <c r="D114" s="9" t="s">
        <v>2229</v>
      </c>
      <c r="E114" s="9" t="s">
        <v>68</v>
      </c>
      <c r="F114" s="1"/>
      <c r="G114" s="1"/>
      <c r="H114" s="1"/>
      <c r="I114" s="3"/>
      <c r="J114" s="3" t="e">
        <f>INDEX(UnitCosts[],MATCH(Table3[[#This Row],[WORK TYPE]],UnitCosts[Work Type],0),2)*VLOOKUP(Table3[[#This Row],[DEVELOPMENT]],Data[],MATCH(Table3[[#This Row],[WORK TYPE]],Data[#Headers],0),FALSE)</f>
        <v>#N/A</v>
      </c>
      <c r="K114" s="1"/>
      <c r="M114" s="31"/>
      <c r="N114" s="30"/>
      <c r="O114" s="30"/>
      <c r="P114" s="32"/>
    </row>
    <row r="115" spans="1:16">
      <c r="A115" s="1" t="str">
        <f>VLOOKUP(C115,Data[],2,FALSE)</f>
        <v>MANHATTAN</v>
      </c>
      <c r="B115" s="1"/>
      <c r="C115" s="1" t="s">
        <v>125</v>
      </c>
      <c r="D115" s="9" t="s">
        <v>2229</v>
      </c>
      <c r="E115" s="9" t="s">
        <v>68</v>
      </c>
      <c r="F115" s="1"/>
      <c r="G115" s="1"/>
      <c r="H115" s="1"/>
      <c r="I115" s="3"/>
      <c r="J115" s="3" t="e">
        <f>INDEX(UnitCosts[],MATCH(Table3[[#This Row],[WORK TYPE]],UnitCosts[Work Type],0),2)*VLOOKUP(Table3[[#This Row],[DEVELOPMENT]],Data[],MATCH(Table3[[#This Row],[WORK TYPE]],Data[#Headers],0),FALSE)</f>
        <v>#N/A</v>
      </c>
      <c r="K115" s="1"/>
      <c r="M115" s="31"/>
      <c r="N115" s="30"/>
      <c r="O115" s="30"/>
      <c r="P115" s="32"/>
    </row>
    <row r="116" spans="1:16">
      <c r="A116" s="1" t="str">
        <f>VLOOKUP(C116,Data[],2,FALSE)</f>
        <v>MANHATTAN</v>
      </c>
      <c r="B116" s="1"/>
      <c r="C116" s="1" t="s">
        <v>126</v>
      </c>
      <c r="D116" s="9" t="s">
        <v>2229</v>
      </c>
      <c r="E116" s="9" t="s">
        <v>68</v>
      </c>
      <c r="F116" s="1"/>
      <c r="G116" s="1"/>
      <c r="H116" s="1"/>
      <c r="I116" s="3"/>
      <c r="J116" s="3" t="e">
        <f>INDEX(UnitCosts[],MATCH(Table3[[#This Row],[WORK TYPE]],UnitCosts[Work Type],0),2)*VLOOKUP(Table3[[#This Row],[DEVELOPMENT]],Data[],MATCH(Table3[[#This Row],[WORK TYPE]],Data[#Headers],0),FALSE)</f>
        <v>#N/A</v>
      </c>
      <c r="K116" s="1"/>
      <c r="M116" s="31"/>
      <c r="N116" s="30"/>
      <c r="O116" s="30"/>
      <c r="P116" s="32"/>
    </row>
    <row r="117" spans="1:16">
      <c r="A117" s="1" t="str">
        <f>VLOOKUP(C117,Data[],2,FALSE)</f>
        <v>MANHATTAN</v>
      </c>
      <c r="B117" s="1"/>
      <c r="C117" s="1" t="s">
        <v>100</v>
      </c>
      <c r="D117" s="9" t="s">
        <v>2229</v>
      </c>
      <c r="E117" s="9" t="s">
        <v>68</v>
      </c>
      <c r="F117" s="1"/>
      <c r="G117" s="1"/>
      <c r="H117" s="1"/>
      <c r="I117" s="3"/>
      <c r="J117" s="3" t="e">
        <f>INDEX(UnitCosts[],MATCH(Table3[[#This Row],[WORK TYPE]],UnitCosts[Work Type],0),2)*VLOOKUP(Table3[[#This Row],[DEVELOPMENT]],Data[],MATCH(Table3[[#This Row],[WORK TYPE]],Data[#Headers],0),FALSE)</f>
        <v>#N/A</v>
      </c>
      <c r="K117" s="1"/>
      <c r="M117" s="31"/>
      <c r="N117" s="30"/>
      <c r="O117" s="30"/>
      <c r="P117" s="32"/>
    </row>
    <row r="118" spans="1:16">
      <c r="A118" s="1" t="str">
        <f>VLOOKUP(C118,Data[],2,FALSE)</f>
        <v>MANHATTAN</v>
      </c>
      <c r="B118" s="1"/>
      <c r="C118" s="1" t="s">
        <v>116</v>
      </c>
      <c r="D118" s="9" t="s">
        <v>2229</v>
      </c>
      <c r="E118" s="9" t="s">
        <v>68</v>
      </c>
      <c r="F118" s="1"/>
      <c r="G118" s="1"/>
      <c r="H118" s="1"/>
      <c r="I118" s="3"/>
      <c r="J118" s="3" t="e">
        <f>INDEX(UnitCosts[],MATCH(Table3[[#This Row],[WORK TYPE]],UnitCosts[Work Type],0),2)*VLOOKUP(Table3[[#This Row],[DEVELOPMENT]],Data[],MATCH(Table3[[#This Row],[WORK TYPE]],Data[#Headers],0),FALSE)</f>
        <v>#N/A</v>
      </c>
      <c r="K118" s="1"/>
      <c r="M118" s="31"/>
      <c r="N118" s="30"/>
      <c r="O118" s="30"/>
      <c r="P118" s="32"/>
    </row>
    <row r="119" spans="1:16">
      <c r="A119" s="1" t="str">
        <f>VLOOKUP(C119,Data[],2,FALSE)</f>
        <v>MANHATTAN</v>
      </c>
      <c r="B119" s="1"/>
      <c r="C119" s="1" t="s">
        <v>127</v>
      </c>
      <c r="D119" s="9" t="s">
        <v>2229</v>
      </c>
      <c r="E119" s="9" t="s">
        <v>68</v>
      </c>
      <c r="F119" s="1"/>
      <c r="G119" s="1"/>
      <c r="H119" s="1"/>
      <c r="I119" s="3"/>
      <c r="J119" s="3" t="e">
        <f>INDEX(UnitCosts[],MATCH(Table3[[#This Row],[WORK TYPE]],UnitCosts[Work Type],0),2)*VLOOKUP(Table3[[#This Row],[DEVELOPMENT]],Data[],MATCH(Table3[[#This Row],[WORK TYPE]],Data[#Headers],0),FALSE)</f>
        <v>#N/A</v>
      </c>
      <c r="K119" s="1"/>
      <c r="M119" s="31"/>
      <c r="N119" s="30"/>
      <c r="O119" s="30"/>
      <c r="P119" s="32"/>
    </row>
    <row r="120" spans="1:16">
      <c r="A120" s="1" t="str">
        <f>VLOOKUP(C120,Data[],2,FALSE)</f>
        <v>MANHATTAN</v>
      </c>
      <c r="B120" s="1"/>
      <c r="C120" s="1" t="s">
        <v>122</v>
      </c>
      <c r="D120" s="9" t="s">
        <v>2229</v>
      </c>
      <c r="E120" s="9" t="s">
        <v>68</v>
      </c>
      <c r="F120" s="1"/>
      <c r="G120" s="1"/>
      <c r="H120" s="1"/>
      <c r="I120" s="3"/>
      <c r="J120" s="3" t="e">
        <f>INDEX(UnitCosts[],MATCH(Table3[[#This Row],[WORK TYPE]],UnitCosts[Work Type],0),2)*VLOOKUP(Table3[[#This Row],[DEVELOPMENT]],Data[],MATCH(Table3[[#This Row],[WORK TYPE]],Data[#Headers],0),FALSE)</f>
        <v>#N/A</v>
      </c>
      <c r="K120" s="1"/>
      <c r="M120" s="31"/>
      <c r="N120" s="30"/>
      <c r="O120" s="30"/>
      <c r="P120" s="32"/>
    </row>
    <row r="121" spans="1:16">
      <c r="A121" s="1" t="str">
        <f>VLOOKUP(C121,Data[],2,FALSE)</f>
        <v>MANHATTAN</v>
      </c>
      <c r="B121" s="1"/>
      <c r="C121" s="1" t="s">
        <v>120</v>
      </c>
      <c r="D121" s="9" t="s">
        <v>2229</v>
      </c>
      <c r="E121" s="9" t="s">
        <v>68</v>
      </c>
      <c r="F121" s="1"/>
      <c r="G121" s="1"/>
      <c r="H121" s="1"/>
      <c r="I121" s="3"/>
      <c r="J121" s="3" t="e">
        <f>INDEX(UnitCosts[],MATCH(Table3[[#This Row],[WORK TYPE]],UnitCosts[Work Type],0),2)*VLOOKUP(Table3[[#This Row],[DEVELOPMENT]],Data[],MATCH(Table3[[#This Row],[WORK TYPE]],Data[#Headers],0),FALSE)</f>
        <v>#N/A</v>
      </c>
      <c r="K121" s="1"/>
      <c r="M121" s="31"/>
      <c r="N121" s="30"/>
      <c r="O121" s="30"/>
      <c r="P121" s="32"/>
    </row>
    <row r="122" spans="1:16">
      <c r="A122" s="1" t="str">
        <f>VLOOKUP(C122,Data[],2,FALSE)</f>
        <v>MANHATTAN</v>
      </c>
      <c r="B122" s="1"/>
      <c r="C122" s="1" t="s">
        <v>113</v>
      </c>
      <c r="D122" s="9" t="s">
        <v>2229</v>
      </c>
      <c r="E122" s="9" t="s">
        <v>68</v>
      </c>
      <c r="F122" s="1"/>
      <c r="G122" s="1"/>
      <c r="H122" s="1"/>
      <c r="I122" s="3"/>
      <c r="J122" s="3" t="e">
        <f>INDEX(UnitCosts[],MATCH(Table3[[#This Row],[WORK TYPE]],UnitCosts[Work Type],0),2)*VLOOKUP(Table3[[#This Row],[DEVELOPMENT]],Data[],MATCH(Table3[[#This Row],[WORK TYPE]],Data[#Headers],0),FALSE)</f>
        <v>#N/A</v>
      </c>
      <c r="K122" s="1"/>
      <c r="M122" s="31"/>
      <c r="N122" s="30"/>
      <c r="O122" s="30"/>
      <c r="P122" s="32"/>
    </row>
    <row r="123" spans="1:16">
      <c r="A123" s="1" t="str">
        <f>VLOOKUP(C123,Data[],2,FALSE)</f>
        <v>MANHATTAN</v>
      </c>
      <c r="B123" s="1"/>
      <c r="C123" s="1" t="s">
        <v>115</v>
      </c>
      <c r="D123" s="9" t="s">
        <v>2229</v>
      </c>
      <c r="E123" s="9" t="s">
        <v>68</v>
      </c>
      <c r="F123" s="1"/>
      <c r="G123" s="1"/>
      <c r="H123" s="1"/>
      <c r="I123" s="3"/>
      <c r="J123" s="3" t="e">
        <f>INDEX(UnitCosts[],MATCH(Table3[[#This Row],[WORK TYPE]],UnitCosts[Work Type],0),2)*VLOOKUP(Table3[[#This Row],[DEVELOPMENT]],Data[],MATCH(Table3[[#This Row],[WORK TYPE]],Data[#Headers],0),FALSE)</f>
        <v>#N/A</v>
      </c>
      <c r="K123" s="1"/>
      <c r="M123" s="31"/>
      <c r="N123" s="30"/>
      <c r="O123" s="30"/>
      <c r="P123" s="32"/>
    </row>
    <row r="124" spans="1:16">
      <c r="A124" s="1" t="str">
        <f>VLOOKUP(C124,Data[],2,FALSE)</f>
        <v>MANHATTAN</v>
      </c>
      <c r="B124" s="1"/>
      <c r="C124" s="1" t="s">
        <v>112</v>
      </c>
      <c r="D124" s="9" t="s">
        <v>2229</v>
      </c>
      <c r="E124" s="9" t="s">
        <v>68</v>
      </c>
      <c r="F124" s="1"/>
      <c r="G124" s="1"/>
      <c r="H124" s="1"/>
      <c r="I124" s="3"/>
      <c r="J124" s="3" t="e">
        <f>INDEX(UnitCosts[],MATCH(Table3[[#This Row],[WORK TYPE]],UnitCosts[Work Type],0),2)*VLOOKUP(Table3[[#This Row],[DEVELOPMENT]],Data[],MATCH(Table3[[#This Row],[WORK TYPE]],Data[#Headers],0),FALSE)</f>
        <v>#N/A</v>
      </c>
      <c r="K124" s="1"/>
      <c r="M124" s="31"/>
      <c r="N124" s="30"/>
      <c r="O124" s="30"/>
      <c r="P124" s="32"/>
    </row>
    <row r="125" spans="1:16">
      <c r="A125" s="1" t="str">
        <f>VLOOKUP(C125,Data[],2,FALSE)</f>
        <v>MANHATTAN</v>
      </c>
      <c r="B125" s="1"/>
      <c r="C125" s="1" t="s">
        <v>77</v>
      </c>
      <c r="D125" s="9" t="s">
        <v>2229</v>
      </c>
      <c r="E125" s="9" t="s">
        <v>68</v>
      </c>
      <c r="F125" s="1"/>
      <c r="G125" s="1"/>
      <c r="H125" s="1"/>
      <c r="I125" s="3"/>
      <c r="J125" s="3" t="e">
        <f>INDEX(UnitCosts[],MATCH(Table3[[#This Row],[WORK TYPE]],UnitCosts[Work Type],0),2)*VLOOKUP(Table3[[#This Row],[DEVELOPMENT]],Data[],MATCH(Table3[[#This Row],[WORK TYPE]],Data[#Headers],0),FALSE)</f>
        <v>#N/A</v>
      </c>
      <c r="K125" s="1"/>
      <c r="M125" s="31"/>
      <c r="N125" s="30"/>
      <c r="O125" s="30"/>
      <c r="P125" s="32"/>
    </row>
    <row r="126" spans="1:16">
      <c r="A126" s="1" t="str">
        <f>VLOOKUP(C126,Data[],2,FALSE)</f>
        <v>MANHATTAN</v>
      </c>
      <c r="B126" s="1"/>
      <c r="C126" s="1" t="s">
        <v>83</v>
      </c>
      <c r="D126" s="9" t="s">
        <v>2229</v>
      </c>
      <c r="E126" s="9" t="s">
        <v>68</v>
      </c>
      <c r="F126" s="1"/>
      <c r="G126" s="1"/>
      <c r="H126" s="1"/>
      <c r="I126" s="3"/>
      <c r="J126" s="3" t="e">
        <f>INDEX(UnitCosts[],MATCH(Table3[[#This Row],[WORK TYPE]],UnitCosts[Work Type],0),2)*VLOOKUP(Table3[[#This Row],[DEVELOPMENT]],Data[],MATCH(Table3[[#This Row],[WORK TYPE]],Data[#Headers],0),FALSE)</f>
        <v>#N/A</v>
      </c>
      <c r="K126" s="1"/>
      <c r="M126" s="31"/>
      <c r="N126" s="30"/>
      <c r="O126" s="30"/>
      <c r="P126" s="32"/>
    </row>
    <row r="127" spans="1:16">
      <c r="A127" s="1" t="str">
        <f>VLOOKUP(C127,Data[],2,FALSE)</f>
        <v>MANHATTAN</v>
      </c>
      <c r="B127" s="1"/>
      <c r="C127" s="1" t="s">
        <v>136</v>
      </c>
      <c r="D127" s="9" t="s">
        <v>2229</v>
      </c>
      <c r="E127" s="9" t="s">
        <v>68</v>
      </c>
      <c r="F127" s="1"/>
      <c r="G127" s="1"/>
      <c r="H127" s="1"/>
      <c r="I127" s="3"/>
      <c r="J127" s="3" t="e">
        <f>INDEX(UnitCosts[],MATCH(Table3[[#This Row],[WORK TYPE]],UnitCosts[Work Type],0),2)*VLOOKUP(Table3[[#This Row],[DEVELOPMENT]],Data[],MATCH(Table3[[#This Row],[WORK TYPE]],Data[#Headers],0),FALSE)</f>
        <v>#N/A</v>
      </c>
      <c r="K127" s="1"/>
      <c r="M127" s="31"/>
      <c r="N127" s="30"/>
      <c r="O127" s="30"/>
      <c r="P127" s="32"/>
    </row>
    <row r="128" spans="1:16">
      <c r="A128" s="1" t="str">
        <f>VLOOKUP(C128,Data[],2,FALSE)</f>
        <v>MANHATTAN</v>
      </c>
      <c r="B128" s="1"/>
      <c r="C128" s="1" t="s">
        <v>78</v>
      </c>
      <c r="D128" s="9" t="s">
        <v>2229</v>
      </c>
      <c r="E128" s="9" t="s">
        <v>68</v>
      </c>
      <c r="F128" s="1"/>
      <c r="G128" s="1"/>
      <c r="H128" s="1"/>
      <c r="I128" s="3"/>
      <c r="J128" s="3" t="e">
        <f>INDEX(UnitCosts[],MATCH(Table3[[#This Row],[WORK TYPE]],UnitCosts[Work Type],0),2)*VLOOKUP(Table3[[#This Row],[DEVELOPMENT]],Data[],MATCH(Table3[[#This Row],[WORK TYPE]],Data[#Headers],0),FALSE)</f>
        <v>#N/A</v>
      </c>
      <c r="K128" s="1"/>
      <c r="M128" s="31"/>
      <c r="N128" s="30"/>
      <c r="O128" s="30"/>
      <c r="P128" s="32"/>
    </row>
    <row r="129" spans="1:16">
      <c r="A129" s="1" t="str">
        <f>VLOOKUP(C129,Data[],2,FALSE)</f>
        <v>MANHATTAN</v>
      </c>
      <c r="B129" s="1"/>
      <c r="C129" s="1" t="s">
        <v>128</v>
      </c>
      <c r="D129" s="9" t="s">
        <v>2229</v>
      </c>
      <c r="E129" s="9" t="s">
        <v>68</v>
      </c>
      <c r="F129" s="1"/>
      <c r="G129" s="1"/>
      <c r="H129" s="1"/>
      <c r="I129" s="3"/>
      <c r="J129" s="3" t="e">
        <f>INDEX(UnitCosts[],MATCH(Table3[[#This Row],[WORK TYPE]],UnitCosts[Work Type],0),2)*VLOOKUP(Table3[[#This Row],[DEVELOPMENT]],Data[],MATCH(Table3[[#This Row],[WORK TYPE]],Data[#Headers],0),FALSE)</f>
        <v>#N/A</v>
      </c>
      <c r="K129" s="1"/>
      <c r="M129" s="31"/>
      <c r="N129" s="30"/>
      <c r="O129" s="30"/>
      <c r="P129" s="32"/>
    </row>
    <row r="130" spans="1:16">
      <c r="A130" s="1" t="str">
        <f>VLOOKUP(C130,Data[],2,FALSE)</f>
        <v>MANHATTAN</v>
      </c>
      <c r="B130" s="1"/>
      <c r="C130" s="1" t="s">
        <v>95</v>
      </c>
      <c r="D130" s="9" t="s">
        <v>2229</v>
      </c>
      <c r="E130" s="9" t="s">
        <v>68</v>
      </c>
      <c r="F130" s="1"/>
      <c r="G130" s="1"/>
      <c r="H130" s="1"/>
      <c r="I130" s="3"/>
      <c r="J130" s="3" t="e">
        <f>INDEX(UnitCosts[],MATCH(Table3[[#This Row],[WORK TYPE]],UnitCosts[Work Type],0),2)*VLOOKUP(Table3[[#This Row],[DEVELOPMENT]],Data[],MATCH(Table3[[#This Row],[WORK TYPE]],Data[#Headers],0),FALSE)</f>
        <v>#N/A</v>
      </c>
      <c r="K130" s="1"/>
      <c r="M130" s="31"/>
      <c r="N130" s="30"/>
      <c r="O130" s="30"/>
      <c r="P130" s="32"/>
    </row>
    <row r="131" spans="1:16">
      <c r="A131" s="1" t="str">
        <f>VLOOKUP(C131,Data[],2,FALSE)</f>
        <v>MANHATTAN</v>
      </c>
      <c r="B131" s="1"/>
      <c r="C131" s="1" t="s">
        <v>90</v>
      </c>
      <c r="D131" s="9" t="s">
        <v>2229</v>
      </c>
      <c r="E131" s="9" t="s">
        <v>68</v>
      </c>
      <c r="F131" s="1"/>
      <c r="G131" s="1"/>
      <c r="H131" s="1"/>
      <c r="I131" s="3"/>
      <c r="J131" s="3" t="e">
        <f>INDEX(UnitCosts[],MATCH(Table3[[#This Row],[WORK TYPE]],UnitCosts[Work Type],0),2)*VLOOKUP(Table3[[#This Row],[DEVELOPMENT]],Data[],MATCH(Table3[[#This Row],[WORK TYPE]],Data[#Headers],0),FALSE)</f>
        <v>#N/A</v>
      </c>
      <c r="K131" s="1"/>
      <c r="M131" s="31"/>
      <c r="N131" s="30"/>
      <c r="O131" s="30"/>
      <c r="P131" s="32"/>
    </row>
    <row r="132" spans="1:16">
      <c r="A132" s="1" t="str">
        <f>VLOOKUP(C132,Data[],2,FALSE)</f>
        <v>MANHATTAN</v>
      </c>
      <c r="B132" s="1"/>
      <c r="C132" s="1" t="s">
        <v>81</v>
      </c>
      <c r="D132" s="9" t="s">
        <v>2229</v>
      </c>
      <c r="E132" s="9" t="s">
        <v>68</v>
      </c>
      <c r="F132" s="1"/>
      <c r="G132" s="1"/>
      <c r="H132" s="1"/>
      <c r="I132" s="3"/>
      <c r="J132" s="3" t="e">
        <f>INDEX(UnitCosts[],MATCH(Table3[[#This Row],[WORK TYPE]],UnitCosts[Work Type],0),2)*VLOOKUP(Table3[[#This Row],[DEVELOPMENT]],Data[],MATCH(Table3[[#This Row],[WORK TYPE]],Data[#Headers],0),FALSE)</f>
        <v>#N/A</v>
      </c>
      <c r="K132" s="1"/>
      <c r="M132" s="31"/>
      <c r="N132" s="30"/>
      <c r="O132" s="30"/>
      <c r="P132" s="32"/>
    </row>
    <row r="133" spans="1:16">
      <c r="A133" s="1" t="str">
        <f>VLOOKUP(C133,Data[],2,FALSE)</f>
        <v>MANHATTAN</v>
      </c>
      <c r="B133" s="1"/>
      <c r="C133" s="1" t="s">
        <v>74</v>
      </c>
      <c r="D133" s="9" t="s">
        <v>2229</v>
      </c>
      <c r="E133" s="9" t="s">
        <v>68</v>
      </c>
      <c r="F133" s="1"/>
      <c r="G133" s="1"/>
      <c r="H133" s="1"/>
      <c r="I133" s="3"/>
      <c r="J133" s="3" t="e">
        <f>INDEX(UnitCosts[],MATCH(Table3[[#This Row],[WORK TYPE]],UnitCosts[Work Type],0),2)*VLOOKUP(Table3[[#This Row],[DEVELOPMENT]],Data[],MATCH(Table3[[#This Row],[WORK TYPE]],Data[#Headers],0),FALSE)</f>
        <v>#N/A</v>
      </c>
      <c r="K133" s="1"/>
      <c r="M133" s="31"/>
      <c r="N133" s="30"/>
      <c r="O133" s="30"/>
      <c r="P133" s="32"/>
    </row>
    <row r="134" spans="1:16">
      <c r="A134" s="1" t="str">
        <f>VLOOKUP(C134,Data[],2,FALSE)</f>
        <v>MANHATTAN</v>
      </c>
      <c r="B134" s="1"/>
      <c r="C134" s="1" t="s">
        <v>67</v>
      </c>
      <c r="D134" s="9" t="s">
        <v>2229</v>
      </c>
      <c r="E134" s="9" t="s">
        <v>68</v>
      </c>
      <c r="F134" s="1"/>
      <c r="G134" s="1"/>
      <c r="H134" s="1"/>
      <c r="I134" s="3"/>
      <c r="J134" s="3" t="e">
        <f>INDEX(UnitCosts[],MATCH(Table3[[#This Row],[WORK TYPE]],UnitCosts[Work Type],0),2)*VLOOKUP(Table3[[#This Row],[DEVELOPMENT]],Data[],MATCH(Table3[[#This Row],[WORK TYPE]],Data[#Headers],0),FALSE)</f>
        <v>#N/A</v>
      </c>
      <c r="K134" s="1"/>
      <c r="M134" s="31"/>
      <c r="N134" s="30"/>
      <c r="O134" s="30"/>
      <c r="P134" s="32"/>
    </row>
    <row r="135" spans="1:16">
      <c r="A135" s="1" t="str">
        <f>VLOOKUP(C135,Data[],2,FALSE)</f>
        <v>MANHATTAN</v>
      </c>
      <c r="B135" s="1"/>
      <c r="C135" s="1" t="s">
        <v>102</v>
      </c>
      <c r="D135" s="9" t="s">
        <v>2229</v>
      </c>
      <c r="E135" s="9" t="s">
        <v>68</v>
      </c>
      <c r="F135" s="1"/>
      <c r="G135" s="1"/>
      <c r="H135" s="1"/>
      <c r="I135" s="3"/>
      <c r="J135" s="3" t="e">
        <f>INDEX(UnitCosts[],MATCH(Table3[[#This Row],[WORK TYPE]],UnitCosts[Work Type],0),2)*VLOOKUP(Table3[[#This Row],[DEVELOPMENT]],Data[],MATCH(Table3[[#This Row],[WORK TYPE]],Data[#Headers],0),FALSE)</f>
        <v>#N/A</v>
      </c>
      <c r="K135" s="1"/>
      <c r="M135" s="31"/>
      <c r="N135" s="30"/>
      <c r="O135" s="30"/>
      <c r="P135" s="32"/>
    </row>
    <row r="136" spans="1:16">
      <c r="A136" s="1" t="str">
        <f>VLOOKUP(C136,Data[],2,FALSE)</f>
        <v>MANHATTAN</v>
      </c>
      <c r="B136" s="1"/>
      <c r="C136" s="1" t="s">
        <v>107</v>
      </c>
      <c r="D136" s="9" t="s">
        <v>2229</v>
      </c>
      <c r="E136" s="9" t="s">
        <v>68</v>
      </c>
      <c r="F136" s="1"/>
      <c r="G136" s="1"/>
      <c r="H136" s="1"/>
      <c r="I136" s="3"/>
      <c r="J136" s="3" t="e">
        <f>INDEX(UnitCosts[],MATCH(Table3[[#This Row],[WORK TYPE]],UnitCosts[Work Type],0),2)*VLOOKUP(Table3[[#This Row],[DEVELOPMENT]],Data[],MATCH(Table3[[#This Row],[WORK TYPE]],Data[#Headers],0),FALSE)</f>
        <v>#N/A</v>
      </c>
      <c r="K136" s="1"/>
      <c r="M136" s="31"/>
      <c r="N136" s="30"/>
      <c r="O136" s="30"/>
      <c r="P136" s="32"/>
    </row>
    <row r="137" spans="1:16">
      <c r="A137" s="1" t="str">
        <f>VLOOKUP(C137,Data[],2,FALSE)</f>
        <v>MANHATTAN</v>
      </c>
      <c r="B137" s="1"/>
      <c r="C137" s="1" t="s">
        <v>92</v>
      </c>
      <c r="D137" s="9" t="s">
        <v>2229</v>
      </c>
      <c r="E137" s="9" t="s">
        <v>68</v>
      </c>
      <c r="F137" s="1"/>
      <c r="G137" s="1"/>
      <c r="H137" s="1"/>
      <c r="I137" s="3"/>
      <c r="J137" s="3" t="e">
        <f>INDEX(UnitCosts[],MATCH(Table3[[#This Row],[WORK TYPE]],UnitCosts[Work Type],0),2)*VLOOKUP(Table3[[#This Row],[DEVELOPMENT]],Data[],MATCH(Table3[[#This Row],[WORK TYPE]],Data[#Headers],0),FALSE)</f>
        <v>#N/A</v>
      </c>
      <c r="K137" s="1"/>
      <c r="M137" s="31"/>
      <c r="N137" s="30"/>
      <c r="O137" s="30"/>
      <c r="P137" s="32"/>
    </row>
    <row r="138" spans="1:16">
      <c r="A138" s="1" t="str">
        <f>VLOOKUP(C138,Data[],2,FALSE)</f>
        <v>MANHATTAN</v>
      </c>
      <c r="B138" s="1"/>
      <c r="C138" s="1" t="s">
        <v>251</v>
      </c>
      <c r="D138" s="9" t="s">
        <v>2229</v>
      </c>
      <c r="E138" s="9" t="s">
        <v>68</v>
      </c>
      <c r="F138" s="1"/>
      <c r="G138" s="1"/>
      <c r="H138" s="1"/>
      <c r="I138" s="3"/>
      <c r="J138" s="3" t="e">
        <f>INDEX(UnitCosts[],MATCH(Table3[[#This Row],[WORK TYPE]],UnitCosts[Work Type],0),2)*VLOOKUP(Table3[[#This Row],[DEVELOPMENT]],Data[],MATCH(Table3[[#This Row],[WORK TYPE]],Data[#Headers],0),FALSE)</f>
        <v>#N/A</v>
      </c>
      <c r="K138" s="1"/>
      <c r="M138" s="31"/>
      <c r="N138" s="30"/>
      <c r="O138" s="30"/>
      <c r="P138" s="32"/>
    </row>
    <row r="139" spans="1:16">
      <c r="A139" s="1" t="str">
        <f>VLOOKUP(C139,Data[],2,FALSE)</f>
        <v>MANHATTAN</v>
      </c>
      <c r="B139" s="1"/>
      <c r="C139" s="1" t="s">
        <v>129</v>
      </c>
      <c r="D139" s="9" t="s">
        <v>2229</v>
      </c>
      <c r="E139" s="1" t="s">
        <v>109</v>
      </c>
      <c r="F139" s="1"/>
      <c r="G139" s="1"/>
      <c r="H139" s="1"/>
      <c r="I139" s="3"/>
      <c r="J139" s="3">
        <f>INDEX(UnitCosts[],MATCH(Table3[[#This Row],[WORK TYPE]],UnitCosts[Work Type],0),2)*VLOOKUP(Table3[[#This Row],[DEVELOPMENT]],Data[],MATCH(Table3[[#This Row],[WORK TYPE]],Data[#Headers],0),FALSE)</f>
        <v>1307070</v>
      </c>
      <c r="K139" s="1"/>
    </row>
    <row r="140" spans="1:16">
      <c r="A140" s="1" t="str">
        <f>VLOOKUP(C140,Data[],2,FALSE)</f>
        <v>MANHATTAN</v>
      </c>
      <c r="B140" s="1"/>
      <c r="C140" s="1" t="s">
        <v>131</v>
      </c>
      <c r="D140" s="9" t="s">
        <v>2229</v>
      </c>
      <c r="E140" s="1" t="s">
        <v>109</v>
      </c>
      <c r="F140" s="1"/>
      <c r="G140" s="1"/>
      <c r="H140" s="1"/>
      <c r="I140" s="3"/>
      <c r="J140" s="3">
        <f>INDEX(UnitCosts[],MATCH(Table3[[#This Row],[WORK TYPE]],UnitCosts[Work Type],0),2)*VLOOKUP(Table3[[#This Row],[DEVELOPMENT]],Data[],MATCH(Table3[[#This Row],[WORK TYPE]],Data[#Headers],0),FALSE)</f>
        <v>1307070</v>
      </c>
      <c r="K140" s="1"/>
    </row>
    <row r="141" spans="1:16">
      <c r="A141" s="1" t="str">
        <f>VLOOKUP(C141,Data[],2,FALSE)</f>
        <v>MANHATTAN</v>
      </c>
      <c r="B141" s="1"/>
      <c r="C141" s="1" t="s">
        <v>133</v>
      </c>
      <c r="D141" s="9" t="s">
        <v>2229</v>
      </c>
      <c r="E141" s="1" t="s">
        <v>109</v>
      </c>
      <c r="F141" s="1"/>
      <c r="G141" s="1"/>
      <c r="H141" s="1"/>
      <c r="I141" s="3"/>
      <c r="J141" s="3">
        <f>INDEX(UnitCosts[],MATCH(Table3[[#This Row],[WORK TYPE]],UnitCosts[Work Type],0),2)*VLOOKUP(Table3[[#This Row],[DEVELOPMENT]],Data[],MATCH(Table3[[#This Row],[WORK TYPE]],Data[#Headers],0),FALSE)</f>
        <v>1307070</v>
      </c>
      <c r="K141" s="1"/>
    </row>
    <row r="142" spans="1:16">
      <c r="A142" s="1" t="str">
        <f>VLOOKUP(C142,Data[],2,FALSE)</f>
        <v>MANHATTAN</v>
      </c>
      <c r="B142" s="1"/>
      <c r="C142" s="1" t="s">
        <v>127</v>
      </c>
      <c r="D142" s="9" t="s">
        <v>2229</v>
      </c>
      <c r="E142" s="1" t="s">
        <v>109</v>
      </c>
      <c r="F142" s="1"/>
      <c r="G142" s="1"/>
      <c r="H142" s="1"/>
      <c r="I142" s="3"/>
      <c r="J142" s="3">
        <f>INDEX(UnitCosts[],MATCH(Table3[[#This Row],[WORK TYPE]],UnitCosts[Work Type],0),2)*VLOOKUP(Table3[[#This Row],[DEVELOPMENT]],Data[],MATCH(Table3[[#This Row],[WORK TYPE]],Data[#Headers],0),FALSE)</f>
        <v>1307070</v>
      </c>
      <c r="K142" s="1"/>
    </row>
    <row r="143" spans="1:16">
      <c r="A143" s="1" t="str">
        <f>VLOOKUP(C143,Data[],2,FALSE)</f>
        <v>MANHATTAN</v>
      </c>
      <c r="B143" s="1"/>
      <c r="C143" s="1" t="s">
        <v>122</v>
      </c>
      <c r="D143" s="9" t="s">
        <v>2229</v>
      </c>
      <c r="E143" s="1" t="s">
        <v>109</v>
      </c>
      <c r="F143" s="1"/>
      <c r="G143" s="1"/>
      <c r="H143" s="1"/>
      <c r="I143" s="3"/>
      <c r="J143" s="3">
        <f>INDEX(UnitCosts[],MATCH(Table3[[#This Row],[WORK TYPE]],UnitCosts[Work Type],0),2)*VLOOKUP(Table3[[#This Row],[DEVELOPMENT]],Data[],MATCH(Table3[[#This Row],[WORK TYPE]],Data[#Headers],0),FALSE)</f>
        <v>1307070</v>
      </c>
      <c r="K143" s="1"/>
    </row>
    <row r="144" spans="1:16">
      <c r="A144" s="1" t="str">
        <f>VLOOKUP(C144,Data[],2,FALSE)</f>
        <v>MANHATTAN</v>
      </c>
      <c r="B144" s="1"/>
      <c r="C144" s="1" t="s">
        <v>120</v>
      </c>
      <c r="D144" s="9" t="s">
        <v>2229</v>
      </c>
      <c r="E144" s="1" t="s">
        <v>109</v>
      </c>
      <c r="F144" s="1"/>
      <c r="G144" s="1"/>
      <c r="H144" s="1"/>
      <c r="I144" s="3"/>
      <c r="J144" s="3">
        <f>INDEX(UnitCosts[],MATCH(Table3[[#This Row],[WORK TYPE]],UnitCosts[Work Type],0),2)*VLOOKUP(Table3[[#This Row],[DEVELOPMENT]],Data[],MATCH(Table3[[#This Row],[WORK TYPE]],Data[#Headers],0),FALSE)</f>
        <v>1307070</v>
      </c>
      <c r="K144" s="1"/>
    </row>
    <row r="145" spans="1:11">
      <c r="A145" s="1" t="str">
        <f>VLOOKUP(C145,Data[],2,FALSE)</f>
        <v>MANHATTAN</v>
      </c>
      <c r="B145" s="1"/>
      <c r="C145" s="1" t="s">
        <v>113</v>
      </c>
      <c r="D145" s="9" t="s">
        <v>2229</v>
      </c>
      <c r="E145" s="1" t="s">
        <v>109</v>
      </c>
      <c r="F145" s="1"/>
      <c r="G145" s="1"/>
      <c r="H145" s="1"/>
      <c r="I145" s="3"/>
      <c r="J145" s="3">
        <f>INDEX(UnitCosts[],MATCH(Table3[[#This Row],[WORK TYPE]],UnitCosts[Work Type],0),2)*VLOOKUP(Table3[[#This Row],[DEVELOPMENT]],Data[],MATCH(Table3[[#This Row],[WORK TYPE]],Data[#Headers],0),FALSE)</f>
        <v>1307070</v>
      </c>
      <c r="K145" s="1"/>
    </row>
    <row r="146" spans="1:11">
      <c r="A146" s="1" t="str">
        <f>VLOOKUP(C146,Data[],2,FALSE)</f>
        <v>MANHATTAN</v>
      </c>
      <c r="B146" s="1"/>
      <c r="C146" s="1" t="s">
        <v>115</v>
      </c>
      <c r="D146" s="9" t="s">
        <v>2229</v>
      </c>
      <c r="E146" s="1" t="s">
        <v>109</v>
      </c>
      <c r="F146" s="1"/>
      <c r="G146" s="1"/>
      <c r="H146" s="1"/>
      <c r="I146" s="3"/>
      <c r="J146" s="3">
        <f>INDEX(UnitCosts[],MATCH(Table3[[#This Row],[WORK TYPE]],UnitCosts[Work Type],0),2)*VLOOKUP(Table3[[#This Row],[DEVELOPMENT]],Data[],MATCH(Table3[[#This Row],[WORK TYPE]],Data[#Headers],0),FALSE)</f>
        <v>1307070</v>
      </c>
      <c r="K146" s="1"/>
    </row>
    <row r="147" spans="1:11">
      <c r="A147" s="1" t="str">
        <f>VLOOKUP(C147,Data[],2,FALSE)</f>
        <v>MANHATTAN</v>
      </c>
      <c r="B147" s="1"/>
      <c r="C147" s="1" t="s">
        <v>112</v>
      </c>
      <c r="D147" s="9" t="s">
        <v>2229</v>
      </c>
      <c r="E147" s="1" t="s">
        <v>109</v>
      </c>
      <c r="F147" s="1"/>
      <c r="G147" s="1"/>
      <c r="H147" s="1"/>
      <c r="I147" s="3"/>
      <c r="J147" s="3">
        <f>INDEX(UnitCosts[],MATCH(Table3[[#This Row],[WORK TYPE]],UnitCosts[Work Type],0),2)*VLOOKUP(Table3[[#This Row],[DEVELOPMENT]],Data[],MATCH(Table3[[#This Row],[WORK TYPE]],Data[#Headers],0),FALSE)</f>
        <v>1307070</v>
      </c>
      <c r="K147" s="1"/>
    </row>
    <row r="148" spans="1:11">
      <c r="A148" s="1" t="str">
        <f>VLOOKUP(C148,Data[],2,FALSE)</f>
        <v>MANHATTAN</v>
      </c>
      <c r="B148" s="1"/>
      <c r="C148" s="1" t="s">
        <v>77</v>
      </c>
      <c r="D148" s="9" t="s">
        <v>2229</v>
      </c>
      <c r="E148" s="1" t="s">
        <v>109</v>
      </c>
      <c r="F148" s="1"/>
      <c r="G148" s="1"/>
      <c r="H148" s="1"/>
      <c r="I148" s="3"/>
      <c r="J148" s="3">
        <f>INDEX(UnitCosts[],MATCH(Table3[[#This Row],[WORK TYPE]],UnitCosts[Work Type],0),2)*VLOOKUP(Table3[[#This Row],[DEVELOPMENT]],Data[],MATCH(Table3[[#This Row],[WORK TYPE]],Data[#Headers],0),FALSE)</f>
        <v>1307070</v>
      </c>
      <c r="K148" s="1"/>
    </row>
    <row r="149" spans="1:11">
      <c r="A149" s="1" t="str">
        <f>VLOOKUP(C149,Data[],2,FALSE)</f>
        <v>MANHATTAN</v>
      </c>
      <c r="B149" s="1"/>
      <c r="C149" s="1" t="s">
        <v>83</v>
      </c>
      <c r="D149" s="9" t="s">
        <v>2229</v>
      </c>
      <c r="E149" s="1" t="s">
        <v>109</v>
      </c>
      <c r="F149" s="1"/>
      <c r="G149" s="1"/>
      <c r="H149" s="1"/>
      <c r="I149" s="3"/>
      <c r="J149" s="3">
        <f>INDEX(UnitCosts[],MATCH(Table3[[#This Row],[WORK TYPE]],UnitCosts[Work Type],0),2)*VLOOKUP(Table3[[#This Row],[DEVELOPMENT]],Data[],MATCH(Table3[[#This Row],[WORK TYPE]],Data[#Headers],0),FALSE)</f>
        <v>1307070</v>
      </c>
      <c r="K149" s="1"/>
    </row>
    <row r="150" spans="1:11">
      <c r="A150" s="1" t="str">
        <f>VLOOKUP(C150,Data[],2,FALSE)</f>
        <v>MANHATTAN</v>
      </c>
      <c r="B150" s="1"/>
      <c r="C150" s="1" t="s">
        <v>136</v>
      </c>
      <c r="D150" s="9" t="s">
        <v>2229</v>
      </c>
      <c r="E150" s="1" t="s">
        <v>109</v>
      </c>
      <c r="F150" s="1"/>
      <c r="G150" s="1"/>
      <c r="H150" s="1"/>
      <c r="I150" s="3"/>
      <c r="J150" s="3">
        <f>INDEX(UnitCosts[],MATCH(Table3[[#This Row],[WORK TYPE]],UnitCosts[Work Type],0),2)*VLOOKUP(Table3[[#This Row],[DEVELOPMENT]],Data[],MATCH(Table3[[#This Row],[WORK TYPE]],Data[#Headers],0),FALSE)</f>
        <v>1307070</v>
      </c>
      <c r="K150" s="1"/>
    </row>
    <row r="151" spans="1:11">
      <c r="A151" s="1" t="str">
        <f>VLOOKUP(C151,Data[],2,FALSE)</f>
        <v>MANHATTAN</v>
      </c>
      <c r="B151" s="1"/>
      <c r="C151" s="1" t="s">
        <v>78</v>
      </c>
      <c r="D151" s="9" t="s">
        <v>2229</v>
      </c>
      <c r="E151" s="1" t="s">
        <v>109</v>
      </c>
      <c r="F151" s="1"/>
      <c r="G151" s="1"/>
      <c r="H151" s="1"/>
      <c r="I151" s="3"/>
      <c r="J151" s="3">
        <f>INDEX(UnitCosts[],MATCH(Table3[[#This Row],[WORK TYPE]],UnitCosts[Work Type],0),2)*VLOOKUP(Table3[[#This Row],[DEVELOPMENT]],Data[],MATCH(Table3[[#This Row],[WORK TYPE]],Data[#Headers],0),FALSE)</f>
        <v>1307070</v>
      </c>
      <c r="K151" s="1"/>
    </row>
    <row r="152" spans="1:11">
      <c r="A152" s="1" t="str">
        <f>VLOOKUP(C152,Data[],2,FALSE)</f>
        <v>MANHATTAN</v>
      </c>
      <c r="B152" s="1"/>
      <c r="C152" s="1" t="s">
        <v>128</v>
      </c>
      <c r="D152" s="9" t="s">
        <v>2229</v>
      </c>
      <c r="E152" s="1" t="s">
        <v>109</v>
      </c>
      <c r="F152" s="1"/>
      <c r="G152" s="1"/>
      <c r="H152" s="1"/>
      <c r="I152" s="3"/>
      <c r="J152" s="3">
        <f>INDEX(UnitCosts[],MATCH(Table3[[#This Row],[WORK TYPE]],UnitCosts[Work Type],0),2)*VLOOKUP(Table3[[#This Row],[DEVELOPMENT]],Data[],MATCH(Table3[[#This Row],[WORK TYPE]],Data[#Headers],0),FALSE)</f>
        <v>1307070</v>
      </c>
      <c r="K152" s="1"/>
    </row>
    <row r="153" spans="1:11">
      <c r="A153" s="1" t="str">
        <f>VLOOKUP(C153,Data[],2,FALSE)</f>
        <v>MANHATTAN</v>
      </c>
      <c r="B153" s="1"/>
      <c r="C153" s="1" t="s">
        <v>90</v>
      </c>
      <c r="D153" s="9" t="s">
        <v>2229</v>
      </c>
      <c r="E153" s="1" t="s">
        <v>109</v>
      </c>
      <c r="F153" s="1"/>
      <c r="G153" s="1"/>
      <c r="H153" s="1"/>
      <c r="I153" s="3"/>
      <c r="J153" s="3">
        <f>INDEX(UnitCosts[],MATCH(Table3[[#This Row],[WORK TYPE]],UnitCosts[Work Type],0),2)*VLOOKUP(Table3[[#This Row],[DEVELOPMENT]],Data[],MATCH(Table3[[#This Row],[WORK TYPE]],Data[#Headers],0),FALSE)</f>
        <v>1307070</v>
      </c>
      <c r="K153" s="1"/>
    </row>
    <row r="154" spans="1:11">
      <c r="A154" s="1" t="str">
        <f>VLOOKUP(C154,Data[],2,FALSE)</f>
        <v>MANHATTAN</v>
      </c>
      <c r="B154" s="1"/>
      <c r="C154" s="1" t="s">
        <v>81</v>
      </c>
      <c r="D154" s="9" t="s">
        <v>2229</v>
      </c>
      <c r="E154" s="1" t="s">
        <v>109</v>
      </c>
      <c r="F154" s="1"/>
      <c r="G154" s="1"/>
      <c r="H154" s="1"/>
      <c r="I154" s="3"/>
      <c r="J154" s="3">
        <f>INDEX(UnitCosts[],MATCH(Table3[[#This Row],[WORK TYPE]],UnitCosts[Work Type],0),2)*VLOOKUP(Table3[[#This Row],[DEVELOPMENT]],Data[],MATCH(Table3[[#This Row],[WORK TYPE]],Data[#Headers],0),FALSE)</f>
        <v>1307070</v>
      </c>
      <c r="K154" s="1"/>
    </row>
    <row r="155" spans="1:11">
      <c r="A155" s="1" t="str">
        <f>VLOOKUP(C155,Data[],2,FALSE)</f>
        <v>MANHATTAN</v>
      </c>
      <c r="B155" s="1"/>
      <c r="C155" s="1" t="s">
        <v>131</v>
      </c>
      <c r="D155" s="9" t="s">
        <v>2229</v>
      </c>
      <c r="E155" s="9" t="s">
        <v>151</v>
      </c>
      <c r="F155" s="1"/>
      <c r="G155" s="1"/>
      <c r="H155" s="1"/>
      <c r="I155" s="3"/>
      <c r="J155" s="3">
        <f>INDEX(UnitCosts[],MATCH(Table3[[#This Row],[WORK TYPE]],UnitCosts[Work Type],0),2)*VLOOKUP(Table3[[#This Row],[DEVELOPMENT]],Data[],MATCH(Table3[[#This Row],[WORK TYPE]],Data[#Headers],0),FALSE)</f>
        <v>438851.6</v>
      </c>
      <c r="K155" s="1"/>
    </row>
    <row r="156" spans="1:11">
      <c r="A156" s="1" t="str">
        <f>VLOOKUP(C156,Data[],2,FALSE)</f>
        <v>MANHATTAN</v>
      </c>
      <c r="B156" s="1"/>
      <c r="C156" s="1" t="s">
        <v>137</v>
      </c>
      <c r="D156" s="9" t="s">
        <v>2229</v>
      </c>
      <c r="E156" s="9" t="s">
        <v>151</v>
      </c>
      <c r="F156" s="1"/>
      <c r="G156" s="1"/>
      <c r="H156" s="1"/>
      <c r="I156" s="3"/>
      <c r="J156" s="3">
        <f>INDEX(UnitCosts[],MATCH(Table3[[#This Row],[WORK TYPE]],UnitCosts[Work Type],0),2)*VLOOKUP(Table3[[#This Row],[DEVELOPMENT]],Data[],MATCH(Table3[[#This Row],[WORK TYPE]],Data[#Headers],0),FALSE)</f>
        <v>438851.6</v>
      </c>
      <c r="K156" s="1"/>
    </row>
    <row r="157" spans="1:11">
      <c r="A157" s="1" t="str">
        <f>VLOOKUP(C157,Data[],2,FALSE)</f>
        <v>MANHATTAN</v>
      </c>
      <c r="B157" s="1"/>
      <c r="C157" s="1" t="s">
        <v>127</v>
      </c>
      <c r="D157" s="9" t="s">
        <v>2229</v>
      </c>
      <c r="E157" s="9" t="s">
        <v>151</v>
      </c>
      <c r="F157" s="1"/>
      <c r="G157" s="1"/>
      <c r="H157" s="1"/>
      <c r="I157" s="3"/>
      <c r="J157" s="3">
        <f>INDEX(UnitCosts[],MATCH(Table3[[#This Row],[WORK TYPE]],UnitCosts[Work Type],0),2)*VLOOKUP(Table3[[#This Row],[DEVELOPMENT]],Data[],MATCH(Table3[[#This Row],[WORK TYPE]],Data[#Headers],0),FALSE)</f>
        <v>438851.6</v>
      </c>
      <c r="K157" s="1"/>
    </row>
    <row r="158" spans="1:11">
      <c r="A158" s="1" t="str">
        <f>VLOOKUP(C158,Data[],2,FALSE)</f>
        <v>MANHATTAN</v>
      </c>
      <c r="B158" s="1"/>
      <c r="C158" s="1" t="s">
        <v>120</v>
      </c>
      <c r="D158" s="9" t="s">
        <v>2229</v>
      </c>
      <c r="E158" s="9" t="s">
        <v>151</v>
      </c>
      <c r="F158" s="1"/>
      <c r="G158" s="1"/>
      <c r="H158" s="1"/>
      <c r="I158" s="3"/>
      <c r="J158" s="3">
        <f>INDEX(UnitCosts[],MATCH(Table3[[#This Row],[WORK TYPE]],UnitCosts[Work Type],0),2)*VLOOKUP(Table3[[#This Row],[DEVELOPMENT]],Data[],MATCH(Table3[[#This Row],[WORK TYPE]],Data[#Headers],0),FALSE)</f>
        <v>438851.6</v>
      </c>
      <c r="K158" s="1"/>
    </row>
    <row r="159" spans="1:11">
      <c r="A159" s="1" t="str">
        <f>VLOOKUP(C159,Data[],2,FALSE)</f>
        <v>MANHATTAN</v>
      </c>
      <c r="B159" s="1"/>
      <c r="C159" s="1" t="s">
        <v>113</v>
      </c>
      <c r="D159" s="9" t="s">
        <v>2229</v>
      </c>
      <c r="E159" s="9" t="s">
        <v>151</v>
      </c>
      <c r="F159" s="1"/>
      <c r="G159" s="1"/>
      <c r="H159" s="1"/>
      <c r="I159" s="3"/>
      <c r="J159" s="3">
        <f>INDEX(UnitCosts[],MATCH(Table3[[#This Row],[WORK TYPE]],UnitCosts[Work Type],0),2)*VLOOKUP(Table3[[#This Row],[DEVELOPMENT]],Data[],MATCH(Table3[[#This Row],[WORK TYPE]],Data[#Headers],0),FALSE)</f>
        <v>438851.6</v>
      </c>
      <c r="K159" s="1"/>
    </row>
    <row r="160" spans="1:11">
      <c r="A160" s="1" t="str">
        <f>VLOOKUP(C160,Data[],2,FALSE)</f>
        <v>MANHATTAN</v>
      </c>
      <c r="B160" s="1"/>
      <c r="C160" s="1" t="s">
        <v>115</v>
      </c>
      <c r="D160" s="9" t="s">
        <v>2229</v>
      </c>
      <c r="E160" s="9" t="s">
        <v>151</v>
      </c>
      <c r="F160" s="1"/>
      <c r="G160" s="1"/>
      <c r="H160" s="1"/>
      <c r="I160" s="3"/>
      <c r="J160" s="3">
        <f>INDEX(UnitCosts[],MATCH(Table3[[#This Row],[WORK TYPE]],UnitCosts[Work Type],0),2)*VLOOKUP(Table3[[#This Row],[DEVELOPMENT]],Data[],MATCH(Table3[[#This Row],[WORK TYPE]],Data[#Headers],0),FALSE)</f>
        <v>438851.6</v>
      </c>
      <c r="K160" s="1"/>
    </row>
    <row r="161" spans="1:11">
      <c r="A161" s="1" t="str">
        <f>VLOOKUP(C161,Data[],2,FALSE)</f>
        <v>MANHATTAN</v>
      </c>
      <c r="B161" s="1"/>
      <c r="C161" s="1" t="s">
        <v>112</v>
      </c>
      <c r="D161" s="9" t="s">
        <v>2229</v>
      </c>
      <c r="E161" s="9" t="s">
        <v>151</v>
      </c>
      <c r="F161" s="1"/>
      <c r="G161" s="1"/>
      <c r="H161" s="1"/>
      <c r="I161" s="3"/>
      <c r="J161" s="3">
        <f>INDEX(UnitCosts[],MATCH(Table3[[#This Row],[WORK TYPE]],UnitCosts[Work Type],0),2)*VLOOKUP(Table3[[#This Row],[DEVELOPMENT]],Data[],MATCH(Table3[[#This Row],[WORK TYPE]],Data[#Headers],0),FALSE)</f>
        <v>438851.6</v>
      </c>
      <c r="K161" s="1"/>
    </row>
    <row r="162" spans="1:11">
      <c r="A162" s="1" t="str">
        <f>VLOOKUP(C162,Data[],2,FALSE)</f>
        <v>MANHATTAN</v>
      </c>
      <c r="B162" s="1"/>
      <c r="C162" s="1" t="s">
        <v>83</v>
      </c>
      <c r="D162" s="9" t="s">
        <v>2229</v>
      </c>
      <c r="E162" s="9" t="s">
        <v>151</v>
      </c>
      <c r="F162" s="1"/>
      <c r="G162" s="1"/>
      <c r="H162" s="1"/>
      <c r="I162" s="3"/>
      <c r="J162" s="3">
        <f>INDEX(UnitCosts[],MATCH(Table3[[#This Row],[WORK TYPE]],UnitCosts[Work Type],0),2)*VLOOKUP(Table3[[#This Row],[DEVELOPMENT]],Data[],MATCH(Table3[[#This Row],[WORK TYPE]],Data[#Headers],0),FALSE)</f>
        <v>438851.6</v>
      </c>
      <c r="K162" s="1"/>
    </row>
    <row r="163" spans="1:11">
      <c r="A163" s="1" t="str">
        <f>VLOOKUP(C163,Data[],2,FALSE)</f>
        <v>MANHATTAN</v>
      </c>
      <c r="B163" s="1"/>
      <c r="C163" s="1" t="s">
        <v>136</v>
      </c>
      <c r="D163" s="9" t="s">
        <v>2229</v>
      </c>
      <c r="E163" s="9" t="s">
        <v>151</v>
      </c>
      <c r="F163" s="1"/>
      <c r="G163" s="1"/>
      <c r="H163" s="1"/>
      <c r="I163" s="3"/>
      <c r="J163" s="3">
        <f>INDEX(UnitCosts[],MATCH(Table3[[#This Row],[WORK TYPE]],UnitCosts[Work Type],0),2)*VLOOKUP(Table3[[#This Row],[DEVELOPMENT]],Data[],MATCH(Table3[[#This Row],[WORK TYPE]],Data[#Headers],0),FALSE)</f>
        <v>438851.6</v>
      </c>
      <c r="K163" s="1"/>
    </row>
    <row r="164" spans="1:11">
      <c r="A164" s="1" t="str">
        <f>VLOOKUP(C164,Data[],2,FALSE)</f>
        <v>MANHATTAN</v>
      </c>
      <c r="B164" s="1"/>
      <c r="C164" s="1" t="s">
        <v>78</v>
      </c>
      <c r="D164" s="9" t="s">
        <v>2229</v>
      </c>
      <c r="E164" s="9" t="s">
        <v>151</v>
      </c>
      <c r="F164" s="1"/>
      <c r="G164" s="1"/>
      <c r="H164" s="1"/>
      <c r="I164" s="3"/>
      <c r="J164" s="3">
        <f>INDEX(UnitCosts[],MATCH(Table3[[#This Row],[WORK TYPE]],UnitCosts[Work Type],0),2)*VLOOKUP(Table3[[#This Row],[DEVELOPMENT]],Data[],MATCH(Table3[[#This Row],[WORK TYPE]],Data[#Headers],0),FALSE)</f>
        <v>438851.6</v>
      </c>
      <c r="K164" s="1"/>
    </row>
    <row r="165" spans="1:11">
      <c r="A165" s="1" t="str">
        <f>VLOOKUP(C165,Data[],2,FALSE)</f>
        <v>MANHATTAN</v>
      </c>
      <c r="B165" s="1"/>
      <c r="C165" s="1" t="s">
        <v>128</v>
      </c>
      <c r="D165" s="9" t="s">
        <v>2229</v>
      </c>
      <c r="E165" s="9" t="s">
        <v>151</v>
      </c>
      <c r="F165" s="1"/>
      <c r="G165" s="1"/>
      <c r="H165" s="1"/>
      <c r="I165" s="3"/>
      <c r="J165" s="3">
        <f>INDEX(UnitCosts[],MATCH(Table3[[#This Row],[WORK TYPE]],UnitCosts[Work Type],0),2)*VLOOKUP(Table3[[#This Row],[DEVELOPMENT]],Data[],MATCH(Table3[[#This Row],[WORK TYPE]],Data[#Headers],0),FALSE)</f>
        <v>438851.6</v>
      </c>
      <c r="K165" s="1"/>
    </row>
    <row r="166" spans="1:11">
      <c r="A166" s="1" t="str">
        <f>VLOOKUP(C166,Data[],2,FALSE)</f>
        <v>MANHATTAN</v>
      </c>
      <c r="B166" s="1"/>
      <c r="C166" s="1" t="s">
        <v>81</v>
      </c>
      <c r="D166" s="9" t="s">
        <v>2229</v>
      </c>
      <c r="E166" s="9" t="s">
        <v>151</v>
      </c>
      <c r="F166" s="1"/>
      <c r="G166" s="1"/>
      <c r="H166" s="1"/>
      <c r="I166" s="3"/>
      <c r="J166" s="3">
        <f>INDEX(UnitCosts[],MATCH(Table3[[#This Row],[WORK TYPE]],UnitCosts[Work Type],0),2)*VLOOKUP(Table3[[#This Row],[DEVELOPMENT]],Data[],MATCH(Table3[[#This Row],[WORK TYPE]],Data[#Headers],0),FALSE)</f>
        <v>438851.6</v>
      </c>
      <c r="K166" s="1"/>
    </row>
    <row r="167" spans="1:11">
      <c r="A167" s="1" t="str">
        <f>VLOOKUP(C167,Data[],2,FALSE)</f>
        <v>MANHATTAN</v>
      </c>
      <c r="B167" s="1"/>
      <c r="C167" s="1" t="s">
        <v>129</v>
      </c>
      <c r="D167" s="9" t="s">
        <v>2229</v>
      </c>
      <c r="E167" s="1" t="s">
        <v>150</v>
      </c>
      <c r="F167" s="1"/>
      <c r="G167" s="1"/>
      <c r="H167" s="1"/>
      <c r="I167" s="3"/>
      <c r="J167" s="3">
        <f>INDEX(UnitCosts[],MATCH(Table3[[#This Row],[WORK TYPE]],UnitCosts[Work Type],0),2)*VLOOKUP(Table3[[#This Row],[DEVELOPMENT]],Data[],MATCH(Table3[[#This Row],[WORK TYPE]],Data[#Headers],0),FALSE)</f>
        <v>13656</v>
      </c>
      <c r="K167" s="1"/>
    </row>
    <row r="168" spans="1:11">
      <c r="A168" s="1" t="str">
        <f>VLOOKUP(C168,Data[],2,FALSE)</f>
        <v>MANHATTAN</v>
      </c>
      <c r="B168" s="1"/>
      <c r="C168" s="1" t="s">
        <v>131</v>
      </c>
      <c r="D168" s="9" t="s">
        <v>2229</v>
      </c>
      <c r="E168" s="1" t="s">
        <v>150</v>
      </c>
      <c r="F168" s="1"/>
      <c r="G168" s="1"/>
      <c r="H168" s="1"/>
      <c r="I168" s="3"/>
      <c r="J168" s="3">
        <f>INDEX(UnitCosts[],MATCH(Table3[[#This Row],[WORK TYPE]],UnitCosts[Work Type],0),2)*VLOOKUP(Table3[[#This Row],[DEVELOPMENT]],Data[],MATCH(Table3[[#This Row],[WORK TYPE]],Data[#Headers],0),FALSE)</f>
        <v>13656</v>
      </c>
      <c r="K168" s="1"/>
    </row>
    <row r="169" spans="1:11">
      <c r="A169" s="1" t="str">
        <f>VLOOKUP(C169,Data[],2,FALSE)</f>
        <v>MANHATTAN</v>
      </c>
      <c r="B169" s="1"/>
      <c r="C169" s="1" t="s">
        <v>133</v>
      </c>
      <c r="D169" s="9" t="s">
        <v>2229</v>
      </c>
      <c r="E169" s="1" t="s">
        <v>150</v>
      </c>
      <c r="F169" s="1"/>
      <c r="G169" s="1"/>
      <c r="H169" s="1"/>
      <c r="I169" s="3"/>
      <c r="J169" s="3">
        <f>INDEX(UnitCosts[],MATCH(Table3[[#This Row],[WORK TYPE]],UnitCosts[Work Type],0),2)*VLOOKUP(Table3[[#This Row],[DEVELOPMENT]],Data[],MATCH(Table3[[#This Row],[WORK TYPE]],Data[#Headers],0),FALSE)</f>
        <v>13656</v>
      </c>
      <c r="K169" s="1"/>
    </row>
    <row r="170" spans="1:11">
      <c r="A170" s="1" t="str">
        <f>VLOOKUP(C170,Data[],2,FALSE)</f>
        <v>MANHATTAN</v>
      </c>
      <c r="B170" s="1"/>
      <c r="C170" s="1" t="s">
        <v>127</v>
      </c>
      <c r="D170" s="9" t="s">
        <v>2229</v>
      </c>
      <c r="E170" s="1" t="s">
        <v>150</v>
      </c>
      <c r="F170" s="1"/>
      <c r="G170" s="1"/>
      <c r="H170" s="1"/>
      <c r="I170" s="3"/>
      <c r="J170" s="3">
        <f>INDEX(UnitCosts[],MATCH(Table3[[#This Row],[WORK TYPE]],UnitCosts[Work Type],0),2)*VLOOKUP(Table3[[#This Row],[DEVELOPMENT]],Data[],MATCH(Table3[[#This Row],[WORK TYPE]],Data[#Headers],0),FALSE)</f>
        <v>13656</v>
      </c>
      <c r="K170" s="1"/>
    </row>
    <row r="171" spans="1:11">
      <c r="A171" s="1" t="str">
        <f>VLOOKUP(C171,Data[],2,FALSE)</f>
        <v>MANHATTAN</v>
      </c>
      <c r="B171" s="1"/>
      <c r="C171" s="1" t="s">
        <v>122</v>
      </c>
      <c r="D171" s="9" t="s">
        <v>2229</v>
      </c>
      <c r="E171" s="1" t="s">
        <v>150</v>
      </c>
      <c r="F171" s="1"/>
      <c r="G171" s="1"/>
      <c r="H171" s="1"/>
      <c r="I171" s="3"/>
      <c r="J171" s="3">
        <f>INDEX(UnitCosts[],MATCH(Table3[[#This Row],[WORK TYPE]],UnitCosts[Work Type],0),2)*VLOOKUP(Table3[[#This Row],[DEVELOPMENT]],Data[],MATCH(Table3[[#This Row],[WORK TYPE]],Data[#Headers],0),FALSE)</f>
        <v>13656</v>
      </c>
      <c r="K171" s="1"/>
    </row>
    <row r="172" spans="1:11">
      <c r="A172" s="1" t="str">
        <f>VLOOKUP(C172,Data[],2,FALSE)</f>
        <v>MANHATTAN</v>
      </c>
      <c r="B172" s="1"/>
      <c r="C172" s="1" t="s">
        <v>120</v>
      </c>
      <c r="D172" s="9" t="s">
        <v>2229</v>
      </c>
      <c r="E172" s="1" t="s">
        <v>150</v>
      </c>
      <c r="F172" s="1"/>
      <c r="G172" s="1"/>
      <c r="H172" s="1"/>
      <c r="I172" s="3"/>
      <c r="J172" s="3">
        <f>INDEX(UnitCosts[],MATCH(Table3[[#This Row],[WORK TYPE]],UnitCosts[Work Type],0),2)*VLOOKUP(Table3[[#This Row],[DEVELOPMENT]],Data[],MATCH(Table3[[#This Row],[WORK TYPE]],Data[#Headers],0),FALSE)</f>
        <v>13656</v>
      </c>
      <c r="K172" s="1"/>
    </row>
    <row r="173" spans="1:11">
      <c r="A173" s="1" t="str">
        <f>VLOOKUP(C173,Data[],2,FALSE)</f>
        <v>MANHATTAN</v>
      </c>
      <c r="B173" s="1"/>
      <c r="C173" s="1" t="s">
        <v>113</v>
      </c>
      <c r="D173" s="9" t="s">
        <v>2229</v>
      </c>
      <c r="E173" s="1" t="s">
        <v>150</v>
      </c>
      <c r="F173" s="1"/>
      <c r="G173" s="1"/>
      <c r="H173" s="1"/>
      <c r="I173" s="3"/>
      <c r="J173" s="3">
        <f>INDEX(UnitCosts[],MATCH(Table3[[#This Row],[WORK TYPE]],UnitCosts[Work Type],0),2)*VLOOKUP(Table3[[#This Row],[DEVELOPMENT]],Data[],MATCH(Table3[[#This Row],[WORK TYPE]],Data[#Headers],0),FALSE)</f>
        <v>13656</v>
      </c>
      <c r="K173" s="1"/>
    </row>
    <row r="174" spans="1:11">
      <c r="A174" s="1" t="str">
        <f>VLOOKUP(C174,Data[],2,FALSE)</f>
        <v>MANHATTAN</v>
      </c>
      <c r="B174" s="1"/>
      <c r="C174" s="1" t="s">
        <v>115</v>
      </c>
      <c r="D174" s="9" t="s">
        <v>2229</v>
      </c>
      <c r="E174" s="1" t="s">
        <v>150</v>
      </c>
      <c r="F174" s="1"/>
      <c r="G174" s="1"/>
      <c r="H174" s="1"/>
      <c r="I174" s="3"/>
      <c r="J174" s="3">
        <f>INDEX(UnitCosts[],MATCH(Table3[[#This Row],[WORK TYPE]],UnitCosts[Work Type],0),2)*VLOOKUP(Table3[[#This Row],[DEVELOPMENT]],Data[],MATCH(Table3[[#This Row],[WORK TYPE]],Data[#Headers],0),FALSE)</f>
        <v>13656</v>
      </c>
      <c r="K174" s="1"/>
    </row>
    <row r="175" spans="1:11">
      <c r="A175" s="1" t="str">
        <f>VLOOKUP(C175,Data[],2,FALSE)</f>
        <v>MANHATTAN</v>
      </c>
      <c r="B175" s="1"/>
      <c r="C175" s="1" t="s">
        <v>112</v>
      </c>
      <c r="D175" s="9" t="s">
        <v>2229</v>
      </c>
      <c r="E175" s="1" t="s">
        <v>150</v>
      </c>
      <c r="F175" s="1"/>
      <c r="G175" s="1"/>
      <c r="H175" s="1"/>
      <c r="I175" s="3"/>
      <c r="J175" s="3">
        <f>INDEX(UnitCosts[],MATCH(Table3[[#This Row],[WORK TYPE]],UnitCosts[Work Type],0),2)*VLOOKUP(Table3[[#This Row],[DEVELOPMENT]],Data[],MATCH(Table3[[#This Row],[WORK TYPE]],Data[#Headers],0),FALSE)</f>
        <v>13656</v>
      </c>
      <c r="K175" s="1"/>
    </row>
    <row r="176" spans="1:11">
      <c r="A176" s="1" t="str">
        <f>VLOOKUP(C176,Data[],2,FALSE)</f>
        <v>MANHATTAN</v>
      </c>
      <c r="B176" s="1"/>
      <c r="C176" s="1" t="s">
        <v>77</v>
      </c>
      <c r="D176" s="9" t="s">
        <v>2229</v>
      </c>
      <c r="E176" s="1" t="s">
        <v>150</v>
      </c>
      <c r="F176" s="1"/>
      <c r="G176" s="1"/>
      <c r="H176" s="1"/>
      <c r="I176" s="3"/>
      <c r="J176" s="3">
        <f>INDEX(UnitCosts[],MATCH(Table3[[#This Row],[WORK TYPE]],UnitCosts[Work Type],0),2)*VLOOKUP(Table3[[#This Row],[DEVELOPMENT]],Data[],MATCH(Table3[[#This Row],[WORK TYPE]],Data[#Headers],0),FALSE)</f>
        <v>13656</v>
      </c>
      <c r="K176" s="1"/>
    </row>
    <row r="177" spans="1:11">
      <c r="A177" s="1" t="str">
        <f>VLOOKUP(C177,Data[],2,FALSE)</f>
        <v>MANHATTAN</v>
      </c>
      <c r="B177" s="1"/>
      <c r="C177" s="1" t="s">
        <v>83</v>
      </c>
      <c r="D177" s="9" t="s">
        <v>2229</v>
      </c>
      <c r="E177" s="1" t="s">
        <v>150</v>
      </c>
      <c r="F177" s="1"/>
      <c r="G177" s="1"/>
      <c r="H177" s="1"/>
      <c r="I177" s="3"/>
      <c r="J177" s="3">
        <f>INDEX(UnitCosts[],MATCH(Table3[[#This Row],[WORK TYPE]],UnitCosts[Work Type],0),2)*VLOOKUP(Table3[[#This Row],[DEVELOPMENT]],Data[],MATCH(Table3[[#This Row],[WORK TYPE]],Data[#Headers],0),FALSE)</f>
        <v>13656</v>
      </c>
      <c r="K177" s="1"/>
    </row>
    <row r="178" spans="1:11">
      <c r="A178" s="1" t="str">
        <f>VLOOKUP(C178,Data[],2,FALSE)</f>
        <v>MANHATTAN</v>
      </c>
      <c r="B178" s="1"/>
      <c r="C178" s="1" t="s">
        <v>136</v>
      </c>
      <c r="D178" s="9" t="s">
        <v>2229</v>
      </c>
      <c r="E178" s="1" t="s">
        <v>150</v>
      </c>
      <c r="F178" s="1"/>
      <c r="G178" s="1"/>
      <c r="H178" s="1"/>
      <c r="I178" s="3"/>
      <c r="J178" s="3">
        <f>INDEX(UnitCosts[],MATCH(Table3[[#This Row],[WORK TYPE]],UnitCosts[Work Type],0),2)*VLOOKUP(Table3[[#This Row],[DEVELOPMENT]],Data[],MATCH(Table3[[#This Row],[WORK TYPE]],Data[#Headers],0),FALSE)</f>
        <v>13656</v>
      </c>
      <c r="K178" s="1"/>
    </row>
    <row r="179" spans="1:11">
      <c r="A179" s="1" t="str">
        <f>VLOOKUP(C179,Data[],2,FALSE)</f>
        <v>MANHATTAN</v>
      </c>
      <c r="B179" s="1"/>
      <c r="C179" s="1" t="s">
        <v>78</v>
      </c>
      <c r="D179" s="9" t="s">
        <v>2229</v>
      </c>
      <c r="E179" s="1" t="s">
        <v>150</v>
      </c>
      <c r="F179" s="1"/>
      <c r="G179" s="1"/>
      <c r="H179" s="1"/>
      <c r="I179" s="3"/>
      <c r="J179" s="3">
        <f>INDEX(UnitCosts[],MATCH(Table3[[#This Row],[WORK TYPE]],UnitCosts[Work Type],0),2)*VLOOKUP(Table3[[#This Row],[DEVELOPMENT]],Data[],MATCH(Table3[[#This Row],[WORK TYPE]],Data[#Headers],0),FALSE)</f>
        <v>13656</v>
      </c>
      <c r="K179" s="1"/>
    </row>
    <row r="180" spans="1:11">
      <c r="A180" s="1" t="str">
        <f>VLOOKUP(C180,Data[],2,FALSE)</f>
        <v>MANHATTAN</v>
      </c>
      <c r="B180" s="1"/>
      <c r="C180" s="1" t="s">
        <v>128</v>
      </c>
      <c r="D180" s="9" t="s">
        <v>2229</v>
      </c>
      <c r="E180" s="1" t="s">
        <v>150</v>
      </c>
      <c r="F180" s="1"/>
      <c r="G180" s="1"/>
      <c r="H180" s="1"/>
      <c r="I180" s="3"/>
      <c r="J180" s="3">
        <f>INDEX(UnitCosts[],MATCH(Table3[[#This Row],[WORK TYPE]],UnitCosts[Work Type],0),2)*VLOOKUP(Table3[[#This Row],[DEVELOPMENT]],Data[],MATCH(Table3[[#This Row],[WORK TYPE]],Data[#Headers],0),FALSE)</f>
        <v>13656</v>
      </c>
      <c r="K180" s="1"/>
    </row>
    <row r="181" spans="1:11">
      <c r="A181" s="1" t="str">
        <f>VLOOKUP(C181,Data[],2,FALSE)</f>
        <v>MANHATTAN</v>
      </c>
      <c r="B181" s="1"/>
      <c r="C181" s="1" t="s">
        <v>90</v>
      </c>
      <c r="D181" s="9" t="s">
        <v>2229</v>
      </c>
      <c r="E181" s="1" t="s">
        <v>150</v>
      </c>
      <c r="F181" s="1"/>
      <c r="G181" s="1"/>
      <c r="H181" s="1"/>
      <c r="I181" s="3"/>
      <c r="J181" s="3">
        <f>INDEX(UnitCosts[],MATCH(Table3[[#This Row],[WORK TYPE]],UnitCosts[Work Type],0),2)*VLOOKUP(Table3[[#This Row],[DEVELOPMENT]],Data[],MATCH(Table3[[#This Row],[WORK TYPE]],Data[#Headers],0),FALSE)</f>
        <v>13656</v>
      </c>
      <c r="K181" s="1"/>
    </row>
    <row r="182" spans="1:11">
      <c r="A182" s="1" t="str">
        <f>VLOOKUP(C182,Data[],2,FALSE)</f>
        <v>MANHATTAN</v>
      </c>
      <c r="B182" s="1"/>
      <c r="C182" s="1" t="s">
        <v>81</v>
      </c>
      <c r="D182" s="9" t="s">
        <v>2229</v>
      </c>
      <c r="E182" s="1" t="s">
        <v>150</v>
      </c>
      <c r="F182" s="1"/>
      <c r="G182" s="1"/>
      <c r="H182" s="1"/>
      <c r="I182" s="3"/>
      <c r="J182" s="3">
        <f>INDEX(UnitCosts[],MATCH(Table3[[#This Row],[WORK TYPE]],UnitCosts[Work Type],0),2)*VLOOKUP(Table3[[#This Row],[DEVELOPMENT]],Data[],MATCH(Table3[[#This Row],[WORK TYPE]],Data[#Headers],0),FALSE)</f>
        <v>13656</v>
      </c>
      <c r="K182" s="1"/>
    </row>
    <row r="183" spans="1:11">
      <c r="A183" s="1" t="str">
        <f>VLOOKUP(C183,Data[],2,FALSE)</f>
        <v>MANHATTAN</v>
      </c>
      <c r="B183" s="1"/>
      <c r="C183" s="1" t="s">
        <v>131</v>
      </c>
      <c r="D183" s="9" t="s">
        <v>2229</v>
      </c>
      <c r="E183" s="1" t="s">
        <v>141</v>
      </c>
      <c r="F183" s="1"/>
      <c r="G183" s="1"/>
      <c r="H183" s="1"/>
      <c r="I183" s="3"/>
      <c r="J183" s="3">
        <f>INDEX(UnitCosts[],MATCH(Table3[[#This Row],[WORK TYPE]],UnitCosts[Work Type],0),2)*VLOOKUP(Table3[[#This Row],[DEVELOPMENT]],Data[],MATCH(Table3[[#This Row],[WORK TYPE]],Data[#Headers],0),FALSE)</f>
        <v>37000</v>
      </c>
      <c r="K183" s="1"/>
    </row>
    <row r="184" spans="1:11">
      <c r="A184" s="1" t="str">
        <f>VLOOKUP(C184,Data[],2,FALSE)</f>
        <v>MANHATTAN</v>
      </c>
      <c r="B184" s="1"/>
      <c r="C184" s="1" t="s">
        <v>127</v>
      </c>
      <c r="D184" s="9" t="s">
        <v>2229</v>
      </c>
      <c r="E184" s="1" t="s">
        <v>141</v>
      </c>
      <c r="F184" s="1"/>
      <c r="G184" s="1"/>
      <c r="H184" s="1"/>
      <c r="I184" s="3"/>
      <c r="J184" s="3">
        <f>INDEX(UnitCosts[],MATCH(Table3[[#This Row],[WORK TYPE]],UnitCosts[Work Type],0),2)*VLOOKUP(Table3[[#This Row],[DEVELOPMENT]],Data[],MATCH(Table3[[#This Row],[WORK TYPE]],Data[#Headers],0),FALSE)</f>
        <v>37000</v>
      </c>
      <c r="K184" s="1"/>
    </row>
    <row r="185" spans="1:11">
      <c r="A185" s="1" t="str">
        <f>VLOOKUP(C185,Data[],2,FALSE)</f>
        <v>MANHATTAN</v>
      </c>
      <c r="B185" s="1"/>
      <c r="C185" s="1" t="s">
        <v>120</v>
      </c>
      <c r="D185" s="9" t="s">
        <v>2229</v>
      </c>
      <c r="E185" s="1" t="s">
        <v>141</v>
      </c>
      <c r="F185" s="1"/>
      <c r="G185" s="1"/>
      <c r="H185" s="1"/>
      <c r="I185" s="3"/>
      <c r="J185" s="3">
        <f>INDEX(UnitCosts[],MATCH(Table3[[#This Row],[WORK TYPE]],UnitCosts[Work Type],0),2)*VLOOKUP(Table3[[#This Row],[DEVELOPMENT]],Data[],MATCH(Table3[[#This Row],[WORK TYPE]],Data[#Headers],0),FALSE)</f>
        <v>37000</v>
      </c>
      <c r="K185" s="1"/>
    </row>
    <row r="186" spans="1:11">
      <c r="A186" s="1" t="str">
        <f>VLOOKUP(C186,Data[],2,FALSE)</f>
        <v>MANHATTAN</v>
      </c>
      <c r="B186" s="1"/>
      <c r="C186" s="1" t="s">
        <v>113</v>
      </c>
      <c r="D186" s="9" t="s">
        <v>2229</v>
      </c>
      <c r="E186" s="1" t="s">
        <v>141</v>
      </c>
      <c r="F186" s="1"/>
      <c r="G186" s="1"/>
      <c r="H186" s="1"/>
      <c r="I186" s="3"/>
      <c r="J186" s="3">
        <f>INDEX(UnitCosts[],MATCH(Table3[[#This Row],[WORK TYPE]],UnitCosts[Work Type],0),2)*VLOOKUP(Table3[[#This Row],[DEVELOPMENT]],Data[],MATCH(Table3[[#This Row],[WORK TYPE]],Data[#Headers],0),FALSE)</f>
        <v>37000</v>
      </c>
      <c r="K186" s="1"/>
    </row>
    <row r="187" spans="1:11">
      <c r="A187" s="1" t="str">
        <f>VLOOKUP(C187,Data[],2,FALSE)</f>
        <v>MANHATTAN</v>
      </c>
      <c r="B187" s="1"/>
      <c r="C187" s="1" t="s">
        <v>115</v>
      </c>
      <c r="D187" s="9" t="s">
        <v>2229</v>
      </c>
      <c r="E187" s="1" t="s">
        <v>141</v>
      </c>
      <c r="F187" s="1"/>
      <c r="G187" s="1"/>
      <c r="H187" s="1"/>
      <c r="I187" s="3"/>
      <c r="J187" s="3">
        <f>INDEX(UnitCosts[],MATCH(Table3[[#This Row],[WORK TYPE]],UnitCosts[Work Type],0),2)*VLOOKUP(Table3[[#This Row],[DEVELOPMENT]],Data[],MATCH(Table3[[#This Row],[WORK TYPE]],Data[#Headers],0),FALSE)</f>
        <v>37000</v>
      </c>
      <c r="K187" s="1"/>
    </row>
    <row r="188" spans="1:11">
      <c r="A188" s="1" t="str">
        <f>VLOOKUP(C188,Data[],2,FALSE)</f>
        <v>MANHATTAN</v>
      </c>
      <c r="B188" s="1"/>
      <c r="C188" s="1" t="s">
        <v>112</v>
      </c>
      <c r="D188" s="9" t="s">
        <v>2229</v>
      </c>
      <c r="E188" s="1" t="s">
        <v>141</v>
      </c>
      <c r="F188" s="1"/>
      <c r="G188" s="1"/>
      <c r="H188" s="1"/>
      <c r="I188" s="3"/>
      <c r="J188" s="3">
        <f>INDEX(UnitCosts[],MATCH(Table3[[#This Row],[WORK TYPE]],UnitCosts[Work Type],0),2)*VLOOKUP(Table3[[#This Row],[DEVELOPMENT]],Data[],MATCH(Table3[[#This Row],[WORK TYPE]],Data[#Headers],0),FALSE)</f>
        <v>37000</v>
      </c>
      <c r="K188" s="1"/>
    </row>
    <row r="189" spans="1:11">
      <c r="A189" s="1" t="str">
        <f>VLOOKUP(C189,Data[],2,FALSE)</f>
        <v>MANHATTAN</v>
      </c>
      <c r="B189" s="1"/>
      <c r="C189" s="1" t="s">
        <v>83</v>
      </c>
      <c r="D189" s="9" t="s">
        <v>2229</v>
      </c>
      <c r="E189" s="1" t="s">
        <v>141</v>
      </c>
      <c r="F189" s="1"/>
      <c r="G189" s="1"/>
      <c r="H189" s="1"/>
      <c r="I189" s="3"/>
      <c r="J189" s="3">
        <f>INDEX(UnitCosts[],MATCH(Table3[[#This Row],[WORK TYPE]],UnitCosts[Work Type],0),2)*VLOOKUP(Table3[[#This Row],[DEVELOPMENT]],Data[],MATCH(Table3[[#This Row],[WORK TYPE]],Data[#Headers],0),FALSE)</f>
        <v>37000</v>
      </c>
      <c r="K189" s="1"/>
    </row>
    <row r="190" spans="1:11">
      <c r="A190" s="1" t="str">
        <f>VLOOKUP(C190,Data[],2,FALSE)</f>
        <v>MANHATTAN</v>
      </c>
      <c r="B190" s="1"/>
      <c r="C190" s="1" t="s">
        <v>136</v>
      </c>
      <c r="D190" s="9" t="s">
        <v>2229</v>
      </c>
      <c r="E190" s="1" t="s">
        <v>141</v>
      </c>
      <c r="F190" s="1"/>
      <c r="G190" s="1"/>
      <c r="H190" s="1"/>
      <c r="I190" s="3"/>
      <c r="J190" s="3">
        <f>INDEX(UnitCosts[],MATCH(Table3[[#This Row],[WORK TYPE]],UnitCosts[Work Type],0),2)*VLOOKUP(Table3[[#This Row],[DEVELOPMENT]],Data[],MATCH(Table3[[#This Row],[WORK TYPE]],Data[#Headers],0),FALSE)</f>
        <v>37000</v>
      </c>
      <c r="K190" s="1"/>
    </row>
    <row r="191" spans="1:11">
      <c r="A191" s="1" t="str">
        <f>VLOOKUP(C191,Data[],2,FALSE)</f>
        <v>MANHATTAN</v>
      </c>
      <c r="B191" s="1"/>
      <c r="C191" s="1" t="s">
        <v>78</v>
      </c>
      <c r="D191" s="9" t="s">
        <v>2229</v>
      </c>
      <c r="E191" s="1" t="s">
        <v>141</v>
      </c>
      <c r="F191" s="1"/>
      <c r="G191" s="1"/>
      <c r="H191" s="1"/>
      <c r="I191" s="3"/>
      <c r="J191" s="3">
        <f>INDEX(UnitCosts[],MATCH(Table3[[#This Row],[WORK TYPE]],UnitCosts[Work Type],0),2)*VLOOKUP(Table3[[#This Row],[DEVELOPMENT]],Data[],MATCH(Table3[[#This Row],[WORK TYPE]],Data[#Headers],0),FALSE)</f>
        <v>37000</v>
      </c>
      <c r="K191" s="1"/>
    </row>
    <row r="192" spans="1:11">
      <c r="A192" s="1" t="str">
        <f>VLOOKUP(C192,Data[],2,FALSE)</f>
        <v>MANHATTAN</v>
      </c>
      <c r="B192" s="1"/>
      <c r="C192" s="1" t="s">
        <v>128</v>
      </c>
      <c r="D192" s="9" t="s">
        <v>2229</v>
      </c>
      <c r="E192" s="1" t="s">
        <v>141</v>
      </c>
      <c r="F192" s="1"/>
      <c r="G192" s="1"/>
      <c r="H192" s="1"/>
      <c r="I192" s="3"/>
      <c r="J192" s="3">
        <f>INDEX(UnitCosts[],MATCH(Table3[[#This Row],[WORK TYPE]],UnitCosts[Work Type],0),2)*VLOOKUP(Table3[[#This Row],[DEVELOPMENT]],Data[],MATCH(Table3[[#This Row],[WORK TYPE]],Data[#Headers],0),FALSE)</f>
        <v>37000</v>
      </c>
      <c r="K192" s="1"/>
    </row>
    <row r="193" spans="1:11">
      <c r="A193" s="1" t="str">
        <f>VLOOKUP(C193,Data[],2,FALSE)</f>
        <v>MANHATTAN</v>
      </c>
      <c r="B193" s="1"/>
      <c r="C193" s="1" t="s">
        <v>81</v>
      </c>
      <c r="D193" s="9" t="s">
        <v>2229</v>
      </c>
      <c r="E193" s="1" t="s">
        <v>141</v>
      </c>
      <c r="F193" s="1"/>
      <c r="G193" s="1"/>
      <c r="H193" s="1"/>
      <c r="I193" s="3"/>
      <c r="J193" s="3">
        <f>INDEX(UnitCosts[],MATCH(Table3[[#This Row],[WORK TYPE]],UnitCosts[Work Type],0),2)*VLOOKUP(Table3[[#This Row],[DEVELOPMENT]],Data[],MATCH(Table3[[#This Row],[WORK TYPE]],Data[#Headers],0),FALSE)</f>
        <v>37000</v>
      </c>
      <c r="K193" s="1"/>
    </row>
  </sheetData>
  <conditionalFormatting sqref="M37:N65">
    <cfRule type="containsErrors" dxfId="312" priority="6">
      <formula>ISERROR(M37)</formula>
    </cfRule>
  </conditionalFormatting>
  <conditionalFormatting sqref="N110:P138">
    <cfRule type="containsErrors" dxfId="311" priority="3">
      <formula>ISERROR(N110)</formula>
    </cfRule>
  </conditionalFormatting>
  <conditionalFormatting sqref="N109:P109">
    <cfRule type="containsErrors" dxfId="310" priority="4">
      <formula>ISERROR(N109)</formula>
    </cfRule>
  </conditionalFormatting>
  <conditionalFormatting sqref="A4:K193">
    <cfRule type="containsErrors" dxfId="309" priority="1">
      <formula>ISERROR(A4)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"/>
  <dimension ref="A1:G157"/>
  <sheetViews>
    <sheetView workbookViewId="0">
      <selection activeCell="B15" sqref="B15"/>
    </sheetView>
  </sheetViews>
  <sheetFormatPr defaultColWidth="8.7109375" defaultRowHeight="14.45"/>
  <cols>
    <col min="1" max="1" width="43.5703125" bestFit="1" customWidth="1"/>
    <col min="2" max="2" width="14.140625" bestFit="1" customWidth="1"/>
    <col min="3" max="3" width="17.28515625" bestFit="1" customWidth="1"/>
    <col min="6" max="6" width="9.28515625" bestFit="1" customWidth="1"/>
    <col min="7" max="7" width="16.28515625" bestFit="1" customWidth="1"/>
  </cols>
  <sheetData>
    <row r="1" spans="1:7">
      <c r="F1" s="56" t="s">
        <v>2230</v>
      </c>
      <c r="G1" s="23" t="e">
        <f>GETPIVOTDATA("Sum of COST",$A$3)+GETPIVOTDATA("Sum of ESTIMATES",$A$3)</f>
        <v>#N/A</v>
      </c>
    </row>
    <row r="2" spans="1:7">
      <c r="F2" s="1">
        <v>2019</v>
      </c>
      <c r="G2" s="3">
        <f>GETPIVOTDATA("Sum of COST",$A$3,"CALENDAR YEAR",2019)+GETPIVOTDATA("Sum of ESTIMATES",$A$3,"CALENDAR YEAR",2019)</f>
        <v>3175752.5500000003</v>
      </c>
    </row>
    <row r="3" spans="1:7">
      <c r="A3" s="18" t="s">
        <v>2231</v>
      </c>
      <c r="B3" t="s">
        <v>2232</v>
      </c>
      <c r="C3" t="s">
        <v>2233</v>
      </c>
      <c r="F3" s="1">
        <v>2020</v>
      </c>
      <c r="G3" s="3" t="e">
        <f>GETPIVOTDATA("Sum of COST",$A$3,"CALENDAR YEAR",2020)+GETPIVOTDATA("Sum of ESTIMATES",$A$3,"CALENDAR YEAR",2020)</f>
        <v>#N/A</v>
      </c>
    </row>
    <row r="4" spans="1:7">
      <c r="A4" s="19">
        <v>2019</v>
      </c>
      <c r="B4" s="22">
        <v>3175752.5500000003</v>
      </c>
      <c r="C4" s="22"/>
      <c r="F4" s="1">
        <v>2021</v>
      </c>
      <c r="G4" s="3" t="e">
        <f>GETPIVOTDATA("Sum of COST",$A$3,"CALENDAR YEAR",2021)+GETPIVOTDATA("Sum of ESTIMATES",$A$3,"CALENDAR YEAR",2021)</f>
        <v>#N/A</v>
      </c>
    </row>
    <row r="5" spans="1:7">
      <c r="A5" s="21" t="s">
        <v>27</v>
      </c>
      <c r="B5" s="22">
        <v>1472248.8000000003</v>
      </c>
      <c r="C5" s="22"/>
      <c r="F5" s="1">
        <v>2022</v>
      </c>
      <c r="G5" s="3" t="e">
        <f>GETPIVOTDATA("Sum of COST",$A$3,"CALENDAR YEAR",2022)+GETPIVOTDATA("Sum of ESTIMATES",$A$3,"CALENDAR YEAR",2022)</f>
        <v>#N/A</v>
      </c>
    </row>
    <row r="6" spans="1:7">
      <c r="A6" s="55" t="s">
        <v>26</v>
      </c>
      <c r="B6" s="22">
        <v>44243.94</v>
      </c>
      <c r="C6" s="22"/>
      <c r="F6" s="1">
        <v>2023</v>
      </c>
      <c r="G6" s="3" t="e">
        <f>GETPIVOTDATA("Sum of COST",$A$3,"CALENDAR YEAR",2023)+GETPIVOTDATA("Sum of ESTIMATES",$A$3,"CALENDAR YEAR",2023)</f>
        <v>#N/A</v>
      </c>
    </row>
    <row r="7" spans="1:7">
      <c r="A7" s="55" t="s">
        <v>31</v>
      </c>
      <c r="B7" s="22">
        <v>44613.861000000004</v>
      </c>
      <c r="C7" s="22"/>
      <c r="F7" s="1">
        <v>2024</v>
      </c>
      <c r="G7" s="3" t="e">
        <f>GETPIVOTDATA("Sum of COST",$A$3,"CALENDAR YEAR",2024)+GETPIVOTDATA("Sum of ESTIMATES",$A$3,"CALENDAR YEAR",2024)</f>
        <v>#N/A</v>
      </c>
    </row>
    <row r="8" spans="1:7">
      <c r="A8" s="55" t="s">
        <v>32</v>
      </c>
      <c r="B8" s="22">
        <v>59485.148000000001</v>
      </c>
      <c r="C8" s="22"/>
      <c r="F8" s="1">
        <v>2025</v>
      </c>
      <c r="G8" s="3" t="e">
        <f>GETPIVOTDATA("Sum of COST",$A$3,"CALENDAR YEAR",2025)+GETPIVOTDATA("Sum of ESTIMATES",$A$3,"CALENDAR YEAR",2025)</f>
        <v>#N/A</v>
      </c>
    </row>
    <row r="9" spans="1:7">
      <c r="A9" s="55" t="s">
        <v>34</v>
      </c>
      <c r="B9" s="22">
        <v>66920.791500000007</v>
      </c>
      <c r="C9" s="22"/>
      <c r="F9" s="1">
        <v>2026</v>
      </c>
      <c r="G9" s="3" t="e">
        <f>GETPIVOTDATA("Sum of COST",$A$3,"CALENDAR YEAR",2026)+GETPIVOTDATA("Sum of ESTIMATES",$A$3,"CALENDAR YEAR",2026)</f>
        <v>#REF!</v>
      </c>
    </row>
    <row r="10" spans="1:7">
      <c r="A10" s="55" t="s">
        <v>35</v>
      </c>
      <c r="B10" s="22">
        <v>52049.504500000003</v>
      </c>
      <c r="C10" s="22"/>
      <c r="F10" s="1">
        <v>2027</v>
      </c>
      <c r="G10" s="3" t="e">
        <f>GETPIVOTDATA("Sum of COST",$A$3,"CALENDAR YEAR",2027)+GETPIVOTDATA("Sum of ESTIMATES",$A$3,"CALENDAR YEAR",2027)</f>
        <v>#REF!</v>
      </c>
    </row>
    <row r="11" spans="1:7">
      <c r="A11" s="55" t="s">
        <v>36</v>
      </c>
      <c r="B11" s="22">
        <v>56519.89</v>
      </c>
      <c r="C11" s="22"/>
      <c r="F11" s="1">
        <v>2028</v>
      </c>
      <c r="G11" s="3" t="e">
        <f>GETPIVOTDATA("Sum of COST",$A$3,"CALENDAR YEAR",2028)+GETPIVOTDATA("Sum of ESTIMATES",$A$3,"CALENDAR YEAR",2028)</f>
        <v>#REF!</v>
      </c>
    </row>
    <row r="12" spans="1:7">
      <c r="A12" s="55" t="s">
        <v>37</v>
      </c>
      <c r="B12" s="22">
        <v>52049.504500000003</v>
      </c>
      <c r="C12" s="22"/>
      <c r="F12" s="1">
        <v>2029</v>
      </c>
      <c r="G12" s="3" t="e">
        <f>GETPIVOTDATA("Sum of COST",$A$3,"CALENDAR YEAR",2029)+GETPIVOTDATA("Sum of ESTIMATES",$A$3,"CALENDAR YEAR",2029)</f>
        <v>#REF!</v>
      </c>
    </row>
    <row r="13" spans="1:7">
      <c r="A13" s="55" t="s">
        <v>38</v>
      </c>
      <c r="B13" s="22">
        <v>520495.04499999998</v>
      </c>
      <c r="C13" s="22"/>
      <c r="F13" s="1">
        <v>2030</v>
      </c>
      <c r="G13" s="3" t="e">
        <f>GETPIVOTDATA("Sum of COST",$A$3,"CALENDAR YEAR",2030)+GETPIVOTDATA("Sum of ESTIMATES",$A$3,"CALENDAR YEAR",2030)</f>
        <v>#REF!</v>
      </c>
    </row>
    <row r="14" spans="1:7">
      <c r="A14" s="55" t="s">
        <v>39</v>
      </c>
      <c r="B14" s="22">
        <v>59485.148000000001</v>
      </c>
      <c r="C14" s="22"/>
    </row>
    <row r="15" spans="1:7">
      <c r="A15" s="55" t="s">
        <v>40</v>
      </c>
      <c r="B15" s="22">
        <v>66920.791500000007</v>
      </c>
      <c r="C15" s="22"/>
    </row>
    <row r="16" spans="1:7">
      <c r="A16" s="55" t="s">
        <v>41</v>
      </c>
      <c r="B16" s="22">
        <v>37178.217499999999</v>
      </c>
      <c r="C16" s="22"/>
    </row>
    <row r="17" spans="1:3">
      <c r="A17" s="55" t="s">
        <v>42</v>
      </c>
      <c r="B17" s="22">
        <v>44613.861000000004</v>
      </c>
      <c r="C17" s="22"/>
    </row>
    <row r="18" spans="1:3">
      <c r="A18" s="55" t="s">
        <v>43</v>
      </c>
      <c r="B18" s="22">
        <v>32007.26</v>
      </c>
      <c r="C18" s="22"/>
    </row>
    <row r="19" spans="1:3">
      <c r="A19" s="55" t="s">
        <v>44</v>
      </c>
      <c r="B19" s="22">
        <v>74933.740000000005</v>
      </c>
      <c r="C19" s="22"/>
    </row>
    <row r="20" spans="1:3">
      <c r="A20" s="55" t="s">
        <v>45</v>
      </c>
      <c r="B20" s="22">
        <v>148620.14000000001</v>
      </c>
      <c r="C20" s="22"/>
    </row>
    <row r="21" spans="1:3">
      <c r="A21" s="55" t="s">
        <v>46</v>
      </c>
      <c r="B21" s="22">
        <v>74933.740000000005</v>
      </c>
      <c r="C21" s="22"/>
    </row>
    <row r="22" spans="1:3">
      <c r="A22" s="55" t="s">
        <v>47</v>
      </c>
      <c r="B22" s="22">
        <v>37178.217499999999</v>
      </c>
      <c r="C22" s="22"/>
    </row>
    <row r="23" spans="1:3">
      <c r="A23" s="21" t="s">
        <v>49</v>
      </c>
      <c r="B23" s="22">
        <v>1703503.75</v>
      </c>
      <c r="C23" s="22"/>
    </row>
    <row r="24" spans="1:3">
      <c r="A24" s="55" t="s">
        <v>48</v>
      </c>
      <c r="B24" s="22">
        <v>607266.5199999999</v>
      </c>
      <c r="C24" s="22"/>
    </row>
    <row r="25" spans="1:3">
      <c r="A25" s="55" t="s">
        <v>50</v>
      </c>
      <c r="B25" s="22">
        <v>534717.81000000006</v>
      </c>
      <c r="C25" s="22"/>
    </row>
    <row r="26" spans="1:3">
      <c r="A26" s="55" t="s">
        <v>51</v>
      </c>
      <c r="B26" s="22">
        <v>561519.42000000004</v>
      </c>
      <c r="C26" s="22"/>
    </row>
    <row r="27" spans="1:3">
      <c r="A27" s="19">
        <v>2020</v>
      </c>
      <c r="B27" s="22"/>
      <c r="C27" s="22" t="e">
        <v>#N/A</v>
      </c>
    </row>
    <row r="28" spans="1:3">
      <c r="A28" s="21" t="s">
        <v>52</v>
      </c>
      <c r="B28" s="22"/>
      <c r="C28" s="22" t="e">
        <v>#N/A</v>
      </c>
    </row>
    <row r="29" spans="1:3">
      <c r="A29" s="55" t="s">
        <v>36</v>
      </c>
      <c r="B29" s="22"/>
      <c r="C29" s="22" t="e">
        <v>#N/A</v>
      </c>
    </row>
    <row r="30" spans="1:3">
      <c r="A30" s="55" t="s">
        <v>55</v>
      </c>
      <c r="B30" s="22"/>
      <c r="C30" s="22" t="e">
        <v>#N/A</v>
      </c>
    </row>
    <row r="31" spans="1:3">
      <c r="A31" s="55" t="s">
        <v>56</v>
      </c>
      <c r="B31" s="22"/>
      <c r="C31" s="22" t="e">
        <v>#N/A</v>
      </c>
    </row>
    <row r="32" spans="1:3">
      <c r="A32" s="21" t="s">
        <v>27</v>
      </c>
      <c r="B32" s="22"/>
      <c r="C32" s="22" t="e">
        <v>#N/A</v>
      </c>
    </row>
    <row r="33" spans="1:3">
      <c r="A33" s="55" t="s">
        <v>57</v>
      </c>
      <c r="B33" s="22"/>
      <c r="C33" s="22" t="e">
        <v>#N/A</v>
      </c>
    </row>
    <row r="34" spans="1:3">
      <c r="A34" s="55" t="s">
        <v>58</v>
      </c>
      <c r="B34" s="22"/>
      <c r="C34" s="22" t="e">
        <v>#N/A</v>
      </c>
    </row>
    <row r="35" spans="1:3">
      <c r="A35" s="55" t="s">
        <v>59</v>
      </c>
      <c r="B35" s="22"/>
      <c r="C35" s="22" t="e">
        <v>#N/A</v>
      </c>
    </row>
    <row r="36" spans="1:3">
      <c r="A36" s="55" t="s">
        <v>60</v>
      </c>
      <c r="B36" s="22"/>
      <c r="C36" s="22" t="e">
        <v>#N/A</v>
      </c>
    </row>
    <row r="37" spans="1:3">
      <c r="A37" s="55" t="s">
        <v>61</v>
      </c>
      <c r="B37" s="22"/>
      <c r="C37" s="22" t="e">
        <v>#N/A</v>
      </c>
    </row>
    <row r="38" spans="1:3">
      <c r="A38" s="55" t="s">
        <v>62</v>
      </c>
      <c r="B38" s="22"/>
      <c r="C38" s="22" t="e">
        <v>#N/A</v>
      </c>
    </row>
    <row r="39" spans="1:3">
      <c r="A39" s="55" t="s">
        <v>63</v>
      </c>
      <c r="B39" s="22"/>
      <c r="C39" s="22" t="e">
        <v>#N/A</v>
      </c>
    </row>
    <row r="40" spans="1:3">
      <c r="A40" s="55" t="s">
        <v>64</v>
      </c>
      <c r="B40" s="22"/>
      <c r="C40" s="22" t="e">
        <v>#N/A</v>
      </c>
    </row>
    <row r="41" spans="1:3">
      <c r="A41" s="55" t="s">
        <v>55</v>
      </c>
      <c r="B41" s="22"/>
      <c r="C41" s="22" t="e">
        <v>#N/A</v>
      </c>
    </row>
    <row r="42" spans="1:3">
      <c r="A42" s="55" t="s">
        <v>65</v>
      </c>
      <c r="B42" s="22"/>
      <c r="C42" s="22" t="e">
        <v>#N/A</v>
      </c>
    </row>
    <row r="43" spans="1:3">
      <c r="A43" s="55" t="s">
        <v>51</v>
      </c>
      <c r="B43" s="22"/>
      <c r="C43" s="22" t="e">
        <v>#N/A</v>
      </c>
    </row>
    <row r="44" spans="1:3">
      <c r="A44" s="55" t="s">
        <v>66</v>
      </c>
      <c r="B44" s="22"/>
      <c r="C44" s="22" t="e">
        <v>#N/A</v>
      </c>
    </row>
    <row r="45" spans="1:3">
      <c r="A45" s="21" t="s">
        <v>68</v>
      </c>
      <c r="B45" s="22"/>
      <c r="C45" s="22" t="e">
        <v>#N/A</v>
      </c>
    </row>
    <row r="46" spans="1:3">
      <c r="A46" s="55" t="s">
        <v>36</v>
      </c>
      <c r="B46" s="22"/>
      <c r="C46" s="22" t="e">
        <v>#N/A</v>
      </c>
    </row>
    <row r="47" spans="1:3">
      <c r="A47" s="55" t="s">
        <v>128</v>
      </c>
      <c r="B47" s="22"/>
      <c r="C47" s="22" t="e">
        <v>#N/A</v>
      </c>
    </row>
    <row r="48" spans="1:3">
      <c r="A48" s="55" t="s">
        <v>98</v>
      </c>
      <c r="B48" s="22"/>
      <c r="C48" s="22" t="e">
        <v>#N/A</v>
      </c>
    </row>
    <row r="49" spans="1:3">
      <c r="A49" s="55" t="s">
        <v>99</v>
      </c>
      <c r="B49" s="22"/>
      <c r="C49" s="22" t="e">
        <v>#N/A</v>
      </c>
    </row>
    <row r="50" spans="1:3">
      <c r="A50" s="55" t="s">
        <v>126</v>
      </c>
      <c r="B50" s="22"/>
      <c r="C50" s="22" t="e">
        <v>#N/A</v>
      </c>
    </row>
    <row r="51" spans="1:3">
      <c r="A51" s="55" t="s">
        <v>100</v>
      </c>
      <c r="B51" s="22"/>
      <c r="C51" s="22" t="e">
        <v>#N/A</v>
      </c>
    </row>
    <row r="52" spans="1:3">
      <c r="A52" s="55" t="s">
        <v>127</v>
      </c>
      <c r="B52" s="22"/>
      <c r="C52" s="22" t="e">
        <v>#N/A</v>
      </c>
    </row>
    <row r="53" spans="1:3">
      <c r="A53" s="55" t="s">
        <v>137</v>
      </c>
      <c r="B53" s="22"/>
      <c r="C53" s="22" t="e">
        <v>#N/A</v>
      </c>
    </row>
    <row r="54" spans="1:3">
      <c r="A54" s="55" t="s">
        <v>101</v>
      </c>
      <c r="B54" s="22"/>
      <c r="C54" s="22" t="e">
        <v>#N/A</v>
      </c>
    </row>
    <row r="55" spans="1:3">
      <c r="A55" s="55" t="s">
        <v>47</v>
      </c>
      <c r="B55" s="22"/>
      <c r="C55" s="22" t="e">
        <v>#N/A</v>
      </c>
    </row>
    <row r="56" spans="1:3">
      <c r="A56" s="55" t="s">
        <v>102</v>
      </c>
      <c r="B56" s="22"/>
      <c r="C56" s="22" t="e">
        <v>#N/A</v>
      </c>
    </row>
    <row r="57" spans="1:3">
      <c r="A57" s="55" t="s">
        <v>116</v>
      </c>
      <c r="B57" s="22"/>
      <c r="C57" s="22" t="e">
        <v>#N/A</v>
      </c>
    </row>
    <row r="58" spans="1:3">
      <c r="A58" s="21" t="s">
        <v>49</v>
      </c>
      <c r="B58" s="22"/>
      <c r="C58" s="22" t="e">
        <v>#N/A</v>
      </c>
    </row>
    <row r="59" spans="1:3">
      <c r="A59" s="55" t="s">
        <v>36</v>
      </c>
      <c r="B59" s="22"/>
      <c r="C59" s="22" t="e">
        <v>#N/A</v>
      </c>
    </row>
    <row r="60" spans="1:3">
      <c r="A60" s="55" t="s">
        <v>103</v>
      </c>
      <c r="B60" s="22"/>
      <c r="C60" s="22" t="e">
        <v>#N/A</v>
      </c>
    </row>
    <row r="61" spans="1:3">
      <c r="A61" s="55" t="s">
        <v>55</v>
      </c>
      <c r="B61" s="22"/>
      <c r="C61" s="22" t="e">
        <v>#N/A</v>
      </c>
    </row>
    <row r="62" spans="1:3">
      <c r="A62" s="55" t="s">
        <v>104</v>
      </c>
      <c r="B62" s="22"/>
      <c r="C62" s="22" t="e">
        <v>#N/A</v>
      </c>
    </row>
    <row r="63" spans="1:3">
      <c r="A63" s="21" t="s">
        <v>106</v>
      </c>
      <c r="B63" s="22"/>
      <c r="C63" s="22" t="e">
        <v>#N/A</v>
      </c>
    </row>
    <row r="64" spans="1:3">
      <c r="A64" s="55" t="s">
        <v>62</v>
      </c>
      <c r="B64" s="22"/>
      <c r="C64" s="22" t="e">
        <v>#N/A</v>
      </c>
    </row>
    <row r="65" spans="1:3">
      <c r="A65" s="55" t="s">
        <v>65</v>
      </c>
      <c r="B65" s="22"/>
      <c r="C65" s="22" t="e">
        <v>#N/A</v>
      </c>
    </row>
    <row r="66" spans="1:3">
      <c r="A66" s="55" t="s">
        <v>56</v>
      </c>
      <c r="B66" s="22"/>
      <c r="C66" s="22" t="e">
        <v>#N/A</v>
      </c>
    </row>
    <row r="67" spans="1:3">
      <c r="A67" s="55" t="s">
        <v>108</v>
      </c>
      <c r="B67" s="22"/>
      <c r="C67" s="22" t="e">
        <v>#N/A</v>
      </c>
    </row>
    <row r="68" spans="1:3">
      <c r="A68" s="19">
        <v>2021</v>
      </c>
      <c r="B68" s="22"/>
      <c r="C68" s="22" t="e">
        <v>#N/A</v>
      </c>
    </row>
    <row r="69" spans="1:3">
      <c r="A69" s="21" t="s">
        <v>109</v>
      </c>
      <c r="B69" s="22"/>
      <c r="C69" s="22" t="e">
        <v>#N/A</v>
      </c>
    </row>
    <row r="70" spans="1:3">
      <c r="A70" s="55" t="s">
        <v>36</v>
      </c>
      <c r="B70" s="22"/>
      <c r="C70" s="22" t="e">
        <v>#N/A</v>
      </c>
    </row>
    <row r="71" spans="1:3">
      <c r="A71" s="55" t="s">
        <v>55</v>
      </c>
      <c r="B71" s="22"/>
      <c r="C71" s="22" t="e">
        <v>#N/A</v>
      </c>
    </row>
    <row r="72" spans="1:3">
      <c r="A72" s="21" t="s">
        <v>68</v>
      </c>
      <c r="B72" s="22"/>
      <c r="C72" s="22" t="e">
        <v>#N/A</v>
      </c>
    </row>
    <row r="73" spans="1:3">
      <c r="A73" s="55" t="s">
        <v>107</v>
      </c>
      <c r="B73" s="22"/>
      <c r="C73" s="22" t="e">
        <v>#N/A</v>
      </c>
    </row>
    <row r="74" spans="1:3">
      <c r="A74" s="55" t="s">
        <v>123</v>
      </c>
      <c r="B74" s="22"/>
      <c r="C74" s="22" t="e">
        <v>#N/A</v>
      </c>
    </row>
    <row r="75" spans="1:3">
      <c r="A75" s="55" t="s">
        <v>136</v>
      </c>
      <c r="B75" s="22"/>
      <c r="C75" s="22" t="e">
        <v>#N/A</v>
      </c>
    </row>
    <row r="76" spans="1:3">
      <c r="A76" s="55" t="s">
        <v>95</v>
      </c>
      <c r="B76" s="22"/>
      <c r="C76" s="22" t="e">
        <v>#N/A</v>
      </c>
    </row>
    <row r="77" spans="1:3">
      <c r="A77" s="55" t="s">
        <v>96</v>
      </c>
      <c r="B77" s="22"/>
      <c r="C77" s="22" t="e">
        <v>#N/A</v>
      </c>
    </row>
    <row r="78" spans="1:3">
      <c r="A78" s="55" t="s">
        <v>97</v>
      </c>
      <c r="B78" s="22"/>
      <c r="C78" s="22" t="e">
        <v>#N/A</v>
      </c>
    </row>
    <row r="79" spans="1:3">
      <c r="A79" s="19">
        <v>2022</v>
      </c>
      <c r="B79" s="22"/>
      <c r="C79" s="22" t="e">
        <v>#N/A</v>
      </c>
    </row>
    <row r="80" spans="1:3">
      <c r="A80" s="21" t="s">
        <v>68</v>
      </c>
      <c r="B80" s="22"/>
      <c r="C80" s="22" t="e">
        <v>#N/A</v>
      </c>
    </row>
    <row r="81" spans="1:3">
      <c r="A81" s="55" t="s">
        <v>114</v>
      </c>
      <c r="B81" s="22"/>
      <c r="C81" s="22" t="e">
        <v>#N/A</v>
      </c>
    </row>
    <row r="82" spans="1:3">
      <c r="A82" s="55" t="s">
        <v>91</v>
      </c>
      <c r="B82" s="22"/>
      <c r="C82" s="22" t="e">
        <v>#N/A</v>
      </c>
    </row>
    <row r="83" spans="1:3">
      <c r="A83" s="55" t="s">
        <v>92</v>
      </c>
      <c r="B83" s="22"/>
      <c r="C83" s="22" t="e">
        <v>#N/A</v>
      </c>
    </row>
    <row r="84" spans="1:3">
      <c r="A84" s="55" t="s">
        <v>93</v>
      </c>
      <c r="B84" s="22"/>
      <c r="C84" s="22" t="e">
        <v>#N/A</v>
      </c>
    </row>
    <row r="85" spans="1:3">
      <c r="A85" s="55" t="s">
        <v>132</v>
      </c>
      <c r="B85" s="22"/>
      <c r="C85" s="22" t="e">
        <v>#N/A</v>
      </c>
    </row>
    <row r="86" spans="1:3">
      <c r="A86" s="55" t="s">
        <v>133</v>
      </c>
      <c r="B86" s="22"/>
      <c r="C86" s="22" t="e">
        <v>#N/A</v>
      </c>
    </row>
    <row r="87" spans="1:3">
      <c r="A87" s="55" t="s">
        <v>94</v>
      </c>
      <c r="B87" s="22"/>
      <c r="C87" s="22" t="e">
        <v>#N/A</v>
      </c>
    </row>
    <row r="88" spans="1:3">
      <c r="A88" s="55" t="s">
        <v>134</v>
      </c>
      <c r="B88" s="22"/>
      <c r="C88" s="22" t="e">
        <v>#N/A</v>
      </c>
    </row>
    <row r="89" spans="1:3">
      <c r="A89" s="55" t="s">
        <v>135</v>
      </c>
      <c r="B89" s="22"/>
      <c r="C89" s="22" t="e">
        <v>#N/A</v>
      </c>
    </row>
    <row r="90" spans="1:3">
      <c r="A90" s="55" t="s">
        <v>115</v>
      </c>
      <c r="B90" s="22"/>
      <c r="C90" s="22" t="e">
        <v>#N/A</v>
      </c>
    </row>
    <row r="91" spans="1:3">
      <c r="A91" s="19">
        <v>2023</v>
      </c>
      <c r="B91" s="22"/>
      <c r="C91" s="22" t="e">
        <v>#N/A</v>
      </c>
    </row>
    <row r="92" spans="1:3">
      <c r="A92" s="21" t="s">
        <v>68</v>
      </c>
      <c r="B92" s="22"/>
      <c r="C92" s="22" t="e">
        <v>#N/A</v>
      </c>
    </row>
    <row r="93" spans="1:3">
      <c r="A93" s="55" t="s">
        <v>112</v>
      </c>
      <c r="B93" s="22"/>
      <c r="C93" s="22" t="e">
        <v>#N/A</v>
      </c>
    </row>
    <row r="94" spans="1:3">
      <c r="A94" s="55" t="s">
        <v>83</v>
      </c>
      <c r="B94" s="22"/>
      <c r="C94" s="22" t="e">
        <v>#N/A</v>
      </c>
    </row>
    <row r="95" spans="1:3">
      <c r="A95" s="55" t="s">
        <v>131</v>
      </c>
      <c r="B95" s="22"/>
      <c r="C95" s="22" t="e">
        <v>#N/A</v>
      </c>
    </row>
    <row r="96" spans="1:3">
      <c r="A96" s="55" t="s">
        <v>84</v>
      </c>
      <c r="B96" s="22"/>
      <c r="C96" s="22" t="e">
        <v>#N/A</v>
      </c>
    </row>
    <row r="97" spans="1:3">
      <c r="A97" s="55" t="s">
        <v>125</v>
      </c>
      <c r="B97" s="22"/>
      <c r="C97" s="22" t="e">
        <v>#N/A</v>
      </c>
    </row>
    <row r="98" spans="1:3">
      <c r="A98" s="55" t="s">
        <v>113</v>
      </c>
      <c r="B98" s="22"/>
      <c r="C98" s="22" t="e">
        <v>#N/A</v>
      </c>
    </row>
    <row r="99" spans="1:3">
      <c r="A99" s="55" t="s">
        <v>122</v>
      </c>
      <c r="B99" s="22"/>
      <c r="C99" s="22" t="e">
        <v>#N/A</v>
      </c>
    </row>
    <row r="100" spans="1:3">
      <c r="A100" s="55" t="s">
        <v>87</v>
      </c>
      <c r="B100" s="22"/>
      <c r="C100" s="22" t="e">
        <v>#N/A</v>
      </c>
    </row>
    <row r="101" spans="1:3">
      <c r="A101" s="55" t="s">
        <v>88</v>
      </c>
      <c r="B101" s="22"/>
      <c r="C101" s="22" t="e">
        <v>#N/A</v>
      </c>
    </row>
    <row r="102" spans="1:3">
      <c r="A102" s="55" t="s">
        <v>89</v>
      </c>
      <c r="B102" s="22"/>
      <c r="C102" s="22" t="e">
        <v>#N/A</v>
      </c>
    </row>
    <row r="103" spans="1:3">
      <c r="A103" s="55" t="s">
        <v>39</v>
      </c>
      <c r="B103" s="22"/>
      <c r="C103" s="22" t="e">
        <v>#N/A</v>
      </c>
    </row>
    <row r="104" spans="1:3">
      <c r="A104" s="55" t="s">
        <v>90</v>
      </c>
      <c r="B104" s="22"/>
      <c r="C104" s="22" t="e">
        <v>#N/A</v>
      </c>
    </row>
    <row r="105" spans="1:3">
      <c r="A105" s="19">
        <v>2024</v>
      </c>
      <c r="B105" s="22"/>
      <c r="C105" s="22" t="e">
        <v>#N/A</v>
      </c>
    </row>
    <row r="106" spans="1:3">
      <c r="A106" s="21" t="s">
        <v>68</v>
      </c>
      <c r="B106" s="22"/>
      <c r="C106" s="22" t="e">
        <v>#N/A</v>
      </c>
    </row>
    <row r="107" spans="1:3">
      <c r="A107" s="55" t="s">
        <v>76</v>
      </c>
      <c r="B107" s="22"/>
      <c r="C107" s="22" t="e">
        <v>#N/A</v>
      </c>
    </row>
    <row r="108" spans="1:3">
      <c r="A108" s="55" t="s">
        <v>77</v>
      </c>
      <c r="B108" s="22"/>
      <c r="C108" s="22" t="e">
        <v>#N/A</v>
      </c>
    </row>
    <row r="109" spans="1:3">
      <c r="A109" s="55" t="s">
        <v>121</v>
      </c>
      <c r="B109" s="22"/>
      <c r="C109" s="22" t="e">
        <v>#N/A</v>
      </c>
    </row>
    <row r="110" spans="1:3">
      <c r="A110" s="55" t="s">
        <v>78</v>
      </c>
      <c r="B110" s="22"/>
      <c r="C110" s="22" t="e">
        <v>#N/A</v>
      </c>
    </row>
    <row r="111" spans="1:3">
      <c r="A111" s="55" t="s">
        <v>79</v>
      </c>
      <c r="B111" s="22"/>
      <c r="C111" s="22" t="e">
        <v>#N/A</v>
      </c>
    </row>
    <row r="112" spans="1:3">
      <c r="A112" s="55" t="s">
        <v>111</v>
      </c>
      <c r="B112" s="22"/>
      <c r="C112" s="22" t="e">
        <v>#N/A</v>
      </c>
    </row>
    <row r="113" spans="1:3">
      <c r="A113" s="55" t="s">
        <v>80</v>
      </c>
      <c r="B113" s="22"/>
      <c r="C113" s="22" t="e">
        <v>#N/A</v>
      </c>
    </row>
    <row r="114" spans="1:3">
      <c r="A114" s="55" t="s">
        <v>81</v>
      </c>
      <c r="B114" s="22"/>
      <c r="C114" s="22" t="e">
        <v>#N/A</v>
      </c>
    </row>
    <row r="115" spans="1:3">
      <c r="A115" s="55" t="s">
        <v>117</v>
      </c>
      <c r="B115" s="22"/>
      <c r="C115" s="22" t="e">
        <v>#N/A</v>
      </c>
    </row>
    <row r="116" spans="1:3">
      <c r="A116" s="55" t="s">
        <v>82</v>
      </c>
      <c r="B116" s="22"/>
      <c r="C116" s="22" t="e">
        <v>#N/A</v>
      </c>
    </row>
    <row r="117" spans="1:3">
      <c r="A117" s="19">
        <v>2025</v>
      </c>
      <c r="B117" s="22"/>
      <c r="C117" s="22" t="e">
        <v>#N/A</v>
      </c>
    </row>
    <row r="118" spans="1:3">
      <c r="A118" s="21" t="s">
        <v>68</v>
      </c>
      <c r="B118" s="22"/>
      <c r="C118" s="22" t="e">
        <v>#N/A</v>
      </c>
    </row>
    <row r="119" spans="1:3">
      <c r="A119" s="55" t="s">
        <v>75</v>
      </c>
      <c r="B119" s="22"/>
      <c r="C119" s="22" t="e">
        <v>#N/A</v>
      </c>
    </row>
    <row r="120" spans="1:3">
      <c r="A120" s="55" t="s">
        <v>130</v>
      </c>
      <c r="B120" s="22"/>
      <c r="C120" s="22" t="e">
        <v>#N/A</v>
      </c>
    </row>
    <row r="121" spans="1:3">
      <c r="A121" s="19" t="s">
        <v>183</v>
      </c>
      <c r="B121" s="22"/>
      <c r="C121" s="22" t="e">
        <v>#N/A</v>
      </c>
    </row>
    <row r="122" spans="1:3">
      <c r="A122" s="21" t="s">
        <v>106</v>
      </c>
      <c r="B122" s="22"/>
      <c r="C122" s="22" t="e">
        <v>#N/A</v>
      </c>
    </row>
    <row r="123" spans="1:3">
      <c r="A123" s="55" t="s">
        <v>69</v>
      </c>
      <c r="B123" s="22"/>
      <c r="C123" s="22" t="e">
        <v>#N/A</v>
      </c>
    </row>
    <row r="124" spans="1:3">
      <c r="A124" s="55" t="s">
        <v>70</v>
      </c>
      <c r="B124" s="22"/>
      <c r="C124" s="22" t="e">
        <v>#N/A</v>
      </c>
    </row>
    <row r="125" spans="1:3">
      <c r="A125" s="55" t="s">
        <v>71</v>
      </c>
      <c r="B125" s="22"/>
      <c r="C125" s="22" t="e">
        <v>#N/A</v>
      </c>
    </row>
    <row r="126" spans="1:3">
      <c r="A126" s="55" t="s">
        <v>78</v>
      </c>
      <c r="B126" s="22"/>
      <c r="C126" s="22" t="e">
        <v>#N/A</v>
      </c>
    </row>
    <row r="127" spans="1:3">
      <c r="A127" s="55" t="s">
        <v>79</v>
      </c>
      <c r="B127" s="22"/>
      <c r="C127" s="22" t="e">
        <v>#N/A</v>
      </c>
    </row>
    <row r="128" spans="1:3">
      <c r="A128" s="55" t="s">
        <v>80</v>
      </c>
      <c r="B128" s="22"/>
      <c r="C128" s="22" t="e">
        <v>#N/A</v>
      </c>
    </row>
    <row r="129" spans="1:3">
      <c r="A129" s="55" t="s">
        <v>117</v>
      </c>
      <c r="B129" s="22"/>
      <c r="C129" s="22" t="e">
        <v>#N/A</v>
      </c>
    </row>
    <row r="130" spans="1:3">
      <c r="A130" s="55" t="s">
        <v>82</v>
      </c>
      <c r="B130" s="22"/>
      <c r="C130" s="22" t="e">
        <v>#N/A</v>
      </c>
    </row>
    <row r="131" spans="1:3">
      <c r="A131" s="55" t="s">
        <v>125</v>
      </c>
      <c r="B131" s="22"/>
      <c r="C131" s="22" t="e">
        <v>#N/A</v>
      </c>
    </row>
    <row r="132" spans="1:3">
      <c r="A132" s="55" t="s">
        <v>87</v>
      </c>
      <c r="B132" s="22"/>
      <c r="C132" s="22" t="e">
        <v>#N/A</v>
      </c>
    </row>
    <row r="133" spans="1:3">
      <c r="A133" s="55" t="s">
        <v>88</v>
      </c>
      <c r="B133" s="22"/>
      <c r="C133" s="22" t="e">
        <v>#N/A</v>
      </c>
    </row>
    <row r="134" spans="1:3">
      <c r="A134" s="55" t="s">
        <v>89</v>
      </c>
      <c r="B134" s="22"/>
      <c r="C134" s="22" t="e">
        <v>#N/A</v>
      </c>
    </row>
    <row r="135" spans="1:3">
      <c r="A135" s="55" t="s">
        <v>93</v>
      </c>
      <c r="B135" s="22"/>
      <c r="C135" s="22" t="e">
        <v>#N/A</v>
      </c>
    </row>
    <row r="136" spans="1:3">
      <c r="A136" s="55" t="s">
        <v>132</v>
      </c>
      <c r="B136" s="22"/>
      <c r="C136" s="22" t="e">
        <v>#N/A</v>
      </c>
    </row>
    <row r="137" spans="1:3">
      <c r="A137" s="55" t="s">
        <v>94</v>
      </c>
      <c r="B137" s="22"/>
      <c r="C137" s="22" t="e">
        <v>#N/A</v>
      </c>
    </row>
    <row r="138" spans="1:3">
      <c r="A138" s="55" t="s">
        <v>95</v>
      </c>
      <c r="B138" s="22"/>
      <c r="C138" s="22" t="e">
        <v>#N/A</v>
      </c>
    </row>
    <row r="139" spans="1:3">
      <c r="A139" s="55" t="s">
        <v>137</v>
      </c>
      <c r="B139" s="22"/>
      <c r="C139" s="22" t="e">
        <v>#N/A</v>
      </c>
    </row>
    <row r="140" spans="1:3">
      <c r="A140" s="19" t="s">
        <v>2234</v>
      </c>
      <c r="B140" s="22"/>
      <c r="C140" s="22" t="e">
        <v>#N/A</v>
      </c>
    </row>
    <row r="141" spans="1:3">
      <c r="A141" s="21" t="s">
        <v>68</v>
      </c>
      <c r="B141" s="22"/>
      <c r="C141" s="22" t="e">
        <v>#N/A</v>
      </c>
    </row>
    <row r="142" spans="1:3">
      <c r="A142" s="55" t="s">
        <v>67</v>
      </c>
      <c r="B142" s="22"/>
      <c r="C142" s="22" t="e">
        <v>#N/A</v>
      </c>
    </row>
    <row r="143" spans="1:3">
      <c r="A143" s="55" t="s">
        <v>118</v>
      </c>
      <c r="B143" s="22"/>
      <c r="C143" s="22" t="e">
        <v>#N/A</v>
      </c>
    </row>
    <row r="144" spans="1:3">
      <c r="A144" s="55" t="s">
        <v>69</v>
      </c>
      <c r="B144" s="22"/>
      <c r="C144" s="22" t="e">
        <v>#N/A</v>
      </c>
    </row>
    <row r="145" spans="1:3">
      <c r="A145" s="55" t="s">
        <v>70</v>
      </c>
      <c r="B145" s="22"/>
      <c r="C145" s="22" t="e">
        <v>#N/A</v>
      </c>
    </row>
    <row r="146" spans="1:3">
      <c r="A146" s="55" t="s">
        <v>71</v>
      </c>
      <c r="B146" s="22"/>
      <c r="C146" s="22" t="e">
        <v>#N/A</v>
      </c>
    </row>
    <row r="147" spans="1:3">
      <c r="A147" s="55" t="s">
        <v>119</v>
      </c>
      <c r="B147" s="22"/>
      <c r="C147" s="22" t="e">
        <v>#N/A</v>
      </c>
    </row>
    <row r="148" spans="1:3">
      <c r="A148" s="55" t="s">
        <v>72</v>
      </c>
      <c r="B148" s="22"/>
      <c r="C148" s="22" t="e">
        <v>#N/A</v>
      </c>
    </row>
    <row r="149" spans="1:3">
      <c r="A149" s="55" t="s">
        <v>73</v>
      </c>
      <c r="B149" s="22"/>
      <c r="C149" s="22" t="e">
        <v>#N/A</v>
      </c>
    </row>
    <row r="150" spans="1:3">
      <c r="A150" s="55" t="s">
        <v>120</v>
      </c>
      <c r="B150" s="22"/>
      <c r="C150" s="22" t="e">
        <v>#N/A</v>
      </c>
    </row>
    <row r="151" spans="1:3">
      <c r="A151" s="55" t="s">
        <v>124</v>
      </c>
      <c r="B151" s="22"/>
      <c r="C151" s="22" t="e">
        <v>#N/A</v>
      </c>
    </row>
    <row r="152" spans="1:3">
      <c r="A152" s="55" t="s">
        <v>129</v>
      </c>
      <c r="B152" s="22"/>
      <c r="C152" s="22" t="e">
        <v>#N/A</v>
      </c>
    </row>
    <row r="153" spans="1:3">
      <c r="A153" s="55" t="s">
        <v>74</v>
      </c>
      <c r="B153" s="22"/>
      <c r="C153" s="22" t="e">
        <v>#N/A</v>
      </c>
    </row>
    <row r="154" spans="1:3">
      <c r="A154" s="55" t="s">
        <v>105</v>
      </c>
      <c r="B154" s="22"/>
      <c r="C154" s="22" t="e">
        <v>#N/A</v>
      </c>
    </row>
    <row r="155" spans="1:3">
      <c r="A155" s="21" t="s">
        <v>106</v>
      </c>
      <c r="B155" s="22"/>
      <c r="C155" s="22" t="e">
        <v>#N/A</v>
      </c>
    </row>
    <row r="156" spans="1:3">
      <c r="A156" s="55" t="s">
        <v>101</v>
      </c>
      <c r="B156" s="22"/>
      <c r="C156" s="22" t="e">
        <v>#N/A</v>
      </c>
    </row>
    <row r="157" spans="1:3">
      <c r="A157" s="19" t="s">
        <v>2235</v>
      </c>
      <c r="B157" s="22">
        <v>3175752.5500000003</v>
      </c>
      <c r="C157" s="22" t="e">
        <v>#N/A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5"/>
  <dimension ref="A1:F330"/>
  <sheetViews>
    <sheetView workbookViewId="0">
      <selection activeCell="B17" sqref="B17"/>
    </sheetView>
  </sheetViews>
  <sheetFormatPr defaultColWidth="8.7109375" defaultRowHeight="14.45"/>
  <cols>
    <col min="1" max="1" width="43.5703125" bestFit="1" customWidth="1"/>
    <col min="2" max="2" width="14.140625" bestFit="1" customWidth="1"/>
    <col min="3" max="3" width="17.28515625" bestFit="1" customWidth="1"/>
    <col min="5" max="6" width="16.28515625" bestFit="1" customWidth="1"/>
  </cols>
  <sheetData>
    <row r="1" spans="1:6">
      <c r="E1" s="34" t="s">
        <v>2236</v>
      </c>
      <c r="F1" s="23" t="e">
        <f>GETPIVOTDATA("Sum of ESTIMATES",$A$3)+GETPIVOTDATA("Sum of COST",$A$3)</f>
        <v>#N/A</v>
      </c>
    </row>
    <row r="2" spans="1:6">
      <c r="E2" s="1" t="s">
        <v>2237</v>
      </c>
      <c r="F2" s="3" t="e">
        <f>GETPIVOTDATA("Sum of COST",$A$3,"BOROUGH","BRONX")+GETPIVOTDATA("Sum of ESTIMATES",$A$3,"BOROUGH","BRONX")</f>
        <v>#N/A</v>
      </c>
    </row>
    <row r="3" spans="1:6">
      <c r="A3" s="18" t="s">
        <v>2231</v>
      </c>
      <c r="B3" t="s">
        <v>2232</v>
      </c>
      <c r="C3" t="s">
        <v>2233</v>
      </c>
      <c r="E3" s="1" t="s">
        <v>2238</v>
      </c>
      <c r="F3" s="3" t="e">
        <f>GETPIVOTDATA("Sum of COST",$A$3,"BOROUGH","BROOKLYN")+GETPIVOTDATA("Sum of ESTIMATES",$A$3,"BOROUGH","BROOKLYN")</f>
        <v>#N/A</v>
      </c>
    </row>
    <row r="4" spans="1:6">
      <c r="A4" s="19" t="s">
        <v>942</v>
      </c>
      <c r="B4" s="22">
        <v>423831.67950000009</v>
      </c>
      <c r="C4" s="22" t="e">
        <v>#N/A</v>
      </c>
      <c r="E4" s="1" t="s">
        <v>2239</v>
      </c>
      <c r="F4" s="3" t="e">
        <f>GETPIVOTDATA("Sum of COST",$A$3,"BOROUGH","MANHATTAN")+GETPIVOTDATA("Sum of ESTIMATES",$A$3,"BOROUGH","MANHATTAN")</f>
        <v>#N/A</v>
      </c>
    </row>
    <row r="5" spans="1:6">
      <c r="A5" s="21" t="s">
        <v>109</v>
      </c>
      <c r="B5" s="22"/>
      <c r="C5" s="22" t="e">
        <v>#N/A</v>
      </c>
      <c r="E5" s="1" t="s">
        <v>2240</v>
      </c>
      <c r="F5" s="3" t="e">
        <f>GETPIVOTDATA("Sum of COST",$A$3,"BOROUGH","QUEENS")+GETPIVOTDATA("Sum of ESTIMATES",$A$3,"BOROUGH","QUEENS")</f>
        <v>#N/A</v>
      </c>
    </row>
    <row r="6" spans="1:6">
      <c r="A6" s="55" t="s">
        <v>140</v>
      </c>
      <c r="B6" s="22"/>
      <c r="C6" s="22" t="e">
        <v>#N/A</v>
      </c>
      <c r="E6" s="1" t="s">
        <v>2241</v>
      </c>
      <c r="F6" s="3"/>
    </row>
    <row r="7" spans="1:6">
      <c r="A7" s="55" t="s">
        <v>47</v>
      </c>
      <c r="B7" s="22"/>
      <c r="C7" s="22" t="e">
        <v>#N/A</v>
      </c>
    </row>
    <row r="8" spans="1:6">
      <c r="A8" s="21" t="s">
        <v>52</v>
      </c>
      <c r="B8" s="22"/>
      <c r="C8" s="22" t="e">
        <v>#N/A</v>
      </c>
    </row>
    <row r="9" spans="1:6">
      <c r="A9" s="55" t="s">
        <v>39</v>
      </c>
      <c r="B9" s="22"/>
      <c r="C9" s="22" t="e">
        <v>#N/A</v>
      </c>
    </row>
    <row r="10" spans="1:6">
      <c r="A10" s="55" t="s">
        <v>40</v>
      </c>
      <c r="B10" s="22"/>
      <c r="C10" s="22" t="e">
        <v>#N/A</v>
      </c>
    </row>
    <row r="11" spans="1:6">
      <c r="A11" s="55" t="s">
        <v>41</v>
      </c>
      <c r="B11" s="22"/>
      <c r="C11" s="22" t="e">
        <v>#N/A</v>
      </c>
    </row>
    <row r="12" spans="1:6">
      <c r="A12" s="55" t="s">
        <v>47</v>
      </c>
      <c r="B12" s="22"/>
      <c r="C12" s="22" t="e">
        <v>#N/A</v>
      </c>
    </row>
    <row r="13" spans="1:6">
      <c r="A13" s="21" t="s">
        <v>27</v>
      </c>
      <c r="B13" s="22">
        <v>423831.67950000009</v>
      </c>
      <c r="C13" s="22" t="e">
        <v>#N/A</v>
      </c>
    </row>
    <row r="14" spans="1:6">
      <c r="A14" s="55" t="s">
        <v>31</v>
      </c>
      <c r="B14" s="22">
        <v>44613.861000000004</v>
      </c>
      <c r="C14" s="22"/>
    </row>
    <row r="15" spans="1:6">
      <c r="A15" s="55" t="s">
        <v>143</v>
      </c>
      <c r="B15" s="22"/>
      <c r="C15" s="22" t="e">
        <v>#N/A</v>
      </c>
    </row>
    <row r="16" spans="1:6">
      <c r="A16" s="55" t="s">
        <v>32</v>
      </c>
      <c r="B16" s="22">
        <v>59485.148000000001</v>
      </c>
      <c r="C16" s="22"/>
    </row>
    <row r="17" spans="1:3">
      <c r="A17" s="55" t="s">
        <v>34</v>
      </c>
      <c r="B17" s="22">
        <v>66920.791500000007</v>
      </c>
      <c r="C17" s="22"/>
    </row>
    <row r="18" spans="1:3">
      <c r="A18" s="55" t="s">
        <v>144</v>
      </c>
      <c r="B18" s="22"/>
      <c r="C18" s="22" t="e">
        <v>#N/A</v>
      </c>
    </row>
    <row r="19" spans="1:3">
      <c r="A19" s="55" t="s">
        <v>145</v>
      </c>
      <c r="B19" s="22"/>
      <c r="C19" s="22" t="e">
        <v>#N/A</v>
      </c>
    </row>
    <row r="20" spans="1:3">
      <c r="A20" s="55" t="s">
        <v>121</v>
      </c>
      <c r="B20" s="22"/>
      <c r="C20" s="22" t="e">
        <v>#N/A</v>
      </c>
    </row>
    <row r="21" spans="1:3">
      <c r="A21" s="55" t="s">
        <v>35</v>
      </c>
      <c r="B21" s="22">
        <v>52049.504500000003</v>
      </c>
      <c r="C21" s="22"/>
    </row>
    <row r="22" spans="1:3">
      <c r="A22" s="55" t="s">
        <v>39</v>
      </c>
      <c r="B22" s="22">
        <v>59485.148000000001</v>
      </c>
      <c r="C22" s="22"/>
    </row>
    <row r="23" spans="1:3">
      <c r="A23" s="55" t="s">
        <v>40</v>
      </c>
      <c r="B23" s="22">
        <v>66920.791500000007</v>
      </c>
      <c r="C23" s="22"/>
    </row>
    <row r="24" spans="1:3">
      <c r="A24" s="55" t="s">
        <v>140</v>
      </c>
      <c r="B24" s="22"/>
      <c r="C24" s="22" t="e">
        <v>#N/A</v>
      </c>
    </row>
    <row r="25" spans="1:3">
      <c r="A25" s="55" t="s">
        <v>147</v>
      </c>
      <c r="B25" s="22"/>
      <c r="C25" s="22" t="e">
        <v>#N/A</v>
      </c>
    </row>
    <row r="26" spans="1:3">
      <c r="A26" s="55" t="s">
        <v>41</v>
      </c>
      <c r="B26" s="22">
        <v>37178.217499999999</v>
      </c>
      <c r="C26" s="22"/>
    </row>
    <row r="27" spans="1:3">
      <c r="A27" s="55" t="s">
        <v>149</v>
      </c>
      <c r="B27" s="22"/>
      <c r="C27" s="22" t="e">
        <v>#N/A</v>
      </c>
    </row>
    <row r="28" spans="1:3">
      <c r="A28" s="55" t="s">
        <v>47</v>
      </c>
      <c r="B28" s="22">
        <v>37178.217499999999</v>
      </c>
      <c r="C28" s="22"/>
    </row>
    <row r="29" spans="1:3">
      <c r="A29" s="21" t="s">
        <v>68</v>
      </c>
      <c r="B29" s="22"/>
      <c r="C29" s="22" t="e">
        <v>#N/A</v>
      </c>
    </row>
    <row r="30" spans="1:3">
      <c r="A30" s="55" t="s">
        <v>121</v>
      </c>
      <c r="B30" s="22"/>
      <c r="C30" s="22" t="e">
        <v>#N/A</v>
      </c>
    </row>
    <row r="31" spans="1:3">
      <c r="A31" s="55" t="s">
        <v>39</v>
      </c>
      <c r="B31" s="22"/>
      <c r="C31" s="22" t="e">
        <v>#N/A</v>
      </c>
    </row>
    <row r="32" spans="1:3">
      <c r="A32" s="55" t="s">
        <v>47</v>
      </c>
      <c r="B32" s="22"/>
      <c r="C32" s="22" t="e">
        <v>#N/A</v>
      </c>
    </row>
    <row r="33" spans="1:3">
      <c r="A33" s="55" t="s">
        <v>73</v>
      </c>
      <c r="B33" s="22"/>
      <c r="C33" s="22" t="e">
        <v>#N/A</v>
      </c>
    </row>
    <row r="34" spans="1:3">
      <c r="A34" s="55" t="s">
        <v>124</v>
      </c>
      <c r="B34" s="22"/>
      <c r="C34" s="22" t="e">
        <v>#N/A</v>
      </c>
    </row>
    <row r="35" spans="1:3">
      <c r="A35" s="55" t="s">
        <v>105</v>
      </c>
      <c r="B35" s="22"/>
      <c r="C35" s="22" t="e">
        <v>#N/A</v>
      </c>
    </row>
    <row r="36" spans="1:3">
      <c r="A36" s="55" t="s">
        <v>114</v>
      </c>
      <c r="B36" s="22"/>
      <c r="C36" s="22" t="e">
        <v>#N/A</v>
      </c>
    </row>
    <row r="37" spans="1:3">
      <c r="A37" s="55" t="s">
        <v>91</v>
      </c>
      <c r="B37" s="22"/>
      <c r="C37" s="22" t="e">
        <v>#N/A</v>
      </c>
    </row>
    <row r="38" spans="1:3">
      <c r="A38" s="55" t="s">
        <v>132</v>
      </c>
      <c r="B38" s="22"/>
      <c r="C38" s="22" t="e">
        <v>#N/A</v>
      </c>
    </row>
    <row r="39" spans="1:3">
      <c r="A39" s="55" t="s">
        <v>123</v>
      </c>
      <c r="B39" s="22"/>
      <c r="C39" s="22" t="e">
        <v>#N/A</v>
      </c>
    </row>
    <row r="40" spans="1:3">
      <c r="A40" s="55" t="s">
        <v>96</v>
      </c>
      <c r="B40" s="22"/>
      <c r="C40" s="22" t="e">
        <v>#N/A</v>
      </c>
    </row>
    <row r="41" spans="1:3">
      <c r="A41" s="55" t="s">
        <v>97</v>
      </c>
      <c r="B41" s="22"/>
      <c r="C41" s="22" t="e">
        <v>#N/A</v>
      </c>
    </row>
    <row r="42" spans="1:3">
      <c r="A42" s="55" t="s">
        <v>98</v>
      </c>
      <c r="B42" s="22"/>
      <c r="C42" s="22" t="e">
        <v>#N/A</v>
      </c>
    </row>
    <row r="43" spans="1:3">
      <c r="A43" s="55" t="s">
        <v>99</v>
      </c>
      <c r="B43" s="22"/>
      <c r="C43" s="22" t="e">
        <v>#N/A</v>
      </c>
    </row>
    <row r="44" spans="1:3">
      <c r="A44" s="21" t="s">
        <v>106</v>
      </c>
      <c r="B44" s="22"/>
      <c r="C44" s="22" t="e">
        <v>#N/A</v>
      </c>
    </row>
    <row r="45" spans="1:3">
      <c r="A45" s="55" t="s">
        <v>31</v>
      </c>
      <c r="B45" s="22"/>
      <c r="C45" s="22" t="e">
        <v>#N/A</v>
      </c>
    </row>
    <row r="46" spans="1:3">
      <c r="A46" s="55" t="s">
        <v>121</v>
      </c>
      <c r="B46" s="22"/>
      <c r="C46" s="22" t="e">
        <v>#N/A</v>
      </c>
    </row>
    <row r="47" spans="1:3">
      <c r="A47" s="55" t="s">
        <v>138</v>
      </c>
      <c r="B47" s="22"/>
      <c r="C47" s="22" t="e">
        <v>#N/A</v>
      </c>
    </row>
    <row r="48" spans="1:3">
      <c r="A48" s="55" t="s">
        <v>47</v>
      </c>
      <c r="B48" s="22"/>
      <c r="C48" s="22" t="e">
        <v>#N/A</v>
      </c>
    </row>
    <row r="49" spans="1:3">
      <c r="A49" s="55" t="s">
        <v>73</v>
      </c>
      <c r="B49" s="22"/>
      <c r="C49" s="22" t="e">
        <v>#N/A</v>
      </c>
    </row>
    <row r="50" spans="1:3">
      <c r="A50" s="55" t="s">
        <v>124</v>
      </c>
      <c r="B50" s="22"/>
      <c r="C50" s="22" t="e">
        <v>#N/A</v>
      </c>
    </row>
    <row r="51" spans="1:3">
      <c r="A51" s="55" t="s">
        <v>105</v>
      </c>
      <c r="B51" s="22"/>
      <c r="C51" s="22" t="e">
        <v>#N/A</v>
      </c>
    </row>
    <row r="52" spans="1:3">
      <c r="A52" s="55" t="s">
        <v>114</v>
      </c>
      <c r="B52" s="22"/>
      <c r="C52" s="22" t="e">
        <v>#N/A</v>
      </c>
    </row>
    <row r="53" spans="1:3">
      <c r="A53" s="55" t="s">
        <v>91</v>
      </c>
      <c r="B53" s="22"/>
      <c r="C53" s="22" t="e">
        <v>#N/A</v>
      </c>
    </row>
    <row r="54" spans="1:3">
      <c r="A54" s="55" t="s">
        <v>132</v>
      </c>
      <c r="B54" s="22"/>
      <c r="C54" s="22" t="e">
        <v>#N/A</v>
      </c>
    </row>
    <row r="55" spans="1:3">
      <c r="A55" s="55" t="s">
        <v>123</v>
      </c>
      <c r="B55" s="22"/>
      <c r="C55" s="22" t="e">
        <v>#N/A</v>
      </c>
    </row>
    <row r="56" spans="1:3">
      <c r="A56" s="55" t="s">
        <v>96</v>
      </c>
      <c r="B56" s="22"/>
      <c r="C56" s="22" t="e">
        <v>#N/A</v>
      </c>
    </row>
    <row r="57" spans="1:3">
      <c r="A57" s="55" t="s">
        <v>97</v>
      </c>
      <c r="B57" s="22"/>
      <c r="C57" s="22" t="e">
        <v>#N/A</v>
      </c>
    </row>
    <row r="58" spans="1:3">
      <c r="A58" s="55" t="s">
        <v>98</v>
      </c>
      <c r="B58" s="22"/>
      <c r="C58" s="22" t="e">
        <v>#N/A</v>
      </c>
    </row>
    <row r="59" spans="1:3">
      <c r="A59" s="55" t="s">
        <v>99</v>
      </c>
      <c r="B59" s="22"/>
      <c r="C59" s="22" t="e">
        <v>#N/A</v>
      </c>
    </row>
    <row r="60" spans="1:3">
      <c r="A60" s="19" t="s">
        <v>950</v>
      </c>
      <c r="B60" s="22">
        <v>884956.23050000006</v>
      </c>
      <c r="C60" s="22" t="e">
        <v>#N/A</v>
      </c>
    </row>
    <row r="61" spans="1:3">
      <c r="A61" s="21" t="s">
        <v>109</v>
      </c>
      <c r="B61" s="22"/>
      <c r="C61" s="22" t="e">
        <v>#N/A</v>
      </c>
    </row>
    <row r="62" spans="1:3">
      <c r="A62" s="55" t="s">
        <v>38</v>
      </c>
      <c r="B62" s="22"/>
      <c r="C62" s="22" t="e">
        <v>#N/A</v>
      </c>
    </row>
    <row r="63" spans="1:3">
      <c r="A63" s="21" t="s">
        <v>52</v>
      </c>
      <c r="B63" s="22"/>
      <c r="C63" s="22" t="e">
        <v>#N/A</v>
      </c>
    </row>
    <row r="64" spans="1:3">
      <c r="A64" s="55" t="s">
        <v>38</v>
      </c>
      <c r="B64" s="22"/>
      <c r="C64" s="22" t="e">
        <v>#N/A</v>
      </c>
    </row>
    <row r="65" spans="1:3">
      <c r="A65" s="55" t="s">
        <v>42</v>
      </c>
      <c r="B65" s="22"/>
      <c r="C65" s="22" t="e">
        <v>#N/A</v>
      </c>
    </row>
    <row r="66" spans="1:3">
      <c r="A66" s="55" t="s">
        <v>45</v>
      </c>
      <c r="B66" s="22"/>
      <c r="C66" s="22" t="e">
        <v>#N/A</v>
      </c>
    </row>
    <row r="67" spans="1:3">
      <c r="A67" s="21" t="s">
        <v>27</v>
      </c>
      <c r="B67" s="22">
        <v>884956.23050000006</v>
      </c>
      <c r="C67" s="22" t="e">
        <v>#N/A</v>
      </c>
    </row>
    <row r="68" spans="1:3">
      <c r="A68" s="55" t="s">
        <v>118</v>
      </c>
      <c r="B68" s="22"/>
      <c r="C68" s="22" t="e">
        <v>#N/A</v>
      </c>
    </row>
    <row r="69" spans="1:3">
      <c r="A69" s="55" t="s">
        <v>142</v>
      </c>
      <c r="B69" s="22"/>
      <c r="C69" s="22" t="e">
        <v>#N/A</v>
      </c>
    </row>
    <row r="70" spans="1:3">
      <c r="A70" s="55" t="s">
        <v>26</v>
      </c>
      <c r="B70" s="22">
        <v>44243.94</v>
      </c>
      <c r="C70" s="22"/>
    </row>
    <row r="71" spans="1:3">
      <c r="A71" s="55" t="s">
        <v>139</v>
      </c>
      <c r="B71" s="22"/>
      <c r="C71" s="22" t="e">
        <v>#N/A</v>
      </c>
    </row>
    <row r="72" spans="1:3">
      <c r="A72" s="55" t="s">
        <v>37</v>
      </c>
      <c r="B72" s="22">
        <v>52049.504500000003</v>
      </c>
      <c r="C72" s="22"/>
    </row>
    <row r="73" spans="1:3">
      <c r="A73" s="55" t="s">
        <v>38</v>
      </c>
      <c r="B73" s="22">
        <v>520495.04499999998</v>
      </c>
      <c r="C73" s="22"/>
    </row>
    <row r="74" spans="1:3">
      <c r="A74" s="55" t="s">
        <v>42</v>
      </c>
      <c r="B74" s="22">
        <v>44613.861000000004</v>
      </c>
      <c r="C74" s="22"/>
    </row>
    <row r="75" spans="1:3">
      <c r="A75" s="55" t="s">
        <v>148</v>
      </c>
      <c r="B75" s="22"/>
      <c r="C75" s="22" t="e">
        <v>#N/A</v>
      </c>
    </row>
    <row r="76" spans="1:3">
      <c r="A76" s="55" t="s">
        <v>45</v>
      </c>
      <c r="B76" s="22">
        <v>148620.14000000001</v>
      </c>
      <c r="C76" s="22"/>
    </row>
    <row r="77" spans="1:3">
      <c r="A77" s="55" t="s">
        <v>46</v>
      </c>
      <c r="B77" s="22">
        <v>74933.740000000005</v>
      </c>
      <c r="C77" s="22"/>
    </row>
    <row r="78" spans="1:3">
      <c r="A78" s="21" t="s">
        <v>68</v>
      </c>
      <c r="B78" s="22"/>
      <c r="C78" s="22" t="e">
        <v>#N/A</v>
      </c>
    </row>
    <row r="79" spans="1:3">
      <c r="A79" s="55" t="s">
        <v>118</v>
      </c>
      <c r="B79" s="22"/>
      <c r="C79" s="22" t="e">
        <v>#N/A</v>
      </c>
    </row>
    <row r="80" spans="1:3">
      <c r="A80" s="55" t="s">
        <v>119</v>
      </c>
      <c r="B80" s="22"/>
      <c r="C80" s="22" t="e">
        <v>#N/A</v>
      </c>
    </row>
    <row r="81" spans="1:3">
      <c r="A81" s="55" t="s">
        <v>72</v>
      </c>
      <c r="B81" s="22"/>
      <c r="C81" s="22" t="e">
        <v>#N/A</v>
      </c>
    </row>
    <row r="82" spans="1:3">
      <c r="A82" s="55" t="s">
        <v>84</v>
      </c>
      <c r="B82" s="22"/>
      <c r="C82" s="22" t="e">
        <v>#N/A</v>
      </c>
    </row>
    <row r="83" spans="1:3">
      <c r="A83" s="21" t="s">
        <v>49</v>
      </c>
      <c r="B83" s="22"/>
      <c r="C83" s="22" t="e">
        <v>#N/A</v>
      </c>
    </row>
    <row r="84" spans="1:3">
      <c r="A84" s="55" t="s">
        <v>139</v>
      </c>
      <c r="B84" s="22"/>
      <c r="C84" s="22" t="e">
        <v>#N/A</v>
      </c>
    </row>
    <row r="85" spans="1:3">
      <c r="A85" s="55" t="s">
        <v>37</v>
      </c>
      <c r="B85" s="22"/>
      <c r="C85" s="22" t="e">
        <v>#N/A</v>
      </c>
    </row>
    <row r="86" spans="1:3">
      <c r="A86" s="55" t="s">
        <v>38</v>
      </c>
      <c r="B86" s="22"/>
      <c r="C86" s="22" t="e">
        <v>#N/A</v>
      </c>
    </row>
    <row r="87" spans="1:3">
      <c r="A87" s="21" t="s">
        <v>106</v>
      </c>
      <c r="B87" s="22"/>
      <c r="C87" s="22" t="e">
        <v>#N/A</v>
      </c>
    </row>
    <row r="88" spans="1:3">
      <c r="A88" s="55" t="s">
        <v>26</v>
      </c>
      <c r="B88" s="22"/>
      <c r="C88" s="22" t="e">
        <v>#N/A</v>
      </c>
    </row>
    <row r="89" spans="1:3">
      <c r="A89" s="55" t="s">
        <v>119</v>
      </c>
      <c r="B89" s="22"/>
      <c r="C89" s="22" t="e">
        <v>#N/A</v>
      </c>
    </row>
    <row r="90" spans="1:3">
      <c r="A90" s="55" t="s">
        <v>72</v>
      </c>
      <c r="B90" s="22"/>
      <c r="C90" s="22" t="e">
        <v>#N/A</v>
      </c>
    </row>
    <row r="91" spans="1:3">
      <c r="A91" s="55" t="s">
        <v>84</v>
      </c>
      <c r="B91" s="22"/>
      <c r="C91" s="22" t="e">
        <v>#N/A</v>
      </c>
    </row>
    <row r="92" spans="1:3">
      <c r="A92" s="21" t="s">
        <v>151</v>
      </c>
      <c r="B92" s="22"/>
      <c r="C92" s="22" t="e">
        <v>#N/A</v>
      </c>
    </row>
    <row r="93" spans="1:3">
      <c r="A93" s="55" t="s">
        <v>38</v>
      </c>
      <c r="B93" s="22"/>
      <c r="C93" s="22" t="e">
        <v>#N/A</v>
      </c>
    </row>
    <row r="94" spans="1:3">
      <c r="A94" s="19" t="s">
        <v>963</v>
      </c>
      <c r="B94" s="22">
        <v>1866964.6400000001</v>
      </c>
      <c r="C94" s="22" t="e">
        <v>#N/A</v>
      </c>
    </row>
    <row r="95" spans="1:3">
      <c r="A95" s="21" t="s">
        <v>109</v>
      </c>
      <c r="B95" s="22"/>
      <c r="C95" s="22" t="e">
        <v>#N/A</v>
      </c>
    </row>
    <row r="96" spans="1:3">
      <c r="A96" s="55" t="s">
        <v>36</v>
      </c>
      <c r="B96" s="22"/>
      <c r="C96" s="22" t="e">
        <v>#N/A</v>
      </c>
    </row>
    <row r="97" spans="1:3">
      <c r="A97" s="55" t="s">
        <v>55</v>
      </c>
      <c r="B97" s="22"/>
      <c r="C97" s="22" t="e">
        <v>#N/A</v>
      </c>
    </row>
    <row r="98" spans="1:3">
      <c r="A98" s="55" t="s">
        <v>120</v>
      </c>
      <c r="B98" s="22"/>
      <c r="C98" s="22" t="e">
        <v>#N/A</v>
      </c>
    </row>
    <row r="99" spans="1:3">
      <c r="A99" s="55" t="s">
        <v>129</v>
      </c>
      <c r="B99" s="22"/>
      <c r="C99" s="22" t="e">
        <v>#N/A</v>
      </c>
    </row>
    <row r="100" spans="1:3">
      <c r="A100" s="55" t="s">
        <v>77</v>
      </c>
      <c r="B100" s="22"/>
      <c r="C100" s="22" t="e">
        <v>#N/A</v>
      </c>
    </row>
    <row r="101" spans="1:3">
      <c r="A101" s="55" t="s">
        <v>78</v>
      </c>
      <c r="B101" s="22"/>
      <c r="C101" s="22" t="e">
        <v>#N/A</v>
      </c>
    </row>
    <row r="102" spans="1:3">
      <c r="A102" s="55" t="s">
        <v>81</v>
      </c>
      <c r="B102" s="22"/>
      <c r="C102" s="22" t="e">
        <v>#N/A</v>
      </c>
    </row>
    <row r="103" spans="1:3">
      <c r="A103" s="55" t="s">
        <v>112</v>
      </c>
      <c r="B103" s="22"/>
      <c r="C103" s="22" t="e">
        <v>#N/A</v>
      </c>
    </row>
    <row r="104" spans="1:3">
      <c r="A104" s="55" t="s">
        <v>83</v>
      </c>
      <c r="B104" s="22"/>
      <c r="C104" s="22" t="e">
        <v>#N/A</v>
      </c>
    </row>
    <row r="105" spans="1:3">
      <c r="A105" s="55" t="s">
        <v>131</v>
      </c>
      <c r="B105" s="22"/>
      <c r="C105" s="22" t="e">
        <v>#N/A</v>
      </c>
    </row>
    <row r="106" spans="1:3">
      <c r="A106" s="55" t="s">
        <v>113</v>
      </c>
      <c r="B106" s="22"/>
      <c r="C106" s="22" t="e">
        <v>#N/A</v>
      </c>
    </row>
    <row r="107" spans="1:3">
      <c r="A107" s="55" t="s">
        <v>122</v>
      </c>
      <c r="B107" s="22"/>
      <c r="C107" s="22" t="e">
        <v>#N/A</v>
      </c>
    </row>
    <row r="108" spans="1:3">
      <c r="A108" s="55" t="s">
        <v>90</v>
      </c>
      <c r="B108" s="22"/>
      <c r="C108" s="22" t="e">
        <v>#N/A</v>
      </c>
    </row>
    <row r="109" spans="1:3">
      <c r="A109" s="55" t="s">
        <v>133</v>
      </c>
      <c r="B109" s="22"/>
      <c r="C109" s="22" t="e">
        <v>#N/A</v>
      </c>
    </row>
    <row r="110" spans="1:3">
      <c r="A110" s="55" t="s">
        <v>115</v>
      </c>
      <c r="B110" s="22"/>
      <c r="C110" s="22" t="e">
        <v>#N/A</v>
      </c>
    </row>
    <row r="111" spans="1:3">
      <c r="A111" s="55" t="s">
        <v>136</v>
      </c>
      <c r="B111" s="22"/>
      <c r="C111" s="22" t="e">
        <v>#N/A</v>
      </c>
    </row>
    <row r="112" spans="1:3">
      <c r="A112" s="55" t="s">
        <v>128</v>
      </c>
      <c r="B112" s="22"/>
      <c r="C112" s="22" t="e">
        <v>#N/A</v>
      </c>
    </row>
    <row r="113" spans="1:3">
      <c r="A113" s="55" t="s">
        <v>127</v>
      </c>
      <c r="B113" s="22"/>
      <c r="C113" s="22" t="e">
        <v>#N/A</v>
      </c>
    </row>
    <row r="114" spans="1:3">
      <c r="A114" s="21" t="s">
        <v>52</v>
      </c>
      <c r="B114" s="22"/>
      <c r="C114" s="22" t="e">
        <v>#N/A</v>
      </c>
    </row>
    <row r="115" spans="1:3">
      <c r="A115" s="55" t="s">
        <v>36</v>
      </c>
      <c r="B115" s="22"/>
      <c r="C115" s="22" t="e">
        <v>#N/A</v>
      </c>
    </row>
    <row r="116" spans="1:3">
      <c r="A116" s="55" t="s">
        <v>55</v>
      </c>
      <c r="B116" s="22"/>
      <c r="C116" s="22" t="e">
        <v>#N/A</v>
      </c>
    </row>
    <row r="117" spans="1:3">
      <c r="A117" s="55" t="s">
        <v>56</v>
      </c>
      <c r="B117" s="22"/>
      <c r="C117" s="22" t="e">
        <v>#N/A</v>
      </c>
    </row>
    <row r="118" spans="1:3">
      <c r="A118" s="55" t="s">
        <v>120</v>
      </c>
      <c r="B118" s="22"/>
      <c r="C118" s="22" t="e">
        <v>#N/A</v>
      </c>
    </row>
    <row r="119" spans="1:3">
      <c r="A119" s="55" t="s">
        <v>129</v>
      </c>
      <c r="B119" s="22"/>
      <c r="C119" s="22" t="e">
        <v>#N/A</v>
      </c>
    </row>
    <row r="120" spans="1:3">
      <c r="A120" s="55" t="s">
        <v>77</v>
      </c>
      <c r="B120" s="22"/>
      <c r="C120" s="22" t="e">
        <v>#N/A</v>
      </c>
    </row>
    <row r="121" spans="1:3">
      <c r="A121" s="55" t="s">
        <v>78</v>
      </c>
      <c r="B121" s="22"/>
      <c r="C121" s="22" t="e">
        <v>#N/A</v>
      </c>
    </row>
    <row r="122" spans="1:3">
      <c r="A122" s="55" t="s">
        <v>81</v>
      </c>
      <c r="B122" s="22"/>
      <c r="C122" s="22" t="e">
        <v>#N/A</v>
      </c>
    </row>
    <row r="123" spans="1:3">
      <c r="A123" s="55" t="s">
        <v>112</v>
      </c>
      <c r="B123" s="22"/>
      <c r="C123" s="22" t="e">
        <v>#N/A</v>
      </c>
    </row>
    <row r="124" spans="1:3">
      <c r="A124" s="55" t="s">
        <v>83</v>
      </c>
      <c r="B124" s="22"/>
      <c r="C124" s="22" t="e">
        <v>#N/A</v>
      </c>
    </row>
    <row r="125" spans="1:3">
      <c r="A125" s="55" t="s">
        <v>131</v>
      </c>
      <c r="B125" s="22"/>
      <c r="C125" s="22" t="e">
        <v>#N/A</v>
      </c>
    </row>
    <row r="126" spans="1:3">
      <c r="A126" s="55" t="s">
        <v>113</v>
      </c>
      <c r="B126" s="22"/>
      <c r="C126" s="22" t="e">
        <v>#N/A</v>
      </c>
    </row>
    <row r="127" spans="1:3">
      <c r="A127" s="55" t="s">
        <v>122</v>
      </c>
      <c r="B127" s="22"/>
      <c r="C127" s="22" t="e">
        <v>#N/A</v>
      </c>
    </row>
    <row r="128" spans="1:3">
      <c r="A128" s="55" t="s">
        <v>90</v>
      </c>
      <c r="B128" s="22"/>
      <c r="C128" s="22" t="e">
        <v>#N/A</v>
      </c>
    </row>
    <row r="129" spans="1:3">
      <c r="A129" s="55" t="s">
        <v>133</v>
      </c>
      <c r="B129" s="22"/>
      <c r="C129" s="22" t="e">
        <v>#N/A</v>
      </c>
    </row>
    <row r="130" spans="1:3">
      <c r="A130" s="55" t="s">
        <v>115</v>
      </c>
      <c r="B130" s="22"/>
      <c r="C130" s="22" t="e">
        <v>#N/A</v>
      </c>
    </row>
    <row r="131" spans="1:3">
      <c r="A131" s="55" t="s">
        <v>136</v>
      </c>
      <c r="B131" s="22"/>
      <c r="C131" s="22" t="e">
        <v>#N/A</v>
      </c>
    </row>
    <row r="132" spans="1:3">
      <c r="A132" s="55" t="s">
        <v>128</v>
      </c>
      <c r="B132" s="22"/>
      <c r="C132" s="22" t="e">
        <v>#N/A</v>
      </c>
    </row>
    <row r="133" spans="1:3">
      <c r="A133" s="55" t="s">
        <v>127</v>
      </c>
      <c r="B133" s="22"/>
      <c r="C133" s="22" t="e">
        <v>#N/A</v>
      </c>
    </row>
    <row r="134" spans="1:3">
      <c r="A134" s="21" t="s">
        <v>27</v>
      </c>
      <c r="B134" s="22">
        <v>163460.89000000001</v>
      </c>
      <c r="C134" s="22" t="e">
        <v>#N/A</v>
      </c>
    </row>
    <row r="135" spans="1:3">
      <c r="A135" s="55" t="s">
        <v>57</v>
      </c>
      <c r="B135" s="22"/>
      <c r="C135" s="22" t="e">
        <v>#N/A</v>
      </c>
    </row>
    <row r="136" spans="1:3">
      <c r="A136" s="55" t="s">
        <v>58</v>
      </c>
      <c r="B136" s="22"/>
      <c r="C136" s="22" t="e">
        <v>#N/A</v>
      </c>
    </row>
    <row r="137" spans="1:3">
      <c r="A137" s="55" t="s">
        <v>59</v>
      </c>
      <c r="B137" s="22"/>
      <c r="C137" s="22" t="e">
        <v>#N/A</v>
      </c>
    </row>
    <row r="138" spans="1:3">
      <c r="A138" s="55" t="s">
        <v>60</v>
      </c>
      <c r="B138" s="22"/>
      <c r="C138" s="22" t="e">
        <v>#N/A</v>
      </c>
    </row>
    <row r="139" spans="1:3">
      <c r="A139" s="55" t="s">
        <v>61</v>
      </c>
      <c r="B139" s="22"/>
      <c r="C139" s="22" t="e">
        <v>#N/A</v>
      </c>
    </row>
    <row r="140" spans="1:3">
      <c r="A140" s="55" t="s">
        <v>36</v>
      </c>
      <c r="B140" s="22">
        <v>56519.89</v>
      </c>
      <c r="C140" s="22"/>
    </row>
    <row r="141" spans="1:3">
      <c r="A141" s="55" t="s">
        <v>62</v>
      </c>
      <c r="B141" s="22"/>
      <c r="C141" s="22" t="e">
        <v>#N/A</v>
      </c>
    </row>
    <row r="142" spans="1:3">
      <c r="A142" s="55" t="s">
        <v>63</v>
      </c>
      <c r="B142" s="22"/>
      <c r="C142" s="22" t="e">
        <v>#N/A</v>
      </c>
    </row>
    <row r="143" spans="1:3">
      <c r="A143" s="55" t="s">
        <v>64</v>
      </c>
      <c r="B143" s="22"/>
      <c r="C143" s="22" t="e">
        <v>#N/A</v>
      </c>
    </row>
    <row r="144" spans="1:3">
      <c r="A144" s="55" t="s">
        <v>55</v>
      </c>
      <c r="B144" s="22"/>
      <c r="C144" s="22" t="e">
        <v>#N/A</v>
      </c>
    </row>
    <row r="145" spans="1:3">
      <c r="A145" s="55" t="s">
        <v>43</v>
      </c>
      <c r="B145" s="22">
        <v>32007.26</v>
      </c>
      <c r="C145" s="22"/>
    </row>
    <row r="146" spans="1:3">
      <c r="A146" s="55" t="s">
        <v>65</v>
      </c>
      <c r="B146" s="22"/>
      <c r="C146" s="22" t="e">
        <v>#N/A</v>
      </c>
    </row>
    <row r="147" spans="1:3">
      <c r="A147" s="55" t="s">
        <v>44</v>
      </c>
      <c r="B147" s="22">
        <v>74933.740000000005</v>
      </c>
      <c r="C147" s="22"/>
    </row>
    <row r="148" spans="1:3">
      <c r="A148" s="55" t="s">
        <v>51</v>
      </c>
      <c r="B148" s="22"/>
      <c r="C148" s="22" t="e">
        <v>#N/A</v>
      </c>
    </row>
    <row r="149" spans="1:3">
      <c r="A149" s="55" t="s">
        <v>66</v>
      </c>
      <c r="B149" s="22"/>
      <c r="C149" s="22" t="e">
        <v>#N/A</v>
      </c>
    </row>
    <row r="150" spans="1:3">
      <c r="A150" s="55" t="s">
        <v>120</v>
      </c>
      <c r="B150" s="22"/>
      <c r="C150" s="22" t="e">
        <v>#N/A</v>
      </c>
    </row>
    <row r="151" spans="1:3">
      <c r="A151" s="55" t="s">
        <v>129</v>
      </c>
      <c r="B151" s="22"/>
      <c r="C151" s="22" t="e">
        <v>#N/A</v>
      </c>
    </row>
    <row r="152" spans="1:3">
      <c r="A152" s="55" t="s">
        <v>77</v>
      </c>
      <c r="B152" s="22"/>
      <c r="C152" s="22" t="e">
        <v>#N/A</v>
      </c>
    </row>
    <row r="153" spans="1:3">
      <c r="A153" s="55" t="s">
        <v>78</v>
      </c>
      <c r="B153" s="22"/>
      <c r="C153" s="22" t="e">
        <v>#N/A</v>
      </c>
    </row>
    <row r="154" spans="1:3">
      <c r="A154" s="55" t="s">
        <v>81</v>
      </c>
      <c r="B154" s="22"/>
      <c r="C154" s="22" t="e">
        <v>#N/A</v>
      </c>
    </row>
    <row r="155" spans="1:3">
      <c r="A155" s="55" t="s">
        <v>112</v>
      </c>
      <c r="B155" s="22"/>
      <c r="C155" s="22" t="e">
        <v>#N/A</v>
      </c>
    </row>
    <row r="156" spans="1:3">
      <c r="A156" s="55" t="s">
        <v>83</v>
      </c>
      <c r="B156" s="22"/>
      <c r="C156" s="22" t="e">
        <v>#N/A</v>
      </c>
    </row>
    <row r="157" spans="1:3">
      <c r="A157" s="55" t="s">
        <v>131</v>
      </c>
      <c r="B157" s="22"/>
      <c r="C157" s="22" t="e">
        <v>#N/A</v>
      </c>
    </row>
    <row r="158" spans="1:3">
      <c r="A158" s="55" t="s">
        <v>113</v>
      </c>
      <c r="B158" s="22"/>
      <c r="C158" s="22" t="e">
        <v>#N/A</v>
      </c>
    </row>
    <row r="159" spans="1:3">
      <c r="A159" s="55" t="s">
        <v>122</v>
      </c>
      <c r="B159" s="22"/>
      <c r="C159" s="22" t="e">
        <v>#N/A</v>
      </c>
    </row>
    <row r="160" spans="1:3">
      <c r="A160" s="55" t="s">
        <v>90</v>
      </c>
      <c r="B160" s="22"/>
      <c r="C160" s="22" t="e">
        <v>#N/A</v>
      </c>
    </row>
    <row r="161" spans="1:3">
      <c r="A161" s="55" t="s">
        <v>133</v>
      </c>
      <c r="B161" s="22"/>
      <c r="C161" s="22" t="e">
        <v>#N/A</v>
      </c>
    </row>
    <row r="162" spans="1:3">
      <c r="A162" s="55" t="s">
        <v>115</v>
      </c>
      <c r="B162" s="22"/>
      <c r="C162" s="22" t="e">
        <v>#N/A</v>
      </c>
    </row>
    <row r="163" spans="1:3">
      <c r="A163" s="55" t="s">
        <v>136</v>
      </c>
      <c r="B163" s="22"/>
      <c r="C163" s="22" t="e">
        <v>#N/A</v>
      </c>
    </row>
    <row r="164" spans="1:3">
      <c r="A164" s="55" t="s">
        <v>128</v>
      </c>
      <c r="B164" s="22"/>
      <c r="C164" s="22" t="e">
        <v>#N/A</v>
      </c>
    </row>
    <row r="165" spans="1:3">
      <c r="A165" s="55" t="s">
        <v>127</v>
      </c>
      <c r="B165" s="22"/>
      <c r="C165" s="22" t="e">
        <v>#N/A</v>
      </c>
    </row>
    <row r="166" spans="1:3">
      <c r="A166" s="55" t="s">
        <v>67</v>
      </c>
      <c r="B166" s="22"/>
      <c r="C166" s="22" t="e">
        <v>#N/A</v>
      </c>
    </row>
    <row r="167" spans="1:3">
      <c r="A167" s="55" t="s">
        <v>74</v>
      </c>
      <c r="B167" s="22"/>
      <c r="C167" s="22" t="e">
        <v>#N/A</v>
      </c>
    </row>
    <row r="168" spans="1:3">
      <c r="A168" s="55" t="s">
        <v>146</v>
      </c>
      <c r="B168" s="22"/>
      <c r="C168" s="22" t="e">
        <v>#N/A</v>
      </c>
    </row>
    <row r="169" spans="1:3">
      <c r="A169" s="55" t="s">
        <v>125</v>
      </c>
      <c r="B169" s="22"/>
      <c r="C169" s="22" t="e">
        <v>#N/A</v>
      </c>
    </row>
    <row r="170" spans="1:3">
      <c r="A170" s="55" t="s">
        <v>92</v>
      </c>
      <c r="B170" s="22"/>
      <c r="C170" s="22" t="e">
        <v>#N/A</v>
      </c>
    </row>
    <row r="171" spans="1:3">
      <c r="A171" s="55" t="s">
        <v>107</v>
      </c>
      <c r="B171" s="22"/>
      <c r="C171" s="22" t="e">
        <v>#N/A</v>
      </c>
    </row>
    <row r="172" spans="1:3">
      <c r="A172" s="55" t="s">
        <v>95</v>
      </c>
      <c r="B172" s="22"/>
      <c r="C172" s="22" t="e">
        <v>#N/A</v>
      </c>
    </row>
    <row r="173" spans="1:3">
      <c r="A173" s="55" t="s">
        <v>126</v>
      </c>
      <c r="B173" s="22"/>
      <c r="C173" s="22" t="e">
        <v>#N/A</v>
      </c>
    </row>
    <row r="174" spans="1:3">
      <c r="A174" s="55" t="s">
        <v>100</v>
      </c>
      <c r="B174" s="22"/>
      <c r="C174" s="22" t="e">
        <v>#N/A</v>
      </c>
    </row>
    <row r="175" spans="1:3">
      <c r="A175" s="55" t="s">
        <v>137</v>
      </c>
      <c r="B175" s="22"/>
      <c r="C175" s="22" t="e">
        <v>#N/A</v>
      </c>
    </row>
    <row r="176" spans="1:3">
      <c r="A176" s="55" t="s">
        <v>102</v>
      </c>
      <c r="B176" s="22"/>
      <c r="C176" s="22" t="e">
        <v>#N/A</v>
      </c>
    </row>
    <row r="177" spans="1:3">
      <c r="A177" s="55" t="s">
        <v>116</v>
      </c>
      <c r="B177" s="22"/>
      <c r="C177" s="22" t="e">
        <v>#N/A</v>
      </c>
    </row>
    <row r="178" spans="1:3">
      <c r="A178" s="21" t="s">
        <v>68</v>
      </c>
      <c r="B178" s="22"/>
      <c r="C178" s="22" t="e">
        <v>#N/A</v>
      </c>
    </row>
    <row r="179" spans="1:3">
      <c r="A179" s="55" t="s">
        <v>36</v>
      </c>
      <c r="B179" s="22"/>
      <c r="C179" s="22" t="e">
        <v>#N/A</v>
      </c>
    </row>
    <row r="180" spans="1:3">
      <c r="A180" s="55" t="s">
        <v>120</v>
      </c>
      <c r="B180" s="22"/>
      <c r="C180" s="22" t="e">
        <v>#N/A</v>
      </c>
    </row>
    <row r="181" spans="1:3">
      <c r="A181" s="55" t="s">
        <v>129</v>
      </c>
      <c r="B181" s="22"/>
      <c r="C181" s="22" t="e">
        <v>#N/A</v>
      </c>
    </row>
    <row r="182" spans="1:3">
      <c r="A182" s="55" t="s">
        <v>77</v>
      </c>
      <c r="B182" s="22"/>
      <c r="C182" s="22" t="e">
        <v>#N/A</v>
      </c>
    </row>
    <row r="183" spans="1:3">
      <c r="A183" s="55" t="s">
        <v>78</v>
      </c>
      <c r="B183" s="22"/>
      <c r="C183" s="22" t="e">
        <v>#N/A</v>
      </c>
    </row>
    <row r="184" spans="1:3">
      <c r="A184" s="55" t="s">
        <v>81</v>
      </c>
      <c r="B184" s="22"/>
      <c r="C184" s="22" t="e">
        <v>#N/A</v>
      </c>
    </row>
    <row r="185" spans="1:3">
      <c r="A185" s="55" t="s">
        <v>112</v>
      </c>
      <c r="B185" s="22"/>
      <c r="C185" s="22" t="e">
        <v>#N/A</v>
      </c>
    </row>
    <row r="186" spans="1:3">
      <c r="A186" s="55" t="s">
        <v>83</v>
      </c>
      <c r="B186" s="22"/>
      <c r="C186" s="22" t="e">
        <v>#N/A</v>
      </c>
    </row>
    <row r="187" spans="1:3">
      <c r="A187" s="55" t="s">
        <v>131</v>
      </c>
      <c r="B187" s="22"/>
      <c r="C187" s="22" t="e">
        <v>#N/A</v>
      </c>
    </row>
    <row r="188" spans="1:3">
      <c r="A188" s="55" t="s">
        <v>113</v>
      </c>
      <c r="B188" s="22"/>
      <c r="C188" s="22" t="e">
        <v>#N/A</v>
      </c>
    </row>
    <row r="189" spans="1:3">
      <c r="A189" s="55" t="s">
        <v>122</v>
      </c>
      <c r="B189" s="22"/>
      <c r="C189" s="22" t="e">
        <v>#N/A</v>
      </c>
    </row>
    <row r="190" spans="1:3">
      <c r="A190" s="55" t="s">
        <v>90</v>
      </c>
      <c r="B190" s="22"/>
      <c r="C190" s="22" t="e">
        <v>#N/A</v>
      </c>
    </row>
    <row r="191" spans="1:3">
      <c r="A191" s="55" t="s">
        <v>133</v>
      </c>
      <c r="B191" s="22"/>
      <c r="C191" s="22" t="e">
        <v>#N/A</v>
      </c>
    </row>
    <row r="192" spans="1:3">
      <c r="A192" s="55" t="s">
        <v>115</v>
      </c>
      <c r="B192" s="22"/>
      <c r="C192" s="22" t="e">
        <v>#N/A</v>
      </c>
    </row>
    <row r="193" spans="1:3">
      <c r="A193" s="55" t="s">
        <v>136</v>
      </c>
      <c r="B193" s="22"/>
      <c r="C193" s="22" t="e">
        <v>#N/A</v>
      </c>
    </row>
    <row r="194" spans="1:3">
      <c r="A194" s="55" t="s">
        <v>128</v>
      </c>
      <c r="B194" s="22"/>
      <c r="C194" s="22" t="e">
        <v>#N/A</v>
      </c>
    </row>
    <row r="195" spans="1:3">
      <c r="A195" s="55" t="s">
        <v>127</v>
      </c>
      <c r="B195" s="22"/>
      <c r="C195" s="22" t="e">
        <v>#N/A</v>
      </c>
    </row>
    <row r="196" spans="1:3">
      <c r="A196" s="55" t="s">
        <v>67</v>
      </c>
      <c r="B196" s="22"/>
      <c r="C196" s="22" t="e">
        <v>#N/A</v>
      </c>
    </row>
    <row r="197" spans="1:3">
      <c r="A197" s="55" t="s">
        <v>74</v>
      </c>
      <c r="B197" s="22"/>
      <c r="C197" s="22" t="e">
        <v>#N/A</v>
      </c>
    </row>
    <row r="198" spans="1:3">
      <c r="A198" s="55" t="s">
        <v>125</v>
      </c>
      <c r="B198" s="22"/>
      <c r="C198" s="22" t="e">
        <v>#N/A</v>
      </c>
    </row>
    <row r="199" spans="1:3">
      <c r="A199" s="55" t="s">
        <v>92</v>
      </c>
      <c r="B199" s="22"/>
      <c r="C199" s="22" t="e">
        <v>#N/A</v>
      </c>
    </row>
    <row r="200" spans="1:3">
      <c r="A200" s="55" t="s">
        <v>107</v>
      </c>
      <c r="B200" s="22"/>
      <c r="C200" s="22" t="e">
        <v>#N/A</v>
      </c>
    </row>
    <row r="201" spans="1:3">
      <c r="A201" s="55" t="s">
        <v>95</v>
      </c>
      <c r="B201" s="22"/>
      <c r="C201" s="22" t="e">
        <v>#N/A</v>
      </c>
    </row>
    <row r="202" spans="1:3">
      <c r="A202" s="55" t="s">
        <v>126</v>
      </c>
      <c r="B202" s="22"/>
      <c r="C202" s="22" t="e">
        <v>#N/A</v>
      </c>
    </row>
    <row r="203" spans="1:3">
      <c r="A203" s="55" t="s">
        <v>100</v>
      </c>
      <c r="B203" s="22"/>
      <c r="C203" s="22" t="e">
        <v>#N/A</v>
      </c>
    </row>
    <row r="204" spans="1:3">
      <c r="A204" s="55" t="s">
        <v>137</v>
      </c>
      <c r="B204" s="22"/>
      <c r="C204" s="22" t="e">
        <v>#N/A</v>
      </c>
    </row>
    <row r="205" spans="1:3">
      <c r="A205" s="55" t="s">
        <v>102</v>
      </c>
      <c r="B205" s="22"/>
      <c r="C205" s="22" t="e">
        <v>#N/A</v>
      </c>
    </row>
    <row r="206" spans="1:3">
      <c r="A206" s="55" t="s">
        <v>116</v>
      </c>
      <c r="B206" s="22"/>
      <c r="C206" s="22" t="e">
        <v>#N/A</v>
      </c>
    </row>
    <row r="207" spans="1:3">
      <c r="A207" s="55" t="s">
        <v>69</v>
      </c>
      <c r="B207" s="22"/>
      <c r="C207" s="22" t="e">
        <v>#N/A</v>
      </c>
    </row>
    <row r="208" spans="1:3">
      <c r="A208" s="55" t="s">
        <v>70</v>
      </c>
      <c r="B208" s="22"/>
      <c r="C208" s="22" t="e">
        <v>#N/A</v>
      </c>
    </row>
    <row r="209" spans="1:3">
      <c r="A209" s="55" t="s">
        <v>71</v>
      </c>
      <c r="B209" s="22"/>
      <c r="C209" s="22" t="e">
        <v>#N/A</v>
      </c>
    </row>
    <row r="210" spans="1:3">
      <c r="A210" s="55" t="s">
        <v>75</v>
      </c>
      <c r="B210" s="22"/>
      <c r="C210" s="22" t="e">
        <v>#N/A</v>
      </c>
    </row>
    <row r="211" spans="1:3">
      <c r="A211" s="55" t="s">
        <v>130</v>
      </c>
      <c r="B211" s="22"/>
      <c r="C211" s="22" t="e">
        <v>#N/A</v>
      </c>
    </row>
    <row r="212" spans="1:3">
      <c r="A212" s="55" t="s">
        <v>76</v>
      </c>
      <c r="B212" s="22"/>
      <c r="C212" s="22" t="e">
        <v>#N/A</v>
      </c>
    </row>
    <row r="213" spans="1:3">
      <c r="A213" s="55" t="s">
        <v>79</v>
      </c>
      <c r="B213" s="22"/>
      <c r="C213" s="22" t="e">
        <v>#N/A</v>
      </c>
    </row>
    <row r="214" spans="1:3">
      <c r="A214" s="55" t="s">
        <v>111</v>
      </c>
      <c r="B214" s="22"/>
      <c r="C214" s="22" t="e">
        <v>#N/A</v>
      </c>
    </row>
    <row r="215" spans="1:3">
      <c r="A215" s="55" t="s">
        <v>80</v>
      </c>
      <c r="B215" s="22"/>
      <c r="C215" s="22" t="e">
        <v>#N/A</v>
      </c>
    </row>
    <row r="216" spans="1:3">
      <c r="A216" s="55" t="s">
        <v>117</v>
      </c>
      <c r="B216" s="22"/>
      <c r="C216" s="22" t="e">
        <v>#N/A</v>
      </c>
    </row>
    <row r="217" spans="1:3">
      <c r="A217" s="55" t="s">
        <v>82</v>
      </c>
      <c r="B217" s="22"/>
      <c r="C217" s="22" t="e">
        <v>#N/A</v>
      </c>
    </row>
    <row r="218" spans="1:3">
      <c r="A218" s="55" t="s">
        <v>87</v>
      </c>
      <c r="B218" s="22"/>
      <c r="C218" s="22" t="e">
        <v>#N/A</v>
      </c>
    </row>
    <row r="219" spans="1:3">
      <c r="A219" s="55" t="s">
        <v>88</v>
      </c>
      <c r="B219" s="22"/>
      <c r="C219" s="22" t="e">
        <v>#N/A</v>
      </c>
    </row>
    <row r="220" spans="1:3">
      <c r="A220" s="55" t="s">
        <v>89</v>
      </c>
      <c r="B220" s="22"/>
      <c r="C220" s="22" t="e">
        <v>#N/A</v>
      </c>
    </row>
    <row r="221" spans="1:3">
      <c r="A221" s="55" t="s">
        <v>93</v>
      </c>
      <c r="B221" s="22"/>
      <c r="C221" s="22" t="e">
        <v>#N/A</v>
      </c>
    </row>
    <row r="222" spans="1:3">
      <c r="A222" s="55" t="s">
        <v>94</v>
      </c>
      <c r="B222" s="22"/>
      <c r="C222" s="22" t="e">
        <v>#N/A</v>
      </c>
    </row>
    <row r="223" spans="1:3">
      <c r="A223" s="55" t="s">
        <v>101</v>
      </c>
      <c r="B223" s="22"/>
      <c r="C223" s="22" t="e">
        <v>#N/A</v>
      </c>
    </row>
    <row r="224" spans="1:3">
      <c r="A224" s="21" t="s">
        <v>49</v>
      </c>
      <c r="B224" s="22">
        <v>1703503.75</v>
      </c>
      <c r="C224" s="22" t="e">
        <v>#N/A</v>
      </c>
    </row>
    <row r="225" spans="1:3">
      <c r="A225" s="55" t="s">
        <v>48</v>
      </c>
      <c r="B225" s="22">
        <v>607266.5199999999</v>
      </c>
      <c r="C225" s="22"/>
    </row>
    <row r="226" spans="1:3">
      <c r="A226" s="55" t="s">
        <v>36</v>
      </c>
      <c r="B226" s="22"/>
      <c r="C226" s="22" t="e">
        <v>#N/A</v>
      </c>
    </row>
    <row r="227" spans="1:3">
      <c r="A227" s="55" t="s">
        <v>103</v>
      </c>
      <c r="B227" s="22"/>
      <c r="C227" s="22" t="e">
        <v>#N/A</v>
      </c>
    </row>
    <row r="228" spans="1:3">
      <c r="A228" s="55" t="s">
        <v>50</v>
      </c>
      <c r="B228" s="22">
        <v>534717.81000000006</v>
      </c>
      <c r="C228" s="22"/>
    </row>
    <row r="229" spans="1:3">
      <c r="A229" s="55" t="s">
        <v>55</v>
      </c>
      <c r="B229" s="22"/>
      <c r="C229" s="22" t="e">
        <v>#N/A</v>
      </c>
    </row>
    <row r="230" spans="1:3">
      <c r="A230" s="55" t="s">
        <v>104</v>
      </c>
      <c r="B230" s="22"/>
      <c r="C230" s="22" t="e">
        <v>#N/A</v>
      </c>
    </row>
    <row r="231" spans="1:3">
      <c r="A231" s="55" t="s">
        <v>51</v>
      </c>
      <c r="B231" s="22">
        <v>561519.42000000004</v>
      </c>
      <c r="C231" s="22"/>
    </row>
    <row r="232" spans="1:3">
      <c r="A232" s="21" t="s">
        <v>106</v>
      </c>
      <c r="B232" s="22"/>
      <c r="C232" s="22" t="e">
        <v>#N/A</v>
      </c>
    </row>
    <row r="233" spans="1:3">
      <c r="A233" s="55" t="s">
        <v>62</v>
      </c>
      <c r="B233" s="22"/>
      <c r="C233" s="22" t="e">
        <v>#N/A</v>
      </c>
    </row>
    <row r="234" spans="1:3">
      <c r="A234" s="55" t="s">
        <v>65</v>
      </c>
      <c r="B234" s="22"/>
      <c r="C234" s="22" t="e">
        <v>#N/A</v>
      </c>
    </row>
    <row r="235" spans="1:3">
      <c r="A235" s="55" t="s">
        <v>56</v>
      </c>
      <c r="B235" s="22"/>
      <c r="C235" s="22" t="e">
        <v>#N/A</v>
      </c>
    </row>
    <row r="236" spans="1:3">
      <c r="A236" s="55" t="s">
        <v>108</v>
      </c>
      <c r="B236" s="22"/>
      <c r="C236" s="22" t="e">
        <v>#N/A</v>
      </c>
    </row>
    <row r="237" spans="1:3">
      <c r="A237" s="55" t="s">
        <v>120</v>
      </c>
      <c r="B237" s="22"/>
      <c r="C237" s="22" t="e">
        <v>#N/A</v>
      </c>
    </row>
    <row r="238" spans="1:3">
      <c r="A238" s="55" t="s">
        <v>129</v>
      </c>
      <c r="B238" s="22"/>
      <c r="C238" s="22" t="e">
        <v>#N/A</v>
      </c>
    </row>
    <row r="239" spans="1:3">
      <c r="A239" s="55" t="s">
        <v>77</v>
      </c>
      <c r="B239" s="22"/>
      <c r="C239" s="22" t="e">
        <v>#N/A</v>
      </c>
    </row>
    <row r="240" spans="1:3">
      <c r="A240" s="55" t="s">
        <v>78</v>
      </c>
      <c r="B240" s="22"/>
      <c r="C240" s="22" t="e">
        <v>#N/A</v>
      </c>
    </row>
    <row r="241" spans="1:3">
      <c r="A241" s="55" t="s">
        <v>81</v>
      </c>
      <c r="B241" s="22"/>
      <c r="C241" s="22" t="e">
        <v>#N/A</v>
      </c>
    </row>
    <row r="242" spans="1:3">
      <c r="A242" s="55" t="s">
        <v>112</v>
      </c>
      <c r="B242" s="22"/>
      <c r="C242" s="22" t="e">
        <v>#N/A</v>
      </c>
    </row>
    <row r="243" spans="1:3">
      <c r="A243" s="55" t="s">
        <v>83</v>
      </c>
      <c r="B243" s="22"/>
      <c r="C243" s="22" t="e">
        <v>#N/A</v>
      </c>
    </row>
    <row r="244" spans="1:3">
      <c r="A244" s="55" t="s">
        <v>131</v>
      </c>
      <c r="B244" s="22"/>
      <c r="C244" s="22" t="e">
        <v>#N/A</v>
      </c>
    </row>
    <row r="245" spans="1:3">
      <c r="A245" s="55" t="s">
        <v>113</v>
      </c>
      <c r="B245" s="22"/>
      <c r="C245" s="22" t="e">
        <v>#N/A</v>
      </c>
    </row>
    <row r="246" spans="1:3">
      <c r="A246" s="55" t="s">
        <v>122</v>
      </c>
      <c r="B246" s="22"/>
      <c r="C246" s="22" t="e">
        <v>#N/A</v>
      </c>
    </row>
    <row r="247" spans="1:3">
      <c r="A247" s="55" t="s">
        <v>90</v>
      </c>
      <c r="B247" s="22"/>
      <c r="C247" s="22" t="e">
        <v>#N/A</v>
      </c>
    </row>
    <row r="248" spans="1:3">
      <c r="A248" s="55" t="s">
        <v>133</v>
      </c>
      <c r="B248" s="22"/>
      <c r="C248" s="22" t="e">
        <v>#N/A</v>
      </c>
    </row>
    <row r="249" spans="1:3">
      <c r="A249" s="55" t="s">
        <v>115</v>
      </c>
      <c r="B249" s="22"/>
      <c r="C249" s="22" t="e">
        <v>#N/A</v>
      </c>
    </row>
    <row r="250" spans="1:3">
      <c r="A250" s="55" t="s">
        <v>136</v>
      </c>
      <c r="B250" s="22"/>
      <c r="C250" s="22" t="e">
        <v>#N/A</v>
      </c>
    </row>
    <row r="251" spans="1:3">
      <c r="A251" s="55" t="s">
        <v>128</v>
      </c>
      <c r="B251" s="22"/>
      <c r="C251" s="22" t="e">
        <v>#N/A</v>
      </c>
    </row>
    <row r="252" spans="1:3">
      <c r="A252" s="55" t="s">
        <v>127</v>
      </c>
      <c r="B252" s="22"/>
      <c r="C252" s="22" t="e">
        <v>#N/A</v>
      </c>
    </row>
    <row r="253" spans="1:3">
      <c r="A253" s="55" t="s">
        <v>67</v>
      </c>
      <c r="B253" s="22"/>
      <c r="C253" s="22" t="e">
        <v>#N/A</v>
      </c>
    </row>
    <row r="254" spans="1:3">
      <c r="A254" s="55" t="s">
        <v>74</v>
      </c>
      <c r="B254" s="22"/>
      <c r="C254" s="22" t="e">
        <v>#N/A</v>
      </c>
    </row>
    <row r="255" spans="1:3">
      <c r="A255" s="55" t="s">
        <v>125</v>
      </c>
      <c r="B255" s="22"/>
      <c r="C255" s="22" t="e">
        <v>#N/A</v>
      </c>
    </row>
    <row r="256" spans="1:3">
      <c r="A256" s="55" t="s">
        <v>92</v>
      </c>
      <c r="B256" s="22"/>
      <c r="C256" s="22" t="e">
        <v>#N/A</v>
      </c>
    </row>
    <row r="257" spans="1:3">
      <c r="A257" s="55" t="s">
        <v>107</v>
      </c>
      <c r="B257" s="22"/>
      <c r="C257" s="22" t="e">
        <v>#N/A</v>
      </c>
    </row>
    <row r="258" spans="1:3">
      <c r="A258" s="55" t="s">
        <v>95</v>
      </c>
      <c r="B258" s="22"/>
      <c r="C258" s="22" t="e">
        <v>#N/A</v>
      </c>
    </row>
    <row r="259" spans="1:3">
      <c r="A259" s="55" t="s">
        <v>126</v>
      </c>
      <c r="B259" s="22"/>
      <c r="C259" s="22" t="e">
        <v>#N/A</v>
      </c>
    </row>
    <row r="260" spans="1:3">
      <c r="A260" s="55" t="s">
        <v>100</v>
      </c>
      <c r="B260" s="22"/>
      <c r="C260" s="22" t="e">
        <v>#N/A</v>
      </c>
    </row>
    <row r="261" spans="1:3">
      <c r="A261" s="55" t="s">
        <v>137</v>
      </c>
      <c r="B261" s="22"/>
      <c r="C261" s="22" t="e">
        <v>#N/A</v>
      </c>
    </row>
    <row r="262" spans="1:3">
      <c r="A262" s="55" t="s">
        <v>102</v>
      </c>
      <c r="B262" s="22"/>
      <c r="C262" s="22" t="e">
        <v>#N/A</v>
      </c>
    </row>
    <row r="263" spans="1:3">
      <c r="A263" s="55" t="s">
        <v>116</v>
      </c>
      <c r="B263" s="22"/>
      <c r="C263" s="22" t="e">
        <v>#N/A</v>
      </c>
    </row>
    <row r="264" spans="1:3">
      <c r="A264" s="55" t="s">
        <v>69</v>
      </c>
      <c r="B264" s="22"/>
      <c r="C264" s="22" t="e">
        <v>#N/A</v>
      </c>
    </row>
    <row r="265" spans="1:3">
      <c r="A265" s="55" t="s">
        <v>70</v>
      </c>
      <c r="B265" s="22"/>
      <c r="C265" s="22" t="e">
        <v>#N/A</v>
      </c>
    </row>
    <row r="266" spans="1:3">
      <c r="A266" s="55" t="s">
        <v>71</v>
      </c>
      <c r="B266" s="22"/>
      <c r="C266" s="22" t="e">
        <v>#N/A</v>
      </c>
    </row>
    <row r="267" spans="1:3">
      <c r="A267" s="55" t="s">
        <v>75</v>
      </c>
      <c r="B267" s="22"/>
      <c r="C267" s="22" t="e">
        <v>#N/A</v>
      </c>
    </row>
    <row r="268" spans="1:3">
      <c r="A268" s="55" t="s">
        <v>130</v>
      </c>
      <c r="B268" s="22"/>
      <c r="C268" s="22" t="e">
        <v>#N/A</v>
      </c>
    </row>
    <row r="269" spans="1:3">
      <c r="A269" s="55" t="s">
        <v>76</v>
      </c>
      <c r="B269" s="22"/>
      <c r="C269" s="22" t="e">
        <v>#N/A</v>
      </c>
    </row>
    <row r="270" spans="1:3">
      <c r="A270" s="55" t="s">
        <v>79</v>
      </c>
      <c r="B270" s="22"/>
      <c r="C270" s="22" t="e">
        <v>#N/A</v>
      </c>
    </row>
    <row r="271" spans="1:3">
      <c r="A271" s="55" t="s">
        <v>111</v>
      </c>
      <c r="B271" s="22"/>
      <c r="C271" s="22" t="e">
        <v>#N/A</v>
      </c>
    </row>
    <row r="272" spans="1:3">
      <c r="A272" s="55" t="s">
        <v>80</v>
      </c>
      <c r="B272" s="22"/>
      <c r="C272" s="22" t="e">
        <v>#N/A</v>
      </c>
    </row>
    <row r="273" spans="1:3">
      <c r="A273" s="55" t="s">
        <v>117</v>
      </c>
      <c r="B273" s="22"/>
      <c r="C273" s="22" t="e">
        <v>#N/A</v>
      </c>
    </row>
    <row r="274" spans="1:3">
      <c r="A274" s="55" t="s">
        <v>82</v>
      </c>
      <c r="B274" s="22"/>
      <c r="C274" s="22" t="e">
        <v>#N/A</v>
      </c>
    </row>
    <row r="275" spans="1:3">
      <c r="A275" s="55" t="s">
        <v>87</v>
      </c>
      <c r="B275" s="22"/>
      <c r="C275" s="22" t="e">
        <v>#N/A</v>
      </c>
    </row>
    <row r="276" spans="1:3">
      <c r="A276" s="55" t="s">
        <v>88</v>
      </c>
      <c r="B276" s="22"/>
      <c r="C276" s="22" t="e">
        <v>#N/A</v>
      </c>
    </row>
    <row r="277" spans="1:3">
      <c r="A277" s="55" t="s">
        <v>89</v>
      </c>
      <c r="B277" s="22"/>
      <c r="C277" s="22" t="e">
        <v>#N/A</v>
      </c>
    </row>
    <row r="278" spans="1:3">
      <c r="A278" s="55" t="s">
        <v>93</v>
      </c>
      <c r="B278" s="22"/>
      <c r="C278" s="22" t="e">
        <v>#N/A</v>
      </c>
    </row>
    <row r="279" spans="1:3">
      <c r="A279" s="55" t="s">
        <v>94</v>
      </c>
      <c r="B279" s="22"/>
      <c r="C279" s="22" t="e">
        <v>#N/A</v>
      </c>
    </row>
    <row r="280" spans="1:3">
      <c r="A280" s="55" t="s">
        <v>101</v>
      </c>
      <c r="B280" s="22"/>
      <c r="C280" s="22" t="e">
        <v>#N/A</v>
      </c>
    </row>
    <row r="281" spans="1:3">
      <c r="A281" s="21" t="s">
        <v>151</v>
      </c>
      <c r="B281" s="22"/>
      <c r="C281" s="22" t="e">
        <v>#N/A</v>
      </c>
    </row>
    <row r="282" spans="1:3">
      <c r="A282" s="55" t="s">
        <v>120</v>
      </c>
      <c r="B282" s="22"/>
      <c r="C282" s="22" t="e">
        <v>#N/A</v>
      </c>
    </row>
    <row r="283" spans="1:3">
      <c r="A283" s="55" t="s">
        <v>78</v>
      </c>
      <c r="B283" s="22"/>
      <c r="C283" s="22" t="e">
        <v>#N/A</v>
      </c>
    </row>
    <row r="284" spans="1:3">
      <c r="A284" s="55" t="s">
        <v>81</v>
      </c>
      <c r="B284" s="22"/>
      <c r="C284" s="22" t="e">
        <v>#N/A</v>
      </c>
    </row>
    <row r="285" spans="1:3">
      <c r="A285" s="55" t="s">
        <v>112</v>
      </c>
      <c r="B285" s="22"/>
      <c r="C285" s="22" t="e">
        <v>#N/A</v>
      </c>
    </row>
    <row r="286" spans="1:3">
      <c r="A286" s="55" t="s">
        <v>83</v>
      </c>
      <c r="B286" s="22"/>
      <c r="C286" s="22" t="e">
        <v>#N/A</v>
      </c>
    </row>
    <row r="287" spans="1:3">
      <c r="A287" s="55" t="s">
        <v>131</v>
      </c>
      <c r="B287" s="22"/>
      <c r="C287" s="22" t="e">
        <v>#N/A</v>
      </c>
    </row>
    <row r="288" spans="1:3">
      <c r="A288" s="55" t="s">
        <v>113</v>
      </c>
      <c r="B288" s="22"/>
      <c r="C288" s="22" t="e">
        <v>#N/A</v>
      </c>
    </row>
    <row r="289" spans="1:3">
      <c r="A289" s="55" t="s">
        <v>115</v>
      </c>
      <c r="B289" s="22"/>
      <c r="C289" s="22" t="e">
        <v>#N/A</v>
      </c>
    </row>
    <row r="290" spans="1:3">
      <c r="A290" s="55" t="s">
        <v>136</v>
      </c>
      <c r="B290" s="22"/>
      <c r="C290" s="22" t="e">
        <v>#N/A</v>
      </c>
    </row>
    <row r="291" spans="1:3">
      <c r="A291" s="55" t="s">
        <v>128</v>
      </c>
      <c r="B291" s="22"/>
      <c r="C291" s="22" t="e">
        <v>#N/A</v>
      </c>
    </row>
    <row r="292" spans="1:3">
      <c r="A292" s="55" t="s">
        <v>127</v>
      </c>
      <c r="B292" s="22"/>
      <c r="C292" s="22" t="e">
        <v>#N/A</v>
      </c>
    </row>
    <row r="293" spans="1:3">
      <c r="A293" s="55" t="s">
        <v>137</v>
      </c>
      <c r="B293" s="22"/>
      <c r="C293" s="22" t="e">
        <v>#N/A</v>
      </c>
    </row>
    <row r="294" spans="1:3">
      <c r="A294" s="21" t="s">
        <v>141</v>
      </c>
      <c r="B294" s="22"/>
      <c r="C294" s="22" t="e">
        <v>#N/A</v>
      </c>
    </row>
    <row r="295" spans="1:3">
      <c r="A295" s="55" t="s">
        <v>120</v>
      </c>
      <c r="B295" s="22"/>
      <c r="C295" s="22" t="e">
        <v>#N/A</v>
      </c>
    </row>
    <row r="296" spans="1:3">
      <c r="A296" s="55" t="s">
        <v>78</v>
      </c>
      <c r="B296" s="22"/>
      <c r="C296" s="22" t="e">
        <v>#N/A</v>
      </c>
    </row>
    <row r="297" spans="1:3">
      <c r="A297" s="55" t="s">
        <v>81</v>
      </c>
      <c r="B297" s="22"/>
      <c r="C297" s="22" t="e">
        <v>#N/A</v>
      </c>
    </row>
    <row r="298" spans="1:3">
      <c r="A298" s="55" t="s">
        <v>112</v>
      </c>
      <c r="B298" s="22"/>
      <c r="C298" s="22" t="e">
        <v>#N/A</v>
      </c>
    </row>
    <row r="299" spans="1:3">
      <c r="A299" s="55" t="s">
        <v>83</v>
      </c>
      <c r="B299" s="22"/>
      <c r="C299" s="22" t="e">
        <v>#N/A</v>
      </c>
    </row>
    <row r="300" spans="1:3">
      <c r="A300" s="55" t="s">
        <v>131</v>
      </c>
      <c r="B300" s="22"/>
      <c r="C300" s="22" t="e">
        <v>#N/A</v>
      </c>
    </row>
    <row r="301" spans="1:3">
      <c r="A301" s="55" t="s">
        <v>113</v>
      </c>
      <c r="B301" s="22"/>
      <c r="C301" s="22" t="e">
        <v>#N/A</v>
      </c>
    </row>
    <row r="302" spans="1:3">
      <c r="A302" s="55" t="s">
        <v>115</v>
      </c>
      <c r="B302" s="22"/>
      <c r="C302" s="22" t="e">
        <v>#N/A</v>
      </c>
    </row>
    <row r="303" spans="1:3">
      <c r="A303" s="55" t="s">
        <v>136</v>
      </c>
      <c r="B303" s="22"/>
      <c r="C303" s="22" t="e">
        <v>#N/A</v>
      </c>
    </row>
    <row r="304" spans="1:3">
      <c r="A304" s="55" t="s">
        <v>128</v>
      </c>
      <c r="B304" s="22"/>
      <c r="C304" s="22" t="e">
        <v>#N/A</v>
      </c>
    </row>
    <row r="305" spans="1:3">
      <c r="A305" s="55" t="s">
        <v>127</v>
      </c>
      <c r="B305" s="22"/>
      <c r="C305" s="22" t="e">
        <v>#N/A</v>
      </c>
    </row>
    <row r="306" spans="1:3">
      <c r="A306" s="21" t="s">
        <v>150</v>
      </c>
      <c r="B306" s="22"/>
      <c r="C306" s="22" t="e">
        <v>#N/A</v>
      </c>
    </row>
    <row r="307" spans="1:3">
      <c r="A307" s="55" t="s">
        <v>120</v>
      </c>
      <c r="B307" s="22"/>
      <c r="C307" s="22" t="e">
        <v>#N/A</v>
      </c>
    </row>
    <row r="308" spans="1:3">
      <c r="A308" s="55" t="s">
        <v>129</v>
      </c>
      <c r="B308" s="22"/>
      <c r="C308" s="22" t="e">
        <v>#N/A</v>
      </c>
    </row>
    <row r="309" spans="1:3">
      <c r="A309" s="55" t="s">
        <v>77</v>
      </c>
      <c r="B309" s="22"/>
      <c r="C309" s="22" t="e">
        <v>#N/A</v>
      </c>
    </row>
    <row r="310" spans="1:3">
      <c r="A310" s="55" t="s">
        <v>78</v>
      </c>
      <c r="B310" s="22"/>
      <c r="C310" s="22" t="e">
        <v>#N/A</v>
      </c>
    </row>
    <row r="311" spans="1:3">
      <c r="A311" s="55" t="s">
        <v>81</v>
      </c>
      <c r="B311" s="22"/>
      <c r="C311" s="22" t="e">
        <v>#N/A</v>
      </c>
    </row>
    <row r="312" spans="1:3">
      <c r="A312" s="55" t="s">
        <v>112</v>
      </c>
      <c r="B312" s="22"/>
      <c r="C312" s="22" t="e">
        <v>#N/A</v>
      </c>
    </row>
    <row r="313" spans="1:3">
      <c r="A313" s="55" t="s">
        <v>83</v>
      </c>
      <c r="B313" s="22"/>
      <c r="C313" s="22" t="e">
        <v>#N/A</v>
      </c>
    </row>
    <row r="314" spans="1:3">
      <c r="A314" s="55" t="s">
        <v>131</v>
      </c>
      <c r="B314" s="22"/>
      <c r="C314" s="22" t="e">
        <v>#N/A</v>
      </c>
    </row>
    <row r="315" spans="1:3">
      <c r="A315" s="55" t="s">
        <v>113</v>
      </c>
      <c r="B315" s="22"/>
      <c r="C315" s="22" t="e">
        <v>#N/A</v>
      </c>
    </row>
    <row r="316" spans="1:3">
      <c r="A316" s="55" t="s">
        <v>122</v>
      </c>
      <c r="B316" s="22"/>
      <c r="C316" s="22" t="e">
        <v>#N/A</v>
      </c>
    </row>
    <row r="317" spans="1:3">
      <c r="A317" s="55" t="s">
        <v>90</v>
      </c>
      <c r="B317" s="22"/>
      <c r="C317" s="22" t="e">
        <v>#N/A</v>
      </c>
    </row>
    <row r="318" spans="1:3">
      <c r="A318" s="55" t="s">
        <v>133</v>
      </c>
      <c r="B318" s="22"/>
      <c r="C318" s="22" t="e">
        <v>#N/A</v>
      </c>
    </row>
    <row r="319" spans="1:3">
      <c r="A319" s="55" t="s">
        <v>115</v>
      </c>
      <c r="B319" s="22"/>
      <c r="C319" s="22" t="e">
        <v>#N/A</v>
      </c>
    </row>
    <row r="320" spans="1:3">
      <c r="A320" s="55" t="s">
        <v>136</v>
      </c>
      <c r="B320" s="22"/>
      <c r="C320" s="22" t="e">
        <v>#N/A</v>
      </c>
    </row>
    <row r="321" spans="1:3">
      <c r="A321" s="55" t="s">
        <v>128</v>
      </c>
      <c r="B321" s="22"/>
      <c r="C321" s="22" t="e">
        <v>#N/A</v>
      </c>
    </row>
    <row r="322" spans="1:3">
      <c r="A322" s="55" t="s">
        <v>127</v>
      </c>
      <c r="B322" s="22"/>
      <c r="C322" s="22" t="e">
        <v>#N/A</v>
      </c>
    </row>
    <row r="323" spans="1:3">
      <c r="A323" s="19" t="s">
        <v>1049</v>
      </c>
      <c r="B323" s="22"/>
      <c r="C323" s="22" t="e">
        <v>#N/A</v>
      </c>
    </row>
    <row r="324" spans="1:3">
      <c r="A324" s="21" t="s">
        <v>68</v>
      </c>
      <c r="B324" s="22"/>
      <c r="C324" s="22" t="e">
        <v>#N/A</v>
      </c>
    </row>
    <row r="325" spans="1:3">
      <c r="A325" s="55" t="s">
        <v>134</v>
      </c>
      <c r="B325" s="22"/>
      <c r="C325" s="22" t="e">
        <v>#N/A</v>
      </c>
    </row>
    <row r="326" spans="1:3">
      <c r="A326" s="55" t="s">
        <v>135</v>
      </c>
      <c r="B326" s="22"/>
      <c r="C326" s="22" t="e">
        <v>#N/A</v>
      </c>
    </row>
    <row r="327" spans="1:3">
      <c r="A327" s="21" t="s">
        <v>106</v>
      </c>
      <c r="B327" s="22"/>
      <c r="C327" s="22" t="e">
        <v>#N/A</v>
      </c>
    </row>
    <row r="328" spans="1:3">
      <c r="A328" s="55" t="s">
        <v>134</v>
      </c>
      <c r="B328" s="22"/>
      <c r="C328" s="22" t="e">
        <v>#N/A</v>
      </c>
    </row>
    <row r="329" spans="1:3">
      <c r="A329" s="55" t="s">
        <v>135</v>
      </c>
      <c r="B329" s="22"/>
      <c r="C329" s="22" t="e">
        <v>#N/A</v>
      </c>
    </row>
    <row r="330" spans="1:3">
      <c r="A330" s="19" t="s">
        <v>2235</v>
      </c>
      <c r="B330" s="22">
        <v>3175752.55</v>
      </c>
      <c r="C330" s="22" t="e">
        <v>#N/A</v>
      </c>
    </row>
  </sheetData>
  <pageMargins left="0.7" right="0.7" top="0.75" bottom="0.75" header="0.3" footer="0.3"/>
  <pageSetup orientation="portrait" horizontalDpi="1200" verticalDpi="120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6"/>
  <dimension ref="A1:F116"/>
  <sheetViews>
    <sheetView workbookViewId="0">
      <selection activeCell="C13" sqref="C13"/>
    </sheetView>
  </sheetViews>
  <sheetFormatPr defaultColWidth="8.7109375" defaultRowHeight="14.45"/>
  <cols>
    <col min="1" max="1" width="41.5703125" bestFit="1" customWidth="1"/>
    <col min="2" max="2" width="14.140625" bestFit="1" customWidth="1"/>
    <col min="3" max="3" width="17.28515625" bestFit="1" customWidth="1"/>
    <col min="5" max="5" width="11.140625" bestFit="1" customWidth="1"/>
    <col min="6" max="6" width="16.28515625" bestFit="1" customWidth="1"/>
  </cols>
  <sheetData>
    <row r="1" spans="1:6">
      <c r="E1" s="34" t="s">
        <v>2242</v>
      </c>
      <c r="F1" s="23" t="e">
        <f>GETPIVOTDATA("Sum of COST",$A$3)+GETPIVOTDATA("Sum of ESTIMATES",$A$3)</f>
        <v>#N/A</v>
      </c>
    </row>
    <row r="2" spans="1:6">
      <c r="E2" s="1" t="s">
        <v>2243</v>
      </c>
      <c r="F2" s="3" t="e">
        <f>GETPIVOTDATA("Sum of COST",$A$3,"NRR","Pt I")+GETPIVOTDATA("Sum of ESTIMATES",$A$3,"NRR","Pt I")</f>
        <v>#REF!</v>
      </c>
    </row>
    <row r="3" spans="1:6">
      <c r="A3" s="18" t="s">
        <v>2231</v>
      </c>
      <c r="B3" t="s">
        <v>2232</v>
      </c>
      <c r="C3" t="s">
        <v>2233</v>
      </c>
      <c r="E3" s="1" t="s">
        <v>2244</v>
      </c>
      <c r="F3" s="3" t="e">
        <f>GETPIVOTDATA("Sum of COST",$A$3,"NRR","Pt II")+GETPIVOTDATA("Sum of ESTIMATES",$A$3,"NRR","Pt II")</f>
        <v>#REF!</v>
      </c>
    </row>
    <row r="4" spans="1:6">
      <c r="A4" s="19">
        <v>0</v>
      </c>
      <c r="B4" s="22"/>
      <c r="C4" s="22" t="e">
        <v>#N/A</v>
      </c>
      <c r="E4" s="1" t="s">
        <v>2245</v>
      </c>
      <c r="F4" s="3" t="e">
        <f>GETPIVOTDATA("Sum of COST",$A$3,"NRR","Pt III")+GETPIVOTDATA("Sum of ESTIMATES",$A$3,"NRR","Pt III")</f>
        <v>#REF!</v>
      </c>
    </row>
    <row r="5" spans="1:6">
      <c r="A5" s="21" t="s">
        <v>146</v>
      </c>
      <c r="B5" s="22"/>
      <c r="C5" s="22" t="e">
        <v>#N/A</v>
      </c>
    </row>
    <row r="6" spans="1:6">
      <c r="A6" s="19" t="s">
        <v>2246</v>
      </c>
      <c r="B6" s="22">
        <v>3175752.5500000003</v>
      </c>
      <c r="C6" s="22" t="e">
        <v>#N/A</v>
      </c>
    </row>
    <row r="7" spans="1:6">
      <c r="A7" s="21" t="s">
        <v>118</v>
      </c>
      <c r="B7" s="22"/>
      <c r="C7" s="22" t="e">
        <v>#N/A</v>
      </c>
    </row>
    <row r="8" spans="1:6">
      <c r="A8" s="21" t="s">
        <v>57</v>
      </c>
      <c r="B8" s="22"/>
      <c r="C8" s="22" t="e">
        <v>#N/A</v>
      </c>
    </row>
    <row r="9" spans="1:6">
      <c r="A9" s="21" t="s">
        <v>58</v>
      </c>
      <c r="B9" s="22"/>
      <c r="C9" s="22" t="e">
        <v>#N/A</v>
      </c>
    </row>
    <row r="10" spans="1:6">
      <c r="A10" s="21" t="s">
        <v>48</v>
      </c>
      <c r="B10" s="22">
        <v>607266.5199999999</v>
      </c>
      <c r="C10" s="22"/>
    </row>
    <row r="11" spans="1:6">
      <c r="A11" s="21" t="s">
        <v>142</v>
      </c>
      <c r="B11" s="22"/>
      <c r="C11" s="22" t="e">
        <v>#N/A</v>
      </c>
    </row>
    <row r="12" spans="1:6">
      <c r="A12" s="21" t="s">
        <v>59</v>
      </c>
      <c r="B12" s="22"/>
      <c r="C12" s="22" t="e">
        <v>#N/A</v>
      </c>
    </row>
    <row r="13" spans="1:6">
      <c r="A13" s="21" t="s">
        <v>26</v>
      </c>
      <c r="B13" s="22">
        <v>44243.94</v>
      </c>
      <c r="C13" s="22" t="e">
        <v>#N/A</v>
      </c>
    </row>
    <row r="14" spans="1:6">
      <c r="A14" s="21" t="s">
        <v>31</v>
      </c>
      <c r="B14" s="22">
        <v>44613.861000000004</v>
      </c>
      <c r="C14" s="22" t="e">
        <v>#N/A</v>
      </c>
    </row>
    <row r="15" spans="1:6">
      <c r="A15" s="21" t="s">
        <v>60</v>
      </c>
      <c r="B15" s="22"/>
      <c r="C15" s="22" t="e">
        <v>#N/A</v>
      </c>
    </row>
    <row r="16" spans="1:6">
      <c r="A16" s="21" t="s">
        <v>143</v>
      </c>
      <c r="B16" s="22"/>
      <c r="C16" s="22" t="e">
        <v>#N/A</v>
      </c>
    </row>
    <row r="17" spans="1:3">
      <c r="A17" s="21" t="s">
        <v>32</v>
      </c>
      <c r="B17" s="22">
        <v>59485.148000000001</v>
      </c>
      <c r="C17" s="22"/>
    </row>
    <row r="18" spans="1:3">
      <c r="A18" s="21" t="s">
        <v>34</v>
      </c>
      <c r="B18" s="22">
        <v>66920.791500000007</v>
      </c>
      <c r="C18" s="22"/>
    </row>
    <row r="19" spans="1:3">
      <c r="A19" s="21" t="s">
        <v>144</v>
      </c>
      <c r="B19" s="22"/>
      <c r="C19" s="22" t="e">
        <v>#N/A</v>
      </c>
    </row>
    <row r="20" spans="1:3">
      <c r="A20" s="21" t="s">
        <v>145</v>
      </c>
      <c r="B20" s="22"/>
      <c r="C20" s="22" t="e">
        <v>#N/A</v>
      </c>
    </row>
    <row r="21" spans="1:3">
      <c r="A21" s="21" t="s">
        <v>121</v>
      </c>
      <c r="B21" s="22"/>
      <c r="C21" s="22" t="e">
        <v>#N/A</v>
      </c>
    </row>
    <row r="22" spans="1:3">
      <c r="A22" s="21" t="s">
        <v>61</v>
      </c>
      <c r="B22" s="22"/>
      <c r="C22" s="22" t="e">
        <v>#N/A</v>
      </c>
    </row>
    <row r="23" spans="1:3">
      <c r="A23" s="21" t="s">
        <v>139</v>
      </c>
      <c r="B23" s="22"/>
      <c r="C23" s="22" t="e">
        <v>#N/A</v>
      </c>
    </row>
    <row r="24" spans="1:3">
      <c r="A24" s="21" t="s">
        <v>35</v>
      </c>
      <c r="B24" s="22">
        <v>52049.504500000003</v>
      </c>
      <c r="C24" s="22"/>
    </row>
    <row r="25" spans="1:3">
      <c r="A25" s="21" t="s">
        <v>36</v>
      </c>
      <c r="B25" s="22">
        <v>56519.89</v>
      </c>
      <c r="C25" s="22" t="e">
        <v>#N/A</v>
      </c>
    </row>
    <row r="26" spans="1:3">
      <c r="A26" s="21" t="s">
        <v>103</v>
      </c>
      <c r="B26" s="22"/>
      <c r="C26" s="22" t="e">
        <v>#N/A</v>
      </c>
    </row>
    <row r="27" spans="1:3">
      <c r="A27" s="21" t="s">
        <v>37</v>
      </c>
      <c r="B27" s="22">
        <v>52049.504500000003</v>
      </c>
      <c r="C27" s="22" t="e">
        <v>#N/A</v>
      </c>
    </row>
    <row r="28" spans="1:3">
      <c r="A28" s="21" t="s">
        <v>62</v>
      </c>
      <c r="B28" s="22"/>
      <c r="C28" s="22" t="e">
        <v>#N/A</v>
      </c>
    </row>
    <row r="29" spans="1:3">
      <c r="A29" s="21" t="s">
        <v>63</v>
      </c>
      <c r="B29" s="22"/>
      <c r="C29" s="22" t="e">
        <v>#N/A</v>
      </c>
    </row>
    <row r="30" spans="1:3">
      <c r="A30" s="21" t="s">
        <v>64</v>
      </c>
      <c r="B30" s="22"/>
      <c r="C30" s="22" t="e">
        <v>#N/A</v>
      </c>
    </row>
    <row r="31" spans="1:3">
      <c r="A31" s="21" t="s">
        <v>38</v>
      </c>
      <c r="B31" s="22">
        <v>520495.04499999998</v>
      </c>
      <c r="C31" s="22" t="e">
        <v>#N/A</v>
      </c>
    </row>
    <row r="32" spans="1:3">
      <c r="A32" s="21" t="s">
        <v>39</v>
      </c>
      <c r="B32" s="22">
        <v>59485.148000000001</v>
      </c>
      <c r="C32" s="22" t="e">
        <v>#N/A</v>
      </c>
    </row>
    <row r="33" spans="1:3">
      <c r="A33" s="21" t="s">
        <v>50</v>
      </c>
      <c r="B33" s="22">
        <v>534717.81000000006</v>
      </c>
      <c r="C33" s="22"/>
    </row>
    <row r="34" spans="1:3">
      <c r="A34" s="21" t="s">
        <v>40</v>
      </c>
      <c r="B34" s="22">
        <v>66920.791500000007</v>
      </c>
      <c r="C34" s="22" t="e">
        <v>#N/A</v>
      </c>
    </row>
    <row r="35" spans="1:3">
      <c r="A35" s="21" t="s">
        <v>140</v>
      </c>
      <c r="B35" s="22"/>
      <c r="C35" s="22" t="e">
        <v>#N/A</v>
      </c>
    </row>
    <row r="36" spans="1:3">
      <c r="A36" s="21" t="s">
        <v>147</v>
      </c>
      <c r="B36" s="22"/>
      <c r="C36" s="22" t="e">
        <v>#N/A</v>
      </c>
    </row>
    <row r="37" spans="1:3">
      <c r="A37" s="21" t="s">
        <v>41</v>
      </c>
      <c r="B37" s="22">
        <v>37178.217499999999</v>
      </c>
      <c r="C37" s="22" t="e">
        <v>#N/A</v>
      </c>
    </row>
    <row r="38" spans="1:3">
      <c r="A38" s="21" t="s">
        <v>55</v>
      </c>
      <c r="B38" s="22"/>
      <c r="C38" s="22" t="e">
        <v>#N/A</v>
      </c>
    </row>
    <row r="39" spans="1:3">
      <c r="A39" s="21" t="s">
        <v>104</v>
      </c>
      <c r="B39" s="22"/>
      <c r="C39" s="22" t="e">
        <v>#N/A</v>
      </c>
    </row>
    <row r="40" spans="1:3">
      <c r="A40" s="21" t="s">
        <v>42</v>
      </c>
      <c r="B40" s="22">
        <v>44613.861000000004</v>
      </c>
      <c r="C40" s="22" t="e">
        <v>#N/A</v>
      </c>
    </row>
    <row r="41" spans="1:3">
      <c r="A41" s="21" t="s">
        <v>148</v>
      </c>
      <c r="B41" s="22"/>
      <c r="C41" s="22" t="e">
        <v>#N/A</v>
      </c>
    </row>
    <row r="42" spans="1:3">
      <c r="A42" s="21" t="s">
        <v>43</v>
      </c>
      <c r="B42" s="22">
        <v>32007.26</v>
      </c>
      <c r="C42" s="22"/>
    </row>
    <row r="43" spans="1:3">
      <c r="A43" s="21" t="s">
        <v>65</v>
      </c>
      <c r="B43" s="22"/>
      <c r="C43" s="22" t="e">
        <v>#N/A</v>
      </c>
    </row>
    <row r="44" spans="1:3">
      <c r="A44" s="21" t="s">
        <v>44</v>
      </c>
      <c r="B44" s="22">
        <v>74933.740000000005</v>
      </c>
      <c r="C44" s="22"/>
    </row>
    <row r="45" spans="1:3">
      <c r="A45" s="21" t="s">
        <v>45</v>
      </c>
      <c r="B45" s="22">
        <v>148620.14000000001</v>
      </c>
      <c r="C45" s="22" t="e">
        <v>#N/A</v>
      </c>
    </row>
    <row r="46" spans="1:3">
      <c r="A46" s="21" t="s">
        <v>149</v>
      </c>
      <c r="B46" s="22"/>
      <c r="C46" s="22" t="e">
        <v>#N/A</v>
      </c>
    </row>
    <row r="47" spans="1:3">
      <c r="A47" s="21" t="s">
        <v>46</v>
      </c>
      <c r="B47" s="22">
        <v>74933.740000000005</v>
      </c>
      <c r="C47" s="22"/>
    </row>
    <row r="48" spans="1:3">
      <c r="A48" s="21" t="s">
        <v>138</v>
      </c>
      <c r="B48" s="22"/>
      <c r="C48" s="22" t="e">
        <v>#N/A</v>
      </c>
    </row>
    <row r="49" spans="1:3">
      <c r="A49" s="21" t="s">
        <v>51</v>
      </c>
      <c r="B49" s="22">
        <v>561519.42000000004</v>
      </c>
      <c r="C49" s="22" t="e">
        <v>#N/A</v>
      </c>
    </row>
    <row r="50" spans="1:3">
      <c r="A50" s="21" t="s">
        <v>56</v>
      </c>
      <c r="B50" s="22"/>
      <c r="C50" s="22" t="e">
        <v>#N/A</v>
      </c>
    </row>
    <row r="51" spans="1:3">
      <c r="A51" s="21" t="s">
        <v>108</v>
      </c>
      <c r="B51" s="22"/>
      <c r="C51" s="22" t="e">
        <v>#N/A</v>
      </c>
    </row>
    <row r="52" spans="1:3">
      <c r="A52" s="21" t="s">
        <v>66</v>
      </c>
      <c r="B52" s="22"/>
      <c r="C52" s="22" t="e">
        <v>#N/A</v>
      </c>
    </row>
    <row r="53" spans="1:3">
      <c r="A53" s="21" t="s">
        <v>47</v>
      </c>
      <c r="B53" s="22">
        <v>37178.217499999999</v>
      </c>
      <c r="C53" s="22" t="e">
        <v>#N/A</v>
      </c>
    </row>
    <row r="54" spans="1:3">
      <c r="A54" s="19" t="s">
        <v>2247</v>
      </c>
      <c r="B54" s="22"/>
      <c r="C54" s="22" t="e">
        <v>#N/A</v>
      </c>
    </row>
    <row r="55" spans="1:3">
      <c r="A55" s="21" t="s">
        <v>120</v>
      </c>
      <c r="B55" s="22"/>
      <c r="C55" s="22" t="e">
        <v>#N/A</v>
      </c>
    </row>
    <row r="56" spans="1:3">
      <c r="A56" s="21" t="s">
        <v>129</v>
      </c>
      <c r="B56" s="22"/>
      <c r="C56" s="22" t="e">
        <v>#N/A</v>
      </c>
    </row>
    <row r="57" spans="1:3">
      <c r="A57" s="21" t="s">
        <v>77</v>
      </c>
      <c r="B57" s="22"/>
      <c r="C57" s="22" t="e">
        <v>#N/A</v>
      </c>
    </row>
    <row r="58" spans="1:3">
      <c r="A58" s="21" t="s">
        <v>78</v>
      </c>
      <c r="B58" s="22"/>
      <c r="C58" s="22" t="e">
        <v>#N/A</v>
      </c>
    </row>
    <row r="59" spans="1:3">
      <c r="A59" s="21" t="s">
        <v>81</v>
      </c>
      <c r="B59" s="22"/>
      <c r="C59" s="22" t="e">
        <v>#N/A</v>
      </c>
    </row>
    <row r="60" spans="1:3">
      <c r="A60" s="21" t="s">
        <v>112</v>
      </c>
      <c r="B60" s="22"/>
      <c r="C60" s="22" t="e">
        <v>#N/A</v>
      </c>
    </row>
    <row r="61" spans="1:3">
      <c r="A61" s="21" t="s">
        <v>83</v>
      </c>
      <c r="B61" s="22"/>
      <c r="C61" s="22" t="e">
        <v>#N/A</v>
      </c>
    </row>
    <row r="62" spans="1:3">
      <c r="A62" s="21" t="s">
        <v>131</v>
      </c>
      <c r="B62" s="22"/>
      <c r="C62" s="22" t="e">
        <v>#N/A</v>
      </c>
    </row>
    <row r="63" spans="1:3">
      <c r="A63" s="21" t="s">
        <v>113</v>
      </c>
      <c r="B63" s="22"/>
      <c r="C63" s="22" t="e">
        <v>#N/A</v>
      </c>
    </row>
    <row r="64" spans="1:3">
      <c r="A64" s="21" t="s">
        <v>122</v>
      </c>
      <c r="B64" s="22"/>
      <c r="C64" s="22" t="e">
        <v>#N/A</v>
      </c>
    </row>
    <row r="65" spans="1:3">
      <c r="A65" s="21" t="s">
        <v>90</v>
      </c>
      <c r="B65" s="22"/>
      <c r="C65" s="22" t="e">
        <v>#N/A</v>
      </c>
    </row>
    <row r="66" spans="1:3">
      <c r="A66" s="21" t="s">
        <v>133</v>
      </c>
      <c r="B66" s="22"/>
      <c r="C66" s="22" t="e">
        <v>#N/A</v>
      </c>
    </row>
    <row r="67" spans="1:3">
      <c r="A67" s="21" t="s">
        <v>115</v>
      </c>
      <c r="B67" s="22"/>
      <c r="C67" s="22" t="e">
        <v>#N/A</v>
      </c>
    </row>
    <row r="68" spans="1:3">
      <c r="A68" s="21" t="s">
        <v>136</v>
      </c>
      <c r="B68" s="22"/>
      <c r="C68" s="22" t="e">
        <v>#N/A</v>
      </c>
    </row>
    <row r="69" spans="1:3">
      <c r="A69" s="21" t="s">
        <v>128</v>
      </c>
      <c r="B69" s="22"/>
      <c r="C69" s="22" t="e">
        <v>#N/A</v>
      </c>
    </row>
    <row r="70" spans="1:3">
      <c r="A70" s="21" t="s">
        <v>127</v>
      </c>
      <c r="B70" s="22"/>
      <c r="C70" s="22" t="e">
        <v>#N/A</v>
      </c>
    </row>
    <row r="71" spans="1:3">
      <c r="A71" s="21" t="s">
        <v>67</v>
      </c>
      <c r="B71" s="22"/>
      <c r="C71" s="22" t="e">
        <v>#N/A</v>
      </c>
    </row>
    <row r="72" spans="1:3">
      <c r="A72" s="21" t="s">
        <v>74</v>
      </c>
      <c r="B72" s="22"/>
      <c r="C72" s="22" t="e">
        <v>#N/A</v>
      </c>
    </row>
    <row r="73" spans="1:3">
      <c r="A73" s="21" t="s">
        <v>125</v>
      </c>
      <c r="B73" s="22"/>
      <c r="C73" s="22" t="e">
        <v>#N/A</v>
      </c>
    </row>
    <row r="74" spans="1:3">
      <c r="A74" s="21" t="s">
        <v>92</v>
      </c>
      <c r="B74" s="22"/>
      <c r="C74" s="22" t="e">
        <v>#N/A</v>
      </c>
    </row>
    <row r="75" spans="1:3">
      <c r="A75" s="21" t="s">
        <v>107</v>
      </c>
      <c r="B75" s="22"/>
      <c r="C75" s="22" t="e">
        <v>#N/A</v>
      </c>
    </row>
    <row r="76" spans="1:3">
      <c r="A76" s="21" t="s">
        <v>95</v>
      </c>
      <c r="B76" s="22"/>
      <c r="C76" s="22" t="e">
        <v>#N/A</v>
      </c>
    </row>
    <row r="77" spans="1:3">
      <c r="A77" s="21" t="s">
        <v>126</v>
      </c>
      <c r="B77" s="22"/>
      <c r="C77" s="22" t="e">
        <v>#N/A</v>
      </c>
    </row>
    <row r="78" spans="1:3">
      <c r="A78" s="21" t="s">
        <v>100</v>
      </c>
      <c r="B78" s="22"/>
      <c r="C78" s="22" t="e">
        <v>#N/A</v>
      </c>
    </row>
    <row r="79" spans="1:3">
      <c r="A79" s="21" t="s">
        <v>137</v>
      </c>
      <c r="B79" s="22"/>
      <c r="C79" s="22" t="e">
        <v>#N/A</v>
      </c>
    </row>
    <row r="80" spans="1:3">
      <c r="A80" s="21" t="s">
        <v>102</v>
      </c>
      <c r="B80" s="22"/>
      <c r="C80" s="22" t="e">
        <v>#N/A</v>
      </c>
    </row>
    <row r="81" spans="1:3">
      <c r="A81" s="21" t="s">
        <v>116</v>
      </c>
      <c r="B81" s="22"/>
      <c r="C81" s="22" t="e">
        <v>#N/A</v>
      </c>
    </row>
    <row r="82" spans="1:3">
      <c r="A82" s="19" t="s">
        <v>2248</v>
      </c>
      <c r="B82" s="22"/>
      <c r="C82" s="22" t="e">
        <v>#N/A</v>
      </c>
    </row>
    <row r="83" spans="1:3">
      <c r="A83" s="21" t="s">
        <v>69</v>
      </c>
      <c r="B83" s="22"/>
      <c r="C83" s="22" t="e">
        <v>#N/A</v>
      </c>
    </row>
    <row r="84" spans="1:3">
      <c r="A84" s="21" t="s">
        <v>70</v>
      </c>
      <c r="B84" s="22"/>
      <c r="C84" s="22" t="e">
        <v>#N/A</v>
      </c>
    </row>
    <row r="85" spans="1:3">
      <c r="A85" s="21" t="s">
        <v>71</v>
      </c>
      <c r="B85" s="22"/>
      <c r="C85" s="22" t="e">
        <v>#N/A</v>
      </c>
    </row>
    <row r="86" spans="1:3">
      <c r="A86" s="21" t="s">
        <v>119</v>
      </c>
      <c r="B86" s="22"/>
      <c r="C86" s="22" t="e">
        <v>#N/A</v>
      </c>
    </row>
    <row r="87" spans="1:3">
      <c r="A87" s="21" t="s">
        <v>72</v>
      </c>
      <c r="B87" s="22"/>
      <c r="C87" s="22" t="e">
        <v>#N/A</v>
      </c>
    </row>
    <row r="88" spans="1:3">
      <c r="A88" s="21" t="s">
        <v>73</v>
      </c>
      <c r="B88" s="22"/>
      <c r="C88" s="22" t="e">
        <v>#N/A</v>
      </c>
    </row>
    <row r="89" spans="1:3">
      <c r="A89" s="21" t="s">
        <v>124</v>
      </c>
      <c r="B89" s="22"/>
      <c r="C89" s="22" t="e">
        <v>#N/A</v>
      </c>
    </row>
    <row r="90" spans="1:3">
      <c r="A90" s="21" t="s">
        <v>105</v>
      </c>
      <c r="B90" s="22"/>
      <c r="C90" s="22" t="e">
        <v>#N/A</v>
      </c>
    </row>
    <row r="91" spans="1:3">
      <c r="A91" s="21" t="s">
        <v>75</v>
      </c>
      <c r="B91" s="22"/>
      <c r="C91" s="22" t="e">
        <v>#N/A</v>
      </c>
    </row>
    <row r="92" spans="1:3">
      <c r="A92" s="21" t="s">
        <v>130</v>
      </c>
      <c r="B92" s="22"/>
      <c r="C92" s="22" t="e">
        <v>#N/A</v>
      </c>
    </row>
    <row r="93" spans="1:3">
      <c r="A93" s="21" t="s">
        <v>76</v>
      </c>
      <c r="B93" s="22"/>
      <c r="C93" s="22" t="e">
        <v>#N/A</v>
      </c>
    </row>
    <row r="94" spans="1:3">
      <c r="A94" s="21" t="s">
        <v>79</v>
      </c>
      <c r="B94" s="22"/>
      <c r="C94" s="22" t="e">
        <v>#N/A</v>
      </c>
    </row>
    <row r="95" spans="1:3">
      <c r="A95" s="21" t="s">
        <v>111</v>
      </c>
      <c r="B95" s="22"/>
      <c r="C95" s="22" t="e">
        <v>#N/A</v>
      </c>
    </row>
    <row r="96" spans="1:3">
      <c r="A96" s="21" t="s">
        <v>80</v>
      </c>
      <c r="B96" s="22"/>
      <c r="C96" s="22" t="e">
        <v>#N/A</v>
      </c>
    </row>
    <row r="97" spans="1:3">
      <c r="A97" s="21" t="s">
        <v>117</v>
      </c>
      <c r="B97" s="22"/>
      <c r="C97" s="22" t="e">
        <v>#N/A</v>
      </c>
    </row>
    <row r="98" spans="1:3">
      <c r="A98" s="21" t="s">
        <v>82</v>
      </c>
      <c r="B98" s="22"/>
      <c r="C98" s="22" t="e">
        <v>#N/A</v>
      </c>
    </row>
    <row r="99" spans="1:3">
      <c r="A99" s="21" t="s">
        <v>84</v>
      </c>
      <c r="B99" s="22"/>
      <c r="C99" s="22" t="e">
        <v>#N/A</v>
      </c>
    </row>
    <row r="100" spans="1:3">
      <c r="A100" s="21" t="s">
        <v>87</v>
      </c>
      <c r="B100" s="22"/>
      <c r="C100" s="22" t="e">
        <v>#N/A</v>
      </c>
    </row>
    <row r="101" spans="1:3">
      <c r="A101" s="21" t="s">
        <v>88</v>
      </c>
      <c r="B101" s="22"/>
      <c r="C101" s="22" t="e">
        <v>#N/A</v>
      </c>
    </row>
    <row r="102" spans="1:3">
      <c r="A102" s="21" t="s">
        <v>89</v>
      </c>
      <c r="B102" s="22"/>
      <c r="C102" s="22" t="e">
        <v>#N/A</v>
      </c>
    </row>
    <row r="103" spans="1:3">
      <c r="A103" s="21" t="s">
        <v>114</v>
      </c>
      <c r="B103" s="22"/>
      <c r="C103" s="22" t="e">
        <v>#N/A</v>
      </c>
    </row>
    <row r="104" spans="1:3">
      <c r="A104" s="21" t="s">
        <v>91</v>
      </c>
      <c r="B104" s="22"/>
      <c r="C104" s="22" t="e">
        <v>#N/A</v>
      </c>
    </row>
    <row r="105" spans="1:3">
      <c r="A105" s="21" t="s">
        <v>93</v>
      </c>
      <c r="B105" s="22"/>
      <c r="C105" s="22" t="e">
        <v>#N/A</v>
      </c>
    </row>
    <row r="106" spans="1:3">
      <c r="A106" s="21" t="s">
        <v>132</v>
      </c>
      <c r="B106" s="22"/>
      <c r="C106" s="22" t="e">
        <v>#N/A</v>
      </c>
    </row>
    <row r="107" spans="1:3">
      <c r="A107" s="21" t="s">
        <v>94</v>
      </c>
      <c r="B107" s="22"/>
      <c r="C107" s="22" t="e">
        <v>#N/A</v>
      </c>
    </row>
    <row r="108" spans="1:3">
      <c r="A108" s="21" t="s">
        <v>134</v>
      </c>
      <c r="B108" s="22"/>
      <c r="C108" s="22" t="e">
        <v>#N/A</v>
      </c>
    </row>
    <row r="109" spans="1:3">
      <c r="A109" s="21" t="s">
        <v>135</v>
      </c>
      <c r="B109" s="22"/>
      <c r="C109" s="22" t="e">
        <v>#N/A</v>
      </c>
    </row>
    <row r="110" spans="1:3">
      <c r="A110" s="21" t="s">
        <v>123</v>
      </c>
      <c r="B110" s="22"/>
      <c r="C110" s="22" t="e">
        <v>#N/A</v>
      </c>
    </row>
    <row r="111" spans="1:3">
      <c r="A111" s="21" t="s">
        <v>96</v>
      </c>
      <c r="B111" s="22"/>
      <c r="C111" s="22" t="e">
        <v>#N/A</v>
      </c>
    </row>
    <row r="112" spans="1:3">
      <c r="A112" s="21" t="s">
        <v>97</v>
      </c>
      <c r="B112" s="22"/>
      <c r="C112" s="22" t="e">
        <v>#N/A</v>
      </c>
    </row>
    <row r="113" spans="1:3">
      <c r="A113" s="21" t="s">
        <v>98</v>
      </c>
      <c r="B113" s="22"/>
      <c r="C113" s="22" t="e">
        <v>#N/A</v>
      </c>
    </row>
    <row r="114" spans="1:3">
      <c r="A114" s="21" t="s">
        <v>99</v>
      </c>
      <c r="B114" s="22"/>
      <c r="C114" s="22" t="e">
        <v>#N/A</v>
      </c>
    </row>
    <row r="115" spans="1:3">
      <c r="A115" s="21" t="s">
        <v>101</v>
      </c>
      <c r="B115" s="22"/>
      <c r="C115" s="22" t="e">
        <v>#N/A</v>
      </c>
    </row>
    <row r="116" spans="1:3">
      <c r="A116" s="19" t="s">
        <v>2235</v>
      </c>
      <c r="B116" s="22">
        <v>3175752.5500000003</v>
      </c>
      <c r="C116" s="22" t="e">
        <v>#N/A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X314"/>
  <sheetViews>
    <sheetView zoomScale="85" workbookViewId="0">
      <pane xSplit="1" ySplit="3" topLeftCell="M4" activePane="bottomRight" state="frozen"/>
      <selection pane="bottomRight" activeCell="P320" sqref="P320"/>
      <selection pane="bottomLeft" activeCell="A4" sqref="A4"/>
      <selection pane="topRight" activeCell="B1" sqref="B1"/>
    </sheetView>
  </sheetViews>
  <sheetFormatPr defaultColWidth="8.7109375" defaultRowHeight="14.45"/>
  <cols>
    <col min="1" max="1" width="57" bestFit="1" customWidth="1"/>
    <col min="2" max="2" width="14.7109375" bestFit="1" customWidth="1"/>
    <col min="3" max="3" width="19.42578125" bestFit="1" customWidth="1"/>
    <col min="4" max="4" width="19.42578125" customWidth="1"/>
    <col min="5" max="5" width="7.42578125" bestFit="1" customWidth="1"/>
    <col min="6" max="6" width="16.28515625" customWidth="1"/>
    <col min="7" max="7" width="10.28515625" customWidth="1"/>
    <col min="8" max="9" width="7" customWidth="1"/>
    <col min="11" max="11" width="13.7109375" customWidth="1"/>
    <col min="12" max="12" width="12.42578125" bestFit="1" customWidth="1"/>
    <col min="13" max="13" width="19.7109375" bestFit="1" customWidth="1"/>
    <col min="14" max="14" width="16" bestFit="1" customWidth="1"/>
    <col min="15" max="15" width="18" bestFit="1" customWidth="1"/>
    <col min="16" max="16" width="14.28515625" bestFit="1" customWidth="1"/>
    <col min="17" max="17" width="26.42578125" bestFit="1" customWidth="1"/>
    <col min="18" max="18" width="15.28515625" bestFit="1" customWidth="1"/>
    <col min="19" max="19" width="8.42578125" bestFit="1" customWidth="1"/>
    <col min="20" max="20" width="25.7109375" bestFit="1" customWidth="1"/>
    <col min="21" max="21" width="11" bestFit="1" customWidth="1"/>
    <col min="22" max="23" width="19.140625" bestFit="1" customWidth="1"/>
    <col min="24" max="24" width="16.28515625" style="5" bestFit="1" customWidth="1"/>
  </cols>
  <sheetData>
    <row r="1" spans="1:24">
      <c r="R1" t="s">
        <v>2213</v>
      </c>
      <c r="U1">
        <v>2022</v>
      </c>
      <c r="V1" s="99">
        <f ca="1">SUM(IntComp24[Estimate])</f>
        <v>7910695.25</v>
      </c>
      <c r="W1" s="5"/>
      <c r="X1"/>
    </row>
    <row r="2" spans="1:24">
      <c r="R2" s="61">
        <v>3.5000000000000003E-2</v>
      </c>
      <c r="V2" s="5"/>
      <c r="X2"/>
    </row>
    <row r="3" spans="1:24" s="44" customFormat="1">
      <c r="A3" s="45" t="s">
        <v>7</v>
      </c>
      <c r="B3" s="46" t="s">
        <v>5</v>
      </c>
      <c r="C3" s="46" t="s">
        <v>11</v>
      </c>
      <c r="D3" s="46" t="s">
        <v>2214</v>
      </c>
      <c r="E3" s="46" t="s">
        <v>8</v>
      </c>
      <c r="F3" s="46" t="s">
        <v>2215</v>
      </c>
      <c r="G3" s="46" t="s">
        <v>2210</v>
      </c>
      <c r="H3" s="46" t="s">
        <v>2216</v>
      </c>
      <c r="I3" s="46" t="s">
        <v>2217</v>
      </c>
      <c r="J3" s="46" t="s">
        <v>2218</v>
      </c>
      <c r="K3" s="46" t="s">
        <v>10</v>
      </c>
      <c r="L3" s="46" t="s">
        <v>2219</v>
      </c>
      <c r="M3" s="46" t="s">
        <v>2220</v>
      </c>
      <c r="N3" s="46" t="s">
        <v>2221</v>
      </c>
      <c r="O3" s="46" t="s">
        <v>17</v>
      </c>
      <c r="P3" s="46" t="s">
        <v>18</v>
      </c>
      <c r="Q3" s="46" t="s">
        <v>19</v>
      </c>
      <c r="R3" s="46" t="s">
        <v>2222</v>
      </c>
      <c r="S3" s="46" t="s">
        <v>3</v>
      </c>
      <c r="T3" s="46" t="s">
        <v>442</v>
      </c>
      <c r="U3" s="46" t="s">
        <v>445</v>
      </c>
      <c r="V3" s="63" t="s">
        <v>443</v>
      </c>
      <c r="W3" s="194" t="s">
        <v>24</v>
      </c>
    </row>
    <row r="4" spans="1:24" hidden="1">
      <c r="A4" s="13" t="s">
        <v>102</v>
      </c>
      <c r="B4" s="1" t="str">
        <f>VLOOKUP(A4,Data[],2,FALSE)</f>
        <v>MANHATTAN</v>
      </c>
      <c r="C4" s="9" t="s">
        <v>106</v>
      </c>
      <c r="D4" s="9" t="str">
        <f>VLOOKUP(IntComp24[[#This Row],[DEVELOPMENT]],Data[],52,FALSE)</f>
        <v>FEDERAL</v>
      </c>
      <c r="E4" s="9" t="str">
        <f>VLOOKUP(IntComp24[[#This Row],[DEVELOPMENT]],Data[],8,FALSE)</f>
        <v>Zone 2</v>
      </c>
      <c r="F4" s="9">
        <f>VLOOKUP(IntComp24[[#This Row],[DEVELOPMENT]],all[[DEVELOPMENT]:[MRST Ext. Comp. Priority]],13,FALSE)</f>
        <v>1</v>
      </c>
      <c r="G4" s="9">
        <f>IF(VLOOKUP(IntComp24[[#This Row],[DEVELOPMENT]],Data[],9,FALSE)=0,5,VLOOKUP(IntComp24[[#This Row],[DEVELOPMENT]],Data[],9,FALSE))</f>
        <v>4</v>
      </c>
      <c r="H4" s="9">
        <f>VLOOKUP(IntComp24[[#This Row],[DEVELOPMENT]],Data[],7,FALSE)</f>
        <v>246</v>
      </c>
      <c r="I4" s="9">
        <f>VLOOKUP(IntComp24[[#This Row],[DEVELOPMENT]],Data[],5,FALSE)</f>
        <v>1</v>
      </c>
      <c r="J4" s="9"/>
      <c r="K4" s="9" t="str">
        <f ca="1">IFERROR(VLOOKUP(IntComp24[[#This Row],[DEVELOPMENT]],Data[],4,FALSE),"")</f>
        <v>2026+</v>
      </c>
      <c r="L4" s="9" t="str">
        <f ca="1">IF(IntComp24[[#This Row],[RAD/PACT]]="","",IF(OR(IntComp24[[#This Row],[RAD/PACT]]="2022-2025",IntComp24[[#This Row],[RAD/PACT]]=2019,IntComp24[[#This Row],[RAD/PACT]]="2020-2021"),"Yes",""))</f>
        <v/>
      </c>
      <c r="M4" s="1">
        <f ca="1">IF(VLOOKUP(IntComp24[[#This Row],[DEVELOPMENT]],Data[],10,FALSE)=0,-1,DATEDIF(VLOOKUP(IntComp24[[#This Row],[DEVELOPMENT]],Data[],12,FALSE),TODAY(),"Y"))</f>
        <v>24</v>
      </c>
      <c r="N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" s="1">
        <v>2020</v>
      </c>
      <c r="P4" s="1">
        <v>2020</v>
      </c>
      <c r="Q4" s="1" t="s">
        <v>2201</v>
      </c>
      <c r="R4" s="47">
        <f ca="1">(IntComp24[[#This Row],['# to Replace (MRST)]]*INDEX(UnitCosts[#All],MATCH(IntComp24[[#This Row],[WORK TYPE]],UnitCosts[Work Type],0)+1,2))*(1+((IntComp24[[#This Row],[est. Year]]-YEAR(TODAY()))*$R$2))</f>
        <v>0</v>
      </c>
      <c r="S4" s="1">
        <f ca="1">SUM(INDEX(IntComp24['# to Replace (MRST)],1):IntComp24[[#This Row],['# to Replace (MRST)]])</f>
        <v>0</v>
      </c>
      <c r="T4" s="1" t="s">
        <v>2225</v>
      </c>
      <c r="U4" s="1">
        <f>IF(ISBLANK(IntComp24[[#This Row],[CALENDAR YEAR]]),ROUNDDOWN(IntComp24[[#This Row],[Count]]/50,0)+$U$1,IntComp24[[#This Row],[CALENDAR YEAR]])</f>
        <v>2020</v>
      </c>
      <c r="V4" s="64">
        <f t="shared" ref="V4:V31" ca="1" si="0">IF(U4=U3,R4+V3,R4)</f>
        <v>0</v>
      </c>
      <c r="X4"/>
    </row>
    <row r="5" spans="1:24" hidden="1">
      <c r="A5" s="13" t="s">
        <v>55</v>
      </c>
      <c r="B5" s="1" t="str">
        <f>VLOOKUP(A5,Data[],2,FALSE)</f>
        <v>MANHATTAN</v>
      </c>
      <c r="C5" s="9" t="s">
        <v>106</v>
      </c>
      <c r="D5" s="9" t="str">
        <f>VLOOKUP(IntComp24[[#This Row],[DEVELOPMENT]],Data[],52,FALSE)</f>
        <v>FEDERAL</v>
      </c>
      <c r="E5" s="9" t="str">
        <f>VLOOKUP(IntComp24[[#This Row],[DEVELOPMENT]],Data[],8,FALSE)</f>
        <v>Zone 1</v>
      </c>
      <c r="F5" s="9">
        <f>VLOOKUP(IntComp24[[#This Row],[DEVELOPMENT]],all[[DEVELOPMENT]:[MRST Ext. Comp. Priority]],13,FALSE)</f>
        <v>1</v>
      </c>
      <c r="G5" s="9">
        <f>IF(VLOOKUP(IntComp24[[#This Row],[DEVELOPMENT]],Data[],9,FALSE)=0,5,VLOOKUP(IntComp24[[#This Row],[DEVELOPMENT]],Data[],9,FALSE))</f>
        <v>4</v>
      </c>
      <c r="H5" s="9">
        <f>VLOOKUP(IntComp24[[#This Row],[DEVELOPMENT]],Data[],7,FALSE)</f>
        <v>1191</v>
      </c>
      <c r="I5" s="9">
        <f>VLOOKUP(IntComp24[[#This Row],[DEVELOPMENT]],Data[],5,FALSE)</f>
        <v>13</v>
      </c>
      <c r="J5" s="9"/>
      <c r="K5" s="9" t="str">
        <f ca="1">IFERROR(VLOOKUP(IntComp24[[#This Row],[DEVELOPMENT]],Data[],4,FALSE),"")</f>
        <v/>
      </c>
      <c r="L5" s="9" t="str">
        <f ca="1">IF(IntComp24[[#This Row],[RAD/PACT]]="","",IF(OR(IntComp24[[#This Row],[RAD/PACT]]="2022-2025",IntComp24[[#This Row],[RAD/PACT]]=2019,IntComp24[[#This Row],[RAD/PACT]]="2020-2021"),"Yes",""))</f>
        <v/>
      </c>
      <c r="M5" s="1">
        <f ca="1">IF(VLOOKUP(IntComp24[[#This Row],[DEVELOPMENT]],Data[],10,FALSE)=0,-1,DATEDIF(VLOOKUP(IntComp24[[#This Row],[DEVELOPMENT]],Data[],12,FALSE),TODAY(),"Y"))</f>
        <v>10</v>
      </c>
      <c r="N5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" s="1">
        <v>2020</v>
      </c>
      <c r="P5" s="1">
        <v>2020</v>
      </c>
      <c r="Q5" s="1" t="s">
        <v>2201</v>
      </c>
      <c r="R5" s="47">
        <f ca="1">(IntComp24[[#This Row],['# to Replace (MRST)]]*INDEX(UnitCosts[#All],MATCH(IntComp24[[#This Row],[WORK TYPE]],UnitCosts[Work Type],0)+1,2))*(1+((IntComp24[[#This Row],[est. Year]]-YEAR(TODAY()))*$R$2))</f>
        <v>0</v>
      </c>
      <c r="S5" s="1">
        <f ca="1">SUM(INDEX(IntComp24['# to Replace (MRST)],1):IntComp24[[#This Row],['# to Replace (MRST)]])</f>
        <v>0</v>
      </c>
      <c r="T5" s="1" t="s">
        <v>2225</v>
      </c>
      <c r="U5" s="1">
        <f>IF(ISBLANK(IntComp24[[#This Row],[CALENDAR YEAR]]),ROUNDDOWN(IntComp24[[#This Row],[Count]]/50,0)+$U$1,IntComp24[[#This Row],[CALENDAR YEAR]])</f>
        <v>2020</v>
      </c>
      <c r="V5" s="64">
        <f t="shared" ca="1" si="0"/>
        <v>0</v>
      </c>
      <c r="X5"/>
    </row>
    <row r="6" spans="1:24" hidden="1">
      <c r="A6" s="13" t="s">
        <v>187</v>
      </c>
      <c r="B6" s="9" t="str">
        <f>VLOOKUP(A6,Data[],2,FALSE)</f>
        <v>BRONX</v>
      </c>
      <c r="C6" s="9" t="s">
        <v>106</v>
      </c>
      <c r="D6" s="9" t="str">
        <f>VLOOKUP(IntComp24[[#This Row],[DEVELOPMENT]],Data[],52,FALSE)</f>
        <v>FEDERAL</v>
      </c>
      <c r="E6" s="50" t="str">
        <f>VLOOKUP(IntComp24[[#This Row],[DEVELOPMENT]],Data[],8,FALSE)</f>
        <v>Zone 3</v>
      </c>
      <c r="F6" s="50">
        <f>VLOOKUP(IntComp24[[#This Row],[DEVELOPMENT]],all[[DEVELOPMENT]:[MRST Ext. Comp. Priority]],13,FALSE)</f>
        <v>1</v>
      </c>
      <c r="G6" s="50">
        <f>IF(VLOOKUP(IntComp24[[#This Row],[DEVELOPMENT]],Data[],9,FALSE)=0,5,VLOOKUP(IntComp24[[#This Row],[DEVELOPMENT]],Data[],9,FALSE))</f>
        <v>5</v>
      </c>
      <c r="H6" s="50">
        <f>VLOOKUP(IntComp24[[#This Row],[DEVELOPMENT]],Data[],7,FALSE)</f>
        <v>82</v>
      </c>
      <c r="I6" s="50">
        <f>VLOOKUP(IntComp24[[#This Row],[DEVELOPMENT]],Data[],5,FALSE)</f>
        <v>3</v>
      </c>
      <c r="J6" s="50"/>
      <c r="K6" s="50" t="str">
        <f ca="1">IFERROR(VLOOKUP(IntComp24[[#This Row],[DEVELOPMENT]],Data[],4,FALSE),"")</f>
        <v/>
      </c>
      <c r="L6" s="50" t="str">
        <f ca="1">IF(IntComp24[[#This Row],[RAD/PACT]]="","",IF(OR(IntComp24[[#This Row],[RAD/PACT]]="2022-2025",IntComp24[[#This Row],[RAD/PACT]]=2019,IntComp24[[#This Row],[RAD/PACT]]="2020-2021"),"Yes",""))</f>
        <v/>
      </c>
      <c r="M6" s="51">
        <f ca="1">IF(VLOOKUP(IntComp24[[#This Row],[DEVELOPMENT]],Data[],10,FALSE)=0,-1,DATEDIF(VLOOKUP(IntComp24[[#This Row],[DEVELOPMENT]],Data[],12,FALSE),TODAY(),"Y"))</f>
        <v>35</v>
      </c>
      <c r="N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6" s="51">
        <v>2020</v>
      </c>
      <c r="P6" s="51">
        <v>2020</v>
      </c>
      <c r="Q6" s="51" t="s">
        <v>2201</v>
      </c>
      <c r="R6" s="47">
        <f ca="1">(IntComp24[[#This Row],['# to Replace (MRST)]]*INDEX(UnitCosts[#All],MATCH(IntComp24[[#This Row],[WORK TYPE]],UnitCosts[Work Type],0)+1,2))*(1+((IntComp24[[#This Row],[est. Year]]-YEAR(TODAY()))*$R$2))</f>
        <v>0</v>
      </c>
      <c r="S6" s="1">
        <f ca="1">SUM(INDEX(IntComp24['# to Replace (MRST)],1):IntComp24[[#This Row],['# to Replace (MRST)]])</f>
        <v>0</v>
      </c>
      <c r="T6" s="51" t="s">
        <v>2225</v>
      </c>
      <c r="U6" s="51">
        <f>IF(ISBLANK(IntComp24[[#This Row],[CALENDAR YEAR]]),ROUNDDOWN(IntComp24[[#This Row],[Count]]/50,0)+$U$1,IntComp24[[#This Row],[CALENDAR YEAR]])</f>
        <v>2020</v>
      </c>
      <c r="V6" s="69">
        <f t="shared" ca="1" si="0"/>
        <v>0</v>
      </c>
      <c r="X6"/>
    </row>
    <row r="7" spans="1:24" hidden="1">
      <c r="A7" s="13" t="s">
        <v>202</v>
      </c>
      <c r="B7" s="9" t="str">
        <f>VLOOKUP(A7,Data[],2,FALSE)</f>
        <v>BROOKLYN</v>
      </c>
      <c r="C7" s="9" t="s">
        <v>106</v>
      </c>
      <c r="D7" s="9" t="str">
        <f>VLOOKUP(IntComp24[[#This Row],[DEVELOPMENT]],Data[],52,FALSE)</f>
        <v>FEDERAL</v>
      </c>
      <c r="E7" s="50">
        <f>VLOOKUP(IntComp24[[#This Row],[DEVELOPMENT]],Data[],8,FALSE)</f>
        <v>0</v>
      </c>
      <c r="F7" s="50">
        <f>VLOOKUP(IntComp24[[#This Row],[DEVELOPMENT]],all[[DEVELOPMENT]:[MRST Ext. Comp. Priority]],13,FALSE)</f>
        <v>1</v>
      </c>
      <c r="G7" s="50">
        <f>IF(VLOOKUP(IntComp24[[#This Row],[DEVELOPMENT]],Data[],9,FALSE)=0,5,VLOOKUP(IntComp24[[#This Row],[DEVELOPMENT]],Data[],9,FALSE))</f>
        <v>5</v>
      </c>
      <c r="H7" s="50">
        <f>VLOOKUP(IntComp24[[#This Row],[DEVELOPMENT]],Data[],7,FALSE)</f>
        <v>1389</v>
      </c>
      <c r="I7" s="50">
        <f>VLOOKUP(IntComp24[[#This Row],[DEVELOPMENT]],Data[],5,FALSE)</f>
        <v>10</v>
      </c>
      <c r="J7" s="50"/>
      <c r="K7" s="50" t="str">
        <f ca="1">IFERROR(VLOOKUP(IntComp24[[#This Row],[DEVELOPMENT]],Data[],4,FALSE),"")</f>
        <v>2026+</v>
      </c>
      <c r="L7" s="50" t="str">
        <f ca="1">IF(IntComp24[[#This Row],[RAD/PACT]]="","",IF(OR(IntComp24[[#This Row],[RAD/PACT]]="2022-2025",IntComp24[[#This Row],[RAD/PACT]]=2019,IntComp24[[#This Row],[RAD/PACT]]="2020-2021"),"Yes",""))</f>
        <v/>
      </c>
      <c r="M7" s="51">
        <f ca="1">IF(VLOOKUP(IntComp24[[#This Row],[DEVELOPMENT]],Data[],10,FALSE)=0,-1,DATEDIF(VLOOKUP(IntComp24[[#This Row],[DEVELOPMENT]],Data[],12,FALSE),TODAY(),"Y"))</f>
        <v>25</v>
      </c>
      <c r="N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" s="51">
        <v>2020</v>
      </c>
      <c r="P7" s="51">
        <v>2020</v>
      </c>
      <c r="Q7" s="51" t="s">
        <v>2201</v>
      </c>
      <c r="R7" s="47">
        <f ca="1">(IntComp24[[#This Row],['# to Replace (MRST)]]*INDEX(UnitCosts[#All],MATCH(IntComp24[[#This Row],[WORK TYPE]],UnitCosts[Work Type],0)+1,2))*(1+((IntComp24[[#This Row],[est. Year]]-YEAR(TODAY()))*$R$2))</f>
        <v>0</v>
      </c>
      <c r="S7" s="1">
        <f ca="1">SUM(INDEX(IntComp24['# to Replace (MRST)],1):IntComp24[[#This Row],['# to Replace (MRST)]])</f>
        <v>0</v>
      </c>
      <c r="T7" s="51" t="s">
        <v>2225</v>
      </c>
      <c r="U7" s="51">
        <f>IF(ISBLANK(IntComp24[[#This Row],[CALENDAR YEAR]]),ROUNDDOWN(IntComp24[[#This Row],[Count]]/50,0)+$U$1,IntComp24[[#This Row],[CALENDAR YEAR]])</f>
        <v>2020</v>
      </c>
      <c r="V7" s="69">
        <f t="shared" ca="1" si="0"/>
        <v>0</v>
      </c>
      <c r="X7"/>
    </row>
    <row r="8" spans="1:24" hidden="1">
      <c r="A8" s="13" t="s">
        <v>208</v>
      </c>
      <c r="B8" s="9" t="str">
        <f>VLOOKUP(A8,Data[],2,FALSE)</f>
        <v>BROOKLYN</v>
      </c>
      <c r="C8" s="9" t="s">
        <v>106</v>
      </c>
      <c r="D8" s="9" t="str">
        <f>VLOOKUP(IntComp24[[#This Row],[DEVELOPMENT]],Data[],52,FALSE)</f>
        <v>FEDERAL</v>
      </c>
      <c r="E8" s="50">
        <f>VLOOKUP(IntComp24[[#This Row],[DEVELOPMENT]],Data[],8,FALSE)</f>
        <v>0</v>
      </c>
      <c r="F8" s="50">
        <f>VLOOKUP(IntComp24[[#This Row],[DEVELOPMENT]],all[[DEVELOPMENT]:[MRST Ext. Comp. Priority]],13,FALSE)</f>
        <v>1</v>
      </c>
      <c r="G8" s="50">
        <f>IF(VLOOKUP(IntComp24[[#This Row],[DEVELOPMENT]],Data[],9,FALSE)=0,5,VLOOKUP(IntComp24[[#This Row],[DEVELOPMENT]],Data[],9,FALSE))</f>
        <v>5</v>
      </c>
      <c r="H8" s="50">
        <f>VLOOKUP(IntComp24[[#This Row],[DEVELOPMENT]],Data[],7,FALSE)</f>
        <v>229</v>
      </c>
      <c r="I8" s="50">
        <f>VLOOKUP(IntComp24[[#This Row],[DEVELOPMENT]],Data[],5,FALSE)</f>
        <v>4</v>
      </c>
      <c r="J8" s="50"/>
      <c r="K8" s="50" t="str">
        <f ca="1">IFERROR(VLOOKUP(IntComp24[[#This Row],[DEVELOPMENT]],Data[],4,FALSE),"")</f>
        <v>2026+</v>
      </c>
      <c r="L8" s="50" t="str">
        <f ca="1">IF(IntComp24[[#This Row],[RAD/PACT]]="","",IF(OR(IntComp24[[#This Row],[RAD/PACT]]="2022-2025",IntComp24[[#This Row],[RAD/PACT]]=2019,IntComp24[[#This Row],[RAD/PACT]]="2020-2021"),"Yes",""))</f>
        <v/>
      </c>
      <c r="M8" s="51">
        <f ca="1">IF(VLOOKUP(IntComp24[[#This Row],[DEVELOPMENT]],Data[],10,FALSE)=0,-1,DATEDIF(VLOOKUP(IntComp24[[#This Row],[DEVELOPMENT]],Data[],12,FALSE),TODAY(),"Y"))</f>
        <v>24</v>
      </c>
      <c r="N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" s="51">
        <v>2020</v>
      </c>
      <c r="P8" s="51">
        <v>2020</v>
      </c>
      <c r="Q8" s="51" t="s">
        <v>2201</v>
      </c>
      <c r="R8" s="47">
        <f ca="1">(IntComp24[[#This Row],['# to Replace (MRST)]]*INDEX(UnitCosts[#All],MATCH(IntComp24[[#This Row],[WORK TYPE]],UnitCosts[Work Type],0)+1,2))*(1+((IntComp24[[#This Row],[est. Year]]-YEAR(TODAY()))*$R$2))</f>
        <v>0</v>
      </c>
      <c r="S8" s="1">
        <f ca="1">SUM(INDEX(IntComp24['# to Replace (MRST)],1):IntComp24[[#This Row],['# to Replace (MRST)]])</f>
        <v>0</v>
      </c>
      <c r="T8" s="51" t="s">
        <v>2225</v>
      </c>
      <c r="U8" s="51">
        <f>IF(ISBLANK(IntComp24[[#This Row],[CALENDAR YEAR]]),ROUNDDOWN(IntComp24[[#This Row],[Count]]/50,0)+$U$1,IntComp24[[#This Row],[CALENDAR YEAR]])</f>
        <v>2020</v>
      </c>
      <c r="V8" s="69">
        <f t="shared" ca="1" si="0"/>
        <v>0</v>
      </c>
      <c r="X8"/>
    </row>
    <row r="9" spans="1:24" hidden="1">
      <c r="A9" s="13" t="s">
        <v>195</v>
      </c>
      <c r="B9" s="9" t="str">
        <f>VLOOKUP(A9,Data[],2,FALSE)</f>
        <v>MANHATTAN</v>
      </c>
      <c r="C9" s="9" t="s">
        <v>106</v>
      </c>
      <c r="D9" s="9" t="str">
        <f>VLOOKUP(IntComp24[[#This Row],[DEVELOPMENT]],Data[],52,FALSE)</f>
        <v>FEDERAL</v>
      </c>
      <c r="E9" s="50">
        <f>VLOOKUP(IntComp24[[#This Row],[DEVELOPMENT]],Data[],8,FALSE)</f>
        <v>0</v>
      </c>
      <c r="F9" s="50">
        <f>VLOOKUP(IntComp24[[#This Row],[DEVELOPMENT]],all[[DEVELOPMENT]:[MRST Ext. Comp. Priority]],13,FALSE)</f>
        <v>1</v>
      </c>
      <c r="G9" s="50">
        <f>IF(VLOOKUP(IntComp24[[#This Row],[DEVELOPMENT]],Data[],9,FALSE)=0,5,VLOOKUP(IntComp24[[#This Row],[DEVELOPMENT]],Data[],9,FALSE))</f>
        <v>5</v>
      </c>
      <c r="H9" s="50">
        <f>VLOOKUP(IntComp24[[#This Row],[DEVELOPMENT]],Data[],7,FALSE)</f>
        <v>150</v>
      </c>
      <c r="I9" s="50">
        <f>VLOOKUP(IntComp24[[#This Row],[DEVELOPMENT]],Data[],5,FALSE)</f>
        <v>1</v>
      </c>
      <c r="J9" s="50"/>
      <c r="K9" s="50" t="str">
        <f ca="1">IFERROR(VLOOKUP(IntComp24[[#This Row],[DEVELOPMENT]],Data[],4,FALSE),"")</f>
        <v/>
      </c>
      <c r="L9" s="50" t="str">
        <f ca="1">IF(IntComp24[[#This Row],[RAD/PACT]]="","",IF(OR(IntComp24[[#This Row],[RAD/PACT]]="2022-2025",IntComp24[[#This Row],[RAD/PACT]]=2019,IntComp24[[#This Row],[RAD/PACT]]="2020-2021"),"Yes",""))</f>
        <v/>
      </c>
      <c r="M9" s="51">
        <f ca="1">IF(VLOOKUP(IntComp24[[#This Row],[DEVELOPMENT]],Data[],10,FALSE)=0,-1,DATEDIF(VLOOKUP(IntComp24[[#This Row],[DEVELOPMENT]],Data[],12,FALSE),TODAY(),"Y"))</f>
        <v>20</v>
      </c>
      <c r="N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9" s="51">
        <v>2020</v>
      </c>
      <c r="P9" s="51">
        <v>2020</v>
      </c>
      <c r="Q9" s="51" t="s">
        <v>2201</v>
      </c>
      <c r="R9" s="47">
        <f ca="1">(IntComp24[[#This Row],['# to Replace (MRST)]]*INDEX(UnitCosts[#All],MATCH(IntComp24[[#This Row],[WORK TYPE]],UnitCosts[Work Type],0)+1,2))*(1+((IntComp24[[#This Row],[est. Year]]-YEAR(TODAY()))*$R$2))</f>
        <v>0</v>
      </c>
      <c r="S9" s="1">
        <f ca="1">SUM(INDEX(IntComp24['# to Replace (MRST)],1):IntComp24[[#This Row],['# to Replace (MRST)]])</f>
        <v>0</v>
      </c>
      <c r="T9" s="51" t="s">
        <v>2225</v>
      </c>
      <c r="U9" s="51">
        <f>IF(ISBLANK(IntComp24[[#This Row],[CALENDAR YEAR]]),ROUNDDOWN(IntComp24[[#This Row],[Count]]/50,0)+$U$1,IntComp24[[#This Row],[CALENDAR YEAR]])</f>
        <v>2020</v>
      </c>
      <c r="V9" s="69">
        <f t="shared" ca="1" si="0"/>
        <v>0</v>
      </c>
      <c r="X9"/>
    </row>
    <row r="10" spans="1:24" hidden="1">
      <c r="A10" s="65" t="s">
        <v>104</v>
      </c>
      <c r="B10" s="1" t="str">
        <f>VLOOKUP(A10,Data[],2,FALSE)</f>
        <v>MANHATTAN</v>
      </c>
      <c r="C10" s="9" t="s">
        <v>106</v>
      </c>
      <c r="D10" s="9" t="str">
        <f>VLOOKUP(IntComp24[[#This Row],[DEVELOPMENT]],Data[],52,FALSE)</f>
        <v>FEDERAL</v>
      </c>
      <c r="E10" s="9" t="str">
        <f>VLOOKUP(IntComp24[[#This Row],[DEVELOPMENT]],Data[],8,FALSE)</f>
        <v>Zone 1</v>
      </c>
      <c r="F10" s="9">
        <f>VLOOKUP(IntComp24[[#This Row],[DEVELOPMENT]],all[[DEVELOPMENT]:[MRST Ext. Comp. Priority]],13,FALSE)</f>
        <v>2</v>
      </c>
      <c r="G10" s="9">
        <f>IF(VLOOKUP(IntComp24[[#This Row],[DEVELOPMENT]],Data[],9,FALSE)=0,5,VLOOKUP(IntComp24[[#This Row],[DEVELOPMENT]],Data[],9,FALSE))</f>
        <v>3</v>
      </c>
      <c r="H10" s="9">
        <f>VLOOKUP(IntComp24[[#This Row],[DEVELOPMENT]],Data[],7,FALSE)</f>
        <v>577</v>
      </c>
      <c r="I10" s="9">
        <f>VLOOKUP(IntComp24[[#This Row],[DEVELOPMENT]],Data[],5,FALSE)</f>
        <v>6</v>
      </c>
      <c r="J10" s="9"/>
      <c r="K10" s="9" t="str">
        <f ca="1">IFERROR(VLOOKUP(IntComp24[[#This Row],[DEVELOPMENT]],Data[],4,FALSE),"")</f>
        <v/>
      </c>
      <c r="L10" s="9" t="str">
        <f ca="1">IF(IntComp24[[#This Row],[RAD/PACT]]="","",IF(OR(IntComp24[[#This Row],[RAD/PACT]]="2022-2025",IntComp24[[#This Row],[RAD/PACT]]=2019,IntComp24[[#This Row],[RAD/PACT]]="2020-2021"),"Yes",""))</f>
        <v/>
      </c>
      <c r="M10" s="9">
        <f ca="1">IF(VLOOKUP(IntComp24[[#This Row],[DEVELOPMENT]],Data[],10,FALSE)=0,-1,DATEDIF(VLOOKUP(IntComp24[[#This Row],[DEVELOPMENT]],Data[],12,FALSE),TODAY(),"Y"))</f>
        <v>120</v>
      </c>
      <c r="N1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0" s="51">
        <v>2020</v>
      </c>
      <c r="P10" s="51">
        <v>2020</v>
      </c>
      <c r="Q10" s="1" t="s">
        <v>2201</v>
      </c>
      <c r="R10" s="47">
        <f ca="1">(IntComp24[[#This Row],['# to Replace (MRST)]]*INDEX(UnitCosts[#All],MATCH(IntComp24[[#This Row],[WORK TYPE]],UnitCosts[Work Type],0)+1,2))*(1+((IntComp24[[#This Row],[est. Year]]-YEAR(TODAY()))*$R$2))</f>
        <v>0</v>
      </c>
      <c r="S10" s="1">
        <f ca="1">SUM(INDEX(IntComp24['# to Replace (MRST)],1):IntComp24[[#This Row],['# to Replace (MRST)]])</f>
        <v>0</v>
      </c>
      <c r="T10" s="1" t="s">
        <v>2225</v>
      </c>
      <c r="U10" s="1">
        <f>IF(ISBLANK(IntComp24[[#This Row],[CALENDAR YEAR]]),ROUNDDOWN(IntComp24[[#This Row],[Count]]/50,0)+$U$1,IntComp24[[#This Row],[CALENDAR YEAR]])</f>
        <v>2020</v>
      </c>
      <c r="V10" s="64">
        <f t="shared" ca="1" si="0"/>
        <v>0</v>
      </c>
      <c r="X10"/>
    </row>
    <row r="11" spans="1:24" hidden="1">
      <c r="A11" s="13" t="s">
        <v>140</v>
      </c>
      <c r="B11" s="1" t="str">
        <f>VLOOKUP(A11,Data[],2,FALSE)</f>
        <v>BRONX</v>
      </c>
      <c r="C11" s="9" t="s">
        <v>106</v>
      </c>
      <c r="D11" s="9" t="str">
        <f>VLOOKUP(IntComp24[[#This Row],[DEVELOPMENT]],Data[],52,FALSE)</f>
        <v>FEDERAL</v>
      </c>
      <c r="E11" s="9" t="str">
        <f>VLOOKUP(IntComp24[[#This Row],[DEVELOPMENT]],Data[],8,FALSE)</f>
        <v>Zone 1</v>
      </c>
      <c r="F11" s="9">
        <f>VLOOKUP(IntComp24[[#This Row],[DEVELOPMENT]],all[[DEVELOPMENT]:[MRST Ext. Comp. Priority]],13,FALSE)</f>
        <v>3</v>
      </c>
      <c r="G11" s="9">
        <f>IF(VLOOKUP(IntComp24[[#This Row],[DEVELOPMENT]],Data[],9,FALSE)=0,5,VLOOKUP(IntComp24[[#This Row],[DEVELOPMENT]],Data[],9,FALSE))</f>
        <v>2</v>
      </c>
      <c r="H11" s="9">
        <f>VLOOKUP(IntComp24[[#This Row],[DEVELOPMENT]],Data[],7,FALSE)</f>
        <v>802</v>
      </c>
      <c r="I11" s="9">
        <f>VLOOKUP(IntComp24[[#This Row],[DEVELOPMENT]],Data[],5,FALSE)</f>
        <v>7</v>
      </c>
      <c r="J11" s="9"/>
      <c r="K11" s="9" t="str">
        <f ca="1">IFERROR(VLOOKUP(IntComp24[[#This Row],[DEVELOPMENT]],Data[],4,FALSE),"")</f>
        <v/>
      </c>
      <c r="L11" s="9" t="str">
        <f ca="1">IF(IntComp24[[#This Row],[RAD/PACT]]="","",IF(OR(IntComp24[[#This Row],[RAD/PACT]]="2022-2025",IntComp24[[#This Row],[RAD/PACT]]=2019,IntComp24[[#This Row],[RAD/PACT]]="2020-2021"),"Yes",""))</f>
        <v/>
      </c>
      <c r="M11" s="9">
        <f ca="1">IF(VLOOKUP(IntComp24[[#This Row],[DEVELOPMENT]],Data[],10,FALSE)=0,-1,DATEDIF(VLOOKUP(IntComp24[[#This Row],[DEVELOPMENT]],Data[],12,FALSE),TODAY(),"Y"))</f>
        <v>120</v>
      </c>
      <c r="N1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" s="1">
        <v>2020</v>
      </c>
      <c r="P11" s="1">
        <v>2020</v>
      </c>
      <c r="Q11" s="1" t="s">
        <v>2201</v>
      </c>
      <c r="R11" s="47">
        <f ca="1">(IntComp24[[#This Row],['# to Replace (MRST)]]*INDEX(UnitCosts[#All],MATCH(IntComp24[[#This Row],[WORK TYPE]],UnitCosts[Work Type],0)+1,2))*(1+((IntComp24[[#This Row],[est. Year]]-YEAR(TODAY()))*$R$2))</f>
        <v>0</v>
      </c>
      <c r="S11" s="1">
        <f ca="1">SUM(INDEX(IntComp24['# to Replace (MRST)],1):IntComp24[[#This Row],['# to Replace (MRST)]])</f>
        <v>0</v>
      </c>
      <c r="T11" s="1" t="s">
        <v>2225</v>
      </c>
      <c r="U11" s="1">
        <f>IF(ISBLANK(IntComp24[[#This Row],[CALENDAR YEAR]]),ROUNDDOWN(IntComp24[[#This Row],[Count]]/50,0)+$U$1,IntComp24[[#This Row],[CALENDAR YEAR]])</f>
        <v>2020</v>
      </c>
      <c r="V11" s="64">
        <f t="shared" ca="1" si="0"/>
        <v>0</v>
      </c>
      <c r="X11"/>
    </row>
    <row r="12" spans="1:24" hidden="1">
      <c r="A12" s="13" t="s">
        <v>266</v>
      </c>
      <c r="B12" s="1" t="str">
        <f>VLOOKUP(A12,Data[],2,FALSE)</f>
        <v>MANHATTAN</v>
      </c>
      <c r="C12" s="9" t="s">
        <v>106</v>
      </c>
      <c r="D12" s="9" t="str">
        <f>VLOOKUP(IntComp24[[#This Row],[DEVELOPMENT]],Data[],52,FALSE)</f>
        <v>FEDERAL</v>
      </c>
      <c r="E12" s="50" t="str">
        <f>VLOOKUP(IntComp24[[#This Row],[DEVELOPMENT]],Data[],8,FALSE)</f>
        <v>Zone 1</v>
      </c>
      <c r="F12" s="50">
        <f>VLOOKUP(IntComp24[[#This Row],[DEVELOPMENT]],all[[DEVELOPMENT]:[MRST Ext. Comp. Priority]],13,FALSE)</f>
        <v>3</v>
      </c>
      <c r="G12" s="9">
        <f>IF(VLOOKUP(IntComp24[[#This Row],[DEVELOPMENT]],Data[],9,FALSE)=0,5,VLOOKUP(IntComp24[[#This Row],[DEVELOPMENT]],Data[],9,FALSE))</f>
        <v>3</v>
      </c>
      <c r="H12" s="50">
        <f>VLOOKUP(IntComp24[[#This Row],[DEVELOPMENT]],Data[],7,FALSE)</f>
        <v>149</v>
      </c>
      <c r="I12" s="50">
        <f>VLOOKUP(IntComp24[[#This Row],[DEVELOPMENT]],Data[],5,FALSE)</f>
        <v>1</v>
      </c>
      <c r="J12" s="9"/>
      <c r="K12" s="50" t="str">
        <f ca="1">IFERROR(VLOOKUP(IntComp24[[#This Row],[DEVELOPMENT]],Data[],4,FALSE),"")</f>
        <v/>
      </c>
      <c r="L12" s="50" t="str">
        <f ca="1">IF(IntComp24[[#This Row],[RAD/PACT]]="","",IF(OR(IntComp24[[#This Row],[RAD/PACT]]="2022-2025",IntComp24[[#This Row],[RAD/PACT]]=2019,IntComp24[[#This Row],[RAD/PACT]]="2020-2021"),"Yes",""))</f>
        <v/>
      </c>
      <c r="M12" s="50">
        <f ca="1">IF(VLOOKUP(IntComp24[[#This Row],[DEVELOPMENT]],Data[],10,FALSE)=0,-1,DATEDIF(VLOOKUP(IntComp24[[#This Row],[DEVELOPMENT]],Data[],12,FALSE),TODAY(),"Y"))</f>
        <v>120</v>
      </c>
      <c r="N1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" s="51">
        <v>2020</v>
      </c>
      <c r="P12" s="51">
        <v>2020</v>
      </c>
      <c r="Q12" s="51" t="s">
        <v>2201</v>
      </c>
      <c r="R12" s="47">
        <f ca="1">(IntComp24[[#This Row],['# to Replace (MRST)]]*INDEX(UnitCosts[#All],MATCH(IntComp24[[#This Row],[WORK TYPE]],UnitCosts[Work Type],0)+1,2))*(1+((IntComp24[[#This Row],[est. Year]]-YEAR(TODAY()))*$R$2))</f>
        <v>0</v>
      </c>
      <c r="S12" s="1">
        <f ca="1">SUM(INDEX(IntComp24['# to Replace (MRST)],1):IntComp24[[#This Row],['# to Replace (MRST)]])</f>
        <v>0</v>
      </c>
      <c r="T12" s="51" t="s">
        <v>2225</v>
      </c>
      <c r="U12" s="51">
        <f>IF(ISBLANK(IntComp24[[#This Row],[CALENDAR YEAR]]),ROUNDDOWN(IntComp24[[#This Row],[Count]]/50,0)+$U$1,IntComp24[[#This Row],[CALENDAR YEAR]])</f>
        <v>2020</v>
      </c>
      <c r="V12" s="64">
        <f t="shared" ca="1" si="0"/>
        <v>0</v>
      </c>
      <c r="X12"/>
    </row>
    <row r="13" spans="1:24" hidden="1">
      <c r="A13" s="13" t="s">
        <v>107</v>
      </c>
      <c r="B13" s="1" t="str">
        <f>VLOOKUP(A13,Data[],2,FALSE)</f>
        <v>MANHATTAN</v>
      </c>
      <c r="C13" s="9" t="s">
        <v>106</v>
      </c>
      <c r="D13" s="9" t="str">
        <f>VLOOKUP(IntComp24[[#This Row],[DEVELOPMENT]],Data[],52,FALSE)</f>
        <v>FEDERAL</v>
      </c>
      <c r="E13" s="9" t="str">
        <f>VLOOKUP(IntComp24[[#This Row],[DEVELOPMENT]],Data[],8,FALSE)</f>
        <v>Zone 2</v>
      </c>
      <c r="F13" s="9">
        <f>VLOOKUP(IntComp24[[#This Row],[DEVELOPMENT]],all[[DEVELOPMENT]:[MRST Ext. Comp. Priority]],13,FALSE)</f>
        <v>3</v>
      </c>
      <c r="G13" s="9">
        <f>IF(VLOOKUP(IntComp24[[#This Row],[DEVELOPMENT]],Data[],9,FALSE)=0,5,VLOOKUP(IntComp24[[#This Row],[DEVELOPMENT]],Data[],9,FALSE))</f>
        <v>3</v>
      </c>
      <c r="H13" s="9">
        <f>VLOOKUP(IntComp24[[#This Row],[DEVELOPMENT]],Data[],7,FALSE)</f>
        <v>188</v>
      </c>
      <c r="I13" s="9">
        <f>VLOOKUP(IntComp24[[#This Row],[DEVELOPMENT]],Data[],5,FALSE)</f>
        <v>1</v>
      </c>
      <c r="J13" s="9"/>
      <c r="K13" s="9" t="str">
        <f ca="1">IFERROR(VLOOKUP(IntComp24[[#This Row],[DEVELOPMENT]],Data[],4,FALSE),"")</f>
        <v/>
      </c>
      <c r="L13" s="9" t="str">
        <f ca="1">IF(IntComp24[[#This Row],[RAD/PACT]]="","",IF(OR(IntComp24[[#This Row],[RAD/PACT]]="2022-2025",IntComp24[[#This Row],[RAD/PACT]]=2019,IntComp24[[#This Row],[RAD/PACT]]="2020-2021"),"Yes",""))</f>
        <v/>
      </c>
      <c r="M13" s="1">
        <f ca="1">IF(VLOOKUP(IntComp24[[#This Row],[DEVELOPMENT]],Data[],10,FALSE)=0,-1,DATEDIF(VLOOKUP(IntComp24[[#This Row],[DEVELOPMENT]],Data[],12,FALSE),TODAY(),"Y"))</f>
        <v>40</v>
      </c>
      <c r="N13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3" s="1">
        <v>2020</v>
      </c>
      <c r="P13" s="26">
        <v>2020</v>
      </c>
      <c r="Q13" s="1" t="s">
        <v>2249</v>
      </c>
      <c r="R13" s="47">
        <f ca="1">(IntComp24[[#This Row],['# to Replace (MRST)]]*INDEX(UnitCosts[#All],MATCH(IntComp24[[#This Row],[WORK TYPE]],UnitCosts[Work Type],0)+1,2))*(1+((IntComp24[[#This Row],[est. Year]]-YEAR(TODAY()))*$R$2))</f>
        <v>0</v>
      </c>
      <c r="S13" s="1">
        <f ca="1">SUM(INDEX(IntComp24['# to Replace (MRST)],1):IntComp24[[#This Row],['# to Replace (MRST)]])</f>
        <v>0</v>
      </c>
      <c r="T13" s="1" t="s">
        <v>2225</v>
      </c>
      <c r="U13" s="1">
        <f>IF(ISBLANK(IntComp24[[#This Row],[CALENDAR YEAR]]),ROUNDDOWN(IntComp24[[#This Row],[Count]]/50,0)+$U$1,IntComp24[[#This Row],[CALENDAR YEAR]])</f>
        <v>2020</v>
      </c>
      <c r="V13" s="64">
        <f t="shared" ca="1" si="0"/>
        <v>0</v>
      </c>
      <c r="X13"/>
    </row>
    <row r="14" spans="1:24" hidden="1">
      <c r="A14" s="65" t="s">
        <v>50</v>
      </c>
      <c r="B14" s="1" t="str">
        <f>VLOOKUP(A14,Data[],2,FALSE)</f>
        <v>MANHATTAN</v>
      </c>
      <c r="C14" s="9" t="s">
        <v>106</v>
      </c>
      <c r="D14" s="9" t="str">
        <f>VLOOKUP(IntComp24[[#This Row],[DEVELOPMENT]],Data[],52,FALSE)</f>
        <v>FEDERAL</v>
      </c>
      <c r="E14" s="9" t="str">
        <f>VLOOKUP(IntComp24[[#This Row],[DEVELOPMENT]],Data[],8,FALSE)</f>
        <v>Zone 1</v>
      </c>
      <c r="F14" s="9">
        <f>VLOOKUP(IntComp24[[#This Row],[DEVELOPMENT]],all[[DEVELOPMENT]:[MRST Ext. Comp. Priority]],13,FALSE)</f>
        <v>3</v>
      </c>
      <c r="G14" s="9">
        <f>IF(VLOOKUP(IntComp24[[#This Row],[DEVELOPMENT]],Data[],9,FALSE)=0,5,VLOOKUP(IntComp24[[#This Row],[DEVELOPMENT]],Data[],9,FALSE))</f>
        <v>4</v>
      </c>
      <c r="H14" s="9">
        <f>VLOOKUP(IntComp24[[#This Row],[DEVELOPMENT]],Data[],7,FALSE)</f>
        <v>229</v>
      </c>
      <c r="I14" s="9">
        <f>VLOOKUP(IntComp24[[#This Row],[DEVELOPMENT]],Data[],5,FALSE)</f>
        <v>1</v>
      </c>
      <c r="J14" s="9"/>
      <c r="K14" s="9" t="str">
        <f ca="1">IFERROR(VLOOKUP(IntComp24[[#This Row],[DEVELOPMENT]],Data[],4,FALSE),"")</f>
        <v/>
      </c>
      <c r="L14" s="9" t="str">
        <f ca="1">IF(IntComp24[[#This Row],[RAD/PACT]]="","",IF(OR(IntComp24[[#This Row],[RAD/PACT]]="2022-2025",IntComp24[[#This Row],[RAD/PACT]]=2019,IntComp24[[#This Row],[RAD/PACT]]="2020-2021"),"Yes",""))</f>
        <v/>
      </c>
      <c r="M14" s="1">
        <f ca="1">IF(VLOOKUP(IntComp24[[#This Row],[DEVELOPMENT]],Data[],10,FALSE)=0,-1,DATEDIF(VLOOKUP(IntComp24[[#This Row],[DEVELOPMENT]],Data[],12,FALSE),TODAY(),"Y"))</f>
        <v>40</v>
      </c>
      <c r="N1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" s="1">
        <v>2020</v>
      </c>
      <c r="P14" s="1">
        <v>2020</v>
      </c>
      <c r="Q14" s="1" t="s">
        <v>2201</v>
      </c>
      <c r="R14" s="47">
        <f ca="1">(IntComp24[[#This Row],['# to Replace (MRST)]]*INDEX(UnitCosts[#All],MATCH(IntComp24[[#This Row],[WORK TYPE]],UnitCosts[Work Type],0)+1,2))*(1+((IntComp24[[#This Row],[est. Year]]-YEAR(TODAY()))*$R$2))</f>
        <v>0</v>
      </c>
      <c r="S14" s="1">
        <f ca="1">SUM(INDEX(IntComp24['# to Replace (MRST)],1):IntComp24[[#This Row],['# to Replace (MRST)]])</f>
        <v>0</v>
      </c>
      <c r="T14" s="1" t="s">
        <v>2225</v>
      </c>
      <c r="U14" s="1">
        <f>IF(ISBLANK(IntComp24[[#This Row],[CALENDAR YEAR]]),ROUNDDOWN(IntComp24[[#This Row],[Count]]/50,0)+$U$1,IntComp24[[#This Row],[CALENDAR YEAR]])</f>
        <v>2020</v>
      </c>
      <c r="V14" s="64">
        <f t="shared" ca="1" si="0"/>
        <v>0</v>
      </c>
      <c r="X14"/>
    </row>
    <row r="15" spans="1:24" hidden="1">
      <c r="A15" s="65" t="s">
        <v>142</v>
      </c>
      <c r="B15" s="1" t="str">
        <f>VLOOKUP(A15,Data[],2,FALSE)</f>
        <v>BROOKLYN</v>
      </c>
      <c r="C15" s="9" t="s">
        <v>106</v>
      </c>
      <c r="D15" s="9" t="str">
        <f>VLOOKUP(IntComp24[[#This Row],[DEVELOPMENT]],Data[],52,FALSE)</f>
        <v>FEDERAL</v>
      </c>
      <c r="E15" s="9" t="str">
        <f>VLOOKUP(IntComp24[[#This Row],[DEVELOPMENT]],Data[],8,FALSE)</f>
        <v>Zone 1</v>
      </c>
      <c r="F15" s="9">
        <f>VLOOKUP(IntComp24[[#This Row],[DEVELOPMENT]],all[[DEVELOPMENT]:[MRST Ext. Comp. Priority]],13,FALSE)</f>
        <v>3</v>
      </c>
      <c r="G15" s="9">
        <f>IF(VLOOKUP(IntComp24[[#This Row],[DEVELOPMENT]],Data[],9,FALSE)=0,5,VLOOKUP(IntComp24[[#This Row],[DEVELOPMENT]],Data[],9,FALSE))</f>
        <v>4</v>
      </c>
      <c r="H15" s="9">
        <f>VLOOKUP(IntComp24[[#This Row],[DEVELOPMENT]],Data[],7,FALSE)</f>
        <v>84</v>
      </c>
      <c r="I15" s="9">
        <f>VLOOKUP(IntComp24[[#This Row],[DEVELOPMENT]],Data[],5,FALSE)</f>
        <v>3</v>
      </c>
      <c r="J15" s="9"/>
      <c r="K15" s="9" t="str">
        <f ca="1">IFERROR(VLOOKUP(IntComp24[[#This Row],[DEVELOPMENT]],Data[],4,FALSE),"")</f>
        <v/>
      </c>
      <c r="L15" s="9" t="str">
        <f ca="1">IF(IntComp24[[#This Row],[RAD/PACT]]="","",IF(OR(IntComp24[[#This Row],[RAD/PACT]]="2022-2025",IntComp24[[#This Row],[RAD/PACT]]=2019,IntComp24[[#This Row],[RAD/PACT]]="2020-2021"),"Yes",""))</f>
        <v/>
      </c>
      <c r="M15" s="1">
        <f ca="1">IF(VLOOKUP(IntComp24[[#This Row],[DEVELOPMENT]],Data[],10,FALSE)=0,-1,DATEDIF(VLOOKUP(IntComp24[[#This Row],[DEVELOPMENT]],Data[],12,FALSE),TODAY(),"Y"))</f>
        <v>37</v>
      </c>
      <c r="N15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" s="1">
        <v>2020</v>
      </c>
      <c r="P15" s="1">
        <v>2020</v>
      </c>
      <c r="Q15" s="1" t="s">
        <v>2201</v>
      </c>
      <c r="R15" s="47">
        <f ca="1">(IntComp24[[#This Row],['# to Replace (MRST)]]*INDEX(UnitCosts[#All],MATCH(IntComp24[[#This Row],[WORK TYPE]],UnitCosts[Work Type],0)+1,2))*(1+((IntComp24[[#This Row],[est. Year]]-YEAR(TODAY()))*$R$2))</f>
        <v>0</v>
      </c>
      <c r="S15" s="1">
        <f ca="1">SUM(INDEX(IntComp24['# to Replace (MRST)],1):IntComp24[[#This Row],['# to Replace (MRST)]])</f>
        <v>0</v>
      </c>
      <c r="T15" s="1" t="s">
        <v>2225</v>
      </c>
      <c r="U15" s="1">
        <f>IF(ISBLANK(IntComp24[[#This Row],[CALENDAR YEAR]]),ROUNDDOWN(IntComp24[[#This Row],[Count]]/50,0)+$U$1,IntComp24[[#This Row],[CALENDAR YEAR]])</f>
        <v>2020</v>
      </c>
      <c r="V15" s="64">
        <f t="shared" ca="1" si="0"/>
        <v>0</v>
      </c>
      <c r="X15"/>
    </row>
    <row r="16" spans="1:24" hidden="1">
      <c r="A16" s="13" t="s">
        <v>382</v>
      </c>
      <c r="B16" s="9" t="str">
        <f>VLOOKUP(A16,Data[],2,FALSE)</f>
        <v>BRONX</v>
      </c>
      <c r="C16" s="9" t="s">
        <v>106</v>
      </c>
      <c r="D16" s="9" t="str">
        <f>VLOOKUP(IntComp24[[#This Row],[DEVELOPMENT]],Data[],52,FALSE)</f>
        <v>FEDERAL</v>
      </c>
      <c r="E16" s="50" t="str">
        <f>VLOOKUP(IntComp24[[#This Row],[DEVELOPMENT]],Data[],8,FALSE)</f>
        <v>Zone 4</v>
      </c>
      <c r="F16" s="50">
        <f>VLOOKUP(IntComp24[[#This Row],[DEVELOPMENT]],all[[DEVELOPMENT]:[MRST Ext. Comp. Priority]],13,FALSE)</f>
        <v>3</v>
      </c>
      <c r="G16" s="50">
        <f>IF(VLOOKUP(IntComp24[[#This Row],[DEVELOPMENT]],Data[],9,FALSE)=0,5,VLOOKUP(IntComp24[[#This Row],[DEVELOPMENT]],Data[],9,FALSE))</f>
        <v>5</v>
      </c>
      <c r="H16" s="50">
        <f>VLOOKUP(IntComp24[[#This Row],[DEVELOPMENT]],Data[],7,FALSE)</f>
        <v>148</v>
      </c>
      <c r="I16" s="50">
        <f>VLOOKUP(IntComp24[[#This Row],[DEVELOPMENT]],Data[],5,FALSE)</f>
        <v>1</v>
      </c>
      <c r="J16" s="50"/>
      <c r="K16" s="50" t="str">
        <f ca="1">IFERROR(VLOOKUP(IntComp24[[#This Row],[DEVELOPMENT]],Data[],4,FALSE),"")</f>
        <v/>
      </c>
      <c r="L16" s="50" t="str">
        <f ca="1">IF(IntComp24[[#This Row],[RAD/PACT]]="","",IF(OR(IntComp24[[#This Row],[RAD/PACT]]="2022-2025",IntComp24[[#This Row],[RAD/PACT]]=2019,IntComp24[[#This Row],[RAD/PACT]]="2020-2021"),"Yes",""))</f>
        <v/>
      </c>
      <c r="M16" s="51">
        <f ca="1">IF(VLOOKUP(IntComp24[[#This Row],[DEVELOPMENT]],Data[],10,FALSE)=0,-1,DATEDIF(VLOOKUP(IntComp24[[#This Row],[DEVELOPMENT]],Data[],12,FALSE),TODAY(),"Y"))</f>
        <v>38</v>
      </c>
      <c r="N1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" s="51">
        <v>2020</v>
      </c>
      <c r="P16" s="51">
        <v>2020</v>
      </c>
      <c r="Q16" s="51" t="s">
        <v>2201</v>
      </c>
      <c r="R16" s="47">
        <f ca="1">(IntComp24[[#This Row],['# to Replace (MRST)]]*INDEX(UnitCosts[#All],MATCH(IntComp24[[#This Row],[WORK TYPE]],UnitCosts[Work Type],0)+1,2))*(1+((IntComp24[[#This Row],[est. Year]]-YEAR(TODAY()))*$R$2))</f>
        <v>0</v>
      </c>
      <c r="S16" s="1">
        <f ca="1">SUM(INDEX(IntComp24['# to Replace (MRST)],1):IntComp24[[#This Row],['# to Replace (MRST)]])</f>
        <v>0</v>
      </c>
      <c r="T16" s="51" t="s">
        <v>2225</v>
      </c>
      <c r="U16" s="51">
        <f>IF(ISBLANK(IntComp24[[#This Row],[CALENDAR YEAR]]),ROUNDDOWN(IntComp24[[#This Row],[Count]]/50,0)+$U$1,IntComp24[[#This Row],[CALENDAR YEAR]])</f>
        <v>2020</v>
      </c>
      <c r="V16" s="69">
        <f t="shared" ca="1" si="0"/>
        <v>0</v>
      </c>
      <c r="X16"/>
    </row>
    <row r="17" spans="1:24" hidden="1">
      <c r="A17" s="13" t="s">
        <v>203</v>
      </c>
      <c r="B17" s="9" t="str">
        <f>VLOOKUP(A17,Data[],2,FALSE)</f>
        <v>BROOKLYN</v>
      </c>
      <c r="C17" s="9" t="s">
        <v>106</v>
      </c>
      <c r="D17" s="9" t="str">
        <f>VLOOKUP(IntComp24[[#This Row],[DEVELOPMENT]],Data[],52,FALSE)</f>
        <v>FEDERAL</v>
      </c>
      <c r="E17" s="50">
        <f>VLOOKUP(IntComp24[[#This Row],[DEVELOPMENT]],Data[],8,FALSE)</f>
        <v>0</v>
      </c>
      <c r="F17" s="50">
        <f>VLOOKUP(IntComp24[[#This Row],[DEVELOPMENT]],all[[DEVELOPMENT]:[MRST Ext. Comp. Priority]],13,FALSE)</f>
        <v>3</v>
      </c>
      <c r="G17" s="50">
        <f>IF(VLOOKUP(IntComp24[[#This Row],[DEVELOPMENT]],Data[],9,FALSE)=0,5,VLOOKUP(IntComp24[[#This Row],[DEVELOPMENT]],Data[],9,FALSE))</f>
        <v>5</v>
      </c>
      <c r="H17" s="50">
        <f>VLOOKUP(IntComp24[[#This Row],[DEVELOPMENT]],Data[],7,FALSE)</f>
        <v>158</v>
      </c>
      <c r="I17" s="50">
        <f>VLOOKUP(IntComp24[[#This Row],[DEVELOPMENT]],Data[],5,FALSE)</f>
        <v>8</v>
      </c>
      <c r="J17" s="50"/>
      <c r="K17" s="50" t="str">
        <f ca="1">IFERROR(VLOOKUP(IntComp24[[#This Row],[DEVELOPMENT]],Data[],4,FALSE),"")</f>
        <v>2026+</v>
      </c>
      <c r="L17" s="50" t="str">
        <f ca="1">IF(IntComp24[[#This Row],[RAD/PACT]]="","",IF(OR(IntComp24[[#This Row],[RAD/PACT]]="2022-2025",IntComp24[[#This Row],[RAD/PACT]]=2019,IntComp24[[#This Row],[RAD/PACT]]="2020-2021"),"Yes",""))</f>
        <v/>
      </c>
      <c r="M17" s="51">
        <f ca="1">IF(VLOOKUP(IntComp24[[#This Row],[DEVELOPMENT]],Data[],10,FALSE)=0,-1,DATEDIF(VLOOKUP(IntComp24[[#This Row],[DEVELOPMENT]],Data[],12,FALSE),TODAY(),"Y"))</f>
        <v>36</v>
      </c>
      <c r="N1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7" s="51">
        <v>2020</v>
      </c>
      <c r="P17" s="51">
        <v>2020</v>
      </c>
      <c r="Q17" s="51" t="s">
        <v>2201</v>
      </c>
      <c r="R17" s="47">
        <f ca="1">(IntComp24[[#This Row],['# to Replace (MRST)]]*INDEX(UnitCosts[#All],MATCH(IntComp24[[#This Row],[WORK TYPE]],UnitCosts[Work Type],0)+1,2))*(1+((IntComp24[[#This Row],[est. Year]]-YEAR(TODAY()))*$R$2))</f>
        <v>0</v>
      </c>
      <c r="S17" s="1">
        <f ca="1">SUM(INDEX(IntComp24['# to Replace (MRST)],1):IntComp24[[#This Row],['# to Replace (MRST)]])</f>
        <v>0</v>
      </c>
      <c r="T17" s="51" t="s">
        <v>2225</v>
      </c>
      <c r="U17" s="51">
        <f>IF(ISBLANK(IntComp24[[#This Row],[CALENDAR YEAR]]),ROUNDDOWN(IntComp24[[#This Row],[Count]]/50,0)+$U$1,IntComp24[[#This Row],[CALENDAR YEAR]])</f>
        <v>2020</v>
      </c>
      <c r="V17" s="69">
        <f t="shared" ca="1" si="0"/>
        <v>0</v>
      </c>
      <c r="X17"/>
    </row>
    <row r="18" spans="1:24" hidden="1">
      <c r="A18" s="13" t="s">
        <v>345</v>
      </c>
      <c r="B18" s="9" t="str">
        <f>VLOOKUP(A18,Data[],2,FALSE)</f>
        <v>BRONX</v>
      </c>
      <c r="C18" s="9" t="s">
        <v>106</v>
      </c>
      <c r="D18" s="9" t="str">
        <f>VLOOKUP(IntComp24[[#This Row],[DEVELOPMENT]],Data[],52,FALSE)</f>
        <v>FEDERAL</v>
      </c>
      <c r="E18" s="50">
        <f>VLOOKUP(IntComp24[[#This Row],[DEVELOPMENT]],Data[],8,FALSE)</f>
        <v>0</v>
      </c>
      <c r="F18" s="50">
        <f>VLOOKUP(IntComp24[[#This Row],[DEVELOPMENT]],all[[DEVELOPMENT]:[MRST Ext. Comp. Priority]],13,FALSE)</f>
        <v>3</v>
      </c>
      <c r="G18" s="50">
        <f>IF(VLOOKUP(IntComp24[[#This Row],[DEVELOPMENT]],Data[],9,FALSE)=0,5,VLOOKUP(IntComp24[[#This Row],[DEVELOPMENT]],Data[],9,FALSE))</f>
        <v>5</v>
      </c>
      <c r="H18" s="50">
        <f>VLOOKUP(IntComp24[[#This Row],[DEVELOPMENT]],Data[],7,FALSE)</f>
        <v>177</v>
      </c>
      <c r="I18" s="50">
        <f>VLOOKUP(IntComp24[[#This Row],[DEVELOPMENT]],Data[],5,FALSE)</f>
        <v>1</v>
      </c>
      <c r="J18" s="50"/>
      <c r="K18" s="50" t="str">
        <f ca="1">IFERROR(VLOOKUP(IntComp24[[#This Row],[DEVELOPMENT]],Data[],4,FALSE),"")</f>
        <v>2026+</v>
      </c>
      <c r="L18" s="50" t="str">
        <f ca="1">IF(IntComp24[[#This Row],[RAD/PACT]]="","",IF(OR(IntComp24[[#This Row],[RAD/PACT]]="2022-2025",IntComp24[[#This Row],[RAD/PACT]]=2019,IntComp24[[#This Row],[RAD/PACT]]="2020-2021"),"Yes",""))</f>
        <v/>
      </c>
      <c r="M18" s="51">
        <f ca="1">IF(VLOOKUP(IntComp24[[#This Row],[DEVELOPMENT]],Data[],10,FALSE)=0,-1,DATEDIF(VLOOKUP(IntComp24[[#This Row],[DEVELOPMENT]],Data[],12,FALSE),TODAY(),"Y"))</f>
        <v>36</v>
      </c>
      <c r="N1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" s="51">
        <v>2020</v>
      </c>
      <c r="P18" s="51">
        <v>2020</v>
      </c>
      <c r="Q18" s="51" t="s">
        <v>2201</v>
      </c>
      <c r="R18" s="47">
        <f ca="1">(IntComp24[[#This Row],['# to Replace (MRST)]]*INDEX(UnitCosts[#All],MATCH(IntComp24[[#This Row],[WORK TYPE]],UnitCosts[Work Type],0)+1,2))*(1+((IntComp24[[#This Row],[est. Year]]-YEAR(TODAY()))*$R$2))</f>
        <v>0</v>
      </c>
      <c r="S18" s="1">
        <f ca="1">SUM(INDEX(IntComp24['# to Replace (MRST)],1):IntComp24[[#This Row],['# to Replace (MRST)]])</f>
        <v>0</v>
      </c>
      <c r="T18" s="51" t="s">
        <v>2225</v>
      </c>
      <c r="U18" s="51">
        <f>IF(ISBLANK(IntComp24[[#This Row],[CALENDAR YEAR]]),ROUNDDOWN(IntComp24[[#This Row],[Count]]/50,0)+$U$1,IntComp24[[#This Row],[CALENDAR YEAR]])</f>
        <v>2020</v>
      </c>
      <c r="V18" s="69">
        <f t="shared" ca="1" si="0"/>
        <v>0</v>
      </c>
      <c r="X18"/>
    </row>
    <row r="19" spans="1:24" hidden="1">
      <c r="A19" s="13" t="s">
        <v>249</v>
      </c>
      <c r="B19" s="9" t="str">
        <f>VLOOKUP(A19,Data[],2,FALSE)</f>
        <v>BROOKLYN</v>
      </c>
      <c r="C19" s="9" t="s">
        <v>106</v>
      </c>
      <c r="D19" s="9" t="str">
        <f>VLOOKUP(IntComp24[[#This Row],[DEVELOPMENT]],Data[],52,FALSE)</f>
        <v>FEDERAL</v>
      </c>
      <c r="E19" s="50">
        <f>VLOOKUP(IntComp24[[#This Row],[DEVELOPMENT]],Data[],8,FALSE)</f>
        <v>0</v>
      </c>
      <c r="F19" s="50">
        <f>VLOOKUP(IntComp24[[#This Row],[DEVELOPMENT]],all[[DEVELOPMENT]:[MRST Ext. Comp. Priority]],13,FALSE)</f>
        <v>3</v>
      </c>
      <c r="G19" s="50">
        <f>IF(VLOOKUP(IntComp24[[#This Row],[DEVELOPMENT]],Data[],9,FALSE)=0,5,VLOOKUP(IntComp24[[#This Row],[DEVELOPMENT]],Data[],9,FALSE))</f>
        <v>5</v>
      </c>
      <c r="H19" s="50">
        <f>VLOOKUP(IntComp24[[#This Row],[DEVELOPMENT]],Data[],7,FALSE)</f>
        <v>1500</v>
      </c>
      <c r="I19" s="50">
        <f>VLOOKUP(IntComp24[[#This Row],[DEVELOPMENT]],Data[],5,FALSE)</f>
        <v>22</v>
      </c>
      <c r="J19" s="50"/>
      <c r="K19" s="50" t="str">
        <f ca="1">IFERROR(VLOOKUP(IntComp24[[#This Row],[DEVELOPMENT]],Data[],4,FALSE),"")</f>
        <v/>
      </c>
      <c r="L19" s="50" t="str">
        <f ca="1">IF(IntComp24[[#This Row],[RAD/PACT]]="","",IF(OR(IntComp24[[#This Row],[RAD/PACT]]="2022-2025",IntComp24[[#This Row],[RAD/PACT]]=2019,IntComp24[[#This Row],[RAD/PACT]]="2020-2021"),"Yes",""))</f>
        <v/>
      </c>
      <c r="M19" s="51">
        <f ca="1">IF(VLOOKUP(IntComp24[[#This Row],[DEVELOPMENT]],Data[],10,FALSE)=0,-1,DATEDIF(VLOOKUP(IntComp24[[#This Row],[DEVELOPMENT]],Data[],12,FALSE),TODAY(),"Y"))</f>
        <v>31</v>
      </c>
      <c r="N1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9" s="51">
        <v>2020</v>
      </c>
      <c r="P19" s="51">
        <v>2020</v>
      </c>
      <c r="Q19" s="51" t="s">
        <v>2201</v>
      </c>
      <c r="R19" s="47">
        <f ca="1">(IntComp24[[#This Row],['# to Replace (MRST)]]*INDEX(UnitCosts[#All],MATCH(IntComp24[[#This Row],[WORK TYPE]],UnitCosts[Work Type],0)+1,2))*(1+((IntComp24[[#This Row],[est. Year]]-YEAR(TODAY()))*$R$2))</f>
        <v>0</v>
      </c>
      <c r="S19" s="1">
        <f ca="1">SUM(INDEX(IntComp24['# to Replace (MRST)],1):IntComp24[[#This Row],['# to Replace (MRST)]])</f>
        <v>0</v>
      </c>
      <c r="T19" s="51" t="s">
        <v>2225</v>
      </c>
      <c r="U19" s="51">
        <f>IF(ISBLANK(IntComp24[[#This Row],[CALENDAR YEAR]]),ROUNDDOWN(IntComp24[[#This Row],[Count]]/50,0)+$U$1,IntComp24[[#This Row],[CALENDAR YEAR]])</f>
        <v>2020</v>
      </c>
      <c r="V19" s="69">
        <f t="shared" ca="1" si="0"/>
        <v>0</v>
      </c>
      <c r="X19"/>
    </row>
    <row r="20" spans="1:24" hidden="1">
      <c r="A20" s="65" t="s">
        <v>64</v>
      </c>
      <c r="B20" s="1" t="str">
        <f>VLOOKUP(A20,Data[],2,FALSE)</f>
        <v>MANHATTAN</v>
      </c>
      <c r="C20" s="9" t="s">
        <v>106</v>
      </c>
      <c r="D20" s="9" t="str">
        <f>VLOOKUP(IntComp24[[#This Row],[DEVELOPMENT]],Data[],52,FALSE)</f>
        <v>FEDERAL</v>
      </c>
      <c r="E20" s="9" t="str">
        <f>VLOOKUP(IntComp24[[#This Row],[DEVELOPMENT]],Data[],8,FALSE)</f>
        <v>Zone 1</v>
      </c>
      <c r="F20" s="9">
        <f>VLOOKUP(IntComp24[[#This Row],[DEVELOPMENT]],all[[DEVELOPMENT]:[MRST Ext. Comp. Priority]],13,FALSE)</f>
        <v>4</v>
      </c>
      <c r="G20" s="9">
        <f>IF(VLOOKUP(IntComp24[[#This Row],[DEVELOPMENT]],Data[],9,FALSE)=0,5,VLOOKUP(IntComp24[[#This Row],[DEVELOPMENT]],Data[],9,FALSE))</f>
        <v>3</v>
      </c>
      <c r="H20" s="9">
        <f>VLOOKUP(IntComp24[[#This Row],[DEVELOPMENT]],Data[],7,FALSE)</f>
        <v>55</v>
      </c>
      <c r="I20" s="9">
        <f>VLOOKUP(IntComp24[[#This Row],[DEVELOPMENT]],Data[],5,FALSE)</f>
        <v>2</v>
      </c>
      <c r="J20" s="9"/>
      <c r="K20" s="9" t="str">
        <f ca="1">IFERROR(VLOOKUP(IntComp24[[#This Row],[DEVELOPMENT]],Data[],4,FALSE),"")</f>
        <v>2026+</v>
      </c>
      <c r="L20" s="9" t="str">
        <f ca="1">IF(IntComp24[[#This Row],[RAD/PACT]]="","",IF(OR(IntComp24[[#This Row],[RAD/PACT]]="2022-2025",IntComp24[[#This Row],[RAD/PACT]]=2019,IntComp24[[#This Row],[RAD/PACT]]="2020-2021"),"Yes",""))</f>
        <v/>
      </c>
      <c r="M20" s="1">
        <f ca="1">IF(VLOOKUP(IntComp24[[#This Row],[DEVELOPMENT]],Data[],10,FALSE)=0,-1,DATEDIF(VLOOKUP(IntComp24[[#This Row],[DEVELOPMENT]],Data[],12,FALSE),TODAY(),"Y"))</f>
        <v>34</v>
      </c>
      <c r="N2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0" s="51">
        <v>2020</v>
      </c>
      <c r="P20" s="1">
        <v>2020</v>
      </c>
      <c r="Q20" s="1" t="s">
        <v>2201</v>
      </c>
      <c r="R20" s="47">
        <f ca="1">(IntComp24[[#This Row],['# to Replace (MRST)]]*INDEX(UnitCosts[#All],MATCH(IntComp24[[#This Row],[WORK TYPE]],UnitCosts[Work Type],0)+1,2))*(1+((IntComp24[[#This Row],[est. Year]]-YEAR(TODAY()))*$R$2))</f>
        <v>0</v>
      </c>
      <c r="S20" s="1">
        <f ca="1">SUM(INDEX(IntComp24['# to Replace (MRST)],1):IntComp24[[#This Row],['# to Replace (MRST)]])</f>
        <v>0</v>
      </c>
      <c r="T20" s="1" t="s">
        <v>2225</v>
      </c>
      <c r="U20" s="1">
        <f>IF(ISBLANK(IntComp24[[#This Row],[CALENDAR YEAR]]),ROUNDDOWN(IntComp24[[#This Row],[Count]]/50,0)+$U$1,IntComp24[[#This Row],[CALENDAR YEAR]])</f>
        <v>2020</v>
      </c>
      <c r="V20" s="64">
        <f t="shared" ca="1" si="0"/>
        <v>0</v>
      </c>
      <c r="X20"/>
    </row>
    <row r="21" spans="1:24" hidden="1">
      <c r="A21" s="13" t="s">
        <v>265</v>
      </c>
      <c r="B21" s="9" t="str">
        <f>VLOOKUP(A21,Data[],2,FALSE)</f>
        <v>MANHATTAN</v>
      </c>
      <c r="C21" s="9" t="s">
        <v>106</v>
      </c>
      <c r="D21" s="9" t="str">
        <f>VLOOKUP(IntComp24[[#This Row],[DEVELOPMENT]],Data[],52,FALSE)</f>
        <v>FEDERAL</v>
      </c>
      <c r="E21" s="50">
        <f>VLOOKUP(IntComp24[[#This Row],[DEVELOPMENT]],Data[],8,FALSE)</f>
        <v>0</v>
      </c>
      <c r="F21" s="50">
        <f>VLOOKUP(IntComp24[[#This Row],[DEVELOPMENT]],all[[DEVELOPMENT]:[MRST Ext. Comp. Priority]],13,FALSE)</f>
        <v>4</v>
      </c>
      <c r="G21" s="50">
        <f>IF(VLOOKUP(IntComp24[[#This Row],[DEVELOPMENT]],Data[],9,FALSE)=0,5,VLOOKUP(IntComp24[[#This Row],[DEVELOPMENT]],Data[],9,FALSE))</f>
        <v>5</v>
      </c>
      <c r="H21" s="50">
        <f>VLOOKUP(IntComp24[[#This Row],[DEVELOPMENT]],Data[],7,FALSE)</f>
        <v>377</v>
      </c>
      <c r="I21" s="50">
        <f>VLOOKUP(IntComp24[[#This Row],[DEVELOPMENT]],Data[],5,FALSE)</f>
        <v>2</v>
      </c>
      <c r="J21" s="50"/>
      <c r="K21" s="50" t="str">
        <f ca="1">IFERROR(VLOOKUP(IntComp24[[#This Row],[DEVELOPMENT]],Data[],4,FALSE),"")</f>
        <v/>
      </c>
      <c r="L21" s="50" t="str">
        <f ca="1">IF(IntComp24[[#This Row],[RAD/PACT]]="","",IF(OR(IntComp24[[#This Row],[RAD/PACT]]="2022-2025",IntComp24[[#This Row],[RAD/PACT]]=2019,IntComp24[[#This Row],[RAD/PACT]]="2020-2021"),"Yes",""))</f>
        <v/>
      </c>
      <c r="M21" s="51">
        <f ca="1">IF(VLOOKUP(IntComp24[[#This Row],[DEVELOPMENT]],Data[],10,FALSE)=0,-1,DATEDIF(VLOOKUP(IntComp24[[#This Row],[DEVELOPMENT]],Data[],12,FALSE),TODAY(),"Y"))</f>
        <v>36</v>
      </c>
      <c r="N2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" s="51">
        <v>2020</v>
      </c>
      <c r="P21" s="51">
        <v>2020</v>
      </c>
      <c r="Q21" s="51" t="s">
        <v>2201</v>
      </c>
      <c r="R21" s="47">
        <f ca="1">(IntComp24[[#This Row],['# to Replace (MRST)]]*INDEX(UnitCosts[#All],MATCH(IntComp24[[#This Row],[WORK TYPE]],UnitCosts[Work Type],0)+1,2))*(1+((IntComp24[[#This Row],[est. Year]]-YEAR(TODAY()))*$R$2))</f>
        <v>0</v>
      </c>
      <c r="S21" s="1">
        <f ca="1">SUM(INDEX(IntComp24['# to Replace (MRST)],1):IntComp24[[#This Row],['# to Replace (MRST)]])</f>
        <v>0</v>
      </c>
      <c r="T21" s="51" t="s">
        <v>2225</v>
      </c>
      <c r="U21" s="51">
        <f>IF(ISBLANK(IntComp24[[#This Row],[CALENDAR YEAR]]),ROUNDDOWN(IntComp24[[#This Row],[Count]]/50,0)+$U$1,IntComp24[[#This Row],[CALENDAR YEAR]])</f>
        <v>2020</v>
      </c>
      <c r="V21" s="69">
        <f t="shared" ca="1" si="0"/>
        <v>0</v>
      </c>
      <c r="X21"/>
    </row>
    <row r="22" spans="1:24" hidden="1">
      <c r="A22" s="13" t="s">
        <v>250</v>
      </c>
      <c r="B22" s="9" t="str">
        <f>VLOOKUP(A22,Data[],2,FALSE)</f>
        <v>MANHATTAN</v>
      </c>
      <c r="C22" s="9" t="s">
        <v>106</v>
      </c>
      <c r="D22" s="9" t="str">
        <f>VLOOKUP(IntComp24[[#This Row],[DEVELOPMENT]],Data[],52,FALSE)</f>
        <v>FEDERAL</v>
      </c>
      <c r="E22" s="50" t="str">
        <f>VLOOKUP(IntComp24[[#This Row],[DEVELOPMENT]],Data[],8,FALSE)</f>
        <v>Zone 3</v>
      </c>
      <c r="F22" s="50">
        <f>VLOOKUP(IntComp24[[#This Row],[DEVELOPMENT]],all[[DEVELOPMENT]:[MRST Ext. Comp. Priority]],13,FALSE)</f>
        <v>4</v>
      </c>
      <c r="G22" s="50">
        <f>IF(VLOOKUP(IntComp24[[#This Row],[DEVELOPMENT]],Data[],9,FALSE)=0,5,VLOOKUP(IntComp24[[#This Row],[DEVELOPMENT]],Data[],9,FALSE))</f>
        <v>5</v>
      </c>
      <c r="H22" s="50">
        <f>VLOOKUP(IntComp24[[#This Row],[DEVELOPMENT]],Data[],7,FALSE)</f>
        <v>112</v>
      </c>
      <c r="I22" s="50">
        <f>VLOOKUP(IntComp24[[#This Row],[DEVELOPMENT]],Data[],5,FALSE)</f>
        <v>4</v>
      </c>
      <c r="J22" s="50"/>
      <c r="K22" s="50" t="str">
        <f ca="1">IFERROR(VLOOKUP(IntComp24[[#This Row],[DEVELOPMENT]],Data[],4,FALSE),"")</f>
        <v/>
      </c>
      <c r="L22" s="50" t="str">
        <f ca="1">IF(IntComp24[[#This Row],[RAD/PACT]]="","",IF(OR(IntComp24[[#This Row],[RAD/PACT]]="2022-2025",IntComp24[[#This Row],[RAD/PACT]]=2019,IntComp24[[#This Row],[RAD/PACT]]="2020-2021"),"Yes",""))</f>
        <v/>
      </c>
      <c r="M22" s="51">
        <f ca="1">IF(VLOOKUP(IntComp24[[#This Row],[DEVELOPMENT]],Data[],10,FALSE)=0,-1,DATEDIF(VLOOKUP(IntComp24[[#This Row],[DEVELOPMENT]],Data[],12,FALSE),TODAY(),"Y"))</f>
        <v>35</v>
      </c>
      <c r="N2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" s="51">
        <v>2020</v>
      </c>
      <c r="P22" s="51">
        <v>2020</v>
      </c>
      <c r="Q22" s="51" t="s">
        <v>2201</v>
      </c>
      <c r="R22" s="47">
        <f ca="1">(IntComp24[[#This Row],['# to Replace (MRST)]]*INDEX(UnitCosts[#All],MATCH(IntComp24[[#This Row],[WORK TYPE]],UnitCosts[Work Type],0)+1,2))*(1+((IntComp24[[#This Row],[est. Year]]-YEAR(TODAY()))*$R$2))</f>
        <v>0</v>
      </c>
      <c r="S22" s="1">
        <f ca="1">SUM(INDEX(IntComp24['# to Replace (MRST)],1):IntComp24[[#This Row],['# to Replace (MRST)]])</f>
        <v>0</v>
      </c>
      <c r="T22" s="51" t="s">
        <v>2225</v>
      </c>
      <c r="U22" s="51">
        <f>IF(ISBLANK(IntComp24[[#This Row],[CALENDAR YEAR]]),ROUNDDOWN(IntComp24[[#This Row],[Count]]/50,0)+$U$1,IntComp24[[#This Row],[CALENDAR YEAR]])</f>
        <v>2020</v>
      </c>
      <c r="V22" s="69">
        <f t="shared" ca="1" si="0"/>
        <v>0</v>
      </c>
      <c r="X22"/>
    </row>
    <row r="23" spans="1:24" hidden="1">
      <c r="A23" s="13" t="s">
        <v>258</v>
      </c>
      <c r="B23" s="9" t="str">
        <f>VLOOKUP(A23,Data[],2,FALSE)</f>
        <v>BROOKLYN</v>
      </c>
      <c r="C23" s="9" t="s">
        <v>106</v>
      </c>
      <c r="D23" s="9" t="str">
        <f>VLOOKUP(IntComp24[[#This Row],[DEVELOPMENT]],Data[],52,FALSE)</f>
        <v>FEDERAL</v>
      </c>
      <c r="E23" s="50">
        <f>VLOOKUP(IntComp24[[#This Row],[DEVELOPMENT]],Data[],8,FALSE)</f>
        <v>0</v>
      </c>
      <c r="F23" s="50">
        <f>VLOOKUP(IntComp24[[#This Row],[DEVELOPMENT]],all[[DEVELOPMENT]:[MRST Ext. Comp. Priority]],13,FALSE)</f>
        <v>4</v>
      </c>
      <c r="G23" s="50">
        <f>IF(VLOOKUP(IntComp24[[#This Row],[DEVELOPMENT]],Data[],9,FALSE)=0,5,VLOOKUP(IntComp24[[#This Row],[DEVELOPMENT]],Data[],9,FALSE))</f>
        <v>5</v>
      </c>
      <c r="H23" s="50">
        <f>VLOOKUP(IntComp24[[#This Row],[DEVELOPMENT]],Data[],7,FALSE)</f>
        <v>150</v>
      </c>
      <c r="I23" s="50">
        <f>VLOOKUP(IntComp24[[#This Row],[DEVELOPMENT]],Data[],5,FALSE)</f>
        <v>1</v>
      </c>
      <c r="J23" s="50"/>
      <c r="K23" s="50" t="str">
        <f ca="1">IFERROR(VLOOKUP(IntComp24[[#This Row],[DEVELOPMENT]],Data[],4,FALSE),"")</f>
        <v>2026+</v>
      </c>
      <c r="L23" s="50" t="str">
        <f ca="1">IF(IntComp24[[#This Row],[RAD/PACT]]="","",IF(OR(IntComp24[[#This Row],[RAD/PACT]]="2022-2025",IntComp24[[#This Row],[RAD/PACT]]=2019,IntComp24[[#This Row],[RAD/PACT]]="2020-2021"),"Yes",""))</f>
        <v/>
      </c>
      <c r="M23" s="51">
        <f ca="1">IF(VLOOKUP(IntComp24[[#This Row],[DEVELOPMENT]],Data[],10,FALSE)=0,-1,DATEDIF(VLOOKUP(IntComp24[[#This Row],[DEVELOPMENT]],Data[],12,FALSE),TODAY(),"Y"))</f>
        <v>35</v>
      </c>
      <c r="N2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" s="51">
        <v>2020</v>
      </c>
      <c r="P23" s="51">
        <v>2020</v>
      </c>
      <c r="Q23" s="51" t="s">
        <v>2201</v>
      </c>
      <c r="R23" s="47">
        <f ca="1">(IntComp24[[#This Row],['# to Replace (MRST)]]*INDEX(UnitCosts[#All],MATCH(IntComp24[[#This Row],[WORK TYPE]],UnitCosts[Work Type],0)+1,2))*(1+((IntComp24[[#This Row],[est. Year]]-YEAR(TODAY()))*$R$2))</f>
        <v>0</v>
      </c>
      <c r="S23" s="1">
        <f ca="1">SUM(INDEX(IntComp24['# to Replace (MRST)],1):IntComp24[[#This Row],['# to Replace (MRST)]])</f>
        <v>0</v>
      </c>
      <c r="T23" s="51" t="s">
        <v>2225</v>
      </c>
      <c r="U23" s="51">
        <f>IF(ISBLANK(IntComp24[[#This Row],[CALENDAR YEAR]]),ROUNDDOWN(IntComp24[[#This Row],[Count]]/50,0)+$U$1,IntComp24[[#This Row],[CALENDAR YEAR]])</f>
        <v>2020</v>
      </c>
      <c r="V23" s="69">
        <f t="shared" ca="1" si="0"/>
        <v>0</v>
      </c>
      <c r="X23"/>
    </row>
    <row r="24" spans="1:24" hidden="1">
      <c r="A24" s="13" t="s">
        <v>233</v>
      </c>
      <c r="B24" s="9" t="str">
        <f>VLOOKUP(A24,Data[],2,FALSE)</f>
        <v>QUEENS</v>
      </c>
      <c r="C24" s="9" t="s">
        <v>106</v>
      </c>
      <c r="D24" s="9" t="str">
        <f>VLOOKUP(IntComp24[[#This Row],[DEVELOPMENT]],Data[],52,FALSE)</f>
        <v>FEDERAL</v>
      </c>
      <c r="E24" s="50">
        <f>VLOOKUP(IntComp24[[#This Row],[DEVELOPMENT]],Data[],8,FALSE)</f>
        <v>0</v>
      </c>
      <c r="F24" s="50">
        <f>VLOOKUP(IntComp24[[#This Row],[DEVELOPMENT]],all[[DEVELOPMENT]:[MRST Ext. Comp. Priority]],13,FALSE)</f>
        <v>4</v>
      </c>
      <c r="G24" s="50">
        <f>IF(VLOOKUP(IntComp24[[#This Row],[DEVELOPMENT]],Data[],9,FALSE)=0,5,VLOOKUP(IntComp24[[#This Row],[DEVELOPMENT]],Data[],9,FALSE))</f>
        <v>5</v>
      </c>
      <c r="H24" s="50">
        <f>VLOOKUP(IntComp24[[#This Row],[DEVELOPMENT]],Data[],7,FALSE)</f>
        <v>399</v>
      </c>
      <c r="I24" s="50">
        <f>VLOOKUP(IntComp24[[#This Row],[DEVELOPMENT]],Data[],5,FALSE)</f>
        <v>5</v>
      </c>
      <c r="J24" s="50"/>
      <c r="K24" s="50" t="str">
        <f ca="1">IFERROR(VLOOKUP(IntComp24[[#This Row],[DEVELOPMENT]],Data[],4,FALSE),"")</f>
        <v/>
      </c>
      <c r="L24" s="50" t="str">
        <f ca="1">IF(IntComp24[[#This Row],[RAD/PACT]]="","",IF(OR(IntComp24[[#This Row],[RAD/PACT]]="2022-2025",IntComp24[[#This Row],[RAD/PACT]]=2019,IntComp24[[#This Row],[RAD/PACT]]="2020-2021"),"Yes",""))</f>
        <v/>
      </c>
      <c r="M24" s="51">
        <f ca="1">IF(VLOOKUP(IntComp24[[#This Row],[DEVELOPMENT]],Data[],10,FALSE)=0,-1,DATEDIF(VLOOKUP(IntComp24[[#This Row],[DEVELOPMENT]],Data[],12,FALSE),TODAY(),"Y"))</f>
        <v>19</v>
      </c>
      <c r="N2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" s="51">
        <v>2020</v>
      </c>
      <c r="P24" s="51">
        <v>2020</v>
      </c>
      <c r="Q24" s="51" t="s">
        <v>2201</v>
      </c>
      <c r="R24" s="47">
        <f ca="1">(IntComp24[[#This Row],['# to Replace (MRST)]]*INDEX(UnitCosts[#All],MATCH(IntComp24[[#This Row],[WORK TYPE]],UnitCosts[Work Type],0)+1,2))*(1+((IntComp24[[#This Row],[est. Year]]-YEAR(TODAY()))*$R$2))</f>
        <v>0</v>
      </c>
      <c r="S24" s="1">
        <f ca="1">SUM(INDEX(IntComp24['# to Replace (MRST)],1):IntComp24[[#This Row],['# to Replace (MRST)]])</f>
        <v>0</v>
      </c>
      <c r="T24" s="51" t="s">
        <v>2225</v>
      </c>
      <c r="U24" s="51">
        <f>IF(ISBLANK(IntComp24[[#This Row],[CALENDAR YEAR]]),ROUNDDOWN(IntComp24[[#This Row],[Count]]/50,0)+$U$1,IntComp24[[#This Row],[CALENDAR YEAR]])</f>
        <v>2020</v>
      </c>
      <c r="V24" s="69">
        <f t="shared" ca="1" si="0"/>
        <v>0</v>
      </c>
      <c r="X24"/>
    </row>
    <row r="25" spans="1:24" hidden="1">
      <c r="A25" s="13" t="s">
        <v>305</v>
      </c>
      <c r="B25" s="9" t="str">
        <f>VLOOKUP(A25,Data[],2,FALSE)</f>
        <v>BROOKLYN</v>
      </c>
      <c r="C25" s="9" t="s">
        <v>106</v>
      </c>
      <c r="D25" s="9" t="str">
        <f>VLOOKUP(IntComp24[[#This Row],[DEVELOPMENT]],Data[],52,FALSE)</f>
        <v>FEDERAL</v>
      </c>
      <c r="E25" s="50">
        <f>VLOOKUP(IntComp24[[#This Row],[DEVELOPMENT]],Data[],8,FALSE)</f>
        <v>0</v>
      </c>
      <c r="F25" s="50" t="str">
        <f>VLOOKUP(IntComp24[[#This Row],[DEVELOPMENT]],all[[DEVELOPMENT]:[MRST Ext. Comp. Priority]],13,FALSE)</f>
        <v>None</v>
      </c>
      <c r="G25" s="50">
        <f>IF(VLOOKUP(IntComp24[[#This Row],[DEVELOPMENT]],Data[],9,FALSE)=0,5,VLOOKUP(IntComp24[[#This Row],[DEVELOPMENT]],Data[],9,FALSE))</f>
        <v>5</v>
      </c>
      <c r="H25" s="50">
        <f>VLOOKUP(IntComp24[[#This Row],[DEVELOPMENT]],Data[],7,FALSE)</f>
        <v>200</v>
      </c>
      <c r="I25" s="50">
        <f>VLOOKUP(IntComp24[[#This Row],[DEVELOPMENT]],Data[],5,FALSE)</f>
        <v>2</v>
      </c>
      <c r="J25" s="50"/>
      <c r="K25" s="50" t="str">
        <f ca="1">IFERROR(VLOOKUP(IntComp24[[#This Row],[DEVELOPMENT]],Data[],4,FALSE),"")</f>
        <v/>
      </c>
      <c r="L25" s="50" t="str">
        <f ca="1">IF(IntComp24[[#This Row],[RAD/PACT]]="","",IF(OR(IntComp24[[#This Row],[RAD/PACT]]="2022-2025",IntComp24[[#This Row],[RAD/PACT]]=2019,IntComp24[[#This Row],[RAD/PACT]]="2020-2021"),"Yes",""))</f>
        <v/>
      </c>
      <c r="M25" s="51">
        <f ca="1">IF(VLOOKUP(IntComp24[[#This Row],[DEVELOPMENT]],Data[],10,FALSE)=0,-1,DATEDIF(VLOOKUP(IntComp24[[#This Row],[DEVELOPMENT]],Data[],12,FALSE),TODAY(),"Y"))</f>
        <v>35</v>
      </c>
      <c r="N2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" s="51">
        <v>2020</v>
      </c>
      <c r="P25" s="51">
        <v>2020</v>
      </c>
      <c r="Q25" s="51" t="s">
        <v>2201</v>
      </c>
      <c r="R25" s="47">
        <f ca="1">(IntComp24[[#This Row],['# to Replace (MRST)]]*INDEX(UnitCosts[#All],MATCH(IntComp24[[#This Row],[WORK TYPE]],UnitCosts[Work Type],0)+1,2))*(1+((IntComp24[[#This Row],[est. Year]]-YEAR(TODAY()))*$R$2))</f>
        <v>0</v>
      </c>
      <c r="S25" s="1">
        <f ca="1">SUM(INDEX(IntComp24['# to Replace (MRST)],1):IntComp24[[#This Row],['# to Replace (MRST)]])</f>
        <v>0</v>
      </c>
      <c r="T25" s="51" t="s">
        <v>2225</v>
      </c>
      <c r="U25" s="51">
        <f>IF(ISBLANK(IntComp24[[#This Row],[CALENDAR YEAR]]),ROUNDDOWN(IntComp24[[#This Row],[Count]]/50,0)+$U$1,IntComp24[[#This Row],[CALENDAR YEAR]])</f>
        <v>2020</v>
      </c>
      <c r="V25" s="69">
        <f t="shared" ca="1" si="0"/>
        <v>0</v>
      </c>
      <c r="X25"/>
    </row>
    <row r="26" spans="1:24" hidden="1">
      <c r="A26" s="13" t="s">
        <v>129</v>
      </c>
      <c r="B26" s="1" t="str">
        <f>VLOOKUP(A26,Data[],2,FALSE)</f>
        <v>MANHATTAN</v>
      </c>
      <c r="C26" s="9" t="s">
        <v>106</v>
      </c>
      <c r="D26" s="9" t="str">
        <f>VLOOKUP(IntComp24[[#This Row],[DEVELOPMENT]],Data[],52,FALSE)</f>
        <v>FEDERAL</v>
      </c>
      <c r="E26" s="9" t="str">
        <f>VLOOKUP(IntComp24[[#This Row],[DEVELOPMENT]],Data[],8,FALSE)</f>
        <v>Zone 2</v>
      </c>
      <c r="F26" s="9">
        <f>VLOOKUP(IntComp24[[#This Row],[DEVELOPMENT]],all[[DEVELOPMENT]:[MRST Ext. Comp. Priority]],13,FALSE)</f>
        <v>3</v>
      </c>
      <c r="G26" s="9">
        <f>IF(VLOOKUP(IntComp24[[#This Row],[DEVELOPMENT]],Data[],9,FALSE)=0,5,VLOOKUP(IntComp24[[#This Row],[DEVELOPMENT]],Data[],9,FALSE))</f>
        <v>1</v>
      </c>
      <c r="H26" s="9">
        <f>VLOOKUP(IntComp24[[#This Row],[DEVELOPMENT]],Data[],7,FALSE)</f>
        <v>748</v>
      </c>
      <c r="I26" s="9">
        <f>VLOOKUP(IntComp24[[#This Row],[DEVELOPMENT]],Data[],5,FALSE)</f>
        <v>6</v>
      </c>
      <c r="J26" s="9"/>
      <c r="K26" s="9" t="str">
        <f ca="1">IFERROR(VLOOKUP(IntComp24[[#This Row],[DEVELOPMENT]],Data[],4,FALSE),"")</f>
        <v/>
      </c>
      <c r="L26" s="9" t="str">
        <f ca="1">IF(IntComp24[[#This Row],[RAD/PACT]]="","",IF(OR(IntComp24[[#This Row],[RAD/PACT]]="2022-2025",IntComp24[[#This Row],[RAD/PACT]]=2019,IntComp24[[#This Row],[RAD/PACT]]="2020-2021"),"Yes",""))</f>
        <v/>
      </c>
      <c r="M26" s="1">
        <f ca="1">IF(VLOOKUP(IntComp24[[#This Row],[DEVELOPMENT]],Data[],10,FALSE)=0,-1,DATEDIF(VLOOKUP(IntComp24[[#This Row],[DEVELOPMENT]],Data[],12,FALSE),TODAY(),"Y"))</f>
        <v>20</v>
      </c>
      <c r="N26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" s="1"/>
      <c r="P26" s="1">
        <v>2021</v>
      </c>
      <c r="Q26" s="1" t="s">
        <v>2224</v>
      </c>
      <c r="R26" s="47">
        <f ca="1">(IntComp24[[#This Row],['# to Replace (MRST)]]*INDEX(UnitCosts[#All],MATCH(IntComp24[[#This Row],[WORK TYPE]],UnitCosts[Work Type],0)+1,2))*(1+((IntComp24[[#This Row],[est. Year]]-YEAR(TODAY()))*$R$2))</f>
        <v>0</v>
      </c>
      <c r="S26" s="1">
        <f ca="1">SUM(INDEX(IntComp24['# to Replace (MRST)],1):IntComp24[[#This Row],['# to Replace (MRST)]])</f>
        <v>0</v>
      </c>
      <c r="T26" s="1"/>
      <c r="U26" s="1">
        <f ca="1">IF(ISBLANK(IntComp24[[#This Row],[CALENDAR YEAR]]),ROUNDDOWN(IntComp24[[#This Row],[Count]]/50,0)+$U$1,IntComp24[[#This Row],[CALENDAR YEAR]])</f>
        <v>2022</v>
      </c>
      <c r="V26" s="64">
        <f t="shared" ca="1" si="0"/>
        <v>0</v>
      </c>
      <c r="X26"/>
    </row>
    <row r="27" spans="1:24" hidden="1">
      <c r="A27" s="13" t="s">
        <v>83</v>
      </c>
      <c r="B27" s="1" t="str">
        <f>VLOOKUP(A27,Data[],2,FALSE)</f>
        <v>MANHATTAN</v>
      </c>
      <c r="C27" s="9" t="s">
        <v>106</v>
      </c>
      <c r="D27" s="9" t="str">
        <f>VLOOKUP(IntComp24[[#This Row],[DEVELOPMENT]],Data[],52,FALSE)</f>
        <v>FEDERAL</v>
      </c>
      <c r="E27" s="9" t="str">
        <f>VLOOKUP(IntComp24[[#This Row],[DEVELOPMENT]],Data[],8,FALSE)</f>
        <v>Zone 2</v>
      </c>
      <c r="F27" s="9">
        <f>VLOOKUP(IntComp24[[#This Row],[DEVELOPMENT]],all[[DEVELOPMENT]:[MRST Ext. Comp. Priority]],13,FALSE)</f>
        <v>3</v>
      </c>
      <c r="G27" s="9">
        <f>IF(VLOOKUP(IntComp24[[#This Row],[DEVELOPMENT]],Data[],9,FALSE)=0,5,VLOOKUP(IntComp24[[#This Row],[DEVELOPMENT]],Data[],9,FALSE))</f>
        <v>2</v>
      </c>
      <c r="H27" s="9">
        <f>VLOOKUP(IntComp24[[#This Row],[DEVELOPMENT]],Data[],7,FALSE)</f>
        <v>1296</v>
      </c>
      <c r="I27" s="9">
        <f>VLOOKUP(IntComp24[[#This Row],[DEVELOPMENT]],Data[],5,FALSE)</f>
        <v>10</v>
      </c>
      <c r="J27" s="9"/>
      <c r="K27" s="9" t="str">
        <f ca="1">IFERROR(VLOOKUP(IntComp24[[#This Row],[DEVELOPMENT]],Data[],4,FALSE),"")</f>
        <v>2026+</v>
      </c>
      <c r="L27" s="9" t="str">
        <f ca="1">IF(IntComp24[[#This Row],[RAD/PACT]]="","",IF(OR(IntComp24[[#This Row],[RAD/PACT]]="2022-2025",IntComp24[[#This Row],[RAD/PACT]]=2019,IntComp24[[#This Row],[RAD/PACT]]="2020-2021"),"Yes",""))</f>
        <v/>
      </c>
      <c r="M27" s="1">
        <f ca="1">IF(VLOOKUP(IntComp24[[#This Row],[DEVELOPMENT]],Data[],10,FALSE)=0,-1,DATEDIF(VLOOKUP(IntComp24[[#This Row],[DEVELOPMENT]],Data[],12,FALSE),TODAY(),"Y"))</f>
        <v>20</v>
      </c>
      <c r="N27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7" s="1"/>
      <c r="P27" s="1">
        <v>2021</v>
      </c>
      <c r="Q27" s="1" t="s">
        <v>2224</v>
      </c>
      <c r="R27" s="47">
        <f ca="1">(IntComp24[[#This Row],['# to Replace (MRST)]]*INDEX(UnitCosts[#All],MATCH(IntComp24[[#This Row],[WORK TYPE]],UnitCosts[Work Type],0)+1,2))*(1+((IntComp24[[#This Row],[est. Year]]-YEAR(TODAY()))*$R$2))</f>
        <v>0</v>
      </c>
      <c r="S27" s="1">
        <f ca="1">SUM(INDEX(IntComp24['# to Replace (MRST)],1):IntComp24[[#This Row],['# to Replace (MRST)]])</f>
        <v>0</v>
      </c>
      <c r="T27" s="1"/>
      <c r="U27" s="1">
        <f ca="1">IF(ISBLANK(IntComp24[[#This Row],[CALENDAR YEAR]]),ROUNDDOWN(IntComp24[[#This Row],[Count]]/50,0)+$U$1,IntComp24[[#This Row],[CALENDAR YEAR]])</f>
        <v>2022</v>
      </c>
      <c r="V27" s="64">
        <f t="shared" ca="1" si="0"/>
        <v>0</v>
      </c>
      <c r="W27" s="22"/>
      <c r="X27"/>
    </row>
    <row r="28" spans="1:24" hidden="1">
      <c r="A28" s="13" t="s">
        <v>131</v>
      </c>
      <c r="B28" s="1" t="str">
        <f>VLOOKUP(A28,Data[],2,FALSE)</f>
        <v>MANHATTAN</v>
      </c>
      <c r="C28" s="9" t="s">
        <v>106</v>
      </c>
      <c r="D28" s="9" t="str">
        <f>VLOOKUP(IntComp24[[#This Row],[DEVELOPMENT]],Data[],52,FALSE)</f>
        <v>FEDERAL</v>
      </c>
      <c r="E28" s="9" t="str">
        <f>VLOOKUP(IntComp24[[#This Row],[DEVELOPMENT]],Data[],8,FALSE)</f>
        <v>Zone 2</v>
      </c>
      <c r="F28" s="9">
        <f>VLOOKUP(IntComp24[[#This Row],[DEVELOPMENT]],all[[DEVELOPMENT]:[MRST Ext. Comp. Priority]],13,FALSE)</f>
        <v>3</v>
      </c>
      <c r="G28" s="9">
        <f>IF(VLOOKUP(IntComp24[[#This Row],[DEVELOPMENT]],Data[],9,FALSE)=0,5,VLOOKUP(IntComp24[[#This Row],[DEVELOPMENT]],Data[],9,FALSE))</f>
        <v>2</v>
      </c>
      <c r="H28" s="9">
        <f>VLOOKUP(IntComp24[[#This Row],[DEVELOPMENT]],Data[],7,FALSE)</f>
        <v>1377</v>
      </c>
      <c r="I28" s="9">
        <f>VLOOKUP(IntComp24[[#This Row],[DEVELOPMENT]],Data[],5,FALSE)</f>
        <v>10</v>
      </c>
      <c r="J28" s="9"/>
      <c r="K28" s="9" t="str">
        <f ca="1">IFERROR(VLOOKUP(IntComp24[[#This Row],[DEVELOPMENT]],Data[],4,FALSE),"")</f>
        <v/>
      </c>
      <c r="L28" s="9" t="str">
        <f ca="1">IF(IntComp24[[#This Row],[RAD/PACT]]="","",IF(OR(IntComp24[[#This Row],[RAD/PACT]]="2022-2025",IntComp24[[#This Row],[RAD/PACT]]=2019,IntComp24[[#This Row],[RAD/PACT]]="2020-2021"),"Yes",""))</f>
        <v/>
      </c>
      <c r="M28" s="1">
        <f ca="1">IF(VLOOKUP(IntComp24[[#This Row],[DEVELOPMENT]],Data[],10,FALSE)=0,-1,DATEDIF(VLOOKUP(IntComp24[[#This Row],[DEVELOPMENT]],Data[],12,FALSE),TODAY(),"Y"))</f>
        <v>20</v>
      </c>
      <c r="N28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8" s="1"/>
      <c r="P28" s="1">
        <v>2021</v>
      </c>
      <c r="Q28" s="1" t="s">
        <v>2224</v>
      </c>
      <c r="R28" s="47">
        <f ca="1">(IntComp24[[#This Row],['# to Replace (MRST)]]*INDEX(UnitCosts[#All],MATCH(IntComp24[[#This Row],[WORK TYPE]],UnitCosts[Work Type],0)+1,2))*(1+((IntComp24[[#This Row],[est. Year]]-YEAR(TODAY()))*$R$2))</f>
        <v>0</v>
      </c>
      <c r="S28" s="1">
        <f ca="1">SUM(INDEX(IntComp24['# to Replace (MRST)],1):IntComp24[[#This Row],['# to Replace (MRST)]])</f>
        <v>0</v>
      </c>
      <c r="T28" s="1"/>
      <c r="U28" s="1">
        <f ca="1">IF(ISBLANK(IntComp24[[#This Row],[CALENDAR YEAR]]),ROUNDDOWN(IntComp24[[#This Row],[Count]]/50,0)+$U$1,IntComp24[[#This Row],[CALENDAR YEAR]])</f>
        <v>2022</v>
      </c>
      <c r="V28" s="64">
        <f t="shared" ca="1" si="0"/>
        <v>0</v>
      </c>
      <c r="X28"/>
    </row>
    <row r="29" spans="1:24" hidden="1">
      <c r="A29" s="13" t="s">
        <v>112</v>
      </c>
      <c r="B29" s="1" t="str">
        <f>VLOOKUP(A29,Data[],2,FALSE)</f>
        <v>MANHATTAN</v>
      </c>
      <c r="C29" s="9" t="s">
        <v>106</v>
      </c>
      <c r="D29" s="9" t="str">
        <f>VLOOKUP(IntComp24[[#This Row],[DEVELOPMENT]],Data[],52,FALSE)</f>
        <v>FEDERAL</v>
      </c>
      <c r="E29" s="9" t="str">
        <f>VLOOKUP(IntComp24[[#This Row],[DEVELOPMENT]],Data[],8,FALSE)</f>
        <v>Zone 2</v>
      </c>
      <c r="F29" s="9">
        <f>VLOOKUP(IntComp24[[#This Row],[DEVELOPMENT]],all[[DEVELOPMENT]:[MRST Ext. Comp. Priority]],13,FALSE)</f>
        <v>3</v>
      </c>
      <c r="G29" s="9">
        <f>IF(VLOOKUP(IntComp24[[#This Row],[DEVELOPMENT]],Data[],9,FALSE)=0,5,VLOOKUP(IntComp24[[#This Row],[DEVELOPMENT]],Data[],9,FALSE))</f>
        <v>3</v>
      </c>
      <c r="H29" s="9">
        <f>VLOOKUP(IntComp24[[#This Row],[DEVELOPMENT]],Data[],7,FALSE)</f>
        <v>1486</v>
      </c>
      <c r="I29" s="9">
        <f>VLOOKUP(IntComp24[[#This Row],[DEVELOPMENT]],Data[],5,FALSE)</f>
        <v>18</v>
      </c>
      <c r="J29" s="9"/>
      <c r="K29" s="9" t="str">
        <f ca="1">IFERROR(VLOOKUP(IntComp24[[#This Row],[DEVELOPMENT]],Data[],4,FALSE),"")</f>
        <v>2026+</v>
      </c>
      <c r="L29" s="9" t="str">
        <f ca="1">IF(IntComp24[[#This Row],[RAD/PACT]]="","",IF(OR(IntComp24[[#This Row],[RAD/PACT]]="2022-2025",IntComp24[[#This Row],[RAD/PACT]]=2019,IntComp24[[#This Row],[RAD/PACT]]="2020-2021"),"Yes",""))</f>
        <v/>
      </c>
      <c r="M29" s="1">
        <f ca="1">IF(VLOOKUP(IntComp24[[#This Row],[DEVELOPMENT]],Data[],10,FALSE)=0,-1,DATEDIF(VLOOKUP(IntComp24[[#This Row],[DEVELOPMENT]],Data[],12,FALSE),TODAY(),"Y"))</f>
        <v>20</v>
      </c>
      <c r="N2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9" s="1"/>
      <c r="P29" s="1">
        <v>2021</v>
      </c>
      <c r="Q29" s="1" t="s">
        <v>2224</v>
      </c>
      <c r="R29" s="47">
        <f ca="1">(IntComp24[[#This Row],['# to Replace (MRST)]]*INDEX(UnitCosts[#All],MATCH(IntComp24[[#This Row],[WORK TYPE]],UnitCosts[Work Type],0)+1,2))*(1+((IntComp24[[#This Row],[est. Year]]-YEAR(TODAY()))*$R$2))</f>
        <v>0</v>
      </c>
      <c r="S29" s="1">
        <f ca="1">SUM(INDEX(IntComp24['# to Replace (MRST)],1):IntComp24[[#This Row],['# to Replace (MRST)]])</f>
        <v>0</v>
      </c>
      <c r="T29" s="1"/>
      <c r="U29" s="1">
        <f ca="1">IF(ISBLANK(IntComp24[[#This Row],[CALENDAR YEAR]]),ROUNDDOWN(IntComp24[[#This Row],[Count]]/50,0)+$U$1,IntComp24[[#This Row],[CALENDAR YEAR]])</f>
        <v>2022</v>
      </c>
      <c r="V29" s="64">
        <f t="shared" ca="1" si="0"/>
        <v>0</v>
      </c>
      <c r="X29"/>
    </row>
    <row r="30" spans="1:24" hidden="1">
      <c r="A30" s="13" t="s">
        <v>120</v>
      </c>
      <c r="B30" s="1" t="str">
        <f>VLOOKUP(A30,Data[],2,FALSE)</f>
        <v>MANHATTAN</v>
      </c>
      <c r="C30" s="9" t="s">
        <v>106</v>
      </c>
      <c r="D30" s="9" t="str">
        <f>VLOOKUP(IntComp24[[#This Row],[DEVELOPMENT]],Data[],52,FALSE)</f>
        <v>FEDERAL</v>
      </c>
      <c r="E30" s="9" t="str">
        <f>VLOOKUP(IntComp24[[#This Row],[DEVELOPMENT]],Data[],8,FALSE)</f>
        <v>Zone 2</v>
      </c>
      <c r="F30" s="9" t="str">
        <f>VLOOKUP(IntComp24[[#This Row],[DEVELOPMENT]],all[[DEVELOPMENT]:[MRST Ext. Comp. Priority]],13,FALSE)</f>
        <v>None</v>
      </c>
      <c r="G30" s="9">
        <f>IF(VLOOKUP(IntComp24[[#This Row],[DEVELOPMENT]],Data[],9,FALSE)=0,5,VLOOKUP(IntComp24[[#This Row],[DEVELOPMENT]],Data[],9,FALSE))</f>
        <v>3</v>
      </c>
      <c r="H30" s="9">
        <f>VLOOKUP(IntComp24[[#This Row],[DEVELOPMENT]],Data[],7,FALSE)</f>
        <v>1244</v>
      </c>
      <c r="I30" s="9">
        <f>VLOOKUP(IntComp24[[#This Row],[DEVELOPMENT]],Data[],5,FALSE)</f>
        <v>13</v>
      </c>
      <c r="J30" s="9"/>
      <c r="K30" s="9" t="str">
        <f ca="1">IFERROR(VLOOKUP(IntComp24[[#This Row],[DEVELOPMENT]],Data[],4,FALSE),"")</f>
        <v>2026+</v>
      </c>
      <c r="L30" s="9" t="str">
        <f ca="1">IF(IntComp24[[#This Row],[RAD/PACT]]="","",IF(OR(IntComp24[[#This Row],[RAD/PACT]]="2022-2025",IntComp24[[#This Row],[RAD/PACT]]=2019,IntComp24[[#This Row],[RAD/PACT]]="2020-2021"),"Yes",""))</f>
        <v/>
      </c>
      <c r="M30" s="1">
        <f ca="1">IF(VLOOKUP(IntComp24[[#This Row],[DEVELOPMENT]],Data[],10,FALSE)=0,-1,DATEDIF(VLOOKUP(IntComp24[[#This Row],[DEVELOPMENT]],Data[],12,FALSE),TODAY(),"Y"))</f>
        <v>19</v>
      </c>
      <c r="N3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" s="1"/>
      <c r="P30" s="1">
        <v>2021</v>
      </c>
      <c r="Q30" s="1" t="s">
        <v>2224</v>
      </c>
      <c r="R30" s="47">
        <f ca="1">(IntComp24[[#This Row],['# to Replace (MRST)]]*INDEX(UnitCosts[#All],MATCH(IntComp24[[#This Row],[WORK TYPE]],UnitCosts[Work Type],0)+1,2))*(1+((IntComp24[[#This Row],[est. Year]]-YEAR(TODAY()))*$R$2))</f>
        <v>0</v>
      </c>
      <c r="S30" s="1">
        <f ca="1">SUM(INDEX(IntComp24['# to Replace (MRST)],1):IntComp24[[#This Row],['# to Replace (MRST)]])</f>
        <v>0</v>
      </c>
      <c r="T30" s="1"/>
      <c r="U30" s="1">
        <f ca="1">IF(ISBLANK(IntComp24[[#This Row],[CALENDAR YEAR]]),ROUNDDOWN(IntComp24[[#This Row],[Count]]/50,0)+$U$1,IntComp24[[#This Row],[CALENDAR YEAR]])</f>
        <v>2022</v>
      </c>
      <c r="V30" s="64">
        <f t="shared" ca="1" si="0"/>
        <v>0</v>
      </c>
      <c r="X30"/>
    </row>
    <row r="31" spans="1:24" hidden="1">
      <c r="A31" s="13" t="s">
        <v>92</v>
      </c>
      <c r="B31" s="1" t="str">
        <f>VLOOKUP(A31,Data[],2,FALSE)</f>
        <v>MANHATTAN</v>
      </c>
      <c r="C31" s="9" t="s">
        <v>106</v>
      </c>
      <c r="D31" s="9" t="str">
        <f>VLOOKUP(IntComp24[[#This Row],[DEVELOPMENT]],Data[],52,FALSE)</f>
        <v>FEDERAL</v>
      </c>
      <c r="E31" s="9" t="str">
        <f>VLOOKUP(IntComp24[[#This Row],[DEVELOPMENT]],Data[],8,FALSE)</f>
        <v>Zone 2</v>
      </c>
      <c r="F31" s="9">
        <f>VLOOKUP(IntComp24[[#This Row],[DEVELOPMENT]],all[[DEVELOPMENT]:[MRST Ext. Comp. Priority]],13,FALSE)</f>
        <v>2</v>
      </c>
      <c r="G31" s="9">
        <f>IF(VLOOKUP(IntComp24[[#This Row],[DEVELOPMENT]],Data[],9,FALSE)=0,5,VLOOKUP(IntComp24[[#This Row],[DEVELOPMENT]],Data[],9,FALSE))</f>
        <v>1</v>
      </c>
      <c r="H31" s="9">
        <f>VLOOKUP(IntComp24[[#This Row],[DEVELOPMENT]],Data[],7,FALSE)</f>
        <v>97</v>
      </c>
      <c r="I31" s="9">
        <f>VLOOKUP(IntComp24[[#This Row],[DEVELOPMENT]],Data[],5,FALSE)</f>
        <v>1</v>
      </c>
      <c r="J31" s="9"/>
      <c r="K31" s="9" t="str">
        <f ca="1">IFERROR(VLOOKUP(IntComp24[[#This Row],[DEVELOPMENT]],Data[],4,FALSE),"")</f>
        <v/>
      </c>
      <c r="L31" s="9" t="str">
        <f ca="1">IF(IntComp24[[#This Row],[RAD/PACT]]="","",IF(OR(IntComp24[[#This Row],[RAD/PACT]]="2022-2025",IntComp24[[#This Row],[RAD/PACT]]=2019,IntComp24[[#This Row],[RAD/PACT]]="2020-2021"),"Yes",""))</f>
        <v/>
      </c>
      <c r="M31" s="1">
        <f ca="1">IF(VLOOKUP(IntComp24[[#This Row],[DEVELOPMENT]],Data[],10,FALSE)=0,-1,DATEDIF(VLOOKUP(IntComp24[[#This Row],[DEVELOPMENT]],Data[],12,FALSE),TODAY(),"Y"))</f>
        <v>20</v>
      </c>
      <c r="N3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1" s="1"/>
      <c r="P31" s="1">
        <v>2022</v>
      </c>
      <c r="Q31" s="1" t="s">
        <v>2224</v>
      </c>
      <c r="R31" s="47">
        <f ca="1">(IntComp24[[#This Row],['# to Replace (MRST)]]*INDEX(UnitCosts[#All],MATCH(IntComp24[[#This Row],[WORK TYPE]],UnitCosts[Work Type],0)+1,2))*(1+((IntComp24[[#This Row],[est. Year]]-YEAR(TODAY()))*$R$2))</f>
        <v>0</v>
      </c>
      <c r="S31" s="1">
        <f ca="1">SUM(INDEX(IntComp24['# to Replace (MRST)],1):IntComp24[[#This Row],['# to Replace (MRST)]])</f>
        <v>0</v>
      </c>
      <c r="T31" s="1"/>
      <c r="U31" s="1">
        <f ca="1">IF(ISBLANK(IntComp24[[#This Row],[CALENDAR YEAR]]),ROUNDDOWN(IntComp24[[#This Row],[Count]]/50,0)+$U$1,IntComp24[[#This Row],[CALENDAR YEAR]])</f>
        <v>2022</v>
      </c>
      <c r="V31" s="64">
        <f t="shared" ca="1" si="0"/>
        <v>0</v>
      </c>
      <c r="X31"/>
    </row>
    <row r="32" spans="1:24">
      <c r="A32" s="65" t="s">
        <v>43</v>
      </c>
      <c r="B32" s="1" t="str">
        <f>VLOOKUP(A32,Data[],2,FALSE)</f>
        <v>MANHATTAN</v>
      </c>
      <c r="C32" s="9" t="s">
        <v>106</v>
      </c>
      <c r="D32" s="9" t="str">
        <f>VLOOKUP(IntComp24[[#This Row],[DEVELOPMENT]],Data[],52,FALSE)</f>
        <v>MIXED FINANCE/LLC1</v>
      </c>
      <c r="E32" s="9" t="str">
        <f>VLOOKUP(IntComp24[[#This Row],[DEVELOPMENT]],Data[],8,FALSE)</f>
        <v>Zone 1</v>
      </c>
      <c r="F32" s="9">
        <f>VLOOKUP(IntComp24[[#This Row],[DEVELOPMENT]],all[[DEVELOPMENT]:[MRST Ext. Comp. Priority]],13,FALSE)</f>
        <v>2</v>
      </c>
      <c r="G32" s="9">
        <f>IF(VLOOKUP(IntComp24[[#This Row],[DEVELOPMENT]],Data[],9,FALSE)=0,5,VLOOKUP(IntComp24[[#This Row],[DEVELOPMENT]],Data[],9,FALSE))</f>
        <v>4</v>
      </c>
      <c r="H32" s="9">
        <f>VLOOKUP(IntComp24[[#This Row],[DEVELOPMENT]],Data[],7,FALSE)</f>
        <v>721</v>
      </c>
      <c r="I32" s="9">
        <f>VLOOKUP(IntComp24[[#This Row],[DEVELOPMENT]],Data[],5,FALSE)</f>
        <v>5</v>
      </c>
      <c r="J32" s="9"/>
      <c r="K32" s="9" t="str">
        <f ca="1">IFERROR(VLOOKUP(IntComp24[[#This Row],[DEVELOPMENT]],Data[],4,FALSE),"")</f>
        <v/>
      </c>
      <c r="L32" s="9" t="str">
        <f ca="1">IF(IntComp24[[#This Row],[RAD/PACT]]="","",IF(OR(IntComp24[[#This Row],[RAD/PACT]]="2022-2025",IntComp24[[#This Row],[RAD/PACT]]=2019,IntComp24[[#This Row],[RAD/PACT]]="2020-2021"),"Yes",""))</f>
        <v/>
      </c>
      <c r="M32" s="1">
        <f ca="1">IF(VLOOKUP(IntComp24[[#This Row],[DEVELOPMENT]],Data[],10,FALSE)=0,-1,DATEDIF(VLOOKUP(IntComp24[[#This Row],[DEVELOPMENT]],Data[],12,FALSE),TODAY(),"Y"))</f>
        <v>17</v>
      </c>
      <c r="N32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5</v>
      </c>
      <c r="O32" s="1">
        <v>2019</v>
      </c>
      <c r="P32" s="1">
        <v>2020</v>
      </c>
      <c r="Q32" s="1" t="str">
        <f>IF(VLOOKUP(IntComp24[[#This Row],[DEVELOPMENT]],CPD_Int[],20,FALSE)=1,"COMPLETED","IN PROGRESS")</f>
        <v>COMPLETED</v>
      </c>
      <c r="R32" s="47">
        <f>VLOOKUP(IntComp24[[#This Row],[DEVELOPMENT]],CPD_Int[],12,FALSE)</f>
        <v>0</v>
      </c>
      <c r="S32" s="1">
        <f ca="1">SUM(INDEX(IntComp24['# to Replace (MRST)],1):IntComp24[[#This Row],['# to Replace (MRST)]])</f>
        <v>5</v>
      </c>
      <c r="T32" s="1" t="s">
        <v>2223</v>
      </c>
      <c r="U32" s="1">
        <f>IF(ISBLANK(IntComp24[[#This Row],[CALENDAR YEAR]]),ROUNDDOWN(IntComp24[[#This Row],[Count]]/50,0)+$U$1,IntComp24[[#This Row],[CALENDAR YEAR]])</f>
        <v>2019</v>
      </c>
      <c r="V32" s="64">
        <f t="shared" ref="V32:V95" ca="1" si="1">IF(U32=U31,R32+V31,R32)</f>
        <v>0</v>
      </c>
      <c r="W32" s="1"/>
      <c r="X32"/>
    </row>
    <row r="33" spans="1:24" hidden="1">
      <c r="A33" s="13" t="s">
        <v>113</v>
      </c>
      <c r="B33" s="1" t="str">
        <f>VLOOKUP(A33,Data[],2,FALSE)</f>
        <v>MANHATTAN</v>
      </c>
      <c r="C33" s="9" t="s">
        <v>106</v>
      </c>
      <c r="D33" s="9" t="str">
        <f>VLOOKUP(IntComp24[[#This Row],[DEVELOPMENT]],Data[],52,FALSE)</f>
        <v>FEDERAL</v>
      </c>
      <c r="E33" s="9" t="str">
        <f>VLOOKUP(IntComp24[[#This Row],[DEVELOPMENT]],Data[],8,FALSE)</f>
        <v>Zone 2</v>
      </c>
      <c r="F33" s="9">
        <f>VLOOKUP(IntComp24[[#This Row],[DEVELOPMENT]],all[[DEVELOPMENT]:[MRST Ext. Comp. Priority]],13,FALSE)</f>
        <v>3</v>
      </c>
      <c r="G33" s="9">
        <f>IF(VLOOKUP(IntComp24[[#This Row],[DEVELOPMENT]],Data[],9,FALSE)=0,5,VLOOKUP(IntComp24[[#This Row],[DEVELOPMENT]],Data[],9,FALSE))</f>
        <v>1</v>
      </c>
      <c r="H33" s="9">
        <f>VLOOKUP(IntComp24[[#This Row],[DEVELOPMENT]],Data[],7,FALSE)</f>
        <v>1280</v>
      </c>
      <c r="I33" s="9">
        <f>VLOOKUP(IntComp24[[#This Row],[DEVELOPMENT]],Data[],5,FALSE)</f>
        <v>14</v>
      </c>
      <c r="J33" s="9"/>
      <c r="K33" s="9" t="str">
        <f ca="1">IFERROR(VLOOKUP(IntComp24[[#This Row],[DEVELOPMENT]],Data[],4,FALSE),"")</f>
        <v>2026+</v>
      </c>
      <c r="L33" s="9" t="str">
        <f ca="1">IF(IntComp24[[#This Row],[RAD/PACT]]="","",IF(OR(IntComp24[[#This Row],[RAD/PACT]]="2022-2025",IntComp24[[#This Row],[RAD/PACT]]=2019,IntComp24[[#This Row],[RAD/PACT]]="2020-2021"),"Yes",""))</f>
        <v/>
      </c>
      <c r="M33" s="1">
        <f ca="1">IF(VLOOKUP(IntComp24[[#This Row],[DEVELOPMENT]],Data[],10,FALSE)=0,-1,DATEDIF(VLOOKUP(IntComp24[[#This Row],[DEVELOPMENT]],Data[],12,FALSE),TODAY(),"Y"))</f>
        <v>20</v>
      </c>
      <c r="N33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3" s="1"/>
      <c r="P33" s="1">
        <v>2022</v>
      </c>
      <c r="Q33" s="1" t="s">
        <v>2224</v>
      </c>
      <c r="R33" s="47">
        <f ca="1">(IntComp24[[#This Row],['# to Replace (MRST)]]*INDEX(UnitCosts[#All],MATCH(IntComp24[[#This Row],[WORK TYPE]],UnitCosts[Work Type],0)+1,2))*(1+((IntComp24[[#This Row],[est. Year]]-YEAR(TODAY()))*$R$2))</f>
        <v>0</v>
      </c>
      <c r="S33" s="1">
        <f ca="1">SUM(INDEX(IntComp24['# to Replace (MRST)],1):IntComp24[[#This Row],['# to Replace (MRST)]])</f>
        <v>5</v>
      </c>
      <c r="T33" s="1"/>
      <c r="U33" s="1">
        <f ca="1">IF(ISBLANK(IntComp24[[#This Row],[CALENDAR YEAR]]),ROUNDDOWN(IntComp24[[#This Row],[Count]]/50,0)+$U$1,IntComp24[[#This Row],[CALENDAR YEAR]])</f>
        <v>2022</v>
      </c>
      <c r="V33" s="64">
        <f t="shared" ca="1" si="1"/>
        <v>0</v>
      </c>
      <c r="X33"/>
    </row>
    <row r="34" spans="1:24" hidden="1">
      <c r="A34" s="13" t="s">
        <v>128</v>
      </c>
      <c r="B34" s="1" t="str">
        <f>VLOOKUP(A34,Data[],2,FALSE)</f>
        <v>MANHATTAN</v>
      </c>
      <c r="C34" s="9" t="s">
        <v>106</v>
      </c>
      <c r="D34" s="9" t="str">
        <f>VLOOKUP(IntComp24[[#This Row],[DEVELOPMENT]],Data[],52,FALSE)</f>
        <v>FEDERAL</v>
      </c>
      <c r="E34" s="9" t="str">
        <f>VLOOKUP(IntComp24[[#This Row],[DEVELOPMENT]],Data[],8,FALSE)</f>
        <v>Zone 2</v>
      </c>
      <c r="F34" s="9">
        <f>VLOOKUP(IntComp24[[#This Row],[DEVELOPMENT]],all[[DEVELOPMENT]:[MRST Ext. Comp. Priority]],13,FALSE)</f>
        <v>3</v>
      </c>
      <c r="G34" s="9">
        <f>IF(VLOOKUP(IntComp24[[#This Row],[DEVELOPMENT]],Data[],9,FALSE)=0,5,VLOOKUP(IntComp24[[#This Row],[DEVELOPMENT]],Data[],9,FALSE))</f>
        <v>2</v>
      </c>
      <c r="H34" s="9">
        <f>VLOOKUP(IntComp24[[#This Row],[DEVELOPMENT]],Data[],7,FALSE)</f>
        <v>1463</v>
      </c>
      <c r="I34" s="9">
        <f>VLOOKUP(IntComp24[[#This Row],[DEVELOPMENT]],Data[],5,FALSE)</f>
        <v>9</v>
      </c>
      <c r="J34" s="9"/>
      <c r="K34" s="9" t="str">
        <f ca="1">IFERROR(VLOOKUP(IntComp24[[#This Row],[DEVELOPMENT]],Data[],4,FALSE),"")</f>
        <v>2026+</v>
      </c>
      <c r="L34" s="9" t="str">
        <f ca="1">IF(IntComp24[[#This Row],[RAD/PACT]]="","",IF(OR(IntComp24[[#This Row],[RAD/PACT]]="2022-2025",IntComp24[[#This Row],[RAD/PACT]]=2019,IntComp24[[#This Row],[RAD/PACT]]="2020-2021"),"Yes",""))</f>
        <v/>
      </c>
      <c r="M34" s="1">
        <f ca="1">IF(VLOOKUP(IntComp24[[#This Row],[DEVELOPMENT]],Data[],10,FALSE)=0,-1,DATEDIF(VLOOKUP(IntComp24[[#This Row],[DEVELOPMENT]],Data[],12,FALSE),TODAY(),"Y"))</f>
        <v>21</v>
      </c>
      <c r="N3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4" s="1"/>
      <c r="P34" s="1">
        <v>2022</v>
      </c>
      <c r="Q34" s="1" t="s">
        <v>2224</v>
      </c>
      <c r="R34" s="47">
        <f ca="1">(IntComp24[[#This Row],['# to Replace (MRST)]]*INDEX(UnitCosts[#All],MATCH(IntComp24[[#This Row],[WORK TYPE]],UnitCosts[Work Type],0)+1,2))*(1+((IntComp24[[#This Row],[est. Year]]-YEAR(TODAY()))*$R$2))</f>
        <v>0</v>
      </c>
      <c r="S34" s="1">
        <f ca="1">SUM(INDEX(IntComp24['# to Replace (MRST)],1):IntComp24[[#This Row],['# to Replace (MRST)]])</f>
        <v>5</v>
      </c>
      <c r="T34" s="1"/>
      <c r="U34" s="1">
        <f ca="1">IF(ISBLANK(IntComp24[[#This Row],[CALENDAR YEAR]]),ROUNDDOWN(IntComp24[[#This Row],[Count]]/50,0)+$U$1,IntComp24[[#This Row],[CALENDAR YEAR]])</f>
        <v>2022</v>
      </c>
      <c r="V34" s="64">
        <f t="shared" ca="1" si="1"/>
        <v>0</v>
      </c>
      <c r="X34"/>
    </row>
    <row r="35" spans="1:24" hidden="1">
      <c r="A35" s="13" t="s">
        <v>89</v>
      </c>
      <c r="B35" s="1" t="str">
        <f>VLOOKUP(A35,Data[],2,FALSE)</f>
        <v>MANHATTAN</v>
      </c>
      <c r="C35" s="9" t="s">
        <v>106</v>
      </c>
      <c r="D35" s="9" t="str">
        <f>VLOOKUP(IntComp24[[#This Row],[DEVELOPMENT]],Data[],52,FALSE)</f>
        <v>FEDERAL</v>
      </c>
      <c r="E35" s="9" t="str">
        <f>VLOOKUP(IntComp24[[#This Row],[DEVELOPMENT]],Data[],8,FALSE)</f>
        <v>Zone 3</v>
      </c>
      <c r="F35" s="9">
        <f>VLOOKUP(IntComp24[[#This Row],[DEVELOPMENT]],all[[DEVELOPMENT]:[MRST Ext. Comp. Priority]],13,FALSE)</f>
        <v>1</v>
      </c>
      <c r="G35" s="9">
        <f>IF(VLOOKUP(IntComp24[[#This Row],[DEVELOPMENT]],Data[],9,FALSE)=0,5,VLOOKUP(IntComp24[[#This Row],[DEVELOPMENT]],Data[],9,FALSE))</f>
        <v>3</v>
      </c>
      <c r="H35" s="9">
        <f>VLOOKUP(IntComp24[[#This Row],[DEVELOPMENT]],Data[],7,FALSE)</f>
        <v>180</v>
      </c>
      <c r="I35" s="9">
        <f>VLOOKUP(IntComp24[[#This Row],[DEVELOPMENT]],Data[],5,FALSE)</f>
        <v>1</v>
      </c>
      <c r="J35" s="9"/>
      <c r="K35" s="9" t="str">
        <f ca="1">IFERROR(VLOOKUP(IntComp24[[#This Row],[DEVELOPMENT]],Data[],4,FALSE),"")</f>
        <v>2020-2021</v>
      </c>
      <c r="L35" s="9" t="str">
        <f ca="1">IF(IntComp24[[#This Row],[RAD/PACT]]="","",IF(OR(IntComp24[[#This Row],[RAD/PACT]]="2022-2025",IntComp24[[#This Row],[RAD/PACT]]=2019,IntComp24[[#This Row],[RAD/PACT]]="2020-2021"),"Yes",""))</f>
        <v>Yes</v>
      </c>
      <c r="M35" s="1">
        <f ca="1">IF(VLOOKUP(IntComp24[[#This Row],[DEVELOPMENT]],Data[],10,FALSE)=0,-1,DATEDIF(VLOOKUP(IntComp24[[#This Row],[DEVELOPMENT]],Data[],12,FALSE),TODAY(),"Y"))</f>
        <v>8</v>
      </c>
      <c r="N35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5" s="1"/>
      <c r="P35" s="1"/>
      <c r="Q35" s="1"/>
      <c r="R35" s="47">
        <f ca="1">(IntComp24[[#This Row],['# to Replace (MRST)]]*INDEX(UnitCosts[#All],MATCH(IntComp24[[#This Row],[WORK TYPE]],UnitCosts[Work Type],0)+1,2))*(1+((IntComp24[[#This Row],[est. Year]]-YEAR(TODAY()))*$R$2))</f>
        <v>0</v>
      </c>
      <c r="S35" s="1">
        <f ca="1">SUM(INDEX(IntComp24['# to Replace (MRST)],1):IntComp24[[#This Row],['# to Replace (MRST)]])</f>
        <v>5</v>
      </c>
      <c r="T35" s="1"/>
      <c r="U35" s="1">
        <f ca="1">IF(ISBLANK(IntComp24[[#This Row],[CALENDAR YEAR]]),ROUNDDOWN(IntComp24[[#This Row],[Count]]/50,0)+$U$1,IntComp24[[#This Row],[CALENDAR YEAR]])</f>
        <v>2022</v>
      </c>
      <c r="V35" s="64">
        <f t="shared" ca="1" si="1"/>
        <v>0</v>
      </c>
      <c r="X35"/>
    </row>
    <row r="36" spans="1:24" hidden="1">
      <c r="A36" s="13" t="s">
        <v>39</v>
      </c>
      <c r="B36" s="1" t="str">
        <f>VLOOKUP(A36,Data[],2,FALSE)</f>
        <v>BRONX</v>
      </c>
      <c r="C36" s="9" t="s">
        <v>106</v>
      </c>
      <c r="D36" s="9" t="str">
        <f>VLOOKUP(IntComp24[[#This Row],[DEVELOPMENT]],Data[],52,FALSE)</f>
        <v>FEDERAL</v>
      </c>
      <c r="E36" s="9" t="str">
        <f>VLOOKUP(IntComp24[[#This Row],[DEVELOPMENT]],Data[],8,FALSE)</f>
        <v>Zone 1</v>
      </c>
      <c r="F36" s="9">
        <f>VLOOKUP(IntComp24[[#This Row],[DEVELOPMENT]],all[[DEVELOPMENT]:[MRST Ext. Comp. Priority]],13,FALSE)</f>
        <v>1</v>
      </c>
      <c r="G36" s="9">
        <f>IF(VLOOKUP(IntComp24[[#This Row],[DEVELOPMENT]],Data[],9,FALSE)=0,5,VLOOKUP(IntComp24[[#This Row],[DEVELOPMENT]],Data[],9,FALSE))</f>
        <v>4</v>
      </c>
      <c r="H36" s="9">
        <f>VLOOKUP(IntComp24[[#This Row],[DEVELOPMENT]],Data[],7,FALSE)</f>
        <v>1021</v>
      </c>
      <c r="I36" s="9">
        <f>VLOOKUP(IntComp24[[#This Row],[DEVELOPMENT]],Data[],5,FALSE)</f>
        <v>8</v>
      </c>
      <c r="J36" s="9"/>
      <c r="K36" s="9" t="str">
        <f ca="1">IFERROR(VLOOKUP(IntComp24[[#This Row],[DEVELOPMENT]],Data[],4,FALSE),"")</f>
        <v>2022-2025</v>
      </c>
      <c r="L36" s="9" t="str">
        <f ca="1">IF(IntComp24[[#This Row],[RAD/PACT]]="","",IF(OR(IntComp24[[#This Row],[RAD/PACT]]="2022-2025",IntComp24[[#This Row],[RAD/PACT]]=2019,IntComp24[[#This Row],[RAD/PACT]]="2020-2021"),"Yes",""))</f>
        <v>Yes</v>
      </c>
      <c r="M36" s="1">
        <f ca="1">IF(VLOOKUP(IntComp24[[#This Row],[DEVELOPMENT]],Data[],10,FALSE)=0,-1,DATEDIF(VLOOKUP(IntComp24[[#This Row],[DEVELOPMENT]],Data[],12,FALSE),TODAY(),"Y"))</f>
        <v>14</v>
      </c>
      <c r="N36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6" s="51"/>
      <c r="P36" s="1"/>
      <c r="Q36" s="1"/>
      <c r="R36" s="47">
        <f ca="1">(IntComp24[[#This Row],['# to Replace (MRST)]]*INDEX(UnitCosts[#All],MATCH(IntComp24[[#This Row],[WORK TYPE]],UnitCosts[Work Type],0)+1,2))*(1+((IntComp24[[#This Row],[est. Year]]-YEAR(TODAY()))*$R$2))</f>
        <v>0</v>
      </c>
      <c r="S36" s="1">
        <f ca="1">SUM(INDEX(IntComp24['# to Replace (MRST)],1):IntComp24[[#This Row],['# to Replace (MRST)]])</f>
        <v>5</v>
      </c>
      <c r="T36" s="1"/>
      <c r="U36" s="1">
        <f ca="1">IF(ISBLANK(IntComp24[[#This Row],[CALENDAR YEAR]]),ROUNDDOWN(IntComp24[[#This Row],[Count]]/50,0)+$U$1,IntComp24[[#This Row],[CALENDAR YEAR]])</f>
        <v>2022</v>
      </c>
      <c r="V36" s="64">
        <f t="shared" ca="1" si="1"/>
        <v>0</v>
      </c>
      <c r="X36"/>
    </row>
    <row r="37" spans="1:24" hidden="1">
      <c r="A37" s="13" t="s">
        <v>194</v>
      </c>
      <c r="B37" s="9" t="str">
        <f>VLOOKUP(A37,Data[],2,FALSE)</f>
        <v>QUEENS</v>
      </c>
      <c r="C37" s="9" t="s">
        <v>106</v>
      </c>
      <c r="D37" s="9" t="str">
        <f>VLOOKUP(IntComp24[[#This Row],[DEVELOPMENT]],Data[],52,FALSE)</f>
        <v>FEDERAL</v>
      </c>
      <c r="E37" s="50">
        <f>VLOOKUP(IntComp24[[#This Row],[DEVELOPMENT]],Data[],8,FALSE)</f>
        <v>0</v>
      </c>
      <c r="F37" s="50">
        <f>VLOOKUP(IntComp24[[#This Row],[DEVELOPMENT]],all[[DEVELOPMENT]:[MRST Ext. Comp. Priority]],13,FALSE)</f>
        <v>1</v>
      </c>
      <c r="G37" s="50">
        <f>IF(VLOOKUP(IntComp24[[#This Row],[DEVELOPMENT]],Data[],9,FALSE)=0,5,VLOOKUP(IntComp24[[#This Row],[DEVELOPMENT]],Data[],9,FALSE))</f>
        <v>5</v>
      </c>
      <c r="H37" s="50">
        <f>VLOOKUP(IntComp24[[#This Row],[DEVELOPMENT]],Data[],7,FALSE)</f>
        <v>599</v>
      </c>
      <c r="I37" s="50">
        <f>VLOOKUP(IntComp24[[#This Row],[DEVELOPMENT]],Data[],5,FALSE)</f>
        <v>9</v>
      </c>
      <c r="J37" s="50"/>
      <c r="K37" s="50" t="str">
        <f ca="1">IFERROR(VLOOKUP(IntComp24[[#This Row],[DEVELOPMENT]],Data[],4,FALSE),"")</f>
        <v>2020-2021</v>
      </c>
      <c r="L37" s="50" t="str">
        <f ca="1">IF(IntComp24[[#This Row],[RAD/PACT]]="","",IF(OR(IntComp24[[#This Row],[RAD/PACT]]="2022-2025",IntComp24[[#This Row],[RAD/PACT]]=2019,IntComp24[[#This Row],[RAD/PACT]]="2020-2021"),"Yes",""))</f>
        <v>Yes</v>
      </c>
      <c r="M37" s="51">
        <f ca="1">IF(VLOOKUP(IntComp24[[#This Row],[DEVELOPMENT]],Data[],10,FALSE)=0,-1,DATEDIF(VLOOKUP(IntComp24[[#This Row],[DEVELOPMENT]],Data[],12,FALSE),TODAY(),"Y"))</f>
        <v>24</v>
      </c>
      <c r="N3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7" s="51"/>
      <c r="P37" s="51"/>
      <c r="Q37" s="51"/>
      <c r="R37" s="47">
        <f ca="1">(IntComp24[[#This Row],['# to Replace (MRST)]]*INDEX(UnitCosts[#All],MATCH(IntComp24[[#This Row],[WORK TYPE]],UnitCosts[Work Type],0)+1,2))*(1+((IntComp24[[#This Row],[est. Year]]-YEAR(TODAY()))*$R$2))</f>
        <v>0</v>
      </c>
      <c r="S37" s="1">
        <f ca="1">SUM(INDEX(IntComp24['# to Replace (MRST)],1):IntComp24[[#This Row],['# to Replace (MRST)]])</f>
        <v>5</v>
      </c>
      <c r="T37" s="51"/>
      <c r="U37" s="51">
        <f ca="1">IF(ISBLANK(IntComp24[[#This Row],[CALENDAR YEAR]]),ROUNDDOWN(IntComp24[[#This Row],[Count]]/50,0)+$U$1,IntComp24[[#This Row],[CALENDAR YEAR]])</f>
        <v>2022</v>
      </c>
      <c r="V37" s="69">
        <f t="shared" ca="1" si="1"/>
        <v>0</v>
      </c>
      <c r="X37"/>
    </row>
    <row r="38" spans="1:24" hidden="1">
      <c r="A38" s="13" t="s">
        <v>224</v>
      </c>
      <c r="B38" s="9" t="str">
        <f>VLOOKUP(A38,Data[],2,FALSE)</f>
        <v>QUEENS</v>
      </c>
      <c r="C38" s="9" t="s">
        <v>106</v>
      </c>
      <c r="D38" s="9" t="str">
        <f>VLOOKUP(IntComp24[[#This Row],[DEVELOPMENT]],Data[],52,FALSE)</f>
        <v>FEDERAL</v>
      </c>
      <c r="E38" s="50">
        <f>VLOOKUP(IntComp24[[#This Row],[DEVELOPMENT]],Data[],8,FALSE)</f>
        <v>0</v>
      </c>
      <c r="F38" s="50">
        <f>VLOOKUP(IntComp24[[#This Row],[DEVELOPMENT]],all[[DEVELOPMENT]:[MRST Ext. Comp. Priority]],13,FALSE)</f>
        <v>1</v>
      </c>
      <c r="G38" s="50">
        <f>IF(VLOOKUP(IntComp24[[#This Row],[DEVELOPMENT]],Data[],9,FALSE)=0,5,VLOOKUP(IntComp24[[#This Row],[DEVELOPMENT]],Data[],9,FALSE))</f>
        <v>5</v>
      </c>
      <c r="H38" s="50">
        <f>VLOOKUP(IntComp24[[#This Row],[DEVELOPMENT]],Data[],7,FALSE)</f>
        <v>448</v>
      </c>
      <c r="I38" s="50">
        <f>VLOOKUP(IntComp24[[#This Row],[DEVELOPMENT]],Data[],5,FALSE)</f>
        <v>11</v>
      </c>
      <c r="J38" s="50"/>
      <c r="K38" s="50" t="str">
        <f ca="1">IFERROR(VLOOKUP(IntComp24[[#This Row],[DEVELOPMENT]],Data[],4,FALSE),"")</f>
        <v>2026+</v>
      </c>
      <c r="L38" s="50" t="str">
        <f ca="1">IF(IntComp24[[#This Row],[RAD/PACT]]="","",IF(OR(IntComp24[[#This Row],[RAD/PACT]]="2022-2025",IntComp24[[#This Row],[RAD/PACT]]=2019,IntComp24[[#This Row],[RAD/PACT]]="2020-2021"),"Yes",""))</f>
        <v/>
      </c>
      <c r="M38" s="51">
        <f ca="1">IF(VLOOKUP(IntComp24[[#This Row],[DEVELOPMENT]],Data[],10,FALSE)=0,-1,DATEDIF(VLOOKUP(IntComp24[[#This Row],[DEVELOPMENT]],Data[],12,FALSE),TODAY(),"Y"))</f>
        <v>17</v>
      </c>
      <c r="N3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8" s="51"/>
      <c r="P38" s="51"/>
      <c r="Q38" s="51"/>
      <c r="R38" s="47">
        <f ca="1">(IntComp24[[#This Row],['# to Replace (MRST)]]*INDEX(UnitCosts[#All],MATCH(IntComp24[[#This Row],[WORK TYPE]],UnitCosts[Work Type],0)+1,2))*(1+((IntComp24[[#This Row],[est. Year]]-YEAR(TODAY()))*$R$2))</f>
        <v>0</v>
      </c>
      <c r="S38" s="1">
        <f ca="1">SUM(INDEX(IntComp24['# to Replace (MRST)],1):IntComp24[[#This Row],['# to Replace (MRST)]])</f>
        <v>5</v>
      </c>
      <c r="T38" s="51"/>
      <c r="U38" s="51">
        <f ca="1">IF(ISBLANK(IntComp24[[#This Row],[CALENDAR YEAR]]),ROUNDDOWN(IntComp24[[#This Row],[Count]]/50,0)+$U$1,IntComp24[[#This Row],[CALENDAR YEAR]])</f>
        <v>2022</v>
      </c>
      <c r="V38" s="69">
        <f t="shared" ca="1" si="1"/>
        <v>0</v>
      </c>
      <c r="X38"/>
    </row>
    <row r="39" spans="1:24" hidden="1">
      <c r="A39" s="13" t="s">
        <v>119</v>
      </c>
      <c r="B39" s="1" t="str">
        <f>VLOOKUP(A39,Data[],2,FALSE)</f>
        <v>BROOKLYN</v>
      </c>
      <c r="C39" s="9" t="s">
        <v>106</v>
      </c>
      <c r="D39" s="9" t="str">
        <f>VLOOKUP(IntComp24[[#This Row],[DEVELOPMENT]],Data[],52,FALSE)</f>
        <v>FEDERAL</v>
      </c>
      <c r="E39" s="9" t="str">
        <f>VLOOKUP(IntComp24[[#This Row],[DEVELOPMENT]],Data[],8,FALSE)</f>
        <v>Zone 3</v>
      </c>
      <c r="F39" s="9">
        <f>VLOOKUP(IntComp24[[#This Row],[DEVELOPMENT]],all[[DEVELOPMENT]:[MRST Ext. Comp. Priority]],13,FALSE)</f>
        <v>2</v>
      </c>
      <c r="G39" s="9">
        <f>IF(VLOOKUP(IntComp24[[#This Row],[DEVELOPMENT]],Data[],9,FALSE)=0,5,VLOOKUP(IntComp24[[#This Row],[DEVELOPMENT]],Data[],9,FALSE))</f>
        <v>1</v>
      </c>
      <c r="H39" s="9">
        <f>VLOOKUP(IntComp24[[#This Row],[DEVELOPMENT]],Data[],7,FALSE)</f>
        <v>509</v>
      </c>
      <c r="I39" s="9">
        <f>VLOOKUP(IntComp24[[#This Row],[DEVELOPMENT]],Data[],5,FALSE)</f>
        <v>8</v>
      </c>
      <c r="J39" s="9"/>
      <c r="K39" s="9" t="str">
        <f ca="1">IFERROR(VLOOKUP(IntComp24[[#This Row],[DEVELOPMENT]],Data[],4,FALSE),"")</f>
        <v>2026+</v>
      </c>
      <c r="L39" s="9" t="str">
        <f ca="1">IF(IntComp24[[#This Row],[RAD/PACT]]="","",IF(OR(IntComp24[[#This Row],[RAD/PACT]]="2022-2025",IntComp24[[#This Row],[RAD/PACT]]=2019,IntComp24[[#This Row],[RAD/PACT]]="2020-2021"),"Yes",""))</f>
        <v/>
      </c>
      <c r="M39" s="1">
        <f ca="1">IF(VLOOKUP(IntComp24[[#This Row],[DEVELOPMENT]],Data[],10,FALSE)=0,-1,DATEDIF(VLOOKUP(IntComp24[[#This Row],[DEVELOPMENT]],Data[],12,FALSE),TODAY(),"Y"))</f>
        <v>8</v>
      </c>
      <c r="N3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9" s="1"/>
      <c r="P39" s="1"/>
      <c r="Q39" s="1"/>
      <c r="R39" s="47">
        <f ca="1">(IntComp24[[#This Row],['# to Replace (MRST)]]*INDEX(UnitCosts[#All],MATCH(IntComp24[[#This Row],[WORK TYPE]],UnitCosts[Work Type],0)+1,2))*(1+((IntComp24[[#This Row],[est. Year]]-YEAR(TODAY()))*$R$2))</f>
        <v>0</v>
      </c>
      <c r="S39" s="1">
        <f ca="1">SUM(INDEX(IntComp24['# to Replace (MRST)],1):IntComp24[[#This Row],['# to Replace (MRST)]])</f>
        <v>5</v>
      </c>
      <c r="T39" s="1"/>
      <c r="U39" s="1">
        <f ca="1">IF(ISBLANK(IntComp24[[#This Row],[CALENDAR YEAR]]),ROUNDDOWN(IntComp24[[#This Row],[Count]]/50,0)+$U$1,IntComp24[[#This Row],[CALENDAR YEAR]])</f>
        <v>2022</v>
      </c>
      <c r="V39" s="64">
        <f t="shared" ca="1" si="1"/>
        <v>0</v>
      </c>
      <c r="X39"/>
    </row>
    <row r="40" spans="1:24" hidden="1">
      <c r="A40" s="13" t="s">
        <v>81</v>
      </c>
      <c r="B40" s="1" t="str">
        <f>VLOOKUP(A40,Data[],2,FALSE)</f>
        <v>MANHATTAN</v>
      </c>
      <c r="C40" s="9" t="s">
        <v>106</v>
      </c>
      <c r="D40" s="9" t="str">
        <f>VLOOKUP(IntComp24[[#This Row],[DEVELOPMENT]],Data[],52,FALSE)</f>
        <v>FEDERAL</v>
      </c>
      <c r="E40" s="9" t="str">
        <f>VLOOKUP(IntComp24[[#This Row],[DEVELOPMENT]],Data[],8,FALSE)</f>
        <v>Zone 2</v>
      </c>
      <c r="F40" s="9">
        <f>VLOOKUP(IntComp24[[#This Row],[DEVELOPMENT]],all[[DEVELOPMENT]:[MRST Ext. Comp. Priority]],13,FALSE)</f>
        <v>2</v>
      </c>
      <c r="G40" s="9">
        <f>IF(VLOOKUP(IntComp24[[#This Row],[DEVELOPMENT]],Data[],9,FALSE)=0,5,VLOOKUP(IntComp24[[#This Row],[DEVELOPMENT]],Data[],9,FALSE))</f>
        <v>1</v>
      </c>
      <c r="H40" s="9">
        <f>VLOOKUP(IntComp24[[#This Row],[DEVELOPMENT]],Data[],7,FALSE)</f>
        <v>1939</v>
      </c>
      <c r="I40" s="9">
        <f>VLOOKUP(IntComp24[[#This Row],[DEVELOPMENT]],Data[],5,FALSE)</f>
        <v>9</v>
      </c>
      <c r="J40" s="9"/>
      <c r="K40" s="9" t="str">
        <f ca="1">IFERROR(VLOOKUP(IntComp24[[#This Row],[DEVELOPMENT]],Data[],4,FALSE),"")</f>
        <v>2026+</v>
      </c>
      <c r="L40" s="9" t="str">
        <f ca="1">IF(IntComp24[[#This Row],[RAD/PACT]]="","",IF(OR(IntComp24[[#This Row],[RAD/PACT]]="2022-2025",IntComp24[[#This Row],[RAD/PACT]]=2019,IntComp24[[#This Row],[RAD/PACT]]="2020-2021"),"Yes",""))</f>
        <v/>
      </c>
      <c r="M40" s="1">
        <f ca="1">IF(VLOOKUP(IntComp24[[#This Row],[DEVELOPMENT]],Data[],10,FALSE)=0,-1,DATEDIF(VLOOKUP(IntComp24[[#This Row],[DEVELOPMENT]],Data[],12,FALSE),TODAY(),"Y"))</f>
        <v>3</v>
      </c>
      <c r="N4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0" s="1"/>
      <c r="P40" s="1"/>
      <c r="Q40" s="1"/>
      <c r="R40" s="47">
        <f ca="1">(IntComp24[[#This Row],['# to Replace (MRST)]]*INDEX(UnitCosts[#All],MATCH(IntComp24[[#This Row],[WORK TYPE]],UnitCosts[Work Type],0)+1,2))*(1+((IntComp24[[#This Row],[est. Year]]-YEAR(TODAY()))*$R$2))</f>
        <v>0</v>
      </c>
      <c r="S40" s="1">
        <f ca="1">SUM(INDEX(IntComp24['# to Replace (MRST)],1):IntComp24[[#This Row],['# to Replace (MRST)]])</f>
        <v>5</v>
      </c>
      <c r="T40" s="1"/>
      <c r="U40" s="1">
        <f ca="1">IF(ISBLANK(IntComp24[[#This Row],[CALENDAR YEAR]]),ROUNDDOWN(IntComp24[[#This Row],[Count]]/50,0)+$U$1,IntComp24[[#This Row],[CALENDAR YEAR]])</f>
        <v>2022</v>
      </c>
      <c r="V40" s="64">
        <f t="shared" ca="1" si="1"/>
        <v>0</v>
      </c>
      <c r="X40"/>
    </row>
    <row r="41" spans="1:24" hidden="1">
      <c r="A41" s="65" t="s">
        <v>37</v>
      </c>
      <c r="B41" s="1" t="str">
        <f>VLOOKUP(A41,Data[],2,FALSE)</f>
        <v>BROOKLYN</v>
      </c>
      <c r="C41" s="9" t="s">
        <v>106</v>
      </c>
      <c r="D41" s="9" t="str">
        <f>VLOOKUP(IntComp24[[#This Row],[DEVELOPMENT]],Data[],52,FALSE)</f>
        <v>FEDERAL</v>
      </c>
      <c r="E41" s="9" t="str">
        <f>VLOOKUP(IntComp24[[#This Row],[DEVELOPMENT]],Data[],8,FALSE)</f>
        <v>Zone 1</v>
      </c>
      <c r="F41" s="9">
        <f>VLOOKUP(IntComp24[[#This Row],[DEVELOPMENT]],all[[DEVELOPMENT]:[MRST Ext. Comp. Priority]],13,FALSE)</f>
        <v>2</v>
      </c>
      <c r="G41" s="9">
        <f>IF(VLOOKUP(IntComp24[[#This Row],[DEVELOPMENT]],Data[],9,FALSE)=0,5,VLOOKUP(IntComp24[[#This Row],[DEVELOPMENT]],Data[],9,FALSE))</f>
        <v>2</v>
      </c>
      <c r="H41" s="9">
        <f>VLOOKUP(IntComp24[[#This Row],[DEVELOPMENT]],Data[],7,FALSE)</f>
        <v>882</v>
      </c>
      <c r="I41" s="9">
        <f>VLOOKUP(IntComp24[[#This Row],[DEVELOPMENT]],Data[],5,FALSE)</f>
        <v>7</v>
      </c>
      <c r="J41" s="9"/>
      <c r="K41" s="9" t="str">
        <f ca="1">IFERROR(VLOOKUP(IntComp24[[#This Row],[DEVELOPMENT]],Data[],4,FALSE),"")</f>
        <v/>
      </c>
      <c r="L41" s="9" t="str">
        <f ca="1">IF(IntComp24[[#This Row],[RAD/PACT]]="","",IF(OR(IntComp24[[#This Row],[RAD/PACT]]="2022-2025",IntComp24[[#This Row],[RAD/PACT]]=2019,IntComp24[[#This Row],[RAD/PACT]]="2020-2021"),"Yes",""))</f>
        <v/>
      </c>
      <c r="M41" s="1">
        <f ca="1">IF(VLOOKUP(IntComp24[[#This Row],[DEVELOPMENT]],Data[],10,FALSE)=0,-1,DATEDIF(VLOOKUP(IntComp24[[#This Row],[DEVELOPMENT]],Data[],12,FALSE),TODAY(),"Y"))</f>
        <v>15</v>
      </c>
      <c r="N4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1" s="1"/>
      <c r="P41" s="1"/>
      <c r="Q41" s="1"/>
      <c r="R41" s="47">
        <f ca="1">(IntComp24[[#This Row],['# to Replace (MRST)]]*INDEX(UnitCosts[#All],MATCH(IntComp24[[#This Row],[WORK TYPE]],UnitCosts[Work Type],0)+1,2))*(1+((IntComp24[[#This Row],[est. Year]]-YEAR(TODAY()))*$R$2))</f>
        <v>0</v>
      </c>
      <c r="S41" s="1">
        <f ca="1">SUM(INDEX(IntComp24['# to Replace (MRST)],1):IntComp24[[#This Row],['# to Replace (MRST)]])</f>
        <v>5</v>
      </c>
      <c r="T41" s="1"/>
      <c r="U41" s="1">
        <f ca="1">IF(ISBLANK(IntComp24[[#This Row],[CALENDAR YEAR]]),ROUNDDOWN(IntComp24[[#This Row],[Count]]/50,0)+$U$1,IntComp24[[#This Row],[CALENDAR YEAR]])</f>
        <v>2022</v>
      </c>
      <c r="V41" s="64">
        <f t="shared" ca="1" si="1"/>
        <v>0</v>
      </c>
      <c r="X41"/>
    </row>
    <row r="42" spans="1:24" hidden="1">
      <c r="A42" s="66" t="s">
        <v>57</v>
      </c>
      <c r="B42" s="1" t="str">
        <f>VLOOKUP(A42,Data[],2,FALSE)</f>
        <v>MANHATTAN</v>
      </c>
      <c r="C42" s="9" t="s">
        <v>106</v>
      </c>
      <c r="D42" s="9" t="str">
        <f>VLOOKUP(IntComp24[[#This Row],[DEVELOPMENT]],Data[],52,FALSE)</f>
        <v>FEDERAL</v>
      </c>
      <c r="E42" s="9" t="str">
        <f>VLOOKUP(IntComp24[[#This Row],[DEVELOPMENT]],Data[],8,FALSE)</f>
        <v>Zone 1</v>
      </c>
      <c r="F42" s="9">
        <f>VLOOKUP(IntComp24[[#This Row],[DEVELOPMENT]],all[[DEVELOPMENT]:[MRST Ext. Comp. Priority]],13,FALSE)</f>
        <v>2</v>
      </c>
      <c r="G42" s="9">
        <f>IF(VLOOKUP(IntComp24[[#This Row],[DEVELOPMENT]],Data[],9,FALSE)=0,5,VLOOKUP(IntComp24[[#This Row],[DEVELOPMENT]],Data[],9,FALSE))</f>
        <v>3</v>
      </c>
      <c r="H42" s="9">
        <f>VLOOKUP(IntComp24[[#This Row],[DEVELOPMENT]],Data[],7,FALSE)</f>
        <v>107</v>
      </c>
      <c r="I42" s="9">
        <f>VLOOKUP(IntComp24[[#This Row],[DEVELOPMENT]],Data[],5,FALSE)</f>
        <v>1</v>
      </c>
      <c r="J42" s="9"/>
      <c r="K42" s="9" t="str">
        <f ca="1">IFERROR(VLOOKUP(IntComp24[[#This Row],[DEVELOPMENT]],Data[],4,FALSE),"")</f>
        <v/>
      </c>
      <c r="L42" s="9" t="str">
        <f ca="1">IF(IntComp24[[#This Row],[RAD/PACT]]="","",IF(OR(IntComp24[[#This Row],[RAD/PACT]]="2022-2025",IntComp24[[#This Row],[RAD/PACT]]=2019,IntComp24[[#This Row],[RAD/PACT]]="2020-2021"),"Yes",""))</f>
        <v/>
      </c>
      <c r="M42" s="1">
        <f ca="1">IF(VLOOKUP(IntComp24[[#This Row],[DEVELOPMENT]],Data[],10,FALSE)=0,-1,DATEDIF(VLOOKUP(IntComp24[[#This Row],[DEVELOPMENT]],Data[],12,FALSE),TODAY(),"Y"))</f>
        <v>20</v>
      </c>
      <c r="N42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2" s="1"/>
      <c r="P42" s="1"/>
      <c r="Q42" s="1"/>
      <c r="R42" s="47">
        <f ca="1">(IntComp24[[#This Row],['# to Replace (MRST)]]*INDEX(UnitCosts[#All],MATCH(IntComp24[[#This Row],[WORK TYPE]],UnitCosts[Work Type],0)+1,2))*(1+((IntComp24[[#This Row],[est. Year]]-YEAR(TODAY()))*$R$2))</f>
        <v>0</v>
      </c>
      <c r="S42" s="1">
        <f ca="1">SUM(INDEX(IntComp24['# to Replace (MRST)],1):IntComp24[[#This Row],['# to Replace (MRST)]])</f>
        <v>5</v>
      </c>
      <c r="T42" s="1"/>
      <c r="U42" s="1">
        <f ca="1">IF(ISBLANK(IntComp24[[#This Row],[CALENDAR YEAR]]),ROUNDDOWN(IntComp24[[#This Row],[Count]]/50,0)+$U$1,IntComp24[[#This Row],[CALENDAR YEAR]])</f>
        <v>2022</v>
      </c>
      <c r="V42" s="64">
        <f t="shared" ca="1" si="1"/>
        <v>0</v>
      </c>
      <c r="X42"/>
    </row>
    <row r="43" spans="1:24" hidden="1">
      <c r="A43" s="13" t="s">
        <v>36</v>
      </c>
      <c r="B43" s="1" t="str">
        <f>VLOOKUP(A43,Data[],2,FALSE)</f>
        <v>MANHATTAN</v>
      </c>
      <c r="C43" s="9" t="s">
        <v>106</v>
      </c>
      <c r="D43" s="9" t="str">
        <f>VLOOKUP(IntComp24[[#This Row],[DEVELOPMENT]],Data[],52,FALSE)</f>
        <v>FEDERAL</v>
      </c>
      <c r="E43" s="9" t="str">
        <f>VLOOKUP(IntComp24[[#This Row],[DEVELOPMENT]],Data[],8,FALSE)</f>
        <v>Zone 1</v>
      </c>
      <c r="F43" s="9">
        <f>VLOOKUP(IntComp24[[#This Row],[DEVELOPMENT]],all[[DEVELOPMENT]:[MRST Ext. Comp. Priority]],13,FALSE)</f>
        <v>2</v>
      </c>
      <c r="G43" s="9">
        <f>IF(VLOOKUP(IntComp24[[#This Row],[DEVELOPMENT]],Data[],9,FALSE)=0,5,VLOOKUP(IntComp24[[#This Row],[DEVELOPMENT]],Data[],9,FALSE))</f>
        <v>3</v>
      </c>
      <c r="H43" s="9">
        <f>VLOOKUP(IntComp24[[#This Row],[DEVELOPMENT]],Data[],7,FALSE)</f>
        <v>1091</v>
      </c>
      <c r="I43" s="9">
        <f>VLOOKUP(IntComp24[[#This Row],[DEVELOPMENT]],Data[],5,FALSE)</f>
        <v>9</v>
      </c>
      <c r="J43" s="9"/>
      <c r="K43" s="9" t="str">
        <f ca="1">IFERROR(VLOOKUP(IntComp24[[#This Row],[DEVELOPMENT]],Data[],4,FALSE),"")</f>
        <v/>
      </c>
      <c r="L43" s="9" t="str">
        <f ca="1">IF(IntComp24[[#This Row],[RAD/PACT]]="","",IF(OR(IntComp24[[#This Row],[RAD/PACT]]="2022-2025",IntComp24[[#This Row],[RAD/PACT]]=2019,IntComp24[[#This Row],[RAD/PACT]]="2020-2021"),"Yes",""))</f>
        <v/>
      </c>
      <c r="M43" s="1">
        <f ca="1">IF(VLOOKUP(IntComp24[[#This Row],[DEVELOPMENT]],Data[],10,FALSE)=0,-1,DATEDIF(VLOOKUP(IntComp24[[#This Row],[DEVELOPMENT]],Data[],12,FALSE),TODAY(),"Y"))</f>
        <v>13</v>
      </c>
      <c r="N43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3" s="51"/>
      <c r="P43" s="1"/>
      <c r="Q43" s="1"/>
      <c r="R43" s="47">
        <f ca="1">(IntComp24[[#This Row],['# to Replace (MRST)]]*INDEX(UnitCosts[#All],MATCH(IntComp24[[#This Row],[WORK TYPE]],UnitCosts[Work Type],0)+1,2))*(1+((IntComp24[[#This Row],[est. Year]]-YEAR(TODAY()))*$R$2))</f>
        <v>0</v>
      </c>
      <c r="S43" s="1">
        <f ca="1">SUM(INDEX(IntComp24['# to Replace (MRST)],1):IntComp24[[#This Row],['# to Replace (MRST)]])</f>
        <v>5</v>
      </c>
      <c r="T43" s="1"/>
      <c r="U43" s="1">
        <f ca="1">IF(ISBLANK(IntComp24[[#This Row],[CALENDAR YEAR]]),ROUNDDOWN(IntComp24[[#This Row],[Count]]/50,0)+$U$1,IntComp24[[#This Row],[CALENDAR YEAR]])</f>
        <v>2022</v>
      </c>
      <c r="V43" s="64">
        <f t="shared" ca="1" si="1"/>
        <v>0</v>
      </c>
      <c r="X43"/>
    </row>
    <row r="44" spans="1:24" hidden="1">
      <c r="A44" s="13" t="s">
        <v>132</v>
      </c>
      <c r="B44" s="1" t="str">
        <f>VLOOKUP(A44,Data[],2,FALSE)</f>
        <v>BRONX</v>
      </c>
      <c r="C44" s="9" t="s">
        <v>106</v>
      </c>
      <c r="D44" s="9" t="str">
        <f>VLOOKUP(IntComp24[[#This Row],[DEVELOPMENT]],Data[],52,FALSE)</f>
        <v>FEDERAL</v>
      </c>
      <c r="E44" s="9" t="str">
        <f>VLOOKUP(IntComp24[[#This Row],[DEVELOPMENT]],Data[],8,FALSE)</f>
        <v>Zone 3</v>
      </c>
      <c r="F44" s="9">
        <f>VLOOKUP(IntComp24[[#This Row],[DEVELOPMENT]],all[[DEVELOPMENT]:[MRST Ext. Comp. Priority]],13,FALSE)</f>
        <v>2</v>
      </c>
      <c r="G44" s="9">
        <f>IF(VLOOKUP(IntComp24[[#This Row],[DEVELOPMENT]],Data[],9,FALSE)=0,5,VLOOKUP(IntComp24[[#This Row],[DEVELOPMENT]],Data[],9,FALSE))</f>
        <v>3</v>
      </c>
      <c r="H44" s="9">
        <f>VLOOKUP(IntComp24[[#This Row],[DEVELOPMENT]],Data[],7,FALSE)</f>
        <v>1789</v>
      </c>
      <c r="I44" s="9">
        <f>VLOOKUP(IntComp24[[#This Row],[DEVELOPMENT]],Data[],5,FALSE)</f>
        <v>15</v>
      </c>
      <c r="J44" s="9"/>
      <c r="K44" s="9" t="str">
        <f ca="1">IFERROR(VLOOKUP(IntComp24[[#This Row],[DEVELOPMENT]],Data[],4,FALSE),"")</f>
        <v>2022-2025</v>
      </c>
      <c r="L44" s="9" t="str">
        <f ca="1">IF(IntComp24[[#This Row],[RAD/PACT]]="","",IF(OR(IntComp24[[#This Row],[RAD/PACT]]="2022-2025",IntComp24[[#This Row],[RAD/PACT]]=2019,IntComp24[[#This Row],[RAD/PACT]]="2020-2021"),"Yes",""))</f>
        <v>Yes</v>
      </c>
      <c r="M44" s="1">
        <f ca="1">IF(VLOOKUP(IntComp24[[#This Row],[DEVELOPMENT]],Data[],10,FALSE)=0,-1,DATEDIF(VLOOKUP(IntComp24[[#This Row],[DEVELOPMENT]],Data[],12,FALSE),TODAY(),"Y"))</f>
        <v>4</v>
      </c>
      <c r="N4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4" s="1"/>
      <c r="P44" s="1"/>
      <c r="Q44" s="1"/>
      <c r="R44" s="47">
        <f ca="1">(IntComp24[[#This Row],['# to Replace (MRST)]]*INDEX(UnitCosts[#All],MATCH(IntComp24[[#This Row],[WORK TYPE]],UnitCosts[Work Type],0)+1,2))*(1+((IntComp24[[#This Row],[est. Year]]-YEAR(TODAY()))*$R$2))</f>
        <v>0</v>
      </c>
      <c r="S44" s="1">
        <f ca="1">SUM(INDEX(IntComp24['# to Replace (MRST)],1):IntComp24[[#This Row],['# to Replace (MRST)]])</f>
        <v>5</v>
      </c>
      <c r="T44" s="1"/>
      <c r="U44" s="1">
        <f ca="1">IF(ISBLANK(IntComp24[[#This Row],[CALENDAR YEAR]]),ROUNDDOWN(IntComp24[[#This Row],[Count]]/50,0)+$U$1,IntComp24[[#This Row],[CALENDAR YEAR]])</f>
        <v>2022</v>
      </c>
      <c r="V44" s="64">
        <f t="shared" ca="1" si="1"/>
        <v>0</v>
      </c>
      <c r="X44"/>
    </row>
    <row r="45" spans="1:24" hidden="1">
      <c r="A45" s="13" t="s">
        <v>96</v>
      </c>
      <c r="B45" s="1" t="str">
        <f>VLOOKUP(A45,Data[],2,FALSE)</f>
        <v>BRONX</v>
      </c>
      <c r="C45" s="9" t="s">
        <v>106</v>
      </c>
      <c r="D45" s="9" t="str">
        <f>VLOOKUP(IntComp24[[#This Row],[DEVELOPMENT]],Data[],52,FALSE)</f>
        <v>FEDERAL</v>
      </c>
      <c r="E45" s="9" t="str">
        <f>VLOOKUP(IntComp24[[#This Row],[DEVELOPMENT]],Data[],8,FALSE)</f>
        <v>Zone 3</v>
      </c>
      <c r="F45" s="9">
        <f>VLOOKUP(IntComp24[[#This Row],[DEVELOPMENT]],all[[DEVELOPMENT]:[MRST Ext. Comp. Priority]],13,FALSE)</f>
        <v>2</v>
      </c>
      <c r="G45" s="9">
        <f>IF(VLOOKUP(IntComp24[[#This Row],[DEVELOPMENT]],Data[],9,FALSE)=0,5,VLOOKUP(IntComp24[[#This Row],[DEVELOPMENT]],Data[],9,FALSE))</f>
        <v>3</v>
      </c>
      <c r="H45" s="9">
        <f>VLOOKUP(IntComp24[[#This Row],[DEVELOPMENT]],Data[],7,FALSE)</f>
        <v>112</v>
      </c>
      <c r="I45" s="9">
        <f>VLOOKUP(IntComp24[[#This Row],[DEVELOPMENT]],Data[],5,FALSE)</f>
        <v>4</v>
      </c>
      <c r="J45" s="9"/>
      <c r="K45" s="9" t="str">
        <f ca="1">IFERROR(VLOOKUP(IntComp24[[#This Row],[DEVELOPMENT]],Data[],4,FALSE),"")</f>
        <v>2026+</v>
      </c>
      <c r="L45" s="9" t="str">
        <f ca="1">IF(IntComp24[[#This Row],[RAD/PACT]]="","",IF(OR(IntComp24[[#This Row],[RAD/PACT]]="2022-2025",IntComp24[[#This Row],[RAD/PACT]]=2019,IntComp24[[#This Row],[RAD/PACT]]="2020-2021"),"Yes",""))</f>
        <v/>
      </c>
      <c r="M45" s="1">
        <f ca="1">IF(VLOOKUP(IntComp24[[#This Row],[DEVELOPMENT]],Data[],10,FALSE)=0,-1,DATEDIF(VLOOKUP(IntComp24[[#This Row],[DEVELOPMENT]],Data[],12,FALSE),TODAY(),"Y"))</f>
        <v>-1</v>
      </c>
      <c r="N45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5" s="1"/>
      <c r="P45" s="1"/>
      <c r="Q45" s="1"/>
      <c r="R45" s="47">
        <f ca="1">(IntComp24[[#This Row],['# to Replace (MRST)]]*INDEX(UnitCosts[#All],MATCH(IntComp24[[#This Row],[WORK TYPE]],UnitCosts[Work Type],0)+1,2))*(1+((IntComp24[[#This Row],[est. Year]]-YEAR(TODAY()))*$R$2))</f>
        <v>0</v>
      </c>
      <c r="S45" s="1">
        <f ca="1">SUM(INDEX(IntComp24['# to Replace (MRST)],1):IntComp24[[#This Row],['# to Replace (MRST)]])</f>
        <v>5</v>
      </c>
      <c r="T45" s="1"/>
      <c r="U45" s="1">
        <f ca="1">IF(ISBLANK(IntComp24[[#This Row],[CALENDAR YEAR]]),ROUNDDOWN(IntComp24[[#This Row],[Count]]/50,0)+$U$1,IntComp24[[#This Row],[CALENDAR YEAR]])</f>
        <v>2022</v>
      </c>
      <c r="V45" s="64">
        <f t="shared" ca="1" si="1"/>
        <v>0</v>
      </c>
      <c r="X45"/>
    </row>
    <row r="46" spans="1:24" hidden="1">
      <c r="A46" s="13" t="s">
        <v>105</v>
      </c>
      <c r="B46" s="1" t="str">
        <f>VLOOKUP(A46,Data[],2,FALSE)</f>
        <v>BRONX</v>
      </c>
      <c r="C46" s="9" t="s">
        <v>106</v>
      </c>
      <c r="D46" s="9" t="str">
        <f>VLOOKUP(IntComp24[[#This Row],[DEVELOPMENT]],Data[],52,FALSE)</f>
        <v>FEDERAL</v>
      </c>
      <c r="E46" s="9" t="str">
        <f>VLOOKUP(IntComp24[[#This Row],[DEVELOPMENT]],Data[],8,FALSE)</f>
        <v>Zone 3</v>
      </c>
      <c r="F46" s="9">
        <f>VLOOKUP(IntComp24[[#This Row],[DEVELOPMENT]],all[[DEVELOPMENT]:[MRST Ext. Comp. Priority]],13,FALSE)</f>
        <v>2</v>
      </c>
      <c r="G46" s="9">
        <f>IF(VLOOKUP(IntComp24[[#This Row],[DEVELOPMENT]],Data[],9,FALSE)=0,5,VLOOKUP(IntComp24[[#This Row],[DEVELOPMENT]],Data[],9,FALSE))</f>
        <v>4</v>
      </c>
      <c r="H46" s="9">
        <f>VLOOKUP(IntComp24[[#This Row],[DEVELOPMENT]],Data[],7,FALSE)</f>
        <v>175</v>
      </c>
      <c r="I46" s="9">
        <f>VLOOKUP(IntComp24[[#This Row],[DEVELOPMENT]],Data[],5,FALSE)</f>
        <v>1</v>
      </c>
      <c r="J46" s="9"/>
      <c r="K46" s="9" t="str">
        <f ca="1">IFERROR(VLOOKUP(IntComp24[[#This Row],[DEVELOPMENT]],Data[],4,FALSE),"")</f>
        <v>2026+</v>
      </c>
      <c r="L46" s="9" t="str">
        <f ca="1">IF(IntComp24[[#This Row],[RAD/PACT]]="","",IF(OR(IntComp24[[#This Row],[RAD/PACT]]="2022-2025",IntComp24[[#This Row],[RAD/PACT]]=2019,IntComp24[[#This Row],[RAD/PACT]]="2020-2021"),"Yes",""))</f>
        <v/>
      </c>
      <c r="M46" s="1">
        <f ca="1">IF(VLOOKUP(IntComp24[[#This Row],[DEVELOPMENT]],Data[],10,FALSE)=0,-1,DATEDIF(VLOOKUP(IntComp24[[#This Row],[DEVELOPMENT]],Data[],12,FALSE),TODAY(),"Y"))</f>
        <v>30</v>
      </c>
      <c r="N46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6" s="1"/>
      <c r="P46" s="1"/>
      <c r="Q46" s="1"/>
      <c r="R46" s="47">
        <f ca="1">(IntComp24[[#This Row],['# to Replace (MRST)]]*INDEX(UnitCosts[#All],MATCH(IntComp24[[#This Row],[WORK TYPE]],UnitCosts[Work Type],0)+1,2))*(1+((IntComp24[[#This Row],[est. Year]]-YEAR(TODAY()))*$R$2))</f>
        <v>0</v>
      </c>
      <c r="S46" s="1">
        <f ca="1">SUM(INDEX(IntComp24['# to Replace (MRST)],1):IntComp24[[#This Row],['# to Replace (MRST)]])</f>
        <v>5</v>
      </c>
      <c r="T46" s="1"/>
      <c r="U46" s="1">
        <f ca="1">IF(ISBLANK(IntComp24[[#This Row],[CALENDAR YEAR]]),ROUNDDOWN(IntComp24[[#This Row],[Count]]/50,0)+$U$1,IntComp24[[#This Row],[CALENDAR YEAR]])</f>
        <v>2022</v>
      </c>
      <c r="V46" s="64">
        <f t="shared" ca="1" si="1"/>
        <v>0</v>
      </c>
      <c r="X46"/>
    </row>
    <row r="47" spans="1:24" hidden="1">
      <c r="A47" s="13" t="s">
        <v>69</v>
      </c>
      <c r="B47" s="1" t="str">
        <f>VLOOKUP(A47,Data[],2,FALSE)</f>
        <v>MANHATTAN</v>
      </c>
      <c r="C47" s="9" t="s">
        <v>106</v>
      </c>
      <c r="D47" s="9" t="str">
        <f>VLOOKUP(IntComp24[[#This Row],[DEVELOPMENT]],Data[],52,FALSE)</f>
        <v>FEDERAL</v>
      </c>
      <c r="E47" s="9" t="str">
        <f>VLOOKUP(IntComp24[[#This Row],[DEVELOPMENT]],Data[],8,FALSE)</f>
        <v>Zone 3</v>
      </c>
      <c r="F47" s="9">
        <f>VLOOKUP(IntComp24[[#This Row],[DEVELOPMENT]],all[[DEVELOPMENT]:[MRST Ext. Comp. Priority]],13,FALSE)</f>
        <v>2</v>
      </c>
      <c r="G47" s="9">
        <f>IF(VLOOKUP(IntComp24[[#This Row],[DEVELOPMENT]],Data[],9,FALSE)=0,5,VLOOKUP(IntComp24[[#This Row],[DEVELOPMENT]],Data[],9,FALSE))</f>
        <v>4</v>
      </c>
      <c r="H47" s="9">
        <f>VLOOKUP(IntComp24[[#This Row],[DEVELOPMENT]],Data[],7,FALSE)</f>
        <v>66</v>
      </c>
      <c r="I47" s="9">
        <f>VLOOKUP(IntComp24[[#This Row],[DEVELOPMENT]],Data[],5,FALSE)</f>
        <v>1</v>
      </c>
      <c r="J47" s="9"/>
      <c r="K47" s="9" t="str">
        <f ca="1">IFERROR(VLOOKUP(IntComp24[[#This Row],[DEVELOPMENT]],Data[],4,FALSE),"")</f>
        <v>2020-2021</v>
      </c>
      <c r="L47" s="9" t="str">
        <f ca="1">IF(IntComp24[[#This Row],[RAD/PACT]]="","",IF(OR(IntComp24[[#This Row],[RAD/PACT]]="2022-2025",IntComp24[[#This Row],[RAD/PACT]]=2019,IntComp24[[#This Row],[RAD/PACT]]="2020-2021"),"Yes",""))</f>
        <v>Yes</v>
      </c>
      <c r="M47" s="1">
        <f ca="1">IF(VLOOKUP(IntComp24[[#This Row],[DEVELOPMENT]],Data[],10,FALSE)=0,-1,DATEDIF(VLOOKUP(IntComp24[[#This Row],[DEVELOPMENT]],Data[],12,FALSE),TODAY(),"Y"))</f>
        <v>24</v>
      </c>
      <c r="N47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7" s="1"/>
      <c r="P47" s="1"/>
      <c r="Q47" s="1"/>
      <c r="R47" s="47">
        <f ca="1">(IntComp24[[#This Row],['# to Replace (MRST)]]*INDEX(UnitCosts[#All],MATCH(IntComp24[[#This Row],[WORK TYPE]],UnitCosts[Work Type],0)+1,2))*(1+((IntComp24[[#This Row],[est. Year]]-YEAR(TODAY()))*$R$2))</f>
        <v>0</v>
      </c>
      <c r="S47" s="1">
        <f ca="1">SUM(INDEX(IntComp24['# to Replace (MRST)],1):IntComp24[[#This Row],['# to Replace (MRST)]])</f>
        <v>5</v>
      </c>
      <c r="T47" s="1"/>
      <c r="U47" s="1">
        <f ca="1">IF(ISBLANK(IntComp24[[#This Row],[CALENDAR YEAR]]),ROUNDDOWN(IntComp24[[#This Row],[Count]]/50,0)+$U$1,IntComp24[[#This Row],[CALENDAR YEAR]])</f>
        <v>2022</v>
      </c>
      <c r="V47" s="64">
        <f t="shared" ca="1" si="1"/>
        <v>0</v>
      </c>
      <c r="X47"/>
    </row>
    <row r="48" spans="1:24" hidden="1">
      <c r="A48" s="13" t="s">
        <v>115</v>
      </c>
      <c r="B48" s="1" t="str">
        <f>VLOOKUP(A48,Data[],2,FALSE)</f>
        <v>MANHATTAN</v>
      </c>
      <c r="C48" s="9" t="s">
        <v>106</v>
      </c>
      <c r="D48" s="9" t="str">
        <f>VLOOKUP(IntComp24[[#This Row],[DEVELOPMENT]],Data[],52,FALSE)</f>
        <v>FEDERAL</v>
      </c>
      <c r="E48" s="9" t="str">
        <f>VLOOKUP(IntComp24[[#This Row],[DEVELOPMENT]],Data[],8,FALSE)</f>
        <v>Zone 2</v>
      </c>
      <c r="F48" s="9">
        <f>VLOOKUP(IntComp24[[#This Row],[DEVELOPMENT]],all[[DEVELOPMENT]:[MRST Ext. Comp. Priority]],13,FALSE)</f>
        <v>2</v>
      </c>
      <c r="G48" s="9">
        <f>IF(VLOOKUP(IntComp24[[#This Row],[DEVELOPMENT]],Data[],9,FALSE)=0,5,VLOOKUP(IntComp24[[#This Row],[DEVELOPMENT]],Data[],9,FALSE))</f>
        <v>4</v>
      </c>
      <c r="H48" s="9">
        <f>VLOOKUP(IntComp24[[#This Row],[DEVELOPMENT]],Data[],7,FALSE)</f>
        <v>982</v>
      </c>
      <c r="I48" s="9">
        <f>VLOOKUP(IntComp24[[#This Row],[DEVELOPMENT]],Data[],5,FALSE)</f>
        <v>8</v>
      </c>
      <c r="J48" s="9"/>
      <c r="K48" s="9" t="str">
        <f ca="1">IFERROR(VLOOKUP(IntComp24[[#This Row],[DEVELOPMENT]],Data[],4,FALSE),"")</f>
        <v/>
      </c>
      <c r="L48" s="9" t="str">
        <f ca="1">IF(IntComp24[[#This Row],[RAD/PACT]]="","",IF(OR(IntComp24[[#This Row],[RAD/PACT]]="2022-2025",IntComp24[[#This Row],[RAD/PACT]]=2019,IntComp24[[#This Row],[RAD/PACT]]="2020-2021"),"Yes",""))</f>
        <v/>
      </c>
      <c r="M48" s="1">
        <f ca="1">IF(VLOOKUP(IntComp24[[#This Row],[DEVELOPMENT]],Data[],10,FALSE)=0,-1,DATEDIF(VLOOKUP(IntComp24[[#This Row],[DEVELOPMENT]],Data[],12,FALSE),TODAY(),"Y"))</f>
        <v>23</v>
      </c>
      <c r="N48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8" s="1"/>
      <c r="P48" s="1"/>
      <c r="Q48" s="1"/>
      <c r="R48" s="47">
        <f ca="1">(IntComp24[[#This Row],['# to Replace (MRST)]]*INDEX(UnitCosts[#All],MATCH(IntComp24[[#This Row],[WORK TYPE]],UnitCosts[Work Type],0)+1,2))*(1+((IntComp24[[#This Row],[est. Year]]-YEAR(TODAY()))*$R$2))</f>
        <v>0</v>
      </c>
      <c r="S48" s="1">
        <f ca="1">SUM(INDEX(IntComp24['# to Replace (MRST)],1):IntComp24[[#This Row],['# to Replace (MRST)]])</f>
        <v>5</v>
      </c>
      <c r="T48" s="1"/>
      <c r="U48" s="1">
        <f ca="1">IF(ISBLANK(IntComp24[[#This Row],[CALENDAR YEAR]]),ROUNDDOWN(IntComp24[[#This Row],[Count]]/50,0)+$U$1,IntComp24[[#This Row],[CALENDAR YEAR]])</f>
        <v>2022</v>
      </c>
      <c r="V48" s="64">
        <f t="shared" ca="1" si="1"/>
        <v>0</v>
      </c>
      <c r="X48"/>
    </row>
    <row r="49" spans="1:24" hidden="1">
      <c r="A49" s="65" t="s">
        <v>34</v>
      </c>
      <c r="B49" s="1" t="str">
        <f>VLOOKUP(A49,Data[],2,FALSE)</f>
        <v>BRONX</v>
      </c>
      <c r="C49" s="9" t="s">
        <v>106</v>
      </c>
      <c r="D49" s="9" t="str">
        <f>VLOOKUP(IntComp24[[#This Row],[DEVELOPMENT]],Data[],52,FALSE)</f>
        <v>FEDERAL</v>
      </c>
      <c r="E49" s="9" t="str">
        <f>VLOOKUP(IntComp24[[#This Row],[DEVELOPMENT]],Data[],8,FALSE)</f>
        <v>Zone 1</v>
      </c>
      <c r="F49" s="9">
        <f>VLOOKUP(IntComp24[[#This Row],[DEVELOPMENT]],all[[DEVELOPMENT]:[MRST Ext. Comp. Priority]],13,FALSE)</f>
        <v>2</v>
      </c>
      <c r="G49" s="9">
        <f>IF(VLOOKUP(IntComp24[[#This Row],[DEVELOPMENT]],Data[],9,FALSE)=0,5,VLOOKUP(IntComp24[[#This Row],[DEVELOPMENT]],Data[],9,FALSE))</f>
        <v>4</v>
      </c>
      <c r="H49" s="9">
        <f>VLOOKUP(IntComp24[[#This Row],[DEVELOPMENT]],Data[],7,FALSE)</f>
        <v>147</v>
      </c>
      <c r="I49" s="9">
        <f>VLOOKUP(IntComp24[[#This Row],[DEVELOPMENT]],Data[],5,FALSE)</f>
        <v>9</v>
      </c>
      <c r="J49" s="9"/>
      <c r="K49" s="9" t="str">
        <f ca="1">IFERROR(VLOOKUP(IntComp24[[#This Row],[DEVELOPMENT]],Data[],4,FALSE),"")</f>
        <v>2022-2025</v>
      </c>
      <c r="L49" s="9" t="str">
        <f ca="1">IF(IntComp24[[#This Row],[RAD/PACT]]="","",IF(OR(IntComp24[[#This Row],[RAD/PACT]]="2022-2025",IntComp24[[#This Row],[RAD/PACT]]=2019,IntComp24[[#This Row],[RAD/PACT]]="2020-2021"),"Yes",""))</f>
        <v>Yes</v>
      </c>
      <c r="M49" s="1">
        <f ca="1">IF(VLOOKUP(IntComp24[[#This Row],[DEVELOPMENT]],Data[],10,FALSE)=0,-1,DATEDIF(VLOOKUP(IntComp24[[#This Row],[DEVELOPMENT]],Data[],12,FALSE),TODAY(),"Y"))</f>
        <v>24</v>
      </c>
      <c r="N4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49" s="1"/>
      <c r="P49" s="1"/>
      <c r="Q49" s="1"/>
      <c r="R49" s="47">
        <f ca="1">(IntComp24[[#This Row],['# to Replace (MRST)]]*INDEX(UnitCosts[#All],MATCH(IntComp24[[#This Row],[WORK TYPE]],UnitCosts[Work Type],0)+1,2))*(1+((IntComp24[[#This Row],[est. Year]]-YEAR(TODAY()))*$R$2))</f>
        <v>0</v>
      </c>
      <c r="S49" s="1">
        <f ca="1">SUM(INDEX(IntComp24['# to Replace (MRST)],1):IntComp24[[#This Row],['# to Replace (MRST)]])</f>
        <v>5</v>
      </c>
      <c r="T49" s="1"/>
      <c r="U49" s="1">
        <f ca="1">IF(ISBLANK(IntComp24[[#This Row],[CALENDAR YEAR]]),ROUNDDOWN(IntComp24[[#This Row],[Count]]/50,0)+$U$1,IntComp24[[#This Row],[CALENDAR YEAR]])</f>
        <v>2022</v>
      </c>
      <c r="V49" s="64">
        <f t="shared" ca="1" si="1"/>
        <v>0</v>
      </c>
      <c r="X49"/>
    </row>
    <row r="50" spans="1:24" hidden="1">
      <c r="A50" s="65" t="s">
        <v>144</v>
      </c>
      <c r="B50" s="1" t="str">
        <f>VLOOKUP(A50,Data[],2,FALSE)</f>
        <v>BRONX</v>
      </c>
      <c r="C50" s="9" t="s">
        <v>106</v>
      </c>
      <c r="D50" s="9" t="str">
        <f>VLOOKUP(IntComp24[[#This Row],[DEVELOPMENT]],Data[],52,FALSE)</f>
        <v>FEDERAL</v>
      </c>
      <c r="E50" s="9" t="str">
        <f>VLOOKUP(IntComp24[[#This Row],[DEVELOPMENT]],Data[],8,FALSE)</f>
        <v>Zone 1</v>
      </c>
      <c r="F50" s="9">
        <f>VLOOKUP(IntComp24[[#This Row],[DEVELOPMENT]],all[[DEVELOPMENT]:[MRST Ext. Comp. Priority]],13,FALSE)</f>
        <v>2</v>
      </c>
      <c r="G50" s="9">
        <f>IF(VLOOKUP(IntComp24[[#This Row],[DEVELOPMENT]],Data[],9,FALSE)=0,5,VLOOKUP(IntComp24[[#This Row],[DEVELOPMENT]],Data[],9,FALSE))</f>
        <v>4</v>
      </c>
      <c r="H50" s="9">
        <f>VLOOKUP(IntComp24[[#This Row],[DEVELOPMENT]],Data[],7,FALSE)</f>
        <v>129</v>
      </c>
      <c r="I50" s="9">
        <f>VLOOKUP(IntComp24[[#This Row],[DEVELOPMENT]],Data[],5,FALSE)</f>
        <v>3</v>
      </c>
      <c r="J50" s="9"/>
      <c r="K50" s="9" t="str">
        <f ca="1">IFERROR(VLOOKUP(IntComp24[[#This Row],[DEVELOPMENT]],Data[],4,FALSE),"")</f>
        <v>2022-2025</v>
      </c>
      <c r="L50" s="9" t="str">
        <f ca="1">IF(IntComp24[[#This Row],[RAD/PACT]]="","",IF(OR(IntComp24[[#This Row],[RAD/PACT]]="2022-2025",IntComp24[[#This Row],[RAD/PACT]]=2019,IntComp24[[#This Row],[RAD/PACT]]="2020-2021"),"Yes",""))</f>
        <v>Yes</v>
      </c>
      <c r="M50" s="1">
        <f ca="1">IF(VLOOKUP(IntComp24[[#This Row],[DEVELOPMENT]],Data[],10,FALSE)=0,-1,DATEDIF(VLOOKUP(IntComp24[[#This Row],[DEVELOPMENT]],Data[],12,FALSE),TODAY(),"Y"))</f>
        <v>24</v>
      </c>
      <c r="N5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0" s="1"/>
      <c r="P50" s="1"/>
      <c r="Q50" s="1"/>
      <c r="R50" s="47">
        <f ca="1">(IntComp24[[#This Row],['# to Replace (MRST)]]*INDEX(UnitCosts[#All],MATCH(IntComp24[[#This Row],[WORK TYPE]],UnitCosts[Work Type],0)+1,2))*(1+((IntComp24[[#This Row],[est. Year]]-YEAR(TODAY()))*$R$2))</f>
        <v>0</v>
      </c>
      <c r="S50" s="1">
        <f ca="1">SUM(INDEX(IntComp24['# to Replace (MRST)],1):IntComp24[[#This Row],['# to Replace (MRST)]])</f>
        <v>5</v>
      </c>
      <c r="T50" s="1"/>
      <c r="U50" s="1">
        <f ca="1">IF(ISBLANK(IntComp24[[#This Row],[CALENDAR YEAR]]),ROUNDDOWN(IntComp24[[#This Row],[Count]]/50,0)+$U$1,IntComp24[[#This Row],[CALENDAR YEAR]])</f>
        <v>2022</v>
      </c>
      <c r="V50" s="64">
        <f t="shared" ca="1" si="1"/>
        <v>0</v>
      </c>
      <c r="X50"/>
    </row>
    <row r="51" spans="1:24" hidden="1">
      <c r="A51" s="65" t="s">
        <v>42</v>
      </c>
      <c r="B51" s="1" t="str">
        <f>VLOOKUP(A51,Data[],2,FALSE)</f>
        <v>BROOKLYN</v>
      </c>
      <c r="C51" s="9" t="s">
        <v>106</v>
      </c>
      <c r="D51" s="9" t="str">
        <f>VLOOKUP(IntComp24[[#This Row],[DEVELOPMENT]],Data[],52,FALSE)</f>
        <v>FEDERAL</v>
      </c>
      <c r="E51" s="9" t="str">
        <f>VLOOKUP(IntComp24[[#This Row],[DEVELOPMENT]],Data[],8,FALSE)</f>
        <v>Zone 1</v>
      </c>
      <c r="F51" s="9">
        <f>VLOOKUP(IntComp24[[#This Row],[DEVELOPMENT]],all[[DEVELOPMENT]:[MRST Ext. Comp. Priority]],13,FALSE)</f>
        <v>2</v>
      </c>
      <c r="G51" s="9">
        <f>IF(VLOOKUP(IntComp24[[#This Row],[DEVELOPMENT]],Data[],9,FALSE)=0,5,VLOOKUP(IntComp24[[#This Row],[DEVELOPMENT]],Data[],9,FALSE))</f>
        <v>4</v>
      </c>
      <c r="H51" s="9">
        <f>VLOOKUP(IntComp24[[#This Row],[DEVELOPMENT]],Data[],7,FALSE)</f>
        <v>761</v>
      </c>
      <c r="I51" s="9">
        <f>VLOOKUP(IntComp24[[#This Row],[DEVELOPMENT]],Data[],5,FALSE)</f>
        <v>6</v>
      </c>
      <c r="J51" s="9"/>
      <c r="K51" s="9" t="str">
        <f ca="1">IFERROR(VLOOKUP(IntComp24[[#This Row],[DEVELOPMENT]],Data[],4,FALSE),"")</f>
        <v/>
      </c>
      <c r="L51" s="9" t="str">
        <f ca="1">IF(IntComp24[[#This Row],[RAD/PACT]]="","",IF(OR(IntComp24[[#This Row],[RAD/PACT]]="2022-2025",IntComp24[[#This Row],[RAD/PACT]]=2019,IntComp24[[#This Row],[RAD/PACT]]="2020-2021"),"Yes",""))</f>
        <v/>
      </c>
      <c r="M51" s="1">
        <f ca="1">IF(VLOOKUP(IntComp24[[#This Row],[DEVELOPMENT]],Data[],10,FALSE)=0,-1,DATEDIF(VLOOKUP(IntComp24[[#This Row],[DEVELOPMENT]],Data[],12,FALSE),TODAY(),"Y"))</f>
        <v>21</v>
      </c>
      <c r="N5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1" s="1"/>
      <c r="P51" s="1"/>
      <c r="Q51" s="1"/>
      <c r="R51" s="47">
        <f ca="1">(IntComp24[[#This Row],['# to Replace (MRST)]]*INDEX(UnitCosts[#All],MATCH(IntComp24[[#This Row],[WORK TYPE]],UnitCosts[Work Type],0)+1,2))*(1+((IntComp24[[#This Row],[est. Year]]-YEAR(TODAY()))*$R$2))</f>
        <v>0</v>
      </c>
      <c r="S51" s="1">
        <f ca="1">SUM(INDEX(IntComp24['# to Replace (MRST)],1):IntComp24[[#This Row],['# to Replace (MRST)]])</f>
        <v>5</v>
      </c>
      <c r="T51" s="1"/>
      <c r="U51" s="1">
        <f ca="1">IF(ISBLANK(IntComp24[[#This Row],[CALENDAR YEAR]]),ROUNDDOWN(IntComp24[[#This Row],[Count]]/50,0)+$U$1,IntComp24[[#This Row],[CALENDAR YEAR]])</f>
        <v>2022</v>
      </c>
      <c r="V51" s="64">
        <f t="shared" ca="1" si="1"/>
        <v>0</v>
      </c>
      <c r="X51"/>
    </row>
    <row r="52" spans="1:24" hidden="1">
      <c r="A52" s="13" t="s">
        <v>298</v>
      </c>
      <c r="B52" s="1" t="str">
        <f>VLOOKUP(A52,Data[],2,FALSE)</f>
        <v>BROOKLYN</v>
      </c>
      <c r="C52" s="9" t="s">
        <v>106</v>
      </c>
      <c r="D52" s="9" t="str">
        <f>VLOOKUP(IntComp24[[#This Row],[DEVELOPMENT]],Data[],52,FALSE)</f>
        <v>FEDERAL</v>
      </c>
      <c r="E52" s="50" t="str">
        <f>VLOOKUP(IntComp24[[#This Row],[DEVELOPMENT]],Data[],8,FALSE)</f>
        <v>Zone 1</v>
      </c>
      <c r="F52" s="50">
        <f>VLOOKUP(IntComp24[[#This Row],[DEVELOPMENT]],all[[DEVELOPMENT]:[MRST Ext. Comp. Priority]],13,FALSE)</f>
        <v>2</v>
      </c>
      <c r="G52" s="9">
        <f>IF(VLOOKUP(IntComp24[[#This Row],[DEVELOPMENT]],Data[],9,FALSE)=0,5,VLOOKUP(IntComp24[[#This Row],[DEVELOPMENT]],Data[],9,FALSE))</f>
        <v>4</v>
      </c>
      <c r="H52" s="50">
        <f>VLOOKUP(IntComp24[[#This Row],[DEVELOPMENT]],Data[],7,FALSE)</f>
        <v>369</v>
      </c>
      <c r="I52" s="50">
        <f>VLOOKUP(IntComp24[[#This Row],[DEVELOPMENT]],Data[],5,FALSE)</f>
        <v>11</v>
      </c>
      <c r="J52" s="9"/>
      <c r="K52" s="50">
        <f ca="1">IFERROR(VLOOKUP(IntComp24[[#This Row],[DEVELOPMENT]],Data[],4,FALSE),"")</f>
        <v>2019</v>
      </c>
      <c r="L52" s="50" t="str">
        <f ca="1">IF(IntComp24[[#This Row],[RAD/PACT]]="","",IF(OR(IntComp24[[#This Row],[RAD/PACT]]="2022-2025",IntComp24[[#This Row],[RAD/PACT]]=2019,IntComp24[[#This Row],[RAD/PACT]]="2020-2021"),"Yes",""))</f>
        <v>Yes</v>
      </c>
      <c r="M52" s="51">
        <f ca="1">IF(VLOOKUP(IntComp24[[#This Row],[DEVELOPMENT]],Data[],10,FALSE)=0,-1,DATEDIF(VLOOKUP(IntComp24[[#This Row],[DEVELOPMENT]],Data[],12,FALSE),TODAY(),"Y"))</f>
        <v>21</v>
      </c>
      <c r="N5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2" s="51"/>
      <c r="P52" s="51"/>
      <c r="Q52" s="51"/>
      <c r="R52" s="47">
        <f ca="1">(IntComp24[[#This Row],['# to Replace (MRST)]]*INDEX(UnitCosts[#All],MATCH(IntComp24[[#This Row],[WORK TYPE]],UnitCosts[Work Type],0)+1,2))*(1+((IntComp24[[#This Row],[est. Year]]-YEAR(TODAY()))*$R$2))</f>
        <v>0</v>
      </c>
      <c r="S52" s="1">
        <f ca="1">SUM(INDEX(IntComp24['# to Replace (MRST)],1):IntComp24[[#This Row],['# to Replace (MRST)]])</f>
        <v>5</v>
      </c>
      <c r="T52" s="51"/>
      <c r="U52" s="51">
        <f ca="1">IF(ISBLANK(IntComp24[[#This Row],[CALENDAR YEAR]]),ROUNDDOWN(IntComp24[[#This Row],[Count]]/50,0)+$U$1,IntComp24[[#This Row],[CALENDAR YEAR]])</f>
        <v>2022</v>
      </c>
      <c r="V52" s="64">
        <f t="shared" ca="1" si="1"/>
        <v>0</v>
      </c>
      <c r="X52"/>
    </row>
    <row r="53" spans="1:24" hidden="1">
      <c r="A53" s="13" t="s">
        <v>75</v>
      </c>
      <c r="B53" s="1" t="str">
        <f>VLOOKUP(A53,Data[],2,FALSE)</f>
        <v>MANHATTAN</v>
      </c>
      <c r="C53" s="9" t="s">
        <v>106</v>
      </c>
      <c r="D53" s="9" t="str">
        <f>VLOOKUP(IntComp24[[#This Row],[DEVELOPMENT]],Data[],52,FALSE)</f>
        <v>FEDERAL</v>
      </c>
      <c r="E53" s="9" t="str">
        <f>VLOOKUP(IntComp24[[#This Row],[DEVELOPMENT]],Data[],8,FALSE)</f>
        <v>Zone 3</v>
      </c>
      <c r="F53" s="9">
        <f>VLOOKUP(IntComp24[[#This Row],[DEVELOPMENT]],all[[DEVELOPMENT]:[MRST Ext. Comp. Priority]],13,FALSE)</f>
        <v>2</v>
      </c>
      <c r="G53" s="9">
        <f>IF(VLOOKUP(IntComp24[[#This Row],[DEVELOPMENT]],Data[],9,FALSE)=0,5,VLOOKUP(IntComp24[[#This Row],[DEVELOPMENT]],Data[],9,FALSE))</f>
        <v>4</v>
      </c>
      <c r="H53" s="9">
        <f>VLOOKUP(IntComp24[[#This Row],[DEVELOPMENT]],Data[],7,FALSE)</f>
        <v>135</v>
      </c>
      <c r="I53" s="9">
        <f>VLOOKUP(IntComp24[[#This Row],[DEVELOPMENT]],Data[],5,FALSE)</f>
        <v>1</v>
      </c>
      <c r="J53" s="9"/>
      <c r="K53" s="9" t="str">
        <f ca="1">IFERROR(VLOOKUP(IntComp24[[#This Row],[DEVELOPMENT]],Data[],4,FALSE),"")</f>
        <v/>
      </c>
      <c r="L53" s="9" t="str">
        <f ca="1">IF(IntComp24[[#This Row],[RAD/PACT]]="","",IF(OR(IntComp24[[#This Row],[RAD/PACT]]="2022-2025",IntComp24[[#This Row],[RAD/PACT]]=2019,IntComp24[[#This Row],[RAD/PACT]]="2020-2021"),"Yes",""))</f>
        <v/>
      </c>
      <c r="M53" s="1">
        <f ca="1">IF(VLOOKUP(IntComp24[[#This Row],[DEVELOPMENT]],Data[],10,FALSE)=0,-1,DATEDIF(VLOOKUP(IntComp24[[#This Row],[DEVELOPMENT]],Data[],12,FALSE),TODAY(),"Y"))</f>
        <v>19</v>
      </c>
      <c r="N53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3" s="1"/>
      <c r="P53" s="1"/>
      <c r="Q53" s="1"/>
      <c r="R53" s="47">
        <f ca="1">(IntComp24[[#This Row],['# to Replace (MRST)]]*INDEX(UnitCosts[#All],MATCH(IntComp24[[#This Row],[WORK TYPE]],UnitCosts[Work Type],0)+1,2))*(1+((IntComp24[[#This Row],[est. Year]]-YEAR(TODAY()))*$R$2))</f>
        <v>0</v>
      </c>
      <c r="S53" s="1">
        <f ca="1">SUM(INDEX(IntComp24['# to Replace (MRST)],1):IntComp24[[#This Row],['# to Replace (MRST)]])</f>
        <v>5</v>
      </c>
      <c r="T53" s="1"/>
      <c r="U53" s="1">
        <f ca="1">IF(ISBLANK(IntComp24[[#This Row],[CALENDAR YEAR]]),ROUNDDOWN(IntComp24[[#This Row],[Count]]/50,0)+$U$1,IntComp24[[#This Row],[CALENDAR YEAR]])</f>
        <v>2022</v>
      </c>
      <c r="V53" s="64">
        <f t="shared" ca="1" si="1"/>
        <v>0</v>
      </c>
      <c r="X53"/>
    </row>
    <row r="54" spans="1:24" hidden="1">
      <c r="A54" s="13" t="s">
        <v>114</v>
      </c>
      <c r="B54" s="1" t="str">
        <f>VLOOKUP(A54,Data[],2,FALSE)</f>
        <v>BRONX</v>
      </c>
      <c r="C54" s="9" t="s">
        <v>106</v>
      </c>
      <c r="D54" s="9" t="str">
        <f>VLOOKUP(IntComp24[[#This Row],[DEVELOPMENT]],Data[],52,FALSE)</f>
        <v>FEDERAL</v>
      </c>
      <c r="E54" s="9" t="str">
        <f>VLOOKUP(IntComp24[[#This Row],[DEVELOPMENT]],Data[],8,FALSE)</f>
        <v>Zone 3</v>
      </c>
      <c r="F54" s="9">
        <f>VLOOKUP(IntComp24[[#This Row],[DEVELOPMENT]],all[[DEVELOPMENT]:[MRST Ext. Comp. Priority]],13,FALSE)</f>
        <v>2</v>
      </c>
      <c r="G54" s="9">
        <f>IF(VLOOKUP(IntComp24[[#This Row],[DEVELOPMENT]],Data[],9,FALSE)=0,5,VLOOKUP(IntComp24[[#This Row],[DEVELOPMENT]],Data[],9,FALSE))</f>
        <v>4</v>
      </c>
      <c r="H54" s="9">
        <f>VLOOKUP(IntComp24[[#This Row],[DEVELOPMENT]],Data[],7,FALSE)</f>
        <v>1100</v>
      </c>
      <c r="I54" s="9">
        <f>VLOOKUP(IntComp24[[#This Row],[DEVELOPMENT]],Data[],5,FALSE)</f>
        <v>12</v>
      </c>
      <c r="J54" s="9"/>
      <c r="K54" s="9" t="str">
        <f ca="1">IFERROR(VLOOKUP(IntComp24[[#This Row],[DEVELOPMENT]],Data[],4,FALSE),"")</f>
        <v>2026+</v>
      </c>
      <c r="L54" s="9" t="str">
        <f ca="1">IF(IntComp24[[#This Row],[RAD/PACT]]="","",IF(OR(IntComp24[[#This Row],[RAD/PACT]]="2022-2025",IntComp24[[#This Row],[RAD/PACT]]=2019,IntComp24[[#This Row],[RAD/PACT]]="2020-2021"),"Yes",""))</f>
        <v/>
      </c>
      <c r="M54" s="1">
        <f ca="1">IF(VLOOKUP(IntComp24[[#This Row],[DEVELOPMENT]],Data[],10,FALSE)=0,-1,DATEDIF(VLOOKUP(IntComp24[[#This Row],[DEVELOPMENT]],Data[],12,FALSE),TODAY(),"Y"))</f>
        <v>20</v>
      </c>
      <c r="N5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4" s="1"/>
      <c r="P54" s="1"/>
      <c r="Q54" s="1"/>
      <c r="R54" s="47">
        <f ca="1">(IntComp24[[#This Row],['# to Replace (MRST)]]*INDEX(UnitCosts[#All],MATCH(IntComp24[[#This Row],[WORK TYPE]],UnitCosts[Work Type],0)+1,2))*(1+((IntComp24[[#This Row],[est. Year]]-YEAR(TODAY()))*$R$2))</f>
        <v>0</v>
      </c>
      <c r="S54" s="1">
        <f ca="1">SUM(INDEX(IntComp24['# to Replace (MRST)],1):IntComp24[[#This Row],['# to Replace (MRST)]])</f>
        <v>5</v>
      </c>
      <c r="T54" s="1"/>
      <c r="U54" s="1">
        <f ca="1">IF(ISBLANK(IntComp24[[#This Row],[CALENDAR YEAR]]),ROUNDDOWN(IntComp24[[#This Row],[Count]]/50,0)+$U$1,IntComp24[[#This Row],[CALENDAR YEAR]])</f>
        <v>2022</v>
      </c>
      <c r="V54" s="64">
        <f t="shared" ca="1" si="1"/>
        <v>0</v>
      </c>
      <c r="X54"/>
    </row>
    <row r="55" spans="1:24" hidden="1">
      <c r="A55" s="13" t="s">
        <v>90</v>
      </c>
      <c r="B55" s="1" t="str">
        <f>VLOOKUP(A55,Data[],2,FALSE)</f>
        <v>MANHATTAN</v>
      </c>
      <c r="C55" s="9" t="s">
        <v>106</v>
      </c>
      <c r="D55" s="9" t="str">
        <f>VLOOKUP(IntComp24[[#This Row],[DEVELOPMENT]],Data[],52,FALSE)</f>
        <v>FEDERAL</v>
      </c>
      <c r="E55" s="9" t="str">
        <f>VLOOKUP(IntComp24[[#This Row],[DEVELOPMENT]],Data[],8,FALSE)</f>
        <v>Zone 2</v>
      </c>
      <c r="F55" s="9">
        <f>VLOOKUP(IntComp24[[#This Row],[DEVELOPMENT]],all[[DEVELOPMENT]:[MRST Ext. Comp. Priority]],13,FALSE)</f>
        <v>2</v>
      </c>
      <c r="G55" s="9">
        <f>IF(VLOOKUP(IntComp24[[#This Row],[DEVELOPMENT]],Data[],9,FALSE)=0,5,VLOOKUP(IntComp24[[#This Row],[DEVELOPMENT]],Data[],9,FALSE))</f>
        <v>4</v>
      </c>
      <c r="H55" s="9">
        <f>VLOOKUP(IntComp24[[#This Row],[DEVELOPMENT]],Data[],7,FALSE)</f>
        <v>271</v>
      </c>
      <c r="I55" s="9">
        <f>VLOOKUP(IntComp24[[#This Row],[DEVELOPMENT]],Data[],5,FALSE)</f>
        <v>3</v>
      </c>
      <c r="J55" s="9"/>
      <c r="K55" s="9" t="str">
        <f ca="1">IFERROR(VLOOKUP(IntComp24[[#This Row],[DEVELOPMENT]],Data[],4,FALSE),"")</f>
        <v>2026+</v>
      </c>
      <c r="L55" s="9" t="str">
        <f ca="1">IF(IntComp24[[#This Row],[RAD/PACT]]="","",IF(OR(IntComp24[[#This Row],[RAD/PACT]]="2022-2025",IntComp24[[#This Row],[RAD/PACT]]=2019,IntComp24[[#This Row],[RAD/PACT]]="2020-2021"),"Yes",""))</f>
        <v/>
      </c>
      <c r="M55" s="1">
        <f ca="1">IF(VLOOKUP(IntComp24[[#This Row],[DEVELOPMENT]],Data[],10,FALSE)=0,-1,DATEDIF(VLOOKUP(IntComp24[[#This Row],[DEVELOPMENT]],Data[],12,FALSE),TODAY(),"Y"))</f>
        <v>20</v>
      </c>
      <c r="N55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5" s="1"/>
      <c r="P55" s="1"/>
      <c r="Q55" s="1"/>
      <c r="R55" s="47">
        <f ca="1">(IntComp24[[#This Row],['# to Replace (MRST)]]*INDEX(UnitCosts[#All],MATCH(IntComp24[[#This Row],[WORK TYPE]],UnitCosts[Work Type],0)+1,2))*(1+((IntComp24[[#This Row],[est. Year]]-YEAR(TODAY()))*$R$2))</f>
        <v>0</v>
      </c>
      <c r="S55" s="1">
        <f ca="1">SUM(INDEX(IntComp24['# to Replace (MRST)],1):IntComp24[[#This Row],['# to Replace (MRST)]])</f>
        <v>5</v>
      </c>
      <c r="T55" s="1"/>
      <c r="U55" s="1">
        <f ca="1">IF(ISBLANK(IntComp24[[#This Row],[CALENDAR YEAR]]),ROUNDDOWN(IntComp24[[#This Row],[Count]]/50,0)+$U$1,IntComp24[[#This Row],[CALENDAR YEAR]])</f>
        <v>2022</v>
      </c>
      <c r="V55" s="64">
        <f t="shared" ca="1" si="1"/>
        <v>0</v>
      </c>
      <c r="X55"/>
    </row>
    <row r="56" spans="1:24" hidden="1">
      <c r="A56" s="13" t="s">
        <v>136</v>
      </c>
      <c r="B56" s="1" t="str">
        <f>VLOOKUP(A56,Data[],2,FALSE)</f>
        <v>MANHATTAN</v>
      </c>
      <c r="C56" s="9" t="s">
        <v>106</v>
      </c>
      <c r="D56" s="9" t="str">
        <f>VLOOKUP(IntComp24[[#This Row],[DEVELOPMENT]],Data[],52,FALSE)</f>
        <v>FEDERAL</v>
      </c>
      <c r="E56" s="9" t="str">
        <f>VLOOKUP(IntComp24[[#This Row],[DEVELOPMENT]],Data[],8,FALSE)</f>
        <v>Zone 2</v>
      </c>
      <c r="F56" s="9">
        <f>VLOOKUP(IntComp24[[#This Row],[DEVELOPMENT]],all[[DEVELOPMENT]:[MRST Ext. Comp. Priority]],13,FALSE)</f>
        <v>2</v>
      </c>
      <c r="G56" s="9">
        <f>IF(VLOOKUP(IntComp24[[#This Row],[DEVELOPMENT]],Data[],9,FALSE)=0,5,VLOOKUP(IntComp24[[#This Row],[DEVELOPMENT]],Data[],9,FALSE))</f>
        <v>4</v>
      </c>
      <c r="H56" s="9">
        <f>VLOOKUP(IntComp24[[#This Row],[DEVELOPMENT]],Data[],7,FALSE)</f>
        <v>1525</v>
      </c>
      <c r="I56" s="9">
        <f>VLOOKUP(IntComp24[[#This Row],[DEVELOPMENT]],Data[],5,FALSE)</f>
        <v>13</v>
      </c>
      <c r="J56" s="9"/>
      <c r="K56" s="9" t="str">
        <f ca="1">IFERROR(VLOOKUP(IntComp24[[#This Row],[DEVELOPMENT]],Data[],4,FALSE),"")</f>
        <v>2026+</v>
      </c>
      <c r="L56" s="9" t="str">
        <f ca="1">IF(IntComp24[[#This Row],[RAD/PACT]]="","",IF(OR(IntComp24[[#This Row],[RAD/PACT]]="2022-2025",IntComp24[[#This Row],[RAD/PACT]]=2019,IntComp24[[#This Row],[RAD/PACT]]="2020-2021"),"Yes",""))</f>
        <v/>
      </c>
      <c r="M56" s="1">
        <f ca="1">IF(VLOOKUP(IntComp24[[#This Row],[DEVELOPMENT]],Data[],10,FALSE)=0,-1,DATEDIF(VLOOKUP(IntComp24[[#This Row],[DEVELOPMENT]],Data[],12,FALSE),TODAY(),"Y"))</f>
        <v>20</v>
      </c>
      <c r="N56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6" s="1"/>
      <c r="P56" s="1"/>
      <c r="Q56" s="1"/>
      <c r="R56" s="47">
        <f ca="1">(IntComp24[[#This Row],['# to Replace (MRST)]]*INDEX(UnitCosts[#All],MATCH(IntComp24[[#This Row],[WORK TYPE]],UnitCosts[Work Type],0)+1,2))*(1+((IntComp24[[#This Row],[est. Year]]-YEAR(TODAY()))*$R$2))</f>
        <v>0</v>
      </c>
      <c r="S56" s="1">
        <f ca="1">SUM(INDEX(IntComp24['# to Replace (MRST)],1):IntComp24[[#This Row],['# to Replace (MRST)]])</f>
        <v>5</v>
      </c>
      <c r="T56" s="1"/>
      <c r="U56" s="1">
        <f ca="1">IF(ISBLANK(IntComp24[[#This Row],[CALENDAR YEAR]]),ROUNDDOWN(IntComp24[[#This Row],[Count]]/50,0)+$U$1,IntComp24[[#This Row],[CALENDAR YEAR]])</f>
        <v>2022</v>
      </c>
      <c r="V56" s="64">
        <f t="shared" ca="1" si="1"/>
        <v>0</v>
      </c>
      <c r="X56"/>
    </row>
    <row r="57" spans="1:24" hidden="1">
      <c r="A57" s="13" t="s">
        <v>108</v>
      </c>
      <c r="B57" s="1" t="str">
        <f>VLOOKUP(A57,Data[],2,FALSE)</f>
        <v>MANHATTAN</v>
      </c>
      <c r="C57" s="9" t="s">
        <v>106</v>
      </c>
      <c r="D57" s="9" t="str">
        <f>VLOOKUP(IntComp24[[#This Row],[DEVELOPMENT]],Data[],52,FALSE)</f>
        <v>FEDERAL</v>
      </c>
      <c r="E57" s="9" t="str">
        <f>VLOOKUP(IntComp24[[#This Row],[DEVELOPMENT]],Data[],8,FALSE)</f>
        <v>Zone 1</v>
      </c>
      <c r="F57" s="9">
        <f>VLOOKUP(IntComp24[[#This Row],[DEVELOPMENT]],all[[DEVELOPMENT]:[MRST Ext. Comp. Priority]],13,FALSE)</f>
        <v>2</v>
      </c>
      <c r="G57" s="9">
        <f>IF(VLOOKUP(IntComp24[[#This Row],[DEVELOPMENT]],Data[],9,FALSE)=0,5,VLOOKUP(IntComp24[[#This Row],[DEVELOPMENT]],Data[],9,FALSE))</f>
        <v>4</v>
      </c>
      <c r="H57" s="9">
        <f>VLOOKUP(IntComp24[[#This Row],[DEVELOPMENT]],Data[],7,FALSE)</f>
        <v>240</v>
      </c>
      <c r="I57" s="9">
        <f>VLOOKUP(IntComp24[[#This Row],[DEVELOPMENT]],Data[],5,FALSE)</f>
        <v>4</v>
      </c>
      <c r="J57" s="9"/>
      <c r="K57" s="9" t="str">
        <f ca="1">IFERROR(VLOOKUP(IntComp24[[#This Row],[DEVELOPMENT]],Data[],4,FALSE),"")</f>
        <v/>
      </c>
      <c r="L57" s="9" t="str">
        <f ca="1">IF(IntComp24[[#This Row],[RAD/PACT]]="","",IF(OR(IntComp24[[#This Row],[RAD/PACT]]="2022-2025",IntComp24[[#This Row],[RAD/PACT]]=2019,IntComp24[[#This Row],[RAD/PACT]]="2020-2021"),"Yes",""))</f>
        <v/>
      </c>
      <c r="M57" s="1">
        <f ca="1">IF(VLOOKUP(IntComp24[[#This Row],[DEVELOPMENT]],Data[],10,FALSE)=0,-1,DATEDIF(VLOOKUP(IntComp24[[#This Row],[DEVELOPMENT]],Data[],12,FALSE),TODAY(),"Y"))</f>
        <v>19</v>
      </c>
      <c r="N57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7" s="1"/>
      <c r="P57" s="1"/>
      <c r="Q57" s="1"/>
      <c r="R57" s="47">
        <f ca="1">(IntComp24[[#This Row],['# to Replace (MRST)]]*INDEX(UnitCosts[#All],MATCH(IntComp24[[#This Row],[WORK TYPE]],UnitCosts[Work Type],0)+1,2))*(1+((IntComp24[[#This Row],[est. Year]]-YEAR(TODAY()))*$R$2))</f>
        <v>0</v>
      </c>
      <c r="S57" s="1">
        <f ca="1">SUM(INDEX(IntComp24['# to Replace (MRST)],1):IntComp24[[#This Row],['# to Replace (MRST)]])</f>
        <v>5</v>
      </c>
      <c r="T57" s="1"/>
      <c r="U57" s="1">
        <f ca="1">IF(ISBLANK(IntComp24[[#This Row],[CALENDAR YEAR]]),ROUNDDOWN(IntComp24[[#This Row],[Count]]/50,0)+$U$1,IntComp24[[#This Row],[CALENDAR YEAR]])</f>
        <v>2022</v>
      </c>
      <c r="V57" s="64">
        <f t="shared" ca="1" si="1"/>
        <v>0</v>
      </c>
      <c r="X57"/>
    </row>
    <row r="58" spans="1:24" hidden="1">
      <c r="A58" s="13" t="s">
        <v>111</v>
      </c>
      <c r="B58" s="1" t="str">
        <f>VLOOKUP(A58,Data[],2,FALSE)</f>
        <v>MANHATTAN</v>
      </c>
      <c r="C58" s="9" t="s">
        <v>106</v>
      </c>
      <c r="D58" s="9" t="str">
        <f>VLOOKUP(IntComp24[[#This Row],[DEVELOPMENT]],Data[],52,FALSE)</f>
        <v>FEDERAL</v>
      </c>
      <c r="E58" s="9" t="str">
        <f>VLOOKUP(IntComp24[[#This Row],[DEVELOPMENT]],Data[],8,FALSE)</f>
        <v>Zone 3</v>
      </c>
      <c r="F58" s="9">
        <f>VLOOKUP(IntComp24[[#This Row],[DEVELOPMENT]],all[[DEVELOPMENT]:[MRST Ext. Comp. Priority]],13,FALSE)</f>
        <v>2</v>
      </c>
      <c r="G58" s="9">
        <f>IF(VLOOKUP(IntComp24[[#This Row],[DEVELOPMENT]],Data[],9,FALSE)=0,5,VLOOKUP(IntComp24[[#This Row],[DEVELOPMENT]],Data[],9,FALSE))</f>
        <v>4</v>
      </c>
      <c r="H58" s="9">
        <f>VLOOKUP(IntComp24[[#This Row],[DEVELOPMENT]],Data[],7,FALSE)</f>
        <v>944</v>
      </c>
      <c r="I58" s="9">
        <f>VLOOKUP(IntComp24[[#This Row],[DEVELOPMENT]],Data[],5,FALSE)</f>
        <v>11</v>
      </c>
      <c r="J58" s="9"/>
      <c r="K58" s="9" t="str">
        <f ca="1">IFERROR(VLOOKUP(IntComp24[[#This Row],[DEVELOPMENT]],Data[],4,FALSE),"")</f>
        <v/>
      </c>
      <c r="L58" s="9" t="str">
        <f ca="1">IF(IntComp24[[#This Row],[RAD/PACT]]="","",IF(OR(IntComp24[[#This Row],[RAD/PACT]]="2022-2025",IntComp24[[#This Row],[RAD/PACT]]=2019,IntComp24[[#This Row],[RAD/PACT]]="2020-2021"),"Yes",""))</f>
        <v/>
      </c>
      <c r="M58" s="1">
        <f ca="1">IF(VLOOKUP(IntComp24[[#This Row],[DEVELOPMENT]],Data[],10,FALSE)=0,-1,DATEDIF(VLOOKUP(IntComp24[[#This Row],[DEVELOPMENT]],Data[],12,FALSE),TODAY(),"Y"))</f>
        <v>18</v>
      </c>
      <c r="N58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8" s="1"/>
      <c r="P58" s="1"/>
      <c r="Q58" s="1"/>
      <c r="R58" s="47">
        <f ca="1">(IntComp24[[#This Row],['# to Replace (MRST)]]*INDEX(UnitCosts[#All],MATCH(IntComp24[[#This Row],[WORK TYPE]],UnitCosts[Work Type],0)+1,2))*(1+((IntComp24[[#This Row],[est. Year]]-YEAR(TODAY()))*$R$2))</f>
        <v>0</v>
      </c>
      <c r="S58" s="1">
        <f ca="1">SUM(INDEX(IntComp24['# to Replace (MRST)],1):IntComp24[[#This Row],['# to Replace (MRST)]])</f>
        <v>5</v>
      </c>
      <c r="T58" s="1"/>
      <c r="U58" s="1">
        <f ca="1">IF(ISBLANK(IntComp24[[#This Row],[CALENDAR YEAR]]),ROUNDDOWN(IntComp24[[#This Row],[Count]]/50,0)+$U$1,IntComp24[[#This Row],[CALENDAR YEAR]])</f>
        <v>2022</v>
      </c>
      <c r="V58" s="64">
        <f t="shared" ca="1" si="1"/>
        <v>0</v>
      </c>
      <c r="X58"/>
    </row>
    <row r="59" spans="1:24" hidden="1">
      <c r="A59" s="13" t="s">
        <v>98</v>
      </c>
      <c r="B59" s="1" t="str">
        <f>VLOOKUP(A59,Data[],2,FALSE)</f>
        <v>BRONX</v>
      </c>
      <c r="C59" s="9" t="s">
        <v>106</v>
      </c>
      <c r="D59" s="9" t="str">
        <f>VLOOKUP(IntComp24[[#This Row],[DEVELOPMENT]],Data[],52,FALSE)</f>
        <v>FEDERAL</v>
      </c>
      <c r="E59" s="9" t="str">
        <f>VLOOKUP(IntComp24[[#This Row],[DEVELOPMENT]],Data[],8,FALSE)</f>
        <v>Zone 3</v>
      </c>
      <c r="F59" s="9">
        <f>VLOOKUP(IntComp24[[#This Row],[DEVELOPMENT]],all[[DEVELOPMENT]:[MRST Ext. Comp. Priority]],13,FALSE)</f>
        <v>2</v>
      </c>
      <c r="G59" s="9">
        <f>IF(VLOOKUP(IntComp24[[#This Row],[DEVELOPMENT]],Data[],9,FALSE)=0,5,VLOOKUP(IntComp24[[#This Row],[DEVELOPMENT]],Data[],9,FALSE))</f>
        <v>4</v>
      </c>
      <c r="H59" s="9">
        <f>VLOOKUP(IntComp24[[#This Row],[DEVELOPMENT]],Data[],7,FALSE)</f>
        <v>199</v>
      </c>
      <c r="I59" s="9">
        <f>VLOOKUP(IntComp24[[#This Row],[DEVELOPMENT]],Data[],5,FALSE)</f>
        <v>1</v>
      </c>
      <c r="J59" s="9"/>
      <c r="K59" s="9" t="str">
        <f ca="1">IFERROR(VLOOKUP(IntComp24[[#This Row],[DEVELOPMENT]],Data[],4,FALSE),"")</f>
        <v>2026+</v>
      </c>
      <c r="L59" s="9" t="str">
        <f ca="1">IF(IntComp24[[#This Row],[RAD/PACT]]="","",IF(OR(IntComp24[[#This Row],[RAD/PACT]]="2022-2025",IntComp24[[#This Row],[RAD/PACT]]=2019,IntComp24[[#This Row],[RAD/PACT]]="2020-2021"),"Yes",""))</f>
        <v/>
      </c>
      <c r="M59" s="1">
        <f ca="1">IF(VLOOKUP(IntComp24[[#This Row],[DEVELOPMENT]],Data[],10,FALSE)=0,-1,DATEDIF(VLOOKUP(IntComp24[[#This Row],[DEVELOPMENT]],Data[],12,FALSE),TODAY(),"Y"))</f>
        <v>18</v>
      </c>
      <c r="N5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59" s="1"/>
      <c r="P59" s="1"/>
      <c r="Q59" s="1"/>
      <c r="R59" s="47">
        <f ca="1">(IntComp24[[#This Row],['# to Replace (MRST)]]*INDEX(UnitCosts[#All],MATCH(IntComp24[[#This Row],[WORK TYPE]],UnitCosts[Work Type],0)+1,2))*(1+((IntComp24[[#This Row],[est. Year]]-YEAR(TODAY()))*$R$2))</f>
        <v>0</v>
      </c>
      <c r="S59" s="1">
        <f ca="1">SUM(INDEX(IntComp24['# to Replace (MRST)],1):IntComp24[[#This Row],['# to Replace (MRST)]])</f>
        <v>5</v>
      </c>
      <c r="T59" s="1"/>
      <c r="U59" s="1">
        <f ca="1">IF(ISBLANK(IntComp24[[#This Row],[CALENDAR YEAR]]),ROUNDDOWN(IntComp24[[#This Row],[Count]]/50,0)+$U$1,IntComp24[[#This Row],[CALENDAR YEAR]])</f>
        <v>2022</v>
      </c>
      <c r="V59" s="64">
        <f t="shared" ca="1" si="1"/>
        <v>0</v>
      </c>
      <c r="X59"/>
    </row>
    <row r="60" spans="1:24" ht="14.25" hidden="1" customHeight="1">
      <c r="A60" s="65" t="s">
        <v>118</v>
      </c>
      <c r="B60" s="1" t="str">
        <f>VLOOKUP(A60,Data[],2,FALSE)</f>
        <v>BROOKLYN</v>
      </c>
      <c r="C60" s="9" t="s">
        <v>106</v>
      </c>
      <c r="D60" s="9" t="str">
        <f>VLOOKUP(IntComp24[[#This Row],[DEVELOPMENT]],Data[],52,FALSE)</f>
        <v>FEDERAL</v>
      </c>
      <c r="E60" s="9" t="str">
        <f>VLOOKUP(IntComp24[[#This Row],[DEVELOPMENT]],Data[],8,FALSE)</f>
        <v>Zone 1</v>
      </c>
      <c r="F60" s="9">
        <f>VLOOKUP(IntComp24[[#This Row],[DEVELOPMENT]],all[[DEVELOPMENT]:[MRST Ext. Comp. Priority]],13,FALSE)</f>
        <v>2</v>
      </c>
      <c r="G60" s="9">
        <f>IF(VLOOKUP(IntComp24[[#This Row],[DEVELOPMENT]],Data[],9,FALSE)=0,5,VLOOKUP(IntComp24[[#This Row],[DEVELOPMENT]],Data[],9,FALSE))</f>
        <v>4</v>
      </c>
      <c r="H60" s="9">
        <f>VLOOKUP(IntComp24[[#This Row],[DEVELOPMENT]],Data[],7,FALSE)</f>
        <v>234</v>
      </c>
      <c r="I60" s="9">
        <f>VLOOKUP(IntComp24[[#This Row],[DEVELOPMENT]],Data[],5,FALSE)</f>
        <v>1</v>
      </c>
      <c r="J60" s="9"/>
      <c r="K60" s="9" t="str">
        <f ca="1">IFERROR(VLOOKUP(IntComp24[[#This Row],[DEVELOPMENT]],Data[],4,FALSE),"")</f>
        <v/>
      </c>
      <c r="L60" s="9" t="str">
        <f ca="1">IF(IntComp24[[#This Row],[RAD/PACT]]="","",IF(OR(IntComp24[[#This Row],[RAD/PACT]]="2022-2025",IntComp24[[#This Row],[RAD/PACT]]=2019,IntComp24[[#This Row],[RAD/PACT]]="2020-2021"),"Yes",""))</f>
        <v/>
      </c>
      <c r="M60" s="1">
        <f ca="1">IF(VLOOKUP(IntComp24[[#This Row],[DEVELOPMENT]],Data[],10,FALSE)=0,-1,DATEDIF(VLOOKUP(IntComp24[[#This Row],[DEVELOPMENT]],Data[],12,FALSE),TODAY(),"Y"))</f>
        <v>17</v>
      </c>
      <c r="N6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60" s="51"/>
      <c r="P60" s="1"/>
      <c r="Q60" s="1"/>
      <c r="R60" s="47">
        <f ca="1">(IntComp24[[#This Row],['# to Replace (MRST)]]*INDEX(UnitCosts[#All],MATCH(IntComp24[[#This Row],[WORK TYPE]],UnitCosts[Work Type],0)+1,2))*(1+((IntComp24[[#This Row],[est. Year]]-YEAR(TODAY()))*$R$2))</f>
        <v>0</v>
      </c>
      <c r="S60" s="1">
        <f ca="1">SUM(INDEX(IntComp24['# to Replace (MRST)],1):IntComp24[[#This Row],['# to Replace (MRST)]])</f>
        <v>5</v>
      </c>
      <c r="T60" s="1"/>
      <c r="U60" s="1">
        <f ca="1">IF(ISBLANK(IntComp24[[#This Row],[CALENDAR YEAR]]),ROUNDDOWN(IntComp24[[#This Row],[Count]]/50,0)+$U$1,IntComp24[[#This Row],[CALENDAR YEAR]])</f>
        <v>2022</v>
      </c>
      <c r="V60" s="64">
        <f t="shared" ca="1" si="1"/>
        <v>0</v>
      </c>
      <c r="X60"/>
    </row>
    <row r="61" spans="1:24" ht="14.25" customHeight="1">
      <c r="A61" s="65" t="s">
        <v>26</v>
      </c>
      <c r="B61" s="1" t="str">
        <f>VLOOKUP(A61,Data[],2,FALSE)</f>
        <v>BROOKLYN</v>
      </c>
      <c r="C61" s="9" t="s">
        <v>106</v>
      </c>
      <c r="D61" s="9" t="str">
        <f>VLOOKUP(IntComp24[[#This Row],[DEVELOPMENT]],Data[],52,FALSE)</f>
        <v>MIXED FINANCE/LLC1</v>
      </c>
      <c r="E61" s="9" t="str">
        <f>VLOOKUP(IntComp24[[#This Row],[DEVELOPMENT]],Data[],8,FALSE)</f>
        <v>Zone 1</v>
      </c>
      <c r="F61" s="9">
        <f>VLOOKUP(IntComp24[[#This Row],[DEVELOPMENT]],all[[DEVELOPMENT]:[MRST Ext. Comp. Priority]],13,FALSE)</f>
        <v>3</v>
      </c>
      <c r="G61" s="9">
        <f>IF(VLOOKUP(IntComp24[[#This Row],[DEVELOPMENT]],Data[],9,FALSE)=0,5,VLOOKUP(IntComp24[[#This Row],[DEVELOPMENT]],Data[],9,FALSE))</f>
        <v>3</v>
      </c>
      <c r="H61" s="9">
        <f>VLOOKUP(IntComp24[[#This Row],[DEVELOPMENT]],Data[],7,FALSE)</f>
        <v>1219</v>
      </c>
      <c r="I61" s="9">
        <f>VLOOKUP(IntComp24[[#This Row],[DEVELOPMENT]],Data[],5,FALSE)</f>
        <v>8</v>
      </c>
      <c r="J61" s="9"/>
      <c r="K61" s="9" t="str">
        <f ca="1">IFERROR(VLOOKUP(IntComp24[[#This Row],[DEVELOPMENT]],Data[],4,FALSE),"")</f>
        <v/>
      </c>
      <c r="L61" s="9" t="str">
        <f ca="1">IF(IntComp24[[#This Row],[RAD/PACT]]="","",IF(OR(IntComp24[[#This Row],[RAD/PACT]]="2022-2025",IntComp24[[#This Row],[RAD/PACT]]=2019,IntComp24[[#This Row],[RAD/PACT]]="2020-2021"),"Yes",""))</f>
        <v/>
      </c>
      <c r="M61" s="1">
        <f ca="1">IF(VLOOKUP(IntComp24[[#This Row],[DEVELOPMENT]],Data[],10,FALSE)=0,-1,DATEDIF(VLOOKUP(IntComp24[[#This Row],[DEVELOPMENT]],Data[],12,FALSE),TODAY(),"Y"))</f>
        <v>20</v>
      </c>
      <c r="N6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8</v>
      </c>
      <c r="O61" s="1">
        <v>2019</v>
      </c>
      <c r="P61" s="1">
        <v>2020</v>
      </c>
      <c r="Q61" s="1" t="str">
        <f>IF(VLOOKUP(IntComp24[[#This Row],[DEVELOPMENT]],CPD_Int[],20,FALSE)=1,"COMPLETED","IN PROGRESS")</f>
        <v>COMPLETED</v>
      </c>
      <c r="R61" s="47">
        <f>VLOOKUP(IntComp24[[#This Row],[DEVELOPMENT]],CPD_Int[],12,FALSE)</f>
        <v>220329</v>
      </c>
      <c r="S61" s="1">
        <f ca="1">SUM(INDEX(IntComp24['# to Replace (MRST)],1):IntComp24[[#This Row],['# to Replace (MRST)]])</f>
        <v>13</v>
      </c>
      <c r="T61" s="1" t="s">
        <v>2223</v>
      </c>
      <c r="U61" s="1">
        <f>IF(ISBLANK(IntComp24[[#This Row],[CALENDAR YEAR]]),ROUNDDOWN(IntComp24[[#This Row],[Count]]/50,0)+$U$1,IntComp24[[#This Row],[CALENDAR YEAR]])</f>
        <v>2019</v>
      </c>
      <c r="V61" s="64">
        <f t="shared" ca="1" si="1"/>
        <v>220329</v>
      </c>
      <c r="W61" s="175"/>
      <c r="X61"/>
    </row>
    <row r="62" spans="1:24" ht="14.25" hidden="1" customHeight="1">
      <c r="A62" s="13" t="s">
        <v>41</v>
      </c>
      <c r="B62" s="1" t="str">
        <f>VLOOKUP(A62,Data[],2,FALSE)</f>
        <v>BRONX</v>
      </c>
      <c r="C62" s="9" t="s">
        <v>106</v>
      </c>
      <c r="D62" s="9" t="str">
        <f>VLOOKUP(IntComp24[[#This Row],[DEVELOPMENT]],Data[],52,FALSE)</f>
        <v>FEDERAL</v>
      </c>
      <c r="E62" s="9" t="str">
        <f>VLOOKUP(IntComp24[[#This Row],[DEVELOPMENT]],Data[],8,FALSE)</f>
        <v>Zone 1</v>
      </c>
      <c r="F62" s="9">
        <f>VLOOKUP(IntComp24[[#This Row],[DEVELOPMENT]],all[[DEVELOPMENT]:[MRST Ext. Comp. Priority]],13,FALSE)</f>
        <v>2</v>
      </c>
      <c r="G62" s="9">
        <f>IF(VLOOKUP(IntComp24[[#This Row],[DEVELOPMENT]],Data[],9,FALSE)=0,5,VLOOKUP(IntComp24[[#This Row],[DEVELOPMENT]],Data[],9,FALSE))</f>
        <v>4</v>
      </c>
      <c r="H62" s="9">
        <f>VLOOKUP(IntComp24[[#This Row],[DEVELOPMENT]],Data[],7,FALSE)</f>
        <v>841</v>
      </c>
      <c r="I62" s="9">
        <f>VLOOKUP(IntComp24[[#This Row],[DEVELOPMENT]],Data[],5,FALSE)</f>
        <v>3</v>
      </c>
      <c r="J62" s="9"/>
      <c r="K62" s="9" t="str">
        <f ca="1">IFERROR(VLOOKUP(IntComp24[[#This Row],[DEVELOPMENT]],Data[],4,FALSE),"")</f>
        <v/>
      </c>
      <c r="L62" s="9" t="str">
        <f ca="1">IF(IntComp24[[#This Row],[RAD/PACT]]="","",IF(OR(IntComp24[[#This Row],[RAD/PACT]]="2022-2025",IntComp24[[#This Row],[RAD/PACT]]=2019,IntComp24[[#This Row],[RAD/PACT]]="2020-2021"),"Yes",""))</f>
        <v/>
      </c>
      <c r="M62" s="1">
        <f ca="1">IF(VLOOKUP(IntComp24[[#This Row],[DEVELOPMENT]],Data[],10,FALSE)=0,-1,DATEDIF(VLOOKUP(IntComp24[[#This Row],[DEVELOPMENT]],Data[],12,FALSE),TODAY(),"Y"))</f>
        <v>15</v>
      </c>
      <c r="N62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62" s="51"/>
      <c r="P62" s="1"/>
      <c r="Q62" s="1"/>
      <c r="R62" s="47">
        <f ca="1">(IntComp24[[#This Row],['# to Replace (MRST)]]*INDEX(UnitCosts[#All],MATCH(IntComp24[[#This Row],[WORK TYPE]],UnitCosts[Work Type],0)+1,2))*(1+((IntComp24[[#This Row],[est. Year]]-YEAR(TODAY()))*$R$2))</f>
        <v>0</v>
      </c>
      <c r="S62" s="1">
        <f ca="1">SUM(INDEX(IntComp24['# to Replace (MRST)],1):IntComp24[[#This Row],['# to Replace (MRST)]])</f>
        <v>13</v>
      </c>
      <c r="T62" s="1"/>
      <c r="U62" s="1">
        <f ca="1">IF(ISBLANK(IntComp24[[#This Row],[CALENDAR YEAR]]),ROUNDDOWN(IntComp24[[#This Row],[Count]]/50,0)+$U$1,IntComp24[[#This Row],[CALENDAR YEAR]])</f>
        <v>2022</v>
      </c>
      <c r="V62" s="64">
        <f t="shared" ca="1" si="1"/>
        <v>0</v>
      </c>
      <c r="X62"/>
    </row>
    <row r="63" spans="1:24" ht="14.25" hidden="1" customHeight="1">
      <c r="A63" s="65" t="s">
        <v>51</v>
      </c>
      <c r="B63" s="1" t="str">
        <f>VLOOKUP(A63,Data[],2,FALSE)</f>
        <v>MANHATTAN</v>
      </c>
      <c r="C63" s="9" t="s">
        <v>106</v>
      </c>
      <c r="D63" s="9" t="str">
        <f>VLOOKUP(IntComp24[[#This Row],[DEVELOPMENT]],Data[],52,FALSE)</f>
        <v>FEDERAL</v>
      </c>
      <c r="E63" s="9" t="str">
        <f>VLOOKUP(IntComp24[[#This Row],[DEVELOPMENT]],Data[],8,FALSE)</f>
        <v>Zone 1</v>
      </c>
      <c r="F63" s="9">
        <f>VLOOKUP(IntComp24[[#This Row],[DEVELOPMENT]],all[[DEVELOPMENT]:[MRST Ext. Comp. Priority]],13,FALSE)</f>
        <v>2</v>
      </c>
      <c r="G63" s="9">
        <f>IF(VLOOKUP(IntComp24[[#This Row],[DEVELOPMENT]],Data[],9,FALSE)=0,5,VLOOKUP(IntComp24[[#This Row],[DEVELOPMENT]],Data[],9,FALSE))</f>
        <v>4</v>
      </c>
      <c r="H63" s="9">
        <f>VLOOKUP(IntComp24[[#This Row],[DEVELOPMENT]],Data[],7,FALSE)</f>
        <v>250</v>
      </c>
      <c r="I63" s="9">
        <f>VLOOKUP(IntComp24[[#This Row],[DEVELOPMENT]],Data[],5,FALSE)</f>
        <v>1</v>
      </c>
      <c r="J63" s="9"/>
      <c r="K63" s="9" t="str">
        <f ca="1">IFERROR(VLOOKUP(IntComp24[[#This Row],[DEVELOPMENT]],Data[],4,FALSE),"")</f>
        <v/>
      </c>
      <c r="L63" s="9" t="str">
        <f ca="1">IF(IntComp24[[#This Row],[RAD/PACT]]="","",IF(OR(IntComp24[[#This Row],[RAD/PACT]]="2022-2025",IntComp24[[#This Row],[RAD/PACT]]=2019,IntComp24[[#This Row],[RAD/PACT]]="2020-2021"),"Yes",""))</f>
        <v/>
      </c>
      <c r="M63" s="1">
        <f ca="1">IF(VLOOKUP(IntComp24[[#This Row],[DEVELOPMENT]],Data[],10,FALSE)=0,-1,DATEDIF(VLOOKUP(IntComp24[[#This Row],[DEVELOPMENT]],Data[],12,FALSE),TODAY(),"Y"))</f>
        <v>14</v>
      </c>
      <c r="N63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63" s="1"/>
      <c r="P63" s="1"/>
      <c r="Q63" s="1"/>
      <c r="R63" s="47">
        <f ca="1">(IntComp24[[#This Row],['# to Replace (MRST)]]*INDEX(UnitCosts[#All],MATCH(IntComp24[[#This Row],[WORK TYPE]],UnitCosts[Work Type],0)+1,2))*(1+((IntComp24[[#This Row],[est. Year]]-YEAR(TODAY()))*$R$2))</f>
        <v>0</v>
      </c>
      <c r="S63" s="1">
        <f ca="1">SUM(INDEX(IntComp24['# to Replace (MRST)],1):IntComp24[[#This Row],['# to Replace (MRST)]])</f>
        <v>13</v>
      </c>
      <c r="T63" s="1"/>
      <c r="U63" s="1">
        <f ca="1">IF(ISBLANK(IntComp24[[#This Row],[CALENDAR YEAR]]),ROUNDDOWN(IntComp24[[#This Row],[Count]]/50,0)+$U$1,IntComp24[[#This Row],[CALENDAR YEAR]])</f>
        <v>2022</v>
      </c>
      <c r="V63" s="64">
        <f t="shared" ca="1" si="1"/>
        <v>0</v>
      </c>
      <c r="X63"/>
    </row>
    <row r="64" spans="1:24" ht="14.25" hidden="1" customHeight="1">
      <c r="A64" s="13" t="s">
        <v>88</v>
      </c>
      <c r="B64" s="1" t="str">
        <f>VLOOKUP(A64,Data[],2,FALSE)</f>
        <v>MANHATTAN</v>
      </c>
      <c r="C64" s="9" t="s">
        <v>106</v>
      </c>
      <c r="D64" s="9" t="str">
        <f>VLOOKUP(IntComp24[[#This Row],[DEVELOPMENT]],Data[],52,FALSE)</f>
        <v>FEDERAL</v>
      </c>
      <c r="E64" s="9" t="str">
        <f>VLOOKUP(IntComp24[[#This Row],[DEVELOPMENT]],Data[],8,FALSE)</f>
        <v>Zone 3</v>
      </c>
      <c r="F64" s="9">
        <f>VLOOKUP(IntComp24[[#This Row],[DEVELOPMENT]],all[[DEVELOPMENT]:[MRST Ext. Comp. Priority]],13,FALSE)</f>
        <v>2</v>
      </c>
      <c r="G64" s="9">
        <f>IF(VLOOKUP(IntComp24[[#This Row],[DEVELOPMENT]],Data[],9,FALSE)=0,5,VLOOKUP(IntComp24[[#This Row],[DEVELOPMENT]],Data[],9,FALSE))</f>
        <v>4</v>
      </c>
      <c r="H64" s="9">
        <f>VLOOKUP(IntComp24[[#This Row],[DEVELOPMENT]],Data[],7,FALSE)</f>
        <v>51</v>
      </c>
      <c r="I64" s="9">
        <f>VLOOKUP(IntComp24[[#This Row],[DEVELOPMENT]],Data[],5,FALSE)</f>
        <v>2</v>
      </c>
      <c r="J64" s="9"/>
      <c r="K64" s="9" t="str">
        <f ca="1">IFERROR(VLOOKUP(IntComp24[[#This Row],[DEVELOPMENT]],Data[],4,FALSE),"")</f>
        <v>2020-2021</v>
      </c>
      <c r="L64" s="9" t="str">
        <f ca="1">IF(IntComp24[[#This Row],[RAD/PACT]]="","",IF(OR(IntComp24[[#This Row],[RAD/PACT]]="2022-2025",IntComp24[[#This Row],[RAD/PACT]]=2019,IntComp24[[#This Row],[RAD/PACT]]="2020-2021"),"Yes",""))</f>
        <v>Yes</v>
      </c>
      <c r="M64" s="1">
        <f ca="1">IF(VLOOKUP(IntComp24[[#This Row],[DEVELOPMENT]],Data[],10,FALSE)=0,-1,DATEDIF(VLOOKUP(IntComp24[[#This Row],[DEVELOPMENT]],Data[],12,FALSE),TODAY(),"Y"))</f>
        <v>14</v>
      </c>
      <c r="N6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64" s="1"/>
      <c r="P64" s="1"/>
      <c r="Q64" s="1"/>
      <c r="R64" s="47">
        <f ca="1">(IntComp24[[#This Row],['# to Replace (MRST)]]*INDEX(UnitCosts[#All],MATCH(IntComp24[[#This Row],[WORK TYPE]],UnitCosts[Work Type],0)+1,2))*(1+((IntComp24[[#This Row],[est. Year]]-YEAR(TODAY()))*$R$2))</f>
        <v>0</v>
      </c>
      <c r="S64" s="1">
        <f ca="1">SUM(INDEX(IntComp24['# to Replace (MRST)],1):IntComp24[[#This Row],['# to Replace (MRST)]])</f>
        <v>13</v>
      </c>
      <c r="T64" s="1"/>
      <c r="U64" s="1">
        <f ca="1">IF(ISBLANK(IntComp24[[#This Row],[CALENDAR YEAR]]),ROUNDDOWN(IntComp24[[#This Row],[Count]]/50,0)+$U$1,IntComp24[[#This Row],[CALENDAR YEAR]])</f>
        <v>2022</v>
      </c>
      <c r="V64" s="64">
        <f t="shared" ca="1" si="1"/>
        <v>0</v>
      </c>
      <c r="X64"/>
    </row>
    <row r="65" spans="1:24" ht="14.25" hidden="1" customHeight="1">
      <c r="A65" s="13" t="s">
        <v>133</v>
      </c>
      <c r="B65" s="1" t="str">
        <f>VLOOKUP(A65,Data[],2,FALSE)</f>
        <v>MANHATTAN</v>
      </c>
      <c r="C65" s="9" t="s">
        <v>106</v>
      </c>
      <c r="D65" s="9" t="str">
        <f>VLOOKUP(IntComp24[[#This Row],[DEVELOPMENT]],Data[],52,FALSE)</f>
        <v>FEDERAL</v>
      </c>
      <c r="E65" s="9" t="str">
        <f>VLOOKUP(IntComp24[[#This Row],[DEVELOPMENT]],Data[],8,FALSE)</f>
        <v>Zone 2</v>
      </c>
      <c r="F65" s="9">
        <f>VLOOKUP(IntComp24[[#This Row],[DEVELOPMENT]],all[[DEVELOPMENT]:[MRST Ext. Comp. Priority]],13,FALSE)</f>
        <v>2</v>
      </c>
      <c r="G65" s="9">
        <f>IF(VLOOKUP(IntComp24[[#This Row],[DEVELOPMENT]],Data[],9,FALSE)=0,5,VLOOKUP(IntComp24[[#This Row],[DEVELOPMENT]],Data[],9,FALSE))</f>
        <v>4</v>
      </c>
      <c r="H65" s="9">
        <f>VLOOKUP(IntComp24[[#This Row],[DEVELOPMENT]],Data[],7,FALSE)</f>
        <v>1614</v>
      </c>
      <c r="I65" s="9">
        <f>VLOOKUP(IntComp24[[#This Row],[DEVELOPMENT]],Data[],5,FALSE)</f>
        <v>4</v>
      </c>
      <c r="J65" s="9"/>
      <c r="K65" s="9" t="str">
        <f ca="1">IFERROR(VLOOKUP(IntComp24[[#This Row],[DEVELOPMENT]],Data[],4,FALSE),"")</f>
        <v/>
      </c>
      <c r="L65" s="9" t="str">
        <f ca="1">IF(IntComp24[[#This Row],[RAD/PACT]]="","",IF(OR(IntComp24[[#This Row],[RAD/PACT]]="2022-2025",IntComp24[[#This Row],[RAD/PACT]]=2019,IntComp24[[#This Row],[RAD/PACT]]="2020-2021"),"Yes",""))</f>
        <v/>
      </c>
      <c r="M65" s="1">
        <f ca="1">IF(VLOOKUP(IntComp24[[#This Row],[DEVELOPMENT]],Data[],10,FALSE)=0,-1,DATEDIF(VLOOKUP(IntComp24[[#This Row],[DEVELOPMENT]],Data[],12,FALSE),TODAY(),"Y"))</f>
        <v>12</v>
      </c>
      <c r="N65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65" s="1"/>
      <c r="P65" s="1"/>
      <c r="Q65" s="1"/>
      <c r="R65" s="47">
        <f ca="1">(IntComp24[[#This Row],['# to Replace (MRST)]]*INDEX(UnitCosts[#All],MATCH(IntComp24[[#This Row],[WORK TYPE]],UnitCosts[Work Type],0)+1,2))*(1+((IntComp24[[#This Row],[est. Year]]-YEAR(TODAY()))*$R$2))</f>
        <v>0</v>
      </c>
      <c r="S65" s="1">
        <f ca="1">SUM(INDEX(IntComp24['# to Replace (MRST)],1):IntComp24[[#This Row],['# to Replace (MRST)]])</f>
        <v>13</v>
      </c>
      <c r="T65" s="1"/>
      <c r="U65" s="1">
        <f ca="1">IF(ISBLANK(IntComp24[[#This Row],[CALENDAR YEAR]]),ROUNDDOWN(IntComp24[[#This Row],[Count]]/50,0)+$U$1,IntComp24[[#This Row],[CALENDAR YEAR]])</f>
        <v>2022</v>
      </c>
      <c r="V65" s="64">
        <f t="shared" ca="1" si="1"/>
        <v>0</v>
      </c>
      <c r="X65"/>
    </row>
    <row r="66" spans="1:24" ht="14.25" hidden="1" customHeight="1">
      <c r="A66" s="65" t="s">
        <v>58</v>
      </c>
      <c r="B66" s="1" t="str">
        <f>VLOOKUP(A66,Data[],2,FALSE)</f>
        <v>MANHATTAN</v>
      </c>
      <c r="C66" s="9" t="s">
        <v>106</v>
      </c>
      <c r="D66" s="9" t="str">
        <f>VLOOKUP(IntComp24[[#This Row],[DEVELOPMENT]],Data[],52,FALSE)</f>
        <v>FEDERAL</v>
      </c>
      <c r="E66" s="9" t="str">
        <f>VLOOKUP(IntComp24[[#This Row],[DEVELOPMENT]],Data[],8,FALSE)</f>
        <v>Zone 1</v>
      </c>
      <c r="F66" s="9">
        <f>VLOOKUP(IntComp24[[#This Row],[DEVELOPMENT]],all[[DEVELOPMENT]:[MRST Ext. Comp. Priority]],13,FALSE)</f>
        <v>2</v>
      </c>
      <c r="G66" s="9">
        <f>IF(VLOOKUP(IntComp24[[#This Row],[DEVELOPMENT]],Data[],9,FALSE)=0,5,VLOOKUP(IntComp24[[#This Row],[DEVELOPMENT]],Data[],9,FALSE))</f>
        <v>4</v>
      </c>
      <c r="H66" s="9">
        <f>VLOOKUP(IntComp24[[#This Row],[DEVELOPMENT]],Data[],7,FALSE)</f>
        <v>2193</v>
      </c>
      <c r="I66" s="9">
        <f>VLOOKUP(IntComp24[[#This Row],[DEVELOPMENT]],Data[],5,FALSE)</f>
        <v>17</v>
      </c>
      <c r="J66" s="9"/>
      <c r="K66" s="9" t="str">
        <f ca="1">IFERROR(VLOOKUP(IntComp24[[#This Row],[DEVELOPMENT]],Data[],4,FALSE),"")</f>
        <v/>
      </c>
      <c r="L66" s="9" t="str">
        <f ca="1">IF(IntComp24[[#This Row],[RAD/PACT]]="","",IF(OR(IntComp24[[#This Row],[RAD/PACT]]="2022-2025",IntComp24[[#This Row],[RAD/PACT]]=2019,IntComp24[[#This Row],[RAD/PACT]]="2020-2021"),"Yes",""))</f>
        <v/>
      </c>
      <c r="M66" s="1">
        <f ca="1">IF(VLOOKUP(IntComp24[[#This Row],[DEVELOPMENT]],Data[],10,FALSE)=0,-1,DATEDIF(VLOOKUP(IntComp24[[#This Row],[DEVELOPMENT]],Data[],12,FALSE),TODAY(),"Y"))</f>
        <v>10</v>
      </c>
      <c r="N66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66" s="1"/>
      <c r="P66" s="1"/>
      <c r="Q66" s="1"/>
      <c r="R66" s="47">
        <f ca="1">(IntComp24[[#This Row],['# to Replace (MRST)]]*INDEX(UnitCosts[#All],MATCH(IntComp24[[#This Row],[WORK TYPE]],UnitCosts[Work Type],0)+1,2))*(1+((IntComp24[[#This Row],[est. Year]]-YEAR(TODAY()))*$R$2))</f>
        <v>0</v>
      </c>
      <c r="S66" s="1">
        <f ca="1">SUM(INDEX(IntComp24['# to Replace (MRST)],1):IntComp24[[#This Row],['# to Replace (MRST)]])</f>
        <v>13</v>
      </c>
      <c r="T66" s="1"/>
      <c r="U66" s="1">
        <f ca="1">IF(ISBLANK(IntComp24[[#This Row],[CALENDAR YEAR]]),ROUNDDOWN(IntComp24[[#This Row],[Count]]/50,0)+$U$1,IntComp24[[#This Row],[CALENDAR YEAR]])</f>
        <v>2022</v>
      </c>
      <c r="V66" s="64">
        <f t="shared" ca="1" si="1"/>
        <v>0</v>
      </c>
      <c r="X66"/>
    </row>
    <row r="67" spans="1:24" ht="14.25" hidden="1" customHeight="1">
      <c r="A67" s="65" t="s">
        <v>48</v>
      </c>
      <c r="B67" s="1" t="str">
        <f>VLOOKUP(A67,Data[],2,FALSE)</f>
        <v>MANHATTAN</v>
      </c>
      <c r="C67" s="9" t="s">
        <v>106</v>
      </c>
      <c r="D67" s="9" t="str">
        <f>VLOOKUP(IntComp24[[#This Row],[DEVELOPMENT]],Data[],52,FALSE)</f>
        <v>FEDERAL</v>
      </c>
      <c r="E67" s="9" t="str">
        <f>VLOOKUP(IntComp24[[#This Row],[DEVELOPMENT]],Data[],8,FALSE)</f>
        <v>Zone 1</v>
      </c>
      <c r="F67" s="9">
        <f>VLOOKUP(IntComp24[[#This Row],[DEVELOPMENT]],all[[DEVELOPMENT]:[MRST Ext. Comp. Priority]],13,FALSE)</f>
        <v>2</v>
      </c>
      <c r="G67" s="9">
        <f>IF(VLOOKUP(IntComp24[[#This Row],[DEVELOPMENT]],Data[],9,FALSE)=0,5,VLOOKUP(IntComp24[[#This Row],[DEVELOPMENT]],Data[],9,FALSE))</f>
        <v>4</v>
      </c>
      <c r="H67" s="9">
        <f>VLOOKUP(IntComp24[[#This Row],[DEVELOPMENT]],Data[],7,FALSE)</f>
        <v>197</v>
      </c>
      <c r="I67" s="9">
        <f>VLOOKUP(IntComp24[[#This Row],[DEVELOPMENT]],Data[],5,FALSE)</f>
        <v>1</v>
      </c>
      <c r="J67" s="9"/>
      <c r="K67" s="9" t="str">
        <f ca="1">IFERROR(VLOOKUP(IntComp24[[#This Row],[DEVELOPMENT]],Data[],4,FALSE),"")</f>
        <v/>
      </c>
      <c r="L67" s="9" t="str">
        <f ca="1">IF(IntComp24[[#This Row],[RAD/PACT]]="","",IF(OR(IntComp24[[#This Row],[RAD/PACT]]="2022-2025",IntComp24[[#This Row],[RAD/PACT]]=2019,IntComp24[[#This Row],[RAD/PACT]]="2020-2021"),"Yes",""))</f>
        <v/>
      </c>
      <c r="M67" s="1">
        <f ca="1">IF(VLOOKUP(IntComp24[[#This Row],[DEVELOPMENT]],Data[],10,FALSE)=0,-1,DATEDIF(VLOOKUP(IntComp24[[#This Row],[DEVELOPMENT]],Data[],12,FALSE),TODAY(),"Y"))</f>
        <v>10</v>
      </c>
      <c r="N67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67" s="1"/>
      <c r="P67" s="1"/>
      <c r="Q67" s="1"/>
      <c r="R67" s="47">
        <f ca="1">(IntComp24[[#This Row],['# to Replace (MRST)]]*INDEX(UnitCosts[#All],MATCH(IntComp24[[#This Row],[WORK TYPE]],UnitCosts[Work Type],0)+1,2))*(1+((IntComp24[[#This Row],[est. Year]]-YEAR(TODAY()))*$R$2))</f>
        <v>0</v>
      </c>
      <c r="S67" s="1">
        <f ca="1">SUM(INDEX(IntComp24['# to Replace (MRST)],1):IntComp24[[#This Row],['# to Replace (MRST)]])</f>
        <v>13</v>
      </c>
      <c r="T67" s="1"/>
      <c r="U67" s="1">
        <f ca="1">IF(ISBLANK(IntComp24[[#This Row],[CALENDAR YEAR]]),ROUNDDOWN(IntComp24[[#This Row],[Count]]/50,0)+$U$1,IntComp24[[#This Row],[CALENDAR YEAR]])</f>
        <v>2022</v>
      </c>
      <c r="V67" s="64">
        <f t="shared" ca="1" si="1"/>
        <v>0</v>
      </c>
      <c r="X67"/>
    </row>
    <row r="68" spans="1:24" ht="14.25" hidden="1" customHeight="1">
      <c r="A68" s="13" t="s">
        <v>95</v>
      </c>
      <c r="B68" s="1" t="str">
        <f>VLOOKUP(A68,Data[],2,FALSE)</f>
        <v>MANHATTAN</v>
      </c>
      <c r="C68" s="9" t="s">
        <v>106</v>
      </c>
      <c r="D68" s="9" t="str">
        <f>VLOOKUP(IntComp24[[#This Row],[DEVELOPMENT]],Data[],52,FALSE)</f>
        <v>MIXED FINANCE/LLC1</v>
      </c>
      <c r="E68" s="9" t="str">
        <f>VLOOKUP(IntComp24[[#This Row],[DEVELOPMENT]],Data[],8,FALSE)</f>
        <v>Zone 2</v>
      </c>
      <c r="F68" s="9">
        <f>VLOOKUP(IntComp24[[#This Row],[DEVELOPMENT]],all[[DEVELOPMENT]:[MRST Ext. Comp. Priority]],13,FALSE)</f>
        <v>2</v>
      </c>
      <c r="G68" s="9">
        <f>IF(VLOOKUP(IntComp24[[#This Row],[DEVELOPMENT]],Data[],9,FALSE)=0,5,VLOOKUP(IntComp24[[#This Row],[DEVELOPMENT]],Data[],9,FALSE))</f>
        <v>3</v>
      </c>
      <c r="H68" s="9">
        <f>VLOOKUP(IntComp24[[#This Row],[DEVELOPMENT]],Data[],7,FALSE)</f>
        <v>664</v>
      </c>
      <c r="I68" s="9">
        <f>VLOOKUP(IntComp24[[#This Row],[DEVELOPMENT]],Data[],5,FALSE)</f>
        <v>40</v>
      </c>
      <c r="J68" s="9"/>
      <c r="K68" s="9" t="str">
        <f ca="1">IFERROR(VLOOKUP(IntComp24[[#This Row],[DEVELOPMENT]],Data[],4,FALSE),"")</f>
        <v>2020-2021</v>
      </c>
      <c r="L68" s="9" t="str">
        <f ca="1">IF(IntComp24[[#This Row],[RAD/PACT]]="","",IF(OR(IntComp24[[#This Row],[RAD/PACT]]="2022-2025",IntComp24[[#This Row],[RAD/PACT]]=2019,IntComp24[[#This Row],[RAD/PACT]]="2020-2021"),"Yes",""))</f>
        <v>Yes</v>
      </c>
      <c r="M68" s="1">
        <f ca="1">IF(VLOOKUP(IntComp24[[#This Row],[DEVELOPMENT]],Data[],10,FALSE)=0,-1,DATEDIF(VLOOKUP(IntComp24[[#This Row],[DEVELOPMENT]],Data[],12,FALSE),TODAY(),"Y"))</f>
        <v>20</v>
      </c>
      <c r="N68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68" s="1"/>
      <c r="P68" s="1">
        <v>2022</v>
      </c>
      <c r="Q68" s="1"/>
      <c r="R68" s="47">
        <f ca="1">(IntComp24[[#This Row],['# to Replace (MRST)]]*INDEX(UnitCosts[#All],MATCH(IntComp24[[#This Row],[WORK TYPE]],UnitCosts[Work Type],0)+1,2))*(1+((IntComp24[[#This Row],[est. Year]]-YEAR(TODAY()))*$R$2))</f>
        <v>0</v>
      </c>
      <c r="S68" s="1">
        <f ca="1">SUM(INDEX(IntComp24['# to Replace (MRST)],1):IntComp24[[#This Row],['# to Replace (MRST)]])</f>
        <v>13</v>
      </c>
      <c r="T68" s="1"/>
      <c r="U68" s="1">
        <f ca="1">IF(ISBLANK(IntComp24[[#This Row],[CALENDAR YEAR]]),ROUNDDOWN(IntComp24[[#This Row],[Count]]/50,0)+$U$1,IntComp24[[#This Row],[CALENDAR YEAR]])</f>
        <v>2022</v>
      </c>
      <c r="V68" s="64">
        <f t="shared" ca="1" si="1"/>
        <v>0</v>
      </c>
      <c r="W68" s="37" t="s">
        <v>2224</v>
      </c>
      <c r="X68"/>
    </row>
    <row r="69" spans="1:24" ht="14.25" hidden="1" customHeight="1">
      <c r="A69" s="65" t="s">
        <v>66</v>
      </c>
      <c r="B69" s="1" t="str">
        <f>VLOOKUP(A69,Data[],2,FALSE)</f>
        <v>MANHATTAN</v>
      </c>
      <c r="C69" s="9" t="s">
        <v>106</v>
      </c>
      <c r="D69" s="9" t="str">
        <f>VLOOKUP(IntComp24[[#This Row],[DEVELOPMENT]],Data[],52,FALSE)</f>
        <v>FEDERAL</v>
      </c>
      <c r="E69" s="9" t="str">
        <f>VLOOKUP(IntComp24[[#This Row],[DEVELOPMENT]],Data[],8,FALSE)</f>
        <v>Zone 1</v>
      </c>
      <c r="F69" s="9">
        <f>VLOOKUP(IntComp24[[#This Row],[DEVELOPMENT]],all[[DEVELOPMENT]:[MRST Ext. Comp. Priority]],13,FALSE)</f>
        <v>2</v>
      </c>
      <c r="G69" s="9">
        <f>IF(VLOOKUP(IntComp24[[#This Row],[DEVELOPMENT]],Data[],9,FALSE)=0,5,VLOOKUP(IntComp24[[#This Row],[DEVELOPMENT]],Data[],9,FALSE))</f>
        <v>4</v>
      </c>
      <c r="H69" s="9">
        <f>VLOOKUP(IntComp24[[#This Row],[DEVELOPMENT]],Data[],7,FALSE)</f>
        <v>1861</v>
      </c>
      <c r="I69" s="9">
        <f>VLOOKUP(IntComp24[[#This Row],[DEVELOPMENT]],Data[],5,FALSE)</f>
        <v>16</v>
      </c>
      <c r="J69" s="9"/>
      <c r="K69" s="9" t="str">
        <f ca="1">IFERROR(VLOOKUP(IntComp24[[#This Row],[DEVELOPMENT]],Data[],4,FALSE),"")</f>
        <v/>
      </c>
      <c r="L69" s="9" t="str">
        <f ca="1">IF(IntComp24[[#This Row],[RAD/PACT]]="","",IF(OR(IntComp24[[#This Row],[RAD/PACT]]="2022-2025",IntComp24[[#This Row],[RAD/PACT]]=2019,IntComp24[[#This Row],[RAD/PACT]]="2020-2021"),"Yes",""))</f>
        <v/>
      </c>
      <c r="M69" s="1">
        <f ca="1">IF(VLOOKUP(IntComp24[[#This Row],[DEVELOPMENT]],Data[],10,FALSE)=0,-1,DATEDIF(VLOOKUP(IntComp24[[#This Row],[DEVELOPMENT]],Data[],12,FALSE),TODAY(),"Y"))</f>
        <v>1</v>
      </c>
      <c r="N6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69" s="1"/>
      <c r="P69" s="1"/>
      <c r="Q69" s="1"/>
      <c r="R69" s="47">
        <f ca="1">(IntComp24[[#This Row],['# to Replace (MRST)]]*INDEX(UnitCosts[#All],MATCH(IntComp24[[#This Row],[WORK TYPE]],UnitCosts[Work Type],0)+1,2))*(1+((IntComp24[[#This Row],[est. Year]]-YEAR(TODAY()))*$R$2))</f>
        <v>0</v>
      </c>
      <c r="S69" s="1">
        <f ca="1">SUM(INDEX(IntComp24['# to Replace (MRST)],1):IntComp24[[#This Row],['# to Replace (MRST)]])</f>
        <v>13</v>
      </c>
      <c r="T69" s="1"/>
      <c r="U69" s="1">
        <f ca="1">IF(ISBLANK(IntComp24[[#This Row],[CALENDAR YEAR]]),ROUNDDOWN(IntComp24[[#This Row],[Count]]/50,0)+$U$1,IntComp24[[#This Row],[CALENDAR YEAR]])</f>
        <v>2022</v>
      </c>
      <c r="V69" s="64">
        <f t="shared" ca="1" si="1"/>
        <v>0</v>
      </c>
      <c r="X69"/>
    </row>
    <row r="70" spans="1:24" ht="14.25" hidden="1" customHeight="1">
      <c r="A70" s="13" t="s">
        <v>343</v>
      </c>
      <c r="B70" s="1" t="str">
        <f>VLOOKUP(A70,Data[],2,FALSE)</f>
        <v>BROOKLYN</v>
      </c>
      <c r="C70" s="9" t="s">
        <v>106</v>
      </c>
      <c r="D70" s="9" t="str">
        <f>VLOOKUP(IntComp24[[#This Row],[DEVELOPMENT]],Data[],52,FALSE)</f>
        <v>FEDERAL</v>
      </c>
      <c r="E70" s="50" t="str">
        <f>VLOOKUP(IntComp24[[#This Row],[DEVELOPMENT]],Data[],8,FALSE)</f>
        <v>Zone 1</v>
      </c>
      <c r="F70" s="50">
        <f>VLOOKUP(IntComp24[[#This Row],[DEVELOPMENT]],all[[DEVELOPMENT]:[MRST Ext. Comp. Priority]],13,FALSE)</f>
        <v>2</v>
      </c>
      <c r="G70" s="9">
        <f>IF(VLOOKUP(IntComp24[[#This Row],[DEVELOPMENT]],Data[],9,FALSE)=0,5,VLOOKUP(IntComp24[[#This Row],[DEVELOPMENT]],Data[],9,FALSE))</f>
        <v>4</v>
      </c>
      <c r="H70" s="50">
        <f>VLOOKUP(IntComp24[[#This Row],[DEVELOPMENT]],Data[],7,FALSE)</f>
        <v>48</v>
      </c>
      <c r="I70" s="50">
        <f>VLOOKUP(IntComp24[[#This Row],[DEVELOPMENT]],Data[],5,FALSE)</f>
        <v>2</v>
      </c>
      <c r="J70" s="9"/>
      <c r="K70" s="50">
        <f ca="1">IFERROR(VLOOKUP(IntComp24[[#This Row],[DEVELOPMENT]],Data[],4,FALSE),"")</f>
        <v>2019</v>
      </c>
      <c r="L70" s="50" t="str">
        <f ca="1">IF(IntComp24[[#This Row],[RAD/PACT]]="","",IF(OR(IntComp24[[#This Row],[RAD/PACT]]="2022-2025",IntComp24[[#This Row],[RAD/PACT]]=2019,IntComp24[[#This Row],[RAD/PACT]]="2020-2021"),"Yes",""))</f>
        <v>Yes</v>
      </c>
      <c r="M70" s="51">
        <f ca="1">IF(VLOOKUP(IntComp24[[#This Row],[DEVELOPMENT]],Data[],10,FALSE)=0,-1,DATEDIF(VLOOKUP(IntComp24[[#This Row],[DEVELOPMENT]],Data[],12,FALSE),TODAY(),"Y"))</f>
        <v>-1</v>
      </c>
      <c r="N7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0" s="51"/>
      <c r="P70" s="51"/>
      <c r="Q70" s="51"/>
      <c r="R70" s="47">
        <f ca="1">(IntComp24[[#This Row],['# to Replace (MRST)]]*INDEX(UnitCosts[#All],MATCH(IntComp24[[#This Row],[WORK TYPE]],UnitCosts[Work Type],0)+1,2))*(1+((IntComp24[[#This Row],[est. Year]]-YEAR(TODAY()))*$R$2))</f>
        <v>0</v>
      </c>
      <c r="S70" s="1">
        <f ca="1">SUM(INDEX(IntComp24['# to Replace (MRST)],1):IntComp24[[#This Row],['# to Replace (MRST)]])</f>
        <v>13</v>
      </c>
      <c r="T70" s="51"/>
      <c r="U70" s="51">
        <f ca="1">IF(ISBLANK(IntComp24[[#This Row],[CALENDAR YEAR]]),ROUNDDOWN(IntComp24[[#This Row],[Count]]/50,0)+$U$1,IntComp24[[#This Row],[CALENDAR YEAR]])</f>
        <v>2022</v>
      </c>
      <c r="V70" s="64">
        <f t="shared" ca="1" si="1"/>
        <v>0</v>
      </c>
      <c r="X70"/>
    </row>
    <row r="71" spans="1:24" ht="14.25" hidden="1" customHeight="1">
      <c r="A71" s="13" t="s">
        <v>293</v>
      </c>
      <c r="B71" s="9" t="str">
        <f>VLOOKUP(A71,Data[],2,FALSE)</f>
        <v>BRONX</v>
      </c>
      <c r="C71" s="9" t="s">
        <v>106</v>
      </c>
      <c r="D71" s="9" t="str">
        <f>VLOOKUP(IntComp24[[#This Row],[DEVELOPMENT]],Data[],52,FALSE)</f>
        <v>FEDERAL</v>
      </c>
      <c r="E71" s="50">
        <f>VLOOKUP(IntComp24[[#This Row],[DEVELOPMENT]],Data[],8,FALSE)</f>
        <v>0</v>
      </c>
      <c r="F71" s="50">
        <f>VLOOKUP(IntComp24[[#This Row],[DEVELOPMENT]],all[[DEVELOPMENT]:[MRST Ext. Comp. Priority]],13,FALSE)</f>
        <v>2</v>
      </c>
      <c r="G71" s="50">
        <f>IF(VLOOKUP(IntComp24[[#This Row],[DEVELOPMENT]],Data[],9,FALSE)=0,5,VLOOKUP(IntComp24[[#This Row],[DEVELOPMENT]],Data[],9,FALSE))</f>
        <v>5</v>
      </c>
      <c r="H71" s="50">
        <f>VLOOKUP(IntComp24[[#This Row],[DEVELOPMENT]],Data[],7,FALSE)</f>
        <v>65</v>
      </c>
      <c r="I71" s="50">
        <f>VLOOKUP(IntComp24[[#This Row],[DEVELOPMENT]],Data[],5,FALSE)</f>
        <v>1</v>
      </c>
      <c r="J71" s="50"/>
      <c r="K71" s="50" t="str">
        <f ca="1">IFERROR(VLOOKUP(IntComp24[[#This Row],[DEVELOPMENT]],Data[],4,FALSE),"")</f>
        <v>2022-2025</v>
      </c>
      <c r="L71" s="50" t="str">
        <f ca="1">IF(IntComp24[[#This Row],[RAD/PACT]]="","",IF(OR(IntComp24[[#This Row],[RAD/PACT]]="2022-2025",IntComp24[[#This Row],[RAD/PACT]]=2019,IntComp24[[#This Row],[RAD/PACT]]="2020-2021"),"Yes",""))</f>
        <v>Yes</v>
      </c>
      <c r="M71" s="51">
        <f ca="1">IF(VLOOKUP(IntComp24[[#This Row],[DEVELOPMENT]],Data[],10,FALSE)=0,-1,DATEDIF(VLOOKUP(IntComp24[[#This Row],[DEVELOPMENT]],Data[],12,FALSE),TODAY(),"Y"))</f>
        <v>36</v>
      </c>
      <c r="N7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1" s="51"/>
      <c r="P71" s="51"/>
      <c r="Q71" s="51"/>
      <c r="R71" s="47">
        <f ca="1">(IntComp24[[#This Row],['# to Replace (MRST)]]*INDEX(UnitCosts[#All],MATCH(IntComp24[[#This Row],[WORK TYPE]],UnitCosts[Work Type],0)+1,2))*(1+((IntComp24[[#This Row],[est. Year]]-YEAR(TODAY()))*$R$2))</f>
        <v>0</v>
      </c>
      <c r="S71" s="1">
        <f ca="1">SUM(INDEX(IntComp24['# to Replace (MRST)],1):IntComp24[[#This Row],['# to Replace (MRST)]])</f>
        <v>13</v>
      </c>
      <c r="T71" s="51"/>
      <c r="U71" s="51">
        <f ca="1">IF(ISBLANK(IntComp24[[#This Row],[CALENDAR YEAR]]),ROUNDDOWN(IntComp24[[#This Row],[Count]]/50,0)+$U$1,IntComp24[[#This Row],[CALENDAR YEAR]])</f>
        <v>2022</v>
      </c>
      <c r="V71" s="69">
        <f t="shared" ca="1" si="1"/>
        <v>0</v>
      </c>
      <c r="X71"/>
    </row>
    <row r="72" spans="1:24" ht="14.25" hidden="1" customHeight="1">
      <c r="A72" s="13" t="s">
        <v>350</v>
      </c>
      <c r="B72" s="9" t="str">
        <f>VLOOKUP(A72,Data[],2,FALSE)</f>
        <v>BROOKLYN</v>
      </c>
      <c r="C72" s="9" t="s">
        <v>106</v>
      </c>
      <c r="D72" s="9" t="str">
        <f>VLOOKUP(IntComp24[[#This Row],[DEVELOPMENT]],Data[],52,FALSE)</f>
        <v>FEDERAL</v>
      </c>
      <c r="E72" s="50">
        <f>VLOOKUP(IntComp24[[#This Row],[DEVELOPMENT]],Data[],8,FALSE)</f>
        <v>0</v>
      </c>
      <c r="F72" s="50">
        <f>VLOOKUP(IntComp24[[#This Row],[DEVELOPMENT]],all[[DEVELOPMENT]:[MRST Ext. Comp. Priority]],13,FALSE)</f>
        <v>2</v>
      </c>
      <c r="G72" s="50">
        <f>IF(VLOOKUP(IntComp24[[#This Row],[DEVELOPMENT]],Data[],9,FALSE)=0,5,VLOOKUP(IntComp24[[#This Row],[DEVELOPMENT]],Data[],9,FALSE))</f>
        <v>5</v>
      </c>
      <c r="H72" s="50">
        <f>VLOOKUP(IntComp24[[#This Row],[DEVELOPMENT]],Data[],7,FALSE)</f>
        <v>125</v>
      </c>
      <c r="I72" s="50">
        <f>VLOOKUP(IntComp24[[#This Row],[DEVELOPMENT]],Data[],5,FALSE)</f>
        <v>5</v>
      </c>
      <c r="J72" s="50"/>
      <c r="K72" s="50" t="str">
        <f ca="1">IFERROR(VLOOKUP(IntComp24[[#This Row],[DEVELOPMENT]],Data[],4,FALSE),"")</f>
        <v>2022-2025</v>
      </c>
      <c r="L72" s="50" t="str">
        <f ca="1">IF(IntComp24[[#This Row],[RAD/PACT]]="","",IF(OR(IntComp24[[#This Row],[RAD/PACT]]="2022-2025",IntComp24[[#This Row],[RAD/PACT]]=2019,IntComp24[[#This Row],[RAD/PACT]]="2020-2021"),"Yes",""))</f>
        <v>Yes</v>
      </c>
      <c r="M72" s="51">
        <f ca="1">IF(VLOOKUP(IntComp24[[#This Row],[DEVELOPMENT]],Data[],10,FALSE)=0,-1,DATEDIF(VLOOKUP(IntComp24[[#This Row],[DEVELOPMENT]],Data[],12,FALSE),TODAY(),"Y"))</f>
        <v>34</v>
      </c>
      <c r="N7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2" s="51"/>
      <c r="P72" s="51"/>
      <c r="Q72" s="51"/>
      <c r="R72" s="47">
        <f ca="1">(IntComp24[[#This Row],['# to Replace (MRST)]]*INDEX(UnitCosts[#All],MATCH(IntComp24[[#This Row],[WORK TYPE]],UnitCosts[Work Type],0)+1,2))*(1+((IntComp24[[#This Row],[est. Year]]-YEAR(TODAY()))*$R$2))</f>
        <v>0</v>
      </c>
      <c r="S72" s="1">
        <f ca="1">SUM(INDEX(IntComp24['# to Replace (MRST)],1):IntComp24[[#This Row],['# to Replace (MRST)]])</f>
        <v>13</v>
      </c>
      <c r="T72" s="51"/>
      <c r="U72" s="51">
        <f ca="1">IF(ISBLANK(IntComp24[[#This Row],[CALENDAR YEAR]]),ROUNDDOWN(IntComp24[[#This Row],[Count]]/50,0)+$U$1,IntComp24[[#This Row],[CALENDAR YEAR]])</f>
        <v>2022</v>
      </c>
      <c r="V72" s="69">
        <f t="shared" ca="1" si="1"/>
        <v>0</v>
      </c>
      <c r="X72"/>
    </row>
    <row r="73" spans="1:24" ht="14.25" hidden="1" customHeight="1">
      <c r="A73" s="13" t="s">
        <v>303</v>
      </c>
      <c r="B73" s="9" t="str">
        <f>VLOOKUP(A73,Data[],2,FALSE)</f>
        <v>BROOKLYN</v>
      </c>
      <c r="C73" s="9" t="s">
        <v>106</v>
      </c>
      <c r="D73" s="9" t="str">
        <f>VLOOKUP(IntComp24[[#This Row],[DEVELOPMENT]],Data[],52,FALSE)</f>
        <v>FEDERAL</v>
      </c>
      <c r="E73" s="50">
        <f>VLOOKUP(IntComp24[[#This Row],[DEVELOPMENT]],Data[],8,FALSE)</f>
        <v>0</v>
      </c>
      <c r="F73" s="50">
        <f>VLOOKUP(IntComp24[[#This Row],[DEVELOPMENT]],all[[DEVELOPMENT]:[MRST Ext. Comp. Priority]],13,FALSE)</f>
        <v>2</v>
      </c>
      <c r="G73" s="50">
        <f>IF(VLOOKUP(IntComp24[[#This Row],[DEVELOPMENT]],Data[],9,FALSE)=0,5,VLOOKUP(IntComp24[[#This Row],[DEVELOPMENT]],Data[],9,FALSE))</f>
        <v>5</v>
      </c>
      <c r="H73" s="50">
        <f>VLOOKUP(IntComp24[[#This Row],[DEVELOPMENT]],Data[],7,FALSE)</f>
        <v>150</v>
      </c>
      <c r="I73" s="50">
        <f>VLOOKUP(IntComp24[[#This Row],[DEVELOPMENT]],Data[],5,FALSE)</f>
        <v>4</v>
      </c>
      <c r="J73" s="50"/>
      <c r="K73" s="50">
        <f ca="1">IFERROR(VLOOKUP(IntComp24[[#This Row],[DEVELOPMENT]],Data[],4,FALSE),"")</f>
        <v>2019</v>
      </c>
      <c r="L73" s="50" t="str">
        <f ca="1">IF(IntComp24[[#This Row],[RAD/PACT]]="","",IF(OR(IntComp24[[#This Row],[RAD/PACT]]="2022-2025",IntComp24[[#This Row],[RAD/PACT]]=2019,IntComp24[[#This Row],[RAD/PACT]]="2020-2021"),"Yes",""))</f>
        <v>Yes</v>
      </c>
      <c r="M73" s="51">
        <f ca="1">IF(VLOOKUP(IntComp24[[#This Row],[DEVELOPMENT]],Data[],10,FALSE)=0,-1,DATEDIF(VLOOKUP(IntComp24[[#This Row],[DEVELOPMENT]],Data[],12,FALSE),TODAY(),"Y"))</f>
        <v>30</v>
      </c>
      <c r="N7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3" s="51"/>
      <c r="P73" s="51"/>
      <c r="Q73" s="51"/>
      <c r="R73" s="47">
        <f ca="1">(IntComp24[[#This Row],['# to Replace (MRST)]]*INDEX(UnitCosts[#All],MATCH(IntComp24[[#This Row],[WORK TYPE]],UnitCosts[Work Type],0)+1,2))*(1+((IntComp24[[#This Row],[est. Year]]-YEAR(TODAY()))*$R$2))</f>
        <v>0</v>
      </c>
      <c r="S73" s="1">
        <f ca="1">SUM(INDEX(IntComp24['# to Replace (MRST)],1):IntComp24[[#This Row],['# to Replace (MRST)]])</f>
        <v>13</v>
      </c>
      <c r="T73" s="51"/>
      <c r="U73" s="51">
        <f ca="1">IF(ISBLANK(IntComp24[[#This Row],[CALENDAR YEAR]]),ROUNDDOWN(IntComp24[[#This Row],[Count]]/50,0)+$U$1,IntComp24[[#This Row],[CALENDAR YEAR]])</f>
        <v>2022</v>
      </c>
      <c r="V73" s="69">
        <f t="shared" ca="1" si="1"/>
        <v>0</v>
      </c>
      <c r="X73"/>
    </row>
    <row r="74" spans="1:24" ht="14.25" hidden="1" customHeight="1">
      <c r="A74" s="13" t="s">
        <v>355</v>
      </c>
      <c r="B74" s="9" t="str">
        <f>VLOOKUP(A74,Data[],2,FALSE)</f>
        <v>BROOKLYN</v>
      </c>
      <c r="C74" s="9" t="s">
        <v>106</v>
      </c>
      <c r="D74" s="9" t="str">
        <f>VLOOKUP(IntComp24[[#This Row],[DEVELOPMENT]],Data[],52,FALSE)</f>
        <v>FEDERAL</v>
      </c>
      <c r="E74" s="50">
        <f>VLOOKUP(IntComp24[[#This Row],[DEVELOPMENT]],Data[],8,FALSE)</f>
        <v>0</v>
      </c>
      <c r="F74" s="50">
        <f>VLOOKUP(IntComp24[[#This Row],[DEVELOPMENT]],all[[DEVELOPMENT]:[MRST Ext. Comp. Priority]],13,FALSE)</f>
        <v>2</v>
      </c>
      <c r="G74" s="50">
        <f>IF(VLOOKUP(IntComp24[[#This Row],[DEVELOPMENT]],Data[],9,FALSE)=0,5,VLOOKUP(IntComp24[[#This Row],[DEVELOPMENT]],Data[],9,FALSE))</f>
        <v>5</v>
      </c>
      <c r="H74" s="50">
        <f>VLOOKUP(IntComp24[[#This Row],[DEVELOPMENT]],Data[],7,FALSE)</f>
        <v>118</v>
      </c>
      <c r="I74" s="50">
        <f>VLOOKUP(IntComp24[[#This Row],[DEVELOPMENT]],Data[],5,FALSE)</f>
        <v>5</v>
      </c>
      <c r="J74" s="50"/>
      <c r="K74" s="50" t="str">
        <f ca="1">IFERROR(VLOOKUP(IntComp24[[#This Row],[DEVELOPMENT]],Data[],4,FALSE),"")</f>
        <v>2020-2021</v>
      </c>
      <c r="L74" s="50" t="str">
        <f ca="1">IF(IntComp24[[#This Row],[RAD/PACT]]="","",IF(OR(IntComp24[[#This Row],[RAD/PACT]]="2022-2025",IntComp24[[#This Row],[RAD/PACT]]=2019,IntComp24[[#This Row],[RAD/PACT]]="2020-2021"),"Yes",""))</f>
        <v>Yes</v>
      </c>
      <c r="M74" s="51">
        <f ca="1">IF(VLOOKUP(IntComp24[[#This Row],[DEVELOPMENT]],Data[],10,FALSE)=0,-1,DATEDIF(VLOOKUP(IntComp24[[#This Row],[DEVELOPMENT]],Data[],12,FALSE),TODAY(),"Y"))</f>
        <v>29</v>
      </c>
      <c r="N7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4" s="51"/>
      <c r="P74" s="51"/>
      <c r="Q74" s="51"/>
      <c r="R74" s="47">
        <f ca="1">(IntComp24[[#This Row],['# to Replace (MRST)]]*INDEX(UnitCosts[#All],MATCH(IntComp24[[#This Row],[WORK TYPE]],UnitCosts[Work Type],0)+1,2))*(1+((IntComp24[[#This Row],[est. Year]]-YEAR(TODAY()))*$R$2))</f>
        <v>0</v>
      </c>
      <c r="S74" s="1">
        <f ca="1">SUM(INDEX(IntComp24['# to Replace (MRST)],1):IntComp24[[#This Row],['# to Replace (MRST)]])</f>
        <v>13</v>
      </c>
      <c r="T74" s="51"/>
      <c r="U74" s="51">
        <f ca="1">IF(ISBLANK(IntComp24[[#This Row],[CALENDAR YEAR]]),ROUNDDOWN(IntComp24[[#This Row],[Count]]/50,0)+$U$1,IntComp24[[#This Row],[CALENDAR YEAR]])</f>
        <v>2022</v>
      </c>
      <c r="V74" s="69">
        <f t="shared" ca="1" si="1"/>
        <v>0</v>
      </c>
      <c r="X74"/>
    </row>
    <row r="75" spans="1:24" hidden="1">
      <c r="A75" s="13" t="s">
        <v>354</v>
      </c>
      <c r="B75" s="9" t="str">
        <f>VLOOKUP(A75,Data[],2,FALSE)</f>
        <v>BROOKLYN</v>
      </c>
      <c r="C75" s="9" t="s">
        <v>106</v>
      </c>
      <c r="D75" s="9" t="str">
        <f>VLOOKUP(IntComp24[[#This Row],[DEVELOPMENT]],Data[],52,FALSE)</f>
        <v>FEDERAL</v>
      </c>
      <c r="E75" s="50">
        <f>VLOOKUP(IntComp24[[#This Row],[DEVELOPMENT]],Data[],8,FALSE)</f>
        <v>0</v>
      </c>
      <c r="F75" s="50">
        <f>VLOOKUP(IntComp24[[#This Row],[DEVELOPMENT]],all[[DEVELOPMENT]:[MRST Ext. Comp. Priority]],13,FALSE)</f>
        <v>2</v>
      </c>
      <c r="G75" s="50">
        <f>IF(VLOOKUP(IntComp24[[#This Row],[DEVELOPMENT]],Data[],9,FALSE)=0,5,VLOOKUP(IntComp24[[#This Row],[DEVELOPMENT]],Data[],9,FALSE))</f>
        <v>5</v>
      </c>
      <c r="H75" s="50">
        <f>VLOOKUP(IntComp24[[#This Row],[DEVELOPMENT]],Data[],7,FALSE)</f>
        <v>336</v>
      </c>
      <c r="I75" s="50">
        <f>VLOOKUP(IntComp24[[#This Row],[DEVELOPMENT]],Data[],5,FALSE)</f>
        <v>3</v>
      </c>
      <c r="J75" s="50"/>
      <c r="K75" s="50" t="str">
        <f ca="1">IFERROR(VLOOKUP(IntComp24[[#This Row],[DEVELOPMENT]],Data[],4,FALSE),"")</f>
        <v/>
      </c>
      <c r="L75" s="50" t="str">
        <f ca="1">IF(IntComp24[[#This Row],[RAD/PACT]]="","",IF(OR(IntComp24[[#This Row],[RAD/PACT]]="2022-2025",IntComp24[[#This Row],[RAD/PACT]]=2019,IntComp24[[#This Row],[RAD/PACT]]="2020-2021"),"Yes",""))</f>
        <v/>
      </c>
      <c r="M75" s="51">
        <f ca="1">IF(VLOOKUP(IntComp24[[#This Row],[DEVELOPMENT]],Data[],10,FALSE)=0,-1,DATEDIF(VLOOKUP(IntComp24[[#This Row],[DEVELOPMENT]],Data[],12,FALSE),TODAY(),"Y"))</f>
        <v>29</v>
      </c>
      <c r="N7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5" s="51"/>
      <c r="P75" s="51"/>
      <c r="Q75" s="51"/>
      <c r="R75" s="47">
        <f ca="1">(IntComp24[[#This Row],['# to Replace (MRST)]]*INDEX(UnitCosts[#All],MATCH(IntComp24[[#This Row],[WORK TYPE]],UnitCosts[Work Type],0)+1,2))*(1+((IntComp24[[#This Row],[est. Year]]-YEAR(TODAY()))*$R$2))</f>
        <v>0</v>
      </c>
      <c r="S75" s="1">
        <f ca="1">SUM(INDEX(IntComp24['# to Replace (MRST)],1):IntComp24[[#This Row],['# to Replace (MRST)]])</f>
        <v>13</v>
      </c>
      <c r="T75" s="51"/>
      <c r="U75" s="51">
        <f ca="1">IF(ISBLANK(IntComp24[[#This Row],[CALENDAR YEAR]]),ROUNDDOWN(IntComp24[[#This Row],[Count]]/50,0)+$U$1,IntComp24[[#This Row],[CALENDAR YEAR]])</f>
        <v>2022</v>
      </c>
      <c r="V75" s="69">
        <f t="shared" ca="1" si="1"/>
        <v>0</v>
      </c>
      <c r="X75"/>
    </row>
    <row r="76" spans="1:24" hidden="1">
      <c r="A76" s="13" t="s">
        <v>294</v>
      </c>
      <c r="B76" s="9" t="str">
        <f>VLOOKUP(A76,Data[],2,FALSE)</f>
        <v>BROOKLYN</v>
      </c>
      <c r="C76" s="9" t="s">
        <v>106</v>
      </c>
      <c r="D76" s="9" t="str">
        <f>VLOOKUP(IntComp24[[#This Row],[DEVELOPMENT]],Data[],52,FALSE)</f>
        <v>FEDERAL</v>
      </c>
      <c r="E76" s="50">
        <f>VLOOKUP(IntComp24[[#This Row],[DEVELOPMENT]],Data[],8,FALSE)</f>
        <v>0</v>
      </c>
      <c r="F76" s="50">
        <f>VLOOKUP(IntComp24[[#This Row],[DEVELOPMENT]],all[[DEVELOPMENT]:[MRST Ext. Comp. Priority]],13,FALSE)</f>
        <v>2</v>
      </c>
      <c r="G76" s="50">
        <f>IF(VLOOKUP(IntComp24[[#This Row],[DEVELOPMENT]],Data[],9,FALSE)=0,5,VLOOKUP(IntComp24[[#This Row],[DEVELOPMENT]],Data[],9,FALSE))</f>
        <v>5</v>
      </c>
      <c r="H76" s="50">
        <f>VLOOKUP(IntComp24[[#This Row],[DEVELOPMENT]],Data[],7,FALSE)</f>
        <v>200</v>
      </c>
      <c r="I76" s="50">
        <f>VLOOKUP(IntComp24[[#This Row],[DEVELOPMENT]],Data[],5,FALSE)</f>
        <v>1</v>
      </c>
      <c r="J76" s="50"/>
      <c r="K76" s="50">
        <f ca="1">IFERROR(VLOOKUP(IntComp24[[#This Row],[DEVELOPMENT]],Data[],4,FALSE),"")</f>
        <v>2019</v>
      </c>
      <c r="L76" s="50" t="str">
        <f ca="1">IF(IntComp24[[#This Row],[RAD/PACT]]="","",IF(OR(IntComp24[[#This Row],[RAD/PACT]]="2022-2025",IntComp24[[#This Row],[RAD/PACT]]=2019,IntComp24[[#This Row],[RAD/PACT]]="2020-2021"),"Yes",""))</f>
        <v>Yes</v>
      </c>
      <c r="M76" s="51">
        <f ca="1">IF(VLOOKUP(IntComp24[[#This Row],[DEVELOPMENT]],Data[],10,FALSE)=0,-1,DATEDIF(VLOOKUP(IntComp24[[#This Row],[DEVELOPMENT]],Data[],12,FALSE),TODAY(),"Y"))</f>
        <v>26</v>
      </c>
      <c r="N7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6" s="51"/>
      <c r="P76" s="51"/>
      <c r="Q76" s="51"/>
      <c r="R76" s="47">
        <f ca="1">(IntComp24[[#This Row],['# to Replace (MRST)]]*INDEX(UnitCosts[#All],MATCH(IntComp24[[#This Row],[WORK TYPE]],UnitCosts[Work Type],0)+1,2))*(1+((IntComp24[[#This Row],[est. Year]]-YEAR(TODAY()))*$R$2))</f>
        <v>0</v>
      </c>
      <c r="S76" s="1">
        <f ca="1">SUM(INDEX(IntComp24['# to Replace (MRST)],1):IntComp24[[#This Row],['# to Replace (MRST)]])</f>
        <v>13</v>
      </c>
      <c r="T76" s="51"/>
      <c r="U76" s="51">
        <f ca="1">IF(ISBLANK(IntComp24[[#This Row],[CALENDAR YEAR]]),ROUNDDOWN(IntComp24[[#This Row],[Count]]/50,0)+$U$1,IntComp24[[#This Row],[CALENDAR YEAR]])</f>
        <v>2022</v>
      </c>
      <c r="V76" s="69">
        <f t="shared" ca="1" si="1"/>
        <v>0</v>
      </c>
      <c r="X76"/>
    </row>
    <row r="77" spans="1:24" hidden="1">
      <c r="A77" s="13" t="s">
        <v>368</v>
      </c>
      <c r="B77" s="9" t="str">
        <f>VLOOKUP(A77,Data[],2,FALSE)</f>
        <v>BROOKLYN</v>
      </c>
      <c r="C77" s="9" t="s">
        <v>106</v>
      </c>
      <c r="D77" s="9" t="str">
        <f>VLOOKUP(IntComp24[[#This Row],[DEVELOPMENT]],Data[],52,FALSE)</f>
        <v>FEDERAL</v>
      </c>
      <c r="E77" s="50">
        <f>VLOOKUP(IntComp24[[#This Row],[DEVELOPMENT]],Data[],8,FALSE)</f>
        <v>0</v>
      </c>
      <c r="F77" s="50">
        <f>VLOOKUP(IntComp24[[#This Row],[DEVELOPMENT]],all[[DEVELOPMENT]:[MRST Ext. Comp. Priority]],13,FALSE)</f>
        <v>2</v>
      </c>
      <c r="G77" s="50">
        <f>IF(VLOOKUP(IntComp24[[#This Row],[DEVELOPMENT]],Data[],9,FALSE)=0,5,VLOOKUP(IntComp24[[#This Row],[DEVELOPMENT]],Data[],9,FALSE))</f>
        <v>5</v>
      </c>
      <c r="H77" s="50">
        <f>VLOOKUP(IntComp24[[#This Row],[DEVELOPMENT]],Data[],7,FALSE)</f>
        <v>100</v>
      </c>
      <c r="I77" s="50">
        <f>VLOOKUP(IntComp24[[#This Row],[DEVELOPMENT]],Data[],5,FALSE)</f>
        <v>3</v>
      </c>
      <c r="J77" s="50"/>
      <c r="K77" s="50" t="str">
        <f ca="1">IFERROR(VLOOKUP(IntComp24[[#This Row],[DEVELOPMENT]],Data[],4,FALSE),"")</f>
        <v>2020-2021</v>
      </c>
      <c r="L77" s="50" t="str">
        <f ca="1">IF(IntComp24[[#This Row],[RAD/PACT]]="","",IF(OR(IntComp24[[#This Row],[RAD/PACT]]="2022-2025",IntComp24[[#This Row],[RAD/PACT]]=2019,IntComp24[[#This Row],[RAD/PACT]]="2020-2021"),"Yes",""))</f>
        <v>Yes</v>
      </c>
      <c r="M77" s="51">
        <f ca="1">IF(VLOOKUP(IntComp24[[#This Row],[DEVELOPMENT]],Data[],10,FALSE)=0,-1,DATEDIF(VLOOKUP(IntComp24[[#This Row],[DEVELOPMENT]],Data[],12,FALSE),TODAY(),"Y"))</f>
        <v>26</v>
      </c>
      <c r="N7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7" s="51"/>
      <c r="P77" s="51"/>
      <c r="Q77" s="51"/>
      <c r="R77" s="47">
        <f ca="1">(IntComp24[[#This Row],['# to Replace (MRST)]]*INDEX(UnitCosts[#All],MATCH(IntComp24[[#This Row],[WORK TYPE]],UnitCosts[Work Type],0)+1,2))*(1+((IntComp24[[#This Row],[est. Year]]-YEAR(TODAY()))*$R$2))</f>
        <v>0</v>
      </c>
      <c r="S77" s="1">
        <f ca="1">SUM(INDEX(IntComp24['# to Replace (MRST)],1):IntComp24[[#This Row],['# to Replace (MRST)]])</f>
        <v>13</v>
      </c>
      <c r="T77" s="51"/>
      <c r="U77" s="51">
        <f ca="1">IF(ISBLANK(IntComp24[[#This Row],[CALENDAR YEAR]]),ROUNDDOWN(IntComp24[[#This Row],[Count]]/50,0)+$U$1,IntComp24[[#This Row],[CALENDAR YEAR]])</f>
        <v>2022</v>
      </c>
      <c r="V77" s="69">
        <f t="shared" ca="1" si="1"/>
        <v>0</v>
      </c>
      <c r="X77"/>
    </row>
    <row r="78" spans="1:24" hidden="1">
      <c r="A78" s="13" t="s">
        <v>282</v>
      </c>
      <c r="B78" s="9" t="str">
        <f>VLOOKUP(A78,Data[],2,FALSE)</f>
        <v>MANHATTAN</v>
      </c>
      <c r="C78" s="9" t="s">
        <v>106</v>
      </c>
      <c r="D78" s="9" t="str">
        <f>VLOOKUP(IntComp24[[#This Row],[DEVELOPMENT]],Data[],52,FALSE)</f>
        <v>MIXED FINANCE/LLC2</v>
      </c>
      <c r="E78" s="50">
        <f>VLOOKUP(IntComp24[[#This Row],[DEVELOPMENT]],Data[],8,FALSE)</f>
        <v>0</v>
      </c>
      <c r="F78" s="50">
        <f>VLOOKUP(IntComp24[[#This Row],[DEVELOPMENT]],all[[DEVELOPMENT]:[MRST Ext. Comp. Priority]],13,FALSE)</f>
        <v>2</v>
      </c>
      <c r="G78" s="50">
        <f>IF(VLOOKUP(IntComp24[[#This Row],[DEVELOPMENT]],Data[],9,FALSE)=0,5,VLOOKUP(IntComp24[[#This Row],[DEVELOPMENT]],Data[],9,FALSE))</f>
        <v>5</v>
      </c>
      <c r="H78" s="50">
        <f>VLOOKUP(IntComp24[[#This Row],[DEVELOPMENT]],Data[],7,FALSE)</f>
        <v>225</v>
      </c>
      <c r="I78" s="50">
        <f>VLOOKUP(IntComp24[[#This Row],[DEVELOPMENT]],Data[],5,FALSE)</f>
        <v>1</v>
      </c>
      <c r="J78" s="50"/>
      <c r="K78" s="50" t="str">
        <f ca="1">IFERROR(VLOOKUP(IntComp24[[#This Row],[DEVELOPMENT]],Data[],4,FALSE),"")</f>
        <v>2020-2021</v>
      </c>
      <c r="L78" s="50" t="str">
        <f ca="1">IF(IntComp24[[#This Row],[RAD/PACT]]="","",IF(OR(IntComp24[[#This Row],[RAD/PACT]]="2022-2025",IntComp24[[#This Row],[RAD/PACT]]=2019,IntComp24[[#This Row],[RAD/PACT]]="2020-2021"),"Yes",""))</f>
        <v>Yes</v>
      </c>
      <c r="M78" s="51">
        <f ca="1">IF(VLOOKUP(IntComp24[[#This Row],[DEVELOPMENT]],Data[],10,FALSE)=0,-1,DATEDIF(VLOOKUP(IntComp24[[#This Row],[DEVELOPMENT]],Data[],12,FALSE),TODAY(),"Y"))</f>
        <v>24</v>
      </c>
      <c r="N7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8" s="51"/>
      <c r="P78" s="51"/>
      <c r="Q78" s="51"/>
      <c r="R78" s="47">
        <f ca="1">(IntComp24[[#This Row],['# to Replace (MRST)]]*INDEX(UnitCosts[#All],MATCH(IntComp24[[#This Row],[WORK TYPE]],UnitCosts[Work Type],0)+1,2))*(1+((IntComp24[[#This Row],[est. Year]]-YEAR(TODAY()))*$R$2))</f>
        <v>0</v>
      </c>
      <c r="S78" s="1">
        <f ca="1">SUM(INDEX(IntComp24['# to Replace (MRST)],1):IntComp24[[#This Row],['# to Replace (MRST)]])</f>
        <v>13</v>
      </c>
      <c r="T78" s="51"/>
      <c r="U78" s="51">
        <f ca="1">IF(ISBLANK(IntComp24[[#This Row],[CALENDAR YEAR]]),ROUNDDOWN(IntComp24[[#This Row],[Count]]/50,0)+$U$1,IntComp24[[#This Row],[CALENDAR YEAR]])</f>
        <v>2022</v>
      </c>
      <c r="V78" s="69">
        <f t="shared" ca="1" si="1"/>
        <v>0</v>
      </c>
      <c r="X78"/>
    </row>
    <row r="79" spans="1:24" hidden="1">
      <c r="A79" s="13" t="s">
        <v>315</v>
      </c>
      <c r="B79" s="9" t="str">
        <f>VLOOKUP(A79,Data[],2,FALSE)</f>
        <v>BROOKLYN</v>
      </c>
      <c r="C79" s="9" t="s">
        <v>106</v>
      </c>
      <c r="D79" s="9" t="str">
        <f>VLOOKUP(IntComp24[[#This Row],[DEVELOPMENT]],Data[],52,FALSE)</f>
        <v>FEDERAL</v>
      </c>
      <c r="E79" s="50">
        <f>VLOOKUP(IntComp24[[#This Row],[DEVELOPMENT]],Data[],8,FALSE)</f>
        <v>0</v>
      </c>
      <c r="F79" s="50">
        <f>VLOOKUP(IntComp24[[#This Row],[DEVELOPMENT]],all[[DEVELOPMENT]:[MRST Ext. Comp. Priority]],13,FALSE)</f>
        <v>2</v>
      </c>
      <c r="G79" s="50">
        <f>IF(VLOOKUP(IntComp24[[#This Row],[DEVELOPMENT]],Data[],9,FALSE)=0,5,VLOOKUP(IntComp24[[#This Row],[DEVELOPMENT]],Data[],9,FALSE))</f>
        <v>5</v>
      </c>
      <c r="H79" s="50">
        <f>VLOOKUP(IntComp24[[#This Row],[DEVELOPMENT]],Data[],7,FALSE)</f>
        <v>1439</v>
      </c>
      <c r="I79" s="50">
        <f>VLOOKUP(IntComp24[[#This Row],[DEVELOPMENT]],Data[],5,FALSE)</f>
        <v>15</v>
      </c>
      <c r="J79" s="50"/>
      <c r="K79" s="50" t="str">
        <f ca="1">IFERROR(VLOOKUP(IntComp24[[#This Row],[DEVELOPMENT]],Data[],4,FALSE),"")</f>
        <v>2022-2025</v>
      </c>
      <c r="L79" s="50" t="str">
        <f ca="1">IF(IntComp24[[#This Row],[RAD/PACT]]="","",IF(OR(IntComp24[[#This Row],[RAD/PACT]]="2022-2025",IntComp24[[#This Row],[RAD/PACT]]=2019,IntComp24[[#This Row],[RAD/PACT]]="2020-2021"),"Yes",""))</f>
        <v>Yes</v>
      </c>
      <c r="M79" s="51">
        <f ca="1">IF(VLOOKUP(IntComp24[[#This Row],[DEVELOPMENT]],Data[],10,FALSE)=0,-1,DATEDIF(VLOOKUP(IntComp24[[#This Row],[DEVELOPMENT]],Data[],12,FALSE),TODAY(),"Y"))</f>
        <v>24</v>
      </c>
      <c r="N7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79" s="51"/>
      <c r="P79" s="51"/>
      <c r="Q79" s="51"/>
      <c r="R79" s="47">
        <f ca="1">(IntComp24[[#This Row],['# to Replace (MRST)]]*INDEX(UnitCosts[#All],MATCH(IntComp24[[#This Row],[WORK TYPE]],UnitCosts[Work Type],0)+1,2))*(1+((IntComp24[[#This Row],[est. Year]]-YEAR(TODAY()))*$R$2))</f>
        <v>0</v>
      </c>
      <c r="S79" s="1">
        <f ca="1">SUM(INDEX(IntComp24['# to Replace (MRST)],1):IntComp24[[#This Row],['# to Replace (MRST)]])</f>
        <v>13</v>
      </c>
      <c r="T79" s="51"/>
      <c r="U79" s="51">
        <f ca="1">IF(ISBLANK(IntComp24[[#This Row],[CALENDAR YEAR]]),ROUNDDOWN(IntComp24[[#This Row],[Count]]/50,0)+$U$1,IntComp24[[#This Row],[CALENDAR YEAR]])</f>
        <v>2022</v>
      </c>
      <c r="V79" s="69">
        <f t="shared" ca="1" si="1"/>
        <v>0</v>
      </c>
      <c r="X79"/>
    </row>
    <row r="80" spans="1:24" hidden="1">
      <c r="A80" s="13" t="s">
        <v>216</v>
      </c>
      <c r="B80" s="9" t="str">
        <f>VLOOKUP(A80,Data[],2,FALSE)</f>
        <v>BROOKLYN</v>
      </c>
      <c r="C80" s="9" t="s">
        <v>106</v>
      </c>
      <c r="D80" s="9" t="str">
        <f>VLOOKUP(IntComp24[[#This Row],[DEVELOPMENT]],Data[],52,FALSE)</f>
        <v>FEDERAL</v>
      </c>
      <c r="E80" s="50">
        <f>VLOOKUP(IntComp24[[#This Row],[DEVELOPMENT]],Data[],8,FALSE)</f>
        <v>0</v>
      </c>
      <c r="F80" s="50">
        <f>VLOOKUP(IntComp24[[#This Row],[DEVELOPMENT]],all[[DEVELOPMENT]:[MRST Ext. Comp. Priority]],13,FALSE)</f>
        <v>2</v>
      </c>
      <c r="G80" s="50">
        <f>IF(VLOOKUP(IntComp24[[#This Row],[DEVELOPMENT]],Data[],9,FALSE)=0,5,VLOOKUP(IntComp24[[#This Row],[DEVELOPMENT]],Data[],9,FALSE))</f>
        <v>5</v>
      </c>
      <c r="H80" s="50">
        <f>VLOOKUP(IntComp24[[#This Row],[DEVELOPMENT]],Data[],7,FALSE)</f>
        <v>60</v>
      </c>
      <c r="I80" s="50">
        <f>VLOOKUP(IntComp24[[#This Row],[DEVELOPMENT]],Data[],5,FALSE)</f>
        <v>1</v>
      </c>
      <c r="J80" s="50"/>
      <c r="K80" s="50" t="str">
        <f ca="1">IFERROR(VLOOKUP(IntComp24[[#This Row],[DEVELOPMENT]],Data[],4,FALSE),"")</f>
        <v>2020-2021</v>
      </c>
      <c r="L80" s="50" t="str">
        <f ca="1">IF(IntComp24[[#This Row],[RAD/PACT]]="","",IF(OR(IntComp24[[#This Row],[RAD/PACT]]="2022-2025",IntComp24[[#This Row],[RAD/PACT]]=2019,IntComp24[[#This Row],[RAD/PACT]]="2020-2021"),"Yes",""))</f>
        <v>Yes</v>
      </c>
      <c r="M80" s="51">
        <f ca="1">IF(VLOOKUP(IntComp24[[#This Row],[DEVELOPMENT]],Data[],10,FALSE)=0,-1,DATEDIF(VLOOKUP(IntComp24[[#This Row],[DEVELOPMENT]],Data[],12,FALSE),TODAY(),"Y"))</f>
        <v>24</v>
      </c>
      <c r="N8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0" s="51"/>
      <c r="P80" s="51"/>
      <c r="Q80" s="51"/>
      <c r="R80" s="47">
        <f ca="1">(IntComp24[[#This Row],['# to Replace (MRST)]]*INDEX(UnitCosts[#All],MATCH(IntComp24[[#This Row],[WORK TYPE]],UnitCosts[Work Type],0)+1,2))*(1+((IntComp24[[#This Row],[est. Year]]-YEAR(TODAY()))*$R$2))</f>
        <v>0</v>
      </c>
      <c r="S80" s="1">
        <f ca="1">SUM(INDEX(IntComp24['# to Replace (MRST)],1):IntComp24[[#This Row],['# to Replace (MRST)]])</f>
        <v>13</v>
      </c>
      <c r="T80" s="51"/>
      <c r="U80" s="51">
        <f ca="1">IF(ISBLANK(IntComp24[[#This Row],[CALENDAR YEAR]]),ROUNDDOWN(IntComp24[[#This Row],[Count]]/50,0)+$U$1,IntComp24[[#This Row],[CALENDAR YEAR]])</f>
        <v>2022</v>
      </c>
      <c r="V80" s="69">
        <f t="shared" ca="1" si="1"/>
        <v>0</v>
      </c>
      <c r="X80"/>
    </row>
    <row r="81" spans="1:24" hidden="1">
      <c r="A81" s="13" t="s">
        <v>295</v>
      </c>
      <c r="B81" s="9" t="str">
        <f>VLOOKUP(A81,Data[],2,FALSE)</f>
        <v>MANHATTAN</v>
      </c>
      <c r="C81" s="9" t="s">
        <v>106</v>
      </c>
      <c r="D81" s="9" t="str">
        <f>VLOOKUP(IntComp24[[#This Row],[DEVELOPMENT]],Data[],52,FALSE)</f>
        <v>FEDERAL</v>
      </c>
      <c r="E81" s="50">
        <f>VLOOKUP(IntComp24[[#This Row],[DEVELOPMENT]],Data[],8,FALSE)</f>
        <v>0</v>
      </c>
      <c r="F81" s="50">
        <f>VLOOKUP(IntComp24[[#This Row],[DEVELOPMENT]],all[[DEVELOPMENT]:[MRST Ext. Comp. Priority]],13,FALSE)</f>
        <v>2</v>
      </c>
      <c r="G81" s="50">
        <f>IF(VLOOKUP(IntComp24[[#This Row],[DEVELOPMENT]],Data[],9,FALSE)=0,5,VLOOKUP(IntComp24[[#This Row],[DEVELOPMENT]],Data[],9,FALSE))</f>
        <v>5</v>
      </c>
      <c r="H81" s="50">
        <f>VLOOKUP(IntComp24[[#This Row],[DEVELOPMENT]],Data[],7,FALSE)</f>
        <v>158</v>
      </c>
      <c r="I81" s="50">
        <f>VLOOKUP(IntComp24[[#This Row],[DEVELOPMENT]],Data[],5,FALSE)</f>
        <v>1</v>
      </c>
      <c r="J81" s="50"/>
      <c r="K81" s="50" t="str">
        <f ca="1">IFERROR(VLOOKUP(IntComp24[[#This Row],[DEVELOPMENT]],Data[],4,FALSE),"")</f>
        <v/>
      </c>
      <c r="L81" s="50" t="str">
        <f ca="1">IF(IntComp24[[#This Row],[RAD/PACT]]="","",IF(OR(IntComp24[[#This Row],[RAD/PACT]]="2022-2025",IntComp24[[#This Row],[RAD/PACT]]=2019,IntComp24[[#This Row],[RAD/PACT]]="2020-2021"),"Yes",""))</f>
        <v/>
      </c>
      <c r="M81" s="51">
        <f ca="1">IF(VLOOKUP(IntComp24[[#This Row],[DEVELOPMENT]],Data[],10,FALSE)=0,-1,DATEDIF(VLOOKUP(IntComp24[[#This Row],[DEVELOPMENT]],Data[],12,FALSE),TODAY(),"Y"))</f>
        <v>24</v>
      </c>
      <c r="N8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1" s="51"/>
      <c r="P81" s="51"/>
      <c r="Q81" s="51"/>
      <c r="R81" s="47">
        <f ca="1">(IntComp24[[#This Row],['# to Replace (MRST)]]*INDEX(UnitCosts[#All],MATCH(IntComp24[[#This Row],[WORK TYPE]],UnitCosts[Work Type],0)+1,2))*(1+((IntComp24[[#This Row],[est. Year]]-YEAR(TODAY()))*$R$2))</f>
        <v>0</v>
      </c>
      <c r="S81" s="1">
        <f ca="1">SUM(INDEX(IntComp24['# to Replace (MRST)],1):IntComp24[[#This Row],['# to Replace (MRST)]])</f>
        <v>13</v>
      </c>
      <c r="T81" s="51"/>
      <c r="U81" s="51">
        <f ca="1">IF(ISBLANK(IntComp24[[#This Row],[CALENDAR YEAR]]),ROUNDDOWN(IntComp24[[#This Row],[Count]]/50,0)+$U$1,IntComp24[[#This Row],[CALENDAR YEAR]])</f>
        <v>2022</v>
      </c>
      <c r="V81" s="69">
        <f t="shared" ca="1" si="1"/>
        <v>0</v>
      </c>
      <c r="X81"/>
    </row>
    <row r="82" spans="1:24" hidden="1">
      <c r="A82" s="13" t="s">
        <v>263</v>
      </c>
      <c r="B82" s="9" t="str">
        <f>VLOOKUP(A82,Data[],2,FALSE)</f>
        <v>MANHATTAN</v>
      </c>
      <c r="C82" s="9" t="s">
        <v>106</v>
      </c>
      <c r="D82" s="9" t="str">
        <f>VLOOKUP(IntComp24[[#This Row],[DEVELOPMENT]],Data[],52,FALSE)</f>
        <v>FEDERAL</v>
      </c>
      <c r="E82" s="50" t="str">
        <f>VLOOKUP(IntComp24[[#This Row],[DEVELOPMENT]],Data[],8,FALSE)</f>
        <v>Zone 3</v>
      </c>
      <c r="F82" s="50">
        <f>VLOOKUP(IntComp24[[#This Row],[DEVELOPMENT]],all[[DEVELOPMENT]:[MRST Ext. Comp. Priority]],13,FALSE)</f>
        <v>2</v>
      </c>
      <c r="G82" s="50">
        <f>IF(VLOOKUP(IntComp24[[#This Row],[DEVELOPMENT]],Data[],9,FALSE)=0,5,VLOOKUP(IntComp24[[#This Row],[DEVELOPMENT]],Data[],9,FALSE))</f>
        <v>5</v>
      </c>
      <c r="H82" s="50">
        <f>VLOOKUP(IntComp24[[#This Row],[DEVELOPMENT]],Data[],7,FALSE)</f>
        <v>219</v>
      </c>
      <c r="I82" s="50">
        <f>VLOOKUP(IntComp24[[#This Row],[DEVELOPMENT]],Data[],5,FALSE)</f>
        <v>1</v>
      </c>
      <c r="J82" s="50"/>
      <c r="K82" s="50" t="str">
        <f ca="1">IFERROR(VLOOKUP(IntComp24[[#This Row],[DEVELOPMENT]],Data[],4,FALSE),"")</f>
        <v/>
      </c>
      <c r="L82" s="50" t="str">
        <f ca="1">IF(IntComp24[[#This Row],[RAD/PACT]]="","",IF(OR(IntComp24[[#This Row],[RAD/PACT]]="2022-2025",IntComp24[[#This Row],[RAD/PACT]]=2019,IntComp24[[#This Row],[RAD/PACT]]="2020-2021"),"Yes",""))</f>
        <v/>
      </c>
      <c r="M82" s="51">
        <f ca="1">IF(VLOOKUP(IntComp24[[#This Row],[DEVELOPMENT]],Data[],10,FALSE)=0,-1,DATEDIF(VLOOKUP(IntComp24[[#This Row],[DEVELOPMENT]],Data[],12,FALSE),TODAY(),"Y"))</f>
        <v>24</v>
      </c>
      <c r="N8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2" s="51"/>
      <c r="P82" s="51"/>
      <c r="Q82" s="51"/>
      <c r="R82" s="47">
        <f ca="1">(IntComp24[[#This Row],['# to Replace (MRST)]]*INDEX(UnitCosts[#All],MATCH(IntComp24[[#This Row],[WORK TYPE]],UnitCosts[Work Type],0)+1,2))*(1+((IntComp24[[#This Row],[est. Year]]-YEAR(TODAY()))*$R$2))</f>
        <v>0</v>
      </c>
      <c r="S82" s="1">
        <f ca="1">SUM(INDEX(IntComp24['# to Replace (MRST)],1):IntComp24[[#This Row],['# to Replace (MRST)]])</f>
        <v>13</v>
      </c>
      <c r="T82" s="51"/>
      <c r="U82" s="51">
        <f ca="1">IF(ISBLANK(IntComp24[[#This Row],[CALENDAR YEAR]]),ROUNDDOWN(IntComp24[[#This Row],[Count]]/50,0)+$U$1,IntComp24[[#This Row],[CALENDAR YEAR]])</f>
        <v>2022</v>
      </c>
      <c r="V82" s="69">
        <f t="shared" ca="1" si="1"/>
        <v>0</v>
      </c>
      <c r="X82"/>
    </row>
    <row r="83" spans="1:24" hidden="1">
      <c r="A83" s="13" t="s">
        <v>264</v>
      </c>
      <c r="B83" s="9" t="str">
        <f>VLOOKUP(A83,Data[],2,FALSE)</f>
        <v>BRONX</v>
      </c>
      <c r="C83" s="9" t="s">
        <v>106</v>
      </c>
      <c r="D83" s="9" t="str">
        <f>VLOOKUP(IntComp24[[#This Row],[DEVELOPMENT]],Data[],52,FALSE)</f>
        <v>FEDERAL</v>
      </c>
      <c r="E83" s="50">
        <f>VLOOKUP(IntComp24[[#This Row],[DEVELOPMENT]],Data[],8,FALSE)</f>
        <v>0</v>
      </c>
      <c r="F83" s="50">
        <f>VLOOKUP(IntComp24[[#This Row],[DEVELOPMENT]],all[[DEVELOPMENT]:[MRST Ext. Comp. Priority]],13,FALSE)</f>
        <v>2</v>
      </c>
      <c r="G83" s="50">
        <f>IF(VLOOKUP(IntComp24[[#This Row],[DEVELOPMENT]],Data[],9,FALSE)=0,5,VLOOKUP(IntComp24[[#This Row],[DEVELOPMENT]],Data[],9,FALSE))</f>
        <v>5</v>
      </c>
      <c r="H83" s="50">
        <f>VLOOKUP(IntComp24[[#This Row],[DEVELOPMENT]],Data[],7,FALSE)</f>
        <v>65</v>
      </c>
      <c r="I83" s="50">
        <f>VLOOKUP(IntComp24[[#This Row],[DEVELOPMENT]],Data[],5,FALSE)</f>
        <v>1</v>
      </c>
      <c r="J83" s="50"/>
      <c r="K83" s="50" t="str">
        <f ca="1">IFERROR(VLOOKUP(IntComp24[[#This Row],[DEVELOPMENT]],Data[],4,FALSE),"")</f>
        <v>2026+</v>
      </c>
      <c r="L83" s="50" t="str">
        <f ca="1">IF(IntComp24[[#This Row],[RAD/PACT]]="","",IF(OR(IntComp24[[#This Row],[RAD/PACT]]="2022-2025",IntComp24[[#This Row],[RAD/PACT]]=2019,IntComp24[[#This Row],[RAD/PACT]]="2020-2021"),"Yes",""))</f>
        <v/>
      </c>
      <c r="M83" s="51">
        <f ca="1">IF(VLOOKUP(IntComp24[[#This Row],[DEVELOPMENT]],Data[],10,FALSE)=0,-1,DATEDIF(VLOOKUP(IntComp24[[#This Row],[DEVELOPMENT]],Data[],12,FALSE),TODAY(),"Y"))</f>
        <v>24</v>
      </c>
      <c r="N8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3" s="51"/>
      <c r="P83" s="51"/>
      <c r="Q83" s="51"/>
      <c r="R83" s="47">
        <f ca="1">(IntComp24[[#This Row],['# to Replace (MRST)]]*INDEX(UnitCosts[#All],MATCH(IntComp24[[#This Row],[WORK TYPE]],UnitCosts[Work Type],0)+1,2))*(1+((IntComp24[[#This Row],[est. Year]]-YEAR(TODAY()))*$R$2))</f>
        <v>0</v>
      </c>
      <c r="S83" s="1">
        <f ca="1">SUM(INDEX(IntComp24['# to Replace (MRST)],1):IntComp24[[#This Row],['# to Replace (MRST)]])</f>
        <v>13</v>
      </c>
      <c r="T83" s="51"/>
      <c r="U83" s="51">
        <f ca="1">IF(ISBLANK(IntComp24[[#This Row],[CALENDAR YEAR]]),ROUNDDOWN(IntComp24[[#This Row],[Count]]/50,0)+$U$1,IntComp24[[#This Row],[CALENDAR YEAR]])</f>
        <v>2022</v>
      </c>
      <c r="V83" s="69">
        <f t="shared" ca="1" si="1"/>
        <v>0</v>
      </c>
      <c r="X83"/>
    </row>
    <row r="84" spans="1:24" hidden="1">
      <c r="A84" s="13" t="s">
        <v>336</v>
      </c>
      <c r="B84" s="9" t="str">
        <f>VLOOKUP(A84,Data[],2,FALSE)</f>
        <v>QUEENS</v>
      </c>
      <c r="C84" s="9" t="s">
        <v>106</v>
      </c>
      <c r="D84" s="9" t="str">
        <f>VLOOKUP(IntComp24[[#This Row],[DEVELOPMENT]],Data[],52,FALSE)</f>
        <v>FEDERAL</v>
      </c>
      <c r="E84" s="50">
        <f>VLOOKUP(IntComp24[[#This Row],[DEVELOPMENT]],Data[],8,FALSE)</f>
        <v>0</v>
      </c>
      <c r="F84" s="50">
        <f>VLOOKUP(IntComp24[[#This Row],[DEVELOPMENT]],all[[DEVELOPMENT]:[MRST Ext. Comp. Priority]],13,FALSE)</f>
        <v>2</v>
      </c>
      <c r="G84" s="50">
        <f>IF(VLOOKUP(IntComp24[[#This Row],[DEVELOPMENT]],Data[],9,FALSE)=0,5,VLOOKUP(IntComp24[[#This Row],[DEVELOPMENT]],Data[],9,FALSE))</f>
        <v>5</v>
      </c>
      <c r="H84" s="50">
        <f>VLOOKUP(IntComp24[[#This Row],[DEVELOPMENT]],Data[],7,FALSE)</f>
        <v>146</v>
      </c>
      <c r="I84" s="50">
        <f>VLOOKUP(IntComp24[[#This Row],[DEVELOPMENT]],Data[],5,FALSE)</f>
        <v>1</v>
      </c>
      <c r="J84" s="50"/>
      <c r="K84" s="50" t="str">
        <f ca="1">IFERROR(VLOOKUP(IntComp24[[#This Row],[DEVELOPMENT]],Data[],4,FALSE),"")</f>
        <v/>
      </c>
      <c r="L84" s="50" t="str">
        <f ca="1">IF(IntComp24[[#This Row],[RAD/PACT]]="","",IF(OR(IntComp24[[#This Row],[RAD/PACT]]="2022-2025",IntComp24[[#This Row],[RAD/PACT]]=2019,IntComp24[[#This Row],[RAD/PACT]]="2020-2021"),"Yes",""))</f>
        <v/>
      </c>
      <c r="M84" s="51">
        <f ca="1">IF(VLOOKUP(IntComp24[[#This Row],[DEVELOPMENT]],Data[],10,FALSE)=0,-1,DATEDIF(VLOOKUP(IntComp24[[#This Row],[DEVELOPMENT]],Data[],12,FALSE),TODAY(),"Y"))</f>
        <v>24</v>
      </c>
      <c r="N8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4" s="51"/>
      <c r="P84" s="51"/>
      <c r="Q84" s="51"/>
      <c r="R84" s="47">
        <f ca="1">(IntComp24[[#This Row],['# to Replace (MRST)]]*INDEX(UnitCosts[#All],MATCH(IntComp24[[#This Row],[WORK TYPE]],UnitCosts[Work Type],0)+1,2))*(1+((IntComp24[[#This Row],[est. Year]]-YEAR(TODAY()))*$R$2))</f>
        <v>0</v>
      </c>
      <c r="S84" s="1">
        <f ca="1">SUM(INDEX(IntComp24['# to Replace (MRST)],1):IntComp24[[#This Row],['# to Replace (MRST)]])</f>
        <v>13</v>
      </c>
      <c r="T84" s="51"/>
      <c r="U84" s="51">
        <f ca="1">IF(ISBLANK(IntComp24[[#This Row],[CALENDAR YEAR]]),ROUNDDOWN(IntComp24[[#This Row],[Count]]/50,0)+$U$1,IntComp24[[#This Row],[CALENDAR YEAR]])</f>
        <v>2022</v>
      </c>
      <c r="V84" s="69">
        <f t="shared" ca="1" si="1"/>
        <v>0</v>
      </c>
      <c r="X84"/>
    </row>
    <row r="85" spans="1:24" hidden="1">
      <c r="A85" s="13" t="s">
        <v>389</v>
      </c>
      <c r="B85" s="9" t="str">
        <f>VLOOKUP(A85,Data[],2,FALSE)</f>
        <v>MANHATTAN</v>
      </c>
      <c r="C85" s="9" t="s">
        <v>106</v>
      </c>
      <c r="D85" s="9" t="str">
        <f>VLOOKUP(IntComp24[[#This Row],[DEVELOPMENT]],Data[],52,FALSE)</f>
        <v>FEDERAL</v>
      </c>
      <c r="E85" s="50" t="str">
        <f>VLOOKUP(IntComp24[[#This Row],[DEVELOPMENT]],Data[],8,FALSE)</f>
        <v>Zone 4</v>
      </c>
      <c r="F85" s="50">
        <f>VLOOKUP(IntComp24[[#This Row],[DEVELOPMENT]],all[[DEVELOPMENT]:[MRST Ext. Comp. Priority]],13,FALSE)</f>
        <v>2</v>
      </c>
      <c r="G85" s="50">
        <f>IF(VLOOKUP(IntComp24[[#This Row],[DEVELOPMENT]],Data[],9,FALSE)=0,5,VLOOKUP(IntComp24[[#This Row],[DEVELOPMENT]],Data[],9,FALSE))</f>
        <v>5</v>
      </c>
      <c r="H85" s="50">
        <f>VLOOKUP(IntComp24[[#This Row],[DEVELOPMENT]],Data[],7,FALSE)</f>
        <v>69</v>
      </c>
      <c r="I85" s="50">
        <f>VLOOKUP(IntComp24[[#This Row],[DEVELOPMENT]],Data[],5,FALSE)</f>
        <v>1</v>
      </c>
      <c r="J85" s="50"/>
      <c r="K85" s="50" t="str">
        <f ca="1">IFERROR(VLOOKUP(IntComp24[[#This Row],[DEVELOPMENT]],Data[],4,FALSE),"")</f>
        <v/>
      </c>
      <c r="L85" s="50" t="str">
        <f ca="1">IF(IntComp24[[#This Row],[RAD/PACT]]="","",IF(OR(IntComp24[[#This Row],[RAD/PACT]]="2022-2025",IntComp24[[#This Row],[RAD/PACT]]=2019,IntComp24[[#This Row],[RAD/PACT]]="2020-2021"),"Yes",""))</f>
        <v/>
      </c>
      <c r="M85" s="51">
        <f ca="1">IF(VLOOKUP(IntComp24[[#This Row],[DEVELOPMENT]],Data[],10,FALSE)=0,-1,DATEDIF(VLOOKUP(IntComp24[[#This Row],[DEVELOPMENT]],Data[],12,FALSE),TODAY(),"Y"))</f>
        <v>24</v>
      </c>
      <c r="N8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5" s="51"/>
      <c r="P85" s="51"/>
      <c r="Q85" s="51"/>
      <c r="R85" s="47">
        <f ca="1">(IntComp24[[#This Row],['# to Replace (MRST)]]*INDEX(UnitCosts[#All],MATCH(IntComp24[[#This Row],[WORK TYPE]],UnitCosts[Work Type],0)+1,2))*(1+((IntComp24[[#This Row],[est. Year]]-YEAR(TODAY()))*$R$2))</f>
        <v>0</v>
      </c>
      <c r="S85" s="1">
        <f ca="1">SUM(INDEX(IntComp24['# to Replace (MRST)],1):IntComp24[[#This Row],['# to Replace (MRST)]])</f>
        <v>13</v>
      </c>
      <c r="T85" s="51"/>
      <c r="U85" s="51">
        <f ca="1">IF(ISBLANK(IntComp24[[#This Row],[CALENDAR YEAR]]),ROUNDDOWN(IntComp24[[#This Row],[Count]]/50,0)+$U$1,IntComp24[[#This Row],[CALENDAR YEAR]])</f>
        <v>2022</v>
      </c>
      <c r="V85" s="69">
        <f t="shared" ca="1" si="1"/>
        <v>0</v>
      </c>
      <c r="X85"/>
    </row>
    <row r="86" spans="1:24" hidden="1">
      <c r="A86" s="13" t="s">
        <v>390</v>
      </c>
      <c r="B86" s="9" t="str">
        <f>VLOOKUP(A86,Data[],2,FALSE)</f>
        <v>MANHATTAN</v>
      </c>
      <c r="C86" s="9" t="s">
        <v>106</v>
      </c>
      <c r="D86" s="9" t="str">
        <f>VLOOKUP(IntComp24[[#This Row],[DEVELOPMENT]],Data[],52,FALSE)</f>
        <v>FEDERAL</v>
      </c>
      <c r="E86" s="50" t="str">
        <f>VLOOKUP(IntComp24[[#This Row],[DEVELOPMENT]],Data[],8,FALSE)</f>
        <v>Zone 4</v>
      </c>
      <c r="F86" s="50">
        <f>VLOOKUP(IntComp24[[#This Row],[DEVELOPMENT]],all[[DEVELOPMENT]:[MRST Ext. Comp. Priority]],13,FALSE)</f>
        <v>2</v>
      </c>
      <c r="G86" s="50">
        <f>IF(VLOOKUP(IntComp24[[#This Row],[DEVELOPMENT]],Data[],9,FALSE)=0,5,VLOOKUP(IntComp24[[#This Row],[DEVELOPMENT]],Data[],9,FALSE))</f>
        <v>5</v>
      </c>
      <c r="H86" s="50">
        <f>VLOOKUP(IntComp24[[#This Row],[DEVELOPMENT]],Data[],7,FALSE)</f>
        <v>168</v>
      </c>
      <c r="I86" s="50">
        <f>VLOOKUP(IntComp24[[#This Row],[DEVELOPMENT]],Data[],5,FALSE)</f>
        <v>1</v>
      </c>
      <c r="J86" s="50"/>
      <c r="K86" s="50" t="str">
        <f ca="1">IFERROR(VLOOKUP(IntComp24[[#This Row],[DEVELOPMENT]],Data[],4,FALSE),"")</f>
        <v/>
      </c>
      <c r="L86" s="50" t="str">
        <f ca="1">IF(IntComp24[[#This Row],[RAD/PACT]]="","",IF(OR(IntComp24[[#This Row],[RAD/PACT]]="2022-2025",IntComp24[[#This Row],[RAD/PACT]]=2019,IntComp24[[#This Row],[RAD/PACT]]="2020-2021"),"Yes",""))</f>
        <v/>
      </c>
      <c r="M86" s="51">
        <f ca="1">IF(VLOOKUP(IntComp24[[#This Row],[DEVELOPMENT]],Data[],10,FALSE)=0,-1,DATEDIF(VLOOKUP(IntComp24[[#This Row],[DEVELOPMENT]],Data[],12,FALSE),TODAY(),"Y"))</f>
        <v>24</v>
      </c>
      <c r="N8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6" s="51"/>
      <c r="P86" s="51"/>
      <c r="Q86" s="51"/>
      <c r="R86" s="47">
        <f ca="1">(IntComp24[[#This Row],['# to Replace (MRST)]]*INDEX(UnitCosts[#All],MATCH(IntComp24[[#This Row],[WORK TYPE]],UnitCosts[Work Type],0)+1,2))*(1+((IntComp24[[#This Row],[est. Year]]-YEAR(TODAY()))*$R$2))</f>
        <v>0</v>
      </c>
      <c r="S86" s="1">
        <f ca="1">SUM(INDEX(IntComp24['# to Replace (MRST)],1):IntComp24[[#This Row],['# to Replace (MRST)]])</f>
        <v>13</v>
      </c>
      <c r="T86" s="51"/>
      <c r="U86" s="51">
        <f ca="1">IF(ISBLANK(IntComp24[[#This Row],[CALENDAR YEAR]]),ROUNDDOWN(IntComp24[[#This Row],[Count]]/50,0)+$U$1,IntComp24[[#This Row],[CALENDAR YEAR]])</f>
        <v>2022</v>
      </c>
      <c r="V86" s="69">
        <f t="shared" ca="1" si="1"/>
        <v>0</v>
      </c>
      <c r="X86"/>
    </row>
    <row r="87" spans="1:24" hidden="1">
      <c r="A87" s="13" t="s">
        <v>391</v>
      </c>
      <c r="B87" s="9" t="str">
        <f>VLOOKUP(A87,Data[],2,FALSE)</f>
        <v>MANHATTAN</v>
      </c>
      <c r="C87" s="9" t="s">
        <v>106</v>
      </c>
      <c r="D87" s="9" t="str">
        <f>VLOOKUP(IntComp24[[#This Row],[DEVELOPMENT]],Data[],52,FALSE)</f>
        <v>FEDERAL</v>
      </c>
      <c r="E87" s="50">
        <f>VLOOKUP(IntComp24[[#This Row],[DEVELOPMENT]],Data[],8,FALSE)</f>
        <v>0</v>
      </c>
      <c r="F87" s="50">
        <f>VLOOKUP(IntComp24[[#This Row],[DEVELOPMENT]],all[[DEVELOPMENT]:[MRST Ext. Comp. Priority]],13,FALSE)</f>
        <v>2</v>
      </c>
      <c r="G87" s="50">
        <f>IF(VLOOKUP(IntComp24[[#This Row],[DEVELOPMENT]],Data[],9,FALSE)=0,5,VLOOKUP(IntComp24[[#This Row],[DEVELOPMENT]],Data[],9,FALSE))</f>
        <v>5</v>
      </c>
      <c r="H87" s="50">
        <f>VLOOKUP(IntComp24[[#This Row],[DEVELOPMENT]],Data[],7,FALSE)</f>
        <v>158</v>
      </c>
      <c r="I87" s="50">
        <f>VLOOKUP(IntComp24[[#This Row],[DEVELOPMENT]],Data[],5,FALSE)</f>
        <v>1</v>
      </c>
      <c r="J87" s="50"/>
      <c r="K87" s="50" t="str">
        <f ca="1">IFERROR(VLOOKUP(IntComp24[[#This Row],[DEVELOPMENT]],Data[],4,FALSE),"")</f>
        <v/>
      </c>
      <c r="L87" s="50" t="str">
        <f ca="1">IF(IntComp24[[#This Row],[RAD/PACT]]="","",IF(OR(IntComp24[[#This Row],[RAD/PACT]]="2022-2025",IntComp24[[#This Row],[RAD/PACT]]=2019,IntComp24[[#This Row],[RAD/PACT]]="2020-2021"),"Yes",""))</f>
        <v/>
      </c>
      <c r="M87" s="51">
        <f ca="1">IF(VLOOKUP(IntComp24[[#This Row],[DEVELOPMENT]],Data[],10,FALSE)=0,-1,DATEDIF(VLOOKUP(IntComp24[[#This Row],[DEVELOPMENT]],Data[],12,FALSE),TODAY(),"Y"))</f>
        <v>24</v>
      </c>
      <c r="N8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7" s="51"/>
      <c r="P87" s="51"/>
      <c r="Q87" s="51"/>
      <c r="R87" s="47">
        <f ca="1">(IntComp24[[#This Row],['# to Replace (MRST)]]*INDEX(UnitCosts[#All],MATCH(IntComp24[[#This Row],[WORK TYPE]],UnitCosts[Work Type],0)+1,2))*(1+((IntComp24[[#This Row],[est. Year]]-YEAR(TODAY()))*$R$2))</f>
        <v>0</v>
      </c>
      <c r="S87" s="1">
        <f ca="1">SUM(INDEX(IntComp24['# to Replace (MRST)],1):IntComp24[[#This Row],['# to Replace (MRST)]])</f>
        <v>13</v>
      </c>
      <c r="T87" s="51"/>
      <c r="U87" s="51">
        <f ca="1">IF(ISBLANK(IntComp24[[#This Row],[CALENDAR YEAR]]),ROUNDDOWN(IntComp24[[#This Row],[Count]]/50,0)+$U$1,IntComp24[[#This Row],[CALENDAR YEAR]])</f>
        <v>2022</v>
      </c>
      <c r="V87" s="69">
        <f t="shared" ca="1" si="1"/>
        <v>0</v>
      </c>
      <c r="X87"/>
    </row>
    <row r="88" spans="1:24" hidden="1">
      <c r="A88" s="13" t="s">
        <v>380</v>
      </c>
      <c r="B88" s="9" t="str">
        <f>VLOOKUP(A88,Data[],2,FALSE)</f>
        <v>STATEN ISLAND</v>
      </c>
      <c r="C88" s="9" t="s">
        <v>106</v>
      </c>
      <c r="D88" s="9" t="str">
        <f>VLOOKUP(IntComp24[[#This Row],[DEVELOPMENT]],Data[],52,FALSE)</f>
        <v>FEDERAL</v>
      </c>
      <c r="E88" s="50">
        <f>VLOOKUP(IntComp24[[#This Row],[DEVELOPMENT]],Data[],8,FALSE)</f>
        <v>0</v>
      </c>
      <c r="F88" s="50">
        <f>VLOOKUP(IntComp24[[#This Row],[DEVELOPMENT]],all[[DEVELOPMENT]:[MRST Ext. Comp. Priority]],13,FALSE)</f>
        <v>2</v>
      </c>
      <c r="G88" s="50">
        <f>IF(VLOOKUP(IntComp24[[#This Row],[DEVELOPMENT]],Data[],9,FALSE)=0,5,VLOOKUP(IntComp24[[#This Row],[DEVELOPMENT]],Data[],9,FALSE))</f>
        <v>5</v>
      </c>
      <c r="H88" s="50">
        <f>VLOOKUP(IntComp24[[#This Row],[DEVELOPMENT]],Data[],7,FALSE)</f>
        <v>487</v>
      </c>
      <c r="I88" s="50">
        <f>VLOOKUP(IntComp24[[#This Row],[DEVELOPMENT]],Data[],5,FALSE)</f>
        <v>8</v>
      </c>
      <c r="J88" s="50"/>
      <c r="K88" s="50" t="str">
        <f ca="1">IFERROR(VLOOKUP(IntComp24[[#This Row],[DEVELOPMENT]],Data[],4,FALSE),"")</f>
        <v/>
      </c>
      <c r="L88" s="50" t="str">
        <f ca="1">IF(IntComp24[[#This Row],[RAD/PACT]]="","",IF(OR(IntComp24[[#This Row],[RAD/PACT]]="2022-2025",IntComp24[[#This Row],[RAD/PACT]]=2019,IntComp24[[#This Row],[RAD/PACT]]="2020-2021"),"Yes",""))</f>
        <v/>
      </c>
      <c r="M88" s="51">
        <f ca="1">IF(VLOOKUP(IntComp24[[#This Row],[DEVELOPMENT]],Data[],10,FALSE)=0,-1,DATEDIF(VLOOKUP(IntComp24[[#This Row],[DEVELOPMENT]],Data[],12,FALSE),TODAY(),"Y"))</f>
        <v>21</v>
      </c>
      <c r="N8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8" s="51"/>
      <c r="P88" s="51"/>
      <c r="Q88" s="51"/>
      <c r="R88" s="47">
        <f ca="1">(IntComp24[[#This Row],['# to Replace (MRST)]]*INDEX(UnitCosts[#All],MATCH(IntComp24[[#This Row],[WORK TYPE]],UnitCosts[Work Type],0)+1,2))*(1+((IntComp24[[#This Row],[est. Year]]-YEAR(TODAY()))*$R$2))</f>
        <v>0</v>
      </c>
      <c r="S88" s="1">
        <f ca="1">SUM(INDEX(IntComp24['# to Replace (MRST)],1):IntComp24[[#This Row],['# to Replace (MRST)]])</f>
        <v>13</v>
      </c>
      <c r="T88" s="51"/>
      <c r="U88" s="51">
        <f ca="1">IF(ISBLANK(IntComp24[[#This Row],[CALENDAR YEAR]]),ROUNDDOWN(IntComp24[[#This Row],[Count]]/50,0)+$U$1,IntComp24[[#This Row],[CALENDAR YEAR]])</f>
        <v>2022</v>
      </c>
      <c r="V88" s="69">
        <f t="shared" ca="1" si="1"/>
        <v>0</v>
      </c>
      <c r="X88"/>
    </row>
    <row r="89" spans="1:24" hidden="1">
      <c r="A89" s="13" t="s">
        <v>260</v>
      </c>
      <c r="B89" s="9" t="str">
        <f>VLOOKUP(A89,Data[],2,FALSE)</f>
        <v>BROOKLYN</v>
      </c>
      <c r="C89" s="9" t="s">
        <v>106</v>
      </c>
      <c r="D89" s="9" t="str">
        <f>VLOOKUP(IntComp24[[#This Row],[DEVELOPMENT]],Data[],52,FALSE)</f>
        <v>FEDERAL</v>
      </c>
      <c r="E89" s="50">
        <f>VLOOKUP(IntComp24[[#This Row],[DEVELOPMENT]],Data[],8,FALSE)</f>
        <v>0</v>
      </c>
      <c r="F89" s="50">
        <f>VLOOKUP(IntComp24[[#This Row],[DEVELOPMENT]],all[[DEVELOPMENT]:[MRST Ext. Comp. Priority]],13,FALSE)</f>
        <v>2</v>
      </c>
      <c r="G89" s="50">
        <f>IF(VLOOKUP(IntComp24[[#This Row],[DEVELOPMENT]],Data[],9,FALSE)=0,5,VLOOKUP(IntComp24[[#This Row],[DEVELOPMENT]],Data[],9,FALSE))</f>
        <v>5</v>
      </c>
      <c r="H89" s="50">
        <f>VLOOKUP(IntComp24[[#This Row],[DEVELOPMENT]],Data[],7,FALSE)</f>
        <v>528</v>
      </c>
      <c r="I89" s="50">
        <f>VLOOKUP(IntComp24[[#This Row],[DEVELOPMENT]],Data[],5,FALSE)</f>
        <v>3</v>
      </c>
      <c r="J89" s="50"/>
      <c r="K89" s="50" t="str">
        <f ca="1">IFERROR(VLOOKUP(IntComp24[[#This Row],[DEVELOPMENT]],Data[],4,FALSE),"")</f>
        <v/>
      </c>
      <c r="L89" s="50" t="str">
        <f ca="1">IF(IntComp24[[#This Row],[RAD/PACT]]="","",IF(OR(IntComp24[[#This Row],[RAD/PACT]]="2022-2025",IntComp24[[#This Row],[RAD/PACT]]=2019,IntComp24[[#This Row],[RAD/PACT]]="2020-2021"),"Yes",""))</f>
        <v/>
      </c>
      <c r="M89" s="51">
        <f ca="1">IF(VLOOKUP(IntComp24[[#This Row],[DEVELOPMENT]],Data[],10,FALSE)=0,-1,DATEDIF(VLOOKUP(IntComp24[[#This Row],[DEVELOPMENT]],Data[],12,FALSE),TODAY(),"Y"))</f>
        <v>21</v>
      </c>
      <c r="N8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89" s="51"/>
      <c r="P89" s="51"/>
      <c r="Q89" s="51"/>
      <c r="R89" s="47">
        <f ca="1">(IntComp24[[#This Row],['# to Replace (MRST)]]*INDEX(UnitCosts[#All],MATCH(IntComp24[[#This Row],[WORK TYPE]],UnitCosts[Work Type],0)+1,2))*(1+((IntComp24[[#This Row],[est. Year]]-YEAR(TODAY()))*$R$2))</f>
        <v>0</v>
      </c>
      <c r="S89" s="1">
        <f ca="1">SUM(INDEX(IntComp24['# to Replace (MRST)],1):IntComp24[[#This Row],['# to Replace (MRST)]])</f>
        <v>13</v>
      </c>
      <c r="T89" s="51"/>
      <c r="U89" s="51">
        <f ca="1">IF(ISBLANK(IntComp24[[#This Row],[CALENDAR YEAR]]),ROUNDDOWN(IntComp24[[#This Row],[Count]]/50,0)+$U$1,IntComp24[[#This Row],[CALENDAR YEAR]])</f>
        <v>2022</v>
      </c>
      <c r="V89" s="69">
        <f t="shared" ca="1" si="1"/>
        <v>0</v>
      </c>
      <c r="X89"/>
    </row>
    <row r="90" spans="1:24" hidden="1">
      <c r="A90" s="13" t="s">
        <v>341</v>
      </c>
      <c r="B90" s="9" t="str">
        <f>VLOOKUP(A90,Data[],2,FALSE)</f>
        <v>BROOKLYN</v>
      </c>
      <c r="C90" s="9" t="s">
        <v>106</v>
      </c>
      <c r="D90" s="9" t="str">
        <f>VLOOKUP(IntComp24[[#This Row],[DEVELOPMENT]],Data[],52,FALSE)</f>
        <v>MIXED FINANCE/LLC2</v>
      </c>
      <c r="E90" s="50">
        <f>VLOOKUP(IntComp24[[#This Row],[DEVELOPMENT]],Data[],8,FALSE)</f>
        <v>0</v>
      </c>
      <c r="F90" s="50">
        <f>VLOOKUP(IntComp24[[#This Row],[DEVELOPMENT]],all[[DEVELOPMENT]:[MRST Ext. Comp. Priority]],13,FALSE)</f>
        <v>2</v>
      </c>
      <c r="G90" s="50">
        <f>IF(VLOOKUP(IntComp24[[#This Row],[DEVELOPMENT]],Data[],9,FALSE)=0,5,VLOOKUP(IntComp24[[#This Row],[DEVELOPMENT]],Data[],9,FALSE))</f>
        <v>5</v>
      </c>
      <c r="H90" s="50">
        <f>VLOOKUP(IntComp24[[#This Row],[DEVELOPMENT]],Data[],7,FALSE)</f>
        <v>1586</v>
      </c>
      <c r="I90" s="50">
        <f>VLOOKUP(IntComp24[[#This Row],[DEVELOPMENT]],Data[],5,FALSE)</f>
        <v>19</v>
      </c>
      <c r="J90" s="50"/>
      <c r="K90" s="50" t="str">
        <f ca="1">IFERROR(VLOOKUP(IntComp24[[#This Row],[DEVELOPMENT]],Data[],4,FALSE),"")</f>
        <v>2020-2021</v>
      </c>
      <c r="L90" s="50" t="str">
        <f ca="1">IF(IntComp24[[#This Row],[RAD/PACT]]="","",IF(OR(IntComp24[[#This Row],[RAD/PACT]]="2022-2025",IntComp24[[#This Row],[RAD/PACT]]=2019,IntComp24[[#This Row],[RAD/PACT]]="2020-2021"),"Yes",""))</f>
        <v>Yes</v>
      </c>
      <c r="M90" s="51">
        <f ca="1">IF(VLOOKUP(IntComp24[[#This Row],[DEVELOPMENT]],Data[],10,FALSE)=0,-1,DATEDIF(VLOOKUP(IntComp24[[#This Row],[DEVELOPMENT]],Data[],12,FALSE),TODAY(),"Y"))</f>
        <v>21</v>
      </c>
      <c r="N9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90" s="51"/>
      <c r="P90" s="51"/>
      <c r="Q90" s="51"/>
      <c r="R90" s="47">
        <f ca="1">(IntComp24[[#This Row],['# to Replace (MRST)]]*INDEX(UnitCosts[#All],MATCH(IntComp24[[#This Row],[WORK TYPE]],UnitCosts[Work Type],0)+1,2))*(1+((IntComp24[[#This Row],[est. Year]]-YEAR(TODAY()))*$R$2))</f>
        <v>0</v>
      </c>
      <c r="S90" s="1">
        <f ca="1">SUM(INDEX(IntComp24['# to Replace (MRST)],1):IntComp24[[#This Row],['# to Replace (MRST)]])</f>
        <v>13</v>
      </c>
      <c r="T90" s="51"/>
      <c r="U90" s="51">
        <f ca="1">IF(ISBLANK(IntComp24[[#This Row],[CALENDAR YEAR]]),ROUNDDOWN(IntComp24[[#This Row],[Count]]/50,0)+$U$1,IntComp24[[#This Row],[CALENDAR YEAR]])</f>
        <v>2022</v>
      </c>
      <c r="V90" s="69">
        <f t="shared" ca="1" si="1"/>
        <v>0</v>
      </c>
      <c r="X90"/>
    </row>
    <row r="91" spans="1:24">
      <c r="A91" s="13" t="s">
        <v>122</v>
      </c>
      <c r="B91" s="1" t="str">
        <f>VLOOKUP(A91,Data[],2,FALSE)</f>
        <v>MANHATTAN</v>
      </c>
      <c r="C91" s="9" t="s">
        <v>106</v>
      </c>
      <c r="D91" s="9" t="str">
        <f>VLOOKUP(IntComp24[[#This Row],[DEVELOPMENT]],Data[],52,FALSE)</f>
        <v>MIXED FINANCE/LLC1</v>
      </c>
      <c r="E91" s="9" t="str">
        <f>VLOOKUP(IntComp24[[#This Row],[DEVELOPMENT]],Data[],8,FALSE)</f>
        <v>Zone 2</v>
      </c>
      <c r="F91" s="9">
        <f>VLOOKUP(IntComp24[[#This Row],[DEVELOPMENT]],all[[DEVELOPMENT]:[MRST Ext. Comp. Priority]],13,FALSE)</f>
        <v>2</v>
      </c>
      <c r="G91" s="9">
        <f>IF(VLOOKUP(IntComp24[[#This Row],[DEVELOPMENT]],Data[],9,FALSE)=0,5,VLOOKUP(IntComp24[[#This Row],[DEVELOPMENT]],Data[],9,FALSE))</f>
        <v>4</v>
      </c>
      <c r="H91" s="9">
        <f>VLOOKUP(IntComp24[[#This Row],[DEVELOPMENT]],Data[],7,FALSE)</f>
        <v>1272</v>
      </c>
      <c r="I91" s="9">
        <f>VLOOKUP(IntComp24[[#This Row],[DEVELOPMENT]],Data[],5,FALSE)</f>
        <v>6</v>
      </c>
      <c r="J91" s="9"/>
      <c r="K91" s="9" t="str">
        <f ca="1">IFERROR(VLOOKUP(IntComp24[[#This Row],[DEVELOPMENT]],Data[],4,FALSE),"")</f>
        <v>2026+</v>
      </c>
      <c r="L91" s="9" t="str">
        <f ca="1">IF(IntComp24[[#This Row],[RAD/PACT]]="","",IF(OR(IntComp24[[#This Row],[RAD/PACT]]="2022-2025",IntComp24[[#This Row],[RAD/PACT]]=2019,IntComp24[[#This Row],[RAD/PACT]]="2020-2021"),"Yes",""))</f>
        <v/>
      </c>
      <c r="M91" s="1">
        <f ca="1">IF(VLOOKUP(IntComp24[[#This Row],[DEVELOPMENT]],Data[],10,FALSE)=0,-1,DATEDIF(VLOOKUP(IntComp24[[#This Row],[DEVELOPMENT]],Data[],12,FALSE),TODAY(),"Y"))</f>
        <v>10</v>
      </c>
      <c r="N9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6</v>
      </c>
      <c r="O91" s="1"/>
      <c r="P91" s="1"/>
      <c r="Q91" s="1"/>
      <c r="R91" s="47">
        <f ca="1">(IntComp24[[#This Row],['# to Replace (MRST)]]*INDEX(UnitCosts[#All],MATCH(IntComp24[[#This Row],[WORK TYPE]],UnitCosts[Work Type],0)+1,2))*(1+((IntComp24[[#This Row],[est. Year]]-YEAR(TODAY()))*$R$2))</f>
        <v>405021.75</v>
      </c>
      <c r="S91" s="1">
        <f ca="1">SUM(INDEX(IntComp24['# to Replace (MRST)],1):IntComp24[[#This Row],['# to Replace (MRST)]])</f>
        <v>19</v>
      </c>
      <c r="T91" s="1"/>
      <c r="U91" s="1">
        <f ca="1">IF(ISBLANK(IntComp24[[#This Row],[CALENDAR YEAR]]),ROUNDDOWN(IntComp24[[#This Row],[Count]]/50,0)+$U$1,IntComp24[[#This Row],[CALENDAR YEAR]])</f>
        <v>2022</v>
      </c>
      <c r="V91" s="64">
        <f t="shared" ca="1" si="1"/>
        <v>405021.75</v>
      </c>
      <c r="X91"/>
    </row>
    <row r="92" spans="1:24" hidden="1">
      <c r="A92" s="13" t="s">
        <v>363</v>
      </c>
      <c r="B92" s="9" t="str">
        <f>VLOOKUP(A92,Data[],2,FALSE)</f>
        <v>BRONX</v>
      </c>
      <c r="C92" s="9" t="s">
        <v>106</v>
      </c>
      <c r="D92" s="9" t="str">
        <f>VLOOKUP(IntComp24[[#This Row],[DEVELOPMENT]],Data[],52,FALSE)</f>
        <v>FEDERAL</v>
      </c>
      <c r="E92" s="50">
        <f>VLOOKUP(IntComp24[[#This Row],[DEVELOPMENT]],Data[],8,FALSE)</f>
        <v>0</v>
      </c>
      <c r="F92" s="50">
        <f>VLOOKUP(IntComp24[[#This Row],[DEVELOPMENT]],all[[DEVELOPMENT]:[MRST Ext. Comp. Priority]],13,FALSE)</f>
        <v>2</v>
      </c>
      <c r="G92" s="50">
        <f>IF(VLOOKUP(IntComp24[[#This Row],[DEVELOPMENT]],Data[],9,FALSE)=0,5,VLOOKUP(IntComp24[[#This Row],[DEVELOPMENT]],Data[],9,FALSE))</f>
        <v>5</v>
      </c>
      <c r="H92" s="50">
        <f>VLOOKUP(IntComp24[[#This Row],[DEVELOPMENT]],Data[],7,FALSE)</f>
        <v>1258</v>
      </c>
      <c r="I92" s="50">
        <f>VLOOKUP(IntComp24[[#This Row],[DEVELOPMENT]],Data[],5,FALSE)</f>
        <v>13</v>
      </c>
      <c r="J92" s="50"/>
      <c r="K92" s="50" t="str">
        <f ca="1">IFERROR(VLOOKUP(IntComp24[[#This Row],[DEVELOPMENT]],Data[],4,FALSE),"")</f>
        <v>2022-2025</v>
      </c>
      <c r="L92" s="50" t="str">
        <f ca="1">IF(IntComp24[[#This Row],[RAD/PACT]]="","",IF(OR(IntComp24[[#This Row],[RAD/PACT]]="2022-2025",IntComp24[[#This Row],[RAD/PACT]]=2019,IntComp24[[#This Row],[RAD/PACT]]="2020-2021"),"Yes",""))</f>
        <v>Yes</v>
      </c>
      <c r="M92" s="51">
        <f ca="1">IF(VLOOKUP(IntComp24[[#This Row],[DEVELOPMENT]],Data[],10,FALSE)=0,-1,DATEDIF(VLOOKUP(IntComp24[[#This Row],[DEVELOPMENT]],Data[],12,FALSE),TODAY(),"Y"))</f>
        <v>20</v>
      </c>
      <c r="N9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92" s="51"/>
      <c r="P92" s="51"/>
      <c r="Q92" s="51"/>
      <c r="R92" s="47">
        <f ca="1">(IntComp24[[#This Row],['# to Replace (MRST)]]*INDEX(UnitCosts[#All],MATCH(IntComp24[[#This Row],[WORK TYPE]],UnitCosts[Work Type],0)+1,2))*(1+((IntComp24[[#This Row],[est. Year]]-YEAR(TODAY()))*$R$2))</f>
        <v>0</v>
      </c>
      <c r="S92" s="1">
        <f ca="1">SUM(INDEX(IntComp24['# to Replace (MRST)],1):IntComp24[[#This Row],['# to Replace (MRST)]])</f>
        <v>19</v>
      </c>
      <c r="T92" s="51"/>
      <c r="U92" s="51">
        <f ca="1">IF(ISBLANK(IntComp24[[#This Row],[CALENDAR YEAR]]),ROUNDDOWN(IntComp24[[#This Row],[Count]]/50,0)+$U$1,IntComp24[[#This Row],[CALENDAR YEAR]])</f>
        <v>2022</v>
      </c>
      <c r="V92" s="69">
        <f t="shared" ca="1" si="1"/>
        <v>405021.75</v>
      </c>
      <c r="X92"/>
    </row>
    <row r="93" spans="1:24" hidden="1">
      <c r="A93" s="13" t="s">
        <v>212</v>
      </c>
      <c r="B93" s="9" t="str">
        <f>VLOOKUP(A93,Data[],2,FALSE)</f>
        <v>QUEENS</v>
      </c>
      <c r="C93" s="9" t="s">
        <v>106</v>
      </c>
      <c r="D93" s="9" t="str">
        <f>VLOOKUP(IntComp24[[#This Row],[DEVELOPMENT]],Data[],52,FALSE)</f>
        <v>FEDERAL</v>
      </c>
      <c r="E93" s="50">
        <f>VLOOKUP(IntComp24[[#This Row],[DEVELOPMENT]],Data[],8,FALSE)</f>
        <v>0</v>
      </c>
      <c r="F93" s="50">
        <f>VLOOKUP(IntComp24[[#This Row],[DEVELOPMENT]],all[[DEVELOPMENT]:[MRST Ext. Comp. Priority]],13,FALSE)</f>
        <v>2</v>
      </c>
      <c r="G93" s="50">
        <f>IF(VLOOKUP(IntComp24[[#This Row],[DEVELOPMENT]],Data[],9,FALSE)=0,5,VLOOKUP(IntComp24[[#This Row],[DEVELOPMENT]],Data[],9,FALSE))</f>
        <v>5</v>
      </c>
      <c r="H93" s="50">
        <f>VLOOKUP(IntComp24[[#This Row],[DEVELOPMENT]],Data[],7,FALSE)</f>
        <v>2164</v>
      </c>
      <c r="I93" s="50">
        <f>VLOOKUP(IntComp24[[#This Row],[DEVELOPMENT]],Data[],5,FALSE)</f>
        <v>31</v>
      </c>
      <c r="J93" s="50"/>
      <c r="K93" s="50" t="str">
        <f ca="1">IFERROR(VLOOKUP(IntComp24[[#This Row],[DEVELOPMENT]],Data[],4,FALSE),"")</f>
        <v/>
      </c>
      <c r="L93" s="50" t="str">
        <f ca="1">IF(IntComp24[[#This Row],[RAD/PACT]]="","",IF(OR(IntComp24[[#This Row],[RAD/PACT]]="2022-2025",IntComp24[[#This Row],[RAD/PACT]]=2019,IntComp24[[#This Row],[RAD/PACT]]="2020-2021"),"Yes",""))</f>
        <v/>
      </c>
      <c r="M93" s="51">
        <f ca="1">IF(VLOOKUP(IntComp24[[#This Row],[DEVELOPMENT]],Data[],10,FALSE)=0,-1,DATEDIF(VLOOKUP(IntComp24[[#This Row],[DEVELOPMENT]],Data[],12,FALSE),TODAY(),"Y"))</f>
        <v>20</v>
      </c>
      <c r="N9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93" s="51"/>
      <c r="P93" s="51"/>
      <c r="Q93" s="51"/>
      <c r="R93" s="47">
        <f ca="1">(IntComp24[[#This Row],['# to Replace (MRST)]]*INDEX(UnitCosts[#All],MATCH(IntComp24[[#This Row],[WORK TYPE]],UnitCosts[Work Type],0)+1,2))*(1+((IntComp24[[#This Row],[est. Year]]-YEAR(TODAY()))*$R$2))</f>
        <v>0</v>
      </c>
      <c r="S93" s="1">
        <f ca="1">SUM(INDEX(IntComp24['# to Replace (MRST)],1):IntComp24[[#This Row],['# to Replace (MRST)]])</f>
        <v>19</v>
      </c>
      <c r="T93" s="51"/>
      <c r="U93" s="51">
        <f ca="1">IF(ISBLANK(IntComp24[[#This Row],[CALENDAR YEAR]]),ROUNDDOWN(IntComp24[[#This Row],[Count]]/50,0)+$U$1,IntComp24[[#This Row],[CALENDAR YEAR]])</f>
        <v>2022</v>
      </c>
      <c r="V93" s="69">
        <f t="shared" ca="1" si="1"/>
        <v>405021.75</v>
      </c>
      <c r="X93"/>
    </row>
    <row r="94" spans="1:24" hidden="1">
      <c r="A94" s="13" t="s">
        <v>385</v>
      </c>
      <c r="B94" s="9" t="str">
        <f>VLOOKUP(A94,Data[],2,FALSE)</f>
        <v>BROOKLYN</v>
      </c>
      <c r="C94" s="9" t="s">
        <v>106</v>
      </c>
      <c r="D94" s="9" t="str">
        <f>VLOOKUP(IntComp24[[#This Row],[DEVELOPMENT]],Data[],52,FALSE)</f>
        <v>FEDERAL</v>
      </c>
      <c r="E94" s="50">
        <f>VLOOKUP(IntComp24[[#This Row],[DEVELOPMENT]],Data[],8,FALSE)</f>
        <v>0</v>
      </c>
      <c r="F94" s="50">
        <f>VLOOKUP(IntComp24[[#This Row],[DEVELOPMENT]],all[[DEVELOPMENT]:[MRST Ext. Comp. Priority]],13,FALSE)</f>
        <v>2</v>
      </c>
      <c r="G94" s="50">
        <f>IF(VLOOKUP(IntComp24[[#This Row],[DEVELOPMENT]],Data[],9,FALSE)=0,5,VLOOKUP(IntComp24[[#This Row],[DEVELOPMENT]],Data[],9,FALSE))</f>
        <v>5</v>
      </c>
      <c r="H94" s="50">
        <f>VLOOKUP(IntComp24[[#This Row],[DEVELOPMENT]],Data[],7,FALSE)</f>
        <v>1627</v>
      </c>
      <c r="I94" s="50">
        <f>VLOOKUP(IntComp24[[#This Row],[DEVELOPMENT]],Data[],5,FALSE)</f>
        <v>20</v>
      </c>
      <c r="J94" s="50"/>
      <c r="K94" s="50" t="str">
        <f ca="1">IFERROR(VLOOKUP(IntComp24[[#This Row],[DEVELOPMENT]],Data[],4,FALSE),"")</f>
        <v>2020-2021</v>
      </c>
      <c r="L94" s="50" t="str">
        <f ca="1">IF(IntComp24[[#This Row],[RAD/PACT]]="","",IF(OR(IntComp24[[#This Row],[RAD/PACT]]="2022-2025",IntComp24[[#This Row],[RAD/PACT]]=2019,IntComp24[[#This Row],[RAD/PACT]]="2020-2021"),"Yes",""))</f>
        <v>Yes</v>
      </c>
      <c r="M94" s="51">
        <f ca="1">IF(VLOOKUP(IntComp24[[#This Row],[DEVELOPMENT]],Data[],10,FALSE)=0,-1,DATEDIF(VLOOKUP(IntComp24[[#This Row],[DEVELOPMENT]],Data[],12,FALSE),TODAY(),"Y"))</f>
        <v>20</v>
      </c>
      <c r="N9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94" s="51"/>
      <c r="P94" s="51"/>
      <c r="Q94" s="51"/>
      <c r="R94" s="47">
        <f ca="1">(IntComp24[[#This Row],['# to Replace (MRST)]]*INDEX(UnitCosts[#All],MATCH(IntComp24[[#This Row],[WORK TYPE]],UnitCosts[Work Type],0)+1,2))*(1+((IntComp24[[#This Row],[est. Year]]-YEAR(TODAY()))*$R$2))</f>
        <v>0</v>
      </c>
      <c r="S94" s="1">
        <f ca="1">SUM(INDEX(IntComp24['# to Replace (MRST)],1):IntComp24[[#This Row],['# to Replace (MRST)]])</f>
        <v>19</v>
      </c>
      <c r="T94" s="51"/>
      <c r="U94" s="51">
        <f ca="1">IF(ISBLANK(IntComp24[[#This Row],[CALENDAR YEAR]]),ROUNDDOWN(IntComp24[[#This Row],[Count]]/50,0)+$U$1,IntComp24[[#This Row],[CALENDAR YEAR]])</f>
        <v>2022</v>
      </c>
      <c r="V94" s="69">
        <f t="shared" ca="1" si="1"/>
        <v>405021.75</v>
      </c>
      <c r="X94"/>
    </row>
    <row r="95" spans="1:24" hidden="1">
      <c r="A95" s="13" t="s">
        <v>261</v>
      </c>
      <c r="B95" s="9" t="str">
        <f>VLOOKUP(A95,Data[],2,FALSE)</f>
        <v>MANHATTAN</v>
      </c>
      <c r="C95" s="9" t="s">
        <v>106</v>
      </c>
      <c r="D95" s="9" t="str">
        <f>VLOOKUP(IntComp24[[#This Row],[DEVELOPMENT]],Data[],52,FALSE)</f>
        <v>FEDERAL</v>
      </c>
      <c r="E95" s="50" t="str">
        <f>VLOOKUP(IntComp24[[#This Row],[DEVELOPMENT]],Data[],8,FALSE)</f>
        <v>Zone 4</v>
      </c>
      <c r="F95" s="50">
        <f>VLOOKUP(IntComp24[[#This Row],[DEVELOPMENT]],all[[DEVELOPMENT]:[MRST Ext. Comp. Priority]],13,FALSE)</f>
        <v>2</v>
      </c>
      <c r="G95" s="50">
        <f>IF(VLOOKUP(IntComp24[[#This Row],[DEVELOPMENT]],Data[],9,FALSE)=0,5,VLOOKUP(IntComp24[[#This Row],[DEVELOPMENT]],Data[],9,FALSE))</f>
        <v>5</v>
      </c>
      <c r="H95" s="50">
        <f>VLOOKUP(IntComp24[[#This Row],[DEVELOPMENT]],Data[],7,FALSE)</f>
        <v>1084</v>
      </c>
      <c r="I95" s="50">
        <f>VLOOKUP(IntComp24[[#This Row],[DEVELOPMENT]],Data[],5,FALSE)</f>
        <v>13</v>
      </c>
      <c r="J95" s="50"/>
      <c r="K95" s="50" t="str">
        <f ca="1">IFERROR(VLOOKUP(IntComp24[[#This Row],[DEVELOPMENT]],Data[],4,FALSE),"")</f>
        <v/>
      </c>
      <c r="L95" s="50" t="str">
        <f ca="1">IF(IntComp24[[#This Row],[RAD/PACT]]="","",IF(OR(IntComp24[[#This Row],[RAD/PACT]]="2022-2025",IntComp24[[#This Row],[RAD/PACT]]=2019,IntComp24[[#This Row],[RAD/PACT]]="2020-2021"),"Yes",""))</f>
        <v/>
      </c>
      <c r="M95" s="51">
        <f ca="1">IF(VLOOKUP(IntComp24[[#This Row],[DEVELOPMENT]],Data[],10,FALSE)=0,-1,DATEDIF(VLOOKUP(IntComp24[[#This Row],[DEVELOPMENT]],Data[],12,FALSE),TODAY(),"Y"))</f>
        <v>20</v>
      </c>
      <c r="N9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95" s="51"/>
      <c r="P95" s="51"/>
      <c r="Q95" s="51"/>
      <c r="R95" s="47">
        <f ca="1">(IntComp24[[#This Row],['# to Replace (MRST)]]*INDEX(UnitCosts[#All],MATCH(IntComp24[[#This Row],[WORK TYPE]],UnitCosts[Work Type],0)+1,2))*(1+((IntComp24[[#This Row],[est. Year]]-YEAR(TODAY()))*$R$2))</f>
        <v>0</v>
      </c>
      <c r="S95" s="1">
        <f ca="1">SUM(INDEX(IntComp24['# to Replace (MRST)],1):IntComp24[[#This Row],['# to Replace (MRST)]])</f>
        <v>19</v>
      </c>
      <c r="T95" s="51"/>
      <c r="U95" s="51">
        <f ca="1">IF(ISBLANK(IntComp24[[#This Row],[CALENDAR YEAR]]),ROUNDDOWN(IntComp24[[#This Row],[Count]]/50,0)+$U$1,IntComp24[[#This Row],[CALENDAR YEAR]])</f>
        <v>2022</v>
      </c>
      <c r="V95" s="69">
        <f t="shared" ca="1" si="1"/>
        <v>405021.75</v>
      </c>
      <c r="X95"/>
    </row>
    <row r="96" spans="1:24">
      <c r="A96" s="13" t="s">
        <v>342</v>
      </c>
      <c r="B96" s="9" t="str">
        <f>VLOOKUP(A96,Data[],2,FALSE)</f>
        <v>BRONX</v>
      </c>
      <c r="C96" s="9" t="s">
        <v>106</v>
      </c>
      <c r="D96" s="9" t="str">
        <f>VLOOKUP(IntComp24[[#This Row],[DEVELOPMENT]],Data[],52,FALSE)</f>
        <v>MIXED FINANCE/LLC1</v>
      </c>
      <c r="E96" s="50">
        <f>VLOOKUP(IntComp24[[#This Row],[DEVELOPMENT]],Data[],8,FALSE)</f>
        <v>0</v>
      </c>
      <c r="F96" s="50">
        <f>VLOOKUP(IntComp24[[#This Row],[DEVELOPMENT]],all[[DEVELOPMENT]:[MRST Ext. Comp. Priority]],13,FALSE)</f>
        <v>2</v>
      </c>
      <c r="G96" s="50">
        <f>IF(VLOOKUP(IntComp24[[#This Row],[DEVELOPMENT]],Data[],9,FALSE)=0,5,VLOOKUP(IntComp24[[#This Row],[DEVELOPMENT]],Data[],9,FALSE))</f>
        <v>5</v>
      </c>
      <c r="H96" s="50">
        <f>VLOOKUP(IntComp24[[#This Row],[DEVELOPMENT]],Data[],7,FALSE)</f>
        <v>1680</v>
      </c>
      <c r="I96" s="50">
        <f>VLOOKUP(IntComp24[[#This Row],[DEVELOPMENT]],Data[],5,FALSE)</f>
        <v>11</v>
      </c>
      <c r="J96" s="50"/>
      <c r="K96" s="50" t="str">
        <f ca="1">IFERROR(VLOOKUP(IntComp24[[#This Row],[DEVELOPMENT]],Data[],4,FALSE),"")</f>
        <v/>
      </c>
      <c r="L96" s="50" t="str">
        <f ca="1">IF(IntComp24[[#This Row],[RAD/PACT]]="","",IF(OR(IntComp24[[#This Row],[RAD/PACT]]="2022-2025",IntComp24[[#This Row],[RAD/PACT]]=2019,IntComp24[[#This Row],[RAD/PACT]]="2020-2021"),"Yes",""))</f>
        <v/>
      </c>
      <c r="M96" s="51">
        <f ca="1">IF(VLOOKUP(IntComp24[[#This Row],[DEVELOPMENT]],Data[],10,FALSE)=0,-1,DATEDIF(VLOOKUP(IntComp24[[#This Row],[DEVELOPMENT]],Data[],12,FALSE),TODAY(),"Y"))</f>
        <v>20</v>
      </c>
      <c r="N9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11</v>
      </c>
      <c r="O96" s="51"/>
      <c r="P96" s="51"/>
      <c r="Q96" s="51"/>
      <c r="R96" s="47">
        <f ca="1">(IntComp24[[#This Row],['# to Replace (MRST)]]*INDEX(UnitCosts[#All],MATCH(IntComp24[[#This Row],[WORK TYPE]],UnitCosts[Work Type],0)+1,2))*(1+((IntComp24[[#This Row],[est. Year]]-YEAR(TODAY()))*$R$2))</f>
        <v>742539.875</v>
      </c>
      <c r="S96" s="1">
        <f ca="1">SUM(INDEX(IntComp24['# to Replace (MRST)],1):IntComp24[[#This Row],['# to Replace (MRST)]])</f>
        <v>30</v>
      </c>
      <c r="T96" s="51"/>
      <c r="U96" s="51">
        <f ca="1">IF(ISBLANK(IntComp24[[#This Row],[CALENDAR YEAR]]),ROUNDDOWN(IntComp24[[#This Row],[Count]]/50,0)+$U$1,IntComp24[[#This Row],[CALENDAR YEAR]])</f>
        <v>2022</v>
      </c>
      <c r="V96" s="69">
        <f t="shared" ref="V96:V159" ca="1" si="2">IF(U96=U95,R96+V95,R96)</f>
        <v>1147561.625</v>
      </c>
      <c r="X96"/>
    </row>
    <row r="97" spans="1:24" hidden="1">
      <c r="A97" s="13" t="s">
        <v>210</v>
      </c>
      <c r="B97" s="9" t="str">
        <f>VLOOKUP(A97,Data[],2,FALSE)</f>
        <v>BRONX</v>
      </c>
      <c r="C97" s="9" t="s">
        <v>106</v>
      </c>
      <c r="D97" s="9" t="str">
        <f>VLOOKUP(IntComp24[[#This Row],[DEVELOPMENT]],Data[],52,FALSE)</f>
        <v>FEDERAL</v>
      </c>
      <c r="E97" s="50">
        <f>VLOOKUP(IntComp24[[#This Row],[DEVELOPMENT]],Data[],8,FALSE)</f>
        <v>0</v>
      </c>
      <c r="F97" s="50">
        <f>VLOOKUP(IntComp24[[#This Row],[DEVELOPMENT]],all[[DEVELOPMENT]:[MRST Ext. Comp. Priority]],13,FALSE)</f>
        <v>2</v>
      </c>
      <c r="G97" s="50">
        <f>IF(VLOOKUP(IntComp24[[#This Row],[DEVELOPMENT]],Data[],9,FALSE)=0,5,VLOOKUP(IntComp24[[#This Row],[DEVELOPMENT]],Data[],9,FALSE))</f>
        <v>5</v>
      </c>
      <c r="H97" s="50">
        <f>VLOOKUP(IntComp24[[#This Row],[DEVELOPMENT]],Data[],7,FALSE)</f>
        <v>1265</v>
      </c>
      <c r="I97" s="50">
        <f>VLOOKUP(IntComp24[[#This Row],[DEVELOPMENT]],Data[],5,FALSE)</f>
        <v>23</v>
      </c>
      <c r="J97" s="50"/>
      <c r="K97" s="50" t="str">
        <f ca="1">IFERROR(VLOOKUP(IntComp24[[#This Row],[DEVELOPMENT]],Data[],4,FALSE),"")</f>
        <v>2022-2025</v>
      </c>
      <c r="L97" s="50" t="str">
        <f ca="1">IF(IntComp24[[#This Row],[RAD/PACT]]="","",IF(OR(IntComp24[[#This Row],[RAD/PACT]]="2022-2025",IntComp24[[#This Row],[RAD/PACT]]=2019,IntComp24[[#This Row],[RAD/PACT]]="2020-2021"),"Yes",""))</f>
        <v>Yes</v>
      </c>
      <c r="M97" s="51">
        <f ca="1">IF(VLOOKUP(IntComp24[[#This Row],[DEVELOPMENT]],Data[],10,FALSE)=0,-1,DATEDIF(VLOOKUP(IntComp24[[#This Row],[DEVELOPMENT]],Data[],12,FALSE),TODAY(),"Y"))</f>
        <v>18</v>
      </c>
      <c r="N9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97" s="51"/>
      <c r="P97" s="51"/>
      <c r="Q97" s="51"/>
      <c r="R97" s="47">
        <f ca="1">(IntComp24[[#This Row],['# to Replace (MRST)]]*INDEX(UnitCosts[#All],MATCH(IntComp24[[#This Row],[WORK TYPE]],UnitCosts[Work Type],0)+1,2))*(1+((IntComp24[[#This Row],[est. Year]]-YEAR(TODAY()))*$R$2))</f>
        <v>0</v>
      </c>
      <c r="S97" s="1">
        <f ca="1">SUM(INDEX(IntComp24['# to Replace (MRST)],1):IntComp24[[#This Row],['# to Replace (MRST)]])</f>
        <v>30</v>
      </c>
      <c r="T97" s="51"/>
      <c r="U97" s="51">
        <f ca="1">IF(ISBLANK(IntComp24[[#This Row],[CALENDAR YEAR]]),ROUNDDOWN(IntComp24[[#This Row],[Count]]/50,0)+$U$1,IntComp24[[#This Row],[CALENDAR YEAR]])</f>
        <v>2022</v>
      </c>
      <c r="V97" s="69">
        <f t="shared" ca="1" si="2"/>
        <v>1147561.625</v>
      </c>
      <c r="X97"/>
    </row>
    <row r="98" spans="1:24" hidden="1">
      <c r="A98" s="13" t="s">
        <v>278</v>
      </c>
      <c r="B98" s="9" t="str">
        <f>VLOOKUP(A98,Data[],2,FALSE)</f>
        <v>BRONX</v>
      </c>
      <c r="C98" s="9" t="s">
        <v>106</v>
      </c>
      <c r="D98" s="9" t="str">
        <f>VLOOKUP(IntComp24[[#This Row],[DEVELOPMENT]],Data[],52,FALSE)</f>
        <v>FEDERAL</v>
      </c>
      <c r="E98" s="50">
        <f>VLOOKUP(IntComp24[[#This Row],[DEVELOPMENT]],Data[],8,FALSE)</f>
        <v>0</v>
      </c>
      <c r="F98" s="50">
        <f>VLOOKUP(IntComp24[[#This Row],[DEVELOPMENT]],all[[DEVELOPMENT]:[MRST Ext. Comp. Priority]],13,FALSE)</f>
        <v>2</v>
      </c>
      <c r="G98" s="50">
        <f>IF(VLOOKUP(IntComp24[[#This Row],[DEVELOPMENT]],Data[],9,FALSE)=0,5,VLOOKUP(IntComp24[[#This Row],[DEVELOPMENT]],Data[],9,FALSE))</f>
        <v>5</v>
      </c>
      <c r="H98" s="50">
        <f>VLOOKUP(IntComp24[[#This Row],[DEVELOPMENT]],Data[],7,FALSE)</f>
        <v>924</v>
      </c>
      <c r="I98" s="50">
        <f>VLOOKUP(IntComp24[[#This Row],[DEVELOPMENT]],Data[],5,FALSE)</f>
        <v>7</v>
      </c>
      <c r="J98" s="50"/>
      <c r="K98" s="50" t="str">
        <f ca="1">IFERROR(VLOOKUP(IntComp24[[#This Row],[DEVELOPMENT]],Data[],4,FALSE),"")</f>
        <v/>
      </c>
      <c r="L98" s="50" t="str">
        <f ca="1">IF(IntComp24[[#This Row],[RAD/PACT]]="","",IF(OR(IntComp24[[#This Row],[RAD/PACT]]="2022-2025",IntComp24[[#This Row],[RAD/PACT]]=2019,IntComp24[[#This Row],[RAD/PACT]]="2020-2021"),"Yes",""))</f>
        <v/>
      </c>
      <c r="M98" s="51">
        <f ca="1">IF(VLOOKUP(IntComp24[[#This Row],[DEVELOPMENT]],Data[],10,FALSE)=0,-1,DATEDIF(VLOOKUP(IntComp24[[#This Row],[DEVELOPMENT]],Data[],12,FALSE),TODAY(),"Y"))</f>
        <v>18</v>
      </c>
      <c r="N9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98" s="51"/>
      <c r="P98" s="51"/>
      <c r="Q98" s="51"/>
      <c r="R98" s="47">
        <f ca="1">(IntComp24[[#This Row],['# to Replace (MRST)]]*INDEX(UnitCosts[#All],MATCH(IntComp24[[#This Row],[WORK TYPE]],UnitCosts[Work Type],0)+1,2))*(1+((IntComp24[[#This Row],[est. Year]]-YEAR(TODAY()))*$R$2))</f>
        <v>0</v>
      </c>
      <c r="S98" s="1">
        <f ca="1">SUM(INDEX(IntComp24['# to Replace (MRST)],1):IntComp24[[#This Row],['# to Replace (MRST)]])</f>
        <v>30</v>
      </c>
      <c r="T98" s="51"/>
      <c r="U98" s="51">
        <f ca="1">IF(ISBLANK(IntComp24[[#This Row],[CALENDAR YEAR]]),ROUNDDOWN(IntComp24[[#This Row],[Count]]/50,0)+$U$1,IntComp24[[#This Row],[CALENDAR YEAR]])</f>
        <v>2022</v>
      </c>
      <c r="V98" s="69">
        <f t="shared" ca="1" si="2"/>
        <v>1147561.625</v>
      </c>
      <c r="X98"/>
    </row>
    <row r="99" spans="1:24" hidden="1">
      <c r="A99" s="13" t="s">
        <v>334</v>
      </c>
      <c r="B99" s="9" t="str">
        <f>VLOOKUP(A99,Data[],2,FALSE)</f>
        <v>BROOKLYN</v>
      </c>
      <c r="C99" s="9" t="s">
        <v>106</v>
      </c>
      <c r="D99" s="9" t="str">
        <f>VLOOKUP(IntComp24[[#This Row],[DEVELOPMENT]],Data[],52,FALSE)</f>
        <v>FEDERAL</v>
      </c>
      <c r="E99" s="50">
        <f>VLOOKUP(IntComp24[[#This Row],[DEVELOPMENT]],Data[],8,FALSE)</f>
        <v>0</v>
      </c>
      <c r="F99" s="50">
        <f>VLOOKUP(IntComp24[[#This Row],[DEVELOPMENT]],all[[DEVELOPMENT]:[MRST Ext. Comp. Priority]],13,FALSE)</f>
        <v>2</v>
      </c>
      <c r="G99" s="50">
        <f>IF(VLOOKUP(IntComp24[[#This Row],[DEVELOPMENT]],Data[],9,FALSE)=0,5,VLOOKUP(IntComp24[[#This Row],[DEVELOPMENT]],Data[],9,FALSE))</f>
        <v>5</v>
      </c>
      <c r="H99" s="50">
        <f>VLOOKUP(IntComp24[[#This Row],[DEVELOPMENT]],Data[],7,FALSE)</f>
        <v>509</v>
      </c>
      <c r="I99" s="50">
        <f>VLOOKUP(IntComp24[[#This Row],[DEVELOPMENT]],Data[],5,FALSE)</f>
        <v>3</v>
      </c>
      <c r="J99" s="50"/>
      <c r="K99" s="50" t="str">
        <f ca="1">IFERROR(VLOOKUP(IntComp24[[#This Row],[DEVELOPMENT]],Data[],4,FALSE),"")</f>
        <v/>
      </c>
      <c r="L99" s="50" t="str">
        <f ca="1">IF(IntComp24[[#This Row],[RAD/PACT]]="","",IF(OR(IntComp24[[#This Row],[RAD/PACT]]="2022-2025",IntComp24[[#This Row],[RAD/PACT]]=2019,IntComp24[[#This Row],[RAD/PACT]]="2020-2021"),"Yes",""))</f>
        <v/>
      </c>
      <c r="M99" s="51">
        <f ca="1">IF(VLOOKUP(IntComp24[[#This Row],[DEVELOPMENT]],Data[],10,FALSE)=0,-1,DATEDIF(VLOOKUP(IntComp24[[#This Row],[DEVELOPMENT]],Data[],12,FALSE),TODAY(),"Y"))</f>
        <v>17</v>
      </c>
      <c r="N9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99" s="51"/>
      <c r="P99" s="51"/>
      <c r="Q99" s="51"/>
      <c r="R99" s="47">
        <f ca="1">(IntComp24[[#This Row],['# to Replace (MRST)]]*INDEX(UnitCosts[#All],MATCH(IntComp24[[#This Row],[WORK TYPE]],UnitCosts[Work Type],0)+1,2))*(1+((IntComp24[[#This Row],[est. Year]]-YEAR(TODAY()))*$R$2))</f>
        <v>0</v>
      </c>
      <c r="S99" s="1">
        <f ca="1">SUM(INDEX(IntComp24['# to Replace (MRST)],1):IntComp24[[#This Row],['# to Replace (MRST)]])</f>
        <v>30</v>
      </c>
      <c r="T99" s="51"/>
      <c r="U99" s="51">
        <f ca="1">IF(ISBLANK(IntComp24[[#This Row],[CALENDAR YEAR]]),ROUNDDOWN(IntComp24[[#This Row],[Count]]/50,0)+$U$1,IntComp24[[#This Row],[CALENDAR YEAR]])</f>
        <v>2022</v>
      </c>
      <c r="V99" s="69">
        <f t="shared" ca="1" si="2"/>
        <v>1147561.625</v>
      </c>
      <c r="X99"/>
    </row>
    <row r="100" spans="1:24" hidden="1">
      <c r="A100" s="13" t="s">
        <v>223</v>
      </c>
      <c r="B100" s="9" t="str">
        <f>VLOOKUP(A100,Data[],2,FALSE)</f>
        <v>BRONX</v>
      </c>
      <c r="C100" s="9" t="s">
        <v>106</v>
      </c>
      <c r="D100" s="9" t="str">
        <f>VLOOKUP(IntComp24[[#This Row],[DEVELOPMENT]],Data[],52,FALSE)</f>
        <v>FEDERAL</v>
      </c>
      <c r="E100" s="50">
        <f>VLOOKUP(IntComp24[[#This Row],[DEVELOPMENT]],Data[],8,FALSE)</f>
        <v>0</v>
      </c>
      <c r="F100" s="50">
        <f>VLOOKUP(IntComp24[[#This Row],[DEVELOPMENT]],all[[DEVELOPMENT]:[MRST Ext. Comp. Priority]],13,FALSE)</f>
        <v>2</v>
      </c>
      <c r="G100" s="50">
        <f>IF(VLOOKUP(IntComp24[[#This Row],[DEVELOPMENT]],Data[],9,FALSE)=0,5,VLOOKUP(IntComp24[[#This Row],[DEVELOPMENT]],Data[],9,FALSE))</f>
        <v>5</v>
      </c>
      <c r="H100" s="50">
        <f>VLOOKUP(IntComp24[[#This Row],[DEVELOPMENT]],Data[],7,FALSE)</f>
        <v>1732</v>
      </c>
      <c r="I100" s="50">
        <f>VLOOKUP(IntComp24[[#This Row],[DEVELOPMENT]],Data[],5,FALSE)</f>
        <v>10</v>
      </c>
      <c r="J100" s="50"/>
      <c r="K100" s="50" t="str">
        <f ca="1">IFERROR(VLOOKUP(IntComp24[[#This Row],[DEVELOPMENT]],Data[],4,FALSE),"")</f>
        <v>2026+</v>
      </c>
      <c r="L100" s="50" t="str">
        <f ca="1">IF(IntComp24[[#This Row],[RAD/PACT]]="","",IF(OR(IntComp24[[#This Row],[RAD/PACT]]="2022-2025",IntComp24[[#This Row],[RAD/PACT]]=2019,IntComp24[[#This Row],[RAD/PACT]]="2020-2021"),"Yes",""))</f>
        <v/>
      </c>
      <c r="M100" s="51">
        <f ca="1">IF(VLOOKUP(IntComp24[[#This Row],[DEVELOPMENT]],Data[],10,FALSE)=0,-1,DATEDIF(VLOOKUP(IntComp24[[#This Row],[DEVELOPMENT]],Data[],12,FALSE),TODAY(),"Y"))</f>
        <v>18</v>
      </c>
      <c r="N10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00" s="51"/>
      <c r="P100" s="51"/>
      <c r="Q100" s="51"/>
      <c r="R100" s="47">
        <f ca="1">(IntComp24[[#This Row],['# to Replace (MRST)]]*INDEX(UnitCosts[#All],MATCH(IntComp24[[#This Row],[WORK TYPE]],UnitCosts[Work Type],0)+1,2))*(1+((IntComp24[[#This Row],[est. Year]]-YEAR(TODAY()))*$R$2))</f>
        <v>0</v>
      </c>
      <c r="S100" s="1">
        <f ca="1">SUM(INDEX(IntComp24['# to Replace (MRST)],1):IntComp24[[#This Row],['# to Replace (MRST)]])</f>
        <v>30</v>
      </c>
      <c r="T100" s="51"/>
      <c r="U100" s="51">
        <f ca="1">IF(ISBLANK(IntComp24[[#This Row],[CALENDAR YEAR]]),ROUNDDOWN(IntComp24[[#This Row],[Count]]/50,0)+$U$1,IntComp24[[#This Row],[CALENDAR YEAR]])</f>
        <v>2022</v>
      </c>
      <c r="V100" s="69">
        <f t="shared" ca="1" si="2"/>
        <v>1147561.625</v>
      </c>
      <c r="X100"/>
    </row>
    <row r="101" spans="1:24" hidden="1">
      <c r="A101" s="13" t="s">
        <v>296</v>
      </c>
      <c r="B101" s="9" t="str">
        <f>VLOOKUP(A101,Data[],2,FALSE)</f>
        <v>BROOKLYN</v>
      </c>
      <c r="C101" s="9" t="s">
        <v>106</v>
      </c>
      <c r="D101" s="9" t="str">
        <f>VLOOKUP(IntComp24[[#This Row],[DEVELOPMENT]],Data[],52,FALSE)</f>
        <v>FEDERAL</v>
      </c>
      <c r="E101" s="50">
        <f>VLOOKUP(IntComp24[[#This Row],[DEVELOPMENT]],Data[],8,FALSE)</f>
        <v>0</v>
      </c>
      <c r="F101" s="50">
        <f>VLOOKUP(IntComp24[[#This Row],[DEVELOPMENT]],all[[DEVELOPMENT]:[MRST Ext. Comp. Priority]],13,FALSE)</f>
        <v>2</v>
      </c>
      <c r="G101" s="50">
        <f>IF(VLOOKUP(IntComp24[[#This Row],[DEVELOPMENT]],Data[],9,FALSE)=0,5,VLOOKUP(IntComp24[[#This Row],[DEVELOPMENT]],Data[],9,FALSE))</f>
        <v>5</v>
      </c>
      <c r="H101" s="50">
        <f>VLOOKUP(IntComp24[[#This Row],[DEVELOPMENT]],Data[],7,FALSE)</f>
        <v>823</v>
      </c>
      <c r="I101" s="50">
        <f>VLOOKUP(IntComp24[[#This Row],[DEVELOPMENT]],Data[],5,FALSE)</f>
        <v>6</v>
      </c>
      <c r="J101" s="50"/>
      <c r="K101" s="50" t="str">
        <f ca="1">IFERROR(VLOOKUP(IntComp24[[#This Row],[DEVELOPMENT]],Data[],4,FALSE),"")</f>
        <v>2022-2025</v>
      </c>
      <c r="L101" s="50" t="str">
        <f ca="1">IF(IntComp24[[#This Row],[RAD/PACT]]="","",IF(OR(IntComp24[[#This Row],[RAD/PACT]]="2022-2025",IntComp24[[#This Row],[RAD/PACT]]=2019,IntComp24[[#This Row],[RAD/PACT]]="2020-2021"),"Yes",""))</f>
        <v>Yes</v>
      </c>
      <c r="M101" s="51">
        <f ca="1">IF(VLOOKUP(IntComp24[[#This Row],[DEVELOPMENT]],Data[],10,FALSE)=0,-1,DATEDIF(VLOOKUP(IntComp24[[#This Row],[DEVELOPMENT]],Data[],12,FALSE),TODAY(),"Y"))</f>
        <v>17</v>
      </c>
      <c r="N10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01" s="51"/>
      <c r="P101" s="51"/>
      <c r="Q101" s="51"/>
      <c r="R101" s="47">
        <f ca="1">(IntComp24[[#This Row],['# to Replace (MRST)]]*INDEX(UnitCosts[#All],MATCH(IntComp24[[#This Row],[WORK TYPE]],UnitCosts[Work Type],0)+1,2))*(1+((IntComp24[[#This Row],[est. Year]]-YEAR(TODAY()))*$R$2))</f>
        <v>0</v>
      </c>
      <c r="S101" s="1">
        <f ca="1">SUM(INDEX(IntComp24['# to Replace (MRST)],1):IntComp24[[#This Row],['# to Replace (MRST)]])</f>
        <v>30</v>
      </c>
      <c r="T101" s="51"/>
      <c r="U101" s="51">
        <f ca="1">IF(ISBLANK(IntComp24[[#This Row],[CALENDAR YEAR]]),ROUNDDOWN(IntComp24[[#This Row],[Count]]/50,0)+$U$1,IntComp24[[#This Row],[CALENDAR YEAR]])</f>
        <v>2022</v>
      </c>
      <c r="V101" s="69">
        <f t="shared" ca="1" si="2"/>
        <v>1147561.625</v>
      </c>
      <c r="X101"/>
    </row>
    <row r="102" spans="1:24" hidden="1">
      <c r="A102" s="13" t="s">
        <v>297</v>
      </c>
      <c r="B102" s="9" t="str">
        <f>VLOOKUP(A102,Data[],2,FALSE)</f>
        <v>BROOKLYN</v>
      </c>
      <c r="C102" s="9" t="s">
        <v>106</v>
      </c>
      <c r="D102" s="9" t="str">
        <f>VLOOKUP(IntComp24[[#This Row],[DEVELOPMENT]],Data[],52,FALSE)</f>
        <v>FEDERAL</v>
      </c>
      <c r="E102" s="50">
        <f>VLOOKUP(IntComp24[[#This Row],[DEVELOPMENT]],Data[],8,FALSE)</f>
        <v>0</v>
      </c>
      <c r="F102" s="50">
        <f>VLOOKUP(IntComp24[[#This Row],[DEVELOPMENT]],all[[DEVELOPMENT]:[MRST Ext. Comp. Priority]],13,FALSE)</f>
        <v>2</v>
      </c>
      <c r="G102" s="50">
        <f>IF(VLOOKUP(IntComp24[[#This Row],[DEVELOPMENT]],Data[],9,FALSE)=0,5,VLOOKUP(IntComp24[[#This Row],[DEVELOPMENT]],Data[],9,FALSE))</f>
        <v>5</v>
      </c>
      <c r="H102" s="50">
        <f>VLOOKUP(IntComp24[[#This Row],[DEVELOPMENT]],Data[],7,FALSE)</f>
        <v>400</v>
      </c>
      <c r="I102" s="50">
        <f>VLOOKUP(IntComp24[[#This Row],[DEVELOPMENT]],Data[],5,FALSE)</f>
        <v>3</v>
      </c>
      <c r="J102" s="50"/>
      <c r="K102" s="50" t="str">
        <f ca="1">IFERROR(VLOOKUP(IntComp24[[#This Row],[DEVELOPMENT]],Data[],4,FALSE),"")</f>
        <v>2022-2025</v>
      </c>
      <c r="L102" s="50" t="str">
        <f ca="1">IF(IntComp24[[#This Row],[RAD/PACT]]="","",IF(OR(IntComp24[[#This Row],[RAD/PACT]]="2022-2025",IntComp24[[#This Row],[RAD/PACT]]=2019,IntComp24[[#This Row],[RAD/PACT]]="2020-2021"),"Yes",""))</f>
        <v>Yes</v>
      </c>
      <c r="M102" s="51">
        <f ca="1">IF(VLOOKUP(IntComp24[[#This Row],[DEVELOPMENT]],Data[],10,FALSE)=0,-1,DATEDIF(VLOOKUP(IntComp24[[#This Row],[DEVELOPMENT]],Data[],12,FALSE),TODAY(),"Y"))</f>
        <v>17</v>
      </c>
      <c r="N10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02" s="51"/>
      <c r="P102" s="51"/>
      <c r="Q102" s="51"/>
      <c r="R102" s="47">
        <f ca="1">(IntComp24[[#This Row],['# to Replace (MRST)]]*INDEX(UnitCosts[#All],MATCH(IntComp24[[#This Row],[WORK TYPE]],UnitCosts[Work Type],0)+1,2))*(1+((IntComp24[[#This Row],[est. Year]]-YEAR(TODAY()))*$R$2))</f>
        <v>0</v>
      </c>
      <c r="S102" s="1">
        <f ca="1">SUM(INDEX(IntComp24['# to Replace (MRST)],1):IntComp24[[#This Row],['# to Replace (MRST)]])</f>
        <v>30</v>
      </c>
      <c r="T102" s="51"/>
      <c r="U102" s="51">
        <f ca="1">IF(ISBLANK(IntComp24[[#This Row],[CALENDAR YEAR]]),ROUNDDOWN(IntComp24[[#This Row],[Count]]/50,0)+$U$1,IntComp24[[#This Row],[CALENDAR YEAR]])</f>
        <v>2022</v>
      </c>
      <c r="V102" s="69">
        <f t="shared" ca="1" si="2"/>
        <v>1147561.625</v>
      </c>
      <c r="X102"/>
    </row>
    <row r="103" spans="1:24">
      <c r="A103" s="13" t="s">
        <v>231</v>
      </c>
      <c r="B103" s="9" t="str">
        <f>VLOOKUP(A103,Data[],2,FALSE)</f>
        <v>BROOKLYN</v>
      </c>
      <c r="C103" s="9" t="s">
        <v>106</v>
      </c>
      <c r="D103" s="9" t="str">
        <f>VLOOKUP(IntComp24[[#This Row],[DEVELOPMENT]],Data[],52,FALSE)</f>
        <v>MIXED FINANCE/LLC1</v>
      </c>
      <c r="E103" s="50">
        <f>VLOOKUP(IntComp24[[#This Row],[DEVELOPMENT]],Data[],8,FALSE)</f>
        <v>0</v>
      </c>
      <c r="F103" s="50">
        <f>VLOOKUP(IntComp24[[#This Row],[DEVELOPMENT]],all[[DEVELOPMENT]:[MRST Ext. Comp. Priority]],13,FALSE)</f>
        <v>2</v>
      </c>
      <c r="G103" s="50">
        <f>IF(VLOOKUP(IntComp24[[#This Row],[DEVELOPMENT]],Data[],9,FALSE)=0,5,VLOOKUP(IntComp24[[#This Row],[DEVELOPMENT]],Data[],9,FALSE))</f>
        <v>5</v>
      </c>
      <c r="H103" s="50">
        <f>VLOOKUP(IntComp24[[#This Row],[DEVELOPMENT]],Data[],7,FALSE)</f>
        <v>1609</v>
      </c>
      <c r="I103" s="50">
        <f>VLOOKUP(IntComp24[[#This Row],[DEVELOPMENT]],Data[],5,FALSE)</f>
        <v>23</v>
      </c>
      <c r="J103" s="50"/>
      <c r="K103" s="50" t="str">
        <f ca="1">IFERROR(VLOOKUP(IntComp24[[#This Row],[DEVELOPMENT]],Data[],4,FALSE),"")</f>
        <v>2026+</v>
      </c>
      <c r="L103" s="50" t="str">
        <f ca="1">IF(IntComp24[[#This Row],[RAD/PACT]]="","",IF(OR(IntComp24[[#This Row],[RAD/PACT]]="2022-2025",IntComp24[[#This Row],[RAD/PACT]]=2019,IntComp24[[#This Row],[RAD/PACT]]="2020-2021"),"Yes",""))</f>
        <v/>
      </c>
      <c r="M103" s="51">
        <f ca="1">IF(VLOOKUP(IntComp24[[#This Row],[DEVELOPMENT]],Data[],10,FALSE)=0,-1,DATEDIF(VLOOKUP(IntComp24[[#This Row],[DEVELOPMENT]],Data[],12,FALSE),TODAY(),"Y"))</f>
        <v>18</v>
      </c>
      <c r="N10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23</v>
      </c>
      <c r="O103" s="51"/>
      <c r="P103" s="51"/>
      <c r="Q103" s="51"/>
      <c r="R103" s="47">
        <f ca="1">(IntComp24[[#This Row],['# to Replace (MRST)]]*INDEX(UnitCosts[#All],MATCH(IntComp24[[#This Row],[WORK TYPE]],UnitCosts[Work Type],0)+1,2))*(1+((IntComp24[[#This Row],[est. Year]]-YEAR(TODAY()))*$R$2))</f>
        <v>1603368.8125</v>
      </c>
      <c r="S103" s="1">
        <f ca="1">SUM(INDEX(IntComp24['# to Replace (MRST)],1):IntComp24[[#This Row],['# to Replace (MRST)]])</f>
        <v>53</v>
      </c>
      <c r="T103" s="51"/>
      <c r="U103" s="51">
        <f ca="1">IF(ISBLANK(IntComp24[[#This Row],[CALENDAR YEAR]]),ROUNDDOWN(IntComp24[[#This Row],[Count]]/50,0)+$U$1,IntComp24[[#This Row],[CALENDAR YEAR]])</f>
        <v>2023</v>
      </c>
      <c r="V103" s="69">
        <f t="shared" ca="1" si="2"/>
        <v>1603368.8125</v>
      </c>
      <c r="X103"/>
    </row>
    <row r="104" spans="1:24" hidden="1">
      <c r="A104" s="13" t="s">
        <v>269</v>
      </c>
      <c r="B104" s="9" t="str">
        <f>VLOOKUP(A104,Data[],2,FALSE)</f>
        <v>QUEENS</v>
      </c>
      <c r="C104" s="9" t="s">
        <v>106</v>
      </c>
      <c r="D104" s="9" t="str">
        <f>VLOOKUP(IntComp24[[#This Row],[DEVELOPMENT]],Data[],52,FALSE)</f>
        <v>FEDERAL</v>
      </c>
      <c r="E104" s="50">
        <f>VLOOKUP(IntComp24[[#This Row],[DEVELOPMENT]],Data[],8,FALSE)</f>
        <v>0</v>
      </c>
      <c r="F104" s="50">
        <f>VLOOKUP(IntComp24[[#This Row],[DEVELOPMENT]],all[[DEVELOPMENT]:[MRST Ext. Comp. Priority]],13,FALSE)</f>
        <v>2</v>
      </c>
      <c r="G104" s="50">
        <f>IF(VLOOKUP(IntComp24[[#This Row],[DEVELOPMENT]],Data[],9,FALSE)=0,5,VLOOKUP(IntComp24[[#This Row],[DEVELOPMENT]],Data[],9,FALSE))</f>
        <v>5</v>
      </c>
      <c r="H104" s="50">
        <f>VLOOKUP(IntComp24[[#This Row],[DEVELOPMENT]],Data[],7,FALSE)</f>
        <v>598</v>
      </c>
      <c r="I104" s="50">
        <f>VLOOKUP(IntComp24[[#This Row],[DEVELOPMENT]],Data[],5,FALSE)</f>
        <v>16</v>
      </c>
      <c r="J104" s="50"/>
      <c r="K104" s="50" t="str">
        <f ca="1">IFERROR(VLOOKUP(IntComp24[[#This Row],[DEVELOPMENT]],Data[],4,FALSE),"")</f>
        <v>2026+</v>
      </c>
      <c r="L104" s="50" t="str">
        <f ca="1">IF(IntComp24[[#This Row],[RAD/PACT]]="","",IF(OR(IntComp24[[#This Row],[RAD/PACT]]="2022-2025",IntComp24[[#This Row],[RAD/PACT]]=2019,IntComp24[[#This Row],[RAD/PACT]]="2020-2021"),"Yes",""))</f>
        <v/>
      </c>
      <c r="M104" s="51">
        <f ca="1">IF(VLOOKUP(IntComp24[[#This Row],[DEVELOPMENT]],Data[],10,FALSE)=0,-1,DATEDIF(VLOOKUP(IntComp24[[#This Row],[DEVELOPMENT]],Data[],12,FALSE),TODAY(),"Y"))</f>
        <v>17</v>
      </c>
      <c r="N10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04" s="51"/>
      <c r="P104" s="51"/>
      <c r="Q104" s="51"/>
      <c r="R104" s="47">
        <f ca="1">(IntComp24[[#This Row],['# to Replace (MRST)]]*INDEX(UnitCosts[#All],MATCH(IntComp24[[#This Row],[WORK TYPE]],UnitCosts[Work Type],0)+1,2))*(1+((IntComp24[[#This Row],[est. Year]]-YEAR(TODAY()))*$R$2))</f>
        <v>0</v>
      </c>
      <c r="S104" s="1">
        <f ca="1">SUM(INDEX(IntComp24['# to Replace (MRST)],1):IntComp24[[#This Row],['# to Replace (MRST)]])</f>
        <v>53</v>
      </c>
      <c r="T104" s="51"/>
      <c r="U104" s="51">
        <f ca="1">IF(ISBLANK(IntComp24[[#This Row],[CALENDAR YEAR]]),ROUNDDOWN(IntComp24[[#This Row],[Count]]/50,0)+$U$1,IntComp24[[#This Row],[CALENDAR YEAR]])</f>
        <v>2023</v>
      </c>
      <c r="V104" s="69">
        <f t="shared" ca="1" si="2"/>
        <v>1603368.8125</v>
      </c>
      <c r="X104"/>
    </row>
    <row r="105" spans="1:24" hidden="1">
      <c r="A105" s="13" t="s">
        <v>325</v>
      </c>
      <c r="B105" s="9" t="str">
        <f>VLOOKUP(A105,Data[],2,FALSE)</f>
        <v>BROOKLYN</v>
      </c>
      <c r="C105" s="9" t="s">
        <v>106</v>
      </c>
      <c r="D105" s="9" t="str">
        <f>VLOOKUP(IntComp24[[#This Row],[DEVELOPMENT]],Data[],52,FALSE)</f>
        <v>FEDERAL</v>
      </c>
      <c r="E105" s="50">
        <f>VLOOKUP(IntComp24[[#This Row],[DEVELOPMENT]],Data[],8,FALSE)</f>
        <v>0</v>
      </c>
      <c r="F105" s="50">
        <f>VLOOKUP(IntComp24[[#This Row],[DEVELOPMENT]],all[[DEVELOPMENT]:[MRST Ext. Comp. Priority]],13,FALSE)</f>
        <v>2</v>
      </c>
      <c r="G105" s="50">
        <f>IF(VLOOKUP(IntComp24[[#This Row],[DEVELOPMENT]],Data[],9,FALSE)=0,5,VLOOKUP(IntComp24[[#This Row],[DEVELOPMENT]],Data[],9,FALSE))</f>
        <v>5</v>
      </c>
      <c r="H105" s="50">
        <f>VLOOKUP(IntComp24[[#This Row],[DEVELOPMENT]],Data[],7,FALSE)</f>
        <v>1186</v>
      </c>
      <c r="I105" s="50">
        <f>VLOOKUP(IntComp24[[#This Row],[DEVELOPMENT]],Data[],5,FALSE)</f>
        <v>20</v>
      </c>
      <c r="J105" s="50"/>
      <c r="K105" s="50" t="str">
        <f ca="1">IFERROR(VLOOKUP(IntComp24[[#This Row],[DEVELOPMENT]],Data[],4,FALSE),"")</f>
        <v>2026+</v>
      </c>
      <c r="L105" s="50" t="str">
        <f ca="1">IF(IntComp24[[#This Row],[RAD/PACT]]="","",IF(OR(IntComp24[[#This Row],[RAD/PACT]]="2022-2025",IntComp24[[#This Row],[RAD/PACT]]=2019,IntComp24[[#This Row],[RAD/PACT]]="2020-2021"),"Yes",""))</f>
        <v/>
      </c>
      <c r="M105" s="51">
        <f ca="1">IF(VLOOKUP(IntComp24[[#This Row],[DEVELOPMENT]],Data[],10,FALSE)=0,-1,DATEDIF(VLOOKUP(IntComp24[[#This Row],[DEVELOPMENT]],Data[],12,FALSE),TODAY(),"Y"))</f>
        <v>16</v>
      </c>
      <c r="N10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05" s="51"/>
      <c r="P105" s="51"/>
      <c r="Q105" s="51"/>
      <c r="R105" s="47">
        <f ca="1">(IntComp24[[#This Row],['# to Replace (MRST)]]*INDEX(UnitCosts[#All],MATCH(IntComp24[[#This Row],[WORK TYPE]],UnitCosts[Work Type],0)+1,2))*(1+((IntComp24[[#This Row],[est. Year]]-YEAR(TODAY()))*$R$2))</f>
        <v>0</v>
      </c>
      <c r="S105" s="1">
        <f ca="1">SUM(INDEX(IntComp24['# to Replace (MRST)],1):IntComp24[[#This Row],['# to Replace (MRST)]])</f>
        <v>53</v>
      </c>
      <c r="T105" s="51"/>
      <c r="U105" s="51">
        <f ca="1">IF(ISBLANK(IntComp24[[#This Row],[CALENDAR YEAR]]),ROUNDDOWN(IntComp24[[#This Row],[Count]]/50,0)+$U$1,IntComp24[[#This Row],[CALENDAR YEAR]])</f>
        <v>2023</v>
      </c>
      <c r="V105" s="69">
        <f t="shared" ca="1" si="2"/>
        <v>1603368.8125</v>
      </c>
      <c r="X105"/>
    </row>
    <row r="106" spans="1:24" hidden="1">
      <c r="A106" s="13" t="s">
        <v>327</v>
      </c>
      <c r="B106" s="9" t="str">
        <f>VLOOKUP(A106,Data[],2,FALSE)</f>
        <v>BROOKLYN</v>
      </c>
      <c r="C106" s="9" t="s">
        <v>106</v>
      </c>
      <c r="D106" s="9" t="str">
        <f>VLOOKUP(IntComp24[[#This Row],[DEVELOPMENT]],Data[],52,FALSE)</f>
        <v>FEDERAL</v>
      </c>
      <c r="E106" s="50">
        <f>VLOOKUP(IntComp24[[#This Row],[DEVELOPMENT]],Data[],8,FALSE)</f>
        <v>0</v>
      </c>
      <c r="F106" s="50">
        <f>VLOOKUP(IntComp24[[#This Row],[DEVELOPMENT]],all[[DEVELOPMENT]:[MRST Ext. Comp. Priority]],13,FALSE)</f>
        <v>2</v>
      </c>
      <c r="G106" s="50">
        <f>IF(VLOOKUP(IntComp24[[#This Row],[DEVELOPMENT]],Data[],9,FALSE)=0,5,VLOOKUP(IntComp24[[#This Row],[DEVELOPMENT]],Data[],9,FALSE))</f>
        <v>5</v>
      </c>
      <c r="H106" s="50">
        <f>VLOOKUP(IntComp24[[#This Row],[DEVELOPMENT]],Data[],7,FALSE)</f>
        <v>627</v>
      </c>
      <c r="I106" s="50">
        <f>VLOOKUP(IntComp24[[#This Row],[DEVELOPMENT]],Data[],5,FALSE)</f>
        <v>15</v>
      </c>
      <c r="J106" s="50"/>
      <c r="K106" s="50" t="str">
        <f ca="1">IFERROR(VLOOKUP(IntComp24[[#This Row],[DEVELOPMENT]],Data[],4,FALSE),"")</f>
        <v>2026+</v>
      </c>
      <c r="L106" s="50" t="str">
        <f ca="1">IF(IntComp24[[#This Row],[RAD/PACT]]="","",IF(OR(IntComp24[[#This Row],[RAD/PACT]]="2022-2025",IntComp24[[#This Row],[RAD/PACT]]=2019,IntComp24[[#This Row],[RAD/PACT]]="2020-2021"),"Yes",""))</f>
        <v/>
      </c>
      <c r="M106" s="51">
        <f ca="1">IF(VLOOKUP(IntComp24[[#This Row],[DEVELOPMENT]],Data[],10,FALSE)=0,-1,DATEDIF(VLOOKUP(IntComp24[[#This Row],[DEVELOPMENT]],Data[],12,FALSE),TODAY(),"Y"))</f>
        <v>16</v>
      </c>
      <c r="N10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06" s="51"/>
      <c r="P106" s="51"/>
      <c r="Q106" s="51"/>
      <c r="R106" s="47">
        <f ca="1">(IntComp24[[#This Row],['# to Replace (MRST)]]*INDEX(UnitCosts[#All],MATCH(IntComp24[[#This Row],[WORK TYPE]],UnitCosts[Work Type],0)+1,2))*(1+((IntComp24[[#This Row],[est. Year]]-YEAR(TODAY()))*$R$2))</f>
        <v>0</v>
      </c>
      <c r="S106" s="1">
        <f ca="1">SUM(INDEX(IntComp24['# to Replace (MRST)],1):IntComp24[[#This Row],['# to Replace (MRST)]])</f>
        <v>53</v>
      </c>
      <c r="T106" s="51"/>
      <c r="U106" s="51">
        <f ca="1">IF(ISBLANK(IntComp24[[#This Row],[CALENDAR YEAR]]),ROUNDDOWN(IntComp24[[#This Row],[Count]]/50,0)+$U$1,IntComp24[[#This Row],[CALENDAR YEAR]])</f>
        <v>2023</v>
      </c>
      <c r="V106" s="69">
        <f t="shared" ca="1" si="2"/>
        <v>1603368.8125</v>
      </c>
      <c r="X106"/>
    </row>
    <row r="107" spans="1:24" hidden="1">
      <c r="A107" s="13" t="s">
        <v>232</v>
      </c>
      <c r="B107" s="9" t="str">
        <f>VLOOKUP(A107,Data[],2,FALSE)</f>
        <v>STATEN ISLAND</v>
      </c>
      <c r="C107" s="9" t="s">
        <v>106</v>
      </c>
      <c r="D107" s="9" t="str">
        <f>VLOOKUP(IntComp24[[#This Row],[DEVELOPMENT]],Data[],52,FALSE)</f>
        <v>FEDERAL</v>
      </c>
      <c r="E107" s="50">
        <f>VLOOKUP(IntComp24[[#This Row],[DEVELOPMENT]],Data[],8,FALSE)</f>
        <v>0</v>
      </c>
      <c r="F107" s="50">
        <f>VLOOKUP(IntComp24[[#This Row],[DEVELOPMENT]],all[[DEVELOPMENT]:[MRST Ext. Comp. Priority]],13,FALSE)</f>
        <v>2</v>
      </c>
      <c r="G107" s="50">
        <f>IF(VLOOKUP(IntComp24[[#This Row],[DEVELOPMENT]],Data[],9,FALSE)=0,5,VLOOKUP(IntComp24[[#This Row],[DEVELOPMENT]],Data[],9,FALSE))</f>
        <v>5</v>
      </c>
      <c r="H107" s="50">
        <f>VLOOKUP(IntComp24[[#This Row],[DEVELOPMENT]],Data[],7,FALSE)</f>
        <v>506</v>
      </c>
      <c r="I107" s="50">
        <f>VLOOKUP(IntComp24[[#This Row],[DEVELOPMENT]],Data[],5,FALSE)</f>
        <v>8</v>
      </c>
      <c r="J107" s="50"/>
      <c r="K107" s="50" t="str">
        <f ca="1">IFERROR(VLOOKUP(IntComp24[[#This Row],[DEVELOPMENT]],Data[],4,FALSE),"")</f>
        <v/>
      </c>
      <c r="L107" s="50" t="str">
        <f ca="1">IF(IntComp24[[#This Row],[RAD/PACT]]="","",IF(OR(IntComp24[[#This Row],[RAD/PACT]]="2022-2025",IntComp24[[#This Row],[RAD/PACT]]=2019,IntComp24[[#This Row],[RAD/PACT]]="2020-2021"),"Yes",""))</f>
        <v/>
      </c>
      <c r="M107" s="51">
        <f ca="1">IF(VLOOKUP(IntComp24[[#This Row],[DEVELOPMENT]],Data[],10,FALSE)=0,-1,DATEDIF(VLOOKUP(IntComp24[[#This Row],[DEVELOPMENT]],Data[],12,FALSE),TODAY(),"Y"))</f>
        <v>15</v>
      </c>
      <c r="N10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07" s="51"/>
      <c r="P107" s="51"/>
      <c r="Q107" s="51"/>
      <c r="R107" s="47">
        <f ca="1">(IntComp24[[#This Row],['# to Replace (MRST)]]*INDEX(UnitCosts[#All],MATCH(IntComp24[[#This Row],[WORK TYPE]],UnitCosts[Work Type],0)+1,2))*(1+((IntComp24[[#This Row],[est. Year]]-YEAR(TODAY()))*$R$2))</f>
        <v>0</v>
      </c>
      <c r="S107" s="1">
        <f ca="1">SUM(INDEX(IntComp24['# to Replace (MRST)],1):IntComp24[[#This Row],['# to Replace (MRST)]])</f>
        <v>53</v>
      </c>
      <c r="T107" s="51"/>
      <c r="U107" s="51">
        <f ca="1">IF(ISBLANK(IntComp24[[#This Row],[CALENDAR YEAR]]),ROUNDDOWN(IntComp24[[#This Row],[Count]]/50,0)+$U$1,IntComp24[[#This Row],[CALENDAR YEAR]])</f>
        <v>2023</v>
      </c>
      <c r="V107" s="69">
        <f t="shared" ca="1" si="2"/>
        <v>1603368.8125</v>
      </c>
      <c r="X107"/>
    </row>
    <row r="108" spans="1:24" hidden="1">
      <c r="A108" s="13" t="s">
        <v>329</v>
      </c>
      <c r="B108" s="9" t="str">
        <f>VLOOKUP(A108,Data[],2,FALSE)</f>
        <v>BROOKLYN</v>
      </c>
      <c r="C108" s="9" t="s">
        <v>106</v>
      </c>
      <c r="D108" s="9" t="str">
        <f>VLOOKUP(IntComp24[[#This Row],[DEVELOPMENT]],Data[],52,FALSE)</f>
        <v>FEDERAL</v>
      </c>
      <c r="E108" s="50">
        <f>VLOOKUP(IntComp24[[#This Row],[DEVELOPMENT]],Data[],8,FALSE)</f>
        <v>0</v>
      </c>
      <c r="F108" s="50">
        <f>VLOOKUP(IntComp24[[#This Row],[DEVELOPMENT]],all[[DEVELOPMENT]:[MRST Ext. Comp. Priority]],13,FALSE)</f>
        <v>2</v>
      </c>
      <c r="G108" s="50">
        <f>IF(VLOOKUP(IntComp24[[#This Row],[DEVELOPMENT]],Data[],9,FALSE)=0,5,VLOOKUP(IntComp24[[#This Row],[DEVELOPMENT]],Data[],9,FALSE))</f>
        <v>5</v>
      </c>
      <c r="H108" s="50">
        <f>VLOOKUP(IntComp24[[#This Row],[DEVELOPMENT]],Data[],7,FALSE)</f>
        <v>380</v>
      </c>
      <c r="I108" s="50">
        <f>VLOOKUP(IntComp24[[#This Row],[DEVELOPMENT]],Data[],5,FALSE)</f>
        <v>3</v>
      </c>
      <c r="J108" s="50"/>
      <c r="K108" s="50" t="str">
        <f ca="1">IFERROR(VLOOKUP(IntComp24[[#This Row],[DEVELOPMENT]],Data[],4,FALSE),"")</f>
        <v/>
      </c>
      <c r="L108" s="50" t="str">
        <f ca="1">IF(IntComp24[[#This Row],[RAD/PACT]]="","",IF(OR(IntComp24[[#This Row],[RAD/PACT]]="2022-2025",IntComp24[[#This Row],[RAD/PACT]]=2019,IntComp24[[#This Row],[RAD/PACT]]="2020-2021"),"Yes",""))</f>
        <v/>
      </c>
      <c r="M108" s="51">
        <f ca="1">IF(VLOOKUP(IntComp24[[#This Row],[DEVELOPMENT]],Data[],10,FALSE)=0,-1,DATEDIF(VLOOKUP(IntComp24[[#This Row],[DEVELOPMENT]],Data[],12,FALSE),TODAY(),"Y"))</f>
        <v>16</v>
      </c>
      <c r="N10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08" s="51"/>
      <c r="P108" s="51"/>
      <c r="Q108" s="51"/>
      <c r="R108" s="47">
        <f ca="1">(IntComp24[[#This Row],['# to Replace (MRST)]]*INDEX(UnitCosts[#All],MATCH(IntComp24[[#This Row],[WORK TYPE]],UnitCosts[Work Type],0)+1,2))*(1+((IntComp24[[#This Row],[est. Year]]-YEAR(TODAY()))*$R$2))</f>
        <v>0</v>
      </c>
      <c r="S108" s="1">
        <f ca="1">SUM(INDEX(IntComp24['# to Replace (MRST)],1):IntComp24[[#This Row],['# to Replace (MRST)]])</f>
        <v>53</v>
      </c>
      <c r="T108" s="51"/>
      <c r="U108" s="51">
        <f ca="1">IF(ISBLANK(IntComp24[[#This Row],[CALENDAR YEAR]]),ROUNDDOWN(IntComp24[[#This Row],[Count]]/50,0)+$U$1,IntComp24[[#This Row],[CALENDAR YEAR]])</f>
        <v>2023</v>
      </c>
      <c r="V108" s="69">
        <f t="shared" ca="1" si="2"/>
        <v>1603368.8125</v>
      </c>
      <c r="X108"/>
    </row>
    <row r="109" spans="1:24" hidden="1">
      <c r="A109" s="13" t="s">
        <v>277</v>
      </c>
      <c r="B109" s="9" t="str">
        <f>VLOOKUP(A109,Data[],2,FALSE)</f>
        <v>BRONX</v>
      </c>
      <c r="C109" s="9" t="s">
        <v>106</v>
      </c>
      <c r="D109" s="9" t="str">
        <f>VLOOKUP(IntComp24[[#This Row],[DEVELOPMENT]],Data[],52,FALSE)</f>
        <v>FEDERAL</v>
      </c>
      <c r="E109" s="50">
        <f>VLOOKUP(IntComp24[[#This Row],[DEVELOPMENT]],Data[],8,FALSE)</f>
        <v>0</v>
      </c>
      <c r="F109" s="50">
        <f>VLOOKUP(IntComp24[[#This Row],[DEVELOPMENT]],all[[DEVELOPMENT]:[MRST Ext. Comp. Priority]],13,FALSE)</f>
        <v>2</v>
      </c>
      <c r="G109" s="50">
        <f>IF(VLOOKUP(IntComp24[[#This Row],[DEVELOPMENT]],Data[],9,FALSE)=0,5,VLOOKUP(IntComp24[[#This Row],[DEVELOPMENT]],Data[],9,FALSE))</f>
        <v>5</v>
      </c>
      <c r="H109" s="50">
        <f>VLOOKUP(IntComp24[[#This Row],[DEVELOPMENT]],Data[],7,FALSE)</f>
        <v>125</v>
      </c>
      <c r="I109" s="50">
        <f>VLOOKUP(IntComp24[[#This Row],[DEVELOPMENT]],Data[],5,FALSE)</f>
        <v>1</v>
      </c>
      <c r="J109" s="50"/>
      <c r="K109" s="50" t="str">
        <f ca="1">IFERROR(VLOOKUP(IntComp24[[#This Row],[DEVELOPMENT]],Data[],4,FALSE),"")</f>
        <v/>
      </c>
      <c r="L109" s="50" t="str">
        <f ca="1">IF(IntComp24[[#This Row],[RAD/PACT]]="","",IF(OR(IntComp24[[#This Row],[RAD/PACT]]="2022-2025",IntComp24[[#This Row],[RAD/PACT]]=2019,IntComp24[[#This Row],[RAD/PACT]]="2020-2021"),"Yes",""))</f>
        <v/>
      </c>
      <c r="M109" s="51">
        <f ca="1">IF(VLOOKUP(IntComp24[[#This Row],[DEVELOPMENT]],Data[],10,FALSE)=0,-1,DATEDIF(VLOOKUP(IntComp24[[#This Row],[DEVELOPMENT]],Data[],12,FALSE),TODAY(),"Y"))</f>
        <v>16</v>
      </c>
      <c r="N10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09" s="51"/>
      <c r="P109" s="51"/>
      <c r="Q109" s="51"/>
      <c r="R109" s="47">
        <f ca="1">(IntComp24[[#This Row],['# to Replace (MRST)]]*INDEX(UnitCosts[#All],MATCH(IntComp24[[#This Row],[WORK TYPE]],UnitCosts[Work Type],0)+1,2))*(1+((IntComp24[[#This Row],[est. Year]]-YEAR(TODAY()))*$R$2))</f>
        <v>0</v>
      </c>
      <c r="S109" s="1">
        <f ca="1">SUM(INDEX(IntComp24['# to Replace (MRST)],1):IntComp24[[#This Row],['# to Replace (MRST)]])</f>
        <v>53</v>
      </c>
      <c r="T109" s="51"/>
      <c r="U109" s="51">
        <f ca="1">IF(ISBLANK(IntComp24[[#This Row],[CALENDAR YEAR]]),ROUNDDOWN(IntComp24[[#This Row],[Count]]/50,0)+$U$1,IntComp24[[#This Row],[CALENDAR YEAR]])</f>
        <v>2023</v>
      </c>
      <c r="V109" s="69">
        <f t="shared" ca="1" si="2"/>
        <v>1603368.8125</v>
      </c>
      <c r="X109"/>
    </row>
    <row r="110" spans="1:24" hidden="1">
      <c r="A110" s="13" t="s">
        <v>300</v>
      </c>
      <c r="B110" s="9" t="str">
        <f>VLOOKUP(A110,Data[],2,FALSE)</f>
        <v>QUEENS</v>
      </c>
      <c r="C110" s="9" t="s">
        <v>106</v>
      </c>
      <c r="D110" s="9" t="str">
        <f>VLOOKUP(IntComp24[[#This Row],[DEVELOPMENT]],Data[],52,FALSE)</f>
        <v>FEDERAL</v>
      </c>
      <c r="E110" s="50">
        <f>VLOOKUP(IntComp24[[#This Row],[DEVELOPMENT]],Data[],8,FALSE)</f>
        <v>0</v>
      </c>
      <c r="F110" s="50">
        <f>VLOOKUP(IntComp24[[#This Row],[DEVELOPMENT]],all[[DEVELOPMENT]:[MRST Ext. Comp. Priority]],13,FALSE)</f>
        <v>2</v>
      </c>
      <c r="G110" s="50">
        <f>IF(VLOOKUP(IntComp24[[#This Row],[DEVELOPMENT]],Data[],9,FALSE)=0,5,VLOOKUP(IntComp24[[#This Row],[DEVELOPMENT]],Data[],9,FALSE))</f>
        <v>5</v>
      </c>
      <c r="H110" s="50">
        <f>VLOOKUP(IntComp24[[#This Row],[DEVELOPMENT]],Data[],7,FALSE)</f>
        <v>381</v>
      </c>
      <c r="I110" s="50">
        <f>VLOOKUP(IntComp24[[#This Row],[DEVELOPMENT]],Data[],5,FALSE)</f>
        <v>5</v>
      </c>
      <c r="J110" s="50"/>
      <c r="K110" s="50" t="str">
        <f ca="1">IFERROR(VLOOKUP(IntComp24[[#This Row],[DEVELOPMENT]],Data[],4,FALSE),"")</f>
        <v/>
      </c>
      <c r="L110" s="50" t="str">
        <f ca="1">IF(IntComp24[[#This Row],[RAD/PACT]]="","",IF(OR(IntComp24[[#This Row],[RAD/PACT]]="2022-2025",IntComp24[[#This Row],[RAD/PACT]]=2019,IntComp24[[#This Row],[RAD/PACT]]="2020-2021"),"Yes",""))</f>
        <v/>
      </c>
      <c r="M110" s="51">
        <f ca="1">IF(VLOOKUP(IntComp24[[#This Row],[DEVELOPMENT]],Data[],10,FALSE)=0,-1,DATEDIF(VLOOKUP(IntComp24[[#This Row],[DEVELOPMENT]],Data[],12,FALSE),TODAY(),"Y"))</f>
        <v>14</v>
      </c>
      <c r="N11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0" s="51"/>
      <c r="P110" s="51"/>
      <c r="Q110" s="51"/>
      <c r="R110" s="47">
        <f ca="1">(IntComp24[[#This Row],['# to Replace (MRST)]]*INDEX(UnitCosts[#All],MATCH(IntComp24[[#This Row],[WORK TYPE]],UnitCosts[Work Type],0)+1,2))*(1+((IntComp24[[#This Row],[est. Year]]-YEAR(TODAY()))*$R$2))</f>
        <v>0</v>
      </c>
      <c r="S110" s="1">
        <f ca="1">SUM(INDEX(IntComp24['# to Replace (MRST)],1):IntComp24[[#This Row],['# to Replace (MRST)]])</f>
        <v>53</v>
      </c>
      <c r="T110" s="51"/>
      <c r="U110" s="51">
        <f ca="1">IF(ISBLANK(IntComp24[[#This Row],[CALENDAR YEAR]]),ROUNDDOWN(IntComp24[[#This Row],[Count]]/50,0)+$U$1,IntComp24[[#This Row],[CALENDAR YEAR]])</f>
        <v>2023</v>
      </c>
      <c r="V110" s="69">
        <f t="shared" ca="1" si="2"/>
        <v>1603368.8125</v>
      </c>
      <c r="X110"/>
    </row>
    <row r="111" spans="1:24" hidden="1">
      <c r="A111" s="13" t="s">
        <v>362</v>
      </c>
      <c r="B111" s="9" t="str">
        <f>VLOOKUP(A111,Data[],2,FALSE)</f>
        <v>QUEENS</v>
      </c>
      <c r="C111" s="9" t="s">
        <v>106</v>
      </c>
      <c r="D111" s="9" t="str">
        <f>VLOOKUP(IntComp24[[#This Row],[DEVELOPMENT]],Data[],52,FALSE)</f>
        <v>FEDERAL</v>
      </c>
      <c r="E111" s="50">
        <f>VLOOKUP(IntComp24[[#This Row],[DEVELOPMENT]],Data[],8,FALSE)</f>
        <v>0</v>
      </c>
      <c r="F111" s="50">
        <f>VLOOKUP(IntComp24[[#This Row],[DEVELOPMENT]],all[[DEVELOPMENT]:[MRST Ext. Comp. Priority]],13,FALSE)</f>
        <v>2</v>
      </c>
      <c r="G111" s="50">
        <f>IF(VLOOKUP(IntComp24[[#This Row],[DEVELOPMENT]],Data[],9,FALSE)=0,5,VLOOKUP(IntComp24[[#This Row],[DEVELOPMENT]],Data[],9,FALSE))</f>
        <v>5</v>
      </c>
      <c r="H111" s="50">
        <f>VLOOKUP(IntComp24[[#This Row],[DEVELOPMENT]],Data[],7,FALSE)</f>
        <v>153</v>
      </c>
      <c r="I111" s="50">
        <f>VLOOKUP(IntComp24[[#This Row],[DEVELOPMENT]],Data[],5,FALSE)</f>
        <v>1</v>
      </c>
      <c r="J111" s="50"/>
      <c r="K111" s="50" t="str">
        <f ca="1">IFERROR(VLOOKUP(IntComp24[[#This Row],[DEVELOPMENT]],Data[],4,FALSE),"")</f>
        <v/>
      </c>
      <c r="L111" s="50" t="str">
        <f ca="1">IF(IntComp24[[#This Row],[RAD/PACT]]="","",IF(OR(IntComp24[[#This Row],[RAD/PACT]]="2022-2025",IntComp24[[#This Row],[RAD/PACT]]=2019,IntComp24[[#This Row],[RAD/PACT]]="2020-2021"),"Yes",""))</f>
        <v/>
      </c>
      <c r="M111" s="51">
        <f ca="1">IF(VLOOKUP(IntComp24[[#This Row],[DEVELOPMENT]],Data[],10,FALSE)=0,-1,DATEDIF(VLOOKUP(IntComp24[[#This Row],[DEVELOPMENT]],Data[],12,FALSE),TODAY(),"Y"))</f>
        <v>15</v>
      </c>
      <c r="N11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1" s="51"/>
      <c r="P111" s="51"/>
      <c r="Q111" s="51"/>
      <c r="R111" s="47">
        <f ca="1">(IntComp24[[#This Row],['# to Replace (MRST)]]*INDEX(UnitCosts[#All],MATCH(IntComp24[[#This Row],[WORK TYPE]],UnitCosts[Work Type],0)+1,2))*(1+((IntComp24[[#This Row],[est. Year]]-YEAR(TODAY()))*$R$2))</f>
        <v>0</v>
      </c>
      <c r="S111" s="1">
        <f ca="1">SUM(INDEX(IntComp24['# to Replace (MRST)],1):IntComp24[[#This Row],['# to Replace (MRST)]])</f>
        <v>53</v>
      </c>
      <c r="T111" s="51"/>
      <c r="U111" s="51">
        <f ca="1">IF(ISBLANK(IntComp24[[#This Row],[CALENDAR YEAR]]),ROUNDDOWN(IntComp24[[#This Row],[Count]]/50,0)+$U$1,IntComp24[[#This Row],[CALENDAR YEAR]])</f>
        <v>2023</v>
      </c>
      <c r="V111" s="69">
        <f t="shared" ca="1" si="2"/>
        <v>1603368.8125</v>
      </c>
      <c r="X111"/>
    </row>
    <row r="112" spans="1:24" hidden="1">
      <c r="A112" s="13" t="s">
        <v>198</v>
      </c>
      <c r="B112" s="9" t="str">
        <f>VLOOKUP(A112,Data[],2,FALSE)</f>
        <v>MANHATTAN</v>
      </c>
      <c r="C112" s="9" t="s">
        <v>106</v>
      </c>
      <c r="D112" s="9" t="str">
        <f>VLOOKUP(IntComp24[[#This Row],[DEVELOPMENT]],Data[],52,FALSE)</f>
        <v>FEDERAL</v>
      </c>
      <c r="E112" s="50">
        <f>VLOOKUP(IntComp24[[#This Row],[DEVELOPMENT]],Data[],8,FALSE)</f>
        <v>0</v>
      </c>
      <c r="F112" s="50">
        <f>VLOOKUP(IntComp24[[#This Row],[DEVELOPMENT]],all[[DEVELOPMENT]:[MRST Ext. Comp. Priority]],13,FALSE)</f>
        <v>2</v>
      </c>
      <c r="G112" s="50">
        <f>IF(VLOOKUP(IntComp24[[#This Row],[DEVELOPMENT]],Data[],9,FALSE)=0,5,VLOOKUP(IntComp24[[#This Row],[DEVELOPMENT]],Data[],9,FALSE))</f>
        <v>5</v>
      </c>
      <c r="H112" s="50">
        <f>VLOOKUP(IntComp24[[#This Row],[DEVELOPMENT]],Data[],7,FALSE)</f>
        <v>267</v>
      </c>
      <c r="I112" s="50">
        <f>VLOOKUP(IntComp24[[#This Row],[DEVELOPMENT]],Data[],5,FALSE)</f>
        <v>2</v>
      </c>
      <c r="J112" s="50"/>
      <c r="K112" s="50" t="str">
        <f ca="1">IFERROR(VLOOKUP(IntComp24[[#This Row],[DEVELOPMENT]],Data[],4,FALSE),"")</f>
        <v/>
      </c>
      <c r="L112" s="50" t="str">
        <f ca="1">IF(IntComp24[[#This Row],[RAD/PACT]]="","",IF(OR(IntComp24[[#This Row],[RAD/PACT]]="2022-2025",IntComp24[[#This Row],[RAD/PACT]]=2019,IntComp24[[#This Row],[RAD/PACT]]="2020-2021"),"Yes",""))</f>
        <v/>
      </c>
      <c r="M112" s="51">
        <f ca="1">IF(VLOOKUP(IntComp24[[#This Row],[DEVELOPMENT]],Data[],10,FALSE)=0,-1,DATEDIF(VLOOKUP(IntComp24[[#This Row],[DEVELOPMENT]],Data[],12,FALSE),TODAY(),"Y"))</f>
        <v>14</v>
      </c>
      <c r="N11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2" s="51"/>
      <c r="P112" s="51"/>
      <c r="Q112" s="51"/>
      <c r="R112" s="47">
        <f ca="1">(IntComp24[[#This Row],['# to Replace (MRST)]]*INDEX(UnitCosts[#All],MATCH(IntComp24[[#This Row],[WORK TYPE]],UnitCosts[Work Type],0)+1,2))*(1+((IntComp24[[#This Row],[est. Year]]-YEAR(TODAY()))*$R$2))</f>
        <v>0</v>
      </c>
      <c r="S112" s="1">
        <f ca="1">SUM(INDEX(IntComp24['# to Replace (MRST)],1):IntComp24[[#This Row],['# to Replace (MRST)]])</f>
        <v>53</v>
      </c>
      <c r="T112" s="51"/>
      <c r="U112" s="51">
        <f ca="1">IF(ISBLANK(IntComp24[[#This Row],[CALENDAR YEAR]]),ROUNDDOWN(IntComp24[[#This Row],[Count]]/50,0)+$U$1,IntComp24[[#This Row],[CALENDAR YEAR]])</f>
        <v>2023</v>
      </c>
      <c r="V112" s="69">
        <f t="shared" ca="1" si="2"/>
        <v>1603368.8125</v>
      </c>
      <c r="X112"/>
    </row>
    <row r="113" spans="1:24" hidden="1">
      <c r="A113" s="13" t="s">
        <v>311</v>
      </c>
      <c r="B113" s="9" t="str">
        <f>VLOOKUP(A113,Data[],2,FALSE)</f>
        <v>BROOKLYN</v>
      </c>
      <c r="C113" s="9" t="s">
        <v>106</v>
      </c>
      <c r="D113" s="9" t="str">
        <f>VLOOKUP(IntComp24[[#This Row],[DEVELOPMENT]],Data[],52,FALSE)</f>
        <v>FEDERAL</v>
      </c>
      <c r="E113" s="50">
        <f>VLOOKUP(IntComp24[[#This Row],[DEVELOPMENT]],Data[],8,FALSE)</f>
        <v>0</v>
      </c>
      <c r="F113" s="50">
        <f>VLOOKUP(IntComp24[[#This Row],[DEVELOPMENT]],all[[DEVELOPMENT]:[MRST Ext. Comp. Priority]],13,FALSE)</f>
        <v>2</v>
      </c>
      <c r="G113" s="50">
        <f>IF(VLOOKUP(IntComp24[[#This Row],[DEVELOPMENT]],Data[],9,FALSE)=0,5,VLOOKUP(IntComp24[[#This Row],[DEVELOPMENT]],Data[],9,FALSE))</f>
        <v>5</v>
      </c>
      <c r="H113" s="50">
        <f>VLOOKUP(IntComp24[[#This Row],[DEVELOPMENT]],Data[],7,FALSE)</f>
        <v>192</v>
      </c>
      <c r="I113" s="50">
        <f>VLOOKUP(IntComp24[[#This Row],[DEVELOPMENT]],Data[],5,FALSE)</f>
        <v>1</v>
      </c>
      <c r="J113" s="50"/>
      <c r="K113" s="50" t="str">
        <f ca="1">IFERROR(VLOOKUP(IntComp24[[#This Row],[DEVELOPMENT]],Data[],4,FALSE),"")</f>
        <v/>
      </c>
      <c r="L113" s="50" t="str">
        <f ca="1">IF(IntComp24[[#This Row],[RAD/PACT]]="","",IF(OR(IntComp24[[#This Row],[RAD/PACT]]="2022-2025",IntComp24[[#This Row],[RAD/PACT]]=2019,IntComp24[[#This Row],[RAD/PACT]]="2020-2021"),"Yes",""))</f>
        <v/>
      </c>
      <c r="M113" s="51">
        <f ca="1">IF(VLOOKUP(IntComp24[[#This Row],[DEVELOPMENT]],Data[],10,FALSE)=0,-1,DATEDIF(VLOOKUP(IntComp24[[#This Row],[DEVELOPMENT]],Data[],12,FALSE),TODAY(),"Y"))</f>
        <v>2</v>
      </c>
      <c r="N11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3" s="51"/>
      <c r="P113" s="51"/>
      <c r="Q113" s="51"/>
      <c r="R113" s="47">
        <f ca="1">(IntComp24[[#This Row],['# to Replace (MRST)]]*INDEX(UnitCosts[#All],MATCH(IntComp24[[#This Row],[WORK TYPE]],UnitCosts[Work Type],0)+1,2))*(1+((IntComp24[[#This Row],[est. Year]]-YEAR(TODAY()))*$R$2))</f>
        <v>0</v>
      </c>
      <c r="S113" s="1">
        <f ca="1">SUM(INDEX(IntComp24['# to Replace (MRST)],1):IntComp24[[#This Row],['# to Replace (MRST)]])</f>
        <v>53</v>
      </c>
      <c r="T113" s="51"/>
      <c r="U113" s="51">
        <f ca="1">IF(ISBLANK(IntComp24[[#This Row],[CALENDAR YEAR]]),ROUNDDOWN(IntComp24[[#This Row],[Count]]/50,0)+$U$1,IntComp24[[#This Row],[CALENDAR YEAR]])</f>
        <v>2023</v>
      </c>
      <c r="V113" s="69">
        <f t="shared" ca="1" si="2"/>
        <v>1603368.8125</v>
      </c>
      <c r="X113"/>
    </row>
    <row r="114" spans="1:24" hidden="1">
      <c r="A114" s="13" t="s">
        <v>229</v>
      </c>
      <c r="B114" s="9" t="str">
        <f>VLOOKUP(A114,Data[],2,FALSE)</f>
        <v>MANHATTAN</v>
      </c>
      <c r="C114" s="9" t="s">
        <v>106</v>
      </c>
      <c r="D114" s="9" t="str">
        <f>VLOOKUP(IntComp24[[#This Row],[DEVELOPMENT]],Data[],52,FALSE)</f>
        <v>FEDERAL</v>
      </c>
      <c r="E114" s="50">
        <f>VLOOKUP(IntComp24[[#This Row],[DEVELOPMENT]],Data[],8,FALSE)</f>
        <v>0</v>
      </c>
      <c r="F114" s="50">
        <f>VLOOKUP(IntComp24[[#This Row],[DEVELOPMENT]],all[[DEVELOPMENT]:[MRST Ext. Comp. Priority]],13,FALSE)</f>
        <v>2</v>
      </c>
      <c r="G114" s="50">
        <f>IF(VLOOKUP(IntComp24[[#This Row],[DEVELOPMENT]],Data[],9,FALSE)=0,5,VLOOKUP(IntComp24[[#This Row],[DEVELOPMENT]],Data[],9,FALSE))</f>
        <v>5</v>
      </c>
      <c r="H114" s="50">
        <f>VLOOKUP(IntComp24[[#This Row],[DEVELOPMENT]],Data[],7,FALSE)</f>
        <v>35</v>
      </c>
      <c r="I114" s="50">
        <f>VLOOKUP(IntComp24[[#This Row],[DEVELOPMENT]],Data[],5,FALSE)</f>
        <v>1</v>
      </c>
      <c r="J114" s="50"/>
      <c r="K114" s="50" t="str">
        <f ca="1">IFERROR(VLOOKUP(IntComp24[[#This Row],[DEVELOPMENT]],Data[],4,FALSE),"")</f>
        <v/>
      </c>
      <c r="L114" s="50" t="str">
        <f ca="1">IF(IntComp24[[#This Row],[RAD/PACT]]="","",IF(OR(IntComp24[[#This Row],[RAD/PACT]]="2022-2025",IntComp24[[#This Row],[RAD/PACT]]=2019,IntComp24[[#This Row],[RAD/PACT]]="2020-2021"),"Yes",""))</f>
        <v/>
      </c>
      <c r="M114" s="51">
        <f ca="1">IF(VLOOKUP(IntComp24[[#This Row],[DEVELOPMENT]],Data[],10,FALSE)=0,-1,DATEDIF(VLOOKUP(IntComp24[[#This Row],[DEVELOPMENT]],Data[],12,FALSE),TODAY(),"Y"))</f>
        <v>-1</v>
      </c>
      <c r="N11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4" s="51"/>
      <c r="P114" s="51"/>
      <c r="Q114" s="51"/>
      <c r="R114" s="47">
        <f ca="1">(IntComp24[[#This Row],['# to Replace (MRST)]]*INDEX(UnitCosts[#All],MATCH(IntComp24[[#This Row],[WORK TYPE]],UnitCosts[Work Type],0)+1,2))*(1+((IntComp24[[#This Row],[est. Year]]-YEAR(TODAY()))*$R$2))</f>
        <v>0</v>
      </c>
      <c r="S114" s="1">
        <f ca="1">SUM(INDEX(IntComp24['# to Replace (MRST)],1):IntComp24[[#This Row],['# to Replace (MRST)]])</f>
        <v>53</v>
      </c>
      <c r="T114" s="51"/>
      <c r="U114" s="51">
        <f ca="1">IF(ISBLANK(IntComp24[[#This Row],[CALENDAR YEAR]]),ROUNDDOWN(IntComp24[[#This Row],[Count]]/50,0)+$U$1,IntComp24[[#This Row],[CALENDAR YEAR]])</f>
        <v>2023</v>
      </c>
      <c r="V114" s="69">
        <f t="shared" ca="1" si="2"/>
        <v>1603368.8125</v>
      </c>
      <c r="X114"/>
    </row>
    <row r="115" spans="1:24" hidden="1">
      <c r="A115" s="13" t="s">
        <v>318</v>
      </c>
      <c r="B115" s="9" t="str">
        <f>VLOOKUP(A115,Data[],2,FALSE)</f>
        <v>BROOKLYN</v>
      </c>
      <c r="C115" s="9" t="s">
        <v>106</v>
      </c>
      <c r="D115" s="9" t="str">
        <f>VLOOKUP(IntComp24[[#This Row],[DEVELOPMENT]],Data[],52,FALSE)</f>
        <v>FEDERAL</v>
      </c>
      <c r="E115" s="50">
        <f>VLOOKUP(IntComp24[[#This Row],[DEVELOPMENT]],Data[],8,FALSE)</f>
        <v>0</v>
      </c>
      <c r="F115" s="50">
        <f>VLOOKUP(IntComp24[[#This Row],[DEVELOPMENT]],all[[DEVELOPMENT]:[MRST Ext. Comp. Priority]],13,FALSE)</f>
        <v>2</v>
      </c>
      <c r="G115" s="50">
        <f>IF(VLOOKUP(IntComp24[[#This Row],[DEVELOPMENT]],Data[],9,FALSE)=0,5,VLOOKUP(IntComp24[[#This Row],[DEVELOPMENT]],Data[],9,FALSE))</f>
        <v>5</v>
      </c>
      <c r="H115" s="50">
        <f>VLOOKUP(IntComp24[[#This Row],[DEVELOPMENT]],Data[],7,FALSE)</f>
        <v>36</v>
      </c>
      <c r="I115" s="50">
        <f>VLOOKUP(IntComp24[[#This Row],[DEVELOPMENT]],Data[],5,FALSE)</f>
        <v>18</v>
      </c>
      <c r="J115" s="50"/>
      <c r="K115" s="50" t="str">
        <f ca="1">IFERROR(VLOOKUP(IntComp24[[#This Row],[DEVELOPMENT]],Data[],4,FALSE),"")</f>
        <v>2020-2021</v>
      </c>
      <c r="L115" s="50" t="str">
        <f ca="1">IF(IntComp24[[#This Row],[RAD/PACT]]="","",IF(OR(IntComp24[[#This Row],[RAD/PACT]]="2022-2025",IntComp24[[#This Row],[RAD/PACT]]=2019,IntComp24[[#This Row],[RAD/PACT]]="2020-2021"),"Yes",""))</f>
        <v>Yes</v>
      </c>
      <c r="M115" s="51">
        <f ca="1">IF(VLOOKUP(IntComp24[[#This Row],[DEVELOPMENT]],Data[],10,FALSE)=0,-1,DATEDIF(VLOOKUP(IntComp24[[#This Row],[DEVELOPMENT]],Data[],12,FALSE),TODAY(),"Y"))</f>
        <v>-1</v>
      </c>
      <c r="N11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5" s="51"/>
      <c r="P115" s="51"/>
      <c r="Q115" s="51"/>
      <c r="R115" s="47">
        <f ca="1">(IntComp24[[#This Row],['# to Replace (MRST)]]*INDEX(UnitCosts[#All],MATCH(IntComp24[[#This Row],[WORK TYPE]],UnitCosts[Work Type],0)+1,2))*(1+((IntComp24[[#This Row],[est. Year]]-YEAR(TODAY()))*$R$2))</f>
        <v>0</v>
      </c>
      <c r="S115" s="1">
        <f ca="1">SUM(INDEX(IntComp24['# to Replace (MRST)],1):IntComp24[[#This Row],['# to Replace (MRST)]])</f>
        <v>53</v>
      </c>
      <c r="T115" s="51"/>
      <c r="U115" s="51">
        <f ca="1">IF(ISBLANK(IntComp24[[#This Row],[CALENDAR YEAR]]),ROUNDDOWN(IntComp24[[#This Row],[Count]]/50,0)+$U$1,IntComp24[[#This Row],[CALENDAR YEAR]])</f>
        <v>2023</v>
      </c>
      <c r="V115" s="69">
        <f t="shared" ca="1" si="2"/>
        <v>1603368.8125</v>
      </c>
      <c r="X115"/>
    </row>
    <row r="116" spans="1:24" hidden="1">
      <c r="A116" s="13" t="s">
        <v>321</v>
      </c>
      <c r="B116" s="9">
        <f>VLOOKUP(A116,Data[],2,FALSE)</f>
        <v>0</v>
      </c>
      <c r="C116" s="9" t="s">
        <v>106</v>
      </c>
      <c r="D116" s="9" t="str">
        <f>VLOOKUP(IntComp24[[#This Row],[DEVELOPMENT]],Data[],52,FALSE)</f>
        <v>FEDERAL</v>
      </c>
      <c r="E116" s="50">
        <f>VLOOKUP(IntComp24[[#This Row],[DEVELOPMENT]],Data[],8,FALSE)</f>
        <v>0</v>
      </c>
      <c r="F116" s="50">
        <f>VLOOKUP(IntComp24[[#This Row],[DEVELOPMENT]],all[[DEVELOPMENT]:[MRST Ext. Comp. Priority]],13,FALSE)</f>
        <v>2</v>
      </c>
      <c r="G116" s="50">
        <f>IF(VLOOKUP(IntComp24[[#This Row],[DEVELOPMENT]],Data[],9,FALSE)=0,5,VLOOKUP(IntComp24[[#This Row],[DEVELOPMENT]],Data[],9,FALSE))</f>
        <v>5</v>
      </c>
      <c r="H116" s="50">
        <f>VLOOKUP(IntComp24[[#This Row],[DEVELOPMENT]],Data[],7,FALSE)</f>
        <v>6</v>
      </c>
      <c r="I116" s="50">
        <f>VLOOKUP(IntComp24[[#This Row],[DEVELOPMENT]],Data[],5,FALSE)</f>
        <v>7</v>
      </c>
      <c r="J116" s="50"/>
      <c r="K116" s="50" t="str">
        <f ca="1">IFERROR(VLOOKUP(IntComp24[[#This Row],[DEVELOPMENT]],Data[],4,FALSE),"")</f>
        <v/>
      </c>
      <c r="L116" s="50" t="str">
        <f ca="1">IF(IntComp24[[#This Row],[RAD/PACT]]="","",IF(OR(IntComp24[[#This Row],[RAD/PACT]]="2022-2025",IntComp24[[#This Row],[RAD/PACT]]=2019,IntComp24[[#This Row],[RAD/PACT]]="2020-2021"),"Yes",""))</f>
        <v/>
      </c>
      <c r="M116" s="51">
        <f ca="1">IF(VLOOKUP(IntComp24[[#This Row],[DEVELOPMENT]],Data[],10,FALSE)=0,-1,DATEDIF(VLOOKUP(IntComp24[[#This Row],[DEVELOPMENT]],Data[],12,FALSE),TODAY(),"Y"))</f>
        <v>-1</v>
      </c>
      <c r="N11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6" s="51"/>
      <c r="P116" s="51"/>
      <c r="Q116" s="51"/>
      <c r="R116" s="47">
        <f ca="1">(IntComp24[[#This Row],['# to Replace (MRST)]]*INDEX(UnitCosts[#All],MATCH(IntComp24[[#This Row],[WORK TYPE]],UnitCosts[Work Type],0)+1,2))*(1+((IntComp24[[#This Row],[est. Year]]-YEAR(TODAY()))*$R$2))</f>
        <v>0</v>
      </c>
      <c r="S116" s="1">
        <f ca="1">SUM(INDEX(IntComp24['# to Replace (MRST)],1):IntComp24[[#This Row],['# to Replace (MRST)]])</f>
        <v>53</v>
      </c>
      <c r="T116" s="51"/>
      <c r="U116" s="51">
        <f ca="1">IF(ISBLANK(IntComp24[[#This Row],[CALENDAR YEAR]]),ROUNDDOWN(IntComp24[[#This Row],[Count]]/50,0)+$U$1,IntComp24[[#This Row],[CALENDAR YEAR]])</f>
        <v>2023</v>
      </c>
      <c r="V116" s="69">
        <f t="shared" ca="1" si="2"/>
        <v>1603368.8125</v>
      </c>
      <c r="X116"/>
    </row>
    <row r="117" spans="1:24" hidden="1">
      <c r="A117" s="13" t="s">
        <v>323</v>
      </c>
      <c r="B117" s="9">
        <f>VLOOKUP(A117,Data[],2,FALSE)</f>
        <v>0</v>
      </c>
      <c r="C117" s="9" t="s">
        <v>106</v>
      </c>
      <c r="D117" s="9" t="str">
        <f>VLOOKUP(IntComp24[[#This Row],[DEVELOPMENT]],Data[],52,FALSE)</f>
        <v>FEDERAL</v>
      </c>
      <c r="E117" s="50">
        <f>VLOOKUP(IntComp24[[#This Row],[DEVELOPMENT]],Data[],8,FALSE)</f>
        <v>0</v>
      </c>
      <c r="F117" s="50">
        <f>VLOOKUP(IntComp24[[#This Row],[DEVELOPMENT]],all[[DEVELOPMENT]:[MRST Ext. Comp. Priority]],13,FALSE)</f>
        <v>2</v>
      </c>
      <c r="G117" s="50">
        <f>IF(VLOOKUP(IntComp24[[#This Row],[DEVELOPMENT]],Data[],9,FALSE)=0,5,VLOOKUP(IntComp24[[#This Row],[DEVELOPMENT]],Data[],9,FALSE))</f>
        <v>5</v>
      </c>
      <c r="H117" s="50">
        <f>VLOOKUP(IntComp24[[#This Row],[DEVELOPMENT]],Data[],7,FALSE)</f>
        <v>16</v>
      </c>
      <c r="I117" s="50">
        <f>VLOOKUP(IntComp24[[#This Row],[DEVELOPMENT]],Data[],5,FALSE)</f>
        <v>20</v>
      </c>
      <c r="J117" s="50"/>
      <c r="K117" s="50" t="str">
        <f ca="1">IFERROR(VLOOKUP(IntComp24[[#This Row],[DEVELOPMENT]],Data[],4,FALSE),"")</f>
        <v/>
      </c>
      <c r="L117" s="50" t="str">
        <f ca="1">IF(IntComp24[[#This Row],[RAD/PACT]]="","",IF(OR(IntComp24[[#This Row],[RAD/PACT]]="2022-2025",IntComp24[[#This Row],[RAD/PACT]]=2019,IntComp24[[#This Row],[RAD/PACT]]="2020-2021"),"Yes",""))</f>
        <v/>
      </c>
      <c r="M117" s="51">
        <f ca="1">IF(VLOOKUP(IntComp24[[#This Row],[DEVELOPMENT]],Data[],10,FALSE)=0,-1,DATEDIF(VLOOKUP(IntComp24[[#This Row],[DEVELOPMENT]],Data[],12,FALSE),TODAY(),"Y"))</f>
        <v>-1</v>
      </c>
      <c r="N11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7" s="51"/>
      <c r="P117" s="51"/>
      <c r="Q117" s="51"/>
      <c r="R117" s="47">
        <f ca="1">(IntComp24[[#This Row],['# to Replace (MRST)]]*INDEX(UnitCosts[#All],MATCH(IntComp24[[#This Row],[WORK TYPE]],UnitCosts[Work Type],0)+1,2))*(1+((IntComp24[[#This Row],[est. Year]]-YEAR(TODAY()))*$R$2))</f>
        <v>0</v>
      </c>
      <c r="S117" s="1">
        <f ca="1">SUM(INDEX(IntComp24['# to Replace (MRST)],1):IntComp24[[#This Row],['# to Replace (MRST)]])</f>
        <v>53</v>
      </c>
      <c r="T117" s="51"/>
      <c r="U117" s="51">
        <f ca="1">IF(ISBLANK(IntComp24[[#This Row],[CALENDAR YEAR]]),ROUNDDOWN(IntComp24[[#This Row],[Count]]/50,0)+$U$1,IntComp24[[#This Row],[CALENDAR YEAR]])</f>
        <v>2023</v>
      </c>
      <c r="V117" s="69">
        <f t="shared" ca="1" si="2"/>
        <v>1603368.8125</v>
      </c>
      <c r="X117"/>
    </row>
    <row r="118" spans="1:24" hidden="1">
      <c r="A118" s="13" t="s">
        <v>248</v>
      </c>
      <c r="B118" s="9" t="str">
        <f>VLOOKUP(A118,Data[],2,FALSE)</f>
        <v>BROOKLYN</v>
      </c>
      <c r="C118" s="9" t="s">
        <v>106</v>
      </c>
      <c r="D118" s="9" t="str">
        <f>VLOOKUP(IntComp24[[#This Row],[DEVELOPMENT]],Data[],52,FALSE)</f>
        <v>FEDERAL</v>
      </c>
      <c r="E118" s="50">
        <f>VLOOKUP(IntComp24[[#This Row],[DEVELOPMENT]],Data[],8,FALSE)</f>
        <v>0</v>
      </c>
      <c r="F118" s="50">
        <f>VLOOKUP(IntComp24[[#This Row],[DEVELOPMENT]],all[[DEVELOPMENT]:[MRST Ext. Comp. Priority]],13,FALSE)</f>
        <v>2</v>
      </c>
      <c r="G118" s="50">
        <f>IF(VLOOKUP(IntComp24[[#This Row],[DEVELOPMENT]],Data[],9,FALSE)=0,5,VLOOKUP(IntComp24[[#This Row],[DEVELOPMENT]],Data[],9,FALSE))</f>
        <v>5</v>
      </c>
      <c r="H118" s="50">
        <f>VLOOKUP(IntComp24[[#This Row],[DEVELOPMENT]],Data[],7,FALSE)</f>
        <v>30</v>
      </c>
      <c r="I118" s="50">
        <f>VLOOKUP(IntComp24[[#This Row],[DEVELOPMENT]],Data[],5,FALSE)</f>
        <v>1</v>
      </c>
      <c r="J118" s="50"/>
      <c r="K118" s="50">
        <f ca="1">IFERROR(VLOOKUP(IntComp24[[#This Row],[DEVELOPMENT]],Data[],4,FALSE),"")</f>
        <v>2019</v>
      </c>
      <c r="L118" s="50" t="str">
        <f ca="1">IF(IntComp24[[#This Row],[RAD/PACT]]="","",IF(OR(IntComp24[[#This Row],[RAD/PACT]]="2022-2025",IntComp24[[#This Row],[RAD/PACT]]=2019,IntComp24[[#This Row],[RAD/PACT]]="2020-2021"),"Yes",""))</f>
        <v>Yes</v>
      </c>
      <c r="M118" s="51">
        <f ca="1">IF(VLOOKUP(IntComp24[[#This Row],[DEVELOPMENT]],Data[],10,FALSE)=0,-1,DATEDIF(VLOOKUP(IntComp24[[#This Row],[DEVELOPMENT]],Data[],12,FALSE),TODAY(),"Y"))</f>
        <v>-1</v>
      </c>
      <c r="N11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8" s="51"/>
      <c r="P118" s="51"/>
      <c r="Q118" s="51"/>
      <c r="R118" s="47">
        <f ca="1">(IntComp24[[#This Row],['# to Replace (MRST)]]*INDEX(UnitCosts[#All],MATCH(IntComp24[[#This Row],[WORK TYPE]],UnitCosts[Work Type],0)+1,2))*(1+((IntComp24[[#This Row],[est. Year]]-YEAR(TODAY()))*$R$2))</f>
        <v>0</v>
      </c>
      <c r="S118" s="1">
        <f ca="1">SUM(INDEX(IntComp24['# to Replace (MRST)],1):IntComp24[[#This Row],['# to Replace (MRST)]])</f>
        <v>53</v>
      </c>
      <c r="T118" s="51"/>
      <c r="U118" s="51">
        <f ca="1">IF(ISBLANK(IntComp24[[#This Row],[CALENDAR YEAR]]),ROUNDDOWN(IntComp24[[#This Row],[Count]]/50,0)+$U$1,IntComp24[[#This Row],[CALENDAR YEAR]])</f>
        <v>2023</v>
      </c>
      <c r="V118" s="69">
        <f t="shared" ca="1" si="2"/>
        <v>1603368.8125</v>
      </c>
      <c r="X118"/>
    </row>
    <row r="119" spans="1:24" hidden="1">
      <c r="A119" s="13" t="s">
        <v>251</v>
      </c>
      <c r="B119" s="9" t="str">
        <f>VLOOKUP(A119,Data[],2,FALSE)</f>
        <v>MANHATTAN</v>
      </c>
      <c r="C119" s="9" t="s">
        <v>106</v>
      </c>
      <c r="D119" s="9" t="str">
        <f>VLOOKUP(IntComp24[[#This Row],[DEVELOPMENT]],Data[],52,FALSE)</f>
        <v>FEDERAL</v>
      </c>
      <c r="E119" s="50">
        <f>VLOOKUP(IntComp24[[#This Row],[DEVELOPMENT]],Data[],8,FALSE)</f>
        <v>0</v>
      </c>
      <c r="F119" s="50">
        <f>VLOOKUP(IntComp24[[#This Row],[DEVELOPMENT]],all[[DEVELOPMENT]:[MRST Ext. Comp. Priority]],13,FALSE)</f>
        <v>2</v>
      </c>
      <c r="G119" s="50">
        <f>IF(VLOOKUP(IntComp24[[#This Row],[DEVELOPMENT]],Data[],9,FALSE)=0,5,VLOOKUP(IntComp24[[#This Row],[DEVELOPMENT]],Data[],9,FALSE))</f>
        <v>5</v>
      </c>
      <c r="H119" s="50">
        <f>VLOOKUP(IntComp24[[#This Row],[DEVELOPMENT]],Data[],7,FALSE)</f>
        <v>156</v>
      </c>
      <c r="I119" s="50">
        <f>VLOOKUP(IntComp24[[#This Row],[DEVELOPMENT]],Data[],5,FALSE)</f>
        <v>4</v>
      </c>
      <c r="J119" s="50"/>
      <c r="K119" s="50" t="str">
        <f ca="1">IFERROR(VLOOKUP(IntComp24[[#This Row],[DEVELOPMENT]],Data[],4,FALSE),"")</f>
        <v/>
      </c>
      <c r="L119" s="50" t="str">
        <f ca="1">IF(IntComp24[[#This Row],[RAD/PACT]]="","",IF(OR(IntComp24[[#This Row],[RAD/PACT]]="2022-2025",IntComp24[[#This Row],[RAD/PACT]]=2019,IntComp24[[#This Row],[RAD/PACT]]="2020-2021"),"Yes",""))</f>
        <v/>
      </c>
      <c r="M119" s="51">
        <f ca="1">IF(VLOOKUP(IntComp24[[#This Row],[DEVELOPMENT]],Data[],10,FALSE)=0,-1,DATEDIF(VLOOKUP(IntComp24[[#This Row],[DEVELOPMENT]],Data[],12,FALSE),TODAY(),"Y"))</f>
        <v>-1</v>
      </c>
      <c r="N11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19" s="51"/>
      <c r="P119" s="51"/>
      <c r="Q119" s="51"/>
      <c r="R119" s="47">
        <f ca="1">(IntComp24[[#This Row],['# to Replace (MRST)]]*INDEX(UnitCosts[#All],MATCH(IntComp24[[#This Row],[WORK TYPE]],UnitCosts[Work Type],0)+1,2))*(1+((IntComp24[[#This Row],[est. Year]]-YEAR(TODAY()))*$R$2))</f>
        <v>0</v>
      </c>
      <c r="S119" s="1">
        <f ca="1">SUM(INDEX(IntComp24['# to Replace (MRST)],1):IntComp24[[#This Row],['# to Replace (MRST)]])</f>
        <v>53</v>
      </c>
      <c r="T119" s="51"/>
      <c r="U119" s="51">
        <f ca="1">IF(ISBLANK(IntComp24[[#This Row],[CALENDAR YEAR]]),ROUNDDOWN(IntComp24[[#This Row],[Count]]/50,0)+$U$1,IntComp24[[#This Row],[CALENDAR YEAR]])</f>
        <v>2023</v>
      </c>
      <c r="V119" s="69">
        <f t="shared" ca="1" si="2"/>
        <v>1603368.8125</v>
      </c>
      <c r="X119"/>
    </row>
    <row r="120" spans="1:24" hidden="1">
      <c r="A120" s="13" t="s">
        <v>359</v>
      </c>
      <c r="B120" s="9" t="str">
        <f>VLOOKUP(A120,Data[],2,FALSE)</f>
        <v>MANHATTAN</v>
      </c>
      <c r="C120" s="9" t="s">
        <v>106</v>
      </c>
      <c r="D120" s="9" t="str">
        <f>VLOOKUP(IntComp24[[#This Row],[DEVELOPMENT]],Data[],52,FALSE)</f>
        <v>MHOP</v>
      </c>
      <c r="E120" s="50">
        <f>VLOOKUP(IntComp24[[#This Row],[DEVELOPMENT]],Data[],8,FALSE)</f>
        <v>0</v>
      </c>
      <c r="F120" s="50">
        <f>VLOOKUP(IntComp24[[#This Row],[DEVELOPMENT]],all[[DEVELOPMENT]:[MRST Ext. Comp. Priority]],13,FALSE)</f>
        <v>2</v>
      </c>
      <c r="G120" s="50">
        <f>IF(VLOOKUP(IntComp24[[#This Row],[DEVELOPMENT]],Data[],9,FALSE)=0,5,VLOOKUP(IntComp24[[#This Row],[DEVELOPMENT]],Data[],9,FALSE))</f>
        <v>5</v>
      </c>
      <c r="H120" s="50">
        <f>VLOOKUP(IntComp24[[#This Row],[DEVELOPMENT]],Data[],7,FALSE)</f>
        <v>4</v>
      </c>
      <c r="I120" s="50">
        <f>VLOOKUP(IntComp24[[#This Row],[DEVELOPMENT]],Data[],5,FALSE)</f>
        <v>1</v>
      </c>
      <c r="J120" s="50"/>
      <c r="K120" s="50" t="str">
        <f ca="1">IFERROR(VLOOKUP(IntComp24[[#This Row],[DEVELOPMENT]],Data[],4,FALSE),"")</f>
        <v>2020-2021</v>
      </c>
      <c r="L120" s="50" t="str">
        <f ca="1">IF(IntComp24[[#This Row],[RAD/PACT]]="","",IF(OR(IntComp24[[#This Row],[RAD/PACT]]="2022-2025",IntComp24[[#This Row],[RAD/PACT]]=2019,IntComp24[[#This Row],[RAD/PACT]]="2020-2021"),"Yes",""))</f>
        <v>Yes</v>
      </c>
      <c r="M120" s="51">
        <f ca="1">IF(VLOOKUP(IntComp24[[#This Row],[DEVELOPMENT]],Data[],10,FALSE)=0,-1,DATEDIF(VLOOKUP(IntComp24[[#This Row],[DEVELOPMENT]],Data[],12,FALSE),TODAY(),"Y"))</f>
        <v>-1</v>
      </c>
      <c r="N12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0" s="51"/>
      <c r="P120" s="51"/>
      <c r="Q120" s="51"/>
      <c r="R120" s="47">
        <f ca="1">(IntComp24[[#This Row],['# to Replace (MRST)]]*INDEX(UnitCosts[#All],MATCH(IntComp24[[#This Row],[WORK TYPE]],UnitCosts[Work Type],0)+1,2))*(1+((IntComp24[[#This Row],[est. Year]]-YEAR(TODAY()))*$R$2))</f>
        <v>0</v>
      </c>
      <c r="S120" s="1">
        <f ca="1">SUM(INDEX(IntComp24['# to Replace (MRST)],1):IntComp24[[#This Row],['# to Replace (MRST)]])</f>
        <v>53</v>
      </c>
      <c r="T120" s="51"/>
      <c r="U120" s="51">
        <f ca="1">IF(ISBLANK(IntComp24[[#This Row],[CALENDAR YEAR]]),ROUNDDOWN(IntComp24[[#This Row],[Count]]/50,0)+$U$1,IntComp24[[#This Row],[CALENDAR YEAR]])</f>
        <v>2023</v>
      </c>
      <c r="V120" s="69">
        <f t="shared" ca="1" si="2"/>
        <v>1603368.8125</v>
      </c>
      <c r="X120"/>
    </row>
    <row r="121" spans="1:24" hidden="1">
      <c r="A121" s="13" t="s">
        <v>360</v>
      </c>
      <c r="B121" s="9" t="str">
        <f>VLOOKUP(A121,Data[],2,FALSE)</f>
        <v>MANHATTAN</v>
      </c>
      <c r="C121" s="9" t="s">
        <v>106</v>
      </c>
      <c r="D121" s="9" t="str">
        <f>VLOOKUP(IntComp24[[#This Row],[DEVELOPMENT]],Data[],52,FALSE)</f>
        <v>MHOP</v>
      </c>
      <c r="E121" s="50">
        <f>VLOOKUP(IntComp24[[#This Row],[DEVELOPMENT]],Data[],8,FALSE)</f>
        <v>0</v>
      </c>
      <c r="F121" s="50">
        <f>VLOOKUP(IntComp24[[#This Row],[DEVELOPMENT]],all[[DEVELOPMENT]:[MRST Ext. Comp. Priority]],13,FALSE)</f>
        <v>2</v>
      </c>
      <c r="G121" s="50">
        <f>IF(VLOOKUP(IntComp24[[#This Row],[DEVELOPMENT]],Data[],9,FALSE)=0,5,VLOOKUP(IntComp24[[#This Row],[DEVELOPMENT]],Data[],9,FALSE))</f>
        <v>5</v>
      </c>
      <c r="H121" s="50">
        <f>VLOOKUP(IntComp24[[#This Row],[DEVELOPMENT]],Data[],7,FALSE)</f>
        <v>1</v>
      </c>
      <c r="I121" s="50">
        <f>VLOOKUP(IntComp24[[#This Row],[DEVELOPMENT]],Data[],5,FALSE)</f>
        <v>1</v>
      </c>
      <c r="J121" s="50"/>
      <c r="K121" s="50" t="str">
        <f ca="1">IFERROR(VLOOKUP(IntComp24[[#This Row],[DEVELOPMENT]],Data[],4,FALSE),"")</f>
        <v>2020-2021</v>
      </c>
      <c r="L121" s="50" t="str">
        <f ca="1">IF(IntComp24[[#This Row],[RAD/PACT]]="","",IF(OR(IntComp24[[#This Row],[RAD/PACT]]="2022-2025",IntComp24[[#This Row],[RAD/PACT]]=2019,IntComp24[[#This Row],[RAD/PACT]]="2020-2021"),"Yes",""))</f>
        <v>Yes</v>
      </c>
      <c r="M121" s="51">
        <f ca="1">IF(VLOOKUP(IntComp24[[#This Row],[DEVELOPMENT]],Data[],10,FALSE)=0,-1,DATEDIF(VLOOKUP(IntComp24[[#This Row],[DEVELOPMENT]],Data[],12,FALSE),TODAY(),"Y"))</f>
        <v>-1</v>
      </c>
      <c r="N12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1" s="51"/>
      <c r="P121" s="51"/>
      <c r="Q121" s="51"/>
      <c r="R121" s="47">
        <f ca="1">(IntComp24[[#This Row],['# to Replace (MRST)]]*INDEX(UnitCosts[#All],MATCH(IntComp24[[#This Row],[WORK TYPE]],UnitCosts[Work Type],0)+1,2))*(1+((IntComp24[[#This Row],[est. Year]]-YEAR(TODAY()))*$R$2))</f>
        <v>0</v>
      </c>
      <c r="S121" s="1">
        <f ca="1">SUM(INDEX(IntComp24['# to Replace (MRST)],1):IntComp24[[#This Row],['# to Replace (MRST)]])</f>
        <v>53</v>
      </c>
      <c r="T121" s="51"/>
      <c r="U121" s="51">
        <f ca="1">IF(ISBLANK(IntComp24[[#This Row],[CALENDAR YEAR]]),ROUNDDOWN(IntComp24[[#This Row],[Count]]/50,0)+$U$1,IntComp24[[#This Row],[CALENDAR YEAR]])</f>
        <v>2023</v>
      </c>
      <c r="V121" s="69">
        <f t="shared" ca="1" si="2"/>
        <v>1603368.8125</v>
      </c>
      <c r="W121" s="5"/>
      <c r="X121"/>
    </row>
    <row r="122" spans="1:24" hidden="1">
      <c r="A122" s="13" t="s">
        <v>259</v>
      </c>
      <c r="B122" s="9" t="str">
        <f>VLOOKUP(A122,Data[],2,FALSE)</f>
        <v>MANHATTAN</v>
      </c>
      <c r="C122" s="9" t="s">
        <v>106</v>
      </c>
      <c r="D122" s="9" t="str">
        <f>VLOOKUP(IntComp24[[#This Row],[DEVELOPMENT]],Data[],52,FALSE)</f>
        <v>FEDERAL</v>
      </c>
      <c r="E122" s="50">
        <f>VLOOKUP(IntComp24[[#This Row],[DEVELOPMENT]],Data[],8,FALSE)</f>
        <v>0</v>
      </c>
      <c r="F122" s="50">
        <f>VLOOKUP(IntComp24[[#This Row],[DEVELOPMENT]],all[[DEVELOPMENT]:[MRST Ext. Comp. Priority]],13,FALSE)</f>
        <v>2</v>
      </c>
      <c r="G122" s="50">
        <f>IF(VLOOKUP(IntComp24[[#This Row],[DEVELOPMENT]],Data[],9,FALSE)=0,5,VLOOKUP(IntComp24[[#This Row],[DEVELOPMENT]],Data[],9,FALSE))</f>
        <v>5</v>
      </c>
      <c r="H122" s="50">
        <f>VLOOKUP(IntComp24[[#This Row],[DEVELOPMENT]],Data[],7,FALSE)</f>
        <v>32</v>
      </c>
      <c r="I122" s="50">
        <f>VLOOKUP(IntComp24[[#This Row],[DEVELOPMENT]],Data[],5,FALSE)</f>
        <v>2</v>
      </c>
      <c r="J122" s="50"/>
      <c r="K122" s="50" t="str">
        <f ca="1">IFERROR(VLOOKUP(IntComp24[[#This Row],[DEVELOPMENT]],Data[],4,FALSE),"")</f>
        <v>2020-2021</v>
      </c>
      <c r="L122" s="50" t="str">
        <f ca="1">IF(IntComp24[[#This Row],[RAD/PACT]]="","",IF(OR(IntComp24[[#This Row],[RAD/PACT]]="2022-2025",IntComp24[[#This Row],[RAD/PACT]]=2019,IntComp24[[#This Row],[RAD/PACT]]="2020-2021"),"Yes",""))</f>
        <v>Yes</v>
      </c>
      <c r="M122" s="51">
        <f ca="1">IF(VLOOKUP(IntComp24[[#This Row],[DEVELOPMENT]],Data[],10,FALSE)=0,-1,DATEDIF(VLOOKUP(IntComp24[[#This Row],[DEVELOPMENT]],Data[],12,FALSE),TODAY(),"Y"))</f>
        <v>-1</v>
      </c>
      <c r="N12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2" s="51"/>
      <c r="P122" s="51"/>
      <c r="Q122" s="51"/>
      <c r="R122" s="47">
        <f ca="1">(IntComp24[[#This Row],['# to Replace (MRST)]]*INDEX(UnitCosts[#All],MATCH(IntComp24[[#This Row],[WORK TYPE]],UnitCosts[Work Type],0)+1,2))*(1+((IntComp24[[#This Row],[est. Year]]-YEAR(TODAY()))*$R$2))</f>
        <v>0</v>
      </c>
      <c r="S122" s="1">
        <f ca="1">SUM(INDEX(IntComp24['# to Replace (MRST)],1):IntComp24[[#This Row],['# to Replace (MRST)]])</f>
        <v>53</v>
      </c>
      <c r="T122" s="51"/>
      <c r="U122" s="51">
        <f ca="1">IF(ISBLANK(IntComp24[[#This Row],[CALENDAR YEAR]]),ROUNDDOWN(IntComp24[[#This Row],[Count]]/50,0)+$U$1,IntComp24[[#This Row],[CALENDAR YEAR]])</f>
        <v>2023</v>
      </c>
      <c r="V122" s="69">
        <f t="shared" ca="1" si="2"/>
        <v>1603368.8125</v>
      </c>
      <c r="W122" s="5"/>
      <c r="X122"/>
    </row>
    <row r="123" spans="1:24" hidden="1">
      <c r="A123" s="13" t="s">
        <v>220</v>
      </c>
      <c r="B123" s="9" t="str">
        <f>VLOOKUP(A123,Data[],2,FALSE)</f>
        <v>BROOKLYN</v>
      </c>
      <c r="C123" s="9" t="s">
        <v>106</v>
      </c>
      <c r="D123" s="9" t="str">
        <f>VLOOKUP(IntComp24[[#This Row],[DEVELOPMENT]],Data[],52,FALSE)</f>
        <v>FEDERAL</v>
      </c>
      <c r="E123" s="50">
        <f>VLOOKUP(IntComp24[[#This Row],[DEVELOPMENT]],Data[],8,FALSE)</f>
        <v>0</v>
      </c>
      <c r="F123" s="50">
        <f>VLOOKUP(IntComp24[[#This Row],[DEVELOPMENT]],all[[DEVELOPMENT]:[MRST Ext. Comp. Priority]],13,FALSE)</f>
        <v>2</v>
      </c>
      <c r="G123" s="50">
        <f>IF(VLOOKUP(IntComp24[[#This Row],[DEVELOPMENT]],Data[],9,FALSE)=0,5,VLOOKUP(IntComp24[[#This Row],[DEVELOPMENT]],Data[],9,FALSE))</f>
        <v>5</v>
      </c>
      <c r="H123" s="50">
        <f>VLOOKUP(IntComp24[[#This Row],[DEVELOPMENT]],Data[],7,FALSE)</f>
        <v>256</v>
      </c>
      <c r="I123" s="50">
        <f>VLOOKUP(IntComp24[[#This Row],[DEVELOPMENT]],Data[],5,FALSE)</f>
        <v>2</v>
      </c>
      <c r="J123" s="50"/>
      <c r="K123" s="50">
        <f ca="1">IFERROR(VLOOKUP(IntComp24[[#This Row],[DEVELOPMENT]],Data[],4,FALSE),"")</f>
        <v>2019</v>
      </c>
      <c r="L123" s="50" t="str">
        <f ca="1">IF(IntComp24[[#This Row],[RAD/PACT]]="","",IF(OR(IntComp24[[#This Row],[RAD/PACT]]="2022-2025",IntComp24[[#This Row],[RAD/PACT]]=2019,IntComp24[[#This Row],[RAD/PACT]]="2020-2021"),"Yes",""))</f>
        <v>Yes</v>
      </c>
      <c r="M123" s="51">
        <f ca="1">IF(VLOOKUP(IntComp24[[#This Row],[DEVELOPMENT]],Data[],10,FALSE)=0,-1,DATEDIF(VLOOKUP(IntComp24[[#This Row],[DEVELOPMENT]],Data[],12,FALSE),TODAY(),"Y"))</f>
        <v>-1</v>
      </c>
      <c r="N12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3" s="51"/>
      <c r="P123" s="51"/>
      <c r="Q123" s="51"/>
      <c r="R123" s="47">
        <f ca="1">(IntComp24[[#This Row],['# to Replace (MRST)]]*INDEX(UnitCosts[#All],MATCH(IntComp24[[#This Row],[WORK TYPE]],UnitCosts[Work Type],0)+1,2))*(1+((IntComp24[[#This Row],[est. Year]]-YEAR(TODAY()))*$R$2))</f>
        <v>0</v>
      </c>
      <c r="S123" s="1">
        <f ca="1">SUM(INDEX(IntComp24['# to Replace (MRST)],1):IntComp24[[#This Row],['# to Replace (MRST)]])</f>
        <v>53</v>
      </c>
      <c r="T123" s="51"/>
      <c r="U123" s="51">
        <f ca="1">IF(ISBLANK(IntComp24[[#This Row],[CALENDAR YEAR]]),ROUNDDOWN(IntComp24[[#This Row],[Count]]/50,0)+$U$1,IntComp24[[#This Row],[CALENDAR YEAR]])</f>
        <v>2023</v>
      </c>
      <c r="V123" s="69">
        <f t="shared" ca="1" si="2"/>
        <v>1603368.8125</v>
      </c>
      <c r="W123" s="5"/>
      <c r="X123"/>
    </row>
    <row r="124" spans="1:24" hidden="1">
      <c r="A124" s="13" t="s">
        <v>381</v>
      </c>
      <c r="B124" s="9" t="str">
        <f>VLOOKUP(A124,Data[],2,FALSE)</f>
        <v>STATEN ISLAND</v>
      </c>
      <c r="C124" s="9" t="s">
        <v>106</v>
      </c>
      <c r="D124" s="9" t="str">
        <f>VLOOKUP(IntComp24[[#This Row],[DEVELOPMENT]],Data[],52,FALSE)</f>
        <v>FEDERAL</v>
      </c>
      <c r="E124" s="50">
        <f>VLOOKUP(IntComp24[[#This Row],[DEVELOPMENT]],Data[],8,FALSE)</f>
        <v>0</v>
      </c>
      <c r="F124" s="50">
        <f>VLOOKUP(IntComp24[[#This Row],[DEVELOPMENT]],all[[DEVELOPMENT]:[MRST Ext. Comp. Priority]],13,FALSE)</f>
        <v>2</v>
      </c>
      <c r="G124" s="50">
        <f>IF(VLOOKUP(IntComp24[[#This Row],[DEVELOPMENT]],Data[],9,FALSE)=0,5,VLOOKUP(IntComp24[[#This Row],[DEVELOPMENT]],Data[],9,FALSE))</f>
        <v>5</v>
      </c>
      <c r="H124" s="50">
        <f>VLOOKUP(IntComp24[[#This Row],[DEVELOPMENT]],Data[],7,FALSE)</f>
        <v>120</v>
      </c>
      <c r="I124" s="50">
        <f>VLOOKUP(IntComp24[[#This Row],[DEVELOPMENT]],Data[],5,FALSE)</f>
        <v>8</v>
      </c>
      <c r="J124" s="50"/>
      <c r="K124" s="50" t="str">
        <f ca="1">IFERROR(VLOOKUP(IntComp24[[#This Row],[DEVELOPMENT]],Data[],4,FALSE),"")</f>
        <v/>
      </c>
      <c r="L124" s="50" t="str">
        <f ca="1">IF(IntComp24[[#This Row],[RAD/PACT]]="","",IF(OR(IntComp24[[#This Row],[RAD/PACT]]="2022-2025",IntComp24[[#This Row],[RAD/PACT]]=2019,IntComp24[[#This Row],[RAD/PACT]]="2020-2021"),"Yes",""))</f>
        <v/>
      </c>
      <c r="M124" s="51">
        <f ca="1">IF(VLOOKUP(IntComp24[[#This Row],[DEVELOPMENT]],Data[],10,FALSE)=0,-1,DATEDIF(VLOOKUP(IntComp24[[#This Row],[DEVELOPMENT]],Data[],12,FALSE),TODAY(),"Y"))</f>
        <v>-1</v>
      </c>
      <c r="N12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4" s="51"/>
      <c r="P124" s="51"/>
      <c r="Q124" s="51"/>
      <c r="R124" s="47">
        <f ca="1">(IntComp24[[#This Row],['# to Replace (MRST)]]*INDEX(UnitCosts[#All],MATCH(IntComp24[[#This Row],[WORK TYPE]],UnitCosts[Work Type],0)+1,2))*(1+((IntComp24[[#This Row],[est. Year]]-YEAR(TODAY()))*$R$2))</f>
        <v>0</v>
      </c>
      <c r="S124" s="1">
        <f ca="1">SUM(INDEX(IntComp24['# to Replace (MRST)],1):IntComp24[[#This Row],['# to Replace (MRST)]])</f>
        <v>53</v>
      </c>
      <c r="T124" s="51"/>
      <c r="U124" s="51">
        <f ca="1">IF(ISBLANK(IntComp24[[#This Row],[CALENDAR YEAR]]),ROUNDDOWN(IntComp24[[#This Row],[Count]]/50,0)+$U$1,IntComp24[[#This Row],[CALENDAR YEAR]])</f>
        <v>2023</v>
      </c>
      <c r="V124" s="69">
        <f t="shared" ca="1" si="2"/>
        <v>1603368.8125</v>
      </c>
      <c r="W124" s="5"/>
      <c r="X124"/>
    </row>
    <row r="125" spans="1:24" hidden="1">
      <c r="A125" s="13" t="s">
        <v>289</v>
      </c>
      <c r="B125" s="9" t="str">
        <f>VLOOKUP(A125,Data[],2,FALSE)</f>
        <v>BRONX</v>
      </c>
      <c r="C125" s="9" t="s">
        <v>106</v>
      </c>
      <c r="D125" s="9" t="str">
        <f>VLOOKUP(IntComp24[[#This Row],[DEVELOPMENT]],Data[],52,FALSE)</f>
        <v>FEDERAL</v>
      </c>
      <c r="E125" s="50">
        <f>VLOOKUP(IntComp24[[#This Row],[DEVELOPMENT]],Data[],8,FALSE)</f>
        <v>0</v>
      </c>
      <c r="F125" s="50">
        <f>VLOOKUP(IntComp24[[#This Row],[DEVELOPMENT]],all[[DEVELOPMENT]:[MRST Ext. Comp. Priority]],13,FALSE)</f>
        <v>2</v>
      </c>
      <c r="G125" s="50">
        <f>IF(VLOOKUP(IntComp24[[#This Row],[DEVELOPMENT]],Data[],9,FALSE)=0,5,VLOOKUP(IntComp24[[#This Row],[DEVELOPMENT]],Data[],9,FALSE))</f>
        <v>5</v>
      </c>
      <c r="H125" s="50">
        <f>VLOOKUP(IntComp24[[#This Row],[DEVELOPMENT]],Data[],7,FALSE)</f>
        <v>208</v>
      </c>
      <c r="I125" s="50">
        <f>VLOOKUP(IntComp24[[#This Row],[DEVELOPMENT]],Data[],5,FALSE)</f>
        <v>4</v>
      </c>
      <c r="J125" s="50"/>
      <c r="K125" s="50" t="str">
        <f ca="1">IFERROR(VLOOKUP(IntComp24[[#This Row],[DEVELOPMENT]],Data[],4,FALSE),"")</f>
        <v/>
      </c>
      <c r="L125" s="50" t="str">
        <f ca="1">IF(IntComp24[[#This Row],[RAD/PACT]]="","",IF(OR(IntComp24[[#This Row],[RAD/PACT]]="2022-2025",IntComp24[[#This Row],[RAD/PACT]]=2019,IntComp24[[#This Row],[RAD/PACT]]="2020-2021"),"Yes",""))</f>
        <v/>
      </c>
      <c r="M125" s="51">
        <f ca="1">IF(VLOOKUP(IntComp24[[#This Row],[DEVELOPMENT]],Data[],10,FALSE)=0,-1,DATEDIF(VLOOKUP(IntComp24[[#This Row],[DEVELOPMENT]],Data[],12,FALSE),TODAY(),"Y"))</f>
        <v>-1</v>
      </c>
      <c r="N12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5" s="51"/>
      <c r="P125" s="51"/>
      <c r="Q125" s="51"/>
      <c r="R125" s="47">
        <f ca="1">(IntComp24[[#This Row],['# to Replace (MRST)]]*INDEX(UnitCosts[#All],MATCH(IntComp24[[#This Row],[WORK TYPE]],UnitCosts[Work Type],0)+1,2))*(1+((IntComp24[[#This Row],[est. Year]]-YEAR(TODAY()))*$R$2))</f>
        <v>0</v>
      </c>
      <c r="S125" s="1">
        <f ca="1">SUM(INDEX(IntComp24['# to Replace (MRST)],1):IntComp24[[#This Row],['# to Replace (MRST)]])</f>
        <v>53</v>
      </c>
      <c r="T125" s="51"/>
      <c r="U125" s="51">
        <f ca="1">IF(ISBLANK(IntComp24[[#This Row],[CALENDAR YEAR]]),ROUNDDOWN(IntComp24[[#This Row],[Count]]/50,0)+$U$1,IntComp24[[#This Row],[CALENDAR YEAR]])</f>
        <v>2023</v>
      </c>
      <c r="V125" s="69">
        <f t="shared" ca="1" si="2"/>
        <v>1603368.8125</v>
      </c>
      <c r="W125" s="5"/>
      <c r="X125"/>
    </row>
    <row r="126" spans="1:24" hidden="1">
      <c r="A126" s="13" t="s">
        <v>290</v>
      </c>
      <c r="B126" s="9" t="str">
        <f>VLOOKUP(A126,Data[],2,FALSE)</f>
        <v>BRONX</v>
      </c>
      <c r="C126" s="9" t="s">
        <v>106</v>
      </c>
      <c r="D126" s="9" t="str">
        <f>VLOOKUP(IntComp24[[#This Row],[DEVELOPMENT]],Data[],52,FALSE)</f>
        <v>FEDERAL</v>
      </c>
      <c r="E126" s="50">
        <f>VLOOKUP(IntComp24[[#This Row],[DEVELOPMENT]],Data[],8,FALSE)</f>
        <v>0</v>
      </c>
      <c r="F126" s="50">
        <f>VLOOKUP(IntComp24[[#This Row],[DEVELOPMENT]],all[[DEVELOPMENT]:[MRST Ext. Comp. Priority]],13,FALSE)</f>
        <v>2</v>
      </c>
      <c r="G126" s="50">
        <f>IF(VLOOKUP(IntComp24[[#This Row],[DEVELOPMENT]],Data[],9,FALSE)=0,5,VLOOKUP(IntComp24[[#This Row],[DEVELOPMENT]],Data[],9,FALSE))</f>
        <v>5</v>
      </c>
      <c r="H126" s="50">
        <f>VLOOKUP(IntComp24[[#This Row],[DEVELOPMENT]],Data[],7,FALSE)</f>
        <v>20</v>
      </c>
      <c r="I126" s="50">
        <f>VLOOKUP(IntComp24[[#This Row],[DEVELOPMENT]],Data[],5,FALSE)</f>
        <v>1</v>
      </c>
      <c r="J126" s="50"/>
      <c r="K126" s="50" t="str">
        <f ca="1">IFERROR(VLOOKUP(IntComp24[[#This Row],[DEVELOPMENT]],Data[],4,FALSE),"")</f>
        <v/>
      </c>
      <c r="L126" s="50" t="str">
        <f ca="1">IF(IntComp24[[#This Row],[RAD/PACT]]="","",IF(OR(IntComp24[[#This Row],[RAD/PACT]]="2022-2025",IntComp24[[#This Row],[RAD/PACT]]=2019,IntComp24[[#This Row],[RAD/PACT]]="2020-2021"),"Yes",""))</f>
        <v/>
      </c>
      <c r="M126" s="51">
        <f ca="1">IF(VLOOKUP(IntComp24[[#This Row],[DEVELOPMENT]],Data[],10,FALSE)=0,-1,DATEDIF(VLOOKUP(IntComp24[[#This Row],[DEVELOPMENT]],Data[],12,FALSE),TODAY(),"Y"))</f>
        <v>-1</v>
      </c>
      <c r="N12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6" s="51"/>
      <c r="P126" s="51"/>
      <c r="Q126" s="51"/>
      <c r="R126" s="47">
        <f ca="1">(IntComp24[[#This Row],['# to Replace (MRST)]]*INDEX(UnitCosts[#All],MATCH(IntComp24[[#This Row],[WORK TYPE]],UnitCosts[Work Type],0)+1,2))*(1+((IntComp24[[#This Row],[est. Year]]-YEAR(TODAY()))*$R$2))</f>
        <v>0</v>
      </c>
      <c r="S126" s="1">
        <f ca="1">SUM(INDEX(IntComp24['# to Replace (MRST)],1):IntComp24[[#This Row],['# to Replace (MRST)]])</f>
        <v>53</v>
      </c>
      <c r="T126" s="51"/>
      <c r="U126" s="51">
        <f ca="1">IF(ISBLANK(IntComp24[[#This Row],[CALENDAR YEAR]]),ROUNDDOWN(IntComp24[[#This Row],[Count]]/50,0)+$U$1,IntComp24[[#This Row],[CALENDAR YEAR]])</f>
        <v>2023</v>
      </c>
      <c r="V126" s="69">
        <f t="shared" ca="1" si="2"/>
        <v>1603368.8125</v>
      </c>
      <c r="W126" s="5"/>
      <c r="X126"/>
    </row>
    <row r="127" spans="1:24" hidden="1">
      <c r="A127" s="13" t="s">
        <v>70</v>
      </c>
      <c r="B127" s="1" t="str">
        <f>VLOOKUP(A127,Data[],2,FALSE)</f>
        <v>MANHATTAN</v>
      </c>
      <c r="C127" s="9" t="s">
        <v>106</v>
      </c>
      <c r="D127" s="9" t="str">
        <f>VLOOKUP(IntComp24[[#This Row],[DEVELOPMENT]],Data[],52,FALSE)</f>
        <v>FEDERAL</v>
      </c>
      <c r="E127" s="9" t="str">
        <f>VLOOKUP(IntComp24[[#This Row],[DEVELOPMENT]],Data[],8,FALSE)</f>
        <v>Zone 3</v>
      </c>
      <c r="F127" s="9">
        <f>VLOOKUP(IntComp24[[#This Row],[DEVELOPMENT]],all[[DEVELOPMENT]:[MRST Ext. Comp. Priority]],13,FALSE)</f>
        <v>3</v>
      </c>
      <c r="G127" s="9">
        <f>IF(VLOOKUP(IntComp24[[#This Row],[DEVELOPMENT]],Data[],9,FALSE)=0,5,VLOOKUP(IntComp24[[#This Row],[DEVELOPMENT]],Data[],9,FALSE))</f>
        <v>1</v>
      </c>
      <c r="H127" s="9">
        <f>VLOOKUP(IntComp24[[#This Row],[DEVELOPMENT]],Data[],7,FALSE)</f>
        <v>167</v>
      </c>
      <c r="I127" s="9">
        <f>VLOOKUP(IntComp24[[#This Row],[DEVELOPMENT]],Data[],5,FALSE)</f>
        <v>1</v>
      </c>
      <c r="J127" s="9"/>
      <c r="K127" s="9" t="str">
        <f ca="1">IFERROR(VLOOKUP(IntComp24[[#This Row],[DEVELOPMENT]],Data[],4,FALSE),"")</f>
        <v>2020-2021</v>
      </c>
      <c r="L127" s="9" t="str">
        <f ca="1">IF(IntComp24[[#This Row],[RAD/PACT]]="","",IF(OR(IntComp24[[#This Row],[RAD/PACT]]="2022-2025",IntComp24[[#This Row],[RAD/PACT]]=2019,IntComp24[[#This Row],[RAD/PACT]]="2020-2021"),"Yes",""))</f>
        <v>Yes</v>
      </c>
      <c r="M127" s="1">
        <f ca="1">IF(VLOOKUP(IntComp24[[#This Row],[DEVELOPMENT]],Data[],10,FALSE)=0,-1,DATEDIF(VLOOKUP(IntComp24[[#This Row],[DEVELOPMENT]],Data[],12,FALSE),TODAY(),"Y"))</f>
        <v>8</v>
      </c>
      <c r="N127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7" s="1"/>
      <c r="P127" s="1"/>
      <c r="Q127" s="1"/>
      <c r="R127" s="47">
        <f ca="1">(IntComp24[[#This Row],['# to Replace (MRST)]]*INDEX(UnitCosts[#All],MATCH(IntComp24[[#This Row],[WORK TYPE]],UnitCosts[Work Type],0)+1,2))*(1+((IntComp24[[#This Row],[est. Year]]-YEAR(TODAY()))*$R$2))</f>
        <v>0</v>
      </c>
      <c r="S127" s="1">
        <f ca="1">SUM(INDEX(IntComp24['# to Replace (MRST)],1):IntComp24[[#This Row],['# to Replace (MRST)]])</f>
        <v>53</v>
      </c>
      <c r="T127" s="1"/>
      <c r="U127" s="1">
        <f ca="1">IF(ISBLANK(IntComp24[[#This Row],[CALENDAR YEAR]]),ROUNDDOWN(IntComp24[[#This Row],[Count]]/50,0)+$U$1,IntComp24[[#This Row],[CALENDAR YEAR]])</f>
        <v>2023</v>
      </c>
      <c r="V127" s="64">
        <f t="shared" ca="1" si="2"/>
        <v>1603368.8125</v>
      </c>
      <c r="W127" s="5"/>
      <c r="X127"/>
    </row>
    <row r="128" spans="1:24" hidden="1">
      <c r="A128" s="13" t="s">
        <v>130</v>
      </c>
      <c r="B128" s="1" t="str">
        <f>VLOOKUP(A128,Data[],2,FALSE)</f>
        <v>MANHATTAN</v>
      </c>
      <c r="C128" s="9" t="s">
        <v>106</v>
      </c>
      <c r="D128" s="9" t="str">
        <f>VLOOKUP(IntComp24[[#This Row],[DEVELOPMENT]],Data[],52,FALSE)</f>
        <v>FEDERAL</v>
      </c>
      <c r="E128" s="9" t="str">
        <f>VLOOKUP(IntComp24[[#This Row],[DEVELOPMENT]],Data[],8,FALSE)</f>
        <v>Zone 3</v>
      </c>
      <c r="F128" s="9">
        <f>VLOOKUP(IntComp24[[#This Row],[DEVELOPMENT]],all[[DEVELOPMENT]:[MRST Ext. Comp. Priority]],13,FALSE)</f>
        <v>3</v>
      </c>
      <c r="G128" s="9">
        <f>IF(VLOOKUP(IntComp24[[#This Row],[DEVELOPMENT]],Data[],9,FALSE)=0,5,VLOOKUP(IntComp24[[#This Row],[DEVELOPMENT]],Data[],9,FALSE))</f>
        <v>2</v>
      </c>
      <c r="H128" s="9">
        <f>VLOOKUP(IntComp24[[#This Row],[DEVELOPMENT]],Data[],7,FALSE)</f>
        <v>1302</v>
      </c>
      <c r="I128" s="9">
        <f>VLOOKUP(IntComp24[[#This Row],[DEVELOPMENT]],Data[],5,FALSE)</f>
        <v>11</v>
      </c>
      <c r="J128" s="9"/>
      <c r="K128" s="9" t="str">
        <f ca="1">IFERROR(VLOOKUP(IntComp24[[#This Row],[DEVELOPMENT]],Data[],4,FALSE),"")</f>
        <v/>
      </c>
      <c r="L128" s="9" t="str">
        <f ca="1">IF(IntComp24[[#This Row],[RAD/PACT]]="","",IF(OR(IntComp24[[#This Row],[RAD/PACT]]="2022-2025",IntComp24[[#This Row],[RAD/PACT]]=2019,IntComp24[[#This Row],[RAD/PACT]]="2020-2021"),"Yes",""))</f>
        <v/>
      </c>
      <c r="M128" s="1">
        <f ca="1">IF(VLOOKUP(IntComp24[[#This Row],[DEVELOPMENT]],Data[],10,FALSE)=0,-1,DATEDIF(VLOOKUP(IntComp24[[#This Row],[DEVELOPMENT]],Data[],12,FALSE),TODAY(),"Y"))</f>
        <v>19</v>
      </c>
      <c r="N128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8" s="1"/>
      <c r="P128" s="1"/>
      <c r="Q128" s="1"/>
      <c r="R128" s="47">
        <f ca="1">(IntComp24[[#This Row],['# to Replace (MRST)]]*INDEX(UnitCosts[#All],MATCH(IntComp24[[#This Row],[WORK TYPE]],UnitCosts[Work Type],0)+1,2))*(1+((IntComp24[[#This Row],[est. Year]]-YEAR(TODAY()))*$R$2))</f>
        <v>0</v>
      </c>
      <c r="S128" s="1">
        <f ca="1">SUM(INDEX(IntComp24['# to Replace (MRST)],1):IntComp24[[#This Row],['# to Replace (MRST)]])</f>
        <v>53</v>
      </c>
      <c r="T128" s="1"/>
      <c r="U128" s="1">
        <f ca="1">IF(ISBLANK(IntComp24[[#This Row],[CALENDAR YEAR]]),ROUNDDOWN(IntComp24[[#This Row],[Count]]/50,0)+$U$1,IntComp24[[#This Row],[CALENDAR YEAR]])</f>
        <v>2023</v>
      </c>
      <c r="V128" s="64">
        <f t="shared" ca="1" si="2"/>
        <v>1603368.8125</v>
      </c>
      <c r="W128" s="5"/>
      <c r="X128"/>
    </row>
    <row r="129" spans="1:24" hidden="1">
      <c r="A129" s="13" t="s">
        <v>76</v>
      </c>
      <c r="B129" s="1" t="str">
        <f>VLOOKUP(A129,Data[],2,FALSE)</f>
        <v>MANHATTAN</v>
      </c>
      <c r="C129" s="9" t="s">
        <v>106</v>
      </c>
      <c r="D129" s="9" t="str">
        <f>VLOOKUP(IntComp24[[#This Row],[DEVELOPMENT]],Data[],52,FALSE)</f>
        <v>FEDERAL</v>
      </c>
      <c r="E129" s="9" t="str">
        <f>VLOOKUP(IntComp24[[#This Row],[DEVELOPMENT]],Data[],8,FALSE)</f>
        <v>Zone 3</v>
      </c>
      <c r="F129" s="9">
        <f>VLOOKUP(IntComp24[[#This Row],[DEVELOPMENT]],all[[DEVELOPMENT]:[MRST Ext. Comp. Priority]],13,FALSE)</f>
        <v>3</v>
      </c>
      <c r="G129" s="9">
        <f>IF(VLOOKUP(IntComp24[[#This Row],[DEVELOPMENT]],Data[],9,FALSE)=0,5,VLOOKUP(IntComp24[[#This Row],[DEVELOPMENT]],Data[],9,FALSE))</f>
        <v>2</v>
      </c>
      <c r="H129" s="9">
        <f>VLOOKUP(IntComp24[[#This Row],[DEVELOPMENT]],Data[],7,FALSE)</f>
        <v>752</v>
      </c>
      <c r="I129" s="9">
        <f>VLOOKUP(IntComp24[[#This Row],[DEVELOPMENT]],Data[],5,FALSE)</f>
        <v>6</v>
      </c>
      <c r="J129" s="9"/>
      <c r="K129" s="9" t="str">
        <f ca="1">IFERROR(VLOOKUP(IntComp24[[#This Row],[DEVELOPMENT]],Data[],4,FALSE),"")</f>
        <v/>
      </c>
      <c r="L129" s="9" t="str">
        <f ca="1">IF(IntComp24[[#This Row],[RAD/PACT]]="","",IF(OR(IntComp24[[#This Row],[RAD/PACT]]="2022-2025",IntComp24[[#This Row],[RAD/PACT]]=2019,IntComp24[[#This Row],[RAD/PACT]]="2020-2021"),"Yes",""))</f>
        <v/>
      </c>
      <c r="M129" s="1">
        <f ca="1">IF(VLOOKUP(IntComp24[[#This Row],[DEVELOPMENT]],Data[],10,FALSE)=0,-1,DATEDIF(VLOOKUP(IntComp24[[#This Row],[DEVELOPMENT]],Data[],12,FALSE),TODAY(),"Y"))</f>
        <v>19</v>
      </c>
      <c r="N12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29" s="1"/>
      <c r="P129" s="1"/>
      <c r="Q129" s="1"/>
      <c r="R129" s="47">
        <f ca="1">(IntComp24[[#This Row],['# to Replace (MRST)]]*INDEX(UnitCosts[#All],MATCH(IntComp24[[#This Row],[WORK TYPE]],UnitCosts[Work Type],0)+1,2))*(1+((IntComp24[[#This Row],[est. Year]]-YEAR(TODAY()))*$R$2))</f>
        <v>0</v>
      </c>
      <c r="S129" s="1">
        <f ca="1">SUM(INDEX(IntComp24['# to Replace (MRST)],1):IntComp24[[#This Row],['# to Replace (MRST)]])</f>
        <v>53</v>
      </c>
      <c r="T129" s="1"/>
      <c r="U129" s="1">
        <f ca="1">IF(ISBLANK(IntComp24[[#This Row],[CALENDAR YEAR]]),ROUNDDOWN(IntComp24[[#This Row],[Count]]/50,0)+$U$1,IntComp24[[#This Row],[CALENDAR YEAR]])</f>
        <v>2023</v>
      </c>
      <c r="V129" s="64">
        <f t="shared" ca="1" si="2"/>
        <v>1603368.8125</v>
      </c>
      <c r="W129" s="5"/>
      <c r="X129"/>
    </row>
    <row r="130" spans="1:24" hidden="1">
      <c r="A130" s="13" t="s">
        <v>137</v>
      </c>
      <c r="B130" s="1" t="str">
        <f>VLOOKUP(A130,Data[],2,FALSE)</f>
        <v>MANHATTAN</v>
      </c>
      <c r="C130" s="9" t="s">
        <v>106</v>
      </c>
      <c r="D130" s="9" t="str">
        <f>VLOOKUP(IntComp24[[#This Row],[DEVELOPMENT]],Data[],52,FALSE)</f>
        <v>FEDERAL</v>
      </c>
      <c r="E130" s="9" t="str">
        <f>VLOOKUP(IntComp24[[#This Row],[DEVELOPMENT]],Data[],8,FALSE)</f>
        <v>Zone 2</v>
      </c>
      <c r="F130" s="9">
        <f>VLOOKUP(IntComp24[[#This Row],[DEVELOPMENT]],all[[DEVELOPMENT]:[MRST Ext. Comp. Priority]],13,FALSE)</f>
        <v>3</v>
      </c>
      <c r="G130" s="9">
        <f>IF(VLOOKUP(IntComp24[[#This Row],[DEVELOPMENT]],Data[],9,FALSE)=0,5,VLOOKUP(IntComp24[[#This Row],[DEVELOPMENT]],Data[],9,FALSE))</f>
        <v>2</v>
      </c>
      <c r="H130" s="9">
        <f>VLOOKUP(IntComp24[[#This Row],[DEVELOPMENT]],Data[],7,FALSE)</f>
        <v>1515</v>
      </c>
      <c r="I130" s="9">
        <f>VLOOKUP(IntComp24[[#This Row],[DEVELOPMENT]],Data[],5,FALSE)</f>
        <v>14</v>
      </c>
      <c r="J130" s="9"/>
      <c r="K130" s="9" t="str">
        <f ca="1">IFERROR(VLOOKUP(IntComp24[[#This Row],[DEVELOPMENT]],Data[],4,FALSE),"")</f>
        <v>2022-2025</v>
      </c>
      <c r="L130" s="9" t="str">
        <f ca="1">IF(IntComp24[[#This Row],[RAD/PACT]]="","",IF(OR(IntComp24[[#This Row],[RAD/PACT]]="2022-2025",IntComp24[[#This Row],[RAD/PACT]]=2019,IntComp24[[#This Row],[RAD/PACT]]="2020-2021"),"Yes",""))</f>
        <v>Yes</v>
      </c>
      <c r="M130" s="1">
        <f ca="1">IF(VLOOKUP(IntComp24[[#This Row],[DEVELOPMENT]],Data[],10,FALSE)=0,-1,DATEDIF(VLOOKUP(IntComp24[[#This Row],[DEVELOPMENT]],Data[],12,FALSE),TODAY(),"Y"))</f>
        <v>10</v>
      </c>
      <c r="N13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30" s="1"/>
      <c r="P130" s="1"/>
      <c r="Q130" s="1"/>
      <c r="R130" s="47">
        <f ca="1">(IntComp24[[#This Row],['# to Replace (MRST)]]*INDEX(UnitCosts[#All],MATCH(IntComp24[[#This Row],[WORK TYPE]],UnitCosts[Work Type],0)+1,2))*(1+((IntComp24[[#This Row],[est. Year]]-YEAR(TODAY()))*$R$2))</f>
        <v>0</v>
      </c>
      <c r="S130" s="1">
        <f ca="1">SUM(INDEX(IntComp24['# to Replace (MRST)],1):IntComp24[[#This Row],['# to Replace (MRST)]])</f>
        <v>53</v>
      </c>
      <c r="T130" s="1"/>
      <c r="U130" s="1">
        <f ca="1">IF(ISBLANK(IntComp24[[#This Row],[CALENDAR YEAR]]),ROUNDDOWN(IntComp24[[#This Row],[Count]]/50,0)+$U$1,IntComp24[[#This Row],[CALENDAR YEAR]])</f>
        <v>2023</v>
      </c>
      <c r="V130" s="64">
        <f t="shared" ca="1" si="2"/>
        <v>1603368.8125</v>
      </c>
      <c r="W130" s="5"/>
      <c r="X130"/>
    </row>
    <row r="131" spans="1:24" hidden="1">
      <c r="A131" s="13" t="s">
        <v>72</v>
      </c>
      <c r="B131" s="1" t="str">
        <f>VLOOKUP(A131,Data[],2,FALSE)</f>
        <v>BROOKLYN</v>
      </c>
      <c r="C131" s="9" t="s">
        <v>106</v>
      </c>
      <c r="D131" s="9" t="str">
        <f>VLOOKUP(IntComp24[[#This Row],[DEVELOPMENT]],Data[],52,FALSE)</f>
        <v>FEDERAL</v>
      </c>
      <c r="E131" s="9" t="str">
        <f>VLOOKUP(IntComp24[[#This Row],[DEVELOPMENT]],Data[],8,FALSE)</f>
        <v>Zone 3</v>
      </c>
      <c r="F131" s="9">
        <f>VLOOKUP(IntComp24[[#This Row],[DEVELOPMENT]],all[[DEVELOPMENT]:[MRST Ext. Comp. Priority]],13,FALSE)</f>
        <v>3</v>
      </c>
      <c r="G131" s="9">
        <f>IF(VLOOKUP(IntComp24[[#This Row],[DEVELOPMENT]],Data[],9,FALSE)=0,5,VLOOKUP(IntComp24[[#This Row],[DEVELOPMENT]],Data[],9,FALSE))</f>
        <v>2</v>
      </c>
      <c r="H131" s="9">
        <f>VLOOKUP(IntComp24[[#This Row],[DEVELOPMENT]],Data[],7,FALSE)</f>
        <v>425</v>
      </c>
      <c r="I131" s="9">
        <f>VLOOKUP(IntComp24[[#This Row],[DEVELOPMENT]],Data[],5,FALSE)</f>
        <v>7</v>
      </c>
      <c r="J131" s="9"/>
      <c r="K131" s="9" t="str">
        <f ca="1">IFERROR(VLOOKUP(IntComp24[[#This Row],[DEVELOPMENT]],Data[],4,FALSE),"")</f>
        <v>2026+</v>
      </c>
      <c r="L131" s="9" t="str">
        <f ca="1">IF(IntComp24[[#This Row],[RAD/PACT]]="","",IF(OR(IntComp24[[#This Row],[RAD/PACT]]="2022-2025",IntComp24[[#This Row],[RAD/PACT]]=2019,IntComp24[[#This Row],[RAD/PACT]]="2020-2021"),"Yes",""))</f>
        <v/>
      </c>
      <c r="M131" s="1">
        <f ca="1">IF(VLOOKUP(IntComp24[[#This Row],[DEVELOPMENT]],Data[],10,FALSE)=0,-1,DATEDIF(VLOOKUP(IntComp24[[#This Row],[DEVELOPMENT]],Data[],12,FALSE),TODAY(),"Y"))</f>
        <v>8</v>
      </c>
      <c r="N13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31" s="1"/>
      <c r="P131" s="1"/>
      <c r="Q131" s="1"/>
      <c r="R131" s="47">
        <f ca="1">(IntComp24[[#This Row],['# to Replace (MRST)]]*INDEX(UnitCosts[#All],MATCH(IntComp24[[#This Row],[WORK TYPE]],UnitCosts[Work Type],0)+1,2))*(1+((IntComp24[[#This Row],[est. Year]]-YEAR(TODAY()))*$R$2))</f>
        <v>0</v>
      </c>
      <c r="S131" s="1">
        <f ca="1">SUM(INDEX(IntComp24['# to Replace (MRST)],1):IntComp24[[#This Row],['# to Replace (MRST)]])</f>
        <v>53</v>
      </c>
      <c r="T131" s="1"/>
      <c r="U131" s="1">
        <f ca="1">IF(ISBLANK(IntComp24[[#This Row],[CALENDAR YEAR]]),ROUNDDOWN(IntComp24[[#This Row],[Count]]/50,0)+$U$1,IntComp24[[#This Row],[CALENDAR YEAR]])</f>
        <v>2023</v>
      </c>
      <c r="V131" s="64">
        <f t="shared" ca="1" si="2"/>
        <v>1603368.8125</v>
      </c>
      <c r="W131" s="5"/>
      <c r="X131"/>
    </row>
    <row r="132" spans="1:24" hidden="1">
      <c r="A132" s="13" t="s">
        <v>97</v>
      </c>
      <c r="B132" s="1" t="str">
        <f>VLOOKUP(A132,Data[],2,FALSE)</f>
        <v>BRONX</v>
      </c>
      <c r="C132" s="9" t="s">
        <v>106</v>
      </c>
      <c r="D132" s="9" t="str">
        <f>VLOOKUP(IntComp24[[#This Row],[DEVELOPMENT]],Data[],52,FALSE)</f>
        <v>FEDERAL</v>
      </c>
      <c r="E132" s="9" t="str">
        <f>VLOOKUP(IntComp24[[#This Row],[DEVELOPMENT]],Data[],8,FALSE)</f>
        <v>Zone 3</v>
      </c>
      <c r="F132" s="9">
        <f>VLOOKUP(IntComp24[[#This Row],[DEVELOPMENT]],all[[DEVELOPMENT]:[MRST Ext. Comp. Priority]],13,FALSE)</f>
        <v>3</v>
      </c>
      <c r="G132" s="9">
        <f>IF(VLOOKUP(IntComp24[[#This Row],[DEVELOPMENT]],Data[],9,FALSE)=0,5,VLOOKUP(IntComp24[[#This Row],[DEVELOPMENT]],Data[],9,FALSE))</f>
        <v>2</v>
      </c>
      <c r="H132" s="9">
        <f>VLOOKUP(IntComp24[[#This Row],[DEVELOPMENT]],Data[],7,FALSE)</f>
        <v>119</v>
      </c>
      <c r="I132" s="9">
        <f>VLOOKUP(IntComp24[[#This Row],[DEVELOPMENT]],Data[],5,FALSE)</f>
        <v>2</v>
      </c>
      <c r="J132" s="9"/>
      <c r="K132" s="9" t="str">
        <f ca="1">IFERROR(VLOOKUP(IntComp24[[#This Row],[DEVELOPMENT]],Data[],4,FALSE),"")</f>
        <v>2026+</v>
      </c>
      <c r="L132" s="9" t="str">
        <f ca="1">IF(IntComp24[[#This Row],[RAD/PACT]]="","",IF(OR(IntComp24[[#This Row],[RAD/PACT]]="2022-2025",IntComp24[[#This Row],[RAD/PACT]]=2019,IntComp24[[#This Row],[RAD/PACT]]="2020-2021"),"Yes",""))</f>
        <v/>
      </c>
      <c r="M132" s="1">
        <f ca="1">IF(VLOOKUP(IntComp24[[#This Row],[DEVELOPMENT]],Data[],10,FALSE)=0,-1,DATEDIF(VLOOKUP(IntComp24[[#This Row],[DEVELOPMENT]],Data[],12,FALSE),TODAY(),"Y"))</f>
        <v>-1</v>
      </c>
      <c r="N132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32" s="1"/>
      <c r="P132" s="1"/>
      <c r="Q132" s="1"/>
      <c r="R132" s="47">
        <f ca="1">(IntComp24[[#This Row],['# to Replace (MRST)]]*INDEX(UnitCosts[#All],MATCH(IntComp24[[#This Row],[WORK TYPE]],UnitCosts[Work Type],0)+1,2))*(1+((IntComp24[[#This Row],[est. Year]]-YEAR(TODAY()))*$R$2))</f>
        <v>0</v>
      </c>
      <c r="S132" s="1">
        <f ca="1">SUM(INDEX(IntComp24['# to Replace (MRST)],1):IntComp24[[#This Row],['# to Replace (MRST)]])</f>
        <v>53</v>
      </c>
      <c r="T132" s="1"/>
      <c r="U132" s="1">
        <f ca="1">IF(ISBLANK(IntComp24[[#This Row],[CALENDAR YEAR]]),ROUNDDOWN(IntComp24[[#This Row],[Count]]/50,0)+$U$1,IntComp24[[#This Row],[CALENDAR YEAR]])</f>
        <v>2023</v>
      </c>
      <c r="V132" s="64">
        <f t="shared" ca="1" si="2"/>
        <v>1603368.8125</v>
      </c>
      <c r="W132" s="5"/>
      <c r="X132"/>
    </row>
    <row r="133" spans="1:24" hidden="1">
      <c r="A133" s="65" t="s">
        <v>62</v>
      </c>
      <c r="B133" s="1" t="str">
        <f>VLOOKUP(A133,Data[],2,FALSE)</f>
        <v>MANHATTAN</v>
      </c>
      <c r="C133" s="9" t="s">
        <v>106</v>
      </c>
      <c r="D133" s="9" t="str">
        <f>VLOOKUP(IntComp24[[#This Row],[DEVELOPMENT]],Data[],52,FALSE)</f>
        <v>FEDERAL</v>
      </c>
      <c r="E133" s="9" t="str">
        <f>VLOOKUP(IntComp24[[#This Row],[DEVELOPMENT]],Data[],8,FALSE)</f>
        <v>Zone 1</v>
      </c>
      <c r="F133" s="9">
        <f>VLOOKUP(IntComp24[[#This Row],[DEVELOPMENT]],all[[DEVELOPMENT]:[MRST Ext. Comp. Priority]],13,FALSE)</f>
        <v>3</v>
      </c>
      <c r="G133" s="9">
        <f>IF(VLOOKUP(IntComp24[[#This Row],[DEVELOPMENT]],Data[],9,FALSE)=0,5,VLOOKUP(IntComp24[[#This Row],[DEVELOPMENT]],Data[],9,FALSE))</f>
        <v>3</v>
      </c>
      <c r="H133" s="9">
        <f>VLOOKUP(IntComp24[[#This Row],[DEVELOPMENT]],Data[],7,FALSE)</f>
        <v>189</v>
      </c>
      <c r="I133" s="9">
        <f>VLOOKUP(IntComp24[[#This Row],[DEVELOPMENT]],Data[],5,FALSE)</f>
        <v>5</v>
      </c>
      <c r="J133" s="9"/>
      <c r="K133" s="9" t="str">
        <f ca="1">IFERROR(VLOOKUP(IntComp24[[#This Row],[DEVELOPMENT]],Data[],4,FALSE),"")</f>
        <v/>
      </c>
      <c r="L133" s="9" t="str">
        <f ca="1">IF(IntComp24[[#This Row],[RAD/PACT]]="","",IF(OR(IntComp24[[#This Row],[RAD/PACT]]="2022-2025",IntComp24[[#This Row],[RAD/PACT]]=2019,IntComp24[[#This Row],[RAD/PACT]]="2020-2021"),"Yes",""))</f>
        <v/>
      </c>
      <c r="M133" s="1">
        <f ca="1">IF(VLOOKUP(IntComp24[[#This Row],[DEVELOPMENT]],Data[],10,FALSE)=0,-1,DATEDIF(VLOOKUP(IntComp24[[#This Row],[DEVELOPMENT]],Data[],12,FALSE),TODAY(),"Y"))</f>
        <v>34</v>
      </c>
      <c r="N133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33" s="1"/>
      <c r="P133" s="1"/>
      <c r="Q133" s="1"/>
      <c r="R133" s="47">
        <f ca="1">(IntComp24[[#This Row],['# to Replace (MRST)]]*INDEX(UnitCosts[#All],MATCH(IntComp24[[#This Row],[WORK TYPE]],UnitCosts[Work Type],0)+1,2))*(1+((IntComp24[[#This Row],[est. Year]]-YEAR(TODAY()))*$R$2))</f>
        <v>0</v>
      </c>
      <c r="S133" s="1">
        <f ca="1">SUM(INDEX(IntComp24['# to Replace (MRST)],1):IntComp24[[#This Row],['# to Replace (MRST)]])</f>
        <v>53</v>
      </c>
      <c r="T133" s="1"/>
      <c r="U133" s="1">
        <f ca="1">IF(ISBLANK(IntComp24[[#This Row],[CALENDAR YEAR]]),ROUNDDOWN(IntComp24[[#This Row],[Count]]/50,0)+$U$1,IntComp24[[#This Row],[CALENDAR YEAR]])</f>
        <v>2023</v>
      </c>
      <c r="V133" s="64">
        <f t="shared" ca="1" si="2"/>
        <v>1603368.8125</v>
      </c>
      <c r="W133" s="5"/>
      <c r="X133"/>
    </row>
    <row r="134" spans="1:24" hidden="1">
      <c r="A134" s="13" t="s">
        <v>82</v>
      </c>
      <c r="B134" s="1" t="str">
        <f>VLOOKUP(A134,Data[],2,FALSE)</f>
        <v>MANHATTAN</v>
      </c>
      <c r="C134" s="9" t="s">
        <v>106</v>
      </c>
      <c r="D134" s="9" t="str">
        <f>VLOOKUP(IntComp24[[#This Row],[DEVELOPMENT]],Data[],52,FALSE)</f>
        <v>FEDERAL</v>
      </c>
      <c r="E134" s="9" t="str">
        <f>VLOOKUP(IntComp24[[#This Row],[DEVELOPMENT]],Data[],8,FALSE)</f>
        <v>Zone 3</v>
      </c>
      <c r="F134" s="9">
        <f>VLOOKUP(IntComp24[[#This Row],[DEVELOPMENT]],all[[DEVELOPMENT]:[MRST Ext. Comp. Priority]],13,FALSE)</f>
        <v>3</v>
      </c>
      <c r="G134" s="9">
        <f>IF(VLOOKUP(IntComp24[[#This Row],[DEVELOPMENT]],Data[],9,FALSE)=0,5,VLOOKUP(IntComp24[[#This Row],[DEVELOPMENT]],Data[],9,FALSE))</f>
        <v>3</v>
      </c>
      <c r="H134" s="9">
        <f>VLOOKUP(IntComp24[[#This Row],[DEVELOPMENT]],Data[],7,FALSE)</f>
        <v>116</v>
      </c>
      <c r="I134" s="9">
        <f>VLOOKUP(IntComp24[[#This Row],[DEVELOPMENT]],Data[],5,FALSE)</f>
        <v>1</v>
      </c>
      <c r="J134" s="9"/>
      <c r="K134" s="9" t="str">
        <f ca="1">IFERROR(VLOOKUP(IntComp24[[#This Row],[DEVELOPMENT]],Data[],4,FALSE),"")</f>
        <v>2020-2021</v>
      </c>
      <c r="L134" s="9" t="str">
        <f ca="1">IF(IntComp24[[#This Row],[RAD/PACT]]="","",IF(OR(IntComp24[[#This Row],[RAD/PACT]]="2022-2025",IntComp24[[#This Row],[RAD/PACT]]=2019,IntComp24[[#This Row],[RAD/PACT]]="2020-2021"),"Yes",""))</f>
        <v>Yes</v>
      </c>
      <c r="M134" s="1">
        <f ca="1">IF(VLOOKUP(IntComp24[[#This Row],[DEVELOPMENT]],Data[],10,FALSE)=0,-1,DATEDIF(VLOOKUP(IntComp24[[#This Row],[DEVELOPMENT]],Data[],12,FALSE),TODAY(),"Y"))</f>
        <v>23</v>
      </c>
      <c r="N13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34" s="1"/>
      <c r="P134" s="1"/>
      <c r="Q134" s="1"/>
      <c r="R134" s="47">
        <f ca="1">(IntComp24[[#This Row],['# to Replace (MRST)]]*INDEX(UnitCosts[#All],MATCH(IntComp24[[#This Row],[WORK TYPE]],UnitCosts[Work Type],0)+1,2))*(1+((IntComp24[[#This Row],[est. Year]]-YEAR(TODAY()))*$R$2))</f>
        <v>0</v>
      </c>
      <c r="S134" s="1">
        <f ca="1">SUM(INDEX(IntComp24['# to Replace (MRST)],1):IntComp24[[#This Row],['# to Replace (MRST)]])</f>
        <v>53</v>
      </c>
      <c r="T134" s="1"/>
      <c r="U134" s="1">
        <f ca="1">IF(ISBLANK(IntComp24[[#This Row],[CALENDAR YEAR]]),ROUNDDOWN(IntComp24[[#This Row],[Count]]/50,0)+$U$1,IntComp24[[#This Row],[CALENDAR YEAR]])</f>
        <v>2023</v>
      </c>
      <c r="V134" s="64">
        <f t="shared" ca="1" si="2"/>
        <v>1603368.8125</v>
      </c>
      <c r="W134" s="5"/>
      <c r="X134"/>
    </row>
    <row r="135" spans="1:24">
      <c r="A135" s="13" t="s">
        <v>200</v>
      </c>
      <c r="B135" s="9" t="str">
        <f>VLOOKUP(A135,Data[],2,FALSE)</f>
        <v>BRONX</v>
      </c>
      <c r="C135" s="9" t="s">
        <v>106</v>
      </c>
      <c r="D135" s="9" t="str">
        <f>VLOOKUP(IntComp24[[#This Row],[DEVELOPMENT]],Data[],52,FALSE)</f>
        <v>MIXED FINANCE/LLC1</v>
      </c>
      <c r="E135" s="50">
        <f>VLOOKUP(IntComp24[[#This Row],[DEVELOPMENT]],Data[],8,FALSE)</f>
        <v>0</v>
      </c>
      <c r="F135" s="50">
        <f>VLOOKUP(IntComp24[[#This Row],[DEVELOPMENT]],all[[DEVELOPMENT]:[MRST Ext. Comp. Priority]],13,FALSE)</f>
        <v>2</v>
      </c>
      <c r="G135" s="50">
        <f>IF(VLOOKUP(IntComp24[[#This Row],[DEVELOPMENT]],Data[],9,FALSE)=0,5,VLOOKUP(IntComp24[[#This Row],[DEVELOPMENT]],Data[],9,FALSE))</f>
        <v>5</v>
      </c>
      <c r="H135" s="50">
        <f>VLOOKUP(IntComp24[[#This Row],[DEVELOPMENT]],Data[],7,FALSE)</f>
        <v>2022</v>
      </c>
      <c r="I135" s="50">
        <f>VLOOKUP(IntComp24[[#This Row],[DEVELOPMENT]],Data[],5,FALSE)</f>
        <v>14</v>
      </c>
      <c r="J135" s="50"/>
      <c r="K135" s="50" t="str">
        <f ca="1">IFERROR(VLOOKUP(IntComp24[[#This Row],[DEVELOPMENT]],Data[],4,FALSE),"")</f>
        <v/>
      </c>
      <c r="L135" s="50" t="str">
        <f ca="1">IF(IntComp24[[#This Row],[RAD/PACT]]="","",IF(OR(IntComp24[[#This Row],[RAD/PACT]]="2022-2025",IntComp24[[#This Row],[RAD/PACT]]=2019,IntComp24[[#This Row],[RAD/PACT]]="2020-2021"),"Yes",""))</f>
        <v/>
      </c>
      <c r="M135" s="51">
        <f ca="1">IF(VLOOKUP(IntComp24[[#This Row],[DEVELOPMENT]],Data[],10,FALSE)=0,-1,DATEDIF(VLOOKUP(IntComp24[[#This Row],[DEVELOPMENT]],Data[],12,FALSE),TODAY(),"Y"))</f>
        <v>17</v>
      </c>
      <c r="N13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14</v>
      </c>
      <c r="O135" s="51"/>
      <c r="P135" s="51"/>
      <c r="Q135" s="51"/>
      <c r="R135" s="47">
        <f ca="1">(IntComp24[[#This Row],['# to Replace (MRST)]]*INDEX(UnitCosts[#All],MATCH(IntComp24[[#This Row],[WORK TYPE]],UnitCosts[Work Type],0)+1,2))*(1+((IntComp24[[#This Row],[est. Year]]-YEAR(TODAY()))*$R$2))</f>
        <v>975963.625</v>
      </c>
      <c r="S135" s="1">
        <f ca="1">SUM(INDEX(IntComp24['# to Replace (MRST)],1):IntComp24[[#This Row],['# to Replace (MRST)]])</f>
        <v>67</v>
      </c>
      <c r="T135" s="51"/>
      <c r="U135" s="51">
        <f ca="1">IF(ISBLANK(IntComp24[[#This Row],[CALENDAR YEAR]]),ROUNDDOWN(IntComp24[[#This Row],[Count]]/50,0)+$U$1,IntComp24[[#This Row],[CALENDAR YEAR]])</f>
        <v>2023</v>
      </c>
      <c r="V135" s="69">
        <f t="shared" ca="1" si="2"/>
        <v>2579332.4375</v>
      </c>
      <c r="X135"/>
    </row>
    <row r="136" spans="1:24" hidden="1">
      <c r="A136" s="13" t="s">
        <v>91</v>
      </c>
      <c r="B136" s="1" t="str">
        <f>VLOOKUP(A136,Data[],2,FALSE)</f>
        <v>BRONX</v>
      </c>
      <c r="C136" s="9" t="s">
        <v>106</v>
      </c>
      <c r="D136" s="9" t="str">
        <f>VLOOKUP(IntComp24[[#This Row],[DEVELOPMENT]],Data[],52,FALSE)</f>
        <v>FEDERAL</v>
      </c>
      <c r="E136" s="9" t="str">
        <f>VLOOKUP(IntComp24[[#This Row],[DEVELOPMENT]],Data[],8,FALSE)</f>
        <v>Zone 3</v>
      </c>
      <c r="F136" s="9">
        <f>VLOOKUP(IntComp24[[#This Row],[DEVELOPMENT]],all[[DEVELOPMENT]:[MRST Ext. Comp. Priority]],13,FALSE)</f>
        <v>3</v>
      </c>
      <c r="G136" s="9">
        <f>IF(VLOOKUP(IntComp24[[#This Row],[DEVELOPMENT]],Data[],9,FALSE)=0,5,VLOOKUP(IntComp24[[#This Row],[DEVELOPMENT]],Data[],9,FALSE))</f>
        <v>3</v>
      </c>
      <c r="H136" s="9">
        <f>VLOOKUP(IntComp24[[#This Row],[DEVELOPMENT]],Data[],7,FALSE)</f>
        <v>463</v>
      </c>
      <c r="I136" s="9">
        <f>VLOOKUP(IntComp24[[#This Row],[DEVELOPMENT]],Data[],5,FALSE)</f>
        <v>2</v>
      </c>
      <c r="J136" s="9"/>
      <c r="K136" s="9" t="str">
        <f ca="1">IFERROR(VLOOKUP(IntComp24[[#This Row],[DEVELOPMENT]],Data[],4,FALSE),"")</f>
        <v>2026+</v>
      </c>
      <c r="L136" s="9" t="str">
        <f ca="1">IF(IntComp24[[#This Row],[RAD/PACT]]="","",IF(OR(IntComp24[[#This Row],[RAD/PACT]]="2022-2025",IntComp24[[#This Row],[RAD/PACT]]=2019,IntComp24[[#This Row],[RAD/PACT]]="2020-2021"),"Yes",""))</f>
        <v/>
      </c>
      <c r="M136" s="1">
        <f ca="1">IF(VLOOKUP(IntComp24[[#This Row],[DEVELOPMENT]],Data[],10,FALSE)=0,-1,DATEDIF(VLOOKUP(IntComp24[[#This Row],[DEVELOPMENT]],Data[],12,FALSE),TODAY(),"Y"))</f>
        <v>19</v>
      </c>
      <c r="N136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36" s="1"/>
      <c r="P136" s="1"/>
      <c r="Q136" s="1"/>
      <c r="R136" s="47">
        <f ca="1">(IntComp24[[#This Row],['# to Replace (MRST)]]*INDEX(UnitCosts[#All],MATCH(IntComp24[[#This Row],[WORK TYPE]],UnitCosts[Work Type],0)+1,2))*(1+((IntComp24[[#This Row],[est. Year]]-YEAR(TODAY()))*$R$2))</f>
        <v>0</v>
      </c>
      <c r="S136" s="1">
        <f ca="1">SUM(INDEX(IntComp24['# to Replace (MRST)],1):IntComp24[[#This Row],['# to Replace (MRST)]])</f>
        <v>67</v>
      </c>
      <c r="T136" s="1"/>
      <c r="U136" s="1">
        <f ca="1">IF(ISBLANK(IntComp24[[#This Row],[CALENDAR YEAR]]),ROUNDDOWN(IntComp24[[#This Row],[Count]]/50,0)+$U$1,IntComp24[[#This Row],[CALENDAR YEAR]])</f>
        <v>2023</v>
      </c>
      <c r="V136" s="64">
        <f t="shared" ca="1" si="2"/>
        <v>2579332.4375</v>
      </c>
      <c r="W136" s="5"/>
      <c r="X136"/>
    </row>
    <row r="137" spans="1:24" hidden="1">
      <c r="A137" s="65" t="s">
        <v>38</v>
      </c>
      <c r="B137" s="1" t="str">
        <f>VLOOKUP(A137,Data[],2,FALSE)</f>
        <v>BROOKLYN</v>
      </c>
      <c r="C137" s="9" t="s">
        <v>106</v>
      </c>
      <c r="D137" s="9" t="str">
        <f>VLOOKUP(IntComp24[[#This Row],[DEVELOPMENT]],Data[],52,FALSE)</f>
        <v>FEDERAL</v>
      </c>
      <c r="E137" s="9" t="str">
        <f>VLOOKUP(IntComp24[[#This Row],[DEVELOPMENT]],Data[],8,FALSE)</f>
        <v>Zone 1</v>
      </c>
      <c r="F137" s="9">
        <f>VLOOKUP(IntComp24[[#This Row],[DEVELOPMENT]],all[[DEVELOPMENT]:[MRST Ext. Comp. Priority]],13,FALSE)</f>
        <v>3</v>
      </c>
      <c r="G137" s="9">
        <f>IF(VLOOKUP(IntComp24[[#This Row],[DEVELOPMENT]],Data[],9,FALSE)=0,5,VLOOKUP(IntComp24[[#This Row],[DEVELOPMENT]],Data[],9,FALSE))</f>
        <v>3</v>
      </c>
      <c r="H137" s="9">
        <f>VLOOKUP(IntComp24[[#This Row],[DEVELOPMENT]],Data[],7,FALSE)</f>
        <v>1716</v>
      </c>
      <c r="I137" s="9">
        <f>VLOOKUP(IntComp24[[#This Row],[DEVELOPMENT]],Data[],5,FALSE)</f>
        <v>27</v>
      </c>
      <c r="J137" s="9"/>
      <c r="K137" s="9" t="str">
        <f ca="1">IFERROR(VLOOKUP(IntComp24[[#This Row],[DEVELOPMENT]],Data[],4,FALSE),"")</f>
        <v>2026+</v>
      </c>
      <c r="L137" s="9" t="str">
        <f ca="1">IF(IntComp24[[#This Row],[RAD/PACT]]="","",IF(OR(IntComp24[[#This Row],[RAD/PACT]]="2022-2025",IntComp24[[#This Row],[RAD/PACT]]=2019,IntComp24[[#This Row],[RAD/PACT]]="2020-2021"),"Yes",""))</f>
        <v/>
      </c>
      <c r="M137" s="1">
        <f ca="1">IF(VLOOKUP(IntComp24[[#This Row],[DEVELOPMENT]],Data[],10,FALSE)=0,-1,DATEDIF(VLOOKUP(IntComp24[[#This Row],[DEVELOPMENT]],Data[],12,FALSE),TODAY(),"Y"))</f>
        <v>10</v>
      </c>
      <c r="N137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37" s="51"/>
      <c r="P137" s="1"/>
      <c r="Q137" s="1"/>
      <c r="R137" s="47">
        <f ca="1">(IntComp24[[#This Row],['# to Replace (MRST)]]*INDEX(UnitCosts[#All],MATCH(IntComp24[[#This Row],[WORK TYPE]],UnitCosts[Work Type],0)+1,2))*(1+((IntComp24[[#This Row],[est. Year]]-YEAR(TODAY()))*$R$2))</f>
        <v>0</v>
      </c>
      <c r="S137" s="1">
        <f ca="1">SUM(INDEX(IntComp24['# to Replace (MRST)],1):IntComp24[[#This Row],['# to Replace (MRST)]])</f>
        <v>67</v>
      </c>
      <c r="T137" s="1"/>
      <c r="U137" s="1">
        <f ca="1">IF(ISBLANK(IntComp24[[#This Row],[CALENDAR YEAR]]),ROUNDDOWN(IntComp24[[#This Row],[Count]]/50,0)+$U$1,IntComp24[[#This Row],[CALENDAR YEAR]])</f>
        <v>2023</v>
      </c>
      <c r="V137" s="64">
        <f t="shared" ca="1" si="2"/>
        <v>2579332.4375</v>
      </c>
      <c r="W137" s="5"/>
      <c r="X137"/>
    </row>
    <row r="138" spans="1:24" hidden="1">
      <c r="A138" s="65" t="s">
        <v>60</v>
      </c>
      <c r="B138" s="1" t="str">
        <f>VLOOKUP(A138,Data[],2,FALSE)</f>
        <v>MANHATTAN</v>
      </c>
      <c r="C138" s="9" t="s">
        <v>106</v>
      </c>
      <c r="D138" s="9" t="str">
        <f>VLOOKUP(IntComp24[[#This Row],[DEVELOPMENT]],Data[],52,FALSE)</f>
        <v>FEDERAL</v>
      </c>
      <c r="E138" s="9" t="str">
        <f>VLOOKUP(IntComp24[[#This Row],[DEVELOPMENT]],Data[],8,FALSE)</f>
        <v>Zone 1</v>
      </c>
      <c r="F138" s="9">
        <f>VLOOKUP(IntComp24[[#This Row],[DEVELOPMENT]],all[[DEVELOPMENT]:[MRST Ext. Comp. Priority]],13,FALSE)</f>
        <v>3</v>
      </c>
      <c r="G138" s="9">
        <f>IF(VLOOKUP(IntComp24[[#This Row],[DEVELOPMENT]],Data[],9,FALSE)=0,5,VLOOKUP(IntComp24[[#This Row],[DEVELOPMENT]],Data[],9,FALSE))</f>
        <v>3</v>
      </c>
      <c r="H138" s="9">
        <f>VLOOKUP(IntComp24[[#This Row],[DEVELOPMENT]],Data[],7,FALSE)</f>
        <v>224</v>
      </c>
      <c r="I138" s="9">
        <f>VLOOKUP(IntComp24[[#This Row],[DEVELOPMENT]],Data[],5,FALSE)</f>
        <v>2</v>
      </c>
      <c r="J138" s="9"/>
      <c r="K138" s="9" t="str">
        <f ca="1">IFERROR(VLOOKUP(IntComp24[[#This Row],[DEVELOPMENT]],Data[],4,FALSE),"")</f>
        <v>2026+</v>
      </c>
      <c r="L138" s="9" t="str">
        <f ca="1">IF(IntComp24[[#This Row],[RAD/PACT]]="","",IF(OR(IntComp24[[#This Row],[RAD/PACT]]="2022-2025",IntComp24[[#This Row],[RAD/PACT]]=2019,IntComp24[[#This Row],[RAD/PACT]]="2020-2021"),"Yes",""))</f>
        <v/>
      </c>
      <c r="M138" s="1">
        <f ca="1">IF(VLOOKUP(IntComp24[[#This Row],[DEVELOPMENT]],Data[],10,FALSE)=0,-1,DATEDIF(VLOOKUP(IntComp24[[#This Row],[DEVELOPMENT]],Data[],12,FALSE),TODAY(),"Y"))</f>
        <v>2</v>
      </c>
      <c r="N138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38" s="1"/>
      <c r="P138" s="1"/>
      <c r="Q138" s="1"/>
      <c r="R138" s="47">
        <f ca="1">(IntComp24[[#This Row],['# to Replace (MRST)]]*INDEX(UnitCosts[#All],MATCH(IntComp24[[#This Row],[WORK TYPE]],UnitCosts[Work Type],0)+1,2))*(1+((IntComp24[[#This Row],[est. Year]]-YEAR(TODAY()))*$R$2))</f>
        <v>0</v>
      </c>
      <c r="S138" s="1">
        <f ca="1">SUM(INDEX(IntComp24['# to Replace (MRST)],1):IntComp24[[#This Row],['# to Replace (MRST)]])</f>
        <v>67</v>
      </c>
      <c r="T138" s="1"/>
      <c r="U138" s="1">
        <f ca="1">IF(ISBLANK(IntComp24[[#This Row],[CALENDAR YEAR]]),ROUNDDOWN(IntComp24[[#This Row],[Count]]/50,0)+$U$1,IntComp24[[#This Row],[CALENDAR YEAR]])</f>
        <v>2023</v>
      </c>
      <c r="V138" s="64">
        <f t="shared" ca="1" si="2"/>
        <v>2579332.4375</v>
      </c>
      <c r="W138" s="5"/>
      <c r="X138"/>
    </row>
    <row r="139" spans="1:24" hidden="1">
      <c r="A139" s="13" t="s">
        <v>40</v>
      </c>
      <c r="B139" s="1" t="str">
        <f>VLOOKUP(A139,Data[],2,FALSE)</f>
        <v>BRONX</v>
      </c>
      <c r="C139" s="9" t="s">
        <v>106</v>
      </c>
      <c r="D139" s="9" t="str">
        <f>VLOOKUP(IntComp24[[#This Row],[DEVELOPMENT]],Data[],52,FALSE)</f>
        <v>FEDERAL</v>
      </c>
      <c r="E139" s="9" t="str">
        <f>VLOOKUP(IntComp24[[#This Row],[DEVELOPMENT]],Data[],8,FALSE)</f>
        <v>Zone 1</v>
      </c>
      <c r="F139" s="9">
        <f>VLOOKUP(IntComp24[[#This Row],[DEVELOPMENT]],all[[DEVELOPMENT]:[MRST Ext. Comp. Priority]],13,FALSE)</f>
        <v>3</v>
      </c>
      <c r="G139" s="9">
        <f>IF(VLOOKUP(IntComp24[[#This Row],[DEVELOPMENT]],Data[],9,FALSE)=0,5,VLOOKUP(IntComp24[[#This Row],[DEVELOPMENT]],Data[],9,FALSE))</f>
        <v>3</v>
      </c>
      <c r="H139" s="9">
        <f>VLOOKUP(IntComp24[[#This Row],[DEVELOPMENT]],Data[],7,FALSE)</f>
        <v>1083</v>
      </c>
      <c r="I139" s="9">
        <f>VLOOKUP(IntComp24[[#This Row],[DEVELOPMENT]],Data[],5,FALSE)</f>
        <v>10</v>
      </c>
      <c r="J139" s="9"/>
      <c r="K139" s="9" t="str">
        <f ca="1">IFERROR(VLOOKUP(IntComp24[[#This Row],[DEVELOPMENT]],Data[],4,FALSE),"")</f>
        <v/>
      </c>
      <c r="L139" s="9" t="str">
        <f ca="1">IF(IntComp24[[#This Row],[RAD/PACT]]="","",IF(OR(IntComp24[[#This Row],[RAD/PACT]]="2022-2025",IntComp24[[#This Row],[RAD/PACT]]=2019,IntComp24[[#This Row],[RAD/PACT]]="2020-2021"),"Yes",""))</f>
        <v/>
      </c>
      <c r="M139" s="1">
        <f ca="1">IF(VLOOKUP(IntComp24[[#This Row],[DEVELOPMENT]],Data[],10,FALSE)=0,-1,DATEDIF(VLOOKUP(IntComp24[[#This Row],[DEVELOPMENT]],Data[],12,FALSE),TODAY(),"Y"))</f>
        <v>1</v>
      </c>
      <c r="N13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39" s="1"/>
      <c r="P139" s="1"/>
      <c r="Q139" s="1"/>
      <c r="R139" s="47">
        <f ca="1">(IntComp24[[#This Row],['# to Replace (MRST)]]*INDEX(UnitCosts[#All],MATCH(IntComp24[[#This Row],[WORK TYPE]],UnitCosts[Work Type],0)+1,2))*(1+((IntComp24[[#This Row],[est. Year]]-YEAR(TODAY()))*$R$2))</f>
        <v>0</v>
      </c>
      <c r="S139" s="1">
        <f ca="1">SUM(INDEX(IntComp24['# to Replace (MRST)],1):IntComp24[[#This Row],['# to Replace (MRST)]])</f>
        <v>67</v>
      </c>
      <c r="T139" s="1"/>
      <c r="U139" s="1">
        <f ca="1">IF(ISBLANK(IntComp24[[#This Row],[CALENDAR YEAR]]),ROUNDDOWN(IntComp24[[#This Row],[Count]]/50,0)+$U$1,IntComp24[[#This Row],[CALENDAR YEAR]])</f>
        <v>2023</v>
      </c>
      <c r="V139" s="64">
        <f t="shared" ca="1" si="2"/>
        <v>2579332.4375</v>
      </c>
      <c r="W139" s="5"/>
      <c r="X139"/>
    </row>
    <row r="140" spans="1:24" hidden="1">
      <c r="A140" s="65" t="s">
        <v>63</v>
      </c>
      <c r="B140" s="1" t="str">
        <f>VLOOKUP(A140,Data[],2,FALSE)</f>
        <v>MANHATTAN</v>
      </c>
      <c r="C140" s="9" t="s">
        <v>106</v>
      </c>
      <c r="D140" s="9" t="str">
        <f>VLOOKUP(IntComp24[[#This Row],[DEVELOPMENT]],Data[],52,FALSE)</f>
        <v>FEDERAL</v>
      </c>
      <c r="E140" s="9" t="str">
        <f>VLOOKUP(IntComp24[[#This Row],[DEVELOPMENT]],Data[],8,FALSE)</f>
        <v>Zone 1</v>
      </c>
      <c r="F140" s="9">
        <f>VLOOKUP(IntComp24[[#This Row],[DEVELOPMENT]],all[[DEVELOPMENT]:[MRST Ext. Comp. Priority]],13,FALSE)</f>
        <v>3</v>
      </c>
      <c r="G140" s="9">
        <f>IF(VLOOKUP(IntComp24[[#This Row],[DEVELOPMENT]],Data[],9,FALSE)=0,5,VLOOKUP(IntComp24[[#This Row],[DEVELOPMENT]],Data[],9,FALSE))</f>
        <v>4</v>
      </c>
      <c r="H140" s="9">
        <f>VLOOKUP(IntComp24[[#This Row],[DEVELOPMENT]],Data[],7,FALSE)</f>
        <v>188</v>
      </c>
      <c r="I140" s="9">
        <f>VLOOKUP(IntComp24[[#This Row],[DEVELOPMENT]],Data[],5,FALSE)</f>
        <v>4</v>
      </c>
      <c r="J140" s="9"/>
      <c r="K140" s="9" t="str">
        <f ca="1">IFERROR(VLOOKUP(IntComp24[[#This Row],[DEVELOPMENT]],Data[],4,FALSE),"")</f>
        <v>2026+</v>
      </c>
      <c r="L140" s="9" t="str">
        <f ca="1">IF(IntComp24[[#This Row],[RAD/PACT]]="","",IF(OR(IntComp24[[#This Row],[RAD/PACT]]="2022-2025",IntComp24[[#This Row],[RAD/PACT]]=2019,IntComp24[[#This Row],[RAD/PACT]]="2020-2021"),"Yes",""))</f>
        <v/>
      </c>
      <c r="M140" s="1">
        <f ca="1">IF(VLOOKUP(IntComp24[[#This Row],[DEVELOPMENT]],Data[],10,FALSE)=0,-1,DATEDIF(VLOOKUP(IntComp24[[#This Row],[DEVELOPMENT]],Data[],12,FALSE),TODAY(),"Y"))</f>
        <v>37</v>
      </c>
      <c r="N14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0" s="1"/>
      <c r="P140" s="1"/>
      <c r="Q140" s="1"/>
      <c r="R140" s="47">
        <f ca="1">(IntComp24[[#This Row],['# to Replace (MRST)]]*INDEX(UnitCosts[#All],MATCH(IntComp24[[#This Row],[WORK TYPE]],UnitCosts[Work Type],0)+1,2))*(1+((IntComp24[[#This Row],[est. Year]]-YEAR(TODAY()))*$R$2))</f>
        <v>0</v>
      </c>
      <c r="S140" s="1">
        <f ca="1">SUM(INDEX(IntComp24['# to Replace (MRST)],1):IntComp24[[#This Row],['# to Replace (MRST)]])</f>
        <v>67</v>
      </c>
      <c r="T140" s="1"/>
      <c r="U140" s="1">
        <f ca="1">IF(ISBLANK(IntComp24[[#This Row],[CALENDAR YEAR]]),ROUNDDOWN(IntComp24[[#This Row],[Count]]/50,0)+$U$1,IntComp24[[#This Row],[CALENDAR YEAR]])</f>
        <v>2023</v>
      </c>
      <c r="V140" s="64">
        <f t="shared" ca="1" si="2"/>
        <v>2579332.4375</v>
      </c>
      <c r="W140" s="5"/>
      <c r="X140"/>
    </row>
    <row r="141" spans="1:24" hidden="1">
      <c r="A141" s="13" t="s">
        <v>94</v>
      </c>
      <c r="B141" s="1" t="str">
        <f>VLOOKUP(A141,Data[],2,FALSE)</f>
        <v>MANHATTAN</v>
      </c>
      <c r="C141" s="9" t="s">
        <v>106</v>
      </c>
      <c r="D141" s="9" t="str">
        <f>VLOOKUP(IntComp24[[#This Row],[DEVELOPMENT]],Data[],52,FALSE)</f>
        <v>FEDERAL</v>
      </c>
      <c r="E141" s="9" t="str">
        <f>VLOOKUP(IntComp24[[#This Row],[DEVELOPMENT]],Data[],8,FALSE)</f>
        <v>Zone 3</v>
      </c>
      <c r="F141" s="9">
        <f>VLOOKUP(IntComp24[[#This Row],[DEVELOPMENT]],all[[DEVELOPMENT]:[MRST Ext. Comp. Priority]],13,FALSE)</f>
        <v>3</v>
      </c>
      <c r="G141" s="9">
        <f>IF(VLOOKUP(IntComp24[[#This Row],[DEVELOPMENT]],Data[],9,FALSE)=0,5,VLOOKUP(IntComp24[[#This Row],[DEVELOPMENT]],Data[],9,FALSE))</f>
        <v>4</v>
      </c>
      <c r="H141" s="9">
        <f>VLOOKUP(IntComp24[[#This Row],[DEVELOPMENT]],Data[],7,FALSE)</f>
        <v>125</v>
      </c>
      <c r="I141" s="9">
        <f>VLOOKUP(IntComp24[[#This Row],[DEVELOPMENT]],Data[],5,FALSE)</f>
        <v>1</v>
      </c>
      <c r="J141" s="9"/>
      <c r="K141" s="9" t="str">
        <f ca="1">IFERROR(VLOOKUP(IntComp24[[#This Row],[DEVELOPMENT]],Data[],4,FALSE),"")</f>
        <v>2020-2021</v>
      </c>
      <c r="L141" s="9" t="str">
        <f ca="1">IF(IntComp24[[#This Row],[RAD/PACT]]="","",IF(OR(IntComp24[[#This Row],[RAD/PACT]]="2022-2025",IntComp24[[#This Row],[RAD/PACT]]=2019,IntComp24[[#This Row],[RAD/PACT]]="2020-2021"),"Yes",""))</f>
        <v>Yes</v>
      </c>
      <c r="M141" s="1">
        <f ca="1">IF(VLOOKUP(IntComp24[[#This Row],[DEVELOPMENT]],Data[],10,FALSE)=0,-1,DATEDIF(VLOOKUP(IntComp24[[#This Row],[DEVELOPMENT]],Data[],12,FALSE),TODAY(),"Y"))</f>
        <v>30</v>
      </c>
      <c r="N14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1" s="1"/>
      <c r="P141" s="1"/>
      <c r="Q141" s="1"/>
      <c r="R141" s="47">
        <f ca="1">(IntComp24[[#This Row],['# to Replace (MRST)]]*INDEX(UnitCosts[#All],MATCH(IntComp24[[#This Row],[WORK TYPE]],UnitCosts[Work Type],0)+1,2))*(1+((IntComp24[[#This Row],[est. Year]]-YEAR(TODAY()))*$R$2))</f>
        <v>0</v>
      </c>
      <c r="S141" s="1">
        <f ca="1">SUM(INDEX(IntComp24['# to Replace (MRST)],1):IntComp24[[#This Row],['# to Replace (MRST)]])</f>
        <v>67</v>
      </c>
      <c r="T141" s="1"/>
      <c r="U141" s="1">
        <f ca="1">IF(ISBLANK(IntComp24[[#This Row],[CALENDAR YEAR]]),ROUNDDOWN(IntComp24[[#This Row],[Count]]/50,0)+$U$1,IntComp24[[#This Row],[CALENDAR YEAR]])</f>
        <v>2023</v>
      </c>
      <c r="V141" s="64">
        <f t="shared" ca="1" si="2"/>
        <v>2579332.4375</v>
      </c>
      <c r="W141" s="5"/>
      <c r="X141"/>
    </row>
    <row r="142" spans="1:24" hidden="1">
      <c r="A142" s="65" t="s">
        <v>145</v>
      </c>
      <c r="B142" s="1" t="str">
        <f>VLOOKUP(A142,Data[],2,FALSE)</f>
        <v>BRONX</v>
      </c>
      <c r="C142" s="9" t="s">
        <v>106</v>
      </c>
      <c r="D142" s="9" t="str">
        <f>VLOOKUP(IntComp24[[#This Row],[DEVELOPMENT]],Data[],52,FALSE)</f>
        <v>FEDERAL</v>
      </c>
      <c r="E142" s="9" t="str">
        <f>VLOOKUP(IntComp24[[#This Row],[DEVELOPMENT]],Data[],8,FALSE)</f>
        <v>Zone 1</v>
      </c>
      <c r="F142" s="9">
        <f>VLOOKUP(IntComp24[[#This Row],[DEVELOPMENT]],all[[DEVELOPMENT]:[MRST Ext. Comp. Priority]],13,FALSE)</f>
        <v>3</v>
      </c>
      <c r="G142" s="9">
        <f>IF(VLOOKUP(IntComp24[[#This Row],[DEVELOPMENT]],Data[],9,FALSE)=0,5,VLOOKUP(IntComp24[[#This Row],[DEVELOPMENT]],Data[],9,FALSE))</f>
        <v>4</v>
      </c>
      <c r="H142" s="9">
        <f>VLOOKUP(IntComp24[[#This Row],[DEVELOPMENT]],Data[],7,FALSE)</f>
        <v>95</v>
      </c>
      <c r="I142" s="9">
        <f>VLOOKUP(IntComp24[[#This Row],[DEVELOPMENT]],Data[],5,FALSE)</f>
        <v>1</v>
      </c>
      <c r="J142" s="9"/>
      <c r="K142" s="9" t="str">
        <f ca="1">IFERROR(VLOOKUP(IntComp24[[#This Row],[DEVELOPMENT]],Data[],4,FALSE),"")</f>
        <v>2022-2025</v>
      </c>
      <c r="L142" s="9" t="str">
        <f ca="1">IF(IntComp24[[#This Row],[RAD/PACT]]="","",IF(OR(IntComp24[[#This Row],[RAD/PACT]]="2022-2025",IntComp24[[#This Row],[RAD/PACT]]=2019,IntComp24[[#This Row],[RAD/PACT]]="2020-2021"),"Yes",""))</f>
        <v>Yes</v>
      </c>
      <c r="M142" s="1">
        <f ca="1">IF(VLOOKUP(IntComp24[[#This Row],[DEVELOPMENT]],Data[],10,FALSE)=0,-1,DATEDIF(VLOOKUP(IntComp24[[#This Row],[DEVELOPMENT]],Data[],12,FALSE),TODAY(),"Y"))</f>
        <v>28</v>
      </c>
      <c r="N142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2" s="1"/>
      <c r="P142" s="1"/>
      <c r="Q142" s="1"/>
      <c r="R142" s="47">
        <f ca="1">(IntComp24[[#This Row],['# to Replace (MRST)]]*INDEX(UnitCosts[#All],MATCH(IntComp24[[#This Row],[WORK TYPE]],UnitCosts[Work Type],0)+1,2))*(1+((IntComp24[[#This Row],[est. Year]]-YEAR(TODAY()))*$R$2))</f>
        <v>0</v>
      </c>
      <c r="S142" s="1">
        <f ca="1">SUM(INDEX(IntComp24['# to Replace (MRST)],1):IntComp24[[#This Row],['# to Replace (MRST)]])</f>
        <v>67</v>
      </c>
      <c r="T142" s="1"/>
      <c r="U142" s="1">
        <f ca="1">IF(ISBLANK(IntComp24[[#This Row],[CALENDAR YEAR]]),ROUNDDOWN(IntComp24[[#This Row],[Count]]/50,0)+$U$1,IntComp24[[#This Row],[CALENDAR YEAR]])</f>
        <v>2023</v>
      </c>
      <c r="V142" s="64">
        <f t="shared" ca="1" si="2"/>
        <v>2579332.4375</v>
      </c>
      <c r="W142" s="5"/>
      <c r="X142"/>
    </row>
    <row r="143" spans="1:24" hidden="1">
      <c r="A143" s="13" t="s">
        <v>80</v>
      </c>
      <c r="B143" s="1" t="str">
        <f>VLOOKUP(A143,Data[],2,FALSE)</f>
        <v>MANHATTAN</v>
      </c>
      <c r="C143" s="9" t="s">
        <v>106</v>
      </c>
      <c r="D143" s="9" t="str">
        <f>VLOOKUP(IntComp24[[#This Row],[DEVELOPMENT]],Data[],52,FALSE)</f>
        <v>FEDERAL</v>
      </c>
      <c r="E143" s="9" t="str">
        <f>VLOOKUP(IntComp24[[#This Row],[DEVELOPMENT]],Data[],8,FALSE)</f>
        <v>Zone 3</v>
      </c>
      <c r="F143" s="9">
        <f>VLOOKUP(IntComp24[[#This Row],[DEVELOPMENT]],all[[DEVELOPMENT]:[MRST Ext. Comp. Priority]],13,FALSE)</f>
        <v>3</v>
      </c>
      <c r="G143" s="9">
        <f>IF(VLOOKUP(IntComp24[[#This Row],[DEVELOPMENT]],Data[],9,FALSE)=0,5,VLOOKUP(IntComp24[[#This Row],[DEVELOPMENT]],Data[],9,FALSE))</f>
        <v>4</v>
      </c>
      <c r="H143" s="9">
        <f>VLOOKUP(IntComp24[[#This Row],[DEVELOPMENT]],Data[],7,FALSE)</f>
        <v>35</v>
      </c>
      <c r="I143" s="9">
        <f>VLOOKUP(IntComp24[[#This Row],[DEVELOPMENT]],Data[],5,FALSE)</f>
        <v>1</v>
      </c>
      <c r="J143" s="9"/>
      <c r="K143" s="9" t="str">
        <f ca="1">IFERROR(VLOOKUP(IntComp24[[#This Row],[DEVELOPMENT]],Data[],4,FALSE),"")</f>
        <v>2020-2021</v>
      </c>
      <c r="L143" s="9" t="str">
        <f ca="1">IF(IntComp24[[#This Row],[RAD/PACT]]="","",IF(OR(IntComp24[[#This Row],[RAD/PACT]]="2022-2025",IntComp24[[#This Row],[RAD/PACT]]=2019,IntComp24[[#This Row],[RAD/PACT]]="2020-2021"),"Yes",""))</f>
        <v>Yes</v>
      </c>
      <c r="M143" s="1">
        <f ca="1">IF(VLOOKUP(IntComp24[[#This Row],[DEVELOPMENT]],Data[],10,FALSE)=0,-1,DATEDIF(VLOOKUP(IntComp24[[#This Row],[DEVELOPMENT]],Data[],12,FALSE),TODAY(),"Y"))</f>
        <v>27</v>
      </c>
      <c r="N143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3" s="1"/>
      <c r="P143" s="1"/>
      <c r="Q143" s="1"/>
      <c r="R143" s="47">
        <f ca="1">(IntComp24[[#This Row],['# to Replace (MRST)]]*INDEX(UnitCosts[#All],MATCH(IntComp24[[#This Row],[WORK TYPE]],UnitCosts[Work Type],0)+1,2))*(1+((IntComp24[[#This Row],[est. Year]]-YEAR(TODAY()))*$R$2))</f>
        <v>0</v>
      </c>
      <c r="S143" s="1">
        <f ca="1">SUM(INDEX(IntComp24['# to Replace (MRST)],1):IntComp24[[#This Row],['# to Replace (MRST)]])</f>
        <v>67</v>
      </c>
      <c r="T143" s="1"/>
      <c r="U143" s="1">
        <f ca="1">IF(ISBLANK(IntComp24[[#This Row],[CALENDAR YEAR]]),ROUNDDOWN(IntComp24[[#This Row],[Count]]/50,0)+$U$1,IntComp24[[#This Row],[CALENDAR YEAR]])</f>
        <v>2023</v>
      </c>
      <c r="V143" s="64">
        <f t="shared" ca="1" si="2"/>
        <v>2579332.4375</v>
      </c>
      <c r="W143" s="5"/>
      <c r="X143"/>
    </row>
    <row r="144" spans="1:24" hidden="1">
      <c r="A144" s="13" t="s">
        <v>74</v>
      </c>
      <c r="B144" s="1" t="str">
        <f>VLOOKUP(A144,Data[],2,FALSE)</f>
        <v>MANHATTAN</v>
      </c>
      <c r="C144" s="9" t="s">
        <v>106</v>
      </c>
      <c r="D144" s="9" t="str">
        <f>VLOOKUP(IntComp24[[#This Row],[DEVELOPMENT]],Data[],52,FALSE)</f>
        <v>FEDERAL</v>
      </c>
      <c r="E144" s="9" t="str">
        <f>VLOOKUP(IntComp24[[#This Row],[DEVELOPMENT]],Data[],8,FALSE)</f>
        <v>Zone 2</v>
      </c>
      <c r="F144" s="9">
        <f>VLOOKUP(IntComp24[[#This Row],[DEVELOPMENT]],all[[DEVELOPMENT]:[MRST Ext. Comp. Priority]],13,FALSE)</f>
        <v>3</v>
      </c>
      <c r="G144" s="9">
        <f>IF(VLOOKUP(IntComp24[[#This Row],[DEVELOPMENT]],Data[],9,FALSE)=0,5,VLOOKUP(IntComp24[[#This Row],[DEVELOPMENT]],Data[],9,FALSE))</f>
        <v>4</v>
      </c>
      <c r="H144" s="9">
        <f>VLOOKUP(IntComp24[[#This Row],[DEVELOPMENT]],Data[],7,FALSE)</f>
        <v>171</v>
      </c>
      <c r="I144" s="9">
        <f>VLOOKUP(IntComp24[[#This Row],[DEVELOPMENT]],Data[],5,FALSE)</f>
        <v>1</v>
      </c>
      <c r="J144" s="9"/>
      <c r="K144" s="9" t="str">
        <f ca="1">IFERROR(VLOOKUP(IntComp24[[#This Row],[DEVELOPMENT]],Data[],4,FALSE),"")</f>
        <v>2026+</v>
      </c>
      <c r="L144" s="9" t="str">
        <f ca="1">IF(IntComp24[[#This Row],[RAD/PACT]]="","",IF(OR(IntComp24[[#This Row],[RAD/PACT]]="2022-2025",IntComp24[[#This Row],[RAD/PACT]]=2019,IntComp24[[#This Row],[RAD/PACT]]="2020-2021"),"Yes",""))</f>
        <v/>
      </c>
      <c r="M144" s="1">
        <f ca="1">IF(VLOOKUP(IntComp24[[#This Row],[DEVELOPMENT]],Data[],10,FALSE)=0,-1,DATEDIF(VLOOKUP(IntComp24[[#This Row],[DEVELOPMENT]],Data[],12,FALSE),TODAY(),"Y"))</f>
        <v>24</v>
      </c>
      <c r="N14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4" s="1"/>
      <c r="P144" s="1"/>
      <c r="Q144" s="1"/>
      <c r="R144" s="47">
        <f ca="1">(IntComp24[[#This Row],['# to Replace (MRST)]]*INDEX(UnitCosts[#All],MATCH(IntComp24[[#This Row],[WORK TYPE]],UnitCosts[Work Type],0)+1,2))*(1+((IntComp24[[#This Row],[est. Year]]-YEAR(TODAY()))*$R$2))</f>
        <v>0</v>
      </c>
      <c r="S144" s="1">
        <f ca="1">SUM(INDEX(IntComp24['# to Replace (MRST)],1):IntComp24[[#This Row],['# to Replace (MRST)]])</f>
        <v>67</v>
      </c>
      <c r="T144" s="1"/>
      <c r="U144" s="1">
        <f ca="1">IF(ISBLANK(IntComp24[[#This Row],[CALENDAR YEAR]]),ROUNDDOWN(IntComp24[[#This Row],[Count]]/50,0)+$U$1,IntComp24[[#This Row],[CALENDAR YEAR]])</f>
        <v>2023</v>
      </c>
      <c r="V144" s="64">
        <f t="shared" ca="1" si="2"/>
        <v>2579332.4375</v>
      </c>
      <c r="W144" s="5"/>
      <c r="X144"/>
    </row>
    <row r="145" spans="1:24" hidden="1">
      <c r="A145" s="65" t="s">
        <v>149</v>
      </c>
      <c r="B145" s="1" t="str">
        <f>VLOOKUP(A145,Data[],2,FALSE)</f>
        <v>BRONX</v>
      </c>
      <c r="C145" s="9" t="s">
        <v>106</v>
      </c>
      <c r="D145" s="9" t="str">
        <f>VLOOKUP(IntComp24[[#This Row],[DEVELOPMENT]],Data[],52,FALSE)</f>
        <v>FEDERAL</v>
      </c>
      <c r="E145" s="9" t="str">
        <f>VLOOKUP(IntComp24[[#This Row],[DEVELOPMENT]],Data[],8,FALSE)</f>
        <v>Zone 1</v>
      </c>
      <c r="F145" s="9">
        <f>VLOOKUP(IntComp24[[#This Row],[DEVELOPMENT]],all[[DEVELOPMENT]:[MRST Ext. Comp. Priority]],13,FALSE)</f>
        <v>3</v>
      </c>
      <c r="G145" s="9">
        <f>IF(VLOOKUP(IntComp24[[#This Row],[DEVELOPMENT]],Data[],9,FALSE)=0,5,VLOOKUP(IntComp24[[#This Row],[DEVELOPMENT]],Data[],9,FALSE))</f>
        <v>4</v>
      </c>
      <c r="H145" s="9">
        <f>VLOOKUP(IntComp24[[#This Row],[DEVELOPMENT]],Data[],7,FALSE)</f>
        <v>90</v>
      </c>
      <c r="I145" s="9">
        <f>VLOOKUP(IntComp24[[#This Row],[DEVELOPMENT]],Data[],5,FALSE)</f>
        <v>1</v>
      </c>
      <c r="J145" s="9"/>
      <c r="K145" s="9" t="str">
        <f ca="1">IFERROR(VLOOKUP(IntComp24[[#This Row],[DEVELOPMENT]],Data[],4,FALSE),"")</f>
        <v>2022-2025</v>
      </c>
      <c r="L145" s="9" t="str">
        <f ca="1">IF(IntComp24[[#This Row],[RAD/PACT]]="","",IF(OR(IntComp24[[#This Row],[RAD/PACT]]="2022-2025",IntComp24[[#This Row],[RAD/PACT]]=2019,IntComp24[[#This Row],[RAD/PACT]]="2020-2021"),"Yes",""))</f>
        <v>Yes</v>
      </c>
      <c r="M145" s="1">
        <f ca="1">IF(VLOOKUP(IntComp24[[#This Row],[DEVELOPMENT]],Data[],10,FALSE)=0,-1,DATEDIF(VLOOKUP(IntComp24[[#This Row],[DEVELOPMENT]],Data[],12,FALSE),TODAY(),"Y"))</f>
        <v>24</v>
      </c>
      <c r="N145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5" s="1"/>
      <c r="P145" s="1"/>
      <c r="Q145" s="1"/>
      <c r="R145" s="47">
        <f ca="1">(IntComp24[[#This Row],['# to Replace (MRST)]]*INDEX(UnitCosts[#All],MATCH(IntComp24[[#This Row],[WORK TYPE]],UnitCosts[Work Type],0)+1,2))*(1+((IntComp24[[#This Row],[est. Year]]-YEAR(TODAY()))*$R$2))</f>
        <v>0</v>
      </c>
      <c r="S145" s="1">
        <f ca="1">SUM(INDEX(IntComp24['# to Replace (MRST)],1):IntComp24[[#This Row],['# to Replace (MRST)]])</f>
        <v>67</v>
      </c>
      <c r="T145" s="1"/>
      <c r="U145" s="1">
        <f ca="1">IF(ISBLANK(IntComp24[[#This Row],[CALENDAR YEAR]]),ROUNDDOWN(IntComp24[[#This Row],[Count]]/50,0)+$U$1,IntComp24[[#This Row],[CALENDAR YEAR]])</f>
        <v>2023</v>
      </c>
      <c r="V145" s="64">
        <f t="shared" ca="1" si="2"/>
        <v>2579332.4375</v>
      </c>
      <c r="W145" s="5"/>
      <c r="X145"/>
    </row>
    <row r="146" spans="1:24" hidden="1">
      <c r="A146" s="65" t="s">
        <v>32</v>
      </c>
      <c r="B146" s="1" t="str">
        <f>VLOOKUP(A146,Data[],2,FALSE)</f>
        <v>BRONX</v>
      </c>
      <c r="C146" s="9" t="s">
        <v>106</v>
      </c>
      <c r="D146" s="9" t="str">
        <f>VLOOKUP(IntComp24[[#This Row],[DEVELOPMENT]],Data[],52,FALSE)</f>
        <v>FEDERAL</v>
      </c>
      <c r="E146" s="9" t="str">
        <f>VLOOKUP(IntComp24[[#This Row],[DEVELOPMENT]],Data[],8,FALSE)</f>
        <v>Zone 1</v>
      </c>
      <c r="F146" s="9">
        <f>VLOOKUP(IntComp24[[#This Row],[DEVELOPMENT]],all[[DEVELOPMENT]:[MRST Ext. Comp. Priority]],13,FALSE)</f>
        <v>3</v>
      </c>
      <c r="G146" s="9">
        <f>IF(VLOOKUP(IntComp24[[#This Row],[DEVELOPMENT]],Data[],9,FALSE)=0,5,VLOOKUP(IntComp24[[#This Row],[DEVELOPMENT]],Data[],9,FALSE))</f>
        <v>4</v>
      </c>
      <c r="H146" s="9">
        <f>VLOOKUP(IntComp24[[#This Row],[DEVELOPMENT]],Data[],7,FALSE)</f>
        <v>107</v>
      </c>
      <c r="I146" s="9">
        <f>VLOOKUP(IntComp24[[#This Row],[DEVELOPMENT]],Data[],5,FALSE)</f>
        <v>5</v>
      </c>
      <c r="J146" s="9"/>
      <c r="K146" s="9" t="str">
        <f ca="1">IFERROR(VLOOKUP(IntComp24[[#This Row],[DEVELOPMENT]],Data[],4,FALSE),"")</f>
        <v>2022-2025</v>
      </c>
      <c r="L146" s="9" t="str">
        <f ca="1">IF(IntComp24[[#This Row],[RAD/PACT]]="","",IF(OR(IntComp24[[#This Row],[RAD/PACT]]="2022-2025",IntComp24[[#This Row],[RAD/PACT]]=2019,IntComp24[[#This Row],[RAD/PACT]]="2020-2021"),"Yes",""))</f>
        <v>Yes</v>
      </c>
      <c r="M146" s="1">
        <f ca="1">IF(VLOOKUP(IntComp24[[#This Row],[DEVELOPMENT]],Data[],10,FALSE)=0,-1,DATEDIF(VLOOKUP(IntComp24[[#This Row],[DEVELOPMENT]],Data[],12,FALSE),TODAY(),"Y"))</f>
        <v>23</v>
      </c>
      <c r="N146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6" s="1"/>
      <c r="P146" s="1"/>
      <c r="Q146" s="1"/>
      <c r="R146" s="47">
        <f ca="1">(IntComp24[[#This Row],['# to Replace (MRST)]]*INDEX(UnitCosts[#All],MATCH(IntComp24[[#This Row],[WORK TYPE]],UnitCosts[Work Type],0)+1,2))*(1+((IntComp24[[#This Row],[est. Year]]-YEAR(TODAY()))*$R$2))</f>
        <v>0</v>
      </c>
      <c r="S146" s="1">
        <f ca="1">SUM(INDEX(IntComp24['# to Replace (MRST)],1):IntComp24[[#This Row],['# to Replace (MRST)]])</f>
        <v>67</v>
      </c>
      <c r="T146" s="1"/>
      <c r="U146" s="1">
        <f ca="1">IF(ISBLANK(IntComp24[[#This Row],[CALENDAR YEAR]]),ROUNDDOWN(IntComp24[[#This Row],[Count]]/50,0)+$U$1,IntComp24[[#This Row],[CALENDAR YEAR]])</f>
        <v>2023</v>
      </c>
      <c r="V146" s="64">
        <f t="shared" ca="1" si="2"/>
        <v>2579332.4375</v>
      </c>
      <c r="W146" s="5"/>
      <c r="X146"/>
    </row>
    <row r="147" spans="1:24" hidden="1">
      <c r="A147" s="13" t="s">
        <v>84</v>
      </c>
      <c r="B147" s="1" t="str">
        <f>VLOOKUP(A147,Data[],2,FALSE)</f>
        <v>BROOKLYN</v>
      </c>
      <c r="C147" s="9" t="s">
        <v>106</v>
      </c>
      <c r="D147" s="9" t="str">
        <f>VLOOKUP(IntComp24[[#This Row],[DEVELOPMENT]],Data[],52,FALSE)</f>
        <v>FEDERAL</v>
      </c>
      <c r="E147" s="9" t="str">
        <f>VLOOKUP(IntComp24[[#This Row],[DEVELOPMENT]],Data[],8,FALSE)</f>
        <v>Zone 3</v>
      </c>
      <c r="F147" s="9">
        <f>VLOOKUP(IntComp24[[#This Row],[DEVELOPMENT]],all[[DEVELOPMENT]:[MRST Ext. Comp. Priority]],13,FALSE)</f>
        <v>3</v>
      </c>
      <c r="G147" s="9">
        <f>IF(VLOOKUP(IntComp24[[#This Row],[DEVELOPMENT]],Data[],9,FALSE)=0,5,VLOOKUP(IntComp24[[#This Row],[DEVELOPMENT]],Data[],9,FALSE))</f>
        <v>4</v>
      </c>
      <c r="H147" s="9">
        <f>VLOOKUP(IntComp24[[#This Row],[DEVELOPMENT]],Data[],7,FALSE)</f>
        <v>1154</v>
      </c>
      <c r="I147" s="9">
        <f>VLOOKUP(IntComp24[[#This Row],[DEVELOPMENT]],Data[],5,FALSE)</f>
        <v>16</v>
      </c>
      <c r="J147" s="9"/>
      <c r="K147" s="9" t="str">
        <f ca="1">IFERROR(VLOOKUP(IntComp24[[#This Row],[DEVELOPMENT]],Data[],4,FALSE),"")</f>
        <v/>
      </c>
      <c r="L147" s="9" t="str">
        <f ca="1">IF(IntComp24[[#This Row],[RAD/PACT]]="","",IF(OR(IntComp24[[#This Row],[RAD/PACT]]="2022-2025",IntComp24[[#This Row],[RAD/PACT]]=2019,IntComp24[[#This Row],[RAD/PACT]]="2020-2021"),"Yes",""))</f>
        <v/>
      </c>
      <c r="M147" s="1">
        <f ca="1">IF(VLOOKUP(IntComp24[[#This Row],[DEVELOPMENT]],Data[],10,FALSE)=0,-1,DATEDIF(VLOOKUP(IntComp24[[#This Row],[DEVELOPMENT]],Data[],12,FALSE),TODAY(),"Y"))</f>
        <v>21</v>
      </c>
      <c r="N147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7" s="1"/>
      <c r="P147" s="1"/>
      <c r="Q147" s="1"/>
      <c r="R147" s="47">
        <f ca="1">(IntComp24[[#This Row],['# to Replace (MRST)]]*INDEX(UnitCosts[#All],MATCH(IntComp24[[#This Row],[WORK TYPE]],UnitCosts[Work Type],0)+1,2))*(1+((IntComp24[[#This Row],[est. Year]]-YEAR(TODAY()))*$R$2))</f>
        <v>0</v>
      </c>
      <c r="S147" s="1">
        <f ca="1">SUM(INDEX(IntComp24['# to Replace (MRST)],1):IntComp24[[#This Row],['# to Replace (MRST)]])</f>
        <v>67</v>
      </c>
      <c r="T147" s="1"/>
      <c r="U147" s="1">
        <f ca="1">IF(ISBLANK(IntComp24[[#This Row],[CALENDAR YEAR]]),ROUNDDOWN(IntComp24[[#This Row],[Count]]/50,0)+$U$1,IntComp24[[#This Row],[CALENDAR YEAR]])</f>
        <v>2023</v>
      </c>
      <c r="V147" s="64">
        <f t="shared" ca="1" si="2"/>
        <v>2579332.4375</v>
      </c>
      <c r="W147" s="5"/>
      <c r="X147"/>
    </row>
    <row r="148" spans="1:24" hidden="1">
      <c r="A148" s="65" t="s">
        <v>103</v>
      </c>
      <c r="B148" s="1" t="str">
        <f>VLOOKUP(A148,Data[],2,FALSE)</f>
        <v>MANHATTAN</v>
      </c>
      <c r="C148" s="9" t="s">
        <v>106</v>
      </c>
      <c r="D148" s="9" t="str">
        <f>VLOOKUP(IntComp24[[#This Row],[DEVELOPMENT]],Data[],52,FALSE)</f>
        <v>FEDERAL</v>
      </c>
      <c r="E148" s="9" t="str">
        <f>VLOOKUP(IntComp24[[#This Row],[DEVELOPMENT]],Data[],8,FALSE)</f>
        <v>Zone 1</v>
      </c>
      <c r="F148" s="9">
        <f>VLOOKUP(IntComp24[[#This Row],[DEVELOPMENT]],all[[DEVELOPMENT]:[MRST Ext. Comp. Priority]],13,FALSE)</f>
        <v>3</v>
      </c>
      <c r="G148" s="9">
        <f>IF(VLOOKUP(IntComp24[[#This Row],[DEVELOPMENT]],Data[],9,FALSE)=0,5,VLOOKUP(IntComp24[[#This Row],[DEVELOPMENT]],Data[],9,FALSE))</f>
        <v>4</v>
      </c>
      <c r="H148" s="9">
        <f>VLOOKUP(IntComp24[[#This Row],[DEVELOPMENT]],Data[],7,FALSE)</f>
        <v>149</v>
      </c>
      <c r="I148" s="9">
        <f>VLOOKUP(IntComp24[[#This Row],[DEVELOPMENT]],Data[],5,FALSE)</f>
        <v>1</v>
      </c>
      <c r="J148" s="9"/>
      <c r="K148" s="9" t="str">
        <f ca="1">IFERROR(VLOOKUP(IntComp24[[#This Row],[DEVELOPMENT]],Data[],4,FALSE),"")</f>
        <v/>
      </c>
      <c r="L148" s="9" t="str">
        <f ca="1">IF(IntComp24[[#This Row],[RAD/PACT]]="","",IF(OR(IntComp24[[#This Row],[RAD/PACT]]="2022-2025",IntComp24[[#This Row],[RAD/PACT]]=2019,IntComp24[[#This Row],[RAD/PACT]]="2020-2021"),"Yes",""))</f>
        <v/>
      </c>
      <c r="M148" s="1">
        <f ca="1">IF(VLOOKUP(IntComp24[[#This Row],[DEVELOPMENT]],Data[],10,FALSE)=0,-1,DATEDIF(VLOOKUP(IntComp24[[#This Row],[DEVELOPMENT]],Data[],12,FALSE),TODAY(),"Y"))</f>
        <v>21</v>
      </c>
      <c r="N148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8" s="1"/>
      <c r="P148" s="1"/>
      <c r="Q148" s="1"/>
      <c r="R148" s="47">
        <f ca="1">(IntComp24[[#This Row],['# to Replace (MRST)]]*INDEX(UnitCosts[#All],MATCH(IntComp24[[#This Row],[WORK TYPE]],UnitCosts[Work Type],0)+1,2))*(1+((IntComp24[[#This Row],[est. Year]]-YEAR(TODAY()))*$R$2))</f>
        <v>0</v>
      </c>
      <c r="S148" s="1">
        <f ca="1">SUM(INDEX(IntComp24['# to Replace (MRST)],1):IntComp24[[#This Row],['# to Replace (MRST)]])</f>
        <v>67</v>
      </c>
      <c r="T148" s="1"/>
      <c r="U148" s="1">
        <f ca="1">IF(ISBLANK(IntComp24[[#This Row],[CALENDAR YEAR]]),ROUNDDOWN(IntComp24[[#This Row],[Count]]/50,0)+$U$1,IntComp24[[#This Row],[CALENDAR YEAR]])</f>
        <v>2023</v>
      </c>
      <c r="V148" s="64">
        <f t="shared" ca="1" si="2"/>
        <v>2579332.4375</v>
      </c>
      <c r="W148" s="5"/>
      <c r="X148"/>
    </row>
    <row r="149" spans="1:24" hidden="1">
      <c r="A149" s="65" t="s">
        <v>148</v>
      </c>
      <c r="B149" s="1" t="str">
        <f>VLOOKUP(A149,Data[],2,FALSE)</f>
        <v>BROOKLYN</v>
      </c>
      <c r="C149" s="9" t="s">
        <v>106</v>
      </c>
      <c r="D149" s="9" t="str">
        <f>VLOOKUP(IntComp24[[#This Row],[DEVELOPMENT]],Data[],52,FALSE)</f>
        <v>FEDERAL</v>
      </c>
      <c r="E149" s="9" t="str">
        <f>VLOOKUP(IntComp24[[#This Row],[DEVELOPMENT]],Data[],8,FALSE)</f>
        <v>Zone 1</v>
      </c>
      <c r="F149" s="9">
        <f>VLOOKUP(IntComp24[[#This Row],[DEVELOPMENT]],all[[DEVELOPMENT]:[MRST Ext. Comp. Priority]],13,FALSE)</f>
        <v>3</v>
      </c>
      <c r="G149" s="9">
        <f>IF(VLOOKUP(IntComp24[[#This Row],[DEVELOPMENT]],Data[],9,FALSE)=0,5,VLOOKUP(IntComp24[[#This Row],[DEVELOPMENT]],Data[],9,FALSE))</f>
        <v>4</v>
      </c>
      <c r="H149" s="9">
        <f>VLOOKUP(IntComp24[[#This Row],[DEVELOPMENT]],Data[],7,FALSE)</f>
        <v>342</v>
      </c>
      <c r="I149" s="9">
        <f>VLOOKUP(IntComp24[[#This Row],[DEVELOPMENT]],Data[],5,FALSE)</f>
        <v>3</v>
      </c>
      <c r="J149" s="9"/>
      <c r="K149" s="9" t="str">
        <f ca="1">IFERROR(VLOOKUP(IntComp24[[#This Row],[DEVELOPMENT]],Data[],4,FALSE),"")</f>
        <v/>
      </c>
      <c r="L149" s="9" t="str">
        <f ca="1">IF(IntComp24[[#This Row],[RAD/PACT]]="","",IF(OR(IntComp24[[#This Row],[RAD/PACT]]="2022-2025",IntComp24[[#This Row],[RAD/PACT]]=2019,IntComp24[[#This Row],[RAD/PACT]]="2020-2021"),"Yes",""))</f>
        <v/>
      </c>
      <c r="M149" s="1">
        <f ca="1">IF(VLOOKUP(IntComp24[[#This Row],[DEVELOPMENT]],Data[],10,FALSE)=0,-1,DATEDIF(VLOOKUP(IntComp24[[#This Row],[DEVELOPMENT]],Data[],12,FALSE),TODAY(),"Y"))</f>
        <v>21</v>
      </c>
      <c r="N14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49" s="1"/>
      <c r="P149" s="1"/>
      <c r="Q149" s="1"/>
      <c r="R149" s="47">
        <f ca="1">(IntComp24[[#This Row],['# to Replace (MRST)]]*INDEX(UnitCosts[#All],MATCH(IntComp24[[#This Row],[WORK TYPE]],UnitCosts[Work Type],0)+1,2))*(1+((IntComp24[[#This Row],[est. Year]]-YEAR(TODAY()))*$R$2))</f>
        <v>0</v>
      </c>
      <c r="S149" s="1">
        <f ca="1">SUM(INDEX(IntComp24['# to Replace (MRST)],1):IntComp24[[#This Row],['# to Replace (MRST)]])</f>
        <v>67</v>
      </c>
      <c r="T149" s="1"/>
      <c r="U149" s="1">
        <f ca="1">IF(ISBLANK(IntComp24[[#This Row],[CALENDAR YEAR]]),ROUNDDOWN(IntComp24[[#This Row],[Count]]/50,0)+$U$1,IntComp24[[#This Row],[CALENDAR YEAR]])</f>
        <v>2023</v>
      </c>
      <c r="V149" s="64">
        <f t="shared" ca="1" si="2"/>
        <v>2579332.4375</v>
      </c>
      <c r="W149" s="5"/>
      <c r="X149"/>
    </row>
    <row r="150" spans="1:24" hidden="1">
      <c r="A150" s="13" t="s">
        <v>127</v>
      </c>
      <c r="B150" s="1" t="str">
        <f>VLOOKUP(A150,Data[],2,FALSE)</f>
        <v>MANHATTAN</v>
      </c>
      <c r="C150" s="9" t="s">
        <v>106</v>
      </c>
      <c r="D150" s="9" t="str">
        <f>VLOOKUP(IntComp24[[#This Row],[DEVELOPMENT]],Data[],52,FALSE)</f>
        <v>FEDERAL</v>
      </c>
      <c r="E150" s="9" t="str">
        <f>VLOOKUP(IntComp24[[#This Row],[DEVELOPMENT]],Data[],8,FALSE)</f>
        <v>Zone 2</v>
      </c>
      <c r="F150" s="9">
        <f>VLOOKUP(IntComp24[[#This Row],[DEVELOPMENT]],all[[DEVELOPMENT]:[MRST Ext. Comp. Priority]],13,FALSE)</f>
        <v>3</v>
      </c>
      <c r="G150" s="9">
        <f>IF(VLOOKUP(IntComp24[[#This Row],[DEVELOPMENT]],Data[],9,FALSE)=0,5,VLOOKUP(IntComp24[[#This Row],[DEVELOPMENT]],Data[],9,FALSE))</f>
        <v>4</v>
      </c>
      <c r="H150" s="9">
        <f>VLOOKUP(IntComp24[[#This Row],[DEVELOPMENT]],Data[],7,FALSE)</f>
        <v>2151</v>
      </c>
      <c r="I150" s="9">
        <f>VLOOKUP(IntComp24[[#This Row],[DEVELOPMENT]],Data[],5,FALSE)</f>
        <v>22</v>
      </c>
      <c r="J150" s="9"/>
      <c r="K150" s="9" t="str">
        <f ca="1">IFERROR(VLOOKUP(IntComp24[[#This Row],[DEVELOPMENT]],Data[],4,FALSE),"")</f>
        <v>2026+</v>
      </c>
      <c r="L150" s="9" t="str">
        <f ca="1">IF(IntComp24[[#This Row],[RAD/PACT]]="","",IF(OR(IntComp24[[#This Row],[RAD/PACT]]="2022-2025",IntComp24[[#This Row],[RAD/PACT]]=2019,IntComp24[[#This Row],[RAD/PACT]]="2020-2021"),"Yes",""))</f>
        <v/>
      </c>
      <c r="M150" s="1">
        <f ca="1">IF(VLOOKUP(IntComp24[[#This Row],[DEVELOPMENT]],Data[],10,FALSE)=0,-1,DATEDIF(VLOOKUP(IntComp24[[#This Row],[DEVELOPMENT]],Data[],12,FALSE),TODAY(),"Y"))</f>
        <v>21</v>
      </c>
      <c r="N15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0" s="1"/>
      <c r="P150" s="1"/>
      <c r="Q150" s="1"/>
      <c r="R150" s="47">
        <f ca="1">(IntComp24[[#This Row],['# to Replace (MRST)]]*INDEX(UnitCosts[#All],MATCH(IntComp24[[#This Row],[WORK TYPE]],UnitCosts[Work Type],0)+1,2))*(1+((IntComp24[[#This Row],[est. Year]]-YEAR(TODAY()))*$R$2))</f>
        <v>0</v>
      </c>
      <c r="S150" s="1">
        <f ca="1">SUM(INDEX(IntComp24['# to Replace (MRST)],1):IntComp24[[#This Row],['# to Replace (MRST)]])</f>
        <v>67</v>
      </c>
      <c r="T150" s="1"/>
      <c r="U150" s="1">
        <f ca="1">IF(ISBLANK(IntComp24[[#This Row],[CALENDAR YEAR]]),ROUNDDOWN(IntComp24[[#This Row],[Count]]/50,0)+$U$1,IntComp24[[#This Row],[CALENDAR YEAR]])</f>
        <v>2023</v>
      </c>
      <c r="V150" s="64">
        <f t="shared" ca="1" si="2"/>
        <v>2579332.4375</v>
      </c>
      <c r="W150" s="5"/>
      <c r="X150"/>
    </row>
    <row r="151" spans="1:24" hidden="1">
      <c r="A151" s="65" t="s">
        <v>59</v>
      </c>
      <c r="B151" s="1" t="str">
        <f>VLOOKUP(A151,Data[],2,FALSE)</f>
        <v>MANHATTAN</v>
      </c>
      <c r="C151" s="9" t="s">
        <v>106</v>
      </c>
      <c r="D151" s="9" t="str">
        <f>VLOOKUP(IntComp24[[#This Row],[DEVELOPMENT]],Data[],52,FALSE)</f>
        <v>FEDERAL</v>
      </c>
      <c r="E151" s="9" t="str">
        <f>VLOOKUP(IntComp24[[#This Row],[DEVELOPMENT]],Data[],8,FALSE)</f>
        <v>Zone 1</v>
      </c>
      <c r="F151" s="9">
        <f>VLOOKUP(IntComp24[[#This Row],[DEVELOPMENT]],all[[DEVELOPMENT]:[MRST Ext. Comp. Priority]],13,FALSE)</f>
        <v>3</v>
      </c>
      <c r="G151" s="9">
        <f>IF(VLOOKUP(IntComp24[[#This Row],[DEVELOPMENT]],Data[],9,FALSE)=0,5,VLOOKUP(IntComp24[[#This Row],[DEVELOPMENT]],Data[],9,FALSE))</f>
        <v>4</v>
      </c>
      <c r="H151" s="9">
        <f>VLOOKUP(IntComp24[[#This Row],[DEVELOPMENT]],Data[],7,FALSE)</f>
        <v>108</v>
      </c>
      <c r="I151" s="9">
        <f>VLOOKUP(IntComp24[[#This Row],[DEVELOPMENT]],Data[],5,FALSE)</f>
        <v>1</v>
      </c>
      <c r="J151" s="9"/>
      <c r="K151" s="9" t="str">
        <f ca="1">IFERROR(VLOOKUP(IntComp24[[#This Row],[DEVELOPMENT]],Data[],4,FALSE),"")</f>
        <v>2026+</v>
      </c>
      <c r="L151" s="9" t="str">
        <f ca="1">IF(IntComp24[[#This Row],[RAD/PACT]]="","",IF(OR(IntComp24[[#This Row],[RAD/PACT]]="2022-2025",IntComp24[[#This Row],[RAD/PACT]]=2019,IntComp24[[#This Row],[RAD/PACT]]="2020-2021"),"Yes",""))</f>
        <v/>
      </c>
      <c r="M151" s="1">
        <f ca="1">IF(VLOOKUP(IntComp24[[#This Row],[DEVELOPMENT]],Data[],10,FALSE)=0,-1,DATEDIF(VLOOKUP(IntComp24[[#This Row],[DEVELOPMENT]],Data[],12,FALSE),TODAY(),"Y"))</f>
        <v>21</v>
      </c>
      <c r="N15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1" s="1"/>
      <c r="P151" s="1"/>
      <c r="Q151" s="1"/>
      <c r="R151" s="47">
        <f ca="1">(IntComp24[[#This Row],['# to Replace (MRST)]]*INDEX(UnitCosts[#All],MATCH(IntComp24[[#This Row],[WORK TYPE]],UnitCosts[Work Type],0)+1,2))*(1+((IntComp24[[#This Row],[est. Year]]-YEAR(TODAY()))*$R$2))</f>
        <v>0</v>
      </c>
      <c r="S151" s="1">
        <f ca="1">SUM(INDEX(IntComp24['# to Replace (MRST)],1):IntComp24[[#This Row],['# to Replace (MRST)]])</f>
        <v>67</v>
      </c>
      <c r="T151" s="1"/>
      <c r="U151" s="1">
        <f ca="1">IF(ISBLANK(IntComp24[[#This Row],[CALENDAR YEAR]]),ROUNDDOWN(IntComp24[[#This Row],[Count]]/50,0)+$U$1,IntComp24[[#This Row],[CALENDAR YEAR]])</f>
        <v>2023</v>
      </c>
      <c r="V151" s="64">
        <f t="shared" ca="1" si="2"/>
        <v>2579332.4375</v>
      </c>
      <c r="W151" s="5"/>
      <c r="X151"/>
    </row>
    <row r="152" spans="1:24" hidden="1">
      <c r="A152" s="65" t="s">
        <v>61</v>
      </c>
      <c r="B152" s="1" t="str">
        <f>VLOOKUP(A152,Data[],2,FALSE)</f>
        <v>MANHATTAN</v>
      </c>
      <c r="C152" s="9" t="s">
        <v>106</v>
      </c>
      <c r="D152" s="9" t="str">
        <f>VLOOKUP(IntComp24[[#This Row],[DEVELOPMENT]],Data[],52,FALSE)</f>
        <v>FEDERAL</v>
      </c>
      <c r="E152" s="9" t="str">
        <f>VLOOKUP(IntComp24[[#This Row],[DEVELOPMENT]],Data[],8,FALSE)</f>
        <v>Zone 1</v>
      </c>
      <c r="F152" s="9">
        <f>VLOOKUP(IntComp24[[#This Row],[DEVELOPMENT]],all[[DEVELOPMENT]:[MRST Ext. Comp. Priority]],13,FALSE)</f>
        <v>3</v>
      </c>
      <c r="G152" s="9">
        <f>IF(VLOOKUP(IntComp24[[#This Row],[DEVELOPMENT]],Data[],9,FALSE)=0,5,VLOOKUP(IntComp24[[#This Row],[DEVELOPMENT]],Data[],9,FALSE))</f>
        <v>4</v>
      </c>
      <c r="H152" s="9">
        <f>VLOOKUP(IntComp24[[#This Row],[DEVELOPMENT]],Data[],7,FALSE)</f>
        <v>472</v>
      </c>
      <c r="I152" s="9">
        <f>VLOOKUP(IntComp24[[#This Row],[DEVELOPMENT]],Data[],5,FALSE)</f>
        <v>2</v>
      </c>
      <c r="J152" s="9"/>
      <c r="K152" s="9" t="str">
        <f ca="1">IFERROR(VLOOKUP(IntComp24[[#This Row],[DEVELOPMENT]],Data[],4,FALSE),"")</f>
        <v/>
      </c>
      <c r="L152" s="9" t="str">
        <f ca="1">IF(IntComp24[[#This Row],[RAD/PACT]]="","",IF(OR(IntComp24[[#This Row],[RAD/PACT]]="2022-2025",IntComp24[[#This Row],[RAD/PACT]]=2019,IntComp24[[#This Row],[RAD/PACT]]="2020-2021"),"Yes",""))</f>
        <v/>
      </c>
      <c r="M152" s="1">
        <f ca="1">IF(VLOOKUP(IntComp24[[#This Row],[DEVELOPMENT]],Data[],10,FALSE)=0,-1,DATEDIF(VLOOKUP(IntComp24[[#This Row],[DEVELOPMENT]],Data[],12,FALSE),TODAY(),"Y"))</f>
        <v>18</v>
      </c>
      <c r="N152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2" s="1"/>
      <c r="P152" s="1"/>
      <c r="Q152" s="1"/>
      <c r="R152" s="47">
        <f ca="1">(IntComp24[[#This Row],['# to Replace (MRST)]]*INDEX(UnitCosts[#All],MATCH(IntComp24[[#This Row],[WORK TYPE]],UnitCosts[Work Type],0)+1,2))*(1+((IntComp24[[#This Row],[est. Year]]-YEAR(TODAY()))*$R$2))</f>
        <v>0</v>
      </c>
      <c r="S152" s="1">
        <f ca="1">SUM(INDEX(IntComp24['# to Replace (MRST)],1):IntComp24[[#This Row],['# to Replace (MRST)]])</f>
        <v>67</v>
      </c>
      <c r="T152" s="1"/>
      <c r="U152" s="1">
        <f ca="1">IF(ISBLANK(IntComp24[[#This Row],[CALENDAR YEAR]]),ROUNDDOWN(IntComp24[[#This Row],[Count]]/50,0)+$U$1,IntComp24[[#This Row],[CALENDAR YEAR]])</f>
        <v>2023</v>
      </c>
      <c r="V152" s="64">
        <f t="shared" ca="1" si="2"/>
        <v>2579332.4375</v>
      </c>
      <c r="W152" s="5"/>
      <c r="X152"/>
    </row>
    <row r="153" spans="1:24" hidden="1">
      <c r="A153" s="13" t="s">
        <v>134</v>
      </c>
      <c r="B153" s="1" t="str">
        <f>VLOOKUP(A153,Data[],2,FALSE)</f>
        <v>QUEENS</v>
      </c>
      <c r="C153" s="9" t="s">
        <v>106</v>
      </c>
      <c r="D153" s="9" t="str">
        <f>VLOOKUP(IntComp24[[#This Row],[DEVELOPMENT]],Data[],52,FALSE)</f>
        <v>FEDERAL</v>
      </c>
      <c r="E153" s="9" t="str">
        <f>VLOOKUP(IntComp24[[#This Row],[DEVELOPMENT]],Data[],8,FALSE)</f>
        <v>Zone 3</v>
      </c>
      <c r="F153" s="9">
        <f>VLOOKUP(IntComp24[[#This Row],[DEVELOPMENT]],all[[DEVELOPMENT]:[MRST Ext. Comp. Priority]],13,FALSE)</f>
        <v>3</v>
      </c>
      <c r="G153" s="9">
        <f>IF(VLOOKUP(IntComp24[[#This Row],[DEVELOPMENT]],Data[],9,FALSE)=0,5,VLOOKUP(IntComp24[[#This Row],[DEVELOPMENT]],Data[],9,FALSE))</f>
        <v>4</v>
      </c>
      <c r="H153" s="9">
        <f>VLOOKUP(IntComp24[[#This Row],[DEVELOPMENT]],Data[],7,FALSE)</f>
        <v>1542</v>
      </c>
      <c r="I153" s="9">
        <f>VLOOKUP(IntComp24[[#This Row],[DEVELOPMENT]],Data[],5,FALSE)</f>
        <v>13</v>
      </c>
      <c r="J153" s="9"/>
      <c r="K153" s="9" t="str">
        <f ca="1">IFERROR(VLOOKUP(IntComp24[[#This Row],[DEVELOPMENT]],Data[],4,FALSE),"")</f>
        <v>2026+</v>
      </c>
      <c r="L153" s="9" t="str">
        <f ca="1">IF(IntComp24[[#This Row],[RAD/PACT]]="","",IF(OR(IntComp24[[#This Row],[RAD/PACT]]="2022-2025",IntComp24[[#This Row],[RAD/PACT]]=2019,IntComp24[[#This Row],[RAD/PACT]]="2020-2021"),"Yes",""))</f>
        <v/>
      </c>
      <c r="M153" s="1">
        <f ca="1">IF(VLOOKUP(IntComp24[[#This Row],[DEVELOPMENT]],Data[],10,FALSE)=0,-1,DATEDIF(VLOOKUP(IntComp24[[#This Row],[DEVELOPMENT]],Data[],12,FALSE),TODAY(),"Y"))</f>
        <v>17</v>
      </c>
      <c r="N153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3" s="1"/>
      <c r="P153" s="1"/>
      <c r="Q153" s="1"/>
      <c r="R153" s="47">
        <f ca="1">(IntComp24[[#This Row],['# to Replace (MRST)]]*INDEX(UnitCosts[#All],MATCH(IntComp24[[#This Row],[WORK TYPE]],UnitCosts[Work Type],0)+1,2))*(1+((IntComp24[[#This Row],[est. Year]]-YEAR(TODAY()))*$R$2))</f>
        <v>0</v>
      </c>
      <c r="S153" s="1">
        <f ca="1">SUM(INDEX(IntComp24['# to Replace (MRST)],1):IntComp24[[#This Row],['# to Replace (MRST)]])</f>
        <v>67</v>
      </c>
      <c r="T153" s="1"/>
      <c r="U153" s="1">
        <f ca="1">IF(ISBLANK(IntComp24[[#This Row],[CALENDAR YEAR]]),ROUNDDOWN(IntComp24[[#This Row],[Count]]/50,0)+$U$1,IntComp24[[#This Row],[CALENDAR YEAR]])</f>
        <v>2023</v>
      </c>
      <c r="V153" s="64">
        <f t="shared" ca="1" si="2"/>
        <v>2579332.4375</v>
      </c>
      <c r="W153" s="5"/>
      <c r="X153"/>
    </row>
    <row r="154" spans="1:24" hidden="1">
      <c r="A154" s="13" t="s">
        <v>135</v>
      </c>
      <c r="B154" s="1" t="str">
        <f>VLOOKUP(A154,Data[],2,FALSE)</f>
        <v>QUEENS</v>
      </c>
      <c r="C154" s="9" t="s">
        <v>106</v>
      </c>
      <c r="D154" s="9" t="str">
        <f>VLOOKUP(IntComp24[[#This Row],[DEVELOPMENT]],Data[],52,FALSE)</f>
        <v>FEDERAL</v>
      </c>
      <c r="E154" s="9" t="str">
        <f>VLOOKUP(IntComp24[[#This Row],[DEVELOPMENT]],Data[],8,FALSE)</f>
        <v>Zone 3</v>
      </c>
      <c r="F154" s="9">
        <f>VLOOKUP(IntComp24[[#This Row],[DEVELOPMENT]],all[[DEVELOPMENT]:[MRST Ext. Comp. Priority]],13,FALSE)</f>
        <v>3</v>
      </c>
      <c r="G154" s="9">
        <f>IF(VLOOKUP(IntComp24[[#This Row],[DEVELOPMENT]],Data[],9,FALSE)=0,5,VLOOKUP(IntComp24[[#This Row],[DEVELOPMENT]],Data[],9,FALSE))</f>
        <v>4</v>
      </c>
      <c r="H154" s="9">
        <f>VLOOKUP(IntComp24[[#This Row],[DEVELOPMENT]],Data[],7,FALSE)</f>
        <v>1603</v>
      </c>
      <c r="I154" s="9">
        <f>VLOOKUP(IntComp24[[#This Row],[DEVELOPMENT]],Data[],5,FALSE)</f>
        <v>13</v>
      </c>
      <c r="J154" s="9"/>
      <c r="K154" s="9" t="str">
        <f ca="1">IFERROR(VLOOKUP(IntComp24[[#This Row],[DEVELOPMENT]],Data[],4,FALSE),"")</f>
        <v>2026+</v>
      </c>
      <c r="L154" s="9" t="str">
        <f ca="1">IF(IntComp24[[#This Row],[RAD/PACT]]="","",IF(OR(IntComp24[[#This Row],[RAD/PACT]]="2022-2025",IntComp24[[#This Row],[RAD/PACT]]=2019,IntComp24[[#This Row],[RAD/PACT]]="2020-2021"),"Yes",""))</f>
        <v/>
      </c>
      <c r="M154" s="1">
        <f ca="1">IF(VLOOKUP(IntComp24[[#This Row],[DEVELOPMENT]],Data[],10,FALSE)=0,-1,DATEDIF(VLOOKUP(IntComp24[[#This Row],[DEVELOPMENT]],Data[],12,FALSE),TODAY(),"Y"))</f>
        <v>17</v>
      </c>
      <c r="N15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4" s="1"/>
      <c r="P154" s="1"/>
      <c r="Q154" s="1"/>
      <c r="R154" s="47">
        <f ca="1">(IntComp24[[#This Row],['# to Replace (MRST)]]*INDEX(UnitCosts[#All],MATCH(IntComp24[[#This Row],[WORK TYPE]],UnitCosts[Work Type],0)+1,2))*(1+((IntComp24[[#This Row],[est. Year]]-YEAR(TODAY()))*$R$2))</f>
        <v>0</v>
      </c>
      <c r="S154" s="1">
        <f ca="1">SUM(INDEX(IntComp24['# to Replace (MRST)],1):IntComp24[[#This Row],['# to Replace (MRST)]])</f>
        <v>67</v>
      </c>
      <c r="T154" s="1"/>
      <c r="U154" s="1">
        <f ca="1">IF(ISBLANK(IntComp24[[#This Row],[CALENDAR YEAR]]),ROUNDDOWN(IntComp24[[#This Row],[Count]]/50,0)+$U$1,IntComp24[[#This Row],[CALENDAR YEAR]])</f>
        <v>2023</v>
      </c>
      <c r="V154" s="64">
        <f t="shared" ca="1" si="2"/>
        <v>2579332.4375</v>
      </c>
      <c r="W154" s="5"/>
      <c r="X154"/>
    </row>
    <row r="155" spans="1:24" hidden="1">
      <c r="A155" s="65" t="s">
        <v>46</v>
      </c>
      <c r="B155" s="1" t="str">
        <f>VLOOKUP(A155,Data[],2,FALSE)</f>
        <v>BROOKLYN</v>
      </c>
      <c r="C155" s="9" t="s">
        <v>106</v>
      </c>
      <c r="D155" s="9" t="str">
        <f>VLOOKUP(IntComp24[[#This Row],[DEVELOPMENT]],Data[],52,FALSE)</f>
        <v>FEDERAL</v>
      </c>
      <c r="E155" s="9" t="str">
        <f>VLOOKUP(IntComp24[[#This Row],[DEVELOPMENT]],Data[],8,FALSE)</f>
        <v>Zone 1</v>
      </c>
      <c r="F155" s="9">
        <f>VLOOKUP(IntComp24[[#This Row],[DEVELOPMENT]],all[[DEVELOPMENT]:[MRST Ext. Comp. Priority]],13,FALSE)</f>
        <v>3</v>
      </c>
      <c r="G155" s="9">
        <f>IF(VLOOKUP(IntComp24[[#This Row],[DEVELOPMENT]],Data[],9,FALSE)=0,5,VLOOKUP(IntComp24[[#This Row],[DEVELOPMENT]],Data[],9,FALSE))</f>
        <v>4</v>
      </c>
      <c r="H155" s="9">
        <f>VLOOKUP(IntComp24[[#This Row],[DEVELOPMENT]],Data[],7,FALSE)</f>
        <v>1045</v>
      </c>
      <c r="I155" s="9">
        <f>VLOOKUP(IntComp24[[#This Row],[DEVELOPMENT]],Data[],5,FALSE)</f>
        <v>8</v>
      </c>
      <c r="J155" s="9"/>
      <c r="K155" s="9" t="str">
        <f ca="1">IFERROR(VLOOKUP(IntComp24[[#This Row],[DEVELOPMENT]],Data[],4,FALSE),"")</f>
        <v>2026+</v>
      </c>
      <c r="L155" s="9" t="str">
        <f ca="1">IF(IntComp24[[#This Row],[RAD/PACT]]="","",IF(OR(IntComp24[[#This Row],[RAD/PACT]]="2022-2025",IntComp24[[#This Row],[RAD/PACT]]=2019,IntComp24[[#This Row],[RAD/PACT]]="2020-2021"),"Yes",""))</f>
        <v/>
      </c>
      <c r="M155" s="1">
        <f ca="1">IF(VLOOKUP(IntComp24[[#This Row],[DEVELOPMENT]],Data[],10,FALSE)=0,-1,DATEDIF(VLOOKUP(IntComp24[[#This Row],[DEVELOPMENT]],Data[],12,FALSE),TODAY(),"Y"))</f>
        <v>17</v>
      </c>
      <c r="N155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5" s="1"/>
      <c r="P155" s="1"/>
      <c r="Q155" s="1"/>
      <c r="R155" s="47">
        <f ca="1">(IntComp24[[#This Row],['# to Replace (MRST)]]*INDEX(UnitCosts[#All],MATCH(IntComp24[[#This Row],[WORK TYPE]],UnitCosts[Work Type],0)+1,2))*(1+((IntComp24[[#This Row],[est. Year]]-YEAR(TODAY()))*$R$2))</f>
        <v>0</v>
      </c>
      <c r="S155" s="1">
        <f ca="1">SUM(INDEX(IntComp24['# to Replace (MRST)],1):IntComp24[[#This Row],['# to Replace (MRST)]])</f>
        <v>67</v>
      </c>
      <c r="T155" s="1"/>
      <c r="U155" s="1">
        <f ca="1">IF(ISBLANK(IntComp24[[#This Row],[CALENDAR YEAR]]),ROUNDDOWN(IntComp24[[#This Row],[Count]]/50,0)+$U$1,IntComp24[[#This Row],[CALENDAR YEAR]])</f>
        <v>2023</v>
      </c>
      <c r="V155" s="64">
        <f t="shared" ca="1" si="2"/>
        <v>2579332.4375</v>
      </c>
      <c r="W155" s="5"/>
      <c r="X155"/>
    </row>
    <row r="156" spans="1:24" hidden="1">
      <c r="A156" s="13" t="s">
        <v>230</v>
      </c>
      <c r="B156" s="1" t="str">
        <f>VLOOKUP(A156,Data[],2,FALSE)</f>
        <v>BROOKLYN</v>
      </c>
      <c r="C156" s="9" t="s">
        <v>106</v>
      </c>
      <c r="D156" s="9" t="str">
        <f>VLOOKUP(IntComp24[[#This Row],[DEVELOPMENT]],Data[],52,FALSE)</f>
        <v>FEDERAL</v>
      </c>
      <c r="E156" s="50" t="str">
        <f>VLOOKUP(IntComp24[[#This Row],[DEVELOPMENT]],Data[],8,FALSE)</f>
        <v>Zone 1</v>
      </c>
      <c r="F156" s="50">
        <f>VLOOKUP(IntComp24[[#This Row],[DEVELOPMENT]],all[[DEVELOPMENT]:[MRST Ext. Comp. Priority]],13,FALSE)</f>
        <v>3</v>
      </c>
      <c r="G156" s="9">
        <f>IF(VLOOKUP(IntComp24[[#This Row],[DEVELOPMENT]],Data[],9,FALSE)=0,5,VLOOKUP(IntComp24[[#This Row],[DEVELOPMENT]],Data[],9,FALSE))</f>
        <v>4</v>
      </c>
      <c r="H156" s="50">
        <f>VLOOKUP(IntComp24[[#This Row],[DEVELOPMENT]],Data[],7,FALSE)</f>
        <v>248</v>
      </c>
      <c r="I156" s="50">
        <f>VLOOKUP(IntComp24[[#This Row],[DEVELOPMENT]],Data[],5,FALSE)</f>
        <v>5</v>
      </c>
      <c r="J156" s="9"/>
      <c r="K156" s="50">
        <f ca="1">IFERROR(VLOOKUP(IntComp24[[#This Row],[DEVELOPMENT]],Data[],4,FALSE),"")</f>
        <v>2019</v>
      </c>
      <c r="L156" s="50" t="str">
        <f ca="1">IF(IntComp24[[#This Row],[RAD/PACT]]="","",IF(OR(IntComp24[[#This Row],[RAD/PACT]]="2022-2025",IntComp24[[#This Row],[RAD/PACT]]=2019,IntComp24[[#This Row],[RAD/PACT]]="2020-2021"),"Yes",""))</f>
        <v>Yes</v>
      </c>
      <c r="M156" s="51">
        <f ca="1">IF(VLOOKUP(IntComp24[[#This Row],[DEVELOPMENT]],Data[],10,FALSE)=0,-1,DATEDIF(VLOOKUP(IntComp24[[#This Row],[DEVELOPMENT]],Data[],12,FALSE),TODAY(),"Y"))</f>
        <v>16</v>
      </c>
      <c r="N15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6" s="51"/>
      <c r="P156" s="51"/>
      <c r="Q156" s="51"/>
      <c r="R156" s="47">
        <f ca="1">(IntComp24[[#This Row],['# to Replace (MRST)]]*INDEX(UnitCosts[#All],MATCH(IntComp24[[#This Row],[WORK TYPE]],UnitCosts[Work Type],0)+1,2))*(1+((IntComp24[[#This Row],[est. Year]]-YEAR(TODAY()))*$R$2))</f>
        <v>0</v>
      </c>
      <c r="S156" s="1">
        <f ca="1">SUM(INDEX(IntComp24['# to Replace (MRST)],1):IntComp24[[#This Row],['# to Replace (MRST)]])</f>
        <v>67</v>
      </c>
      <c r="T156" s="51"/>
      <c r="U156" s="51">
        <f ca="1">IF(ISBLANK(IntComp24[[#This Row],[CALENDAR YEAR]]),ROUNDDOWN(IntComp24[[#This Row],[Count]]/50,0)+$U$1,IntComp24[[#This Row],[CALENDAR YEAR]])</f>
        <v>2023</v>
      </c>
      <c r="V156" s="64">
        <f t="shared" ca="1" si="2"/>
        <v>2579332.4375</v>
      </c>
      <c r="W156" s="5"/>
      <c r="X156"/>
    </row>
    <row r="157" spans="1:24" hidden="1">
      <c r="A157" s="13" t="s">
        <v>116</v>
      </c>
      <c r="B157" s="1" t="str">
        <f>VLOOKUP(A157,Data[],2,FALSE)</f>
        <v>MANHATTAN</v>
      </c>
      <c r="C157" s="9" t="s">
        <v>106</v>
      </c>
      <c r="D157" s="9" t="str">
        <f>VLOOKUP(IntComp24[[#This Row],[DEVELOPMENT]],Data[],52,FALSE)</f>
        <v>FEDERAL</v>
      </c>
      <c r="E157" s="9" t="str">
        <f>VLOOKUP(IntComp24[[#This Row],[DEVELOPMENT]],Data[],8,FALSE)</f>
        <v>Zone 2</v>
      </c>
      <c r="F157" s="9">
        <f>VLOOKUP(IntComp24[[#This Row],[DEVELOPMENT]],all[[DEVELOPMENT]:[MRST Ext. Comp. Priority]],13,FALSE)</f>
        <v>3</v>
      </c>
      <c r="G157" s="9">
        <f>IF(VLOOKUP(IntComp24[[#This Row],[DEVELOPMENT]],Data[],9,FALSE)=0,5,VLOOKUP(IntComp24[[#This Row],[DEVELOPMENT]],Data[],9,FALSE))</f>
        <v>4</v>
      </c>
      <c r="H157" s="9">
        <f>VLOOKUP(IntComp24[[#This Row],[DEVELOPMENT]],Data[],7,FALSE)</f>
        <v>398</v>
      </c>
      <c r="I157" s="9">
        <f>VLOOKUP(IntComp24[[#This Row],[DEVELOPMENT]],Data[],5,FALSE)</f>
        <v>3</v>
      </c>
      <c r="J157" s="9"/>
      <c r="K157" s="9" t="str">
        <f ca="1">IFERROR(VLOOKUP(IntComp24[[#This Row],[DEVELOPMENT]],Data[],4,FALSE),"")</f>
        <v>2026+</v>
      </c>
      <c r="L157" s="9" t="str">
        <f ca="1">IF(IntComp24[[#This Row],[RAD/PACT]]="","",IF(OR(IntComp24[[#This Row],[RAD/PACT]]="2022-2025",IntComp24[[#This Row],[RAD/PACT]]=2019,IntComp24[[#This Row],[RAD/PACT]]="2020-2021"),"Yes",""))</f>
        <v/>
      </c>
      <c r="M157" s="1">
        <f ca="1">IF(VLOOKUP(IntComp24[[#This Row],[DEVELOPMENT]],Data[],10,FALSE)=0,-1,DATEDIF(VLOOKUP(IntComp24[[#This Row],[DEVELOPMENT]],Data[],12,FALSE),TODAY(),"Y"))</f>
        <v>15</v>
      </c>
      <c r="N157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7" s="1"/>
      <c r="P157" s="1"/>
      <c r="Q157" s="1"/>
      <c r="R157" s="47">
        <f ca="1">(IntComp24[[#This Row],['# to Replace (MRST)]]*INDEX(UnitCosts[#All],MATCH(IntComp24[[#This Row],[WORK TYPE]],UnitCosts[Work Type],0)+1,2))*(1+((IntComp24[[#This Row],[est. Year]]-YEAR(TODAY()))*$R$2))</f>
        <v>0</v>
      </c>
      <c r="S157" s="1">
        <f ca="1">SUM(INDEX(IntComp24['# to Replace (MRST)],1):IntComp24[[#This Row],['# to Replace (MRST)]])</f>
        <v>67</v>
      </c>
      <c r="T157" s="1"/>
      <c r="U157" s="1">
        <f ca="1">IF(ISBLANK(IntComp24[[#This Row],[CALENDAR YEAR]]),ROUNDDOWN(IntComp24[[#This Row],[Count]]/50,0)+$U$1,IntComp24[[#This Row],[CALENDAR YEAR]])</f>
        <v>2023</v>
      </c>
      <c r="V157" s="64">
        <f t="shared" ca="1" si="2"/>
        <v>2579332.4375</v>
      </c>
      <c r="W157" s="5"/>
      <c r="X157"/>
    </row>
    <row r="158" spans="1:24" hidden="1">
      <c r="A158" s="65" t="s">
        <v>35</v>
      </c>
      <c r="B158" s="1" t="str">
        <f>VLOOKUP(A158,Data[],2,FALSE)</f>
        <v>BRONX</v>
      </c>
      <c r="C158" s="9" t="s">
        <v>106</v>
      </c>
      <c r="D158" s="9" t="str">
        <f>VLOOKUP(IntComp24[[#This Row],[DEVELOPMENT]],Data[],52,FALSE)</f>
        <v>FEDERAL</v>
      </c>
      <c r="E158" s="9" t="str">
        <f>VLOOKUP(IntComp24[[#This Row],[DEVELOPMENT]],Data[],8,FALSE)</f>
        <v>Zone 1</v>
      </c>
      <c r="F158" s="9">
        <f>VLOOKUP(IntComp24[[#This Row],[DEVELOPMENT]],all[[DEVELOPMENT]:[MRST Ext. Comp. Priority]],13,FALSE)</f>
        <v>3</v>
      </c>
      <c r="G158" s="9">
        <f>IF(VLOOKUP(IntComp24[[#This Row],[DEVELOPMENT]],Data[],9,FALSE)=0,5,VLOOKUP(IntComp24[[#This Row],[DEVELOPMENT]],Data[],9,FALSE))</f>
        <v>4</v>
      </c>
      <c r="H158" s="9">
        <f>VLOOKUP(IntComp24[[#This Row],[DEVELOPMENT]],Data[],7,FALSE)</f>
        <v>868</v>
      </c>
      <c r="I158" s="9">
        <f>VLOOKUP(IntComp24[[#This Row],[DEVELOPMENT]],Data[],5,FALSE)</f>
        <v>7</v>
      </c>
      <c r="J158" s="9"/>
      <c r="K158" s="9" t="str">
        <f ca="1">IFERROR(VLOOKUP(IntComp24[[#This Row],[DEVELOPMENT]],Data[],4,FALSE),"")</f>
        <v/>
      </c>
      <c r="L158" s="9" t="str">
        <f ca="1">IF(IntComp24[[#This Row],[RAD/PACT]]="","",IF(OR(IntComp24[[#This Row],[RAD/PACT]]="2022-2025",IntComp24[[#This Row],[RAD/PACT]]=2019,IntComp24[[#This Row],[RAD/PACT]]="2020-2021"),"Yes",""))</f>
        <v/>
      </c>
      <c r="M158" s="1">
        <f ca="1">IF(VLOOKUP(IntComp24[[#This Row],[DEVELOPMENT]],Data[],10,FALSE)=0,-1,DATEDIF(VLOOKUP(IntComp24[[#This Row],[DEVELOPMENT]],Data[],12,FALSE),TODAY(),"Y"))</f>
        <v>14</v>
      </c>
      <c r="N158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8" s="1"/>
      <c r="P158" s="1"/>
      <c r="Q158" s="1"/>
      <c r="R158" s="47">
        <f ca="1">(IntComp24[[#This Row],['# to Replace (MRST)]]*INDEX(UnitCosts[#All],MATCH(IntComp24[[#This Row],[WORK TYPE]],UnitCosts[Work Type],0)+1,2))*(1+((IntComp24[[#This Row],[est. Year]]-YEAR(TODAY()))*$R$2))</f>
        <v>0</v>
      </c>
      <c r="S158" s="1">
        <f ca="1">SUM(INDEX(IntComp24['# to Replace (MRST)],1):IntComp24[[#This Row],['# to Replace (MRST)]])</f>
        <v>67</v>
      </c>
      <c r="T158" s="1"/>
      <c r="U158" s="1">
        <f ca="1">IF(ISBLANK(IntComp24[[#This Row],[CALENDAR YEAR]]),ROUNDDOWN(IntComp24[[#This Row],[Count]]/50,0)+$U$1,IntComp24[[#This Row],[CALENDAR YEAR]])</f>
        <v>2023</v>
      </c>
      <c r="V158" s="64">
        <f t="shared" ca="1" si="2"/>
        <v>2579332.4375</v>
      </c>
      <c r="W158" s="5"/>
      <c r="X158"/>
    </row>
    <row r="159" spans="1:24" hidden="1">
      <c r="A159" s="13" t="s">
        <v>126</v>
      </c>
      <c r="B159" s="1" t="str">
        <f>VLOOKUP(A159,Data[],2,FALSE)</f>
        <v>MANHATTAN</v>
      </c>
      <c r="C159" s="9" t="s">
        <v>106</v>
      </c>
      <c r="D159" s="9" t="str">
        <f>VLOOKUP(IntComp24[[#This Row],[DEVELOPMENT]],Data[],52,FALSE)</f>
        <v>FEDERAL</v>
      </c>
      <c r="E159" s="9" t="str">
        <f>VLOOKUP(IntComp24[[#This Row],[DEVELOPMENT]],Data[],8,FALSE)</f>
        <v>Zone 2</v>
      </c>
      <c r="F159" s="9">
        <f>VLOOKUP(IntComp24[[#This Row],[DEVELOPMENT]],all[[DEVELOPMENT]:[MRST Ext. Comp. Priority]],13,FALSE)</f>
        <v>3</v>
      </c>
      <c r="G159" s="9">
        <f>IF(VLOOKUP(IntComp24[[#This Row],[DEVELOPMENT]],Data[],9,FALSE)=0,5,VLOOKUP(IntComp24[[#This Row],[DEVELOPMENT]],Data[],9,FALSE))</f>
        <v>4</v>
      </c>
      <c r="H159" s="9">
        <f>VLOOKUP(IntComp24[[#This Row],[DEVELOPMENT]],Data[],7,FALSE)</f>
        <v>179</v>
      </c>
      <c r="I159" s="9">
        <f>VLOOKUP(IntComp24[[#This Row],[DEVELOPMENT]],Data[],5,FALSE)</f>
        <v>1</v>
      </c>
      <c r="J159" s="9"/>
      <c r="K159" s="9" t="str">
        <f ca="1">IFERROR(VLOOKUP(IntComp24[[#This Row],[DEVELOPMENT]],Data[],4,FALSE),"")</f>
        <v/>
      </c>
      <c r="L159" s="9" t="str">
        <f ca="1">IF(IntComp24[[#This Row],[RAD/PACT]]="","",IF(OR(IntComp24[[#This Row],[RAD/PACT]]="2022-2025",IntComp24[[#This Row],[RAD/PACT]]=2019,IntComp24[[#This Row],[RAD/PACT]]="2020-2021"),"Yes",""))</f>
        <v/>
      </c>
      <c r="M159" s="1">
        <f ca="1">IF(VLOOKUP(IntComp24[[#This Row],[DEVELOPMENT]],Data[],10,FALSE)=0,-1,DATEDIF(VLOOKUP(IntComp24[[#This Row],[DEVELOPMENT]],Data[],12,FALSE),TODAY(),"Y"))</f>
        <v>12</v>
      </c>
      <c r="N15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59" s="1"/>
      <c r="P159" s="1"/>
      <c r="Q159" s="1"/>
      <c r="R159" s="47">
        <f ca="1">(IntComp24[[#This Row],['# to Replace (MRST)]]*INDEX(UnitCosts[#All],MATCH(IntComp24[[#This Row],[WORK TYPE]],UnitCosts[Work Type],0)+1,2))*(1+((IntComp24[[#This Row],[est. Year]]-YEAR(TODAY()))*$R$2))</f>
        <v>0</v>
      </c>
      <c r="S159" s="1">
        <f ca="1">SUM(INDEX(IntComp24['# to Replace (MRST)],1):IntComp24[[#This Row],['# to Replace (MRST)]])</f>
        <v>67</v>
      </c>
      <c r="T159" s="1"/>
      <c r="U159" s="1">
        <f ca="1">IF(ISBLANK(IntComp24[[#This Row],[CALENDAR YEAR]]),ROUNDDOWN(IntComp24[[#This Row],[Count]]/50,0)+$U$1,IntComp24[[#This Row],[CALENDAR YEAR]])</f>
        <v>2023</v>
      </c>
      <c r="V159" s="64">
        <f t="shared" ca="1" si="2"/>
        <v>2579332.4375</v>
      </c>
      <c r="W159" s="5"/>
      <c r="X159"/>
    </row>
    <row r="160" spans="1:24" hidden="1">
      <c r="A160" s="13" t="s">
        <v>125</v>
      </c>
      <c r="B160" s="1" t="str">
        <f>VLOOKUP(A160,Data[],2,FALSE)</f>
        <v>MANHATTAN</v>
      </c>
      <c r="C160" s="9" t="s">
        <v>106</v>
      </c>
      <c r="D160" s="9" t="str">
        <f>VLOOKUP(IntComp24[[#This Row],[DEVELOPMENT]],Data[],52,FALSE)</f>
        <v>FEDERAL</v>
      </c>
      <c r="E160" s="9" t="str">
        <f>VLOOKUP(IntComp24[[#This Row],[DEVELOPMENT]],Data[],8,FALSE)</f>
        <v>Zone 2</v>
      </c>
      <c r="F160" s="9">
        <f>VLOOKUP(IntComp24[[#This Row],[DEVELOPMENT]],all[[DEVELOPMENT]:[MRST Ext. Comp. Priority]],13,FALSE)</f>
        <v>3</v>
      </c>
      <c r="G160" s="9">
        <f>IF(VLOOKUP(IntComp24[[#This Row],[DEVELOPMENT]],Data[],9,FALSE)=0,5,VLOOKUP(IntComp24[[#This Row],[DEVELOPMENT]],Data[],9,FALSE))</f>
        <v>4</v>
      </c>
      <c r="H160" s="9">
        <f>VLOOKUP(IntComp24[[#This Row],[DEVELOPMENT]],Data[],7,FALSE)</f>
        <v>448</v>
      </c>
      <c r="I160" s="9">
        <f>VLOOKUP(IntComp24[[#This Row],[DEVELOPMENT]],Data[],5,FALSE)</f>
        <v>4</v>
      </c>
      <c r="J160" s="9"/>
      <c r="K160" s="9" t="str">
        <f ca="1">IFERROR(VLOOKUP(IntComp24[[#This Row],[DEVELOPMENT]],Data[],4,FALSE),"")</f>
        <v>2022-2025</v>
      </c>
      <c r="L160" s="9" t="str">
        <f ca="1">IF(IntComp24[[#This Row],[RAD/PACT]]="","",IF(OR(IntComp24[[#This Row],[RAD/PACT]]="2022-2025",IntComp24[[#This Row],[RAD/PACT]]=2019,IntComp24[[#This Row],[RAD/PACT]]="2020-2021"),"Yes",""))</f>
        <v>Yes</v>
      </c>
      <c r="M160" s="1">
        <f ca="1">IF(VLOOKUP(IntComp24[[#This Row],[DEVELOPMENT]],Data[],10,FALSE)=0,-1,DATEDIF(VLOOKUP(IntComp24[[#This Row],[DEVELOPMENT]],Data[],12,FALSE),TODAY(),"Y"))</f>
        <v>10</v>
      </c>
      <c r="N16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0" s="1"/>
      <c r="P160" s="1"/>
      <c r="Q160" s="1"/>
      <c r="R160" s="47">
        <f ca="1">(IntComp24[[#This Row],['# to Replace (MRST)]]*INDEX(UnitCosts[#All],MATCH(IntComp24[[#This Row],[WORK TYPE]],UnitCosts[Work Type],0)+1,2))*(1+((IntComp24[[#This Row],[est. Year]]-YEAR(TODAY()))*$R$2))</f>
        <v>0</v>
      </c>
      <c r="S160" s="1">
        <f ca="1">SUM(INDEX(IntComp24['# to Replace (MRST)],1):IntComp24[[#This Row],['# to Replace (MRST)]])</f>
        <v>67</v>
      </c>
      <c r="T160" s="1"/>
      <c r="U160" s="1">
        <f ca="1">IF(ISBLANK(IntComp24[[#This Row],[CALENDAR YEAR]]),ROUNDDOWN(IntComp24[[#This Row],[Count]]/50,0)+$U$1,IntComp24[[#This Row],[CALENDAR YEAR]])</f>
        <v>2023</v>
      </c>
      <c r="V160" s="64">
        <f t="shared" ref="V160:V223" ca="1" si="3">IF(U160=U159,R160+V159,R160)</f>
        <v>2579332.4375</v>
      </c>
      <c r="W160" s="5"/>
      <c r="X160"/>
    </row>
    <row r="161" spans="1:24" hidden="1">
      <c r="A161" s="65" t="s">
        <v>44</v>
      </c>
      <c r="B161" s="1" t="str">
        <f>VLOOKUP(A161,Data[],2,FALSE)</f>
        <v>MANHATTAN</v>
      </c>
      <c r="C161" s="9" t="s">
        <v>106</v>
      </c>
      <c r="D161" s="9" t="str">
        <f>VLOOKUP(IntComp24[[#This Row],[DEVELOPMENT]],Data[],52,FALSE)</f>
        <v>FEDERAL</v>
      </c>
      <c r="E161" s="9" t="str">
        <f>VLOOKUP(IntComp24[[#This Row],[DEVELOPMENT]],Data[],8,FALSE)</f>
        <v>Zone 1</v>
      </c>
      <c r="F161" s="9">
        <f>VLOOKUP(IntComp24[[#This Row],[DEVELOPMENT]],all[[DEVELOPMENT]:[MRST Ext. Comp. Priority]],13,FALSE)</f>
        <v>3</v>
      </c>
      <c r="G161" s="9">
        <f>IF(VLOOKUP(IntComp24[[#This Row],[DEVELOPMENT]],Data[],9,FALSE)=0,5,VLOOKUP(IntComp24[[#This Row],[DEVELOPMENT]],Data[],9,FALSE))</f>
        <v>4</v>
      </c>
      <c r="H161" s="9">
        <f>VLOOKUP(IntComp24[[#This Row],[DEVELOPMENT]],Data[],7,FALSE)</f>
        <v>1934</v>
      </c>
      <c r="I161" s="9">
        <f>VLOOKUP(IntComp24[[#This Row],[DEVELOPMENT]],Data[],5,FALSE)</f>
        <v>12</v>
      </c>
      <c r="J161" s="9"/>
      <c r="K161" s="9" t="str">
        <f ca="1">IFERROR(VLOOKUP(IntComp24[[#This Row],[DEVELOPMENT]],Data[],4,FALSE),"")</f>
        <v/>
      </c>
      <c r="L161" s="9" t="str">
        <f ca="1">IF(IntComp24[[#This Row],[RAD/PACT]]="","",IF(OR(IntComp24[[#This Row],[RAD/PACT]]="2022-2025",IntComp24[[#This Row],[RAD/PACT]]=2019,IntComp24[[#This Row],[RAD/PACT]]="2020-2021"),"Yes",""))</f>
        <v/>
      </c>
      <c r="M161" s="1">
        <f ca="1">IF(VLOOKUP(IntComp24[[#This Row],[DEVELOPMENT]],Data[],10,FALSE)=0,-1,DATEDIF(VLOOKUP(IntComp24[[#This Row],[DEVELOPMENT]],Data[],12,FALSE),TODAY(),"Y"))</f>
        <v>1</v>
      </c>
      <c r="N16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1" s="1"/>
      <c r="P161" s="1"/>
      <c r="Q161" s="1"/>
      <c r="R161" s="47">
        <f ca="1">(IntComp24[[#This Row],['# to Replace (MRST)]]*INDEX(UnitCosts[#All],MATCH(IntComp24[[#This Row],[WORK TYPE]],UnitCosts[Work Type],0)+1,2))*(1+((IntComp24[[#This Row],[est. Year]]-YEAR(TODAY()))*$R$2))</f>
        <v>0</v>
      </c>
      <c r="S161" s="1">
        <f ca="1">SUM(INDEX(IntComp24['# to Replace (MRST)],1):IntComp24[[#This Row],['# to Replace (MRST)]])</f>
        <v>67</v>
      </c>
      <c r="T161" s="1"/>
      <c r="U161" s="1">
        <f ca="1">IF(ISBLANK(IntComp24[[#This Row],[CALENDAR YEAR]]),ROUNDDOWN(IntComp24[[#This Row],[Count]]/50,0)+$U$1,IntComp24[[#This Row],[CALENDAR YEAR]])</f>
        <v>2023</v>
      </c>
      <c r="V161" s="64">
        <f t="shared" ca="1" si="3"/>
        <v>2579332.4375</v>
      </c>
      <c r="W161" s="5"/>
      <c r="X161"/>
    </row>
    <row r="162" spans="1:24" hidden="1">
      <c r="A162" s="65" t="s">
        <v>45</v>
      </c>
      <c r="B162" s="1" t="str">
        <f>VLOOKUP(A162,Data[],2,FALSE)</f>
        <v>BROOKLYN</v>
      </c>
      <c r="C162" s="9" t="s">
        <v>106</v>
      </c>
      <c r="D162" s="9" t="str">
        <f>VLOOKUP(IntComp24[[#This Row],[DEVELOPMENT]],Data[],52,FALSE)</f>
        <v>FEDERAL</v>
      </c>
      <c r="E162" s="9" t="str">
        <f>VLOOKUP(IntComp24[[#This Row],[DEVELOPMENT]],Data[],8,FALSE)</f>
        <v>Zone 1</v>
      </c>
      <c r="F162" s="9">
        <f>VLOOKUP(IntComp24[[#This Row],[DEVELOPMENT]],all[[DEVELOPMENT]:[MRST Ext. Comp. Priority]],13,FALSE)</f>
        <v>3</v>
      </c>
      <c r="G162" s="9">
        <f>IF(VLOOKUP(IntComp24[[#This Row],[DEVELOPMENT]],Data[],9,FALSE)=0,5,VLOOKUP(IntComp24[[#This Row],[DEVELOPMENT]],Data[],9,FALSE))</f>
        <v>4</v>
      </c>
      <c r="H162" s="9">
        <f>VLOOKUP(IntComp24[[#This Row],[DEVELOPMENT]],Data[],7,FALSE)</f>
        <v>1098</v>
      </c>
      <c r="I162" s="9">
        <f>VLOOKUP(IntComp24[[#This Row],[DEVELOPMENT]],Data[],5,FALSE)</f>
        <v>13</v>
      </c>
      <c r="J162" s="9"/>
      <c r="K162" s="9" t="str">
        <f ca="1">IFERROR(VLOOKUP(IntComp24[[#This Row],[DEVELOPMENT]],Data[],4,FALSE),"")</f>
        <v/>
      </c>
      <c r="L162" s="9" t="str">
        <f ca="1">IF(IntComp24[[#This Row],[RAD/PACT]]="","",IF(OR(IntComp24[[#This Row],[RAD/PACT]]="2022-2025",IntComp24[[#This Row],[RAD/PACT]]=2019,IntComp24[[#This Row],[RAD/PACT]]="2020-2021"),"Yes",""))</f>
        <v/>
      </c>
      <c r="M162" s="1">
        <f ca="1">IF(VLOOKUP(IntComp24[[#This Row],[DEVELOPMENT]],Data[],10,FALSE)=0,-1,DATEDIF(VLOOKUP(IntComp24[[#This Row],[DEVELOPMENT]],Data[],12,FALSE),TODAY(),"Y"))</f>
        <v>1</v>
      </c>
      <c r="N162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2" s="1"/>
      <c r="P162" s="1"/>
      <c r="Q162" s="1"/>
      <c r="R162" s="47">
        <f ca="1">(IntComp24[[#This Row],['# to Replace (MRST)]]*INDEX(UnitCosts[#All],MATCH(IntComp24[[#This Row],[WORK TYPE]],UnitCosts[Work Type],0)+1,2))*(1+((IntComp24[[#This Row],[est. Year]]-YEAR(TODAY()))*$R$2))</f>
        <v>0</v>
      </c>
      <c r="S162" s="1">
        <f ca="1">SUM(INDEX(IntComp24['# to Replace (MRST)],1):IntComp24[[#This Row],['# to Replace (MRST)]])</f>
        <v>67</v>
      </c>
      <c r="T162" s="1"/>
      <c r="U162" s="1">
        <f ca="1">IF(ISBLANK(IntComp24[[#This Row],[CALENDAR YEAR]]),ROUNDDOWN(IntComp24[[#This Row],[Count]]/50,0)+$U$1,IntComp24[[#This Row],[CALENDAR YEAR]])</f>
        <v>2023</v>
      </c>
      <c r="V162" s="64">
        <f t="shared" ca="1" si="3"/>
        <v>2579332.4375</v>
      </c>
      <c r="W162" s="5"/>
      <c r="X162"/>
    </row>
    <row r="163" spans="1:24" hidden="1">
      <c r="A163" s="13" t="s">
        <v>99</v>
      </c>
      <c r="B163" s="1" t="str">
        <f>VLOOKUP(A163,Data[],2,FALSE)</f>
        <v>BRONX</v>
      </c>
      <c r="C163" s="9" t="s">
        <v>106</v>
      </c>
      <c r="D163" s="9" t="str">
        <f>VLOOKUP(IntComp24[[#This Row],[DEVELOPMENT]],Data[],52,FALSE)</f>
        <v>FEDERAL</v>
      </c>
      <c r="E163" s="9" t="str">
        <f>VLOOKUP(IntComp24[[#This Row],[DEVELOPMENT]],Data[],8,FALSE)</f>
        <v>Zone 3</v>
      </c>
      <c r="F163" s="9">
        <f>VLOOKUP(IntComp24[[#This Row],[DEVELOPMENT]],all[[DEVELOPMENT]:[MRST Ext. Comp. Priority]],13,FALSE)</f>
        <v>3</v>
      </c>
      <c r="G163" s="9">
        <f>IF(VLOOKUP(IntComp24[[#This Row],[DEVELOPMENT]],Data[],9,FALSE)=0,5,VLOOKUP(IntComp24[[#This Row],[DEVELOPMENT]],Data[],9,FALSE))</f>
        <v>4</v>
      </c>
      <c r="H163" s="9">
        <f>VLOOKUP(IntComp24[[#This Row],[DEVELOPMENT]],Data[],7,FALSE)</f>
        <v>120</v>
      </c>
      <c r="I163" s="9">
        <f>VLOOKUP(IntComp24[[#This Row],[DEVELOPMENT]],Data[],5,FALSE)</f>
        <v>6</v>
      </c>
      <c r="J163" s="9"/>
      <c r="K163" s="9" t="str">
        <f ca="1">IFERROR(VLOOKUP(IntComp24[[#This Row],[DEVELOPMENT]],Data[],4,FALSE),"")</f>
        <v>2026+</v>
      </c>
      <c r="L163" s="9" t="str">
        <f ca="1">IF(IntComp24[[#This Row],[RAD/PACT]]="","",IF(OR(IntComp24[[#This Row],[RAD/PACT]]="2022-2025",IntComp24[[#This Row],[RAD/PACT]]=2019,IntComp24[[#This Row],[RAD/PACT]]="2020-2021"),"Yes",""))</f>
        <v/>
      </c>
      <c r="M163" s="1">
        <f ca="1">IF(VLOOKUP(IntComp24[[#This Row],[DEVELOPMENT]],Data[],10,FALSE)=0,-1,DATEDIF(VLOOKUP(IntComp24[[#This Row],[DEVELOPMENT]],Data[],12,FALSE),TODAY(),"Y"))</f>
        <v>-1</v>
      </c>
      <c r="N163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3" s="1"/>
      <c r="P163" s="1"/>
      <c r="Q163" s="1"/>
      <c r="R163" s="47">
        <f ca="1">(IntComp24[[#This Row],['# to Replace (MRST)]]*INDEX(UnitCosts[#All],MATCH(IntComp24[[#This Row],[WORK TYPE]],UnitCosts[Work Type],0)+1,2))*(1+((IntComp24[[#This Row],[est. Year]]-YEAR(TODAY()))*$R$2))</f>
        <v>0</v>
      </c>
      <c r="S163" s="1">
        <f ca="1">SUM(INDEX(IntComp24['# to Replace (MRST)],1):IntComp24[[#This Row],['# to Replace (MRST)]])</f>
        <v>67</v>
      </c>
      <c r="T163" s="1"/>
      <c r="U163" s="1">
        <f ca="1">IF(ISBLANK(IntComp24[[#This Row],[CALENDAR YEAR]]),ROUNDDOWN(IntComp24[[#This Row],[Count]]/50,0)+$U$1,IntComp24[[#This Row],[CALENDAR YEAR]])</f>
        <v>2023</v>
      </c>
      <c r="V163" s="64">
        <f t="shared" ca="1" si="3"/>
        <v>2579332.4375</v>
      </c>
      <c r="W163" s="5"/>
      <c r="X163"/>
    </row>
    <row r="164" spans="1:24" hidden="1">
      <c r="A164" s="13" t="s">
        <v>340</v>
      </c>
      <c r="B164" s="9" t="str">
        <f>VLOOKUP(A164,Data[],2,FALSE)</f>
        <v>BROOKLYN</v>
      </c>
      <c r="C164" s="9" t="s">
        <v>106</v>
      </c>
      <c r="D164" s="9" t="str">
        <f>VLOOKUP(IntComp24[[#This Row],[DEVELOPMENT]],Data[],52,FALSE)</f>
        <v>FEDERAL</v>
      </c>
      <c r="E164" s="50">
        <f>VLOOKUP(IntComp24[[#This Row],[DEVELOPMENT]],Data[],8,FALSE)</f>
        <v>0</v>
      </c>
      <c r="F164" s="50">
        <f>VLOOKUP(IntComp24[[#This Row],[DEVELOPMENT]],all[[DEVELOPMENT]:[MRST Ext. Comp. Priority]],13,FALSE)</f>
        <v>3</v>
      </c>
      <c r="G164" s="50">
        <f>IF(VLOOKUP(IntComp24[[#This Row],[DEVELOPMENT]],Data[],9,FALSE)=0,5,VLOOKUP(IntComp24[[#This Row],[DEVELOPMENT]],Data[],9,FALSE))</f>
        <v>5</v>
      </c>
      <c r="H164" s="50">
        <f>VLOOKUP(IntComp24[[#This Row],[DEVELOPMENT]],Data[],7,FALSE)</f>
        <v>74</v>
      </c>
      <c r="I164" s="50">
        <f>VLOOKUP(IntComp24[[#This Row],[DEVELOPMENT]],Data[],5,FALSE)</f>
        <v>3</v>
      </c>
      <c r="J164" s="50"/>
      <c r="K164" s="50" t="str">
        <f ca="1">IFERROR(VLOOKUP(IntComp24[[#This Row],[DEVELOPMENT]],Data[],4,FALSE),"")</f>
        <v>2020-2021</v>
      </c>
      <c r="L164" s="50" t="str">
        <f ca="1">IF(IntComp24[[#This Row],[RAD/PACT]]="","",IF(OR(IntComp24[[#This Row],[RAD/PACT]]="2022-2025",IntComp24[[#This Row],[RAD/PACT]]=2019,IntComp24[[#This Row],[RAD/PACT]]="2020-2021"),"Yes",""))</f>
        <v>Yes</v>
      </c>
      <c r="M164" s="51">
        <f ca="1">IF(VLOOKUP(IntComp24[[#This Row],[DEVELOPMENT]],Data[],10,FALSE)=0,-1,DATEDIF(VLOOKUP(IntComp24[[#This Row],[DEVELOPMENT]],Data[],12,FALSE),TODAY(),"Y"))</f>
        <v>34</v>
      </c>
      <c r="N16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4" s="51"/>
      <c r="P164" s="51"/>
      <c r="Q164" s="51"/>
      <c r="R164" s="47">
        <f ca="1">(IntComp24[[#This Row],['# to Replace (MRST)]]*INDEX(UnitCosts[#All],MATCH(IntComp24[[#This Row],[WORK TYPE]],UnitCosts[Work Type],0)+1,2))*(1+((IntComp24[[#This Row],[est. Year]]-YEAR(TODAY()))*$R$2))</f>
        <v>0</v>
      </c>
      <c r="S164" s="1">
        <f ca="1">SUM(INDEX(IntComp24['# to Replace (MRST)],1):IntComp24[[#This Row],['# to Replace (MRST)]])</f>
        <v>67</v>
      </c>
      <c r="T164" s="51"/>
      <c r="U164" s="51">
        <f ca="1">IF(ISBLANK(IntComp24[[#This Row],[CALENDAR YEAR]]),ROUNDDOWN(IntComp24[[#This Row],[Count]]/50,0)+$U$1,IntComp24[[#This Row],[CALENDAR YEAR]])</f>
        <v>2023</v>
      </c>
      <c r="V164" s="69">
        <f t="shared" ca="1" si="3"/>
        <v>2579332.4375</v>
      </c>
      <c r="W164" s="5"/>
      <c r="X164"/>
    </row>
    <row r="165" spans="1:24" hidden="1">
      <c r="A165" s="13" t="s">
        <v>352</v>
      </c>
      <c r="B165" s="9" t="str">
        <f>VLOOKUP(A165,Data[],2,FALSE)</f>
        <v>BROOKLYN</v>
      </c>
      <c r="C165" s="9" t="s">
        <v>106</v>
      </c>
      <c r="D165" s="9" t="str">
        <f>VLOOKUP(IntComp24[[#This Row],[DEVELOPMENT]],Data[],52,FALSE)</f>
        <v>FEDERAL</v>
      </c>
      <c r="E165" s="50">
        <f>VLOOKUP(IntComp24[[#This Row],[DEVELOPMENT]],Data[],8,FALSE)</f>
        <v>0</v>
      </c>
      <c r="F165" s="50">
        <f>VLOOKUP(IntComp24[[#This Row],[DEVELOPMENT]],all[[DEVELOPMENT]:[MRST Ext. Comp. Priority]],13,FALSE)</f>
        <v>3</v>
      </c>
      <c r="G165" s="50">
        <f>IF(VLOOKUP(IntComp24[[#This Row],[DEVELOPMENT]],Data[],9,FALSE)=0,5,VLOOKUP(IntComp24[[#This Row],[DEVELOPMENT]],Data[],9,FALSE))</f>
        <v>5</v>
      </c>
      <c r="H165" s="50">
        <f>VLOOKUP(IntComp24[[#This Row],[DEVELOPMENT]],Data[],7,FALSE)</f>
        <v>134</v>
      </c>
      <c r="I165" s="50">
        <f>VLOOKUP(IntComp24[[#This Row],[DEVELOPMENT]],Data[],5,FALSE)</f>
        <v>9</v>
      </c>
      <c r="J165" s="50"/>
      <c r="K165" s="50" t="str">
        <f ca="1">IFERROR(VLOOKUP(IntComp24[[#This Row],[DEVELOPMENT]],Data[],4,FALSE),"")</f>
        <v>2022-2025</v>
      </c>
      <c r="L165" s="50" t="str">
        <f ca="1">IF(IntComp24[[#This Row],[RAD/PACT]]="","",IF(OR(IntComp24[[#This Row],[RAD/PACT]]="2022-2025",IntComp24[[#This Row],[RAD/PACT]]=2019,IntComp24[[#This Row],[RAD/PACT]]="2020-2021"),"Yes",""))</f>
        <v>Yes</v>
      </c>
      <c r="M165" s="51">
        <f ca="1">IF(VLOOKUP(IntComp24[[#This Row],[DEVELOPMENT]],Data[],10,FALSE)=0,-1,DATEDIF(VLOOKUP(IntComp24[[#This Row],[DEVELOPMENT]],Data[],12,FALSE),TODAY(),"Y"))</f>
        <v>35</v>
      </c>
      <c r="N16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5" s="51"/>
      <c r="P165" s="51"/>
      <c r="Q165" s="51"/>
      <c r="R165" s="47">
        <f ca="1">(IntComp24[[#This Row],['# to Replace (MRST)]]*INDEX(UnitCosts[#All],MATCH(IntComp24[[#This Row],[WORK TYPE]],UnitCosts[Work Type],0)+1,2))*(1+((IntComp24[[#This Row],[est. Year]]-YEAR(TODAY()))*$R$2))</f>
        <v>0</v>
      </c>
      <c r="S165" s="1">
        <f ca="1">SUM(INDEX(IntComp24['# to Replace (MRST)],1):IntComp24[[#This Row],['# to Replace (MRST)]])</f>
        <v>67</v>
      </c>
      <c r="T165" s="51"/>
      <c r="U165" s="51">
        <f ca="1">IF(ISBLANK(IntComp24[[#This Row],[CALENDAR YEAR]]),ROUNDDOWN(IntComp24[[#This Row],[Count]]/50,0)+$U$1,IntComp24[[#This Row],[CALENDAR YEAR]])</f>
        <v>2023</v>
      </c>
      <c r="V165" s="69">
        <f t="shared" ca="1" si="3"/>
        <v>2579332.4375</v>
      </c>
      <c r="W165" s="5"/>
      <c r="X165"/>
    </row>
    <row r="166" spans="1:24" hidden="1">
      <c r="A166" s="13" t="s">
        <v>314</v>
      </c>
      <c r="B166" s="9" t="str">
        <f>VLOOKUP(A166,Data[],2,FALSE)</f>
        <v>BROOKLYN</v>
      </c>
      <c r="C166" s="9" t="s">
        <v>106</v>
      </c>
      <c r="D166" s="9" t="str">
        <f>VLOOKUP(IntComp24[[#This Row],[DEVELOPMENT]],Data[],52,FALSE)</f>
        <v>FEDERAL</v>
      </c>
      <c r="E166" s="50" t="str">
        <f>VLOOKUP(IntComp24[[#This Row],[DEVELOPMENT]],Data[],8,FALSE)</f>
        <v>Zone 4</v>
      </c>
      <c r="F166" s="50">
        <f>VLOOKUP(IntComp24[[#This Row],[DEVELOPMENT]],all[[DEVELOPMENT]:[MRST Ext. Comp. Priority]],13,FALSE)</f>
        <v>3</v>
      </c>
      <c r="G166" s="50">
        <f>IF(VLOOKUP(IntComp24[[#This Row],[DEVELOPMENT]],Data[],9,FALSE)=0,5,VLOOKUP(IntComp24[[#This Row],[DEVELOPMENT]],Data[],9,FALSE))</f>
        <v>5</v>
      </c>
      <c r="H166" s="50">
        <f>VLOOKUP(IntComp24[[#This Row],[DEVELOPMENT]],Data[],7,FALSE)</f>
        <v>121</v>
      </c>
      <c r="I166" s="50">
        <f>VLOOKUP(IntComp24[[#This Row],[DEVELOPMENT]],Data[],5,FALSE)</f>
        <v>8</v>
      </c>
      <c r="J166" s="50"/>
      <c r="K166" s="50" t="str">
        <f ca="1">IFERROR(VLOOKUP(IntComp24[[#This Row],[DEVELOPMENT]],Data[],4,FALSE),"")</f>
        <v>2022-2025</v>
      </c>
      <c r="L166" s="50" t="str">
        <f ca="1">IF(IntComp24[[#This Row],[RAD/PACT]]="","",IF(OR(IntComp24[[#This Row],[RAD/PACT]]="2022-2025",IntComp24[[#This Row],[RAD/PACT]]=2019,IntComp24[[#This Row],[RAD/PACT]]="2020-2021"),"Yes",""))</f>
        <v>Yes</v>
      </c>
      <c r="M166" s="51">
        <f ca="1">IF(VLOOKUP(IntComp24[[#This Row],[DEVELOPMENT]],Data[],10,FALSE)=0,-1,DATEDIF(VLOOKUP(IntComp24[[#This Row],[DEVELOPMENT]],Data[],12,FALSE),TODAY(),"Y"))</f>
        <v>34</v>
      </c>
      <c r="N16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6" s="51"/>
      <c r="P166" s="51"/>
      <c r="Q166" s="51"/>
      <c r="R166" s="47">
        <f ca="1">(IntComp24[[#This Row],['# to Replace (MRST)]]*INDEX(UnitCosts[#All],MATCH(IntComp24[[#This Row],[WORK TYPE]],UnitCosts[Work Type],0)+1,2))*(1+((IntComp24[[#This Row],[est. Year]]-YEAR(TODAY()))*$R$2))</f>
        <v>0</v>
      </c>
      <c r="S166" s="1">
        <f ca="1">SUM(INDEX(IntComp24['# to Replace (MRST)],1):IntComp24[[#This Row],['# to Replace (MRST)]])</f>
        <v>67</v>
      </c>
      <c r="T166" s="51"/>
      <c r="U166" s="51">
        <f ca="1">IF(ISBLANK(IntComp24[[#This Row],[CALENDAR YEAR]]),ROUNDDOWN(IntComp24[[#This Row],[Count]]/50,0)+$U$1,IntComp24[[#This Row],[CALENDAR YEAR]])</f>
        <v>2023</v>
      </c>
      <c r="V166" s="69">
        <f t="shared" ca="1" si="3"/>
        <v>2579332.4375</v>
      </c>
      <c r="W166" s="5"/>
      <c r="X166"/>
    </row>
    <row r="167" spans="1:24" hidden="1">
      <c r="A167" s="13" t="s">
        <v>256</v>
      </c>
      <c r="B167" s="9" t="str">
        <f>VLOOKUP(A167,Data[],2,FALSE)</f>
        <v>BROOKLYN</v>
      </c>
      <c r="C167" s="9" t="s">
        <v>106</v>
      </c>
      <c r="D167" s="9" t="str">
        <f>VLOOKUP(IntComp24[[#This Row],[DEVELOPMENT]],Data[],52,FALSE)</f>
        <v>FEDERAL</v>
      </c>
      <c r="E167" s="50">
        <f>VLOOKUP(IntComp24[[#This Row],[DEVELOPMENT]],Data[],8,FALSE)</f>
        <v>0</v>
      </c>
      <c r="F167" s="50">
        <f>VLOOKUP(IntComp24[[#This Row],[DEVELOPMENT]],all[[DEVELOPMENT]:[MRST Ext. Comp. Priority]],13,FALSE)</f>
        <v>3</v>
      </c>
      <c r="G167" s="50">
        <f>IF(VLOOKUP(IntComp24[[#This Row],[DEVELOPMENT]],Data[],9,FALSE)=0,5,VLOOKUP(IntComp24[[#This Row],[DEVELOPMENT]],Data[],9,FALSE))</f>
        <v>5</v>
      </c>
      <c r="H167" s="50">
        <f>VLOOKUP(IntComp24[[#This Row],[DEVELOPMENT]],Data[],7,FALSE)</f>
        <v>125</v>
      </c>
      <c r="I167" s="50">
        <f>VLOOKUP(IntComp24[[#This Row],[DEVELOPMENT]],Data[],5,FALSE)</f>
        <v>7</v>
      </c>
      <c r="J167" s="50"/>
      <c r="K167" s="50" t="str">
        <f ca="1">IFERROR(VLOOKUP(IntComp24[[#This Row],[DEVELOPMENT]],Data[],4,FALSE),"")</f>
        <v>2022-2025</v>
      </c>
      <c r="L167" s="50" t="str">
        <f ca="1">IF(IntComp24[[#This Row],[RAD/PACT]]="","",IF(OR(IntComp24[[#This Row],[RAD/PACT]]="2022-2025",IntComp24[[#This Row],[RAD/PACT]]=2019,IntComp24[[#This Row],[RAD/PACT]]="2020-2021"),"Yes",""))</f>
        <v>Yes</v>
      </c>
      <c r="M167" s="51">
        <f ca="1">IF(VLOOKUP(IntComp24[[#This Row],[DEVELOPMENT]],Data[],10,FALSE)=0,-1,DATEDIF(VLOOKUP(IntComp24[[#This Row],[DEVELOPMENT]],Data[],12,FALSE),TODAY(),"Y"))</f>
        <v>30</v>
      </c>
      <c r="N16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7" s="51"/>
      <c r="P167" s="51"/>
      <c r="Q167" s="51"/>
      <c r="R167" s="47">
        <f ca="1">(IntComp24[[#This Row],['# to Replace (MRST)]]*INDEX(UnitCosts[#All],MATCH(IntComp24[[#This Row],[WORK TYPE]],UnitCosts[Work Type],0)+1,2))*(1+((IntComp24[[#This Row],[est. Year]]-YEAR(TODAY()))*$R$2))</f>
        <v>0</v>
      </c>
      <c r="S167" s="1">
        <f ca="1">SUM(INDEX(IntComp24['# to Replace (MRST)],1):IntComp24[[#This Row],['# to Replace (MRST)]])</f>
        <v>67</v>
      </c>
      <c r="T167" s="51"/>
      <c r="U167" s="51">
        <f ca="1">IF(ISBLANK(IntComp24[[#This Row],[CALENDAR YEAR]]),ROUNDDOWN(IntComp24[[#This Row],[Count]]/50,0)+$U$1,IntComp24[[#This Row],[CALENDAR YEAR]])</f>
        <v>2023</v>
      </c>
      <c r="V167" s="69">
        <f t="shared" ca="1" si="3"/>
        <v>2579332.4375</v>
      </c>
      <c r="W167" s="5"/>
      <c r="X167"/>
    </row>
    <row r="168" spans="1:24" hidden="1">
      <c r="A168" s="13" t="s">
        <v>257</v>
      </c>
      <c r="B168" s="9" t="str">
        <f>VLOOKUP(A168,Data[],2,FALSE)</f>
        <v>BROOKLYN</v>
      </c>
      <c r="C168" s="9" t="s">
        <v>106</v>
      </c>
      <c r="D168" s="9" t="str">
        <f>VLOOKUP(IntComp24[[#This Row],[DEVELOPMENT]],Data[],52,FALSE)</f>
        <v>FEDERAL</v>
      </c>
      <c r="E168" s="50">
        <f>VLOOKUP(IntComp24[[#This Row],[DEVELOPMENT]],Data[],8,FALSE)</f>
        <v>0</v>
      </c>
      <c r="F168" s="50">
        <f>VLOOKUP(IntComp24[[#This Row],[DEVELOPMENT]],all[[DEVELOPMENT]:[MRST Ext. Comp. Priority]],13,FALSE)</f>
        <v>3</v>
      </c>
      <c r="G168" s="50">
        <f>IF(VLOOKUP(IntComp24[[#This Row],[DEVELOPMENT]],Data[],9,FALSE)=0,5,VLOOKUP(IntComp24[[#This Row],[DEVELOPMENT]],Data[],9,FALSE))</f>
        <v>5</v>
      </c>
      <c r="H168" s="50">
        <f>VLOOKUP(IntComp24[[#This Row],[DEVELOPMENT]],Data[],7,FALSE)</f>
        <v>329</v>
      </c>
      <c r="I168" s="50">
        <f>VLOOKUP(IntComp24[[#This Row],[DEVELOPMENT]],Data[],5,FALSE)</f>
        <v>5</v>
      </c>
      <c r="J168" s="50"/>
      <c r="K168" s="50" t="str">
        <f ca="1">IFERROR(VLOOKUP(IntComp24[[#This Row],[DEVELOPMENT]],Data[],4,FALSE),"")</f>
        <v>2026+</v>
      </c>
      <c r="L168" s="50" t="str">
        <f ca="1">IF(IntComp24[[#This Row],[RAD/PACT]]="","",IF(OR(IntComp24[[#This Row],[RAD/PACT]]="2022-2025",IntComp24[[#This Row],[RAD/PACT]]=2019,IntComp24[[#This Row],[RAD/PACT]]="2020-2021"),"Yes",""))</f>
        <v/>
      </c>
      <c r="M168" s="51">
        <f ca="1">IF(VLOOKUP(IntComp24[[#This Row],[DEVELOPMENT]],Data[],10,FALSE)=0,-1,DATEDIF(VLOOKUP(IntComp24[[#This Row],[DEVELOPMENT]],Data[],12,FALSE),TODAY(),"Y"))</f>
        <v>30</v>
      </c>
      <c r="N16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8" s="51"/>
      <c r="P168" s="51"/>
      <c r="Q168" s="51"/>
      <c r="R168" s="47">
        <f ca="1">(IntComp24[[#This Row],['# to Replace (MRST)]]*INDEX(UnitCosts[#All],MATCH(IntComp24[[#This Row],[WORK TYPE]],UnitCosts[Work Type],0)+1,2))*(1+((IntComp24[[#This Row],[est. Year]]-YEAR(TODAY()))*$R$2))</f>
        <v>0</v>
      </c>
      <c r="S168" s="1">
        <f ca="1">SUM(INDEX(IntComp24['# to Replace (MRST)],1):IntComp24[[#This Row],['# to Replace (MRST)]])</f>
        <v>67</v>
      </c>
      <c r="T168" s="51"/>
      <c r="U168" s="51">
        <f ca="1">IF(ISBLANK(IntComp24[[#This Row],[CALENDAR YEAR]]),ROUNDDOWN(IntComp24[[#This Row],[Count]]/50,0)+$U$1,IntComp24[[#This Row],[CALENDAR YEAR]])</f>
        <v>2023</v>
      </c>
      <c r="V168" s="69">
        <f t="shared" ca="1" si="3"/>
        <v>2579332.4375</v>
      </c>
      <c r="W168" s="5"/>
      <c r="X168"/>
    </row>
    <row r="169" spans="1:24" hidden="1">
      <c r="A169" s="13" t="s">
        <v>199</v>
      </c>
      <c r="B169" s="9" t="str">
        <f>VLOOKUP(A169,Data[],2,FALSE)</f>
        <v>BROOKLYN</v>
      </c>
      <c r="C169" s="9" t="s">
        <v>106</v>
      </c>
      <c r="D169" s="9" t="str">
        <f>VLOOKUP(IntComp24[[#This Row],[DEVELOPMENT]],Data[],52,FALSE)</f>
        <v>FEDERAL</v>
      </c>
      <c r="E169" s="50">
        <f>VLOOKUP(IntComp24[[#This Row],[DEVELOPMENT]],Data[],8,FALSE)</f>
        <v>0</v>
      </c>
      <c r="F169" s="50">
        <f>VLOOKUP(IntComp24[[#This Row],[DEVELOPMENT]],all[[DEVELOPMENT]:[MRST Ext. Comp. Priority]],13,FALSE)</f>
        <v>3</v>
      </c>
      <c r="G169" s="50">
        <f>IF(VLOOKUP(IntComp24[[#This Row],[DEVELOPMENT]],Data[],9,FALSE)=0,5,VLOOKUP(IntComp24[[#This Row],[DEVELOPMENT]],Data[],9,FALSE))</f>
        <v>5</v>
      </c>
      <c r="H169" s="50">
        <f>VLOOKUP(IntComp24[[#This Row],[DEVELOPMENT]],Data[],7,FALSE)</f>
        <v>894</v>
      </c>
      <c r="I169" s="50">
        <f>VLOOKUP(IntComp24[[#This Row],[DEVELOPMENT]],Data[],5,FALSE)</f>
        <v>13</v>
      </c>
      <c r="J169" s="50"/>
      <c r="K169" s="50" t="str">
        <f ca="1">IFERROR(VLOOKUP(IntComp24[[#This Row],[DEVELOPMENT]],Data[],4,FALSE),"")</f>
        <v>2026+</v>
      </c>
      <c r="L169" s="50" t="str">
        <f ca="1">IF(IntComp24[[#This Row],[RAD/PACT]]="","",IF(OR(IntComp24[[#This Row],[RAD/PACT]]="2022-2025",IntComp24[[#This Row],[RAD/PACT]]=2019,IntComp24[[#This Row],[RAD/PACT]]="2020-2021"),"Yes",""))</f>
        <v/>
      </c>
      <c r="M169" s="51">
        <f ca="1">IF(VLOOKUP(IntComp24[[#This Row],[DEVELOPMENT]],Data[],10,FALSE)=0,-1,DATEDIF(VLOOKUP(IntComp24[[#This Row],[DEVELOPMENT]],Data[],12,FALSE),TODAY(),"Y"))</f>
        <v>25</v>
      </c>
      <c r="N16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69" s="51"/>
      <c r="P169" s="51"/>
      <c r="Q169" s="51"/>
      <c r="R169" s="47">
        <f ca="1">(IntComp24[[#This Row],['# to Replace (MRST)]]*INDEX(UnitCosts[#All],MATCH(IntComp24[[#This Row],[WORK TYPE]],UnitCosts[Work Type],0)+1,2))*(1+((IntComp24[[#This Row],[est. Year]]-YEAR(TODAY()))*$R$2))</f>
        <v>0</v>
      </c>
      <c r="S169" s="1">
        <f ca="1">SUM(INDEX(IntComp24['# to Replace (MRST)],1):IntComp24[[#This Row],['# to Replace (MRST)]])</f>
        <v>67</v>
      </c>
      <c r="T169" s="51"/>
      <c r="U169" s="51">
        <f ca="1">IF(ISBLANK(IntComp24[[#This Row],[CALENDAR YEAR]]),ROUNDDOWN(IntComp24[[#This Row],[Count]]/50,0)+$U$1,IntComp24[[#This Row],[CALENDAR YEAR]])</f>
        <v>2023</v>
      </c>
      <c r="V169" s="69">
        <f t="shared" ca="1" si="3"/>
        <v>2579332.4375</v>
      </c>
      <c r="W169" s="5"/>
      <c r="X169"/>
    </row>
    <row r="170" spans="1:24" hidden="1">
      <c r="A170" s="13" t="s">
        <v>353</v>
      </c>
      <c r="B170" s="9" t="str">
        <f>VLOOKUP(A170,Data[],2,FALSE)</f>
        <v>BRONX</v>
      </c>
      <c r="C170" s="9" t="s">
        <v>106</v>
      </c>
      <c r="D170" s="9" t="str">
        <f>VLOOKUP(IntComp24[[#This Row],[DEVELOPMENT]],Data[],52,FALSE)</f>
        <v>FEDERAL</v>
      </c>
      <c r="E170" s="50">
        <f>VLOOKUP(IntComp24[[#This Row],[DEVELOPMENT]],Data[],8,FALSE)</f>
        <v>0</v>
      </c>
      <c r="F170" s="50">
        <f>VLOOKUP(IntComp24[[#This Row],[DEVELOPMENT]],all[[DEVELOPMENT]:[MRST Ext. Comp. Priority]],13,FALSE)</f>
        <v>3</v>
      </c>
      <c r="G170" s="50">
        <f>IF(VLOOKUP(IntComp24[[#This Row],[DEVELOPMENT]],Data[],9,FALSE)=0,5,VLOOKUP(IntComp24[[#This Row],[DEVELOPMENT]],Data[],9,FALSE))</f>
        <v>5</v>
      </c>
      <c r="H170" s="50">
        <f>VLOOKUP(IntComp24[[#This Row],[DEVELOPMENT]],Data[],7,FALSE)</f>
        <v>879</v>
      </c>
      <c r="I170" s="50">
        <f>VLOOKUP(IntComp24[[#This Row],[DEVELOPMENT]],Data[],5,FALSE)</f>
        <v>14</v>
      </c>
      <c r="J170" s="50"/>
      <c r="K170" s="50" t="str">
        <f ca="1">IFERROR(VLOOKUP(IntComp24[[#This Row],[DEVELOPMENT]],Data[],4,FALSE),"")</f>
        <v>2026+</v>
      </c>
      <c r="L170" s="50" t="str">
        <f ca="1">IF(IntComp24[[#This Row],[RAD/PACT]]="","",IF(OR(IntComp24[[#This Row],[RAD/PACT]]="2022-2025",IntComp24[[#This Row],[RAD/PACT]]=2019,IntComp24[[#This Row],[RAD/PACT]]="2020-2021"),"Yes",""))</f>
        <v/>
      </c>
      <c r="M170" s="51">
        <f ca="1">IF(VLOOKUP(IntComp24[[#This Row],[DEVELOPMENT]],Data[],10,FALSE)=0,-1,DATEDIF(VLOOKUP(IntComp24[[#This Row],[DEVELOPMENT]],Data[],12,FALSE),TODAY(),"Y"))</f>
        <v>26</v>
      </c>
      <c r="N17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70" s="51"/>
      <c r="P170" s="51"/>
      <c r="Q170" s="51"/>
      <c r="R170" s="47">
        <f ca="1">(IntComp24[[#This Row],['# to Replace (MRST)]]*INDEX(UnitCosts[#All],MATCH(IntComp24[[#This Row],[WORK TYPE]],UnitCosts[Work Type],0)+1,2))*(1+((IntComp24[[#This Row],[est. Year]]-YEAR(TODAY()))*$R$2))</f>
        <v>0</v>
      </c>
      <c r="S170" s="1">
        <f ca="1">SUM(INDEX(IntComp24['# to Replace (MRST)],1):IntComp24[[#This Row],['# to Replace (MRST)]])</f>
        <v>67</v>
      </c>
      <c r="T170" s="51"/>
      <c r="U170" s="51">
        <f ca="1">IF(ISBLANK(IntComp24[[#This Row],[CALENDAR YEAR]]),ROUNDDOWN(IntComp24[[#This Row],[Count]]/50,0)+$U$1,IntComp24[[#This Row],[CALENDAR YEAR]])</f>
        <v>2023</v>
      </c>
      <c r="V170" s="69">
        <f t="shared" ca="1" si="3"/>
        <v>2579332.4375</v>
      </c>
      <c r="W170" s="5"/>
      <c r="X170"/>
    </row>
    <row r="171" spans="1:24" hidden="1">
      <c r="A171" s="13" t="s">
        <v>243</v>
      </c>
      <c r="B171" s="9" t="str">
        <f>VLOOKUP(A171,Data[],2,FALSE)</f>
        <v>BRONX</v>
      </c>
      <c r="C171" s="9" t="s">
        <v>106</v>
      </c>
      <c r="D171" s="9" t="str">
        <f>VLOOKUP(IntComp24[[#This Row],[DEVELOPMENT]],Data[],52,FALSE)</f>
        <v>FEDERAL</v>
      </c>
      <c r="E171" s="50">
        <f>VLOOKUP(IntComp24[[#This Row],[DEVELOPMENT]],Data[],8,FALSE)</f>
        <v>0</v>
      </c>
      <c r="F171" s="50">
        <f>VLOOKUP(IntComp24[[#This Row],[DEVELOPMENT]],all[[DEVELOPMENT]:[MRST Ext. Comp. Priority]],13,FALSE)</f>
        <v>3</v>
      </c>
      <c r="G171" s="50">
        <f>IF(VLOOKUP(IntComp24[[#This Row],[DEVELOPMENT]],Data[],9,FALSE)=0,5,VLOOKUP(IntComp24[[#This Row],[DEVELOPMENT]],Data[],9,FALSE))</f>
        <v>5</v>
      </c>
      <c r="H171" s="50">
        <f>VLOOKUP(IntComp24[[#This Row],[DEVELOPMENT]],Data[],7,FALSE)</f>
        <v>131</v>
      </c>
      <c r="I171" s="50">
        <f>VLOOKUP(IntComp24[[#This Row],[DEVELOPMENT]],Data[],5,FALSE)</f>
        <v>1</v>
      </c>
      <c r="J171" s="50"/>
      <c r="K171" s="50" t="str">
        <f ca="1">IFERROR(VLOOKUP(IntComp24[[#This Row],[DEVELOPMENT]],Data[],4,FALSE),"")</f>
        <v>2026+</v>
      </c>
      <c r="L171" s="50" t="str">
        <f ca="1">IF(IntComp24[[#This Row],[RAD/PACT]]="","",IF(OR(IntComp24[[#This Row],[RAD/PACT]]="2022-2025",IntComp24[[#This Row],[RAD/PACT]]=2019,IntComp24[[#This Row],[RAD/PACT]]="2020-2021"),"Yes",""))</f>
        <v/>
      </c>
      <c r="M171" s="51">
        <f ca="1">IF(VLOOKUP(IntComp24[[#This Row],[DEVELOPMENT]],Data[],10,FALSE)=0,-1,DATEDIF(VLOOKUP(IntComp24[[#This Row],[DEVELOPMENT]],Data[],12,FALSE),TODAY(),"Y"))</f>
        <v>24</v>
      </c>
      <c r="N17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71" s="51"/>
      <c r="P171" s="51"/>
      <c r="Q171" s="51"/>
      <c r="R171" s="47">
        <f ca="1">(IntComp24[[#This Row],['# to Replace (MRST)]]*INDEX(UnitCosts[#All],MATCH(IntComp24[[#This Row],[WORK TYPE]],UnitCosts[Work Type],0)+1,2))*(1+((IntComp24[[#This Row],[est. Year]]-YEAR(TODAY()))*$R$2))</f>
        <v>0</v>
      </c>
      <c r="S171" s="1">
        <f ca="1">SUM(INDEX(IntComp24['# to Replace (MRST)],1):IntComp24[[#This Row],['# to Replace (MRST)]])</f>
        <v>67</v>
      </c>
      <c r="T171" s="51"/>
      <c r="U171" s="51">
        <f ca="1">IF(ISBLANK(IntComp24[[#This Row],[CALENDAR YEAR]]),ROUNDDOWN(IntComp24[[#This Row],[Count]]/50,0)+$U$1,IntComp24[[#This Row],[CALENDAR YEAR]])</f>
        <v>2023</v>
      </c>
      <c r="V171" s="69">
        <f t="shared" ca="1" si="3"/>
        <v>2579332.4375</v>
      </c>
      <c r="W171" s="5"/>
      <c r="X171"/>
    </row>
    <row r="172" spans="1:24" hidden="1">
      <c r="A172" s="13" t="s">
        <v>197</v>
      </c>
      <c r="B172" s="9" t="str">
        <f>VLOOKUP(A172,Data[],2,FALSE)</f>
        <v>BRONX</v>
      </c>
      <c r="C172" s="9" t="s">
        <v>106</v>
      </c>
      <c r="D172" s="9" t="str">
        <f>VLOOKUP(IntComp24[[#This Row],[DEVELOPMENT]],Data[],52,FALSE)</f>
        <v>FEDERAL</v>
      </c>
      <c r="E172" s="50">
        <f>VLOOKUP(IntComp24[[#This Row],[DEVELOPMENT]],Data[],8,FALSE)</f>
        <v>0</v>
      </c>
      <c r="F172" s="50">
        <f>VLOOKUP(IntComp24[[#This Row],[DEVELOPMENT]],all[[DEVELOPMENT]:[MRST Ext. Comp. Priority]],13,FALSE)</f>
        <v>3</v>
      </c>
      <c r="G172" s="50">
        <f>IF(VLOOKUP(IntComp24[[#This Row],[DEVELOPMENT]],Data[],9,FALSE)=0,5,VLOOKUP(IntComp24[[#This Row],[DEVELOPMENT]],Data[],9,FALSE))</f>
        <v>5</v>
      </c>
      <c r="H172" s="50">
        <f>VLOOKUP(IntComp24[[#This Row],[DEVELOPMENT]],Data[],7,FALSE)</f>
        <v>1495</v>
      </c>
      <c r="I172" s="50">
        <f>VLOOKUP(IntComp24[[#This Row],[DEVELOPMENT]],Data[],5,FALSE)</f>
        <v>28</v>
      </c>
      <c r="J172" s="50"/>
      <c r="K172" s="50" t="str">
        <f ca="1">IFERROR(VLOOKUP(IntComp24[[#This Row],[DEVELOPMENT]],Data[],4,FALSE),"")</f>
        <v>2026+</v>
      </c>
      <c r="L172" s="50" t="str">
        <f ca="1">IF(IntComp24[[#This Row],[RAD/PACT]]="","",IF(OR(IntComp24[[#This Row],[RAD/PACT]]="2022-2025",IntComp24[[#This Row],[RAD/PACT]]=2019,IntComp24[[#This Row],[RAD/PACT]]="2020-2021"),"Yes",""))</f>
        <v/>
      </c>
      <c r="M172" s="51">
        <f ca="1">IF(VLOOKUP(IntComp24[[#This Row],[DEVELOPMENT]],Data[],10,FALSE)=0,-1,DATEDIF(VLOOKUP(IntComp24[[#This Row],[DEVELOPMENT]],Data[],12,FALSE),TODAY(),"Y"))</f>
        <v>24</v>
      </c>
      <c r="N17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72" s="51"/>
      <c r="P172" s="51"/>
      <c r="Q172" s="51"/>
      <c r="R172" s="47">
        <f ca="1">(IntComp24[[#This Row],['# to Replace (MRST)]]*INDEX(UnitCosts[#All],MATCH(IntComp24[[#This Row],[WORK TYPE]],UnitCosts[Work Type],0)+1,2))*(1+((IntComp24[[#This Row],[est. Year]]-YEAR(TODAY()))*$R$2))</f>
        <v>0</v>
      </c>
      <c r="S172" s="1">
        <f ca="1">SUM(INDEX(IntComp24['# to Replace (MRST)],1):IntComp24[[#This Row],['# to Replace (MRST)]])</f>
        <v>67</v>
      </c>
      <c r="T172" s="51"/>
      <c r="U172" s="51">
        <f ca="1">IF(ISBLANK(IntComp24[[#This Row],[CALENDAR YEAR]]),ROUNDDOWN(IntComp24[[#This Row],[Count]]/50,0)+$U$1,IntComp24[[#This Row],[CALENDAR YEAR]])</f>
        <v>2023</v>
      </c>
      <c r="V172" s="69">
        <f t="shared" ca="1" si="3"/>
        <v>2579332.4375</v>
      </c>
      <c r="W172" s="5"/>
      <c r="X172"/>
    </row>
    <row r="173" spans="1:24" hidden="1">
      <c r="A173" s="13" t="s">
        <v>275</v>
      </c>
      <c r="B173" s="9" t="str">
        <f>VLOOKUP(A173,Data[],2,FALSE)</f>
        <v>BRONX</v>
      </c>
      <c r="C173" s="9" t="s">
        <v>106</v>
      </c>
      <c r="D173" s="9" t="str">
        <f>VLOOKUP(IntComp24[[#This Row],[DEVELOPMENT]],Data[],52,FALSE)</f>
        <v>FEDERAL</v>
      </c>
      <c r="E173" s="50">
        <f>VLOOKUP(IntComp24[[#This Row],[DEVELOPMENT]],Data[],8,FALSE)</f>
        <v>0</v>
      </c>
      <c r="F173" s="50">
        <f>VLOOKUP(IntComp24[[#This Row],[DEVELOPMENT]],all[[DEVELOPMENT]:[MRST Ext. Comp. Priority]],13,FALSE)</f>
        <v>3</v>
      </c>
      <c r="G173" s="50">
        <f>IF(VLOOKUP(IntComp24[[#This Row],[DEVELOPMENT]],Data[],9,FALSE)=0,5,VLOOKUP(IntComp24[[#This Row],[DEVELOPMENT]],Data[],9,FALSE))</f>
        <v>5</v>
      </c>
      <c r="H173" s="50">
        <f>VLOOKUP(IntComp24[[#This Row],[DEVELOPMENT]],Data[],7,FALSE)</f>
        <v>221</v>
      </c>
      <c r="I173" s="50">
        <f>VLOOKUP(IntComp24[[#This Row],[DEVELOPMENT]],Data[],5,FALSE)</f>
        <v>2</v>
      </c>
      <c r="J173" s="50"/>
      <c r="K173" s="50" t="str">
        <f ca="1">IFERROR(VLOOKUP(IntComp24[[#This Row],[DEVELOPMENT]],Data[],4,FALSE),"")</f>
        <v>2022-2025</v>
      </c>
      <c r="L173" s="50" t="str">
        <f ca="1">IF(IntComp24[[#This Row],[RAD/PACT]]="","",IF(OR(IntComp24[[#This Row],[RAD/PACT]]="2022-2025",IntComp24[[#This Row],[RAD/PACT]]=2019,IntComp24[[#This Row],[RAD/PACT]]="2020-2021"),"Yes",""))</f>
        <v>Yes</v>
      </c>
      <c r="M173" s="51">
        <f ca="1">IF(VLOOKUP(IntComp24[[#This Row],[DEVELOPMENT]],Data[],10,FALSE)=0,-1,DATEDIF(VLOOKUP(IntComp24[[#This Row],[DEVELOPMENT]],Data[],12,FALSE),TODAY(),"Y"))</f>
        <v>24</v>
      </c>
      <c r="N17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73" s="51"/>
      <c r="P173" s="51"/>
      <c r="Q173" s="51"/>
      <c r="R173" s="47">
        <f ca="1">(IntComp24[[#This Row],['# to Replace (MRST)]]*INDEX(UnitCosts[#All],MATCH(IntComp24[[#This Row],[WORK TYPE]],UnitCosts[Work Type],0)+1,2))*(1+((IntComp24[[#This Row],[est. Year]]-YEAR(TODAY()))*$R$2))</f>
        <v>0</v>
      </c>
      <c r="S173" s="1">
        <f ca="1">SUM(INDEX(IntComp24['# to Replace (MRST)],1):IntComp24[[#This Row],['# to Replace (MRST)]])</f>
        <v>67</v>
      </c>
      <c r="T173" s="51"/>
      <c r="U173" s="51">
        <f ca="1">IF(ISBLANK(IntComp24[[#This Row],[CALENDAR YEAR]]),ROUNDDOWN(IntComp24[[#This Row],[Count]]/50,0)+$U$1,IntComp24[[#This Row],[CALENDAR YEAR]])</f>
        <v>2023</v>
      </c>
      <c r="V173" s="69">
        <f t="shared" ca="1" si="3"/>
        <v>2579332.4375</v>
      </c>
      <c r="W173" s="5"/>
      <c r="X173"/>
    </row>
    <row r="174" spans="1:24" hidden="1">
      <c r="A174" s="13" t="s">
        <v>347</v>
      </c>
      <c r="B174" s="9" t="str">
        <f>VLOOKUP(A174,Data[],2,FALSE)</f>
        <v>STATEN ISLAND</v>
      </c>
      <c r="C174" s="9" t="s">
        <v>106</v>
      </c>
      <c r="D174" s="9" t="str">
        <f>VLOOKUP(IntComp24[[#This Row],[DEVELOPMENT]],Data[],52,FALSE)</f>
        <v>FEDERAL</v>
      </c>
      <c r="E174" s="50">
        <f>VLOOKUP(IntComp24[[#This Row],[DEVELOPMENT]],Data[],8,FALSE)</f>
        <v>0</v>
      </c>
      <c r="F174" s="50">
        <f>VLOOKUP(IntComp24[[#This Row],[DEVELOPMENT]],all[[DEVELOPMENT]:[MRST Ext. Comp. Priority]],13,FALSE)</f>
        <v>3</v>
      </c>
      <c r="G174" s="50">
        <f>IF(VLOOKUP(IntComp24[[#This Row],[DEVELOPMENT]],Data[],9,FALSE)=0,5,VLOOKUP(IntComp24[[#This Row],[DEVELOPMENT]],Data[],9,FALSE))</f>
        <v>5</v>
      </c>
      <c r="H174" s="50">
        <f>VLOOKUP(IntComp24[[#This Row],[DEVELOPMENT]],Data[],7,FALSE)</f>
        <v>276</v>
      </c>
      <c r="I174" s="50">
        <f>VLOOKUP(IntComp24[[#This Row],[DEVELOPMENT]],Data[],5,FALSE)</f>
        <v>1</v>
      </c>
      <c r="J174" s="50"/>
      <c r="K174" s="50" t="str">
        <f ca="1">IFERROR(VLOOKUP(IntComp24[[#This Row],[DEVELOPMENT]],Data[],4,FALSE),"")</f>
        <v/>
      </c>
      <c r="L174" s="50" t="str">
        <f ca="1">IF(IntComp24[[#This Row],[RAD/PACT]]="","",IF(OR(IntComp24[[#This Row],[RAD/PACT]]="2022-2025",IntComp24[[#This Row],[RAD/PACT]]=2019,IntComp24[[#This Row],[RAD/PACT]]="2020-2021"),"Yes",""))</f>
        <v/>
      </c>
      <c r="M174" s="51">
        <f ca="1">IF(VLOOKUP(IntComp24[[#This Row],[DEVELOPMENT]],Data[],10,FALSE)=0,-1,DATEDIF(VLOOKUP(IntComp24[[#This Row],[DEVELOPMENT]],Data[],12,FALSE),TODAY(),"Y"))</f>
        <v>23</v>
      </c>
      <c r="N17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74" s="51"/>
      <c r="P174" s="51"/>
      <c r="Q174" s="51"/>
      <c r="R174" s="47">
        <f ca="1">(IntComp24[[#This Row],['# to Replace (MRST)]]*INDEX(UnitCosts[#All],MATCH(IntComp24[[#This Row],[WORK TYPE]],UnitCosts[Work Type],0)+1,2))*(1+((IntComp24[[#This Row],[est. Year]]-YEAR(TODAY()))*$R$2))</f>
        <v>0</v>
      </c>
      <c r="S174" s="1">
        <f ca="1">SUM(INDEX(IntComp24['# to Replace (MRST)],1):IntComp24[[#This Row],['# to Replace (MRST)]])</f>
        <v>67</v>
      </c>
      <c r="T174" s="51"/>
      <c r="U174" s="51">
        <f ca="1">IF(ISBLANK(IntComp24[[#This Row],[CALENDAR YEAR]]),ROUNDDOWN(IntComp24[[#This Row],[Count]]/50,0)+$U$1,IntComp24[[#This Row],[CALENDAR YEAR]])</f>
        <v>2023</v>
      </c>
      <c r="V174" s="69">
        <f t="shared" ca="1" si="3"/>
        <v>2579332.4375</v>
      </c>
      <c r="W174" s="5"/>
      <c r="X174"/>
    </row>
    <row r="175" spans="1:24" hidden="1">
      <c r="A175" s="13" t="s">
        <v>190</v>
      </c>
      <c r="B175" s="9" t="str">
        <f>VLOOKUP(A175,Data[],2,FALSE)</f>
        <v>BROOKLYN</v>
      </c>
      <c r="C175" s="9" t="s">
        <v>106</v>
      </c>
      <c r="D175" s="9" t="str">
        <f>VLOOKUP(IntComp24[[#This Row],[DEVELOPMENT]],Data[],52,FALSE)</f>
        <v>FEDERAL</v>
      </c>
      <c r="E175" s="50">
        <f>VLOOKUP(IntComp24[[#This Row],[DEVELOPMENT]],Data[],8,FALSE)</f>
        <v>0</v>
      </c>
      <c r="F175" s="50">
        <f>VLOOKUP(IntComp24[[#This Row],[DEVELOPMENT]],all[[DEVELOPMENT]:[MRST Ext. Comp. Priority]],13,FALSE)</f>
        <v>3</v>
      </c>
      <c r="G175" s="50">
        <f>IF(VLOOKUP(IntComp24[[#This Row],[DEVELOPMENT]],Data[],9,FALSE)=0,5,VLOOKUP(IntComp24[[#This Row],[DEVELOPMENT]],Data[],9,FALSE))</f>
        <v>5</v>
      </c>
      <c r="H175" s="50">
        <f>VLOOKUP(IntComp24[[#This Row],[DEVELOPMENT]],Data[],7,FALSE)</f>
        <v>700</v>
      </c>
      <c r="I175" s="50">
        <f>VLOOKUP(IntComp24[[#This Row],[DEVELOPMENT]],Data[],5,FALSE)</f>
        <v>11</v>
      </c>
      <c r="J175" s="50"/>
      <c r="K175" s="50" t="str">
        <f ca="1">IFERROR(VLOOKUP(IntComp24[[#This Row],[DEVELOPMENT]],Data[],4,FALSE),"")</f>
        <v>2026+</v>
      </c>
      <c r="L175" s="50" t="str">
        <f ca="1">IF(IntComp24[[#This Row],[RAD/PACT]]="","",IF(OR(IntComp24[[#This Row],[RAD/PACT]]="2022-2025",IntComp24[[#This Row],[RAD/PACT]]=2019,IntComp24[[#This Row],[RAD/PACT]]="2020-2021"),"Yes",""))</f>
        <v/>
      </c>
      <c r="M175" s="51">
        <f ca="1">IF(VLOOKUP(IntComp24[[#This Row],[DEVELOPMENT]],Data[],10,FALSE)=0,-1,DATEDIF(VLOOKUP(IntComp24[[#This Row],[DEVELOPMENT]],Data[],12,FALSE),TODAY(),"Y"))</f>
        <v>21</v>
      </c>
      <c r="N17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75" s="51"/>
      <c r="P175" s="51"/>
      <c r="Q175" s="51"/>
      <c r="R175" s="47">
        <f ca="1">(IntComp24[[#This Row],['# to Replace (MRST)]]*INDEX(UnitCosts[#All],MATCH(IntComp24[[#This Row],[WORK TYPE]],UnitCosts[Work Type],0)+1,2))*(1+((IntComp24[[#This Row],[est. Year]]-YEAR(TODAY()))*$R$2))</f>
        <v>0</v>
      </c>
      <c r="S175" s="1">
        <f ca="1">SUM(INDEX(IntComp24['# to Replace (MRST)],1):IntComp24[[#This Row],['# to Replace (MRST)]])</f>
        <v>67</v>
      </c>
      <c r="T175" s="51"/>
      <c r="U175" s="51">
        <f ca="1">IF(ISBLANK(IntComp24[[#This Row],[CALENDAR YEAR]]),ROUNDDOWN(IntComp24[[#This Row],[Count]]/50,0)+$U$1,IntComp24[[#This Row],[CALENDAR YEAR]])</f>
        <v>2023</v>
      </c>
      <c r="V175" s="69">
        <f t="shared" ca="1" si="3"/>
        <v>2579332.4375</v>
      </c>
      <c r="W175" s="5"/>
      <c r="X175"/>
    </row>
    <row r="176" spans="1:24" hidden="1">
      <c r="A176" s="13" t="s">
        <v>317</v>
      </c>
      <c r="B176" s="9" t="str">
        <f>VLOOKUP(A176,Data[],2,FALSE)</f>
        <v>BRONX</v>
      </c>
      <c r="C176" s="9" t="s">
        <v>106</v>
      </c>
      <c r="D176" s="9" t="str">
        <f>VLOOKUP(IntComp24[[#This Row],[DEVELOPMENT]],Data[],52,FALSE)</f>
        <v>FEDERAL</v>
      </c>
      <c r="E176" s="50">
        <f>VLOOKUP(IntComp24[[#This Row],[DEVELOPMENT]],Data[],8,FALSE)</f>
        <v>0</v>
      </c>
      <c r="F176" s="50">
        <f>VLOOKUP(IntComp24[[#This Row],[DEVELOPMENT]],all[[DEVELOPMENT]:[MRST Ext. Comp. Priority]],13,FALSE)</f>
        <v>3</v>
      </c>
      <c r="G176" s="50">
        <f>IF(VLOOKUP(IntComp24[[#This Row],[DEVELOPMENT]],Data[],9,FALSE)=0,5,VLOOKUP(IntComp24[[#This Row],[DEVELOPMENT]],Data[],9,FALSE))</f>
        <v>5</v>
      </c>
      <c r="H176" s="50">
        <f>VLOOKUP(IntComp24[[#This Row],[DEVELOPMENT]],Data[],7,FALSE)</f>
        <v>877</v>
      </c>
      <c r="I176" s="50">
        <f>VLOOKUP(IntComp24[[#This Row],[DEVELOPMENT]],Data[],5,FALSE)</f>
        <v>10</v>
      </c>
      <c r="J176" s="50"/>
      <c r="K176" s="50" t="str">
        <f ca="1">IFERROR(VLOOKUP(IntComp24[[#This Row],[DEVELOPMENT]],Data[],4,FALSE),"")</f>
        <v>2026+</v>
      </c>
      <c r="L176" s="50" t="str">
        <f ca="1">IF(IntComp24[[#This Row],[RAD/PACT]]="","",IF(OR(IntComp24[[#This Row],[RAD/PACT]]="2022-2025",IntComp24[[#This Row],[RAD/PACT]]=2019,IntComp24[[#This Row],[RAD/PACT]]="2020-2021"),"Yes",""))</f>
        <v/>
      </c>
      <c r="M176" s="51">
        <f ca="1">IF(VLOOKUP(IntComp24[[#This Row],[DEVELOPMENT]],Data[],10,FALSE)=0,-1,DATEDIF(VLOOKUP(IntComp24[[#This Row],[DEVELOPMENT]],Data[],12,FALSE),TODAY(),"Y"))</f>
        <v>21</v>
      </c>
      <c r="N17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76" s="51"/>
      <c r="P176" s="51"/>
      <c r="Q176" s="51"/>
      <c r="R176" s="47">
        <f ca="1">(IntComp24[[#This Row],['# to Replace (MRST)]]*INDEX(UnitCosts[#All],MATCH(IntComp24[[#This Row],[WORK TYPE]],UnitCosts[Work Type],0)+1,2))*(1+((IntComp24[[#This Row],[est. Year]]-YEAR(TODAY()))*$R$2))</f>
        <v>0</v>
      </c>
      <c r="S176" s="1">
        <f ca="1">SUM(INDEX(IntComp24['# to Replace (MRST)],1):IntComp24[[#This Row],['# to Replace (MRST)]])</f>
        <v>67</v>
      </c>
      <c r="T176" s="51"/>
      <c r="U176" s="51">
        <f ca="1">IF(ISBLANK(IntComp24[[#This Row],[CALENDAR YEAR]]),ROUNDDOWN(IntComp24[[#This Row],[Count]]/50,0)+$U$1,IntComp24[[#This Row],[CALENDAR YEAR]])</f>
        <v>2023</v>
      </c>
      <c r="V176" s="69">
        <f t="shared" ca="1" si="3"/>
        <v>2579332.4375</v>
      </c>
      <c r="W176" s="5"/>
      <c r="X176"/>
    </row>
    <row r="177" spans="1:24" hidden="1">
      <c r="A177" s="13" t="s">
        <v>207</v>
      </c>
      <c r="B177" s="9" t="str">
        <f>VLOOKUP(A177,Data[],2,FALSE)</f>
        <v>BROOKLYN</v>
      </c>
      <c r="C177" s="9" t="s">
        <v>106</v>
      </c>
      <c r="D177" s="9" t="str">
        <f>VLOOKUP(IntComp24[[#This Row],[DEVELOPMENT]],Data[],52,FALSE)</f>
        <v>FEDERAL</v>
      </c>
      <c r="E177" s="50">
        <f>VLOOKUP(IntComp24[[#This Row],[DEVELOPMENT]],Data[],8,FALSE)</f>
        <v>0</v>
      </c>
      <c r="F177" s="50">
        <f>VLOOKUP(IntComp24[[#This Row],[DEVELOPMENT]],all[[DEVELOPMENT]:[MRST Ext. Comp. Priority]],13,FALSE)</f>
        <v>3</v>
      </c>
      <c r="G177" s="50">
        <f>IF(VLOOKUP(IntComp24[[#This Row],[DEVELOPMENT]],Data[],9,FALSE)=0,5,VLOOKUP(IntComp24[[#This Row],[DEVELOPMENT]],Data[],9,FALSE))</f>
        <v>5</v>
      </c>
      <c r="H177" s="50">
        <f>VLOOKUP(IntComp24[[#This Row],[DEVELOPMENT]],Data[],7,FALSE)</f>
        <v>1830</v>
      </c>
      <c r="I177" s="50">
        <f>VLOOKUP(IntComp24[[#This Row],[DEVELOPMENT]],Data[],5,FALSE)</f>
        <v>20</v>
      </c>
      <c r="J177" s="50"/>
      <c r="K177" s="50" t="str">
        <f ca="1">IFERROR(VLOOKUP(IntComp24[[#This Row],[DEVELOPMENT]],Data[],4,FALSE),"")</f>
        <v/>
      </c>
      <c r="L177" s="50" t="str">
        <f ca="1">IF(IntComp24[[#This Row],[RAD/PACT]]="","",IF(OR(IntComp24[[#This Row],[RAD/PACT]]="2022-2025",IntComp24[[#This Row],[RAD/PACT]]=2019,IntComp24[[#This Row],[RAD/PACT]]="2020-2021"),"Yes",""))</f>
        <v/>
      </c>
      <c r="M177" s="51">
        <f ca="1">IF(VLOOKUP(IntComp24[[#This Row],[DEVELOPMENT]],Data[],10,FALSE)=0,-1,DATEDIF(VLOOKUP(IntComp24[[#This Row],[DEVELOPMENT]],Data[],12,FALSE),TODAY(),"Y"))</f>
        <v>21</v>
      </c>
      <c r="N17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77" s="51"/>
      <c r="P177" s="51"/>
      <c r="Q177" s="51"/>
      <c r="R177" s="47">
        <f ca="1">(IntComp24[[#This Row],['# to Replace (MRST)]]*INDEX(UnitCosts[#All],MATCH(IntComp24[[#This Row],[WORK TYPE]],UnitCosts[Work Type],0)+1,2))*(1+((IntComp24[[#This Row],[est. Year]]-YEAR(TODAY()))*$R$2))</f>
        <v>0</v>
      </c>
      <c r="S177" s="1">
        <f ca="1">SUM(INDEX(IntComp24['# to Replace (MRST)],1):IntComp24[[#This Row],['# to Replace (MRST)]])</f>
        <v>67</v>
      </c>
      <c r="T177" s="51"/>
      <c r="U177" s="51">
        <f ca="1">IF(ISBLANK(IntComp24[[#This Row],[CALENDAR YEAR]]),ROUNDDOWN(IntComp24[[#This Row],[Count]]/50,0)+$U$1,IntComp24[[#This Row],[CALENDAR YEAR]])</f>
        <v>2023</v>
      </c>
      <c r="V177" s="69">
        <f t="shared" ca="1" si="3"/>
        <v>2579332.4375</v>
      </c>
      <c r="W177" s="5"/>
      <c r="X177"/>
    </row>
    <row r="178" spans="1:24" hidden="1">
      <c r="A178" s="13" t="s">
        <v>370</v>
      </c>
      <c r="B178" s="9" t="str">
        <f>VLOOKUP(A178,Data[],2,FALSE)</f>
        <v>BROOKLYN</v>
      </c>
      <c r="C178" s="9" t="s">
        <v>106</v>
      </c>
      <c r="D178" s="9" t="str">
        <f>VLOOKUP(IntComp24[[#This Row],[DEVELOPMENT]],Data[],52,FALSE)</f>
        <v>FEDERAL</v>
      </c>
      <c r="E178" s="50">
        <f>VLOOKUP(IntComp24[[#This Row],[DEVELOPMENT]],Data[],8,FALSE)</f>
        <v>0</v>
      </c>
      <c r="F178" s="50">
        <f>VLOOKUP(IntComp24[[#This Row],[DEVELOPMENT]],all[[DEVELOPMENT]:[MRST Ext. Comp. Priority]],13,FALSE)</f>
        <v>3</v>
      </c>
      <c r="G178" s="50">
        <f>IF(VLOOKUP(IntComp24[[#This Row],[DEVELOPMENT]],Data[],9,FALSE)=0,5,VLOOKUP(IntComp24[[#This Row],[DEVELOPMENT]],Data[],9,FALSE))</f>
        <v>5</v>
      </c>
      <c r="H178" s="50">
        <f>VLOOKUP(IntComp24[[#This Row],[DEVELOPMENT]],Data[],7,FALSE)</f>
        <v>525</v>
      </c>
      <c r="I178" s="50">
        <f>VLOOKUP(IntComp24[[#This Row],[DEVELOPMENT]],Data[],5,FALSE)</f>
        <v>5</v>
      </c>
      <c r="J178" s="50"/>
      <c r="K178" s="50" t="str">
        <f ca="1">IFERROR(VLOOKUP(IntComp24[[#This Row],[DEVELOPMENT]],Data[],4,FALSE),"")</f>
        <v/>
      </c>
      <c r="L178" s="50" t="str">
        <f ca="1">IF(IntComp24[[#This Row],[RAD/PACT]]="","",IF(OR(IntComp24[[#This Row],[RAD/PACT]]="2022-2025",IntComp24[[#This Row],[RAD/PACT]]=2019,IntComp24[[#This Row],[RAD/PACT]]="2020-2021"),"Yes",""))</f>
        <v/>
      </c>
      <c r="M178" s="51">
        <f ca="1">IF(VLOOKUP(IntComp24[[#This Row],[DEVELOPMENT]],Data[],10,FALSE)=0,-1,DATEDIF(VLOOKUP(IntComp24[[#This Row],[DEVELOPMENT]],Data[],12,FALSE),TODAY(),"Y"))</f>
        <v>21</v>
      </c>
      <c r="N17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78" s="51"/>
      <c r="P178" s="51"/>
      <c r="Q178" s="51"/>
      <c r="R178" s="47">
        <f ca="1">(IntComp24[[#This Row],['# to Replace (MRST)]]*INDEX(UnitCosts[#All],MATCH(IntComp24[[#This Row],[WORK TYPE]],UnitCosts[Work Type],0)+1,2))*(1+((IntComp24[[#This Row],[est. Year]]-YEAR(TODAY()))*$R$2))</f>
        <v>0</v>
      </c>
      <c r="S178" s="1">
        <f ca="1">SUM(INDEX(IntComp24['# to Replace (MRST)],1):IntComp24[[#This Row],['# to Replace (MRST)]])</f>
        <v>67</v>
      </c>
      <c r="T178" s="51"/>
      <c r="U178" s="51">
        <f ca="1">IF(ISBLANK(IntComp24[[#This Row],[CALENDAR YEAR]]),ROUNDDOWN(IntComp24[[#This Row],[Count]]/50,0)+$U$1,IntComp24[[#This Row],[CALENDAR YEAR]])</f>
        <v>2023</v>
      </c>
      <c r="V178" s="69">
        <f t="shared" ca="1" si="3"/>
        <v>2579332.4375</v>
      </c>
      <c r="W178" s="5"/>
      <c r="X178"/>
    </row>
    <row r="179" spans="1:24">
      <c r="A179" s="13" t="s">
        <v>262</v>
      </c>
      <c r="B179" s="9" t="str">
        <f>VLOOKUP(A179,Data[],2,FALSE)</f>
        <v>MANHATTAN</v>
      </c>
      <c r="C179" s="9" t="s">
        <v>106</v>
      </c>
      <c r="D179" s="9" t="str">
        <f>VLOOKUP(IntComp24[[#This Row],[DEVELOPMENT]],Data[],52,FALSE)</f>
        <v>MIXED FINANCE/LLC1</v>
      </c>
      <c r="E179" s="50">
        <f>VLOOKUP(IntComp24[[#This Row],[DEVELOPMENT]],Data[],8,FALSE)</f>
        <v>0</v>
      </c>
      <c r="F179" s="50">
        <f>VLOOKUP(IntComp24[[#This Row],[DEVELOPMENT]],all[[DEVELOPMENT]:[MRST Ext. Comp. Priority]],13,FALSE)</f>
        <v>3</v>
      </c>
      <c r="G179" s="50">
        <f>IF(VLOOKUP(IntComp24[[#This Row],[DEVELOPMENT]],Data[],9,FALSE)=0,5,VLOOKUP(IntComp24[[#This Row],[DEVELOPMENT]],Data[],9,FALSE))</f>
        <v>5</v>
      </c>
      <c r="H179" s="50">
        <f>VLOOKUP(IntComp24[[#This Row],[DEVELOPMENT]],Data[],7,FALSE)</f>
        <v>175</v>
      </c>
      <c r="I179" s="50">
        <f>VLOOKUP(IntComp24[[#This Row],[DEVELOPMENT]],Data[],5,FALSE)</f>
        <v>1</v>
      </c>
      <c r="J179" s="50"/>
      <c r="K179" s="50" t="str">
        <f ca="1">IFERROR(VLOOKUP(IntComp24[[#This Row],[DEVELOPMENT]],Data[],4,FALSE),"")</f>
        <v/>
      </c>
      <c r="L179" s="50" t="str">
        <f ca="1">IF(IntComp24[[#This Row],[RAD/PACT]]="","",IF(OR(IntComp24[[#This Row],[RAD/PACT]]="2022-2025",IntComp24[[#This Row],[RAD/PACT]]=2019,IntComp24[[#This Row],[RAD/PACT]]="2020-2021"),"Yes",""))</f>
        <v/>
      </c>
      <c r="M179" s="51">
        <f ca="1">IF(VLOOKUP(IntComp24[[#This Row],[DEVELOPMENT]],Data[],10,FALSE)=0,-1,DATEDIF(VLOOKUP(IntComp24[[#This Row],[DEVELOPMENT]],Data[],12,FALSE),TODAY(),"Y"))</f>
        <v>20</v>
      </c>
      <c r="N17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1</v>
      </c>
      <c r="O179" s="51"/>
      <c r="P179" s="51"/>
      <c r="Q179" s="51"/>
      <c r="R179" s="47">
        <f ca="1">(IntComp24[[#This Row],['# to Replace (MRST)]]*INDEX(UnitCosts[#All],MATCH(IntComp24[[#This Row],[WORK TYPE]],UnitCosts[Work Type],0)+1,2))*(1+((IntComp24[[#This Row],[est. Year]]-YEAR(TODAY()))*$R$2))</f>
        <v>69711.6875</v>
      </c>
      <c r="S179" s="1">
        <f ca="1">SUM(INDEX(IntComp24['# to Replace (MRST)],1):IntComp24[[#This Row],['# to Replace (MRST)]])</f>
        <v>68</v>
      </c>
      <c r="T179" s="51"/>
      <c r="U179" s="51">
        <f ca="1">IF(ISBLANK(IntComp24[[#This Row],[CALENDAR YEAR]]),ROUNDDOWN(IntComp24[[#This Row],[Count]]/50,0)+$U$1,IntComp24[[#This Row],[CALENDAR YEAR]])</f>
        <v>2023</v>
      </c>
      <c r="V179" s="69">
        <f t="shared" ca="1" si="3"/>
        <v>2649044.125</v>
      </c>
      <c r="W179" s="5"/>
      <c r="X179"/>
    </row>
    <row r="180" spans="1:24" hidden="1">
      <c r="A180" s="13" t="s">
        <v>386</v>
      </c>
      <c r="B180" s="9" t="str">
        <f>VLOOKUP(A180,Data[],2,FALSE)</f>
        <v>MANHATTAN</v>
      </c>
      <c r="C180" s="9" t="s">
        <v>106</v>
      </c>
      <c r="D180" s="9" t="str">
        <f>VLOOKUP(IntComp24[[#This Row],[DEVELOPMENT]],Data[],52,FALSE)</f>
        <v>MIXED FINANCE/LLC2</v>
      </c>
      <c r="E180" s="50" t="str">
        <f>VLOOKUP(IntComp24[[#This Row],[DEVELOPMENT]],Data[],8,FALSE)</f>
        <v>Zone 4</v>
      </c>
      <c r="F180" s="50">
        <f>VLOOKUP(IntComp24[[#This Row],[DEVELOPMENT]],all[[DEVELOPMENT]:[MRST Ext. Comp. Priority]],13,FALSE)</f>
        <v>3</v>
      </c>
      <c r="G180" s="50">
        <f>IF(VLOOKUP(IntComp24[[#This Row],[DEVELOPMENT]],Data[],9,FALSE)=0,5,VLOOKUP(IntComp24[[#This Row],[DEVELOPMENT]],Data[],9,FALSE))</f>
        <v>5</v>
      </c>
      <c r="H180" s="50">
        <f>VLOOKUP(IntComp24[[#This Row],[DEVELOPMENT]],Data[],7,FALSE)</f>
        <v>397</v>
      </c>
      <c r="I180" s="50">
        <f>VLOOKUP(IntComp24[[#This Row],[DEVELOPMENT]],Data[],5,FALSE)</f>
        <v>2</v>
      </c>
      <c r="J180" s="50"/>
      <c r="K180" s="50" t="str">
        <f ca="1">IFERROR(VLOOKUP(IntComp24[[#This Row],[DEVELOPMENT]],Data[],4,FALSE),"")</f>
        <v>2020-2021</v>
      </c>
      <c r="L180" s="50" t="str">
        <f ca="1">IF(IntComp24[[#This Row],[RAD/PACT]]="","",IF(OR(IntComp24[[#This Row],[RAD/PACT]]="2022-2025",IntComp24[[#This Row],[RAD/PACT]]=2019,IntComp24[[#This Row],[RAD/PACT]]="2020-2021"),"Yes",""))</f>
        <v>Yes</v>
      </c>
      <c r="M180" s="51">
        <f ca="1">IF(VLOOKUP(IntComp24[[#This Row],[DEVELOPMENT]],Data[],10,FALSE)=0,-1,DATEDIF(VLOOKUP(IntComp24[[#This Row],[DEVELOPMENT]],Data[],12,FALSE),TODAY(),"Y"))</f>
        <v>17</v>
      </c>
      <c r="N18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0" s="51"/>
      <c r="P180" s="51"/>
      <c r="Q180" s="51"/>
      <c r="R180" s="47">
        <f ca="1">(IntComp24[[#This Row],['# to Replace (MRST)]]*INDEX(UnitCosts[#All],MATCH(IntComp24[[#This Row],[WORK TYPE]],UnitCosts[Work Type],0)+1,2))*(1+((IntComp24[[#This Row],[est. Year]]-YEAR(TODAY()))*$R$2))</f>
        <v>0</v>
      </c>
      <c r="S180" s="1">
        <f ca="1">SUM(INDEX(IntComp24['# to Replace (MRST)],1):IntComp24[[#This Row],['# to Replace (MRST)]])</f>
        <v>68</v>
      </c>
      <c r="T180" s="51"/>
      <c r="U180" s="51">
        <f ca="1">IF(ISBLANK(IntComp24[[#This Row],[CALENDAR YEAR]]),ROUNDDOWN(IntComp24[[#This Row],[Count]]/50,0)+$U$1,IntComp24[[#This Row],[CALENDAR YEAR]])</f>
        <v>2023</v>
      </c>
      <c r="V180" s="69">
        <f t="shared" ca="1" si="3"/>
        <v>2649044.125</v>
      </c>
      <c r="W180" s="5"/>
      <c r="X180"/>
    </row>
    <row r="181" spans="1:24" hidden="1">
      <c r="A181" s="13" t="s">
        <v>221</v>
      </c>
      <c r="B181" s="9" t="str">
        <f>VLOOKUP(A181,Data[],2,FALSE)</f>
        <v>MANHATTAN</v>
      </c>
      <c r="C181" s="9" t="s">
        <v>106</v>
      </c>
      <c r="D181" s="9" t="str">
        <f>VLOOKUP(IntComp24[[#This Row],[DEVELOPMENT]],Data[],52,FALSE)</f>
        <v>FEDERAL</v>
      </c>
      <c r="E181" s="50" t="str">
        <f>VLOOKUP(IntComp24[[#This Row],[DEVELOPMENT]],Data[],8,FALSE)</f>
        <v>Zone 3</v>
      </c>
      <c r="F181" s="50">
        <f>VLOOKUP(IntComp24[[#This Row],[DEVELOPMENT]],all[[DEVELOPMENT]:[MRST Ext. Comp. Priority]],13,FALSE)</f>
        <v>3</v>
      </c>
      <c r="G181" s="50">
        <f>IF(VLOOKUP(IntComp24[[#This Row],[DEVELOPMENT]],Data[],9,FALSE)=0,5,VLOOKUP(IntComp24[[#This Row],[DEVELOPMENT]],Data[],9,FALSE))</f>
        <v>5</v>
      </c>
      <c r="H181" s="50">
        <f>VLOOKUP(IntComp24[[#This Row],[DEVELOPMENT]],Data[],7,FALSE)</f>
        <v>606</v>
      </c>
      <c r="I181" s="50">
        <f>VLOOKUP(IntComp24[[#This Row],[DEVELOPMENT]],Data[],5,FALSE)</f>
        <v>4</v>
      </c>
      <c r="J181" s="50"/>
      <c r="K181" s="50" t="str">
        <f ca="1">IFERROR(VLOOKUP(IntComp24[[#This Row],[DEVELOPMENT]],Data[],4,FALSE),"")</f>
        <v/>
      </c>
      <c r="L181" s="50" t="str">
        <f ca="1">IF(IntComp24[[#This Row],[RAD/PACT]]="","",IF(OR(IntComp24[[#This Row],[RAD/PACT]]="2022-2025",IntComp24[[#This Row],[RAD/PACT]]=2019,IntComp24[[#This Row],[RAD/PACT]]="2020-2021"),"Yes",""))</f>
        <v/>
      </c>
      <c r="M181" s="51">
        <f ca="1">IF(VLOOKUP(IntComp24[[#This Row],[DEVELOPMENT]],Data[],10,FALSE)=0,-1,DATEDIF(VLOOKUP(IntComp24[[#This Row],[DEVELOPMENT]],Data[],12,FALSE),TODAY(),"Y"))</f>
        <v>20</v>
      </c>
      <c r="N18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1" s="51"/>
      <c r="P181" s="51"/>
      <c r="Q181" s="51"/>
      <c r="R181" s="47">
        <f ca="1">(IntComp24[[#This Row],['# to Replace (MRST)]]*INDEX(UnitCosts[#All],MATCH(IntComp24[[#This Row],[WORK TYPE]],UnitCosts[Work Type],0)+1,2))*(1+((IntComp24[[#This Row],[est. Year]]-YEAR(TODAY()))*$R$2))</f>
        <v>0</v>
      </c>
      <c r="S181" s="1">
        <f ca="1">SUM(INDEX(IntComp24['# to Replace (MRST)],1):IntComp24[[#This Row],['# to Replace (MRST)]])</f>
        <v>68</v>
      </c>
      <c r="T181" s="51"/>
      <c r="U181" s="51">
        <f ca="1">IF(ISBLANK(IntComp24[[#This Row],[CALENDAR YEAR]]),ROUNDDOWN(IntComp24[[#This Row],[Count]]/50,0)+$U$1,IntComp24[[#This Row],[CALENDAR YEAR]])</f>
        <v>2023</v>
      </c>
      <c r="V181" s="69">
        <f t="shared" ca="1" si="3"/>
        <v>2649044.125</v>
      </c>
      <c r="W181" s="5"/>
      <c r="X181"/>
    </row>
    <row r="182" spans="1:24" hidden="1">
      <c r="A182" s="13" t="s">
        <v>211</v>
      </c>
      <c r="B182" s="9" t="str">
        <f>VLOOKUP(A182,Data[],2,FALSE)</f>
        <v>QUEENS</v>
      </c>
      <c r="C182" s="9" t="s">
        <v>106</v>
      </c>
      <c r="D182" s="9" t="str">
        <f>VLOOKUP(IntComp24[[#This Row],[DEVELOPMENT]],Data[],52,FALSE)</f>
        <v>FEDERAL</v>
      </c>
      <c r="E182" s="50">
        <f>VLOOKUP(IntComp24[[#This Row],[DEVELOPMENT]],Data[],8,FALSE)</f>
        <v>0</v>
      </c>
      <c r="F182" s="50">
        <f>VLOOKUP(IntComp24[[#This Row],[DEVELOPMENT]],all[[DEVELOPMENT]:[MRST Ext. Comp. Priority]],13,FALSE)</f>
        <v>3</v>
      </c>
      <c r="G182" s="50">
        <f>IF(VLOOKUP(IntComp24[[#This Row],[DEVELOPMENT]],Data[],9,FALSE)=0,5,VLOOKUP(IntComp24[[#This Row],[DEVELOPMENT]],Data[],9,FALSE))</f>
        <v>5</v>
      </c>
      <c r="H182" s="50">
        <f>VLOOKUP(IntComp24[[#This Row],[DEVELOPMENT]],Data[],7,FALSE)</f>
        <v>2069</v>
      </c>
      <c r="I182" s="50">
        <f>VLOOKUP(IntComp24[[#This Row],[DEVELOPMENT]],Data[],5,FALSE)</f>
        <v>35</v>
      </c>
      <c r="J182" s="50">
        <v>1</v>
      </c>
      <c r="K182" s="50" t="str">
        <f ca="1">IFERROR(VLOOKUP(IntComp24[[#This Row],[DEVELOPMENT]],Data[],4,FALSE),"")</f>
        <v>2026+</v>
      </c>
      <c r="L182" s="50" t="str">
        <f ca="1">IF(IntComp24[[#This Row],[RAD/PACT]]="","",IF(OR(IntComp24[[#This Row],[RAD/PACT]]="2022-2025",IntComp24[[#This Row],[RAD/PACT]]=2019,IntComp24[[#This Row],[RAD/PACT]]="2020-2021"),"Yes",""))</f>
        <v/>
      </c>
      <c r="M182" s="51">
        <f ca="1">IF(VLOOKUP(IntComp24[[#This Row],[DEVELOPMENT]],Data[],10,FALSE)=0,-1,DATEDIF(VLOOKUP(IntComp24[[#This Row],[DEVELOPMENT]],Data[],12,FALSE),TODAY(),"Y"))</f>
        <v>20</v>
      </c>
      <c r="N18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2" s="51"/>
      <c r="P182" s="51"/>
      <c r="Q182" s="51"/>
      <c r="R182" s="47">
        <f ca="1">(IntComp24[[#This Row],['# to Replace (MRST)]]*INDEX(UnitCosts[#All],MATCH(IntComp24[[#This Row],[WORK TYPE]],UnitCosts[Work Type],0)+1,2))*(1+((IntComp24[[#This Row],[est. Year]]-YEAR(TODAY()))*$R$2))</f>
        <v>0</v>
      </c>
      <c r="S182" s="1">
        <f ca="1">SUM(INDEX(IntComp24['# to Replace (MRST)],1):IntComp24[[#This Row],['# to Replace (MRST)]])</f>
        <v>68</v>
      </c>
      <c r="T182" s="51"/>
      <c r="U182" s="51">
        <f ca="1">IF(ISBLANK(IntComp24[[#This Row],[CALENDAR YEAR]]),ROUNDDOWN(IntComp24[[#This Row],[Count]]/50,0)+$U$1,IntComp24[[#This Row],[CALENDAR YEAR]])</f>
        <v>2023</v>
      </c>
      <c r="V182" s="69">
        <f t="shared" ca="1" si="3"/>
        <v>2649044.125</v>
      </c>
      <c r="W182" s="5"/>
      <c r="X182"/>
    </row>
    <row r="183" spans="1:24" hidden="1">
      <c r="A183" s="13" t="s">
        <v>375</v>
      </c>
      <c r="B183" s="9" t="str">
        <f>VLOOKUP(A183,Data[],2,FALSE)</f>
        <v>BROOKLYN</v>
      </c>
      <c r="C183" s="9" t="s">
        <v>106</v>
      </c>
      <c r="D183" s="9" t="str">
        <f>VLOOKUP(IntComp24[[#This Row],[DEVELOPMENT]],Data[],52,FALSE)</f>
        <v>FEDERAL</v>
      </c>
      <c r="E183" s="50">
        <f>VLOOKUP(IntComp24[[#This Row],[DEVELOPMENT]],Data[],8,FALSE)</f>
        <v>0</v>
      </c>
      <c r="F183" s="50">
        <f>VLOOKUP(IntComp24[[#This Row],[DEVELOPMENT]],all[[DEVELOPMENT]:[MRST Ext. Comp. Priority]],13,FALSE)</f>
        <v>3</v>
      </c>
      <c r="G183" s="50">
        <f>IF(VLOOKUP(IntComp24[[#This Row],[DEVELOPMENT]],Data[],9,FALSE)=0,5,VLOOKUP(IntComp24[[#This Row],[DEVELOPMENT]],Data[],9,FALSE))</f>
        <v>5</v>
      </c>
      <c r="H183" s="50">
        <f>VLOOKUP(IntComp24[[#This Row],[DEVELOPMENT]],Data[],7,FALSE)</f>
        <v>288</v>
      </c>
      <c r="I183" s="50">
        <f>VLOOKUP(IntComp24[[#This Row],[DEVELOPMENT]],Data[],5,FALSE)</f>
        <v>2</v>
      </c>
      <c r="J183" s="50"/>
      <c r="K183" s="50" t="str">
        <f ca="1">IFERROR(VLOOKUP(IntComp24[[#This Row],[DEVELOPMENT]],Data[],4,FALSE),"")</f>
        <v/>
      </c>
      <c r="L183" s="50" t="str">
        <f ca="1">IF(IntComp24[[#This Row],[RAD/PACT]]="","",IF(OR(IntComp24[[#This Row],[RAD/PACT]]="2022-2025",IntComp24[[#This Row],[RAD/PACT]]=2019,IntComp24[[#This Row],[RAD/PACT]]="2020-2021"),"Yes",""))</f>
        <v/>
      </c>
      <c r="M183" s="51">
        <f ca="1">IF(VLOOKUP(IntComp24[[#This Row],[DEVELOPMENT]],Data[],10,FALSE)=0,-1,DATEDIF(VLOOKUP(IntComp24[[#This Row],[DEVELOPMENT]],Data[],12,FALSE),TODAY(),"Y"))</f>
        <v>20</v>
      </c>
      <c r="N18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3" s="51"/>
      <c r="P183" s="51"/>
      <c r="Q183" s="51"/>
      <c r="R183" s="47">
        <f ca="1">(IntComp24[[#This Row],['# to Replace (MRST)]]*INDEX(UnitCosts[#All],MATCH(IntComp24[[#This Row],[WORK TYPE]],UnitCosts[Work Type],0)+1,2))*(1+((IntComp24[[#This Row],[est. Year]]-YEAR(TODAY()))*$R$2))</f>
        <v>0</v>
      </c>
      <c r="S183" s="1">
        <f ca="1">SUM(INDEX(IntComp24['# to Replace (MRST)],1):IntComp24[[#This Row],['# to Replace (MRST)]])</f>
        <v>68</v>
      </c>
      <c r="T183" s="51"/>
      <c r="U183" s="51">
        <f ca="1">IF(ISBLANK(IntComp24[[#This Row],[CALENDAR YEAR]]),ROUNDDOWN(IntComp24[[#This Row],[Count]]/50,0)+$U$1,IntComp24[[#This Row],[CALENDAR YEAR]])</f>
        <v>2023</v>
      </c>
      <c r="V183" s="69">
        <f t="shared" ca="1" si="3"/>
        <v>2649044.125</v>
      </c>
      <c r="W183" s="5"/>
      <c r="X183"/>
    </row>
    <row r="184" spans="1:24" hidden="1">
      <c r="A184" s="13" t="s">
        <v>348</v>
      </c>
      <c r="B184" s="9" t="str">
        <f>VLOOKUP(A184,Data[],2,FALSE)</f>
        <v>QUEENS</v>
      </c>
      <c r="C184" s="9" t="s">
        <v>106</v>
      </c>
      <c r="D184" s="9" t="str">
        <f>VLOOKUP(IntComp24[[#This Row],[DEVELOPMENT]],Data[],52,FALSE)</f>
        <v>FEDERAL</v>
      </c>
      <c r="E184" s="50">
        <f>VLOOKUP(IntComp24[[#This Row],[DEVELOPMENT]],Data[],8,FALSE)</f>
        <v>0</v>
      </c>
      <c r="F184" s="50">
        <f>VLOOKUP(IntComp24[[#This Row],[DEVELOPMENT]],all[[DEVELOPMENT]:[MRST Ext. Comp. Priority]],13,FALSE)</f>
        <v>3</v>
      </c>
      <c r="G184" s="50">
        <f>IF(VLOOKUP(IntComp24[[#This Row],[DEVELOPMENT]],Data[],9,FALSE)=0,5,VLOOKUP(IntComp24[[#This Row],[DEVELOPMENT]],Data[],9,FALSE))</f>
        <v>5</v>
      </c>
      <c r="H184" s="50">
        <f>VLOOKUP(IntComp24[[#This Row],[DEVELOPMENT]],Data[],7,FALSE)</f>
        <v>417</v>
      </c>
      <c r="I184" s="50">
        <f>VLOOKUP(IntComp24[[#This Row],[DEVELOPMENT]],Data[],5,FALSE)</f>
        <v>7</v>
      </c>
      <c r="J184" s="50"/>
      <c r="K184" s="50" t="str">
        <f ca="1">IFERROR(VLOOKUP(IntComp24[[#This Row],[DEVELOPMENT]],Data[],4,FALSE),"")</f>
        <v>2026+</v>
      </c>
      <c r="L184" s="50" t="str">
        <f ca="1">IF(IntComp24[[#This Row],[RAD/PACT]]="","",IF(OR(IntComp24[[#This Row],[RAD/PACT]]="2022-2025",IntComp24[[#This Row],[RAD/PACT]]=2019,IntComp24[[#This Row],[RAD/PACT]]="2020-2021"),"Yes",""))</f>
        <v/>
      </c>
      <c r="M184" s="51">
        <f ca="1">IF(VLOOKUP(IntComp24[[#This Row],[DEVELOPMENT]],Data[],10,FALSE)=0,-1,DATEDIF(VLOOKUP(IntComp24[[#This Row],[DEVELOPMENT]],Data[],12,FALSE),TODAY(),"Y"))</f>
        <v>19</v>
      </c>
      <c r="N18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4" s="51"/>
      <c r="P184" s="51"/>
      <c r="Q184" s="51"/>
      <c r="R184" s="47">
        <f ca="1">(IntComp24[[#This Row],['# to Replace (MRST)]]*INDEX(UnitCosts[#All],MATCH(IntComp24[[#This Row],[WORK TYPE]],UnitCosts[Work Type],0)+1,2))*(1+((IntComp24[[#This Row],[est. Year]]-YEAR(TODAY()))*$R$2))</f>
        <v>0</v>
      </c>
      <c r="S184" s="1">
        <f ca="1">SUM(INDEX(IntComp24['# to Replace (MRST)],1):IntComp24[[#This Row],['# to Replace (MRST)]])</f>
        <v>68</v>
      </c>
      <c r="T184" s="51"/>
      <c r="U184" s="51">
        <f ca="1">IF(ISBLANK(IntComp24[[#This Row],[CALENDAR YEAR]]),ROUNDDOWN(IntComp24[[#This Row],[Count]]/50,0)+$U$1,IntComp24[[#This Row],[CALENDAR YEAR]])</f>
        <v>2023</v>
      </c>
      <c r="V184" s="69">
        <f t="shared" ca="1" si="3"/>
        <v>2649044.125</v>
      </c>
      <c r="W184" s="5"/>
      <c r="X184"/>
    </row>
    <row r="185" spans="1:24" hidden="1">
      <c r="A185" s="13" t="s">
        <v>272</v>
      </c>
      <c r="B185" s="9" t="str">
        <f>VLOOKUP(A185,Data[],2,FALSE)</f>
        <v>QUEENS</v>
      </c>
      <c r="C185" s="9" t="s">
        <v>106</v>
      </c>
      <c r="D185" s="9" t="str">
        <f>VLOOKUP(IntComp24[[#This Row],[DEVELOPMENT]],Data[],52,FALSE)</f>
        <v>FEDERAL</v>
      </c>
      <c r="E185" s="50">
        <f>VLOOKUP(IntComp24[[#This Row],[DEVELOPMENT]],Data[],8,FALSE)</f>
        <v>0</v>
      </c>
      <c r="F185" s="50">
        <f>VLOOKUP(IntComp24[[#This Row],[DEVELOPMENT]],all[[DEVELOPMENT]:[MRST Ext. Comp. Priority]],13,FALSE)</f>
        <v>3</v>
      </c>
      <c r="G185" s="50">
        <f>IF(VLOOKUP(IntComp24[[#This Row],[DEVELOPMENT]],Data[],9,FALSE)=0,5,VLOOKUP(IntComp24[[#This Row],[DEVELOPMENT]],Data[],9,FALSE))</f>
        <v>5</v>
      </c>
      <c r="H185" s="50">
        <f>VLOOKUP(IntComp24[[#This Row],[DEVELOPMENT]],Data[],7,FALSE)</f>
        <v>1104</v>
      </c>
      <c r="I185" s="50">
        <f>VLOOKUP(IntComp24[[#This Row],[DEVELOPMENT]],Data[],5,FALSE)</f>
        <v>22</v>
      </c>
      <c r="J185" s="50"/>
      <c r="K185" s="50" t="str">
        <f ca="1">IFERROR(VLOOKUP(IntComp24[[#This Row],[DEVELOPMENT]],Data[],4,FALSE),"")</f>
        <v>2022-2025</v>
      </c>
      <c r="L185" s="50" t="str">
        <f ca="1">IF(IntComp24[[#This Row],[RAD/PACT]]="","",IF(OR(IntComp24[[#This Row],[RAD/PACT]]="2022-2025",IntComp24[[#This Row],[RAD/PACT]]=2019,IntComp24[[#This Row],[RAD/PACT]]="2020-2021"),"Yes",""))</f>
        <v>Yes</v>
      </c>
      <c r="M185" s="51">
        <f ca="1">IF(VLOOKUP(IntComp24[[#This Row],[DEVELOPMENT]],Data[],10,FALSE)=0,-1,DATEDIF(VLOOKUP(IntComp24[[#This Row],[DEVELOPMENT]],Data[],12,FALSE),TODAY(),"Y"))</f>
        <v>18</v>
      </c>
      <c r="N18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5" s="51"/>
      <c r="P185" s="51"/>
      <c r="Q185" s="51"/>
      <c r="R185" s="47">
        <f ca="1">(IntComp24[[#This Row],['# to Replace (MRST)]]*INDEX(UnitCosts[#All],MATCH(IntComp24[[#This Row],[WORK TYPE]],UnitCosts[Work Type],0)+1,2))*(1+((IntComp24[[#This Row],[est. Year]]-YEAR(TODAY()))*$R$2))</f>
        <v>0</v>
      </c>
      <c r="S185" s="1">
        <f ca="1">SUM(INDEX(IntComp24['# to Replace (MRST)],1):IntComp24[[#This Row],['# to Replace (MRST)]])</f>
        <v>68</v>
      </c>
      <c r="T185" s="51"/>
      <c r="U185" s="51">
        <f ca="1">IF(ISBLANK(IntComp24[[#This Row],[CALENDAR YEAR]]),ROUNDDOWN(IntComp24[[#This Row],[Count]]/50,0)+$U$1,IntComp24[[#This Row],[CALENDAR YEAR]])</f>
        <v>2023</v>
      </c>
      <c r="V185" s="69">
        <f t="shared" ca="1" si="3"/>
        <v>2649044.125</v>
      </c>
      <c r="W185" s="5"/>
      <c r="X185"/>
    </row>
    <row r="186" spans="1:24" hidden="1">
      <c r="A186" s="13" t="s">
        <v>253</v>
      </c>
      <c r="B186" s="9" t="str">
        <f>VLOOKUP(A186,Data[],2,FALSE)</f>
        <v>BRONX</v>
      </c>
      <c r="C186" s="9" t="s">
        <v>106</v>
      </c>
      <c r="D186" s="9" t="str">
        <f>VLOOKUP(IntComp24[[#This Row],[DEVELOPMENT]],Data[],52,FALSE)</f>
        <v>FEDERAL</v>
      </c>
      <c r="E186" s="50">
        <f>VLOOKUP(IntComp24[[#This Row],[DEVELOPMENT]],Data[],8,FALSE)</f>
        <v>0</v>
      </c>
      <c r="F186" s="50">
        <f>VLOOKUP(IntComp24[[#This Row],[DEVELOPMENT]],all[[DEVELOPMENT]:[MRST Ext. Comp. Priority]],13,FALSE)</f>
        <v>3</v>
      </c>
      <c r="G186" s="50">
        <f>IF(VLOOKUP(IntComp24[[#This Row],[DEVELOPMENT]],Data[],9,FALSE)=0,5,VLOOKUP(IntComp24[[#This Row],[DEVELOPMENT]],Data[],9,FALSE))</f>
        <v>5</v>
      </c>
      <c r="H186" s="50">
        <f>VLOOKUP(IntComp24[[#This Row],[DEVELOPMENT]],Data[],7,FALSE)</f>
        <v>411</v>
      </c>
      <c r="I186" s="50">
        <f>VLOOKUP(IntComp24[[#This Row],[DEVELOPMENT]],Data[],5,FALSE)</f>
        <v>7</v>
      </c>
      <c r="J186" s="50"/>
      <c r="K186" s="50" t="str">
        <f ca="1">IFERROR(VLOOKUP(IntComp24[[#This Row],[DEVELOPMENT]],Data[],4,FALSE),"")</f>
        <v>2022-2025</v>
      </c>
      <c r="L186" s="50" t="str">
        <f ca="1">IF(IntComp24[[#This Row],[RAD/PACT]]="","",IF(OR(IntComp24[[#This Row],[RAD/PACT]]="2022-2025",IntComp24[[#This Row],[RAD/PACT]]=2019,IntComp24[[#This Row],[RAD/PACT]]="2020-2021"),"Yes",""))</f>
        <v>Yes</v>
      </c>
      <c r="M186" s="51">
        <f ca="1">IF(VLOOKUP(IntComp24[[#This Row],[DEVELOPMENT]],Data[],10,FALSE)=0,-1,DATEDIF(VLOOKUP(IntComp24[[#This Row],[DEVELOPMENT]],Data[],12,FALSE),TODAY(),"Y"))</f>
        <v>18</v>
      </c>
      <c r="N18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6" s="51"/>
      <c r="P186" s="51"/>
      <c r="Q186" s="51"/>
      <c r="R186" s="47">
        <f ca="1">(IntComp24[[#This Row],['# to Replace (MRST)]]*INDEX(UnitCosts[#All],MATCH(IntComp24[[#This Row],[WORK TYPE]],UnitCosts[Work Type],0)+1,2))*(1+((IntComp24[[#This Row],[est. Year]]-YEAR(TODAY()))*$R$2))</f>
        <v>0</v>
      </c>
      <c r="S186" s="1">
        <f ca="1">SUM(INDEX(IntComp24['# to Replace (MRST)],1):IntComp24[[#This Row],['# to Replace (MRST)]])</f>
        <v>68</v>
      </c>
      <c r="T186" s="51"/>
      <c r="U186" s="51">
        <f ca="1">IF(ISBLANK(IntComp24[[#This Row],[CALENDAR YEAR]]),ROUNDDOWN(IntComp24[[#This Row],[Count]]/50,0)+$U$1,IntComp24[[#This Row],[CALENDAR YEAR]])</f>
        <v>2023</v>
      </c>
      <c r="V186" s="69">
        <f t="shared" ca="1" si="3"/>
        <v>2649044.125</v>
      </c>
      <c r="W186" s="5"/>
      <c r="X186"/>
    </row>
    <row r="187" spans="1:24" hidden="1">
      <c r="A187" s="13" t="s">
        <v>333</v>
      </c>
      <c r="B187" s="9" t="str">
        <f>VLOOKUP(A187,Data[],2,FALSE)</f>
        <v>MANHATTAN</v>
      </c>
      <c r="C187" s="9" t="s">
        <v>106</v>
      </c>
      <c r="D187" s="9" t="str">
        <f>VLOOKUP(IntComp24[[#This Row],[DEVELOPMENT]],Data[],52,FALSE)</f>
        <v>FEDERAL</v>
      </c>
      <c r="E187" s="50">
        <f>VLOOKUP(IntComp24[[#This Row],[DEVELOPMENT]],Data[],8,FALSE)</f>
        <v>0</v>
      </c>
      <c r="F187" s="50">
        <f>VLOOKUP(IntComp24[[#This Row],[DEVELOPMENT]],all[[DEVELOPMENT]:[MRST Ext. Comp. Priority]],13,FALSE)</f>
        <v>3</v>
      </c>
      <c r="G187" s="50">
        <f>IF(VLOOKUP(IntComp24[[#This Row],[DEVELOPMENT]],Data[],9,FALSE)=0,5,VLOOKUP(IntComp24[[#This Row],[DEVELOPMENT]],Data[],9,FALSE))</f>
        <v>5</v>
      </c>
      <c r="H187" s="50">
        <f>VLOOKUP(IntComp24[[#This Row],[DEVELOPMENT]],Data[],7,FALSE)</f>
        <v>536</v>
      </c>
      <c r="I187" s="50">
        <f>VLOOKUP(IntComp24[[#This Row],[DEVELOPMENT]],Data[],5,FALSE)</f>
        <v>2</v>
      </c>
      <c r="J187" s="50"/>
      <c r="K187" s="50" t="str">
        <f ca="1">IFERROR(VLOOKUP(IntComp24[[#This Row],[DEVELOPMENT]],Data[],4,FALSE),"")</f>
        <v/>
      </c>
      <c r="L187" s="50" t="str">
        <f ca="1">IF(IntComp24[[#This Row],[RAD/PACT]]="","",IF(OR(IntComp24[[#This Row],[RAD/PACT]]="2022-2025",IntComp24[[#This Row],[RAD/PACT]]=2019,IntComp24[[#This Row],[RAD/PACT]]="2020-2021"),"Yes",""))</f>
        <v/>
      </c>
      <c r="M187" s="51">
        <f ca="1">IF(VLOOKUP(IntComp24[[#This Row],[DEVELOPMENT]],Data[],10,FALSE)=0,-1,DATEDIF(VLOOKUP(IntComp24[[#This Row],[DEVELOPMENT]],Data[],12,FALSE),TODAY(),"Y"))</f>
        <v>18</v>
      </c>
      <c r="N18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7" s="51"/>
      <c r="P187" s="51"/>
      <c r="Q187" s="51"/>
      <c r="R187" s="47">
        <f ca="1">(IntComp24[[#This Row],['# to Replace (MRST)]]*INDEX(UnitCosts[#All],MATCH(IntComp24[[#This Row],[WORK TYPE]],UnitCosts[Work Type],0)+1,2))*(1+((IntComp24[[#This Row],[est. Year]]-YEAR(TODAY()))*$R$2))</f>
        <v>0</v>
      </c>
      <c r="S187" s="1">
        <f ca="1">SUM(INDEX(IntComp24['# to Replace (MRST)],1):IntComp24[[#This Row],['# to Replace (MRST)]])</f>
        <v>68</v>
      </c>
      <c r="T187" s="51"/>
      <c r="U187" s="51">
        <f ca="1">IF(ISBLANK(IntComp24[[#This Row],[CALENDAR YEAR]]),ROUNDDOWN(IntComp24[[#This Row],[Count]]/50,0)+$U$1,IntComp24[[#This Row],[CALENDAR YEAR]])</f>
        <v>2023</v>
      </c>
      <c r="V187" s="69">
        <f t="shared" ca="1" si="3"/>
        <v>2649044.125</v>
      </c>
      <c r="W187" s="5"/>
      <c r="X187"/>
    </row>
    <row r="188" spans="1:24" hidden="1">
      <c r="A188" s="13" t="s">
        <v>337</v>
      </c>
      <c r="B188" s="9" t="str">
        <f>VLOOKUP(A188,Data[],2,FALSE)</f>
        <v>MANHATTAN</v>
      </c>
      <c r="C188" s="9" t="s">
        <v>106</v>
      </c>
      <c r="D188" s="9" t="str">
        <f>VLOOKUP(IntComp24[[#This Row],[DEVELOPMENT]],Data[],52,FALSE)</f>
        <v>FEDERAL</v>
      </c>
      <c r="E188" s="50">
        <f>VLOOKUP(IntComp24[[#This Row],[DEVELOPMENT]],Data[],8,FALSE)</f>
        <v>0</v>
      </c>
      <c r="F188" s="50">
        <f>VLOOKUP(IntComp24[[#This Row],[DEVELOPMENT]],all[[DEVELOPMENT]:[MRST Ext. Comp. Priority]],13,FALSE)</f>
        <v>3</v>
      </c>
      <c r="G188" s="50">
        <f>IF(VLOOKUP(IntComp24[[#This Row],[DEVELOPMENT]],Data[],9,FALSE)=0,5,VLOOKUP(IntComp24[[#This Row],[DEVELOPMENT]],Data[],9,FALSE))</f>
        <v>5</v>
      </c>
      <c r="H188" s="50">
        <f>VLOOKUP(IntComp24[[#This Row],[DEVELOPMENT]],Data[],7,FALSE)</f>
        <v>634</v>
      </c>
      <c r="I188" s="50">
        <f>VLOOKUP(IntComp24[[#This Row],[DEVELOPMENT]],Data[],5,FALSE)</f>
        <v>3</v>
      </c>
      <c r="J188" s="50"/>
      <c r="K188" s="50" t="str">
        <f ca="1">IFERROR(VLOOKUP(IntComp24[[#This Row],[DEVELOPMENT]],Data[],4,FALSE),"")</f>
        <v/>
      </c>
      <c r="L188" s="50" t="str">
        <f ca="1">IF(IntComp24[[#This Row],[RAD/PACT]]="","",IF(OR(IntComp24[[#This Row],[RAD/PACT]]="2022-2025",IntComp24[[#This Row],[RAD/PACT]]=2019,IntComp24[[#This Row],[RAD/PACT]]="2020-2021"),"Yes",""))</f>
        <v/>
      </c>
      <c r="M188" s="51">
        <f ca="1">IF(VLOOKUP(IntComp24[[#This Row],[DEVELOPMENT]],Data[],10,FALSE)=0,-1,DATEDIF(VLOOKUP(IntComp24[[#This Row],[DEVELOPMENT]],Data[],12,FALSE),TODAY(),"Y"))</f>
        <v>18</v>
      </c>
      <c r="N18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8" s="51"/>
      <c r="P188" s="51"/>
      <c r="Q188" s="51"/>
      <c r="R188" s="47">
        <f ca="1">(IntComp24[[#This Row],['# to Replace (MRST)]]*INDEX(UnitCosts[#All],MATCH(IntComp24[[#This Row],[WORK TYPE]],UnitCosts[Work Type],0)+1,2))*(1+((IntComp24[[#This Row],[est. Year]]-YEAR(TODAY()))*$R$2))</f>
        <v>0</v>
      </c>
      <c r="S188" s="1">
        <f ca="1">SUM(INDEX(IntComp24['# to Replace (MRST)],1):IntComp24[[#This Row],['# to Replace (MRST)]])</f>
        <v>68</v>
      </c>
      <c r="T188" s="51"/>
      <c r="U188" s="51">
        <f ca="1">IF(ISBLANK(IntComp24[[#This Row],[CALENDAR YEAR]]),ROUNDDOWN(IntComp24[[#This Row],[Count]]/50,0)+$U$1,IntComp24[[#This Row],[CALENDAR YEAR]])</f>
        <v>2023</v>
      </c>
      <c r="V188" s="69">
        <f t="shared" ca="1" si="3"/>
        <v>2649044.125</v>
      </c>
      <c r="W188" s="5"/>
      <c r="X188"/>
    </row>
    <row r="189" spans="1:24" hidden="1">
      <c r="A189" s="13" t="s">
        <v>192</v>
      </c>
      <c r="B189" s="9" t="str">
        <f>VLOOKUP(A189,Data[],2,FALSE)</f>
        <v>BROOKLYN</v>
      </c>
      <c r="C189" s="9" t="s">
        <v>106</v>
      </c>
      <c r="D189" s="9" t="str">
        <f>VLOOKUP(IntComp24[[#This Row],[DEVELOPMENT]],Data[],52,FALSE)</f>
        <v>FEDERAL</v>
      </c>
      <c r="E189" s="50">
        <f>VLOOKUP(IntComp24[[#This Row],[DEVELOPMENT]],Data[],8,FALSE)</f>
        <v>0</v>
      </c>
      <c r="F189" s="50">
        <f>VLOOKUP(IntComp24[[#This Row],[DEVELOPMENT]],all[[DEVELOPMENT]:[MRST Ext. Comp. Priority]],13,FALSE)</f>
        <v>3</v>
      </c>
      <c r="G189" s="50">
        <f>IF(VLOOKUP(IntComp24[[#This Row],[DEVELOPMENT]],Data[],9,FALSE)=0,5,VLOOKUP(IntComp24[[#This Row],[DEVELOPMENT]],Data[],9,FALSE))</f>
        <v>5</v>
      </c>
      <c r="H189" s="50">
        <f>VLOOKUP(IntComp24[[#This Row],[DEVELOPMENT]],Data[],7,FALSE)</f>
        <v>534</v>
      </c>
      <c r="I189" s="50">
        <f>VLOOKUP(IntComp24[[#This Row],[DEVELOPMENT]],Data[],5,FALSE)</f>
        <v>4</v>
      </c>
      <c r="J189" s="50"/>
      <c r="K189" s="50" t="str">
        <f ca="1">IFERROR(VLOOKUP(IntComp24[[#This Row],[DEVELOPMENT]],Data[],4,FALSE),"")</f>
        <v/>
      </c>
      <c r="L189" s="50" t="str">
        <f ca="1">IF(IntComp24[[#This Row],[RAD/PACT]]="","",IF(OR(IntComp24[[#This Row],[RAD/PACT]]="2022-2025",IntComp24[[#This Row],[RAD/PACT]]=2019,IntComp24[[#This Row],[RAD/PACT]]="2020-2021"),"Yes",""))</f>
        <v/>
      </c>
      <c r="M189" s="51">
        <f ca="1">IF(VLOOKUP(IntComp24[[#This Row],[DEVELOPMENT]],Data[],10,FALSE)=0,-1,DATEDIF(VLOOKUP(IntComp24[[#This Row],[DEVELOPMENT]],Data[],12,FALSE),TODAY(),"Y"))</f>
        <v>17</v>
      </c>
      <c r="N18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89" s="51"/>
      <c r="P189" s="51"/>
      <c r="Q189" s="51"/>
      <c r="R189" s="47">
        <f ca="1">(IntComp24[[#This Row],['# to Replace (MRST)]]*INDEX(UnitCosts[#All],MATCH(IntComp24[[#This Row],[WORK TYPE]],UnitCosts[Work Type],0)+1,2))*(1+((IntComp24[[#This Row],[est. Year]]-YEAR(TODAY()))*$R$2))</f>
        <v>0</v>
      </c>
      <c r="S189" s="1">
        <f ca="1">SUM(INDEX(IntComp24['# to Replace (MRST)],1):IntComp24[[#This Row],['# to Replace (MRST)]])</f>
        <v>68</v>
      </c>
      <c r="T189" s="51"/>
      <c r="U189" s="51">
        <f ca="1">IF(ISBLANK(IntComp24[[#This Row],[CALENDAR YEAR]]),ROUNDDOWN(IntComp24[[#This Row],[Count]]/50,0)+$U$1,IntComp24[[#This Row],[CALENDAR YEAR]])</f>
        <v>2023</v>
      </c>
      <c r="V189" s="69">
        <f t="shared" ca="1" si="3"/>
        <v>2649044.125</v>
      </c>
      <c r="W189" s="5"/>
      <c r="X189"/>
    </row>
    <row r="190" spans="1:24" hidden="1">
      <c r="A190" s="13" t="s">
        <v>234</v>
      </c>
      <c r="B190" s="9" t="str">
        <f>VLOOKUP(A190,Data[],2,FALSE)</f>
        <v>BRONX</v>
      </c>
      <c r="C190" s="9" t="s">
        <v>106</v>
      </c>
      <c r="D190" s="9" t="str">
        <f>VLOOKUP(IntComp24[[#This Row],[DEVELOPMENT]],Data[],52,FALSE)</f>
        <v>FEDERAL</v>
      </c>
      <c r="E190" s="50">
        <f>VLOOKUP(IntComp24[[#This Row],[DEVELOPMENT]],Data[],8,FALSE)</f>
        <v>0</v>
      </c>
      <c r="F190" s="50">
        <f>VLOOKUP(IntComp24[[#This Row],[DEVELOPMENT]],all[[DEVELOPMENT]:[MRST Ext. Comp. Priority]],13,FALSE)</f>
        <v>3</v>
      </c>
      <c r="G190" s="50">
        <f>IF(VLOOKUP(IntComp24[[#This Row],[DEVELOPMENT]],Data[],9,FALSE)=0,5,VLOOKUP(IntComp24[[#This Row],[DEVELOPMENT]],Data[],9,FALSE))</f>
        <v>5</v>
      </c>
      <c r="H190" s="50">
        <f>VLOOKUP(IntComp24[[#This Row],[DEVELOPMENT]],Data[],7,FALSE)</f>
        <v>232</v>
      </c>
      <c r="I190" s="50">
        <f>VLOOKUP(IntComp24[[#This Row],[DEVELOPMENT]],Data[],5,FALSE)</f>
        <v>1</v>
      </c>
      <c r="J190" s="50"/>
      <c r="K190" s="50" t="str">
        <f ca="1">IFERROR(VLOOKUP(IntComp24[[#This Row],[DEVELOPMENT]],Data[],4,FALSE),"")</f>
        <v>2022-2025</v>
      </c>
      <c r="L190" s="50" t="str">
        <f ca="1">IF(IntComp24[[#This Row],[RAD/PACT]]="","",IF(OR(IntComp24[[#This Row],[RAD/PACT]]="2022-2025",IntComp24[[#This Row],[RAD/PACT]]=2019,IntComp24[[#This Row],[RAD/PACT]]="2020-2021"),"Yes",""))</f>
        <v>Yes</v>
      </c>
      <c r="M190" s="51">
        <f ca="1">IF(VLOOKUP(IntComp24[[#This Row],[DEVELOPMENT]],Data[],10,FALSE)=0,-1,DATEDIF(VLOOKUP(IntComp24[[#This Row],[DEVELOPMENT]],Data[],12,FALSE),TODAY(),"Y"))</f>
        <v>17</v>
      </c>
      <c r="N19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90" s="51"/>
      <c r="P190" s="51"/>
      <c r="Q190" s="51"/>
      <c r="R190" s="47">
        <f ca="1">(IntComp24[[#This Row],['# to Replace (MRST)]]*INDEX(UnitCosts[#All],MATCH(IntComp24[[#This Row],[WORK TYPE]],UnitCosts[Work Type],0)+1,2))*(1+((IntComp24[[#This Row],[est. Year]]-YEAR(TODAY()))*$R$2))</f>
        <v>0</v>
      </c>
      <c r="S190" s="1">
        <f ca="1">SUM(INDEX(IntComp24['# to Replace (MRST)],1):IntComp24[[#This Row],['# to Replace (MRST)]])</f>
        <v>68</v>
      </c>
      <c r="T190" s="51"/>
      <c r="U190" s="51">
        <f ca="1">IF(ISBLANK(IntComp24[[#This Row],[CALENDAR YEAR]]),ROUNDDOWN(IntComp24[[#This Row],[Count]]/50,0)+$U$1,IntComp24[[#This Row],[CALENDAR YEAR]])</f>
        <v>2023</v>
      </c>
      <c r="V190" s="69">
        <f t="shared" ca="1" si="3"/>
        <v>2649044.125</v>
      </c>
      <c r="W190" s="5"/>
      <c r="X190"/>
    </row>
    <row r="191" spans="1:24" hidden="1">
      <c r="A191" s="13" t="s">
        <v>213</v>
      </c>
      <c r="B191" s="9" t="str">
        <f>VLOOKUP(A191,Data[],2,FALSE)</f>
        <v>BROOKLYN</v>
      </c>
      <c r="C191" s="9" t="s">
        <v>106</v>
      </c>
      <c r="D191" s="9" t="str">
        <f>VLOOKUP(IntComp24[[#This Row],[DEVELOPMENT]],Data[],52,FALSE)</f>
        <v>FEDERAL</v>
      </c>
      <c r="E191" s="50">
        <f>VLOOKUP(IntComp24[[#This Row],[DEVELOPMENT]],Data[],8,FALSE)</f>
        <v>0</v>
      </c>
      <c r="F191" s="50">
        <f>VLOOKUP(IntComp24[[#This Row],[DEVELOPMENT]],all[[DEVELOPMENT]:[MRST Ext. Comp. Priority]],13,FALSE)</f>
        <v>3</v>
      </c>
      <c r="G191" s="50">
        <f>IF(VLOOKUP(IntComp24[[#This Row],[DEVELOPMENT]],Data[],9,FALSE)=0,5,VLOOKUP(IntComp24[[#This Row],[DEVELOPMENT]],Data[],9,FALSE))</f>
        <v>5</v>
      </c>
      <c r="H191" s="50">
        <f>VLOOKUP(IntComp24[[#This Row],[DEVELOPMENT]],Data[],7,FALSE)</f>
        <v>1404</v>
      </c>
      <c r="I191" s="50">
        <f>VLOOKUP(IntComp24[[#This Row],[DEVELOPMENT]],Data[],5,FALSE)</f>
        <v>16</v>
      </c>
      <c r="J191" s="50"/>
      <c r="K191" s="50" t="str">
        <f ca="1">IFERROR(VLOOKUP(IntComp24[[#This Row],[DEVELOPMENT]],Data[],4,FALSE),"")</f>
        <v>2022-2025</v>
      </c>
      <c r="L191" s="50" t="str">
        <f ca="1">IF(IntComp24[[#This Row],[RAD/PACT]]="","",IF(OR(IntComp24[[#This Row],[RAD/PACT]]="2022-2025",IntComp24[[#This Row],[RAD/PACT]]=2019,IntComp24[[#This Row],[RAD/PACT]]="2020-2021"),"Yes",""))</f>
        <v>Yes</v>
      </c>
      <c r="M191" s="51">
        <f ca="1">IF(VLOOKUP(IntComp24[[#This Row],[DEVELOPMENT]],Data[],10,FALSE)=0,-1,DATEDIF(VLOOKUP(IntComp24[[#This Row],[DEVELOPMENT]],Data[],12,FALSE),TODAY(),"Y"))</f>
        <v>17</v>
      </c>
      <c r="N19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91" s="51"/>
      <c r="P191" s="51"/>
      <c r="Q191" s="51"/>
      <c r="R191" s="47">
        <f ca="1">(IntComp24[[#This Row],['# to Replace (MRST)]]*INDEX(UnitCosts[#All],MATCH(IntComp24[[#This Row],[WORK TYPE]],UnitCosts[Work Type],0)+1,2))*(1+((IntComp24[[#This Row],[est. Year]]-YEAR(TODAY()))*$R$2))</f>
        <v>0</v>
      </c>
      <c r="S191" s="1">
        <f ca="1">SUM(INDEX(IntComp24['# to Replace (MRST)],1):IntComp24[[#This Row],['# to Replace (MRST)]])</f>
        <v>68</v>
      </c>
      <c r="T191" s="51"/>
      <c r="U191" s="51">
        <f ca="1">IF(ISBLANK(IntComp24[[#This Row],[CALENDAR YEAR]]),ROUNDDOWN(IntComp24[[#This Row],[Count]]/50,0)+$U$1,IntComp24[[#This Row],[CALENDAR YEAR]])</f>
        <v>2023</v>
      </c>
      <c r="V191" s="69">
        <f t="shared" ca="1" si="3"/>
        <v>2649044.125</v>
      </c>
      <c r="W191" s="5"/>
      <c r="X191"/>
    </row>
    <row r="192" spans="1:24">
      <c r="A192" s="13" t="s">
        <v>193</v>
      </c>
      <c r="B192" s="9" t="str">
        <f>VLOOKUP(A192,Data[],2,FALSE)</f>
        <v>BROOKLYN</v>
      </c>
      <c r="C192" s="9" t="s">
        <v>106</v>
      </c>
      <c r="D192" s="9" t="str">
        <f>VLOOKUP(IntComp24[[#This Row],[DEVELOPMENT]],Data[],52,FALSE)</f>
        <v>MIXED FINANCE/LLC1</v>
      </c>
      <c r="E192" s="50">
        <f>VLOOKUP(IntComp24[[#This Row],[DEVELOPMENT]],Data[],8,FALSE)</f>
        <v>0</v>
      </c>
      <c r="F192" s="50">
        <f>VLOOKUP(IntComp24[[#This Row],[DEVELOPMENT]],all[[DEVELOPMENT]:[MRST Ext. Comp. Priority]],13,FALSE)</f>
        <v>3</v>
      </c>
      <c r="G192" s="50">
        <f>IF(VLOOKUP(IntComp24[[#This Row],[DEVELOPMENT]],Data[],9,FALSE)=0,5,VLOOKUP(IntComp24[[#This Row],[DEVELOPMENT]],Data[],9,FALSE))</f>
        <v>5</v>
      </c>
      <c r="H192" s="50">
        <f>VLOOKUP(IntComp24[[#This Row],[DEVELOPMENT]],Data[],7,FALSE)</f>
        <v>1764</v>
      </c>
      <c r="I192" s="50">
        <f>VLOOKUP(IntComp24[[#This Row],[DEVELOPMENT]],Data[],5,FALSE)</f>
        <v>28</v>
      </c>
      <c r="J192" s="50"/>
      <c r="K192" s="50" t="str">
        <f ca="1">IFERROR(VLOOKUP(IntComp24[[#This Row],[DEVELOPMENT]],Data[],4,FALSE),"")</f>
        <v>2026+</v>
      </c>
      <c r="L192" s="50" t="str">
        <f ca="1">IF(IntComp24[[#This Row],[RAD/PACT]]="","",IF(OR(IntComp24[[#This Row],[RAD/PACT]]="2022-2025",IntComp24[[#This Row],[RAD/PACT]]=2019,IntComp24[[#This Row],[RAD/PACT]]="2020-2021"),"Yes",""))</f>
        <v/>
      </c>
      <c r="M192" s="51">
        <f ca="1">IF(VLOOKUP(IntComp24[[#This Row],[DEVELOPMENT]],Data[],10,FALSE)=0,-1,DATEDIF(VLOOKUP(IntComp24[[#This Row],[DEVELOPMENT]],Data[],12,FALSE),TODAY(),"Y"))</f>
        <v>19</v>
      </c>
      <c r="N19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28</v>
      </c>
      <c r="O192" s="51"/>
      <c r="P192" s="51"/>
      <c r="Q192" s="51"/>
      <c r="R192" s="47">
        <f ca="1">(IntComp24[[#This Row],['# to Replace (MRST)]]*INDEX(UnitCosts[#All],MATCH(IntComp24[[#This Row],[WORK TYPE]],UnitCosts[Work Type],0)+1,2))*(1+((IntComp24[[#This Row],[est. Year]]-YEAR(TODAY()))*$R$2))</f>
        <v>1951927.25</v>
      </c>
      <c r="S192" s="1">
        <f ca="1">SUM(INDEX(IntComp24['# to Replace (MRST)],1):IntComp24[[#This Row],['# to Replace (MRST)]])</f>
        <v>96</v>
      </c>
      <c r="T192" s="51"/>
      <c r="U192" s="51">
        <f ca="1">IF(ISBLANK(IntComp24[[#This Row],[CALENDAR YEAR]]),ROUNDDOWN(IntComp24[[#This Row],[Count]]/50,0)+$U$1,IntComp24[[#This Row],[CALENDAR YEAR]])</f>
        <v>2023</v>
      </c>
      <c r="V192" s="69">
        <f t="shared" ca="1" si="3"/>
        <v>4600971.375</v>
      </c>
      <c r="W192" s="5"/>
      <c r="X192"/>
    </row>
    <row r="193" spans="1:24" hidden="1">
      <c r="A193" s="13" t="s">
        <v>273</v>
      </c>
      <c r="B193" s="9" t="str">
        <f>VLOOKUP(A193,Data[],2,FALSE)</f>
        <v>BRONX</v>
      </c>
      <c r="C193" s="9" t="s">
        <v>106</v>
      </c>
      <c r="D193" s="9" t="str">
        <f>VLOOKUP(IntComp24[[#This Row],[DEVELOPMENT]],Data[],52,FALSE)</f>
        <v>FEDERAL</v>
      </c>
      <c r="E193" s="50">
        <f>VLOOKUP(IntComp24[[#This Row],[DEVELOPMENT]],Data[],8,FALSE)</f>
        <v>0</v>
      </c>
      <c r="F193" s="50">
        <f>VLOOKUP(IntComp24[[#This Row],[DEVELOPMENT]],all[[DEVELOPMENT]:[MRST Ext. Comp. Priority]],13,FALSE)</f>
        <v>3</v>
      </c>
      <c r="G193" s="50">
        <f>IF(VLOOKUP(IntComp24[[#This Row],[DEVELOPMENT]],Data[],9,FALSE)=0,5,VLOOKUP(IntComp24[[#This Row],[DEVELOPMENT]],Data[],9,FALSE))</f>
        <v>5</v>
      </c>
      <c r="H193" s="50">
        <f>VLOOKUP(IntComp24[[#This Row],[DEVELOPMENT]],Data[],7,FALSE)</f>
        <v>232</v>
      </c>
      <c r="I193" s="50">
        <f>VLOOKUP(IntComp24[[#This Row],[DEVELOPMENT]],Data[],5,FALSE)</f>
        <v>1</v>
      </c>
      <c r="J193" s="50"/>
      <c r="K193" s="50" t="str">
        <f ca="1">IFERROR(VLOOKUP(IntComp24[[#This Row],[DEVELOPMENT]],Data[],4,FALSE),"")</f>
        <v/>
      </c>
      <c r="L193" s="50" t="str">
        <f ca="1">IF(IntComp24[[#This Row],[RAD/PACT]]="","",IF(OR(IntComp24[[#This Row],[RAD/PACT]]="2022-2025",IntComp24[[#This Row],[RAD/PACT]]=2019,IntComp24[[#This Row],[RAD/PACT]]="2020-2021"),"Yes",""))</f>
        <v/>
      </c>
      <c r="M193" s="51">
        <f ca="1">IF(VLOOKUP(IntComp24[[#This Row],[DEVELOPMENT]],Data[],10,FALSE)=0,-1,DATEDIF(VLOOKUP(IntComp24[[#This Row],[DEVELOPMENT]],Data[],12,FALSE),TODAY(),"Y"))</f>
        <v>17</v>
      </c>
      <c r="N19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93" s="51"/>
      <c r="P193" s="51"/>
      <c r="Q193" s="51"/>
      <c r="R193" s="47">
        <f ca="1">(IntComp24[[#This Row],['# to Replace (MRST)]]*INDEX(UnitCosts[#All],MATCH(IntComp24[[#This Row],[WORK TYPE]],UnitCosts[Work Type],0)+1,2))*(1+((IntComp24[[#This Row],[est. Year]]-YEAR(TODAY()))*$R$2))</f>
        <v>0</v>
      </c>
      <c r="S193" s="1">
        <f ca="1">SUM(INDEX(IntComp24['# to Replace (MRST)],1):IntComp24[[#This Row],['# to Replace (MRST)]])</f>
        <v>96</v>
      </c>
      <c r="T193" s="51"/>
      <c r="U193" s="51">
        <f ca="1">IF(ISBLANK(IntComp24[[#This Row],[CALENDAR YEAR]]),ROUNDDOWN(IntComp24[[#This Row],[Count]]/50,0)+$U$1,IntComp24[[#This Row],[CALENDAR YEAR]])</f>
        <v>2023</v>
      </c>
      <c r="V193" s="69">
        <f t="shared" ca="1" si="3"/>
        <v>4600971.375</v>
      </c>
      <c r="W193" s="5"/>
      <c r="X193"/>
    </row>
    <row r="194" spans="1:24" hidden="1">
      <c r="A194" s="13" t="s">
        <v>252</v>
      </c>
      <c r="B194" s="9" t="str">
        <f>VLOOKUP(A194,Data[],2,FALSE)</f>
        <v>MANHATTAN</v>
      </c>
      <c r="C194" s="9" t="s">
        <v>106</v>
      </c>
      <c r="D194" s="9" t="str">
        <f>VLOOKUP(IntComp24[[#This Row],[DEVELOPMENT]],Data[],52,FALSE)</f>
        <v>FEDERAL</v>
      </c>
      <c r="E194" s="50" t="str">
        <f>VLOOKUP(IntComp24[[#This Row],[DEVELOPMENT]],Data[],8,FALSE)</f>
        <v>Zone 4</v>
      </c>
      <c r="F194" s="50">
        <f>VLOOKUP(IntComp24[[#This Row],[DEVELOPMENT]],all[[DEVELOPMENT]:[MRST Ext. Comp. Priority]],13,FALSE)</f>
        <v>3</v>
      </c>
      <c r="G194" s="50">
        <f>IF(VLOOKUP(IntComp24[[#This Row],[DEVELOPMENT]],Data[],9,FALSE)=0,5,VLOOKUP(IntComp24[[#This Row],[DEVELOPMENT]],Data[],9,FALSE))</f>
        <v>5</v>
      </c>
      <c r="H194" s="50">
        <f>VLOOKUP(IntComp24[[#This Row],[DEVELOPMENT]],Data[],7,FALSE)</f>
        <v>40</v>
      </c>
      <c r="I194" s="50">
        <f>VLOOKUP(IntComp24[[#This Row],[DEVELOPMENT]],Data[],5,FALSE)</f>
        <v>1</v>
      </c>
      <c r="J194" s="50"/>
      <c r="K194" s="50" t="str">
        <f ca="1">IFERROR(VLOOKUP(IntComp24[[#This Row],[DEVELOPMENT]],Data[],4,FALSE),"")</f>
        <v/>
      </c>
      <c r="L194" s="50" t="str">
        <f ca="1">IF(IntComp24[[#This Row],[RAD/PACT]]="","",IF(OR(IntComp24[[#This Row],[RAD/PACT]]="2022-2025",IntComp24[[#This Row],[RAD/PACT]]=2019,IntComp24[[#This Row],[RAD/PACT]]="2020-2021"),"Yes",""))</f>
        <v/>
      </c>
      <c r="M194" s="51">
        <f ca="1">IF(VLOOKUP(IntComp24[[#This Row],[DEVELOPMENT]],Data[],10,FALSE)=0,-1,DATEDIF(VLOOKUP(IntComp24[[#This Row],[DEVELOPMENT]],Data[],12,FALSE),TODAY(),"Y"))</f>
        <v>16</v>
      </c>
      <c r="N19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94" s="51"/>
      <c r="P194" s="51"/>
      <c r="Q194" s="51"/>
      <c r="R194" s="47">
        <f ca="1">(IntComp24[[#This Row],['# to Replace (MRST)]]*INDEX(UnitCosts[#All],MATCH(IntComp24[[#This Row],[WORK TYPE]],UnitCosts[Work Type],0)+1,2))*(1+((IntComp24[[#This Row],[est. Year]]-YEAR(TODAY()))*$R$2))</f>
        <v>0</v>
      </c>
      <c r="S194" s="1">
        <f ca="1">SUM(INDEX(IntComp24['# to Replace (MRST)],1):IntComp24[[#This Row],['# to Replace (MRST)]])</f>
        <v>96</v>
      </c>
      <c r="T194" s="51"/>
      <c r="U194" s="51">
        <f ca="1">IF(ISBLANK(IntComp24[[#This Row],[CALENDAR YEAR]]),ROUNDDOWN(IntComp24[[#This Row],[Count]]/50,0)+$U$1,IntComp24[[#This Row],[CALENDAR YEAR]])</f>
        <v>2023</v>
      </c>
      <c r="V194" s="69">
        <f t="shared" ca="1" si="3"/>
        <v>4600971.375</v>
      </c>
      <c r="W194" s="5"/>
      <c r="X194"/>
    </row>
    <row r="195" spans="1:24" hidden="1">
      <c r="A195" s="13" t="s">
        <v>271</v>
      </c>
      <c r="B195" s="9" t="str">
        <f>VLOOKUP(A195,Data[],2,FALSE)</f>
        <v>QUEENS</v>
      </c>
      <c r="C195" s="9" t="s">
        <v>106</v>
      </c>
      <c r="D195" s="9" t="str">
        <f>VLOOKUP(IntComp24[[#This Row],[DEVELOPMENT]],Data[],52,FALSE)</f>
        <v>FEDERAL</v>
      </c>
      <c r="E195" s="50">
        <f>VLOOKUP(IntComp24[[#This Row],[DEVELOPMENT]],Data[],8,FALSE)</f>
        <v>0</v>
      </c>
      <c r="F195" s="50">
        <f>VLOOKUP(IntComp24[[#This Row],[DEVELOPMENT]],all[[DEVELOPMENT]:[MRST Ext. Comp. Priority]],13,FALSE)</f>
        <v>3</v>
      </c>
      <c r="G195" s="50">
        <f>IF(VLOOKUP(IntComp24[[#This Row],[DEVELOPMENT]],Data[],9,FALSE)=0,5,VLOOKUP(IntComp24[[#This Row],[DEVELOPMENT]],Data[],9,FALSE))</f>
        <v>5</v>
      </c>
      <c r="H195" s="50">
        <f>VLOOKUP(IntComp24[[#This Row],[DEVELOPMENT]],Data[],7,FALSE)</f>
        <v>1355</v>
      </c>
      <c r="I195" s="50">
        <f>VLOOKUP(IntComp24[[#This Row],[DEVELOPMENT]],Data[],5,FALSE)</f>
        <v>20</v>
      </c>
      <c r="J195" s="50"/>
      <c r="K195" s="50" t="str">
        <f ca="1">IFERROR(VLOOKUP(IntComp24[[#This Row],[DEVELOPMENT]],Data[],4,FALSE),"")</f>
        <v/>
      </c>
      <c r="L195" s="50" t="str">
        <f ca="1">IF(IntComp24[[#This Row],[RAD/PACT]]="","",IF(OR(IntComp24[[#This Row],[RAD/PACT]]="2022-2025",IntComp24[[#This Row],[RAD/PACT]]=2019,IntComp24[[#This Row],[RAD/PACT]]="2020-2021"),"Yes",""))</f>
        <v/>
      </c>
      <c r="M195" s="51">
        <f ca="1">IF(VLOOKUP(IntComp24[[#This Row],[DEVELOPMENT]],Data[],10,FALSE)=0,-1,DATEDIF(VLOOKUP(IntComp24[[#This Row],[DEVELOPMENT]],Data[],12,FALSE),TODAY(),"Y"))</f>
        <v>17</v>
      </c>
      <c r="N19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95" s="51"/>
      <c r="P195" s="51"/>
      <c r="Q195" s="51"/>
      <c r="R195" s="47">
        <f ca="1">(IntComp24[[#This Row],['# to Replace (MRST)]]*INDEX(UnitCosts[#All],MATCH(IntComp24[[#This Row],[WORK TYPE]],UnitCosts[Work Type],0)+1,2))*(1+((IntComp24[[#This Row],[est. Year]]-YEAR(TODAY()))*$R$2))</f>
        <v>0</v>
      </c>
      <c r="S195" s="1">
        <f ca="1">SUM(INDEX(IntComp24['# to Replace (MRST)],1):IntComp24[[#This Row],['# to Replace (MRST)]])</f>
        <v>96</v>
      </c>
      <c r="T195" s="51"/>
      <c r="U195" s="51">
        <f ca="1">IF(ISBLANK(IntComp24[[#This Row],[CALENDAR YEAR]]),ROUNDDOWN(IntComp24[[#This Row],[Count]]/50,0)+$U$1,IntComp24[[#This Row],[CALENDAR YEAR]])</f>
        <v>2023</v>
      </c>
      <c r="V195" s="69">
        <f t="shared" ca="1" si="3"/>
        <v>4600971.375</v>
      </c>
      <c r="W195" s="5"/>
      <c r="X195"/>
    </row>
    <row r="196" spans="1:24" hidden="1">
      <c r="A196" s="13" t="s">
        <v>387</v>
      </c>
      <c r="B196" s="9" t="str">
        <f>VLOOKUP(A196,Data[],2,FALSE)</f>
        <v>BROOKLYN</v>
      </c>
      <c r="C196" s="9" t="s">
        <v>106</v>
      </c>
      <c r="D196" s="9" t="str">
        <f>VLOOKUP(IntComp24[[#This Row],[DEVELOPMENT]],Data[],52,FALSE)</f>
        <v>FEDERAL</v>
      </c>
      <c r="E196" s="50">
        <f>VLOOKUP(IntComp24[[#This Row],[DEVELOPMENT]],Data[],8,FALSE)</f>
        <v>0</v>
      </c>
      <c r="F196" s="50">
        <f>VLOOKUP(IntComp24[[#This Row],[DEVELOPMENT]],all[[DEVELOPMENT]:[MRST Ext. Comp. Priority]],13,FALSE)</f>
        <v>3</v>
      </c>
      <c r="G196" s="50">
        <f>IF(VLOOKUP(IntComp24[[#This Row],[DEVELOPMENT]],Data[],9,FALSE)=0,5,VLOOKUP(IntComp24[[#This Row],[DEVELOPMENT]],Data[],9,FALSE))</f>
        <v>5</v>
      </c>
      <c r="H196" s="50">
        <f>VLOOKUP(IntComp24[[#This Row],[DEVELOPMENT]],Data[],7,FALSE)</f>
        <v>407</v>
      </c>
      <c r="I196" s="50">
        <f>VLOOKUP(IntComp24[[#This Row],[DEVELOPMENT]],Data[],5,FALSE)</f>
        <v>2</v>
      </c>
      <c r="J196" s="50"/>
      <c r="K196" s="50" t="str">
        <f ca="1">IFERROR(VLOOKUP(IntComp24[[#This Row],[DEVELOPMENT]],Data[],4,FALSE),"")</f>
        <v/>
      </c>
      <c r="L196" s="50" t="str">
        <f ca="1">IF(IntComp24[[#This Row],[RAD/PACT]]="","",IF(OR(IntComp24[[#This Row],[RAD/PACT]]="2022-2025",IntComp24[[#This Row],[RAD/PACT]]=2019,IntComp24[[#This Row],[RAD/PACT]]="2020-2021"),"Yes",""))</f>
        <v/>
      </c>
      <c r="M196" s="51">
        <f ca="1">IF(VLOOKUP(IntComp24[[#This Row],[DEVELOPMENT]],Data[],10,FALSE)=0,-1,DATEDIF(VLOOKUP(IntComp24[[#This Row],[DEVELOPMENT]],Data[],12,FALSE),TODAY(),"Y"))</f>
        <v>17</v>
      </c>
      <c r="N19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96" s="51"/>
      <c r="P196" s="51"/>
      <c r="Q196" s="51"/>
      <c r="R196" s="47">
        <f ca="1">(IntComp24[[#This Row],['# to Replace (MRST)]]*INDEX(UnitCosts[#All],MATCH(IntComp24[[#This Row],[WORK TYPE]],UnitCosts[Work Type],0)+1,2))*(1+((IntComp24[[#This Row],[est. Year]]-YEAR(TODAY()))*$R$2))</f>
        <v>0</v>
      </c>
      <c r="S196" s="1">
        <f ca="1">SUM(INDEX(IntComp24['# to Replace (MRST)],1):IntComp24[[#This Row],['# to Replace (MRST)]])</f>
        <v>96</v>
      </c>
      <c r="T196" s="51"/>
      <c r="U196" s="51">
        <f ca="1">IF(ISBLANK(IntComp24[[#This Row],[CALENDAR YEAR]]),ROUNDDOWN(IntComp24[[#This Row],[Count]]/50,0)+$U$1,IntComp24[[#This Row],[CALENDAR YEAR]])</f>
        <v>2023</v>
      </c>
      <c r="V196" s="69">
        <f t="shared" ca="1" si="3"/>
        <v>4600971.375</v>
      </c>
      <c r="W196" s="5"/>
      <c r="X196"/>
    </row>
    <row r="197" spans="1:24" hidden="1">
      <c r="A197" s="13" t="s">
        <v>299</v>
      </c>
      <c r="B197" s="9" t="str">
        <f>VLOOKUP(A197,Data[],2,FALSE)</f>
        <v>BROOKLYN</v>
      </c>
      <c r="C197" s="9" t="s">
        <v>106</v>
      </c>
      <c r="D197" s="9" t="str">
        <f>VLOOKUP(IntComp24[[#This Row],[DEVELOPMENT]],Data[],52,FALSE)</f>
        <v>FEDERAL</v>
      </c>
      <c r="E197" s="50">
        <f>VLOOKUP(IntComp24[[#This Row],[DEVELOPMENT]],Data[],8,FALSE)</f>
        <v>0</v>
      </c>
      <c r="F197" s="50">
        <f>VLOOKUP(IntComp24[[#This Row],[DEVELOPMENT]],all[[DEVELOPMENT]:[MRST Ext. Comp. Priority]],13,FALSE)</f>
        <v>3</v>
      </c>
      <c r="G197" s="50">
        <f>IF(VLOOKUP(IntComp24[[#This Row],[DEVELOPMENT]],Data[],9,FALSE)=0,5,VLOOKUP(IntComp24[[#This Row],[DEVELOPMENT]],Data[],9,FALSE))</f>
        <v>5</v>
      </c>
      <c r="H197" s="50">
        <f>VLOOKUP(IntComp24[[#This Row],[DEVELOPMENT]],Data[],7,FALSE)</f>
        <v>299</v>
      </c>
      <c r="I197" s="50">
        <f>VLOOKUP(IntComp24[[#This Row],[DEVELOPMENT]],Data[],5,FALSE)</f>
        <v>1</v>
      </c>
      <c r="J197" s="50"/>
      <c r="K197" s="50" t="str">
        <f ca="1">IFERROR(VLOOKUP(IntComp24[[#This Row],[DEVELOPMENT]],Data[],4,FALSE),"")</f>
        <v/>
      </c>
      <c r="L197" s="50" t="str">
        <f ca="1">IF(IntComp24[[#This Row],[RAD/PACT]]="","",IF(OR(IntComp24[[#This Row],[RAD/PACT]]="2022-2025",IntComp24[[#This Row],[RAD/PACT]]=2019,IntComp24[[#This Row],[RAD/PACT]]="2020-2021"),"Yes",""))</f>
        <v/>
      </c>
      <c r="M197" s="51">
        <f ca="1">IF(VLOOKUP(IntComp24[[#This Row],[DEVELOPMENT]],Data[],10,FALSE)=0,-1,DATEDIF(VLOOKUP(IntComp24[[#This Row],[DEVELOPMENT]],Data[],12,FALSE),TODAY(),"Y"))</f>
        <v>16</v>
      </c>
      <c r="N19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97" s="51"/>
      <c r="P197" s="51"/>
      <c r="Q197" s="51"/>
      <c r="R197" s="47">
        <f ca="1">(IntComp24[[#This Row],['# to Replace (MRST)]]*INDEX(UnitCosts[#All],MATCH(IntComp24[[#This Row],[WORK TYPE]],UnitCosts[Work Type],0)+1,2))*(1+((IntComp24[[#This Row],[est. Year]]-YEAR(TODAY()))*$R$2))</f>
        <v>0</v>
      </c>
      <c r="S197" s="1">
        <f ca="1">SUM(INDEX(IntComp24['# to Replace (MRST)],1):IntComp24[[#This Row],['# to Replace (MRST)]])</f>
        <v>96</v>
      </c>
      <c r="T197" s="51"/>
      <c r="U197" s="51">
        <f ca="1">IF(ISBLANK(IntComp24[[#This Row],[CALENDAR YEAR]]),ROUNDDOWN(IntComp24[[#This Row],[Count]]/50,0)+$U$1,IntComp24[[#This Row],[CALENDAR YEAR]])</f>
        <v>2023</v>
      </c>
      <c r="V197" s="69">
        <f t="shared" ca="1" si="3"/>
        <v>4600971.375</v>
      </c>
      <c r="W197" s="5"/>
      <c r="X197"/>
    </row>
    <row r="198" spans="1:24" hidden="1">
      <c r="A198" s="13" t="s">
        <v>205</v>
      </c>
      <c r="B198" s="9" t="str">
        <f>VLOOKUP(A198,Data[],2,FALSE)</f>
        <v>BROOKLYN</v>
      </c>
      <c r="C198" s="9" t="s">
        <v>106</v>
      </c>
      <c r="D198" s="9" t="str">
        <f>VLOOKUP(IntComp24[[#This Row],[DEVELOPMENT]],Data[],52,FALSE)</f>
        <v>FEDERAL</v>
      </c>
      <c r="E198" s="50">
        <f>VLOOKUP(IntComp24[[#This Row],[DEVELOPMENT]],Data[],8,FALSE)</f>
        <v>0</v>
      </c>
      <c r="F198" s="50">
        <f>VLOOKUP(IntComp24[[#This Row],[DEVELOPMENT]],all[[DEVELOPMENT]:[MRST Ext. Comp. Priority]],13,FALSE)</f>
        <v>3</v>
      </c>
      <c r="G198" s="50">
        <f>IF(VLOOKUP(IntComp24[[#This Row],[DEVELOPMENT]],Data[],9,FALSE)=0,5,VLOOKUP(IntComp24[[#This Row],[DEVELOPMENT]],Data[],9,FALSE))</f>
        <v>5</v>
      </c>
      <c r="H198" s="50">
        <f>VLOOKUP(IntComp24[[#This Row],[DEVELOPMENT]],Data[],7,FALSE)</f>
        <v>439</v>
      </c>
      <c r="I198" s="50">
        <f>VLOOKUP(IntComp24[[#This Row],[DEVELOPMENT]],Data[],5,FALSE)</f>
        <v>4</v>
      </c>
      <c r="J198" s="50"/>
      <c r="K198" s="50" t="str">
        <f ca="1">IFERROR(VLOOKUP(IntComp24[[#This Row],[DEVELOPMENT]],Data[],4,FALSE),"")</f>
        <v/>
      </c>
      <c r="L198" s="50" t="str">
        <f ca="1">IF(IntComp24[[#This Row],[RAD/PACT]]="","",IF(OR(IntComp24[[#This Row],[RAD/PACT]]="2022-2025",IntComp24[[#This Row],[RAD/PACT]]=2019,IntComp24[[#This Row],[RAD/PACT]]="2020-2021"),"Yes",""))</f>
        <v/>
      </c>
      <c r="M198" s="51">
        <f ca="1">IF(VLOOKUP(IntComp24[[#This Row],[DEVELOPMENT]],Data[],10,FALSE)=0,-1,DATEDIF(VLOOKUP(IntComp24[[#This Row],[DEVELOPMENT]],Data[],12,FALSE),TODAY(),"Y"))</f>
        <v>16</v>
      </c>
      <c r="N19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98" s="51"/>
      <c r="P198" s="51"/>
      <c r="Q198" s="51"/>
      <c r="R198" s="47">
        <f ca="1">(IntComp24[[#This Row],['# to Replace (MRST)]]*INDEX(UnitCosts[#All],MATCH(IntComp24[[#This Row],[WORK TYPE]],UnitCosts[Work Type],0)+1,2))*(1+((IntComp24[[#This Row],[est. Year]]-YEAR(TODAY()))*$R$2))</f>
        <v>0</v>
      </c>
      <c r="S198" s="1">
        <f ca="1">SUM(INDEX(IntComp24['# to Replace (MRST)],1):IntComp24[[#This Row],['# to Replace (MRST)]])</f>
        <v>96</v>
      </c>
      <c r="T198" s="51"/>
      <c r="U198" s="51">
        <f ca="1">IF(ISBLANK(IntComp24[[#This Row],[CALENDAR YEAR]]),ROUNDDOWN(IntComp24[[#This Row],[Count]]/50,0)+$U$1,IntComp24[[#This Row],[CALENDAR YEAR]])</f>
        <v>2023</v>
      </c>
      <c r="V198" s="69">
        <f t="shared" ca="1" si="3"/>
        <v>4600971.375</v>
      </c>
      <c r="W198" s="5"/>
      <c r="X198"/>
    </row>
    <row r="199" spans="1:24" hidden="1">
      <c r="A199" s="13" t="s">
        <v>191</v>
      </c>
      <c r="B199" s="9" t="str">
        <f>VLOOKUP(A199,Data[],2,FALSE)</f>
        <v>BROOKLYN</v>
      </c>
      <c r="C199" s="9" t="s">
        <v>106</v>
      </c>
      <c r="D199" s="9" t="str">
        <f>VLOOKUP(IntComp24[[#This Row],[DEVELOPMENT]],Data[],52,FALSE)</f>
        <v>FEDERAL</v>
      </c>
      <c r="E199" s="50" t="str">
        <f>VLOOKUP(IntComp24[[#This Row],[DEVELOPMENT]],Data[],8,FALSE)</f>
        <v>Zone 4</v>
      </c>
      <c r="F199" s="50">
        <f>VLOOKUP(IntComp24[[#This Row],[DEVELOPMENT]],all[[DEVELOPMENT]:[MRST Ext. Comp. Priority]],13,FALSE)</f>
        <v>3</v>
      </c>
      <c r="G199" s="50">
        <f>IF(VLOOKUP(IntComp24[[#This Row],[DEVELOPMENT]],Data[],9,FALSE)=0,5,VLOOKUP(IntComp24[[#This Row],[DEVELOPMENT]],Data[],9,FALSE))</f>
        <v>5</v>
      </c>
      <c r="H199" s="50">
        <f>VLOOKUP(IntComp24[[#This Row],[DEVELOPMENT]],Data[],7,FALSE)</f>
        <v>182</v>
      </c>
      <c r="I199" s="50">
        <f>VLOOKUP(IntComp24[[#This Row],[DEVELOPMENT]],Data[],5,FALSE)</f>
        <v>1</v>
      </c>
      <c r="J199" s="50"/>
      <c r="K199" s="50" t="str">
        <f ca="1">IFERROR(VLOOKUP(IntComp24[[#This Row],[DEVELOPMENT]],Data[],4,FALSE),"")</f>
        <v/>
      </c>
      <c r="L199" s="50" t="str">
        <f ca="1">IF(IntComp24[[#This Row],[RAD/PACT]]="","",IF(OR(IntComp24[[#This Row],[RAD/PACT]]="2022-2025",IntComp24[[#This Row],[RAD/PACT]]=2019,IntComp24[[#This Row],[RAD/PACT]]="2020-2021"),"Yes",""))</f>
        <v/>
      </c>
      <c r="M199" s="51">
        <f ca="1">IF(VLOOKUP(IntComp24[[#This Row],[DEVELOPMENT]],Data[],10,FALSE)=0,-1,DATEDIF(VLOOKUP(IntComp24[[#This Row],[DEVELOPMENT]],Data[],12,FALSE),TODAY(),"Y"))</f>
        <v>16</v>
      </c>
      <c r="N19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199" s="51"/>
      <c r="P199" s="51"/>
      <c r="Q199" s="51"/>
      <c r="R199" s="47">
        <f ca="1">(IntComp24[[#This Row],['# to Replace (MRST)]]*INDEX(UnitCosts[#All],MATCH(IntComp24[[#This Row],[WORK TYPE]],UnitCosts[Work Type],0)+1,2))*(1+((IntComp24[[#This Row],[est. Year]]-YEAR(TODAY()))*$R$2))</f>
        <v>0</v>
      </c>
      <c r="S199" s="1">
        <f ca="1">SUM(INDEX(IntComp24['# to Replace (MRST)],1):IntComp24[[#This Row],['# to Replace (MRST)]])</f>
        <v>96</v>
      </c>
      <c r="T199" s="51"/>
      <c r="U199" s="51">
        <f ca="1">IF(ISBLANK(IntComp24[[#This Row],[CALENDAR YEAR]]),ROUNDDOWN(IntComp24[[#This Row],[Count]]/50,0)+$U$1,IntComp24[[#This Row],[CALENDAR YEAR]])</f>
        <v>2023</v>
      </c>
      <c r="V199" s="69">
        <f t="shared" ca="1" si="3"/>
        <v>4600971.375</v>
      </c>
      <c r="W199" s="5"/>
      <c r="X199"/>
    </row>
    <row r="200" spans="1:24" hidden="1">
      <c r="A200" s="13" t="s">
        <v>267</v>
      </c>
      <c r="B200" s="9" t="str">
        <f>VLOOKUP(A200,Data[],2,FALSE)</f>
        <v>BRONX</v>
      </c>
      <c r="C200" s="9" t="s">
        <v>106</v>
      </c>
      <c r="D200" s="9" t="str">
        <f>VLOOKUP(IntComp24[[#This Row],[DEVELOPMENT]],Data[],52,FALSE)</f>
        <v>FEDERAL</v>
      </c>
      <c r="E200" s="50">
        <f>VLOOKUP(IntComp24[[#This Row],[DEVELOPMENT]],Data[],8,FALSE)</f>
        <v>0</v>
      </c>
      <c r="F200" s="50">
        <f>VLOOKUP(IntComp24[[#This Row],[DEVELOPMENT]],all[[DEVELOPMENT]:[MRST Ext. Comp. Priority]],13,FALSE)</f>
        <v>3</v>
      </c>
      <c r="G200" s="50">
        <f>IF(VLOOKUP(IntComp24[[#This Row],[DEVELOPMENT]],Data[],9,FALSE)=0,5,VLOOKUP(IntComp24[[#This Row],[DEVELOPMENT]],Data[],9,FALSE))</f>
        <v>5</v>
      </c>
      <c r="H200" s="50">
        <f>VLOOKUP(IntComp24[[#This Row],[DEVELOPMENT]],Data[],7,FALSE)</f>
        <v>1251</v>
      </c>
      <c r="I200" s="50">
        <f>VLOOKUP(IntComp24[[#This Row],[DEVELOPMENT]],Data[],5,FALSE)</f>
        <v>9</v>
      </c>
      <c r="J200" s="50"/>
      <c r="K200" s="50" t="str">
        <f ca="1">IFERROR(VLOOKUP(IntComp24[[#This Row],[DEVELOPMENT]],Data[],4,FALSE),"")</f>
        <v/>
      </c>
      <c r="L200" s="50" t="str">
        <f ca="1">IF(IntComp24[[#This Row],[RAD/PACT]]="","",IF(OR(IntComp24[[#This Row],[RAD/PACT]]="2022-2025",IntComp24[[#This Row],[RAD/PACT]]=2019,IntComp24[[#This Row],[RAD/PACT]]="2020-2021"),"Yes",""))</f>
        <v/>
      </c>
      <c r="M200" s="51">
        <f ca="1">IF(VLOOKUP(IntComp24[[#This Row],[DEVELOPMENT]],Data[],10,FALSE)=0,-1,DATEDIF(VLOOKUP(IntComp24[[#This Row],[DEVELOPMENT]],Data[],12,FALSE),TODAY(),"Y"))</f>
        <v>16</v>
      </c>
      <c r="N20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00" s="51"/>
      <c r="P200" s="51"/>
      <c r="Q200" s="51"/>
      <c r="R200" s="47">
        <f ca="1">(IntComp24[[#This Row],['# to Replace (MRST)]]*INDEX(UnitCosts[#All],MATCH(IntComp24[[#This Row],[WORK TYPE]],UnitCosts[Work Type],0)+1,2))*(1+((IntComp24[[#This Row],[est. Year]]-YEAR(TODAY()))*$R$2))</f>
        <v>0</v>
      </c>
      <c r="S200" s="1">
        <f ca="1">SUM(INDEX(IntComp24['# to Replace (MRST)],1):IntComp24[[#This Row],['# to Replace (MRST)]])</f>
        <v>96</v>
      </c>
      <c r="T200" s="51"/>
      <c r="U200" s="51">
        <f ca="1">IF(ISBLANK(IntComp24[[#This Row],[CALENDAR YEAR]]),ROUNDDOWN(IntComp24[[#This Row],[Count]]/50,0)+$U$1,IntComp24[[#This Row],[CALENDAR YEAR]])</f>
        <v>2023</v>
      </c>
      <c r="V200" s="69">
        <f t="shared" ca="1" si="3"/>
        <v>4600971.375</v>
      </c>
      <c r="W200" s="5"/>
      <c r="X200"/>
    </row>
    <row r="201" spans="1:24" hidden="1">
      <c r="A201" s="13" t="s">
        <v>255</v>
      </c>
      <c r="B201" s="9" t="str">
        <f>VLOOKUP(A201,Data[],2,FALSE)</f>
        <v>STATEN ISLAND</v>
      </c>
      <c r="C201" s="9" t="s">
        <v>106</v>
      </c>
      <c r="D201" s="9" t="str">
        <f>VLOOKUP(IntComp24[[#This Row],[DEVELOPMENT]],Data[],52,FALSE)</f>
        <v>FEDERAL</v>
      </c>
      <c r="E201" s="50">
        <f>VLOOKUP(IntComp24[[#This Row],[DEVELOPMENT]],Data[],8,FALSE)</f>
        <v>0</v>
      </c>
      <c r="F201" s="50">
        <f>VLOOKUP(IntComp24[[#This Row],[DEVELOPMENT]],all[[DEVELOPMENT]:[MRST Ext. Comp. Priority]],13,FALSE)</f>
        <v>3</v>
      </c>
      <c r="G201" s="50">
        <f>IF(VLOOKUP(IntComp24[[#This Row],[DEVELOPMENT]],Data[],9,FALSE)=0,5,VLOOKUP(IntComp24[[#This Row],[DEVELOPMENT]],Data[],9,FALSE))</f>
        <v>5</v>
      </c>
      <c r="H201" s="50">
        <f>VLOOKUP(IntComp24[[#This Row],[DEVELOPMENT]],Data[],7,FALSE)</f>
        <v>421</v>
      </c>
      <c r="I201" s="50">
        <f>VLOOKUP(IntComp24[[#This Row],[DEVELOPMENT]],Data[],5,FALSE)</f>
        <v>8</v>
      </c>
      <c r="J201" s="50"/>
      <c r="K201" s="50" t="str">
        <f ca="1">IFERROR(VLOOKUP(IntComp24[[#This Row],[DEVELOPMENT]],Data[],4,FALSE),"")</f>
        <v/>
      </c>
      <c r="L201" s="50" t="str">
        <f ca="1">IF(IntComp24[[#This Row],[RAD/PACT]]="","",IF(OR(IntComp24[[#This Row],[RAD/PACT]]="2022-2025",IntComp24[[#This Row],[RAD/PACT]]=2019,IntComp24[[#This Row],[RAD/PACT]]="2020-2021"),"Yes",""))</f>
        <v/>
      </c>
      <c r="M201" s="51">
        <f ca="1">IF(VLOOKUP(IntComp24[[#This Row],[DEVELOPMENT]],Data[],10,FALSE)=0,-1,DATEDIF(VLOOKUP(IntComp24[[#This Row],[DEVELOPMENT]],Data[],12,FALSE),TODAY(),"Y"))</f>
        <v>15</v>
      </c>
      <c r="N20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01" s="51"/>
      <c r="P201" s="51"/>
      <c r="Q201" s="51"/>
      <c r="R201" s="47">
        <f ca="1">(IntComp24[[#This Row],['# to Replace (MRST)]]*INDEX(UnitCosts[#All],MATCH(IntComp24[[#This Row],[WORK TYPE]],UnitCosts[Work Type],0)+1,2))*(1+((IntComp24[[#This Row],[est. Year]]-YEAR(TODAY()))*$R$2))</f>
        <v>0</v>
      </c>
      <c r="S201" s="1">
        <f ca="1">SUM(INDEX(IntComp24['# to Replace (MRST)],1):IntComp24[[#This Row],['# to Replace (MRST)]])</f>
        <v>96</v>
      </c>
      <c r="T201" s="51"/>
      <c r="U201" s="51">
        <f ca="1">IF(ISBLANK(IntComp24[[#This Row],[CALENDAR YEAR]]),ROUNDDOWN(IntComp24[[#This Row],[Count]]/50,0)+$U$1,IntComp24[[#This Row],[CALENDAR YEAR]])</f>
        <v>2023</v>
      </c>
      <c r="V201" s="69">
        <f t="shared" ca="1" si="3"/>
        <v>4600971.375</v>
      </c>
      <c r="W201" s="5"/>
      <c r="X201"/>
    </row>
    <row r="202" spans="1:24">
      <c r="A202" s="13" t="s">
        <v>365</v>
      </c>
      <c r="B202" s="9" t="str">
        <f>VLOOKUP(A202,Data[],2,FALSE)</f>
        <v>STATEN ISLAND</v>
      </c>
      <c r="C202" s="9" t="s">
        <v>106</v>
      </c>
      <c r="D202" s="9" t="str">
        <f>VLOOKUP(IntComp24[[#This Row],[DEVELOPMENT]],Data[],52,FALSE)</f>
        <v>MIXED FINANCE/LLC1</v>
      </c>
      <c r="E202" s="50">
        <f>VLOOKUP(IntComp24[[#This Row],[DEVELOPMENT]],Data[],8,FALSE)</f>
        <v>0</v>
      </c>
      <c r="F202" s="50">
        <f>VLOOKUP(IntComp24[[#This Row],[DEVELOPMENT]],all[[DEVELOPMENT]:[MRST Ext. Comp. Priority]],13,FALSE)</f>
        <v>3</v>
      </c>
      <c r="G202" s="50">
        <f>IF(VLOOKUP(IntComp24[[#This Row],[DEVELOPMENT]],Data[],9,FALSE)=0,5,VLOOKUP(IntComp24[[#This Row],[DEVELOPMENT]],Data[],9,FALSE))</f>
        <v>5</v>
      </c>
      <c r="H202" s="50">
        <f>VLOOKUP(IntComp24[[#This Row],[DEVELOPMENT]],Data[],7,FALSE)</f>
        <v>693</v>
      </c>
      <c r="I202" s="50">
        <f>VLOOKUP(IntComp24[[#This Row],[DEVELOPMENT]],Data[],5,FALSE)</f>
        <v>6</v>
      </c>
      <c r="J202" s="50"/>
      <c r="K202" s="50" t="str">
        <f ca="1">IFERROR(VLOOKUP(IntComp24[[#This Row],[DEVELOPMENT]],Data[],4,FALSE),"")</f>
        <v/>
      </c>
      <c r="L202" s="50" t="str">
        <f ca="1">IF(IntComp24[[#This Row],[RAD/PACT]]="","",IF(OR(IntComp24[[#This Row],[RAD/PACT]]="2022-2025",IntComp24[[#This Row],[RAD/PACT]]=2019,IntComp24[[#This Row],[RAD/PACT]]="2020-2021"),"Yes",""))</f>
        <v/>
      </c>
      <c r="M202" s="51">
        <f ca="1">IF(VLOOKUP(IntComp24[[#This Row],[DEVELOPMENT]],Data[],10,FALSE)=0,-1,DATEDIF(VLOOKUP(IntComp24[[#This Row],[DEVELOPMENT]],Data[],12,FALSE),TODAY(),"Y"))</f>
        <v>15</v>
      </c>
      <c r="N20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12</v>
      </c>
      <c r="O202" s="51"/>
      <c r="P202" s="51"/>
      <c r="Q202" s="51"/>
      <c r="R202" s="47">
        <f ca="1">(IntComp24[[#This Row],['# to Replace (MRST)]]*INDEX(UnitCosts[#All],MATCH(IntComp24[[#This Row],[WORK TYPE]],UnitCosts[Work Type],0)+1,2))*(1+((IntComp24[[#This Row],[est. Year]]-YEAR(TODAY()))*$R$2))</f>
        <v>863037.00000000012</v>
      </c>
      <c r="S202" s="1">
        <f ca="1">SUM(INDEX(IntComp24['# to Replace (MRST)],1):IntComp24[[#This Row],['# to Replace (MRST)]])</f>
        <v>108</v>
      </c>
      <c r="T202" s="51"/>
      <c r="U202" s="51">
        <f ca="1">IF(ISBLANK(IntComp24[[#This Row],[CALENDAR YEAR]]),ROUNDDOWN(IntComp24[[#This Row],[Count]]/50,0)+$U$1,IntComp24[[#This Row],[CALENDAR YEAR]])</f>
        <v>2024</v>
      </c>
      <c r="V202" s="69">
        <f t="shared" ca="1" si="3"/>
        <v>863037.00000000012</v>
      </c>
      <c r="W202" s="5"/>
      <c r="X202"/>
    </row>
    <row r="203" spans="1:24" hidden="1">
      <c r="A203" s="13" t="s">
        <v>384</v>
      </c>
      <c r="B203" s="9" t="str">
        <f>VLOOKUP(A203,Data[],2,FALSE)</f>
        <v>BROOKLYN</v>
      </c>
      <c r="C203" s="9" t="s">
        <v>106</v>
      </c>
      <c r="D203" s="9" t="str">
        <f>VLOOKUP(IntComp24[[#This Row],[DEVELOPMENT]],Data[],52,FALSE)</f>
        <v>MIXED FINANCE/LLC2</v>
      </c>
      <c r="E203" s="50">
        <f>VLOOKUP(IntComp24[[#This Row],[DEVELOPMENT]],Data[],8,FALSE)</f>
        <v>0</v>
      </c>
      <c r="F203" s="50">
        <f>VLOOKUP(IntComp24[[#This Row],[DEVELOPMENT]],all[[DEVELOPMENT]:[MRST Ext. Comp. Priority]],13,FALSE)</f>
        <v>3</v>
      </c>
      <c r="G203" s="50">
        <f>IF(VLOOKUP(IntComp24[[#This Row],[DEVELOPMENT]],Data[],9,FALSE)=0,5,VLOOKUP(IntComp24[[#This Row],[DEVELOPMENT]],Data[],9,FALSE))</f>
        <v>5</v>
      </c>
      <c r="H203" s="50">
        <f>VLOOKUP(IntComp24[[#This Row],[DEVELOPMENT]],Data[],7,FALSE)</f>
        <v>577</v>
      </c>
      <c r="I203" s="50">
        <f>VLOOKUP(IntComp24[[#This Row],[DEVELOPMENT]],Data[],5,FALSE)</f>
        <v>5</v>
      </c>
      <c r="J203" s="50"/>
      <c r="K203" s="50">
        <f ca="1">IFERROR(VLOOKUP(IntComp24[[#This Row],[DEVELOPMENT]],Data[],4,FALSE),"")</f>
        <v>2019</v>
      </c>
      <c r="L203" s="50" t="str">
        <f ca="1">IF(IntComp24[[#This Row],[RAD/PACT]]="","",IF(OR(IntComp24[[#This Row],[RAD/PACT]]="2022-2025",IntComp24[[#This Row],[RAD/PACT]]=2019,IntComp24[[#This Row],[RAD/PACT]]="2020-2021"),"Yes",""))</f>
        <v>Yes</v>
      </c>
      <c r="M203" s="51">
        <f ca="1">IF(VLOOKUP(IntComp24[[#This Row],[DEVELOPMENT]],Data[],10,FALSE)=0,-1,DATEDIF(VLOOKUP(IntComp24[[#This Row],[DEVELOPMENT]],Data[],12,FALSE),TODAY(),"Y"))</f>
        <v>15</v>
      </c>
      <c r="N20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03" s="51"/>
      <c r="P203" s="51"/>
      <c r="Q203" s="51"/>
      <c r="R203" s="47">
        <f ca="1">(IntComp24[[#This Row],['# to Replace (MRST)]]*INDEX(UnitCosts[#All],MATCH(IntComp24[[#This Row],[WORK TYPE]],UnitCosts[Work Type],0)+1,2))*(1+((IntComp24[[#This Row],[est. Year]]-YEAR(TODAY()))*$R$2))</f>
        <v>0</v>
      </c>
      <c r="S203" s="1">
        <f ca="1">SUM(INDEX(IntComp24['# to Replace (MRST)],1):IntComp24[[#This Row],['# to Replace (MRST)]])</f>
        <v>108</v>
      </c>
      <c r="T203" s="51"/>
      <c r="U203" s="51">
        <f ca="1">IF(ISBLANK(IntComp24[[#This Row],[CALENDAR YEAR]]),ROUNDDOWN(IntComp24[[#This Row],[Count]]/50,0)+$U$1,IntComp24[[#This Row],[CALENDAR YEAR]])</f>
        <v>2024</v>
      </c>
      <c r="V203" s="69">
        <f t="shared" ca="1" si="3"/>
        <v>863037.00000000012</v>
      </c>
      <c r="W203" s="5"/>
      <c r="X203"/>
    </row>
    <row r="204" spans="1:24" hidden="1">
      <c r="A204" s="13" t="s">
        <v>313</v>
      </c>
      <c r="B204" s="9" t="str">
        <f>VLOOKUP(A204,Data[],2,FALSE)</f>
        <v>QUEENS</v>
      </c>
      <c r="C204" s="9" t="s">
        <v>106</v>
      </c>
      <c r="D204" s="9" t="str">
        <f>VLOOKUP(IntComp24[[#This Row],[DEVELOPMENT]],Data[],52,FALSE)</f>
        <v>FEDERAL</v>
      </c>
      <c r="E204" s="50">
        <f>VLOOKUP(IntComp24[[#This Row],[DEVELOPMENT]],Data[],8,FALSE)</f>
        <v>0</v>
      </c>
      <c r="F204" s="50">
        <f>VLOOKUP(IntComp24[[#This Row],[DEVELOPMENT]],all[[DEVELOPMENT]:[MRST Ext. Comp. Priority]],13,FALSE)</f>
        <v>3</v>
      </c>
      <c r="G204" s="50">
        <f>IF(VLOOKUP(IntComp24[[#This Row],[DEVELOPMENT]],Data[],9,FALSE)=0,5,VLOOKUP(IntComp24[[#This Row],[DEVELOPMENT]],Data[],9,FALSE))</f>
        <v>5</v>
      </c>
      <c r="H204" s="50">
        <f>VLOOKUP(IntComp24[[#This Row],[DEVELOPMENT]],Data[],7,FALSE)</f>
        <v>214</v>
      </c>
      <c r="I204" s="50">
        <f>VLOOKUP(IntComp24[[#This Row],[DEVELOPMENT]],Data[],5,FALSE)</f>
        <v>1</v>
      </c>
      <c r="J204" s="50"/>
      <c r="K204" s="50" t="str">
        <f ca="1">IFERROR(VLOOKUP(IntComp24[[#This Row],[DEVELOPMENT]],Data[],4,FALSE),"")</f>
        <v/>
      </c>
      <c r="L204" s="50" t="str">
        <f ca="1">IF(IntComp24[[#This Row],[RAD/PACT]]="","",IF(OR(IntComp24[[#This Row],[RAD/PACT]]="2022-2025",IntComp24[[#This Row],[RAD/PACT]]=2019,IntComp24[[#This Row],[RAD/PACT]]="2020-2021"),"Yes",""))</f>
        <v/>
      </c>
      <c r="M204" s="51">
        <f ca="1">IF(VLOOKUP(IntComp24[[#This Row],[DEVELOPMENT]],Data[],10,FALSE)=0,-1,DATEDIF(VLOOKUP(IntComp24[[#This Row],[DEVELOPMENT]],Data[],12,FALSE),TODAY(),"Y"))</f>
        <v>13</v>
      </c>
      <c r="N20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04" s="51"/>
      <c r="P204" s="51"/>
      <c r="Q204" s="51"/>
      <c r="R204" s="47">
        <f ca="1">(IntComp24[[#This Row],['# to Replace (MRST)]]*INDEX(UnitCosts[#All],MATCH(IntComp24[[#This Row],[WORK TYPE]],UnitCosts[Work Type],0)+1,2))*(1+((IntComp24[[#This Row],[est. Year]]-YEAR(TODAY()))*$R$2))</f>
        <v>0</v>
      </c>
      <c r="S204" s="1">
        <f ca="1">SUM(INDEX(IntComp24['# to Replace (MRST)],1):IntComp24[[#This Row],['# to Replace (MRST)]])</f>
        <v>108</v>
      </c>
      <c r="T204" s="51"/>
      <c r="U204" s="51">
        <f ca="1">IF(ISBLANK(IntComp24[[#This Row],[CALENDAR YEAR]]),ROUNDDOWN(IntComp24[[#This Row],[Count]]/50,0)+$U$1,IntComp24[[#This Row],[CALENDAR YEAR]])</f>
        <v>2024</v>
      </c>
      <c r="V204" s="69">
        <f t="shared" ca="1" si="3"/>
        <v>863037.00000000012</v>
      </c>
      <c r="W204" s="5"/>
      <c r="X204"/>
    </row>
    <row r="205" spans="1:24" hidden="1">
      <c r="A205" s="13" t="s">
        <v>254</v>
      </c>
      <c r="B205" s="9" t="str">
        <f>VLOOKUP(A205,Data[],2,FALSE)</f>
        <v>BROOKLYN</v>
      </c>
      <c r="C205" s="9" t="s">
        <v>106</v>
      </c>
      <c r="D205" s="9" t="str">
        <f>VLOOKUP(IntComp24[[#This Row],[DEVELOPMENT]],Data[],52,FALSE)</f>
        <v>FEDERAL</v>
      </c>
      <c r="E205" s="50">
        <f>VLOOKUP(IntComp24[[#This Row],[DEVELOPMENT]],Data[],8,FALSE)</f>
        <v>0</v>
      </c>
      <c r="F205" s="50">
        <f>VLOOKUP(IntComp24[[#This Row],[DEVELOPMENT]],all[[DEVELOPMENT]:[MRST Ext. Comp. Priority]],13,FALSE)</f>
        <v>3</v>
      </c>
      <c r="G205" s="50">
        <f>IF(VLOOKUP(IntComp24[[#This Row],[DEVELOPMENT]],Data[],9,FALSE)=0,5,VLOOKUP(IntComp24[[#This Row],[DEVELOPMENT]],Data[],9,FALSE))</f>
        <v>5</v>
      </c>
      <c r="H205" s="50">
        <f>VLOOKUP(IntComp24[[#This Row],[DEVELOPMENT]],Data[],7,FALSE)</f>
        <v>125</v>
      </c>
      <c r="I205" s="50">
        <f>VLOOKUP(IntComp24[[#This Row],[DEVELOPMENT]],Data[],5,FALSE)</f>
        <v>1</v>
      </c>
      <c r="J205" s="50"/>
      <c r="K205" s="50" t="str">
        <f ca="1">IFERROR(VLOOKUP(IntComp24[[#This Row],[DEVELOPMENT]],Data[],4,FALSE),"")</f>
        <v/>
      </c>
      <c r="L205" s="50" t="str">
        <f ca="1">IF(IntComp24[[#This Row],[RAD/PACT]]="","",IF(OR(IntComp24[[#This Row],[RAD/PACT]]="2022-2025",IntComp24[[#This Row],[RAD/PACT]]=2019,IntComp24[[#This Row],[RAD/PACT]]="2020-2021"),"Yes",""))</f>
        <v/>
      </c>
      <c r="M205" s="51">
        <f ca="1">IF(VLOOKUP(IntComp24[[#This Row],[DEVELOPMENT]],Data[],10,FALSE)=0,-1,DATEDIF(VLOOKUP(IntComp24[[#This Row],[DEVELOPMENT]],Data[],12,FALSE),TODAY(),"Y"))</f>
        <v>13</v>
      </c>
      <c r="N20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05" s="51"/>
      <c r="P205" s="51"/>
      <c r="Q205" s="51"/>
      <c r="R205" s="47">
        <f ca="1">(IntComp24[[#This Row],['# to Replace (MRST)]]*INDEX(UnitCosts[#All],MATCH(IntComp24[[#This Row],[WORK TYPE]],UnitCosts[Work Type],0)+1,2))*(1+((IntComp24[[#This Row],[est. Year]]-YEAR(TODAY()))*$R$2))</f>
        <v>0</v>
      </c>
      <c r="S205" s="1">
        <f ca="1">SUM(INDEX(IntComp24['# to Replace (MRST)],1):IntComp24[[#This Row],['# to Replace (MRST)]])</f>
        <v>108</v>
      </c>
      <c r="T205" s="51"/>
      <c r="U205" s="51">
        <f ca="1">IF(ISBLANK(IntComp24[[#This Row],[CALENDAR YEAR]]),ROUNDDOWN(IntComp24[[#This Row],[Count]]/50,0)+$U$1,IntComp24[[#This Row],[CALENDAR YEAR]])</f>
        <v>2024</v>
      </c>
      <c r="V205" s="69">
        <f t="shared" ca="1" si="3"/>
        <v>863037.00000000012</v>
      </c>
      <c r="W205" s="5"/>
      <c r="X205"/>
    </row>
    <row r="206" spans="1:24" hidden="1">
      <c r="A206" s="13" t="s">
        <v>218</v>
      </c>
      <c r="B206" s="9" t="str">
        <f>VLOOKUP(A206,Data[],2,FALSE)</f>
        <v>BROOKLYN</v>
      </c>
      <c r="C206" s="9" t="s">
        <v>106</v>
      </c>
      <c r="D206" s="9" t="str">
        <f>VLOOKUP(IntComp24[[#This Row],[DEVELOPMENT]],Data[],52,FALSE)</f>
        <v>FEDERAL</v>
      </c>
      <c r="E206" s="50">
        <f>VLOOKUP(IntComp24[[#This Row],[DEVELOPMENT]],Data[],8,FALSE)</f>
        <v>0</v>
      </c>
      <c r="F206" s="50">
        <f>VLOOKUP(IntComp24[[#This Row],[DEVELOPMENT]],all[[DEVELOPMENT]:[MRST Ext. Comp. Priority]],13,FALSE)</f>
        <v>3</v>
      </c>
      <c r="G206" s="50">
        <f>IF(VLOOKUP(IntComp24[[#This Row],[DEVELOPMENT]],Data[],9,FALSE)=0,5,VLOOKUP(IntComp24[[#This Row],[DEVELOPMENT]],Data[],9,FALSE))</f>
        <v>5</v>
      </c>
      <c r="H206" s="50">
        <f>VLOOKUP(IntComp24[[#This Row],[DEVELOPMENT]],Data[],7,FALSE)</f>
        <v>167</v>
      </c>
      <c r="I206" s="50">
        <f>VLOOKUP(IntComp24[[#This Row],[DEVELOPMENT]],Data[],5,FALSE)</f>
        <v>3</v>
      </c>
      <c r="J206" s="50"/>
      <c r="K206" s="50" t="str">
        <f ca="1">IFERROR(VLOOKUP(IntComp24[[#This Row],[DEVELOPMENT]],Data[],4,FALSE),"")</f>
        <v>2026+</v>
      </c>
      <c r="L206" s="50" t="str">
        <f ca="1">IF(IntComp24[[#This Row],[RAD/PACT]]="","",IF(OR(IntComp24[[#This Row],[RAD/PACT]]="2022-2025",IntComp24[[#This Row],[RAD/PACT]]=2019,IntComp24[[#This Row],[RAD/PACT]]="2020-2021"),"Yes",""))</f>
        <v/>
      </c>
      <c r="M206" s="51">
        <f ca="1">IF(VLOOKUP(IntComp24[[#This Row],[DEVELOPMENT]],Data[],10,FALSE)=0,-1,DATEDIF(VLOOKUP(IntComp24[[#This Row],[DEVELOPMENT]],Data[],12,FALSE),TODAY(),"Y"))</f>
        <v>12</v>
      </c>
      <c r="N20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06" s="51"/>
      <c r="P206" s="51"/>
      <c r="Q206" s="51"/>
      <c r="R206" s="47">
        <f ca="1">(IntComp24[[#This Row],['# to Replace (MRST)]]*INDEX(UnitCosts[#All],MATCH(IntComp24[[#This Row],[WORK TYPE]],UnitCosts[Work Type],0)+1,2))*(1+((IntComp24[[#This Row],[est. Year]]-YEAR(TODAY()))*$R$2))</f>
        <v>0</v>
      </c>
      <c r="S206" s="1">
        <f ca="1">SUM(INDEX(IntComp24['# to Replace (MRST)],1):IntComp24[[#This Row],['# to Replace (MRST)]])</f>
        <v>108</v>
      </c>
      <c r="T206" s="51"/>
      <c r="U206" s="51">
        <f ca="1">IF(ISBLANK(IntComp24[[#This Row],[CALENDAR YEAR]]),ROUNDDOWN(IntComp24[[#This Row],[Count]]/50,0)+$U$1,IntComp24[[#This Row],[CALENDAR YEAR]])</f>
        <v>2024</v>
      </c>
      <c r="V206" s="69">
        <f t="shared" ca="1" si="3"/>
        <v>863037.00000000012</v>
      </c>
      <c r="W206" s="5"/>
      <c r="X206"/>
    </row>
    <row r="207" spans="1:24" hidden="1">
      <c r="A207" s="13" t="s">
        <v>219</v>
      </c>
      <c r="B207" s="9" t="str">
        <f>VLOOKUP(A207,Data[],2,FALSE)</f>
        <v>BROOKLYN</v>
      </c>
      <c r="C207" s="9" t="s">
        <v>106</v>
      </c>
      <c r="D207" s="9" t="str">
        <f>VLOOKUP(IntComp24[[#This Row],[DEVELOPMENT]],Data[],52,FALSE)</f>
        <v>FEDERAL</v>
      </c>
      <c r="E207" s="50">
        <f>VLOOKUP(IntComp24[[#This Row],[DEVELOPMENT]],Data[],8,FALSE)</f>
        <v>0</v>
      </c>
      <c r="F207" s="50">
        <f>VLOOKUP(IntComp24[[#This Row],[DEVELOPMENT]],all[[DEVELOPMENT]:[MRST Ext. Comp. Priority]],13,FALSE)</f>
        <v>3</v>
      </c>
      <c r="G207" s="50">
        <f>IF(VLOOKUP(IntComp24[[#This Row],[DEVELOPMENT]],Data[],9,FALSE)=0,5,VLOOKUP(IntComp24[[#This Row],[DEVELOPMENT]],Data[],9,FALSE))</f>
        <v>5</v>
      </c>
      <c r="H207" s="50">
        <f>VLOOKUP(IntComp24[[#This Row],[DEVELOPMENT]],Data[],7,FALSE)</f>
        <v>460</v>
      </c>
      <c r="I207" s="50">
        <f>VLOOKUP(IntComp24[[#This Row],[DEVELOPMENT]],Data[],5,FALSE)</f>
        <v>5</v>
      </c>
      <c r="J207" s="50"/>
      <c r="K207" s="50" t="str">
        <f ca="1">IFERROR(VLOOKUP(IntComp24[[#This Row],[DEVELOPMENT]],Data[],4,FALSE),"")</f>
        <v>2026+</v>
      </c>
      <c r="L207" s="50" t="str">
        <f ca="1">IF(IntComp24[[#This Row],[RAD/PACT]]="","",IF(OR(IntComp24[[#This Row],[RAD/PACT]]="2022-2025",IntComp24[[#This Row],[RAD/PACT]]=2019,IntComp24[[#This Row],[RAD/PACT]]="2020-2021"),"Yes",""))</f>
        <v/>
      </c>
      <c r="M207" s="51">
        <f ca="1">IF(VLOOKUP(IntComp24[[#This Row],[DEVELOPMENT]],Data[],10,FALSE)=0,-1,DATEDIF(VLOOKUP(IntComp24[[#This Row],[DEVELOPMENT]],Data[],12,FALSE),TODAY(),"Y"))</f>
        <v>12</v>
      </c>
      <c r="N20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07" s="51"/>
      <c r="P207" s="51"/>
      <c r="Q207" s="51"/>
      <c r="R207" s="47">
        <f ca="1">(IntComp24[[#This Row],['# to Replace (MRST)]]*INDEX(UnitCosts[#All],MATCH(IntComp24[[#This Row],[WORK TYPE]],UnitCosts[Work Type],0)+1,2))*(1+((IntComp24[[#This Row],[est. Year]]-YEAR(TODAY()))*$R$2))</f>
        <v>0</v>
      </c>
      <c r="S207" s="1">
        <f ca="1">SUM(INDEX(IntComp24['# to Replace (MRST)],1):IntComp24[[#This Row],['# to Replace (MRST)]])</f>
        <v>108</v>
      </c>
      <c r="T207" s="51"/>
      <c r="U207" s="51">
        <f ca="1">IF(ISBLANK(IntComp24[[#This Row],[CALENDAR YEAR]]),ROUNDDOWN(IntComp24[[#This Row],[Count]]/50,0)+$U$1,IntComp24[[#This Row],[CALENDAR YEAR]])</f>
        <v>2024</v>
      </c>
      <c r="V207" s="69">
        <f t="shared" ca="1" si="3"/>
        <v>863037.00000000012</v>
      </c>
      <c r="W207" s="5"/>
      <c r="X207"/>
    </row>
    <row r="208" spans="1:24" hidden="1">
      <c r="A208" s="13" t="s">
        <v>146</v>
      </c>
      <c r="B208" s="9" t="str">
        <f>VLOOKUP(A208,Data[],2,FALSE)</f>
        <v>MANHATTAN</v>
      </c>
      <c r="C208" s="9" t="s">
        <v>106</v>
      </c>
      <c r="D208" s="9" t="str">
        <f>VLOOKUP(IntComp24[[#This Row],[DEVELOPMENT]],Data[],52,FALSE)</f>
        <v>FEDERAL</v>
      </c>
      <c r="E208" s="50">
        <f>VLOOKUP(IntComp24[[#This Row],[DEVELOPMENT]],Data[],8,FALSE)</f>
        <v>0</v>
      </c>
      <c r="F208" s="50">
        <f>VLOOKUP(IntComp24[[#This Row],[DEVELOPMENT]],all[[DEVELOPMENT]:[MRST Ext. Comp. Priority]],13,FALSE)</f>
        <v>3</v>
      </c>
      <c r="G208" s="50">
        <f>IF(VLOOKUP(IntComp24[[#This Row],[DEVELOPMENT]],Data[],9,FALSE)=0,5,VLOOKUP(IntComp24[[#This Row],[DEVELOPMENT]],Data[],9,FALSE))</f>
        <v>5</v>
      </c>
      <c r="H208" s="50">
        <f>VLOOKUP(IntComp24[[#This Row],[DEVELOPMENT]],Data[],7,FALSE)</f>
        <v>617</v>
      </c>
      <c r="I208" s="50">
        <f>VLOOKUP(IntComp24[[#This Row],[DEVELOPMENT]],Data[],5,FALSE)</f>
        <v>4</v>
      </c>
      <c r="J208" s="50"/>
      <c r="K208" s="50" t="str">
        <f ca="1">IFERROR(VLOOKUP(IntComp24[[#This Row],[DEVELOPMENT]],Data[],4,FALSE),"")</f>
        <v/>
      </c>
      <c r="L208" s="50" t="str">
        <f ca="1">IF(IntComp24[[#This Row],[RAD/PACT]]="","",IF(OR(IntComp24[[#This Row],[RAD/PACT]]="2022-2025",IntComp24[[#This Row],[RAD/PACT]]=2019,IntComp24[[#This Row],[RAD/PACT]]="2020-2021"),"Yes",""))</f>
        <v/>
      </c>
      <c r="M208" s="51">
        <f ca="1">IF(VLOOKUP(IntComp24[[#This Row],[DEVELOPMENT]],Data[],10,FALSE)=0,-1,DATEDIF(VLOOKUP(IntComp24[[#This Row],[DEVELOPMENT]],Data[],12,FALSE),TODAY(),"Y"))</f>
        <v>10</v>
      </c>
      <c r="N20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08" s="51"/>
      <c r="P208" s="51"/>
      <c r="Q208" s="51"/>
      <c r="R208" s="47">
        <f ca="1">(IntComp24[[#This Row],['# to Replace (MRST)]]*INDEX(UnitCosts[#All],MATCH(IntComp24[[#This Row],[WORK TYPE]],UnitCosts[Work Type],0)+1,2))*(1+((IntComp24[[#This Row],[est. Year]]-YEAR(TODAY()))*$R$2))</f>
        <v>0</v>
      </c>
      <c r="S208" s="1">
        <f ca="1">SUM(INDEX(IntComp24['# to Replace (MRST)],1):IntComp24[[#This Row],['# to Replace (MRST)]])</f>
        <v>108</v>
      </c>
      <c r="T208" s="51"/>
      <c r="U208" s="51">
        <f ca="1">IF(ISBLANK(IntComp24[[#This Row],[CALENDAR YEAR]]),ROUNDDOWN(IntComp24[[#This Row],[Count]]/50,0)+$U$1,IntComp24[[#This Row],[CALENDAR YEAR]])</f>
        <v>2024</v>
      </c>
      <c r="V208" s="69">
        <f t="shared" ca="1" si="3"/>
        <v>863037.00000000012</v>
      </c>
      <c r="W208" s="5"/>
      <c r="X208"/>
    </row>
    <row r="209" spans="1:24" hidden="1">
      <c r="A209" s="13" t="s">
        <v>235</v>
      </c>
      <c r="B209" s="9" t="str">
        <f>VLOOKUP(A209,Data[],2,FALSE)</f>
        <v>BROOKLYN</v>
      </c>
      <c r="C209" s="9" t="s">
        <v>106</v>
      </c>
      <c r="D209" s="9" t="str">
        <f>VLOOKUP(IntComp24[[#This Row],[DEVELOPMENT]],Data[],52,FALSE)</f>
        <v>FEDERAL</v>
      </c>
      <c r="E209" s="50">
        <f>VLOOKUP(IntComp24[[#This Row],[DEVELOPMENT]],Data[],8,FALSE)</f>
        <v>0</v>
      </c>
      <c r="F209" s="50">
        <f>VLOOKUP(IntComp24[[#This Row],[DEVELOPMENT]],all[[DEVELOPMENT]:[MRST Ext. Comp. Priority]],13,FALSE)</f>
        <v>3</v>
      </c>
      <c r="G209" s="50">
        <f>IF(VLOOKUP(IntComp24[[#This Row],[DEVELOPMENT]],Data[],9,FALSE)=0,5,VLOOKUP(IntComp24[[#This Row],[DEVELOPMENT]],Data[],9,FALSE))</f>
        <v>5</v>
      </c>
      <c r="H209" s="50">
        <f>VLOOKUP(IntComp24[[#This Row],[DEVELOPMENT]],Data[],7,FALSE)</f>
        <v>530</v>
      </c>
      <c r="I209" s="50">
        <f>VLOOKUP(IntComp24[[#This Row],[DEVELOPMENT]],Data[],5,FALSE)</f>
        <v>5</v>
      </c>
      <c r="J209" s="50"/>
      <c r="K209" s="50" t="str">
        <f ca="1">IFERROR(VLOOKUP(IntComp24[[#This Row],[DEVELOPMENT]],Data[],4,FALSE),"")</f>
        <v/>
      </c>
      <c r="L209" s="50" t="str">
        <f ca="1">IF(IntComp24[[#This Row],[RAD/PACT]]="","",IF(OR(IntComp24[[#This Row],[RAD/PACT]]="2022-2025",IntComp24[[#This Row],[RAD/PACT]]=2019,IntComp24[[#This Row],[RAD/PACT]]="2020-2021"),"Yes",""))</f>
        <v/>
      </c>
      <c r="M209" s="51">
        <f ca="1">IF(VLOOKUP(IntComp24[[#This Row],[DEVELOPMENT]],Data[],10,FALSE)=0,-1,DATEDIF(VLOOKUP(IntComp24[[#This Row],[DEVELOPMENT]],Data[],12,FALSE),TODAY(),"Y"))</f>
        <v>8</v>
      </c>
      <c r="N20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09" s="51"/>
      <c r="P209" s="51"/>
      <c r="Q209" s="51"/>
      <c r="R209" s="47">
        <f ca="1">(IntComp24[[#This Row],['# to Replace (MRST)]]*INDEX(UnitCosts[#All],MATCH(IntComp24[[#This Row],[WORK TYPE]],UnitCosts[Work Type],0)+1,2))*(1+((IntComp24[[#This Row],[est. Year]]-YEAR(TODAY()))*$R$2))</f>
        <v>0</v>
      </c>
      <c r="S209" s="1">
        <f ca="1">SUM(INDEX(IntComp24['# to Replace (MRST)],1):IntComp24[[#This Row],['# to Replace (MRST)]])</f>
        <v>108</v>
      </c>
      <c r="T209" s="51"/>
      <c r="U209" s="51">
        <f ca="1">IF(ISBLANK(IntComp24[[#This Row],[CALENDAR YEAR]]),ROUNDDOWN(IntComp24[[#This Row],[Count]]/50,0)+$U$1,IntComp24[[#This Row],[CALENDAR YEAR]])</f>
        <v>2024</v>
      </c>
      <c r="V209" s="69">
        <f t="shared" ca="1" si="3"/>
        <v>863037.00000000012</v>
      </c>
      <c r="W209" s="5"/>
      <c r="X209"/>
    </row>
    <row r="210" spans="1:24" hidden="1">
      <c r="A210" s="13" t="s">
        <v>367</v>
      </c>
      <c r="B210" s="9" t="str">
        <f>VLOOKUP(A210,Data[],2,FALSE)</f>
        <v>BROOKLYN</v>
      </c>
      <c r="C210" s="9" t="s">
        <v>106</v>
      </c>
      <c r="D210" s="9" t="str">
        <f>VLOOKUP(IntComp24[[#This Row],[DEVELOPMENT]],Data[],52,FALSE)</f>
        <v>FEDERAL</v>
      </c>
      <c r="E210" s="50">
        <f>VLOOKUP(IntComp24[[#This Row],[DEVELOPMENT]],Data[],8,FALSE)</f>
        <v>0</v>
      </c>
      <c r="F210" s="50">
        <f>VLOOKUP(IntComp24[[#This Row],[DEVELOPMENT]],all[[DEVELOPMENT]:[MRST Ext. Comp. Priority]],13,FALSE)</f>
        <v>3</v>
      </c>
      <c r="G210" s="50">
        <f>IF(VLOOKUP(IntComp24[[#This Row],[DEVELOPMENT]],Data[],9,FALSE)=0,5,VLOOKUP(IntComp24[[#This Row],[DEVELOPMENT]],Data[],9,FALSE))</f>
        <v>5</v>
      </c>
      <c r="H210" s="50">
        <f>VLOOKUP(IntComp24[[#This Row],[DEVELOPMENT]],Data[],7,FALSE)</f>
        <v>594</v>
      </c>
      <c r="I210" s="50">
        <f>VLOOKUP(IntComp24[[#This Row],[DEVELOPMENT]],Data[],5,FALSE)</f>
        <v>5</v>
      </c>
      <c r="J210" s="50"/>
      <c r="K210" s="50" t="str">
        <f ca="1">IFERROR(VLOOKUP(IntComp24[[#This Row],[DEVELOPMENT]],Data[],4,FALSE),"")</f>
        <v/>
      </c>
      <c r="L210" s="50" t="str">
        <f ca="1">IF(IntComp24[[#This Row],[RAD/PACT]]="","",IF(OR(IntComp24[[#This Row],[RAD/PACT]]="2022-2025",IntComp24[[#This Row],[RAD/PACT]]=2019,IntComp24[[#This Row],[RAD/PACT]]="2020-2021"),"Yes",""))</f>
        <v/>
      </c>
      <c r="M210" s="51">
        <f ca="1">IF(VLOOKUP(IntComp24[[#This Row],[DEVELOPMENT]],Data[],10,FALSE)=0,-1,DATEDIF(VLOOKUP(IntComp24[[#This Row],[DEVELOPMENT]],Data[],12,FALSE),TODAY(),"Y"))</f>
        <v>8</v>
      </c>
      <c r="N21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0" s="51"/>
      <c r="P210" s="51"/>
      <c r="Q210" s="51"/>
      <c r="R210" s="47">
        <f ca="1">(IntComp24[[#This Row],['# to Replace (MRST)]]*INDEX(UnitCosts[#All],MATCH(IntComp24[[#This Row],[WORK TYPE]],UnitCosts[Work Type],0)+1,2))*(1+((IntComp24[[#This Row],[est. Year]]-YEAR(TODAY()))*$R$2))</f>
        <v>0</v>
      </c>
      <c r="S210" s="1">
        <f ca="1">SUM(INDEX(IntComp24['# to Replace (MRST)],1):IntComp24[[#This Row],['# to Replace (MRST)]])</f>
        <v>108</v>
      </c>
      <c r="T210" s="51"/>
      <c r="U210" s="51">
        <f ca="1">IF(ISBLANK(IntComp24[[#This Row],[CALENDAR YEAR]]),ROUNDDOWN(IntComp24[[#This Row],[Count]]/50,0)+$U$1,IntComp24[[#This Row],[CALENDAR YEAR]])</f>
        <v>2024</v>
      </c>
      <c r="V210" s="69">
        <f t="shared" ca="1" si="3"/>
        <v>863037.00000000012</v>
      </c>
      <c r="W210" s="5"/>
      <c r="X210"/>
    </row>
    <row r="211" spans="1:24" hidden="1">
      <c r="A211" s="13" t="s">
        <v>335</v>
      </c>
      <c r="B211" s="9" t="str">
        <f>VLOOKUP(A211,Data[],2,FALSE)</f>
        <v>BROOKLYN</v>
      </c>
      <c r="C211" s="9" t="s">
        <v>106</v>
      </c>
      <c r="D211" s="9" t="str">
        <f>VLOOKUP(IntComp24[[#This Row],[DEVELOPMENT]],Data[],52,FALSE)</f>
        <v>MIXED FINANCE/LLC2</v>
      </c>
      <c r="E211" s="50">
        <f>VLOOKUP(IntComp24[[#This Row],[DEVELOPMENT]],Data[],8,FALSE)</f>
        <v>0</v>
      </c>
      <c r="F211" s="50">
        <f>VLOOKUP(IntComp24[[#This Row],[DEVELOPMENT]],all[[DEVELOPMENT]:[MRST Ext. Comp. Priority]],13,FALSE)</f>
        <v>4</v>
      </c>
      <c r="G211" s="50">
        <f>IF(VLOOKUP(IntComp24[[#This Row],[DEVELOPMENT]],Data[],9,FALSE)=0,5,VLOOKUP(IntComp24[[#This Row],[DEVELOPMENT]],Data[],9,FALSE))</f>
        <v>5</v>
      </c>
      <c r="H211" s="50">
        <f>VLOOKUP(IntComp24[[#This Row],[DEVELOPMENT]],Data[],7,FALSE)</f>
        <v>741</v>
      </c>
      <c r="I211" s="50">
        <f>VLOOKUP(IntComp24[[#This Row],[DEVELOPMENT]],Data[],5,FALSE)</f>
        <v>6</v>
      </c>
      <c r="J211" s="50"/>
      <c r="K211" s="50">
        <f ca="1">IFERROR(VLOOKUP(IntComp24[[#This Row],[DEVELOPMENT]],Data[],4,FALSE),"")</f>
        <v>2019</v>
      </c>
      <c r="L211" s="50" t="str">
        <f ca="1">IF(IntComp24[[#This Row],[RAD/PACT]]="","",IF(OR(IntComp24[[#This Row],[RAD/PACT]]="2022-2025",IntComp24[[#This Row],[RAD/PACT]]=2019,IntComp24[[#This Row],[RAD/PACT]]="2020-2021"),"Yes",""))</f>
        <v>Yes</v>
      </c>
      <c r="M211" s="51">
        <f ca="1">IF(VLOOKUP(IntComp24[[#This Row],[DEVELOPMENT]],Data[],10,FALSE)=0,-1,DATEDIF(VLOOKUP(IntComp24[[#This Row],[DEVELOPMENT]],Data[],12,FALSE),TODAY(),"Y"))</f>
        <v>7</v>
      </c>
      <c r="N21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1" s="51"/>
      <c r="P211" s="51"/>
      <c r="Q211" s="51"/>
      <c r="R211" s="47">
        <f ca="1">(IntComp24[[#This Row],['# to Replace (MRST)]]*INDEX(UnitCosts[#All],MATCH(IntComp24[[#This Row],[WORK TYPE]],UnitCosts[Work Type],0)+1,2))*(1+((IntComp24[[#This Row],[est. Year]]-YEAR(TODAY()))*$R$2))</f>
        <v>0</v>
      </c>
      <c r="S211" s="1">
        <f ca="1">SUM(INDEX(IntComp24['# to Replace (MRST)],1):IntComp24[[#This Row],['# to Replace (MRST)]])</f>
        <v>108</v>
      </c>
      <c r="T211" s="51"/>
      <c r="U211" s="51">
        <f ca="1">IF(ISBLANK(IntComp24[[#This Row],[CALENDAR YEAR]]),ROUNDDOWN(IntComp24[[#This Row],[Count]]/50,0)+$U$1,IntComp24[[#This Row],[CALENDAR YEAR]])</f>
        <v>2024</v>
      </c>
      <c r="V211" s="69">
        <f t="shared" ca="1" si="3"/>
        <v>863037.00000000012</v>
      </c>
      <c r="W211" s="5"/>
      <c r="X211"/>
    </row>
    <row r="212" spans="1:24" hidden="1">
      <c r="A212" s="13" t="s">
        <v>356</v>
      </c>
      <c r="B212" s="9" t="str">
        <f>VLOOKUP(A212,Data[],2,FALSE)</f>
        <v>BROOKLYN</v>
      </c>
      <c r="C212" s="9" t="s">
        <v>106</v>
      </c>
      <c r="D212" s="9" t="str">
        <f>VLOOKUP(IntComp24[[#This Row],[DEVELOPMENT]],Data[],52,FALSE)</f>
        <v>FEDERAL</v>
      </c>
      <c r="E212" s="50">
        <f>VLOOKUP(IntComp24[[#This Row],[DEVELOPMENT]],Data[],8,FALSE)</f>
        <v>0</v>
      </c>
      <c r="F212" s="50">
        <f>VLOOKUP(IntComp24[[#This Row],[DEVELOPMENT]],all[[DEVELOPMENT]:[MRST Ext. Comp. Priority]],13,FALSE)</f>
        <v>3</v>
      </c>
      <c r="G212" s="50">
        <f>IF(VLOOKUP(IntComp24[[#This Row],[DEVELOPMENT]],Data[],9,FALSE)=0,5,VLOOKUP(IntComp24[[#This Row],[DEVELOPMENT]],Data[],9,FALSE))</f>
        <v>5</v>
      </c>
      <c r="H212" s="50">
        <f>VLOOKUP(IntComp24[[#This Row],[DEVELOPMENT]],Data[],7,FALSE)</f>
        <v>227</v>
      </c>
      <c r="I212" s="50">
        <f>VLOOKUP(IntComp24[[#This Row],[DEVELOPMENT]],Data[],5,FALSE)</f>
        <v>1</v>
      </c>
      <c r="J212" s="50"/>
      <c r="K212" s="50" t="str">
        <f ca="1">IFERROR(VLOOKUP(IntComp24[[#This Row],[DEVELOPMENT]],Data[],4,FALSE),"")</f>
        <v>2020-2021</v>
      </c>
      <c r="L212" s="50" t="str">
        <f ca="1">IF(IntComp24[[#This Row],[RAD/PACT]]="","",IF(OR(IntComp24[[#This Row],[RAD/PACT]]="2022-2025",IntComp24[[#This Row],[RAD/PACT]]=2019,IntComp24[[#This Row],[RAD/PACT]]="2020-2021"),"Yes",""))</f>
        <v>Yes</v>
      </c>
      <c r="M212" s="51">
        <f ca="1">IF(VLOOKUP(IntComp24[[#This Row],[DEVELOPMENT]],Data[],10,FALSE)=0,-1,DATEDIF(VLOOKUP(IntComp24[[#This Row],[DEVELOPMENT]],Data[],12,FALSE),TODAY(),"Y"))</f>
        <v>2</v>
      </c>
      <c r="N21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2" s="51"/>
      <c r="P212" s="51"/>
      <c r="Q212" s="51"/>
      <c r="R212" s="47">
        <f ca="1">(IntComp24[[#This Row],['# to Replace (MRST)]]*INDEX(UnitCosts[#All],MATCH(IntComp24[[#This Row],[WORK TYPE]],UnitCosts[Work Type],0)+1,2))*(1+((IntComp24[[#This Row],[est. Year]]-YEAR(TODAY()))*$R$2))</f>
        <v>0</v>
      </c>
      <c r="S212" s="1">
        <f ca="1">SUM(INDEX(IntComp24['# to Replace (MRST)],1):IntComp24[[#This Row],['# to Replace (MRST)]])</f>
        <v>108</v>
      </c>
      <c r="T212" s="51"/>
      <c r="U212" s="51">
        <f ca="1">IF(ISBLANK(IntComp24[[#This Row],[CALENDAR YEAR]]),ROUNDDOWN(IntComp24[[#This Row],[Count]]/50,0)+$U$1,IntComp24[[#This Row],[CALENDAR YEAR]])</f>
        <v>2024</v>
      </c>
      <c r="V212" s="69">
        <f t="shared" ca="1" si="3"/>
        <v>863037.00000000012</v>
      </c>
      <c r="W212" s="5"/>
      <c r="X212"/>
    </row>
    <row r="213" spans="1:24" hidden="1">
      <c r="A213" s="13" t="s">
        <v>312</v>
      </c>
      <c r="B213" s="9" t="str">
        <f>VLOOKUP(A213,Data[],2,FALSE)</f>
        <v>BROOKLYN</v>
      </c>
      <c r="C213" s="9" t="s">
        <v>106</v>
      </c>
      <c r="D213" s="9" t="str">
        <f>VLOOKUP(IntComp24[[#This Row],[DEVELOPMENT]],Data[],52,FALSE)</f>
        <v>FEDERAL</v>
      </c>
      <c r="E213" s="50">
        <f>VLOOKUP(IntComp24[[#This Row],[DEVELOPMENT]],Data[],8,FALSE)</f>
        <v>0</v>
      </c>
      <c r="F213" s="50">
        <f>VLOOKUP(IntComp24[[#This Row],[DEVELOPMENT]],all[[DEVELOPMENT]:[MRST Ext. Comp. Priority]],13,FALSE)</f>
        <v>3</v>
      </c>
      <c r="G213" s="50">
        <f>IF(VLOOKUP(IntComp24[[#This Row],[DEVELOPMENT]],Data[],9,FALSE)=0,5,VLOOKUP(IntComp24[[#This Row],[DEVELOPMENT]],Data[],9,FALSE))</f>
        <v>5</v>
      </c>
      <c r="H213" s="50">
        <f>VLOOKUP(IntComp24[[#This Row],[DEVELOPMENT]],Data[],7,FALSE)</f>
        <v>376</v>
      </c>
      <c r="I213" s="50">
        <f>VLOOKUP(IntComp24[[#This Row],[DEVELOPMENT]],Data[],5,FALSE)</f>
        <v>1</v>
      </c>
      <c r="J213" s="50"/>
      <c r="K213" s="50" t="str">
        <f ca="1">IFERROR(VLOOKUP(IntComp24[[#This Row],[DEVELOPMENT]],Data[],4,FALSE),"")</f>
        <v/>
      </c>
      <c r="L213" s="50" t="str">
        <f ca="1">IF(IntComp24[[#This Row],[RAD/PACT]]="","",IF(OR(IntComp24[[#This Row],[RAD/PACT]]="2022-2025",IntComp24[[#This Row],[RAD/PACT]]=2019,IntComp24[[#This Row],[RAD/PACT]]="2020-2021"),"Yes",""))</f>
        <v/>
      </c>
      <c r="M213" s="51">
        <f ca="1">IF(VLOOKUP(IntComp24[[#This Row],[DEVELOPMENT]],Data[],10,FALSE)=0,-1,DATEDIF(VLOOKUP(IntComp24[[#This Row],[DEVELOPMENT]],Data[],12,FALSE),TODAY(),"Y"))</f>
        <v>2</v>
      </c>
      <c r="N21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3" s="51"/>
      <c r="P213" s="51"/>
      <c r="Q213" s="51"/>
      <c r="R213" s="47">
        <f ca="1">(IntComp24[[#This Row],['# to Replace (MRST)]]*INDEX(UnitCosts[#All],MATCH(IntComp24[[#This Row],[WORK TYPE]],UnitCosts[Work Type],0)+1,2))*(1+((IntComp24[[#This Row],[est. Year]]-YEAR(TODAY()))*$R$2))</f>
        <v>0</v>
      </c>
      <c r="S213" s="1">
        <f ca="1">SUM(INDEX(IntComp24['# to Replace (MRST)],1):IntComp24[[#This Row],['# to Replace (MRST)]])</f>
        <v>108</v>
      </c>
      <c r="T213" s="51"/>
      <c r="U213" s="51">
        <f ca="1">IF(ISBLANK(IntComp24[[#This Row],[CALENDAR YEAR]]),ROUNDDOWN(IntComp24[[#This Row],[Count]]/50,0)+$U$1,IntComp24[[#This Row],[CALENDAR YEAR]])</f>
        <v>2024</v>
      </c>
      <c r="V213" s="69">
        <f t="shared" ca="1" si="3"/>
        <v>863037.00000000012</v>
      </c>
      <c r="W213" s="5"/>
      <c r="X213"/>
    </row>
    <row r="214" spans="1:24" hidden="1">
      <c r="A214" s="13" t="s">
        <v>310</v>
      </c>
      <c r="B214" s="9" t="str">
        <f>VLOOKUP(A214,Data[],2,FALSE)</f>
        <v>BRONX</v>
      </c>
      <c r="C214" s="9" t="s">
        <v>106</v>
      </c>
      <c r="D214" s="9" t="str">
        <f>VLOOKUP(IntComp24[[#This Row],[DEVELOPMENT]],Data[],52,FALSE)</f>
        <v>FEDERAL</v>
      </c>
      <c r="E214" s="50">
        <f>VLOOKUP(IntComp24[[#This Row],[DEVELOPMENT]],Data[],8,FALSE)</f>
        <v>0</v>
      </c>
      <c r="F214" s="50">
        <f>VLOOKUP(IntComp24[[#This Row],[DEVELOPMENT]],all[[DEVELOPMENT]:[MRST Ext. Comp. Priority]],13,FALSE)</f>
        <v>3</v>
      </c>
      <c r="G214" s="50">
        <f>IF(VLOOKUP(IntComp24[[#This Row],[DEVELOPMENT]],Data[],9,FALSE)=0,5,VLOOKUP(IntComp24[[#This Row],[DEVELOPMENT]],Data[],9,FALSE))</f>
        <v>5</v>
      </c>
      <c r="H214" s="50">
        <f>VLOOKUP(IntComp24[[#This Row],[DEVELOPMENT]],Data[],7,FALSE)</f>
        <v>401</v>
      </c>
      <c r="I214" s="50">
        <f>VLOOKUP(IntComp24[[#This Row],[DEVELOPMENT]],Data[],5,FALSE)</f>
        <v>46</v>
      </c>
      <c r="J214" s="50"/>
      <c r="K214" s="50" t="str">
        <f ca="1">IFERROR(VLOOKUP(IntComp24[[#This Row],[DEVELOPMENT]],Data[],4,FALSE),"")</f>
        <v>2022-2025</v>
      </c>
      <c r="L214" s="50" t="str">
        <f ca="1">IF(IntComp24[[#This Row],[RAD/PACT]]="","",IF(OR(IntComp24[[#This Row],[RAD/PACT]]="2022-2025",IntComp24[[#This Row],[RAD/PACT]]=2019,IntComp24[[#This Row],[RAD/PACT]]="2020-2021"),"Yes",""))</f>
        <v>Yes</v>
      </c>
      <c r="M214" s="51">
        <f ca="1">IF(VLOOKUP(IntComp24[[#This Row],[DEVELOPMENT]],Data[],10,FALSE)=0,-1,DATEDIF(VLOOKUP(IntComp24[[#This Row],[DEVELOPMENT]],Data[],12,FALSE),TODAY(),"Y"))</f>
        <v>-1</v>
      </c>
      <c r="N21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4" s="51"/>
      <c r="P214" s="51"/>
      <c r="Q214" s="51"/>
      <c r="R214" s="47">
        <f ca="1">(IntComp24[[#This Row],['# to Replace (MRST)]]*INDEX(UnitCosts[#All],MATCH(IntComp24[[#This Row],[WORK TYPE]],UnitCosts[Work Type],0)+1,2))*(1+((IntComp24[[#This Row],[est. Year]]-YEAR(TODAY()))*$R$2))</f>
        <v>0</v>
      </c>
      <c r="S214" s="1">
        <f ca="1">SUM(INDEX(IntComp24['# to Replace (MRST)],1):IntComp24[[#This Row],['# to Replace (MRST)]])</f>
        <v>108</v>
      </c>
      <c r="T214" s="51"/>
      <c r="U214" s="51">
        <f ca="1">IF(ISBLANK(IntComp24[[#This Row],[CALENDAR YEAR]]),ROUNDDOWN(IntComp24[[#This Row],[Count]]/50,0)+$U$1,IntComp24[[#This Row],[CALENDAR YEAR]])</f>
        <v>2024</v>
      </c>
      <c r="V214" s="69">
        <f t="shared" ca="1" si="3"/>
        <v>863037.00000000012</v>
      </c>
      <c r="W214" s="5"/>
      <c r="X214"/>
    </row>
    <row r="215" spans="1:24" hidden="1">
      <c r="A215" s="13" t="s">
        <v>280</v>
      </c>
      <c r="B215" s="9" t="str">
        <f>VLOOKUP(A215,Data[],2,FALSE)</f>
        <v>BRONX</v>
      </c>
      <c r="C215" s="9" t="s">
        <v>106</v>
      </c>
      <c r="D215" s="9" t="str">
        <f>VLOOKUP(IntComp24[[#This Row],[DEVELOPMENT]],Data[],52,FALSE)</f>
        <v>FEDERAL</v>
      </c>
      <c r="E215" s="50" t="str">
        <f>VLOOKUP(IntComp24[[#This Row],[DEVELOPMENT]],Data[],8,FALSE)</f>
        <v>Zone 4</v>
      </c>
      <c r="F215" s="50">
        <f>VLOOKUP(IntComp24[[#This Row],[DEVELOPMENT]],all[[DEVELOPMENT]:[MRST Ext. Comp. Priority]],13,FALSE)</f>
        <v>3</v>
      </c>
      <c r="G215" s="50">
        <f>IF(VLOOKUP(IntComp24[[#This Row],[DEVELOPMENT]],Data[],9,FALSE)=0,5,VLOOKUP(IntComp24[[#This Row],[DEVELOPMENT]],Data[],9,FALSE))</f>
        <v>5</v>
      </c>
      <c r="H215" s="50">
        <f>VLOOKUP(IntComp24[[#This Row],[DEVELOPMENT]],Data[],7,FALSE)</f>
        <v>111</v>
      </c>
      <c r="I215" s="50">
        <f>VLOOKUP(IntComp24[[#This Row],[DEVELOPMENT]],Data[],5,FALSE)</f>
        <v>5</v>
      </c>
      <c r="J215" s="50"/>
      <c r="K215" s="50" t="str">
        <f ca="1">IFERROR(VLOOKUP(IntComp24[[#This Row],[DEVELOPMENT]],Data[],4,FALSE),"")</f>
        <v/>
      </c>
      <c r="L215" s="50" t="str">
        <f ca="1">IF(IntComp24[[#This Row],[RAD/PACT]]="","",IF(OR(IntComp24[[#This Row],[RAD/PACT]]="2022-2025",IntComp24[[#This Row],[RAD/PACT]]=2019,IntComp24[[#This Row],[RAD/PACT]]="2020-2021"),"Yes",""))</f>
        <v/>
      </c>
      <c r="M215" s="51">
        <f ca="1">IF(VLOOKUP(IntComp24[[#This Row],[DEVELOPMENT]],Data[],10,FALSE)=0,-1,DATEDIF(VLOOKUP(IntComp24[[#This Row],[DEVELOPMENT]],Data[],12,FALSE),TODAY(),"Y"))</f>
        <v>-1</v>
      </c>
      <c r="N21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5" s="51"/>
      <c r="P215" s="51"/>
      <c r="Q215" s="51"/>
      <c r="R215" s="47">
        <f ca="1">(IntComp24[[#This Row],['# to Replace (MRST)]]*INDEX(UnitCosts[#All],MATCH(IntComp24[[#This Row],[WORK TYPE]],UnitCosts[Work Type],0)+1,2))*(1+((IntComp24[[#This Row],[est. Year]]-YEAR(TODAY()))*$R$2))</f>
        <v>0</v>
      </c>
      <c r="S215" s="1">
        <f ca="1">SUM(INDEX(IntComp24['# to Replace (MRST)],1):IntComp24[[#This Row],['# to Replace (MRST)]])</f>
        <v>108</v>
      </c>
      <c r="T215" s="51"/>
      <c r="U215" s="51">
        <f ca="1">IF(ISBLANK(IntComp24[[#This Row],[CALENDAR YEAR]]),ROUNDDOWN(IntComp24[[#This Row],[Count]]/50,0)+$U$1,IntComp24[[#This Row],[CALENDAR YEAR]])</f>
        <v>2024</v>
      </c>
      <c r="V215" s="69">
        <f t="shared" ca="1" si="3"/>
        <v>863037.00000000012</v>
      </c>
      <c r="W215" s="5"/>
      <c r="X215"/>
    </row>
    <row r="216" spans="1:24" hidden="1">
      <c r="A216" s="13" t="s">
        <v>316</v>
      </c>
      <c r="B216" s="9" t="str">
        <f>VLOOKUP(A216,Data[],2,FALSE)</f>
        <v>BROOKLYN</v>
      </c>
      <c r="C216" s="9" t="s">
        <v>106</v>
      </c>
      <c r="D216" s="9" t="str">
        <f>VLOOKUP(IntComp24[[#This Row],[DEVELOPMENT]],Data[],52,FALSE)</f>
        <v>FEDERAL</v>
      </c>
      <c r="E216" s="50">
        <f>VLOOKUP(IntComp24[[#This Row],[DEVELOPMENT]],Data[],8,FALSE)</f>
        <v>0</v>
      </c>
      <c r="F216" s="50">
        <f>VLOOKUP(IntComp24[[#This Row],[DEVELOPMENT]],all[[DEVELOPMENT]:[MRST Ext. Comp. Priority]],13,FALSE)</f>
        <v>3</v>
      </c>
      <c r="G216" s="50">
        <f>IF(VLOOKUP(IntComp24[[#This Row],[DEVELOPMENT]],Data[],9,FALSE)=0,5,VLOOKUP(IntComp24[[#This Row],[DEVELOPMENT]],Data[],9,FALSE))</f>
        <v>5</v>
      </c>
      <c r="H216" s="50">
        <f>VLOOKUP(IntComp24[[#This Row],[DEVELOPMENT]],Data[],7,FALSE)</f>
        <v>66</v>
      </c>
      <c r="I216" s="50">
        <f>VLOOKUP(IntComp24[[#This Row],[DEVELOPMENT]],Data[],5,FALSE)</f>
        <v>33</v>
      </c>
      <c r="J216" s="50"/>
      <c r="K216" s="50" t="str">
        <f ca="1">IFERROR(VLOOKUP(IntComp24[[#This Row],[DEVELOPMENT]],Data[],4,FALSE),"")</f>
        <v>2022-2025</v>
      </c>
      <c r="L216" s="50" t="str">
        <f ca="1">IF(IntComp24[[#This Row],[RAD/PACT]]="","",IF(OR(IntComp24[[#This Row],[RAD/PACT]]="2022-2025",IntComp24[[#This Row],[RAD/PACT]]=2019,IntComp24[[#This Row],[RAD/PACT]]="2020-2021"),"Yes",""))</f>
        <v>Yes</v>
      </c>
      <c r="M216" s="51">
        <f ca="1">IF(VLOOKUP(IntComp24[[#This Row],[DEVELOPMENT]],Data[],10,FALSE)=0,-1,DATEDIF(VLOOKUP(IntComp24[[#This Row],[DEVELOPMENT]],Data[],12,FALSE),TODAY(),"Y"))</f>
        <v>-1</v>
      </c>
      <c r="N21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6" s="51"/>
      <c r="P216" s="51"/>
      <c r="Q216" s="51"/>
      <c r="R216" s="47">
        <f ca="1">(IntComp24[[#This Row],['# to Replace (MRST)]]*INDEX(UnitCosts[#All],MATCH(IntComp24[[#This Row],[WORK TYPE]],UnitCosts[Work Type],0)+1,2))*(1+((IntComp24[[#This Row],[est. Year]]-YEAR(TODAY()))*$R$2))</f>
        <v>0</v>
      </c>
      <c r="S216" s="1">
        <f ca="1">SUM(INDEX(IntComp24['# to Replace (MRST)],1):IntComp24[[#This Row],['# to Replace (MRST)]])</f>
        <v>108</v>
      </c>
      <c r="T216" s="51"/>
      <c r="U216" s="51">
        <f ca="1">IF(ISBLANK(IntComp24[[#This Row],[CALENDAR YEAR]]),ROUNDDOWN(IntComp24[[#This Row],[Count]]/50,0)+$U$1,IntComp24[[#This Row],[CALENDAR YEAR]])</f>
        <v>2024</v>
      </c>
      <c r="V216" s="69">
        <f t="shared" ca="1" si="3"/>
        <v>863037.00000000012</v>
      </c>
      <c r="W216" s="5"/>
      <c r="X216"/>
    </row>
    <row r="217" spans="1:24" hidden="1">
      <c r="A217" s="13" t="s">
        <v>319</v>
      </c>
      <c r="B217" s="9">
        <f>VLOOKUP(A217,Data[],2,FALSE)</f>
        <v>0</v>
      </c>
      <c r="C217" s="9" t="s">
        <v>106</v>
      </c>
      <c r="D217" s="9" t="str">
        <f>VLOOKUP(IntComp24[[#This Row],[DEVELOPMENT]],Data[],52,FALSE)</f>
        <v>FEDERAL</v>
      </c>
      <c r="E217" s="50">
        <f>VLOOKUP(IntComp24[[#This Row],[DEVELOPMENT]],Data[],8,FALSE)</f>
        <v>0</v>
      </c>
      <c r="F217" s="50">
        <f>VLOOKUP(IntComp24[[#This Row],[DEVELOPMENT]],all[[DEVELOPMENT]:[MRST Ext. Comp. Priority]],13,FALSE)</f>
        <v>3</v>
      </c>
      <c r="G217" s="50">
        <f>IF(VLOOKUP(IntComp24[[#This Row],[DEVELOPMENT]],Data[],9,FALSE)=0,5,VLOOKUP(IntComp24[[#This Row],[DEVELOPMENT]],Data[],9,FALSE))</f>
        <v>5</v>
      </c>
      <c r="H217" s="50">
        <f>VLOOKUP(IntComp24[[#This Row],[DEVELOPMENT]],Data[],7,FALSE)</f>
        <v>21</v>
      </c>
      <c r="I217" s="50">
        <f>VLOOKUP(IntComp24[[#This Row],[DEVELOPMENT]],Data[],5,FALSE)</f>
        <v>26</v>
      </c>
      <c r="J217" s="50"/>
      <c r="K217" s="50" t="str">
        <f ca="1">IFERROR(VLOOKUP(IntComp24[[#This Row],[DEVELOPMENT]],Data[],4,FALSE),"")</f>
        <v/>
      </c>
      <c r="L217" s="50" t="str">
        <f ca="1">IF(IntComp24[[#This Row],[RAD/PACT]]="","",IF(OR(IntComp24[[#This Row],[RAD/PACT]]="2022-2025",IntComp24[[#This Row],[RAD/PACT]]=2019,IntComp24[[#This Row],[RAD/PACT]]="2020-2021"),"Yes",""))</f>
        <v/>
      </c>
      <c r="M217" s="51">
        <f ca="1">IF(VLOOKUP(IntComp24[[#This Row],[DEVELOPMENT]],Data[],10,FALSE)=0,-1,DATEDIF(VLOOKUP(IntComp24[[#This Row],[DEVELOPMENT]],Data[],12,FALSE),TODAY(),"Y"))</f>
        <v>-1</v>
      </c>
      <c r="N21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7" s="51"/>
      <c r="P217" s="51"/>
      <c r="Q217" s="51"/>
      <c r="R217" s="47">
        <f ca="1">(IntComp24[[#This Row],['# to Replace (MRST)]]*INDEX(UnitCosts[#All],MATCH(IntComp24[[#This Row],[WORK TYPE]],UnitCosts[Work Type],0)+1,2))*(1+((IntComp24[[#This Row],[est. Year]]-YEAR(TODAY()))*$R$2))</f>
        <v>0</v>
      </c>
      <c r="S217" s="1">
        <f ca="1">SUM(INDEX(IntComp24['# to Replace (MRST)],1):IntComp24[[#This Row],['# to Replace (MRST)]])</f>
        <v>108</v>
      </c>
      <c r="T217" s="51"/>
      <c r="U217" s="51">
        <f ca="1">IF(ISBLANK(IntComp24[[#This Row],[CALENDAR YEAR]]),ROUNDDOWN(IntComp24[[#This Row],[Count]]/50,0)+$U$1,IntComp24[[#This Row],[CALENDAR YEAR]])</f>
        <v>2024</v>
      </c>
      <c r="V217" s="69">
        <f t="shared" ca="1" si="3"/>
        <v>863037.00000000012</v>
      </c>
      <c r="W217" s="5"/>
      <c r="X217"/>
    </row>
    <row r="218" spans="1:24" hidden="1">
      <c r="A218" s="13" t="s">
        <v>237</v>
      </c>
      <c r="B218" s="9">
        <f>VLOOKUP(A218,Data[],2,FALSE)</f>
        <v>0</v>
      </c>
      <c r="C218" s="9" t="s">
        <v>106</v>
      </c>
      <c r="D218" s="9" t="str">
        <f>VLOOKUP(IntComp24[[#This Row],[DEVELOPMENT]],Data[],52,FALSE)</f>
        <v>FEDERAL</v>
      </c>
      <c r="E218" s="50">
        <f>VLOOKUP(IntComp24[[#This Row],[DEVELOPMENT]],Data[],8,FALSE)</f>
        <v>0</v>
      </c>
      <c r="F218" s="50">
        <f>VLOOKUP(IntComp24[[#This Row],[DEVELOPMENT]],all[[DEVELOPMENT]:[MRST Ext. Comp. Priority]],13,FALSE)</f>
        <v>3</v>
      </c>
      <c r="G218" s="50">
        <f>IF(VLOOKUP(IntComp24[[#This Row],[DEVELOPMENT]],Data[],9,FALSE)=0,5,VLOOKUP(IntComp24[[#This Row],[DEVELOPMENT]],Data[],9,FALSE))</f>
        <v>5</v>
      </c>
      <c r="H218" s="50">
        <f>VLOOKUP(IntComp24[[#This Row],[DEVELOPMENT]],Data[],7,FALSE)</f>
        <v>10</v>
      </c>
      <c r="I218" s="50">
        <f>VLOOKUP(IntComp24[[#This Row],[DEVELOPMENT]],Data[],5,FALSE)</f>
        <v>12</v>
      </c>
      <c r="J218" s="50"/>
      <c r="K218" s="50" t="str">
        <f ca="1">IFERROR(VLOOKUP(IntComp24[[#This Row],[DEVELOPMENT]],Data[],4,FALSE),"")</f>
        <v/>
      </c>
      <c r="L218" s="50" t="str">
        <f ca="1">IF(IntComp24[[#This Row],[RAD/PACT]]="","",IF(OR(IntComp24[[#This Row],[RAD/PACT]]="2022-2025",IntComp24[[#This Row],[RAD/PACT]]=2019,IntComp24[[#This Row],[RAD/PACT]]="2020-2021"),"Yes",""))</f>
        <v/>
      </c>
      <c r="M218" s="51">
        <f ca="1">IF(VLOOKUP(IntComp24[[#This Row],[DEVELOPMENT]],Data[],10,FALSE)=0,-1,DATEDIF(VLOOKUP(IntComp24[[#This Row],[DEVELOPMENT]],Data[],12,FALSE),TODAY(),"Y"))</f>
        <v>-1</v>
      </c>
      <c r="N21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8" s="51"/>
      <c r="P218" s="51"/>
      <c r="Q218" s="51"/>
      <c r="R218" s="47">
        <f ca="1">(IntComp24[[#This Row],['# to Replace (MRST)]]*INDEX(UnitCosts[#All],MATCH(IntComp24[[#This Row],[WORK TYPE]],UnitCosts[Work Type],0)+1,2))*(1+((IntComp24[[#This Row],[est. Year]]-YEAR(TODAY()))*$R$2))</f>
        <v>0</v>
      </c>
      <c r="S218" s="1">
        <f ca="1">SUM(INDEX(IntComp24['# to Replace (MRST)],1):IntComp24[[#This Row],['# to Replace (MRST)]])</f>
        <v>108</v>
      </c>
      <c r="T218" s="51"/>
      <c r="U218" s="51">
        <f ca="1">IF(ISBLANK(IntComp24[[#This Row],[CALENDAR YEAR]]),ROUNDDOWN(IntComp24[[#This Row],[Count]]/50,0)+$U$1,IntComp24[[#This Row],[CALENDAR YEAR]])</f>
        <v>2024</v>
      </c>
      <c r="V218" s="69">
        <f t="shared" ca="1" si="3"/>
        <v>863037.00000000012</v>
      </c>
      <c r="W218" s="5"/>
      <c r="X218"/>
    </row>
    <row r="219" spans="1:24" hidden="1">
      <c r="A219" s="13" t="s">
        <v>238</v>
      </c>
      <c r="B219" s="9">
        <f>VLOOKUP(A219,Data[],2,FALSE)</f>
        <v>0</v>
      </c>
      <c r="C219" s="9" t="s">
        <v>106</v>
      </c>
      <c r="D219" s="9" t="str">
        <f>VLOOKUP(IntComp24[[#This Row],[DEVELOPMENT]],Data[],52,FALSE)</f>
        <v>FEDERAL</v>
      </c>
      <c r="E219" s="50">
        <f>VLOOKUP(IntComp24[[#This Row],[DEVELOPMENT]],Data[],8,FALSE)</f>
        <v>0</v>
      </c>
      <c r="F219" s="50">
        <f>VLOOKUP(IntComp24[[#This Row],[DEVELOPMENT]],all[[DEVELOPMENT]:[MRST Ext. Comp. Priority]],13,FALSE)</f>
        <v>3</v>
      </c>
      <c r="G219" s="50">
        <f>IF(VLOOKUP(IntComp24[[#This Row],[DEVELOPMENT]],Data[],9,FALSE)=0,5,VLOOKUP(IntComp24[[#This Row],[DEVELOPMENT]],Data[],9,FALSE))</f>
        <v>5</v>
      </c>
      <c r="H219" s="50">
        <f>VLOOKUP(IntComp24[[#This Row],[DEVELOPMENT]],Data[],7,FALSE)</f>
        <v>11</v>
      </c>
      <c r="I219" s="50">
        <f>VLOOKUP(IntComp24[[#This Row],[DEVELOPMENT]],Data[],5,FALSE)</f>
        <v>12</v>
      </c>
      <c r="J219" s="50"/>
      <c r="K219" s="50" t="str">
        <f ca="1">IFERROR(VLOOKUP(IntComp24[[#This Row],[DEVELOPMENT]],Data[],4,FALSE),"")</f>
        <v/>
      </c>
      <c r="L219" s="50" t="str">
        <f ca="1">IF(IntComp24[[#This Row],[RAD/PACT]]="","",IF(OR(IntComp24[[#This Row],[RAD/PACT]]="2022-2025",IntComp24[[#This Row],[RAD/PACT]]=2019,IntComp24[[#This Row],[RAD/PACT]]="2020-2021"),"Yes",""))</f>
        <v/>
      </c>
      <c r="M219" s="51">
        <f ca="1">IF(VLOOKUP(IntComp24[[#This Row],[DEVELOPMENT]],Data[],10,FALSE)=0,-1,DATEDIF(VLOOKUP(IntComp24[[#This Row],[DEVELOPMENT]],Data[],12,FALSE),TODAY(),"Y"))</f>
        <v>-1</v>
      </c>
      <c r="N21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19" s="51"/>
      <c r="P219" s="51"/>
      <c r="Q219" s="51"/>
      <c r="R219" s="47">
        <f ca="1">(IntComp24[[#This Row],['# to Replace (MRST)]]*INDEX(UnitCosts[#All],MATCH(IntComp24[[#This Row],[WORK TYPE]],UnitCosts[Work Type],0)+1,2))*(1+((IntComp24[[#This Row],[est. Year]]-YEAR(TODAY()))*$R$2))</f>
        <v>0</v>
      </c>
      <c r="S219" s="1">
        <f ca="1">SUM(INDEX(IntComp24['# to Replace (MRST)],1):IntComp24[[#This Row],['# to Replace (MRST)]])</f>
        <v>108</v>
      </c>
      <c r="T219" s="51"/>
      <c r="U219" s="51">
        <f ca="1">IF(ISBLANK(IntComp24[[#This Row],[CALENDAR YEAR]]),ROUNDDOWN(IntComp24[[#This Row],[Count]]/50,0)+$U$1,IntComp24[[#This Row],[CALENDAR YEAR]])</f>
        <v>2024</v>
      </c>
      <c r="V219" s="69">
        <f t="shared" ca="1" si="3"/>
        <v>863037.00000000012</v>
      </c>
      <c r="W219" s="5"/>
      <c r="X219"/>
    </row>
    <row r="220" spans="1:24" hidden="1">
      <c r="A220" s="13" t="s">
        <v>239</v>
      </c>
      <c r="B220" s="9">
        <f>VLOOKUP(A220,Data[],2,FALSE)</f>
        <v>0</v>
      </c>
      <c r="C220" s="9" t="s">
        <v>106</v>
      </c>
      <c r="D220" s="9" t="str">
        <f>VLOOKUP(IntComp24[[#This Row],[DEVELOPMENT]],Data[],52,FALSE)</f>
        <v>FEDERAL</v>
      </c>
      <c r="E220" s="50">
        <f>VLOOKUP(IntComp24[[#This Row],[DEVELOPMENT]],Data[],8,FALSE)</f>
        <v>0</v>
      </c>
      <c r="F220" s="50">
        <f>VLOOKUP(IntComp24[[#This Row],[DEVELOPMENT]],all[[DEVELOPMENT]:[MRST Ext. Comp. Priority]],13,FALSE)</f>
        <v>3</v>
      </c>
      <c r="G220" s="50">
        <f>IF(VLOOKUP(IntComp24[[#This Row],[DEVELOPMENT]],Data[],9,FALSE)=0,5,VLOOKUP(IntComp24[[#This Row],[DEVELOPMENT]],Data[],9,FALSE))</f>
        <v>5</v>
      </c>
      <c r="H220" s="50">
        <f>VLOOKUP(IntComp24[[#This Row],[DEVELOPMENT]],Data[],7,FALSE)</f>
        <v>10</v>
      </c>
      <c r="I220" s="50">
        <f>VLOOKUP(IntComp24[[#This Row],[DEVELOPMENT]],Data[],5,FALSE)</f>
        <v>13</v>
      </c>
      <c r="J220" s="50"/>
      <c r="K220" s="50" t="str">
        <f ca="1">IFERROR(VLOOKUP(IntComp24[[#This Row],[DEVELOPMENT]],Data[],4,FALSE),"")</f>
        <v/>
      </c>
      <c r="L220" s="50" t="str">
        <f ca="1">IF(IntComp24[[#This Row],[RAD/PACT]]="","",IF(OR(IntComp24[[#This Row],[RAD/PACT]]="2022-2025",IntComp24[[#This Row],[RAD/PACT]]=2019,IntComp24[[#This Row],[RAD/PACT]]="2020-2021"),"Yes",""))</f>
        <v/>
      </c>
      <c r="M220" s="51">
        <f ca="1">IF(VLOOKUP(IntComp24[[#This Row],[DEVELOPMENT]],Data[],10,FALSE)=0,-1,DATEDIF(VLOOKUP(IntComp24[[#This Row],[DEVELOPMENT]],Data[],12,FALSE),TODAY(),"Y"))</f>
        <v>-1</v>
      </c>
      <c r="N22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0" s="51"/>
      <c r="P220" s="51"/>
      <c r="Q220" s="51"/>
      <c r="R220" s="47">
        <f ca="1">(IntComp24[[#This Row],['# to Replace (MRST)]]*INDEX(UnitCosts[#All],MATCH(IntComp24[[#This Row],[WORK TYPE]],UnitCosts[Work Type],0)+1,2))*(1+((IntComp24[[#This Row],[est. Year]]-YEAR(TODAY()))*$R$2))</f>
        <v>0</v>
      </c>
      <c r="S220" s="1">
        <f ca="1">SUM(INDEX(IntComp24['# to Replace (MRST)],1):IntComp24[[#This Row],['# to Replace (MRST)]])</f>
        <v>108</v>
      </c>
      <c r="T220" s="51"/>
      <c r="U220" s="51">
        <f ca="1">IF(ISBLANK(IntComp24[[#This Row],[CALENDAR YEAR]]),ROUNDDOWN(IntComp24[[#This Row],[Count]]/50,0)+$U$1,IntComp24[[#This Row],[CALENDAR YEAR]])</f>
        <v>2024</v>
      </c>
      <c r="V220" s="69">
        <f t="shared" ca="1" si="3"/>
        <v>863037.00000000012</v>
      </c>
      <c r="W220" s="5"/>
      <c r="X220"/>
    </row>
    <row r="221" spans="1:24" hidden="1">
      <c r="A221" s="13" t="s">
        <v>240</v>
      </c>
      <c r="B221" s="9">
        <f>VLOOKUP(A221,Data[],2,FALSE)</f>
        <v>0</v>
      </c>
      <c r="C221" s="9" t="s">
        <v>106</v>
      </c>
      <c r="D221" s="9" t="str">
        <f>VLOOKUP(IntComp24[[#This Row],[DEVELOPMENT]],Data[],52,FALSE)</f>
        <v>FEDERAL</v>
      </c>
      <c r="E221" s="50" t="str">
        <f>VLOOKUP(IntComp24[[#This Row],[DEVELOPMENT]],Data[],8,FALSE)</f>
        <v>Zone 4</v>
      </c>
      <c r="F221" s="50">
        <f>VLOOKUP(IntComp24[[#This Row],[DEVELOPMENT]],all[[DEVELOPMENT]:[MRST Ext. Comp. Priority]],13,FALSE)</f>
        <v>3</v>
      </c>
      <c r="G221" s="50">
        <f>IF(VLOOKUP(IntComp24[[#This Row],[DEVELOPMENT]],Data[],9,FALSE)=0,5,VLOOKUP(IntComp24[[#This Row],[DEVELOPMENT]],Data[],9,FALSE))</f>
        <v>5</v>
      </c>
      <c r="H221" s="50">
        <f>VLOOKUP(IntComp24[[#This Row],[DEVELOPMENT]],Data[],7,FALSE)</f>
        <v>16</v>
      </c>
      <c r="I221" s="50">
        <f>VLOOKUP(IntComp24[[#This Row],[DEVELOPMENT]],Data[],5,FALSE)</f>
        <v>16</v>
      </c>
      <c r="J221" s="50"/>
      <c r="K221" s="50" t="str">
        <f ca="1">IFERROR(VLOOKUP(IntComp24[[#This Row],[DEVELOPMENT]],Data[],4,FALSE),"")</f>
        <v/>
      </c>
      <c r="L221" s="50" t="str">
        <f ca="1">IF(IntComp24[[#This Row],[RAD/PACT]]="","",IF(OR(IntComp24[[#This Row],[RAD/PACT]]="2022-2025",IntComp24[[#This Row],[RAD/PACT]]=2019,IntComp24[[#This Row],[RAD/PACT]]="2020-2021"),"Yes",""))</f>
        <v/>
      </c>
      <c r="M221" s="51">
        <f ca="1">IF(VLOOKUP(IntComp24[[#This Row],[DEVELOPMENT]],Data[],10,FALSE)=0,-1,DATEDIF(VLOOKUP(IntComp24[[#This Row],[DEVELOPMENT]],Data[],12,FALSE),TODAY(),"Y"))</f>
        <v>-1</v>
      </c>
      <c r="N22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1" s="51"/>
      <c r="P221" s="51"/>
      <c r="Q221" s="51"/>
      <c r="R221" s="47">
        <f ca="1">(IntComp24[[#This Row],['# to Replace (MRST)]]*INDEX(UnitCosts[#All],MATCH(IntComp24[[#This Row],[WORK TYPE]],UnitCosts[Work Type],0)+1,2))*(1+((IntComp24[[#This Row],[est. Year]]-YEAR(TODAY()))*$R$2))</f>
        <v>0</v>
      </c>
      <c r="S221" s="1">
        <f ca="1">SUM(INDEX(IntComp24['# to Replace (MRST)],1):IntComp24[[#This Row],['# to Replace (MRST)]])</f>
        <v>108</v>
      </c>
      <c r="T221" s="51"/>
      <c r="U221" s="51">
        <f ca="1">IF(ISBLANK(IntComp24[[#This Row],[CALENDAR YEAR]]),ROUNDDOWN(IntComp24[[#This Row],[Count]]/50,0)+$U$1,IntComp24[[#This Row],[CALENDAR YEAR]])</f>
        <v>2024</v>
      </c>
      <c r="V221" s="69">
        <f t="shared" ca="1" si="3"/>
        <v>863037.00000000012</v>
      </c>
      <c r="W221" s="5"/>
      <c r="X221"/>
    </row>
    <row r="222" spans="1:24" hidden="1">
      <c r="A222" s="13" t="s">
        <v>320</v>
      </c>
      <c r="B222" s="9">
        <f>VLOOKUP(A222,Data[],2,FALSE)</f>
        <v>0</v>
      </c>
      <c r="C222" s="9" t="s">
        <v>106</v>
      </c>
      <c r="D222" s="9" t="str">
        <f>VLOOKUP(IntComp24[[#This Row],[DEVELOPMENT]],Data[],52,FALSE)</f>
        <v>FEDERAL</v>
      </c>
      <c r="E222" s="50">
        <f>VLOOKUP(IntComp24[[#This Row],[DEVELOPMENT]],Data[],8,FALSE)</f>
        <v>0</v>
      </c>
      <c r="F222" s="50">
        <f>VLOOKUP(IntComp24[[#This Row],[DEVELOPMENT]],all[[DEVELOPMENT]:[MRST Ext. Comp. Priority]],13,FALSE)</f>
        <v>3</v>
      </c>
      <c r="G222" s="50">
        <f>IF(VLOOKUP(IntComp24[[#This Row],[DEVELOPMENT]],Data[],9,FALSE)=0,5,VLOOKUP(IntComp24[[#This Row],[DEVELOPMENT]],Data[],9,FALSE))</f>
        <v>5</v>
      </c>
      <c r="H222" s="50">
        <f>VLOOKUP(IntComp24[[#This Row],[DEVELOPMENT]],Data[],7,FALSE)</f>
        <v>29</v>
      </c>
      <c r="I222" s="50">
        <f>VLOOKUP(IntComp24[[#This Row],[DEVELOPMENT]],Data[],5,FALSE)</f>
        <v>31</v>
      </c>
      <c r="J222" s="50"/>
      <c r="K222" s="50" t="str">
        <f ca="1">IFERROR(VLOOKUP(IntComp24[[#This Row],[DEVELOPMENT]],Data[],4,FALSE),"")</f>
        <v/>
      </c>
      <c r="L222" s="50" t="str">
        <f ca="1">IF(IntComp24[[#This Row],[RAD/PACT]]="","",IF(OR(IntComp24[[#This Row],[RAD/PACT]]="2022-2025",IntComp24[[#This Row],[RAD/PACT]]=2019,IntComp24[[#This Row],[RAD/PACT]]="2020-2021"),"Yes",""))</f>
        <v/>
      </c>
      <c r="M222" s="51">
        <f ca="1">IF(VLOOKUP(IntComp24[[#This Row],[DEVELOPMENT]],Data[],10,FALSE)=0,-1,DATEDIF(VLOOKUP(IntComp24[[#This Row],[DEVELOPMENT]],Data[],12,FALSE),TODAY(),"Y"))</f>
        <v>-1</v>
      </c>
      <c r="N22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2" s="51"/>
      <c r="P222" s="51"/>
      <c r="Q222" s="51"/>
      <c r="R222" s="47">
        <f ca="1">(IntComp24[[#This Row],['# to Replace (MRST)]]*INDEX(UnitCosts[#All],MATCH(IntComp24[[#This Row],[WORK TYPE]],UnitCosts[Work Type],0)+1,2))*(1+((IntComp24[[#This Row],[est. Year]]-YEAR(TODAY()))*$R$2))</f>
        <v>0</v>
      </c>
      <c r="S222" s="1">
        <f ca="1">SUM(INDEX(IntComp24['# to Replace (MRST)],1):IntComp24[[#This Row],['# to Replace (MRST)]])</f>
        <v>108</v>
      </c>
      <c r="T222" s="51"/>
      <c r="U222" s="51">
        <f ca="1">IF(ISBLANK(IntComp24[[#This Row],[CALENDAR YEAR]]),ROUNDDOWN(IntComp24[[#This Row],[Count]]/50,0)+$U$1,IntComp24[[#This Row],[CALENDAR YEAR]])</f>
        <v>2024</v>
      </c>
      <c r="V222" s="69">
        <f t="shared" ca="1" si="3"/>
        <v>863037.00000000012</v>
      </c>
      <c r="W222" s="5"/>
      <c r="X222"/>
    </row>
    <row r="223" spans="1:24" hidden="1">
      <c r="A223" s="13" t="s">
        <v>322</v>
      </c>
      <c r="B223" s="9">
        <f>VLOOKUP(A223,Data[],2,FALSE)</f>
        <v>0</v>
      </c>
      <c r="C223" s="9" t="s">
        <v>106</v>
      </c>
      <c r="D223" s="9" t="str">
        <f>VLOOKUP(IntComp24[[#This Row],[DEVELOPMENT]],Data[],52,FALSE)</f>
        <v>FEDERAL</v>
      </c>
      <c r="E223" s="50">
        <f>VLOOKUP(IntComp24[[#This Row],[DEVELOPMENT]],Data[],8,FALSE)</f>
        <v>0</v>
      </c>
      <c r="F223" s="50">
        <f>VLOOKUP(IntComp24[[#This Row],[DEVELOPMENT]],all[[DEVELOPMENT]:[MRST Ext. Comp. Priority]],13,FALSE)</f>
        <v>3</v>
      </c>
      <c r="G223" s="50">
        <f>IF(VLOOKUP(IntComp24[[#This Row],[DEVELOPMENT]],Data[],9,FALSE)=0,5,VLOOKUP(IntComp24[[#This Row],[DEVELOPMENT]],Data[],9,FALSE))</f>
        <v>5</v>
      </c>
      <c r="H223" s="50">
        <f>VLOOKUP(IntComp24[[#This Row],[DEVELOPMENT]],Data[],7,FALSE)</f>
        <v>5</v>
      </c>
      <c r="I223" s="50">
        <f>VLOOKUP(IntComp24[[#This Row],[DEVELOPMENT]],Data[],5,FALSE)</f>
        <v>8</v>
      </c>
      <c r="J223" s="50"/>
      <c r="K223" s="50" t="str">
        <f ca="1">IFERROR(VLOOKUP(IntComp24[[#This Row],[DEVELOPMENT]],Data[],4,FALSE),"")</f>
        <v/>
      </c>
      <c r="L223" s="50" t="str">
        <f ca="1">IF(IntComp24[[#This Row],[RAD/PACT]]="","",IF(OR(IntComp24[[#This Row],[RAD/PACT]]="2022-2025",IntComp24[[#This Row],[RAD/PACT]]=2019,IntComp24[[#This Row],[RAD/PACT]]="2020-2021"),"Yes",""))</f>
        <v/>
      </c>
      <c r="M223" s="51">
        <f ca="1">IF(VLOOKUP(IntComp24[[#This Row],[DEVELOPMENT]],Data[],10,FALSE)=0,-1,DATEDIF(VLOOKUP(IntComp24[[#This Row],[DEVELOPMENT]],Data[],12,FALSE),TODAY(),"Y"))</f>
        <v>-1</v>
      </c>
      <c r="N22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3" s="51"/>
      <c r="P223" s="51"/>
      <c r="Q223" s="51"/>
      <c r="R223" s="47">
        <f ca="1">(IntComp24[[#This Row],['# to Replace (MRST)]]*INDEX(UnitCosts[#All],MATCH(IntComp24[[#This Row],[WORK TYPE]],UnitCosts[Work Type],0)+1,2))*(1+((IntComp24[[#This Row],[est. Year]]-YEAR(TODAY()))*$R$2))</f>
        <v>0</v>
      </c>
      <c r="S223" s="1">
        <f ca="1">SUM(INDEX(IntComp24['# to Replace (MRST)],1):IntComp24[[#This Row],['# to Replace (MRST)]])</f>
        <v>108</v>
      </c>
      <c r="T223" s="51"/>
      <c r="U223" s="51">
        <f ca="1">IF(ISBLANK(IntComp24[[#This Row],[CALENDAR YEAR]]),ROUNDDOWN(IntComp24[[#This Row],[Count]]/50,0)+$U$1,IntComp24[[#This Row],[CALENDAR YEAR]])</f>
        <v>2024</v>
      </c>
      <c r="V223" s="69">
        <f t="shared" ca="1" si="3"/>
        <v>863037.00000000012</v>
      </c>
      <c r="W223" s="5"/>
      <c r="X223"/>
    </row>
    <row r="224" spans="1:24" hidden="1">
      <c r="A224" s="13" t="s">
        <v>285</v>
      </c>
      <c r="B224" s="9" t="str">
        <f>VLOOKUP(A224,Data[],2,FALSE)</f>
        <v>BRONX</v>
      </c>
      <c r="C224" s="9" t="s">
        <v>106</v>
      </c>
      <c r="D224" s="9" t="str">
        <f>VLOOKUP(IntComp24[[#This Row],[DEVELOPMENT]],Data[],52,FALSE)</f>
        <v>FEDERAL</v>
      </c>
      <c r="E224" s="50">
        <f>VLOOKUP(IntComp24[[#This Row],[DEVELOPMENT]],Data[],8,FALSE)</f>
        <v>0</v>
      </c>
      <c r="F224" s="50">
        <f>VLOOKUP(IntComp24[[#This Row],[DEVELOPMENT]],all[[DEVELOPMENT]:[MRST Ext. Comp. Priority]],13,FALSE)</f>
        <v>3</v>
      </c>
      <c r="G224" s="50">
        <f>IF(VLOOKUP(IntComp24[[#This Row],[DEVELOPMENT]],Data[],9,FALSE)=0,5,VLOOKUP(IntComp24[[#This Row],[DEVELOPMENT]],Data[],9,FALSE))</f>
        <v>5</v>
      </c>
      <c r="H224" s="50">
        <f>VLOOKUP(IntComp24[[#This Row],[DEVELOPMENT]],Data[],7,FALSE)</f>
        <v>65</v>
      </c>
      <c r="I224" s="50">
        <f>VLOOKUP(IntComp24[[#This Row],[DEVELOPMENT]],Data[],5,FALSE)</f>
        <v>1</v>
      </c>
      <c r="J224" s="50"/>
      <c r="K224" s="50" t="str">
        <f ca="1">IFERROR(VLOOKUP(IntComp24[[#This Row],[DEVELOPMENT]],Data[],4,FALSE),"")</f>
        <v/>
      </c>
      <c r="L224" s="50" t="str">
        <f ca="1">IF(IntComp24[[#This Row],[RAD/PACT]]="","",IF(OR(IntComp24[[#This Row],[RAD/PACT]]="2022-2025",IntComp24[[#This Row],[RAD/PACT]]=2019,IntComp24[[#This Row],[RAD/PACT]]="2020-2021"),"Yes",""))</f>
        <v/>
      </c>
      <c r="M224" s="51">
        <f ca="1">IF(VLOOKUP(IntComp24[[#This Row],[DEVELOPMENT]],Data[],10,FALSE)=0,-1,DATEDIF(VLOOKUP(IntComp24[[#This Row],[DEVELOPMENT]],Data[],12,FALSE),TODAY(),"Y"))</f>
        <v>-1</v>
      </c>
      <c r="N22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4" s="51"/>
      <c r="P224" s="51"/>
      <c r="Q224" s="51"/>
      <c r="R224" s="47">
        <f ca="1">(IntComp24[[#This Row],['# to Replace (MRST)]]*INDEX(UnitCosts[#All],MATCH(IntComp24[[#This Row],[WORK TYPE]],UnitCosts[Work Type],0)+1,2))*(1+((IntComp24[[#This Row],[est. Year]]-YEAR(TODAY()))*$R$2))</f>
        <v>0</v>
      </c>
      <c r="S224" s="1">
        <f ca="1">SUM(INDEX(IntComp24['# to Replace (MRST)],1):IntComp24[[#This Row],['# to Replace (MRST)]])</f>
        <v>108</v>
      </c>
      <c r="T224" s="51"/>
      <c r="U224" s="51">
        <f ca="1">IF(ISBLANK(IntComp24[[#This Row],[CALENDAR YEAR]]),ROUNDDOWN(IntComp24[[#This Row],[Count]]/50,0)+$U$1,IntComp24[[#This Row],[CALENDAR YEAR]])</f>
        <v>2024</v>
      </c>
      <c r="V224" s="69">
        <f t="shared" ref="V224:V287" ca="1" si="4">IF(U224=U223,R224+V223,R224)</f>
        <v>863037.00000000012</v>
      </c>
      <c r="W224" s="5"/>
      <c r="X224"/>
    </row>
    <row r="225" spans="1:24" hidden="1">
      <c r="A225" s="13" t="s">
        <v>286</v>
      </c>
      <c r="B225" s="9" t="str">
        <f>VLOOKUP(A225,Data[],2,FALSE)</f>
        <v>BRONX</v>
      </c>
      <c r="C225" s="9" t="s">
        <v>106</v>
      </c>
      <c r="D225" s="9" t="str">
        <f>VLOOKUP(IntComp24[[#This Row],[DEVELOPMENT]],Data[],52,FALSE)</f>
        <v>FEDERAL</v>
      </c>
      <c r="E225" s="50" t="str">
        <f>VLOOKUP(IntComp24[[#This Row],[DEVELOPMENT]],Data[],8,FALSE)</f>
        <v>Zone 3</v>
      </c>
      <c r="F225" s="50">
        <f>VLOOKUP(IntComp24[[#This Row],[DEVELOPMENT]],all[[DEVELOPMENT]:[MRST Ext. Comp. Priority]],13,FALSE)</f>
        <v>3</v>
      </c>
      <c r="G225" s="50">
        <f>IF(VLOOKUP(IntComp24[[#This Row],[DEVELOPMENT]],Data[],9,FALSE)=0,5,VLOOKUP(IntComp24[[#This Row],[DEVELOPMENT]],Data[],9,FALSE))</f>
        <v>5</v>
      </c>
      <c r="H225" s="50">
        <f>VLOOKUP(IntComp24[[#This Row],[DEVELOPMENT]],Data[],7,FALSE)</f>
        <v>131</v>
      </c>
      <c r="I225" s="50">
        <f>VLOOKUP(IntComp24[[#This Row],[DEVELOPMENT]],Data[],5,FALSE)</f>
        <v>13</v>
      </c>
      <c r="J225" s="50"/>
      <c r="K225" s="50" t="str">
        <f ca="1">IFERROR(VLOOKUP(IntComp24[[#This Row],[DEVELOPMENT]],Data[],4,FALSE),"")</f>
        <v/>
      </c>
      <c r="L225" s="50" t="str">
        <f ca="1">IF(IntComp24[[#This Row],[RAD/PACT]]="","",IF(OR(IntComp24[[#This Row],[RAD/PACT]]="2022-2025",IntComp24[[#This Row],[RAD/PACT]]=2019,IntComp24[[#This Row],[RAD/PACT]]="2020-2021"),"Yes",""))</f>
        <v/>
      </c>
      <c r="M225" s="51">
        <f ca="1">IF(VLOOKUP(IntComp24[[#This Row],[DEVELOPMENT]],Data[],10,FALSE)=0,-1,DATEDIF(VLOOKUP(IntComp24[[#This Row],[DEVELOPMENT]],Data[],12,FALSE),TODAY(),"Y"))</f>
        <v>-1</v>
      </c>
      <c r="N22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5" s="51"/>
      <c r="P225" s="51"/>
      <c r="Q225" s="51"/>
      <c r="R225" s="47">
        <f ca="1">(IntComp24[[#This Row],['# to Replace (MRST)]]*INDEX(UnitCosts[#All],MATCH(IntComp24[[#This Row],[WORK TYPE]],UnitCosts[Work Type],0)+1,2))*(1+((IntComp24[[#This Row],[est. Year]]-YEAR(TODAY()))*$R$2))</f>
        <v>0</v>
      </c>
      <c r="S225" s="1">
        <f ca="1">SUM(INDEX(IntComp24['# to Replace (MRST)],1):IntComp24[[#This Row],['# to Replace (MRST)]])</f>
        <v>108</v>
      </c>
      <c r="T225" s="51"/>
      <c r="U225" s="51">
        <f ca="1">IF(ISBLANK(IntComp24[[#This Row],[CALENDAR YEAR]]),ROUNDDOWN(IntComp24[[#This Row],[Count]]/50,0)+$U$1,IntComp24[[#This Row],[CALENDAR YEAR]])</f>
        <v>2024</v>
      </c>
      <c r="V225" s="69">
        <f t="shared" ca="1" si="4"/>
        <v>863037.00000000012</v>
      </c>
      <c r="W225" s="5"/>
      <c r="X225"/>
    </row>
    <row r="226" spans="1:24" hidden="1">
      <c r="A226" s="13" t="s">
        <v>287</v>
      </c>
      <c r="B226" s="9" t="str">
        <f>VLOOKUP(A226,Data[],2,FALSE)</f>
        <v>BRONX</v>
      </c>
      <c r="C226" s="9" t="s">
        <v>106</v>
      </c>
      <c r="D226" s="9" t="str">
        <f>VLOOKUP(IntComp24[[#This Row],[DEVELOPMENT]],Data[],52,FALSE)</f>
        <v>FEDERAL</v>
      </c>
      <c r="E226" s="50">
        <f>VLOOKUP(IntComp24[[#This Row],[DEVELOPMENT]],Data[],8,FALSE)</f>
        <v>0</v>
      </c>
      <c r="F226" s="50">
        <f>VLOOKUP(IntComp24[[#This Row],[DEVELOPMENT]],all[[DEVELOPMENT]:[MRST Ext. Comp. Priority]],13,FALSE)</f>
        <v>3</v>
      </c>
      <c r="G226" s="50">
        <f>IF(VLOOKUP(IntComp24[[#This Row],[DEVELOPMENT]],Data[],9,FALSE)=0,5,VLOOKUP(IntComp24[[#This Row],[DEVELOPMENT]],Data[],9,FALSE))</f>
        <v>5</v>
      </c>
      <c r="H226" s="50">
        <f>VLOOKUP(IntComp24[[#This Row],[DEVELOPMENT]],Data[],7,FALSE)</f>
        <v>75</v>
      </c>
      <c r="I226" s="50">
        <f>VLOOKUP(IntComp24[[#This Row],[DEVELOPMENT]],Data[],5,FALSE)</f>
        <v>2</v>
      </c>
      <c r="J226" s="50"/>
      <c r="K226" s="50" t="str">
        <f ca="1">IFERROR(VLOOKUP(IntComp24[[#This Row],[DEVELOPMENT]],Data[],4,FALSE),"")</f>
        <v/>
      </c>
      <c r="L226" s="50" t="str">
        <f ca="1">IF(IntComp24[[#This Row],[RAD/PACT]]="","",IF(OR(IntComp24[[#This Row],[RAD/PACT]]="2022-2025",IntComp24[[#This Row],[RAD/PACT]]=2019,IntComp24[[#This Row],[RAD/PACT]]="2020-2021"),"Yes",""))</f>
        <v/>
      </c>
      <c r="M226" s="51">
        <f ca="1">IF(VLOOKUP(IntComp24[[#This Row],[DEVELOPMENT]],Data[],10,FALSE)=0,-1,DATEDIF(VLOOKUP(IntComp24[[#This Row],[DEVELOPMENT]],Data[],12,FALSE),TODAY(),"Y"))</f>
        <v>-1</v>
      </c>
      <c r="N22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6" s="51"/>
      <c r="P226" s="51"/>
      <c r="Q226" s="51"/>
      <c r="R226" s="47">
        <f ca="1">(IntComp24[[#This Row],['# to Replace (MRST)]]*INDEX(UnitCosts[#All],MATCH(IntComp24[[#This Row],[WORK TYPE]],UnitCosts[Work Type],0)+1,2))*(1+((IntComp24[[#This Row],[est. Year]]-YEAR(TODAY()))*$R$2))</f>
        <v>0</v>
      </c>
      <c r="S226" s="1">
        <f ca="1">SUM(INDEX(IntComp24['# to Replace (MRST)],1):IntComp24[[#This Row],['# to Replace (MRST)]])</f>
        <v>108</v>
      </c>
      <c r="T226" s="51"/>
      <c r="U226" s="51">
        <f ca="1">IF(ISBLANK(IntComp24[[#This Row],[CALENDAR YEAR]]),ROUNDDOWN(IntComp24[[#This Row],[Count]]/50,0)+$U$1,IntComp24[[#This Row],[CALENDAR YEAR]])</f>
        <v>2024</v>
      </c>
      <c r="V226" s="69">
        <f t="shared" ca="1" si="4"/>
        <v>863037.00000000012</v>
      </c>
      <c r="W226" s="5"/>
      <c r="X226"/>
    </row>
    <row r="227" spans="1:24" hidden="1">
      <c r="A227" s="13" t="s">
        <v>215</v>
      </c>
      <c r="B227" s="9" t="str">
        <f>VLOOKUP(A227,Data[],2,FALSE)</f>
        <v>QUEENS</v>
      </c>
      <c r="C227" s="9" t="s">
        <v>106</v>
      </c>
      <c r="D227" s="9" t="str">
        <f>VLOOKUP(IntComp24[[#This Row],[DEVELOPMENT]],Data[],52,FALSE)</f>
        <v>FEDERAL</v>
      </c>
      <c r="E227" s="50">
        <f>VLOOKUP(IntComp24[[#This Row],[DEVELOPMENT]],Data[],8,FALSE)</f>
        <v>0</v>
      </c>
      <c r="F227" s="50">
        <f>VLOOKUP(IntComp24[[#This Row],[DEVELOPMENT]],all[[DEVELOPMENT]:[MRST Ext. Comp. Priority]],13,FALSE)</f>
        <v>3</v>
      </c>
      <c r="G227" s="50">
        <f>IF(VLOOKUP(IntComp24[[#This Row],[DEVELOPMENT]],Data[],9,FALSE)=0,5,VLOOKUP(IntComp24[[#This Row],[DEVELOPMENT]],Data[],9,FALSE))</f>
        <v>5</v>
      </c>
      <c r="H227" s="50">
        <f>VLOOKUP(IntComp24[[#This Row],[DEVELOPMENT]],Data[],7,FALSE)</f>
        <v>13</v>
      </c>
      <c r="I227" s="50">
        <f>VLOOKUP(IntComp24[[#This Row],[DEVELOPMENT]],Data[],5,FALSE)</f>
        <v>1</v>
      </c>
      <c r="J227" s="50"/>
      <c r="K227" s="50" t="str">
        <f ca="1">IFERROR(VLOOKUP(IntComp24[[#This Row],[DEVELOPMENT]],Data[],4,FALSE),"")</f>
        <v/>
      </c>
      <c r="L227" s="50" t="str">
        <f ca="1">IF(IntComp24[[#This Row],[RAD/PACT]]="","",IF(OR(IntComp24[[#This Row],[RAD/PACT]]="2022-2025",IntComp24[[#This Row],[RAD/PACT]]=2019,IntComp24[[#This Row],[RAD/PACT]]="2020-2021"),"Yes",""))</f>
        <v/>
      </c>
      <c r="M227" s="51">
        <f ca="1">IF(VLOOKUP(IntComp24[[#This Row],[DEVELOPMENT]],Data[],10,FALSE)=0,-1,DATEDIF(VLOOKUP(IntComp24[[#This Row],[DEVELOPMENT]],Data[],12,FALSE),TODAY(),"Y"))</f>
        <v>-1</v>
      </c>
      <c r="N22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7" s="51"/>
      <c r="P227" s="51"/>
      <c r="Q227" s="51"/>
      <c r="R227" s="47">
        <f ca="1">(IntComp24[[#This Row],['# to Replace (MRST)]]*INDEX(UnitCosts[#All],MATCH(IntComp24[[#This Row],[WORK TYPE]],UnitCosts[Work Type],0)+1,2))*(1+((IntComp24[[#This Row],[est. Year]]-YEAR(TODAY()))*$R$2))</f>
        <v>0</v>
      </c>
      <c r="S227" s="1">
        <f ca="1">SUM(INDEX(IntComp24['# to Replace (MRST)],1):IntComp24[[#This Row],['# to Replace (MRST)]])</f>
        <v>108</v>
      </c>
      <c r="T227" s="51"/>
      <c r="U227" s="51">
        <f ca="1">IF(ISBLANK(IntComp24[[#This Row],[CALENDAR YEAR]]),ROUNDDOWN(IntComp24[[#This Row],[Count]]/50,0)+$U$1,IntComp24[[#This Row],[CALENDAR YEAR]])</f>
        <v>2024</v>
      </c>
      <c r="V227" s="69">
        <f t="shared" ca="1" si="4"/>
        <v>863037.00000000012</v>
      </c>
      <c r="W227" s="5"/>
      <c r="X227"/>
    </row>
    <row r="228" spans="1:24" hidden="1">
      <c r="A228" s="13" t="s">
        <v>364</v>
      </c>
      <c r="B228" s="9" t="str">
        <f>VLOOKUP(A228,Data[],2,FALSE)</f>
        <v>MANHATTAN</v>
      </c>
      <c r="C228" s="9" t="s">
        <v>106</v>
      </c>
      <c r="D228" s="9" t="str">
        <f>VLOOKUP(IntComp24[[#This Row],[DEVELOPMENT]],Data[],52,FALSE)</f>
        <v>FEDERAL</v>
      </c>
      <c r="E228" s="50">
        <f>VLOOKUP(IntComp24[[#This Row],[DEVELOPMENT]],Data[],8,FALSE)</f>
        <v>0</v>
      </c>
      <c r="F228" s="50">
        <f>VLOOKUP(IntComp24[[#This Row],[DEVELOPMENT]],all[[DEVELOPMENT]:[MRST Ext. Comp. Priority]],13,FALSE)</f>
        <v>3</v>
      </c>
      <c r="G228" s="50">
        <f>IF(VLOOKUP(IntComp24[[#This Row],[DEVELOPMENT]],Data[],9,FALSE)=0,5,VLOOKUP(IntComp24[[#This Row],[DEVELOPMENT]],Data[],9,FALSE))</f>
        <v>5</v>
      </c>
      <c r="H228" s="50">
        <f>VLOOKUP(IntComp24[[#This Row],[DEVELOPMENT]],Data[],7,FALSE)</f>
        <v>13</v>
      </c>
      <c r="I228" s="50">
        <f>VLOOKUP(IntComp24[[#This Row],[DEVELOPMENT]],Data[],5,FALSE)</f>
        <v>1</v>
      </c>
      <c r="J228" s="50"/>
      <c r="K228" s="50" t="str">
        <f ca="1">IFERROR(VLOOKUP(IntComp24[[#This Row],[DEVELOPMENT]],Data[],4,FALSE),"")</f>
        <v/>
      </c>
      <c r="L228" s="50" t="str">
        <f ca="1">IF(IntComp24[[#This Row],[RAD/PACT]]="","",IF(OR(IntComp24[[#This Row],[RAD/PACT]]="2022-2025",IntComp24[[#This Row],[RAD/PACT]]=2019,IntComp24[[#This Row],[RAD/PACT]]="2020-2021"),"Yes",""))</f>
        <v/>
      </c>
      <c r="M228" s="51">
        <f ca="1">IF(VLOOKUP(IntComp24[[#This Row],[DEVELOPMENT]],Data[],10,FALSE)=0,-1,DATEDIF(VLOOKUP(IntComp24[[#This Row],[DEVELOPMENT]],Data[],12,FALSE),TODAY(),"Y"))</f>
        <v>-1</v>
      </c>
      <c r="N22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8" s="51"/>
      <c r="P228" s="51"/>
      <c r="Q228" s="51"/>
      <c r="R228" s="47">
        <f ca="1">(IntComp24[[#This Row],['# to Replace (MRST)]]*INDEX(UnitCosts[#All],MATCH(IntComp24[[#This Row],[WORK TYPE]],UnitCosts[Work Type],0)+1,2))*(1+((IntComp24[[#This Row],[est. Year]]-YEAR(TODAY()))*$R$2))</f>
        <v>0</v>
      </c>
      <c r="S228" s="1">
        <f ca="1">SUM(INDEX(IntComp24['# to Replace (MRST)],1):IntComp24[[#This Row],['# to Replace (MRST)]])</f>
        <v>108</v>
      </c>
      <c r="T228" s="51"/>
      <c r="U228" s="51">
        <f ca="1">IF(ISBLANK(IntComp24[[#This Row],[CALENDAR YEAR]]),ROUNDDOWN(IntComp24[[#This Row],[Count]]/50,0)+$U$1,IntComp24[[#This Row],[CALENDAR YEAR]])</f>
        <v>2024</v>
      </c>
      <c r="V228" s="69">
        <f t="shared" ca="1" si="4"/>
        <v>863037.00000000012</v>
      </c>
      <c r="W228" s="5"/>
      <c r="X228"/>
    </row>
    <row r="229" spans="1:24" hidden="1">
      <c r="A229" s="13" t="s">
        <v>372</v>
      </c>
      <c r="B229" s="9" t="str">
        <f>VLOOKUP(A229,Data[],2,FALSE)</f>
        <v>BRONX</v>
      </c>
      <c r="C229" s="9" t="s">
        <v>106</v>
      </c>
      <c r="D229" s="9" t="str">
        <f>VLOOKUP(IntComp24[[#This Row],[DEVELOPMENT]],Data[],52,FALSE)</f>
        <v>FEDERAL</v>
      </c>
      <c r="E229" s="50">
        <f>VLOOKUP(IntComp24[[#This Row],[DEVELOPMENT]],Data[],8,FALSE)</f>
        <v>0</v>
      </c>
      <c r="F229" s="50">
        <f>VLOOKUP(IntComp24[[#This Row],[DEVELOPMENT]],all[[DEVELOPMENT]:[MRST Ext. Comp. Priority]],13,FALSE)</f>
        <v>3</v>
      </c>
      <c r="G229" s="50">
        <f>IF(VLOOKUP(IntComp24[[#This Row],[DEVELOPMENT]],Data[],9,FALSE)=0,5,VLOOKUP(IntComp24[[#This Row],[DEVELOPMENT]],Data[],9,FALSE))</f>
        <v>5</v>
      </c>
      <c r="H229" s="50">
        <f>VLOOKUP(IntComp24[[#This Row],[DEVELOPMENT]],Data[],7,FALSE)</f>
        <v>230</v>
      </c>
      <c r="I229" s="50">
        <f>VLOOKUP(IntComp24[[#This Row],[DEVELOPMENT]],Data[],5,FALSE)</f>
        <v>4</v>
      </c>
      <c r="J229" s="50"/>
      <c r="K229" s="50" t="str">
        <f ca="1">IFERROR(VLOOKUP(IntComp24[[#This Row],[DEVELOPMENT]],Data[],4,FALSE),"")</f>
        <v/>
      </c>
      <c r="L229" s="50" t="str">
        <f ca="1">IF(IntComp24[[#This Row],[RAD/PACT]]="","",IF(OR(IntComp24[[#This Row],[RAD/PACT]]="2022-2025",IntComp24[[#This Row],[RAD/PACT]]=2019,IntComp24[[#This Row],[RAD/PACT]]="2020-2021"),"Yes",""))</f>
        <v/>
      </c>
      <c r="M229" s="51">
        <f ca="1">IF(VLOOKUP(IntComp24[[#This Row],[DEVELOPMENT]],Data[],10,FALSE)=0,-1,DATEDIF(VLOOKUP(IntComp24[[#This Row],[DEVELOPMENT]],Data[],12,FALSE),TODAY(),"Y"))</f>
        <v>-1</v>
      </c>
      <c r="N22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29" s="51"/>
      <c r="P229" s="51"/>
      <c r="Q229" s="51"/>
      <c r="R229" s="47">
        <f ca="1">(IntComp24[[#This Row],['# to Replace (MRST)]]*INDEX(UnitCosts[#All],MATCH(IntComp24[[#This Row],[WORK TYPE]],UnitCosts[Work Type],0)+1,2))*(1+((IntComp24[[#This Row],[est. Year]]-YEAR(TODAY()))*$R$2))</f>
        <v>0</v>
      </c>
      <c r="S229" s="1">
        <f ca="1">SUM(INDEX(IntComp24['# to Replace (MRST)],1):IntComp24[[#This Row],['# to Replace (MRST)]])</f>
        <v>108</v>
      </c>
      <c r="T229" s="51"/>
      <c r="U229" s="51">
        <f ca="1">IF(ISBLANK(IntComp24[[#This Row],[CALENDAR YEAR]]),ROUNDDOWN(IntComp24[[#This Row],[Count]]/50,0)+$U$1,IntComp24[[#This Row],[CALENDAR YEAR]])</f>
        <v>2024</v>
      </c>
      <c r="V229" s="69">
        <f t="shared" ca="1" si="4"/>
        <v>863037.00000000012</v>
      </c>
      <c r="W229" s="5"/>
      <c r="X229"/>
    </row>
    <row r="230" spans="1:24" hidden="1">
      <c r="A230" s="65" t="s">
        <v>56</v>
      </c>
      <c r="B230" s="1" t="str">
        <f>VLOOKUP(A230,Data[],2,FALSE)</f>
        <v>MANHATTAN</v>
      </c>
      <c r="C230" s="9" t="s">
        <v>106</v>
      </c>
      <c r="D230" s="9" t="str">
        <f>VLOOKUP(IntComp24[[#This Row],[DEVELOPMENT]],Data[],52,FALSE)</f>
        <v>FEDERAL</v>
      </c>
      <c r="E230" s="9" t="str">
        <f>VLOOKUP(IntComp24[[#This Row],[DEVELOPMENT]],Data[],8,FALSE)</f>
        <v>Zone 1</v>
      </c>
      <c r="F230" s="9">
        <f>VLOOKUP(IntComp24[[#This Row],[DEVELOPMENT]],all[[DEVELOPMENT]:[MRST Ext. Comp. Priority]],13,FALSE)</f>
        <v>4</v>
      </c>
      <c r="G230" s="9">
        <f>IF(VLOOKUP(IntComp24[[#This Row],[DEVELOPMENT]],Data[],9,FALSE)=0,5,VLOOKUP(IntComp24[[#This Row],[DEVELOPMENT]],Data[],9,FALSE))</f>
        <v>3</v>
      </c>
      <c r="H230" s="9">
        <f>VLOOKUP(IntComp24[[#This Row],[DEVELOPMENT]],Data[],7,FALSE)</f>
        <v>1527</v>
      </c>
      <c r="I230" s="9">
        <f>VLOOKUP(IntComp24[[#This Row],[DEVELOPMENT]],Data[],5,FALSE)</f>
        <v>20</v>
      </c>
      <c r="J230" s="9"/>
      <c r="K230" s="9" t="str">
        <f ca="1">IFERROR(VLOOKUP(IntComp24[[#This Row],[DEVELOPMENT]],Data[],4,FALSE),"")</f>
        <v/>
      </c>
      <c r="L230" s="9" t="str">
        <f ca="1">IF(IntComp24[[#This Row],[RAD/PACT]]="","",IF(OR(IntComp24[[#This Row],[RAD/PACT]]="2022-2025",IntComp24[[#This Row],[RAD/PACT]]=2019,IntComp24[[#This Row],[RAD/PACT]]="2020-2021"),"Yes",""))</f>
        <v/>
      </c>
      <c r="M230" s="1">
        <f ca="1">IF(VLOOKUP(IntComp24[[#This Row],[DEVELOPMENT]],Data[],10,FALSE)=0,-1,DATEDIF(VLOOKUP(IntComp24[[#This Row],[DEVELOPMENT]],Data[],12,FALSE),TODAY(),"Y"))</f>
        <v>19</v>
      </c>
      <c r="N23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0" s="1"/>
      <c r="P230" s="1"/>
      <c r="Q230" s="1"/>
      <c r="R230" s="47">
        <f ca="1">(IntComp24[[#This Row],['# to Replace (MRST)]]*INDEX(UnitCosts[#All],MATCH(IntComp24[[#This Row],[WORK TYPE]],UnitCosts[Work Type],0)+1,2))*(1+((IntComp24[[#This Row],[est. Year]]-YEAR(TODAY()))*$R$2))</f>
        <v>0</v>
      </c>
      <c r="S230" s="1">
        <f ca="1">SUM(INDEX(IntComp24['# to Replace (MRST)],1):IntComp24[[#This Row],['# to Replace (MRST)]])</f>
        <v>108</v>
      </c>
      <c r="T230" s="1"/>
      <c r="U230" s="1">
        <f ca="1">IF(ISBLANK(IntComp24[[#This Row],[CALENDAR YEAR]]),ROUNDDOWN(IntComp24[[#This Row],[Count]]/50,0)+$U$1,IntComp24[[#This Row],[CALENDAR YEAR]])</f>
        <v>2024</v>
      </c>
      <c r="V230" s="64">
        <f t="shared" ca="1" si="4"/>
        <v>863037.00000000012</v>
      </c>
      <c r="W230" s="5"/>
      <c r="X230"/>
    </row>
    <row r="231" spans="1:24" hidden="1">
      <c r="A231" s="13" t="s">
        <v>117</v>
      </c>
      <c r="B231" s="1" t="str">
        <f>VLOOKUP(A231,Data[],2,FALSE)</f>
        <v>MANHATTAN</v>
      </c>
      <c r="C231" s="9" t="s">
        <v>106</v>
      </c>
      <c r="D231" s="9" t="str">
        <f>VLOOKUP(IntComp24[[#This Row],[DEVELOPMENT]],Data[],52,FALSE)</f>
        <v>FEDERAL</v>
      </c>
      <c r="E231" s="9" t="str">
        <f>VLOOKUP(IntComp24[[#This Row],[DEVELOPMENT]],Data[],8,FALSE)</f>
        <v>Zone 3</v>
      </c>
      <c r="F231" s="9">
        <f>VLOOKUP(IntComp24[[#This Row],[DEVELOPMENT]],all[[DEVELOPMENT]:[MRST Ext. Comp. Priority]],13,FALSE)</f>
        <v>4</v>
      </c>
      <c r="G231" s="9">
        <f>IF(VLOOKUP(IntComp24[[#This Row],[DEVELOPMENT]],Data[],9,FALSE)=0,5,VLOOKUP(IntComp24[[#This Row],[DEVELOPMENT]],Data[],9,FALSE))</f>
        <v>4</v>
      </c>
      <c r="H231" s="9">
        <f>VLOOKUP(IntComp24[[#This Row],[DEVELOPMENT]],Data[],7,FALSE)</f>
        <v>574</v>
      </c>
      <c r="I231" s="9">
        <f>VLOOKUP(IntComp24[[#This Row],[DEVELOPMENT]],Data[],5,FALSE)</f>
        <v>7</v>
      </c>
      <c r="J231" s="9"/>
      <c r="K231" s="9" t="str">
        <f ca="1">IFERROR(VLOOKUP(IntComp24[[#This Row],[DEVELOPMENT]],Data[],4,FALSE),"")</f>
        <v>2020-2021</v>
      </c>
      <c r="L231" s="9" t="str">
        <f ca="1">IF(IntComp24[[#This Row],[RAD/PACT]]="","",IF(OR(IntComp24[[#This Row],[RAD/PACT]]="2022-2025",IntComp24[[#This Row],[RAD/PACT]]=2019,IntComp24[[#This Row],[RAD/PACT]]="2020-2021"),"Yes",""))</f>
        <v>Yes</v>
      </c>
      <c r="M231" s="1">
        <f ca="1">IF(VLOOKUP(IntComp24[[#This Row],[DEVELOPMENT]],Data[],10,FALSE)=0,-1,DATEDIF(VLOOKUP(IntComp24[[#This Row],[DEVELOPMENT]],Data[],12,FALSE),TODAY(),"Y"))</f>
        <v>25</v>
      </c>
      <c r="N23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1" s="1"/>
      <c r="P231" s="1"/>
      <c r="Q231" s="1"/>
      <c r="R231" s="47">
        <f ca="1">(IntComp24[[#This Row],['# to Replace (MRST)]]*INDEX(UnitCosts[#All],MATCH(IntComp24[[#This Row],[WORK TYPE]],UnitCosts[Work Type],0)+1,2))*(1+((IntComp24[[#This Row],[est. Year]]-YEAR(TODAY()))*$R$2))</f>
        <v>0</v>
      </c>
      <c r="S231" s="1">
        <f ca="1">SUM(INDEX(IntComp24['# to Replace (MRST)],1):IntComp24[[#This Row],['# to Replace (MRST)]])</f>
        <v>108</v>
      </c>
      <c r="T231" s="1"/>
      <c r="U231" s="1">
        <f ca="1">IF(ISBLANK(IntComp24[[#This Row],[CALENDAR YEAR]]),ROUNDDOWN(IntComp24[[#This Row],[Count]]/50,0)+$U$1,IntComp24[[#This Row],[CALENDAR YEAR]])</f>
        <v>2024</v>
      </c>
      <c r="V231" s="64">
        <f t="shared" ca="1" si="4"/>
        <v>863037.00000000012</v>
      </c>
      <c r="W231" s="5"/>
      <c r="X231"/>
    </row>
    <row r="232" spans="1:24" hidden="1">
      <c r="A232" s="13" t="s">
        <v>67</v>
      </c>
      <c r="B232" s="1" t="str">
        <f>VLOOKUP(A232,Data[],2,FALSE)</f>
        <v>MANHATTAN</v>
      </c>
      <c r="C232" s="9" t="s">
        <v>106</v>
      </c>
      <c r="D232" s="9" t="str">
        <f>VLOOKUP(IntComp24[[#This Row],[DEVELOPMENT]],Data[],52,FALSE)</f>
        <v>FEDERAL</v>
      </c>
      <c r="E232" s="9" t="str">
        <f>VLOOKUP(IntComp24[[#This Row],[DEVELOPMENT]],Data[],8,FALSE)</f>
        <v>Zone 2</v>
      </c>
      <c r="F232" s="9">
        <f>VLOOKUP(IntComp24[[#This Row],[DEVELOPMENT]],all[[DEVELOPMENT]:[MRST Ext. Comp. Priority]],13,FALSE)</f>
        <v>4</v>
      </c>
      <c r="G232" s="9">
        <f>IF(VLOOKUP(IntComp24[[#This Row],[DEVELOPMENT]],Data[],9,FALSE)=0,5,VLOOKUP(IntComp24[[#This Row],[DEVELOPMENT]],Data[],9,FALSE))</f>
        <v>4</v>
      </c>
      <c r="H232" s="9">
        <f>VLOOKUP(IntComp24[[#This Row],[DEVELOPMENT]],Data[],7,FALSE)</f>
        <v>98</v>
      </c>
      <c r="I232" s="9">
        <f>VLOOKUP(IntComp24[[#This Row],[DEVELOPMENT]],Data[],5,FALSE)</f>
        <v>1</v>
      </c>
      <c r="J232" s="9"/>
      <c r="K232" s="9" t="str">
        <f ca="1">IFERROR(VLOOKUP(IntComp24[[#This Row],[DEVELOPMENT]],Data[],4,FALSE),"")</f>
        <v>2026+</v>
      </c>
      <c r="L232" s="9" t="str">
        <f ca="1">IF(IntComp24[[#This Row],[RAD/PACT]]="","",IF(OR(IntComp24[[#This Row],[RAD/PACT]]="2022-2025",IntComp24[[#This Row],[RAD/PACT]]=2019,IntComp24[[#This Row],[RAD/PACT]]="2020-2021"),"Yes",""))</f>
        <v/>
      </c>
      <c r="M232" s="1">
        <f ca="1">IF(VLOOKUP(IntComp24[[#This Row],[DEVELOPMENT]],Data[],10,FALSE)=0,-1,DATEDIF(VLOOKUP(IntComp24[[#This Row],[DEVELOPMENT]],Data[],12,FALSE),TODAY(),"Y"))</f>
        <v>24</v>
      </c>
      <c r="N232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2" s="1"/>
      <c r="P232" s="1"/>
      <c r="Q232" s="1"/>
      <c r="R232" s="47">
        <f ca="1">(IntComp24[[#This Row],['# to Replace (MRST)]]*INDEX(UnitCosts[#All],MATCH(IntComp24[[#This Row],[WORK TYPE]],UnitCosts[Work Type],0)+1,2))*(1+((IntComp24[[#This Row],[est. Year]]-YEAR(TODAY()))*$R$2))</f>
        <v>0</v>
      </c>
      <c r="S232" s="1">
        <f ca="1">SUM(INDEX(IntComp24['# to Replace (MRST)],1):IntComp24[[#This Row],['# to Replace (MRST)]])</f>
        <v>108</v>
      </c>
      <c r="T232" s="1"/>
      <c r="U232" s="1">
        <f ca="1">IF(ISBLANK(IntComp24[[#This Row],[CALENDAR YEAR]]),ROUNDDOWN(IntComp24[[#This Row],[Count]]/50,0)+$U$1,IntComp24[[#This Row],[CALENDAR YEAR]])</f>
        <v>2024</v>
      </c>
      <c r="V232" s="64">
        <f t="shared" ca="1" si="4"/>
        <v>863037.00000000012</v>
      </c>
      <c r="W232" s="5"/>
      <c r="X232"/>
    </row>
    <row r="233" spans="1:24" hidden="1">
      <c r="A233" s="13" t="s">
        <v>124</v>
      </c>
      <c r="B233" s="1" t="str">
        <f>VLOOKUP(A233,Data[],2,FALSE)</f>
        <v>BRONX</v>
      </c>
      <c r="C233" s="9" t="s">
        <v>106</v>
      </c>
      <c r="D233" s="9" t="str">
        <f>VLOOKUP(IntComp24[[#This Row],[DEVELOPMENT]],Data[],52,FALSE)</f>
        <v>FEDERAL</v>
      </c>
      <c r="E233" s="9" t="str">
        <f>VLOOKUP(IntComp24[[#This Row],[DEVELOPMENT]],Data[],8,FALSE)</f>
        <v>Zone 3</v>
      </c>
      <c r="F233" s="9">
        <f>VLOOKUP(IntComp24[[#This Row],[DEVELOPMENT]],all[[DEVELOPMENT]:[MRST Ext. Comp. Priority]],13,FALSE)</f>
        <v>4</v>
      </c>
      <c r="G233" s="9">
        <f>IF(VLOOKUP(IntComp24[[#This Row],[DEVELOPMENT]],Data[],9,FALSE)=0,5,VLOOKUP(IntComp24[[#This Row],[DEVELOPMENT]],Data[],9,FALSE))</f>
        <v>4</v>
      </c>
      <c r="H233" s="9">
        <f>VLOOKUP(IntComp24[[#This Row],[DEVELOPMENT]],Data[],7,FALSE)</f>
        <v>187</v>
      </c>
      <c r="I233" s="9">
        <f>VLOOKUP(IntComp24[[#This Row],[DEVELOPMENT]],Data[],5,FALSE)</f>
        <v>3</v>
      </c>
      <c r="J233" s="9"/>
      <c r="K233" s="9" t="str">
        <f ca="1">IFERROR(VLOOKUP(IntComp24[[#This Row],[DEVELOPMENT]],Data[],4,FALSE),"")</f>
        <v>2026+</v>
      </c>
      <c r="L233" s="9" t="str">
        <f ca="1">IF(IntComp24[[#This Row],[RAD/PACT]]="","",IF(OR(IntComp24[[#This Row],[RAD/PACT]]="2022-2025",IntComp24[[#This Row],[RAD/PACT]]=2019,IntComp24[[#This Row],[RAD/PACT]]="2020-2021"),"Yes",""))</f>
        <v/>
      </c>
      <c r="M233" s="1">
        <f ca="1">IF(VLOOKUP(IntComp24[[#This Row],[DEVELOPMENT]],Data[],10,FALSE)=0,-1,DATEDIF(VLOOKUP(IntComp24[[#This Row],[DEVELOPMENT]],Data[],12,FALSE),TODAY(),"Y"))</f>
        <v>24</v>
      </c>
      <c r="N233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3" s="1"/>
      <c r="P233" s="1"/>
      <c r="Q233" s="1"/>
      <c r="R233" s="47">
        <f ca="1">(IntComp24[[#This Row],['# to Replace (MRST)]]*INDEX(UnitCosts[#All],MATCH(IntComp24[[#This Row],[WORK TYPE]],UnitCosts[Work Type],0)+1,2))*(1+((IntComp24[[#This Row],[est. Year]]-YEAR(TODAY()))*$R$2))</f>
        <v>0</v>
      </c>
      <c r="S233" s="1">
        <f ca="1">SUM(INDEX(IntComp24['# to Replace (MRST)],1):IntComp24[[#This Row],['# to Replace (MRST)]])</f>
        <v>108</v>
      </c>
      <c r="T233" s="1"/>
      <c r="U233" s="1">
        <f ca="1">IF(ISBLANK(IntComp24[[#This Row],[CALENDAR YEAR]]),ROUNDDOWN(IntComp24[[#This Row],[Count]]/50,0)+$U$1,IntComp24[[#This Row],[CALENDAR YEAR]])</f>
        <v>2024</v>
      </c>
      <c r="V233" s="64">
        <f t="shared" ca="1" si="4"/>
        <v>863037.00000000012</v>
      </c>
      <c r="W233" s="5"/>
      <c r="X233"/>
    </row>
    <row r="234" spans="1:24" hidden="1">
      <c r="A234" s="65" t="s">
        <v>139</v>
      </c>
      <c r="B234" s="1" t="str">
        <f>VLOOKUP(A234,Data[],2,FALSE)</f>
        <v>BROOKLYN</v>
      </c>
      <c r="C234" s="9" t="s">
        <v>106</v>
      </c>
      <c r="D234" s="9" t="str">
        <f>VLOOKUP(IntComp24[[#This Row],[DEVELOPMENT]],Data[],52,FALSE)</f>
        <v>FEDERAL</v>
      </c>
      <c r="E234" s="9" t="str">
        <f>VLOOKUP(IntComp24[[#This Row],[DEVELOPMENT]],Data[],8,FALSE)</f>
        <v>Zone 1</v>
      </c>
      <c r="F234" s="9">
        <f>VLOOKUP(IntComp24[[#This Row],[DEVELOPMENT]],all[[DEVELOPMENT]:[MRST Ext. Comp. Priority]],13,FALSE)</f>
        <v>4</v>
      </c>
      <c r="G234" s="9">
        <f>IF(VLOOKUP(IntComp24[[#This Row],[DEVELOPMENT]],Data[],9,FALSE)=0,5,VLOOKUP(IntComp24[[#This Row],[DEVELOPMENT]],Data[],9,FALSE))</f>
        <v>4</v>
      </c>
      <c r="H234" s="9">
        <f>VLOOKUP(IntComp24[[#This Row],[DEVELOPMENT]],Data[],7,FALSE)</f>
        <v>209</v>
      </c>
      <c r="I234" s="9">
        <f>VLOOKUP(IntComp24[[#This Row],[DEVELOPMENT]],Data[],5,FALSE)</f>
        <v>1</v>
      </c>
      <c r="J234" s="9"/>
      <c r="K234" s="9" t="str">
        <f ca="1">IFERROR(VLOOKUP(IntComp24[[#This Row],[DEVELOPMENT]],Data[],4,FALSE),"")</f>
        <v/>
      </c>
      <c r="L234" s="9" t="str">
        <f ca="1">IF(IntComp24[[#This Row],[RAD/PACT]]="","",IF(OR(IntComp24[[#This Row],[RAD/PACT]]="2022-2025",IntComp24[[#This Row],[RAD/PACT]]=2019,IntComp24[[#This Row],[RAD/PACT]]="2020-2021"),"Yes",""))</f>
        <v/>
      </c>
      <c r="M234" s="1">
        <f ca="1">IF(VLOOKUP(IntComp24[[#This Row],[DEVELOPMENT]],Data[],10,FALSE)=0,-1,DATEDIF(VLOOKUP(IntComp24[[#This Row],[DEVELOPMENT]],Data[],12,FALSE),TODAY(),"Y"))</f>
        <v>20</v>
      </c>
      <c r="N23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4" s="1"/>
      <c r="P234" s="1"/>
      <c r="Q234" s="1"/>
      <c r="R234" s="47">
        <f ca="1">(IntComp24[[#This Row],['# to Replace (MRST)]]*INDEX(UnitCosts[#All],MATCH(IntComp24[[#This Row],[WORK TYPE]],UnitCosts[Work Type],0)+1,2))*(1+((IntComp24[[#This Row],[est. Year]]-YEAR(TODAY()))*$R$2))</f>
        <v>0</v>
      </c>
      <c r="S234" s="1">
        <f ca="1">SUM(INDEX(IntComp24['# to Replace (MRST)],1):IntComp24[[#This Row],['# to Replace (MRST)]])</f>
        <v>108</v>
      </c>
      <c r="T234" s="1"/>
      <c r="U234" s="1">
        <f ca="1">IF(ISBLANK(IntComp24[[#This Row],[CALENDAR YEAR]]),ROUNDDOWN(IntComp24[[#This Row],[Count]]/50,0)+$U$1,IntComp24[[#This Row],[CALENDAR YEAR]])</f>
        <v>2024</v>
      </c>
      <c r="V234" s="64">
        <f t="shared" ca="1" si="4"/>
        <v>863037.00000000012</v>
      </c>
      <c r="W234" s="5"/>
      <c r="X234"/>
    </row>
    <row r="235" spans="1:24" hidden="1">
      <c r="A235" s="65" t="s">
        <v>138</v>
      </c>
      <c r="B235" s="1" t="str">
        <f>VLOOKUP(A235,Data[],2,FALSE)</f>
        <v>BRONX</v>
      </c>
      <c r="C235" s="9" t="s">
        <v>106</v>
      </c>
      <c r="D235" s="9" t="str">
        <f>VLOOKUP(IntComp24[[#This Row],[DEVELOPMENT]],Data[],52,FALSE)</f>
        <v>FEDERAL</v>
      </c>
      <c r="E235" s="9" t="str">
        <f>VLOOKUP(IntComp24[[#This Row],[DEVELOPMENT]],Data[],8,FALSE)</f>
        <v>Zone 1</v>
      </c>
      <c r="F235" s="9">
        <f>VLOOKUP(IntComp24[[#This Row],[DEVELOPMENT]],all[[DEVELOPMENT]:[MRST Ext. Comp. Priority]],13,FALSE)</f>
        <v>4</v>
      </c>
      <c r="G235" s="9">
        <f>IF(VLOOKUP(IntComp24[[#This Row],[DEVELOPMENT]],Data[],9,FALSE)=0,5,VLOOKUP(IntComp24[[#This Row],[DEVELOPMENT]],Data[],9,FALSE))</f>
        <v>4</v>
      </c>
      <c r="H235" s="9">
        <f>VLOOKUP(IntComp24[[#This Row],[DEVELOPMENT]],Data[],7,FALSE)</f>
        <v>219</v>
      </c>
      <c r="I235" s="9">
        <f>VLOOKUP(IntComp24[[#This Row],[DEVELOPMENT]],Data[],5,FALSE)</f>
        <v>1</v>
      </c>
      <c r="J235" s="9"/>
      <c r="K235" s="9" t="str">
        <f ca="1">IFERROR(VLOOKUP(IntComp24[[#This Row],[DEVELOPMENT]],Data[],4,FALSE),"")</f>
        <v/>
      </c>
      <c r="L235" s="9" t="str">
        <f ca="1">IF(IntComp24[[#This Row],[RAD/PACT]]="","",IF(OR(IntComp24[[#This Row],[RAD/PACT]]="2022-2025",IntComp24[[#This Row],[RAD/PACT]]=2019,IntComp24[[#This Row],[RAD/PACT]]="2020-2021"),"Yes",""))</f>
        <v/>
      </c>
      <c r="M235" s="1">
        <f ca="1">IF(VLOOKUP(IntComp24[[#This Row],[DEVELOPMENT]],Data[],10,FALSE)=0,-1,DATEDIF(VLOOKUP(IntComp24[[#This Row],[DEVELOPMENT]],Data[],12,FALSE),TODAY(),"Y"))</f>
        <v>14</v>
      </c>
      <c r="N235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5" s="1"/>
      <c r="P235" s="1"/>
      <c r="Q235" s="1"/>
      <c r="R235" s="47">
        <f ca="1">(IntComp24[[#This Row],['# to Replace (MRST)]]*INDEX(UnitCosts[#All],MATCH(IntComp24[[#This Row],[WORK TYPE]],UnitCosts[Work Type],0)+1,2))*(1+((IntComp24[[#This Row],[est. Year]]-YEAR(TODAY()))*$R$2))</f>
        <v>0</v>
      </c>
      <c r="S235" s="1">
        <f ca="1">SUM(INDEX(IntComp24['# to Replace (MRST)],1):IntComp24[[#This Row],['# to Replace (MRST)]])</f>
        <v>108</v>
      </c>
      <c r="T235" s="1"/>
      <c r="U235" s="1">
        <f ca="1">IF(ISBLANK(IntComp24[[#This Row],[CALENDAR YEAR]]),ROUNDDOWN(IntComp24[[#This Row],[Count]]/50,0)+$U$1,IntComp24[[#This Row],[CALENDAR YEAR]])</f>
        <v>2024</v>
      </c>
      <c r="V235" s="64">
        <f t="shared" ca="1" si="4"/>
        <v>863037.00000000012</v>
      </c>
      <c r="W235" s="5"/>
      <c r="X235"/>
    </row>
    <row r="236" spans="1:24" hidden="1">
      <c r="A236" s="13" t="s">
        <v>87</v>
      </c>
      <c r="B236" s="1" t="str">
        <f>VLOOKUP(A236,Data[],2,FALSE)</f>
        <v>MANHATTAN</v>
      </c>
      <c r="C236" s="9" t="s">
        <v>106</v>
      </c>
      <c r="D236" s="9" t="str">
        <f>VLOOKUP(IntComp24[[#This Row],[DEVELOPMENT]],Data[],52,FALSE)</f>
        <v>FEDERAL</v>
      </c>
      <c r="E236" s="9" t="str">
        <f>VLOOKUP(IntComp24[[#This Row],[DEVELOPMENT]],Data[],8,FALSE)</f>
        <v>Zone 3</v>
      </c>
      <c r="F236" s="9">
        <f>VLOOKUP(IntComp24[[#This Row],[DEVELOPMENT]],all[[DEVELOPMENT]:[MRST Ext. Comp. Priority]],13,FALSE)</f>
        <v>4</v>
      </c>
      <c r="G236" s="9">
        <f>IF(VLOOKUP(IntComp24[[#This Row],[DEVELOPMENT]],Data[],9,FALSE)=0,5,VLOOKUP(IntComp24[[#This Row],[DEVELOPMENT]],Data[],9,FALSE))</f>
        <v>4</v>
      </c>
      <c r="H236" s="9">
        <f>VLOOKUP(IntComp24[[#This Row],[DEVELOPMENT]],Data[],7,FALSE)</f>
        <v>46</v>
      </c>
      <c r="I236" s="9">
        <f>VLOOKUP(IntComp24[[#This Row],[DEVELOPMENT]],Data[],5,FALSE)</f>
        <v>3</v>
      </c>
      <c r="J236" s="9"/>
      <c r="K236" s="9" t="str">
        <f ca="1">IFERROR(VLOOKUP(IntComp24[[#This Row],[DEVELOPMENT]],Data[],4,FALSE),"")</f>
        <v>2020-2021</v>
      </c>
      <c r="L236" s="9" t="str">
        <f ca="1">IF(IntComp24[[#This Row],[RAD/PACT]]="","",IF(OR(IntComp24[[#This Row],[RAD/PACT]]="2022-2025",IntComp24[[#This Row],[RAD/PACT]]=2019,IntComp24[[#This Row],[RAD/PACT]]="2020-2021"),"Yes",""))</f>
        <v>Yes</v>
      </c>
      <c r="M236" s="1">
        <f ca="1">IF(VLOOKUP(IntComp24[[#This Row],[DEVELOPMENT]],Data[],10,FALSE)=0,-1,DATEDIF(VLOOKUP(IntComp24[[#This Row],[DEVELOPMENT]],Data[],12,FALSE),TODAY(),"Y"))</f>
        <v>14</v>
      </c>
      <c r="N236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6" s="1"/>
      <c r="P236" s="1"/>
      <c r="Q236" s="1"/>
      <c r="R236" s="47">
        <f ca="1">(IntComp24[[#This Row],['# to Replace (MRST)]]*INDEX(UnitCosts[#All],MATCH(IntComp24[[#This Row],[WORK TYPE]],UnitCosts[Work Type],0)+1,2))*(1+((IntComp24[[#This Row],[est. Year]]-YEAR(TODAY()))*$R$2))</f>
        <v>0</v>
      </c>
      <c r="S236" s="1">
        <f ca="1">SUM(INDEX(IntComp24['# to Replace (MRST)],1):IntComp24[[#This Row],['# to Replace (MRST)]])</f>
        <v>108</v>
      </c>
      <c r="T236" s="1"/>
      <c r="U236" s="1">
        <f ca="1">IF(ISBLANK(IntComp24[[#This Row],[CALENDAR YEAR]]),ROUNDDOWN(IntComp24[[#This Row],[Count]]/50,0)+$U$1,IntComp24[[#This Row],[CALENDAR YEAR]])</f>
        <v>2024</v>
      </c>
      <c r="V236" s="64">
        <f t="shared" ca="1" si="4"/>
        <v>863037.00000000012</v>
      </c>
      <c r="W236" s="5"/>
      <c r="X236"/>
    </row>
    <row r="237" spans="1:24" hidden="1">
      <c r="A237" s="67" t="s">
        <v>242</v>
      </c>
      <c r="B237" s="1" t="str">
        <f>VLOOKUP(A237,Data[],2,FALSE)</f>
        <v>MANHATTAN</v>
      </c>
      <c r="C237" s="9" t="s">
        <v>106</v>
      </c>
      <c r="D237" s="9" t="str">
        <f>VLOOKUP(IntComp24[[#This Row],[DEVELOPMENT]],Data[],52,FALSE)</f>
        <v>FEDERAL</v>
      </c>
      <c r="E237" s="9" t="str">
        <f>VLOOKUP(IntComp24[[#This Row],[DEVELOPMENT]],Data[],8,FALSE)</f>
        <v>Zone 1</v>
      </c>
      <c r="F237" s="9">
        <f>VLOOKUP(IntComp24[[#This Row],[DEVELOPMENT]],all[[DEVELOPMENT]:[MRST Ext. Comp. Priority]],13,FALSE)</f>
        <v>4</v>
      </c>
      <c r="G237" s="9">
        <f>IF(VLOOKUP(IntComp24[[#This Row],[DEVELOPMENT]],Data[],9,FALSE)=0,5,VLOOKUP(IntComp24[[#This Row],[DEVELOPMENT]],Data[],9,FALSE))</f>
        <v>4</v>
      </c>
      <c r="H237" s="9">
        <f>VLOOKUP(IntComp24[[#This Row],[DEVELOPMENT]],Data[],7,FALSE)</f>
        <v>126</v>
      </c>
      <c r="I237" s="9">
        <f>VLOOKUP(IntComp24[[#This Row],[DEVELOPMENT]],Data[],5,FALSE)</f>
        <v>8</v>
      </c>
      <c r="J237" s="9"/>
      <c r="K237" s="9" t="str">
        <f ca="1">IFERROR(VLOOKUP(IntComp24[[#This Row],[DEVELOPMENT]],Data[],4,FALSE),"")</f>
        <v>2026+</v>
      </c>
      <c r="L237" s="9" t="str">
        <f ca="1">IF(IntComp24[[#This Row],[RAD/PACT]]="","",IF(OR(IntComp24[[#This Row],[RAD/PACT]]="2022-2025",IntComp24[[#This Row],[RAD/PACT]]=2019,IntComp24[[#This Row],[RAD/PACT]]="2020-2021"),"Yes",""))</f>
        <v/>
      </c>
      <c r="M237" s="1">
        <f ca="1">IF(VLOOKUP(IntComp24[[#This Row],[DEVELOPMENT]],Data[],10,FALSE)=0,-1,DATEDIF(VLOOKUP(IntComp24[[#This Row],[DEVELOPMENT]],Data[],12,FALSE),TODAY(),"Y"))</f>
        <v>13</v>
      </c>
      <c r="N237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7" s="1"/>
      <c r="P237" s="1"/>
      <c r="Q237" s="1"/>
      <c r="R237" s="47">
        <f ca="1">(IntComp24[[#This Row],['# to Replace (MRST)]]*INDEX(UnitCosts[#All],MATCH(IntComp24[[#This Row],[WORK TYPE]],UnitCosts[Work Type],0)+1,2))*(1+((IntComp24[[#This Row],[est. Year]]-YEAR(TODAY()))*$R$2))</f>
        <v>0</v>
      </c>
      <c r="S237" s="1">
        <f ca="1">SUM(INDEX(IntComp24['# to Replace (MRST)],1):IntComp24[[#This Row],['# to Replace (MRST)]])</f>
        <v>108</v>
      </c>
      <c r="T237" s="1"/>
      <c r="U237" s="1">
        <f ca="1">IF(ISBLANK(IntComp24[[#This Row],[CALENDAR YEAR]]),ROUNDDOWN(IntComp24[[#This Row],[Count]]/50,0)+$U$1,IntComp24[[#This Row],[CALENDAR YEAR]])</f>
        <v>2024</v>
      </c>
      <c r="V237" s="64">
        <f t="shared" ca="1" si="4"/>
        <v>863037.00000000012</v>
      </c>
      <c r="W237" s="5"/>
      <c r="X237"/>
    </row>
    <row r="238" spans="1:24" hidden="1">
      <c r="A238" s="13" t="s">
        <v>100</v>
      </c>
      <c r="B238" s="1" t="str">
        <f>VLOOKUP(A238,Data[],2,FALSE)</f>
        <v>MANHATTAN</v>
      </c>
      <c r="C238" s="9" t="s">
        <v>106</v>
      </c>
      <c r="D238" s="9" t="str">
        <f>VLOOKUP(IntComp24[[#This Row],[DEVELOPMENT]],Data[],52,FALSE)</f>
        <v>FEDERAL</v>
      </c>
      <c r="E238" s="9" t="str">
        <f>VLOOKUP(IntComp24[[#This Row],[DEVELOPMENT]],Data[],8,FALSE)</f>
        <v>Zone 2</v>
      </c>
      <c r="F238" s="9">
        <f>VLOOKUP(IntComp24[[#This Row],[DEVELOPMENT]],all[[DEVELOPMENT]:[MRST Ext. Comp. Priority]],13,FALSE)</f>
        <v>4</v>
      </c>
      <c r="G238" s="9">
        <f>IF(VLOOKUP(IntComp24[[#This Row],[DEVELOPMENT]],Data[],9,FALSE)=0,5,VLOOKUP(IntComp24[[#This Row],[DEVELOPMENT]],Data[],9,FALSE))</f>
        <v>4</v>
      </c>
      <c r="H238" s="9">
        <f>VLOOKUP(IntComp24[[#This Row],[DEVELOPMENT]],Data[],7,FALSE)</f>
        <v>150</v>
      </c>
      <c r="I238" s="9">
        <f>VLOOKUP(IntComp24[[#This Row],[DEVELOPMENT]],Data[],5,FALSE)</f>
        <v>1</v>
      </c>
      <c r="J238" s="9"/>
      <c r="K238" s="9" t="str">
        <f ca="1">IFERROR(VLOOKUP(IntComp24[[#This Row],[DEVELOPMENT]],Data[],4,FALSE),"")</f>
        <v/>
      </c>
      <c r="L238" s="9" t="str">
        <f ca="1">IF(IntComp24[[#This Row],[RAD/PACT]]="","",IF(OR(IntComp24[[#This Row],[RAD/PACT]]="2022-2025",IntComp24[[#This Row],[RAD/PACT]]=2019,IntComp24[[#This Row],[RAD/PACT]]="2020-2021"),"Yes",""))</f>
        <v/>
      </c>
      <c r="M238" s="1">
        <f ca="1">IF(VLOOKUP(IntComp24[[#This Row],[DEVELOPMENT]],Data[],10,FALSE)=0,-1,DATEDIF(VLOOKUP(IntComp24[[#This Row],[DEVELOPMENT]],Data[],12,FALSE),TODAY(),"Y"))</f>
        <v>12</v>
      </c>
      <c r="N238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8" s="1"/>
      <c r="P238" s="1"/>
      <c r="Q238" s="1"/>
      <c r="R238" s="47">
        <f ca="1">(IntComp24[[#This Row],['# to Replace (MRST)]]*INDEX(UnitCosts[#All],MATCH(IntComp24[[#This Row],[WORK TYPE]],UnitCosts[Work Type],0)+1,2))*(1+((IntComp24[[#This Row],[est. Year]]-YEAR(TODAY()))*$R$2))</f>
        <v>0</v>
      </c>
      <c r="S238" s="1">
        <f ca="1">SUM(INDEX(IntComp24['# to Replace (MRST)],1):IntComp24[[#This Row],['# to Replace (MRST)]])</f>
        <v>108</v>
      </c>
      <c r="T238" s="1"/>
      <c r="U238" s="1">
        <f ca="1">IF(ISBLANK(IntComp24[[#This Row],[CALENDAR YEAR]]),ROUNDDOWN(IntComp24[[#This Row],[Count]]/50,0)+$U$1,IntComp24[[#This Row],[CALENDAR YEAR]])</f>
        <v>2024</v>
      </c>
      <c r="V238" s="64">
        <f t="shared" ca="1" si="4"/>
        <v>863037.00000000012</v>
      </c>
      <c r="W238" s="5"/>
      <c r="X238"/>
    </row>
    <row r="239" spans="1:24" hidden="1">
      <c r="A239" s="13" t="s">
        <v>79</v>
      </c>
      <c r="B239" s="1" t="str">
        <f>VLOOKUP(A239,Data[],2,FALSE)</f>
        <v>MANHATTAN</v>
      </c>
      <c r="C239" s="9" t="s">
        <v>106</v>
      </c>
      <c r="D239" s="9" t="str">
        <f>VLOOKUP(IntComp24[[#This Row],[DEVELOPMENT]],Data[],52,FALSE)</f>
        <v>FEDERAL</v>
      </c>
      <c r="E239" s="9" t="str">
        <f>VLOOKUP(IntComp24[[#This Row],[DEVELOPMENT]],Data[],8,FALSE)</f>
        <v>Zone 3</v>
      </c>
      <c r="F239" s="9">
        <f>VLOOKUP(IntComp24[[#This Row],[DEVELOPMENT]],all[[DEVELOPMENT]:[MRST Ext. Comp. Priority]],13,FALSE)</f>
        <v>4</v>
      </c>
      <c r="G239" s="9">
        <f>IF(VLOOKUP(IntComp24[[#This Row],[DEVELOPMENT]],Data[],9,FALSE)=0,5,VLOOKUP(IntComp24[[#This Row],[DEVELOPMENT]],Data[],9,FALSE))</f>
        <v>4</v>
      </c>
      <c r="H239" s="9">
        <f>VLOOKUP(IntComp24[[#This Row],[DEVELOPMENT]],Data[],7,FALSE)</f>
        <v>226</v>
      </c>
      <c r="I239" s="9">
        <f>VLOOKUP(IntComp24[[#This Row],[DEVELOPMENT]],Data[],5,FALSE)</f>
        <v>1</v>
      </c>
      <c r="J239" s="9"/>
      <c r="K239" s="9" t="str">
        <f ca="1">IFERROR(VLOOKUP(IntComp24[[#This Row],[DEVELOPMENT]],Data[],4,FALSE),"")</f>
        <v>2020-2021</v>
      </c>
      <c r="L239" s="9" t="str">
        <f ca="1">IF(IntComp24[[#This Row],[RAD/PACT]]="","",IF(OR(IntComp24[[#This Row],[RAD/PACT]]="2022-2025",IntComp24[[#This Row],[RAD/PACT]]=2019,IntComp24[[#This Row],[RAD/PACT]]="2020-2021"),"Yes",""))</f>
        <v>Yes</v>
      </c>
      <c r="M239" s="1">
        <f ca="1">IF(VLOOKUP(IntComp24[[#This Row],[DEVELOPMENT]],Data[],10,FALSE)=0,-1,DATEDIF(VLOOKUP(IntComp24[[#This Row],[DEVELOPMENT]],Data[],12,FALSE),TODAY(),"Y"))</f>
        <v>8</v>
      </c>
      <c r="N23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39" s="1"/>
      <c r="P239" s="1"/>
      <c r="Q239" s="1"/>
      <c r="R239" s="47">
        <f ca="1">(IntComp24[[#This Row],['# to Replace (MRST)]]*INDEX(UnitCosts[#All],MATCH(IntComp24[[#This Row],[WORK TYPE]],UnitCosts[Work Type],0)+1,2))*(1+((IntComp24[[#This Row],[est. Year]]-YEAR(TODAY()))*$R$2))</f>
        <v>0</v>
      </c>
      <c r="S239" s="1">
        <f ca="1">SUM(INDEX(IntComp24['# to Replace (MRST)],1):IntComp24[[#This Row],['# to Replace (MRST)]])</f>
        <v>108</v>
      </c>
      <c r="T239" s="1"/>
      <c r="U239" s="1">
        <f ca="1">IF(ISBLANK(IntComp24[[#This Row],[CALENDAR YEAR]]),ROUNDDOWN(IntComp24[[#This Row],[Count]]/50,0)+$U$1,IntComp24[[#This Row],[CALENDAR YEAR]])</f>
        <v>2024</v>
      </c>
      <c r="V239" s="64">
        <f t="shared" ca="1" si="4"/>
        <v>863037.00000000012</v>
      </c>
      <c r="W239" s="5"/>
      <c r="X239"/>
    </row>
    <row r="240" spans="1:24" hidden="1">
      <c r="A240" s="13" t="s">
        <v>47</v>
      </c>
      <c r="B240" s="1" t="str">
        <f>VLOOKUP(A240,Data[],2,FALSE)</f>
        <v>BRONX</v>
      </c>
      <c r="C240" s="9" t="s">
        <v>106</v>
      </c>
      <c r="D240" s="9" t="str">
        <f>VLOOKUP(IntComp24[[#This Row],[DEVELOPMENT]],Data[],52,FALSE)</f>
        <v>FEDERAL</v>
      </c>
      <c r="E240" s="9" t="str">
        <f>VLOOKUP(IntComp24[[#This Row],[DEVELOPMENT]],Data[],8,FALSE)</f>
        <v>Zone 1</v>
      </c>
      <c r="F240" s="9">
        <f>VLOOKUP(IntComp24[[#This Row],[DEVELOPMENT]],all[[DEVELOPMENT]:[MRST Ext. Comp. Priority]],13,FALSE)</f>
        <v>4</v>
      </c>
      <c r="G240" s="9">
        <f>IF(VLOOKUP(IntComp24[[#This Row],[DEVELOPMENT]],Data[],9,FALSE)=0,5,VLOOKUP(IntComp24[[#This Row],[DEVELOPMENT]],Data[],9,FALSE))</f>
        <v>4</v>
      </c>
      <c r="H240" s="9">
        <f>VLOOKUP(IntComp24[[#This Row],[DEVELOPMENT]],Data[],7,FALSE)</f>
        <v>606</v>
      </c>
      <c r="I240" s="9">
        <f>VLOOKUP(IntComp24[[#This Row],[DEVELOPMENT]],Data[],5,FALSE)</f>
        <v>5</v>
      </c>
      <c r="J240" s="9"/>
      <c r="K240" s="9" t="str">
        <f ca="1">IFERROR(VLOOKUP(IntComp24[[#This Row],[DEVELOPMENT]],Data[],4,FALSE),"")</f>
        <v/>
      </c>
      <c r="L240" s="9" t="str">
        <f ca="1">IF(IntComp24[[#This Row],[RAD/PACT]]="","",IF(OR(IntComp24[[#This Row],[RAD/PACT]]="2022-2025",IntComp24[[#This Row],[RAD/PACT]]=2019,IntComp24[[#This Row],[RAD/PACT]]="2020-2021"),"Yes",""))</f>
        <v/>
      </c>
      <c r="M240" s="1">
        <f ca="1">IF(VLOOKUP(IntComp24[[#This Row],[DEVELOPMENT]],Data[],10,FALSE)=0,-1,DATEDIF(VLOOKUP(IntComp24[[#This Row],[DEVELOPMENT]],Data[],12,FALSE),TODAY(),"Y"))</f>
        <v>5</v>
      </c>
      <c r="N24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0" s="51"/>
      <c r="P240" s="1"/>
      <c r="Q240" s="1"/>
      <c r="R240" s="47">
        <f ca="1">(IntComp24[[#This Row],['# to Replace (MRST)]]*INDEX(UnitCosts[#All],MATCH(IntComp24[[#This Row],[WORK TYPE]],UnitCosts[Work Type],0)+1,2))*(1+((IntComp24[[#This Row],[est. Year]]-YEAR(TODAY()))*$R$2))</f>
        <v>0</v>
      </c>
      <c r="S240" s="1">
        <f ca="1">SUM(INDEX(IntComp24['# to Replace (MRST)],1):IntComp24[[#This Row],['# to Replace (MRST)]])</f>
        <v>108</v>
      </c>
      <c r="T240" s="1"/>
      <c r="U240" s="1">
        <f ca="1">IF(ISBLANK(IntComp24[[#This Row],[CALENDAR YEAR]]),ROUNDDOWN(IntComp24[[#This Row],[Count]]/50,0)+$U$1,IntComp24[[#This Row],[CALENDAR YEAR]])</f>
        <v>2024</v>
      </c>
      <c r="V240" s="64">
        <f t="shared" ca="1" si="4"/>
        <v>863037.00000000012</v>
      </c>
      <c r="W240" s="5"/>
      <c r="X240"/>
    </row>
    <row r="241" spans="1:24" hidden="1">
      <c r="A241" s="13" t="s">
        <v>78</v>
      </c>
      <c r="B241" s="1" t="str">
        <f>VLOOKUP(A241,Data[],2,FALSE)</f>
        <v>MANHATTAN</v>
      </c>
      <c r="C241" s="9" t="s">
        <v>106</v>
      </c>
      <c r="D241" s="9" t="str">
        <f>VLOOKUP(IntComp24[[#This Row],[DEVELOPMENT]],Data[],52,FALSE)</f>
        <v>FEDERAL</v>
      </c>
      <c r="E241" s="9" t="str">
        <f>VLOOKUP(IntComp24[[#This Row],[DEVELOPMENT]],Data[],8,FALSE)</f>
        <v>Zone 2</v>
      </c>
      <c r="F241" s="9">
        <f>VLOOKUP(IntComp24[[#This Row],[DEVELOPMENT]],all[[DEVELOPMENT]:[MRST Ext. Comp. Priority]],13,FALSE)</f>
        <v>4</v>
      </c>
      <c r="G241" s="9">
        <f>IF(VLOOKUP(IntComp24[[#This Row],[DEVELOPMENT]],Data[],9,FALSE)=0,5,VLOOKUP(IntComp24[[#This Row],[DEVELOPMENT]],Data[],9,FALSE))</f>
        <v>4</v>
      </c>
      <c r="H241" s="9">
        <f>VLOOKUP(IntComp24[[#This Row],[DEVELOPMENT]],Data[],7,FALSE)</f>
        <v>1156</v>
      </c>
      <c r="I241" s="9">
        <f>VLOOKUP(IntComp24[[#This Row],[DEVELOPMENT]],Data[],5,FALSE)</f>
        <v>10</v>
      </c>
      <c r="J241" s="9"/>
      <c r="K241" s="9" t="str">
        <f ca="1">IFERROR(VLOOKUP(IntComp24[[#This Row],[DEVELOPMENT]],Data[],4,FALSE),"")</f>
        <v>2022-2025</v>
      </c>
      <c r="L241" s="9" t="str">
        <f ca="1">IF(IntComp24[[#This Row],[RAD/PACT]]="","",IF(OR(IntComp24[[#This Row],[RAD/PACT]]="2022-2025",IntComp24[[#This Row],[RAD/PACT]]=2019,IntComp24[[#This Row],[RAD/PACT]]="2020-2021"),"Yes",""))</f>
        <v>Yes</v>
      </c>
      <c r="M241" s="1">
        <f ca="1">IF(VLOOKUP(IntComp24[[#This Row],[DEVELOPMENT]],Data[],10,FALSE)=0,-1,DATEDIF(VLOOKUP(IntComp24[[#This Row],[DEVELOPMENT]],Data[],12,FALSE),TODAY(),"Y"))</f>
        <v>2</v>
      </c>
      <c r="N24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1" s="1"/>
      <c r="P241" s="1"/>
      <c r="Q241" s="1"/>
      <c r="R241" s="47">
        <f ca="1">(IntComp24[[#This Row],['# to Replace (MRST)]]*INDEX(UnitCosts[#All],MATCH(IntComp24[[#This Row],[WORK TYPE]],UnitCosts[Work Type],0)+1,2))*(1+((IntComp24[[#This Row],[est. Year]]-YEAR(TODAY()))*$R$2))</f>
        <v>0</v>
      </c>
      <c r="S241" s="1">
        <f ca="1">SUM(INDEX(IntComp24['# to Replace (MRST)],1):IntComp24[[#This Row],['# to Replace (MRST)]])</f>
        <v>108</v>
      </c>
      <c r="T241" s="1"/>
      <c r="U241" s="1">
        <f ca="1">IF(ISBLANK(IntComp24[[#This Row],[CALENDAR YEAR]]),ROUNDDOWN(IntComp24[[#This Row],[Count]]/50,0)+$U$1,IntComp24[[#This Row],[CALENDAR YEAR]])</f>
        <v>2024</v>
      </c>
      <c r="V241" s="64">
        <f t="shared" ca="1" si="4"/>
        <v>863037.00000000012</v>
      </c>
      <c r="W241" s="5"/>
      <c r="X241"/>
    </row>
    <row r="242" spans="1:24" hidden="1">
      <c r="A242" s="65" t="s">
        <v>143</v>
      </c>
      <c r="B242" s="1" t="str">
        <f>VLOOKUP(A242,Data[],2,FALSE)</f>
        <v>BRONX</v>
      </c>
      <c r="C242" s="9" t="s">
        <v>106</v>
      </c>
      <c r="D242" s="9" t="str">
        <f>VLOOKUP(IntComp24[[#This Row],[DEVELOPMENT]],Data[],52,FALSE)</f>
        <v>FEDERAL</v>
      </c>
      <c r="E242" s="9" t="str">
        <f>VLOOKUP(IntComp24[[#This Row],[DEVELOPMENT]],Data[],8,FALSE)</f>
        <v>Zone 1</v>
      </c>
      <c r="F242" s="9">
        <f>VLOOKUP(IntComp24[[#This Row],[DEVELOPMENT]],all[[DEVELOPMENT]:[MRST Ext. Comp. Priority]],13,FALSE)</f>
        <v>4</v>
      </c>
      <c r="G242" s="9">
        <f>IF(VLOOKUP(IntComp24[[#This Row],[DEVELOPMENT]],Data[],9,FALSE)=0,5,VLOOKUP(IntComp24[[#This Row],[DEVELOPMENT]],Data[],9,FALSE))</f>
        <v>4</v>
      </c>
      <c r="H242" s="9">
        <f>VLOOKUP(IntComp24[[#This Row],[DEVELOPMENT]],Data[],7,FALSE)</f>
        <v>106</v>
      </c>
      <c r="I242" s="9">
        <f>VLOOKUP(IntComp24[[#This Row],[DEVELOPMENT]],Data[],5,FALSE)</f>
        <v>6</v>
      </c>
      <c r="J242" s="9"/>
      <c r="K242" s="9" t="str">
        <f ca="1">IFERROR(VLOOKUP(IntComp24[[#This Row],[DEVELOPMENT]],Data[],4,FALSE),"")</f>
        <v>2022-2025</v>
      </c>
      <c r="L242" s="9" t="str">
        <f ca="1">IF(IntComp24[[#This Row],[RAD/PACT]]="","",IF(OR(IntComp24[[#This Row],[RAD/PACT]]="2022-2025",IntComp24[[#This Row],[RAD/PACT]]=2019,IntComp24[[#This Row],[RAD/PACT]]="2020-2021"),"Yes",""))</f>
        <v>Yes</v>
      </c>
      <c r="M242" s="1">
        <f ca="1">IF(VLOOKUP(IntComp24[[#This Row],[DEVELOPMENT]],Data[],10,FALSE)=0,-1,DATEDIF(VLOOKUP(IntComp24[[#This Row],[DEVELOPMENT]],Data[],12,FALSE),TODAY(),"Y"))</f>
        <v>1</v>
      </c>
      <c r="N242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2" s="1"/>
      <c r="P242" s="1"/>
      <c r="Q242" s="1"/>
      <c r="R242" s="47">
        <f ca="1">(IntComp24[[#This Row],['# to Replace (MRST)]]*INDEX(UnitCosts[#All],MATCH(IntComp24[[#This Row],[WORK TYPE]],UnitCosts[Work Type],0)+1,2))*(1+((IntComp24[[#This Row],[est. Year]]-YEAR(TODAY()))*$R$2))</f>
        <v>0</v>
      </c>
      <c r="S242" s="1">
        <f ca="1">SUM(INDEX(IntComp24['# to Replace (MRST)],1):IntComp24[[#This Row],['# to Replace (MRST)]])</f>
        <v>108</v>
      </c>
      <c r="T242" s="1"/>
      <c r="U242" s="1">
        <f ca="1">IF(ISBLANK(IntComp24[[#This Row],[CALENDAR YEAR]]),ROUNDDOWN(IntComp24[[#This Row],[Count]]/50,0)+$U$1,IntComp24[[#This Row],[CALENDAR YEAR]])</f>
        <v>2024</v>
      </c>
      <c r="V242" s="64">
        <f t="shared" ca="1" si="4"/>
        <v>863037.00000000012</v>
      </c>
      <c r="W242" s="5"/>
      <c r="X242"/>
    </row>
    <row r="243" spans="1:24" hidden="1">
      <c r="A243" s="13" t="s">
        <v>247</v>
      </c>
      <c r="B243" s="1" t="str">
        <f>VLOOKUP(A243,Data[],2,FALSE)</f>
        <v>MANHATTAN</v>
      </c>
      <c r="C243" s="9" t="s">
        <v>106</v>
      </c>
      <c r="D243" s="9" t="str">
        <f>VLOOKUP(IntComp24[[#This Row],[DEVELOPMENT]],Data[],52,FALSE)</f>
        <v>FEDERAL</v>
      </c>
      <c r="E243" s="50" t="str">
        <f>VLOOKUP(IntComp24[[#This Row],[DEVELOPMENT]],Data[],8,FALSE)</f>
        <v>Zone 1</v>
      </c>
      <c r="F243" s="50">
        <f>VLOOKUP(IntComp24[[#This Row],[DEVELOPMENT]],all[[DEVELOPMENT]:[MRST Ext. Comp. Priority]],13,FALSE)</f>
        <v>4</v>
      </c>
      <c r="G243" s="9">
        <f>IF(VLOOKUP(IntComp24[[#This Row],[DEVELOPMENT]],Data[],9,FALSE)=0,5,VLOOKUP(IntComp24[[#This Row],[DEVELOPMENT]],Data[],9,FALSE))</f>
        <v>4</v>
      </c>
      <c r="H243" s="50">
        <f>VLOOKUP(IntComp24[[#This Row],[DEVELOPMENT]],Data[],7,FALSE)</f>
        <v>56</v>
      </c>
      <c r="I243" s="50">
        <f>VLOOKUP(IntComp24[[#This Row],[DEVELOPMENT]],Data[],5,FALSE)</f>
        <v>2</v>
      </c>
      <c r="J243" s="9"/>
      <c r="K243" s="50" t="str">
        <f ca="1">IFERROR(VLOOKUP(IntComp24[[#This Row],[DEVELOPMENT]],Data[],4,FALSE),"")</f>
        <v/>
      </c>
      <c r="L243" s="50" t="str">
        <f ca="1">IF(IntComp24[[#This Row],[RAD/PACT]]="","",IF(OR(IntComp24[[#This Row],[RAD/PACT]]="2022-2025",IntComp24[[#This Row],[RAD/PACT]]=2019,IntComp24[[#This Row],[RAD/PACT]]="2020-2021"),"Yes",""))</f>
        <v/>
      </c>
      <c r="M243" s="51">
        <f ca="1">IF(VLOOKUP(IntComp24[[#This Row],[DEVELOPMENT]],Data[],10,FALSE)=0,-1,DATEDIF(VLOOKUP(IntComp24[[#This Row],[DEVELOPMENT]],Data[],12,FALSE),TODAY(),"Y"))</f>
        <v>-1</v>
      </c>
      <c r="N24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3" s="51"/>
      <c r="P243" s="51"/>
      <c r="Q243" s="51"/>
      <c r="R243" s="47">
        <f ca="1">(IntComp24[[#This Row],['# to Replace (MRST)]]*INDEX(UnitCosts[#All],MATCH(IntComp24[[#This Row],[WORK TYPE]],UnitCosts[Work Type],0)+1,2))*(1+((IntComp24[[#This Row],[est. Year]]-YEAR(TODAY()))*$R$2))</f>
        <v>0</v>
      </c>
      <c r="S243" s="1">
        <f ca="1">SUM(INDEX(IntComp24['# to Replace (MRST)],1):IntComp24[[#This Row],['# to Replace (MRST)]])</f>
        <v>108</v>
      </c>
      <c r="T243" s="51"/>
      <c r="U243" s="51">
        <f ca="1">IF(ISBLANK(IntComp24[[#This Row],[CALENDAR YEAR]]),ROUNDDOWN(IntComp24[[#This Row],[Count]]/50,0)+$U$1,IntComp24[[#This Row],[CALENDAR YEAR]])</f>
        <v>2024</v>
      </c>
      <c r="V243" s="64">
        <f t="shared" ca="1" si="4"/>
        <v>863037.00000000012</v>
      </c>
      <c r="W243" s="5"/>
      <c r="X243"/>
    </row>
    <row r="244" spans="1:24" hidden="1">
      <c r="A244" s="13" t="s">
        <v>369</v>
      </c>
      <c r="B244" s="9" t="str">
        <f>VLOOKUP(A244,Data[],2,FALSE)</f>
        <v>BROOKLYN</v>
      </c>
      <c r="C244" s="9" t="s">
        <v>106</v>
      </c>
      <c r="D244" s="9" t="str">
        <f>VLOOKUP(IntComp24[[#This Row],[DEVELOPMENT]],Data[],52,FALSE)</f>
        <v>FEDERAL</v>
      </c>
      <c r="E244" s="50">
        <f>VLOOKUP(IntComp24[[#This Row],[DEVELOPMENT]],Data[],8,FALSE)</f>
        <v>0</v>
      </c>
      <c r="F244" s="50">
        <f>VLOOKUP(IntComp24[[#This Row],[DEVELOPMENT]],all[[DEVELOPMENT]:[MRST Ext. Comp. Priority]],13,FALSE)</f>
        <v>4</v>
      </c>
      <c r="G244" s="50">
        <f>IF(VLOOKUP(IntComp24[[#This Row],[DEVELOPMENT]],Data[],9,FALSE)=0,5,VLOOKUP(IntComp24[[#This Row],[DEVELOPMENT]],Data[],9,FALSE))</f>
        <v>5</v>
      </c>
      <c r="H244" s="50">
        <f>VLOOKUP(IntComp24[[#This Row],[DEVELOPMENT]],Data[],7,FALSE)</f>
        <v>155</v>
      </c>
      <c r="I244" s="50">
        <f>VLOOKUP(IntComp24[[#This Row],[DEVELOPMENT]],Data[],5,FALSE)</f>
        <v>8</v>
      </c>
      <c r="J244" s="50"/>
      <c r="K244" s="50" t="str">
        <f ca="1">IFERROR(VLOOKUP(IntComp24[[#This Row],[DEVELOPMENT]],Data[],4,FALSE),"")</f>
        <v>2020-2021</v>
      </c>
      <c r="L244" s="50" t="str">
        <f ca="1">IF(IntComp24[[#This Row],[RAD/PACT]]="","",IF(OR(IntComp24[[#This Row],[RAD/PACT]]="2022-2025",IntComp24[[#This Row],[RAD/PACT]]=2019,IntComp24[[#This Row],[RAD/PACT]]="2020-2021"),"Yes",""))</f>
        <v>Yes</v>
      </c>
      <c r="M244" s="51">
        <f ca="1">IF(VLOOKUP(IntComp24[[#This Row],[DEVELOPMENT]],Data[],10,FALSE)=0,-1,DATEDIF(VLOOKUP(IntComp24[[#This Row],[DEVELOPMENT]],Data[],12,FALSE),TODAY(),"Y"))</f>
        <v>35</v>
      </c>
      <c r="N24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4" s="51"/>
      <c r="P244" s="51"/>
      <c r="Q244" s="51"/>
      <c r="R244" s="47">
        <f ca="1">(IntComp24[[#This Row],['# to Replace (MRST)]]*INDEX(UnitCosts[#All],MATCH(IntComp24[[#This Row],[WORK TYPE]],UnitCosts[Work Type],0)+1,2))*(1+((IntComp24[[#This Row],[est. Year]]-YEAR(TODAY()))*$R$2))</f>
        <v>0</v>
      </c>
      <c r="S244" s="1">
        <f ca="1">SUM(INDEX(IntComp24['# to Replace (MRST)],1):IntComp24[[#This Row],['# to Replace (MRST)]])</f>
        <v>108</v>
      </c>
      <c r="T244" s="51"/>
      <c r="U244" s="51">
        <f ca="1">IF(ISBLANK(IntComp24[[#This Row],[CALENDAR YEAR]]),ROUNDDOWN(IntComp24[[#This Row],[Count]]/50,0)+$U$1,IntComp24[[#This Row],[CALENDAR YEAR]])</f>
        <v>2024</v>
      </c>
      <c r="V244" s="69">
        <f t="shared" ca="1" si="4"/>
        <v>863037.00000000012</v>
      </c>
      <c r="W244" s="5"/>
      <c r="X244"/>
    </row>
    <row r="245" spans="1:24" hidden="1">
      <c r="A245" s="13" t="s">
        <v>366</v>
      </c>
      <c r="B245" s="9" t="str">
        <f>VLOOKUP(A245,Data[],2,FALSE)</f>
        <v>BROOKLYN</v>
      </c>
      <c r="C245" s="9" t="s">
        <v>106</v>
      </c>
      <c r="D245" s="9" t="str">
        <f>VLOOKUP(IntComp24[[#This Row],[DEVELOPMENT]],Data[],52,FALSE)</f>
        <v>FEDERAL</v>
      </c>
      <c r="E245" s="50">
        <f>VLOOKUP(IntComp24[[#This Row],[DEVELOPMENT]],Data[],8,FALSE)</f>
        <v>0</v>
      </c>
      <c r="F245" s="50">
        <f>VLOOKUP(IntComp24[[#This Row],[DEVELOPMENT]],all[[DEVELOPMENT]:[MRST Ext. Comp. Priority]],13,FALSE)</f>
        <v>4</v>
      </c>
      <c r="G245" s="50">
        <f>IF(VLOOKUP(IntComp24[[#This Row],[DEVELOPMENT]],Data[],9,FALSE)=0,5,VLOOKUP(IntComp24[[#This Row],[DEVELOPMENT]],Data[],9,FALSE))</f>
        <v>5</v>
      </c>
      <c r="H245" s="50">
        <f>VLOOKUP(IntComp24[[#This Row],[DEVELOPMENT]],Data[],7,FALSE)</f>
        <v>83</v>
      </c>
      <c r="I245" s="50">
        <f>VLOOKUP(IntComp24[[#This Row],[DEVELOPMENT]],Data[],5,FALSE)</f>
        <v>5</v>
      </c>
      <c r="J245" s="50"/>
      <c r="K245" s="50" t="str">
        <f ca="1">IFERROR(VLOOKUP(IntComp24[[#This Row],[DEVELOPMENT]],Data[],4,FALSE),"")</f>
        <v>2022-2025</v>
      </c>
      <c r="L245" s="50" t="str">
        <f ca="1">IF(IntComp24[[#This Row],[RAD/PACT]]="","",IF(OR(IntComp24[[#This Row],[RAD/PACT]]="2022-2025",IntComp24[[#This Row],[RAD/PACT]]=2019,IntComp24[[#This Row],[RAD/PACT]]="2020-2021"),"Yes",""))</f>
        <v>Yes</v>
      </c>
      <c r="M245" s="51">
        <f ca="1">IF(VLOOKUP(IntComp24[[#This Row],[DEVELOPMENT]],Data[],10,FALSE)=0,-1,DATEDIF(VLOOKUP(IntComp24[[#This Row],[DEVELOPMENT]],Data[],12,FALSE),TODAY(),"Y"))</f>
        <v>30</v>
      </c>
      <c r="N24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5" s="51"/>
      <c r="P245" s="51"/>
      <c r="Q245" s="51"/>
      <c r="R245" s="47">
        <f ca="1">(IntComp24[[#This Row],['# to Replace (MRST)]]*INDEX(UnitCosts[#All],MATCH(IntComp24[[#This Row],[WORK TYPE]],UnitCosts[Work Type],0)+1,2))*(1+((IntComp24[[#This Row],[est. Year]]-YEAR(TODAY()))*$R$2))</f>
        <v>0</v>
      </c>
      <c r="S245" s="1">
        <f ca="1">SUM(INDEX(IntComp24['# to Replace (MRST)],1):IntComp24[[#This Row],['# to Replace (MRST)]])</f>
        <v>108</v>
      </c>
      <c r="T245" s="51"/>
      <c r="U245" s="51">
        <f ca="1">IF(ISBLANK(IntComp24[[#This Row],[CALENDAR YEAR]]),ROUNDDOWN(IntComp24[[#This Row],[Count]]/50,0)+$U$1,IntComp24[[#This Row],[CALENDAR YEAR]])</f>
        <v>2024</v>
      </c>
      <c r="V245" s="69">
        <f t="shared" ca="1" si="4"/>
        <v>863037.00000000012</v>
      </c>
      <c r="W245" s="5"/>
      <c r="X245"/>
    </row>
    <row r="246" spans="1:24" hidden="1">
      <c r="A246" s="13" t="s">
        <v>244</v>
      </c>
      <c r="B246" s="9" t="str">
        <f>VLOOKUP(A246,Data[],2,FALSE)</f>
        <v>QUEENS</v>
      </c>
      <c r="C246" s="9" t="s">
        <v>106</v>
      </c>
      <c r="D246" s="9" t="str">
        <f>VLOOKUP(IntComp24[[#This Row],[DEVELOPMENT]],Data[],52,FALSE)</f>
        <v>FEDERAL</v>
      </c>
      <c r="E246" s="50">
        <f>VLOOKUP(IntComp24[[#This Row],[DEVELOPMENT]],Data[],8,FALSE)</f>
        <v>0</v>
      </c>
      <c r="F246" s="50">
        <f>VLOOKUP(IntComp24[[#This Row],[DEVELOPMENT]],all[[DEVELOPMENT]:[MRST Ext. Comp. Priority]],13,FALSE)</f>
        <v>4</v>
      </c>
      <c r="G246" s="50">
        <f>IF(VLOOKUP(IntComp24[[#This Row],[DEVELOPMENT]],Data[],9,FALSE)=0,5,VLOOKUP(IntComp24[[#This Row],[DEVELOPMENT]],Data[],9,FALSE))</f>
        <v>5</v>
      </c>
      <c r="H246" s="50">
        <f>VLOOKUP(IntComp24[[#This Row],[DEVELOPMENT]],Data[],7,FALSE)</f>
        <v>710</v>
      </c>
      <c r="I246" s="50">
        <f>VLOOKUP(IntComp24[[#This Row],[DEVELOPMENT]],Data[],5,FALSE)</f>
        <v>14</v>
      </c>
      <c r="J246" s="50"/>
      <c r="K246" s="50" t="str">
        <f ca="1">IFERROR(VLOOKUP(IntComp24[[#This Row],[DEVELOPMENT]],Data[],4,FALSE),"")</f>
        <v>2026+</v>
      </c>
      <c r="L246" s="50" t="str">
        <f ca="1">IF(IntComp24[[#This Row],[RAD/PACT]]="","",IF(OR(IntComp24[[#This Row],[RAD/PACT]]="2022-2025",IntComp24[[#This Row],[RAD/PACT]]=2019,IntComp24[[#This Row],[RAD/PACT]]="2020-2021"),"Yes",""))</f>
        <v/>
      </c>
      <c r="M246" s="51">
        <f ca="1">IF(VLOOKUP(IntComp24[[#This Row],[DEVELOPMENT]],Data[],10,FALSE)=0,-1,DATEDIF(VLOOKUP(IntComp24[[#This Row],[DEVELOPMENT]],Data[],12,FALSE),TODAY(),"Y"))</f>
        <v>27</v>
      </c>
      <c r="N24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6" s="51"/>
      <c r="P246" s="51"/>
      <c r="Q246" s="51"/>
      <c r="R246" s="47">
        <f ca="1">(IntComp24[[#This Row],['# to Replace (MRST)]]*INDEX(UnitCosts[#All],MATCH(IntComp24[[#This Row],[WORK TYPE]],UnitCosts[Work Type],0)+1,2))*(1+((IntComp24[[#This Row],[est. Year]]-YEAR(TODAY()))*$R$2))</f>
        <v>0</v>
      </c>
      <c r="S246" s="1">
        <f ca="1">SUM(INDEX(IntComp24['# to Replace (MRST)],1):IntComp24[[#This Row],['# to Replace (MRST)]])</f>
        <v>108</v>
      </c>
      <c r="T246" s="51"/>
      <c r="U246" s="51">
        <f ca="1">IF(ISBLANK(IntComp24[[#This Row],[CALENDAR YEAR]]),ROUNDDOWN(IntComp24[[#This Row],[Count]]/50,0)+$U$1,IntComp24[[#This Row],[CALENDAR YEAR]])</f>
        <v>2024</v>
      </c>
      <c r="V246" s="69">
        <f t="shared" ca="1" si="4"/>
        <v>863037.00000000012</v>
      </c>
      <c r="W246" s="5"/>
      <c r="X246"/>
    </row>
    <row r="247" spans="1:24" hidden="1">
      <c r="A247" s="13" t="s">
        <v>225</v>
      </c>
      <c r="B247" s="9" t="str">
        <f>VLOOKUP(A247,Data[],2,FALSE)</f>
        <v>BRONX</v>
      </c>
      <c r="C247" s="9" t="s">
        <v>106</v>
      </c>
      <c r="D247" s="9" t="str">
        <f>VLOOKUP(IntComp24[[#This Row],[DEVELOPMENT]],Data[],52,FALSE)</f>
        <v>FEDERAL</v>
      </c>
      <c r="E247" s="50">
        <f>VLOOKUP(IntComp24[[#This Row],[DEVELOPMENT]],Data[],8,FALSE)</f>
        <v>0</v>
      </c>
      <c r="F247" s="50">
        <f>VLOOKUP(IntComp24[[#This Row],[DEVELOPMENT]],all[[DEVELOPMENT]:[MRST Ext. Comp. Priority]],13,FALSE)</f>
        <v>4</v>
      </c>
      <c r="G247" s="50">
        <f>IF(VLOOKUP(IntComp24[[#This Row],[DEVELOPMENT]],Data[],9,FALSE)=0,5,VLOOKUP(IntComp24[[#This Row],[DEVELOPMENT]],Data[],9,FALSE))</f>
        <v>5</v>
      </c>
      <c r="H247" s="50">
        <f>VLOOKUP(IntComp24[[#This Row],[DEVELOPMENT]],Data[],7,FALSE)</f>
        <v>287</v>
      </c>
      <c r="I247" s="50">
        <f>VLOOKUP(IntComp24[[#This Row],[DEVELOPMENT]],Data[],5,FALSE)</f>
        <v>4</v>
      </c>
      <c r="J247" s="50"/>
      <c r="K247" s="50" t="str">
        <f ca="1">IFERROR(VLOOKUP(IntComp24[[#This Row],[DEVELOPMENT]],Data[],4,FALSE),"")</f>
        <v>2020-2021</v>
      </c>
      <c r="L247" s="50" t="str">
        <f ca="1">IF(IntComp24[[#This Row],[RAD/PACT]]="","",IF(OR(IntComp24[[#This Row],[RAD/PACT]]="2022-2025",IntComp24[[#This Row],[RAD/PACT]]=2019,IntComp24[[#This Row],[RAD/PACT]]="2020-2021"),"Yes",""))</f>
        <v>Yes</v>
      </c>
      <c r="M247" s="51">
        <f ca="1">IF(VLOOKUP(IntComp24[[#This Row],[DEVELOPMENT]],Data[],10,FALSE)=0,-1,DATEDIF(VLOOKUP(IntComp24[[#This Row],[DEVELOPMENT]],Data[],12,FALSE),TODAY(),"Y"))</f>
        <v>26</v>
      </c>
      <c r="N24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7" s="51"/>
      <c r="P247" s="51"/>
      <c r="Q247" s="51"/>
      <c r="R247" s="47">
        <f ca="1">(IntComp24[[#This Row],['# to Replace (MRST)]]*INDEX(UnitCosts[#All],MATCH(IntComp24[[#This Row],[WORK TYPE]],UnitCosts[Work Type],0)+1,2))*(1+((IntComp24[[#This Row],[est. Year]]-YEAR(TODAY()))*$R$2))</f>
        <v>0</v>
      </c>
      <c r="S247" s="1">
        <f ca="1">SUM(INDEX(IntComp24['# to Replace (MRST)],1):IntComp24[[#This Row],['# to Replace (MRST)]])</f>
        <v>108</v>
      </c>
      <c r="T247" s="51"/>
      <c r="U247" s="51">
        <f ca="1">IF(ISBLANK(IntComp24[[#This Row],[CALENDAR YEAR]]),ROUNDDOWN(IntComp24[[#This Row],[Count]]/50,0)+$U$1,IntComp24[[#This Row],[CALENDAR YEAR]])</f>
        <v>2024</v>
      </c>
      <c r="V247" s="69">
        <f t="shared" ca="1" si="4"/>
        <v>863037.00000000012</v>
      </c>
      <c r="W247" s="5"/>
      <c r="X247"/>
    </row>
    <row r="248" spans="1:24" hidden="1">
      <c r="A248" s="13" t="s">
        <v>227</v>
      </c>
      <c r="B248" s="9" t="str">
        <f>VLOOKUP(A248,Data[],2,FALSE)</f>
        <v>BRONX</v>
      </c>
      <c r="C248" s="9" t="s">
        <v>106</v>
      </c>
      <c r="D248" s="9" t="str">
        <f>VLOOKUP(IntComp24[[#This Row],[DEVELOPMENT]],Data[],52,FALSE)</f>
        <v>FEDERAL</v>
      </c>
      <c r="E248" s="50" t="str">
        <f>VLOOKUP(IntComp24[[#This Row],[DEVELOPMENT]],Data[],8,FALSE)</f>
        <v>Zone 3</v>
      </c>
      <c r="F248" s="50">
        <f>VLOOKUP(IntComp24[[#This Row],[DEVELOPMENT]],all[[DEVELOPMENT]:[MRST Ext. Comp. Priority]],13,FALSE)</f>
        <v>4</v>
      </c>
      <c r="G248" s="50">
        <f>IF(VLOOKUP(IntComp24[[#This Row],[DEVELOPMENT]],Data[],9,FALSE)=0,5,VLOOKUP(IntComp24[[#This Row],[DEVELOPMENT]],Data[],9,FALSE))</f>
        <v>5</v>
      </c>
      <c r="H248" s="50">
        <f>VLOOKUP(IntComp24[[#This Row],[DEVELOPMENT]],Data[],7,FALSE)</f>
        <v>96</v>
      </c>
      <c r="I248" s="50">
        <f>VLOOKUP(IntComp24[[#This Row],[DEVELOPMENT]],Data[],5,FALSE)</f>
        <v>1</v>
      </c>
      <c r="J248" s="50"/>
      <c r="K248" s="50" t="str">
        <f ca="1">IFERROR(VLOOKUP(IntComp24[[#This Row],[DEVELOPMENT]],Data[],4,FALSE),"")</f>
        <v>2026+</v>
      </c>
      <c r="L248" s="50" t="str">
        <f ca="1">IF(IntComp24[[#This Row],[RAD/PACT]]="","",IF(OR(IntComp24[[#This Row],[RAD/PACT]]="2022-2025",IntComp24[[#This Row],[RAD/PACT]]=2019,IntComp24[[#This Row],[RAD/PACT]]="2020-2021"),"Yes",""))</f>
        <v/>
      </c>
      <c r="M248" s="51">
        <f ca="1">IF(VLOOKUP(IntComp24[[#This Row],[DEVELOPMENT]],Data[],10,FALSE)=0,-1,DATEDIF(VLOOKUP(IntComp24[[#This Row],[DEVELOPMENT]],Data[],12,FALSE),TODAY(),"Y"))</f>
        <v>24</v>
      </c>
      <c r="N24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8" s="51"/>
      <c r="P248" s="51"/>
      <c r="Q248" s="51"/>
      <c r="R248" s="47">
        <f ca="1">(IntComp24[[#This Row],['# to Replace (MRST)]]*INDEX(UnitCosts[#All],MATCH(IntComp24[[#This Row],[WORK TYPE]],UnitCosts[Work Type],0)+1,2))*(1+((IntComp24[[#This Row],[est. Year]]-YEAR(TODAY()))*$R$2))</f>
        <v>0</v>
      </c>
      <c r="S248" s="1">
        <f ca="1">SUM(INDEX(IntComp24['# to Replace (MRST)],1):IntComp24[[#This Row],['# to Replace (MRST)]])</f>
        <v>108</v>
      </c>
      <c r="T248" s="51"/>
      <c r="U248" s="51">
        <f ca="1">IF(ISBLANK(IntComp24[[#This Row],[CALENDAR YEAR]]),ROUNDDOWN(IntComp24[[#This Row],[Count]]/50,0)+$U$1,IntComp24[[#This Row],[CALENDAR YEAR]])</f>
        <v>2024</v>
      </c>
      <c r="V248" s="69">
        <f t="shared" ca="1" si="4"/>
        <v>863037.00000000012</v>
      </c>
      <c r="W248" s="5"/>
      <c r="X248"/>
    </row>
    <row r="249" spans="1:24" hidden="1">
      <c r="A249" s="13" t="s">
        <v>236</v>
      </c>
      <c r="B249" s="9" t="str">
        <f>VLOOKUP(A249,Data[],2,FALSE)</f>
        <v>BROOKLYN</v>
      </c>
      <c r="C249" s="9" t="s">
        <v>106</v>
      </c>
      <c r="D249" s="9" t="str">
        <f>VLOOKUP(IntComp24[[#This Row],[DEVELOPMENT]],Data[],52,FALSE)</f>
        <v>FEDERAL</v>
      </c>
      <c r="E249" s="50">
        <f>VLOOKUP(IntComp24[[#This Row],[DEVELOPMENT]],Data[],8,FALSE)</f>
        <v>0</v>
      </c>
      <c r="F249" s="50">
        <f>VLOOKUP(IntComp24[[#This Row],[DEVELOPMENT]],all[[DEVELOPMENT]:[MRST Ext. Comp. Priority]],13,FALSE)</f>
        <v>4</v>
      </c>
      <c r="G249" s="50">
        <f>IF(VLOOKUP(IntComp24[[#This Row],[DEVELOPMENT]],Data[],9,FALSE)=0,5,VLOOKUP(IntComp24[[#This Row],[DEVELOPMENT]],Data[],9,FALSE))</f>
        <v>5</v>
      </c>
      <c r="H249" s="50">
        <f>VLOOKUP(IntComp24[[#This Row],[DEVELOPMENT]],Data[],7,FALSE)</f>
        <v>124</v>
      </c>
      <c r="I249" s="50">
        <f>VLOOKUP(IntComp24[[#This Row],[DEVELOPMENT]],Data[],5,FALSE)</f>
        <v>1</v>
      </c>
      <c r="J249" s="50"/>
      <c r="K249" s="50" t="str">
        <f ca="1">IFERROR(VLOOKUP(IntComp24[[#This Row],[DEVELOPMENT]],Data[],4,FALSE),"")</f>
        <v>2026+</v>
      </c>
      <c r="L249" s="50" t="str">
        <f ca="1">IF(IntComp24[[#This Row],[RAD/PACT]]="","",IF(OR(IntComp24[[#This Row],[RAD/PACT]]="2022-2025",IntComp24[[#This Row],[RAD/PACT]]=2019,IntComp24[[#This Row],[RAD/PACT]]="2020-2021"),"Yes",""))</f>
        <v/>
      </c>
      <c r="M249" s="51">
        <f ca="1">IF(VLOOKUP(IntComp24[[#This Row],[DEVELOPMENT]],Data[],10,FALSE)=0,-1,DATEDIF(VLOOKUP(IntComp24[[#This Row],[DEVELOPMENT]],Data[],12,FALSE),TODAY(),"Y"))</f>
        <v>23</v>
      </c>
      <c r="N24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49" s="51"/>
      <c r="P249" s="51"/>
      <c r="Q249" s="51"/>
      <c r="R249" s="47">
        <f ca="1">(IntComp24[[#This Row],['# to Replace (MRST)]]*INDEX(UnitCosts[#All],MATCH(IntComp24[[#This Row],[WORK TYPE]],UnitCosts[Work Type],0)+1,2))*(1+((IntComp24[[#This Row],[est. Year]]-YEAR(TODAY()))*$R$2))</f>
        <v>0</v>
      </c>
      <c r="S249" s="1">
        <f ca="1">SUM(INDEX(IntComp24['# to Replace (MRST)],1):IntComp24[[#This Row],['# to Replace (MRST)]])</f>
        <v>108</v>
      </c>
      <c r="T249" s="51"/>
      <c r="U249" s="51">
        <f ca="1">IF(ISBLANK(IntComp24[[#This Row],[CALENDAR YEAR]]),ROUNDDOWN(IntComp24[[#This Row],[Count]]/50,0)+$U$1,IntComp24[[#This Row],[CALENDAR YEAR]])</f>
        <v>2024</v>
      </c>
      <c r="V249" s="69">
        <f t="shared" ca="1" si="4"/>
        <v>863037.00000000012</v>
      </c>
      <c r="W249" s="5"/>
      <c r="X249"/>
    </row>
    <row r="250" spans="1:24" hidden="1">
      <c r="A250" s="13" t="s">
        <v>292</v>
      </c>
      <c r="B250" s="9" t="str">
        <f>VLOOKUP(A250,Data[],2,FALSE)</f>
        <v>BROOKLYN</v>
      </c>
      <c r="C250" s="9" t="s">
        <v>106</v>
      </c>
      <c r="D250" s="9" t="str">
        <f>VLOOKUP(IntComp24[[#This Row],[DEVELOPMENT]],Data[],52,FALSE)</f>
        <v>FEDERAL</v>
      </c>
      <c r="E250" s="50">
        <f>VLOOKUP(IntComp24[[#This Row],[DEVELOPMENT]],Data[],8,FALSE)</f>
        <v>0</v>
      </c>
      <c r="F250" s="50">
        <f>VLOOKUP(IntComp24[[#This Row],[DEVELOPMENT]],all[[DEVELOPMENT]:[MRST Ext. Comp. Priority]],13,FALSE)</f>
        <v>4</v>
      </c>
      <c r="G250" s="50">
        <f>IF(VLOOKUP(IntComp24[[#This Row],[DEVELOPMENT]],Data[],9,FALSE)=0,5,VLOOKUP(IntComp24[[#This Row],[DEVELOPMENT]],Data[],9,FALSE))</f>
        <v>5</v>
      </c>
      <c r="H250" s="50">
        <f>VLOOKUP(IntComp24[[#This Row],[DEVELOPMENT]],Data[],7,FALSE)</f>
        <v>30</v>
      </c>
      <c r="I250" s="50">
        <f>VLOOKUP(IntComp24[[#This Row],[DEVELOPMENT]],Data[],5,FALSE)</f>
        <v>1</v>
      </c>
      <c r="J250" s="50"/>
      <c r="K250" s="50" t="str">
        <f ca="1">IFERROR(VLOOKUP(IntComp24[[#This Row],[DEVELOPMENT]],Data[],4,FALSE),"")</f>
        <v>2020-2021</v>
      </c>
      <c r="L250" s="50" t="str">
        <f ca="1">IF(IntComp24[[#This Row],[RAD/PACT]]="","",IF(OR(IntComp24[[#This Row],[RAD/PACT]]="2022-2025",IntComp24[[#This Row],[RAD/PACT]]=2019,IntComp24[[#This Row],[RAD/PACT]]="2020-2021"),"Yes",""))</f>
        <v>Yes</v>
      </c>
      <c r="M250" s="51">
        <f ca="1">IF(VLOOKUP(IntComp24[[#This Row],[DEVELOPMENT]],Data[],10,FALSE)=0,-1,DATEDIF(VLOOKUP(IntComp24[[#This Row],[DEVELOPMENT]],Data[],12,FALSE),TODAY(),"Y"))</f>
        <v>23</v>
      </c>
      <c r="N25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0" s="51"/>
      <c r="P250" s="51"/>
      <c r="Q250" s="51"/>
      <c r="R250" s="47">
        <f ca="1">(IntComp24[[#This Row],['# to Replace (MRST)]]*INDEX(UnitCosts[#All],MATCH(IntComp24[[#This Row],[WORK TYPE]],UnitCosts[Work Type],0)+1,2))*(1+((IntComp24[[#This Row],[est. Year]]-YEAR(TODAY()))*$R$2))</f>
        <v>0</v>
      </c>
      <c r="S250" s="1">
        <f ca="1">SUM(INDEX(IntComp24['# to Replace (MRST)],1):IntComp24[[#This Row],['# to Replace (MRST)]])</f>
        <v>108</v>
      </c>
      <c r="T250" s="51"/>
      <c r="U250" s="51">
        <f ca="1">IF(ISBLANK(IntComp24[[#This Row],[CALENDAR YEAR]]),ROUNDDOWN(IntComp24[[#This Row],[Count]]/50,0)+$U$1,IntComp24[[#This Row],[CALENDAR YEAR]])</f>
        <v>2024</v>
      </c>
      <c r="V250" s="69">
        <f t="shared" ca="1" si="4"/>
        <v>863037.00000000012</v>
      </c>
      <c r="W250" s="5"/>
      <c r="X250"/>
    </row>
    <row r="251" spans="1:24" hidden="1">
      <c r="A251" s="13" t="s">
        <v>373</v>
      </c>
      <c r="B251" s="9" t="str">
        <f>VLOOKUP(A251,Data[],2,FALSE)</f>
        <v>BROOKLYN</v>
      </c>
      <c r="C251" s="9" t="s">
        <v>106</v>
      </c>
      <c r="D251" s="9" t="str">
        <f>VLOOKUP(IntComp24[[#This Row],[DEVELOPMENT]],Data[],52,FALSE)</f>
        <v>FEDERAL</v>
      </c>
      <c r="E251" s="50">
        <f>VLOOKUP(IntComp24[[#This Row],[DEVELOPMENT]],Data[],8,FALSE)</f>
        <v>0</v>
      </c>
      <c r="F251" s="50">
        <f>VLOOKUP(IntComp24[[#This Row],[DEVELOPMENT]],all[[DEVELOPMENT]:[MRST Ext. Comp. Priority]],13,FALSE)</f>
        <v>4</v>
      </c>
      <c r="G251" s="50">
        <f>IF(VLOOKUP(IntComp24[[#This Row],[DEVELOPMENT]],Data[],9,FALSE)=0,5,VLOOKUP(IntComp24[[#This Row],[DEVELOPMENT]],Data[],9,FALSE))</f>
        <v>5</v>
      </c>
      <c r="H251" s="50">
        <f>VLOOKUP(IntComp24[[#This Row],[DEVELOPMENT]],Data[],7,FALSE)</f>
        <v>1603</v>
      </c>
      <c r="I251" s="50">
        <f>VLOOKUP(IntComp24[[#This Row],[DEVELOPMENT]],Data[],5,FALSE)</f>
        <v>22</v>
      </c>
      <c r="J251" s="50"/>
      <c r="K251" s="50" t="str">
        <f ca="1">IFERROR(VLOOKUP(IntComp24[[#This Row],[DEVELOPMENT]],Data[],4,FALSE),"")</f>
        <v>2022-2025</v>
      </c>
      <c r="L251" s="50" t="str">
        <f ca="1">IF(IntComp24[[#This Row],[RAD/PACT]]="","",IF(OR(IntComp24[[#This Row],[RAD/PACT]]="2022-2025",IntComp24[[#This Row],[RAD/PACT]]=2019,IntComp24[[#This Row],[RAD/PACT]]="2020-2021"),"Yes",""))</f>
        <v>Yes</v>
      </c>
      <c r="M251" s="51">
        <f ca="1">IF(VLOOKUP(IntComp24[[#This Row],[DEVELOPMENT]],Data[],10,FALSE)=0,-1,DATEDIF(VLOOKUP(IntComp24[[#This Row],[DEVELOPMENT]],Data[],12,FALSE),TODAY(),"Y"))</f>
        <v>22</v>
      </c>
      <c r="N25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1" s="51"/>
      <c r="P251" s="51"/>
      <c r="Q251" s="51"/>
      <c r="R251" s="47">
        <f ca="1">(IntComp24[[#This Row],['# to Replace (MRST)]]*INDEX(UnitCosts[#All],MATCH(IntComp24[[#This Row],[WORK TYPE]],UnitCosts[Work Type],0)+1,2))*(1+((IntComp24[[#This Row],[est. Year]]-YEAR(TODAY()))*$R$2))</f>
        <v>0</v>
      </c>
      <c r="S251" s="1">
        <f ca="1">SUM(INDEX(IntComp24['# to Replace (MRST)],1):IntComp24[[#This Row],['# to Replace (MRST)]])</f>
        <v>108</v>
      </c>
      <c r="T251" s="51"/>
      <c r="U251" s="51">
        <f ca="1">IF(ISBLANK(IntComp24[[#This Row],[CALENDAR YEAR]]),ROUNDDOWN(IntComp24[[#This Row],[Count]]/50,0)+$U$1,IntComp24[[#This Row],[CALENDAR YEAR]])</f>
        <v>2024</v>
      </c>
      <c r="V251" s="69">
        <f t="shared" ca="1" si="4"/>
        <v>863037.00000000012</v>
      </c>
      <c r="W251" s="5"/>
      <c r="X251"/>
    </row>
    <row r="252" spans="1:24" hidden="1">
      <c r="A252" s="13" t="s">
        <v>291</v>
      </c>
      <c r="B252" s="9" t="str">
        <f>VLOOKUP(A252,Data[],2,FALSE)</f>
        <v>BRONX</v>
      </c>
      <c r="C252" s="9" t="s">
        <v>106</v>
      </c>
      <c r="D252" s="9" t="str">
        <f>VLOOKUP(IntComp24[[#This Row],[DEVELOPMENT]],Data[],52,FALSE)</f>
        <v>FEDERAL</v>
      </c>
      <c r="E252" s="50">
        <f>VLOOKUP(IntComp24[[#This Row],[DEVELOPMENT]],Data[],8,FALSE)</f>
        <v>0</v>
      </c>
      <c r="F252" s="50">
        <f>VLOOKUP(IntComp24[[#This Row],[DEVELOPMENT]],all[[DEVELOPMENT]:[MRST Ext. Comp. Priority]],13,FALSE)</f>
        <v>4</v>
      </c>
      <c r="G252" s="50">
        <f>IF(VLOOKUP(IntComp24[[#This Row],[DEVELOPMENT]],Data[],9,FALSE)=0,5,VLOOKUP(IntComp24[[#This Row],[DEVELOPMENT]],Data[],9,FALSE))</f>
        <v>5</v>
      </c>
      <c r="H252" s="50">
        <f>VLOOKUP(IntComp24[[#This Row],[DEVELOPMENT]],Data[],7,FALSE)</f>
        <v>218</v>
      </c>
      <c r="I252" s="50">
        <f>VLOOKUP(IntComp24[[#This Row],[DEVELOPMENT]],Data[],5,FALSE)</f>
        <v>1</v>
      </c>
      <c r="J252" s="50"/>
      <c r="K252" s="50" t="str">
        <f ca="1">IFERROR(VLOOKUP(IntComp24[[#This Row],[DEVELOPMENT]],Data[],4,FALSE),"")</f>
        <v/>
      </c>
      <c r="L252" s="50" t="str">
        <f ca="1">IF(IntComp24[[#This Row],[RAD/PACT]]="","",IF(OR(IntComp24[[#This Row],[RAD/PACT]]="2022-2025",IntComp24[[#This Row],[RAD/PACT]]=2019,IntComp24[[#This Row],[RAD/PACT]]="2020-2021"),"Yes",""))</f>
        <v/>
      </c>
      <c r="M252" s="51">
        <f ca="1">IF(VLOOKUP(IntComp24[[#This Row],[DEVELOPMENT]],Data[],10,FALSE)=0,-1,DATEDIF(VLOOKUP(IntComp24[[#This Row],[DEVELOPMENT]],Data[],12,FALSE),TODAY(),"Y"))</f>
        <v>22</v>
      </c>
      <c r="N25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2" s="51"/>
      <c r="P252" s="51"/>
      <c r="Q252" s="51"/>
      <c r="R252" s="47">
        <f ca="1">(IntComp24[[#This Row],['# to Replace (MRST)]]*INDEX(UnitCosts[#All],MATCH(IntComp24[[#This Row],[WORK TYPE]],UnitCosts[Work Type],0)+1,2))*(1+((IntComp24[[#This Row],[est. Year]]-YEAR(TODAY()))*$R$2))</f>
        <v>0</v>
      </c>
      <c r="S252" s="1">
        <f ca="1">SUM(INDEX(IntComp24['# to Replace (MRST)],1):IntComp24[[#This Row],['# to Replace (MRST)]])</f>
        <v>108</v>
      </c>
      <c r="T252" s="51"/>
      <c r="U252" s="51">
        <f ca="1">IF(ISBLANK(IntComp24[[#This Row],[CALENDAR YEAR]]),ROUNDDOWN(IntComp24[[#This Row],[Count]]/50,0)+$U$1,IntComp24[[#This Row],[CALENDAR YEAR]])</f>
        <v>2024</v>
      </c>
      <c r="V252" s="69">
        <f t="shared" ca="1" si="4"/>
        <v>863037.00000000012</v>
      </c>
      <c r="W252" s="5"/>
      <c r="X252"/>
    </row>
    <row r="253" spans="1:24" hidden="1">
      <c r="A253" s="13" t="s">
        <v>324</v>
      </c>
      <c r="B253" s="9" t="str">
        <f>VLOOKUP(A253,Data[],2,FALSE)</f>
        <v>BROOKLYN</v>
      </c>
      <c r="C253" s="9" t="s">
        <v>106</v>
      </c>
      <c r="D253" s="9" t="str">
        <f>VLOOKUP(IntComp24[[#This Row],[DEVELOPMENT]],Data[],52,FALSE)</f>
        <v>FEDERAL</v>
      </c>
      <c r="E253" s="50">
        <f>VLOOKUP(IntComp24[[#This Row],[DEVELOPMENT]],Data[],8,FALSE)</f>
        <v>0</v>
      </c>
      <c r="F253" s="50">
        <f>VLOOKUP(IntComp24[[#This Row],[DEVELOPMENT]],all[[DEVELOPMENT]:[MRST Ext. Comp. Priority]],13,FALSE)</f>
        <v>4</v>
      </c>
      <c r="G253" s="50">
        <f>IF(VLOOKUP(IntComp24[[#This Row],[DEVELOPMENT]],Data[],9,FALSE)=0,5,VLOOKUP(IntComp24[[#This Row],[DEVELOPMENT]],Data[],9,FALSE))</f>
        <v>5</v>
      </c>
      <c r="H253" s="50">
        <f>VLOOKUP(IntComp24[[#This Row],[DEVELOPMENT]],Data[],7,FALSE)</f>
        <v>320</v>
      </c>
      <c r="I253" s="50">
        <f>VLOOKUP(IntComp24[[#This Row],[DEVELOPMENT]],Data[],5,FALSE)</f>
        <v>3</v>
      </c>
      <c r="J253" s="50"/>
      <c r="K253" s="50" t="str">
        <f ca="1">IFERROR(VLOOKUP(IntComp24[[#This Row],[DEVELOPMENT]],Data[],4,FALSE),"")</f>
        <v/>
      </c>
      <c r="L253" s="50" t="str">
        <f ca="1">IF(IntComp24[[#This Row],[RAD/PACT]]="","",IF(OR(IntComp24[[#This Row],[RAD/PACT]]="2022-2025",IntComp24[[#This Row],[RAD/PACT]]=2019,IntComp24[[#This Row],[RAD/PACT]]="2020-2021"),"Yes",""))</f>
        <v/>
      </c>
      <c r="M253" s="51">
        <f ca="1">IF(VLOOKUP(IntComp24[[#This Row],[DEVELOPMENT]],Data[],10,FALSE)=0,-1,DATEDIF(VLOOKUP(IntComp24[[#This Row],[DEVELOPMENT]],Data[],12,FALSE),TODAY(),"Y"))</f>
        <v>22</v>
      </c>
      <c r="N25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3" s="51"/>
      <c r="P253" s="51"/>
      <c r="Q253" s="51"/>
      <c r="R253" s="47">
        <f ca="1">(IntComp24[[#This Row],['# to Replace (MRST)]]*INDEX(UnitCosts[#All],MATCH(IntComp24[[#This Row],[WORK TYPE]],UnitCosts[Work Type],0)+1,2))*(1+((IntComp24[[#This Row],[est. Year]]-YEAR(TODAY()))*$R$2))</f>
        <v>0</v>
      </c>
      <c r="S253" s="1">
        <f ca="1">SUM(INDEX(IntComp24['# to Replace (MRST)],1):IntComp24[[#This Row],['# to Replace (MRST)]])</f>
        <v>108</v>
      </c>
      <c r="T253" s="51"/>
      <c r="U253" s="51">
        <f ca="1">IF(ISBLANK(IntComp24[[#This Row],[CALENDAR YEAR]]),ROUNDDOWN(IntComp24[[#This Row],[Count]]/50,0)+$U$1,IntComp24[[#This Row],[CALENDAR YEAR]])</f>
        <v>2024</v>
      </c>
      <c r="V253" s="69">
        <f t="shared" ca="1" si="4"/>
        <v>863037.00000000012</v>
      </c>
      <c r="W253" s="5"/>
      <c r="X253"/>
    </row>
    <row r="254" spans="1:24" hidden="1">
      <c r="A254" s="13" t="s">
        <v>226</v>
      </c>
      <c r="B254" s="9" t="str">
        <f>VLOOKUP(A254,Data[],2,FALSE)</f>
        <v>BROOKLYN</v>
      </c>
      <c r="C254" s="9" t="s">
        <v>106</v>
      </c>
      <c r="D254" s="9" t="str">
        <f>VLOOKUP(IntComp24[[#This Row],[DEVELOPMENT]],Data[],52,FALSE)</f>
        <v>MIXED FINANCE/LLC2</v>
      </c>
      <c r="E254" s="50">
        <f>VLOOKUP(IntComp24[[#This Row],[DEVELOPMENT]],Data[],8,FALSE)</f>
        <v>0</v>
      </c>
      <c r="F254" s="50">
        <f>VLOOKUP(IntComp24[[#This Row],[DEVELOPMENT]],all[[DEVELOPMENT]:[MRST Ext. Comp. Priority]],13,FALSE)</f>
        <v>3</v>
      </c>
      <c r="G254" s="50">
        <f>IF(VLOOKUP(IntComp24[[#This Row],[DEVELOPMENT]],Data[],9,FALSE)=0,5,VLOOKUP(IntComp24[[#This Row],[DEVELOPMENT]],Data[],9,FALSE))</f>
        <v>5</v>
      </c>
      <c r="H254" s="50">
        <f>VLOOKUP(IntComp24[[#This Row],[DEVELOPMENT]],Data[],7,FALSE)</f>
        <v>1424</v>
      </c>
      <c r="I254" s="50">
        <f>VLOOKUP(IntComp24[[#This Row],[DEVELOPMENT]],Data[],5,FALSE)</f>
        <v>18</v>
      </c>
      <c r="J254" s="50"/>
      <c r="K254" s="50" t="str">
        <f ca="1">IFERROR(VLOOKUP(IntComp24[[#This Row],[DEVELOPMENT]],Data[],4,FALSE),"")</f>
        <v>2020-2021</v>
      </c>
      <c r="L254" s="50" t="str">
        <f ca="1">IF(IntComp24[[#This Row],[RAD/PACT]]="","",IF(OR(IntComp24[[#This Row],[RAD/PACT]]="2022-2025",IntComp24[[#This Row],[RAD/PACT]]=2019,IntComp24[[#This Row],[RAD/PACT]]="2020-2021"),"Yes",""))</f>
        <v>Yes</v>
      </c>
      <c r="M254" s="51">
        <f ca="1">IF(VLOOKUP(IntComp24[[#This Row],[DEVELOPMENT]],Data[],10,FALSE)=0,-1,DATEDIF(VLOOKUP(IntComp24[[#This Row],[DEVELOPMENT]],Data[],12,FALSE),TODAY(),"Y"))</f>
        <v>6</v>
      </c>
      <c r="N25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4" s="51"/>
      <c r="P254" s="51"/>
      <c r="Q254" s="51"/>
      <c r="R254" s="47">
        <f ca="1">(IntComp24[[#This Row],['# to Replace (MRST)]]*INDEX(UnitCosts[#All],MATCH(IntComp24[[#This Row],[WORK TYPE]],UnitCosts[Work Type],0)+1,2))*(1+((IntComp24[[#This Row],[est. Year]]-YEAR(TODAY()))*$R$2))</f>
        <v>0</v>
      </c>
      <c r="S254" s="1">
        <f ca="1">SUM(INDEX(IntComp24['# to Replace (MRST)],1):IntComp24[[#This Row],['# to Replace (MRST)]])</f>
        <v>108</v>
      </c>
      <c r="T254" s="51"/>
      <c r="U254" s="51">
        <f ca="1">IF(ISBLANK(IntComp24[[#This Row],[CALENDAR YEAR]]),ROUNDDOWN(IntComp24[[#This Row],[Count]]/50,0)+$U$1,IntComp24[[#This Row],[CALENDAR YEAR]])</f>
        <v>2024</v>
      </c>
      <c r="V254" s="69">
        <f t="shared" ca="1" si="4"/>
        <v>863037.00000000012</v>
      </c>
      <c r="W254" s="5"/>
      <c r="X254"/>
    </row>
    <row r="255" spans="1:24" hidden="1">
      <c r="A255" s="13" t="s">
        <v>206</v>
      </c>
      <c r="B255" s="9" t="str">
        <f>VLOOKUP(A255,Data[],2,FALSE)</f>
        <v>BROOKLYN</v>
      </c>
      <c r="C255" s="9" t="s">
        <v>106</v>
      </c>
      <c r="D255" s="9" t="str">
        <f>VLOOKUP(IntComp24[[#This Row],[DEVELOPMENT]],Data[],52,FALSE)</f>
        <v>FEDERAL</v>
      </c>
      <c r="E255" s="50">
        <f>VLOOKUP(IntComp24[[#This Row],[DEVELOPMENT]],Data[],8,FALSE)</f>
        <v>0</v>
      </c>
      <c r="F255" s="50">
        <f>VLOOKUP(IntComp24[[#This Row],[DEVELOPMENT]],all[[DEVELOPMENT]:[MRST Ext. Comp. Priority]],13,FALSE)</f>
        <v>4</v>
      </c>
      <c r="G255" s="50">
        <f>IF(VLOOKUP(IntComp24[[#This Row],[DEVELOPMENT]],Data[],9,FALSE)=0,5,VLOOKUP(IntComp24[[#This Row],[DEVELOPMENT]],Data[],9,FALSE))</f>
        <v>5</v>
      </c>
      <c r="H255" s="50">
        <f>VLOOKUP(IntComp24[[#This Row],[DEVELOPMENT]],Data[],7,FALSE)</f>
        <v>813</v>
      </c>
      <c r="I255" s="50">
        <f>VLOOKUP(IntComp24[[#This Row],[DEVELOPMENT]],Data[],5,FALSE)</f>
        <v>10</v>
      </c>
      <c r="J255" s="50"/>
      <c r="K255" s="50" t="str">
        <f ca="1">IFERROR(VLOOKUP(IntComp24[[#This Row],[DEVELOPMENT]],Data[],4,FALSE),"")</f>
        <v>2026+</v>
      </c>
      <c r="L255" s="50" t="str">
        <f ca="1">IF(IntComp24[[#This Row],[RAD/PACT]]="","",IF(OR(IntComp24[[#This Row],[RAD/PACT]]="2022-2025",IntComp24[[#This Row],[RAD/PACT]]=2019,IntComp24[[#This Row],[RAD/PACT]]="2020-2021"),"Yes",""))</f>
        <v/>
      </c>
      <c r="M255" s="51">
        <f ca="1">IF(VLOOKUP(IntComp24[[#This Row],[DEVELOPMENT]],Data[],10,FALSE)=0,-1,DATEDIF(VLOOKUP(IntComp24[[#This Row],[DEVELOPMENT]],Data[],12,FALSE),TODAY(),"Y"))</f>
        <v>21</v>
      </c>
      <c r="N25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5" s="51"/>
      <c r="P255" s="51"/>
      <c r="Q255" s="51"/>
      <c r="R255" s="47">
        <f ca="1">(IntComp24[[#This Row],['# to Replace (MRST)]]*INDEX(UnitCosts[#All],MATCH(IntComp24[[#This Row],[WORK TYPE]],UnitCosts[Work Type],0)+1,2))*(1+((IntComp24[[#This Row],[est. Year]]-YEAR(TODAY()))*$R$2))</f>
        <v>0</v>
      </c>
      <c r="S255" s="1">
        <f ca="1">SUM(INDEX(IntComp24['# to Replace (MRST)],1):IntComp24[[#This Row],['# to Replace (MRST)]])</f>
        <v>108</v>
      </c>
      <c r="T255" s="51"/>
      <c r="U255" s="51">
        <f ca="1">IF(ISBLANK(IntComp24[[#This Row],[CALENDAR YEAR]]),ROUNDDOWN(IntComp24[[#This Row],[Count]]/50,0)+$U$1,IntComp24[[#This Row],[CALENDAR YEAR]])</f>
        <v>2024</v>
      </c>
      <c r="V255" s="69">
        <f t="shared" ca="1" si="4"/>
        <v>863037.00000000012</v>
      </c>
      <c r="W255" s="5"/>
      <c r="X255"/>
    </row>
    <row r="256" spans="1:24" hidden="1">
      <c r="A256" s="13" t="s">
        <v>349</v>
      </c>
      <c r="B256" s="9" t="str">
        <f>VLOOKUP(A256,Data[],2,FALSE)</f>
        <v>BROOKLYN</v>
      </c>
      <c r="C256" s="9" t="s">
        <v>106</v>
      </c>
      <c r="D256" s="9" t="str">
        <f>VLOOKUP(IntComp24[[#This Row],[DEVELOPMENT]],Data[],52,FALSE)</f>
        <v>FEDERAL</v>
      </c>
      <c r="E256" s="50">
        <f>VLOOKUP(IntComp24[[#This Row],[DEVELOPMENT]],Data[],8,FALSE)</f>
        <v>0</v>
      </c>
      <c r="F256" s="50">
        <f>VLOOKUP(IntComp24[[#This Row],[DEVELOPMENT]],all[[DEVELOPMENT]:[MRST Ext. Comp. Priority]],13,FALSE)</f>
        <v>4</v>
      </c>
      <c r="G256" s="50">
        <f>IF(VLOOKUP(IntComp24[[#This Row],[DEVELOPMENT]],Data[],9,FALSE)=0,5,VLOOKUP(IntComp24[[#This Row],[DEVELOPMENT]],Data[],9,FALSE))</f>
        <v>5</v>
      </c>
      <c r="H256" s="50">
        <f>VLOOKUP(IntComp24[[#This Row],[DEVELOPMENT]],Data[],7,FALSE)</f>
        <v>238</v>
      </c>
      <c r="I256" s="50">
        <f>VLOOKUP(IntComp24[[#This Row],[DEVELOPMENT]],Data[],5,FALSE)</f>
        <v>3</v>
      </c>
      <c r="J256" s="50"/>
      <c r="K256" s="50" t="str">
        <f ca="1">IFERROR(VLOOKUP(IntComp24[[#This Row],[DEVELOPMENT]],Data[],4,FALSE),"")</f>
        <v/>
      </c>
      <c r="L256" s="50" t="str">
        <f ca="1">IF(IntComp24[[#This Row],[RAD/PACT]]="","",IF(OR(IntComp24[[#This Row],[RAD/PACT]]="2022-2025",IntComp24[[#This Row],[RAD/PACT]]=2019,IntComp24[[#This Row],[RAD/PACT]]="2020-2021"),"Yes",""))</f>
        <v/>
      </c>
      <c r="M256" s="51">
        <f ca="1">IF(VLOOKUP(IntComp24[[#This Row],[DEVELOPMENT]],Data[],10,FALSE)=0,-1,DATEDIF(VLOOKUP(IntComp24[[#This Row],[DEVELOPMENT]],Data[],12,FALSE),TODAY(),"Y"))</f>
        <v>21</v>
      </c>
      <c r="N25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6" s="51"/>
      <c r="P256" s="51"/>
      <c r="Q256" s="51"/>
      <c r="R256" s="47">
        <f ca="1">(IntComp24[[#This Row],['# to Replace (MRST)]]*INDEX(UnitCosts[#All],MATCH(IntComp24[[#This Row],[WORK TYPE]],UnitCosts[Work Type],0)+1,2))*(1+((IntComp24[[#This Row],[est. Year]]-YEAR(TODAY()))*$R$2))</f>
        <v>0</v>
      </c>
      <c r="S256" s="1">
        <f ca="1">SUM(INDEX(IntComp24['# to Replace (MRST)],1):IntComp24[[#This Row],['# to Replace (MRST)]])</f>
        <v>108</v>
      </c>
      <c r="T256" s="51"/>
      <c r="U256" s="51">
        <f ca="1">IF(ISBLANK(IntComp24[[#This Row],[CALENDAR YEAR]]),ROUNDDOWN(IntComp24[[#This Row],[Count]]/50,0)+$U$1,IntComp24[[#This Row],[CALENDAR YEAR]])</f>
        <v>2024</v>
      </c>
      <c r="V256" s="69">
        <f t="shared" ca="1" si="4"/>
        <v>863037.00000000012</v>
      </c>
      <c r="W256" s="5"/>
      <c r="X256"/>
    </row>
    <row r="257" spans="1:24" hidden="1">
      <c r="A257" s="13" t="s">
        <v>279</v>
      </c>
      <c r="B257" s="9" t="str">
        <f>VLOOKUP(A257,Data[],2,FALSE)</f>
        <v>MANHATTAN</v>
      </c>
      <c r="C257" s="9" t="s">
        <v>106</v>
      </c>
      <c r="D257" s="9" t="str">
        <f>VLOOKUP(IntComp24[[#This Row],[DEVELOPMENT]],Data[],52,FALSE)</f>
        <v>FEDERAL</v>
      </c>
      <c r="E257" s="50">
        <f>VLOOKUP(IntComp24[[#This Row],[DEVELOPMENT]],Data[],8,FALSE)</f>
        <v>0</v>
      </c>
      <c r="F257" s="50">
        <f>VLOOKUP(IntComp24[[#This Row],[DEVELOPMENT]],all[[DEVELOPMENT]:[MRST Ext. Comp. Priority]],13,FALSE)</f>
        <v>4</v>
      </c>
      <c r="G257" s="50">
        <f>IF(VLOOKUP(IntComp24[[#This Row],[DEVELOPMENT]],Data[],9,FALSE)=0,5,VLOOKUP(IntComp24[[#This Row],[DEVELOPMENT]],Data[],9,FALSE))</f>
        <v>5</v>
      </c>
      <c r="H257" s="50">
        <f>VLOOKUP(IntComp24[[#This Row],[DEVELOPMENT]],Data[],7,FALSE)</f>
        <v>1167</v>
      </c>
      <c r="I257" s="50">
        <f>VLOOKUP(IntComp24[[#This Row],[DEVELOPMENT]],Data[],5,FALSE)</f>
        <v>7</v>
      </c>
      <c r="J257" s="50"/>
      <c r="K257" s="50" t="str">
        <f ca="1">IFERROR(VLOOKUP(IntComp24[[#This Row],[DEVELOPMENT]],Data[],4,FALSE),"")</f>
        <v/>
      </c>
      <c r="L257" s="50" t="str">
        <f ca="1">IF(IntComp24[[#This Row],[RAD/PACT]]="","",IF(OR(IntComp24[[#This Row],[RAD/PACT]]="2022-2025",IntComp24[[#This Row],[RAD/PACT]]=2019,IntComp24[[#This Row],[RAD/PACT]]="2020-2021"),"Yes",""))</f>
        <v/>
      </c>
      <c r="M257" s="51">
        <f ca="1">IF(VLOOKUP(IntComp24[[#This Row],[DEVELOPMENT]],Data[],10,FALSE)=0,-1,DATEDIF(VLOOKUP(IntComp24[[#This Row],[DEVELOPMENT]],Data[],12,FALSE),TODAY(),"Y"))</f>
        <v>20</v>
      </c>
      <c r="N25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7" s="51"/>
      <c r="P257" s="51"/>
      <c r="Q257" s="51"/>
      <c r="R257" s="47">
        <f ca="1">(IntComp24[[#This Row],['# to Replace (MRST)]]*INDEX(UnitCosts[#All],MATCH(IntComp24[[#This Row],[WORK TYPE]],UnitCosts[Work Type],0)+1,2))*(1+((IntComp24[[#This Row],[est. Year]]-YEAR(TODAY()))*$R$2))</f>
        <v>0</v>
      </c>
      <c r="S257" s="1">
        <f ca="1">SUM(INDEX(IntComp24['# to Replace (MRST)],1):IntComp24[[#This Row],['# to Replace (MRST)]])</f>
        <v>108</v>
      </c>
      <c r="T257" s="51"/>
      <c r="U257" s="51">
        <f ca="1">IF(ISBLANK(IntComp24[[#This Row],[CALENDAR YEAR]]),ROUNDDOWN(IntComp24[[#This Row],[Count]]/50,0)+$U$1,IntComp24[[#This Row],[CALENDAR YEAR]])</f>
        <v>2024</v>
      </c>
      <c r="V257" s="69">
        <f t="shared" ca="1" si="4"/>
        <v>863037.00000000012</v>
      </c>
      <c r="W257" s="5"/>
      <c r="X257"/>
    </row>
    <row r="258" spans="1:24" hidden="1">
      <c r="A258" s="13" t="s">
        <v>274</v>
      </c>
      <c r="B258" s="9" t="str">
        <f>VLOOKUP(A258,Data[],2,FALSE)</f>
        <v>MANHATTAN</v>
      </c>
      <c r="C258" s="9" t="s">
        <v>106</v>
      </c>
      <c r="D258" s="9" t="str">
        <f>VLOOKUP(IntComp24[[#This Row],[DEVELOPMENT]],Data[],52,FALSE)</f>
        <v>FEDERAL</v>
      </c>
      <c r="E258" s="50" t="str">
        <f>VLOOKUP(IntComp24[[#This Row],[DEVELOPMENT]],Data[],8,FALSE)</f>
        <v>Zone 3</v>
      </c>
      <c r="F258" s="50">
        <f>VLOOKUP(IntComp24[[#This Row],[DEVELOPMENT]],all[[DEVELOPMENT]:[MRST Ext. Comp. Priority]],13,FALSE)</f>
        <v>4</v>
      </c>
      <c r="G258" s="50">
        <f>IF(VLOOKUP(IntComp24[[#This Row],[DEVELOPMENT]],Data[],9,FALSE)=0,5,VLOOKUP(IntComp24[[#This Row],[DEVELOPMENT]],Data[],9,FALSE))</f>
        <v>5</v>
      </c>
      <c r="H258" s="50">
        <f>VLOOKUP(IntComp24[[#This Row],[DEVELOPMENT]],Data[],7,FALSE)</f>
        <v>96</v>
      </c>
      <c r="I258" s="50">
        <f>VLOOKUP(IntComp24[[#This Row],[DEVELOPMENT]],Data[],5,FALSE)</f>
        <v>1</v>
      </c>
      <c r="J258" s="50"/>
      <c r="K258" s="50" t="str">
        <f ca="1">IFERROR(VLOOKUP(IntComp24[[#This Row],[DEVELOPMENT]],Data[],4,FALSE),"")</f>
        <v/>
      </c>
      <c r="L258" s="50" t="str">
        <f ca="1">IF(IntComp24[[#This Row],[RAD/PACT]]="","",IF(OR(IntComp24[[#This Row],[RAD/PACT]]="2022-2025",IntComp24[[#This Row],[RAD/PACT]]=2019,IntComp24[[#This Row],[RAD/PACT]]="2020-2021"),"Yes",""))</f>
        <v/>
      </c>
      <c r="M258" s="51">
        <f ca="1">IF(VLOOKUP(IntComp24[[#This Row],[DEVELOPMENT]],Data[],10,FALSE)=0,-1,DATEDIF(VLOOKUP(IntComp24[[#This Row],[DEVELOPMENT]],Data[],12,FALSE),TODAY(),"Y"))</f>
        <v>17</v>
      </c>
      <c r="N25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8" s="51"/>
      <c r="P258" s="51"/>
      <c r="Q258" s="51"/>
      <c r="R258" s="47">
        <f ca="1">(IntComp24[[#This Row],['# to Replace (MRST)]]*INDEX(UnitCosts[#All],MATCH(IntComp24[[#This Row],[WORK TYPE]],UnitCosts[Work Type],0)+1,2))*(1+((IntComp24[[#This Row],[est. Year]]-YEAR(TODAY()))*$R$2))</f>
        <v>0</v>
      </c>
      <c r="S258" s="1">
        <f ca="1">SUM(INDEX(IntComp24['# to Replace (MRST)],1):IntComp24[[#This Row],['# to Replace (MRST)]])</f>
        <v>108</v>
      </c>
      <c r="T258" s="51"/>
      <c r="U258" s="51">
        <f ca="1">IF(ISBLANK(IntComp24[[#This Row],[CALENDAR YEAR]]),ROUNDDOWN(IntComp24[[#This Row],[Count]]/50,0)+$U$1,IntComp24[[#This Row],[CALENDAR YEAR]])</f>
        <v>2024</v>
      </c>
      <c r="V258" s="69">
        <f t="shared" ca="1" si="4"/>
        <v>863037.00000000012</v>
      </c>
      <c r="W258" s="5"/>
      <c r="X258"/>
    </row>
    <row r="259" spans="1:24" hidden="1">
      <c r="A259" s="13" t="s">
        <v>344</v>
      </c>
      <c r="B259" s="9" t="str">
        <f>VLOOKUP(A259,Data[],2,FALSE)</f>
        <v>STATEN ISLAND</v>
      </c>
      <c r="C259" s="9" t="s">
        <v>106</v>
      </c>
      <c r="D259" s="9" t="str">
        <f>VLOOKUP(IntComp24[[#This Row],[DEVELOPMENT]],Data[],52,FALSE)</f>
        <v>FEDERAL</v>
      </c>
      <c r="E259" s="50">
        <f>VLOOKUP(IntComp24[[#This Row],[DEVELOPMENT]],Data[],8,FALSE)</f>
        <v>0</v>
      </c>
      <c r="F259" s="50">
        <f>VLOOKUP(IntComp24[[#This Row],[DEVELOPMENT]],all[[DEVELOPMENT]:[MRST Ext. Comp. Priority]],13,FALSE)</f>
        <v>4</v>
      </c>
      <c r="G259" s="50">
        <f>IF(VLOOKUP(IntComp24[[#This Row],[DEVELOPMENT]],Data[],9,FALSE)=0,5,VLOOKUP(IntComp24[[#This Row],[DEVELOPMENT]],Data[],9,FALSE))</f>
        <v>5</v>
      </c>
      <c r="H259" s="50">
        <f>VLOOKUP(IntComp24[[#This Row],[DEVELOPMENT]],Data[],7,FALSE)</f>
        <v>606</v>
      </c>
      <c r="I259" s="50">
        <f>VLOOKUP(IntComp24[[#This Row],[DEVELOPMENT]],Data[],5,FALSE)</f>
        <v>22</v>
      </c>
      <c r="J259" s="50"/>
      <c r="K259" s="50" t="str">
        <f ca="1">IFERROR(VLOOKUP(IntComp24[[#This Row],[DEVELOPMENT]],Data[],4,FALSE),"")</f>
        <v>2026+</v>
      </c>
      <c r="L259" s="50" t="str">
        <f ca="1">IF(IntComp24[[#This Row],[RAD/PACT]]="","",IF(OR(IntComp24[[#This Row],[RAD/PACT]]="2022-2025",IntComp24[[#This Row],[RAD/PACT]]=2019,IntComp24[[#This Row],[RAD/PACT]]="2020-2021"),"Yes",""))</f>
        <v/>
      </c>
      <c r="M259" s="51">
        <f ca="1">IF(VLOOKUP(IntComp24[[#This Row],[DEVELOPMENT]],Data[],10,FALSE)=0,-1,DATEDIF(VLOOKUP(IntComp24[[#This Row],[DEVELOPMENT]],Data[],12,FALSE),TODAY(),"Y"))</f>
        <v>17</v>
      </c>
      <c r="N25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59" s="51"/>
      <c r="P259" s="51"/>
      <c r="Q259" s="51"/>
      <c r="R259" s="47">
        <f ca="1">(IntComp24[[#This Row],['# to Replace (MRST)]]*INDEX(UnitCosts[#All],MATCH(IntComp24[[#This Row],[WORK TYPE]],UnitCosts[Work Type],0)+1,2))*(1+((IntComp24[[#This Row],[est. Year]]-YEAR(TODAY()))*$R$2))</f>
        <v>0</v>
      </c>
      <c r="S259" s="1">
        <f ca="1">SUM(INDEX(IntComp24['# to Replace (MRST)],1):IntComp24[[#This Row],['# to Replace (MRST)]])</f>
        <v>108</v>
      </c>
      <c r="T259" s="51"/>
      <c r="U259" s="51">
        <f ca="1">IF(ISBLANK(IntComp24[[#This Row],[CALENDAR YEAR]]),ROUNDDOWN(IntComp24[[#This Row],[Count]]/50,0)+$U$1,IntComp24[[#This Row],[CALENDAR YEAR]])</f>
        <v>2024</v>
      </c>
      <c r="V259" s="69">
        <f t="shared" ca="1" si="4"/>
        <v>863037.00000000012</v>
      </c>
      <c r="W259" s="5"/>
      <c r="X259"/>
    </row>
    <row r="260" spans="1:24" hidden="1">
      <c r="A260" s="13" t="s">
        <v>361</v>
      </c>
      <c r="B260" s="9" t="str">
        <f>VLOOKUP(A260,Data[],2,FALSE)</f>
        <v>BRONX</v>
      </c>
      <c r="C260" s="9" t="s">
        <v>106</v>
      </c>
      <c r="D260" s="9" t="str">
        <f>VLOOKUP(IntComp24[[#This Row],[DEVELOPMENT]],Data[],52,FALSE)</f>
        <v>FEDERAL</v>
      </c>
      <c r="E260" s="50">
        <f>VLOOKUP(IntComp24[[#This Row],[DEVELOPMENT]],Data[],8,FALSE)</f>
        <v>0</v>
      </c>
      <c r="F260" s="50">
        <f>VLOOKUP(IntComp24[[#This Row],[DEVELOPMENT]],all[[DEVELOPMENT]:[MRST Ext. Comp. Priority]],13,FALSE)</f>
        <v>4</v>
      </c>
      <c r="G260" s="50">
        <f>IF(VLOOKUP(IntComp24[[#This Row],[DEVELOPMENT]],Data[],9,FALSE)=0,5,VLOOKUP(IntComp24[[#This Row],[DEVELOPMENT]],Data[],9,FALSE))</f>
        <v>5</v>
      </c>
      <c r="H260" s="50">
        <f>VLOOKUP(IntComp24[[#This Row],[DEVELOPMENT]],Data[],7,FALSE)</f>
        <v>783</v>
      </c>
      <c r="I260" s="50">
        <f>VLOOKUP(IntComp24[[#This Row],[DEVELOPMENT]],Data[],5,FALSE)</f>
        <v>7</v>
      </c>
      <c r="J260" s="50"/>
      <c r="K260" s="50" t="str">
        <f ca="1">IFERROR(VLOOKUP(IntComp24[[#This Row],[DEVELOPMENT]],Data[],4,FALSE),"")</f>
        <v/>
      </c>
      <c r="L260" s="50" t="str">
        <f ca="1">IF(IntComp24[[#This Row],[RAD/PACT]]="","",IF(OR(IntComp24[[#This Row],[RAD/PACT]]="2022-2025",IntComp24[[#This Row],[RAD/PACT]]=2019,IntComp24[[#This Row],[RAD/PACT]]="2020-2021"),"Yes",""))</f>
        <v/>
      </c>
      <c r="M260" s="51">
        <f ca="1">IF(VLOOKUP(IntComp24[[#This Row],[DEVELOPMENT]],Data[],10,FALSE)=0,-1,DATEDIF(VLOOKUP(IntComp24[[#This Row],[DEVELOPMENT]],Data[],12,FALSE),TODAY(),"Y"))</f>
        <v>17</v>
      </c>
      <c r="N26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0" s="51"/>
      <c r="P260" s="51"/>
      <c r="Q260" s="51"/>
      <c r="R260" s="47">
        <f ca="1">(IntComp24[[#This Row],['# to Replace (MRST)]]*INDEX(UnitCosts[#All],MATCH(IntComp24[[#This Row],[WORK TYPE]],UnitCosts[Work Type],0)+1,2))*(1+((IntComp24[[#This Row],[est. Year]]-YEAR(TODAY()))*$R$2))</f>
        <v>0</v>
      </c>
      <c r="S260" s="1">
        <f ca="1">SUM(INDEX(IntComp24['# to Replace (MRST)],1):IntComp24[[#This Row],['# to Replace (MRST)]])</f>
        <v>108</v>
      </c>
      <c r="T260" s="51"/>
      <c r="U260" s="51">
        <f ca="1">IF(ISBLANK(IntComp24[[#This Row],[CALENDAR YEAR]]),ROUNDDOWN(IntComp24[[#This Row],[Count]]/50,0)+$U$1,IntComp24[[#This Row],[CALENDAR YEAR]])</f>
        <v>2024</v>
      </c>
      <c r="V260" s="69">
        <f t="shared" ca="1" si="4"/>
        <v>863037.00000000012</v>
      </c>
      <c r="W260" s="5"/>
      <c r="X260"/>
    </row>
    <row r="261" spans="1:24" hidden="1">
      <c r="A261" s="13" t="s">
        <v>288</v>
      </c>
      <c r="B261" s="9" t="str">
        <f>VLOOKUP(A261,Data[],2,FALSE)</f>
        <v>STATEN ISLAND</v>
      </c>
      <c r="C261" s="9" t="s">
        <v>106</v>
      </c>
      <c r="D261" s="9" t="str">
        <f>VLOOKUP(IntComp24[[#This Row],[DEVELOPMENT]],Data[],52,FALSE)</f>
        <v>FEDERAL</v>
      </c>
      <c r="E261" s="50">
        <f>VLOOKUP(IntComp24[[#This Row],[DEVELOPMENT]],Data[],8,FALSE)</f>
        <v>0</v>
      </c>
      <c r="F261" s="50">
        <f>VLOOKUP(IntComp24[[#This Row],[DEVELOPMENT]],all[[DEVELOPMENT]:[MRST Ext. Comp. Priority]],13,FALSE)</f>
        <v>4</v>
      </c>
      <c r="G261" s="50">
        <f>IF(VLOOKUP(IntComp24[[#This Row],[DEVELOPMENT]],Data[],9,FALSE)=0,5,VLOOKUP(IntComp24[[#This Row],[DEVELOPMENT]],Data[],9,FALSE))</f>
        <v>5</v>
      </c>
      <c r="H261" s="50">
        <f>VLOOKUP(IntComp24[[#This Row],[DEVELOPMENT]],Data[],7,FALSE)</f>
        <v>502</v>
      </c>
      <c r="I261" s="50">
        <f>VLOOKUP(IntComp24[[#This Row],[DEVELOPMENT]],Data[],5,FALSE)</f>
        <v>7</v>
      </c>
      <c r="J261" s="50"/>
      <c r="K261" s="50" t="str">
        <f ca="1">IFERROR(VLOOKUP(IntComp24[[#This Row],[DEVELOPMENT]],Data[],4,FALSE),"")</f>
        <v/>
      </c>
      <c r="L261" s="50" t="str">
        <f ca="1">IF(IntComp24[[#This Row],[RAD/PACT]]="","",IF(OR(IntComp24[[#This Row],[RAD/PACT]]="2022-2025",IntComp24[[#This Row],[RAD/PACT]]=2019,IntComp24[[#This Row],[RAD/PACT]]="2020-2021"),"Yes",""))</f>
        <v/>
      </c>
      <c r="M261" s="51">
        <f ca="1">IF(VLOOKUP(IntComp24[[#This Row],[DEVELOPMENT]],Data[],10,FALSE)=0,-1,DATEDIF(VLOOKUP(IntComp24[[#This Row],[DEVELOPMENT]],Data[],12,FALSE),TODAY(),"Y"))</f>
        <v>18</v>
      </c>
      <c r="N26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1" s="51"/>
      <c r="P261" s="51"/>
      <c r="Q261" s="51"/>
      <c r="R261" s="47">
        <f ca="1">(IntComp24[[#This Row],['# to Replace (MRST)]]*INDEX(UnitCosts[#All],MATCH(IntComp24[[#This Row],[WORK TYPE]],UnitCosts[Work Type],0)+1,2))*(1+((IntComp24[[#This Row],[est. Year]]-YEAR(TODAY()))*$R$2))</f>
        <v>0</v>
      </c>
      <c r="S261" s="1">
        <f ca="1">SUM(INDEX(IntComp24['# to Replace (MRST)],1):IntComp24[[#This Row],['# to Replace (MRST)]])</f>
        <v>108</v>
      </c>
      <c r="T261" s="51"/>
      <c r="U261" s="51">
        <f ca="1">IF(ISBLANK(IntComp24[[#This Row],[CALENDAR YEAR]]),ROUNDDOWN(IntComp24[[#This Row],[Count]]/50,0)+$U$1,IntComp24[[#This Row],[CALENDAR YEAR]])</f>
        <v>2024</v>
      </c>
      <c r="V261" s="69">
        <f t="shared" ca="1" si="4"/>
        <v>863037.00000000012</v>
      </c>
      <c r="W261" s="5"/>
      <c r="X261"/>
    </row>
    <row r="262" spans="1:24" hidden="1">
      <c r="A262" s="13" t="s">
        <v>374</v>
      </c>
      <c r="B262" s="9" t="str">
        <f>VLOOKUP(A262,Data[],2,FALSE)</f>
        <v>BROOKLYN</v>
      </c>
      <c r="C262" s="9" t="s">
        <v>106</v>
      </c>
      <c r="D262" s="9" t="str">
        <f>VLOOKUP(IntComp24[[#This Row],[DEVELOPMENT]],Data[],52,FALSE)</f>
        <v>FEDERAL</v>
      </c>
      <c r="E262" s="50">
        <f>VLOOKUP(IntComp24[[#This Row],[DEVELOPMENT]],Data[],8,FALSE)</f>
        <v>0</v>
      </c>
      <c r="F262" s="50">
        <f>VLOOKUP(IntComp24[[#This Row],[DEVELOPMENT]],all[[DEVELOPMENT]:[MRST Ext. Comp. Priority]],13,FALSE)</f>
        <v>4</v>
      </c>
      <c r="G262" s="50">
        <f>IF(VLOOKUP(IntComp24[[#This Row],[DEVELOPMENT]],Data[],9,FALSE)=0,5,VLOOKUP(IntComp24[[#This Row],[DEVELOPMENT]],Data[],9,FALSE))</f>
        <v>5</v>
      </c>
      <c r="H262" s="50">
        <f>VLOOKUP(IntComp24[[#This Row],[DEVELOPMENT]],Data[],7,FALSE)</f>
        <v>111</v>
      </c>
      <c r="I262" s="50">
        <f>VLOOKUP(IntComp24[[#This Row],[DEVELOPMENT]],Data[],5,FALSE)</f>
        <v>1</v>
      </c>
      <c r="J262" s="50"/>
      <c r="K262" s="50" t="str">
        <f ca="1">IFERROR(VLOOKUP(IntComp24[[#This Row],[DEVELOPMENT]],Data[],4,FALSE),"")</f>
        <v/>
      </c>
      <c r="L262" s="50" t="str">
        <f ca="1">IF(IntComp24[[#This Row],[RAD/PACT]]="","",IF(OR(IntComp24[[#This Row],[RAD/PACT]]="2022-2025",IntComp24[[#This Row],[RAD/PACT]]=2019,IntComp24[[#This Row],[RAD/PACT]]="2020-2021"),"Yes",""))</f>
        <v/>
      </c>
      <c r="M262" s="51">
        <f ca="1">IF(VLOOKUP(IntComp24[[#This Row],[DEVELOPMENT]],Data[],10,FALSE)=0,-1,DATEDIF(VLOOKUP(IntComp24[[#This Row],[DEVELOPMENT]],Data[],12,FALSE),TODAY(),"Y"))</f>
        <v>18</v>
      </c>
      <c r="N26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2" s="51"/>
      <c r="P262" s="51"/>
      <c r="Q262" s="51"/>
      <c r="R262" s="47">
        <f ca="1">(IntComp24[[#This Row],['# to Replace (MRST)]]*INDEX(UnitCosts[#All],MATCH(IntComp24[[#This Row],[WORK TYPE]],UnitCosts[Work Type],0)+1,2))*(1+((IntComp24[[#This Row],[est. Year]]-YEAR(TODAY()))*$R$2))</f>
        <v>0</v>
      </c>
      <c r="S262" s="1">
        <f ca="1">SUM(INDEX(IntComp24['# to Replace (MRST)],1):IntComp24[[#This Row],['# to Replace (MRST)]])</f>
        <v>108</v>
      </c>
      <c r="T262" s="51"/>
      <c r="U262" s="51">
        <f ca="1">IF(ISBLANK(IntComp24[[#This Row],[CALENDAR YEAR]]),ROUNDDOWN(IntComp24[[#This Row],[Count]]/50,0)+$U$1,IntComp24[[#This Row],[CALENDAR YEAR]])</f>
        <v>2024</v>
      </c>
      <c r="V262" s="69">
        <f t="shared" ca="1" si="4"/>
        <v>863037.00000000012</v>
      </c>
      <c r="W262" s="5"/>
      <c r="X262"/>
    </row>
    <row r="263" spans="1:24" hidden="1">
      <c r="A263" s="13" t="s">
        <v>214</v>
      </c>
      <c r="B263" s="9" t="str">
        <f>VLOOKUP(A263,Data[],2,FALSE)</f>
        <v>BROOKLYN</v>
      </c>
      <c r="C263" s="9" t="s">
        <v>106</v>
      </c>
      <c r="D263" s="9" t="str">
        <f>VLOOKUP(IntComp24[[#This Row],[DEVELOPMENT]],Data[],52,FALSE)</f>
        <v>FEDERAL</v>
      </c>
      <c r="E263" s="50">
        <f>VLOOKUP(IntComp24[[#This Row],[DEVELOPMENT]],Data[],8,FALSE)</f>
        <v>0</v>
      </c>
      <c r="F263" s="50">
        <f>VLOOKUP(IntComp24[[#This Row],[DEVELOPMENT]],all[[DEVELOPMENT]:[MRST Ext. Comp. Priority]],13,FALSE)</f>
        <v>4</v>
      </c>
      <c r="G263" s="50">
        <f>IF(VLOOKUP(IntComp24[[#This Row],[DEVELOPMENT]],Data[],9,FALSE)=0,5,VLOOKUP(IntComp24[[#This Row],[DEVELOPMENT]],Data[],9,FALSE))</f>
        <v>5</v>
      </c>
      <c r="H263" s="50">
        <f>VLOOKUP(IntComp24[[#This Row],[DEVELOPMENT]],Data[],7,FALSE)</f>
        <v>1471</v>
      </c>
      <c r="I263" s="50">
        <f>VLOOKUP(IntComp24[[#This Row],[DEVELOPMENT]],Data[],5,FALSE)</f>
        <v>14</v>
      </c>
      <c r="J263" s="50"/>
      <c r="K263" s="50" t="str">
        <f ca="1">IFERROR(VLOOKUP(IntComp24[[#This Row],[DEVELOPMENT]],Data[],4,FALSE),"")</f>
        <v>2022-2025</v>
      </c>
      <c r="L263" s="50" t="str">
        <f ca="1">IF(IntComp24[[#This Row],[RAD/PACT]]="","",IF(OR(IntComp24[[#This Row],[RAD/PACT]]="2022-2025",IntComp24[[#This Row],[RAD/PACT]]=2019,IntComp24[[#This Row],[RAD/PACT]]="2020-2021"),"Yes",""))</f>
        <v>Yes</v>
      </c>
      <c r="M263" s="51">
        <f ca="1">IF(VLOOKUP(IntComp24[[#This Row],[DEVELOPMENT]],Data[],10,FALSE)=0,-1,DATEDIF(VLOOKUP(IntComp24[[#This Row],[DEVELOPMENT]],Data[],12,FALSE),TODAY(),"Y"))</f>
        <v>17</v>
      </c>
      <c r="N26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3" s="51"/>
      <c r="P263" s="51"/>
      <c r="Q263" s="51"/>
      <c r="R263" s="47">
        <f ca="1">(IntComp24[[#This Row],['# to Replace (MRST)]]*INDEX(UnitCosts[#All],MATCH(IntComp24[[#This Row],[WORK TYPE]],UnitCosts[Work Type],0)+1,2))*(1+((IntComp24[[#This Row],[est. Year]]-YEAR(TODAY()))*$R$2))</f>
        <v>0</v>
      </c>
      <c r="S263" s="1">
        <f ca="1">SUM(INDEX(IntComp24['# to Replace (MRST)],1):IntComp24[[#This Row],['# to Replace (MRST)]])</f>
        <v>108</v>
      </c>
      <c r="T263" s="51"/>
      <c r="U263" s="51">
        <f ca="1">IF(ISBLANK(IntComp24[[#This Row],[CALENDAR YEAR]]),ROUNDDOWN(IntComp24[[#This Row],[Count]]/50,0)+$U$1,IntComp24[[#This Row],[CALENDAR YEAR]])</f>
        <v>2024</v>
      </c>
      <c r="V263" s="69">
        <f t="shared" ca="1" si="4"/>
        <v>863037.00000000012</v>
      </c>
      <c r="W263" s="5"/>
      <c r="X263"/>
    </row>
    <row r="264" spans="1:24" hidden="1">
      <c r="A264" s="13" t="s">
        <v>217</v>
      </c>
      <c r="B264" s="9" t="str">
        <f>VLOOKUP(A264,Data[],2,FALSE)</f>
        <v>BRONX</v>
      </c>
      <c r="C264" s="9" t="s">
        <v>106</v>
      </c>
      <c r="D264" s="9" t="str">
        <f>VLOOKUP(IntComp24[[#This Row],[DEVELOPMENT]],Data[],52,FALSE)</f>
        <v>FEDERAL</v>
      </c>
      <c r="E264" s="50">
        <f>VLOOKUP(IntComp24[[#This Row],[DEVELOPMENT]],Data[],8,FALSE)</f>
        <v>0</v>
      </c>
      <c r="F264" s="50">
        <f>VLOOKUP(IntComp24[[#This Row],[DEVELOPMENT]],all[[DEVELOPMENT]:[MRST Ext. Comp. Priority]],13,FALSE)</f>
        <v>4</v>
      </c>
      <c r="G264" s="50">
        <f>IF(VLOOKUP(IntComp24[[#This Row],[DEVELOPMENT]],Data[],9,FALSE)=0,5,VLOOKUP(IntComp24[[#This Row],[DEVELOPMENT]],Data[],9,FALSE))</f>
        <v>5</v>
      </c>
      <c r="H264" s="50">
        <f>VLOOKUP(IntComp24[[#This Row],[DEVELOPMENT]],Data[],7,FALSE)</f>
        <v>1182</v>
      </c>
      <c r="I264" s="50">
        <f>VLOOKUP(IntComp24[[#This Row],[DEVELOPMENT]],Data[],5,FALSE)</f>
        <v>29</v>
      </c>
      <c r="J264" s="50"/>
      <c r="K264" s="50" t="str">
        <f ca="1">IFERROR(VLOOKUP(IntComp24[[#This Row],[DEVELOPMENT]],Data[],4,FALSE),"")</f>
        <v>2020-2021</v>
      </c>
      <c r="L264" s="50" t="str">
        <f ca="1">IF(IntComp24[[#This Row],[RAD/PACT]]="","",IF(OR(IntComp24[[#This Row],[RAD/PACT]]="2022-2025",IntComp24[[#This Row],[RAD/PACT]]=2019,IntComp24[[#This Row],[RAD/PACT]]="2020-2021"),"Yes",""))</f>
        <v>Yes</v>
      </c>
      <c r="M264" s="51">
        <f ca="1">IF(VLOOKUP(IntComp24[[#This Row],[DEVELOPMENT]],Data[],10,FALSE)=0,-1,DATEDIF(VLOOKUP(IntComp24[[#This Row],[DEVELOPMENT]],Data[],12,FALSE),TODAY(),"Y"))</f>
        <v>17</v>
      </c>
      <c r="N26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4" s="51"/>
      <c r="P264" s="51"/>
      <c r="Q264" s="51"/>
      <c r="R264" s="47">
        <f ca="1">(IntComp24[[#This Row],['# to Replace (MRST)]]*INDEX(UnitCosts[#All],MATCH(IntComp24[[#This Row],[WORK TYPE]],UnitCosts[Work Type],0)+1,2))*(1+((IntComp24[[#This Row],[est. Year]]-YEAR(TODAY()))*$R$2))</f>
        <v>0</v>
      </c>
      <c r="S264" s="1">
        <f ca="1">SUM(INDEX(IntComp24['# to Replace (MRST)],1):IntComp24[[#This Row],['# to Replace (MRST)]])</f>
        <v>108</v>
      </c>
      <c r="T264" s="51"/>
      <c r="U264" s="51">
        <f ca="1">IF(ISBLANK(IntComp24[[#This Row],[CALENDAR YEAR]]),ROUNDDOWN(IntComp24[[#This Row],[Count]]/50,0)+$U$1,IntComp24[[#This Row],[CALENDAR YEAR]])</f>
        <v>2024</v>
      </c>
      <c r="V264" s="69">
        <f t="shared" ca="1" si="4"/>
        <v>863037.00000000012</v>
      </c>
      <c r="W264" s="5"/>
      <c r="X264"/>
    </row>
    <row r="265" spans="1:24" hidden="1">
      <c r="A265" s="13" t="s">
        <v>304</v>
      </c>
      <c r="B265" s="9" t="str">
        <f>VLOOKUP(A265,Data[],2,FALSE)</f>
        <v>BRONX</v>
      </c>
      <c r="C265" s="9" t="s">
        <v>106</v>
      </c>
      <c r="D265" s="9" t="str">
        <f>VLOOKUP(IntComp24[[#This Row],[DEVELOPMENT]],Data[],52,FALSE)</f>
        <v>FEDERAL</v>
      </c>
      <c r="E265" s="50">
        <f>VLOOKUP(IntComp24[[#This Row],[DEVELOPMENT]],Data[],8,FALSE)</f>
        <v>0</v>
      </c>
      <c r="F265" s="50">
        <f>VLOOKUP(IntComp24[[#This Row],[DEVELOPMENT]],all[[DEVELOPMENT]:[MRST Ext. Comp. Priority]],13,FALSE)</f>
        <v>4</v>
      </c>
      <c r="G265" s="50">
        <f>IF(VLOOKUP(IntComp24[[#This Row],[DEVELOPMENT]],Data[],9,FALSE)=0,5,VLOOKUP(IntComp24[[#This Row],[DEVELOPMENT]],Data[],9,FALSE))</f>
        <v>5</v>
      </c>
      <c r="H265" s="50">
        <f>VLOOKUP(IntComp24[[#This Row],[DEVELOPMENT]],Data[],7,FALSE)</f>
        <v>538</v>
      </c>
      <c r="I265" s="50">
        <f>VLOOKUP(IntComp24[[#This Row],[DEVELOPMENT]],Data[],5,FALSE)</f>
        <v>4</v>
      </c>
      <c r="J265" s="50"/>
      <c r="K265" s="50" t="str">
        <f ca="1">IFERROR(VLOOKUP(IntComp24[[#This Row],[DEVELOPMENT]],Data[],4,FALSE),"")</f>
        <v/>
      </c>
      <c r="L265" s="50" t="str">
        <f ca="1">IF(IntComp24[[#This Row],[RAD/PACT]]="","",IF(OR(IntComp24[[#This Row],[RAD/PACT]]="2022-2025",IntComp24[[#This Row],[RAD/PACT]]=2019,IntComp24[[#This Row],[RAD/PACT]]="2020-2021"),"Yes",""))</f>
        <v/>
      </c>
      <c r="M265" s="51">
        <f ca="1">IF(VLOOKUP(IntComp24[[#This Row],[DEVELOPMENT]],Data[],10,FALSE)=0,-1,DATEDIF(VLOOKUP(IntComp24[[#This Row],[DEVELOPMENT]],Data[],12,FALSE),TODAY(),"Y"))</f>
        <v>17</v>
      </c>
      <c r="N26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5" s="51"/>
      <c r="P265" s="51"/>
      <c r="Q265" s="51"/>
      <c r="R265" s="47">
        <f ca="1">(IntComp24[[#This Row],['# to Replace (MRST)]]*INDEX(UnitCosts[#All],MATCH(IntComp24[[#This Row],[WORK TYPE]],UnitCosts[Work Type],0)+1,2))*(1+((IntComp24[[#This Row],[est. Year]]-YEAR(TODAY()))*$R$2))</f>
        <v>0</v>
      </c>
      <c r="S265" s="1">
        <f ca="1">SUM(INDEX(IntComp24['# to Replace (MRST)],1):IntComp24[[#This Row],['# to Replace (MRST)]])</f>
        <v>108</v>
      </c>
      <c r="T265" s="51"/>
      <c r="U265" s="51">
        <f ca="1">IF(ISBLANK(IntComp24[[#This Row],[CALENDAR YEAR]]),ROUNDDOWN(IntComp24[[#This Row],[Count]]/50,0)+$U$1,IntComp24[[#This Row],[CALENDAR YEAR]])</f>
        <v>2024</v>
      </c>
      <c r="V265" s="69">
        <f t="shared" ca="1" si="4"/>
        <v>863037.00000000012</v>
      </c>
      <c r="W265" s="5"/>
      <c r="X265"/>
    </row>
    <row r="266" spans="1:24" hidden="1">
      <c r="A266" s="13" t="s">
        <v>209</v>
      </c>
      <c r="B266" s="9" t="str">
        <f>VLOOKUP(A266,Data[],2,FALSE)</f>
        <v>BROOKLYN</v>
      </c>
      <c r="C266" s="9" t="s">
        <v>106</v>
      </c>
      <c r="D266" s="9" t="str">
        <f>VLOOKUP(IntComp24[[#This Row],[DEVELOPMENT]],Data[],52,FALSE)</f>
        <v>FEDERAL</v>
      </c>
      <c r="E266" s="50">
        <f>VLOOKUP(IntComp24[[#This Row],[DEVELOPMENT]],Data[],8,FALSE)</f>
        <v>0</v>
      </c>
      <c r="F266" s="50">
        <f>VLOOKUP(IntComp24[[#This Row],[DEVELOPMENT]],all[[DEVELOPMENT]:[MRST Ext. Comp. Priority]],13,FALSE)</f>
        <v>4</v>
      </c>
      <c r="G266" s="50">
        <f>IF(VLOOKUP(IntComp24[[#This Row],[DEVELOPMENT]],Data[],9,FALSE)=0,5,VLOOKUP(IntComp24[[#This Row],[DEVELOPMENT]],Data[],9,FALSE))</f>
        <v>5</v>
      </c>
      <c r="H266" s="50">
        <f>VLOOKUP(IntComp24[[#This Row],[DEVELOPMENT]],Data[],7,FALSE)</f>
        <v>1146</v>
      </c>
      <c r="I266" s="50">
        <f>VLOOKUP(IntComp24[[#This Row],[DEVELOPMENT]],Data[],5,FALSE)</f>
        <v>16</v>
      </c>
      <c r="J266" s="50"/>
      <c r="K266" s="50" t="str">
        <f ca="1">IFERROR(VLOOKUP(IntComp24[[#This Row],[DEVELOPMENT]],Data[],4,FALSE),"")</f>
        <v>2026+</v>
      </c>
      <c r="L266" s="50" t="str">
        <f ca="1">IF(IntComp24[[#This Row],[RAD/PACT]]="","",IF(OR(IntComp24[[#This Row],[RAD/PACT]]="2022-2025",IntComp24[[#This Row],[RAD/PACT]]=2019,IntComp24[[#This Row],[RAD/PACT]]="2020-2021"),"Yes",""))</f>
        <v/>
      </c>
      <c r="M266" s="51">
        <f ca="1">IF(VLOOKUP(IntComp24[[#This Row],[DEVELOPMENT]],Data[],10,FALSE)=0,-1,DATEDIF(VLOOKUP(IntComp24[[#This Row],[DEVELOPMENT]],Data[],12,FALSE),TODAY(),"Y"))</f>
        <v>16</v>
      </c>
      <c r="N26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6" s="51"/>
      <c r="P266" s="51"/>
      <c r="Q266" s="51"/>
      <c r="R266" s="47">
        <f ca="1">(IntComp24[[#This Row],['# to Replace (MRST)]]*INDEX(UnitCosts[#All],MATCH(IntComp24[[#This Row],[WORK TYPE]],UnitCosts[Work Type],0)+1,2))*(1+((IntComp24[[#This Row],[est. Year]]-YEAR(TODAY()))*$R$2))</f>
        <v>0</v>
      </c>
      <c r="S266" s="1">
        <f ca="1">SUM(INDEX(IntComp24['# to Replace (MRST)],1):IntComp24[[#This Row],['# to Replace (MRST)]])</f>
        <v>108</v>
      </c>
      <c r="T266" s="51"/>
      <c r="U266" s="51">
        <f ca="1">IF(ISBLANK(IntComp24[[#This Row],[CALENDAR YEAR]]),ROUNDDOWN(IntComp24[[#This Row],[Count]]/50,0)+$U$1,IntComp24[[#This Row],[CALENDAR YEAR]])</f>
        <v>2024</v>
      </c>
      <c r="V266" s="69">
        <f t="shared" ca="1" si="4"/>
        <v>863037.00000000012</v>
      </c>
      <c r="W266" s="5"/>
      <c r="X266"/>
    </row>
    <row r="267" spans="1:24" hidden="1">
      <c r="A267" s="13" t="s">
        <v>196</v>
      </c>
      <c r="B267" s="9" t="str">
        <f>VLOOKUP(A267,Data[],2,FALSE)</f>
        <v>BROOKLYN</v>
      </c>
      <c r="C267" s="9" t="s">
        <v>106</v>
      </c>
      <c r="D267" s="9" t="str">
        <f>VLOOKUP(IntComp24[[#This Row],[DEVELOPMENT]],Data[],52,FALSE)</f>
        <v>FEDERAL</v>
      </c>
      <c r="E267" s="50">
        <f>VLOOKUP(IntComp24[[#This Row],[DEVELOPMENT]],Data[],8,FALSE)</f>
        <v>0</v>
      </c>
      <c r="F267" s="50">
        <f>VLOOKUP(IntComp24[[#This Row],[DEVELOPMENT]],all[[DEVELOPMENT]:[MRST Ext. Comp. Priority]],13,FALSE)</f>
        <v>4</v>
      </c>
      <c r="G267" s="50">
        <f>IF(VLOOKUP(IntComp24[[#This Row],[DEVELOPMENT]],Data[],9,FALSE)=0,5,VLOOKUP(IntComp24[[#This Row],[DEVELOPMENT]],Data[],9,FALSE))</f>
        <v>5</v>
      </c>
      <c r="H267" s="50">
        <f>VLOOKUP(IntComp24[[#This Row],[DEVELOPMENT]],Data[],7,FALSE)</f>
        <v>1054</v>
      </c>
      <c r="I267" s="50">
        <f>VLOOKUP(IntComp24[[#This Row],[DEVELOPMENT]],Data[],5,FALSE)</f>
        <v>18</v>
      </c>
      <c r="J267" s="50"/>
      <c r="K267" s="50" t="str">
        <f ca="1">IFERROR(VLOOKUP(IntComp24[[#This Row],[DEVELOPMENT]],Data[],4,FALSE),"")</f>
        <v>2026+</v>
      </c>
      <c r="L267" s="50" t="str">
        <f ca="1">IF(IntComp24[[#This Row],[RAD/PACT]]="","",IF(OR(IntComp24[[#This Row],[RAD/PACT]]="2022-2025",IntComp24[[#This Row],[RAD/PACT]]=2019,IntComp24[[#This Row],[RAD/PACT]]="2020-2021"),"Yes",""))</f>
        <v/>
      </c>
      <c r="M267" s="51">
        <f ca="1">IF(VLOOKUP(IntComp24[[#This Row],[DEVELOPMENT]],Data[],10,FALSE)=0,-1,DATEDIF(VLOOKUP(IntComp24[[#This Row],[DEVELOPMENT]],Data[],12,FALSE),TODAY(),"Y"))</f>
        <v>16</v>
      </c>
      <c r="N26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7" s="51"/>
      <c r="P267" s="51"/>
      <c r="Q267" s="51"/>
      <c r="R267" s="47">
        <f ca="1">(IntComp24[[#This Row],['# to Replace (MRST)]]*INDEX(UnitCosts[#All],MATCH(IntComp24[[#This Row],[WORK TYPE]],UnitCosts[Work Type],0)+1,2))*(1+((IntComp24[[#This Row],[est. Year]]-YEAR(TODAY()))*$R$2))</f>
        <v>0</v>
      </c>
      <c r="S267" s="1">
        <f ca="1">SUM(INDEX(IntComp24['# to Replace (MRST)],1):IntComp24[[#This Row],['# to Replace (MRST)]])</f>
        <v>108</v>
      </c>
      <c r="T267" s="51"/>
      <c r="U267" s="51">
        <f ca="1">IF(ISBLANK(IntComp24[[#This Row],[CALENDAR YEAR]]),ROUNDDOWN(IntComp24[[#This Row],[Count]]/50,0)+$U$1,IntComp24[[#This Row],[CALENDAR YEAR]])</f>
        <v>2024</v>
      </c>
      <c r="V267" s="69">
        <f t="shared" ca="1" si="4"/>
        <v>863037.00000000012</v>
      </c>
      <c r="W267" s="5"/>
      <c r="X267"/>
    </row>
    <row r="268" spans="1:24" hidden="1">
      <c r="A268" s="13" t="s">
        <v>270</v>
      </c>
      <c r="B268" s="9" t="str">
        <f>VLOOKUP(A268,Data[],2,FALSE)</f>
        <v>BROOKLYN</v>
      </c>
      <c r="C268" s="9" t="s">
        <v>106</v>
      </c>
      <c r="D268" s="9" t="str">
        <f>VLOOKUP(IntComp24[[#This Row],[DEVELOPMENT]],Data[],52,FALSE)</f>
        <v>FEDERAL</v>
      </c>
      <c r="E268" s="50">
        <f>VLOOKUP(IntComp24[[#This Row],[DEVELOPMENT]],Data[],8,FALSE)</f>
        <v>0</v>
      </c>
      <c r="F268" s="50">
        <f>VLOOKUP(IntComp24[[#This Row],[DEVELOPMENT]],all[[DEVELOPMENT]:[MRST Ext. Comp. Priority]],13,FALSE)</f>
        <v>4</v>
      </c>
      <c r="G268" s="50">
        <f>IF(VLOOKUP(IntComp24[[#This Row],[DEVELOPMENT]],Data[],9,FALSE)=0,5,VLOOKUP(IntComp24[[#This Row],[DEVELOPMENT]],Data[],9,FALSE))</f>
        <v>5</v>
      </c>
      <c r="H268" s="50">
        <f>VLOOKUP(IntComp24[[#This Row],[DEVELOPMENT]],Data[],7,FALSE)</f>
        <v>998</v>
      </c>
      <c r="I268" s="50">
        <f>VLOOKUP(IntComp24[[#This Row],[DEVELOPMENT]],Data[],5,FALSE)</f>
        <v>8</v>
      </c>
      <c r="J268" s="50"/>
      <c r="K268" s="50" t="str">
        <f ca="1">IFERROR(VLOOKUP(IntComp24[[#This Row],[DEVELOPMENT]],Data[],4,FALSE),"")</f>
        <v/>
      </c>
      <c r="L268" s="50" t="str">
        <f ca="1">IF(IntComp24[[#This Row],[RAD/PACT]]="","",IF(OR(IntComp24[[#This Row],[RAD/PACT]]="2022-2025",IntComp24[[#This Row],[RAD/PACT]]=2019,IntComp24[[#This Row],[RAD/PACT]]="2020-2021"),"Yes",""))</f>
        <v/>
      </c>
      <c r="M268" s="51">
        <f ca="1">IF(VLOOKUP(IntComp24[[#This Row],[DEVELOPMENT]],Data[],10,FALSE)=0,-1,DATEDIF(VLOOKUP(IntComp24[[#This Row],[DEVELOPMENT]],Data[],12,FALSE),TODAY(),"Y"))</f>
        <v>16</v>
      </c>
      <c r="N26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8" s="51"/>
      <c r="P268" s="51"/>
      <c r="Q268" s="51"/>
      <c r="R268" s="47">
        <f ca="1">(IntComp24[[#This Row],['# to Replace (MRST)]]*INDEX(UnitCosts[#All],MATCH(IntComp24[[#This Row],[WORK TYPE]],UnitCosts[Work Type],0)+1,2))*(1+((IntComp24[[#This Row],[est. Year]]-YEAR(TODAY()))*$R$2))</f>
        <v>0</v>
      </c>
      <c r="S268" s="1">
        <f ca="1">SUM(INDEX(IntComp24['# to Replace (MRST)],1):IntComp24[[#This Row],['# to Replace (MRST)]])</f>
        <v>108</v>
      </c>
      <c r="T268" s="51"/>
      <c r="U268" s="51">
        <f ca="1">IF(ISBLANK(IntComp24[[#This Row],[CALENDAR YEAR]]),ROUNDDOWN(IntComp24[[#This Row],[Count]]/50,0)+$U$1,IntComp24[[#This Row],[CALENDAR YEAR]])</f>
        <v>2024</v>
      </c>
      <c r="V268" s="69">
        <f t="shared" ca="1" si="4"/>
        <v>863037.00000000012</v>
      </c>
      <c r="W268" s="5"/>
      <c r="X268"/>
    </row>
    <row r="269" spans="1:24" hidden="1">
      <c r="A269" s="13" t="s">
        <v>326</v>
      </c>
      <c r="B269" s="9" t="str">
        <f>VLOOKUP(A269,Data[],2,FALSE)</f>
        <v>BROOKLYN</v>
      </c>
      <c r="C269" s="9" t="s">
        <v>106</v>
      </c>
      <c r="D269" s="9" t="str">
        <f>VLOOKUP(IntComp24[[#This Row],[DEVELOPMENT]],Data[],52,FALSE)</f>
        <v>FEDERAL</v>
      </c>
      <c r="E269" s="50">
        <f>VLOOKUP(IntComp24[[#This Row],[DEVELOPMENT]],Data[],8,FALSE)</f>
        <v>0</v>
      </c>
      <c r="F269" s="50">
        <f>VLOOKUP(IntComp24[[#This Row],[DEVELOPMENT]],all[[DEVELOPMENT]:[MRST Ext. Comp. Priority]],13,FALSE)</f>
        <v>4</v>
      </c>
      <c r="G269" s="50">
        <f>IF(VLOOKUP(IntComp24[[#This Row],[DEVELOPMENT]],Data[],9,FALSE)=0,5,VLOOKUP(IntComp24[[#This Row],[DEVELOPMENT]],Data[],9,FALSE))</f>
        <v>5</v>
      </c>
      <c r="H269" s="50">
        <f>VLOOKUP(IntComp24[[#This Row],[DEVELOPMENT]],Data[],7,FALSE)</f>
        <v>1137</v>
      </c>
      <c r="I269" s="50">
        <f>VLOOKUP(IntComp24[[#This Row],[DEVELOPMENT]],Data[],5,FALSE)</f>
        <v>15</v>
      </c>
      <c r="J269" s="50"/>
      <c r="K269" s="50" t="str">
        <f ca="1">IFERROR(VLOOKUP(IntComp24[[#This Row],[DEVELOPMENT]],Data[],4,FALSE),"")</f>
        <v>2026+</v>
      </c>
      <c r="L269" s="50" t="str">
        <f ca="1">IF(IntComp24[[#This Row],[RAD/PACT]]="","",IF(OR(IntComp24[[#This Row],[RAD/PACT]]="2022-2025",IntComp24[[#This Row],[RAD/PACT]]=2019,IntComp24[[#This Row],[RAD/PACT]]="2020-2021"),"Yes",""))</f>
        <v/>
      </c>
      <c r="M269" s="51">
        <f ca="1">IF(VLOOKUP(IntComp24[[#This Row],[DEVELOPMENT]],Data[],10,FALSE)=0,-1,DATEDIF(VLOOKUP(IntComp24[[#This Row],[DEVELOPMENT]],Data[],12,FALSE),TODAY(),"Y"))</f>
        <v>15</v>
      </c>
      <c r="N26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69" s="51"/>
      <c r="P269" s="51"/>
      <c r="Q269" s="51"/>
      <c r="R269" s="47">
        <f ca="1">(IntComp24[[#This Row],['# to Replace (MRST)]]*INDEX(UnitCosts[#All],MATCH(IntComp24[[#This Row],[WORK TYPE]],UnitCosts[Work Type],0)+1,2))*(1+((IntComp24[[#This Row],[est. Year]]-YEAR(TODAY()))*$R$2))</f>
        <v>0</v>
      </c>
      <c r="S269" s="1">
        <f ca="1">SUM(INDEX(IntComp24['# to Replace (MRST)],1):IntComp24[[#This Row],['# to Replace (MRST)]])</f>
        <v>108</v>
      </c>
      <c r="T269" s="51"/>
      <c r="U269" s="51">
        <f ca="1">IF(ISBLANK(IntComp24[[#This Row],[CALENDAR YEAR]]),ROUNDDOWN(IntComp24[[#This Row],[Count]]/50,0)+$U$1,IntComp24[[#This Row],[CALENDAR YEAR]])</f>
        <v>2024</v>
      </c>
      <c r="V269" s="69">
        <f t="shared" ca="1" si="4"/>
        <v>863037.00000000012</v>
      </c>
      <c r="W269" s="5"/>
      <c r="X269"/>
    </row>
    <row r="270" spans="1:24" hidden="1">
      <c r="A270" s="13" t="s">
        <v>204</v>
      </c>
      <c r="B270" s="9" t="str">
        <f>VLOOKUP(A270,Data[],2,FALSE)</f>
        <v>BRONX</v>
      </c>
      <c r="C270" s="9" t="s">
        <v>106</v>
      </c>
      <c r="D270" s="9" t="str">
        <f>VLOOKUP(IntComp24[[#This Row],[DEVELOPMENT]],Data[],52,FALSE)</f>
        <v>FEDERAL</v>
      </c>
      <c r="E270" s="50" t="str">
        <f>VLOOKUP(IntComp24[[#This Row],[DEVELOPMENT]],Data[],8,FALSE)</f>
        <v>Zone 4</v>
      </c>
      <c r="F270" s="50">
        <f>VLOOKUP(IntComp24[[#This Row],[DEVELOPMENT]],all[[DEVELOPMENT]:[MRST Ext. Comp. Priority]],13,FALSE)</f>
        <v>4</v>
      </c>
      <c r="G270" s="50">
        <f>IF(VLOOKUP(IntComp24[[#This Row],[DEVELOPMENT]],Data[],9,FALSE)=0,5,VLOOKUP(IntComp24[[#This Row],[DEVELOPMENT]],Data[],9,FALSE))</f>
        <v>5</v>
      </c>
      <c r="H270" s="50">
        <f>VLOOKUP(IntComp24[[#This Row],[DEVELOPMENT]],Data[],7,FALSE)</f>
        <v>1348</v>
      </c>
      <c r="I270" s="50">
        <f>VLOOKUP(IntComp24[[#This Row],[DEVELOPMENT]],Data[],5,FALSE)</f>
        <v>15</v>
      </c>
      <c r="J270" s="50"/>
      <c r="K270" s="50" t="str">
        <f ca="1">IFERROR(VLOOKUP(IntComp24[[#This Row],[DEVELOPMENT]],Data[],4,FALSE),"")</f>
        <v>2026+</v>
      </c>
      <c r="L270" s="50" t="str">
        <f ca="1">IF(IntComp24[[#This Row],[RAD/PACT]]="","",IF(OR(IntComp24[[#This Row],[RAD/PACT]]="2022-2025",IntComp24[[#This Row],[RAD/PACT]]=2019,IntComp24[[#This Row],[RAD/PACT]]="2020-2021"),"Yes",""))</f>
        <v/>
      </c>
      <c r="M270" s="51">
        <f ca="1">IF(VLOOKUP(IntComp24[[#This Row],[DEVELOPMENT]],Data[],10,FALSE)=0,-1,DATEDIF(VLOOKUP(IntComp24[[#This Row],[DEVELOPMENT]],Data[],12,FALSE),TODAY(),"Y"))</f>
        <v>14</v>
      </c>
      <c r="N27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70" s="51"/>
      <c r="P270" s="51"/>
      <c r="Q270" s="51"/>
      <c r="R270" s="47">
        <f ca="1">(IntComp24[[#This Row],['# to Replace (MRST)]]*INDEX(UnitCosts[#All],MATCH(IntComp24[[#This Row],[WORK TYPE]],UnitCosts[Work Type],0)+1,2))*(1+((IntComp24[[#This Row],[est. Year]]-YEAR(TODAY()))*$R$2))</f>
        <v>0</v>
      </c>
      <c r="S270" s="1">
        <f ca="1">SUM(INDEX(IntComp24['# to Replace (MRST)],1):IntComp24[[#This Row],['# to Replace (MRST)]])</f>
        <v>108</v>
      </c>
      <c r="T270" s="51"/>
      <c r="U270" s="51">
        <f ca="1">IF(ISBLANK(IntComp24[[#This Row],[CALENDAR YEAR]]),ROUNDDOWN(IntComp24[[#This Row],[Count]]/50,0)+$U$1,IntComp24[[#This Row],[CALENDAR YEAR]])</f>
        <v>2024</v>
      </c>
      <c r="V270" s="69">
        <f t="shared" ca="1" si="4"/>
        <v>863037.00000000012</v>
      </c>
      <c r="W270" s="5"/>
      <c r="X270"/>
    </row>
    <row r="271" spans="1:24" hidden="1">
      <c r="A271" s="13" t="s">
        <v>276</v>
      </c>
      <c r="B271" s="9" t="str">
        <f>VLOOKUP(A271,Data[],2,FALSE)</f>
        <v>BRONX</v>
      </c>
      <c r="C271" s="9" t="s">
        <v>106</v>
      </c>
      <c r="D271" s="9" t="str">
        <f>VLOOKUP(IntComp24[[#This Row],[DEVELOPMENT]],Data[],52,FALSE)</f>
        <v>FEDERAL</v>
      </c>
      <c r="E271" s="50">
        <f>VLOOKUP(IntComp24[[#This Row],[DEVELOPMENT]],Data[],8,FALSE)</f>
        <v>0</v>
      </c>
      <c r="F271" s="50">
        <f>VLOOKUP(IntComp24[[#This Row],[DEVELOPMENT]],all[[DEVELOPMENT]:[MRST Ext. Comp. Priority]],13,FALSE)</f>
        <v>4</v>
      </c>
      <c r="G271" s="50">
        <f>IF(VLOOKUP(IntComp24[[#This Row],[DEVELOPMENT]],Data[],9,FALSE)=0,5,VLOOKUP(IntComp24[[#This Row],[DEVELOPMENT]],Data[],9,FALSE))</f>
        <v>5</v>
      </c>
      <c r="H271" s="50">
        <f>VLOOKUP(IntComp24[[#This Row],[DEVELOPMENT]],Data[],7,FALSE)</f>
        <v>342</v>
      </c>
      <c r="I271" s="50">
        <f>VLOOKUP(IntComp24[[#This Row],[DEVELOPMENT]],Data[],5,FALSE)</f>
        <v>1</v>
      </c>
      <c r="J271" s="50"/>
      <c r="K271" s="50" t="str">
        <f ca="1">IFERROR(VLOOKUP(IntComp24[[#This Row],[DEVELOPMENT]],Data[],4,FALSE),"")</f>
        <v/>
      </c>
      <c r="L271" s="50" t="str">
        <f ca="1">IF(IntComp24[[#This Row],[RAD/PACT]]="","",IF(OR(IntComp24[[#This Row],[RAD/PACT]]="2022-2025",IntComp24[[#This Row],[RAD/PACT]]=2019,IntComp24[[#This Row],[RAD/PACT]]="2020-2021"),"Yes",""))</f>
        <v/>
      </c>
      <c r="M271" s="51">
        <f ca="1">IF(VLOOKUP(IntComp24[[#This Row],[DEVELOPMENT]],Data[],10,FALSE)=0,-1,DATEDIF(VLOOKUP(IntComp24[[#This Row],[DEVELOPMENT]],Data[],12,FALSE),TODAY(),"Y"))</f>
        <v>14</v>
      </c>
      <c r="N27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71" s="51"/>
      <c r="P271" s="51"/>
      <c r="Q271" s="51"/>
      <c r="R271" s="47">
        <f ca="1">(IntComp24[[#This Row],['# to Replace (MRST)]]*INDEX(UnitCosts[#All],MATCH(IntComp24[[#This Row],[WORK TYPE]],UnitCosts[Work Type],0)+1,2))*(1+((IntComp24[[#This Row],[est. Year]]-YEAR(TODAY()))*$R$2))</f>
        <v>0</v>
      </c>
      <c r="S271" s="1">
        <f ca="1">SUM(INDEX(IntComp24['# to Replace (MRST)],1):IntComp24[[#This Row],['# to Replace (MRST)]])</f>
        <v>108</v>
      </c>
      <c r="T271" s="51"/>
      <c r="U271" s="51">
        <f ca="1">IF(ISBLANK(IntComp24[[#This Row],[CALENDAR YEAR]]),ROUNDDOWN(IntComp24[[#This Row],[Count]]/50,0)+$U$1,IntComp24[[#This Row],[CALENDAR YEAR]])</f>
        <v>2024</v>
      </c>
      <c r="V271" s="69">
        <f t="shared" ca="1" si="4"/>
        <v>863037.00000000012</v>
      </c>
      <c r="W271" s="5"/>
      <c r="X271"/>
    </row>
    <row r="272" spans="1:24" hidden="1">
      <c r="A272" s="13" t="s">
        <v>338</v>
      </c>
      <c r="B272" s="9" t="str">
        <f>VLOOKUP(A272,Data[],2,FALSE)</f>
        <v>QUEENS</v>
      </c>
      <c r="C272" s="9" t="s">
        <v>106</v>
      </c>
      <c r="D272" s="9" t="str">
        <f>VLOOKUP(IntComp24[[#This Row],[DEVELOPMENT]],Data[],52,FALSE)</f>
        <v>FEDERAL</v>
      </c>
      <c r="E272" s="50">
        <f>VLOOKUP(IntComp24[[#This Row],[DEVELOPMENT]],Data[],8,FALSE)</f>
        <v>0</v>
      </c>
      <c r="F272" s="50">
        <f>VLOOKUP(IntComp24[[#This Row],[DEVELOPMENT]],all[[DEVELOPMENT]:[MRST Ext. Comp. Priority]],13,FALSE)</f>
        <v>4</v>
      </c>
      <c r="G272" s="50">
        <f>IF(VLOOKUP(IntComp24[[#This Row],[DEVELOPMENT]],Data[],9,FALSE)=0,5,VLOOKUP(IntComp24[[#This Row],[DEVELOPMENT]],Data[],9,FALSE))</f>
        <v>5</v>
      </c>
      <c r="H272" s="50">
        <f>VLOOKUP(IntComp24[[#This Row],[DEVELOPMENT]],Data[],7,FALSE)</f>
        <v>423</v>
      </c>
      <c r="I272" s="50">
        <f>VLOOKUP(IntComp24[[#This Row],[DEVELOPMENT]],Data[],5,FALSE)</f>
        <v>4</v>
      </c>
      <c r="J272" s="50"/>
      <c r="K272" s="50" t="str">
        <f ca="1">IFERROR(VLOOKUP(IntComp24[[#This Row],[DEVELOPMENT]],Data[],4,FALSE),"")</f>
        <v/>
      </c>
      <c r="L272" s="50" t="str">
        <f ca="1">IF(IntComp24[[#This Row],[RAD/PACT]]="","",IF(OR(IntComp24[[#This Row],[RAD/PACT]]="2022-2025",IntComp24[[#This Row],[RAD/PACT]]=2019,IntComp24[[#This Row],[RAD/PACT]]="2020-2021"),"Yes",""))</f>
        <v/>
      </c>
      <c r="M272" s="51">
        <f ca="1">IF(VLOOKUP(IntComp24[[#This Row],[DEVELOPMENT]],Data[],10,FALSE)=0,-1,DATEDIF(VLOOKUP(IntComp24[[#This Row],[DEVELOPMENT]],Data[],12,FALSE),TODAY(),"Y"))</f>
        <v>14</v>
      </c>
      <c r="N27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72" s="51"/>
      <c r="P272" s="51"/>
      <c r="Q272" s="51"/>
      <c r="R272" s="47">
        <f ca="1">(IntComp24[[#This Row],['# to Replace (MRST)]]*INDEX(UnitCosts[#All],MATCH(IntComp24[[#This Row],[WORK TYPE]],UnitCosts[Work Type],0)+1,2))*(1+((IntComp24[[#This Row],[est. Year]]-YEAR(TODAY()))*$R$2))</f>
        <v>0</v>
      </c>
      <c r="S272" s="1">
        <f ca="1">SUM(INDEX(IntComp24['# to Replace (MRST)],1):IntComp24[[#This Row],['# to Replace (MRST)]])</f>
        <v>108</v>
      </c>
      <c r="T272" s="51"/>
      <c r="U272" s="51">
        <f ca="1">IF(ISBLANK(IntComp24[[#This Row],[CALENDAR YEAR]]),ROUNDDOWN(IntComp24[[#This Row],[Count]]/50,0)+$U$1,IntComp24[[#This Row],[CALENDAR YEAR]])</f>
        <v>2024</v>
      </c>
      <c r="V272" s="69">
        <f t="shared" ca="1" si="4"/>
        <v>863037.00000000012</v>
      </c>
      <c r="W272" s="5"/>
      <c r="X272"/>
    </row>
    <row r="273" spans="1:24" hidden="1">
      <c r="A273" s="13" t="s">
        <v>222</v>
      </c>
      <c r="B273" s="9" t="str">
        <f>VLOOKUP(A273,Data[],2,FALSE)</f>
        <v>BRONX</v>
      </c>
      <c r="C273" s="9" t="s">
        <v>106</v>
      </c>
      <c r="D273" s="9" t="str">
        <f>VLOOKUP(IntComp24[[#This Row],[DEVELOPMENT]],Data[],52,FALSE)</f>
        <v>FEDERAL</v>
      </c>
      <c r="E273" s="50" t="str">
        <f>VLOOKUP(IntComp24[[#This Row],[DEVELOPMENT]],Data[],8,FALSE)</f>
        <v>Zone 4</v>
      </c>
      <c r="F273" s="50">
        <f>VLOOKUP(IntComp24[[#This Row],[DEVELOPMENT]],all[[DEVELOPMENT]:[MRST Ext. Comp. Priority]],13,FALSE)</f>
        <v>4</v>
      </c>
      <c r="G273" s="50">
        <f>IF(VLOOKUP(IntComp24[[#This Row],[DEVELOPMENT]],Data[],9,FALSE)=0,5,VLOOKUP(IntComp24[[#This Row],[DEVELOPMENT]],Data[],9,FALSE))</f>
        <v>5</v>
      </c>
      <c r="H273" s="50">
        <f>VLOOKUP(IntComp24[[#This Row],[DEVELOPMENT]],Data[],7,FALSE)</f>
        <v>615</v>
      </c>
      <c r="I273" s="50">
        <f>VLOOKUP(IntComp24[[#This Row],[DEVELOPMENT]],Data[],5,FALSE)</f>
        <v>5</v>
      </c>
      <c r="J273" s="50"/>
      <c r="K273" s="50" t="str">
        <f ca="1">IFERROR(VLOOKUP(IntComp24[[#This Row],[DEVELOPMENT]],Data[],4,FALSE),"")</f>
        <v>2026+</v>
      </c>
      <c r="L273" s="50" t="str">
        <f ca="1">IF(IntComp24[[#This Row],[RAD/PACT]]="","",IF(OR(IntComp24[[#This Row],[RAD/PACT]]="2022-2025",IntComp24[[#This Row],[RAD/PACT]]=2019,IntComp24[[#This Row],[RAD/PACT]]="2020-2021"),"Yes",""))</f>
        <v/>
      </c>
      <c r="M273" s="51">
        <f ca="1">IF(VLOOKUP(IntComp24[[#This Row],[DEVELOPMENT]],Data[],10,FALSE)=0,-1,DATEDIF(VLOOKUP(IntComp24[[#This Row],[DEVELOPMENT]],Data[],12,FALSE),TODAY(),"Y"))</f>
        <v>14</v>
      </c>
      <c r="N27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73" s="51"/>
      <c r="P273" s="51"/>
      <c r="Q273" s="51"/>
      <c r="R273" s="47">
        <f ca="1">(IntComp24[[#This Row],['# to Replace (MRST)]]*INDEX(UnitCosts[#All],MATCH(IntComp24[[#This Row],[WORK TYPE]],UnitCosts[Work Type],0)+1,2))*(1+((IntComp24[[#This Row],[est. Year]]-YEAR(TODAY()))*$R$2))</f>
        <v>0</v>
      </c>
      <c r="S273" s="1">
        <f ca="1">SUM(INDEX(IntComp24['# to Replace (MRST)],1):IntComp24[[#This Row],['# to Replace (MRST)]])</f>
        <v>108</v>
      </c>
      <c r="T273" s="51"/>
      <c r="U273" s="51">
        <f ca="1">IF(ISBLANK(IntComp24[[#This Row],[CALENDAR YEAR]]),ROUNDDOWN(IntComp24[[#This Row],[Count]]/50,0)+$U$1,IntComp24[[#This Row],[CALENDAR YEAR]])</f>
        <v>2024</v>
      </c>
      <c r="V273" s="69">
        <f t="shared" ca="1" si="4"/>
        <v>863037.00000000012</v>
      </c>
      <c r="W273" s="5"/>
      <c r="X273"/>
    </row>
    <row r="274" spans="1:24" hidden="1">
      <c r="A274" s="13" t="s">
        <v>201</v>
      </c>
      <c r="B274" s="9" t="str">
        <f>VLOOKUP(A274,Data[],2,FALSE)</f>
        <v>BRONX</v>
      </c>
      <c r="C274" s="9" t="s">
        <v>106</v>
      </c>
      <c r="D274" s="9" t="str">
        <f>VLOOKUP(IntComp24[[#This Row],[DEVELOPMENT]],Data[],52,FALSE)</f>
        <v>FEDERAL</v>
      </c>
      <c r="E274" s="50">
        <f>VLOOKUP(IntComp24[[#This Row],[DEVELOPMENT]],Data[],8,FALSE)</f>
        <v>0</v>
      </c>
      <c r="F274" s="50">
        <f>VLOOKUP(IntComp24[[#This Row],[DEVELOPMENT]],all[[DEVELOPMENT]:[MRST Ext. Comp. Priority]],13,FALSE)</f>
        <v>4</v>
      </c>
      <c r="G274" s="50">
        <f>IF(VLOOKUP(IntComp24[[#This Row],[DEVELOPMENT]],Data[],9,FALSE)=0,5,VLOOKUP(IntComp24[[#This Row],[DEVELOPMENT]],Data[],9,FALSE))</f>
        <v>5</v>
      </c>
      <c r="H274" s="50">
        <f>VLOOKUP(IntComp24[[#This Row],[DEVELOPMENT]],Data[],7,FALSE)</f>
        <v>2035</v>
      </c>
      <c r="I274" s="50">
        <f>VLOOKUP(IntComp24[[#This Row],[DEVELOPMENT]],Data[],5,FALSE)</f>
        <v>40</v>
      </c>
      <c r="J274" s="50"/>
      <c r="K274" s="50" t="str">
        <f ca="1">IFERROR(VLOOKUP(IntComp24[[#This Row],[DEVELOPMENT]],Data[],4,FALSE),"")</f>
        <v>2022-2025</v>
      </c>
      <c r="L274" s="50" t="str">
        <f ca="1">IF(IntComp24[[#This Row],[RAD/PACT]]="","",IF(OR(IntComp24[[#This Row],[RAD/PACT]]="2022-2025",IntComp24[[#This Row],[RAD/PACT]]=2019,IntComp24[[#This Row],[RAD/PACT]]="2020-2021"),"Yes",""))</f>
        <v>Yes</v>
      </c>
      <c r="M274" s="51">
        <f ca="1">IF(VLOOKUP(IntComp24[[#This Row],[DEVELOPMENT]],Data[],10,FALSE)=0,-1,DATEDIF(VLOOKUP(IntComp24[[#This Row],[DEVELOPMENT]],Data[],12,FALSE),TODAY(),"Y"))</f>
        <v>10</v>
      </c>
      <c r="N27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74" s="51"/>
      <c r="P274" s="51"/>
      <c r="Q274" s="51"/>
      <c r="R274" s="47">
        <f ca="1">(IntComp24[[#This Row],['# to Replace (MRST)]]*INDEX(UnitCosts[#All],MATCH(IntComp24[[#This Row],[WORK TYPE]],UnitCosts[Work Type],0)+1,2))*(1+((IntComp24[[#This Row],[est. Year]]-YEAR(TODAY()))*$R$2))</f>
        <v>0</v>
      </c>
      <c r="S274" s="1">
        <f ca="1">SUM(INDEX(IntComp24['# to Replace (MRST)],1):IntComp24[[#This Row],['# to Replace (MRST)]])</f>
        <v>108</v>
      </c>
      <c r="T274" s="51"/>
      <c r="U274" s="51">
        <f ca="1">IF(ISBLANK(IntComp24[[#This Row],[CALENDAR YEAR]]),ROUNDDOWN(IntComp24[[#This Row],[Count]]/50,0)+$U$1,IntComp24[[#This Row],[CALENDAR YEAR]])</f>
        <v>2024</v>
      </c>
      <c r="V274" s="69">
        <f t="shared" ca="1" si="4"/>
        <v>863037.00000000012</v>
      </c>
      <c r="W274" s="5"/>
      <c r="X274"/>
    </row>
    <row r="275" spans="1:24" hidden="1">
      <c r="A275" s="13" t="s">
        <v>376</v>
      </c>
      <c r="B275" s="9" t="str">
        <f>VLOOKUP(A275,Data[],2,FALSE)</f>
        <v>MANHATTAN</v>
      </c>
      <c r="C275" s="9" t="s">
        <v>106</v>
      </c>
      <c r="D275" s="9" t="str">
        <f>VLOOKUP(IntComp24[[#This Row],[DEVELOPMENT]],Data[],52,FALSE)</f>
        <v>FEDERAL</v>
      </c>
      <c r="E275" s="50">
        <f>VLOOKUP(IntComp24[[#This Row],[DEVELOPMENT]],Data[],8,FALSE)</f>
        <v>0</v>
      </c>
      <c r="F275" s="50">
        <f>VLOOKUP(IntComp24[[#This Row],[DEVELOPMENT]],all[[DEVELOPMENT]:[MRST Ext. Comp. Priority]],13,FALSE)</f>
        <v>4</v>
      </c>
      <c r="G275" s="50">
        <f>IF(VLOOKUP(IntComp24[[#This Row],[DEVELOPMENT]],Data[],9,FALSE)=0,5,VLOOKUP(IntComp24[[#This Row],[DEVELOPMENT]],Data[],9,FALSE))</f>
        <v>5</v>
      </c>
      <c r="H275" s="50">
        <f>VLOOKUP(IntComp24[[#This Row],[DEVELOPMENT]],Data[],7,FALSE)</f>
        <v>215</v>
      </c>
      <c r="I275" s="50">
        <f>VLOOKUP(IntComp24[[#This Row],[DEVELOPMENT]],Data[],5,FALSE)</f>
        <v>5</v>
      </c>
      <c r="J275" s="50"/>
      <c r="K275" s="50" t="str">
        <f ca="1">IFERROR(VLOOKUP(IntComp24[[#This Row],[DEVELOPMENT]],Data[],4,FALSE),"")</f>
        <v>2020-2021</v>
      </c>
      <c r="L275" s="50" t="str">
        <f ca="1">IF(IntComp24[[#This Row],[RAD/PACT]]="","",IF(OR(IntComp24[[#This Row],[RAD/PACT]]="2022-2025",IntComp24[[#This Row],[RAD/PACT]]=2019,IntComp24[[#This Row],[RAD/PACT]]="2020-2021"),"Yes",""))</f>
        <v>Yes</v>
      </c>
      <c r="M275" s="51">
        <f ca="1">IF(VLOOKUP(IntComp24[[#This Row],[DEVELOPMENT]],Data[],10,FALSE)=0,-1,DATEDIF(VLOOKUP(IntComp24[[#This Row],[DEVELOPMENT]],Data[],12,FALSE),TODAY(),"Y"))</f>
        <v>8</v>
      </c>
      <c r="N27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75" s="51"/>
      <c r="P275" s="51"/>
      <c r="Q275" s="51"/>
      <c r="R275" s="47">
        <f ca="1">(IntComp24[[#This Row],['# to Replace (MRST)]]*INDEX(UnitCosts[#All],MATCH(IntComp24[[#This Row],[WORK TYPE]],UnitCosts[Work Type],0)+1,2))*(1+((IntComp24[[#This Row],[est. Year]]-YEAR(TODAY()))*$R$2))</f>
        <v>0</v>
      </c>
      <c r="S275" s="1">
        <f ca="1">SUM(INDEX(IntComp24['# to Replace (MRST)],1):IntComp24[[#This Row],['# to Replace (MRST)]])</f>
        <v>108</v>
      </c>
      <c r="T275" s="51"/>
      <c r="U275" s="51">
        <f ca="1">IF(ISBLANK(IntComp24[[#This Row],[CALENDAR YEAR]]),ROUNDDOWN(IntComp24[[#This Row],[Count]]/50,0)+$U$1,IntComp24[[#This Row],[CALENDAR YEAR]])</f>
        <v>2024</v>
      </c>
      <c r="V275" s="69">
        <f t="shared" ca="1" si="4"/>
        <v>863037.00000000012</v>
      </c>
      <c r="W275" s="5"/>
      <c r="X275"/>
    </row>
    <row r="276" spans="1:24" hidden="1">
      <c r="A276" s="13" t="s">
        <v>351</v>
      </c>
      <c r="B276" s="9" t="str">
        <f>VLOOKUP(A276,Data[],2,FALSE)</f>
        <v>BROOKLYN</v>
      </c>
      <c r="C276" s="9" t="s">
        <v>106</v>
      </c>
      <c r="D276" s="9" t="str">
        <f>VLOOKUP(IntComp24[[#This Row],[DEVELOPMENT]],Data[],52,FALSE)</f>
        <v>FEDERAL</v>
      </c>
      <c r="E276" s="50">
        <f>VLOOKUP(IntComp24[[#This Row],[DEVELOPMENT]],Data[],8,FALSE)</f>
        <v>0</v>
      </c>
      <c r="F276" s="50">
        <f>VLOOKUP(IntComp24[[#This Row],[DEVELOPMENT]],all[[DEVELOPMENT]:[MRST Ext. Comp. Priority]],13,FALSE)</f>
        <v>4</v>
      </c>
      <c r="G276" s="50">
        <f>IF(VLOOKUP(IntComp24[[#This Row],[DEVELOPMENT]],Data[],9,FALSE)=0,5,VLOOKUP(IntComp24[[#This Row],[DEVELOPMENT]],Data[],9,FALSE))</f>
        <v>5</v>
      </c>
      <c r="H276" s="50">
        <f>VLOOKUP(IntComp24[[#This Row],[DEVELOPMENT]],Data[],7,FALSE)</f>
        <v>570</v>
      </c>
      <c r="I276" s="50">
        <f>VLOOKUP(IntComp24[[#This Row],[DEVELOPMENT]],Data[],5,FALSE)</f>
        <v>6</v>
      </c>
      <c r="J276" s="50"/>
      <c r="K276" s="50" t="str">
        <f ca="1">IFERROR(VLOOKUP(IntComp24[[#This Row],[DEVELOPMENT]],Data[],4,FALSE),"")</f>
        <v>2026+</v>
      </c>
      <c r="L276" s="50" t="str">
        <f ca="1">IF(IntComp24[[#This Row],[RAD/PACT]]="","",IF(OR(IntComp24[[#This Row],[RAD/PACT]]="2022-2025",IntComp24[[#This Row],[RAD/PACT]]=2019,IntComp24[[#This Row],[RAD/PACT]]="2020-2021"),"Yes",""))</f>
        <v/>
      </c>
      <c r="M276" s="51">
        <f ca="1">IF(VLOOKUP(IntComp24[[#This Row],[DEVELOPMENT]],Data[],10,FALSE)=0,-1,DATEDIF(VLOOKUP(IntComp24[[#This Row],[DEVELOPMENT]],Data[],12,FALSE),TODAY(),"Y"))</f>
        <v>8</v>
      </c>
      <c r="N27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76" s="51"/>
      <c r="P276" s="51"/>
      <c r="Q276" s="51"/>
      <c r="R276" s="47">
        <f ca="1">(IntComp24[[#This Row],['# to Replace (MRST)]]*INDEX(UnitCosts[#All],MATCH(IntComp24[[#This Row],[WORK TYPE]],UnitCosts[Work Type],0)+1,2))*(1+((IntComp24[[#This Row],[est. Year]]-YEAR(TODAY()))*$R$2))</f>
        <v>0</v>
      </c>
      <c r="S276" s="1">
        <f ca="1">SUM(INDEX(IntComp24['# to Replace (MRST)],1):IntComp24[[#This Row],['# to Replace (MRST)]])</f>
        <v>108</v>
      </c>
      <c r="T276" s="51"/>
      <c r="U276" s="51">
        <f ca="1">IF(ISBLANK(IntComp24[[#This Row],[CALENDAR YEAR]]),ROUNDDOWN(IntComp24[[#This Row],[Count]]/50,0)+$U$1,IntComp24[[#This Row],[CALENDAR YEAR]])</f>
        <v>2024</v>
      </c>
      <c r="V276" s="69">
        <f t="shared" ca="1" si="4"/>
        <v>863037.00000000012</v>
      </c>
      <c r="W276" s="5"/>
      <c r="X276"/>
    </row>
    <row r="277" spans="1:24">
      <c r="A277" s="13" t="s">
        <v>309</v>
      </c>
      <c r="B277" s="9" t="str">
        <f>VLOOKUP(A277,Data[],2,FALSE)</f>
        <v>MANHATTAN</v>
      </c>
      <c r="C277" s="9" t="s">
        <v>106</v>
      </c>
      <c r="D277" s="9" t="str">
        <f>VLOOKUP(IntComp24[[#This Row],[DEVELOPMENT]],Data[],52,FALSE)</f>
        <v>MIXED FINANCE/LLC1</v>
      </c>
      <c r="E277" s="50">
        <f>VLOOKUP(IntComp24[[#This Row],[DEVELOPMENT]],Data[],8,FALSE)</f>
        <v>0</v>
      </c>
      <c r="F277" s="50">
        <f>VLOOKUP(IntComp24[[#This Row],[DEVELOPMENT]],all[[DEVELOPMENT]:[MRST Ext. Comp. Priority]],13,FALSE)</f>
        <v>4</v>
      </c>
      <c r="G277" s="50">
        <f>IF(VLOOKUP(IntComp24[[#This Row],[DEVELOPMENT]],Data[],9,FALSE)=0,5,VLOOKUP(IntComp24[[#This Row],[DEVELOPMENT]],Data[],9,FALSE))</f>
        <v>5</v>
      </c>
      <c r="H277" s="50">
        <f>VLOOKUP(IntComp24[[#This Row],[DEVELOPMENT]],Data[],7,FALSE)</f>
        <v>425</v>
      </c>
      <c r="I277" s="50">
        <f>VLOOKUP(IntComp24[[#This Row],[DEVELOPMENT]],Data[],5,FALSE)</f>
        <v>2</v>
      </c>
      <c r="J277" s="50"/>
      <c r="K277" s="50" t="str">
        <f ca="1">IFERROR(VLOOKUP(IntComp24[[#This Row],[DEVELOPMENT]],Data[],4,FALSE),"")</f>
        <v/>
      </c>
      <c r="L277" s="50" t="str">
        <f ca="1">IF(IntComp24[[#This Row],[RAD/PACT]]="","",IF(OR(IntComp24[[#This Row],[RAD/PACT]]="2022-2025",IntComp24[[#This Row],[RAD/PACT]]=2019,IntComp24[[#This Row],[RAD/PACT]]="2020-2021"),"Yes",""))</f>
        <v/>
      </c>
      <c r="M277" s="51">
        <f ca="1">IF(VLOOKUP(IntComp24[[#This Row],[DEVELOPMENT]],Data[],10,FALSE)=0,-1,DATEDIF(VLOOKUP(IntComp24[[#This Row],[DEVELOPMENT]],Data[],12,FALSE),TODAY(),"Y"))</f>
        <v>20</v>
      </c>
      <c r="N27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4</v>
      </c>
      <c r="O277" s="51"/>
      <c r="P277" s="51"/>
      <c r="Q277" s="51"/>
      <c r="R277" s="47">
        <f ca="1">(IntComp24[[#This Row],['# to Replace (MRST)]]*INDEX(UnitCosts[#All],MATCH(IntComp24[[#This Row],[WORK TYPE]],UnitCosts[Work Type],0)+1,2))*(1+((IntComp24[[#This Row],[est. Year]]-YEAR(TODAY()))*$R$2))</f>
        <v>287679.00000000006</v>
      </c>
      <c r="S277" s="1">
        <f ca="1">SUM(INDEX(IntComp24['# to Replace (MRST)],1):IntComp24[[#This Row],['# to Replace (MRST)]])</f>
        <v>112</v>
      </c>
      <c r="T277" s="51"/>
      <c r="U277" s="51">
        <f ca="1">IF(ISBLANK(IntComp24[[#This Row],[CALENDAR YEAR]]),ROUNDDOWN(IntComp24[[#This Row],[Count]]/50,0)+$U$1,IntComp24[[#This Row],[CALENDAR YEAR]])</f>
        <v>2024</v>
      </c>
      <c r="V277" s="69">
        <f t="shared" ca="1" si="4"/>
        <v>1150716.0000000002</v>
      </c>
      <c r="W277" s="5"/>
      <c r="X277"/>
    </row>
    <row r="278" spans="1:24" hidden="1">
      <c r="A278" s="13" t="s">
        <v>241</v>
      </c>
      <c r="B278" s="9">
        <f>VLOOKUP(A278,Data[],2,FALSE)</f>
        <v>0</v>
      </c>
      <c r="C278" s="9" t="s">
        <v>106</v>
      </c>
      <c r="D278" s="9" t="str">
        <f>VLOOKUP(IntComp24[[#This Row],[DEVELOPMENT]],Data[],52,FALSE)</f>
        <v>FEDERAL</v>
      </c>
      <c r="E278" s="50">
        <f>VLOOKUP(IntComp24[[#This Row],[DEVELOPMENT]],Data[],8,FALSE)</f>
        <v>0</v>
      </c>
      <c r="F278" s="50">
        <f>VLOOKUP(IntComp24[[#This Row],[DEVELOPMENT]],all[[DEVELOPMENT]:[MRST Ext. Comp. Priority]],13,FALSE)</f>
        <v>4</v>
      </c>
      <c r="G278" s="50">
        <f>IF(VLOOKUP(IntComp24[[#This Row],[DEVELOPMENT]],Data[],9,FALSE)=0,5,VLOOKUP(IntComp24[[#This Row],[DEVELOPMENT]],Data[],9,FALSE))</f>
        <v>5</v>
      </c>
      <c r="H278" s="50">
        <f>VLOOKUP(IntComp24[[#This Row],[DEVELOPMENT]],Data[],7,FALSE)</f>
        <v>5</v>
      </c>
      <c r="I278" s="50">
        <f>VLOOKUP(IntComp24[[#This Row],[DEVELOPMENT]],Data[],5,FALSE)</f>
        <v>9</v>
      </c>
      <c r="J278" s="50"/>
      <c r="K278" s="50" t="str">
        <f ca="1">IFERROR(VLOOKUP(IntComp24[[#This Row],[DEVELOPMENT]],Data[],4,FALSE),"")</f>
        <v/>
      </c>
      <c r="L278" s="50" t="str">
        <f ca="1">IF(IntComp24[[#This Row],[RAD/PACT]]="","",IF(OR(IntComp24[[#This Row],[RAD/PACT]]="2022-2025",IntComp24[[#This Row],[RAD/PACT]]=2019,IntComp24[[#This Row],[RAD/PACT]]="2020-2021"),"Yes",""))</f>
        <v/>
      </c>
      <c r="M278" s="51">
        <f ca="1">IF(VLOOKUP(IntComp24[[#This Row],[DEVELOPMENT]],Data[],10,FALSE)=0,-1,DATEDIF(VLOOKUP(IntComp24[[#This Row],[DEVELOPMENT]],Data[],12,FALSE),TODAY(),"Y"))</f>
        <v>-1</v>
      </c>
      <c r="N27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78" s="51"/>
      <c r="P278" s="51"/>
      <c r="Q278" s="51"/>
      <c r="R278" s="47">
        <f ca="1">(IntComp24[[#This Row],['# to Replace (MRST)]]*INDEX(UnitCosts[#All],MATCH(IntComp24[[#This Row],[WORK TYPE]],UnitCosts[Work Type],0)+1,2))*(1+((IntComp24[[#This Row],[est. Year]]-YEAR(TODAY()))*$R$2))</f>
        <v>0</v>
      </c>
      <c r="S278" s="1">
        <f ca="1">SUM(INDEX(IntComp24['# to Replace (MRST)],1):IntComp24[[#This Row],['# to Replace (MRST)]])</f>
        <v>112</v>
      </c>
      <c r="T278" s="51"/>
      <c r="U278" s="51">
        <f ca="1">IF(ISBLANK(IntComp24[[#This Row],[CALENDAR YEAR]]),ROUNDDOWN(IntComp24[[#This Row],[Count]]/50,0)+$U$1,IntComp24[[#This Row],[CALENDAR YEAR]])</f>
        <v>2024</v>
      </c>
      <c r="V278" s="69">
        <f t="shared" ca="1" si="4"/>
        <v>1150716.0000000002</v>
      </c>
      <c r="W278" s="5"/>
      <c r="X278"/>
    </row>
    <row r="279" spans="1:24" hidden="1">
      <c r="A279" s="13" t="s">
        <v>330</v>
      </c>
      <c r="B279" s="9" t="str">
        <f>VLOOKUP(A279,Data[],2,FALSE)</f>
        <v>BRONX</v>
      </c>
      <c r="C279" s="9" t="s">
        <v>106</v>
      </c>
      <c r="D279" s="9" t="str">
        <f>VLOOKUP(IntComp24[[#This Row],[DEVELOPMENT]],Data[],52,FALSE)</f>
        <v>FEDERAL</v>
      </c>
      <c r="E279" s="50">
        <f>VLOOKUP(IntComp24[[#This Row],[DEVELOPMENT]],Data[],8,FALSE)</f>
        <v>0</v>
      </c>
      <c r="F279" s="50">
        <f>VLOOKUP(IntComp24[[#This Row],[DEVELOPMENT]],all[[DEVELOPMENT]:[MRST Ext. Comp. Priority]],13,FALSE)</f>
        <v>4</v>
      </c>
      <c r="G279" s="50">
        <f>IF(VLOOKUP(IntComp24[[#This Row],[DEVELOPMENT]],Data[],9,FALSE)=0,5,VLOOKUP(IntComp24[[#This Row],[DEVELOPMENT]],Data[],9,FALSE))</f>
        <v>5</v>
      </c>
      <c r="H279" s="50">
        <f>VLOOKUP(IntComp24[[#This Row],[DEVELOPMENT]],Data[],7,FALSE)</f>
        <v>34</v>
      </c>
      <c r="I279" s="50">
        <f>VLOOKUP(IntComp24[[#This Row],[DEVELOPMENT]],Data[],5,FALSE)</f>
        <v>1</v>
      </c>
      <c r="J279" s="50"/>
      <c r="K279" s="50" t="str">
        <f ca="1">IFERROR(VLOOKUP(IntComp24[[#This Row],[DEVELOPMENT]],Data[],4,FALSE),"")</f>
        <v/>
      </c>
      <c r="L279" s="50" t="str">
        <f ca="1">IF(IntComp24[[#This Row],[RAD/PACT]]="","",IF(OR(IntComp24[[#This Row],[RAD/PACT]]="2022-2025",IntComp24[[#This Row],[RAD/PACT]]=2019,IntComp24[[#This Row],[RAD/PACT]]="2020-2021"),"Yes",""))</f>
        <v/>
      </c>
      <c r="M279" s="51">
        <f ca="1">IF(VLOOKUP(IntComp24[[#This Row],[DEVELOPMENT]],Data[],10,FALSE)=0,-1,DATEDIF(VLOOKUP(IntComp24[[#This Row],[DEVELOPMENT]],Data[],12,FALSE),TODAY(),"Y"))</f>
        <v>-1</v>
      </c>
      <c r="N27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79" s="51"/>
      <c r="P279" s="51"/>
      <c r="Q279" s="51"/>
      <c r="R279" s="47">
        <f ca="1">(IntComp24[[#This Row],['# to Replace (MRST)]]*INDEX(UnitCosts[#All],MATCH(IntComp24[[#This Row],[WORK TYPE]],UnitCosts[Work Type],0)+1,2))*(1+((IntComp24[[#This Row],[est. Year]]-YEAR(TODAY()))*$R$2))</f>
        <v>0</v>
      </c>
      <c r="S279" s="1">
        <f ca="1">SUM(INDEX(IntComp24['# to Replace (MRST)],1):IntComp24[[#This Row],['# to Replace (MRST)]])</f>
        <v>112</v>
      </c>
      <c r="T279" s="51"/>
      <c r="U279" s="51">
        <f ca="1">IF(ISBLANK(IntComp24[[#This Row],[CALENDAR YEAR]]),ROUNDDOWN(IntComp24[[#This Row],[Count]]/50,0)+$U$1,IntComp24[[#This Row],[CALENDAR YEAR]])</f>
        <v>2024</v>
      </c>
      <c r="V279" s="69">
        <f t="shared" ca="1" si="4"/>
        <v>1150716.0000000002</v>
      </c>
      <c r="W279" s="5"/>
      <c r="X279"/>
    </row>
    <row r="280" spans="1:24" hidden="1">
      <c r="A280" s="13" t="s">
        <v>245</v>
      </c>
      <c r="B280" s="9" t="str">
        <f>VLOOKUP(A280,Data[],2,FALSE)</f>
        <v>BROOKLYN</v>
      </c>
      <c r="C280" s="9" t="s">
        <v>106</v>
      </c>
      <c r="D280" s="9" t="str">
        <f>VLOOKUP(IntComp24[[#This Row],[DEVELOPMENT]],Data[],52,FALSE)</f>
        <v>FEDERAL</v>
      </c>
      <c r="E280" s="50">
        <f>VLOOKUP(IntComp24[[#This Row],[DEVELOPMENT]],Data[],8,FALSE)</f>
        <v>0</v>
      </c>
      <c r="F280" s="50">
        <f>VLOOKUP(IntComp24[[#This Row],[DEVELOPMENT]],all[[DEVELOPMENT]:[MRST Ext. Comp. Priority]],13,FALSE)</f>
        <v>4</v>
      </c>
      <c r="G280" s="50">
        <f>IF(VLOOKUP(IntComp24[[#This Row],[DEVELOPMENT]],Data[],9,FALSE)=0,5,VLOOKUP(IntComp24[[#This Row],[DEVELOPMENT]],Data[],9,FALSE))</f>
        <v>5</v>
      </c>
      <c r="H280" s="50">
        <f>VLOOKUP(IntComp24[[#This Row],[DEVELOPMENT]],Data[],7,FALSE)</f>
        <v>148</v>
      </c>
      <c r="I280" s="50">
        <f>VLOOKUP(IntComp24[[#This Row],[DEVELOPMENT]],Data[],5,FALSE)</f>
        <v>5</v>
      </c>
      <c r="J280" s="50"/>
      <c r="K280" s="50" t="str">
        <f ca="1">IFERROR(VLOOKUP(IntComp24[[#This Row],[DEVELOPMENT]],Data[],4,FALSE),"")</f>
        <v>2022-2025</v>
      </c>
      <c r="L280" s="50" t="str">
        <f ca="1">IF(IntComp24[[#This Row],[RAD/PACT]]="","",IF(OR(IntComp24[[#This Row],[RAD/PACT]]="2022-2025",IntComp24[[#This Row],[RAD/PACT]]=2019,IntComp24[[#This Row],[RAD/PACT]]="2020-2021"),"Yes",""))</f>
        <v>Yes</v>
      </c>
      <c r="M280" s="51">
        <f ca="1">IF(VLOOKUP(IntComp24[[#This Row],[DEVELOPMENT]],Data[],10,FALSE)=0,-1,DATEDIF(VLOOKUP(IntComp24[[#This Row],[DEVELOPMENT]],Data[],12,FALSE),TODAY(),"Y"))</f>
        <v>-1</v>
      </c>
      <c r="N28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80" s="51"/>
      <c r="P280" s="51"/>
      <c r="Q280" s="51"/>
      <c r="R280" s="47">
        <f ca="1">(IntComp24[[#This Row],['# to Replace (MRST)]]*INDEX(UnitCosts[#All],MATCH(IntComp24[[#This Row],[WORK TYPE]],UnitCosts[Work Type],0)+1,2))*(1+((IntComp24[[#This Row],[est. Year]]-YEAR(TODAY()))*$R$2))</f>
        <v>0</v>
      </c>
      <c r="S280" s="1">
        <f ca="1">SUM(INDEX(IntComp24['# to Replace (MRST)],1):IntComp24[[#This Row],['# to Replace (MRST)]])</f>
        <v>112</v>
      </c>
      <c r="T280" s="51"/>
      <c r="U280" s="51">
        <f ca="1">IF(ISBLANK(IntComp24[[#This Row],[CALENDAR YEAR]]),ROUNDDOWN(IntComp24[[#This Row],[Count]]/50,0)+$U$1,IntComp24[[#This Row],[CALENDAR YEAR]])</f>
        <v>2024</v>
      </c>
      <c r="V280" s="69">
        <f t="shared" ca="1" si="4"/>
        <v>1150716.0000000002</v>
      </c>
      <c r="W280" s="5"/>
      <c r="X280"/>
    </row>
    <row r="281" spans="1:24" hidden="1">
      <c r="A281" s="13" t="s">
        <v>246</v>
      </c>
      <c r="B281" s="9" t="str">
        <f>VLOOKUP(A281,Data[],2,FALSE)</f>
        <v>BROOKLYN</v>
      </c>
      <c r="C281" s="9" t="s">
        <v>106</v>
      </c>
      <c r="D281" s="9" t="str">
        <f>VLOOKUP(IntComp24[[#This Row],[DEVELOPMENT]],Data[],52,FALSE)</f>
        <v>FEDERAL</v>
      </c>
      <c r="E281" s="50" t="str">
        <f>VLOOKUP(IntComp24[[#This Row],[DEVELOPMENT]],Data[],8,FALSE)</f>
        <v>Zone 4</v>
      </c>
      <c r="F281" s="50">
        <f>VLOOKUP(IntComp24[[#This Row],[DEVELOPMENT]],all[[DEVELOPMENT]:[MRST Ext. Comp. Priority]],13,FALSE)</f>
        <v>4</v>
      </c>
      <c r="G281" s="50">
        <f>IF(VLOOKUP(IntComp24[[#This Row],[DEVELOPMENT]],Data[],9,FALSE)=0,5,VLOOKUP(IntComp24[[#This Row],[DEVELOPMENT]],Data[],9,FALSE))</f>
        <v>5</v>
      </c>
      <c r="H281" s="50">
        <f>VLOOKUP(IntComp24[[#This Row],[DEVELOPMENT]],Data[],7,FALSE)</f>
        <v>155</v>
      </c>
      <c r="I281" s="50">
        <f>VLOOKUP(IntComp24[[#This Row],[DEVELOPMENT]],Data[],5,FALSE)</f>
        <v>8</v>
      </c>
      <c r="J281" s="50"/>
      <c r="K281" s="50" t="str">
        <f ca="1">IFERROR(VLOOKUP(IntComp24[[#This Row],[DEVELOPMENT]],Data[],4,FALSE),"")</f>
        <v>2022-2025</v>
      </c>
      <c r="L281" s="50" t="str">
        <f ca="1">IF(IntComp24[[#This Row],[RAD/PACT]]="","",IF(OR(IntComp24[[#This Row],[RAD/PACT]]="2022-2025",IntComp24[[#This Row],[RAD/PACT]]=2019,IntComp24[[#This Row],[RAD/PACT]]="2020-2021"),"Yes",""))</f>
        <v>Yes</v>
      </c>
      <c r="M281" s="51">
        <f ca="1">IF(VLOOKUP(IntComp24[[#This Row],[DEVELOPMENT]],Data[],10,FALSE)=0,-1,DATEDIF(VLOOKUP(IntComp24[[#This Row],[DEVELOPMENT]],Data[],12,FALSE),TODAY(),"Y"))</f>
        <v>-1</v>
      </c>
      <c r="N28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81" s="51"/>
      <c r="P281" s="51"/>
      <c r="Q281" s="51"/>
      <c r="R281" s="47">
        <f ca="1">(IntComp24[[#This Row],['# to Replace (MRST)]]*INDEX(UnitCosts[#All],MATCH(IntComp24[[#This Row],[WORK TYPE]],UnitCosts[Work Type],0)+1,2))*(1+((IntComp24[[#This Row],[est. Year]]-YEAR(TODAY()))*$R$2))</f>
        <v>0</v>
      </c>
      <c r="S281" s="1">
        <f ca="1">SUM(INDEX(IntComp24['# to Replace (MRST)],1):IntComp24[[#This Row],['# to Replace (MRST)]])</f>
        <v>112</v>
      </c>
      <c r="T281" s="51"/>
      <c r="U281" s="51">
        <f ca="1">IF(ISBLANK(IntComp24[[#This Row],[CALENDAR YEAR]]),ROUNDDOWN(IntComp24[[#This Row],[Count]]/50,0)+$U$1,IntComp24[[#This Row],[CALENDAR YEAR]])</f>
        <v>2024</v>
      </c>
      <c r="V281" s="69">
        <f t="shared" ca="1" si="4"/>
        <v>1150716.0000000002</v>
      </c>
      <c r="W281" s="5"/>
      <c r="X281"/>
    </row>
    <row r="282" spans="1:24" hidden="1">
      <c r="A282" s="13" t="s">
        <v>358</v>
      </c>
      <c r="B282" s="9" t="str">
        <f>VLOOKUP(A282,Data[],2,FALSE)</f>
        <v>MANHATTAN</v>
      </c>
      <c r="C282" s="9" t="s">
        <v>106</v>
      </c>
      <c r="D282" s="9" t="str">
        <f>VLOOKUP(IntComp24[[#This Row],[DEVELOPMENT]],Data[],52,FALSE)</f>
        <v>MHOP</v>
      </c>
      <c r="E282" s="50">
        <f>VLOOKUP(IntComp24[[#This Row],[DEVELOPMENT]],Data[],8,FALSE)</f>
        <v>0</v>
      </c>
      <c r="F282" s="50">
        <f>VLOOKUP(IntComp24[[#This Row],[DEVELOPMENT]],all[[DEVELOPMENT]:[MRST Ext. Comp. Priority]],13,FALSE)</f>
        <v>4</v>
      </c>
      <c r="G282" s="50">
        <f>IF(VLOOKUP(IntComp24[[#This Row],[DEVELOPMENT]],Data[],9,FALSE)=0,5,VLOOKUP(IntComp24[[#This Row],[DEVELOPMENT]],Data[],9,FALSE))</f>
        <v>5</v>
      </c>
      <c r="H282" s="50">
        <f>VLOOKUP(IntComp24[[#This Row],[DEVELOPMENT]],Data[],7,FALSE)</f>
        <v>24</v>
      </c>
      <c r="I282" s="50">
        <f>VLOOKUP(IntComp24[[#This Row],[DEVELOPMENT]],Data[],5,FALSE)</f>
        <v>5</v>
      </c>
      <c r="J282" s="50"/>
      <c r="K282" s="50" t="str">
        <f ca="1">IFERROR(VLOOKUP(IntComp24[[#This Row],[DEVELOPMENT]],Data[],4,FALSE),"")</f>
        <v>2020-2021</v>
      </c>
      <c r="L282" s="50" t="str">
        <f ca="1">IF(IntComp24[[#This Row],[RAD/PACT]]="","",IF(OR(IntComp24[[#This Row],[RAD/PACT]]="2022-2025",IntComp24[[#This Row],[RAD/PACT]]=2019,IntComp24[[#This Row],[RAD/PACT]]="2020-2021"),"Yes",""))</f>
        <v>Yes</v>
      </c>
      <c r="M282" s="51">
        <f ca="1">IF(VLOOKUP(IntComp24[[#This Row],[DEVELOPMENT]],Data[],10,FALSE)=0,-1,DATEDIF(VLOOKUP(IntComp24[[#This Row],[DEVELOPMENT]],Data[],12,FALSE),TODAY(),"Y"))</f>
        <v>-1</v>
      </c>
      <c r="N28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82" s="51"/>
      <c r="P282" s="51"/>
      <c r="Q282" s="51"/>
      <c r="R282" s="47">
        <f ca="1">(IntComp24[[#This Row],['# to Replace (MRST)]]*INDEX(UnitCosts[#All],MATCH(IntComp24[[#This Row],[WORK TYPE]],UnitCosts[Work Type],0)+1,2))*(1+((IntComp24[[#This Row],[est. Year]]-YEAR(TODAY()))*$R$2))</f>
        <v>0</v>
      </c>
      <c r="S282" s="1">
        <f ca="1">SUM(INDEX(IntComp24['# to Replace (MRST)],1):IntComp24[[#This Row],['# to Replace (MRST)]])</f>
        <v>112</v>
      </c>
      <c r="T282" s="51"/>
      <c r="U282" s="51">
        <f ca="1">IF(ISBLANK(IntComp24[[#This Row],[CALENDAR YEAR]]),ROUNDDOWN(IntComp24[[#This Row],[Count]]/50,0)+$U$1,IntComp24[[#This Row],[CALENDAR YEAR]])</f>
        <v>2024</v>
      </c>
      <c r="V282" s="69">
        <f t="shared" ca="1" si="4"/>
        <v>1150716.0000000002</v>
      </c>
      <c r="W282" s="5"/>
      <c r="X282"/>
    </row>
    <row r="283" spans="1:24" hidden="1">
      <c r="A283" s="13" t="s">
        <v>377</v>
      </c>
      <c r="B283" s="9" t="str">
        <f>VLOOKUP(A283,Data[],2,FALSE)</f>
        <v>MANHATTAN</v>
      </c>
      <c r="C283" s="9" t="s">
        <v>106</v>
      </c>
      <c r="D283" s="9" t="str">
        <f>VLOOKUP(IntComp24[[#This Row],[DEVELOPMENT]],Data[],52,FALSE)</f>
        <v>FEDERAL</v>
      </c>
      <c r="E283" s="50">
        <f>VLOOKUP(IntComp24[[#This Row],[DEVELOPMENT]],Data[],8,FALSE)</f>
        <v>0</v>
      </c>
      <c r="F283" s="50">
        <f>VLOOKUP(IntComp24[[#This Row],[DEVELOPMENT]],all[[DEVELOPMENT]:[MRST Ext. Comp. Priority]],13,FALSE)</f>
        <v>4</v>
      </c>
      <c r="G283" s="50">
        <f>IF(VLOOKUP(IntComp24[[#This Row],[DEVELOPMENT]],Data[],9,FALSE)=0,5,VLOOKUP(IntComp24[[#This Row],[DEVELOPMENT]],Data[],9,FALSE))</f>
        <v>5</v>
      </c>
      <c r="H283" s="50">
        <f>VLOOKUP(IntComp24[[#This Row],[DEVELOPMENT]],Data[],7,FALSE)</f>
        <v>88</v>
      </c>
      <c r="I283" s="50">
        <f>VLOOKUP(IntComp24[[#This Row],[DEVELOPMENT]],Data[],5,FALSE)</f>
        <v>7</v>
      </c>
      <c r="J283" s="50"/>
      <c r="K283" s="50" t="str">
        <f ca="1">IFERROR(VLOOKUP(IntComp24[[#This Row],[DEVELOPMENT]],Data[],4,FALSE),"")</f>
        <v/>
      </c>
      <c r="L283" s="50" t="str">
        <f ca="1">IF(IntComp24[[#This Row],[RAD/PACT]]="","",IF(OR(IntComp24[[#This Row],[RAD/PACT]]="2022-2025",IntComp24[[#This Row],[RAD/PACT]]=2019,IntComp24[[#This Row],[RAD/PACT]]="2020-2021"),"Yes",""))</f>
        <v/>
      </c>
      <c r="M283" s="51">
        <f ca="1">IF(VLOOKUP(IntComp24[[#This Row],[DEVELOPMENT]],Data[],10,FALSE)=0,-1,DATEDIF(VLOOKUP(IntComp24[[#This Row],[DEVELOPMENT]],Data[],12,FALSE),TODAY(),"Y"))</f>
        <v>-1</v>
      </c>
      <c r="N28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83" s="51"/>
      <c r="P283" s="51"/>
      <c r="Q283" s="51"/>
      <c r="R283" s="47">
        <f ca="1">(IntComp24[[#This Row],['# to Replace (MRST)]]*INDEX(UnitCosts[#All],MATCH(IntComp24[[#This Row],[WORK TYPE]],UnitCosts[Work Type],0)+1,2))*(1+((IntComp24[[#This Row],[est. Year]]-YEAR(TODAY()))*$R$2))</f>
        <v>0</v>
      </c>
      <c r="S283" s="1">
        <f ca="1">SUM(INDEX(IntComp24['# to Replace (MRST)],1):IntComp24[[#This Row],['# to Replace (MRST)]])</f>
        <v>112</v>
      </c>
      <c r="T283" s="51"/>
      <c r="U283" s="51">
        <f ca="1">IF(ISBLANK(IntComp24[[#This Row],[CALENDAR YEAR]]),ROUNDDOWN(IntComp24[[#This Row],[Count]]/50,0)+$U$1,IntComp24[[#This Row],[CALENDAR YEAR]])</f>
        <v>2024</v>
      </c>
      <c r="V283" s="69">
        <f t="shared" ca="1" si="4"/>
        <v>1150716.0000000002</v>
      </c>
      <c r="W283" s="5"/>
      <c r="X283"/>
    </row>
    <row r="284" spans="1:24" hidden="1">
      <c r="A284" s="65" t="s">
        <v>147</v>
      </c>
      <c r="B284" s="1" t="str">
        <f>VLOOKUP(A284,Data[],2,FALSE)</f>
        <v>BRONX</v>
      </c>
      <c r="C284" s="9" t="s">
        <v>106</v>
      </c>
      <c r="D284" s="9" t="str">
        <f>VLOOKUP(IntComp24[[#This Row],[DEVELOPMENT]],Data[],52,FALSE)</f>
        <v>FEDERAL</v>
      </c>
      <c r="E284" s="9" t="str">
        <f>VLOOKUP(IntComp24[[#This Row],[DEVELOPMENT]],Data[],8,FALSE)</f>
        <v>Zone 1</v>
      </c>
      <c r="F284" s="9" t="str">
        <f>VLOOKUP(IntComp24[[#This Row],[DEVELOPMENT]],all[[DEVELOPMENT]:[MRST Ext. Comp. Priority]],13,FALSE)</f>
        <v>None</v>
      </c>
      <c r="G284" s="9">
        <f>IF(VLOOKUP(IntComp24[[#This Row],[DEVELOPMENT]],Data[],9,FALSE)=0,5,VLOOKUP(IntComp24[[#This Row],[DEVELOPMENT]],Data[],9,FALSE))</f>
        <v>1</v>
      </c>
      <c r="H284" s="9">
        <f>VLOOKUP(IntComp24[[#This Row],[DEVELOPMENT]],Data[],7,FALSE)</f>
        <v>206</v>
      </c>
      <c r="I284" s="9">
        <f>VLOOKUP(IntComp24[[#This Row],[DEVELOPMENT]],Data[],5,FALSE)</f>
        <v>2</v>
      </c>
      <c r="J284" s="9"/>
      <c r="K284" s="1" t="str">
        <f ca="1">IFERROR(VLOOKUP(IntComp24[[#This Row],[DEVELOPMENT]],Data[],4,FALSE),"")</f>
        <v/>
      </c>
      <c r="L284" s="1" t="str">
        <f ca="1">IF(IntComp24[[#This Row],[RAD/PACT]]="","",IF(OR(IntComp24[[#This Row],[RAD/PACT]]="2022-2025",IntComp24[[#This Row],[RAD/PACT]]=2019,IntComp24[[#This Row],[RAD/PACT]]="2020-2021"),"Yes",""))</f>
        <v/>
      </c>
      <c r="M284" s="1">
        <f ca="1">IF(VLOOKUP(IntComp24[[#This Row],[DEVELOPMENT]],Data[],10,FALSE)=0,-1,DATEDIF(VLOOKUP(IntComp24[[#This Row],[DEVELOPMENT]],Data[],12,FALSE),TODAY(),"Y"))</f>
        <v>15</v>
      </c>
      <c r="N284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84" s="1"/>
      <c r="P284" s="1"/>
      <c r="Q284" s="1"/>
      <c r="R284" s="47">
        <f ca="1">(IntComp24[[#This Row],['# to Replace (MRST)]]*INDEX(UnitCosts[#All],MATCH(IntComp24[[#This Row],[WORK TYPE]],UnitCosts[Work Type],0)+1,2))*(1+((IntComp24[[#This Row],[est. Year]]-YEAR(TODAY()))*$R$2))</f>
        <v>0</v>
      </c>
      <c r="S284" s="1">
        <f ca="1">SUM(INDEX(IntComp24['# to Replace (MRST)],1):IntComp24[[#This Row],['# to Replace (MRST)]])</f>
        <v>112</v>
      </c>
      <c r="T284" s="1"/>
      <c r="U284" s="1">
        <f ca="1">IF(ISBLANK(IntComp24[[#This Row],[CALENDAR YEAR]]),ROUNDDOWN(IntComp24[[#This Row],[Count]]/50,0)+$U$1,IntComp24[[#This Row],[CALENDAR YEAR]])</f>
        <v>2024</v>
      </c>
      <c r="V284" s="64">
        <f t="shared" ca="1" si="4"/>
        <v>1150716.0000000002</v>
      </c>
      <c r="W284" s="5"/>
      <c r="X284"/>
    </row>
    <row r="285" spans="1:24" hidden="1">
      <c r="A285" s="13" t="s">
        <v>93</v>
      </c>
      <c r="B285" s="1" t="str">
        <f>VLOOKUP(A285,Data[],2,FALSE)</f>
        <v>MANHATTAN</v>
      </c>
      <c r="C285" s="9" t="s">
        <v>106</v>
      </c>
      <c r="D285" s="9" t="str">
        <f>VLOOKUP(IntComp24[[#This Row],[DEVELOPMENT]],Data[],52,FALSE)</f>
        <v>FEDERAL</v>
      </c>
      <c r="E285" s="9" t="str">
        <f>VLOOKUP(IntComp24[[#This Row],[DEVELOPMENT]],Data[],8,FALSE)</f>
        <v>Zone 3</v>
      </c>
      <c r="F285" s="9" t="str">
        <f>VLOOKUP(IntComp24[[#This Row],[DEVELOPMENT]],all[[DEVELOPMENT]:[MRST Ext. Comp. Priority]],13,FALSE)</f>
        <v>None</v>
      </c>
      <c r="G285" s="9">
        <f>IF(VLOOKUP(IntComp24[[#This Row],[DEVELOPMENT]],Data[],9,FALSE)=0,5,VLOOKUP(IntComp24[[#This Row],[DEVELOPMENT]],Data[],9,FALSE))</f>
        <v>3</v>
      </c>
      <c r="H285" s="9">
        <f>VLOOKUP(IntComp24[[#This Row],[DEVELOPMENT]],Data[],7,FALSE)</f>
        <v>90</v>
      </c>
      <c r="I285" s="9">
        <f>VLOOKUP(IntComp24[[#This Row],[DEVELOPMENT]],Data[],5,FALSE)</f>
        <v>2</v>
      </c>
      <c r="J285" s="9"/>
      <c r="K285" s="9" t="str">
        <f ca="1">IFERROR(VLOOKUP(IntComp24[[#This Row],[DEVELOPMENT]],Data[],4,FALSE),"")</f>
        <v>2020-2021</v>
      </c>
      <c r="L285" s="9" t="str">
        <f ca="1">IF(IntComp24[[#This Row],[RAD/PACT]]="","",IF(OR(IntComp24[[#This Row],[RAD/PACT]]="2022-2025",IntComp24[[#This Row],[RAD/PACT]]=2019,IntComp24[[#This Row],[RAD/PACT]]="2020-2021"),"Yes",""))</f>
        <v>Yes</v>
      </c>
      <c r="M285" s="1">
        <f ca="1">IF(VLOOKUP(IntComp24[[#This Row],[DEVELOPMENT]],Data[],10,FALSE)=0,-1,DATEDIF(VLOOKUP(IntComp24[[#This Row],[DEVELOPMENT]],Data[],12,FALSE),TODAY(),"Y"))</f>
        <v>40</v>
      </c>
      <c r="N285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85" s="1"/>
      <c r="P285" s="1"/>
      <c r="Q285" s="1"/>
      <c r="R285" s="47">
        <f ca="1">(IntComp24[[#This Row],['# to Replace (MRST)]]*INDEX(UnitCosts[#All],MATCH(IntComp24[[#This Row],[WORK TYPE]],UnitCosts[Work Type],0)+1,2))*(1+((IntComp24[[#This Row],[est. Year]]-YEAR(TODAY()))*$R$2))</f>
        <v>0</v>
      </c>
      <c r="S285" s="1">
        <f ca="1">SUM(INDEX(IntComp24['# to Replace (MRST)],1):IntComp24[[#This Row],['# to Replace (MRST)]])</f>
        <v>112</v>
      </c>
      <c r="T285" s="1"/>
      <c r="U285" s="1">
        <f ca="1">IF(ISBLANK(IntComp24[[#This Row],[CALENDAR YEAR]]),ROUNDDOWN(IntComp24[[#This Row],[Count]]/50,0)+$U$1,IntComp24[[#This Row],[CALENDAR YEAR]])</f>
        <v>2024</v>
      </c>
      <c r="V285" s="64">
        <f t="shared" ca="1" si="4"/>
        <v>1150716.0000000002</v>
      </c>
      <c r="W285" s="5"/>
      <c r="X285"/>
    </row>
    <row r="286" spans="1:24" hidden="1">
      <c r="A286" s="65" t="s">
        <v>121</v>
      </c>
      <c r="B286" s="1" t="str">
        <f>VLOOKUP(A286,Data[],2,FALSE)</f>
        <v>BRONX</v>
      </c>
      <c r="C286" s="9" t="s">
        <v>106</v>
      </c>
      <c r="D286" s="9" t="str">
        <f>VLOOKUP(IntComp24[[#This Row],[DEVELOPMENT]],Data[],52,FALSE)</f>
        <v>FEDERAL</v>
      </c>
      <c r="E286" s="9" t="str">
        <f>VLOOKUP(IntComp24[[#This Row],[DEVELOPMENT]],Data[],8,FALSE)</f>
        <v>Zone 1</v>
      </c>
      <c r="F286" s="9" t="str">
        <f>VLOOKUP(IntComp24[[#This Row],[DEVELOPMENT]],all[[DEVELOPMENT]:[MRST Ext. Comp. Priority]],13,FALSE)</f>
        <v>None</v>
      </c>
      <c r="G286" s="9">
        <f>IF(VLOOKUP(IntComp24[[#This Row],[DEVELOPMENT]],Data[],9,FALSE)=0,5,VLOOKUP(IntComp24[[#This Row],[DEVELOPMENT]],Data[],9,FALSE))</f>
        <v>3</v>
      </c>
      <c r="H286" s="9">
        <f>VLOOKUP(IntComp24[[#This Row],[DEVELOPMENT]],Data[],7,FALSE)</f>
        <v>239</v>
      </c>
      <c r="I286" s="9">
        <f>VLOOKUP(IntComp24[[#This Row],[DEVELOPMENT]],Data[],5,FALSE)</f>
        <v>1</v>
      </c>
      <c r="J286" s="9"/>
      <c r="K286" s="9" t="str">
        <f ca="1">IFERROR(VLOOKUP(IntComp24[[#This Row],[DEVELOPMENT]],Data[],4,FALSE),"")</f>
        <v/>
      </c>
      <c r="L286" s="9" t="str">
        <f ca="1">IF(IntComp24[[#This Row],[RAD/PACT]]="","",IF(OR(IntComp24[[#This Row],[RAD/PACT]]="2022-2025",IntComp24[[#This Row],[RAD/PACT]]=2019,IntComp24[[#This Row],[RAD/PACT]]="2020-2021"),"Yes",""))</f>
        <v/>
      </c>
      <c r="M286" s="1">
        <f ca="1">IF(VLOOKUP(IntComp24[[#This Row],[DEVELOPMENT]],Data[],10,FALSE)=0,-1,DATEDIF(VLOOKUP(IntComp24[[#This Row],[DEVELOPMENT]],Data[],12,FALSE),TODAY(),"Y"))</f>
        <v>22</v>
      </c>
      <c r="N286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86" s="51"/>
      <c r="P286" s="1"/>
      <c r="Q286" s="1"/>
      <c r="R286" s="47">
        <f ca="1">(IntComp24[[#This Row],['# to Replace (MRST)]]*INDEX(UnitCosts[#All],MATCH(IntComp24[[#This Row],[WORK TYPE]],UnitCosts[Work Type],0)+1,2))*(1+((IntComp24[[#This Row],[est. Year]]-YEAR(TODAY()))*$R$2))</f>
        <v>0</v>
      </c>
      <c r="S286" s="1">
        <f ca="1">SUM(INDEX(IntComp24['# to Replace (MRST)],1):IntComp24[[#This Row],['# to Replace (MRST)]])</f>
        <v>112</v>
      </c>
      <c r="T286" s="1"/>
      <c r="U286" s="1">
        <f ca="1">IF(ISBLANK(IntComp24[[#This Row],[CALENDAR YEAR]]),ROUNDDOWN(IntComp24[[#This Row],[Count]]/50,0)+$U$1,IntComp24[[#This Row],[CALENDAR YEAR]])</f>
        <v>2024</v>
      </c>
      <c r="V286" s="64">
        <f t="shared" ca="1" si="4"/>
        <v>1150716.0000000002</v>
      </c>
      <c r="W286" s="5"/>
      <c r="X286"/>
    </row>
    <row r="287" spans="1:24" hidden="1">
      <c r="A287" s="65" t="s">
        <v>31</v>
      </c>
      <c r="B287" s="1" t="str">
        <f>VLOOKUP(A287,Data[],2,FALSE)</f>
        <v>BRONX</v>
      </c>
      <c r="C287" s="9" t="s">
        <v>106</v>
      </c>
      <c r="D287" s="9" t="str">
        <f>VLOOKUP(IntComp24[[#This Row],[DEVELOPMENT]],Data[],52,FALSE)</f>
        <v>FEDERAL</v>
      </c>
      <c r="E287" s="9" t="str">
        <f>VLOOKUP(IntComp24[[#This Row],[DEVELOPMENT]],Data[],8,FALSE)</f>
        <v>Zone 1</v>
      </c>
      <c r="F287" s="9" t="str">
        <f>VLOOKUP(IntComp24[[#This Row],[DEVELOPMENT]],all[[DEVELOPMENT]:[MRST Ext. Comp. Priority]],13,FALSE)</f>
        <v>None</v>
      </c>
      <c r="G287" s="9">
        <f>IF(VLOOKUP(IntComp24[[#This Row],[DEVELOPMENT]],Data[],9,FALSE)=0,5,VLOOKUP(IntComp24[[#This Row],[DEVELOPMENT]],Data[],9,FALSE))</f>
        <v>3</v>
      </c>
      <c r="H287" s="9">
        <f>VLOOKUP(IntComp24[[#This Row],[DEVELOPMENT]],Data[],7,FALSE)</f>
        <v>1476</v>
      </c>
      <c r="I287" s="9">
        <f>VLOOKUP(IntComp24[[#This Row],[DEVELOPMENT]],Data[],5,FALSE)</f>
        <v>6</v>
      </c>
      <c r="J287" s="9"/>
      <c r="K287" s="9" t="str">
        <f ca="1">IFERROR(VLOOKUP(IntComp24[[#This Row],[DEVELOPMENT]],Data[],4,FALSE),"")</f>
        <v/>
      </c>
      <c r="L287" s="9" t="str">
        <f ca="1">IF(IntComp24[[#This Row],[RAD/PACT]]="","",IF(OR(IntComp24[[#This Row],[RAD/PACT]]="2022-2025",IntComp24[[#This Row],[RAD/PACT]]=2019,IntComp24[[#This Row],[RAD/PACT]]="2020-2021"),"Yes",""))</f>
        <v/>
      </c>
      <c r="M287" s="1">
        <f ca="1">IF(VLOOKUP(IntComp24[[#This Row],[DEVELOPMENT]],Data[],10,FALSE)=0,-1,DATEDIF(VLOOKUP(IntComp24[[#This Row],[DEVELOPMENT]],Data[],12,FALSE),TODAY(),"Y"))</f>
        <v>21</v>
      </c>
      <c r="N287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87" s="1"/>
      <c r="P287" s="1"/>
      <c r="Q287" s="1"/>
      <c r="R287" s="47">
        <f ca="1">(IntComp24[[#This Row],['# to Replace (MRST)]]*INDEX(UnitCosts[#All],MATCH(IntComp24[[#This Row],[WORK TYPE]],UnitCosts[Work Type],0)+1,2))*(1+((IntComp24[[#This Row],[est. Year]]-YEAR(TODAY()))*$R$2))</f>
        <v>0</v>
      </c>
      <c r="S287" s="1">
        <f ca="1">SUM(INDEX(IntComp24['# to Replace (MRST)],1):IntComp24[[#This Row],['# to Replace (MRST)]])</f>
        <v>112</v>
      </c>
      <c r="T287" s="1"/>
      <c r="U287" s="1">
        <f ca="1">IF(ISBLANK(IntComp24[[#This Row],[CALENDAR YEAR]]),ROUNDDOWN(IntComp24[[#This Row],[Count]]/50,0)+$U$1,IntComp24[[#This Row],[CALENDAR YEAR]])</f>
        <v>2024</v>
      </c>
      <c r="V287" s="64">
        <f t="shared" ca="1" si="4"/>
        <v>1150716.0000000002</v>
      </c>
      <c r="W287" s="5"/>
      <c r="X287"/>
    </row>
    <row r="288" spans="1:24" hidden="1">
      <c r="A288" s="13" t="s">
        <v>71</v>
      </c>
      <c r="B288" s="1" t="str">
        <f>VLOOKUP(A288,Data[],2,FALSE)</f>
        <v>MANHATTAN</v>
      </c>
      <c r="C288" s="9" t="s">
        <v>106</v>
      </c>
      <c r="D288" s="9" t="str">
        <f>VLOOKUP(IntComp24[[#This Row],[DEVELOPMENT]],Data[],52,FALSE)</f>
        <v>FEDERAL</v>
      </c>
      <c r="E288" s="9" t="str">
        <f>VLOOKUP(IntComp24[[#This Row],[DEVELOPMENT]],Data[],8,FALSE)</f>
        <v>Zone 3</v>
      </c>
      <c r="F288" s="9" t="str">
        <f>VLOOKUP(IntComp24[[#This Row],[DEVELOPMENT]],all[[DEVELOPMENT]:[MRST Ext. Comp. Priority]],13,FALSE)</f>
        <v>None</v>
      </c>
      <c r="G288" s="9">
        <f>IF(VLOOKUP(IntComp24[[#This Row],[DEVELOPMENT]],Data[],9,FALSE)=0,5,VLOOKUP(IntComp24[[#This Row],[DEVELOPMENT]],Data[],9,FALSE))</f>
        <v>3</v>
      </c>
      <c r="H288" s="9">
        <f>VLOOKUP(IntComp24[[#This Row],[DEVELOPMENT]],Data[],7,FALSE)</f>
        <v>210</v>
      </c>
      <c r="I288" s="9">
        <f>VLOOKUP(IntComp24[[#This Row],[DEVELOPMENT]],Data[],5,FALSE)</f>
        <v>1</v>
      </c>
      <c r="J288" s="9"/>
      <c r="K288" s="9" t="str">
        <f ca="1">IFERROR(VLOOKUP(IntComp24[[#This Row],[DEVELOPMENT]],Data[],4,FALSE),"")</f>
        <v>2020-2021</v>
      </c>
      <c r="L288" s="9" t="str">
        <f ca="1">IF(IntComp24[[#This Row],[RAD/PACT]]="","",IF(OR(IntComp24[[#This Row],[RAD/PACT]]="2022-2025",IntComp24[[#This Row],[RAD/PACT]]=2019,IntComp24[[#This Row],[RAD/PACT]]="2020-2021"),"Yes",""))</f>
        <v>Yes</v>
      </c>
      <c r="M288" s="1">
        <f ca="1">IF(VLOOKUP(IntComp24[[#This Row],[DEVELOPMENT]],Data[],10,FALSE)=0,-1,DATEDIF(VLOOKUP(IntComp24[[#This Row],[DEVELOPMENT]],Data[],12,FALSE),TODAY(),"Y"))</f>
        <v>19</v>
      </c>
      <c r="N288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88" s="1"/>
      <c r="P288" s="1"/>
      <c r="Q288" s="1"/>
      <c r="R288" s="47">
        <f ca="1">(IntComp24[[#This Row],['# to Replace (MRST)]]*INDEX(UnitCosts[#All],MATCH(IntComp24[[#This Row],[WORK TYPE]],UnitCosts[Work Type],0)+1,2))*(1+((IntComp24[[#This Row],[est. Year]]-YEAR(TODAY()))*$R$2))</f>
        <v>0</v>
      </c>
      <c r="S288" s="1">
        <f ca="1">SUM(INDEX(IntComp24['# to Replace (MRST)],1):IntComp24[[#This Row],['# to Replace (MRST)]])</f>
        <v>112</v>
      </c>
      <c r="T288" s="1"/>
      <c r="U288" s="1">
        <f ca="1">IF(ISBLANK(IntComp24[[#This Row],[CALENDAR YEAR]]),ROUNDDOWN(IntComp24[[#This Row],[Count]]/50,0)+$U$1,IntComp24[[#This Row],[CALENDAR YEAR]])</f>
        <v>2024</v>
      </c>
      <c r="V288" s="64">
        <f t="shared" ref="V288:V290" ca="1" si="5">IF(U288=U287,R288+V287,R288)</f>
        <v>1150716.0000000002</v>
      </c>
      <c r="W288" s="5"/>
      <c r="X288"/>
    </row>
    <row r="289" spans="1:24">
      <c r="A289" s="13" t="s">
        <v>123</v>
      </c>
      <c r="B289" s="1" t="str">
        <f>VLOOKUP(A289,Data[],2,FALSE)</f>
        <v>BRONX</v>
      </c>
      <c r="C289" s="9" t="s">
        <v>106</v>
      </c>
      <c r="D289" s="9" t="str">
        <f>VLOOKUP(IntComp24[[#This Row],[DEVELOPMENT]],Data[],52,FALSE)</f>
        <v>MIXED FINANCE/LLC1</v>
      </c>
      <c r="E289" s="9" t="str">
        <f>VLOOKUP(IntComp24[[#This Row],[DEVELOPMENT]],Data[],8,FALSE)</f>
        <v>Zone 3</v>
      </c>
      <c r="F289" s="9" t="str">
        <f>VLOOKUP(IntComp24[[#This Row],[DEVELOPMENT]],all[[DEVELOPMENT]:[MRST Ext. Comp. Priority]],13,FALSE)</f>
        <v>None</v>
      </c>
      <c r="G289" s="9">
        <f>IF(VLOOKUP(IntComp24[[#This Row],[DEVELOPMENT]],Data[],9,FALSE)=0,5,VLOOKUP(IntComp24[[#This Row],[DEVELOPMENT]],Data[],9,FALSE))</f>
        <v>4</v>
      </c>
      <c r="H289" s="9">
        <f>VLOOKUP(IntComp24[[#This Row],[DEVELOPMENT]],Data[],7,FALSE)</f>
        <v>1005</v>
      </c>
      <c r="I289" s="9">
        <f>VLOOKUP(IntComp24[[#This Row],[DEVELOPMENT]],Data[],5,FALSE)</f>
        <v>6</v>
      </c>
      <c r="J289" s="9"/>
      <c r="K289" s="9" t="str">
        <f ca="1">IFERROR(VLOOKUP(IntComp24[[#This Row],[DEVELOPMENT]],Data[],4,FALSE),"")</f>
        <v>2026+</v>
      </c>
      <c r="L289" s="9" t="str">
        <f ca="1">IF(IntComp24[[#This Row],[RAD/PACT]]="","",IF(OR(IntComp24[[#This Row],[RAD/PACT]]="2022-2025",IntComp24[[#This Row],[RAD/PACT]]=2019,IntComp24[[#This Row],[RAD/PACT]]="2020-2021"),"Yes",""))</f>
        <v/>
      </c>
      <c r="M289" s="1">
        <f ca="1">IF(VLOOKUP(IntComp24[[#This Row],[DEVELOPMENT]],Data[],10,FALSE)=0,-1,DATEDIF(VLOOKUP(IntComp24[[#This Row],[DEVELOPMENT]],Data[],12,FALSE),TODAY(),"Y"))</f>
        <v>20</v>
      </c>
      <c r="N289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6</v>
      </c>
      <c r="O289" s="1"/>
      <c r="P289" s="1"/>
      <c r="Q289" s="1"/>
      <c r="R289" s="47">
        <f ca="1">(IntComp24[[#This Row],['# to Replace (MRST)]]*INDEX(UnitCosts[#All],MATCH(IntComp24[[#This Row],[WORK TYPE]],UnitCosts[Work Type],0)+1,2))*(1+((IntComp24[[#This Row],[est. Year]]-YEAR(TODAY()))*$R$2))</f>
        <v>431518.50000000006</v>
      </c>
      <c r="S289" s="1">
        <f ca="1">SUM(INDEX(IntComp24['# to Replace (MRST)],1):IntComp24[[#This Row],['# to Replace (MRST)]])</f>
        <v>118</v>
      </c>
      <c r="T289" s="1"/>
      <c r="U289" s="1">
        <f ca="1">IF(ISBLANK(IntComp24[[#This Row],[CALENDAR YEAR]]),ROUNDDOWN(IntComp24[[#This Row],[Count]]/50,0)+$U$1,IntComp24[[#This Row],[CALENDAR YEAR]])</f>
        <v>2024</v>
      </c>
      <c r="V289" s="64">
        <f t="shared" ca="1" si="5"/>
        <v>1582234.5000000002</v>
      </c>
      <c r="W289" s="5"/>
      <c r="X289"/>
    </row>
    <row r="290" spans="1:24">
      <c r="A290" s="13" t="s">
        <v>77</v>
      </c>
      <c r="B290" s="1" t="str">
        <f>VLOOKUP(A290,Data[],2,FALSE)</f>
        <v>MANHATTAN</v>
      </c>
      <c r="C290" s="9" t="s">
        <v>106</v>
      </c>
      <c r="D290" s="9" t="str">
        <f>VLOOKUP(IntComp24[[#This Row],[DEVELOPMENT]],Data[],52,FALSE)</f>
        <v>MIXED FINANCE/LLC1</v>
      </c>
      <c r="E290" s="9" t="str">
        <f>VLOOKUP(IntComp24[[#This Row],[DEVELOPMENT]],Data[],8,FALSE)</f>
        <v>Zone 2</v>
      </c>
      <c r="F290" s="9" t="str">
        <f>VLOOKUP(IntComp24[[#This Row],[DEVELOPMENT]],all[[DEVELOPMENT]:[MRST Ext. Comp. Priority]],13,FALSE)</f>
        <v>None</v>
      </c>
      <c r="G290" s="9">
        <f>IF(VLOOKUP(IntComp24[[#This Row],[DEVELOPMENT]],Data[],9,FALSE)=0,5,VLOOKUP(IntComp24[[#This Row],[DEVELOPMENT]],Data[],9,FALSE))</f>
        <v>4</v>
      </c>
      <c r="H290" s="9">
        <f>VLOOKUP(IntComp24[[#This Row],[DEVELOPMENT]],Data[],7,FALSE)</f>
        <v>1211</v>
      </c>
      <c r="I290" s="9">
        <f>VLOOKUP(IntComp24[[#This Row],[DEVELOPMENT]],Data[],5,FALSE)</f>
        <v>5</v>
      </c>
      <c r="J290" s="9"/>
      <c r="K290" s="9" t="str">
        <f ca="1">IFERROR(VLOOKUP(IntComp24[[#This Row],[DEVELOPMENT]],Data[],4,FALSE),"")</f>
        <v/>
      </c>
      <c r="L290" s="9" t="str">
        <f ca="1">IF(IntComp24[[#This Row],[RAD/PACT]]="","",IF(OR(IntComp24[[#This Row],[RAD/PACT]]="2022-2025",IntComp24[[#This Row],[RAD/PACT]]=2019,IntComp24[[#This Row],[RAD/PACT]]="2020-2021"),"Yes",""))</f>
        <v/>
      </c>
      <c r="M290" s="1">
        <f ca="1">IF(VLOOKUP(IntComp24[[#This Row],[DEVELOPMENT]],Data[],10,FALSE)=0,-1,DATEDIF(VLOOKUP(IntComp24[[#This Row],[DEVELOPMENT]],Data[],12,FALSE),TODAY(),"Y"))</f>
        <v>17</v>
      </c>
      <c r="N290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5</v>
      </c>
      <c r="O290" s="1"/>
      <c r="P290" s="1"/>
      <c r="Q290" s="1"/>
      <c r="R290" s="47">
        <f ca="1">(IntComp24[[#This Row],['# to Replace (MRST)]]*INDEX(UnitCosts[#All],MATCH(IntComp24[[#This Row],[WORK TYPE]],UnitCosts[Work Type],0)+1,2))*(1+((IntComp24[[#This Row],[est. Year]]-YEAR(TODAY()))*$R$2))</f>
        <v>359598.75000000006</v>
      </c>
      <c r="S290" s="1">
        <f ca="1">SUM(INDEX(IntComp24['# to Replace (MRST)],1):IntComp24[[#This Row],['# to Replace (MRST)]])</f>
        <v>123</v>
      </c>
      <c r="T290" s="1"/>
      <c r="U290" s="1">
        <f ca="1">IF(ISBLANK(IntComp24[[#This Row],[CALENDAR YEAR]]),ROUNDDOWN(IntComp24[[#This Row],[Count]]/50,0)+$U$1,IntComp24[[#This Row],[CALENDAR YEAR]])</f>
        <v>2024</v>
      </c>
      <c r="V290" s="64">
        <f t="shared" ca="1" si="5"/>
        <v>1941833.2500000002</v>
      </c>
      <c r="W290" s="5"/>
      <c r="X290"/>
    </row>
    <row r="291" spans="1:24" hidden="1">
      <c r="A291" s="13" t="s">
        <v>73</v>
      </c>
      <c r="B291" s="1" t="str">
        <f>VLOOKUP(A291,Data[],2,FALSE)</f>
        <v>BRONX</v>
      </c>
      <c r="C291" s="9" t="s">
        <v>106</v>
      </c>
      <c r="D291" s="9" t="str">
        <f>VLOOKUP(IntComp24[[#This Row],[DEVELOPMENT]],Data[],52,FALSE)</f>
        <v>FEDERAL</v>
      </c>
      <c r="E291" s="9" t="str">
        <f>VLOOKUP(IntComp24[[#This Row],[DEVELOPMENT]],Data[],8,FALSE)</f>
        <v>Zone 3</v>
      </c>
      <c r="F291" s="9" t="str">
        <f>VLOOKUP(IntComp24[[#This Row],[DEVELOPMENT]],all[[DEVELOPMENT]:[MRST Ext. Comp. Priority]],13,FALSE)</f>
        <v>None</v>
      </c>
      <c r="G291" s="9">
        <f>IF(VLOOKUP(IntComp24[[#This Row],[DEVELOPMENT]],Data[],9,FALSE)=0,5,VLOOKUP(IntComp24[[#This Row],[DEVELOPMENT]],Data[],9,FALSE))</f>
        <v>4</v>
      </c>
      <c r="H291" s="9">
        <f>VLOOKUP(IntComp24[[#This Row],[DEVELOPMENT]],Data[],7,FALSE)</f>
        <v>1245</v>
      </c>
      <c r="I291" s="9">
        <f>VLOOKUP(IntComp24[[#This Row],[DEVELOPMENT]],Data[],5,FALSE)</f>
        <v>9</v>
      </c>
      <c r="J291" s="9"/>
      <c r="K291" s="9" t="str">
        <f ca="1">IFERROR(VLOOKUP(IntComp24[[#This Row],[DEVELOPMENT]],Data[],4,FALSE),"")</f>
        <v/>
      </c>
      <c r="L291" s="9" t="str">
        <f ca="1">IF(IntComp24[[#This Row],[RAD/PACT]]="","",IF(OR(IntComp24[[#This Row],[RAD/PACT]]="2022-2025",IntComp24[[#This Row],[RAD/PACT]]=2019,IntComp24[[#This Row],[RAD/PACT]]="2020-2021"),"Yes",""))</f>
        <v/>
      </c>
      <c r="M291" s="1">
        <f ca="1">IF(VLOOKUP(IntComp24[[#This Row],[DEVELOPMENT]],Data[],10,FALSE)=0,-1,DATEDIF(VLOOKUP(IntComp24[[#This Row],[DEVELOPMENT]],Data[],12,FALSE),TODAY(),"Y"))</f>
        <v>17</v>
      </c>
      <c r="N291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91" s="1"/>
      <c r="P291" s="1"/>
      <c r="Q291" s="1"/>
      <c r="R291" s="47">
        <f ca="1">(IntComp24[[#This Row],['# to Replace (MRST)]]*INDEX(UnitCosts[#All],MATCH(IntComp24[[#This Row],[WORK TYPE]],UnitCosts[Work Type],0)+1,2))*(1+((IntComp24[[#This Row],[est. Year]]-YEAR(TODAY()))*$R$2))</f>
        <v>0</v>
      </c>
      <c r="S291" s="1">
        <f ca="1">SUM(INDEX(IntComp24['# to Replace (MRST)],1):IntComp24[[#This Row],['# to Replace (MRST)]])</f>
        <v>123</v>
      </c>
      <c r="T291" s="1"/>
      <c r="U291" s="1">
        <f ca="1">IF(ISBLANK(IntComp24[[#This Row],[CALENDAR YEAR]]),ROUNDDOWN(IntComp24[[#This Row],[Count]]/50,0)+$U$1,IntComp24[[#This Row],[CALENDAR YEAR]])</f>
        <v>2024</v>
      </c>
      <c r="V291" s="64">
        <f t="shared" ref="V291:V314" ca="1" si="6">IF(U291=U290,R291+V290,R291)</f>
        <v>1941833.2500000002</v>
      </c>
      <c r="W291" s="5"/>
      <c r="X291"/>
    </row>
    <row r="292" spans="1:24" hidden="1">
      <c r="A292" s="65" t="s">
        <v>65</v>
      </c>
      <c r="B292" s="1" t="str">
        <f>VLOOKUP(A292,Data[],2,FALSE)</f>
        <v>MANHATTAN</v>
      </c>
      <c r="C292" s="9" t="s">
        <v>106</v>
      </c>
      <c r="D292" s="9" t="str">
        <f>VLOOKUP(IntComp24[[#This Row],[DEVELOPMENT]],Data[],52,FALSE)</f>
        <v>FEDERAL</v>
      </c>
      <c r="E292" s="9" t="str">
        <f>VLOOKUP(IntComp24[[#This Row],[DEVELOPMENT]],Data[],8,FALSE)</f>
        <v>Zone 1</v>
      </c>
      <c r="F292" s="9" t="str">
        <f>VLOOKUP(IntComp24[[#This Row],[DEVELOPMENT]],all[[DEVELOPMENT]:[MRST Ext. Comp. Priority]],13,FALSE)</f>
        <v>None</v>
      </c>
      <c r="G292" s="9">
        <f>IF(VLOOKUP(IntComp24[[#This Row],[DEVELOPMENT]],Data[],9,FALSE)=0,5,VLOOKUP(IntComp24[[#This Row],[DEVELOPMENT]],Data[],9,FALSE))</f>
        <v>4</v>
      </c>
      <c r="H292" s="9">
        <f>VLOOKUP(IntComp24[[#This Row],[DEVELOPMENT]],Data[],7,FALSE)</f>
        <v>360</v>
      </c>
      <c r="I292" s="9">
        <f>VLOOKUP(IntComp24[[#This Row],[DEVELOPMENT]],Data[],5,FALSE)</f>
        <v>2</v>
      </c>
      <c r="J292" s="9"/>
      <c r="K292" s="9" t="str">
        <f ca="1">IFERROR(VLOOKUP(IntComp24[[#This Row],[DEVELOPMENT]],Data[],4,FALSE),"")</f>
        <v/>
      </c>
      <c r="L292" s="9" t="str">
        <f ca="1">IF(IntComp24[[#This Row],[RAD/PACT]]="","",IF(OR(IntComp24[[#This Row],[RAD/PACT]]="2022-2025",IntComp24[[#This Row],[RAD/PACT]]=2019,IntComp24[[#This Row],[RAD/PACT]]="2020-2021"),"Yes",""))</f>
        <v/>
      </c>
      <c r="M292" s="1">
        <f ca="1">IF(VLOOKUP(IntComp24[[#This Row],[DEVELOPMENT]],Data[],10,FALSE)=0,-1,DATEDIF(VLOOKUP(IntComp24[[#This Row],[DEVELOPMENT]],Data[],12,FALSE),TODAY(),"Y"))</f>
        <v>2</v>
      </c>
      <c r="N292" s="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92" s="1"/>
      <c r="P292" s="1"/>
      <c r="Q292" s="1"/>
      <c r="R292" s="47">
        <f ca="1">(IntComp24[[#This Row],['# to Replace (MRST)]]*INDEX(UnitCosts[#All],MATCH(IntComp24[[#This Row],[WORK TYPE]],UnitCosts[Work Type],0)+1,2))*(1+((IntComp24[[#This Row],[est. Year]]-YEAR(TODAY()))*$R$2))</f>
        <v>0</v>
      </c>
      <c r="S292" s="1">
        <f ca="1">SUM(INDEX(IntComp24['# to Replace (MRST)],1):IntComp24[[#This Row],['# to Replace (MRST)]])</f>
        <v>123</v>
      </c>
      <c r="T292" s="1"/>
      <c r="U292" s="1">
        <f ca="1">IF(ISBLANK(IntComp24[[#This Row],[CALENDAR YEAR]]),ROUNDDOWN(IntComp24[[#This Row],[Count]]/50,0)+$U$1,IntComp24[[#This Row],[CALENDAR YEAR]])</f>
        <v>2024</v>
      </c>
      <c r="V292" s="64">
        <f t="shared" ca="1" si="6"/>
        <v>1941833.2500000002</v>
      </c>
      <c r="W292" s="5"/>
      <c r="X292"/>
    </row>
    <row r="293" spans="1:24" hidden="1">
      <c r="A293" s="13" t="s">
        <v>332</v>
      </c>
      <c r="B293" s="1" t="str">
        <f>VLOOKUP(A293,Data[],2,FALSE)</f>
        <v>BRONX</v>
      </c>
      <c r="C293" s="9" t="s">
        <v>106</v>
      </c>
      <c r="D293" s="9" t="str">
        <f>VLOOKUP(IntComp24[[#This Row],[DEVELOPMENT]],Data[],52,FALSE)</f>
        <v>FEDERAL</v>
      </c>
      <c r="E293" s="50" t="str">
        <f>VLOOKUP(IntComp24[[#This Row],[DEVELOPMENT]],Data[],8,FALSE)</f>
        <v>Zone 1</v>
      </c>
      <c r="F293" s="50" t="str">
        <f>VLOOKUP(IntComp24[[#This Row],[DEVELOPMENT]],all[[DEVELOPMENT]:[MRST Ext. Comp. Priority]],13,FALSE)</f>
        <v>None</v>
      </c>
      <c r="G293" s="9">
        <f>IF(VLOOKUP(IntComp24[[#This Row],[DEVELOPMENT]],Data[],9,FALSE)=0,5,VLOOKUP(IntComp24[[#This Row],[DEVELOPMENT]],Data[],9,FALSE))</f>
        <v>4</v>
      </c>
      <c r="H293" s="50">
        <f>VLOOKUP(IntComp24[[#This Row],[DEVELOPMENT]],Data[],7,FALSE)</f>
        <v>700</v>
      </c>
      <c r="I293" s="50">
        <f>VLOOKUP(IntComp24[[#This Row],[DEVELOPMENT]],Data[],5,FALSE)</f>
        <v>6</v>
      </c>
      <c r="J293" s="9"/>
      <c r="K293" s="50" t="str">
        <f ca="1">IFERROR(VLOOKUP(IntComp24[[#This Row],[DEVELOPMENT]],Data[],4,FALSE),"")</f>
        <v/>
      </c>
      <c r="L293" s="50" t="str">
        <f ca="1">IF(IntComp24[[#This Row],[RAD/PACT]]="","",IF(OR(IntComp24[[#This Row],[RAD/PACT]]="2022-2025",IntComp24[[#This Row],[RAD/PACT]]=2019,IntComp24[[#This Row],[RAD/PACT]]="2020-2021"),"Yes",""))</f>
        <v/>
      </c>
      <c r="M293" s="51">
        <f ca="1">IF(VLOOKUP(IntComp24[[#This Row],[DEVELOPMENT]],Data[],10,FALSE)=0,-1,DATEDIF(VLOOKUP(IntComp24[[#This Row],[DEVELOPMENT]],Data[],12,FALSE),TODAY(),"Y"))</f>
        <v>1</v>
      </c>
      <c r="N29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93" s="51"/>
      <c r="P293" s="51"/>
      <c r="Q293" s="51"/>
      <c r="R293" s="47">
        <f ca="1">(IntComp24[[#This Row],['# to Replace (MRST)]]*INDEX(UnitCosts[#All],MATCH(IntComp24[[#This Row],[WORK TYPE]],UnitCosts[Work Type],0)+1,2))*(1+((IntComp24[[#This Row],[est. Year]]-YEAR(TODAY()))*$R$2))</f>
        <v>0</v>
      </c>
      <c r="S293" s="1">
        <f ca="1">SUM(INDEX(IntComp24['# to Replace (MRST)],1):IntComp24[[#This Row],['# to Replace (MRST)]])</f>
        <v>123</v>
      </c>
      <c r="T293" s="51"/>
      <c r="U293" s="51">
        <f ca="1">IF(ISBLANK(IntComp24[[#This Row],[CALENDAR YEAR]]),ROUNDDOWN(IntComp24[[#This Row],[Count]]/50,0)+$U$1,IntComp24[[#This Row],[CALENDAR YEAR]])</f>
        <v>2024</v>
      </c>
      <c r="V293" s="64">
        <f t="shared" ca="1" si="6"/>
        <v>1941833.2500000002</v>
      </c>
      <c r="W293" s="5"/>
      <c r="X293"/>
    </row>
    <row r="294" spans="1:24" hidden="1">
      <c r="A294" s="13" t="s">
        <v>268</v>
      </c>
      <c r="B294" s="9" t="str">
        <f>VLOOKUP(A294,Data[],2,FALSE)</f>
        <v>BRONX</v>
      </c>
      <c r="C294" s="9" t="s">
        <v>106</v>
      </c>
      <c r="D294" s="9" t="str">
        <f>VLOOKUP(IntComp24[[#This Row],[DEVELOPMENT]],Data[],52,FALSE)</f>
        <v>FEDERAL</v>
      </c>
      <c r="E294" s="50">
        <f>VLOOKUP(IntComp24[[#This Row],[DEVELOPMENT]],Data[],8,FALSE)</f>
        <v>0</v>
      </c>
      <c r="F294" s="50" t="str">
        <f>VLOOKUP(IntComp24[[#This Row],[DEVELOPMENT]],all[[DEVELOPMENT]:[MRST Ext. Comp. Priority]],13,FALSE)</f>
        <v>None</v>
      </c>
      <c r="G294" s="50">
        <f>IF(VLOOKUP(IntComp24[[#This Row],[DEVELOPMENT]],Data[],9,FALSE)=0,5,VLOOKUP(IntComp24[[#This Row],[DEVELOPMENT]],Data[],9,FALSE))</f>
        <v>5</v>
      </c>
      <c r="H294" s="50">
        <f>VLOOKUP(IntComp24[[#This Row],[DEVELOPMENT]],Data[],7,FALSE)</f>
        <v>251</v>
      </c>
      <c r="I294" s="50">
        <f>VLOOKUP(IntComp24[[#This Row],[DEVELOPMENT]],Data[],5,FALSE)</f>
        <v>3</v>
      </c>
      <c r="J294" s="50"/>
      <c r="K294" s="50" t="str">
        <f ca="1">IFERROR(VLOOKUP(IntComp24[[#This Row],[DEVELOPMENT]],Data[],4,FALSE),"")</f>
        <v>2020-2021</v>
      </c>
      <c r="L294" s="50" t="str">
        <f ca="1">IF(IntComp24[[#This Row],[RAD/PACT]]="","",IF(OR(IntComp24[[#This Row],[RAD/PACT]]="2022-2025",IntComp24[[#This Row],[RAD/PACT]]=2019,IntComp24[[#This Row],[RAD/PACT]]="2020-2021"),"Yes",""))</f>
        <v>Yes</v>
      </c>
      <c r="M294" s="51">
        <f ca="1">IF(VLOOKUP(IntComp24[[#This Row],[DEVELOPMENT]],Data[],10,FALSE)=0,-1,DATEDIF(VLOOKUP(IntComp24[[#This Row],[DEVELOPMENT]],Data[],12,FALSE),TODAY(),"Y"))</f>
        <v>25</v>
      </c>
      <c r="N29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94" s="51"/>
      <c r="P294" s="51"/>
      <c r="Q294" s="51"/>
      <c r="R294" s="47">
        <f ca="1">(IntComp24[[#This Row],['# to Replace (MRST)]]*INDEX(UnitCosts[#All],MATCH(IntComp24[[#This Row],[WORK TYPE]],UnitCosts[Work Type],0)+1,2))*(1+((IntComp24[[#This Row],[est. Year]]-YEAR(TODAY()))*$R$2))</f>
        <v>0</v>
      </c>
      <c r="S294" s="1">
        <f ca="1">SUM(INDEX(IntComp24['# to Replace (MRST)],1):IntComp24[[#This Row],['# to Replace (MRST)]])</f>
        <v>123</v>
      </c>
      <c r="T294" s="51"/>
      <c r="U294" s="51">
        <f ca="1">IF(ISBLANK(IntComp24[[#This Row],[CALENDAR YEAR]]),ROUNDDOWN(IntComp24[[#This Row],[Count]]/50,0)+$U$1,IntComp24[[#This Row],[CALENDAR YEAR]])</f>
        <v>2024</v>
      </c>
      <c r="V294" s="69">
        <f t="shared" ca="1" si="6"/>
        <v>1941833.2500000002</v>
      </c>
      <c r="W294" s="5"/>
      <c r="X294"/>
    </row>
    <row r="295" spans="1:24" hidden="1">
      <c r="A295" s="13" t="s">
        <v>307</v>
      </c>
      <c r="B295" s="9" t="str">
        <f>VLOOKUP(A295,Data[],2,FALSE)</f>
        <v>QUEENS</v>
      </c>
      <c r="C295" s="9" t="s">
        <v>106</v>
      </c>
      <c r="D295" s="9" t="str">
        <f>VLOOKUP(IntComp24[[#This Row],[DEVELOPMENT]],Data[],52,FALSE)</f>
        <v>FEDERAL</v>
      </c>
      <c r="E295" s="50">
        <f>VLOOKUP(IntComp24[[#This Row],[DEVELOPMENT]],Data[],8,FALSE)</f>
        <v>0</v>
      </c>
      <c r="F295" s="50" t="str">
        <f>VLOOKUP(IntComp24[[#This Row],[DEVELOPMENT]],all[[DEVELOPMENT]:[MRST Ext. Comp. Priority]],13,FALSE)</f>
        <v>None</v>
      </c>
      <c r="G295" s="50">
        <f>IF(VLOOKUP(IntComp24[[#This Row],[DEVELOPMENT]],Data[],9,FALSE)=0,5,VLOOKUP(IntComp24[[#This Row],[DEVELOPMENT]],Data[],9,FALSE))</f>
        <v>5</v>
      </c>
      <c r="H295" s="50">
        <f>VLOOKUP(IntComp24[[#This Row],[DEVELOPMENT]],Data[],7,FALSE)</f>
        <v>169</v>
      </c>
      <c r="I295" s="50">
        <f>VLOOKUP(IntComp24[[#This Row],[DEVELOPMENT]],Data[],5,FALSE)</f>
        <v>1</v>
      </c>
      <c r="J295" s="50"/>
      <c r="K295" s="50" t="str">
        <f ca="1">IFERROR(VLOOKUP(IntComp24[[#This Row],[DEVELOPMENT]],Data[],4,FALSE),"")</f>
        <v>2026+</v>
      </c>
      <c r="L295" s="50" t="str">
        <f ca="1">IF(IntComp24[[#This Row],[RAD/PACT]]="","",IF(OR(IntComp24[[#This Row],[RAD/PACT]]="2022-2025",IntComp24[[#This Row],[RAD/PACT]]=2019,IntComp24[[#This Row],[RAD/PACT]]="2020-2021"),"Yes",""))</f>
        <v/>
      </c>
      <c r="M295" s="51">
        <f ca="1">IF(VLOOKUP(IntComp24[[#This Row],[DEVELOPMENT]],Data[],10,FALSE)=0,-1,DATEDIF(VLOOKUP(IntComp24[[#This Row],[DEVELOPMENT]],Data[],12,FALSE),TODAY(),"Y"))</f>
        <v>24</v>
      </c>
      <c r="N29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95" s="51"/>
      <c r="P295" s="51"/>
      <c r="Q295" s="51"/>
      <c r="R295" s="47">
        <f ca="1">(IntComp24[[#This Row],['# to Replace (MRST)]]*INDEX(UnitCosts[#All],MATCH(IntComp24[[#This Row],[WORK TYPE]],UnitCosts[Work Type],0)+1,2))*(1+((IntComp24[[#This Row],[est. Year]]-YEAR(TODAY()))*$R$2))</f>
        <v>0</v>
      </c>
      <c r="S295" s="1">
        <f ca="1">SUM(INDEX(IntComp24['# to Replace (MRST)],1):IntComp24[[#This Row],['# to Replace (MRST)]])</f>
        <v>123</v>
      </c>
      <c r="T295" s="51"/>
      <c r="U295" s="51">
        <f ca="1">IF(ISBLANK(IntComp24[[#This Row],[CALENDAR YEAR]]),ROUNDDOWN(IntComp24[[#This Row],[Count]]/50,0)+$U$1,IntComp24[[#This Row],[CALENDAR YEAR]])</f>
        <v>2024</v>
      </c>
      <c r="V295" s="69">
        <f t="shared" ca="1" si="6"/>
        <v>1941833.2500000002</v>
      </c>
      <c r="W295" s="5"/>
      <c r="X295"/>
    </row>
    <row r="296" spans="1:24" hidden="1">
      <c r="A296" s="13" t="s">
        <v>383</v>
      </c>
      <c r="B296" s="9" t="str">
        <f>VLOOKUP(A296,Data[],2,FALSE)</f>
        <v>BROOKLYN</v>
      </c>
      <c r="C296" s="9" t="s">
        <v>106</v>
      </c>
      <c r="D296" s="9" t="str">
        <f>VLOOKUP(IntComp24[[#This Row],[DEVELOPMENT]],Data[],52,FALSE)</f>
        <v>FEDERAL</v>
      </c>
      <c r="E296" s="50">
        <f>VLOOKUP(IntComp24[[#This Row],[DEVELOPMENT]],Data[],8,FALSE)</f>
        <v>0</v>
      </c>
      <c r="F296" s="50" t="str">
        <f>VLOOKUP(IntComp24[[#This Row],[DEVELOPMENT]],all[[DEVELOPMENT]:[MRST Ext. Comp. Priority]],13,FALSE)</f>
        <v>None</v>
      </c>
      <c r="G296" s="50">
        <f>IF(VLOOKUP(IntComp24[[#This Row],[DEVELOPMENT]],Data[],9,FALSE)=0,5,VLOOKUP(IntComp24[[#This Row],[DEVELOPMENT]],Data[],9,FALSE))</f>
        <v>5</v>
      </c>
      <c r="H296" s="50">
        <f>VLOOKUP(IntComp24[[#This Row],[DEVELOPMENT]],Data[],7,FALSE)</f>
        <v>1651</v>
      </c>
      <c r="I296" s="50">
        <f>VLOOKUP(IntComp24[[#This Row],[DEVELOPMENT]],Data[],5,FALSE)</f>
        <v>15</v>
      </c>
      <c r="J296" s="50"/>
      <c r="K296" s="50" t="str">
        <f ca="1">IFERROR(VLOOKUP(IntComp24[[#This Row],[DEVELOPMENT]],Data[],4,FALSE),"")</f>
        <v/>
      </c>
      <c r="L296" s="50" t="str">
        <f ca="1">IF(IntComp24[[#This Row],[RAD/PACT]]="","",IF(OR(IntComp24[[#This Row],[RAD/PACT]]="2022-2025",IntComp24[[#This Row],[RAD/PACT]]=2019,IntComp24[[#This Row],[RAD/PACT]]="2020-2021"),"Yes",""))</f>
        <v/>
      </c>
      <c r="M296" s="51">
        <f ca="1">IF(VLOOKUP(IntComp24[[#This Row],[DEVELOPMENT]],Data[],10,FALSE)=0,-1,DATEDIF(VLOOKUP(IntComp24[[#This Row],[DEVELOPMENT]],Data[],12,FALSE),TODAY(),"Y"))</f>
        <v>22</v>
      </c>
      <c r="N29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96" s="51"/>
      <c r="P296" s="51"/>
      <c r="Q296" s="51"/>
      <c r="R296" s="47">
        <f ca="1">(IntComp24[[#This Row],['# to Replace (MRST)]]*INDEX(UnitCosts[#All],MATCH(IntComp24[[#This Row],[WORK TYPE]],UnitCosts[Work Type],0)+1,2))*(1+((IntComp24[[#This Row],[est. Year]]-YEAR(TODAY()))*$R$2))</f>
        <v>0</v>
      </c>
      <c r="S296" s="1">
        <f ca="1">SUM(INDEX(IntComp24['# to Replace (MRST)],1):IntComp24[[#This Row],['# to Replace (MRST)]])</f>
        <v>123</v>
      </c>
      <c r="T296" s="51"/>
      <c r="U296" s="51">
        <f ca="1">IF(ISBLANK(IntComp24[[#This Row],[CALENDAR YEAR]]),ROUNDDOWN(IntComp24[[#This Row],[Count]]/50,0)+$U$1,IntComp24[[#This Row],[CALENDAR YEAR]])</f>
        <v>2024</v>
      </c>
      <c r="V296" s="69">
        <f t="shared" ca="1" si="6"/>
        <v>1941833.2500000002</v>
      </c>
      <c r="W296" s="5"/>
      <c r="X296"/>
    </row>
    <row r="297" spans="1:24" hidden="1">
      <c r="A297" s="13" t="s">
        <v>346</v>
      </c>
      <c r="B297" s="9" t="str">
        <f>VLOOKUP(A297,Data[],2,FALSE)</f>
        <v>BRONX</v>
      </c>
      <c r="C297" s="9" t="s">
        <v>106</v>
      </c>
      <c r="D297" s="9" t="str">
        <f>VLOOKUP(IntComp24[[#This Row],[DEVELOPMENT]],Data[],52,FALSE)</f>
        <v>FEDERAL</v>
      </c>
      <c r="E297" s="50">
        <f>VLOOKUP(IntComp24[[#This Row],[DEVELOPMENT]],Data[],8,FALSE)</f>
        <v>0</v>
      </c>
      <c r="F297" s="50" t="str">
        <f>VLOOKUP(IntComp24[[#This Row],[DEVELOPMENT]],all[[DEVELOPMENT]:[MRST Ext. Comp. Priority]],13,FALSE)</f>
        <v>None</v>
      </c>
      <c r="G297" s="50">
        <f>IF(VLOOKUP(IntComp24[[#This Row],[DEVELOPMENT]],Data[],9,FALSE)=0,5,VLOOKUP(IntComp24[[#This Row],[DEVELOPMENT]],Data[],9,FALSE))</f>
        <v>5</v>
      </c>
      <c r="H297" s="50">
        <f>VLOOKUP(IntComp24[[#This Row],[DEVELOPMENT]],Data[],7,FALSE)</f>
        <v>992</v>
      </c>
      <c r="I297" s="50">
        <f>VLOOKUP(IntComp24[[#This Row],[DEVELOPMENT]],Data[],5,FALSE)</f>
        <v>8</v>
      </c>
      <c r="J297" s="50"/>
      <c r="K297" s="50" t="str">
        <f ca="1">IFERROR(VLOOKUP(IntComp24[[#This Row],[DEVELOPMENT]],Data[],4,FALSE),"")</f>
        <v>2026+</v>
      </c>
      <c r="L297" s="50" t="str">
        <f ca="1">IF(IntComp24[[#This Row],[RAD/PACT]]="","",IF(OR(IntComp24[[#This Row],[RAD/PACT]]="2022-2025",IntComp24[[#This Row],[RAD/PACT]]=2019,IntComp24[[#This Row],[RAD/PACT]]="2020-2021"),"Yes",""))</f>
        <v/>
      </c>
      <c r="M297" s="51">
        <f ca="1">IF(VLOOKUP(IntComp24[[#This Row],[DEVELOPMENT]],Data[],10,FALSE)=0,-1,DATEDIF(VLOOKUP(IntComp24[[#This Row],[DEVELOPMENT]],Data[],12,FALSE),TODAY(),"Y"))</f>
        <v>21</v>
      </c>
      <c r="N29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97" s="51"/>
      <c r="P297" s="51"/>
      <c r="Q297" s="51"/>
      <c r="R297" s="47">
        <f ca="1">(IntComp24[[#This Row],['# to Replace (MRST)]]*INDEX(UnitCosts[#All],MATCH(IntComp24[[#This Row],[WORK TYPE]],UnitCosts[Work Type],0)+1,2))*(1+((IntComp24[[#This Row],[est. Year]]-YEAR(TODAY()))*$R$2))</f>
        <v>0</v>
      </c>
      <c r="S297" s="1">
        <f ca="1">SUM(INDEX(IntComp24['# to Replace (MRST)],1):IntComp24[[#This Row],['# to Replace (MRST)]])</f>
        <v>123</v>
      </c>
      <c r="T297" s="51"/>
      <c r="U297" s="51">
        <f ca="1">IF(ISBLANK(IntComp24[[#This Row],[CALENDAR YEAR]]),ROUNDDOWN(IntComp24[[#This Row],[Count]]/50,0)+$U$1,IntComp24[[#This Row],[CALENDAR YEAR]])</f>
        <v>2024</v>
      </c>
      <c r="V297" s="69">
        <f t="shared" ca="1" si="6"/>
        <v>1941833.2500000002</v>
      </c>
      <c r="W297" s="5"/>
      <c r="X297"/>
    </row>
    <row r="298" spans="1:24" hidden="1">
      <c r="A298" s="13" t="s">
        <v>392</v>
      </c>
      <c r="B298" s="9" t="str">
        <f>VLOOKUP(A298,Data[],2,FALSE)</f>
        <v>BROOKLYN</v>
      </c>
      <c r="C298" s="9" t="s">
        <v>106</v>
      </c>
      <c r="D298" s="9" t="str">
        <f>VLOOKUP(IntComp24[[#This Row],[DEVELOPMENT]],Data[],52,FALSE)</f>
        <v>FEDERAL</v>
      </c>
      <c r="E298" s="50">
        <f>VLOOKUP(IntComp24[[#This Row],[DEVELOPMENT]],Data[],8,FALSE)</f>
        <v>0</v>
      </c>
      <c r="F298" s="50" t="str">
        <f>VLOOKUP(IntComp24[[#This Row],[DEVELOPMENT]],all[[DEVELOPMENT]:[MRST Ext. Comp. Priority]],13,FALSE)</f>
        <v>None</v>
      </c>
      <c r="G298" s="50">
        <f>IF(VLOOKUP(IntComp24[[#This Row],[DEVELOPMENT]],Data[],9,FALSE)=0,5,VLOOKUP(IntComp24[[#This Row],[DEVELOPMENT]],Data[],9,FALSE))</f>
        <v>5</v>
      </c>
      <c r="H298" s="50">
        <f>VLOOKUP(IntComp24[[#This Row],[DEVELOPMENT]],Data[],7,FALSE)</f>
        <v>1336</v>
      </c>
      <c r="I298" s="50">
        <f>VLOOKUP(IntComp24[[#This Row],[DEVELOPMENT]],Data[],5,FALSE)</f>
        <v>27</v>
      </c>
      <c r="J298" s="50"/>
      <c r="K298" s="50" t="str">
        <f ca="1">IFERROR(VLOOKUP(IntComp24[[#This Row],[DEVELOPMENT]],Data[],4,FALSE),"")</f>
        <v>2026+</v>
      </c>
      <c r="L298" s="50" t="str">
        <f ca="1">IF(IntComp24[[#This Row],[RAD/PACT]]="","",IF(OR(IntComp24[[#This Row],[RAD/PACT]]="2022-2025",IntComp24[[#This Row],[RAD/PACT]]=2019,IntComp24[[#This Row],[RAD/PACT]]="2020-2021"),"Yes",""))</f>
        <v/>
      </c>
      <c r="M298" s="51">
        <f ca="1">IF(VLOOKUP(IntComp24[[#This Row],[DEVELOPMENT]],Data[],10,FALSE)=0,-1,DATEDIF(VLOOKUP(IntComp24[[#This Row],[DEVELOPMENT]],Data[],12,FALSE),TODAY(),"Y"))</f>
        <v>18</v>
      </c>
      <c r="N29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98" s="51"/>
      <c r="P298" s="51"/>
      <c r="Q298" s="51"/>
      <c r="R298" s="47">
        <f ca="1">(IntComp24[[#This Row],['# to Replace (MRST)]]*INDEX(UnitCosts[#All],MATCH(IntComp24[[#This Row],[WORK TYPE]],UnitCosts[Work Type],0)+1,2))*(1+((IntComp24[[#This Row],[est. Year]]-YEAR(TODAY()))*$R$2))</f>
        <v>0</v>
      </c>
      <c r="S298" s="1">
        <f ca="1">SUM(INDEX(IntComp24['# to Replace (MRST)],1):IntComp24[[#This Row],['# to Replace (MRST)]])</f>
        <v>123</v>
      </c>
      <c r="T298" s="51"/>
      <c r="U298" s="51">
        <f ca="1">IF(ISBLANK(IntComp24[[#This Row],[CALENDAR YEAR]]),ROUNDDOWN(IntComp24[[#This Row],[Count]]/50,0)+$U$1,IntComp24[[#This Row],[CALENDAR YEAR]])</f>
        <v>2024</v>
      </c>
      <c r="V298" s="69">
        <f t="shared" ca="1" si="6"/>
        <v>1941833.2500000002</v>
      </c>
      <c r="W298" s="5"/>
      <c r="X298"/>
    </row>
    <row r="299" spans="1:24" hidden="1">
      <c r="A299" s="13" t="s">
        <v>306</v>
      </c>
      <c r="B299" s="9" t="str">
        <f>VLOOKUP(A299,Data[],2,FALSE)</f>
        <v>BROOKLYN</v>
      </c>
      <c r="C299" s="9" t="s">
        <v>106</v>
      </c>
      <c r="D299" s="9" t="str">
        <f>VLOOKUP(IntComp24[[#This Row],[DEVELOPMENT]],Data[],52,FALSE)</f>
        <v>FEDERAL</v>
      </c>
      <c r="E299" s="50">
        <f>VLOOKUP(IntComp24[[#This Row],[DEVELOPMENT]],Data[],8,FALSE)</f>
        <v>0</v>
      </c>
      <c r="F299" s="50" t="str">
        <f>VLOOKUP(IntComp24[[#This Row],[DEVELOPMENT]],all[[DEVELOPMENT]:[MRST Ext. Comp. Priority]],13,FALSE)</f>
        <v>None</v>
      </c>
      <c r="G299" s="50">
        <f>IF(VLOOKUP(IntComp24[[#This Row],[DEVELOPMENT]],Data[],9,FALSE)=0,5,VLOOKUP(IntComp24[[#This Row],[DEVELOPMENT]],Data[],9,FALSE))</f>
        <v>5</v>
      </c>
      <c r="H299" s="50">
        <f>VLOOKUP(IntComp24[[#This Row],[DEVELOPMENT]],Data[],7,FALSE)</f>
        <v>682</v>
      </c>
      <c r="I299" s="50">
        <f>VLOOKUP(IntComp24[[#This Row],[DEVELOPMENT]],Data[],5,FALSE)</f>
        <v>3</v>
      </c>
      <c r="J299" s="50"/>
      <c r="K299" s="50" t="str">
        <f ca="1">IFERROR(VLOOKUP(IntComp24[[#This Row],[DEVELOPMENT]],Data[],4,FALSE),"")</f>
        <v/>
      </c>
      <c r="L299" s="50" t="str">
        <f ca="1">IF(IntComp24[[#This Row],[RAD/PACT]]="","",IF(OR(IntComp24[[#This Row],[RAD/PACT]]="2022-2025",IntComp24[[#This Row],[RAD/PACT]]=2019,IntComp24[[#This Row],[RAD/PACT]]="2020-2021"),"Yes",""))</f>
        <v/>
      </c>
      <c r="M299" s="51">
        <f ca="1">IF(VLOOKUP(IntComp24[[#This Row],[DEVELOPMENT]],Data[],10,FALSE)=0,-1,DATEDIF(VLOOKUP(IntComp24[[#This Row],[DEVELOPMENT]],Data[],12,FALSE),TODAY(),"Y"))</f>
        <v>17</v>
      </c>
      <c r="N29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299" s="51"/>
      <c r="P299" s="51"/>
      <c r="Q299" s="51"/>
      <c r="R299" s="47">
        <f ca="1">(IntComp24[[#This Row],['# to Replace (MRST)]]*INDEX(UnitCosts[#All],MATCH(IntComp24[[#This Row],[WORK TYPE]],UnitCosts[Work Type],0)+1,2))*(1+((IntComp24[[#This Row],[est. Year]]-YEAR(TODAY()))*$R$2))</f>
        <v>0</v>
      </c>
      <c r="S299" s="1">
        <f ca="1">SUM(INDEX(IntComp24['# to Replace (MRST)],1):IntComp24[[#This Row],['# to Replace (MRST)]])</f>
        <v>123</v>
      </c>
      <c r="T299" s="51"/>
      <c r="U299" s="51">
        <f ca="1">IF(ISBLANK(IntComp24[[#This Row],[CALENDAR YEAR]]),ROUNDDOWN(IntComp24[[#This Row],[Count]]/50,0)+$U$1,IntComp24[[#This Row],[CALENDAR YEAR]])</f>
        <v>2024</v>
      </c>
      <c r="V299" s="69">
        <f t="shared" ca="1" si="6"/>
        <v>1941833.2500000002</v>
      </c>
      <c r="W299" s="5"/>
      <c r="X299"/>
    </row>
    <row r="300" spans="1:24" hidden="1">
      <c r="A300" s="13" t="s">
        <v>328</v>
      </c>
      <c r="B300" s="9" t="str">
        <f>VLOOKUP(A300,Data[],2,FALSE)</f>
        <v>BRONX</v>
      </c>
      <c r="C300" s="9" t="s">
        <v>106</v>
      </c>
      <c r="D300" s="9" t="str">
        <f>VLOOKUP(IntComp24[[#This Row],[DEVELOPMENT]],Data[],52,FALSE)</f>
        <v>FEDERAL</v>
      </c>
      <c r="E300" s="50">
        <f>VLOOKUP(IntComp24[[#This Row],[DEVELOPMENT]],Data[],8,FALSE)</f>
        <v>0</v>
      </c>
      <c r="F300" s="50" t="str">
        <f>VLOOKUP(IntComp24[[#This Row],[DEVELOPMENT]],all[[DEVELOPMENT]:[MRST Ext. Comp. Priority]],13,FALSE)</f>
        <v>None</v>
      </c>
      <c r="G300" s="50">
        <f>IF(VLOOKUP(IntComp24[[#This Row],[DEVELOPMENT]],Data[],9,FALSE)=0,5,VLOOKUP(IntComp24[[#This Row],[DEVELOPMENT]],Data[],9,FALSE))</f>
        <v>5</v>
      </c>
      <c r="H300" s="50">
        <f>VLOOKUP(IntComp24[[#This Row],[DEVELOPMENT]],Data[],7,FALSE)</f>
        <v>732</v>
      </c>
      <c r="I300" s="50">
        <f>VLOOKUP(IntComp24[[#This Row],[DEVELOPMENT]],Data[],5,FALSE)</f>
        <v>6</v>
      </c>
      <c r="J300" s="50"/>
      <c r="K300" s="50" t="str">
        <f ca="1">IFERROR(VLOOKUP(IntComp24[[#This Row],[DEVELOPMENT]],Data[],4,FALSE),"")</f>
        <v/>
      </c>
      <c r="L300" s="50" t="str">
        <f ca="1">IF(IntComp24[[#This Row],[RAD/PACT]]="","",IF(OR(IntComp24[[#This Row],[RAD/PACT]]="2022-2025",IntComp24[[#This Row],[RAD/PACT]]=2019,IntComp24[[#This Row],[RAD/PACT]]="2020-2021"),"Yes",""))</f>
        <v/>
      </c>
      <c r="M300" s="51">
        <f ca="1">IF(VLOOKUP(IntComp24[[#This Row],[DEVELOPMENT]],Data[],10,FALSE)=0,-1,DATEDIF(VLOOKUP(IntComp24[[#This Row],[DEVELOPMENT]],Data[],12,FALSE),TODAY(),"Y"))</f>
        <v>18</v>
      </c>
      <c r="N30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0" s="51"/>
      <c r="P300" s="51"/>
      <c r="Q300" s="51"/>
      <c r="R300" s="47">
        <f ca="1">(IntComp24[[#This Row],['# to Replace (MRST)]]*INDEX(UnitCosts[#All],MATCH(IntComp24[[#This Row],[WORK TYPE]],UnitCosts[Work Type],0)+1,2))*(1+((IntComp24[[#This Row],[est. Year]]-YEAR(TODAY()))*$R$2))</f>
        <v>0</v>
      </c>
      <c r="S300" s="1">
        <f ca="1">SUM(INDEX(IntComp24['# to Replace (MRST)],1):IntComp24[[#This Row],['# to Replace (MRST)]])</f>
        <v>123</v>
      </c>
      <c r="T300" s="51"/>
      <c r="U300" s="51">
        <f ca="1">IF(ISBLANK(IntComp24[[#This Row],[CALENDAR YEAR]]),ROUNDDOWN(IntComp24[[#This Row],[Count]]/50,0)+$U$1,IntComp24[[#This Row],[CALENDAR YEAR]])</f>
        <v>2024</v>
      </c>
      <c r="V300" s="69">
        <f t="shared" ca="1" si="6"/>
        <v>1941833.2500000002</v>
      </c>
      <c r="W300" s="5"/>
      <c r="X300"/>
    </row>
    <row r="301" spans="1:24" hidden="1">
      <c r="A301" s="13" t="s">
        <v>301</v>
      </c>
      <c r="B301" s="9" t="str">
        <f>VLOOKUP(A301,Data[],2,FALSE)</f>
        <v>QUEENS</v>
      </c>
      <c r="C301" s="9" t="s">
        <v>106</v>
      </c>
      <c r="D301" s="9" t="str">
        <f>VLOOKUP(IntComp24[[#This Row],[DEVELOPMENT]],Data[],52,FALSE)</f>
        <v>FEDERAL</v>
      </c>
      <c r="E301" s="50">
        <f>VLOOKUP(IntComp24[[#This Row],[DEVELOPMENT]],Data[],8,FALSE)</f>
        <v>0</v>
      </c>
      <c r="F301" s="50" t="str">
        <f>VLOOKUP(IntComp24[[#This Row],[DEVELOPMENT]],all[[DEVELOPMENT]:[MRST Ext. Comp. Priority]],13,FALSE)</f>
        <v>None</v>
      </c>
      <c r="G301" s="50">
        <f>IF(VLOOKUP(IntComp24[[#This Row],[DEVELOPMENT]],Data[],9,FALSE)=0,5,VLOOKUP(IntComp24[[#This Row],[DEVELOPMENT]],Data[],9,FALSE))</f>
        <v>5</v>
      </c>
      <c r="H301" s="50">
        <f>VLOOKUP(IntComp24[[#This Row],[DEVELOPMENT]],Data[],7,FALSE)</f>
        <v>712</v>
      </c>
      <c r="I301" s="50">
        <f>VLOOKUP(IntComp24[[#This Row],[DEVELOPMENT]],Data[],5,FALSE)</f>
        <v>4</v>
      </c>
      <c r="J301" s="50"/>
      <c r="K301" s="50" t="str">
        <f ca="1">IFERROR(VLOOKUP(IntComp24[[#This Row],[DEVELOPMENT]],Data[],4,FALSE),"")</f>
        <v>2026+</v>
      </c>
      <c r="L301" s="50" t="str">
        <f ca="1">IF(IntComp24[[#This Row],[RAD/PACT]]="","",IF(OR(IntComp24[[#This Row],[RAD/PACT]]="2022-2025",IntComp24[[#This Row],[RAD/PACT]]=2019,IntComp24[[#This Row],[RAD/PACT]]="2020-2021"),"Yes",""))</f>
        <v/>
      </c>
      <c r="M301" s="51">
        <f ca="1">IF(VLOOKUP(IntComp24[[#This Row],[DEVELOPMENT]],Data[],10,FALSE)=0,-1,DATEDIF(VLOOKUP(IntComp24[[#This Row],[DEVELOPMENT]],Data[],12,FALSE),TODAY(),"Y"))</f>
        <v>17</v>
      </c>
      <c r="N30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1" s="51"/>
      <c r="P301" s="51"/>
      <c r="Q301" s="51"/>
      <c r="R301" s="47">
        <f ca="1">(IntComp24[[#This Row],['# to Replace (MRST)]]*INDEX(UnitCosts[#All],MATCH(IntComp24[[#This Row],[WORK TYPE]],UnitCosts[Work Type],0)+1,2))*(1+((IntComp24[[#This Row],[est. Year]]-YEAR(TODAY()))*$R$2))</f>
        <v>0</v>
      </c>
      <c r="S301" s="1">
        <f ca="1">SUM(INDEX(IntComp24['# to Replace (MRST)],1):IntComp24[[#This Row],['# to Replace (MRST)]])</f>
        <v>123</v>
      </c>
      <c r="T301" s="51"/>
      <c r="U301" s="51">
        <f ca="1">IF(ISBLANK(IntComp24[[#This Row],[CALENDAR YEAR]]),ROUNDDOWN(IntComp24[[#This Row],[Count]]/50,0)+$U$1,IntComp24[[#This Row],[CALENDAR YEAR]])</f>
        <v>2024</v>
      </c>
      <c r="V301" s="69">
        <f t="shared" ca="1" si="6"/>
        <v>1941833.2500000002</v>
      </c>
      <c r="W301" s="5"/>
      <c r="X301"/>
    </row>
    <row r="302" spans="1:24" hidden="1">
      <c r="A302" s="13" t="s">
        <v>189</v>
      </c>
      <c r="B302" s="9" t="str">
        <f>VLOOKUP(A302,Data[],2,FALSE)</f>
        <v>BRONX</v>
      </c>
      <c r="C302" s="9" t="s">
        <v>106</v>
      </c>
      <c r="D302" s="9" t="str">
        <f>VLOOKUP(IntComp24[[#This Row],[DEVELOPMENT]],Data[],52,FALSE)</f>
        <v>FEDERAL</v>
      </c>
      <c r="E302" s="50" t="str">
        <f>VLOOKUP(IntComp24[[#This Row],[DEVELOPMENT]],Data[],8,FALSE)</f>
        <v>Zone 3</v>
      </c>
      <c r="F302" s="50" t="str">
        <f>VLOOKUP(IntComp24[[#This Row],[DEVELOPMENT]],all[[DEVELOPMENT]:[MRST Ext. Comp. Priority]],13,FALSE)</f>
        <v>None</v>
      </c>
      <c r="G302" s="50">
        <f>IF(VLOOKUP(IntComp24[[#This Row],[DEVELOPMENT]],Data[],9,FALSE)=0,5,VLOOKUP(IntComp24[[#This Row],[DEVELOPMENT]],Data[],9,FALSE))</f>
        <v>5</v>
      </c>
      <c r="H302" s="50">
        <f>VLOOKUP(IntComp24[[#This Row],[DEVELOPMENT]],Data[],7,FALSE)</f>
        <v>226</v>
      </c>
      <c r="I302" s="50">
        <f>VLOOKUP(IntComp24[[#This Row],[DEVELOPMENT]],Data[],5,FALSE)</f>
        <v>2</v>
      </c>
      <c r="J302" s="50"/>
      <c r="K302" s="50" t="str">
        <f ca="1">IFERROR(VLOOKUP(IntComp24[[#This Row],[DEVELOPMENT]],Data[],4,FALSE),"")</f>
        <v/>
      </c>
      <c r="L302" s="50" t="str">
        <f ca="1">IF(IntComp24[[#This Row],[RAD/PACT]]="","",IF(OR(IntComp24[[#This Row],[RAD/PACT]]="2022-2025",IntComp24[[#This Row],[RAD/PACT]]=2019,IntComp24[[#This Row],[RAD/PACT]]="2020-2021"),"Yes",""))</f>
        <v/>
      </c>
      <c r="M302" s="51">
        <f ca="1">IF(VLOOKUP(IntComp24[[#This Row],[DEVELOPMENT]],Data[],10,FALSE)=0,-1,DATEDIF(VLOOKUP(IntComp24[[#This Row],[DEVELOPMENT]],Data[],12,FALSE),TODAY(),"Y"))</f>
        <v>17</v>
      </c>
      <c r="N30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2" s="51"/>
      <c r="P302" s="51"/>
      <c r="Q302" s="51"/>
      <c r="R302" s="47">
        <f ca="1">(IntComp24[[#This Row],['# to Replace (MRST)]]*INDEX(UnitCosts[#All],MATCH(IntComp24[[#This Row],[WORK TYPE]],UnitCosts[Work Type],0)+1,2))*(1+((IntComp24[[#This Row],[est. Year]]-YEAR(TODAY()))*$R$2))</f>
        <v>0</v>
      </c>
      <c r="S302" s="1">
        <f ca="1">SUM(INDEX(IntComp24['# to Replace (MRST)],1):IntComp24[[#This Row],['# to Replace (MRST)]])</f>
        <v>123</v>
      </c>
      <c r="T302" s="51"/>
      <c r="U302" s="51">
        <f ca="1">IF(ISBLANK(IntComp24[[#This Row],[CALENDAR YEAR]]),ROUNDDOWN(IntComp24[[#This Row],[Count]]/50,0)+$U$1,IntComp24[[#This Row],[CALENDAR YEAR]])</f>
        <v>2024</v>
      </c>
      <c r="V302" s="69">
        <f t="shared" ca="1" si="6"/>
        <v>1941833.2500000002</v>
      </c>
      <c r="W302" s="5"/>
      <c r="X302"/>
    </row>
    <row r="303" spans="1:24" hidden="1">
      <c r="A303" s="13" t="s">
        <v>357</v>
      </c>
      <c r="B303" s="9" t="str">
        <f>VLOOKUP(A303,Data[],2,FALSE)</f>
        <v>STATEN ISLAND</v>
      </c>
      <c r="C303" s="9" t="s">
        <v>106</v>
      </c>
      <c r="D303" s="9" t="str">
        <f>VLOOKUP(IntComp24[[#This Row],[DEVELOPMENT]],Data[],52,FALSE)</f>
        <v>FEDERAL</v>
      </c>
      <c r="E303" s="50">
        <f>VLOOKUP(IntComp24[[#This Row],[DEVELOPMENT]],Data[],8,FALSE)</f>
        <v>0</v>
      </c>
      <c r="F303" s="50" t="str">
        <f>VLOOKUP(IntComp24[[#This Row],[DEVELOPMENT]],all[[DEVELOPMENT]:[MRST Ext. Comp. Priority]],13,FALSE)</f>
        <v>None</v>
      </c>
      <c r="G303" s="50">
        <f>IF(VLOOKUP(IntComp24[[#This Row],[DEVELOPMENT]],Data[],9,FALSE)=0,5,VLOOKUP(IntComp24[[#This Row],[DEVELOPMENT]],Data[],9,FALSE))</f>
        <v>5</v>
      </c>
      <c r="H303" s="50">
        <f>VLOOKUP(IntComp24[[#This Row],[DEVELOPMENT]],Data[],7,FALSE)</f>
        <v>488</v>
      </c>
      <c r="I303" s="50">
        <f>VLOOKUP(IntComp24[[#This Row],[DEVELOPMENT]],Data[],5,FALSE)</f>
        <v>6</v>
      </c>
      <c r="J303" s="50"/>
      <c r="K303" s="50" t="str">
        <f ca="1">IFERROR(VLOOKUP(IntComp24[[#This Row],[DEVELOPMENT]],Data[],4,FALSE),"")</f>
        <v/>
      </c>
      <c r="L303" s="50" t="str">
        <f ca="1">IF(IntComp24[[#This Row],[RAD/PACT]]="","",IF(OR(IntComp24[[#This Row],[RAD/PACT]]="2022-2025",IntComp24[[#This Row],[RAD/PACT]]=2019,IntComp24[[#This Row],[RAD/PACT]]="2020-2021"),"Yes",""))</f>
        <v/>
      </c>
      <c r="M303" s="51">
        <f ca="1">IF(VLOOKUP(IntComp24[[#This Row],[DEVELOPMENT]],Data[],10,FALSE)=0,-1,DATEDIF(VLOOKUP(IntComp24[[#This Row],[DEVELOPMENT]],Data[],12,FALSE),TODAY(),"Y"))</f>
        <v>16</v>
      </c>
      <c r="N30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3" s="51"/>
      <c r="P303" s="51"/>
      <c r="Q303" s="51"/>
      <c r="R303" s="47">
        <f ca="1">(IntComp24[[#This Row],['# to Replace (MRST)]]*INDEX(UnitCosts[#All],MATCH(IntComp24[[#This Row],[WORK TYPE]],UnitCosts[Work Type],0)+1,2))*(1+((IntComp24[[#This Row],[est. Year]]-YEAR(TODAY()))*$R$2))</f>
        <v>0</v>
      </c>
      <c r="S303" s="1">
        <f ca="1">SUM(INDEX(IntComp24['# to Replace (MRST)],1):IntComp24[[#This Row],['# to Replace (MRST)]])</f>
        <v>123</v>
      </c>
      <c r="T303" s="51"/>
      <c r="U303" s="51">
        <f ca="1">IF(ISBLANK(IntComp24[[#This Row],[CALENDAR YEAR]]),ROUNDDOWN(IntComp24[[#This Row],[Count]]/50,0)+$U$1,IntComp24[[#This Row],[CALENDAR YEAR]])</f>
        <v>2024</v>
      </c>
      <c r="V303" s="69">
        <f t="shared" ca="1" si="6"/>
        <v>1941833.2500000002</v>
      </c>
      <c r="W303" s="5"/>
      <c r="X303"/>
    </row>
    <row r="304" spans="1:24" hidden="1">
      <c r="A304" s="13" t="s">
        <v>188</v>
      </c>
      <c r="B304" s="9" t="str">
        <f>VLOOKUP(A304,Data[],2,FALSE)</f>
        <v>BROOKLYN</v>
      </c>
      <c r="C304" s="9" t="s">
        <v>106</v>
      </c>
      <c r="D304" s="9" t="str">
        <f>VLOOKUP(IntComp24[[#This Row],[DEVELOPMENT]],Data[],52,FALSE)</f>
        <v>FEDERAL</v>
      </c>
      <c r="E304" s="50">
        <f>VLOOKUP(IntComp24[[#This Row],[DEVELOPMENT]],Data[],8,FALSE)</f>
        <v>0</v>
      </c>
      <c r="F304" s="50" t="str">
        <f>VLOOKUP(IntComp24[[#This Row],[DEVELOPMENT]],all[[DEVELOPMENT]:[MRST Ext. Comp. Priority]],13,FALSE)</f>
        <v>None</v>
      </c>
      <c r="G304" s="50">
        <f>IF(VLOOKUP(IntComp24[[#This Row],[DEVELOPMENT]],Data[],9,FALSE)=0,5,VLOOKUP(IntComp24[[#This Row],[DEVELOPMENT]],Data[],9,FALSE))</f>
        <v>5</v>
      </c>
      <c r="H304" s="50">
        <f>VLOOKUP(IntComp24[[#This Row],[DEVELOPMENT]],Data[],7,FALSE)</f>
        <v>1592</v>
      </c>
      <c r="I304" s="50">
        <f>VLOOKUP(IntComp24[[#This Row],[DEVELOPMENT]],Data[],5,FALSE)</f>
        <v>30</v>
      </c>
      <c r="J304" s="50"/>
      <c r="K304" s="50" t="str">
        <f ca="1">IFERROR(VLOOKUP(IntComp24[[#This Row],[DEVELOPMENT]],Data[],4,FALSE),"")</f>
        <v>2020-2021</v>
      </c>
      <c r="L304" s="50" t="str">
        <f ca="1">IF(IntComp24[[#This Row],[RAD/PACT]]="","",IF(OR(IntComp24[[#This Row],[RAD/PACT]]="2022-2025",IntComp24[[#This Row],[RAD/PACT]]=2019,IntComp24[[#This Row],[RAD/PACT]]="2020-2021"),"Yes",""))</f>
        <v>Yes</v>
      </c>
      <c r="M304" s="51">
        <f ca="1">IF(VLOOKUP(IntComp24[[#This Row],[DEVELOPMENT]],Data[],10,FALSE)=0,-1,DATEDIF(VLOOKUP(IntComp24[[#This Row],[DEVELOPMENT]],Data[],12,FALSE),TODAY(),"Y"))</f>
        <v>16</v>
      </c>
      <c r="N304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4" s="51"/>
      <c r="P304" s="51"/>
      <c r="Q304" s="51"/>
      <c r="R304" s="47">
        <f ca="1">(IntComp24[[#This Row],['# to Replace (MRST)]]*INDEX(UnitCosts[#All],MATCH(IntComp24[[#This Row],[WORK TYPE]],UnitCosts[Work Type],0)+1,2))*(1+((IntComp24[[#This Row],[est. Year]]-YEAR(TODAY()))*$R$2))</f>
        <v>0</v>
      </c>
      <c r="S304" s="1">
        <f ca="1">SUM(INDEX(IntComp24['# to Replace (MRST)],1):IntComp24[[#This Row],['# to Replace (MRST)]])</f>
        <v>123</v>
      </c>
      <c r="T304" s="51"/>
      <c r="U304" s="51">
        <f ca="1">IF(ISBLANK(IntComp24[[#This Row],[CALENDAR YEAR]]),ROUNDDOWN(IntComp24[[#This Row],[Count]]/50,0)+$U$1,IntComp24[[#This Row],[CALENDAR YEAR]])</f>
        <v>2024</v>
      </c>
      <c r="V304" s="69">
        <f t="shared" ca="1" si="6"/>
        <v>1941833.2500000002</v>
      </c>
      <c r="W304" s="5"/>
      <c r="X304"/>
    </row>
    <row r="305" spans="1:24" hidden="1">
      <c r="A305" s="13" t="s">
        <v>339</v>
      </c>
      <c r="B305" s="9" t="str">
        <f>VLOOKUP(A305,Data[],2,FALSE)</f>
        <v>QUEENS</v>
      </c>
      <c r="C305" s="9" t="s">
        <v>106</v>
      </c>
      <c r="D305" s="9" t="str">
        <f>VLOOKUP(IntComp24[[#This Row],[DEVELOPMENT]],Data[],52,FALSE)</f>
        <v>FEDERAL</v>
      </c>
      <c r="E305" s="50">
        <f>VLOOKUP(IntComp24[[#This Row],[DEVELOPMENT]],Data[],8,FALSE)</f>
        <v>0</v>
      </c>
      <c r="F305" s="50" t="str">
        <f>VLOOKUP(IntComp24[[#This Row],[DEVELOPMENT]],all[[DEVELOPMENT]:[MRST Ext. Comp. Priority]],13,FALSE)</f>
        <v>None</v>
      </c>
      <c r="G305" s="50">
        <f>IF(VLOOKUP(IntComp24[[#This Row],[DEVELOPMENT]],Data[],9,FALSE)=0,5,VLOOKUP(IntComp24[[#This Row],[DEVELOPMENT]],Data[],9,FALSE))</f>
        <v>5</v>
      </c>
      <c r="H305" s="50">
        <f>VLOOKUP(IntComp24[[#This Row],[DEVELOPMENT]],Data[],7,FALSE)</f>
        <v>83</v>
      </c>
      <c r="I305" s="50">
        <f>VLOOKUP(IntComp24[[#This Row],[DEVELOPMENT]],Data[],5,FALSE)</f>
        <v>1</v>
      </c>
      <c r="J305" s="50"/>
      <c r="K305" s="50" t="str">
        <f ca="1">IFERROR(VLOOKUP(IntComp24[[#This Row],[DEVELOPMENT]],Data[],4,FALSE),"")</f>
        <v/>
      </c>
      <c r="L305" s="50" t="str">
        <f ca="1">IF(IntComp24[[#This Row],[RAD/PACT]]="","",IF(OR(IntComp24[[#This Row],[RAD/PACT]]="2022-2025",IntComp24[[#This Row],[RAD/PACT]]=2019,IntComp24[[#This Row],[RAD/PACT]]="2020-2021"),"Yes",""))</f>
        <v/>
      </c>
      <c r="M305" s="51">
        <f ca="1">IF(VLOOKUP(IntComp24[[#This Row],[DEVELOPMENT]],Data[],10,FALSE)=0,-1,DATEDIF(VLOOKUP(IntComp24[[#This Row],[DEVELOPMENT]],Data[],12,FALSE),TODAY(),"Y"))</f>
        <v>12</v>
      </c>
      <c r="N305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5" s="51"/>
      <c r="P305" s="51"/>
      <c r="Q305" s="51"/>
      <c r="R305" s="47">
        <f ca="1">(IntComp24[[#This Row],['# to Replace (MRST)]]*INDEX(UnitCosts[#All],MATCH(IntComp24[[#This Row],[WORK TYPE]],UnitCosts[Work Type],0)+1,2))*(1+((IntComp24[[#This Row],[est. Year]]-YEAR(TODAY()))*$R$2))</f>
        <v>0</v>
      </c>
      <c r="S305" s="1">
        <f ca="1">SUM(INDEX(IntComp24['# to Replace (MRST)],1):IntComp24[[#This Row],['# to Replace (MRST)]])</f>
        <v>123</v>
      </c>
      <c r="T305" s="51"/>
      <c r="U305" s="51">
        <f ca="1">IF(ISBLANK(IntComp24[[#This Row],[CALENDAR YEAR]]),ROUNDDOWN(IntComp24[[#This Row],[Count]]/50,0)+$U$1,IntComp24[[#This Row],[CALENDAR YEAR]])</f>
        <v>2024</v>
      </c>
      <c r="V305" s="69">
        <f t="shared" ca="1" si="6"/>
        <v>1941833.2500000002</v>
      </c>
      <c r="W305" s="5"/>
      <c r="X305"/>
    </row>
    <row r="306" spans="1:24" hidden="1">
      <c r="A306" s="13" t="s">
        <v>308</v>
      </c>
      <c r="B306" s="9" t="str">
        <f>VLOOKUP(A306,Data[],2,FALSE)</f>
        <v>STATEN ISLAND</v>
      </c>
      <c r="C306" s="9" t="s">
        <v>106</v>
      </c>
      <c r="D306" s="9" t="str">
        <f>VLOOKUP(IntComp24[[#This Row],[DEVELOPMENT]],Data[],52,FALSE)</f>
        <v>FEDERAL</v>
      </c>
      <c r="E306" s="50">
        <f>VLOOKUP(IntComp24[[#This Row],[DEVELOPMENT]],Data[],8,FALSE)</f>
        <v>0</v>
      </c>
      <c r="F306" s="50" t="str">
        <f>VLOOKUP(IntComp24[[#This Row],[DEVELOPMENT]],all[[DEVELOPMENT]:[MRST Ext. Comp. Priority]],13,FALSE)</f>
        <v>None</v>
      </c>
      <c r="G306" s="50">
        <f>IF(VLOOKUP(IntComp24[[#This Row],[DEVELOPMENT]],Data[],9,FALSE)=0,5,VLOOKUP(IntComp24[[#This Row],[DEVELOPMENT]],Data[],9,FALSE))</f>
        <v>5</v>
      </c>
      <c r="H306" s="50">
        <f>VLOOKUP(IntComp24[[#This Row],[DEVELOPMENT]],Data[],7,FALSE)</f>
        <v>378</v>
      </c>
      <c r="I306" s="50">
        <f>VLOOKUP(IntComp24[[#This Row],[DEVELOPMENT]],Data[],5,FALSE)</f>
        <v>4</v>
      </c>
      <c r="J306" s="50"/>
      <c r="K306" s="50" t="str">
        <f ca="1">IFERROR(VLOOKUP(IntComp24[[#This Row],[DEVELOPMENT]],Data[],4,FALSE),"")</f>
        <v/>
      </c>
      <c r="L306" s="50" t="str">
        <f ca="1">IF(IntComp24[[#This Row],[RAD/PACT]]="","",IF(OR(IntComp24[[#This Row],[RAD/PACT]]="2022-2025",IntComp24[[#This Row],[RAD/PACT]]=2019,IntComp24[[#This Row],[RAD/PACT]]="2020-2021"),"Yes",""))</f>
        <v/>
      </c>
      <c r="M306" s="51">
        <f ca="1">IF(VLOOKUP(IntComp24[[#This Row],[DEVELOPMENT]],Data[],10,FALSE)=0,-1,DATEDIF(VLOOKUP(IntComp24[[#This Row],[DEVELOPMENT]],Data[],12,FALSE),TODAY(),"Y"))</f>
        <v>8</v>
      </c>
      <c r="N306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6" s="51"/>
      <c r="P306" s="51"/>
      <c r="Q306" s="51"/>
      <c r="R306" s="47">
        <f ca="1">(IntComp24[[#This Row],['# to Replace (MRST)]]*INDEX(UnitCosts[#All],MATCH(IntComp24[[#This Row],[WORK TYPE]],UnitCosts[Work Type],0)+1,2))*(1+((IntComp24[[#This Row],[est. Year]]-YEAR(TODAY()))*$R$2))</f>
        <v>0</v>
      </c>
      <c r="S306" s="1">
        <f ca="1">SUM(INDEX(IntComp24['# to Replace (MRST)],1):IntComp24[[#This Row],['# to Replace (MRST)]])</f>
        <v>123</v>
      </c>
      <c r="T306" s="51"/>
      <c r="U306" s="51">
        <f ca="1">IF(ISBLANK(IntComp24[[#This Row],[CALENDAR YEAR]]),ROUNDDOWN(IntComp24[[#This Row],[Count]]/50,0)+$U$1,IntComp24[[#This Row],[CALENDAR YEAR]])</f>
        <v>2024</v>
      </c>
      <c r="V306" s="69">
        <f t="shared" ca="1" si="6"/>
        <v>1941833.2500000002</v>
      </c>
      <c r="W306" s="5"/>
      <c r="X306"/>
    </row>
    <row r="307" spans="1:24" hidden="1">
      <c r="A307" s="13" t="s">
        <v>302</v>
      </c>
      <c r="B307" s="9" t="str">
        <f>VLOOKUP(A307,Data[],2,FALSE)</f>
        <v>BROOKLYN</v>
      </c>
      <c r="C307" s="9" t="s">
        <v>106</v>
      </c>
      <c r="D307" s="9" t="str">
        <f>VLOOKUP(IntComp24[[#This Row],[DEVELOPMENT]],Data[],52,FALSE)</f>
        <v>FEDERAL</v>
      </c>
      <c r="E307" s="50">
        <f>VLOOKUP(IntComp24[[#This Row],[DEVELOPMENT]],Data[],8,FALSE)</f>
        <v>0</v>
      </c>
      <c r="F307" s="50" t="str">
        <f>VLOOKUP(IntComp24[[#This Row],[DEVELOPMENT]],all[[DEVELOPMENT]:[MRST Ext. Comp. Priority]],13,FALSE)</f>
        <v>None</v>
      </c>
      <c r="G307" s="50">
        <f>IF(VLOOKUP(IntComp24[[#This Row],[DEVELOPMENT]],Data[],9,FALSE)=0,5,VLOOKUP(IntComp24[[#This Row],[DEVELOPMENT]],Data[],9,FALSE))</f>
        <v>5</v>
      </c>
      <c r="H307" s="50">
        <f>VLOOKUP(IntComp24[[#This Row],[DEVELOPMENT]],Data[],7,FALSE)</f>
        <v>72</v>
      </c>
      <c r="I307" s="50">
        <f>VLOOKUP(IntComp24[[#This Row],[DEVELOPMENT]],Data[],5,FALSE)</f>
        <v>3</v>
      </c>
      <c r="J307" s="50"/>
      <c r="K307" s="50" t="str">
        <f ca="1">IFERROR(VLOOKUP(IntComp24[[#This Row],[DEVELOPMENT]],Data[],4,FALSE),"")</f>
        <v/>
      </c>
      <c r="L307" s="50" t="str">
        <f ca="1">IF(IntComp24[[#This Row],[RAD/PACT]]="","",IF(OR(IntComp24[[#This Row],[RAD/PACT]]="2022-2025",IntComp24[[#This Row],[RAD/PACT]]=2019,IntComp24[[#This Row],[RAD/PACT]]="2020-2021"),"Yes",""))</f>
        <v/>
      </c>
      <c r="M307" s="51">
        <f ca="1">IF(VLOOKUP(IntComp24[[#This Row],[DEVELOPMENT]],Data[],10,FALSE)=0,-1,DATEDIF(VLOOKUP(IntComp24[[#This Row],[DEVELOPMENT]],Data[],12,FALSE),TODAY(),"Y"))</f>
        <v>-1</v>
      </c>
      <c r="N307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7" s="51"/>
      <c r="P307" s="51"/>
      <c r="Q307" s="51"/>
      <c r="R307" s="47">
        <f ca="1">(IntComp24[[#This Row],['# to Replace (MRST)]]*INDEX(UnitCosts[#All],MATCH(IntComp24[[#This Row],[WORK TYPE]],UnitCosts[Work Type],0)+1,2))*(1+((IntComp24[[#This Row],[est. Year]]-YEAR(TODAY()))*$R$2))</f>
        <v>0</v>
      </c>
      <c r="S307" s="1">
        <f ca="1">SUM(INDEX(IntComp24['# to Replace (MRST)],1):IntComp24[[#This Row],['# to Replace (MRST)]])</f>
        <v>123</v>
      </c>
      <c r="T307" s="51"/>
      <c r="U307" s="51">
        <f ca="1">IF(ISBLANK(IntComp24[[#This Row],[CALENDAR YEAR]]),ROUNDDOWN(IntComp24[[#This Row],[Count]]/50,0)+$U$1,IntComp24[[#This Row],[CALENDAR YEAR]])</f>
        <v>2024</v>
      </c>
      <c r="V307" s="69">
        <f t="shared" ca="1" si="6"/>
        <v>1941833.2500000002</v>
      </c>
      <c r="W307" s="5"/>
      <c r="X307"/>
    </row>
    <row r="308" spans="1:24" hidden="1">
      <c r="A308" s="13" t="s">
        <v>283</v>
      </c>
      <c r="B308" s="9" t="str">
        <f>VLOOKUP(A308,Data[],2,FALSE)</f>
        <v>BRONX</v>
      </c>
      <c r="C308" s="9" t="s">
        <v>106</v>
      </c>
      <c r="D308" s="9" t="str">
        <f>VLOOKUP(IntComp24[[#This Row],[DEVELOPMENT]],Data[],52,FALSE)</f>
        <v>FEDERAL</v>
      </c>
      <c r="E308" s="50">
        <f>VLOOKUP(IntComp24[[#This Row],[DEVELOPMENT]],Data[],8,FALSE)</f>
        <v>0</v>
      </c>
      <c r="F308" s="50" t="str">
        <f>VLOOKUP(IntComp24[[#This Row],[DEVELOPMENT]],all[[DEVELOPMENT]:[MRST Ext. Comp. Priority]],13,FALSE)</f>
        <v>None</v>
      </c>
      <c r="G308" s="50">
        <f>IF(VLOOKUP(IntComp24[[#This Row],[DEVELOPMENT]],Data[],9,FALSE)=0,5,VLOOKUP(IntComp24[[#This Row],[DEVELOPMENT]],Data[],9,FALSE))</f>
        <v>5</v>
      </c>
      <c r="H308" s="50">
        <f>VLOOKUP(IntComp24[[#This Row],[DEVELOPMENT]],Data[],7,FALSE)</f>
        <v>72</v>
      </c>
      <c r="I308" s="50">
        <f>VLOOKUP(IntComp24[[#This Row],[DEVELOPMENT]],Data[],5,FALSE)</f>
        <v>1</v>
      </c>
      <c r="J308" s="50"/>
      <c r="K308" s="50" t="str">
        <f ca="1">IFERROR(VLOOKUP(IntComp24[[#This Row],[DEVELOPMENT]],Data[],4,FALSE),"")</f>
        <v/>
      </c>
      <c r="L308" s="50" t="str">
        <f ca="1">IF(IntComp24[[#This Row],[RAD/PACT]]="","",IF(OR(IntComp24[[#This Row],[RAD/PACT]]="2022-2025",IntComp24[[#This Row],[RAD/PACT]]=2019,IntComp24[[#This Row],[RAD/PACT]]="2020-2021"),"Yes",""))</f>
        <v/>
      </c>
      <c r="M308" s="51">
        <f ca="1">IF(VLOOKUP(IntComp24[[#This Row],[DEVELOPMENT]],Data[],10,FALSE)=0,-1,DATEDIF(VLOOKUP(IntComp24[[#This Row],[DEVELOPMENT]],Data[],12,FALSE),TODAY(),"Y"))</f>
        <v>-1</v>
      </c>
      <c r="N308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8" s="51"/>
      <c r="P308" s="51"/>
      <c r="Q308" s="51"/>
      <c r="R308" s="47">
        <f ca="1">(IntComp24[[#This Row],['# to Replace (MRST)]]*INDEX(UnitCosts[#All],MATCH(IntComp24[[#This Row],[WORK TYPE]],UnitCosts[Work Type],0)+1,2))*(1+((IntComp24[[#This Row],[est. Year]]-YEAR(TODAY()))*$R$2))</f>
        <v>0</v>
      </c>
      <c r="S308" s="1">
        <f ca="1">SUM(INDEX(IntComp24['# to Replace (MRST)],1):IntComp24[[#This Row],['# to Replace (MRST)]])</f>
        <v>123</v>
      </c>
      <c r="T308" s="51"/>
      <c r="U308" s="51">
        <f ca="1">IF(ISBLANK(IntComp24[[#This Row],[CALENDAR YEAR]]),ROUNDDOWN(IntComp24[[#This Row],[Count]]/50,0)+$U$1,IntComp24[[#This Row],[CALENDAR YEAR]])</f>
        <v>2024</v>
      </c>
      <c r="V308" s="69">
        <f t="shared" ca="1" si="6"/>
        <v>1941833.2500000002</v>
      </c>
      <c r="W308" s="5"/>
      <c r="X308"/>
    </row>
    <row r="309" spans="1:24" hidden="1">
      <c r="A309" s="13" t="s">
        <v>284</v>
      </c>
      <c r="B309" s="9" t="str">
        <f>VLOOKUP(A309,Data[],2,FALSE)</f>
        <v>BRONX</v>
      </c>
      <c r="C309" s="9" t="s">
        <v>106</v>
      </c>
      <c r="D309" s="9" t="str">
        <f>VLOOKUP(IntComp24[[#This Row],[DEVELOPMENT]],Data[],52,FALSE)</f>
        <v>FEDERAL</v>
      </c>
      <c r="E309" s="50" t="str">
        <f>VLOOKUP(IntComp24[[#This Row],[DEVELOPMENT]],Data[],8,FALSE)</f>
        <v>Zone 4</v>
      </c>
      <c r="F309" s="50" t="str">
        <f>VLOOKUP(IntComp24[[#This Row],[DEVELOPMENT]],all[[DEVELOPMENT]:[MRST Ext. Comp. Priority]],13,FALSE)</f>
        <v>None</v>
      </c>
      <c r="G309" s="50">
        <f>IF(VLOOKUP(IntComp24[[#This Row],[DEVELOPMENT]],Data[],9,FALSE)=0,5,VLOOKUP(IntComp24[[#This Row],[DEVELOPMENT]],Data[],9,FALSE))</f>
        <v>5</v>
      </c>
      <c r="H309" s="50">
        <f>VLOOKUP(IntComp24[[#This Row],[DEVELOPMENT]],Data[],7,FALSE)</f>
        <v>168</v>
      </c>
      <c r="I309" s="50">
        <f>VLOOKUP(IntComp24[[#This Row],[DEVELOPMENT]],Data[],5,FALSE)</f>
        <v>7</v>
      </c>
      <c r="J309" s="50"/>
      <c r="K309" s="50" t="str">
        <f ca="1">IFERROR(VLOOKUP(IntComp24[[#This Row],[DEVELOPMENT]],Data[],4,FALSE),"")</f>
        <v/>
      </c>
      <c r="L309" s="50" t="str">
        <f ca="1">IF(IntComp24[[#This Row],[RAD/PACT]]="","",IF(OR(IntComp24[[#This Row],[RAD/PACT]]="2022-2025",IntComp24[[#This Row],[RAD/PACT]]=2019,IntComp24[[#This Row],[RAD/PACT]]="2020-2021"),"Yes",""))</f>
        <v/>
      </c>
      <c r="M309" s="51">
        <f ca="1">IF(VLOOKUP(IntComp24[[#This Row],[DEVELOPMENT]],Data[],10,FALSE)=0,-1,DATEDIF(VLOOKUP(IntComp24[[#This Row],[DEVELOPMENT]],Data[],12,FALSE),TODAY(),"Y"))</f>
        <v>-1</v>
      </c>
      <c r="N309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09" s="51"/>
      <c r="P309" s="51"/>
      <c r="Q309" s="51"/>
      <c r="R309" s="47">
        <f ca="1">(IntComp24[[#This Row],['# to Replace (MRST)]]*INDEX(UnitCosts[#All],MATCH(IntComp24[[#This Row],[WORK TYPE]],UnitCosts[Work Type],0)+1,2))*(1+((IntComp24[[#This Row],[est. Year]]-YEAR(TODAY()))*$R$2))</f>
        <v>0</v>
      </c>
      <c r="S309" s="1">
        <f ca="1">SUM(INDEX(IntComp24['# to Replace (MRST)],1):IntComp24[[#This Row],['# to Replace (MRST)]])</f>
        <v>123</v>
      </c>
      <c r="T309" s="51"/>
      <c r="U309" s="51">
        <f ca="1">IF(ISBLANK(IntComp24[[#This Row],[CALENDAR YEAR]]),ROUNDDOWN(IntComp24[[#This Row],[Count]]/50,0)+$U$1,IntComp24[[#This Row],[CALENDAR YEAR]])</f>
        <v>2024</v>
      </c>
      <c r="V309" s="69">
        <f t="shared" ca="1" si="6"/>
        <v>1941833.2500000002</v>
      </c>
      <c r="W309" s="5"/>
      <c r="X309"/>
    </row>
    <row r="310" spans="1:24" hidden="1">
      <c r="A310" s="13" t="s">
        <v>331</v>
      </c>
      <c r="B310" s="9" t="str">
        <f>VLOOKUP(A310,Data[],2,FALSE)</f>
        <v>BRONX</v>
      </c>
      <c r="C310" s="9" t="s">
        <v>106</v>
      </c>
      <c r="D310" s="9" t="str">
        <f>VLOOKUP(IntComp24[[#This Row],[DEVELOPMENT]],Data[],52,FALSE)</f>
        <v>FEDERAL</v>
      </c>
      <c r="E310" s="50">
        <f>VLOOKUP(IntComp24[[#This Row],[DEVELOPMENT]],Data[],8,FALSE)</f>
        <v>0</v>
      </c>
      <c r="F310" s="50" t="str">
        <f>VLOOKUP(IntComp24[[#This Row],[DEVELOPMENT]],all[[DEVELOPMENT]:[MRST Ext. Comp. Priority]],13,FALSE)</f>
        <v>None</v>
      </c>
      <c r="G310" s="50">
        <f>IF(VLOOKUP(IntComp24[[#This Row],[DEVELOPMENT]],Data[],9,FALSE)=0,5,VLOOKUP(IntComp24[[#This Row],[DEVELOPMENT]],Data[],9,FALSE))</f>
        <v>5</v>
      </c>
      <c r="H310" s="50">
        <f>VLOOKUP(IntComp24[[#This Row],[DEVELOPMENT]],Data[],7,FALSE)</f>
        <v>150</v>
      </c>
      <c r="I310" s="50">
        <f>VLOOKUP(IntComp24[[#This Row],[DEVELOPMENT]],Data[],5,FALSE)</f>
        <v>4</v>
      </c>
      <c r="J310" s="50"/>
      <c r="K310" s="50" t="str">
        <f ca="1">IFERROR(VLOOKUP(IntComp24[[#This Row],[DEVELOPMENT]],Data[],4,FALSE),"")</f>
        <v/>
      </c>
      <c r="L310" s="50" t="str">
        <f ca="1">IF(IntComp24[[#This Row],[RAD/PACT]]="","",IF(OR(IntComp24[[#This Row],[RAD/PACT]]="2022-2025",IntComp24[[#This Row],[RAD/PACT]]=2019,IntComp24[[#This Row],[RAD/PACT]]="2020-2021"),"Yes",""))</f>
        <v/>
      </c>
      <c r="M310" s="51">
        <f ca="1">IF(VLOOKUP(IntComp24[[#This Row],[DEVELOPMENT]],Data[],10,FALSE)=0,-1,DATEDIF(VLOOKUP(IntComp24[[#This Row],[DEVELOPMENT]],Data[],12,FALSE),TODAY(),"Y"))</f>
        <v>-1</v>
      </c>
      <c r="N310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10" s="51"/>
      <c r="P310" s="51"/>
      <c r="Q310" s="51"/>
      <c r="R310" s="47">
        <f ca="1">(IntComp24[[#This Row],['# to Replace (MRST)]]*INDEX(UnitCosts[#All],MATCH(IntComp24[[#This Row],[WORK TYPE]],UnitCosts[Work Type],0)+1,2))*(1+((IntComp24[[#This Row],[est. Year]]-YEAR(TODAY()))*$R$2))</f>
        <v>0</v>
      </c>
      <c r="S310" s="1">
        <f ca="1">SUM(INDEX(IntComp24['# to Replace (MRST)],1):IntComp24[[#This Row],['# to Replace (MRST)]])</f>
        <v>123</v>
      </c>
      <c r="T310" s="51"/>
      <c r="U310" s="51">
        <f ca="1">IF(ISBLANK(IntComp24[[#This Row],[CALENDAR YEAR]]),ROUNDDOWN(IntComp24[[#This Row],[Count]]/50,0)+$U$1,IntComp24[[#This Row],[CALENDAR YEAR]])</f>
        <v>2024</v>
      </c>
      <c r="V310" s="69">
        <f t="shared" ca="1" si="6"/>
        <v>1941833.2500000002</v>
      </c>
      <c r="W310" s="5"/>
      <c r="X310"/>
    </row>
    <row r="311" spans="1:24" hidden="1">
      <c r="A311" s="13" t="s">
        <v>371</v>
      </c>
      <c r="B311" s="9" t="str">
        <f>VLOOKUP(A311,Data[],2,FALSE)</f>
        <v>MANHATTAN</v>
      </c>
      <c r="C311" s="9" t="s">
        <v>106</v>
      </c>
      <c r="D311" s="9" t="str">
        <f>VLOOKUP(IntComp24[[#This Row],[DEVELOPMENT]],Data[],52,FALSE)</f>
        <v>FEDERAL</v>
      </c>
      <c r="E311" s="50" t="str">
        <f>VLOOKUP(IntComp24[[#This Row],[DEVELOPMENT]],Data[],8,FALSE)</f>
        <v>Zone 4</v>
      </c>
      <c r="F311" s="50" t="str">
        <f>VLOOKUP(IntComp24[[#This Row],[DEVELOPMENT]],all[[DEVELOPMENT]:[MRST Ext. Comp. Priority]],13,FALSE)</f>
        <v>None</v>
      </c>
      <c r="G311" s="50">
        <f>IF(VLOOKUP(IntComp24[[#This Row],[DEVELOPMENT]],Data[],9,FALSE)=0,5,VLOOKUP(IntComp24[[#This Row],[DEVELOPMENT]],Data[],9,FALSE))</f>
        <v>5</v>
      </c>
      <c r="H311" s="50">
        <f>VLOOKUP(IntComp24[[#This Row],[DEVELOPMENT]],Data[],7,FALSE)</f>
        <v>87</v>
      </c>
      <c r="I311" s="50">
        <f>VLOOKUP(IntComp24[[#This Row],[DEVELOPMENT]],Data[],5,FALSE)</f>
        <v>1</v>
      </c>
      <c r="J311" s="50"/>
      <c r="K311" s="50" t="str">
        <f ca="1">IFERROR(VLOOKUP(IntComp24[[#This Row],[DEVELOPMENT]],Data[],4,FALSE),"")</f>
        <v/>
      </c>
      <c r="L311" s="50" t="str">
        <f ca="1">IF(IntComp24[[#This Row],[RAD/PACT]]="","",IF(OR(IntComp24[[#This Row],[RAD/PACT]]="2022-2025",IntComp24[[#This Row],[RAD/PACT]]=2019,IntComp24[[#This Row],[RAD/PACT]]="2020-2021"),"Yes",""))</f>
        <v/>
      </c>
      <c r="M311" s="51">
        <f ca="1">IF(VLOOKUP(IntComp24[[#This Row],[DEVELOPMENT]],Data[],10,FALSE)=0,-1,DATEDIF(VLOOKUP(IntComp24[[#This Row],[DEVELOPMENT]],Data[],12,FALSE),TODAY(),"Y"))</f>
        <v>-1</v>
      </c>
      <c r="N311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11" s="51"/>
      <c r="P311" s="51"/>
      <c r="Q311" s="51"/>
      <c r="R311" s="47">
        <f ca="1">(IntComp24[[#This Row],['# to Replace (MRST)]]*INDEX(UnitCosts[#All],MATCH(IntComp24[[#This Row],[WORK TYPE]],UnitCosts[Work Type],0)+1,2))*(1+((IntComp24[[#This Row],[est. Year]]-YEAR(TODAY()))*$R$2))</f>
        <v>0</v>
      </c>
      <c r="S311" s="1">
        <f ca="1">SUM(INDEX(IntComp24['# to Replace (MRST)],1):IntComp24[[#This Row],['# to Replace (MRST)]])</f>
        <v>123</v>
      </c>
      <c r="T311" s="51"/>
      <c r="U311" s="51">
        <f ca="1">IF(ISBLANK(IntComp24[[#This Row],[CALENDAR YEAR]]),ROUNDDOWN(IntComp24[[#This Row],[Count]]/50,0)+$U$1,IntComp24[[#This Row],[CALENDAR YEAR]])</f>
        <v>2024</v>
      </c>
      <c r="V311" s="69">
        <f t="shared" ca="1" si="6"/>
        <v>1941833.2500000002</v>
      </c>
      <c r="W311" s="5"/>
      <c r="X311"/>
    </row>
    <row r="312" spans="1:24" hidden="1">
      <c r="A312" s="13" t="s">
        <v>378</v>
      </c>
      <c r="B312" s="9" t="str">
        <f>VLOOKUP(A312,Data[],2,FALSE)</f>
        <v>MANHATTAN</v>
      </c>
      <c r="C312" s="9" t="s">
        <v>106</v>
      </c>
      <c r="D312" s="9" t="str">
        <f>VLOOKUP(IntComp24[[#This Row],[DEVELOPMENT]],Data[],52,FALSE)</f>
        <v>FEDERAL</v>
      </c>
      <c r="E312" s="50">
        <f>VLOOKUP(IntComp24[[#This Row],[DEVELOPMENT]],Data[],8,FALSE)</f>
        <v>0</v>
      </c>
      <c r="F312" s="50" t="str">
        <f>VLOOKUP(IntComp24[[#This Row],[DEVELOPMENT]],all[[DEVELOPMENT]:[MRST Ext. Comp. Priority]],13,FALSE)</f>
        <v>None</v>
      </c>
      <c r="G312" s="50">
        <f>IF(VLOOKUP(IntComp24[[#This Row],[DEVELOPMENT]],Data[],9,FALSE)=0,5,VLOOKUP(IntComp24[[#This Row],[DEVELOPMENT]],Data[],9,FALSE))</f>
        <v>5</v>
      </c>
      <c r="H312" s="50">
        <f>VLOOKUP(IntComp24[[#This Row],[DEVELOPMENT]],Data[],7,FALSE)</f>
        <v>14</v>
      </c>
      <c r="I312" s="50">
        <f>VLOOKUP(IntComp24[[#This Row],[DEVELOPMENT]],Data[],5,FALSE)</f>
        <v>1</v>
      </c>
      <c r="J312" s="50"/>
      <c r="K312" s="50" t="str">
        <f ca="1">IFERROR(VLOOKUP(IntComp24[[#This Row],[DEVELOPMENT]],Data[],4,FALSE),"")</f>
        <v/>
      </c>
      <c r="L312" s="50" t="str">
        <f ca="1">IF(IntComp24[[#This Row],[RAD/PACT]]="","",IF(OR(IntComp24[[#This Row],[RAD/PACT]]="2022-2025",IntComp24[[#This Row],[RAD/PACT]]=2019,IntComp24[[#This Row],[RAD/PACT]]="2020-2021"),"Yes",""))</f>
        <v/>
      </c>
      <c r="M312" s="51">
        <f ca="1">IF(VLOOKUP(IntComp24[[#This Row],[DEVELOPMENT]],Data[],10,FALSE)=0,-1,DATEDIF(VLOOKUP(IntComp24[[#This Row],[DEVELOPMENT]],Data[],12,FALSE),TODAY(),"Y"))</f>
        <v>-1</v>
      </c>
      <c r="N312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12" s="51"/>
      <c r="P312" s="51"/>
      <c r="Q312" s="51"/>
      <c r="R312" s="47">
        <f ca="1">(IntComp24[[#This Row],['# to Replace (MRST)]]*INDEX(UnitCosts[#All],MATCH(IntComp24[[#This Row],[WORK TYPE]],UnitCosts[Work Type],0)+1,2))*(1+((IntComp24[[#This Row],[est. Year]]-YEAR(TODAY()))*$R$2))</f>
        <v>0</v>
      </c>
      <c r="S312" s="1">
        <f ca="1">SUM(INDEX(IntComp24['# to Replace (MRST)],1):IntComp24[[#This Row],['# to Replace (MRST)]])</f>
        <v>123</v>
      </c>
      <c r="T312" s="51"/>
      <c r="U312" s="51">
        <f ca="1">IF(ISBLANK(IntComp24[[#This Row],[CALENDAR YEAR]]),ROUNDDOWN(IntComp24[[#This Row],[Count]]/50,0)+$U$1,IntComp24[[#This Row],[CALENDAR YEAR]])</f>
        <v>2024</v>
      </c>
      <c r="V312" s="69">
        <f t="shared" ca="1" si="6"/>
        <v>1941833.2500000002</v>
      </c>
      <c r="W312" s="5"/>
      <c r="X312"/>
    </row>
    <row r="313" spans="1:24" hidden="1">
      <c r="A313" s="13" t="s">
        <v>379</v>
      </c>
      <c r="B313" s="9" t="str">
        <f>VLOOKUP(A313,Data[],2,FALSE)</f>
        <v>MANHATTAN</v>
      </c>
      <c r="C313" s="9" t="s">
        <v>106</v>
      </c>
      <c r="D313" s="9" t="str">
        <f>VLOOKUP(IntComp24[[#This Row],[DEVELOPMENT]],Data[],52,FALSE)</f>
        <v>FEDERAL</v>
      </c>
      <c r="E313" s="50">
        <f>VLOOKUP(IntComp24[[#This Row],[DEVELOPMENT]],Data[],8,FALSE)</f>
        <v>0</v>
      </c>
      <c r="F313" s="50" t="str">
        <f>VLOOKUP(IntComp24[[#This Row],[DEVELOPMENT]],all[[DEVELOPMENT]:[MRST Ext. Comp. Priority]],13,FALSE)</f>
        <v>None</v>
      </c>
      <c r="G313" s="50">
        <f>IF(VLOOKUP(IntComp24[[#This Row],[DEVELOPMENT]],Data[],9,FALSE)=0,5,VLOOKUP(IntComp24[[#This Row],[DEVELOPMENT]],Data[],9,FALSE))</f>
        <v>5</v>
      </c>
      <c r="H313" s="50">
        <f>VLOOKUP(IntComp24[[#This Row],[DEVELOPMENT]],Data[],7,FALSE)</f>
        <v>32</v>
      </c>
      <c r="I313" s="50">
        <f>VLOOKUP(IntComp24[[#This Row],[DEVELOPMENT]],Data[],5,FALSE)</f>
        <v>2</v>
      </c>
      <c r="J313" s="50"/>
      <c r="K313" s="50" t="str">
        <f ca="1">IFERROR(VLOOKUP(IntComp24[[#This Row],[DEVELOPMENT]],Data[],4,FALSE),"")</f>
        <v>2020-2021</v>
      </c>
      <c r="L313" s="50" t="str">
        <f ca="1">IF(IntComp24[[#This Row],[RAD/PACT]]="","",IF(OR(IntComp24[[#This Row],[RAD/PACT]]="2022-2025",IntComp24[[#This Row],[RAD/PACT]]=2019,IntComp24[[#This Row],[RAD/PACT]]="2020-2021"),"Yes",""))</f>
        <v>Yes</v>
      </c>
      <c r="M313" s="51">
        <f ca="1">IF(VLOOKUP(IntComp24[[#This Row],[DEVELOPMENT]],Data[],10,FALSE)=0,-1,DATEDIF(VLOOKUP(IntComp24[[#This Row],[DEVELOPMENT]],Data[],12,FALSE),TODAY(),"Y"))</f>
        <v>-1</v>
      </c>
      <c r="N313" s="51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13" s="51"/>
      <c r="P313" s="51"/>
      <c r="Q313" s="51"/>
      <c r="R313" s="47">
        <f ca="1">(IntComp24[[#This Row],['# to Replace (MRST)]]*INDEX(UnitCosts[#All],MATCH(IntComp24[[#This Row],[WORK TYPE]],UnitCosts[Work Type],0)+1,2))*(1+((IntComp24[[#This Row],[est. Year]]-YEAR(TODAY()))*$R$2))</f>
        <v>0</v>
      </c>
      <c r="S313" s="1">
        <f ca="1">SUM(INDEX(IntComp24['# to Replace (MRST)],1):IntComp24[[#This Row],['# to Replace (MRST)]])</f>
        <v>123</v>
      </c>
      <c r="T313" s="51"/>
      <c r="U313" s="51">
        <f ca="1">IF(ISBLANK(IntComp24[[#This Row],[CALENDAR YEAR]]),ROUNDDOWN(IntComp24[[#This Row],[Count]]/50,0)+$U$1,IntComp24[[#This Row],[CALENDAR YEAR]])</f>
        <v>2024</v>
      </c>
      <c r="V313" s="69">
        <f t="shared" ca="1" si="6"/>
        <v>1941833.2500000002</v>
      </c>
      <c r="W313" s="5"/>
      <c r="X313"/>
    </row>
    <row r="314" spans="1:24" hidden="1">
      <c r="A314" s="48" t="s">
        <v>388</v>
      </c>
      <c r="B314" s="24" t="str">
        <f>VLOOKUP(A314,Data[],2,FALSE)</f>
        <v>MANHATTAN</v>
      </c>
      <c r="C314" s="24" t="s">
        <v>106</v>
      </c>
      <c r="D314" s="24" t="str">
        <f>VLOOKUP(IntComp24[[#This Row],[DEVELOPMENT]],Data[],52,FALSE)</f>
        <v>FEDERAL</v>
      </c>
      <c r="E314" s="52" t="str">
        <f>VLOOKUP(IntComp24[[#This Row],[DEVELOPMENT]],Data[],8,FALSE)</f>
        <v>Zone 4</v>
      </c>
      <c r="F314" s="52" t="str">
        <f>VLOOKUP(IntComp24[[#This Row],[DEVELOPMENT]],all[[DEVELOPMENT]:[MRST Ext. Comp. Priority]],13,FALSE)</f>
        <v>None</v>
      </c>
      <c r="G314" s="52">
        <f>IF(VLOOKUP(IntComp24[[#This Row],[DEVELOPMENT]],Data[],9,FALSE)=0,5,VLOOKUP(IntComp24[[#This Row],[DEVELOPMENT]],Data[],9,FALSE))</f>
        <v>5</v>
      </c>
      <c r="H314" s="52">
        <f>VLOOKUP(IntComp24[[#This Row],[DEVELOPMENT]],Data[],7,FALSE)</f>
        <v>236</v>
      </c>
      <c r="I314" s="52">
        <f>VLOOKUP(IntComp24[[#This Row],[DEVELOPMENT]],Data[],5,FALSE)</f>
        <v>36</v>
      </c>
      <c r="J314" s="52"/>
      <c r="K314" s="52" t="str">
        <f ca="1">IFERROR(VLOOKUP(IntComp24[[#This Row],[DEVELOPMENT]],Data[],4,FALSE),"")</f>
        <v/>
      </c>
      <c r="L314" s="52" t="str">
        <f ca="1">IF(IntComp24[[#This Row],[RAD/PACT]]="","",IF(OR(IntComp24[[#This Row],[RAD/PACT]]="2022-2025",IntComp24[[#This Row],[RAD/PACT]]=2019,IntComp24[[#This Row],[RAD/PACT]]="2020-2021"),"Yes",""))</f>
        <v/>
      </c>
      <c r="M314" s="62">
        <f ca="1">IF(VLOOKUP(IntComp24[[#This Row],[DEVELOPMENT]],Data[],10,FALSE)=0,-1,DATEDIF(VLOOKUP(IntComp24[[#This Row],[DEVELOPMENT]],Data[],12,FALSE),TODAY(),"Y"))</f>
        <v>-1</v>
      </c>
      <c r="N314" s="62">
        <f ca="1">IF(IntComp24[[#This Row],[AGE (2019) (Y)]]&lt;7,0,IF(ISNUMBER(SEARCH("LLC",IntComp24[[#This Row],[Program]])),IF(IntComp24[[#This Row],[RAD/PACT]]="",VLOOKUP(IntComp24[[#This Row],[DEVELOPMENT]],Data[],10,FALSE),IF(IntComp24[[#This Row],[RAD/PACT by 2025]]="yes",0,VLOOKUP(IntComp24[[#This Row],[DEVELOPMENT]],Data[],10,FALSE))),0))</f>
        <v>0</v>
      </c>
      <c r="O314" s="62"/>
      <c r="P314" s="62"/>
      <c r="Q314" s="62"/>
      <c r="R314" s="53">
        <f ca="1">(IntComp24[[#This Row],['# to Replace (MRST)]]*INDEX(UnitCosts[#All],MATCH(IntComp24[[#This Row],[WORK TYPE]],UnitCosts[Work Type],0)+1,2))*(1+((IntComp24[[#This Row],[est. Year]]-YEAR(TODAY()))*$R$2))</f>
        <v>0</v>
      </c>
      <c r="S314" s="36">
        <f ca="1">SUM(INDEX(IntComp24['# to Replace (MRST)],1):IntComp24[[#This Row],['# to Replace (MRST)]])</f>
        <v>123</v>
      </c>
      <c r="T314" s="62"/>
      <c r="U314" s="62">
        <f ca="1">IF(ISBLANK(IntComp24[[#This Row],[CALENDAR YEAR]]),ROUNDDOWN(IntComp24[[#This Row],[Count]]/50,0)+$U$1,IntComp24[[#This Row],[CALENDAR YEAR]])</f>
        <v>2024</v>
      </c>
      <c r="V314" s="141">
        <f t="shared" ca="1" si="6"/>
        <v>1941833.2500000002</v>
      </c>
      <c r="W314" s="5"/>
      <c r="X314"/>
    </row>
  </sheetData>
  <conditionalFormatting sqref="R3:XFD3 X1:XFD1 J3:N3 A1:I1048576 J2:XFD2 J1:V1 K315:XFD1048576 J4:XFD314">
    <cfRule type="containsErrors" dxfId="294" priority="3">
      <formula>ISERROR(A1)</formula>
    </cfRule>
  </conditionalFormatting>
  <conditionalFormatting sqref="V1:V313 W315:W1048565">
    <cfRule type="expression" dxfId="293" priority="2">
      <formula>V1&gt;V2</formula>
    </cfRule>
  </conditionalFormatting>
  <conditionalFormatting sqref="O3:Q3">
    <cfRule type="containsErrors" dxfId="292" priority="1">
      <formula>ISERROR(O3)</formula>
    </cfRule>
  </conditionalFormatting>
  <conditionalFormatting sqref="W1048566:W1048576">
    <cfRule type="expression" dxfId="291" priority="4">
      <formula>W1048566&gt;V1</formula>
    </cfRule>
  </conditionalFormatting>
  <conditionalFormatting sqref="V314">
    <cfRule type="expression" dxfId="290" priority="5">
      <formula>V314&gt;#REF!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138EC-0E56-4344-9AF9-206416D2DCCA}">
  <dimension ref="A1:W34"/>
  <sheetViews>
    <sheetView topLeftCell="H11" workbookViewId="0">
      <selection activeCell="A5" sqref="A5"/>
    </sheetView>
  </sheetViews>
  <sheetFormatPr defaultRowHeight="14.45"/>
  <cols>
    <col min="1" max="1" width="35.28515625" bestFit="1" customWidth="1"/>
    <col min="2" max="2" width="7.85546875" bestFit="1" customWidth="1"/>
    <col min="3" max="3" width="6.7109375" bestFit="1" customWidth="1"/>
    <col min="4" max="4" width="20.7109375" bestFit="1" customWidth="1"/>
    <col min="5" max="5" width="9.42578125" bestFit="1" customWidth="1"/>
    <col min="6" max="6" width="6.42578125" bestFit="1" customWidth="1"/>
    <col min="7" max="7" width="10.42578125" bestFit="1" customWidth="1"/>
    <col min="8" max="8" width="25.7109375" bestFit="1" customWidth="1"/>
    <col min="9" max="9" width="20.140625" bestFit="1" customWidth="1"/>
    <col min="10" max="10" width="15.7109375" bestFit="1" customWidth="1"/>
    <col min="11" max="11" width="24.42578125" bestFit="1" customWidth="1"/>
    <col min="12" max="12" width="20.42578125" bestFit="1" customWidth="1"/>
    <col min="13" max="13" width="39.5703125" bestFit="1" customWidth="1"/>
    <col min="14" max="14" width="29" bestFit="1" customWidth="1"/>
    <col min="15" max="15" width="34" bestFit="1" customWidth="1"/>
    <col min="16" max="16" width="26.7109375" bestFit="1" customWidth="1"/>
    <col min="17" max="17" width="25.7109375" bestFit="1" customWidth="1"/>
    <col min="18" max="18" width="16.28515625" bestFit="1" customWidth="1"/>
    <col min="19" max="19" width="12.28515625" bestFit="1" customWidth="1"/>
    <col min="20" max="20" width="13.28515625" bestFit="1" customWidth="1"/>
    <col min="21" max="21" width="12.7109375" bestFit="1" customWidth="1"/>
    <col min="22" max="22" width="27.5703125" bestFit="1" customWidth="1"/>
    <col min="23" max="23" width="31.28515625" bestFit="1" customWidth="1"/>
  </cols>
  <sheetData>
    <row r="1" spans="1:23" s="54" customFormat="1">
      <c r="A1" s="54">
        <v>1</v>
      </c>
      <c r="B1" s="54">
        <v>2</v>
      </c>
      <c r="C1" s="54">
        <v>3</v>
      </c>
      <c r="D1" s="54">
        <v>4</v>
      </c>
      <c r="E1" s="54">
        <v>5</v>
      </c>
      <c r="F1" s="54">
        <v>6</v>
      </c>
      <c r="G1" s="54">
        <v>7</v>
      </c>
      <c r="H1" s="54">
        <v>8</v>
      </c>
      <c r="I1" s="54">
        <v>9</v>
      </c>
      <c r="J1" s="54">
        <v>10</v>
      </c>
      <c r="K1" s="54">
        <v>11</v>
      </c>
      <c r="L1" s="54">
        <v>12</v>
      </c>
      <c r="M1" s="54">
        <v>13</v>
      </c>
      <c r="N1" s="54">
        <v>14</v>
      </c>
      <c r="O1" s="54">
        <v>15</v>
      </c>
      <c r="P1" s="54">
        <v>16</v>
      </c>
      <c r="Q1" s="54">
        <v>17</v>
      </c>
      <c r="R1" s="54">
        <v>18</v>
      </c>
      <c r="S1" s="54">
        <v>19</v>
      </c>
      <c r="T1" s="54">
        <v>20</v>
      </c>
      <c r="U1" s="54">
        <v>21</v>
      </c>
      <c r="V1" s="54">
        <v>22</v>
      </c>
    </row>
    <row r="2" spans="1:23">
      <c r="A2" t="s">
        <v>497</v>
      </c>
      <c r="B2" t="s">
        <v>2250</v>
      </c>
      <c r="C2" t="s">
        <v>2251</v>
      </c>
      <c r="D2" t="s">
        <v>2252</v>
      </c>
      <c r="E2" t="s">
        <v>2253</v>
      </c>
      <c r="F2" t="s">
        <v>155</v>
      </c>
      <c r="G2" t="s">
        <v>500</v>
      </c>
      <c r="H2" t="s">
        <v>2254</v>
      </c>
      <c r="I2" t="s">
        <v>2255</v>
      </c>
      <c r="J2" t="s">
        <v>2256</v>
      </c>
      <c r="K2" t="s">
        <v>2257</v>
      </c>
      <c r="L2" t="s">
        <v>2258</v>
      </c>
      <c r="M2" t="s">
        <v>2259</v>
      </c>
      <c r="N2" t="s">
        <v>2260</v>
      </c>
      <c r="O2" t="s">
        <v>2261</v>
      </c>
      <c r="P2" t="s">
        <v>2262</v>
      </c>
      <c r="Q2" t="s">
        <v>2263</v>
      </c>
      <c r="R2" t="s">
        <v>2264</v>
      </c>
      <c r="S2" t="s">
        <v>2265</v>
      </c>
      <c r="T2" t="s">
        <v>2266</v>
      </c>
      <c r="U2" t="s">
        <v>2267</v>
      </c>
      <c r="V2" t="s">
        <v>24</v>
      </c>
      <c r="W2" t="s">
        <v>2268</v>
      </c>
    </row>
    <row r="3" spans="1:23">
      <c r="A3" s="20" t="s">
        <v>332</v>
      </c>
      <c r="B3" s="20" t="s">
        <v>2269</v>
      </c>
      <c r="D3">
        <v>10049</v>
      </c>
      <c r="E3" s="20"/>
      <c r="F3">
        <v>78</v>
      </c>
      <c r="G3" s="20" t="s">
        <v>2237</v>
      </c>
      <c r="H3">
        <v>0</v>
      </c>
      <c r="I3" t="s">
        <v>106</v>
      </c>
      <c r="K3">
        <v>285309</v>
      </c>
      <c r="L3" s="20">
        <v>285309</v>
      </c>
      <c r="M3" s="27">
        <v>43389</v>
      </c>
      <c r="N3" s="27">
        <v>43389</v>
      </c>
      <c r="O3" s="27">
        <v>43406</v>
      </c>
      <c r="P3" s="27">
        <v>43406</v>
      </c>
      <c r="R3">
        <v>6</v>
      </c>
      <c r="S3">
        <v>6</v>
      </c>
      <c r="T3">
        <v>1</v>
      </c>
      <c r="U3" t="s">
        <v>2270</v>
      </c>
      <c r="V3" s="20" t="s">
        <v>2271</v>
      </c>
      <c r="W3">
        <f>CPD_Int[[#This Row],[% Complete]]*CPD_Int[[#This Row],[City Funds Allocated]]</f>
        <v>285309</v>
      </c>
    </row>
    <row r="4" spans="1:23">
      <c r="A4" s="20" t="s">
        <v>2272</v>
      </c>
      <c r="B4" s="20" t="s">
        <v>2269</v>
      </c>
      <c r="C4">
        <v>2023</v>
      </c>
      <c r="D4">
        <v>10048</v>
      </c>
      <c r="E4" s="20"/>
      <c r="F4">
        <v>308</v>
      </c>
      <c r="G4" s="20" t="s">
        <v>2237</v>
      </c>
      <c r="H4">
        <v>0</v>
      </c>
      <c r="I4" t="s">
        <v>106</v>
      </c>
      <c r="K4">
        <v>171680</v>
      </c>
      <c r="L4" s="20">
        <v>171680</v>
      </c>
      <c r="M4" s="27">
        <v>43409</v>
      </c>
      <c r="N4" s="27">
        <v>43409</v>
      </c>
      <c r="O4" s="27">
        <v>43434</v>
      </c>
      <c r="P4" s="27">
        <v>43434</v>
      </c>
      <c r="R4">
        <v>8</v>
      </c>
      <c r="S4">
        <v>8</v>
      </c>
      <c r="T4">
        <v>1</v>
      </c>
      <c r="U4" t="s">
        <v>2270</v>
      </c>
      <c r="V4" s="20" t="s">
        <v>2205</v>
      </c>
      <c r="W4">
        <f>CPD_Int[[#This Row],[% Complete]]*CPD_Int[[#This Row],[City Funds Allocated]]</f>
        <v>171680</v>
      </c>
    </row>
    <row r="5" spans="1:23">
      <c r="A5" s="20" t="s">
        <v>40</v>
      </c>
      <c r="B5" s="20" t="s">
        <v>2269</v>
      </c>
      <c r="D5">
        <v>10050</v>
      </c>
      <c r="E5" s="20"/>
      <c r="F5">
        <v>102</v>
      </c>
      <c r="G5" s="20" t="s">
        <v>2237</v>
      </c>
      <c r="H5" t="s">
        <v>2273</v>
      </c>
      <c r="I5" t="s">
        <v>106</v>
      </c>
      <c r="K5" s="236">
        <v>1005592</v>
      </c>
      <c r="L5" s="236">
        <v>1005592</v>
      </c>
      <c r="M5" s="27">
        <v>43438</v>
      </c>
      <c r="N5" s="27">
        <v>43440</v>
      </c>
      <c r="O5" s="27">
        <v>43483</v>
      </c>
      <c r="P5" s="27">
        <v>43523</v>
      </c>
      <c r="Q5">
        <v>906498</v>
      </c>
      <c r="R5">
        <v>10</v>
      </c>
      <c r="S5">
        <v>10</v>
      </c>
      <c r="T5">
        <v>1</v>
      </c>
      <c r="U5" t="s">
        <v>2270</v>
      </c>
      <c r="V5" s="20" t="s">
        <v>2205</v>
      </c>
      <c r="W5">
        <f>CPD_Int[[#This Row],[% Complete]]*CPD_Int[[#This Row],[City Funds Allocated]]</f>
        <v>1005592</v>
      </c>
    </row>
    <row r="6" spans="1:23">
      <c r="A6" s="20" t="s">
        <v>140</v>
      </c>
      <c r="B6" s="20" t="s">
        <v>2269</v>
      </c>
      <c r="D6">
        <v>10050</v>
      </c>
      <c r="E6" s="20"/>
      <c r="F6">
        <v>502</v>
      </c>
      <c r="G6" s="20" t="s">
        <v>2237</v>
      </c>
      <c r="H6" t="s">
        <v>2274</v>
      </c>
      <c r="I6" t="s">
        <v>106</v>
      </c>
      <c r="K6" s="236"/>
      <c r="L6" s="236"/>
      <c r="M6" s="27">
        <v>43438</v>
      </c>
      <c r="N6" s="27">
        <v>43440</v>
      </c>
      <c r="O6" s="27">
        <v>43483</v>
      </c>
      <c r="P6" s="27">
        <v>43523</v>
      </c>
      <c r="R6">
        <v>7</v>
      </c>
      <c r="S6">
        <v>7</v>
      </c>
      <c r="T6">
        <v>1</v>
      </c>
      <c r="U6" t="s">
        <v>2270</v>
      </c>
      <c r="V6" s="20" t="s">
        <v>2275</v>
      </c>
      <c r="W6">
        <f>CPD_Int[[#This Row],[% Complete]]*CPD_Int[[#This Row],[City Funds Allocated]]</f>
        <v>0</v>
      </c>
    </row>
    <row r="7" spans="1:23">
      <c r="A7" s="20" t="s">
        <v>44</v>
      </c>
      <c r="B7" s="20" t="s">
        <v>2269</v>
      </c>
      <c r="D7">
        <v>10054</v>
      </c>
      <c r="E7" s="20"/>
      <c r="F7">
        <v>27</v>
      </c>
      <c r="G7" s="20" t="s">
        <v>2239</v>
      </c>
      <c r="H7" t="s">
        <v>2273</v>
      </c>
      <c r="I7" t="s">
        <v>106</v>
      </c>
      <c r="K7">
        <v>1153953</v>
      </c>
      <c r="L7" s="20">
        <v>1153953</v>
      </c>
      <c r="M7" s="27">
        <v>43501</v>
      </c>
      <c r="N7" s="27">
        <v>43501</v>
      </c>
      <c r="O7" s="27">
        <v>43560</v>
      </c>
      <c r="P7" s="27">
        <v>43553</v>
      </c>
      <c r="R7">
        <v>12</v>
      </c>
      <c r="S7">
        <v>12</v>
      </c>
      <c r="T7">
        <v>1</v>
      </c>
      <c r="U7" t="s">
        <v>2270</v>
      </c>
      <c r="V7" s="20" t="s">
        <v>2205</v>
      </c>
      <c r="W7">
        <f>CPD_Int[[#This Row],[% Complete]]*CPD_Int[[#This Row],[City Funds Allocated]]</f>
        <v>1153953</v>
      </c>
    </row>
    <row r="8" spans="1:23">
      <c r="A8" s="20" t="s">
        <v>45</v>
      </c>
      <c r="B8" s="20" t="s">
        <v>2269</v>
      </c>
      <c r="D8">
        <v>10045</v>
      </c>
      <c r="E8" s="20"/>
      <c r="F8">
        <v>73</v>
      </c>
      <c r="G8" s="20" t="s">
        <v>2238</v>
      </c>
      <c r="H8" t="s">
        <v>2274</v>
      </c>
      <c r="I8" t="s">
        <v>106</v>
      </c>
      <c r="K8">
        <v>957660</v>
      </c>
      <c r="L8" s="20">
        <v>957660</v>
      </c>
      <c r="M8" s="27">
        <v>43557</v>
      </c>
      <c r="N8" s="27">
        <v>43537</v>
      </c>
      <c r="O8" s="27">
        <v>43646</v>
      </c>
      <c r="P8" s="27">
        <v>43585</v>
      </c>
      <c r="R8">
        <v>24</v>
      </c>
      <c r="S8">
        <v>24</v>
      </c>
      <c r="T8">
        <v>1</v>
      </c>
      <c r="U8" t="s">
        <v>2270</v>
      </c>
      <c r="V8" s="20" t="s">
        <v>2205</v>
      </c>
      <c r="W8">
        <f>CPD_Int[[#This Row],[% Complete]]*CPD_Int[[#This Row],[City Funds Allocated]]</f>
        <v>957660</v>
      </c>
    </row>
    <row r="9" spans="1:23">
      <c r="A9" s="20" t="s">
        <v>66</v>
      </c>
      <c r="B9" s="20" t="s">
        <v>2269</v>
      </c>
      <c r="D9">
        <v>10055</v>
      </c>
      <c r="E9" s="20"/>
      <c r="F9">
        <v>23</v>
      </c>
      <c r="G9" s="20" t="s">
        <v>2239</v>
      </c>
      <c r="H9" t="s">
        <v>2273</v>
      </c>
      <c r="I9" t="s">
        <v>106</v>
      </c>
      <c r="K9">
        <v>775248</v>
      </c>
      <c r="L9" s="20">
        <v>775248</v>
      </c>
      <c r="M9" s="27">
        <v>43599</v>
      </c>
      <c r="N9" s="27">
        <v>43599</v>
      </c>
      <c r="O9" s="27">
        <v>43656</v>
      </c>
      <c r="P9" s="27">
        <v>43656</v>
      </c>
      <c r="R9">
        <v>16</v>
      </c>
      <c r="S9">
        <v>16</v>
      </c>
      <c r="T9">
        <v>1</v>
      </c>
      <c r="U9" t="s">
        <v>2270</v>
      </c>
      <c r="V9" s="20" t="s">
        <v>2271</v>
      </c>
      <c r="W9">
        <f>CPD_Int[[#This Row],[% Complete]]*CPD_Int[[#This Row],[City Funds Allocated]]</f>
        <v>775248</v>
      </c>
    </row>
    <row r="10" spans="1:23">
      <c r="A10" s="20" t="s">
        <v>46</v>
      </c>
      <c r="B10" s="20" t="s">
        <v>2269</v>
      </c>
      <c r="D10">
        <v>10046</v>
      </c>
      <c r="E10" s="20"/>
      <c r="F10">
        <v>131</v>
      </c>
      <c r="G10" s="20" t="s">
        <v>2238</v>
      </c>
      <c r="H10">
        <v>0</v>
      </c>
      <c r="I10" t="s">
        <v>106</v>
      </c>
      <c r="K10">
        <v>538903</v>
      </c>
      <c r="L10" s="20"/>
      <c r="M10" s="27">
        <v>43655</v>
      </c>
      <c r="N10" s="27">
        <v>43661</v>
      </c>
      <c r="O10" s="27">
        <v>43693</v>
      </c>
      <c r="P10" s="27">
        <v>43693</v>
      </c>
      <c r="R10">
        <v>12</v>
      </c>
      <c r="S10">
        <v>12</v>
      </c>
      <c r="T10">
        <v>1</v>
      </c>
      <c r="U10" t="s">
        <v>2270</v>
      </c>
      <c r="V10" s="20" t="s">
        <v>2271</v>
      </c>
      <c r="W10">
        <f>CPD_Int[[#This Row],[% Complete]]*CPD_Int[[#This Row],[City Funds Allocated]]</f>
        <v>0</v>
      </c>
    </row>
    <row r="11" spans="1:23">
      <c r="A11" s="20" t="s">
        <v>36</v>
      </c>
      <c r="B11" s="20" t="s">
        <v>2269</v>
      </c>
      <c r="D11">
        <v>10056</v>
      </c>
      <c r="E11" s="20"/>
      <c r="F11">
        <v>76</v>
      </c>
      <c r="G11" s="20" t="s">
        <v>2239</v>
      </c>
      <c r="H11" t="s">
        <v>2273</v>
      </c>
      <c r="I11" t="s">
        <v>106</v>
      </c>
      <c r="K11">
        <v>479884</v>
      </c>
      <c r="L11" s="20">
        <v>479884</v>
      </c>
      <c r="M11" s="27">
        <v>43690</v>
      </c>
      <c r="N11" s="27">
        <v>43704</v>
      </c>
      <c r="O11" s="27">
        <v>43721</v>
      </c>
      <c r="P11" s="27">
        <v>43808</v>
      </c>
      <c r="R11">
        <v>8</v>
      </c>
      <c r="S11">
        <v>8</v>
      </c>
      <c r="T11">
        <v>1</v>
      </c>
      <c r="U11" t="s">
        <v>2270</v>
      </c>
      <c r="V11" s="20" t="s">
        <v>2271</v>
      </c>
      <c r="W11">
        <f>CPD_Int[[#This Row],[% Complete]]*CPD_Int[[#This Row],[City Funds Allocated]]</f>
        <v>479884</v>
      </c>
    </row>
    <row r="12" spans="1:23">
      <c r="A12" s="20" t="s">
        <v>103</v>
      </c>
      <c r="B12" s="20" t="s">
        <v>2269</v>
      </c>
      <c r="D12">
        <v>10068</v>
      </c>
      <c r="E12" s="20"/>
      <c r="F12">
        <v>152</v>
      </c>
      <c r="G12" s="20" t="s">
        <v>2239</v>
      </c>
      <c r="H12">
        <v>0</v>
      </c>
      <c r="I12" t="s">
        <v>106</v>
      </c>
      <c r="K12">
        <v>46198</v>
      </c>
      <c r="L12" s="20">
        <v>46198</v>
      </c>
      <c r="M12" s="27">
        <v>43690</v>
      </c>
      <c r="N12" s="27">
        <v>43704</v>
      </c>
      <c r="O12" s="27">
        <v>43721</v>
      </c>
      <c r="P12" s="27">
        <v>43808</v>
      </c>
      <c r="R12">
        <v>1</v>
      </c>
      <c r="S12">
        <v>1</v>
      </c>
      <c r="T12">
        <v>1</v>
      </c>
      <c r="U12" t="s">
        <v>2270</v>
      </c>
      <c r="V12" s="20" t="s">
        <v>2271</v>
      </c>
      <c r="W12">
        <f>CPD_Int[[#This Row],[% Complete]]*CPD_Int[[#This Row],[City Funds Allocated]]</f>
        <v>46198</v>
      </c>
    </row>
    <row r="13" spans="1:23">
      <c r="A13" s="20" t="s">
        <v>61</v>
      </c>
      <c r="B13" s="20" t="s">
        <v>2269</v>
      </c>
      <c r="D13">
        <v>10058</v>
      </c>
      <c r="E13" s="20"/>
      <c r="F13">
        <v>100</v>
      </c>
      <c r="G13" s="20" t="s">
        <v>2239</v>
      </c>
      <c r="H13" t="s">
        <v>2276</v>
      </c>
      <c r="I13" t="s">
        <v>106</v>
      </c>
      <c r="K13">
        <v>191322</v>
      </c>
      <c r="L13" s="20">
        <v>191322</v>
      </c>
      <c r="M13" s="27">
        <v>43718</v>
      </c>
      <c r="N13" s="27">
        <v>43782</v>
      </c>
      <c r="O13" s="27">
        <v>43732</v>
      </c>
      <c r="P13" s="27">
        <v>43805</v>
      </c>
      <c r="R13">
        <v>4</v>
      </c>
      <c r="S13">
        <v>4</v>
      </c>
      <c r="T13">
        <v>1</v>
      </c>
      <c r="U13" t="s">
        <v>2270</v>
      </c>
      <c r="V13" s="20" t="s">
        <v>2271</v>
      </c>
      <c r="W13">
        <f>CPD_Int[[#This Row],[% Complete]]*CPD_Int[[#This Row],[City Funds Allocated]]</f>
        <v>191322</v>
      </c>
    </row>
    <row r="14" spans="1:23">
      <c r="A14" s="20" t="s">
        <v>43</v>
      </c>
      <c r="B14" s="20" t="s">
        <v>2269</v>
      </c>
      <c r="D14">
        <v>10057</v>
      </c>
      <c r="E14" s="20"/>
      <c r="F14">
        <v>99</v>
      </c>
      <c r="G14" s="20" t="s">
        <v>2239</v>
      </c>
      <c r="H14" t="s">
        <v>2276</v>
      </c>
      <c r="I14" t="s">
        <v>106</v>
      </c>
      <c r="K14">
        <v>260486</v>
      </c>
      <c r="L14" s="20"/>
      <c r="M14" s="27">
        <v>43726</v>
      </c>
      <c r="N14" s="27">
        <v>43802</v>
      </c>
      <c r="O14" s="27">
        <v>43742</v>
      </c>
      <c r="P14" s="27">
        <v>43822</v>
      </c>
      <c r="R14">
        <v>5</v>
      </c>
      <c r="S14">
        <v>5</v>
      </c>
      <c r="T14">
        <v>1</v>
      </c>
      <c r="U14" t="s">
        <v>2270</v>
      </c>
      <c r="V14" s="20" t="s">
        <v>2271</v>
      </c>
      <c r="W14">
        <f>CPD_Int[[#This Row],[% Complete]]*CPD_Int[[#This Row],[City Funds Allocated]]</f>
        <v>0</v>
      </c>
    </row>
    <row r="15" spans="1:23">
      <c r="A15" s="20" t="s">
        <v>266</v>
      </c>
      <c r="B15" s="20" t="s">
        <v>2269</v>
      </c>
      <c r="D15">
        <v>10063</v>
      </c>
      <c r="E15" s="20"/>
      <c r="F15">
        <v>184</v>
      </c>
      <c r="G15" s="20" t="s">
        <v>2239</v>
      </c>
      <c r="H15" t="s">
        <v>2276</v>
      </c>
      <c r="I15" t="s">
        <v>106</v>
      </c>
      <c r="K15">
        <v>59677</v>
      </c>
      <c r="L15" s="20"/>
      <c r="M15" s="27">
        <v>43865</v>
      </c>
      <c r="N15" s="27">
        <v>43874</v>
      </c>
      <c r="O15" s="27">
        <v>43867</v>
      </c>
      <c r="P15" s="27">
        <v>43914</v>
      </c>
      <c r="R15">
        <v>1</v>
      </c>
      <c r="S15">
        <v>1</v>
      </c>
      <c r="T15">
        <v>1</v>
      </c>
      <c r="U15" t="s">
        <v>2270</v>
      </c>
      <c r="V15" s="20" t="s">
        <v>2277</v>
      </c>
      <c r="W15">
        <f>CPD_Int[[#This Row],[% Complete]]*CPD_Int[[#This Row],[City Funds Allocated]]</f>
        <v>0</v>
      </c>
    </row>
    <row r="16" spans="1:23">
      <c r="A16" s="20" t="s">
        <v>51</v>
      </c>
      <c r="B16" s="20" t="s">
        <v>2269</v>
      </c>
      <c r="D16">
        <v>10060</v>
      </c>
      <c r="E16" s="20"/>
      <c r="F16">
        <v>266</v>
      </c>
      <c r="G16" s="20" t="s">
        <v>2239</v>
      </c>
      <c r="H16">
        <v>0</v>
      </c>
      <c r="I16" t="s">
        <v>106</v>
      </c>
      <c r="K16">
        <v>84804</v>
      </c>
      <c r="L16" s="20"/>
      <c r="M16" s="27">
        <v>43865</v>
      </c>
      <c r="N16" s="27">
        <v>43872</v>
      </c>
      <c r="O16" s="27">
        <v>43867</v>
      </c>
      <c r="P16" s="27">
        <v>43893</v>
      </c>
      <c r="R16">
        <v>1</v>
      </c>
      <c r="S16">
        <v>1</v>
      </c>
      <c r="T16">
        <v>1</v>
      </c>
      <c r="U16" t="s">
        <v>2270</v>
      </c>
      <c r="V16" s="20" t="s">
        <v>2277</v>
      </c>
      <c r="W16">
        <f>CPD_Int[[#This Row],[% Complete]]*CPD_Int[[#This Row],[City Funds Allocated]]</f>
        <v>0</v>
      </c>
    </row>
    <row r="17" spans="1:23">
      <c r="A17" s="20" t="s">
        <v>42</v>
      </c>
      <c r="B17" s="20" t="s">
        <v>2269</v>
      </c>
      <c r="D17">
        <v>10042</v>
      </c>
      <c r="E17" s="20"/>
      <c r="F17">
        <v>135</v>
      </c>
      <c r="G17" s="20" t="s">
        <v>2238</v>
      </c>
      <c r="H17" t="s">
        <v>2276</v>
      </c>
      <c r="I17" t="s">
        <v>106</v>
      </c>
      <c r="K17">
        <v>280640</v>
      </c>
      <c r="L17" s="20">
        <v>276547</v>
      </c>
      <c r="M17" s="27">
        <v>43753</v>
      </c>
      <c r="N17" s="27">
        <v>43836</v>
      </c>
      <c r="O17" s="27">
        <v>43858</v>
      </c>
      <c r="P17" s="27">
        <v>43858</v>
      </c>
      <c r="R17">
        <v>6</v>
      </c>
      <c r="S17">
        <v>6</v>
      </c>
      <c r="T17">
        <v>1</v>
      </c>
      <c r="U17" t="s">
        <v>2270</v>
      </c>
      <c r="V17" s="20" t="s">
        <v>2271</v>
      </c>
      <c r="W17">
        <f>CPD_Int[[#This Row],[% Complete]]*CPD_Int[[#This Row],[City Funds Allocated]]</f>
        <v>276547</v>
      </c>
    </row>
    <row r="18" spans="1:23">
      <c r="A18" s="20" t="s">
        <v>148</v>
      </c>
      <c r="B18" s="20" t="s">
        <v>2269</v>
      </c>
      <c r="D18">
        <v>10043</v>
      </c>
      <c r="E18" s="20"/>
      <c r="F18">
        <v>177</v>
      </c>
      <c r="G18" s="20" t="s">
        <v>2238</v>
      </c>
      <c r="H18">
        <v>0</v>
      </c>
      <c r="I18" t="s">
        <v>106</v>
      </c>
      <c r="K18">
        <v>141242</v>
      </c>
      <c r="L18" s="20">
        <v>141242</v>
      </c>
      <c r="M18" s="27">
        <v>43753</v>
      </c>
      <c r="N18" s="27">
        <v>43836</v>
      </c>
      <c r="O18" s="27">
        <v>43858</v>
      </c>
      <c r="P18" s="27">
        <v>43858</v>
      </c>
      <c r="R18">
        <v>3</v>
      </c>
      <c r="S18">
        <v>3</v>
      </c>
      <c r="T18">
        <v>1</v>
      </c>
      <c r="U18" t="s">
        <v>2270</v>
      </c>
      <c r="V18" s="20" t="s">
        <v>2271</v>
      </c>
      <c r="W18">
        <f>CPD_Int[[#This Row],[% Complete]]*CPD_Int[[#This Row],[City Funds Allocated]]</f>
        <v>141242</v>
      </c>
    </row>
    <row r="19" spans="1:23">
      <c r="A19" s="20" t="s">
        <v>242</v>
      </c>
      <c r="B19" s="20" t="s">
        <v>2269</v>
      </c>
      <c r="D19">
        <v>10067</v>
      </c>
      <c r="E19" s="20"/>
      <c r="F19">
        <v>1</v>
      </c>
      <c r="G19" s="20" t="s">
        <v>2239</v>
      </c>
      <c r="H19" t="s">
        <v>2276</v>
      </c>
      <c r="I19" t="s">
        <v>106</v>
      </c>
      <c r="K19">
        <v>405596</v>
      </c>
      <c r="L19" s="20"/>
      <c r="M19" s="27">
        <v>44075</v>
      </c>
      <c r="N19" s="27"/>
      <c r="O19" s="27">
        <v>44105</v>
      </c>
      <c r="P19" s="27"/>
      <c r="R19">
        <v>0</v>
      </c>
      <c r="S19">
        <v>8</v>
      </c>
      <c r="T19">
        <v>0</v>
      </c>
      <c r="U19" t="s">
        <v>2278</v>
      </c>
      <c r="V19" s="20" t="s">
        <v>2277</v>
      </c>
      <c r="W19">
        <f>CPD_Int[[#This Row],[% Complete]]*CPD_Int[[#This Row],[City Funds Allocated]]</f>
        <v>0</v>
      </c>
    </row>
    <row r="20" spans="1:23">
      <c r="A20" s="20" t="s">
        <v>2279</v>
      </c>
      <c r="B20" s="20" t="s">
        <v>2269</v>
      </c>
      <c r="C20">
        <v>2026</v>
      </c>
      <c r="D20">
        <v>10039</v>
      </c>
      <c r="E20" s="20"/>
      <c r="F20">
        <v>311</v>
      </c>
      <c r="G20" s="20" t="s">
        <v>2238</v>
      </c>
      <c r="H20">
        <v>0</v>
      </c>
      <c r="I20" t="s">
        <v>106</v>
      </c>
      <c r="K20">
        <v>247785</v>
      </c>
      <c r="L20" s="20">
        <v>244171</v>
      </c>
      <c r="M20" s="27">
        <v>43920</v>
      </c>
      <c r="N20" s="27">
        <v>43920</v>
      </c>
      <c r="O20" s="27">
        <v>44089</v>
      </c>
      <c r="P20" s="27"/>
      <c r="R20">
        <v>2</v>
      </c>
      <c r="S20">
        <v>5</v>
      </c>
      <c r="T20">
        <v>0.4</v>
      </c>
      <c r="U20" t="s">
        <v>2278</v>
      </c>
      <c r="V20" s="20" t="s">
        <v>2280</v>
      </c>
      <c r="W20">
        <f>CPD_Int[[#This Row],[% Complete]]*CPD_Int[[#This Row],[City Funds Allocated]]</f>
        <v>97668.400000000009</v>
      </c>
    </row>
    <row r="21" spans="1:23">
      <c r="A21" s="20" t="s">
        <v>2281</v>
      </c>
      <c r="B21" s="20" t="s">
        <v>2269</v>
      </c>
      <c r="C21">
        <v>2024</v>
      </c>
      <c r="D21">
        <v>10062</v>
      </c>
      <c r="E21" s="20"/>
      <c r="F21">
        <v>337</v>
      </c>
      <c r="G21" s="20" t="s">
        <v>2239</v>
      </c>
      <c r="H21" t="s">
        <v>2276</v>
      </c>
      <c r="I21" t="s">
        <v>106</v>
      </c>
      <c r="K21">
        <v>48868</v>
      </c>
      <c r="L21" s="20"/>
      <c r="M21" s="27">
        <v>43932</v>
      </c>
      <c r="N21" s="27">
        <v>43902</v>
      </c>
      <c r="O21" s="27">
        <v>43939</v>
      </c>
      <c r="P21" s="27">
        <v>43911</v>
      </c>
      <c r="R21">
        <v>1</v>
      </c>
      <c r="S21">
        <v>1</v>
      </c>
      <c r="T21">
        <v>1</v>
      </c>
      <c r="U21" t="s">
        <v>2270</v>
      </c>
      <c r="V21" s="20" t="s">
        <v>2277</v>
      </c>
      <c r="W21">
        <f>CPD_Int[[#This Row],[% Complete]]*CPD_Int[[#This Row],[City Funds Allocated]]</f>
        <v>0</v>
      </c>
    </row>
    <row r="22" spans="1:23">
      <c r="A22" s="20" t="s">
        <v>57</v>
      </c>
      <c r="B22" s="20" t="s">
        <v>2269</v>
      </c>
      <c r="D22">
        <v>10065</v>
      </c>
      <c r="E22" s="20"/>
      <c r="F22">
        <v>265</v>
      </c>
      <c r="G22" s="20" t="s">
        <v>2239</v>
      </c>
      <c r="H22" t="s">
        <v>2276</v>
      </c>
      <c r="I22" t="s">
        <v>106</v>
      </c>
      <c r="K22">
        <v>53023</v>
      </c>
      <c r="L22" s="20">
        <v>53023</v>
      </c>
      <c r="M22" s="27">
        <v>43940</v>
      </c>
      <c r="N22" s="27">
        <v>43907</v>
      </c>
      <c r="O22" s="27">
        <v>43951</v>
      </c>
      <c r="P22" s="27">
        <v>43938</v>
      </c>
      <c r="R22">
        <v>1</v>
      </c>
      <c r="S22">
        <v>1</v>
      </c>
      <c r="T22">
        <v>1</v>
      </c>
      <c r="U22" t="s">
        <v>2270</v>
      </c>
      <c r="V22" s="20" t="s">
        <v>2277</v>
      </c>
      <c r="W22">
        <f>CPD_Int[[#This Row],[% Complete]]*CPD_Int[[#This Row],[City Funds Allocated]]</f>
        <v>53023</v>
      </c>
    </row>
    <row r="23" spans="1:23">
      <c r="A23" s="20" t="s">
        <v>50</v>
      </c>
      <c r="B23" s="20" t="s">
        <v>2269</v>
      </c>
      <c r="D23">
        <v>10066</v>
      </c>
      <c r="E23" s="20"/>
      <c r="F23">
        <v>183</v>
      </c>
      <c r="G23" s="20" t="s">
        <v>2239</v>
      </c>
      <c r="H23">
        <v>0</v>
      </c>
      <c r="I23" t="s">
        <v>106</v>
      </c>
      <c r="K23">
        <v>55349</v>
      </c>
      <c r="L23" s="20">
        <v>55349</v>
      </c>
      <c r="M23" s="27">
        <v>43952</v>
      </c>
      <c r="N23" s="27">
        <v>43908</v>
      </c>
      <c r="O23" s="27">
        <v>43966</v>
      </c>
      <c r="P23" s="27">
        <v>43935</v>
      </c>
      <c r="R23">
        <v>2</v>
      </c>
      <c r="S23">
        <v>2</v>
      </c>
      <c r="T23">
        <v>1</v>
      </c>
      <c r="U23" t="s">
        <v>2270</v>
      </c>
      <c r="V23" s="20" t="s">
        <v>2277</v>
      </c>
      <c r="W23">
        <f>CPD_Int[[#This Row],[% Complete]]*CPD_Int[[#This Row],[City Funds Allocated]]</f>
        <v>55349</v>
      </c>
    </row>
    <row r="24" spans="1:23">
      <c r="A24" s="20" t="s">
        <v>139</v>
      </c>
      <c r="B24" s="20" t="s">
        <v>2269</v>
      </c>
      <c r="D24">
        <v>10041</v>
      </c>
      <c r="E24" s="20"/>
      <c r="F24">
        <v>109</v>
      </c>
      <c r="G24" s="20" t="s">
        <v>2238</v>
      </c>
      <c r="H24">
        <v>0</v>
      </c>
      <c r="I24" t="s">
        <v>106</v>
      </c>
      <c r="K24">
        <v>63283</v>
      </c>
      <c r="L24" s="20">
        <v>63283</v>
      </c>
      <c r="M24" s="27">
        <v>44058</v>
      </c>
      <c r="N24" s="27"/>
      <c r="O24" s="27">
        <v>44073</v>
      </c>
      <c r="P24" s="27"/>
      <c r="R24">
        <v>0</v>
      </c>
      <c r="S24">
        <v>1</v>
      </c>
      <c r="T24">
        <v>0</v>
      </c>
      <c r="U24" t="s">
        <v>2278</v>
      </c>
      <c r="V24" s="20" t="s">
        <v>2277</v>
      </c>
      <c r="W24">
        <f>CPD_Int[[#This Row],[% Complete]]*CPD_Int[[#This Row],[City Funds Allocated]]</f>
        <v>0</v>
      </c>
    </row>
    <row r="25" spans="1:23">
      <c r="A25" s="20" t="s">
        <v>59</v>
      </c>
      <c r="B25" s="20" t="s">
        <v>2269</v>
      </c>
      <c r="D25">
        <v>10064</v>
      </c>
      <c r="E25" s="20"/>
      <c r="F25">
        <v>264</v>
      </c>
      <c r="G25" s="20" t="s">
        <v>2239</v>
      </c>
      <c r="H25">
        <v>0</v>
      </c>
      <c r="I25" t="s">
        <v>106</v>
      </c>
      <c r="K25">
        <v>94981</v>
      </c>
      <c r="L25" s="20">
        <v>94981</v>
      </c>
      <c r="M25" s="27"/>
      <c r="N25" s="27">
        <v>43900</v>
      </c>
      <c r="O25" s="27"/>
      <c r="P25" s="27">
        <v>43928</v>
      </c>
      <c r="R25">
        <v>2</v>
      </c>
      <c r="S25">
        <v>2</v>
      </c>
      <c r="T25">
        <v>1</v>
      </c>
      <c r="U25" t="s">
        <v>2270</v>
      </c>
      <c r="V25" s="20" t="s">
        <v>2277</v>
      </c>
      <c r="W25">
        <f>CPD_Int[[#This Row],[% Complete]]*CPD_Int[[#This Row],[City Funds Allocated]]</f>
        <v>94981</v>
      </c>
    </row>
    <row r="26" spans="1:23">
      <c r="A26" s="20" t="s">
        <v>26</v>
      </c>
      <c r="B26" s="20" t="s">
        <v>2269</v>
      </c>
      <c r="D26">
        <v>8985</v>
      </c>
      <c r="E26" s="20"/>
      <c r="F26">
        <v>86</v>
      </c>
      <c r="G26" s="20" t="s">
        <v>2238</v>
      </c>
      <c r="H26" t="s">
        <v>2274</v>
      </c>
      <c r="I26" t="s">
        <v>106</v>
      </c>
      <c r="K26">
        <v>220329</v>
      </c>
      <c r="L26" s="20">
        <v>220329</v>
      </c>
      <c r="M26" s="27"/>
      <c r="N26" s="27">
        <v>43808</v>
      </c>
      <c r="O26" s="27">
        <v>43868</v>
      </c>
      <c r="P26" s="27">
        <v>43864</v>
      </c>
      <c r="R26">
        <v>8</v>
      </c>
      <c r="S26">
        <v>8</v>
      </c>
      <c r="T26">
        <v>1</v>
      </c>
      <c r="U26" t="s">
        <v>2270</v>
      </c>
      <c r="V26" s="20" t="s">
        <v>2277</v>
      </c>
      <c r="W26">
        <f>CPD_Int[[#This Row],[% Complete]]*CPD_Int[[#This Row],[City Funds Allocated]]</f>
        <v>220329</v>
      </c>
    </row>
    <row r="27" spans="1:23">
      <c r="A27" s="20" t="s">
        <v>31</v>
      </c>
      <c r="B27" s="20" t="s">
        <v>2269</v>
      </c>
      <c r="D27">
        <v>10047</v>
      </c>
      <c r="E27" s="20"/>
      <c r="F27">
        <v>113</v>
      </c>
      <c r="G27" s="20" t="s">
        <v>2237</v>
      </c>
      <c r="H27" t="s">
        <v>2273</v>
      </c>
      <c r="I27" t="s">
        <v>106</v>
      </c>
      <c r="J27">
        <v>0</v>
      </c>
      <c r="L27" s="20"/>
      <c r="M27" s="27">
        <v>44105</v>
      </c>
      <c r="N27" s="27"/>
      <c r="O27" s="27">
        <v>44137</v>
      </c>
      <c r="P27" s="27"/>
      <c r="R27">
        <v>0</v>
      </c>
      <c r="S27">
        <v>6</v>
      </c>
      <c r="T27">
        <v>0</v>
      </c>
      <c r="U27" t="s">
        <v>2278</v>
      </c>
      <c r="V27" s="20" t="s">
        <v>2282</v>
      </c>
      <c r="W27">
        <f>CPD_Int[[#This Row],[% Complete]]*CPD_Int[[#This Row],[City Funds Allocated]]</f>
        <v>0</v>
      </c>
    </row>
    <row r="28" spans="1:23">
      <c r="A28" s="20" t="s">
        <v>121</v>
      </c>
      <c r="B28" s="20"/>
      <c r="E28" s="20"/>
      <c r="F28">
        <v>208</v>
      </c>
      <c r="G28" s="20" t="s">
        <v>2237</v>
      </c>
      <c r="H28" t="s">
        <v>2274</v>
      </c>
      <c r="I28" t="s">
        <v>106</v>
      </c>
      <c r="J28">
        <v>74191</v>
      </c>
      <c r="L28" s="20">
        <v>74191</v>
      </c>
      <c r="M28" s="27">
        <v>43891</v>
      </c>
      <c r="N28" s="27"/>
      <c r="O28" s="27">
        <v>44089</v>
      </c>
      <c r="P28" s="27"/>
      <c r="R28">
        <v>0</v>
      </c>
      <c r="S28">
        <v>1</v>
      </c>
      <c r="T28">
        <v>0</v>
      </c>
      <c r="U28" t="s">
        <v>2278</v>
      </c>
      <c r="V28" s="20" t="s">
        <v>2283</v>
      </c>
      <c r="W28">
        <f>CPD_Int[[#This Row],[% Complete]]*CPD_Int[[#This Row],[City Funds Allocated]]</f>
        <v>0</v>
      </c>
    </row>
    <row r="29" spans="1:23">
      <c r="A29" s="20" t="s">
        <v>62</v>
      </c>
      <c r="B29" s="20"/>
      <c r="E29" s="20"/>
      <c r="F29">
        <v>326</v>
      </c>
      <c r="G29" s="20" t="s">
        <v>2239</v>
      </c>
      <c r="H29">
        <v>0</v>
      </c>
      <c r="I29" t="s">
        <v>106</v>
      </c>
      <c r="J29">
        <v>74191</v>
      </c>
      <c r="L29" s="20">
        <v>74191</v>
      </c>
      <c r="M29" s="27">
        <v>43881</v>
      </c>
      <c r="N29" s="27"/>
      <c r="O29" s="27">
        <v>44075</v>
      </c>
      <c r="P29" s="27"/>
      <c r="R29">
        <v>0</v>
      </c>
      <c r="S29">
        <v>1</v>
      </c>
      <c r="T29">
        <v>0</v>
      </c>
      <c r="U29" t="s">
        <v>2278</v>
      </c>
      <c r="V29" s="20" t="s">
        <v>2283</v>
      </c>
      <c r="W29">
        <f>CPD_Int[[#This Row],[% Complete]]*CPD_Int[[#This Row],[City Funds Allocated]]</f>
        <v>0</v>
      </c>
    </row>
    <row r="30" spans="1:23">
      <c r="A30" s="20" t="s">
        <v>65</v>
      </c>
      <c r="B30" s="20" t="s">
        <v>2269</v>
      </c>
      <c r="D30">
        <v>10059</v>
      </c>
      <c r="E30" s="20"/>
      <c r="F30">
        <v>192</v>
      </c>
      <c r="G30" s="20" t="s">
        <v>2239</v>
      </c>
      <c r="H30" t="s">
        <v>2274</v>
      </c>
      <c r="I30" t="s">
        <v>106</v>
      </c>
      <c r="L30" s="20"/>
      <c r="M30" s="27"/>
      <c r="N30" s="27"/>
      <c r="O30" s="27"/>
      <c r="P30" s="27"/>
      <c r="R30">
        <v>3</v>
      </c>
      <c r="S30">
        <v>3</v>
      </c>
      <c r="T30">
        <v>1</v>
      </c>
      <c r="U30" t="s">
        <v>2277</v>
      </c>
      <c r="V30" s="20" t="s">
        <v>2284</v>
      </c>
      <c r="W30">
        <f>CPD_Int[[#This Row],[% Complete]]*CPD_Int[[#This Row],[City Funds Allocated]]</f>
        <v>0</v>
      </c>
    </row>
    <row r="31" spans="1:23">
      <c r="A31" s="20" t="s">
        <v>138</v>
      </c>
      <c r="B31" s="20" t="s">
        <v>2269</v>
      </c>
      <c r="D31">
        <v>10051</v>
      </c>
      <c r="E31" s="20"/>
      <c r="F31">
        <v>287</v>
      </c>
      <c r="G31" s="20" t="s">
        <v>2237</v>
      </c>
      <c r="H31">
        <v>0</v>
      </c>
      <c r="I31" t="s">
        <v>106</v>
      </c>
      <c r="J31">
        <v>74191</v>
      </c>
      <c r="L31" s="20"/>
      <c r="M31" s="27">
        <v>44058</v>
      </c>
      <c r="N31" s="27"/>
      <c r="O31" s="27">
        <v>44073</v>
      </c>
      <c r="P31" s="27"/>
      <c r="R31">
        <v>0</v>
      </c>
      <c r="S31">
        <v>1</v>
      </c>
      <c r="T31">
        <v>0</v>
      </c>
      <c r="U31" t="s">
        <v>2270</v>
      </c>
      <c r="V31" s="20" t="s">
        <v>2282</v>
      </c>
      <c r="W31">
        <f>CPD_Int[[#This Row],[% Complete]]*CPD_Int[[#This Row],[City Funds Allocated]]</f>
        <v>0</v>
      </c>
    </row>
    <row r="32" spans="1:23">
      <c r="A32" s="20" t="s">
        <v>56</v>
      </c>
      <c r="B32" s="20" t="s">
        <v>2269</v>
      </c>
      <c r="E32" s="20"/>
      <c r="F32">
        <v>6</v>
      </c>
      <c r="G32" s="20" t="s">
        <v>2239</v>
      </c>
      <c r="H32" t="s">
        <v>2273</v>
      </c>
      <c r="I32" t="s">
        <v>106</v>
      </c>
      <c r="J32">
        <v>3412786</v>
      </c>
      <c r="L32" s="20"/>
      <c r="M32" s="27">
        <v>44075</v>
      </c>
      <c r="N32" s="27"/>
      <c r="O32" s="27">
        <v>44136</v>
      </c>
      <c r="P32" s="27"/>
      <c r="R32">
        <v>0</v>
      </c>
      <c r="S32">
        <v>46</v>
      </c>
      <c r="T32">
        <v>0</v>
      </c>
      <c r="U32" t="s">
        <v>2270</v>
      </c>
      <c r="V32" s="20" t="s">
        <v>2282</v>
      </c>
      <c r="W32">
        <f>CPD_Int[[#This Row],[% Complete]]*CPD_Int[[#This Row],[City Funds Allocated]]</f>
        <v>0</v>
      </c>
    </row>
    <row r="33" spans="1:23">
      <c r="A33" s="20" t="s">
        <v>108</v>
      </c>
      <c r="B33" s="20"/>
      <c r="E33" s="20"/>
      <c r="F33">
        <v>7</v>
      </c>
      <c r="G33" s="20" t="s">
        <v>2239</v>
      </c>
      <c r="H33" t="s">
        <v>2276</v>
      </c>
      <c r="I33" t="s">
        <v>106</v>
      </c>
      <c r="J33">
        <v>593528</v>
      </c>
      <c r="L33" s="20"/>
      <c r="M33" s="27">
        <v>44075</v>
      </c>
      <c r="N33" s="27"/>
      <c r="O33" s="27">
        <v>44136</v>
      </c>
      <c r="P33" s="27"/>
      <c r="R33">
        <v>0</v>
      </c>
      <c r="S33">
        <v>8</v>
      </c>
      <c r="T33">
        <v>0</v>
      </c>
      <c r="U33" t="s">
        <v>2270</v>
      </c>
      <c r="V33" s="20" t="s">
        <v>2282</v>
      </c>
      <c r="W33">
        <f>CPD_Int[[#This Row],[% Complete]]*CPD_Int[[#This Row],[City Funds Allocated]]</f>
        <v>0</v>
      </c>
    </row>
    <row r="34" spans="1:23">
      <c r="A34" s="20" t="s">
        <v>47</v>
      </c>
      <c r="B34" s="20" t="s">
        <v>2269</v>
      </c>
      <c r="D34">
        <v>10053</v>
      </c>
      <c r="E34" s="20"/>
      <c r="F34">
        <v>141</v>
      </c>
      <c r="G34" s="20" t="s">
        <v>2237</v>
      </c>
      <c r="H34" t="s">
        <v>2273</v>
      </c>
      <c r="I34" t="s">
        <v>106</v>
      </c>
      <c r="J34">
        <v>370955</v>
      </c>
      <c r="L34" s="20"/>
      <c r="M34" s="27">
        <v>44075</v>
      </c>
      <c r="N34" s="27"/>
      <c r="O34" s="27">
        <v>44105</v>
      </c>
      <c r="P34" s="27"/>
      <c r="R34">
        <v>0</v>
      </c>
      <c r="S34">
        <v>5</v>
      </c>
      <c r="T34">
        <v>0</v>
      </c>
      <c r="U34" t="s">
        <v>2270</v>
      </c>
      <c r="V34" s="20" t="s">
        <v>2282</v>
      </c>
      <c r="W34">
        <f>CPD_Int[[#This Row],[% Complete]]*CPD_Int[[#This Row],[City Funds Allocated]]</f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/>
  <dimension ref="A1:AC432"/>
  <sheetViews>
    <sheetView zoomScale="85" zoomScaleNormal="85" workbookViewId="0">
      <pane xSplit="1" ySplit="4" topLeftCell="T5" activePane="bottomRight" state="frozen"/>
      <selection pane="bottomRight" activeCell="AB35" sqref="AB35"/>
      <selection pane="bottomLeft" activeCell="A5" sqref="A5"/>
      <selection pane="topRight" activeCell="B1" sqref="B1"/>
    </sheetView>
  </sheetViews>
  <sheetFormatPr defaultColWidth="8.7109375" defaultRowHeight="14.45"/>
  <cols>
    <col min="1" max="1" width="57" bestFit="1" customWidth="1"/>
    <col min="2" max="2" width="14.7109375" bestFit="1" customWidth="1"/>
    <col min="3" max="3" width="18.7109375" bestFit="1" customWidth="1"/>
    <col min="4" max="4" width="18.7109375" customWidth="1"/>
    <col min="5" max="5" width="7.42578125" bestFit="1" customWidth="1"/>
    <col min="6" max="6" width="11.42578125" customWidth="1"/>
    <col min="7" max="7" width="10.7109375" customWidth="1"/>
    <col min="9" max="9" width="29.140625" bestFit="1" customWidth="1"/>
    <col min="10" max="10" width="16.7109375" bestFit="1" customWidth="1"/>
    <col min="11" max="11" width="16.7109375" customWidth="1"/>
    <col min="13" max="13" width="15" bestFit="1" customWidth="1"/>
    <col min="14" max="14" width="13.7109375" bestFit="1" customWidth="1"/>
    <col min="15" max="15" width="16.28515625" bestFit="1" customWidth="1"/>
    <col min="16" max="16" width="23.7109375" bestFit="1" customWidth="1"/>
    <col min="17" max="17" width="20" bestFit="1" customWidth="1"/>
    <col min="18" max="18" width="23.42578125" bestFit="1" customWidth="1"/>
    <col min="19" max="19" width="19.7109375" bestFit="1" customWidth="1"/>
    <col min="20" max="20" width="12.7109375" bestFit="1" customWidth="1"/>
    <col min="21" max="21" width="13.28515625" bestFit="1" customWidth="1"/>
    <col min="22" max="22" width="18.28515625" bestFit="1" customWidth="1"/>
    <col min="23" max="23" width="16.28515625" bestFit="1" customWidth="1"/>
    <col min="24" max="24" width="9.7109375" bestFit="1" customWidth="1"/>
    <col min="25" max="25" width="27.140625" style="5" bestFit="1" customWidth="1"/>
    <col min="26" max="26" width="45.140625" style="106" bestFit="1" customWidth="1"/>
    <col min="27" max="27" width="8.42578125" bestFit="1" customWidth="1"/>
    <col min="28" max="28" width="16.7109375" bestFit="1" customWidth="1"/>
    <col min="29" max="29" width="16.42578125" style="20" bestFit="1" customWidth="1"/>
    <col min="30" max="30" width="16.7109375" bestFit="1" customWidth="1"/>
    <col min="31" max="31" width="16.42578125" bestFit="1" customWidth="1"/>
  </cols>
  <sheetData>
    <row r="1" spans="1:29">
      <c r="W1" s="5">
        <f ca="1">SUM(Yards[Estimate])</f>
        <v>433093042.93063402</v>
      </c>
      <c r="X1" s="106"/>
      <c r="Y1"/>
      <c r="Z1"/>
      <c r="AA1" s="20"/>
      <c r="AB1">
        <v>2021</v>
      </c>
      <c r="AC1"/>
    </row>
    <row r="2" spans="1:29">
      <c r="W2" s="5" t="s">
        <v>2285</v>
      </c>
      <c r="X2" s="106"/>
      <c r="Y2"/>
      <c r="Z2"/>
      <c r="AA2" s="20"/>
      <c r="AC2"/>
    </row>
    <row r="3" spans="1:29">
      <c r="W3" s="131">
        <v>3.5000000000000003E-2</v>
      </c>
      <c r="X3" s="106"/>
      <c r="Y3"/>
      <c r="Z3"/>
      <c r="AA3" s="20"/>
      <c r="AC3"/>
    </row>
    <row r="4" spans="1:29">
      <c r="A4" s="45" t="s">
        <v>7</v>
      </c>
      <c r="B4" s="46" t="s">
        <v>5</v>
      </c>
      <c r="C4" s="46" t="s">
        <v>11</v>
      </c>
      <c r="D4" s="46" t="s">
        <v>156</v>
      </c>
      <c r="E4" s="46" t="s">
        <v>8</v>
      </c>
      <c r="F4" s="46" t="s">
        <v>439</v>
      </c>
      <c r="G4" s="46" t="s">
        <v>2286</v>
      </c>
      <c r="H4" s="46" t="s">
        <v>2210</v>
      </c>
      <c r="I4" s="46" t="s">
        <v>2287</v>
      </c>
      <c r="J4" s="46" t="s">
        <v>175</v>
      </c>
      <c r="K4" s="46" t="s">
        <v>2288</v>
      </c>
      <c r="L4" s="46" t="s">
        <v>2218</v>
      </c>
      <c r="M4" s="46" t="s">
        <v>10</v>
      </c>
      <c r="N4" s="46" t="s">
        <v>2219</v>
      </c>
      <c r="O4" s="46" t="s">
        <v>2289</v>
      </c>
      <c r="P4" s="46" t="s">
        <v>456</v>
      </c>
      <c r="Q4" s="46" t="s">
        <v>457</v>
      </c>
      <c r="R4" s="46" t="s">
        <v>458</v>
      </c>
      <c r="S4" s="46" t="s">
        <v>459</v>
      </c>
      <c r="T4" s="46" t="s">
        <v>19</v>
      </c>
      <c r="U4" s="46" t="s">
        <v>2290</v>
      </c>
      <c r="V4" s="46" t="s">
        <v>2291</v>
      </c>
      <c r="W4" s="83" t="s">
        <v>2222</v>
      </c>
      <c r="X4" s="134" t="s">
        <v>2292</v>
      </c>
      <c r="Y4" s="83" t="s">
        <v>442</v>
      </c>
      <c r="Z4" s="46" t="s">
        <v>24</v>
      </c>
      <c r="AA4" s="133" t="s">
        <v>3</v>
      </c>
      <c r="AB4" s="46" t="s">
        <v>2293</v>
      </c>
      <c r="AC4" s="84" t="s">
        <v>2294</v>
      </c>
    </row>
    <row r="5" spans="1:29" hidden="1">
      <c r="A5" s="13" t="s">
        <v>26</v>
      </c>
      <c r="B5" s="51" t="str">
        <f>VLOOKUP(Yards[[#This Row],[DEVELOPMENT]],Data[],2,FALSE)</f>
        <v>BROOKLYN</v>
      </c>
      <c r="C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5" s="51" t="str">
        <f>VLOOKUP(Yards[[#This Row],[DEVELOPMENT]],Data[],52,FALSE)</f>
        <v>MIXED FINANCE/LLC1</v>
      </c>
      <c r="E5" s="50" t="str">
        <f>VLOOKUP(Yards[[#This Row],[DEVELOPMENT]],Data[],8,FALSE)</f>
        <v>Zone 1</v>
      </c>
      <c r="F5" s="51" t="str">
        <f>VLOOKUP(Yards[[#This Row],[DEVELOPMENT]],all[[DEVELOPMENT]:[MRST Ext. Comp. Priority]],6,FALSE)</f>
        <v>B</v>
      </c>
      <c r="G5" s="51">
        <f>VLOOKUP(Yards[[#This Row],[DEVELOPMENT]],all[[DEVELOPMENT]:[MRST Ext. Comp. Priority]],13,FALSE)</f>
        <v>3</v>
      </c>
      <c r="H5" s="50">
        <f>IF(VLOOKUP(Yards[[#This Row],[DEVELOPMENT]],Data[],9,FALSE)=0,5,VLOOKUP(Yards[[#This Row],[DEVELOPMENT]],Data[],9,FALSE))</f>
        <v>3</v>
      </c>
      <c r="I5" s="51">
        <f>VLOOKUP(Yards[[#This Row],[DEVELOPMENT]],Data[],33,FALSE)</f>
        <v>2</v>
      </c>
      <c r="J5" s="51">
        <f>VLOOKUP(Yards[[#This Row],[DEVELOPMENT]],Data[],28,FALSE)</f>
        <v>0</v>
      </c>
      <c r="K5" s="51"/>
      <c r="L5" s="50"/>
      <c r="M5" s="51" t="str">
        <f ca="1">IFERROR(VLOOKUP(Yards[[#This Row],[DEVELOPMENT]],Data[],4,FALSE),"")</f>
        <v/>
      </c>
      <c r="N5" s="51" t="str">
        <f ca="1">IF(Yards[[#This Row],[RAD/PACT]]="","",IF(OR(Yards[[#This Row],[RAD/PACT]]="2022-2025",Yards[[#This Row],[RAD/PACT]]=2019,Yards[[#This Row],[RAD/PACT]]="2020-2021"),"Yes",""))</f>
        <v/>
      </c>
      <c r="O5" s="51">
        <f ca="1">IFERROR(VLOOKUP(Yards[[#This Row],[DEVELOPMENT]],ExtComp[],8,FALSE),"")</f>
        <v>16</v>
      </c>
      <c r="P5" s="51">
        <v>2019</v>
      </c>
      <c r="Q5" s="51">
        <v>2020</v>
      </c>
      <c r="R5" s="51">
        <f>IF(ISBLANK(Yards[[#This Row],[DSGN CALENDAR YEAR]]),"",Yards[[#This Row],[DSGN CALENDAR YEAR]]+1)</f>
        <v>2020</v>
      </c>
      <c r="S5" s="51">
        <f>Yards[[#This Row],[DSGN FISCAL YEAR]]+1</f>
        <v>2021</v>
      </c>
      <c r="T5" s="51" t="s">
        <v>401</v>
      </c>
      <c r="U5" s="128">
        <f>Yards[[#This Row],[Estimate]]*0.1</f>
        <v>4008</v>
      </c>
      <c r="V5" s="47">
        <f>Yards[[#This Row],[Estimate]]-Yards[[#This Row],[Design Est.]]</f>
        <v>36072</v>
      </c>
      <c r="W5" s="132">
        <f>40080</f>
        <v>40080</v>
      </c>
      <c r="X5" s="142">
        <f>IF(ISNUMBER(SEARCH("LLC",Yards[[#This Row],[PROGRAM]])),0,IF(Yards[[#This Row],[RAD/PACT by 2025]]="yes",0,1))</f>
        <v>0</v>
      </c>
      <c r="Y5" s="1" t="s">
        <v>2295</v>
      </c>
      <c r="Z5" s="1"/>
      <c r="AA5" s="51">
        <f ca="1">COUNTIF($X$5:Yards[[#This Row],['# yards]],"&gt;0")-10</f>
        <v>-10</v>
      </c>
      <c r="AB5" s="1">
        <f>IF(ISBLANK(Yards[[#This Row],[DSGN CALENDAR YEAR]]),ROUNDDOWN(Yards[[#This Row],[Count]]/24,0)+$AB$1,Yards[[#This Row],[DSGN CALENDAR YEAR]])</f>
        <v>2019</v>
      </c>
      <c r="AC5" s="16">
        <f>Yards[[#This Row],[est. DSGN Year]]+1</f>
        <v>2020</v>
      </c>
    </row>
    <row r="6" spans="1:29" hidden="1">
      <c r="A6" s="13" t="s">
        <v>31</v>
      </c>
      <c r="B6" s="51" t="str">
        <f>VLOOKUP(Yards[[#This Row],[DEVELOPMENT]],Data[],2,FALSE)</f>
        <v>BRONX</v>
      </c>
      <c r="C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6" s="51" t="str">
        <f>VLOOKUP(Yards[[#This Row],[DEVELOPMENT]],Data[],52,FALSE)</f>
        <v>FEDERAL</v>
      </c>
      <c r="E6" s="50" t="str">
        <f>VLOOKUP(Yards[[#This Row],[DEVELOPMENT]],Data[],8,FALSE)</f>
        <v>Zone 1</v>
      </c>
      <c r="F6" s="51" t="str">
        <f>VLOOKUP(Yards[[#This Row],[DEVELOPMENT]],all[[DEVELOPMENT]:[MRST Ext. Comp. Priority]],6,FALSE)</f>
        <v>C</v>
      </c>
      <c r="G6" s="51" t="str">
        <f>VLOOKUP(Yards[[#This Row],[DEVELOPMENT]],all[[DEVELOPMENT]:[MRST Ext. Comp. Priority]],13,FALSE)</f>
        <v>None</v>
      </c>
      <c r="H6" s="50">
        <f>IF(VLOOKUP(Yards[[#This Row],[DEVELOPMENT]],Data[],9,FALSE)=0,5,VLOOKUP(Yards[[#This Row],[DEVELOPMENT]],Data[],9,FALSE))</f>
        <v>3</v>
      </c>
      <c r="I6" s="51">
        <f>VLOOKUP(Yards[[#This Row],[DEVELOPMENT]],Data[],33,FALSE)</f>
        <v>4</v>
      </c>
      <c r="J6" s="51">
        <f>VLOOKUP(Yards[[#This Row],[DEVELOPMENT]],Data[],28,FALSE)</f>
        <v>0</v>
      </c>
      <c r="K6" s="51"/>
      <c r="L6" s="50"/>
      <c r="M6" s="51" t="str">
        <f ca="1">IFERROR(VLOOKUP(Yards[[#This Row],[DEVELOPMENT]],Data[],4,FALSE),"")</f>
        <v/>
      </c>
      <c r="N6" s="51" t="str">
        <f ca="1">IF(Yards[[#This Row],[RAD/PACT]]="","",IF(OR(Yards[[#This Row],[RAD/PACT]]="2022-2025",Yards[[#This Row],[RAD/PACT]]=2019,Yards[[#This Row],[RAD/PACT]]="2020-2021"),"Yes",""))</f>
        <v/>
      </c>
      <c r="O6" s="51">
        <f ca="1">IFERROR(VLOOKUP(Yards[[#This Row],[DEVELOPMENT]],ExtComp[],8,FALSE),"")</f>
        <v>0</v>
      </c>
      <c r="P6" s="51">
        <v>2019</v>
      </c>
      <c r="Q6" s="51">
        <v>2020</v>
      </c>
      <c r="R6" s="51">
        <f>IF(ISBLANK(Yards[[#This Row],[DSGN CALENDAR YEAR]]),"",Yards[[#This Row],[DSGN CALENDAR YEAR]]+1)</f>
        <v>2020</v>
      </c>
      <c r="S6" s="51">
        <f>Yards[[#This Row],[DSGN FISCAL YEAR]]+1</f>
        <v>2021</v>
      </c>
      <c r="T6" s="51" t="s">
        <v>401</v>
      </c>
      <c r="U6" s="128">
        <f ca="1">Yards[[#This Row],[Estimate]]*0.1</f>
        <v>0</v>
      </c>
      <c r="V6" s="47">
        <f ca="1">Yards[[#This Row],[Estimate]]-Yards[[#This Row],[Design Est.]]</f>
        <v>0</v>
      </c>
      <c r="W6" s="85">
        <f ca="1">(Yards[[#This Row],['# yards]]*INDEX(UnitCosts[],MATCH(Yards[[#This Row],[WORK TYPE]],UnitCosts[Work Type],0),2))*(1+((Yards[[#This Row],[est. CONS Year]]-YEAR(TODAY()))*$W$3))</f>
        <v>0</v>
      </c>
      <c r="X6" s="142">
        <v>0</v>
      </c>
      <c r="Y6" s="1" t="s">
        <v>2295</v>
      </c>
      <c r="Z6" s="1"/>
      <c r="AA6" s="51">
        <f ca="1">COUNTIF($X$5:Yards[[#This Row],['# yards]],"&gt;0")-10</f>
        <v>-10</v>
      </c>
      <c r="AB6" s="1">
        <f>IF(ISBLANK(Yards[[#This Row],[DSGN CALENDAR YEAR]]),ROUNDDOWN(Yards[[#This Row],[Count]]/24,0)+$AB$1,Yards[[#This Row],[DSGN CALENDAR YEAR]])</f>
        <v>2019</v>
      </c>
      <c r="AC6" s="16">
        <f>Yards[[#This Row],[est. DSGN Year]]+1</f>
        <v>2020</v>
      </c>
    </row>
    <row r="7" spans="1:29" hidden="1">
      <c r="A7" s="13" t="s">
        <v>58</v>
      </c>
      <c r="B7" s="51" t="str">
        <f>VLOOKUP(Yards[[#This Row],[DEVELOPMENT]],Data[],2,FALSE)</f>
        <v>MANHATTAN</v>
      </c>
      <c r="C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7" s="51" t="str">
        <f>VLOOKUP(Yards[[#This Row],[DEVELOPMENT]],Data[],52,FALSE)</f>
        <v>FEDERAL</v>
      </c>
      <c r="E7" s="50" t="str">
        <f>VLOOKUP(Yards[[#This Row],[DEVELOPMENT]],Data[],8,FALSE)</f>
        <v>Zone 1</v>
      </c>
      <c r="F7" s="51" t="str">
        <f>VLOOKUP(Yards[[#This Row],[DEVELOPMENT]],all[[DEVELOPMENT]:[MRST Ext. Comp. Priority]],6,FALSE)</f>
        <v>None</v>
      </c>
      <c r="G7" s="51">
        <f>VLOOKUP(Yards[[#This Row],[DEVELOPMENT]],all[[DEVELOPMENT]:[MRST Ext. Comp. Priority]],13,FALSE)</f>
        <v>2</v>
      </c>
      <c r="H7" s="50">
        <f>IF(VLOOKUP(Yards[[#This Row],[DEVELOPMENT]],Data[],9,FALSE)=0,5,VLOOKUP(Yards[[#This Row],[DEVELOPMENT]],Data[],9,FALSE))</f>
        <v>4</v>
      </c>
      <c r="I7" s="51">
        <f>VLOOKUP(Yards[[#This Row],[DEVELOPMENT]],Data[],33,FALSE)</f>
        <v>4</v>
      </c>
      <c r="J7" s="51">
        <f>VLOOKUP(Yards[[#This Row],[DEVELOPMENT]],Data[],28,FALSE)</f>
        <v>0</v>
      </c>
      <c r="K7" s="51"/>
      <c r="L7" s="50"/>
      <c r="M7" s="51" t="str">
        <f ca="1">IFERROR(VLOOKUP(Yards[[#This Row],[DEVELOPMENT]],Data[],4,FALSE),"")</f>
        <v/>
      </c>
      <c r="N7" s="51" t="str">
        <f ca="1">IF(Yards[[#This Row],[RAD/PACT]]="","",IF(OR(Yards[[#This Row],[RAD/PACT]]="2022-2025",Yards[[#This Row],[RAD/PACT]]=2019,Yards[[#This Row],[RAD/PACT]]="2020-2021"),"Yes",""))</f>
        <v/>
      </c>
      <c r="O7" s="51">
        <f ca="1">IFERROR(VLOOKUP(Yards[[#This Row],[DEVELOPMENT]],ExtComp[],8,FALSE),"")</f>
        <v>18</v>
      </c>
      <c r="P7" s="51">
        <v>2019</v>
      </c>
      <c r="Q7" s="51">
        <v>2020</v>
      </c>
      <c r="R7" s="51">
        <f>IF(ISBLANK(Yards[[#This Row],[DSGN CALENDAR YEAR]]),"",Yards[[#This Row],[DSGN CALENDAR YEAR]]+1)</f>
        <v>2020</v>
      </c>
      <c r="S7" s="51">
        <f>Yards[[#This Row],[DSGN FISCAL YEAR]]+1</f>
        <v>2021</v>
      </c>
      <c r="T7" s="51" t="s">
        <v>401</v>
      </c>
      <c r="U7" s="128">
        <f ca="1">Yards[[#This Row],[Estimate]]*0.1</f>
        <v>0</v>
      </c>
      <c r="V7" s="47">
        <f ca="1">Yards[[#This Row],[Estimate]]-Yards[[#This Row],[Design Est.]]</f>
        <v>0</v>
      </c>
      <c r="W7" s="85">
        <f ca="1">(Yards[[#This Row],['# yards]]*INDEX(UnitCosts[],MATCH(Yards[[#This Row],[WORK TYPE]],UnitCosts[Work Type],0),2))*(1+((Yards[[#This Row],[est. CONS Year]]-YEAR(TODAY()))*$W$3))</f>
        <v>0</v>
      </c>
      <c r="X7" s="142">
        <v>0</v>
      </c>
      <c r="Y7" s="1" t="s">
        <v>2295</v>
      </c>
      <c r="Z7" s="1"/>
      <c r="AA7" s="51">
        <f ca="1">COUNTIF($X$5:Yards[[#This Row],['# yards]],"&gt;0")-10</f>
        <v>-10</v>
      </c>
      <c r="AB7" s="1">
        <f>IF(ISBLANK(Yards[[#This Row],[DSGN CALENDAR YEAR]]),ROUNDDOWN(Yards[[#This Row],[Count]]/24,0)+$AB$1,Yards[[#This Row],[DSGN CALENDAR YEAR]])</f>
        <v>2019</v>
      </c>
      <c r="AC7" s="16">
        <f>Yards[[#This Row],[est. DSGN Year]]+1</f>
        <v>2020</v>
      </c>
    </row>
    <row r="8" spans="1:29" hidden="1">
      <c r="A8" s="13" t="s">
        <v>66</v>
      </c>
      <c r="B8" s="51" t="str">
        <f>VLOOKUP(Yards[[#This Row],[DEVELOPMENT]],Data[],2,FALSE)</f>
        <v>MANHATTAN</v>
      </c>
      <c r="C8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8" s="51" t="str">
        <f>VLOOKUP(Yards[[#This Row],[DEVELOPMENT]],Data[],52,FALSE)</f>
        <v>FEDERAL</v>
      </c>
      <c r="E8" s="50" t="str">
        <f>VLOOKUP(Yards[[#This Row],[DEVELOPMENT]],Data[],8,FALSE)</f>
        <v>Zone 1</v>
      </c>
      <c r="F8" s="51" t="str">
        <f>VLOOKUP(Yards[[#This Row],[DEVELOPMENT]],all[[DEVELOPMENT]:[MRST Ext. Comp. Priority]],6,FALSE)</f>
        <v>None</v>
      </c>
      <c r="G8" s="51">
        <f>VLOOKUP(Yards[[#This Row],[DEVELOPMENT]],all[[DEVELOPMENT]:[MRST Ext. Comp. Priority]],13,FALSE)</f>
        <v>2</v>
      </c>
      <c r="H8" s="50">
        <f>IF(VLOOKUP(Yards[[#This Row],[DEVELOPMENT]],Data[],9,FALSE)=0,5,VLOOKUP(Yards[[#This Row],[DEVELOPMENT]],Data[],9,FALSE))</f>
        <v>4</v>
      </c>
      <c r="I8" s="51">
        <f>VLOOKUP(Yards[[#This Row],[DEVELOPMENT]],Data[],33,FALSE)</f>
        <v>3</v>
      </c>
      <c r="J8" s="51">
        <f>VLOOKUP(Yards[[#This Row],[DEVELOPMENT]],Data[],28,FALSE)</f>
        <v>0</v>
      </c>
      <c r="K8" s="51"/>
      <c r="L8" s="50"/>
      <c r="M8" s="51" t="str">
        <f ca="1">IFERROR(VLOOKUP(Yards[[#This Row],[DEVELOPMENT]],Data[],4,FALSE),"")</f>
        <v/>
      </c>
      <c r="N8" s="51" t="str">
        <f ca="1">IF(Yards[[#This Row],[RAD/PACT]]="","",IF(OR(Yards[[#This Row],[RAD/PACT]]="2022-2025",Yards[[#This Row],[RAD/PACT]]=2019,Yards[[#This Row],[RAD/PACT]]="2020-2021"),"Yes",""))</f>
        <v/>
      </c>
      <c r="O8" s="51">
        <f ca="1">IFERROR(VLOOKUP(Yards[[#This Row],[DEVELOPMENT]],ExtComp[],8,FALSE),"")</f>
        <v>17</v>
      </c>
      <c r="P8" s="51">
        <v>2019</v>
      </c>
      <c r="Q8" s="51">
        <v>2020</v>
      </c>
      <c r="R8" s="51">
        <f>IF(ISBLANK(Yards[[#This Row],[DSGN CALENDAR YEAR]]),"",Yards[[#This Row],[DSGN CALENDAR YEAR]]+1)</f>
        <v>2020</v>
      </c>
      <c r="S8" s="51">
        <f>Yards[[#This Row],[DSGN FISCAL YEAR]]+1</f>
        <v>2021</v>
      </c>
      <c r="T8" s="51" t="s">
        <v>401</v>
      </c>
      <c r="U8" s="128">
        <f ca="1">Yards[[#This Row],[Estimate]]*0.1</f>
        <v>0</v>
      </c>
      <c r="V8" s="47">
        <f ca="1">Yards[[#This Row],[Estimate]]-Yards[[#This Row],[Design Est.]]</f>
        <v>0</v>
      </c>
      <c r="W8" s="85">
        <f ca="1">(Yards[[#This Row],['# yards]]*INDEX(UnitCosts[],MATCH(Yards[[#This Row],[WORK TYPE]],UnitCosts[Work Type],0),2))*(1+((Yards[[#This Row],[est. CONS Year]]-YEAR(TODAY()))*$W$3))</f>
        <v>0</v>
      </c>
      <c r="X8" s="142">
        <v>0</v>
      </c>
      <c r="Y8" s="1" t="s">
        <v>2295</v>
      </c>
      <c r="Z8" s="1"/>
      <c r="AA8" s="51">
        <f ca="1">COUNTIF($X$5:Yards[[#This Row],['# yards]],"&gt;0")-10</f>
        <v>-10</v>
      </c>
      <c r="AB8" s="1">
        <f>IF(ISBLANK(Yards[[#This Row],[DSGN CALENDAR YEAR]]),ROUNDDOWN(Yards[[#This Row],[Count]]/24,0)+$AB$1,Yards[[#This Row],[DSGN CALENDAR YEAR]])</f>
        <v>2019</v>
      </c>
      <c r="AC8" s="16">
        <f>Yards[[#This Row],[est. DSGN Year]]+1</f>
        <v>2020</v>
      </c>
    </row>
    <row r="9" spans="1:29">
      <c r="A9" s="13" t="s">
        <v>36</v>
      </c>
      <c r="B9" s="51" t="str">
        <f>VLOOKUP(Yards[[#This Row],[DEVELOPMENT]],Data[],2,FALSE)</f>
        <v>MANHATTAN</v>
      </c>
      <c r="C9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9" s="51" t="str">
        <f>VLOOKUP(Yards[[#This Row],[DEVELOPMENT]],Data[],52,FALSE)</f>
        <v>FEDERAL</v>
      </c>
      <c r="E9" s="50" t="str">
        <f>VLOOKUP(Yards[[#This Row],[DEVELOPMENT]],Data[],8,FALSE)</f>
        <v>Zone 1</v>
      </c>
      <c r="F9" s="51" t="str">
        <f>VLOOKUP(Yards[[#This Row],[DEVELOPMENT]],all[[DEVELOPMENT]:[MRST Ext. Comp. Priority]],6,FALSE)</f>
        <v>A</v>
      </c>
      <c r="G9" s="51">
        <f>VLOOKUP(Yards[[#This Row],[DEVELOPMENT]],all[[DEVELOPMENT]:[MRST Ext. Comp. Priority]],13,FALSE)</f>
        <v>2</v>
      </c>
      <c r="H9" s="50">
        <f>IF(VLOOKUP(Yards[[#This Row],[DEVELOPMENT]],Data[],9,FALSE)=0,5,VLOOKUP(Yards[[#This Row],[DEVELOPMENT]],Data[],9,FALSE))</f>
        <v>3</v>
      </c>
      <c r="I9" s="51">
        <f>VLOOKUP(Yards[[#This Row],[DEVELOPMENT]],Data[],33,FALSE)</f>
        <v>2</v>
      </c>
      <c r="J9" s="51">
        <f>VLOOKUP(Yards[[#This Row],[DEVELOPMENT]],Data[],28,FALSE)</f>
        <v>0</v>
      </c>
      <c r="K9" s="51"/>
      <c r="L9" s="50"/>
      <c r="M9" s="51" t="str">
        <f ca="1">IFERROR(VLOOKUP(Yards[[#This Row],[DEVELOPMENT]],Data[],4,FALSE),"")</f>
        <v/>
      </c>
      <c r="N9" s="51" t="str">
        <f ca="1">IF(Yards[[#This Row],[RAD/PACT]]="","",IF(OR(Yards[[#This Row],[RAD/PACT]]="2022-2025",Yards[[#This Row],[RAD/PACT]]=2019,Yards[[#This Row],[RAD/PACT]]="2020-2021"),"Yes",""))</f>
        <v/>
      </c>
      <c r="O9" s="1">
        <f ca="1">IFERROR(VLOOKUP(Yards[[#This Row],[DEVELOPMENT]],ExtComp[],8,FALSE),"")</f>
        <v>16</v>
      </c>
      <c r="P9" s="51">
        <v>2020</v>
      </c>
      <c r="Q9" s="1"/>
      <c r="R9" s="51">
        <f>IF(ISBLANK(Yards[[#This Row],[DSGN CALENDAR YEAR]]),"",Yards[[#This Row],[DSGN CALENDAR YEAR]]+1)</f>
        <v>2021</v>
      </c>
      <c r="S9" s="51" t="str">
        <f>IF(ISBLANK(Yards[[#This Row],[DSGN FISCAL YEAR]]),"",Yards[[#This Row],[DSGN FISCAL YEAR]]+1)</f>
        <v/>
      </c>
      <c r="T9" s="1"/>
      <c r="U9" s="128">
        <f ca="1">Yards[[#This Row],[Estimate]]*0.1</f>
        <v>209114.39285775006</v>
      </c>
      <c r="V9" s="47">
        <f ca="1">Yards[[#This Row],[Estimate]]-Yards[[#This Row],[Design Est.]]</f>
        <v>1882029.5357197504</v>
      </c>
      <c r="W9" s="85">
        <f ca="1">(Yards[[#This Row],['# yards]]*INDEX(UnitCosts[],MATCH(Yards[[#This Row],[WORK TYPE]],UnitCosts[Work Type],0),2))*(1+((Yards[[#This Row],[est. CONS Year]]-YEAR(TODAY()))*$W$3))</f>
        <v>2091143.9285775004</v>
      </c>
      <c r="X9" s="142">
        <f ca="1">IF(ISNUMBER(SEARCH("LLC",Yards[[#This Row],[PROGRAM]])),0,IF(Yards[[#This Row],[RAD/PACT by 2025]]="yes",0,1))</f>
        <v>1</v>
      </c>
      <c r="Y9" s="1"/>
      <c r="Z9" s="1" t="s">
        <v>2296</v>
      </c>
      <c r="AA9" s="51">
        <f ca="1">COUNTIF($X$5:Yards[[#This Row],['# yards]],"&gt;0")-10</f>
        <v>-9</v>
      </c>
      <c r="AB9" s="1">
        <f>IF(ISBLANK(Yards[[#This Row],[DSGN CALENDAR YEAR]]),ROUNDDOWN(Yards[[#This Row],[Count]]/24,0)+$AB$1,Yards[[#This Row],[DSGN CALENDAR YEAR]])</f>
        <v>2020</v>
      </c>
      <c r="AC9" s="16">
        <f>Yards[[#This Row],[est. DSGN Year]]+1</f>
        <v>2021</v>
      </c>
    </row>
    <row r="10" spans="1:29">
      <c r="A10" s="13" t="s">
        <v>118</v>
      </c>
      <c r="B10" s="51" t="str">
        <f>VLOOKUP(Yards[[#This Row],[DEVELOPMENT]],Data[],2,FALSE)</f>
        <v>BROOKLYN</v>
      </c>
      <c r="C10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0" s="51" t="str">
        <f>VLOOKUP(Yards[[#This Row],[DEVELOPMENT]],Data[],52,FALSE)</f>
        <v>FEDERAL</v>
      </c>
      <c r="E10" s="50" t="str">
        <f>VLOOKUP(Yards[[#This Row],[DEVELOPMENT]],Data[],8,FALSE)</f>
        <v>Zone 1</v>
      </c>
      <c r="F10" s="51" t="str">
        <f>VLOOKUP(Yards[[#This Row],[DEVELOPMENT]],all[[DEVELOPMENT]:[MRST Ext. Comp. Priority]],6,FALSE)</f>
        <v>A</v>
      </c>
      <c r="G10" s="51">
        <f>VLOOKUP(Yards[[#This Row],[DEVELOPMENT]],all[[DEVELOPMENT]:[MRST Ext. Comp. Priority]],13,FALSE)</f>
        <v>2</v>
      </c>
      <c r="H10" s="50">
        <f>IF(VLOOKUP(Yards[[#This Row],[DEVELOPMENT]],Data[],9,FALSE)=0,5,VLOOKUP(Yards[[#This Row],[DEVELOPMENT]],Data[],9,FALSE))</f>
        <v>4</v>
      </c>
      <c r="I10" s="51">
        <f>VLOOKUP(Yards[[#This Row],[DEVELOPMENT]],Data[],33,FALSE)</f>
        <v>1</v>
      </c>
      <c r="J10" s="51">
        <f>VLOOKUP(Yards[[#This Row],[DEVELOPMENT]],Data[],28,FALSE)</f>
        <v>0</v>
      </c>
      <c r="K10" s="51"/>
      <c r="L10" s="50"/>
      <c r="M10" s="51" t="str">
        <f ca="1">IFERROR(VLOOKUP(Yards[[#This Row],[DEVELOPMENT]],Data[],4,FALSE),"")</f>
        <v/>
      </c>
      <c r="N10" s="51" t="str">
        <f ca="1">IF(Yards[[#This Row],[RAD/PACT]]="","",IF(OR(Yards[[#This Row],[RAD/PACT]]="2022-2025",Yards[[#This Row],[RAD/PACT]]=2019,Yards[[#This Row],[RAD/PACT]]="2020-2021"),"Yes",""))</f>
        <v/>
      </c>
      <c r="O10" s="51">
        <f ca="1">IFERROR(VLOOKUP(Yards[[#This Row],[DEVELOPMENT]],ExtComp[],8,FALSE),"")</f>
        <v>16</v>
      </c>
      <c r="P10" s="51">
        <v>2020</v>
      </c>
      <c r="Q10" s="51"/>
      <c r="R10" s="51">
        <f>IF(ISBLANK(Yards[[#This Row],[DSGN CALENDAR YEAR]]),"",Yards[[#This Row],[DSGN CALENDAR YEAR]]+1)</f>
        <v>2021</v>
      </c>
      <c r="S10" s="51" t="str">
        <f>IF(ISBLANK(Yards[[#This Row],[DSGN FISCAL YEAR]]),"",Yards[[#This Row],[DSGN FISCAL YEAR]]+1)</f>
        <v/>
      </c>
      <c r="T10" s="51"/>
      <c r="U10" s="128">
        <f ca="1">Yards[[#This Row],[Estimate]]*0.1</f>
        <v>187080.98553900004</v>
      </c>
      <c r="V10" s="47">
        <f ca="1">Yards[[#This Row],[Estimate]]-Yards[[#This Row],[Design Est.]]</f>
        <v>1683728.8698510004</v>
      </c>
      <c r="W10" s="85">
        <f ca="1">(Yards[[#This Row],['# yards]]*INDEX(UnitCosts[],MATCH(Yards[[#This Row],[WORK TYPE]],UnitCosts[Work Type],0),2))*(1+((Yards[[#This Row],[est. CONS Year]]-YEAR(TODAY()))*$W$3))</f>
        <v>1870809.8553900004</v>
      </c>
      <c r="X10" s="142">
        <f ca="1">IF(ISNUMBER(SEARCH("LLC",Yards[[#This Row],[PROGRAM]])),0,IF(Yards[[#This Row],[RAD/PACT by 2025]]="yes",0,1))</f>
        <v>1</v>
      </c>
      <c r="Y10" s="1"/>
      <c r="Z10" s="1"/>
      <c r="AA10" s="51">
        <f ca="1">COUNTIF($X$5:Yards[[#This Row],['# yards]],"&gt;0")-10</f>
        <v>-8</v>
      </c>
      <c r="AB10" s="1">
        <f>IF(ISBLANK(Yards[[#This Row],[DSGN CALENDAR YEAR]]),ROUNDDOWN(Yards[[#This Row],[Count]]/24,0)+$AB$1,Yards[[#This Row],[DSGN CALENDAR YEAR]])</f>
        <v>2020</v>
      </c>
      <c r="AC10" s="16">
        <f>Yards[[#This Row],[est. DSGN Year]]+1</f>
        <v>2021</v>
      </c>
    </row>
    <row r="11" spans="1:29">
      <c r="A11" s="13" t="s">
        <v>140</v>
      </c>
      <c r="B11" s="51" t="str">
        <f>VLOOKUP(Yards[[#This Row],[DEVELOPMENT]],Data[],2,FALSE)</f>
        <v>BRONX</v>
      </c>
      <c r="C11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1" s="51" t="str">
        <f>VLOOKUP(Yards[[#This Row],[DEVELOPMENT]],Data[],52,FALSE)</f>
        <v>FEDERAL</v>
      </c>
      <c r="E11" s="50" t="str">
        <f>VLOOKUP(Yards[[#This Row],[DEVELOPMENT]],Data[],8,FALSE)</f>
        <v>Zone 1</v>
      </c>
      <c r="F11" s="51" t="str">
        <f>VLOOKUP(Yards[[#This Row],[DEVELOPMENT]],all[[DEVELOPMENT]:[MRST Ext. Comp. Priority]],6,FALSE)</f>
        <v>A</v>
      </c>
      <c r="G11" s="51">
        <f>VLOOKUP(Yards[[#This Row],[DEVELOPMENT]],all[[DEVELOPMENT]:[MRST Ext. Comp. Priority]],13,FALSE)</f>
        <v>3</v>
      </c>
      <c r="H11" s="50">
        <f>IF(VLOOKUP(Yards[[#This Row],[DEVELOPMENT]],Data[],9,FALSE)=0,5,VLOOKUP(Yards[[#This Row],[DEVELOPMENT]],Data[],9,FALSE))</f>
        <v>2</v>
      </c>
      <c r="I11" s="51">
        <f>VLOOKUP(Yards[[#This Row],[DEVELOPMENT]],Data[],33,FALSE)</f>
        <v>2</v>
      </c>
      <c r="J11" s="51">
        <f>VLOOKUP(Yards[[#This Row],[DEVELOPMENT]],Data[],28,FALSE)</f>
        <v>0</v>
      </c>
      <c r="K11" s="51"/>
      <c r="L11" s="50"/>
      <c r="M11" s="51" t="str">
        <f ca="1">IFERROR(VLOOKUP(Yards[[#This Row],[DEVELOPMENT]],Data[],4,FALSE),"")</f>
        <v/>
      </c>
      <c r="N11" s="51" t="str">
        <f ca="1">IF(Yards[[#This Row],[RAD/PACT]]="","",IF(OR(Yards[[#This Row],[RAD/PACT]]="2022-2025",Yards[[#This Row],[RAD/PACT]]=2019,Yards[[#This Row],[RAD/PACT]]="2020-2021"),"Yes",""))</f>
        <v/>
      </c>
      <c r="O11" s="51" t="str">
        <f ca="1">IFERROR(VLOOKUP(Yards[[#This Row],[DEVELOPMENT]],ExtComp[],8,FALSE),"")</f>
        <v/>
      </c>
      <c r="P11" s="51">
        <v>2020</v>
      </c>
      <c r="Q11" s="51"/>
      <c r="R11" s="51">
        <f>IF(ISBLANK(Yards[[#This Row],[DSGN CALENDAR YEAR]]),"",Yards[[#This Row],[DSGN CALENDAR YEAR]]+1)</f>
        <v>2021</v>
      </c>
      <c r="S11" s="51" t="str">
        <f>IF(ISBLANK(Yards[[#This Row],[DSGN FISCAL YEAR]]),"",Yards[[#This Row],[DSGN FISCAL YEAR]]+1)</f>
        <v/>
      </c>
      <c r="T11" s="51"/>
      <c r="U11" s="128">
        <f ca="1">Yards[[#This Row],[Estimate]]*0.1</f>
        <v>209114.39285775006</v>
      </c>
      <c r="V11" s="47">
        <f ca="1">Yards[[#This Row],[Estimate]]-Yards[[#This Row],[Design Est.]]</f>
        <v>1882029.5357197504</v>
      </c>
      <c r="W11" s="85">
        <f ca="1">(Yards[[#This Row],['# yards]]*INDEX(UnitCosts[],MATCH(Yards[[#This Row],[WORK TYPE]],UnitCosts[Work Type],0),2))*(1+((Yards[[#This Row],[est. CONS Year]]-YEAR(TODAY()))*$W$3))</f>
        <v>2091143.9285775004</v>
      </c>
      <c r="X11" s="142">
        <f ca="1">IF(ISNUMBER(SEARCH("LLC",Yards[[#This Row],[PROGRAM]])),0,IF(Yards[[#This Row],[RAD/PACT by 2025]]="yes",0,1))</f>
        <v>1</v>
      </c>
      <c r="Y11" s="1"/>
      <c r="Z11" s="1"/>
      <c r="AA11" s="51">
        <f ca="1">COUNTIF($X$5:Yards[[#This Row],['# yards]],"&gt;0")-10</f>
        <v>-7</v>
      </c>
      <c r="AB11" s="1">
        <f>IF(ISBLANK(Yards[[#This Row],[DSGN CALENDAR YEAR]]),ROUNDDOWN(Yards[[#This Row],[Count]]/24,0)+$AB$1,Yards[[#This Row],[DSGN CALENDAR YEAR]])</f>
        <v>2020</v>
      </c>
      <c r="AC11" s="16">
        <f>Yards[[#This Row],[est. DSGN Year]]+1</f>
        <v>2021</v>
      </c>
    </row>
    <row r="12" spans="1:29">
      <c r="A12" s="13" t="s">
        <v>38</v>
      </c>
      <c r="B12" s="51" t="str">
        <f>VLOOKUP(Yards[[#This Row],[DEVELOPMENT]],Data[],2,FALSE)</f>
        <v>BROOKLYN</v>
      </c>
      <c r="C1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2" s="51" t="str">
        <f>VLOOKUP(Yards[[#This Row],[DEVELOPMENT]],Data[],52,FALSE)</f>
        <v>FEDERAL</v>
      </c>
      <c r="E12" s="50" t="str">
        <f>VLOOKUP(Yards[[#This Row],[DEVELOPMENT]],Data[],8,FALSE)</f>
        <v>Zone 1</v>
      </c>
      <c r="F12" s="51" t="str">
        <f>VLOOKUP(Yards[[#This Row],[DEVELOPMENT]],all[[DEVELOPMENT]:[MRST Ext. Comp. Priority]],6,FALSE)</f>
        <v>A</v>
      </c>
      <c r="G12" s="51">
        <f>VLOOKUP(Yards[[#This Row],[DEVELOPMENT]],all[[DEVELOPMENT]:[MRST Ext. Comp. Priority]],13,FALSE)</f>
        <v>3</v>
      </c>
      <c r="H12" s="50">
        <f>IF(VLOOKUP(Yards[[#This Row],[DEVELOPMENT]],Data[],9,FALSE)=0,5,VLOOKUP(Yards[[#This Row],[DEVELOPMENT]],Data[],9,FALSE))</f>
        <v>3</v>
      </c>
      <c r="I12" s="51">
        <f>VLOOKUP(Yards[[#This Row],[DEVELOPMENT]],Data[],33,FALSE)</f>
        <v>3</v>
      </c>
      <c r="J12" s="51">
        <f>VLOOKUP(Yards[[#This Row],[DEVELOPMENT]],Data[],28,FALSE)</f>
        <v>0</v>
      </c>
      <c r="K12" s="51"/>
      <c r="L12" s="50"/>
      <c r="M12" s="51" t="str">
        <f ca="1">IFERROR(VLOOKUP(Yards[[#This Row],[DEVELOPMENT]],Data[],4,FALSE),"")</f>
        <v>2026+</v>
      </c>
      <c r="N12" s="51" t="str">
        <f ca="1">IF(Yards[[#This Row],[RAD/PACT]]="","",IF(OR(Yards[[#This Row],[RAD/PACT]]="2022-2025",Yards[[#This Row],[RAD/PACT]]=2019,Yards[[#This Row],[RAD/PACT]]="2020-2021"),"Yes",""))</f>
        <v/>
      </c>
      <c r="O12" s="1">
        <f ca="1">IFERROR(VLOOKUP(Yards[[#This Row],[DEVELOPMENT]],ExtComp[],8,FALSE),"")</f>
        <v>1</v>
      </c>
      <c r="P12" s="51">
        <v>2020</v>
      </c>
      <c r="Q12" s="1"/>
      <c r="R12" s="51">
        <f>IF(ISBLANK(Yards[[#This Row],[DSGN CALENDAR YEAR]]),"",Yards[[#This Row],[DSGN CALENDAR YEAR]]+1)</f>
        <v>2021</v>
      </c>
      <c r="S12" s="51" t="str">
        <f>IF(ISBLANK(Yards[[#This Row],[DSGN FISCAL YEAR]]),"",Yards[[#This Row],[DSGN FISCAL YEAR]]+1)</f>
        <v/>
      </c>
      <c r="T12" s="1"/>
      <c r="U12" s="128">
        <f ca="1">Yards[[#This Row],[Estimate]]*0.1</f>
        <v>140994.30865095003</v>
      </c>
      <c r="V12" s="47">
        <f ca="1">Yards[[#This Row],[Estimate]]-Yards[[#This Row],[Design Est.]]</f>
        <v>1268948.7778585502</v>
      </c>
      <c r="W12" s="85">
        <f ca="1">(Yards[[#This Row],['# yards]]*INDEX(UnitCosts[],MATCH(Yards[[#This Row],[WORK TYPE]],UnitCosts[Work Type],0),2))*(1+((Yards[[#This Row],[est. CONS Year]]-YEAR(TODAY()))*$W$3))</f>
        <v>1409943.0865095002</v>
      </c>
      <c r="X12" s="142">
        <f ca="1">IF(ISNUMBER(SEARCH("LLC",Yards[[#This Row],[PROGRAM]])),0,IF(Yards[[#This Row],[RAD/PACT by 2025]]="yes",0,1))</f>
        <v>1</v>
      </c>
      <c r="Y12" s="1"/>
      <c r="Z12" s="1"/>
      <c r="AA12" s="51">
        <f ca="1">COUNTIF($X$5:Yards[[#This Row],['# yards]],"&gt;0")-10</f>
        <v>-6</v>
      </c>
      <c r="AB12" s="1">
        <f>IF(ISBLANK(Yards[[#This Row],[DSGN CALENDAR YEAR]]),ROUNDDOWN(Yards[[#This Row],[Count]]/24,0)+$AB$1,Yards[[#This Row],[DSGN CALENDAR YEAR]])</f>
        <v>2020</v>
      </c>
      <c r="AC12" s="16">
        <f>Yards[[#This Row],[est. DSGN Year]]+1</f>
        <v>2021</v>
      </c>
    </row>
    <row r="13" spans="1:29">
      <c r="A13" s="13" t="s">
        <v>47</v>
      </c>
      <c r="B13" s="51" t="str">
        <f>VLOOKUP(Yards[[#This Row],[DEVELOPMENT]],Data[],2,FALSE)</f>
        <v>BRONX</v>
      </c>
      <c r="C1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3" s="51" t="str">
        <f>VLOOKUP(Yards[[#This Row],[DEVELOPMENT]],Data[],52,FALSE)</f>
        <v>FEDERAL</v>
      </c>
      <c r="E13" s="50" t="str">
        <f>VLOOKUP(Yards[[#This Row],[DEVELOPMENT]],Data[],8,FALSE)</f>
        <v>Zone 1</v>
      </c>
      <c r="F13" s="51" t="str">
        <f>VLOOKUP(Yards[[#This Row],[DEVELOPMENT]],all[[DEVELOPMENT]:[MRST Ext. Comp. Priority]],6,FALSE)</f>
        <v>A</v>
      </c>
      <c r="G13" s="51">
        <f>VLOOKUP(Yards[[#This Row],[DEVELOPMENT]],all[[DEVELOPMENT]:[MRST Ext. Comp. Priority]],13,FALSE)</f>
        <v>4</v>
      </c>
      <c r="H13" s="50">
        <f>IF(VLOOKUP(Yards[[#This Row],[DEVELOPMENT]],Data[],9,FALSE)=0,5,VLOOKUP(Yards[[#This Row],[DEVELOPMENT]],Data[],9,FALSE))</f>
        <v>4</v>
      </c>
      <c r="I13" s="51">
        <f>VLOOKUP(Yards[[#This Row],[DEVELOPMENT]],Data[],33,FALSE)</f>
        <v>2</v>
      </c>
      <c r="J13" s="51">
        <f>VLOOKUP(Yards[[#This Row],[DEVELOPMENT]],Data[],28,FALSE)</f>
        <v>0</v>
      </c>
      <c r="K13" s="51"/>
      <c r="L13" s="50"/>
      <c r="M13" s="51" t="str">
        <f ca="1">IFERROR(VLOOKUP(Yards[[#This Row],[DEVELOPMENT]],Data[],4,FALSE),"")</f>
        <v/>
      </c>
      <c r="N13" s="51" t="str">
        <f ca="1">IF(Yards[[#This Row],[RAD/PACT]]="","",IF(OR(Yards[[#This Row],[RAD/PACT]]="2022-2025",Yards[[#This Row],[RAD/PACT]]=2019,Yards[[#This Row],[RAD/PACT]]="2020-2021"),"Yes",""))</f>
        <v/>
      </c>
      <c r="O13" s="1">
        <f ca="1">IFERROR(VLOOKUP(Yards[[#This Row],[DEVELOPMENT]],ExtComp[],8,FALSE),"")</f>
        <v>12</v>
      </c>
      <c r="P13" s="51">
        <v>2020</v>
      </c>
      <c r="Q13" s="1"/>
      <c r="R13" s="51">
        <f>IF(ISBLANK(Yards[[#This Row],[DSGN CALENDAR YEAR]]),"",Yards[[#This Row],[DSGN CALENDAR YEAR]]+1)</f>
        <v>2021</v>
      </c>
      <c r="S13" s="51" t="str">
        <f>IF(ISBLANK(Yards[[#This Row],[DSGN FISCAL YEAR]]),"",Yards[[#This Row],[DSGN FISCAL YEAR]]+1)</f>
        <v/>
      </c>
      <c r="T13" s="1"/>
      <c r="U13" s="128">
        <f ca="1">Yards[[#This Row],[Estimate]]*0.1</f>
        <v>209114.39285775006</v>
      </c>
      <c r="V13" s="47">
        <f ca="1">Yards[[#This Row],[Estimate]]-Yards[[#This Row],[Design Est.]]</f>
        <v>1882029.5357197504</v>
      </c>
      <c r="W13" s="85">
        <f ca="1">(Yards[[#This Row],['# yards]]*INDEX(UnitCosts[],MATCH(Yards[[#This Row],[WORK TYPE]],UnitCosts[Work Type],0),2))*(1+((Yards[[#This Row],[est. CONS Year]]-YEAR(TODAY()))*$W$3))</f>
        <v>2091143.9285775004</v>
      </c>
      <c r="X13" s="142">
        <f ca="1">IF(ISNUMBER(SEARCH("LLC",Yards[[#This Row],[PROGRAM]])),0,IF(Yards[[#This Row],[RAD/PACT by 2025]]="yes",0,1))</f>
        <v>1</v>
      </c>
      <c r="Y13" s="1"/>
      <c r="Z13" s="1"/>
      <c r="AA13" s="51">
        <f ca="1">COUNTIF($X$5:Yards[[#This Row],['# yards]],"&gt;0")-10</f>
        <v>-5</v>
      </c>
      <c r="AB13" s="1">
        <f>IF(ISBLANK(Yards[[#This Row],[DSGN CALENDAR YEAR]]),ROUNDDOWN(Yards[[#This Row],[Count]]/24,0)+$AB$1,Yards[[#This Row],[DSGN CALENDAR YEAR]])</f>
        <v>2020</v>
      </c>
      <c r="AC13" s="16">
        <f>Yards[[#This Row],[est. DSGN Year]]+1</f>
        <v>2021</v>
      </c>
    </row>
    <row r="14" spans="1:29">
      <c r="A14" s="13" t="s">
        <v>121</v>
      </c>
      <c r="B14" s="51" t="str">
        <f>VLOOKUP(Yards[[#This Row],[DEVELOPMENT]],Data[],2,FALSE)</f>
        <v>BRONX</v>
      </c>
      <c r="C1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4" s="51" t="str">
        <f>VLOOKUP(Yards[[#This Row],[DEVELOPMENT]],Data[],52,FALSE)</f>
        <v>FEDERAL</v>
      </c>
      <c r="E14" s="50" t="str">
        <f>VLOOKUP(Yards[[#This Row],[DEVELOPMENT]],Data[],8,FALSE)</f>
        <v>Zone 1</v>
      </c>
      <c r="F14" s="51" t="str">
        <f>VLOOKUP(Yards[[#This Row],[DEVELOPMENT]],all[[DEVELOPMENT]:[MRST Ext. Comp. Priority]],6,FALSE)</f>
        <v>A</v>
      </c>
      <c r="G14" s="51" t="str">
        <f>VLOOKUP(Yards[[#This Row],[DEVELOPMENT]],all[[DEVELOPMENT]:[MRST Ext. Comp. Priority]],13,FALSE)</f>
        <v>None</v>
      </c>
      <c r="H14" s="50">
        <f>IF(VLOOKUP(Yards[[#This Row],[DEVELOPMENT]],Data[],9,FALSE)=0,5,VLOOKUP(Yards[[#This Row],[DEVELOPMENT]],Data[],9,FALSE))</f>
        <v>3</v>
      </c>
      <c r="I14" s="51">
        <f>VLOOKUP(Yards[[#This Row],[DEVELOPMENT]],Data[],33,FALSE)</f>
        <v>1</v>
      </c>
      <c r="J14" s="51">
        <f>VLOOKUP(Yards[[#This Row],[DEVELOPMENT]],Data[],28,FALSE)</f>
        <v>0</v>
      </c>
      <c r="K14" s="51"/>
      <c r="L14" s="50"/>
      <c r="M14" s="51" t="str">
        <f ca="1">IFERROR(VLOOKUP(Yards[[#This Row],[DEVELOPMENT]],Data[],4,FALSE),"")</f>
        <v/>
      </c>
      <c r="N14" s="51" t="str">
        <f ca="1">IF(Yards[[#This Row],[RAD/PACT]]="","",IF(OR(Yards[[#This Row],[RAD/PACT]]="2022-2025",Yards[[#This Row],[RAD/PACT]]=2019,Yards[[#This Row],[RAD/PACT]]="2020-2021"),"Yes",""))</f>
        <v/>
      </c>
      <c r="O14" s="51">
        <f ca="1">IFERROR(VLOOKUP(Yards[[#This Row],[DEVELOPMENT]],ExtComp[],8,FALSE),"")</f>
        <v>15</v>
      </c>
      <c r="P14" s="51">
        <v>2020</v>
      </c>
      <c r="Q14" s="51"/>
      <c r="R14" s="51">
        <f>IF(ISBLANK(Yards[[#This Row],[DSGN CALENDAR YEAR]]),"",Yards[[#This Row],[DSGN CALENDAR YEAR]]+1)</f>
        <v>2021</v>
      </c>
      <c r="S14" s="51" t="str">
        <f>IF(ISBLANK(Yards[[#This Row],[DSGN FISCAL YEAR]]),"",Yards[[#This Row],[DSGN FISCAL YEAR]]+1)</f>
        <v/>
      </c>
      <c r="T14" s="51"/>
      <c r="U14" s="128">
        <f ca="1">Yards[[#This Row],[Estimate]]*0.1</f>
        <v>187080.98553900004</v>
      </c>
      <c r="V14" s="47">
        <f ca="1">Yards[[#This Row],[Estimate]]-Yards[[#This Row],[Design Est.]]</f>
        <v>1683728.8698510004</v>
      </c>
      <c r="W14" s="85">
        <f ca="1">(Yards[[#This Row],['# yards]]*INDEX(UnitCosts[],MATCH(Yards[[#This Row],[WORK TYPE]],UnitCosts[Work Type],0),2))*(1+((Yards[[#This Row],[est. CONS Year]]-YEAR(TODAY()))*$W$3))</f>
        <v>1870809.8553900004</v>
      </c>
      <c r="X14" s="142">
        <f ca="1">IF(ISNUMBER(SEARCH("LLC",Yards[[#This Row],[PROGRAM]])),0,IF(Yards[[#This Row],[RAD/PACT by 2025]]="yes",0,1))</f>
        <v>1</v>
      </c>
      <c r="Y14" s="1"/>
      <c r="Z14" s="1"/>
      <c r="AA14" s="51">
        <f ca="1">COUNTIF($X$5:Yards[[#This Row],['# yards]],"&gt;0")-10</f>
        <v>-4</v>
      </c>
      <c r="AB14" s="1">
        <f>IF(ISBLANK(Yards[[#This Row],[DSGN CALENDAR YEAR]]),ROUNDDOWN(Yards[[#This Row],[Count]]/24,0)+$AB$1,Yards[[#This Row],[DSGN CALENDAR YEAR]])</f>
        <v>2020</v>
      </c>
      <c r="AC14" s="16">
        <f>Yards[[#This Row],[est. DSGN Year]]+1</f>
        <v>2021</v>
      </c>
    </row>
    <row r="15" spans="1:29">
      <c r="A15" s="13" t="s">
        <v>35</v>
      </c>
      <c r="B15" s="51" t="str">
        <f>VLOOKUP(Yards[[#This Row],[DEVELOPMENT]],Data[],2,FALSE)</f>
        <v>BRONX</v>
      </c>
      <c r="C1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5" s="51" t="str">
        <f>VLOOKUP(Yards[[#This Row],[DEVELOPMENT]],Data[],52,FALSE)</f>
        <v>FEDERAL</v>
      </c>
      <c r="E15" s="50" t="str">
        <f>VLOOKUP(Yards[[#This Row],[DEVELOPMENT]],Data[],8,FALSE)</f>
        <v>Zone 1</v>
      </c>
      <c r="F15" s="51" t="str">
        <f>VLOOKUP(Yards[[#This Row],[DEVELOPMENT]],all[[DEVELOPMENT]:[MRST Ext. Comp. Priority]],6,FALSE)</f>
        <v>C</v>
      </c>
      <c r="G15" s="51">
        <f>VLOOKUP(Yards[[#This Row],[DEVELOPMENT]],all[[DEVELOPMENT]:[MRST Ext. Comp. Priority]],13,FALSE)</f>
        <v>3</v>
      </c>
      <c r="H15" s="50">
        <f>IF(VLOOKUP(Yards[[#This Row],[DEVELOPMENT]],Data[],9,FALSE)=0,5,VLOOKUP(Yards[[#This Row],[DEVELOPMENT]],Data[],9,FALSE))</f>
        <v>4</v>
      </c>
      <c r="I15" s="51">
        <f>VLOOKUP(Yards[[#This Row],[DEVELOPMENT]],Data[],33,FALSE)</f>
        <v>2</v>
      </c>
      <c r="J15" s="51">
        <f>VLOOKUP(Yards[[#This Row],[DEVELOPMENT]],Data[],28,FALSE)</f>
        <v>0</v>
      </c>
      <c r="K15" s="51"/>
      <c r="L15" s="50"/>
      <c r="M15" s="51" t="str">
        <f ca="1">IFERROR(VLOOKUP(Yards[[#This Row],[DEVELOPMENT]],Data[],4,FALSE),"")</f>
        <v/>
      </c>
      <c r="N15" s="51" t="str">
        <f ca="1">IF(Yards[[#This Row],[RAD/PACT]]="","",IF(OR(Yards[[#This Row],[RAD/PACT]]="2022-2025",Yards[[#This Row],[RAD/PACT]]=2019,Yards[[#This Row],[RAD/PACT]]="2020-2021"),"Yes",""))</f>
        <v/>
      </c>
      <c r="O15" s="51">
        <f ca="1">IFERROR(VLOOKUP(Yards[[#This Row],[DEVELOPMENT]],ExtComp[],8,FALSE),"")</f>
        <v>20</v>
      </c>
      <c r="P15" s="51">
        <v>2020</v>
      </c>
      <c r="Q15" s="51">
        <v>2021</v>
      </c>
      <c r="R15" s="51">
        <f>IF(ISBLANK(Yards[[#This Row],[DSGN CALENDAR YEAR]]),"",Yards[[#This Row],[DSGN CALENDAR YEAR]]+1)</f>
        <v>2021</v>
      </c>
      <c r="S15" s="51">
        <f>IF(ISBLANK(Yards[[#This Row],[DSGN FISCAL YEAR]]),"",Yards[[#This Row],[DSGN FISCAL YEAR]]+1)</f>
        <v>2022</v>
      </c>
      <c r="T15" s="51"/>
      <c r="U15" s="128">
        <f>Yards[[#This Row],[Estimate]]*0.1</f>
        <v>200000</v>
      </c>
      <c r="V15" s="47">
        <f>Yards[[#This Row],[Estimate]]-Yards[[#This Row],[Design Est.]]</f>
        <v>1800000</v>
      </c>
      <c r="W15" s="85">
        <v>2000000</v>
      </c>
      <c r="X15" s="142">
        <f ca="1">IF(ISNUMBER(SEARCH("LLC",Yards[[#This Row],[PROGRAM]])),0,IF(Yards[[#This Row],[RAD/PACT by 2025]]="yes",0,1))</f>
        <v>1</v>
      </c>
      <c r="Y15" s="1"/>
      <c r="Z15" s="1"/>
      <c r="AA15" s="51">
        <f ca="1">COUNTIF($X$5:Yards[[#This Row],['# yards]],"&gt;0")-10</f>
        <v>-3</v>
      </c>
      <c r="AB15" s="1">
        <f>IF(ISBLANK(Yards[[#This Row],[DSGN CALENDAR YEAR]]),ROUNDDOWN(Yards[[#This Row],[Count]]/24,0)+$AB$1,Yards[[#This Row],[DSGN CALENDAR YEAR]])</f>
        <v>2020</v>
      </c>
      <c r="AC15" s="16">
        <f>Yards[[#This Row],[est. DSGN Year]]+1</f>
        <v>2021</v>
      </c>
    </row>
    <row r="16" spans="1:29">
      <c r="A16" s="13" t="s">
        <v>133</v>
      </c>
      <c r="B16" s="51" t="str">
        <f>VLOOKUP(Yards[[#This Row],[DEVELOPMENT]],Data[],2,FALSE)</f>
        <v>MANHATTAN</v>
      </c>
      <c r="C16" s="51" t="s">
        <v>495</v>
      </c>
      <c r="D16" s="51" t="str">
        <f>VLOOKUP(Yards[[#This Row],[DEVELOPMENT]],Data[],52,FALSE)</f>
        <v>FEDERAL</v>
      </c>
      <c r="E16" s="50" t="str">
        <f>VLOOKUP(Yards[[#This Row],[DEVELOPMENT]],Data[],8,FALSE)</f>
        <v>Zone 2</v>
      </c>
      <c r="F16" s="51" t="str">
        <f>VLOOKUP(Yards[[#This Row],[DEVELOPMENT]],all[[DEVELOPMENT]:[MRST Ext. Comp. Priority]],6,FALSE)</f>
        <v>None</v>
      </c>
      <c r="G16" s="51">
        <f>VLOOKUP(Yards[[#This Row],[DEVELOPMENT]],all[[DEVELOPMENT]:[MRST Ext. Comp. Priority]],13,FALSE)</f>
        <v>2</v>
      </c>
      <c r="H16" s="50">
        <f>IF(VLOOKUP(Yards[[#This Row],[DEVELOPMENT]],Data[],9,FALSE)=0,5,VLOOKUP(Yards[[#This Row],[DEVELOPMENT]],Data[],9,FALSE))</f>
        <v>4</v>
      </c>
      <c r="I16" s="51">
        <f>VLOOKUP(Yards[[#This Row],[DEVELOPMENT]],Data[],33,FALSE)</f>
        <v>3</v>
      </c>
      <c r="J16" s="51">
        <f>VLOOKUP(Yards[[#This Row],[DEVELOPMENT]],Data[],28,FALSE)</f>
        <v>0</v>
      </c>
      <c r="K16" s="51"/>
      <c r="L16" s="50"/>
      <c r="M16" s="51" t="str">
        <f ca="1">IFERROR(VLOOKUP(Yards[[#This Row],[DEVELOPMENT]],Data[],4,FALSE),"")</f>
        <v/>
      </c>
      <c r="N16" s="51" t="str">
        <f ca="1">IF(Yards[[#This Row],[RAD/PACT]]="","",IF(OR(Yards[[#This Row],[RAD/PACT]]="2022-2025",Yards[[#This Row],[RAD/PACT]]=2019,Yards[[#This Row],[RAD/PACT]]="2020-2021"),"Yes",""))</f>
        <v/>
      </c>
      <c r="O16" s="1">
        <f ca="1">IFERROR(VLOOKUP(Yards[[#This Row],[DEVELOPMENT]],ExtComp[],8,FALSE),"")</f>
        <v>6</v>
      </c>
      <c r="P16" s="1">
        <v>2021</v>
      </c>
      <c r="Q16" s="1">
        <v>2021</v>
      </c>
      <c r="R16" s="51">
        <f>IF(ISBLANK(Yards[[#This Row],[DSGN CALENDAR YEAR]]),"",Yards[[#This Row],[DSGN CALENDAR YEAR]]+1)</f>
        <v>2022</v>
      </c>
      <c r="S16" s="51">
        <f>IF(ISBLANK(Yards[[#This Row],[DSGN FISCAL YEAR]]),"",Yards[[#This Row],[DSGN FISCAL YEAR]]+1)</f>
        <v>2022</v>
      </c>
      <c r="T16" s="1"/>
      <c r="U16" s="128">
        <f ca="1">Yards[[#This Row],[Estimate]]*0.1</f>
        <v>1639440</v>
      </c>
      <c r="V16" s="47">
        <f ca="1">Yards[[#This Row],[Estimate]]-Yards[[#This Row],[Design Est.]]</f>
        <v>14754959.999999998</v>
      </c>
      <c r="W16" s="85">
        <f ca="1">(Yards[[#This Row],['# yards]]*INDEX(UnitCosts[],MATCH(Yards[[#This Row],[WORK TYPE]],UnitCosts[Work Type],0),2))*(1+((Yards[[#This Row],[est. CONS Year]]-YEAR(TODAY()))*$W$3))</f>
        <v>16394399.999999998</v>
      </c>
      <c r="X16" s="142">
        <f ca="1">IF(ISNUMBER(SEARCH("LLC",Yards[[#This Row],[PROGRAM]])),0,IF(Yards[[#This Row],[RAD/PACT by 2025]]="yes",0,1))</f>
        <v>1</v>
      </c>
      <c r="Y16" s="1"/>
      <c r="Z16" s="1"/>
      <c r="AA16" s="51">
        <f ca="1">COUNTIF($X$5:Yards[[#This Row],['# yards]],"&gt;0")-10</f>
        <v>-2</v>
      </c>
      <c r="AB16" s="1">
        <f>IF(ISBLANK(Yards[[#This Row],[DSGN CALENDAR YEAR]]),ROUNDDOWN(Yards[[#This Row],[Count]]/24,0)+$AB$1,Yards[[#This Row],[DSGN CALENDAR YEAR]])</f>
        <v>2021</v>
      </c>
      <c r="AC16" s="16">
        <f>Yards[[#This Row],[est. DSGN Year]]</f>
        <v>2021</v>
      </c>
    </row>
    <row r="17" spans="1:29" hidden="1">
      <c r="A17" s="13" t="s">
        <v>39</v>
      </c>
      <c r="B17" s="51" t="str">
        <f>VLOOKUP(Yards[[#This Row],[DEVELOPMENT]],Data[],2,FALSE)</f>
        <v>BRONX</v>
      </c>
      <c r="C17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7" s="51" t="str">
        <f>VLOOKUP(Yards[[#This Row],[DEVELOPMENT]],Data[],52,FALSE)</f>
        <v>FEDERAL</v>
      </c>
      <c r="E17" s="50" t="str">
        <f>VLOOKUP(Yards[[#This Row],[DEVELOPMENT]],Data[],8,FALSE)</f>
        <v>Zone 1</v>
      </c>
      <c r="F17" s="51" t="str">
        <f>VLOOKUP(Yards[[#This Row],[DEVELOPMENT]],all[[DEVELOPMENT]:[MRST Ext. Comp. Priority]],6,FALSE)</f>
        <v>A</v>
      </c>
      <c r="G17" s="51">
        <f>VLOOKUP(Yards[[#This Row],[DEVELOPMENT]],all[[DEVELOPMENT]:[MRST Ext. Comp. Priority]],13,FALSE)</f>
        <v>1</v>
      </c>
      <c r="H17" s="50">
        <f>IF(VLOOKUP(Yards[[#This Row],[DEVELOPMENT]],Data[],9,FALSE)=0,5,VLOOKUP(Yards[[#This Row],[DEVELOPMENT]],Data[],9,FALSE))</f>
        <v>4</v>
      </c>
      <c r="I17" s="51">
        <f>VLOOKUP(Yards[[#This Row],[DEVELOPMENT]],Data[],33,FALSE)</f>
        <v>2</v>
      </c>
      <c r="J17" s="51">
        <f>VLOOKUP(Yards[[#This Row],[DEVELOPMENT]],Data[],28,FALSE)</f>
        <v>0</v>
      </c>
      <c r="K17" s="51"/>
      <c r="L17" s="50">
        <v>1</v>
      </c>
      <c r="M17" s="51" t="str">
        <f ca="1">IFERROR(VLOOKUP(Yards[[#This Row],[DEVELOPMENT]],Data[],4,FALSE),"")</f>
        <v>2022-2025</v>
      </c>
      <c r="N17" s="51" t="str">
        <f ca="1">IF(Yards[[#This Row],[RAD/PACT]]="","",IF(OR(Yards[[#This Row],[RAD/PACT]]="2022-2025",Yards[[#This Row],[RAD/PACT]]=2019,Yards[[#This Row],[RAD/PACT]]="2020-2021"),"Yes",""))</f>
        <v>Yes</v>
      </c>
      <c r="O17" s="1">
        <f ca="1">IFERROR(VLOOKUP(Yards[[#This Row],[DEVELOPMENT]],ExtComp[],8,FALSE),"")</f>
        <v>19</v>
      </c>
      <c r="P17" s="51"/>
      <c r="Q17" s="1"/>
      <c r="R17" s="1" t="str">
        <f>IF(ISBLANK(Yards[[#This Row],[DSGN CALENDAR YEAR]]),"",Yards[[#This Row],[DSGN CALENDAR YEAR]]+1)</f>
        <v/>
      </c>
      <c r="S17" s="51" t="str">
        <f>IF(ISBLANK(Yards[[#This Row],[DSGN FISCAL YEAR]]),"",Yards[[#This Row],[DSGN FISCAL YEAR]]+1)</f>
        <v/>
      </c>
      <c r="T17" s="1"/>
      <c r="U17" s="128">
        <f ca="1">Yards[[#This Row],[Estimate]]*0.1</f>
        <v>0</v>
      </c>
      <c r="V17" s="47">
        <f ca="1">Yards[[#This Row],[Estimate]]-Yards[[#This Row],[Design Est.]]</f>
        <v>0</v>
      </c>
      <c r="W17" s="132">
        <f ca="1">(Yards[[#This Row],['# yards]]*INDEX(UnitCosts[],MATCH(Yards[[#This Row],[WORK TYPE]],UnitCosts[Work Type],0),2))*(1+((Yards[[#This Row],[est. CONS Year]]-YEAR(TODAY()))*$W$3))</f>
        <v>0</v>
      </c>
      <c r="X17" s="142">
        <f ca="1">IF(ISNUMBER(SEARCH("LLC",Yards[[#This Row],[PROGRAM]])),0,IF(Yards[[#This Row],[RAD/PACT by 2025]]="yes",0,1))</f>
        <v>0</v>
      </c>
      <c r="Y17" s="1"/>
      <c r="Z17" s="1" t="s">
        <v>2297</v>
      </c>
      <c r="AA17" s="51">
        <f ca="1">COUNTIF($X$5:Yards[[#This Row],['# yards]],"&gt;0")-10</f>
        <v>-2</v>
      </c>
      <c r="AB17" s="1">
        <f ca="1">IF(ISBLANK(Yards[[#This Row],[DSGN CALENDAR YEAR]]),ROUNDDOWN(Yards[[#This Row],[Count]]/24,0)+$AB$1,Yards[[#This Row],[DSGN CALENDAR YEAR]])</f>
        <v>2021</v>
      </c>
      <c r="AC17" s="16">
        <f ca="1">Yards[[#This Row],[est. DSGN Year]]+1</f>
        <v>2022</v>
      </c>
    </row>
    <row r="18" spans="1:29">
      <c r="A18" s="13" t="s">
        <v>41</v>
      </c>
      <c r="B18" s="51" t="str">
        <f>VLOOKUP(Yards[[#This Row],[DEVELOPMENT]],Data[],2,FALSE)</f>
        <v>BRONX</v>
      </c>
      <c r="C18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8" s="51" t="str">
        <f>VLOOKUP(Yards[[#This Row],[DEVELOPMENT]],Data[],52,FALSE)</f>
        <v>FEDERAL</v>
      </c>
      <c r="E18" s="50" t="str">
        <f>VLOOKUP(Yards[[#This Row],[DEVELOPMENT]],Data[],8,FALSE)</f>
        <v>Zone 1</v>
      </c>
      <c r="F18" s="51" t="str">
        <f>VLOOKUP(Yards[[#This Row],[DEVELOPMENT]],all[[DEVELOPMENT]:[MRST Ext. Comp. Priority]],6,FALSE)</f>
        <v>A</v>
      </c>
      <c r="G18" s="51">
        <f>VLOOKUP(Yards[[#This Row],[DEVELOPMENT]],all[[DEVELOPMENT]:[MRST Ext. Comp. Priority]],13,FALSE)</f>
        <v>2</v>
      </c>
      <c r="H18" s="50">
        <f>IF(VLOOKUP(Yards[[#This Row],[DEVELOPMENT]],Data[],9,FALSE)=0,5,VLOOKUP(Yards[[#This Row],[DEVELOPMENT]],Data[],9,FALSE))</f>
        <v>4</v>
      </c>
      <c r="I18" s="51">
        <f>VLOOKUP(Yards[[#This Row],[DEVELOPMENT]],Data[],33,FALSE)</f>
        <v>2</v>
      </c>
      <c r="J18" s="51">
        <f>VLOOKUP(Yards[[#This Row],[DEVELOPMENT]],Data[],28,FALSE)</f>
        <v>0</v>
      </c>
      <c r="K18" s="51"/>
      <c r="L18" s="50"/>
      <c r="M18" s="51" t="str">
        <f ca="1">IFERROR(VLOOKUP(Yards[[#This Row],[DEVELOPMENT]],Data[],4,FALSE),"")</f>
        <v/>
      </c>
      <c r="N18" s="51" t="str">
        <f ca="1">IF(Yards[[#This Row],[RAD/PACT]]="","",IF(OR(Yards[[#This Row],[RAD/PACT]]="2022-2025",Yards[[#This Row],[RAD/PACT]]=2019,Yards[[#This Row],[RAD/PACT]]="2020-2021"),"Yes",""))</f>
        <v/>
      </c>
      <c r="O18" s="51">
        <f ca="1">IFERROR(VLOOKUP(Yards[[#This Row],[DEVELOPMENT]],ExtComp[],8,FALSE),"")</f>
        <v>4</v>
      </c>
      <c r="P18" s="51">
        <v>2022</v>
      </c>
      <c r="Q18" s="51"/>
      <c r="R18" s="51">
        <f>IF(ISBLANK(Yards[[#This Row],[DSGN CALENDAR YEAR]]),"",Yards[[#This Row],[DSGN CALENDAR YEAR]]+1)</f>
        <v>2023</v>
      </c>
      <c r="S18" s="51" t="str">
        <f>IF(ISBLANK(Yards[[#This Row],[DSGN FISCAL YEAR]]),"",Yards[[#This Row],[DSGN FISCAL YEAR]]+1)</f>
        <v/>
      </c>
      <c r="T18" s="51"/>
      <c r="U18" s="128">
        <f ca="1">Yards[[#This Row],[Estimate]]*0.1</f>
        <v>150530.15561285004</v>
      </c>
      <c r="V18" s="47">
        <f ca="1">Yards[[#This Row],[Estimate]]-Yards[[#This Row],[Design Est.]]</f>
        <v>1354771.4005156502</v>
      </c>
      <c r="W18" s="85">
        <f ca="1">(Yards[[#This Row],['# yards]]*INDEX(UnitCosts[],MATCH(Yards[[#This Row],[WORK TYPE]],UnitCosts[Work Type],0),2))*(1+((Yards[[#This Row],[est. CONS Year]]-YEAR(TODAY()))*$W$3))</f>
        <v>1505301.5561285003</v>
      </c>
      <c r="X18" s="142">
        <f ca="1">IF(ISNUMBER(SEARCH("LLC",Yards[[#This Row],[PROGRAM]])),0,IF(Yards[[#This Row],[RAD/PACT by 2025]]="yes",0,1))</f>
        <v>1</v>
      </c>
      <c r="Y18" s="1"/>
      <c r="Z18" s="1"/>
      <c r="AA18" s="51">
        <f ca="1">COUNTIF($X$5:Yards[[#This Row],['# yards]],"&gt;0")-10</f>
        <v>-1</v>
      </c>
      <c r="AB18" s="1">
        <f>IF(ISBLANK(Yards[[#This Row],[DSGN CALENDAR YEAR]]),ROUNDDOWN(Yards[[#This Row],[Count]]/24,0)+$AB$1,Yards[[#This Row],[DSGN CALENDAR YEAR]])</f>
        <v>2022</v>
      </c>
      <c r="AC18" s="16">
        <f>Yards[[#This Row],[est. DSGN Year]]+1</f>
        <v>2023</v>
      </c>
    </row>
    <row r="19" spans="1:29" hidden="1">
      <c r="A19" s="13" t="s">
        <v>89</v>
      </c>
      <c r="B19" s="51" t="str">
        <f>VLOOKUP(Yards[[#This Row],[DEVELOPMENT]],Data[],2,FALSE)</f>
        <v>MANHATTAN</v>
      </c>
      <c r="C19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9" s="51" t="str">
        <f>VLOOKUP(Yards[[#This Row],[DEVELOPMENT]],Data[],52,FALSE)</f>
        <v>FEDERAL</v>
      </c>
      <c r="E19" s="50" t="str">
        <f>VLOOKUP(Yards[[#This Row],[DEVELOPMENT]],Data[],8,FALSE)</f>
        <v>Zone 3</v>
      </c>
      <c r="F19" s="51" t="str">
        <f>VLOOKUP(Yards[[#This Row],[DEVELOPMENT]],all[[DEVELOPMENT]:[MRST Ext. Comp. Priority]],6,FALSE)</f>
        <v>B</v>
      </c>
      <c r="G19" s="51">
        <f>VLOOKUP(Yards[[#This Row],[DEVELOPMENT]],all[[DEVELOPMENT]:[MRST Ext. Comp. Priority]],13,FALSE)</f>
        <v>1</v>
      </c>
      <c r="H19" s="50">
        <f>IF(VLOOKUP(Yards[[#This Row],[DEVELOPMENT]],Data[],9,FALSE)=0,5,VLOOKUP(Yards[[#This Row],[DEVELOPMENT]],Data[],9,FALSE))</f>
        <v>3</v>
      </c>
      <c r="I19" s="51">
        <f>VLOOKUP(Yards[[#This Row],[DEVELOPMENT]],Data[],33,FALSE)</f>
        <v>0</v>
      </c>
      <c r="J19" s="51">
        <f>VLOOKUP(Yards[[#This Row],[DEVELOPMENT]],Data[],28,FALSE)</f>
        <v>0</v>
      </c>
      <c r="K19" s="51"/>
      <c r="L19" s="50"/>
      <c r="M19" s="51" t="str">
        <f ca="1">IFERROR(VLOOKUP(Yards[[#This Row],[DEVELOPMENT]],Data[],4,FALSE),"")</f>
        <v>2020-2021</v>
      </c>
      <c r="N19" s="51" t="str">
        <f ca="1">IF(Yards[[#This Row],[RAD/PACT]]="","",IF(OR(Yards[[#This Row],[RAD/PACT]]="2022-2025",Yards[[#This Row],[RAD/PACT]]=2019,Yards[[#This Row],[RAD/PACT]]="2020-2021"),"Yes",""))</f>
        <v>Yes</v>
      </c>
      <c r="O19" s="51" t="str">
        <f ca="1">IFERROR(VLOOKUP(Yards[[#This Row],[DEVELOPMENT]],ExtComp[],8,FALSE),"")</f>
        <v/>
      </c>
      <c r="P19" s="51"/>
      <c r="Q19" s="51"/>
      <c r="R19" s="51" t="str">
        <f>IF(ISBLANK(Yards[[#This Row],[DSGN CALENDAR YEAR]]),"",Yards[[#This Row],[DSGN CALENDAR YEAR]]+1)</f>
        <v/>
      </c>
      <c r="S19" s="51" t="str">
        <f>IF(ISBLANK(Yards[[#This Row],[DSGN FISCAL YEAR]]),"",Yards[[#This Row],[DSGN FISCAL YEAR]]+1)</f>
        <v/>
      </c>
      <c r="T19" s="51"/>
      <c r="U19" s="128">
        <f ca="1">Yards[[#This Row],[Estimate]]*0.1</f>
        <v>0</v>
      </c>
      <c r="V19" s="47">
        <f ca="1">Yards[[#This Row],[Estimate]]-Yards[[#This Row],[Design Est.]]</f>
        <v>0</v>
      </c>
      <c r="W19" s="85">
        <f ca="1">(Yards[[#This Row],['# yards]]*INDEX(UnitCosts[],MATCH(Yards[[#This Row],[WORK TYPE]],UnitCosts[Work Type],0),2))*(1+((Yards[[#This Row],[est. CONS Year]]-YEAR(TODAY()))*$W$3))</f>
        <v>0</v>
      </c>
      <c r="X19" s="142">
        <f ca="1">IF(ISNUMBER(SEARCH("LLC",Yards[[#This Row],[PROGRAM]])),0,IF(Yards[[#This Row],[RAD/PACT by 2025]]="yes",0,1))</f>
        <v>0</v>
      </c>
      <c r="Y19" s="1"/>
      <c r="Z19" s="1"/>
      <c r="AA19" s="51">
        <f ca="1">COUNTIF($X$5:Yards[[#This Row],['# yards]],"&gt;0")-10</f>
        <v>-1</v>
      </c>
      <c r="AB19" s="1">
        <f ca="1">IF(ISBLANK(Yards[[#This Row],[DSGN CALENDAR YEAR]]),ROUNDDOWN(Yards[[#This Row],[Count]]/24,0)+$AB$1,Yards[[#This Row],[DSGN CALENDAR YEAR]])</f>
        <v>2021</v>
      </c>
      <c r="AC19" s="16">
        <f ca="1">Yards[[#This Row],[est. DSGN Year]]+1</f>
        <v>2022</v>
      </c>
    </row>
    <row r="20" spans="1:29">
      <c r="A20" s="13" t="s">
        <v>55</v>
      </c>
      <c r="B20" s="51" t="str">
        <f>VLOOKUP(Yards[[#This Row],[DEVELOPMENT]],Data[],2,FALSE)</f>
        <v>MANHATTAN</v>
      </c>
      <c r="C20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20" s="51" t="str">
        <f>VLOOKUP(Yards[[#This Row],[DEVELOPMENT]],Data[],52,FALSE)</f>
        <v>FEDERAL</v>
      </c>
      <c r="E20" s="50" t="str">
        <f>VLOOKUP(Yards[[#This Row],[DEVELOPMENT]],Data[],8,FALSE)</f>
        <v>Zone 1</v>
      </c>
      <c r="F20" s="51" t="str">
        <f>VLOOKUP(Yards[[#This Row],[DEVELOPMENT]],all[[DEVELOPMENT]:[MRST Ext. Comp. Priority]],6,FALSE)</f>
        <v>A</v>
      </c>
      <c r="G20" s="51">
        <f>VLOOKUP(Yards[[#This Row],[DEVELOPMENT]],all[[DEVELOPMENT]:[MRST Ext. Comp. Priority]],13,FALSE)</f>
        <v>1</v>
      </c>
      <c r="H20" s="50">
        <f>IF(VLOOKUP(Yards[[#This Row],[DEVELOPMENT]],Data[],9,FALSE)=0,5,VLOOKUP(Yards[[#This Row],[DEVELOPMENT]],Data[],9,FALSE))</f>
        <v>4</v>
      </c>
      <c r="I20" s="51">
        <f>VLOOKUP(Yards[[#This Row],[DEVELOPMENT]],Data[],33,FALSE)</f>
        <v>2</v>
      </c>
      <c r="J20" s="51">
        <f>VLOOKUP(Yards[[#This Row],[DEVELOPMENT]],Data[],28,FALSE)</f>
        <v>0</v>
      </c>
      <c r="K20" s="51"/>
      <c r="L20" s="50">
        <v>1</v>
      </c>
      <c r="M20" s="51" t="str">
        <f ca="1">IFERROR(VLOOKUP(Yards[[#This Row],[DEVELOPMENT]],Data[],4,FALSE),"")</f>
        <v/>
      </c>
      <c r="N20" s="51" t="str">
        <f ca="1">IF(Yards[[#This Row],[RAD/PACT]]="","",IF(OR(Yards[[#This Row],[RAD/PACT]]="2022-2025",Yards[[#This Row],[RAD/PACT]]=2019,Yards[[#This Row],[RAD/PACT]]="2020-2021"),"Yes",""))</f>
        <v/>
      </c>
      <c r="O20" s="1">
        <f ca="1">IFERROR(VLOOKUP(Yards[[#This Row],[DEVELOPMENT]],ExtComp[],8,FALSE),"")</f>
        <v>0</v>
      </c>
      <c r="P20" s="51"/>
      <c r="Q20" s="1"/>
      <c r="R20" s="51" t="str">
        <f>IF(ISBLANK(Yards[[#This Row],[DSGN CALENDAR YEAR]]),"",Yards[[#This Row],[DSGN CALENDAR YEAR]]+1)</f>
        <v/>
      </c>
      <c r="S20" s="51" t="str">
        <f>IF(ISBLANK(Yards[[#This Row],[DSGN FISCAL YEAR]]),"",Yards[[#This Row],[DSGN FISCAL YEAR]]+1)</f>
        <v/>
      </c>
      <c r="T20" s="1"/>
      <c r="U20" s="128">
        <f ca="1">Yards[[#This Row],[Estimate]]*0.1</f>
        <v>145762.23213190003</v>
      </c>
      <c r="V20" s="47">
        <f ca="1">Yards[[#This Row],[Estimate]]-Yards[[#This Row],[Design Est.]]</f>
        <v>1311860.0891871003</v>
      </c>
      <c r="W20" s="85">
        <f ca="1">(Yards[[#This Row],['# yards]]*INDEX(UnitCosts[],MATCH(Yards[[#This Row],[WORK TYPE]],UnitCosts[Work Type],0),2))*(1+((Yards[[#This Row],[est. CONS Year]]-YEAR(TODAY()))*$W$3))</f>
        <v>1457622.3213190003</v>
      </c>
      <c r="X20" s="142">
        <f ca="1">IF(ISNUMBER(SEARCH("LLC",Yards[[#This Row],[PROGRAM]])),0,IF(Yards[[#This Row],[RAD/PACT by 2025]]="yes",0,1))</f>
        <v>1</v>
      </c>
      <c r="Y20" s="1"/>
      <c r="Z20" s="1"/>
      <c r="AA20" s="51">
        <f ca="1">COUNTIF($X$5:Yards[[#This Row],['# yards]],"&gt;0")-10</f>
        <v>0</v>
      </c>
      <c r="AB20" s="1">
        <f ca="1">IF(ISBLANK(Yards[[#This Row],[DSGN CALENDAR YEAR]]),ROUNDDOWN(Yards[[#This Row],[Count]]/24,0)+$AB$1,Yards[[#This Row],[DSGN CALENDAR YEAR]])</f>
        <v>2021</v>
      </c>
      <c r="AC20" s="16">
        <f ca="1">Yards[[#This Row],[est. DSGN Year]]+1</f>
        <v>2022</v>
      </c>
    </row>
    <row r="21" spans="1:29" hidden="1">
      <c r="A21" s="13" t="s">
        <v>194</v>
      </c>
      <c r="B21" s="51" t="str">
        <f>VLOOKUP(Yards[[#This Row],[DEVELOPMENT]],Data[],2,FALSE)</f>
        <v>QUEENS</v>
      </c>
      <c r="C21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1" s="51" t="str">
        <f>VLOOKUP(Yards[[#This Row],[DEVELOPMENT]],Data[],52,FALSE)</f>
        <v>FEDERAL</v>
      </c>
      <c r="E21" s="50">
        <f>VLOOKUP(Yards[[#This Row],[DEVELOPMENT]],Data[],8,FALSE)</f>
        <v>0</v>
      </c>
      <c r="F21" s="51" t="str">
        <f>VLOOKUP(Yards[[#This Row],[DEVELOPMENT]],all[[DEVELOPMENT]:[MRST Ext. Comp. Priority]],6,FALSE)</f>
        <v>B</v>
      </c>
      <c r="G21" s="51">
        <f>VLOOKUP(Yards[[#This Row],[DEVELOPMENT]],all[[DEVELOPMENT]:[MRST Ext. Comp. Priority]],13,FALSE)</f>
        <v>1</v>
      </c>
      <c r="H21" s="50">
        <f>IF(VLOOKUP(Yards[[#This Row],[DEVELOPMENT]],Data[],9,FALSE)=0,5,VLOOKUP(Yards[[#This Row],[DEVELOPMENT]],Data[],9,FALSE))</f>
        <v>5</v>
      </c>
      <c r="I21" s="51">
        <f>VLOOKUP(Yards[[#This Row],[DEVELOPMENT]],Data[],33,FALSE)</f>
        <v>2</v>
      </c>
      <c r="J21" s="51">
        <f>VLOOKUP(Yards[[#This Row],[DEVELOPMENT]],Data[],28,FALSE)</f>
        <v>0</v>
      </c>
      <c r="K21" s="51"/>
      <c r="L21" s="50"/>
      <c r="M21" s="51" t="str">
        <f ca="1">IFERROR(VLOOKUP(Yards[[#This Row],[DEVELOPMENT]],Data[],4,FALSE),"")</f>
        <v>2020-2021</v>
      </c>
      <c r="N21" s="51" t="str">
        <f ca="1">IF(Yards[[#This Row],[RAD/PACT]]="","",IF(OR(Yards[[#This Row],[RAD/PACT]]="2022-2025",Yards[[#This Row],[RAD/PACT]]=2019,Yards[[#This Row],[RAD/PACT]]="2020-2021"),"Yes",""))</f>
        <v>Yes</v>
      </c>
      <c r="O21" s="51">
        <f ca="1">IFERROR(VLOOKUP(Yards[[#This Row],[DEVELOPMENT]],ExtComp[],8,FALSE),"")</f>
        <v>15</v>
      </c>
      <c r="P21" s="51"/>
      <c r="Q21" s="51"/>
      <c r="R21" s="51" t="str">
        <f>IF(ISBLANK(Yards[[#This Row],[DSGN CALENDAR YEAR]]),"",Yards[[#This Row],[DSGN CALENDAR YEAR]]+1)</f>
        <v/>
      </c>
      <c r="S21" s="51" t="str">
        <f>IF(ISBLANK(Yards[[#This Row],[DSGN FISCAL YEAR]]),"",Yards[[#This Row],[DSGN FISCAL YEAR]]+1)</f>
        <v/>
      </c>
      <c r="T21" s="51"/>
      <c r="U21" s="128">
        <f ca="1">Yards[[#This Row],[Estimate]]*0.1</f>
        <v>0</v>
      </c>
      <c r="V21" s="47">
        <f ca="1">Yards[[#This Row],[Estimate]]-Yards[[#This Row],[Design Est.]]</f>
        <v>0</v>
      </c>
      <c r="W21" s="85">
        <f ca="1">(Yards[[#This Row],['# yards]]*INDEX(UnitCosts[],MATCH(Yards[[#This Row],[WORK TYPE]],UnitCosts[Work Type],0),2))*(1+((Yards[[#This Row],[est. CONS Year]]-YEAR(TODAY()))*$W$3))</f>
        <v>0</v>
      </c>
      <c r="X21" s="142">
        <f ca="1">IF(ISNUMBER(SEARCH("LLC",Yards[[#This Row],[PROGRAM]])),0,IF(Yards[[#This Row],[RAD/PACT by 2025]]="yes",0,1))</f>
        <v>0</v>
      </c>
      <c r="Y21" s="1"/>
      <c r="Z21" s="1"/>
      <c r="AA21" s="51">
        <f ca="1">COUNTIF($X$5:Yards[[#This Row],['# yards]],"&gt;0")-10</f>
        <v>0</v>
      </c>
      <c r="AB21" s="1">
        <f ca="1">IF(ISBLANK(Yards[[#This Row],[DSGN CALENDAR YEAR]]),ROUNDDOWN(Yards[[#This Row],[Count]]/24,0)+$AB$1,Yards[[#This Row],[DSGN CALENDAR YEAR]])</f>
        <v>2021</v>
      </c>
      <c r="AC21" s="16">
        <f ca="1">Yards[[#This Row],[est. DSGN Year]]+1</f>
        <v>2022</v>
      </c>
    </row>
    <row r="22" spans="1:29">
      <c r="A22" s="13" t="s">
        <v>102</v>
      </c>
      <c r="B22" s="51" t="str">
        <f>VLOOKUP(Yards[[#This Row],[DEVELOPMENT]],Data[],2,FALSE)</f>
        <v>MANHATTAN</v>
      </c>
      <c r="C2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2" s="51" t="str">
        <f>VLOOKUP(Yards[[#This Row],[DEVELOPMENT]],Data[],52,FALSE)</f>
        <v>FEDERAL</v>
      </c>
      <c r="E22" s="50" t="str">
        <f>VLOOKUP(Yards[[#This Row],[DEVELOPMENT]],Data[],8,FALSE)</f>
        <v>Zone 2</v>
      </c>
      <c r="F22" s="51" t="str">
        <f>VLOOKUP(Yards[[#This Row],[DEVELOPMENT]],all[[DEVELOPMENT]:[MRST Ext. Comp. Priority]],6,FALSE)</f>
        <v>B</v>
      </c>
      <c r="G22" s="51">
        <f>VLOOKUP(Yards[[#This Row],[DEVELOPMENT]],all[[DEVELOPMENT]:[MRST Ext. Comp. Priority]],13,FALSE)</f>
        <v>1</v>
      </c>
      <c r="H22" s="50">
        <f>IF(VLOOKUP(Yards[[#This Row],[DEVELOPMENT]],Data[],9,FALSE)=0,5,VLOOKUP(Yards[[#This Row],[DEVELOPMENT]],Data[],9,FALSE))</f>
        <v>4</v>
      </c>
      <c r="I22" s="51">
        <f>VLOOKUP(Yards[[#This Row],[DEVELOPMENT]],Data[],33,FALSE)</f>
        <v>0</v>
      </c>
      <c r="J22" s="51">
        <f>VLOOKUP(Yards[[#This Row],[DEVELOPMENT]],Data[],28,FALSE)</f>
        <v>0</v>
      </c>
      <c r="K22" s="51"/>
      <c r="L22" s="50"/>
      <c r="M22" s="51" t="str">
        <f ca="1">IFERROR(VLOOKUP(Yards[[#This Row],[DEVELOPMENT]],Data[],4,FALSE),"")</f>
        <v>2026+</v>
      </c>
      <c r="N22" s="51" t="str">
        <f ca="1">IF(Yards[[#This Row],[RAD/PACT]]="","",IF(OR(Yards[[#This Row],[RAD/PACT]]="2022-2025",Yards[[#This Row],[RAD/PACT]]=2019,Yards[[#This Row],[RAD/PACT]]="2020-2021"),"Yes",""))</f>
        <v/>
      </c>
      <c r="O22" s="51" t="str">
        <f ca="1">IFERROR(VLOOKUP(Yards[[#This Row],[DEVELOPMENT]],ExtComp[],8,FALSE),"")</f>
        <v/>
      </c>
      <c r="P22" s="51"/>
      <c r="Q22" s="51"/>
      <c r="R22" s="51" t="str">
        <f>IF(ISBLANK(Yards[[#This Row],[DSGN CALENDAR YEAR]]),"",Yards[[#This Row],[DSGN CALENDAR YEAR]]+1)</f>
        <v/>
      </c>
      <c r="S22" s="51" t="str">
        <f>IF(ISBLANK(Yards[[#This Row],[DSGN FISCAL YEAR]]),"",Yards[[#This Row],[DSGN FISCAL YEAR]]+1)</f>
        <v/>
      </c>
      <c r="T22" s="51"/>
      <c r="U22" s="128">
        <f ca="1">Yards[[#This Row],[Estimate]]*0.1</f>
        <v>193407.39567800006</v>
      </c>
      <c r="V22" s="47">
        <f ca="1">Yards[[#This Row],[Estimate]]-Yards[[#This Row],[Design Est.]]</f>
        <v>1740666.5611020005</v>
      </c>
      <c r="W22" s="85">
        <f ca="1">(Yards[[#This Row],['# yards]]*INDEX(UnitCosts[],MATCH(Yards[[#This Row],[WORK TYPE]],UnitCosts[Work Type],0),2))*(1+((Yards[[#This Row],[est. CONS Year]]-YEAR(TODAY()))*$W$3))</f>
        <v>1934073.9567800006</v>
      </c>
      <c r="X22" s="142">
        <f ca="1">IF(ISNUMBER(SEARCH("LLC",Yards[[#This Row],[PROGRAM]])),0,IF(Yards[[#This Row],[RAD/PACT by 2025]]="yes",0,1))</f>
        <v>1</v>
      </c>
      <c r="Y22" s="1"/>
      <c r="Z22" s="1"/>
      <c r="AA22" s="51">
        <f ca="1">COUNTIF($X$5:Yards[[#This Row],['# yards]],"&gt;0")-10</f>
        <v>1</v>
      </c>
      <c r="AB22" s="1">
        <f ca="1">IF(ISBLANK(Yards[[#This Row],[DSGN CALENDAR YEAR]]),ROUNDDOWN(Yards[[#This Row],[Count]]/24,0)+$AB$1,Yards[[#This Row],[DSGN CALENDAR YEAR]])</f>
        <v>2021</v>
      </c>
      <c r="AC22" s="16">
        <f ca="1">Yards[[#This Row],[est. DSGN Year]]+1</f>
        <v>2022</v>
      </c>
    </row>
    <row r="23" spans="1:29">
      <c r="A23" s="13" t="s">
        <v>224</v>
      </c>
      <c r="B23" s="51" t="str">
        <f>VLOOKUP(Yards[[#This Row],[DEVELOPMENT]],Data[],2,FALSE)</f>
        <v>QUEENS</v>
      </c>
      <c r="C23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3" s="51" t="str">
        <f>VLOOKUP(Yards[[#This Row],[DEVELOPMENT]],Data[],52,FALSE)</f>
        <v>FEDERAL</v>
      </c>
      <c r="E23" s="50">
        <f>VLOOKUP(Yards[[#This Row],[DEVELOPMENT]],Data[],8,FALSE)</f>
        <v>0</v>
      </c>
      <c r="F23" s="51" t="str">
        <f>VLOOKUP(Yards[[#This Row],[DEVELOPMENT]],all[[DEVELOPMENT]:[MRST Ext. Comp. Priority]],6,FALSE)</f>
        <v>B</v>
      </c>
      <c r="G23" s="51">
        <f>VLOOKUP(Yards[[#This Row],[DEVELOPMENT]],all[[DEVELOPMENT]:[MRST Ext. Comp. Priority]],13,FALSE)</f>
        <v>1</v>
      </c>
      <c r="H23" s="50">
        <f>IF(VLOOKUP(Yards[[#This Row],[DEVELOPMENT]],Data[],9,FALSE)=0,5,VLOOKUP(Yards[[#This Row],[DEVELOPMENT]],Data[],9,FALSE))</f>
        <v>5</v>
      </c>
      <c r="I23" s="51">
        <f>VLOOKUP(Yards[[#This Row],[DEVELOPMENT]],Data[],33,FALSE)</f>
        <v>2</v>
      </c>
      <c r="J23" s="51">
        <f>VLOOKUP(Yards[[#This Row],[DEVELOPMENT]],Data[],28,FALSE)</f>
        <v>0</v>
      </c>
      <c r="K23" s="51"/>
      <c r="L23" s="50"/>
      <c r="M23" s="51" t="str">
        <f ca="1">IFERROR(VLOOKUP(Yards[[#This Row],[DEVELOPMENT]],Data[],4,FALSE),"")</f>
        <v>2026+</v>
      </c>
      <c r="N23" s="51" t="str">
        <f ca="1">IF(Yards[[#This Row],[RAD/PACT]]="","",IF(OR(Yards[[#This Row],[RAD/PACT]]="2022-2025",Yards[[#This Row],[RAD/PACT]]=2019,Yards[[#This Row],[RAD/PACT]]="2020-2021"),"Yes",""))</f>
        <v/>
      </c>
      <c r="O23" s="51">
        <f ca="1">IFERROR(VLOOKUP(Yards[[#This Row],[DEVELOPMENT]],ExtComp[],8,FALSE),"")</f>
        <v>2</v>
      </c>
      <c r="P23" s="51"/>
      <c r="Q23" s="51"/>
      <c r="R23" s="51" t="str">
        <f>IF(ISBLANK(Yards[[#This Row],[DSGN CALENDAR YEAR]]),"",Yards[[#This Row],[DSGN CALENDAR YEAR]]+1)</f>
        <v/>
      </c>
      <c r="S23" s="51" t="str">
        <f>IF(ISBLANK(Yards[[#This Row],[DSGN FISCAL YEAR]]),"",Yards[[#This Row],[DSGN FISCAL YEAR]]+1)</f>
        <v/>
      </c>
      <c r="T23" s="51"/>
      <c r="U23" s="128">
        <f ca="1">Yards[[#This Row],[Estimate]]*0.1</f>
        <v>216185.89406550006</v>
      </c>
      <c r="V23" s="47">
        <f ca="1">Yards[[#This Row],[Estimate]]-Yards[[#This Row],[Design Est.]]</f>
        <v>1945673.0465895005</v>
      </c>
      <c r="W23" s="85">
        <f ca="1">(Yards[[#This Row],['# yards]]*INDEX(UnitCosts[],MATCH(Yards[[#This Row],[WORK TYPE]],UnitCosts[Work Type],0),2))*(1+((Yards[[#This Row],[est. CONS Year]]-YEAR(TODAY()))*$W$3))</f>
        <v>2161858.9406550005</v>
      </c>
      <c r="X23" s="142">
        <f ca="1">IF(ISNUMBER(SEARCH("LLC",Yards[[#This Row],[PROGRAM]])),0,IF(Yards[[#This Row],[RAD/PACT by 2025]]="yes",0,1))</f>
        <v>1</v>
      </c>
      <c r="Y23" s="1"/>
      <c r="Z23" s="1"/>
      <c r="AA23" s="51">
        <f ca="1">COUNTIF($X$5:Yards[[#This Row],['# yards]],"&gt;0")-10</f>
        <v>2</v>
      </c>
      <c r="AB23" s="1">
        <f ca="1">IF(ISBLANK(Yards[[#This Row],[DSGN CALENDAR YEAR]]),ROUNDDOWN(Yards[[#This Row],[Count]]/24,0)+$AB$1,Yards[[#This Row],[DSGN CALENDAR YEAR]])</f>
        <v>2021</v>
      </c>
      <c r="AC23" s="16">
        <f ca="1">Yards[[#This Row],[est. DSGN Year]]+1</f>
        <v>2022</v>
      </c>
    </row>
    <row r="24" spans="1:29">
      <c r="A24" s="13" t="s">
        <v>187</v>
      </c>
      <c r="B24" s="51" t="str">
        <f>VLOOKUP(Yards[[#This Row],[DEVELOPMENT]],Data[],2,FALSE)</f>
        <v>BRONX</v>
      </c>
      <c r="C24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4" s="51" t="str">
        <f>VLOOKUP(Yards[[#This Row],[DEVELOPMENT]],Data[],52,FALSE)</f>
        <v>FEDERAL</v>
      </c>
      <c r="E24" s="50" t="str">
        <f>VLOOKUP(Yards[[#This Row],[DEVELOPMENT]],Data[],8,FALSE)</f>
        <v>Zone 3</v>
      </c>
      <c r="F24" s="51" t="str">
        <f>VLOOKUP(Yards[[#This Row],[DEVELOPMENT]],all[[DEVELOPMENT]:[MRST Ext. Comp. Priority]],6,FALSE)</f>
        <v>B</v>
      </c>
      <c r="G24" s="51">
        <f>VLOOKUP(Yards[[#This Row],[DEVELOPMENT]],all[[DEVELOPMENT]:[MRST Ext. Comp. Priority]],13,FALSE)</f>
        <v>1</v>
      </c>
      <c r="H24" s="50">
        <f>IF(VLOOKUP(Yards[[#This Row],[DEVELOPMENT]],Data[],9,FALSE)=0,5,VLOOKUP(Yards[[#This Row],[DEVELOPMENT]],Data[],9,FALSE))</f>
        <v>5</v>
      </c>
      <c r="I24" s="51">
        <f>VLOOKUP(Yards[[#This Row],[DEVELOPMENT]],Data[],33,FALSE)</f>
        <v>0</v>
      </c>
      <c r="J24" s="51">
        <f>VLOOKUP(Yards[[#This Row],[DEVELOPMENT]],Data[],28,FALSE)</f>
        <v>0</v>
      </c>
      <c r="K24" s="51"/>
      <c r="L24" s="50"/>
      <c r="M24" s="51" t="str">
        <f ca="1">IFERROR(VLOOKUP(Yards[[#This Row],[DEVELOPMENT]],Data[],4,FALSE),"")</f>
        <v/>
      </c>
      <c r="N24" s="51" t="str">
        <f ca="1">IF(Yards[[#This Row],[RAD/PACT]]="","",IF(OR(Yards[[#This Row],[RAD/PACT]]="2022-2025",Yards[[#This Row],[RAD/PACT]]=2019,Yards[[#This Row],[RAD/PACT]]="2020-2021"),"Yes",""))</f>
        <v/>
      </c>
      <c r="O24" s="51" t="str">
        <f ca="1">IFERROR(VLOOKUP(Yards[[#This Row],[DEVELOPMENT]],ExtComp[],8,FALSE),"")</f>
        <v/>
      </c>
      <c r="P24" s="51"/>
      <c r="Q24" s="51"/>
      <c r="R24" s="51" t="str">
        <f>IF(ISBLANK(Yards[[#This Row],[DSGN CALENDAR YEAR]]),"",Yards[[#This Row],[DSGN CALENDAR YEAR]]+1)</f>
        <v/>
      </c>
      <c r="S24" s="51" t="str">
        <f>IF(ISBLANK(Yards[[#This Row],[DSGN FISCAL YEAR]]),"",Yards[[#This Row],[DSGN FISCAL YEAR]]+1)</f>
        <v/>
      </c>
      <c r="T24" s="51"/>
      <c r="U24" s="128">
        <f ca="1">Yards[[#This Row],[Estimate]]*0.1</f>
        <v>193407.39567800006</v>
      </c>
      <c r="V24" s="47">
        <f ca="1">Yards[[#This Row],[Estimate]]-Yards[[#This Row],[Design Est.]]</f>
        <v>1740666.5611020005</v>
      </c>
      <c r="W24" s="85">
        <f ca="1">(Yards[[#This Row],['# yards]]*INDEX(UnitCosts[],MATCH(Yards[[#This Row],[WORK TYPE]],UnitCosts[Work Type],0),2))*(1+((Yards[[#This Row],[est. CONS Year]]-YEAR(TODAY()))*$W$3))</f>
        <v>1934073.9567800006</v>
      </c>
      <c r="X24" s="142">
        <f ca="1">IF(ISNUMBER(SEARCH("LLC",Yards[[#This Row],[PROGRAM]])),0,IF(Yards[[#This Row],[RAD/PACT by 2025]]="yes",0,1))</f>
        <v>1</v>
      </c>
      <c r="Y24" s="1"/>
      <c r="Z24" s="1"/>
      <c r="AA24" s="51">
        <f ca="1">COUNTIF($X$5:Yards[[#This Row],['# yards]],"&gt;0")-10</f>
        <v>3</v>
      </c>
      <c r="AB24" s="1">
        <f ca="1">IF(ISBLANK(Yards[[#This Row],[DSGN CALENDAR YEAR]]),ROUNDDOWN(Yards[[#This Row],[Count]]/24,0)+$AB$1,Yards[[#This Row],[DSGN CALENDAR YEAR]])</f>
        <v>2021</v>
      </c>
      <c r="AC24" s="16">
        <f ca="1">Yards[[#This Row],[est. DSGN Year]]+1</f>
        <v>2022</v>
      </c>
    </row>
    <row r="25" spans="1:29">
      <c r="A25" s="13" t="s">
        <v>202</v>
      </c>
      <c r="B25" s="51" t="str">
        <f>VLOOKUP(Yards[[#This Row],[DEVELOPMENT]],Data[],2,FALSE)</f>
        <v>BROOKLYN</v>
      </c>
      <c r="C2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25" s="51" t="str">
        <f>VLOOKUP(Yards[[#This Row],[DEVELOPMENT]],Data[],52,FALSE)</f>
        <v>FEDERAL</v>
      </c>
      <c r="E25" s="50">
        <f>VLOOKUP(Yards[[#This Row],[DEVELOPMENT]],Data[],8,FALSE)</f>
        <v>0</v>
      </c>
      <c r="F25" s="51" t="str">
        <f>VLOOKUP(Yards[[#This Row],[DEVELOPMENT]],all[[DEVELOPMENT]:[MRST Ext. Comp. Priority]],6,FALSE)</f>
        <v>B</v>
      </c>
      <c r="G25" s="51">
        <f>VLOOKUP(Yards[[#This Row],[DEVELOPMENT]],all[[DEVELOPMENT]:[MRST Ext. Comp. Priority]],13,FALSE)</f>
        <v>1</v>
      </c>
      <c r="H25" s="50">
        <f>IF(VLOOKUP(Yards[[#This Row],[DEVELOPMENT]],Data[],9,FALSE)=0,5,VLOOKUP(Yards[[#This Row],[DEVELOPMENT]],Data[],9,FALSE))</f>
        <v>5</v>
      </c>
      <c r="I25" s="51">
        <f>VLOOKUP(Yards[[#This Row],[DEVELOPMENT]],Data[],33,FALSE)</f>
        <v>3</v>
      </c>
      <c r="J25" s="51">
        <f>VLOOKUP(Yards[[#This Row],[DEVELOPMENT]],Data[],28,FALSE)</f>
        <v>0</v>
      </c>
      <c r="K25" s="51"/>
      <c r="L25" s="50"/>
      <c r="M25" s="51" t="str">
        <f ca="1">IFERROR(VLOOKUP(Yards[[#This Row],[DEVELOPMENT]],Data[],4,FALSE),"")</f>
        <v>2026+</v>
      </c>
      <c r="N25" s="51" t="str">
        <f ca="1">IF(Yards[[#This Row],[RAD/PACT]]="","",IF(OR(Yards[[#This Row],[RAD/PACT]]="2022-2025",Yards[[#This Row],[RAD/PACT]]=2019,Yards[[#This Row],[RAD/PACT]]="2020-2021"),"Yes",""))</f>
        <v/>
      </c>
      <c r="O25" s="51">
        <f ca="1">IFERROR(VLOOKUP(Yards[[#This Row],[DEVELOPMENT]],ExtComp[],8,FALSE),"")</f>
        <v>15</v>
      </c>
      <c r="P25" s="51"/>
      <c r="Q25" s="51"/>
      <c r="R25" s="51" t="str">
        <f>IF(ISBLANK(Yards[[#This Row],[DSGN CALENDAR YEAR]]),"",Yards[[#This Row],[DSGN CALENDAR YEAR]]+1)</f>
        <v/>
      </c>
      <c r="S25" s="51" t="str">
        <f>IF(ISBLANK(Yards[[#This Row],[DSGN FISCAL YEAR]]),"",Yards[[#This Row],[DSGN FISCAL YEAR]]+1)</f>
        <v/>
      </c>
      <c r="T25" s="51"/>
      <c r="U25" s="128">
        <f ca="1">Yards[[#This Row],[Estimate]]*0.1</f>
        <v>251397.72503230005</v>
      </c>
      <c r="V25" s="47">
        <f ca="1">Yards[[#This Row],[Estimate]]-Yards[[#This Row],[Design Est.]]</f>
        <v>2262579.5252907001</v>
      </c>
      <c r="W25" s="85">
        <f ca="1">(Yards[[#This Row],['# yards]]*INDEX(UnitCosts[],MATCH(Yards[[#This Row],[WORK TYPE]],UnitCosts[Work Type],0),2))*(1+((Yards[[#This Row],[est. CONS Year]]-YEAR(TODAY()))*$W$3))</f>
        <v>2513977.2503230004</v>
      </c>
      <c r="X25" s="142">
        <f ca="1">IF(ISNUMBER(SEARCH("LLC",Yards[[#This Row],[PROGRAM]])),0,IF(Yards[[#This Row],[RAD/PACT by 2025]]="yes",0,1))</f>
        <v>1</v>
      </c>
      <c r="Y25" s="1"/>
      <c r="Z25" s="1"/>
      <c r="AA25" s="51">
        <f ca="1">COUNTIF($X$5:Yards[[#This Row],['# yards]],"&gt;0")-10</f>
        <v>4</v>
      </c>
      <c r="AB25" s="1">
        <f ca="1">IF(ISBLANK(Yards[[#This Row],[DSGN CALENDAR YEAR]]),ROUNDDOWN(Yards[[#This Row],[Count]]/24,0)+$AB$1,Yards[[#This Row],[DSGN CALENDAR YEAR]])</f>
        <v>2021</v>
      </c>
      <c r="AC25" s="16">
        <f ca="1">Yards[[#This Row],[est. DSGN Year]]+1</f>
        <v>2022</v>
      </c>
    </row>
    <row r="26" spans="1:29">
      <c r="A26" s="13" t="s">
        <v>208</v>
      </c>
      <c r="B26" s="51" t="str">
        <f>VLOOKUP(Yards[[#This Row],[DEVELOPMENT]],Data[],2,FALSE)</f>
        <v>BROOKLYN</v>
      </c>
      <c r="C2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6" s="51" t="str">
        <f>VLOOKUP(Yards[[#This Row],[DEVELOPMENT]],Data[],52,FALSE)</f>
        <v>FEDERAL</v>
      </c>
      <c r="E26" s="50">
        <f>VLOOKUP(Yards[[#This Row],[DEVELOPMENT]],Data[],8,FALSE)</f>
        <v>0</v>
      </c>
      <c r="F26" s="51" t="str">
        <f>VLOOKUP(Yards[[#This Row],[DEVELOPMENT]],all[[DEVELOPMENT]:[MRST Ext. Comp. Priority]],6,FALSE)</f>
        <v>B</v>
      </c>
      <c r="G26" s="51">
        <f>VLOOKUP(Yards[[#This Row],[DEVELOPMENT]],all[[DEVELOPMENT]:[MRST Ext. Comp. Priority]],13,FALSE)</f>
        <v>1</v>
      </c>
      <c r="H26" s="50">
        <f>IF(VLOOKUP(Yards[[#This Row],[DEVELOPMENT]],Data[],9,FALSE)=0,5,VLOOKUP(Yards[[#This Row],[DEVELOPMENT]],Data[],9,FALSE))</f>
        <v>5</v>
      </c>
      <c r="I26" s="51">
        <f>VLOOKUP(Yards[[#This Row],[DEVELOPMENT]],Data[],33,FALSE)</f>
        <v>0</v>
      </c>
      <c r="J26" s="51">
        <f>VLOOKUP(Yards[[#This Row],[DEVELOPMENT]],Data[],28,FALSE)</f>
        <v>0</v>
      </c>
      <c r="K26" s="51"/>
      <c r="L26" s="50"/>
      <c r="M26" s="51" t="str">
        <f ca="1">IFERROR(VLOOKUP(Yards[[#This Row],[DEVELOPMENT]],Data[],4,FALSE),"")</f>
        <v>2026+</v>
      </c>
      <c r="N26" s="51" t="str">
        <f ca="1">IF(Yards[[#This Row],[RAD/PACT]]="","",IF(OR(Yards[[#This Row],[RAD/PACT]]="2022-2025",Yards[[#This Row],[RAD/PACT]]=2019,Yards[[#This Row],[RAD/PACT]]="2020-2021"),"Yes",""))</f>
        <v/>
      </c>
      <c r="O26" s="51" t="str">
        <f ca="1">IFERROR(VLOOKUP(Yards[[#This Row],[DEVELOPMENT]],ExtComp[],8,FALSE),"")</f>
        <v/>
      </c>
      <c r="P26" s="51"/>
      <c r="Q26" s="51"/>
      <c r="R26" s="51" t="str">
        <f>IF(ISBLANK(Yards[[#This Row],[DSGN CALENDAR YEAR]]),"",Yards[[#This Row],[DSGN CALENDAR YEAR]]+1)</f>
        <v/>
      </c>
      <c r="S26" s="51" t="str">
        <f>IF(ISBLANK(Yards[[#This Row],[DSGN FISCAL YEAR]]),"",Yards[[#This Row],[DSGN FISCAL YEAR]]+1)</f>
        <v/>
      </c>
      <c r="T26" s="51"/>
      <c r="U26" s="128">
        <f ca="1">Yards[[#This Row],[Estimate]]*0.1</f>
        <v>193407.39567800006</v>
      </c>
      <c r="V26" s="47">
        <f ca="1">Yards[[#This Row],[Estimate]]-Yards[[#This Row],[Design Est.]]</f>
        <v>1740666.5611020005</v>
      </c>
      <c r="W26" s="85">
        <f ca="1">(Yards[[#This Row],['# yards]]*INDEX(UnitCosts[],MATCH(Yards[[#This Row],[WORK TYPE]],UnitCosts[Work Type],0),2))*(1+((Yards[[#This Row],[est. CONS Year]]-YEAR(TODAY()))*$W$3))</f>
        <v>1934073.9567800006</v>
      </c>
      <c r="X26" s="142">
        <f ca="1">IF(ISNUMBER(SEARCH("LLC",Yards[[#This Row],[PROGRAM]])),0,IF(Yards[[#This Row],[RAD/PACT by 2025]]="yes",0,1))</f>
        <v>1</v>
      </c>
      <c r="Y26" s="1"/>
      <c r="Z26" s="1"/>
      <c r="AA26" s="51">
        <f ca="1">COUNTIF($X$5:Yards[[#This Row],['# yards]],"&gt;0")-10</f>
        <v>5</v>
      </c>
      <c r="AB26" s="1">
        <f ca="1">IF(ISBLANK(Yards[[#This Row],[DSGN CALENDAR YEAR]]),ROUNDDOWN(Yards[[#This Row],[Count]]/24,0)+$AB$1,Yards[[#This Row],[DSGN CALENDAR YEAR]])</f>
        <v>2021</v>
      </c>
      <c r="AC26" s="16">
        <f ca="1">Yards[[#This Row],[est. DSGN Year]]+1</f>
        <v>2022</v>
      </c>
    </row>
    <row r="27" spans="1:29">
      <c r="A27" s="13" t="s">
        <v>195</v>
      </c>
      <c r="B27" s="51" t="str">
        <f>VLOOKUP(Yards[[#This Row],[DEVELOPMENT]],Data[],2,FALSE)</f>
        <v>MANHATTAN</v>
      </c>
      <c r="C2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7" s="51" t="str">
        <f>VLOOKUP(Yards[[#This Row],[DEVELOPMENT]],Data[],52,FALSE)</f>
        <v>FEDERAL</v>
      </c>
      <c r="E27" s="50">
        <f>VLOOKUP(Yards[[#This Row],[DEVELOPMENT]],Data[],8,FALSE)</f>
        <v>0</v>
      </c>
      <c r="F27" s="51" t="str">
        <f>VLOOKUP(Yards[[#This Row],[DEVELOPMENT]],all[[DEVELOPMENT]:[MRST Ext. Comp. Priority]],6,FALSE)</f>
        <v>B</v>
      </c>
      <c r="G27" s="51">
        <f>VLOOKUP(Yards[[#This Row],[DEVELOPMENT]],all[[DEVELOPMENT]:[MRST Ext. Comp. Priority]],13,FALSE)</f>
        <v>1</v>
      </c>
      <c r="H27" s="50">
        <f>IF(VLOOKUP(Yards[[#This Row],[DEVELOPMENT]],Data[],9,FALSE)=0,5,VLOOKUP(Yards[[#This Row],[DEVELOPMENT]],Data[],9,FALSE))</f>
        <v>5</v>
      </c>
      <c r="I27" s="51">
        <f>VLOOKUP(Yards[[#This Row],[DEVELOPMENT]],Data[],33,FALSE)</f>
        <v>0</v>
      </c>
      <c r="J27" s="51">
        <f>VLOOKUP(Yards[[#This Row],[DEVELOPMENT]],Data[],28,FALSE)</f>
        <v>0</v>
      </c>
      <c r="K27" s="51"/>
      <c r="L27" s="50"/>
      <c r="M27" s="51" t="str">
        <f ca="1">IFERROR(VLOOKUP(Yards[[#This Row],[DEVELOPMENT]],Data[],4,FALSE),"")</f>
        <v/>
      </c>
      <c r="N27" s="51" t="str">
        <f ca="1">IF(Yards[[#This Row],[RAD/PACT]]="","",IF(OR(Yards[[#This Row],[RAD/PACT]]="2022-2025",Yards[[#This Row],[RAD/PACT]]=2019,Yards[[#This Row],[RAD/PACT]]="2020-2021"),"Yes",""))</f>
        <v/>
      </c>
      <c r="O27" s="51" t="str">
        <f ca="1">IFERROR(VLOOKUP(Yards[[#This Row],[DEVELOPMENT]],ExtComp[],8,FALSE),"")</f>
        <v/>
      </c>
      <c r="P27" s="51"/>
      <c r="Q27" s="51"/>
      <c r="R27" s="51" t="str">
        <f>IF(ISBLANK(Yards[[#This Row],[DSGN CALENDAR YEAR]]),"",Yards[[#This Row],[DSGN CALENDAR YEAR]]+1)</f>
        <v/>
      </c>
      <c r="S27" s="51" t="str">
        <f>IF(ISBLANK(Yards[[#This Row],[DSGN FISCAL YEAR]]),"",Yards[[#This Row],[DSGN FISCAL YEAR]]+1)</f>
        <v/>
      </c>
      <c r="T27" s="51"/>
      <c r="U27" s="128">
        <f ca="1">Yards[[#This Row],[Estimate]]*0.1</f>
        <v>193407.39567800006</v>
      </c>
      <c r="V27" s="47">
        <f ca="1">Yards[[#This Row],[Estimate]]-Yards[[#This Row],[Design Est.]]</f>
        <v>1740666.5611020005</v>
      </c>
      <c r="W27" s="85">
        <f ca="1">(Yards[[#This Row],['# yards]]*INDEX(UnitCosts[],MATCH(Yards[[#This Row],[WORK TYPE]],UnitCosts[Work Type],0),2))*(1+((Yards[[#This Row],[est. CONS Year]]-YEAR(TODAY()))*$W$3))</f>
        <v>1934073.9567800006</v>
      </c>
      <c r="X27" s="142">
        <f ca="1">IF(ISNUMBER(SEARCH("LLC",Yards[[#This Row],[PROGRAM]])),0,IF(Yards[[#This Row],[RAD/PACT by 2025]]="yes",0,1))</f>
        <v>1</v>
      </c>
      <c r="Y27" s="1"/>
      <c r="Z27" s="1"/>
      <c r="AA27" s="51">
        <f ca="1">COUNTIF($X$5:Yards[[#This Row],['# yards]],"&gt;0")-10</f>
        <v>6</v>
      </c>
      <c r="AB27" s="1">
        <f ca="1">IF(ISBLANK(Yards[[#This Row],[DSGN CALENDAR YEAR]]),ROUNDDOWN(Yards[[#This Row],[Count]]/24,0)+$AB$1,Yards[[#This Row],[DSGN CALENDAR YEAR]])</f>
        <v>2021</v>
      </c>
      <c r="AC27" s="16">
        <f ca="1">Yards[[#This Row],[est. DSGN Year]]+1</f>
        <v>2022</v>
      </c>
    </row>
    <row r="28" spans="1:29" hidden="1">
      <c r="A28" s="13" t="s">
        <v>132</v>
      </c>
      <c r="B28" s="51" t="str">
        <f>VLOOKUP(Yards[[#This Row],[DEVELOPMENT]],Data[],2,FALSE)</f>
        <v>BRONX</v>
      </c>
      <c r="C28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28" s="51" t="str">
        <f>VLOOKUP(Yards[[#This Row],[DEVELOPMENT]],Data[],52,FALSE)</f>
        <v>FEDERAL</v>
      </c>
      <c r="E28" s="50" t="str">
        <f>VLOOKUP(Yards[[#This Row],[DEVELOPMENT]],Data[],8,FALSE)</f>
        <v>Zone 3</v>
      </c>
      <c r="F28" s="51" t="str">
        <f>VLOOKUP(Yards[[#This Row],[DEVELOPMENT]],all[[DEVELOPMENT]:[MRST Ext. Comp. Priority]],6,FALSE)</f>
        <v>B</v>
      </c>
      <c r="G28" s="51">
        <f>VLOOKUP(Yards[[#This Row],[DEVELOPMENT]],all[[DEVELOPMENT]:[MRST Ext. Comp. Priority]],13,FALSE)</f>
        <v>2</v>
      </c>
      <c r="H28" s="50">
        <f>IF(VLOOKUP(Yards[[#This Row],[DEVELOPMENT]],Data[],9,FALSE)=0,5,VLOOKUP(Yards[[#This Row],[DEVELOPMENT]],Data[],9,FALSE))</f>
        <v>3</v>
      </c>
      <c r="I28" s="51">
        <f>VLOOKUP(Yards[[#This Row],[DEVELOPMENT]],Data[],33,FALSE)</f>
        <v>4</v>
      </c>
      <c r="J28" s="51">
        <f>VLOOKUP(Yards[[#This Row],[DEVELOPMENT]],Data[],28,FALSE)</f>
        <v>0</v>
      </c>
      <c r="K28" s="51"/>
      <c r="L28" s="50"/>
      <c r="M28" s="51" t="str">
        <f ca="1">IFERROR(VLOOKUP(Yards[[#This Row],[DEVELOPMENT]],Data[],4,FALSE),"")</f>
        <v>2022-2025</v>
      </c>
      <c r="N28" s="51" t="str">
        <f ca="1">IF(Yards[[#This Row],[RAD/PACT]]="","",IF(OR(Yards[[#This Row],[RAD/PACT]]="2022-2025",Yards[[#This Row],[RAD/PACT]]=2019,Yards[[#This Row],[RAD/PACT]]="2020-2021"),"Yes",""))</f>
        <v>Yes</v>
      </c>
      <c r="O28" s="51">
        <f ca="1">IFERROR(VLOOKUP(Yards[[#This Row],[DEVELOPMENT]],ExtComp[],8,FALSE),"")</f>
        <v>7</v>
      </c>
      <c r="P28" s="51"/>
      <c r="Q28" s="51"/>
      <c r="R28" s="51" t="str">
        <f>IF(ISBLANK(Yards[[#This Row],[DSGN CALENDAR YEAR]]),"",Yards[[#This Row],[DSGN CALENDAR YEAR]]+1)</f>
        <v/>
      </c>
      <c r="S28" s="51" t="str">
        <f>IF(ISBLANK(Yards[[#This Row],[DSGN FISCAL YEAR]]),"",Yards[[#This Row],[DSGN FISCAL YEAR]]+1)</f>
        <v/>
      </c>
      <c r="T28" s="51"/>
      <c r="U28" s="128">
        <f ca="1">Yards[[#This Row],[Estimate]]*0.1</f>
        <v>0</v>
      </c>
      <c r="V28" s="47">
        <f ca="1">Yards[[#This Row],[Estimate]]-Yards[[#This Row],[Design Est.]]</f>
        <v>0</v>
      </c>
      <c r="W28" s="85">
        <f ca="1">(Yards[[#This Row],['# yards]]*INDEX(UnitCosts[],MATCH(Yards[[#This Row],[WORK TYPE]],UnitCosts[Work Type],0),2))*(1+((Yards[[#This Row],[est. CONS Year]]-YEAR(TODAY()))*$W$3))</f>
        <v>0</v>
      </c>
      <c r="X28" s="142">
        <f ca="1">IF(ISNUMBER(SEARCH("LLC",Yards[[#This Row],[PROGRAM]])),0,IF(Yards[[#This Row],[RAD/PACT by 2025]]="yes",0,1))</f>
        <v>0</v>
      </c>
      <c r="Y28" s="1"/>
      <c r="Z28" s="1"/>
      <c r="AA28" s="51">
        <f ca="1">COUNTIF($X$5:Yards[[#This Row],['# yards]],"&gt;0")-10</f>
        <v>6</v>
      </c>
      <c r="AB28" s="1">
        <f ca="1">IF(ISBLANK(Yards[[#This Row],[DSGN CALENDAR YEAR]]),ROUNDDOWN(Yards[[#This Row],[Count]]/24,0)+$AB$1,Yards[[#This Row],[DSGN CALENDAR YEAR]])</f>
        <v>2021</v>
      </c>
      <c r="AC28" s="16">
        <f ca="1">Yards[[#This Row],[est. DSGN Year]]+1</f>
        <v>2022</v>
      </c>
    </row>
    <row r="29" spans="1:29">
      <c r="A29" s="13" t="s">
        <v>119</v>
      </c>
      <c r="B29" s="51" t="str">
        <f>VLOOKUP(Yards[[#This Row],[DEVELOPMENT]],Data[],2,FALSE)</f>
        <v>BROOKLYN</v>
      </c>
      <c r="C29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9" s="51" t="str">
        <f>VLOOKUP(Yards[[#This Row],[DEVELOPMENT]],Data[],52,FALSE)</f>
        <v>FEDERAL</v>
      </c>
      <c r="E29" s="50" t="str">
        <f>VLOOKUP(Yards[[#This Row],[DEVELOPMENT]],Data[],8,FALSE)</f>
        <v>Zone 3</v>
      </c>
      <c r="F29" s="51" t="str">
        <f>VLOOKUP(Yards[[#This Row],[DEVELOPMENT]],all[[DEVELOPMENT]:[MRST Ext. Comp. Priority]],6,FALSE)</f>
        <v>B</v>
      </c>
      <c r="G29" s="51">
        <f>VLOOKUP(Yards[[#This Row],[DEVELOPMENT]],all[[DEVELOPMENT]:[MRST Ext. Comp. Priority]],13,FALSE)</f>
        <v>2</v>
      </c>
      <c r="H29" s="50">
        <f>IF(VLOOKUP(Yards[[#This Row],[DEVELOPMENT]],Data[],9,FALSE)=0,5,VLOOKUP(Yards[[#This Row],[DEVELOPMENT]],Data[],9,FALSE))</f>
        <v>1</v>
      </c>
      <c r="I29" s="51">
        <f>VLOOKUP(Yards[[#This Row],[DEVELOPMENT]],Data[],33,FALSE)</f>
        <v>2</v>
      </c>
      <c r="J29" s="51">
        <f>VLOOKUP(Yards[[#This Row],[DEVELOPMENT]],Data[],28,FALSE)</f>
        <v>0</v>
      </c>
      <c r="K29" s="51"/>
      <c r="L29" s="50"/>
      <c r="M29" s="51" t="str">
        <f ca="1">IFERROR(VLOOKUP(Yards[[#This Row],[DEVELOPMENT]],Data[],4,FALSE),"")</f>
        <v>2026+</v>
      </c>
      <c r="N29" s="51" t="str">
        <f ca="1">IF(Yards[[#This Row],[RAD/PACT]]="","",IF(OR(Yards[[#This Row],[RAD/PACT]]="2022-2025",Yards[[#This Row],[RAD/PACT]]=2019,Yards[[#This Row],[RAD/PACT]]="2020-2021"),"Yes",""))</f>
        <v/>
      </c>
      <c r="O29" s="51">
        <f ca="1">IFERROR(VLOOKUP(Yards[[#This Row],[DEVELOPMENT]],ExtComp[],8,FALSE),"")</f>
        <v>15</v>
      </c>
      <c r="P29" s="51"/>
      <c r="Q29" s="51"/>
      <c r="R29" s="51" t="str">
        <f>IF(ISBLANK(Yards[[#This Row],[DSGN CALENDAR YEAR]]),"",Yards[[#This Row],[DSGN CALENDAR YEAR]]+1)</f>
        <v/>
      </c>
      <c r="S29" s="51" t="str">
        <f>IF(ISBLANK(Yards[[#This Row],[DSGN FISCAL YEAR]]),"",Yards[[#This Row],[DSGN FISCAL YEAR]]+1)</f>
        <v/>
      </c>
      <c r="T29" s="51"/>
      <c r="U29" s="128">
        <f ca="1">Yards[[#This Row],[Estimate]]*0.1</f>
        <v>216185.89406550006</v>
      </c>
      <c r="V29" s="47">
        <f ca="1">Yards[[#This Row],[Estimate]]-Yards[[#This Row],[Design Est.]]</f>
        <v>1945673.0465895005</v>
      </c>
      <c r="W29" s="85">
        <f ca="1">(Yards[[#This Row],['# yards]]*INDEX(UnitCosts[],MATCH(Yards[[#This Row],[WORK TYPE]],UnitCosts[Work Type],0),2))*(1+((Yards[[#This Row],[est. CONS Year]]-YEAR(TODAY()))*$W$3))</f>
        <v>2161858.9406550005</v>
      </c>
      <c r="X29" s="142">
        <f ca="1">IF(ISNUMBER(SEARCH("LLC",Yards[[#This Row],[PROGRAM]])),0,IF(Yards[[#This Row],[RAD/PACT by 2025]]="yes",0,1))</f>
        <v>1</v>
      </c>
      <c r="Y29" s="1"/>
      <c r="Z29" s="1"/>
      <c r="AA29" s="51">
        <f ca="1">COUNTIF($X$5:Yards[[#This Row],['# yards]],"&gt;0")-10</f>
        <v>7</v>
      </c>
      <c r="AB29" s="1">
        <f ca="1">IF(ISBLANK(Yards[[#This Row],[DSGN CALENDAR YEAR]]),ROUNDDOWN(Yards[[#This Row],[Count]]/24,0)+$AB$1,Yards[[#This Row],[DSGN CALENDAR YEAR]])</f>
        <v>2021</v>
      </c>
      <c r="AC29" s="16">
        <f ca="1">Yards[[#This Row],[est. DSGN Year]]+1</f>
        <v>2022</v>
      </c>
    </row>
    <row r="30" spans="1:29" hidden="1">
      <c r="A30" s="13" t="s">
        <v>108</v>
      </c>
      <c r="B30" s="51" t="str">
        <f>VLOOKUP(Yards[[#This Row],[DEVELOPMENT]],Data[],2,FALSE)</f>
        <v>MANHATTAN</v>
      </c>
      <c r="C3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0" s="51" t="str">
        <f>VLOOKUP(Yards[[#This Row],[DEVELOPMENT]],Data[],52,FALSE)</f>
        <v>FEDERAL</v>
      </c>
      <c r="E30" s="50" t="str">
        <f>VLOOKUP(Yards[[#This Row],[DEVELOPMENT]],Data[],8,FALSE)</f>
        <v>Zone 1</v>
      </c>
      <c r="F30" s="51" t="str">
        <f>VLOOKUP(Yards[[#This Row],[DEVELOPMENT]],all[[DEVELOPMENT]:[MRST Ext. Comp. Priority]],6,FALSE)</f>
        <v>B</v>
      </c>
      <c r="G30" s="51">
        <f>VLOOKUP(Yards[[#This Row],[DEVELOPMENT]],all[[DEVELOPMENT]:[MRST Ext. Comp. Priority]],13,FALSE)</f>
        <v>2</v>
      </c>
      <c r="H30" s="50">
        <f>IF(VLOOKUP(Yards[[#This Row],[DEVELOPMENT]],Data[],9,FALSE)=0,5,VLOOKUP(Yards[[#This Row],[DEVELOPMENT]],Data[],9,FALSE))</f>
        <v>4</v>
      </c>
      <c r="I30" s="51">
        <f>VLOOKUP(Yards[[#This Row],[DEVELOPMENT]],Data[],33,FALSE)</f>
        <v>0</v>
      </c>
      <c r="J30" s="51">
        <f>VLOOKUP(Yards[[#This Row],[DEVELOPMENT]],Data[],28,FALSE)</f>
        <v>0</v>
      </c>
      <c r="K30" s="51"/>
      <c r="L30" s="50"/>
      <c r="M30" s="51" t="str">
        <f ca="1">IFERROR(VLOOKUP(Yards[[#This Row],[DEVELOPMENT]],Data[],4,FALSE),"")</f>
        <v/>
      </c>
      <c r="N30" s="51" t="str">
        <f ca="1">IF(Yards[[#This Row],[RAD/PACT]]="","",IF(OR(Yards[[#This Row],[RAD/PACT]]="2022-2025",Yards[[#This Row],[RAD/PACT]]=2019,Yards[[#This Row],[RAD/PACT]]="2020-2021"),"Yes",""))</f>
        <v/>
      </c>
      <c r="O30" s="51" t="str">
        <f ca="1">IFERROR(VLOOKUP(Yards[[#This Row],[DEVELOPMENT]],ExtComp[],8,FALSE),"")</f>
        <v/>
      </c>
      <c r="P30" s="51"/>
      <c r="Q30" s="51"/>
      <c r="R30" s="51" t="str">
        <f>IF(ISBLANK(Yards[[#This Row],[DSGN CALENDAR YEAR]]),"",Yards[[#This Row],[DSGN CALENDAR YEAR]]+1)</f>
        <v/>
      </c>
      <c r="S30" s="51" t="str">
        <f>IF(ISBLANK(Yards[[#This Row],[DSGN FISCAL YEAR]]),"",Yards[[#This Row],[DSGN FISCAL YEAR]]+1)</f>
        <v/>
      </c>
      <c r="T30" s="51"/>
      <c r="U30" s="128">
        <f>Yards[[#This Row],[Estimate]]*0.1</f>
        <v>0</v>
      </c>
      <c r="V30" s="47">
        <f>Yards[[#This Row],[Estimate]]-Yards[[#This Row],[Design Est.]]</f>
        <v>0</v>
      </c>
      <c r="W30" s="85">
        <v>0</v>
      </c>
      <c r="X30" s="142">
        <f ca="1">IF(ISNUMBER(SEARCH("LLC",Yards[[#This Row],[PROGRAM]])),0,IF(Yards[[#This Row],[RAD/PACT by 2025]]="yes",0,1))</f>
        <v>1</v>
      </c>
      <c r="Y30" s="1"/>
      <c r="Z30" s="1"/>
      <c r="AA30" s="51">
        <f ca="1">COUNTIF($X$5:Yards[[#This Row],['# yards]],"&gt;0")-10</f>
        <v>8</v>
      </c>
      <c r="AB30" s="1">
        <f ca="1">IF(ISBLANK(Yards[[#This Row],[DSGN CALENDAR YEAR]]),ROUNDDOWN(Yards[[#This Row],[Count]]/24,0)+$AB$1,Yards[[#This Row],[DSGN CALENDAR YEAR]])</f>
        <v>2021</v>
      </c>
      <c r="AC30" s="16">
        <f ca="1">Yards[[#This Row],[est. DSGN Year]]+1</f>
        <v>2022</v>
      </c>
    </row>
    <row r="31" spans="1:29" hidden="1">
      <c r="A31" s="13" t="s">
        <v>193</v>
      </c>
      <c r="B31" s="51" t="str">
        <f>VLOOKUP(Yards[[#This Row],[DEVELOPMENT]],Data[],2,FALSE)</f>
        <v>BROOKLYN</v>
      </c>
      <c r="C31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31" s="51" t="str">
        <f>VLOOKUP(Yards[[#This Row],[DEVELOPMENT]],Data[],52,FALSE)</f>
        <v>MIXED FINANCE/LLC1</v>
      </c>
      <c r="E31" s="50">
        <f>VLOOKUP(Yards[[#This Row],[DEVELOPMENT]],Data[],8,FALSE)</f>
        <v>0</v>
      </c>
      <c r="F31" s="51" t="str">
        <f>VLOOKUP(Yards[[#This Row],[DEVELOPMENT]],all[[DEVELOPMENT]:[MRST Ext. Comp. Priority]],6,FALSE)</f>
        <v>B</v>
      </c>
      <c r="G31" s="51">
        <f>VLOOKUP(Yards[[#This Row],[DEVELOPMENT]],all[[DEVELOPMENT]:[MRST Ext. Comp. Priority]],13,FALSE)</f>
        <v>3</v>
      </c>
      <c r="H31" s="50">
        <f>IF(VLOOKUP(Yards[[#This Row],[DEVELOPMENT]],Data[],9,FALSE)=0,5,VLOOKUP(Yards[[#This Row],[DEVELOPMENT]],Data[],9,FALSE))</f>
        <v>5</v>
      </c>
      <c r="I31" s="51">
        <f>VLOOKUP(Yards[[#This Row],[DEVELOPMENT]],Data[],33,FALSE)</f>
        <v>4</v>
      </c>
      <c r="J31" s="51">
        <f>VLOOKUP(Yards[[#This Row],[DEVELOPMENT]],Data[],28,FALSE)</f>
        <v>0</v>
      </c>
      <c r="K31" s="51"/>
      <c r="L31" s="50"/>
      <c r="M31" s="51" t="str">
        <f ca="1">IFERROR(VLOOKUP(Yards[[#This Row],[DEVELOPMENT]],Data[],4,FALSE),"")</f>
        <v>2026+</v>
      </c>
      <c r="N31" s="51" t="str">
        <f ca="1">IF(Yards[[#This Row],[RAD/PACT]]="","",IF(OR(Yards[[#This Row],[RAD/PACT]]="2022-2025",Yards[[#This Row],[RAD/PACT]]=2019,Yards[[#This Row],[RAD/PACT]]="2020-2021"),"Yes",""))</f>
        <v/>
      </c>
      <c r="O31" s="51">
        <f ca="1">IFERROR(VLOOKUP(Yards[[#This Row],[DEVELOPMENT]],ExtComp[],8,FALSE),"")</f>
        <v>13</v>
      </c>
      <c r="P31" s="51">
        <v>2020</v>
      </c>
      <c r="Q31" s="51"/>
      <c r="R31" s="51">
        <f>IF(ISBLANK(Yards[[#This Row],[DSGN CALENDAR YEAR]]),"",Yards[[#This Row],[DSGN CALENDAR YEAR]]+1)</f>
        <v>2021</v>
      </c>
      <c r="S31" s="51" t="str">
        <f>IF(ISBLANK(Yards[[#This Row],[DSGN FISCAL YEAR]]),"",Yards[[#This Row],[DSGN FISCAL YEAR]]+1)</f>
        <v/>
      </c>
      <c r="T31" s="51"/>
      <c r="U31" s="128">
        <f ca="1">Yards[[#This Row],[Estimate]]*0.1</f>
        <v>0</v>
      </c>
      <c r="V31" s="47">
        <f ca="1">Yards[[#This Row],[Estimate]]-Yards[[#This Row],[Design Est.]]</f>
        <v>0</v>
      </c>
      <c r="W31" s="85">
        <f ca="1">(Yards[[#This Row],['# yards]]*INDEX(UnitCosts[],MATCH(Yards[[#This Row],[WORK TYPE]],UnitCosts[Work Type],0),2))*(1+((Yards[[#This Row],[est. CONS Year]]-YEAR(TODAY()))*$W$3))</f>
        <v>0</v>
      </c>
      <c r="X31" s="142">
        <f>IF(ISNUMBER(SEARCH("LLC",Yards[[#This Row],[PROGRAM]])),0,IF(Yards[[#This Row],[RAD/PACT by 2025]]="yes",0,1))</f>
        <v>0</v>
      </c>
      <c r="Y31" s="1"/>
      <c r="Z31" s="1"/>
      <c r="AA31" s="51">
        <f ca="1">COUNTIF($X$5:Yards[[#This Row],['# yards]],"&gt;0")-10</f>
        <v>8</v>
      </c>
      <c r="AB31" s="1">
        <f>IF(ISBLANK(Yards[[#This Row],[DSGN CALENDAR YEAR]]),ROUNDDOWN(Yards[[#This Row],[Count]]/24,0)+$AB$1,Yards[[#This Row],[DSGN CALENDAR YEAR]])</f>
        <v>2020</v>
      </c>
      <c r="AC31" s="16">
        <f>Yards[[#This Row],[est. DSGN Year]]+1</f>
        <v>2021</v>
      </c>
    </row>
    <row r="32" spans="1:29" hidden="1">
      <c r="A32" s="13" t="s">
        <v>210</v>
      </c>
      <c r="B32" s="51" t="str">
        <f>VLOOKUP(Yards[[#This Row],[DEVELOPMENT]],Data[],2,FALSE)</f>
        <v>BRONX</v>
      </c>
      <c r="C32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32" s="51" t="str">
        <f>VLOOKUP(Yards[[#This Row],[DEVELOPMENT]],Data[],52,FALSE)</f>
        <v>FEDERAL</v>
      </c>
      <c r="E32" s="50">
        <f>VLOOKUP(Yards[[#This Row],[DEVELOPMENT]],Data[],8,FALSE)</f>
        <v>0</v>
      </c>
      <c r="F32" s="51" t="str">
        <f>VLOOKUP(Yards[[#This Row],[DEVELOPMENT]],all[[DEVELOPMENT]:[MRST Ext. Comp. Priority]],6,FALSE)</f>
        <v>B</v>
      </c>
      <c r="G32" s="51">
        <f>VLOOKUP(Yards[[#This Row],[DEVELOPMENT]],all[[DEVELOPMENT]:[MRST Ext. Comp. Priority]],13,FALSE)</f>
        <v>2</v>
      </c>
      <c r="H32" s="50">
        <f>IF(VLOOKUP(Yards[[#This Row],[DEVELOPMENT]],Data[],9,FALSE)=0,5,VLOOKUP(Yards[[#This Row],[DEVELOPMENT]],Data[],9,FALSE))</f>
        <v>5</v>
      </c>
      <c r="I32" s="51">
        <f>VLOOKUP(Yards[[#This Row],[DEVELOPMENT]],Data[],33,FALSE)</f>
        <v>3</v>
      </c>
      <c r="J32" s="51">
        <f>VLOOKUP(Yards[[#This Row],[DEVELOPMENT]],Data[],28,FALSE)</f>
        <v>0</v>
      </c>
      <c r="K32" s="51"/>
      <c r="L32" s="50"/>
      <c r="M32" s="51" t="str">
        <f ca="1">IFERROR(VLOOKUP(Yards[[#This Row],[DEVELOPMENT]],Data[],4,FALSE),"")</f>
        <v>2022-2025</v>
      </c>
      <c r="N32" s="51" t="str">
        <f ca="1">IF(Yards[[#This Row],[RAD/PACT]]="","",IF(OR(Yards[[#This Row],[RAD/PACT]]="2022-2025",Yards[[#This Row],[RAD/PACT]]=2019,Yards[[#This Row],[RAD/PACT]]="2020-2021"),"Yes",""))</f>
        <v>Yes</v>
      </c>
      <c r="O32" s="51">
        <f ca="1">IFERROR(VLOOKUP(Yards[[#This Row],[DEVELOPMENT]],ExtComp[],8,FALSE),"")</f>
        <v>19</v>
      </c>
      <c r="P32" s="51"/>
      <c r="Q32" s="51"/>
      <c r="R32" s="51" t="str">
        <f>IF(ISBLANK(Yards[[#This Row],[DSGN CALENDAR YEAR]]),"",Yards[[#This Row],[DSGN CALENDAR YEAR]]+1)</f>
        <v/>
      </c>
      <c r="S32" s="51" t="str">
        <f>IF(ISBLANK(Yards[[#This Row],[DSGN FISCAL YEAR]]),"",Yards[[#This Row],[DSGN FISCAL YEAR]]+1)</f>
        <v/>
      </c>
      <c r="T32" s="51"/>
      <c r="U32" s="128">
        <f ca="1">Yards[[#This Row],[Estimate]]*0.1</f>
        <v>0</v>
      </c>
      <c r="V32" s="47">
        <f ca="1">Yards[[#This Row],[Estimate]]-Yards[[#This Row],[Design Est.]]</f>
        <v>0</v>
      </c>
      <c r="W32" s="85">
        <f ca="1">(Yards[[#This Row],['# yards]]*INDEX(UnitCosts[],MATCH(Yards[[#This Row],[WORK TYPE]],UnitCosts[Work Type],0),2))*(1+((Yards[[#This Row],[est. CONS Year]]-YEAR(TODAY()))*$W$3))</f>
        <v>0</v>
      </c>
      <c r="X32" s="142">
        <f ca="1">IF(ISNUMBER(SEARCH("LLC",Yards[[#This Row],[PROGRAM]])),0,IF(Yards[[#This Row],[RAD/PACT by 2025]]="yes",0,1))</f>
        <v>0</v>
      </c>
      <c r="Y32" s="1"/>
      <c r="Z32" s="1"/>
      <c r="AA32" s="51">
        <f ca="1">COUNTIF($X$5:Yards[[#This Row],['# yards]],"&gt;0")-10</f>
        <v>8</v>
      </c>
      <c r="AB32" s="1">
        <f ca="1">IF(ISBLANK(Yards[[#This Row],[DSGN CALENDAR YEAR]]),ROUNDDOWN(Yards[[#This Row],[Count]]/24,0)+$AB$1,Yards[[#This Row],[DSGN CALENDAR YEAR]])</f>
        <v>2021</v>
      </c>
      <c r="AC32" s="16">
        <f ca="1">Yards[[#This Row],[est. DSGN Year]]+1</f>
        <v>2022</v>
      </c>
    </row>
    <row r="33" spans="1:29">
      <c r="A33" s="13" t="s">
        <v>114</v>
      </c>
      <c r="B33" s="51" t="str">
        <f>VLOOKUP(Yards[[#This Row],[DEVELOPMENT]],Data[],2,FALSE)</f>
        <v>BRONX</v>
      </c>
      <c r="C3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33" s="51" t="str">
        <f>VLOOKUP(Yards[[#This Row],[DEVELOPMENT]],Data[],52,FALSE)</f>
        <v>FEDERAL</v>
      </c>
      <c r="E33" s="50" t="str">
        <f>VLOOKUP(Yards[[#This Row],[DEVELOPMENT]],Data[],8,FALSE)</f>
        <v>Zone 3</v>
      </c>
      <c r="F33" s="51" t="str">
        <f>VLOOKUP(Yards[[#This Row],[DEVELOPMENT]],all[[DEVELOPMENT]:[MRST Ext. Comp. Priority]],6,FALSE)</f>
        <v>B</v>
      </c>
      <c r="G33" s="51">
        <f>VLOOKUP(Yards[[#This Row],[DEVELOPMENT]],all[[DEVELOPMENT]:[MRST Ext. Comp. Priority]],13,FALSE)</f>
        <v>2</v>
      </c>
      <c r="H33" s="50">
        <f>IF(VLOOKUP(Yards[[#This Row],[DEVELOPMENT]],Data[],9,FALSE)=0,5,VLOOKUP(Yards[[#This Row],[DEVELOPMENT]],Data[],9,FALSE))</f>
        <v>4</v>
      </c>
      <c r="I33" s="51">
        <f>VLOOKUP(Yards[[#This Row],[DEVELOPMENT]],Data[],33,FALSE)</f>
        <v>2</v>
      </c>
      <c r="J33" s="51">
        <f>VLOOKUP(Yards[[#This Row],[DEVELOPMENT]],Data[],28,FALSE)</f>
        <v>0</v>
      </c>
      <c r="K33" s="51"/>
      <c r="L33" s="50"/>
      <c r="M33" s="51" t="str">
        <f ca="1">IFERROR(VLOOKUP(Yards[[#This Row],[DEVELOPMENT]],Data[],4,FALSE),"")</f>
        <v>2026+</v>
      </c>
      <c r="N33" s="51" t="str">
        <f ca="1">IF(Yards[[#This Row],[RAD/PACT]]="","",IF(OR(Yards[[#This Row],[RAD/PACT]]="2022-2025",Yards[[#This Row],[RAD/PACT]]=2019,Yards[[#This Row],[RAD/PACT]]="2020-2021"),"Yes",""))</f>
        <v/>
      </c>
      <c r="O33" s="51">
        <f ca="1">IFERROR(VLOOKUP(Yards[[#This Row],[DEVELOPMENT]],ExtComp[],8,FALSE),"")</f>
        <v>19</v>
      </c>
      <c r="P33" s="51"/>
      <c r="Q33" s="51"/>
      <c r="R33" s="51" t="str">
        <f>IF(ISBLANK(Yards[[#This Row],[DSGN CALENDAR YEAR]]),"",Yards[[#This Row],[DSGN CALENDAR YEAR]]+1)</f>
        <v/>
      </c>
      <c r="S33" s="51" t="str">
        <f>IF(ISBLANK(Yards[[#This Row],[DSGN FISCAL YEAR]]),"",Yards[[#This Row],[DSGN FISCAL YEAR]]+1)</f>
        <v/>
      </c>
      <c r="T33" s="51"/>
      <c r="U33" s="128">
        <f ca="1">Yards[[#This Row],[Estimate]]*0.1</f>
        <v>216185.89406550006</v>
      </c>
      <c r="V33" s="47">
        <f ca="1">Yards[[#This Row],[Estimate]]-Yards[[#This Row],[Design Est.]]</f>
        <v>1945673.0465895005</v>
      </c>
      <c r="W33" s="85">
        <f ca="1">(Yards[[#This Row],['# yards]]*INDEX(UnitCosts[],MATCH(Yards[[#This Row],[WORK TYPE]],UnitCosts[Work Type],0),2))*(1+((Yards[[#This Row],[est. CONS Year]]-YEAR(TODAY()))*$W$3))</f>
        <v>2161858.9406550005</v>
      </c>
      <c r="X33" s="142">
        <f ca="1">IF(ISNUMBER(SEARCH("LLC",Yards[[#This Row],[PROGRAM]])),0,IF(Yards[[#This Row],[RAD/PACT by 2025]]="yes",0,1))</f>
        <v>1</v>
      </c>
      <c r="Y33" s="1"/>
      <c r="Z33" s="1"/>
      <c r="AA33" s="51">
        <f ca="1">COUNTIF($X$5:Yards[[#This Row],['# yards]],"&gt;0")-10</f>
        <v>9</v>
      </c>
      <c r="AB33" s="1">
        <f ca="1">IF(ISBLANK(Yards[[#This Row],[DSGN CALENDAR YEAR]]),ROUNDDOWN(Yards[[#This Row],[Count]]/24,0)+$AB$1,Yards[[#This Row],[DSGN CALENDAR YEAR]])</f>
        <v>2021</v>
      </c>
      <c r="AC33" s="16">
        <f ca="1">Yards[[#This Row],[est. DSGN Year]]+1</f>
        <v>2022</v>
      </c>
    </row>
    <row r="34" spans="1:29">
      <c r="A34" s="13" t="s">
        <v>198</v>
      </c>
      <c r="B34" s="51" t="str">
        <f>VLOOKUP(Yards[[#This Row],[DEVELOPMENT]],Data[],2,FALSE)</f>
        <v>MANHATTAN</v>
      </c>
      <c r="C34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4" s="51" t="str">
        <f>VLOOKUP(Yards[[#This Row],[DEVELOPMENT]],Data[],52,FALSE)</f>
        <v>FEDERAL</v>
      </c>
      <c r="E34" s="50">
        <f>VLOOKUP(Yards[[#This Row],[DEVELOPMENT]],Data[],8,FALSE)</f>
        <v>0</v>
      </c>
      <c r="F34" s="51" t="str">
        <f>VLOOKUP(Yards[[#This Row],[DEVELOPMENT]],all[[DEVELOPMENT]:[MRST Ext. Comp. Priority]],6,FALSE)</f>
        <v>B</v>
      </c>
      <c r="G34" s="51">
        <f>VLOOKUP(Yards[[#This Row],[DEVELOPMENT]],all[[DEVELOPMENT]:[MRST Ext. Comp. Priority]],13,FALSE)</f>
        <v>2</v>
      </c>
      <c r="H34" s="50">
        <f>IF(VLOOKUP(Yards[[#This Row],[DEVELOPMENT]],Data[],9,FALSE)=0,5,VLOOKUP(Yards[[#This Row],[DEVELOPMENT]],Data[],9,FALSE))</f>
        <v>5</v>
      </c>
      <c r="I34" s="51">
        <f>VLOOKUP(Yards[[#This Row],[DEVELOPMENT]],Data[],33,FALSE)</f>
        <v>0</v>
      </c>
      <c r="J34" s="51">
        <f>VLOOKUP(Yards[[#This Row],[DEVELOPMENT]],Data[],28,FALSE)</f>
        <v>0</v>
      </c>
      <c r="K34" s="51"/>
      <c r="L34" s="50"/>
      <c r="M34" s="51" t="str">
        <f ca="1">IFERROR(VLOOKUP(Yards[[#This Row],[DEVELOPMENT]],Data[],4,FALSE),"")</f>
        <v/>
      </c>
      <c r="N34" s="51" t="str">
        <f ca="1">IF(Yards[[#This Row],[RAD/PACT]]="","",IF(OR(Yards[[#This Row],[RAD/PACT]]="2022-2025",Yards[[#This Row],[RAD/PACT]]=2019,Yards[[#This Row],[RAD/PACT]]="2020-2021"),"Yes",""))</f>
        <v/>
      </c>
      <c r="O34" s="51" t="str">
        <f ca="1">IFERROR(VLOOKUP(Yards[[#This Row],[DEVELOPMENT]],ExtComp[],8,FALSE),"")</f>
        <v/>
      </c>
      <c r="P34" s="51"/>
      <c r="Q34" s="51"/>
      <c r="R34" s="51"/>
      <c r="S34" s="51" t="str">
        <f>IF(ISBLANK(Yards[[#This Row],[DSGN FISCAL YEAR]]),"",Yards[[#This Row],[DSGN FISCAL YEAR]]+1)</f>
        <v/>
      </c>
      <c r="T34" s="51"/>
      <c r="U34" s="128">
        <f ca="1">Yards[[#This Row],[Estimate]]*0.1</f>
        <v>193407.39567800006</v>
      </c>
      <c r="V34" s="47">
        <f ca="1">Yards[[#This Row],[Estimate]]-Yards[[#This Row],[Design Est.]]</f>
        <v>1740666.5611020005</v>
      </c>
      <c r="W34" s="85">
        <f ca="1">(Yards[[#This Row],['# yards]]*INDEX(UnitCosts[],MATCH(Yards[[#This Row],[WORK TYPE]],UnitCosts[Work Type],0),2))*(1+((Yards[[#This Row],[est. CONS Year]]-YEAR(TODAY()))*$W$3))</f>
        <v>1934073.9567800006</v>
      </c>
      <c r="X34" s="142">
        <f ca="1">IF(ISNUMBER(SEARCH("LLC",Yards[[#This Row],[PROGRAM]])),0,IF(Yards[[#This Row],[RAD/PACT by 2025]]="yes",0,1))</f>
        <v>1</v>
      </c>
      <c r="Y34" s="1"/>
      <c r="Z34" s="1"/>
      <c r="AA34" s="51">
        <f ca="1">COUNTIF($X$5:Yards[[#This Row],['# yards]],"&gt;0")-10</f>
        <v>10</v>
      </c>
      <c r="AB34" s="1">
        <f ca="1">IF(ISBLANK(Yards[[#This Row],[DSGN CALENDAR YEAR]]),ROUNDDOWN(Yards[[#This Row],[Count]]/24,0)+$AB$1,Yards[[#This Row],[DSGN CALENDAR YEAR]])</f>
        <v>2021</v>
      </c>
      <c r="AC34" s="16">
        <f ca="1">Yards[[#This Row],[est. DSGN Year]]+1</f>
        <v>2022</v>
      </c>
    </row>
    <row r="35" spans="1:29">
      <c r="A35" s="13" t="s">
        <v>223</v>
      </c>
      <c r="B35" s="51" t="str">
        <f>VLOOKUP(Yards[[#This Row],[DEVELOPMENT]],Data[],2,FALSE)</f>
        <v>BRONX</v>
      </c>
      <c r="C3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35" s="51" t="str">
        <f>VLOOKUP(Yards[[#This Row],[DEVELOPMENT]],Data[],52,FALSE)</f>
        <v>FEDERAL</v>
      </c>
      <c r="E35" s="50">
        <f>VLOOKUP(Yards[[#This Row],[DEVELOPMENT]],Data[],8,FALSE)</f>
        <v>0</v>
      </c>
      <c r="F35" s="51" t="str">
        <f>VLOOKUP(Yards[[#This Row],[DEVELOPMENT]],all[[DEVELOPMENT]:[MRST Ext. Comp. Priority]],6,FALSE)</f>
        <v>B</v>
      </c>
      <c r="G35" s="51">
        <f>VLOOKUP(Yards[[#This Row],[DEVELOPMENT]],all[[DEVELOPMENT]:[MRST Ext. Comp. Priority]],13,FALSE)</f>
        <v>2</v>
      </c>
      <c r="H35" s="50">
        <f>IF(VLOOKUP(Yards[[#This Row],[DEVELOPMENT]],Data[],9,FALSE)=0,5,VLOOKUP(Yards[[#This Row],[DEVELOPMENT]],Data[],9,FALSE))</f>
        <v>5</v>
      </c>
      <c r="I35" s="51">
        <f>VLOOKUP(Yards[[#This Row],[DEVELOPMENT]],Data[],33,FALSE)</f>
        <v>4</v>
      </c>
      <c r="J35" s="51">
        <f>VLOOKUP(Yards[[#This Row],[DEVELOPMENT]],Data[],28,FALSE)</f>
        <v>0</v>
      </c>
      <c r="K35" s="51"/>
      <c r="L35" s="50"/>
      <c r="M35" s="51" t="str">
        <f ca="1">IFERROR(VLOOKUP(Yards[[#This Row],[DEVELOPMENT]],Data[],4,FALSE),"")</f>
        <v>2026+</v>
      </c>
      <c r="N35" s="51" t="str">
        <f ca="1">IF(Yards[[#This Row],[RAD/PACT]]="","",IF(OR(Yards[[#This Row],[RAD/PACT]]="2022-2025",Yards[[#This Row],[RAD/PACT]]=2019,Yards[[#This Row],[RAD/PACT]]="2020-2021"),"Yes",""))</f>
        <v/>
      </c>
      <c r="O35" s="51">
        <f ca="1">IFERROR(VLOOKUP(Yards[[#This Row],[DEVELOPMENT]],ExtComp[],8,FALSE),"")</f>
        <v>16</v>
      </c>
      <c r="P35" s="51"/>
      <c r="Q35" s="51"/>
      <c r="R35" s="51" t="str">
        <f>IF(ISBLANK(Yards[[#This Row],[DSGN CALENDAR YEAR]]),"",Yards[[#This Row],[DSGN CALENDAR YEAR]]+1)</f>
        <v/>
      </c>
      <c r="S35" s="51" t="str">
        <f>IF(ISBLANK(Yards[[#This Row],[DSGN FISCAL YEAR]]),"",Yards[[#This Row],[DSGN FISCAL YEAR]]+1)</f>
        <v/>
      </c>
      <c r="T35" s="51"/>
      <c r="U35" s="128">
        <f ca="1">Yards[[#This Row],[Estimate]]*0.1</f>
        <v>286609.55599909998</v>
      </c>
      <c r="V35" s="47">
        <f ca="1">Yards[[#This Row],[Estimate]]-Yards[[#This Row],[Design Est.]]</f>
        <v>2579486.0039919</v>
      </c>
      <c r="W35" s="85">
        <f ca="1">(Yards[[#This Row],['# yards]]*INDEX(UnitCosts[],MATCH(Yards[[#This Row],[WORK TYPE]],UnitCosts[Work Type],0),2))*(1+((Yards[[#This Row],[est. CONS Year]]-YEAR(TODAY()))*$W$3))</f>
        <v>2866095.5599909998</v>
      </c>
      <c r="X35" s="142">
        <f ca="1">IF(ISNUMBER(SEARCH("LLC",Yards[[#This Row],[PROGRAM]])),0,IF(Yards[[#This Row],[RAD/PACT by 2025]]="yes",0,1))</f>
        <v>1</v>
      </c>
      <c r="Y35" s="1"/>
      <c r="Z35" s="1"/>
      <c r="AA35" s="51">
        <f ca="1">COUNTIF($X$5:Yards[[#This Row],['# yards]],"&gt;0")-10</f>
        <v>11</v>
      </c>
      <c r="AB35" s="1">
        <f ca="1">IF(ISBLANK(Yards[[#This Row],[DSGN CALENDAR YEAR]]),ROUNDDOWN(Yards[[#This Row],[Count]]/24,0)+$AB$1,Yards[[#This Row],[DSGN CALENDAR YEAR]])</f>
        <v>2021</v>
      </c>
      <c r="AC35" s="16">
        <f ca="1">Yards[[#This Row],[est. DSGN Year]]+1</f>
        <v>2022</v>
      </c>
    </row>
    <row r="36" spans="1:29" hidden="1">
      <c r="A36" s="13" t="s">
        <v>216</v>
      </c>
      <c r="B36" s="51" t="str">
        <f>VLOOKUP(Yards[[#This Row],[DEVELOPMENT]],Data[],2,FALSE)</f>
        <v>BROOKLYN</v>
      </c>
      <c r="C36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6" s="51" t="str">
        <f>VLOOKUP(Yards[[#This Row],[DEVELOPMENT]],Data[],52,FALSE)</f>
        <v>FEDERAL</v>
      </c>
      <c r="E36" s="50">
        <f>VLOOKUP(Yards[[#This Row],[DEVELOPMENT]],Data[],8,FALSE)</f>
        <v>0</v>
      </c>
      <c r="F36" s="51" t="str">
        <f>VLOOKUP(Yards[[#This Row],[DEVELOPMENT]],all[[DEVELOPMENT]:[MRST Ext. Comp. Priority]],6,FALSE)</f>
        <v>B</v>
      </c>
      <c r="G36" s="51">
        <f>VLOOKUP(Yards[[#This Row],[DEVELOPMENT]],all[[DEVELOPMENT]:[MRST Ext. Comp. Priority]],13,FALSE)</f>
        <v>2</v>
      </c>
      <c r="H36" s="50">
        <f>IF(VLOOKUP(Yards[[#This Row],[DEVELOPMENT]],Data[],9,FALSE)=0,5,VLOOKUP(Yards[[#This Row],[DEVELOPMENT]],Data[],9,FALSE))</f>
        <v>5</v>
      </c>
      <c r="I36" s="51">
        <f>VLOOKUP(Yards[[#This Row],[DEVELOPMENT]],Data[],33,FALSE)</f>
        <v>0</v>
      </c>
      <c r="J36" s="51">
        <f>VLOOKUP(Yards[[#This Row],[DEVELOPMENT]],Data[],28,FALSE)</f>
        <v>0</v>
      </c>
      <c r="K36" s="51"/>
      <c r="L36" s="50"/>
      <c r="M36" s="51" t="str">
        <f ca="1">IFERROR(VLOOKUP(Yards[[#This Row],[DEVELOPMENT]],Data[],4,FALSE),"")</f>
        <v>2020-2021</v>
      </c>
      <c r="N36" s="51" t="str">
        <f ca="1">IF(Yards[[#This Row],[RAD/PACT]]="","",IF(OR(Yards[[#This Row],[RAD/PACT]]="2022-2025",Yards[[#This Row],[RAD/PACT]]=2019,Yards[[#This Row],[RAD/PACT]]="2020-2021"),"Yes",""))</f>
        <v>Yes</v>
      </c>
      <c r="O36" s="51" t="str">
        <f ca="1">IFERROR(VLOOKUP(Yards[[#This Row],[DEVELOPMENT]],ExtComp[],8,FALSE),"")</f>
        <v/>
      </c>
      <c r="P36" s="51"/>
      <c r="Q36" s="51"/>
      <c r="R36" s="51" t="str">
        <f>IF(ISBLANK(Yards[[#This Row],[DSGN CALENDAR YEAR]]),"",Yards[[#This Row],[DSGN CALENDAR YEAR]]+1)</f>
        <v/>
      </c>
      <c r="S36" s="51" t="str">
        <f>IF(ISBLANK(Yards[[#This Row],[DSGN FISCAL YEAR]]),"",Yards[[#This Row],[DSGN FISCAL YEAR]]+1)</f>
        <v/>
      </c>
      <c r="T36" s="51"/>
      <c r="U36" s="128">
        <f ca="1">Yards[[#This Row],[Estimate]]*0.1</f>
        <v>0</v>
      </c>
      <c r="V36" s="47">
        <f ca="1">Yards[[#This Row],[Estimate]]-Yards[[#This Row],[Design Est.]]</f>
        <v>0</v>
      </c>
      <c r="W36" s="85">
        <f ca="1">(Yards[[#This Row],['# yards]]*INDEX(UnitCosts[],MATCH(Yards[[#This Row],[WORK TYPE]],UnitCosts[Work Type],0),2))*(1+((Yards[[#This Row],[est. CONS Year]]-YEAR(TODAY()))*$W$3))</f>
        <v>0</v>
      </c>
      <c r="X36" s="142">
        <f ca="1">IF(ISNUMBER(SEARCH("LLC",Yards[[#This Row],[PROGRAM]])),0,IF(Yards[[#This Row],[RAD/PACT by 2025]]="yes",0,1))</f>
        <v>0</v>
      </c>
      <c r="Y36" s="1"/>
      <c r="Z36" s="1"/>
      <c r="AA36" s="51">
        <f ca="1">COUNTIF($X$5:Yards[[#This Row],['# yards]],"&gt;0")-10</f>
        <v>11</v>
      </c>
      <c r="AB36" s="1">
        <f ca="1">IF(ISBLANK(Yards[[#This Row],[DSGN CALENDAR YEAR]]),ROUNDDOWN(Yards[[#This Row],[Count]]/24,0)+$AB$1,Yards[[#This Row],[DSGN CALENDAR YEAR]])</f>
        <v>2021</v>
      </c>
      <c r="AC36" s="16">
        <f ca="1">Yards[[#This Row],[est. DSGN Year]]+1</f>
        <v>2022</v>
      </c>
    </row>
    <row r="37" spans="1:29" hidden="1">
      <c r="A37" s="13" t="s">
        <v>220</v>
      </c>
      <c r="B37" s="51" t="str">
        <f>VLOOKUP(Yards[[#This Row],[DEVELOPMENT]],Data[],2,FALSE)</f>
        <v>BROOKLYN</v>
      </c>
      <c r="C37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7" s="51" t="str">
        <f>VLOOKUP(Yards[[#This Row],[DEVELOPMENT]],Data[],52,FALSE)</f>
        <v>FEDERAL</v>
      </c>
      <c r="E37" s="50">
        <f>VLOOKUP(Yards[[#This Row],[DEVELOPMENT]],Data[],8,FALSE)</f>
        <v>0</v>
      </c>
      <c r="F37" s="51" t="str">
        <f>VLOOKUP(Yards[[#This Row],[DEVELOPMENT]],all[[DEVELOPMENT]:[MRST Ext. Comp. Priority]],6,FALSE)</f>
        <v>B</v>
      </c>
      <c r="G37" s="51">
        <f>VLOOKUP(Yards[[#This Row],[DEVELOPMENT]],all[[DEVELOPMENT]:[MRST Ext. Comp. Priority]],13,FALSE)</f>
        <v>2</v>
      </c>
      <c r="H37" s="50">
        <f>IF(VLOOKUP(Yards[[#This Row],[DEVELOPMENT]],Data[],9,FALSE)=0,5,VLOOKUP(Yards[[#This Row],[DEVELOPMENT]],Data[],9,FALSE))</f>
        <v>5</v>
      </c>
      <c r="I37" s="51">
        <f>VLOOKUP(Yards[[#This Row],[DEVELOPMENT]],Data[],33,FALSE)</f>
        <v>0</v>
      </c>
      <c r="J37" s="51">
        <f>VLOOKUP(Yards[[#This Row],[DEVELOPMENT]],Data[],28,FALSE)</f>
        <v>0</v>
      </c>
      <c r="K37" s="51"/>
      <c r="L37" s="50"/>
      <c r="M37" s="51">
        <f ca="1">IFERROR(VLOOKUP(Yards[[#This Row],[DEVELOPMENT]],Data[],4,FALSE),"")</f>
        <v>2019</v>
      </c>
      <c r="N37" s="51" t="str">
        <f ca="1">IF(Yards[[#This Row],[RAD/PACT]]="","",IF(OR(Yards[[#This Row],[RAD/PACT]]="2022-2025",Yards[[#This Row],[RAD/PACT]]=2019,Yards[[#This Row],[RAD/PACT]]="2020-2021"),"Yes",""))</f>
        <v>Yes</v>
      </c>
      <c r="O37" s="51" t="str">
        <f ca="1">IFERROR(VLOOKUP(Yards[[#This Row],[DEVELOPMENT]],ExtComp[],8,FALSE),"")</f>
        <v/>
      </c>
      <c r="P37" s="51"/>
      <c r="Q37" s="51"/>
      <c r="R37" s="51" t="str">
        <f>IF(ISBLANK(Yards[[#This Row],[DSGN CALENDAR YEAR]]),"",Yards[[#This Row],[DSGN CALENDAR YEAR]]+1)</f>
        <v/>
      </c>
      <c r="S37" s="51" t="str">
        <f>IF(ISBLANK(Yards[[#This Row],[DSGN FISCAL YEAR]]),"",Yards[[#This Row],[DSGN FISCAL YEAR]]+1)</f>
        <v/>
      </c>
      <c r="T37" s="51"/>
      <c r="U37" s="128">
        <f ca="1">Yards[[#This Row],[Estimate]]*0.1</f>
        <v>0</v>
      </c>
      <c r="V37" s="47">
        <f ca="1">Yards[[#This Row],[Estimate]]-Yards[[#This Row],[Design Est.]]</f>
        <v>0</v>
      </c>
      <c r="W37" s="85">
        <f ca="1">(Yards[[#This Row],['# yards]]*INDEX(UnitCosts[],MATCH(Yards[[#This Row],[WORK TYPE]],UnitCosts[Work Type],0),2))*(1+((Yards[[#This Row],[est. CONS Year]]-YEAR(TODAY()))*$W$3))</f>
        <v>0</v>
      </c>
      <c r="X37" s="142">
        <f ca="1">IF(ISNUMBER(SEARCH("LLC",Yards[[#This Row],[PROGRAM]])),0,IF(Yards[[#This Row],[RAD/PACT by 2025]]="yes",0,1))</f>
        <v>0</v>
      </c>
      <c r="Y37" s="1"/>
      <c r="Z37" s="1"/>
      <c r="AA37" s="51">
        <f ca="1">COUNTIF($X$5:Yards[[#This Row],['# yards]],"&gt;0")-10</f>
        <v>11</v>
      </c>
      <c r="AB37" s="1">
        <f ca="1">IF(ISBLANK(Yards[[#This Row],[DSGN CALENDAR YEAR]]),ROUNDDOWN(Yards[[#This Row],[Count]]/24,0)+$AB$1,Yards[[#This Row],[DSGN CALENDAR YEAR]])</f>
        <v>2021</v>
      </c>
      <c r="AC37" s="16">
        <f ca="1">Yards[[#This Row],[est. DSGN Year]]+1</f>
        <v>2022</v>
      </c>
    </row>
    <row r="38" spans="1:29">
      <c r="A38" s="13" t="s">
        <v>212</v>
      </c>
      <c r="B38" s="51" t="str">
        <f>VLOOKUP(Yards[[#This Row],[DEVELOPMENT]],Data[],2,FALSE)</f>
        <v>QUEENS</v>
      </c>
      <c r="C38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38" s="51" t="str">
        <f>VLOOKUP(Yards[[#This Row],[DEVELOPMENT]],Data[],52,FALSE)</f>
        <v>FEDERAL</v>
      </c>
      <c r="E38" s="50">
        <f>VLOOKUP(Yards[[#This Row],[DEVELOPMENT]],Data[],8,FALSE)</f>
        <v>0</v>
      </c>
      <c r="F38" s="51" t="str">
        <f>VLOOKUP(Yards[[#This Row],[DEVELOPMENT]],all[[DEVELOPMENT]:[MRST Ext. Comp. Priority]],6,FALSE)</f>
        <v>B</v>
      </c>
      <c r="G38" s="51">
        <f>VLOOKUP(Yards[[#This Row],[DEVELOPMENT]],all[[DEVELOPMENT]:[MRST Ext. Comp. Priority]],13,FALSE)</f>
        <v>2</v>
      </c>
      <c r="H38" s="50">
        <f>IF(VLOOKUP(Yards[[#This Row],[DEVELOPMENT]],Data[],9,FALSE)=0,5,VLOOKUP(Yards[[#This Row],[DEVELOPMENT]],Data[],9,FALSE))</f>
        <v>5</v>
      </c>
      <c r="I38" s="51">
        <f>VLOOKUP(Yards[[#This Row],[DEVELOPMENT]],Data[],33,FALSE)</f>
        <v>4</v>
      </c>
      <c r="J38" s="51">
        <f>VLOOKUP(Yards[[#This Row],[DEVELOPMENT]],Data[],28,FALSE)</f>
        <v>0</v>
      </c>
      <c r="K38" s="51"/>
      <c r="L38" s="50"/>
      <c r="M38" s="51" t="str">
        <f ca="1">IFERROR(VLOOKUP(Yards[[#This Row],[DEVELOPMENT]],Data[],4,FALSE),"")</f>
        <v/>
      </c>
      <c r="N38" s="51" t="str">
        <f ca="1">IF(Yards[[#This Row],[RAD/PACT]]="","",IF(OR(Yards[[#This Row],[RAD/PACT]]="2022-2025",Yards[[#This Row],[RAD/PACT]]=2019,Yards[[#This Row],[RAD/PACT]]="2020-2021"),"Yes",""))</f>
        <v/>
      </c>
      <c r="O38" s="51">
        <f ca="1">IFERROR(VLOOKUP(Yards[[#This Row],[DEVELOPMENT]],ExtComp[],8,FALSE),"")</f>
        <v>17</v>
      </c>
      <c r="P38" s="51"/>
      <c r="Q38" s="51"/>
      <c r="R38" s="51" t="str">
        <f>IF(ISBLANK(Yards[[#This Row],[DSGN CALENDAR YEAR]]),"",Yards[[#This Row],[DSGN CALENDAR YEAR]]+1)</f>
        <v/>
      </c>
      <c r="S38" s="51" t="str">
        <f>IF(ISBLANK(Yards[[#This Row],[DSGN FISCAL YEAR]]),"",Yards[[#This Row],[DSGN FISCAL YEAR]]+1)</f>
        <v/>
      </c>
      <c r="T38" s="51"/>
      <c r="U38" s="128">
        <f ca="1">Yards[[#This Row],[Estimate]]*0.1</f>
        <v>286609.55599909998</v>
      </c>
      <c r="V38" s="47">
        <f ca="1">Yards[[#This Row],[Estimate]]-Yards[[#This Row],[Design Est.]]</f>
        <v>2579486.0039919</v>
      </c>
      <c r="W38" s="85">
        <f ca="1">(Yards[[#This Row],['# yards]]*INDEX(UnitCosts[],MATCH(Yards[[#This Row],[WORK TYPE]],UnitCosts[Work Type],0),2))*(1+((Yards[[#This Row],[est. CONS Year]]-YEAR(TODAY()))*$W$3))</f>
        <v>2866095.5599909998</v>
      </c>
      <c r="X38" s="142">
        <f ca="1">IF(ISNUMBER(SEARCH("LLC",Yards[[#This Row],[PROGRAM]])),0,IF(Yards[[#This Row],[RAD/PACT by 2025]]="yes",0,1))</f>
        <v>1</v>
      </c>
      <c r="Y38" s="1"/>
      <c r="Z38" s="1"/>
      <c r="AA38" s="51">
        <f ca="1">COUNTIF($X$5:Yards[[#This Row],['# yards]],"&gt;0")-10</f>
        <v>12</v>
      </c>
      <c r="AB38" s="1">
        <f ca="1">IF(ISBLANK(Yards[[#This Row],[DSGN CALENDAR YEAR]]),ROUNDDOWN(Yards[[#This Row],[Count]]/24,0)+$AB$1,Yards[[#This Row],[DSGN CALENDAR YEAR]])</f>
        <v>2021</v>
      </c>
      <c r="AC38" s="16">
        <f ca="1">Yards[[#This Row],[est. DSGN Year]]+1</f>
        <v>2022</v>
      </c>
    </row>
    <row r="39" spans="1:29">
      <c r="A39" s="13" t="s">
        <v>130</v>
      </c>
      <c r="B39" s="51" t="str">
        <f>VLOOKUP(Yards[[#This Row],[DEVELOPMENT]],Data[],2,FALSE)</f>
        <v>MANHATTAN</v>
      </c>
      <c r="C39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39" s="51" t="str">
        <f>VLOOKUP(Yards[[#This Row],[DEVELOPMENT]],Data[],52,FALSE)</f>
        <v>FEDERAL</v>
      </c>
      <c r="E39" s="50" t="str">
        <f>VLOOKUP(Yards[[#This Row],[DEVELOPMENT]],Data[],8,FALSE)</f>
        <v>Zone 3</v>
      </c>
      <c r="F39" s="51" t="str">
        <f>VLOOKUP(Yards[[#This Row],[DEVELOPMENT]],all[[DEVELOPMENT]:[MRST Ext. Comp. Priority]],6,FALSE)</f>
        <v>B</v>
      </c>
      <c r="G39" s="51">
        <f>VLOOKUP(Yards[[#This Row],[DEVELOPMENT]],all[[DEVELOPMENT]:[MRST Ext. Comp. Priority]],13,FALSE)</f>
        <v>3</v>
      </c>
      <c r="H39" s="50">
        <f>IF(VLOOKUP(Yards[[#This Row],[DEVELOPMENT]],Data[],9,FALSE)=0,5,VLOOKUP(Yards[[#This Row],[DEVELOPMENT]],Data[],9,FALSE))</f>
        <v>2</v>
      </c>
      <c r="I39" s="51">
        <f>VLOOKUP(Yards[[#This Row],[DEVELOPMENT]],Data[],33,FALSE)</f>
        <v>3</v>
      </c>
      <c r="J39" s="51">
        <f>VLOOKUP(Yards[[#This Row],[DEVELOPMENT]],Data[],28,FALSE)</f>
        <v>0</v>
      </c>
      <c r="K39" s="51"/>
      <c r="L39" s="50"/>
      <c r="M39" s="51" t="str">
        <f ca="1">IFERROR(VLOOKUP(Yards[[#This Row],[DEVELOPMENT]],Data[],4,FALSE),"")</f>
        <v/>
      </c>
      <c r="N39" s="51" t="str">
        <f ca="1">IF(Yards[[#This Row],[RAD/PACT]]="","",IF(OR(Yards[[#This Row],[RAD/PACT]]="2022-2025",Yards[[#This Row],[RAD/PACT]]=2019,Yards[[#This Row],[RAD/PACT]]="2020-2021"),"Yes",""))</f>
        <v/>
      </c>
      <c r="O39" s="51">
        <f ca="1">IFERROR(VLOOKUP(Yards[[#This Row],[DEVELOPMENT]],ExtComp[],8,FALSE),"")</f>
        <v>6</v>
      </c>
      <c r="P39" s="51"/>
      <c r="Q39" s="51"/>
      <c r="R39" s="51" t="str">
        <f>IF(ISBLANK(Yards[[#This Row],[DSGN CALENDAR YEAR]]),"",Yards[[#This Row],[DSGN CALENDAR YEAR]]+1)</f>
        <v/>
      </c>
      <c r="S39" s="51" t="str">
        <f>IF(ISBLANK(Yards[[#This Row],[DSGN FISCAL YEAR]]),"",Yards[[#This Row],[DSGN FISCAL YEAR]]+1)</f>
        <v/>
      </c>
      <c r="T39" s="51"/>
      <c r="U39" s="128">
        <f ca="1">Yards[[#This Row],[Estimate]]*0.1</f>
        <v>145762.23213190003</v>
      </c>
      <c r="V39" s="47">
        <f ca="1">Yards[[#This Row],[Estimate]]-Yards[[#This Row],[Design Est.]]</f>
        <v>1311860.0891871003</v>
      </c>
      <c r="W39" s="85">
        <f ca="1">(Yards[[#This Row],['# yards]]*INDEX(UnitCosts[],MATCH(Yards[[#This Row],[WORK TYPE]],UnitCosts[Work Type],0),2))*(1+((Yards[[#This Row],[est. CONS Year]]-YEAR(TODAY()))*$W$3))</f>
        <v>1457622.3213190003</v>
      </c>
      <c r="X39" s="142">
        <f ca="1">IF(ISNUMBER(SEARCH("LLC",Yards[[#This Row],[PROGRAM]])),0,IF(Yards[[#This Row],[RAD/PACT by 2025]]="yes",0,1))</f>
        <v>1</v>
      </c>
      <c r="Y39" s="1"/>
      <c r="Z39" s="1"/>
      <c r="AA39" s="51">
        <f ca="1">COUNTIF($X$5:Yards[[#This Row],['# yards]],"&gt;0")-10</f>
        <v>13</v>
      </c>
      <c r="AB39" s="1">
        <f ca="1">IF(ISBLANK(Yards[[#This Row],[DSGN CALENDAR YEAR]]),ROUNDDOWN(Yards[[#This Row],[Count]]/24,0)+$AB$1,Yards[[#This Row],[DSGN CALENDAR YEAR]])</f>
        <v>2021</v>
      </c>
      <c r="AC39" s="16">
        <f ca="1">Yards[[#This Row],[est. DSGN Year]]+1</f>
        <v>2022</v>
      </c>
    </row>
    <row r="40" spans="1:29" hidden="1">
      <c r="A40" s="13" t="s">
        <v>82</v>
      </c>
      <c r="B40" s="51" t="str">
        <f>VLOOKUP(Yards[[#This Row],[DEVELOPMENT]],Data[],2,FALSE)</f>
        <v>MANHATTAN</v>
      </c>
      <c r="C40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40" s="51" t="str">
        <f>VLOOKUP(Yards[[#This Row],[DEVELOPMENT]],Data[],52,FALSE)</f>
        <v>FEDERAL</v>
      </c>
      <c r="E40" s="50" t="str">
        <f>VLOOKUP(Yards[[#This Row],[DEVELOPMENT]],Data[],8,FALSE)</f>
        <v>Zone 3</v>
      </c>
      <c r="F40" s="51" t="str">
        <f>VLOOKUP(Yards[[#This Row],[DEVELOPMENT]],all[[DEVELOPMENT]:[MRST Ext. Comp. Priority]],6,FALSE)</f>
        <v>B</v>
      </c>
      <c r="G40" s="51">
        <f>VLOOKUP(Yards[[#This Row],[DEVELOPMENT]],all[[DEVELOPMENT]:[MRST Ext. Comp. Priority]],13,FALSE)</f>
        <v>3</v>
      </c>
      <c r="H40" s="50">
        <f>IF(VLOOKUP(Yards[[#This Row],[DEVELOPMENT]],Data[],9,FALSE)=0,5,VLOOKUP(Yards[[#This Row],[DEVELOPMENT]],Data[],9,FALSE))</f>
        <v>3</v>
      </c>
      <c r="I40" s="51">
        <f>VLOOKUP(Yards[[#This Row],[DEVELOPMENT]],Data[],33,FALSE)</f>
        <v>0</v>
      </c>
      <c r="J40" s="51">
        <f>VLOOKUP(Yards[[#This Row],[DEVELOPMENT]],Data[],28,FALSE)</f>
        <v>0</v>
      </c>
      <c r="K40" s="51"/>
      <c r="L40" s="50"/>
      <c r="M40" s="51" t="str">
        <f ca="1">IFERROR(VLOOKUP(Yards[[#This Row],[DEVELOPMENT]],Data[],4,FALSE),"")</f>
        <v>2020-2021</v>
      </c>
      <c r="N40" s="51" t="str">
        <f ca="1">IF(Yards[[#This Row],[RAD/PACT]]="","",IF(OR(Yards[[#This Row],[RAD/PACT]]="2022-2025",Yards[[#This Row],[RAD/PACT]]=2019,Yards[[#This Row],[RAD/PACT]]="2020-2021"),"Yes",""))</f>
        <v>Yes</v>
      </c>
      <c r="O40" s="51" t="str">
        <f ca="1">IFERROR(VLOOKUP(Yards[[#This Row],[DEVELOPMENT]],ExtComp[],8,FALSE),"")</f>
        <v/>
      </c>
      <c r="P40" s="51"/>
      <c r="Q40" s="51"/>
      <c r="R40" s="51" t="str">
        <f>IF(ISBLANK(Yards[[#This Row],[DSGN CALENDAR YEAR]]),"",Yards[[#This Row],[DSGN CALENDAR YEAR]]+1)</f>
        <v/>
      </c>
      <c r="S40" s="51" t="str">
        <f>IF(ISBLANK(Yards[[#This Row],[DSGN FISCAL YEAR]]),"",Yards[[#This Row],[DSGN FISCAL YEAR]]+1)</f>
        <v/>
      </c>
      <c r="T40" s="51"/>
      <c r="U40" s="128">
        <f ca="1">Yards[[#This Row],[Estimate]]*0.1</f>
        <v>0</v>
      </c>
      <c r="V40" s="47">
        <f ca="1">Yards[[#This Row],[Estimate]]-Yards[[#This Row],[Design Est.]]</f>
        <v>0</v>
      </c>
      <c r="W40" s="85">
        <f ca="1">(Yards[[#This Row],['# yards]]*INDEX(UnitCosts[],MATCH(Yards[[#This Row],[WORK TYPE]],UnitCosts[Work Type],0),2))*(1+((Yards[[#This Row],[est. CONS Year]]-YEAR(TODAY()))*$W$3))</f>
        <v>0</v>
      </c>
      <c r="X40" s="142">
        <f ca="1">IF(ISNUMBER(SEARCH("LLC",Yards[[#This Row],[PROGRAM]])),0,IF(Yards[[#This Row],[RAD/PACT by 2025]]="yes",0,1))</f>
        <v>0</v>
      </c>
      <c r="Y40" s="1"/>
      <c r="Z40" s="1"/>
      <c r="AA40" s="51">
        <f ca="1">COUNTIF($X$5:Yards[[#This Row],['# yards]],"&gt;0")-10</f>
        <v>13</v>
      </c>
      <c r="AB40" s="1">
        <f ca="1">IF(ISBLANK(Yards[[#This Row],[DSGN CALENDAR YEAR]]),ROUNDDOWN(Yards[[#This Row],[Count]]/24,0)+$AB$1,Yards[[#This Row],[DSGN CALENDAR YEAR]])</f>
        <v>2021</v>
      </c>
      <c r="AC40" s="16">
        <f ca="1">Yards[[#This Row],[est. DSGN Year]]+1</f>
        <v>2022</v>
      </c>
    </row>
    <row r="41" spans="1:29">
      <c r="A41" s="13" t="s">
        <v>128</v>
      </c>
      <c r="B41" s="51" t="str">
        <f>VLOOKUP(Yards[[#This Row],[DEVELOPMENT]],Data[],2,FALSE)</f>
        <v>MANHATTAN</v>
      </c>
      <c r="C41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41" s="51" t="str">
        <f>VLOOKUP(Yards[[#This Row],[DEVELOPMENT]],Data[],52,FALSE)</f>
        <v>FEDERAL</v>
      </c>
      <c r="E41" s="50" t="str">
        <f>VLOOKUP(Yards[[#This Row],[DEVELOPMENT]],Data[],8,FALSE)</f>
        <v>Zone 2</v>
      </c>
      <c r="F41" s="51" t="str">
        <f>VLOOKUP(Yards[[#This Row],[DEVELOPMENT]],all[[DEVELOPMENT]:[MRST Ext. Comp. Priority]],6,FALSE)</f>
        <v>B</v>
      </c>
      <c r="G41" s="51">
        <f>VLOOKUP(Yards[[#This Row],[DEVELOPMENT]],all[[DEVELOPMENT]:[MRST Ext. Comp. Priority]],13,FALSE)</f>
        <v>3</v>
      </c>
      <c r="H41" s="50">
        <f>IF(VLOOKUP(Yards[[#This Row],[DEVELOPMENT]],Data[],9,FALSE)=0,5,VLOOKUP(Yards[[#This Row],[DEVELOPMENT]],Data[],9,FALSE))</f>
        <v>2</v>
      </c>
      <c r="I41" s="51">
        <f>VLOOKUP(Yards[[#This Row],[DEVELOPMENT]],Data[],33,FALSE)</f>
        <v>4</v>
      </c>
      <c r="J41" s="51">
        <f>VLOOKUP(Yards[[#This Row],[DEVELOPMENT]],Data[],28,FALSE)</f>
        <v>0</v>
      </c>
      <c r="K41" s="51"/>
      <c r="L41" s="50">
        <v>1</v>
      </c>
      <c r="M41" s="51" t="str">
        <f ca="1">IFERROR(VLOOKUP(Yards[[#This Row],[DEVELOPMENT]],Data[],4,FALSE),"")</f>
        <v>2026+</v>
      </c>
      <c r="N41" s="51" t="str">
        <f ca="1">IF(Yards[[#This Row],[RAD/PACT]]="","",IF(OR(Yards[[#This Row],[RAD/PACT]]="2022-2025",Yards[[#This Row],[RAD/PACT]]=2019,Yards[[#This Row],[RAD/PACT]]="2020-2021"),"Yes",""))</f>
        <v/>
      </c>
      <c r="O41" s="1">
        <f ca="1">IFERROR(VLOOKUP(Yards[[#This Row],[DEVELOPMENT]],ExtComp[],8,FALSE),"")</f>
        <v>2</v>
      </c>
      <c r="P41" s="1"/>
      <c r="Q41" s="1"/>
      <c r="R41" s="1" t="str">
        <f>IF(ISBLANK(Yards[[#This Row],[DSGN CALENDAR YEAR]]),"",Yards[[#This Row],[DSGN CALENDAR YEAR]]+1)</f>
        <v/>
      </c>
      <c r="S41" s="51" t="str">
        <f>IF(ISBLANK(Yards[[#This Row],[DSGN FISCAL YEAR]]),"",Yards[[#This Row],[DSGN FISCAL YEAR]]+1)</f>
        <v/>
      </c>
      <c r="T41" s="1"/>
      <c r="U41" s="128">
        <f ca="1">Yards[[#This Row],[Estimate]]*0.1</f>
        <v>145762.23213190003</v>
      </c>
      <c r="V41" s="47">
        <f ca="1">Yards[[#This Row],[Estimate]]-Yards[[#This Row],[Design Est.]]</f>
        <v>1311860.0891871003</v>
      </c>
      <c r="W41" s="85">
        <f ca="1">(Yards[[#This Row],['# yards]]*INDEX(UnitCosts[],MATCH(Yards[[#This Row],[WORK TYPE]],UnitCosts[Work Type],0),2))*(1+((Yards[[#This Row],[est. CONS Year]]-YEAR(TODAY()))*$W$3))</f>
        <v>1457622.3213190003</v>
      </c>
      <c r="X41" s="142">
        <f ca="1">IF(ISNUMBER(SEARCH("LLC",Yards[[#This Row],[PROGRAM]])),0,IF(Yards[[#This Row],[RAD/PACT by 2025]]="yes",0,1))</f>
        <v>1</v>
      </c>
      <c r="Y41" s="1"/>
      <c r="Z41" s="1"/>
      <c r="AA41" s="51">
        <f ca="1">COUNTIF($X$5:Yards[[#This Row],['# yards]],"&gt;0")-10</f>
        <v>14</v>
      </c>
      <c r="AB41" s="1">
        <f ca="1">IF(ISBLANK(Yards[[#This Row],[DSGN CALENDAR YEAR]]),ROUNDDOWN(Yards[[#This Row],[Count]]/24,0)+$AB$1,Yards[[#This Row],[DSGN CALENDAR YEAR]])</f>
        <v>2021</v>
      </c>
      <c r="AC41" s="16">
        <f ca="1">Yards[[#This Row],[est. DSGN Year]]+1</f>
        <v>2022</v>
      </c>
    </row>
    <row r="42" spans="1:29">
      <c r="A42" s="13" t="s">
        <v>84</v>
      </c>
      <c r="B42" s="51" t="str">
        <f>VLOOKUP(Yards[[#This Row],[DEVELOPMENT]],Data[],2,FALSE)</f>
        <v>BROOKLYN</v>
      </c>
      <c r="C4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42" s="51" t="str">
        <f>VLOOKUP(Yards[[#This Row],[DEVELOPMENT]],Data[],52,FALSE)</f>
        <v>FEDERAL</v>
      </c>
      <c r="E42" s="50" t="str">
        <f>VLOOKUP(Yards[[#This Row],[DEVELOPMENT]],Data[],8,FALSE)</f>
        <v>Zone 3</v>
      </c>
      <c r="F42" s="51" t="str">
        <f>VLOOKUP(Yards[[#This Row],[DEVELOPMENT]],all[[DEVELOPMENT]:[MRST Ext. Comp. Priority]],6,FALSE)</f>
        <v>B</v>
      </c>
      <c r="G42" s="51">
        <f>VLOOKUP(Yards[[#This Row],[DEVELOPMENT]],all[[DEVELOPMENT]:[MRST Ext. Comp. Priority]],13,FALSE)</f>
        <v>3</v>
      </c>
      <c r="H42" s="50">
        <f>IF(VLOOKUP(Yards[[#This Row],[DEVELOPMENT]],Data[],9,FALSE)=0,5,VLOOKUP(Yards[[#This Row],[DEVELOPMENT]],Data[],9,FALSE))</f>
        <v>4</v>
      </c>
      <c r="I42" s="51">
        <f>VLOOKUP(Yards[[#This Row],[DEVELOPMENT]],Data[],33,FALSE)</f>
        <v>0</v>
      </c>
      <c r="J42" s="51">
        <f>VLOOKUP(Yards[[#This Row],[DEVELOPMENT]],Data[],28,FALSE)</f>
        <v>0</v>
      </c>
      <c r="K42" s="51"/>
      <c r="L42" s="50"/>
      <c r="M42" s="51" t="str">
        <f ca="1">IFERROR(VLOOKUP(Yards[[#This Row],[DEVELOPMENT]],Data[],4,FALSE),"")</f>
        <v/>
      </c>
      <c r="N42" s="51" t="str">
        <f ca="1">IF(Yards[[#This Row],[RAD/PACT]]="","",IF(OR(Yards[[#This Row],[RAD/PACT]]="2022-2025",Yards[[#This Row],[RAD/PACT]]=2019,Yards[[#This Row],[RAD/PACT]]="2020-2021"),"Yes",""))</f>
        <v/>
      </c>
      <c r="O42" s="51" t="str">
        <f ca="1">IFERROR(VLOOKUP(Yards[[#This Row],[DEVELOPMENT]],ExtComp[],8,FALSE),"")</f>
        <v/>
      </c>
      <c r="P42" s="51"/>
      <c r="Q42" s="51"/>
      <c r="R42" s="51"/>
      <c r="S42" s="51" t="str">
        <f>IF(ISBLANK(Yards[[#This Row],[DSGN FISCAL YEAR]]),"",Yards[[#This Row],[DSGN FISCAL YEAR]]+1)</f>
        <v/>
      </c>
      <c r="T42" s="51"/>
      <c r="U42" s="128">
        <f ca="1">Yards[[#This Row],[Estimate]]*0.1</f>
        <v>193407.39567800006</v>
      </c>
      <c r="V42" s="47">
        <f ca="1">Yards[[#This Row],[Estimate]]-Yards[[#This Row],[Design Est.]]</f>
        <v>1740666.5611020005</v>
      </c>
      <c r="W42" s="85">
        <f ca="1">(Yards[[#This Row],['# yards]]*INDEX(UnitCosts[],MATCH(Yards[[#This Row],[WORK TYPE]],UnitCosts[Work Type],0),2))*(1+((Yards[[#This Row],[est. CONS Year]]-YEAR(TODAY()))*$W$3))</f>
        <v>1934073.9567800006</v>
      </c>
      <c r="X42" s="142">
        <f ca="1">IF(ISNUMBER(SEARCH("LLC",Yards[[#This Row],[PROGRAM]])),0,IF(Yards[[#This Row],[RAD/PACT by 2025]]="yes",0,1))</f>
        <v>1</v>
      </c>
      <c r="Y42" s="1"/>
      <c r="Z42" s="1"/>
      <c r="AA42" s="51">
        <f ca="1">COUNTIF($X$5:Yards[[#This Row],['# yards]],"&gt;0")-10</f>
        <v>15</v>
      </c>
      <c r="AB42" s="1">
        <f ca="1">IF(ISBLANK(Yards[[#This Row],[DSGN CALENDAR YEAR]]),ROUNDDOWN(Yards[[#This Row],[Count]]/24,0)+$AB$1,Yards[[#This Row],[DSGN CALENDAR YEAR]])</f>
        <v>2021</v>
      </c>
      <c r="AC42" s="16">
        <f ca="1">Yards[[#This Row],[est. DSGN Year]]+1</f>
        <v>2022</v>
      </c>
    </row>
    <row r="43" spans="1:29" hidden="1">
      <c r="A43" s="13" t="s">
        <v>80</v>
      </c>
      <c r="B43" s="51" t="str">
        <f>VLOOKUP(Yards[[#This Row],[DEVELOPMENT]],Data[],2,FALSE)</f>
        <v>MANHATTAN</v>
      </c>
      <c r="C43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43" s="51" t="str">
        <f>VLOOKUP(Yards[[#This Row],[DEVELOPMENT]],Data[],52,FALSE)</f>
        <v>FEDERAL</v>
      </c>
      <c r="E43" s="50" t="str">
        <f>VLOOKUP(Yards[[#This Row],[DEVELOPMENT]],Data[],8,FALSE)</f>
        <v>Zone 3</v>
      </c>
      <c r="F43" s="51" t="str">
        <f>VLOOKUP(Yards[[#This Row],[DEVELOPMENT]],all[[DEVELOPMENT]:[MRST Ext. Comp. Priority]],6,FALSE)</f>
        <v>B</v>
      </c>
      <c r="G43" s="51">
        <f>VLOOKUP(Yards[[#This Row],[DEVELOPMENT]],all[[DEVELOPMENT]:[MRST Ext. Comp. Priority]],13,FALSE)</f>
        <v>3</v>
      </c>
      <c r="H43" s="50">
        <f>IF(VLOOKUP(Yards[[#This Row],[DEVELOPMENT]],Data[],9,FALSE)=0,5,VLOOKUP(Yards[[#This Row],[DEVELOPMENT]],Data[],9,FALSE))</f>
        <v>4</v>
      </c>
      <c r="I43" s="51">
        <f>VLOOKUP(Yards[[#This Row],[DEVELOPMENT]],Data[],33,FALSE)</f>
        <v>0</v>
      </c>
      <c r="J43" s="51">
        <f>VLOOKUP(Yards[[#This Row],[DEVELOPMENT]],Data[],28,FALSE)</f>
        <v>0</v>
      </c>
      <c r="K43" s="51"/>
      <c r="L43" s="50"/>
      <c r="M43" s="51" t="str">
        <f ca="1">IFERROR(VLOOKUP(Yards[[#This Row],[DEVELOPMENT]],Data[],4,FALSE),"")</f>
        <v>2020-2021</v>
      </c>
      <c r="N43" s="51" t="str">
        <f ca="1">IF(Yards[[#This Row],[RAD/PACT]]="","",IF(OR(Yards[[#This Row],[RAD/PACT]]="2022-2025",Yards[[#This Row],[RAD/PACT]]=2019,Yards[[#This Row],[RAD/PACT]]="2020-2021"),"Yes",""))</f>
        <v>Yes</v>
      </c>
      <c r="O43" s="51" t="str">
        <f ca="1">IFERROR(VLOOKUP(Yards[[#This Row],[DEVELOPMENT]],ExtComp[],8,FALSE),"")</f>
        <v/>
      </c>
      <c r="P43" s="51"/>
      <c r="Q43" s="51"/>
      <c r="R43" s="51" t="str">
        <f>IF(ISBLANK(Yards[[#This Row],[DSGN CALENDAR YEAR]]),"",Yards[[#This Row],[DSGN CALENDAR YEAR]]+1)</f>
        <v/>
      </c>
      <c r="S43" s="51" t="str">
        <f>IF(ISBLANK(Yards[[#This Row],[DSGN FISCAL YEAR]]),"",Yards[[#This Row],[DSGN FISCAL YEAR]]+1)</f>
        <v/>
      </c>
      <c r="T43" s="51"/>
      <c r="U43" s="128">
        <f ca="1">Yards[[#This Row],[Estimate]]*0.1</f>
        <v>0</v>
      </c>
      <c r="V43" s="47">
        <f ca="1">Yards[[#This Row],[Estimate]]-Yards[[#This Row],[Design Est.]]</f>
        <v>0</v>
      </c>
      <c r="W43" s="85">
        <f ca="1">(Yards[[#This Row],['# yards]]*INDEX(UnitCosts[],MATCH(Yards[[#This Row],[WORK TYPE]],UnitCosts[Work Type],0),2))*(1+((Yards[[#This Row],[est. CONS Year]]-YEAR(TODAY()))*$W$3))</f>
        <v>0</v>
      </c>
      <c r="X43" s="142">
        <f ca="1">IF(ISNUMBER(SEARCH("LLC",Yards[[#This Row],[PROGRAM]])),0,IF(Yards[[#This Row],[RAD/PACT by 2025]]="yes",0,1))</f>
        <v>0</v>
      </c>
      <c r="Y43" s="1"/>
      <c r="Z43" s="1"/>
      <c r="AA43" s="51">
        <f ca="1">COUNTIF($X$5:Yards[[#This Row],['# yards]],"&gt;0")-10</f>
        <v>15</v>
      </c>
      <c r="AB43" s="1">
        <f ca="1">IF(ISBLANK(Yards[[#This Row],[DSGN CALENDAR YEAR]]),ROUNDDOWN(Yards[[#This Row],[Count]]/24,0)+$AB$1,Yards[[#This Row],[DSGN CALENDAR YEAR]])</f>
        <v>2021</v>
      </c>
      <c r="AC43" s="16">
        <f ca="1">Yards[[#This Row],[est. DSGN Year]]+1</f>
        <v>2022</v>
      </c>
    </row>
    <row r="44" spans="1:29" hidden="1">
      <c r="A44" s="13" t="s">
        <v>207</v>
      </c>
      <c r="B44" s="51" t="str">
        <f>VLOOKUP(Yards[[#This Row],[DEVELOPMENT]],Data[],2,FALSE)</f>
        <v>BROOKLYN</v>
      </c>
      <c r="C44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44" s="51" t="str">
        <f>VLOOKUP(Yards[[#This Row],[DEVELOPMENT]],Data[],52,FALSE)</f>
        <v>FEDERAL</v>
      </c>
      <c r="E44" s="50">
        <f>VLOOKUP(Yards[[#This Row],[DEVELOPMENT]],Data[],8,FALSE)</f>
        <v>0</v>
      </c>
      <c r="F44" s="51" t="str">
        <f>VLOOKUP(Yards[[#This Row],[DEVELOPMENT]],all[[DEVELOPMENT]:[MRST Ext. Comp. Priority]],6,FALSE)</f>
        <v>B</v>
      </c>
      <c r="G44" s="51">
        <f>VLOOKUP(Yards[[#This Row],[DEVELOPMENT]],all[[DEVELOPMENT]:[MRST Ext. Comp. Priority]],13,FALSE)</f>
        <v>3</v>
      </c>
      <c r="H44" s="50">
        <f>IF(VLOOKUP(Yards[[#This Row],[DEVELOPMENT]],Data[],9,FALSE)=0,5,VLOOKUP(Yards[[#This Row],[DEVELOPMENT]],Data[],9,FALSE))</f>
        <v>5</v>
      </c>
      <c r="I44" s="51">
        <f>VLOOKUP(Yards[[#This Row],[DEVELOPMENT]],Data[],33,FALSE)</f>
        <v>3</v>
      </c>
      <c r="J44" s="51">
        <f>VLOOKUP(Yards[[#This Row],[DEVELOPMENT]],Data[],28,FALSE)</f>
        <v>0</v>
      </c>
      <c r="K44" s="51"/>
      <c r="L44" s="50"/>
      <c r="M44" s="51" t="str">
        <f ca="1">IFERROR(VLOOKUP(Yards[[#This Row],[DEVELOPMENT]],Data[],4,FALSE),"")</f>
        <v/>
      </c>
      <c r="N44" s="51" t="str">
        <f ca="1">IF(Yards[[#This Row],[RAD/PACT]]="","",IF(OR(Yards[[#This Row],[RAD/PACT]]="2022-2025",Yards[[#This Row],[RAD/PACT]]=2019,Yards[[#This Row],[RAD/PACT]]="2020-2021"),"Yes",""))</f>
        <v/>
      </c>
      <c r="O44" s="51">
        <f ca="1">IFERROR(VLOOKUP(Yards[[#This Row],[DEVELOPMENT]],ExtComp[],8,FALSE),"")</f>
        <v>11</v>
      </c>
      <c r="P44" s="51"/>
      <c r="Q44" s="51"/>
      <c r="R44" s="51" t="str">
        <f>IF(ISBLANK(Yards[[#This Row],[DSGN CALENDAR YEAR]]),"",Yards[[#This Row],[DSGN CALENDAR YEAR]]+1)</f>
        <v/>
      </c>
      <c r="S44" s="51" t="str">
        <f>IF(ISBLANK(Yards[[#This Row],[DSGN FISCAL YEAR]]),"",Yards[[#This Row],[DSGN FISCAL YEAR]]+1)</f>
        <v/>
      </c>
      <c r="T44" s="51"/>
      <c r="U44" s="128">
        <f>Yards[[#This Row],[Estimate]]*0.1</f>
        <v>0</v>
      </c>
      <c r="V44" s="47">
        <f>Yards[[#This Row],[Estimate]]-Yards[[#This Row],[Design Est.]]</f>
        <v>0</v>
      </c>
      <c r="W44" s="85"/>
      <c r="X44" s="142"/>
      <c r="Y44" s="1" t="s">
        <v>2298</v>
      </c>
      <c r="Z44" s="1"/>
      <c r="AA44" s="51">
        <f ca="1">COUNTIF($X$5:Yards[[#This Row],['# yards]],"&gt;0")-10</f>
        <v>15</v>
      </c>
      <c r="AB44" s="1">
        <f ca="1">IF(ISBLANK(Yards[[#This Row],[DSGN CALENDAR YEAR]]),ROUNDDOWN(Yards[[#This Row],[Count]]/24,0)+$AB$1,Yards[[#This Row],[DSGN CALENDAR YEAR]])</f>
        <v>2021</v>
      </c>
      <c r="AC44" s="16">
        <f ca="1">Yards[[#This Row],[est. DSGN Year]]+1</f>
        <v>2022</v>
      </c>
    </row>
    <row r="45" spans="1:29" hidden="1">
      <c r="A45" s="13" t="s">
        <v>213</v>
      </c>
      <c r="B45" s="51" t="str">
        <f>VLOOKUP(Yards[[#This Row],[DEVELOPMENT]],Data[],2,FALSE)</f>
        <v>BROOKLYN</v>
      </c>
      <c r="C45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45" s="51" t="str">
        <f>VLOOKUP(Yards[[#This Row],[DEVELOPMENT]],Data[],52,FALSE)</f>
        <v>FEDERAL</v>
      </c>
      <c r="E45" s="50">
        <f>VLOOKUP(Yards[[#This Row],[DEVELOPMENT]],Data[],8,FALSE)</f>
        <v>0</v>
      </c>
      <c r="F45" s="51" t="str">
        <f>VLOOKUP(Yards[[#This Row],[DEVELOPMENT]],all[[DEVELOPMENT]:[MRST Ext. Comp. Priority]],6,FALSE)</f>
        <v>B</v>
      </c>
      <c r="G45" s="51">
        <f>VLOOKUP(Yards[[#This Row],[DEVELOPMENT]],all[[DEVELOPMENT]:[MRST Ext. Comp. Priority]],13,FALSE)</f>
        <v>3</v>
      </c>
      <c r="H45" s="50">
        <f>IF(VLOOKUP(Yards[[#This Row],[DEVELOPMENT]],Data[],9,FALSE)=0,5,VLOOKUP(Yards[[#This Row],[DEVELOPMENT]],Data[],9,FALSE))</f>
        <v>5</v>
      </c>
      <c r="I45" s="51">
        <f>VLOOKUP(Yards[[#This Row],[DEVELOPMENT]],Data[],33,FALSE)</f>
        <v>2</v>
      </c>
      <c r="J45" s="51">
        <f>VLOOKUP(Yards[[#This Row],[DEVELOPMENT]],Data[],28,FALSE)</f>
        <v>0</v>
      </c>
      <c r="K45" s="51"/>
      <c r="L45" s="50"/>
      <c r="M45" s="51" t="str">
        <f ca="1">IFERROR(VLOOKUP(Yards[[#This Row],[DEVELOPMENT]],Data[],4,FALSE),"")</f>
        <v>2022-2025</v>
      </c>
      <c r="N45" s="51" t="str">
        <f ca="1">IF(Yards[[#This Row],[RAD/PACT]]="","",IF(OR(Yards[[#This Row],[RAD/PACT]]="2022-2025",Yards[[#This Row],[RAD/PACT]]=2019,Yards[[#This Row],[RAD/PACT]]="2020-2021"),"Yes",""))</f>
        <v>Yes</v>
      </c>
      <c r="O45" s="51">
        <f ca="1">IFERROR(VLOOKUP(Yards[[#This Row],[DEVELOPMENT]],ExtComp[],8,FALSE),"")</f>
        <v>2</v>
      </c>
      <c r="P45" s="51"/>
      <c r="Q45" s="51"/>
      <c r="R45" s="51" t="str">
        <f>IF(ISBLANK(Yards[[#This Row],[DSGN CALENDAR YEAR]]),"",Yards[[#This Row],[DSGN CALENDAR YEAR]]+1)</f>
        <v/>
      </c>
      <c r="S45" s="51" t="str">
        <f>IF(ISBLANK(Yards[[#This Row],[DSGN FISCAL YEAR]]),"",Yards[[#This Row],[DSGN FISCAL YEAR]]+1)</f>
        <v/>
      </c>
      <c r="T45" s="51"/>
      <c r="U45" s="128">
        <f ca="1">Yards[[#This Row],[Estimate]]*0.1</f>
        <v>0</v>
      </c>
      <c r="V45" s="47">
        <f ca="1">Yards[[#This Row],[Estimate]]-Yards[[#This Row],[Design Est.]]</f>
        <v>0</v>
      </c>
      <c r="W45" s="85">
        <f ca="1">(Yards[[#This Row],['# yards]]*INDEX(UnitCosts[],MATCH(Yards[[#This Row],[WORK TYPE]],UnitCosts[Work Type],0),2))*(1+((Yards[[#This Row],[est. CONS Year]]-YEAR(TODAY()))*$W$3))</f>
        <v>0</v>
      </c>
      <c r="X45" s="142">
        <f ca="1">IF(ISNUMBER(SEARCH("LLC",Yards[[#This Row],[PROGRAM]])),0,IF(Yards[[#This Row],[RAD/PACT by 2025]]="yes",0,1))</f>
        <v>0</v>
      </c>
      <c r="Y45" s="1"/>
      <c r="Z45" s="1"/>
      <c r="AA45" s="51">
        <f ca="1">COUNTIF($X$5:Yards[[#This Row],['# yards]],"&gt;0")-10</f>
        <v>15</v>
      </c>
      <c r="AB45" s="1">
        <f ca="1">IF(ISBLANK(Yards[[#This Row],[DSGN CALENDAR YEAR]]),ROUNDDOWN(Yards[[#This Row],[Count]]/24,0)+$AB$1,Yards[[#This Row],[DSGN CALENDAR YEAR]])</f>
        <v>2021</v>
      </c>
      <c r="AC45" s="16">
        <f ca="1">Yards[[#This Row],[est. DSGN Year]]+1</f>
        <v>2022</v>
      </c>
    </row>
    <row r="46" spans="1:29">
      <c r="A46" s="13" t="s">
        <v>142</v>
      </c>
      <c r="B46" s="51" t="str">
        <f>VLOOKUP(Yards[[#This Row],[DEVELOPMENT]],Data[],2,FALSE)</f>
        <v>BROOKLYN</v>
      </c>
      <c r="C4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46" s="51" t="str">
        <f>VLOOKUP(Yards[[#This Row],[DEVELOPMENT]],Data[],52,FALSE)</f>
        <v>FEDERAL</v>
      </c>
      <c r="E46" s="50" t="str">
        <f>VLOOKUP(Yards[[#This Row],[DEVELOPMENT]],Data[],8,FALSE)</f>
        <v>Zone 1</v>
      </c>
      <c r="F46" s="51" t="str">
        <f>VLOOKUP(Yards[[#This Row],[DEVELOPMENT]],all[[DEVELOPMENT]:[MRST Ext. Comp. Priority]],6,FALSE)</f>
        <v>B</v>
      </c>
      <c r="G46" s="51">
        <f>VLOOKUP(Yards[[#This Row],[DEVELOPMENT]],all[[DEVELOPMENT]:[MRST Ext. Comp. Priority]],13,FALSE)</f>
        <v>3</v>
      </c>
      <c r="H46" s="50">
        <f>IF(VLOOKUP(Yards[[#This Row],[DEVELOPMENT]],Data[],9,FALSE)=0,5,VLOOKUP(Yards[[#This Row],[DEVELOPMENT]],Data[],9,FALSE))</f>
        <v>4</v>
      </c>
      <c r="I46" s="51">
        <f>VLOOKUP(Yards[[#This Row],[DEVELOPMENT]],Data[],33,FALSE)</f>
        <v>0</v>
      </c>
      <c r="J46" s="51">
        <f>VLOOKUP(Yards[[#This Row],[DEVELOPMENT]],Data[],28,FALSE)</f>
        <v>0</v>
      </c>
      <c r="K46" s="51"/>
      <c r="L46" s="50"/>
      <c r="M46" s="51" t="str">
        <f ca="1">IFERROR(VLOOKUP(Yards[[#This Row],[DEVELOPMENT]],Data[],4,FALSE),"")</f>
        <v/>
      </c>
      <c r="N46" s="51" t="str">
        <f ca="1">IF(Yards[[#This Row],[RAD/PACT]]="","",IF(OR(Yards[[#This Row],[RAD/PACT]]="2022-2025",Yards[[#This Row],[RAD/PACT]]=2019,Yards[[#This Row],[RAD/PACT]]="2020-2021"),"Yes",""))</f>
        <v/>
      </c>
      <c r="O46" s="51" t="str">
        <f ca="1">IFERROR(VLOOKUP(Yards[[#This Row],[DEVELOPMENT]],ExtComp[],8,FALSE),"")</f>
        <v/>
      </c>
      <c r="P46" s="51"/>
      <c r="Q46" s="51"/>
      <c r="R46" s="51" t="str">
        <f>IF(ISBLANK(Yards[[#This Row],[DSGN CALENDAR YEAR]]),"",Yards[[#This Row],[DSGN CALENDAR YEAR]]+1)</f>
        <v/>
      </c>
      <c r="S46" s="51" t="str">
        <f>IF(ISBLANK(Yards[[#This Row],[DSGN FISCAL YEAR]]),"",Yards[[#This Row],[DSGN FISCAL YEAR]]+1)</f>
        <v/>
      </c>
      <c r="T46" s="51"/>
      <c r="U46" s="128">
        <f ca="1">Yards[[#This Row],[Estimate]]*0.1</f>
        <v>193407.39567800006</v>
      </c>
      <c r="V46" s="47">
        <f ca="1">Yards[[#This Row],[Estimate]]-Yards[[#This Row],[Design Est.]]</f>
        <v>1740666.5611020005</v>
      </c>
      <c r="W46" s="85">
        <f ca="1">(Yards[[#This Row],['# yards]]*INDEX(UnitCosts[],MATCH(Yards[[#This Row],[WORK TYPE]],UnitCosts[Work Type],0),2))*(1+((Yards[[#This Row],[est. CONS Year]]-YEAR(TODAY()))*$W$3))</f>
        <v>1934073.9567800006</v>
      </c>
      <c r="X46" s="142">
        <f ca="1">IF(ISNUMBER(SEARCH("LLC",Yards[[#This Row],[PROGRAM]])),0,IF(Yards[[#This Row],[RAD/PACT by 2025]]="yes",0,1))</f>
        <v>1</v>
      </c>
      <c r="Y46" s="1"/>
      <c r="Z46" s="1"/>
      <c r="AA46" s="51">
        <f ca="1">COUNTIF($X$5:Yards[[#This Row],['# yards]],"&gt;0")-10</f>
        <v>16</v>
      </c>
      <c r="AB46" s="1">
        <f ca="1">IF(ISBLANK(Yards[[#This Row],[DSGN CALENDAR YEAR]]),ROUNDDOWN(Yards[[#This Row],[Count]]/24,0)+$AB$1,Yards[[#This Row],[DSGN CALENDAR YEAR]])</f>
        <v>2021</v>
      </c>
      <c r="AC46" s="16">
        <f ca="1">Yards[[#This Row],[est. DSGN Year]]+1</f>
        <v>2022</v>
      </c>
    </row>
    <row r="47" spans="1:29">
      <c r="A47" s="13" t="s">
        <v>197</v>
      </c>
      <c r="B47" s="51" t="str">
        <f>VLOOKUP(Yards[[#This Row],[DEVELOPMENT]],Data[],2,FALSE)</f>
        <v>BRONX</v>
      </c>
      <c r="C4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47" s="51" t="str">
        <f>VLOOKUP(Yards[[#This Row],[DEVELOPMENT]],Data[],52,FALSE)</f>
        <v>FEDERAL</v>
      </c>
      <c r="E47" s="50">
        <f>VLOOKUP(Yards[[#This Row],[DEVELOPMENT]],Data[],8,FALSE)</f>
        <v>0</v>
      </c>
      <c r="F47" s="51" t="str">
        <f>VLOOKUP(Yards[[#This Row],[DEVELOPMENT]],all[[DEVELOPMENT]:[MRST Ext. Comp. Priority]],6,FALSE)</f>
        <v>B</v>
      </c>
      <c r="G47" s="51">
        <f>VLOOKUP(Yards[[#This Row],[DEVELOPMENT]],all[[DEVELOPMENT]:[MRST Ext. Comp. Priority]],13,FALSE)</f>
        <v>3</v>
      </c>
      <c r="H47" s="50">
        <f>IF(VLOOKUP(Yards[[#This Row],[DEVELOPMENT]],Data[],9,FALSE)=0,5,VLOOKUP(Yards[[#This Row],[DEVELOPMENT]],Data[],9,FALSE))</f>
        <v>5</v>
      </c>
      <c r="I47" s="51">
        <f>VLOOKUP(Yards[[#This Row],[DEVELOPMENT]],Data[],33,FALSE)</f>
        <v>4</v>
      </c>
      <c r="J47" s="51">
        <f>VLOOKUP(Yards[[#This Row],[DEVELOPMENT]],Data[],28,FALSE)</f>
        <v>0</v>
      </c>
      <c r="K47" s="51"/>
      <c r="L47" s="50"/>
      <c r="M47" s="51" t="str">
        <f ca="1">IFERROR(VLOOKUP(Yards[[#This Row],[DEVELOPMENT]],Data[],4,FALSE),"")</f>
        <v>2026+</v>
      </c>
      <c r="N47" s="51" t="str">
        <f ca="1">IF(Yards[[#This Row],[RAD/PACT]]="","",IF(OR(Yards[[#This Row],[RAD/PACT]]="2022-2025",Yards[[#This Row],[RAD/PACT]]=2019,Yards[[#This Row],[RAD/PACT]]="2020-2021"),"Yes",""))</f>
        <v/>
      </c>
      <c r="O47" s="51">
        <f ca="1">IFERROR(VLOOKUP(Yards[[#This Row],[DEVELOPMENT]],ExtComp[],8,FALSE),"")</f>
        <v>16</v>
      </c>
      <c r="P47" s="51"/>
      <c r="Q47" s="51"/>
      <c r="R47" s="51" t="str">
        <f>IF(ISBLANK(Yards[[#This Row],[DSGN CALENDAR YEAR]]),"",Yards[[#This Row],[DSGN CALENDAR YEAR]]+1)</f>
        <v/>
      </c>
      <c r="S47" s="51" t="str">
        <f>IF(ISBLANK(Yards[[#This Row],[DSGN FISCAL YEAR]]),"",Yards[[#This Row],[DSGN FISCAL YEAR]]+1)</f>
        <v/>
      </c>
      <c r="T47" s="51"/>
      <c r="U47" s="128">
        <f ca="1">Yards[[#This Row],[Estimate]]*0.1</f>
        <v>286609.55599909998</v>
      </c>
      <c r="V47" s="47">
        <f ca="1">Yards[[#This Row],[Estimate]]-Yards[[#This Row],[Design Est.]]</f>
        <v>2579486.0039919</v>
      </c>
      <c r="W47" s="85">
        <f ca="1">(Yards[[#This Row],['# yards]]*INDEX(UnitCosts[],MATCH(Yards[[#This Row],[WORK TYPE]],UnitCosts[Work Type],0),2))*(1+((Yards[[#This Row],[est. CONS Year]]-YEAR(TODAY()))*$W$3))</f>
        <v>2866095.5599909998</v>
      </c>
      <c r="X47" s="142">
        <f ca="1">IF(ISNUMBER(SEARCH("LLC",Yards[[#This Row],[PROGRAM]])),0,IF(Yards[[#This Row],[RAD/PACT by 2025]]="yes",0,1))</f>
        <v>1</v>
      </c>
      <c r="Y47" s="1"/>
      <c r="Z47" s="1"/>
      <c r="AA47" s="51">
        <f ca="1">COUNTIF($X$5:Yards[[#This Row],['# yards]],"&gt;0")-10</f>
        <v>17</v>
      </c>
      <c r="AB47" s="1">
        <f ca="1">IF(ISBLANK(Yards[[#This Row],[DSGN CALENDAR YEAR]]),ROUNDDOWN(Yards[[#This Row],[Count]]/24,0)+$AB$1,Yards[[#This Row],[DSGN CALENDAR YEAR]])</f>
        <v>2021</v>
      </c>
      <c r="AC47" s="16">
        <f ca="1">Yards[[#This Row],[est. DSGN Year]]+1</f>
        <v>2022</v>
      </c>
    </row>
    <row r="48" spans="1:29">
      <c r="A48" s="13" t="s">
        <v>221</v>
      </c>
      <c r="B48" s="51" t="str">
        <f>VLOOKUP(Yards[[#This Row],[DEVELOPMENT]],Data[],2,FALSE)</f>
        <v>MANHATTAN</v>
      </c>
      <c r="C48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48" s="51" t="str">
        <f>VLOOKUP(Yards[[#This Row],[DEVELOPMENT]],Data[],52,FALSE)</f>
        <v>FEDERAL</v>
      </c>
      <c r="E48" s="50" t="str">
        <f>VLOOKUP(Yards[[#This Row],[DEVELOPMENT]],Data[],8,FALSE)</f>
        <v>Zone 3</v>
      </c>
      <c r="F48" s="51" t="str">
        <f>VLOOKUP(Yards[[#This Row],[DEVELOPMENT]],all[[DEVELOPMENT]:[MRST Ext. Comp. Priority]],6,FALSE)</f>
        <v>B</v>
      </c>
      <c r="G48" s="51">
        <f>VLOOKUP(Yards[[#This Row],[DEVELOPMENT]],all[[DEVELOPMENT]:[MRST Ext. Comp. Priority]],13,FALSE)</f>
        <v>3</v>
      </c>
      <c r="H48" s="50">
        <f>IF(VLOOKUP(Yards[[#This Row],[DEVELOPMENT]],Data[],9,FALSE)=0,5,VLOOKUP(Yards[[#This Row],[DEVELOPMENT]],Data[],9,FALSE))</f>
        <v>5</v>
      </c>
      <c r="I48" s="51">
        <f>VLOOKUP(Yards[[#This Row],[DEVELOPMENT]],Data[],33,FALSE)</f>
        <v>0</v>
      </c>
      <c r="J48" s="51">
        <f>VLOOKUP(Yards[[#This Row],[DEVELOPMENT]],Data[],28,FALSE)</f>
        <v>0</v>
      </c>
      <c r="K48" s="51"/>
      <c r="L48" s="50"/>
      <c r="M48" s="51" t="str">
        <f ca="1">IFERROR(VLOOKUP(Yards[[#This Row],[DEVELOPMENT]],Data[],4,FALSE),"")</f>
        <v/>
      </c>
      <c r="N48" s="51" t="str">
        <f ca="1">IF(Yards[[#This Row],[RAD/PACT]]="","",IF(OR(Yards[[#This Row],[RAD/PACT]]="2022-2025",Yards[[#This Row],[RAD/PACT]]=2019,Yards[[#This Row],[RAD/PACT]]="2020-2021"),"Yes",""))</f>
        <v/>
      </c>
      <c r="O48" s="51" t="str">
        <f ca="1">IFERROR(VLOOKUP(Yards[[#This Row],[DEVELOPMENT]],ExtComp[],8,FALSE),"")</f>
        <v/>
      </c>
      <c r="P48" s="51"/>
      <c r="Q48" s="51"/>
      <c r="R48" s="51"/>
      <c r="S48" s="51" t="str">
        <f>IF(ISBLANK(Yards[[#This Row],[DSGN FISCAL YEAR]]),"",Yards[[#This Row],[DSGN FISCAL YEAR]]+1)</f>
        <v/>
      </c>
      <c r="T48" s="51"/>
      <c r="U48" s="128">
        <f ca="1">Yards[[#This Row],[Estimate]]*0.1</f>
        <v>193407.39567800006</v>
      </c>
      <c r="V48" s="47">
        <f ca="1">Yards[[#This Row],[Estimate]]-Yards[[#This Row],[Design Est.]]</f>
        <v>1740666.5611020005</v>
      </c>
      <c r="W48" s="85">
        <f ca="1">(Yards[[#This Row],['# yards]]*INDEX(UnitCosts[],MATCH(Yards[[#This Row],[WORK TYPE]],UnitCosts[Work Type],0),2))*(1+((Yards[[#This Row],[est. CONS Year]]-YEAR(TODAY()))*$W$3))</f>
        <v>1934073.9567800006</v>
      </c>
      <c r="X48" s="142">
        <f ca="1">IF(ISNUMBER(SEARCH("LLC",Yards[[#This Row],[PROGRAM]])),0,IF(Yards[[#This Row],[RAD/PACT by 2025]]="yes",0,1))</f>
        <v>1</v>
      </c>
      <c r="Y48" s="1"/>
      <c r="Z48" s="1"/>
      <c r="AA48" s="51">
        <f ca="1">COUNTIF($X$5:Yards[[#This Row],['# yards]],"&gt;0")-10</f>
        <v>18</v>
      </c>
      <c r="AB48" s="1">
        <f ca="1">IF(ISBLANK(Yards[[#This Row],[DSGN CALENDAR YEAR]]),ROUNDDOWN(Yards[[#This Row],[Count]]/24,0)+$AB$1,Yards[[#This Row],[DSGN CALENDAR YEAR]])</f>
        <v>2021</v>
      </c>
      <c r="AC48" s="16">
        <f ca="1">Yards[[#This Row],[est. DSGN Year]]+1</f>
        <v>2022</v>
      </c>
    </row>
    <row r="49" spans="1:29">
      <c r="A49" s="13" t="s">
        <v>203</v>
      </c>
      <c r="B49" s="51" t="str">
        <f>VLOOKUP(Yards[[#This Row],[DEVELOPMENT]],Data[],2,FALSE)</f>
        <v>BROOKLYN</v>
      </c>
      <c r="C4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49" s="51" t="str">
        <f>VLOOKUP(Yards[[#This Row],[DEVELOPMENT]],Data[],52,FALSE)</f>
        <v>FEDERAL</v>
      </c>
      <c r="E49" s="50">
        <f>VLOOKUP(Yards[[#This Row],[DEVELOPMENT]],Data[],8,FALSE)</f>
        <v>0</v>
      </c>
      <c r="F49" s="51" t="str">
        <f>VLOOKUP(Yards[[#This Row],[DEVELOPMENT]],all[[DEVELOPMENT]:[MRST Ext. Comp. Priority]],6,FALSE)</f>
        <v>B</v>
      </c>
      <c r="G49" s="51">
        <f>VLOOKUP(Yards[[#This Row],[DEVELOPMENT]],all[[DEVELOPMENT]:[MRST Ext. Comp. Priority]],13,FALSE)</f>
        <v>3</v>
      </c>
      <c r="H49" s="50">
        <f>IF(VLOOKUP(Yards[[#This Row],[DEVELOPMENT]],Data[],9,FALSE)=0,5,VLOOKUP(Yards[[#This Row],[DEVELOPMENT]],Data[],9,FALSE))</f>
        <v>5</v>
      </c>
      <c r="I49" s="51">
        <f>VLOOKUP(Yards[[#This Row],[DEVELOPMENT]],Data[],33,FALSE)</f>
        <v>0</v>
      </c>
      <c r="J49" s="51">
        <f>VLOOKUP(Yards[[#This Row],[DEVELOPMENT]],Data[],28,FALSE)</f>
        <v>0</v>
      </c>
      <c r="K49" s="51"/>
      <c r="L49" s="50"/>
      <c r="M49" s="51" t="str">
        <f ca="1">IFERROR(VLOOKUP(Yards[[#This Row],[DEVELOPMENT]],Data[],4,FALSE),"")</f>
        <v>2026+</v>
      </c>
      <c r="N49" s="51" t="str">
        <f ca="1">IF(Yards[[#This Row],[RAD/PACT]]="","",IF(OR(Yards[[#This Row],[RAD/PACT]]="2022-2025",Yards[[#This Row],[RAD/PACT]]=2019,Yards[[#This Row],[RAD/PACT]]="2020-2021"),"Yes",""))</f>
        <v/>
      </c>
      <c r="O49" s="51" t="str">
        <f ca="1">IFERROR(VLOOKUP(Yards[[#This Row],[DEVELOPMENT]],ExtComp[],8,FALSE),"")</f>
        <v/>
      </c>
      <c r="P49" s="51"/>
      <c r="Q49" s="51"/>
      <c r="R49" s="51"/>
      <c r="S49" s="51" t="str">
        <f>IF(ISBLANK(Yards[[#This Row],[DSGN FISCAL YEAR]]),"",Yards[[#This Row],[DSGN FISCAL YEAR]]+1)</f>
        <v/>
      </c>
      <c r="T49" s="51"/>
      <c r="U49" s="128">
        <f ca="1">Yards[[#This Row],[Estimate]]*0.1</f>
        <v>193407.39567800006</v>
      </c>
      <c r="V49" s="47">
        <f ca="1">Yards[[#This Row],[Estimate]]-Yards[[#This Row],[Design Est.]]</f>
        <v>1740666.5611020005</v>
      </c>
      <c r="W49" s="85">
        <f ca="1">(Yards[[#This Row],['# yards]]*INDEX(UnitCosts[],MATCH(Yards[[#This Row],[WORK TYPE]],UnitCosts[Work Type],0),2))*(1+((Yards[[#This Row],[est. CONS Year]]-YEAR(TODAY()))*$W$3))</f>
        <v>1934073.9567800006</v>
      </c>
      <c r="X49" s="142">
        <f ca="1">IF(ISNUMBER(SEARCH("LLC",Yards[[#This Row],[PROGRAM]])),0,IF(Yards[[#This Row],[RAD/PACT by 2025]]="yes",0,1))</f>
        <v>1</v>
      </c>
      <c r="Y49" s="1"/>
      <c r="Z49" s="1"/>
      <c r="AA49" s="51">
        <f ca="1">COUNTIF($X$5:Yards[[#This Row],['# yards]],"&gt;0")-10</f>
        <v>19</v>
      </c>
      <c r="AB49" s="1">
        <f ca="1">IF(ISBLANK(Yards[[#This Row],[DSGN CALENDAR YEAR]]),ROUNDDOWN(Yards[[#This Row],[Count]]/24,0)+$AB$1,Yards[[#This Row],[DSGN CALENDAR YEAR]])</f>
        <v>2021</v>
      </c>
      <c r="AC49" s="16">
        <f ca="1">Yards[[#This Row],[est. DSGN Year]]+1</f>
        <v>2022</v>
      </c>
    </row>
    <row r="50" spans="1:29" hidden="1">
      <c r="A50" s="13" t="s">
        <v>191</v>
      </c>
      <c r="B50" s="51" t="str">
        <f>VLOOKUP(Yards[[#This Row],[DEVELOPMENT]],Data[],2,FALSE)</f>
        <v>BROOKLYN</v>
      </c>
      <c r="C5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50" s="51" t="str">
        <f>VLOOKUP(Yards[[#This Row],[DEVELOPMENT]],Data[],52,FALSE)</f>
        <v>FEDERAL</v>
      </c>
      <c r="E50" s="50" t="str">
        <f>VLOOKUP(Yards[[#This Row],[DEVELOPMENT]],Data[],8,FALSE)</f>
        <v>Zone 4</v>
      </c>
      <c r="F50" s="51" t="str">
        <f>VLOOKUP(Yards[[#This Row],[DEVELOPMENT]],all[[DEVELOPMENT]:[MRST Ext. Comp. Priority]],6,FALSE)</f>
        <v>B</v>
      </c>
      <c r="G50" s="51">
        <f>VLOOKUP(Yards[[#This Row],[DEVELOPMENT]],all[[DEVELOPMENT]:[MRST Ext. Comp. Priority]],13,FALSE)</f>
        <v>3</v>
      </c>
      <c r="H50" s="50">
        <f>IF(VLOOKUP(Yards[[#This Row],[DEVELOPMENT]],Data[],9,FALSE)=0,5,VLOOKUP(Yards[[#This Row],[DEVELOPMENT]],Data[],9,FALSE))</f>
        <v>5</v>
      </c>
      <c r="I50" s="51">
        <f>VLOOKUP(Yards[[#This Row],[DEVELOPMENT]],Data[],33,FALSE)</f>
        <v>0</v>
      </c>
      <c r="J50" s="51">
        <f>VLOOKUP(Yards[[#This Row],[DEVELOPMENT]],Data[],28,FALSE)</f>
        <v>0</v>
      </c>
      <c r="K50" s="51"/>
      <c r="L50" s="50"/>
      <c r="M50" s="51" t="str">
        <f ca="1">IFERROR(VLOOKUP(Yards[[#This Row],[DEVELOPMENT]],Data[],4,FALSE),"")</f>
        <v/>
      </c>
      <c r="N50" s="51" t="str">
        <f ca="1">IF(Yards[[#This Row],[RAD/PACT]]="","",IF(OR(Yards[[#This Row],[RAD/PACT]]="2022-2025",Yards[[#This Row],[RAD/PACT]]=2019,Yards[[#This Row],[RAD/PACT]]="2020-2021"),"Yes",""))</f>
        <v/>
      </c>
      <c r="O50" s="51" t="str">
        <f ca="1">IFERROR(VLOOKUP(Yards[[#This Row],[DEVELOPMENT]],ExtComp[],8,FALSE),"")</f>
        <v/>
      </c>
      <c r="P50" s="51"/>
      <c r="Q50" s="51"/>
      <c r="R50" s="51"/>
      <c r="S50" s="51" t="str">
        <f>IF(ISBLANK(Yards[[#This Row],[DSGN FISCAL YEAR]]),"",Yards[[#This Row],[DSGN FISCAL YEAR]]+1)</f>
        <v/>
      </c>
      <c r="T50" s="51"/>
      <c r="U50" s="128">
        <f>Yards[[#This Row],[Estimate]]*0.1</f>
        <v>0</v>
      </c>
      <c r="V50" s="47">
        <f>Yards[[#This Row],[Estimate]]-Yards[[#This Row],[Design Est.]]</f>
        <v>0</v>
      </c>
      <c r="W50" s="85">
        <v>0</v>
      </c>
      <c r="X50" s="142">
        <f ca="1">IF(ISNUMBER(SEARCH("LLC",Yards[[#This Row],[PROGRAM]])),0,IF(Yards[[#This Row],[RAD/PACT by 2025]]="yes",0,1))</f>
        <v>1</v>
      </c>
      <c r="Y50" s="1"/>
      <c r="Z50" s="1"/>
      <c r="AA50" s="51">
        <f ca="1">COUNTIF($X$5:Yards[[#This Row],['# yards]],"&gt;0")-10</f>
        <v>20</v>
      </c>
      <c r="AB50" s="1">
        <f ca="1">IF(ISBLANK(Yards[[#This Row],[DSGN CALENDAR YEAR]]),ROUNDDOWN(Yards[[#This Row],[Count]]/24,0)+$AB$1,Yards[[#This Row],[DSGN CALENDAR YEAR]])</f>
        <v>2021</v>
      </c>
      <c r="AC50" s="16">
        <f ca="1">Yards[[#This Row],[est. DSGN Year]]+1</f>
        <v>2022</v>
      </c>
    </row>
    <row r="51" spans="1:29">
      <c r="A51" s="13" t="s">
        <v>205</v>
      </c>
      <c r="B51" s="51" t="str">
        <f>VLOOKUP(Yards[[#This Row],[DEVELOPMENT]],Data[],2,FALSE)</f>
        <v>BROOKLYN</v>
      </c>
      <c r="C51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51" s="51" t="str">
        <f>VLOOKUP(Yards[[#This Row],[DEVELOPMENT]],Data[],52,FALSE)</f>
        <v>FEDERAL</v>
      </c>
      <c r="E51" s="50">
        <f>VLOOKUP(Yards[[#This Row],[DEVELOPMENT]],Data[],8,FALSE)</f>
        <v>0</v>
      </c>
      <c r="F51" s="51" t="str">
        <f>VLOOKUP(Yards[[#This Row],[DEVELOPMENT]],all[[DEVELOPMENT]:[MRST Ext. Comp. Priority]],6,FALSE)</f>
        <v>B</v>
      </c>
      <c r="G51" s="51">
        <f>VLOOKUP(Yards[[#This Row],[DEVELOPMENT]],all[[DEVELOPMENT]:[MRST Ext. Comp. Priority]],13,FALSE)</f>
        <v>3</v>
      </c>
      <c r="H51" s="50">
        <f>IF(VLOOKUP(Yards[[#This Row],[DEVELOPMENT]],Data[],9,FALSE)=0,5,VLOOKUP(Yards[[#This Row],[DEVELOPMENT]],Data[],9,FALSE))</f>
        <v>5</v>
      </c>
      <c r="I51" s="51">
        <f>VLOOKUP(Yards[[#This Row],[DEVELOPMENT]],Data[],33,FALSE)</f>
        <v>0</v>
      </c>
      <c r="J51" s="51">
        <f>VLOOKUP(Yards[[#This Row],[DEVELOPMENT]],Data[],28,FALSE)</f>
        <v>0</v>
      </c>
      <c r="K51" s="51"/>
      <c r="L51" s="50"/>
      <c r="M51" s="51" t="str">
        <f ca="1">IFERROR(VLOOKUP(Yards[[#This Row],[DEVELOPMENT]],Data[],4,FALSE),"")</f>
        <v/>
      </c>
      <c r="N51" s="51" t="str">
        <f ca="1">IF(Yards[[#This Row],[RAD/PACT]]="","",IF(OR(Yards[[#This Row],[RAD/PACT]]="2022-2025",Yards[[#This Row],[RAD/PACT]]=2019,Yards[[#This Row],[RAD/PACT]]="2020-2021"),"Yes",""))</f>
        <v/>
      </c>
      <c r="O51" s="51" t="str">
        <f ca="1">IFERROR(VLOOKUP(Yards[[#This Row],[DEVELOPMENT]],ExtComp[],8,FALSE),"")</f>
        <v/>
      </c>
      <c r="P51" s="51"/>
      <c r="Q51" s="51"/>
      <c r="R51" s="51"/>
      <c r="S51" s="51" t="str">
        <f>IF(ISBLANK(Yards[[#This Row],[DSGN FISCAL YEAR]]),"",Yards[[#This Row],[DSGN FISCAL YEAR]]+1)</f>
        <v/>
      </c>
      <c r="T51" s="51"/>
      <c r="U51" s="128">
        <f ca="1">Yards[[#This Row],[Estimate]]*0.1</f>
        <v>193407.39567800006</v>
      </c>
      <c r="V51" s="47">
        <f ca="1">Yards[[#This Row],[Estimate]]-Yards[[#This Row],[Design Est.]]</f>
        <v>1740666.5611020005</v>
      </c>
      <c r="W51" s="85">
        <f ca="1">(Yards[[#This Row],['# yards]]*INDEX(UnitCosts[],MATCH(Yards[[#This Row],[WORK TYPE]],UnitCosts[Work Type],0),2))*(1+((Yards[[#This Row],[est. CONS Year]]-YEAR(TODAY()))*$W$3))</f>
        <v>1934073.9567800006</v>
      </c>
      <c r="X51" s="142">
        <f ca="1">IF(ISNUMBER(SEARCH("LLC",Yards[[#This Row],[PROGRAM]])),0,IF(Yards[[#This Row],[RAD/PACT by 2025]]="yes",0,1))</f>
        <v>1</v>
      </c>
      <c r="Y51" s="1"/>
      <c r="Z51" s="1"/>
      <c r="AA51" s="51">
        <f ca="1">COUNTIF($X$5:Yards[[#This Row],['# yards]],"&gt;0")-10</f>
        <v>21</v>
      </c>
      <c r="AB51" s="1">
        <f ca="1">IF(ISBLANK(Yards[[#This Row],[DSGN CALENDAR YEAR]]),ROUNDDOWN(Yards[[#This Row],[Count]]/24,0)+$AB$1,Yards[[#This Row],[DSGN CALENDAR YEAR]])</f>
        <v>2021</v>
      </c>
      <c r="AC51" s="16">
        <f ca="1">Yards[[#This Row],[est. DSGN Year]]+1</f>
        <v>2022</v>
      </c>
    </row>
    <row r="52" spans="1:29">
      <c r="A52" s="13" t="s">
        <v>199</v>
      </c>
      <c r="B52" s="51" t="str">
        <f>VLOOKUP(Yards[[#This Row],[DEVELOPMENT]],Data[],2,FALSE)</f>
        <v>BROOKLYN</v>
      </c>
      <c r="C5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52" s="51" t="str">
        <f>VLOOKUP(Yards[[#This Row],[DEVELOPMENT]],Data[],52,FALSE)</f>
        <v>FEDERAL</v>
      </c>
      <c r="E52" s="50">
        <f>VLOOKUP(Yards[[#This Row],[DEVELOPMENT]],Data[],8,FALSE)</f>
        <v>0</v>
      </c>
      <c r="F52" s="51" t="str">
        <f>VLOOKUP(Yards[[#This Row],[DEVELOPMENT]],all[[DEVELOPMENT]:[MRST Ext. Comp. Priority]],6,FALSE)</f>
        <v>B</v>
      </c>
      <c r="G52" s="51">
        <f>VLOOKUP(Yards[[#This Row],[DEVELOPMENT]],all[[DEVELOPMENT]:[MRST Ext. Comp. Priority]],13,FALSE)</f>
        <v>3</v>
      </c>
      <c r="H52" s="50">
        <f>IF(VLOOKUP(Yards[[#This Row],[DEVELOPMENT]],Data[],9,FALSE)=0,5,VLOOKUP(Yards[[#This Row],[DEVELOPMENT]],Data[],9,FALSE))</f>
        <v>5</v>
      </c>
      <c r="I52" s="51">
        <f>VLOOKUP(Yards[[#This Row],[DEVELOPMENT]],Data[],33,FALSE)</f>
        <v>2</v>
      </c>
      <c r="J52" s="51">
        <f>VLOOKUP(Yards[[#This Row],[DEVELOPMENT]],Data[],28,FALSE)</f>
        <v>0</v>
      </c>
      <c r="K52" s="51"/>
      <c r="L52" s="50"/>
      <c r="M52" s="51" t="str">
        <f ca="1">IFERROR(VLOOKUP(Yards[[#This Row],[DEVELOPMENT]],Data[],4,FALSE),"")</f>
        <v>2026+</v>
      </c>
      <c r="N52" s="51" t="str">
        <f ca="1">IF(Yards[[#This Row],[RAD/PACT]]="","",IF(OR(Yards[[#This Row],[RAD/PACT]]="2022-2025",Yards[[#This Row],[RAD/PACT]]=2019,Yards[[#This Row],[RAD/PACT]]="2020-2021"),"Yes",""))</f>
        <v/>
      </c>
      <c r="O52" s="51">
        <f ca="1">IFERROR(VLOOKUP(Yards[[#This Row],[DEVELOPMENT]],ExtComp[],8,FALSE),"")</f>
        <v>13</v>
      </c>
      <c r="P52" s="51"/>
      <c r="Q52" s="51"/>
      <c r="R52" s="51" t="str">
        <f>IF(ISBLANK(Yards[[#This Row],[DSGN CALENDAR YEAR]]),"",Yards[[#This Row],[DSGN CALENDAR YEAR]]+1)</f>
        <v/>
      </c>
      <c r="S52" s="51" t="str">
        <f>IF(ISBLANK(Yards[[#This Row],[DSGN FISCAL YEAR]]),"",Yards[[#This Row],[DSGN FISCAL YEAR]]+1)</f>
        <v/>
      </c>
      <c r="T52" s="51"/>
      <c r="U52" s="128">
        <f ca="1">Yards[[#This Row],[Estimate]]*0.1</f>
        <v>216185.89406550006</v>
      </c>
      <c r="V52" s="47">
        <f ca="1">Yards[[#This Row],[Estimate]]-Yards[[#This Row],[Design Est.]]</f>
        <v>1945673.0465895005</v>
      </c>
      <c r="W52" s="85">
        <f ca="1">(Yards[[#This Row],['# yards]]*INDEX(UnitCosts[],MATCH(Yards[[#This Row],[WORK TYPE]],UnitCosts[Work Type],0),2))*(1+((Yards[[#This Row],[est. CONS Year]]-YEAR(TODAY()))*$W$3))</f>
        <v>2161858.9406550005</v>
      </c>
      <c r="X52" s="142">
        <f ca="1">IF(ISNUMBER(SEARCH("LLC",Yards[[#This Row],[PROGRAM]])),0,IF(Yards[[#This Row],[RAD/PACT by 2025]]="yes",0,1))</f>
        <v>1</v>
      </c>
      <c r="Y52" s="1"/>
      <c r="Z52" s="1"/>
      <c r="AA52" s="51">
        <f ca="1">COUNTIF($X$5:Yards[[#This Row],['# yards]],"&gt;0")-10</f>
        <v>22</v>
      </c>
      <c r="AB52" s="1">
        <f ca="1">IF(ISBLANK(Yards[[#This Row],[DSGN CALENDAR YEAR]]),ROUNDDOWN(Yards[[#This Row],[Count]]/24,0)+$AB$1,Yards[[#This Row],[DSGN CALENDAR YEAR]])</f>
        <v>2021</v>
      </c>
      <c r="AC52" s="16">
        <f ca="1">Yards[[#This Row],[est. DSGN Year]]+1</f>
        <v>2022</v>
      </c>
    </row>
    <row r="53" spans="1:29">
      <c r="A53" s="13" t="s">
        <v>190</v>
      </c>
      <c r="B53" s="51" t="str">
        <f>VLOOKUP(Yards[[#This Row],[DEVELOPMENT]],Data[],2,FALSE)</f>
        <v>BROOKLYN</v>
      </c>
      <c r="C5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53" s="51" t="str">
        <f>VLOOKUP(Yards[[#This Row],[DEVELOPMENT]],Data[],52,FALSE)</f>
        <v>FEDERAL</v>
      </c>
      <c r="E53" s="50">
        <f>VLOOKUP(Yards[[#This Row],[DEVELOPMENT]],Data[],8,FALSE)</f>
        <v>0</v>
      </c>
      <c r="F53" s="51" t="str">
        <f>VLOOKUP(Yards[[#This Row],[DEVELOPMENT]],all[[DEVELOPMENT]:[MRST Ext. Comp. Priority]],6,FALSE)</f>
        <v>B</v>
      </c>
      <c r="G53" s="51">
        <f>VLOOKUP(Yards[[#This Row],[DEVELOPMENT]],all[[DEVELOPMENT]:[MRST Ext. Comp. Priority]],13,FALSE)</f>
        <v>3</v>
      </c>
      <c r="H53" s="50">
        <f>IF(VLOOKUP(Yards[[#This Row],[DEVELOPMENT]],Data[],9,FALSE)=0,5,VLOOKUP(Yards[[#This Row],[DEVELOPMENT]],Data[],9,FALSE))</f>
        <v>5</v>
      </c>
      <c r="I53" s="51">
        <f>VLOOKUP(Yards[[#This Row],[DEVELOPMENT]],Data[],33,FALSE)</f>
        <v>2</v>
      </c>
      <c r="J53" s="51">
        <f>VLOOKUP(Yards[[#This Row],[DEVELOPMENT]],Data[],28,FALSE)</f>
        <v>0</v>
      </c>
      <c r="K53" s="51"/>
      <c r="L53" s="50"/>
      <c r="M53" s="51" t="str">
        <f ca="1">IFERROR(VLOOKUP(Yards[[#This Row],[DEVELOPMENT]],Data[],4,FALSE),"")</f>
        <v>2026+</v>
      </c>
      <c r="N53" s="51" t="str">
        <f ca="1">IF(Yards[[#This Row],[RAD/PACT]]="","",IF(OR(Yards[[#This Row],[RAD/PACT]]="2022-2025",Yards[[#This Row],[RAD/PACT]]=2019,Yards[[#This Row],[RAD/PACT]]="2020-2021"),"Yes",""))</f>
        <v/>
      </c>
      <c r="O53" s="51">
        <f ca="1">IFERROR(VLOOKUP(Yards[[#This Row],[DEVELOPMENT]],ExtComp[],8,FALSE),"")</f>
        <v>17</v>
      </c>
      <c r="P53" s="51"/>
      <c r="Q53" s="51"/>
      <c r="R53" s="51" t="str">
        <f>IF(ISBLANK(Yards[[#This Row],[DSGN CALENDAR YEAR]]),"",Yards[[#This Row],[DSGN CALENDAR YEAR]]+1)</f>
        <v/>
      </c>
      <c r="S53" s="51" t="str">
        <f>IF(ISBLANK(Yards[[#This Row],[DSGN FISCAL YEAR]]),"",Yards[[#This Row],[DSGN FISCAL YEAR]]+1)</f>
        <v/>
      </c>
      <c r="T53" s="51"/>
      <c r="U53" s="128">
        <f ca="1">Yards[[#This Row],[Estimate]]*0.1</f>
        <v>216185.89406550006</v>
      </c>
      <c r="V53" s="47">
        <f ca="1">Yards[[#This Row],[Estimate]]-Yards[[#This Row],[Design Est.]]</f>
        <v>1945673.0465895005</v>
      </c>
      <c r="W53" s="85">
        <f ca="1">(Yards[[#This Row],['# yards]]*INDEX(UnitCosts[],MATCH(Yards[[#This Row],[WORK TYPE]],UnitCosts[Work Type],0),2))*(1+((Yards[[#This Row],[est. CONS Year]]-YEAR(TODAY()))*$W$3))</f>
        <v>2161858.9406550005</v>
      </c>
      <c r="X53" s="142">
        <f ca="1">IF(ISNUMBER(SEARCH("LLC",Yards[[#This Row],[PROGRAM]])),0,IF(Yards[[#This Row],[RAD/PACT by 2025]]="yes",0,1))</f>
        <v>1</v>
      </c>
      <c r="Y53" s="1"/>
      <c r="Z53" s="1"/>
      <c r="AA53" s="51">
        <f ca="1">COUNTIF($X$5:Yards[[#This Row],['# yards]],"&gt;0")-10</f>
        <v>23</v>
      </c>
      <c r="AB53" s="1">
        <f ca="1">IF(ISBLANK(Yards[[#This Row],[DSGN CALENDAR YEAR]]),ROUNDDOWN(Yards[[#This Row],[Count]]/24,0)+$AB$1,Yards[[#This Row],[DSGN CALENDAR YEAR]])</f>
        <v>2021</v>
      </c>
      <c r="AC53" s="16">
        <f ca="1">Yards[[#This Row],[est. DSGN Year]]+1</f>
        <v>2022</v>
      </c>
    </row>
    <row r="54" spans="1:29">
      <c r="A54" s="13" t="s">
        <v>192</v>
      </c>
      <c r="B54" s="51" t="str">
        <f>VLOOKUP(Yards[[#This Row],[DEVELOPMENT]],Data[],2,FALSE)</f>
        <v>BROOKLYN</v>
      </c>
      <c r="C54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54" s="51" t="str">
        <f>VLOOKUP(Yards[[#This Row],[DEVELOPMENT]],Data[],52,FALSE)</f>
        <v>FEDERAL</v>
      </c>
      <c r="E54" s="50">
        <f>VLOOKUP(Yards[[#This Row],[DEVELOPMENT]],Data[],8,FALSE)</f>
        <v>0</v>
      </c>
      <c r="F54" s="51" t="str">
        <f>VLOOKUP(Yards[[#This Row],[DEVELOPMENT]],all[[DEVELOPMENT]:[MRST Ext. Comp. Priority]],6,FALSE)</f>
        <v>B</v>
      </c>
      <c r="G54" s="51">
        <f>VLOOKUP(Yards[[#This Row],[DEVELOPMENT]],all[[DEVELOPMENT]:[MRST Ext. Comp. Priority]],13,FALSE)</f>
        <v>3</v>
      </c>
      <c r="H54" s="50">
        <f>IF(VLOOKUP(Yards[[#This Row],[DEVELOPMENT]],Data[],9,FALSE)=0,5,VLOOKUP(Yards[[#This Row],[DEVELOPMENT]],Data[],9,FALSE))</f>
        <v>5</v>
      </c>
      <c r="I54" s="51">
        <f>VLOOKUP(Yards[[#This Row],[DEVELOPMENT]],Data[],33,FALSE)</f>
        <v>0</v>
      </c>
      <c r="J54" s="51">
        <f>VLOOKUP(Yards[[#This Row],[DEVELOPMENT]],Data[],28,FALSE)</f>
        <v>0</v>
      </c>
      <c r="K54" s="51"/>
      <c r="L54" s="50">
        <v>1</v>
      </c>
      <c r="M54" s="51" t="str">
        <f ca="1">IFERROR(VLOOKUP(Yards[[#This Row],[DEVELOPMENT]],Data[],4,FALSE),"")</f>
        <v/>
      </c>
      <c r="N54" s="51" t="str">
        <f ca="1">IF(Yards[[#This Row],[RAD/PACT]]="","",IF(OR(Yards[[#This Row],[RAD/PACT]]="2022-2025",Yards[[#This Row],[RAD/PACT]]=2019,Yards[[#This Row],[RAD/PACT]]="2020-2021"),"Yes",""))</f>
        <v/>
      </c>
      <c r="O54" s="51" t="str">
        <f ca="1">IFERROR(VLOOKUP(Yards[[#This Row],[DEVELOPMENT]],ExtComp[],8,FALSE),"")</f>
        <v/>
      </c>
      <c r="P54" s="51"/>
      <c r="Q54" s="51"/>
      <c r="R54" s="51" t="str">
        <f>IF(ISBLANK(Yards[[#This Row],[DSGN CALENDAR YEAR]]),"",Yards[[#This Row],[DSGN CALENDAR YEAR]]+1)</f>
        <v/>
      </c>
      <c r="S54" s="51" t="str">
        <f>IF(ISBLANK(Yards[[#This Row],[DSGN FISCAL YEAR]]),"",Yards[[#This Row],[DSGN FISCAL YEAR]]+1)</f>
        <v/>
      </c>
      <c r="T54" s="51"/>
      <c r="U54" s="128">
        <f ca="1">Yards[[#This Row],[Estimate]]*0.1</f>
        <v>199733.80581700004</v>
      </c>
      <c r="V54" s="47">
        <f ca="1">Yards[[#This Row],[Estimate]]-Yards[[#This Row],[Design Est.]]</f>
        <v>1797604.2523530002</v>
      </c>
      <c r="W54" s="85">
        <f ca="1">(Yards[[#This Row],['# yards]]*INDEX(UnitCosts[],MATCH(Yards[[#This Row],[WORK TYPE]],UnitCosts[Work Type],0),2))*(1+((Yards[[#This Row],[est. CONS Year]]-YEAR(TODAY()))*$W$3))</f>
        <v>1997338.0581700003</v>
      </c>
      <c r="X54" s="142">
        <f ca="1">IF(ISNUMBER(SEARCH("LLC",Yards[[#This Row],[PROGRAM]])),0,IF(Yards[[#This Row],[RAD/PACT by 2025]]="yes",0,1))</f>
        <v>1</v>
      </c>
      <c r="Y54" s="1"/>
      <c r="Z54" s="1"/>
      <c r="AA54" s="51">
        <f ca="1">COUNTIF($X$5:Yards[[#This Row],['# yards]],"&gt;0")-10</f>
        <v>24</v>
      </c>
      <c r="AB54" s="1">
        <f ca="1">IF(ISBLANK(Yards[[#This Row],[DSGN CALENDAR YEAR]]),ROUNDDOWN(Yards[[#This Row],[Count]]/24,0)+$AB$1,Yards[[#This Row],[DSGN CALENDAR YEAR]])</f>
        <v>2022</v>
      </c>
      <c r="AC54" s="16">
        <f ca="1">Yards[[#This Row],[est. DSGN Year]]+1</f>
        <v>2023</v>
      </c>
    </row>
    <row r="55" spans="1:29" hidden="1">
      <c r="A55" s="13" t="s">
        <v>226</v>
      </c>
      <c r="B55" s="51" t="str">
        <f>VLOOKUP(Yards[[#This Row],[DEVELOPMENT]],Data[],2,FALSE)</f>
        <v>BROOKLYN</v>
      </c>
      <c r="C55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55" s="51" t="str">
        <f>VLOOKUP(Yards[[#This Row],[DEVELOPMENT]],Data[],52,FALSE)</f>
        <v>MIXED FINANCE/LLC2</v>
      </c>
      <c r="E55" s="50">
        <f>VLOOKUP(Yards[[#This Row],[DEVELOPMENT]],Data[],8,FALSE)</f>
        <v>0</v>
      </c>
      <c r="F55" s="51" t="str">
        <f>VLOOKUP(Yards[[#This Row],[DEVELOPMENT]],all[[DEVELOPMENT]:[MRST Ext. Comp. Priority]],6,FALSE)</f>
        <v>B</v>
      </c>
      <c r="G55" s="51">
        <f>VLOOKUP(Yards[[#This Row],[DEVELOPMENT]],all[[DEVELOPMENT]:[MRST Ext. Comp. Priority]],13,FALSE)</f>
        <v>3</v>
      </c>
      <c r="H55" s="50">
        <f>IF(VLOOKUP(Yards[[#This Row],[DEVELOPMENT]],Data[],9,FALSE)=0,5,VLOOKUP(Yards[[#This Row],[DEVELOPMENT]],Data[],9,FALSE))</f>
        <v>5</v>
      </c>
      <c r="I55" s="51">
        <f>VLOOKUP(Yards[[#This Row],[DEVELOPMENT]],Data[],33,FALSE)</f>
        <v>0</v>
      </c>
      <c r="J55" s="51">
        <f>VLOOKUP(Yards[[#This Row],[DEVELOPMENT]],Data[],28,FALSE)</f>
        <v>0</v>
      </c>
      <c r="K55" s="51"/>
      <c r="L55" s="50"/>
      <c r="M55" s="51" t="str">
        <f ca="1">IFERROR(VLOOKUP(Yards[[#This Row],[DEVELOPMENT]],Data[],4,FALSE),"")</f>
        <v>2020-2021</v>
      </c>
      <c r="N55" s="51" t="str">
        <f ca="1">IF(Yards[[#This Row],[RAD/PACT]]="","",IF(OR(Yards[[#This Row],[RAD/PACT]]="2022-2025",Yards[[#This Row],[RAD/PACT]]=2019,Yards[[#This Row],[RAD/PACT]]="2020-2021"),"Yes",""))</f>
        <v>Yes</v>
      </c>
      <c r="O55" s="51" t="str">
        <f ca="1">IFERROR(VLOOKUP(Yards[[#This Row],[DEVELOPMENT]],ExtComp[],8,FALSE),"")</f>
        <v/>
      </c>
      <c r="P55" s="51"/>
      <c r="Q55" s="51"/>
      <c r="R55" s="51" t="str">
        <f>IF(ISBLANK(Yards[[#This Row],[DSGN CALENDAR YEAR]]),"",Yards[[#This Row],[DSGN CALENDAR YEAR]]+1)</f>
        <v/>
      </c>
      <c r="S55" s="51" t="str">
        <f>IF(ISBLANK(Yards[[#This Row],[DSGN FISCAL YEAR]]),"",Yards[[#This Row],[DSGN FISCAL YEAR]]+1)</f>
        <v/>
      </c>
      <c r="T55" s="51"/>
      <c r="U55" s="128">
        <f ca="1">Yards[[#This Row],[Estimate]]*0.1</f>
        <v>0</v>
      </c>
      <c r="V55" s="47">
        <f ca="1">Yards[[#This Row],[Estimate]]-Yards[[#This Row],[Design Est.]]</f>
        <v>0</v>
      </c>
      <c r="W55" s="85">
        <f ca="1">(Yards[[#This Row],['# yards]]*INDEX(UnitCosts[],MATCH(Yards[[#This Row],[WORK TYPE]],UnitCosts[Work Type],0),2))*(1+((Yards[[#This Row],[est. CONS Year]]-YEAR(TODAY()))*$W$3))</f>
        <v>0</v>
      </c>
      <c r="X55" s="142">
        <f>IF(ISNUMBER(SEARCH("LLC",Yards[[#This Row],[PROGRAM]])),0,IF(Yards[[#This Row],[RAD/PACT by 2025]]="yes",0,1))</f>
        <v>0</v>
      </c>
      <c r="Y55" s="1"/>
      <c r="Z55" s="1"/>
      <c r="AA55" s="51">
        <f ca="1">COUNTIF($X$5:Yards[[#This Row],['# yards]],"&gt;0")-10</f>
        <v>24</v>
      </c>
      <c r="AB55" s="1">
        <f ca="1">IF(ISBLANK(Yards[[#This Row],[DSGN CALENDAR YEAR]]),ROUNDDOWN(Yards[[#This Row],[Count]]/24,0)+$AB$1,Yards[[#This Row],[DSGN CALENDAR YEAR]])</f>
        <v>2022</v>
      </c>
      <c r="AC55" s="16">
        <f ca="1">Yards[[#This Row],[est. DSGN Year]]+1</f>
        <v>2023</v>
      </c>
    </row>
    <row r="56" spans="1:29">
      <c r="A56" s="13" t="s">
        <v>211</v>
      </c>
      <c r="B56" s="51" t="str">
        <f>VLOOKUP(Yards[[#This Row],[DEVELOPMENT]],Data[],2,FALSE)</f>
        <v>QUEENS</v>
      </c>
      <c r="C5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v6</v>
      </c>
      <c r="D56" s="51" t="str">
        <f>VLOOKUP(Yards[[#This Row],[DEVELOPMENT]],Data[],52,FALSE)</f>
        <v>FEDERAL</v>
      </c>
      <c r="E56" s="50">
        <f>VLOOKUP(Yards[[#This Row],[DEVELOPMENT]],Data[],8,FALSE)</f>
        <v>0</v>
      </c>
      <c r="F56" s="51" t="str">
        <f>VLOOKUP(Yards[[#This Row],[DEVELOPMENT]],all[[DEVELOPMENT]:[MRST Ext. Comp. Priority]],6,FALSE)</f>
        <v>B</v>
      </c>
      <c r="G56" s="51">
        <f>VLOOKUP(Yards[[#This Row],[DEVELOPMENT]],all[[DEVELOPMENT]:[MRST Ext. Comp. Priority]],13,FALSE)</f>
        <v>3</v>
      </c>
      <c r="H56" s="50">
        <f>IF(VLOOKUP(Yards[[#This Row],[DEVELOPMENT]],Data[],9,FALSE)=0,5,VLOOKUP(Yards[[#This Row],[DEVELOPMENT]],Data[],9,FALSE))</f>
        <v>5</v>
      </c>
      <c r="I56" s="51">
        <f>VLOOKUP(Yards[[#This Row],[DEVELOPMENT]],Data[],33,FALSE)</f>
        <v>5</v>
      </c>
      <c r="J56" s="51">
        <f>VLOOKUP(Yards[[#This Row],[DEVELOPMENT]],Data[],28,FALSE)</f>
        <v>0</v>
      </c>
      <c r="K56" s="51"/>
      <c r="L56" s="50"/>
      <c r="M56" s="51" t="str">
        <f ca="1">IFERROR(VLOOKUP(Yards[[#This Row],[DEVELOPMENT]],Data[],4,FALSE),"")</f>
        <v>2026+</v>
      </c>
      <c r="N56" s="51" t="str">
        <f ca="1">IF(Yards[[#This Row],[RAD/PACT]]="","",IF(OR(Yards[[#This Row],[RAD/PACT]]="2022-2025",Yards[[#This Row],[RAD/PACT]]=2019,Yards[[#This Row],[RAD/PACT]]="2020-2021"),"Yes",""))</f>
        <v/>
      </c>
      <c r="O56" s="51">
        <f ca="1">IFERROR(VLOOKUP(Yards[[#This Row],[DEVELOPMENT]],ExtComp[],8,FALSE),"")</f>
        <v>12</v>
      </c>
      <c r="P56" s="51"/>
      <c r="Q56" s="51"/>
      <c r="R56" s="51" t="str">
        <f>IF(ISBLANK(Yards[[#This Row],[DSGN CALENDAR YEAR]]),"",Yards[[#This Row],[DSGN CALENDAR YEAR]]+1)</f>
        <v/>
      </c>
      <c r="S56" s="51" t="str">
        <f>IF(ISBLANK(Yards[[#This Row],[DSGN FISCAL YEAR]]),"",Yards[[#This Row],[DSGN FISCAL YEAR]]+1)</f>
        <v/>
      </c>
      <c r="T56" s="51"/>
      <c r="U56" s="128">
        <f ca="1">Yards[[#This Row],[Estimate]]*0.1</f>
        <v>332348.25476385001</v>
      </c>
      <c r="V56" s="47">
        <f ca="1">Yards[[#This Row],[Estimate]]-Yards[[#This Row],[Design Est.]]</f>
        <v>2991134.2928746496</v>
      </c>
      <c r="W56" s="85">
        <f ca="1">(Yards[[#This Row],['# yards]]*INDEX(UnitCosts[],MATCH(Yards[[#This Row],[WORK TYPE]],UnitCosts[Work Type],0),2))*(1+((Yards[[#This Row],[est. CONS Year]]-YEAR(TODAY()))*$W$3))</f>
        <v>3323482.5476384996</v>
      </c>
      <c r="X56" s="142">
        <f ca="1">IF(ISNUMBER(SEARCH("LLC",Yards[[#This Row],[PROGRAM]])),0,IF(Yards[[#This Row],[RAD/PACT by 2025]]="yes",0,1))</f>
        <v>1</v>
      </c>
      <c r="Y56" s="1"/>
      <c r="Z56" s="1"/>
      <c r="AA56" s="51">
        <f ca="1">COUNTIF($X$5:Yards[[#This Row],['# yards]],"&gt;0")-10</f>
        <v>25</v>
      </c>
      <c r="AB56" s="1">
        <f ca="1">IF(ISBLANK(Yards[[#This Row],[DSGN CALENDAR YEAR]]),ROUNDDOWN(Yards[[#This Row],[Count]]/24,0)+$AB$1,Yards[[#This Row],[DSGN CALENDAR YEAR]])</f>
        <v>2022</v>
      </c>
      <c r="AC56" s="16">
        <f ca="1">Yards[[#This Row],[est. DSGN Year]]+1</f>
        <v>2023</v>
      </c>
    </row>
    <row r="57" spans="1:29">
      <c r="A57" s="13" t="s">
        <v>215</v>
      </c>
      <c r="B57" s="51" t="str">
        <f>VLOOKUP(Yards[[#This Row],[DEVELOPMENT]],Data[],2,FALSE)</f>
        <v>QUEENS</v>
      </c>
      <c r="C5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57" s="51" t="str">
        <f>VLOOKUP(Yards[[#This Row],[DEVELOPMENT]],Data[],52,FALSE)</f>
        <v>FEDERAL</v>
      </c>
      <c r="E57" s="50">
        <f>VLOOKUP(Yards[[#This Row],[DEVELOPMENT]],Data[],8,FALSE)</f>
        <v>0</v>
      </c>
      <c r="F57" s="51" t="str">
        <f>VLOOKUP(Yards[[#This Row],[DEVELOPMENT]],all[[DEVELOPMENT]:[MRST Ext. Comp. Priority]],6,FALSE)</f>
        <v>B</v>
      </c>
      <c r="G57" s="51">
        <f>VLOOKUP(Yards[[#This Row],[DEVELOPMENT]],all[[DEVELOPMENT]:[MRST Ext. Comp. Priority]],13,FALSE)</f>
        <v>3</v>
      </c>
      <c r="H57" s="50">
        <f>IF(VLOOKUP(Yards[[#This Row],[DEVELOPMENT]],Data[],9,FALSE)=0,5,VLOOKUP(Yards[[#This Row],[DEVELOPMENT]],Data[],9,FALSE))</f>
        <v>5</v>
      </c>
      <c r="I57" s="51">
        <f>VLOOKUP(Yards[[#This Row],[DEVELOPMENT]],Data[],33,FALSE)</f>
        <v>0</v>
      </c>
      <c r="J57" s="51">
        <f>VLOOKUP(Yards[[#This Row],[DEVELOPMENT]],Data[],28,FALSE)</f>
        <v>0</v>
      </c>
      <c r="K57" s="51"/>
      <c r="L57" s="50"/>
      <c r="M57" s="51" t="str">
        <f ca="1">IFERROR(VLOOKUP(Yards[[#This Row],[DEVELOPMENT]],Data[],4,FALSE),"")</f>
        <v/>
      </c>
      <c r="N57" s="51" t="str">
        <f ca="1">IF(Yards[[#This Row],[RAD/PACT]]="","",IF(OR(Yards[[#This Row],[RAD/PACT]]="2022-2025",Yards[[#This Row],[RAD/PACT]]=2019,Yards[[#This Row],[RAD/PACT]]="2020-2021"),"Yes",""))</f>
        <v/>
      </c>
      <c r="O57" s="51" t="str">
        <f ca="1">IFERROR(VLOOKUP(Yards[[#This Row],[DEVELOPMENT]],ExtComp[],8,FALSE),"")</f>
        <v/>
      </c>
      <c r="P57" s="51"/>
      <c r="Q57" s="51"/>
      <c r="R57" s="51" t="str">
        <f>IF(ISBLANK(Yards[[#This Row],[DSGN CALENDAR YEAR]]),"",Yards[[#This Row],[DSGN CALENDAR YEAR]]+1)</f>
        <v/>
      </c>
      <c r="S57" s="51" t="str">
        <f>IF(ISBLANK(Yards[[#This Row],[DSGN FISCAL YEAR]]),"",Yards[[#This Row],[DSGN FISCAL YEAR]]+1)</f>
        <v/>
      </c>
      <c r="T57" s="51"/>
      <c r="U57" s="128">
        <f ca="1">Yards[[#This Row],[Estimate]]*0.1</f>
        <v>199733.80581700004</v>
      </c>
      <c r="V57" s="47">
        <f ca="1">Yards[[#This Row],[Estimate]]-Yards[[#This Row],[Design Est.]]</f>
        <v>1797604.2523530002</v>
      </c>
      <c r="W57" s="85">
        <f ca="1">(Yards[[#This Row],['# yards]]*INDEX(UnitCosts[],MATCH(Yards[[#This Row],[WORK TYPE]],UnitCosts[Work Type],0),2))*(1+((Yards[[#This Row],[est. CONS Year]]-YEAR(TODAY()))*$W$3))</f>
        <v>1997338.0581700003</v>
      </c>
      <c r="X57" s="142">
        <f ca="1">IF(ISNUMBER(SEARCH("LLC",Yards[[#This Row],[PROGRAM]])),0,IF(Yards[[#This Row],[RAD/PACT by 2025]]="yes",0,1))</f>
        <v>1</v>
      </c>
      <c r="Y57" s="1"/>
      <c r="Z57" s="1"/>
      <c r="AA57" s="51">
        <f ca="1">COUNTIF($X$5:Yards[[#This Row],['# yards]],"&gt;0")-10</f>
        <v>26</v>
      </c>
      <c r="AB57" s="1">
        <f ca="1">IF(ISBLANK(Yards[[#This Row],[DSGN CALENDAR YEAR]]),ROUNDDOWN(Yards[[#This Row],[Count]]/24,0)+$AB$1,Yards[[#This Row],[DSGN CALENDAR YEAR]])</f>
        <v>2022</v>
      </c>
      <c r="AC57" s="16">
        <f ca="1">Yards[[#This Row],[est. DSGN Year]]+1</f>
        <v>2023</v>
      </c>
    </row>
    <row r="58" spans="1:29">
      <c r="A58" s="13" t="s">
        <v>218</v>
      </c>
      <c r="B58" s="51" t="str">
        <f>VLOOKUP(Yards[[#This Row],[DEVELOPMENT]],Data[],2,FALSE)</f>
        <v>BROOKLYN</v>
      </c>
      <c r="C58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58" s="51" t="str">
        <f>VLOOKUP(Yards[[#This Row],[DEVELOPMENT]],Data[],52,FALSE)</f>
        <v>FEDERAL</v>
      </c>
      <c r="E58" s="50">
        <f>VLOOKUP(Yards[[#This Row],[DEVELOPMENT]],Data[],8,FALSE)</f>
        <v>0</v>
      </c>
      <c r="F58" s="51" t="str">
        <f>VLOOKUP(Yards[[#This Row],[DEVELOPMENT]],all[[DEVELOPMENT]:[MRST Ext. Comp. Priority]],6,FALSE)</f>
        <v>B</v>
      </c>
      <c r="G58" s="51">
        <f>VLOOKUP(Yards[[#This Row],[DEVELOPMENT]],all[[DEVELOPMENT]:[MRST Ext. Comp. Priority]],13,FALSE)</f>
        <v>3</v>
      </c>
      <c r="H58" s="50">
        <f>IF(VLOOKUP(Yards[[#This Row],[DEVELOPMENT]],Data[],9,FALSE)=0,5,VLOOKUP(Yards[[#This Row],[DEVELOPMENT]],Data[],9,FALSE))</f>
        <v>5</v>
      </c>
      <c r="I58" s="51">
        <f>VLOOKUP(Yards[[#This Row],[DEVELOPMENT]],Data[],33,FALSE)</f>
        <v>0</v>
      </c>
      <c r="J58" s="51">
        <f>VLOOKUP(Yards[[#This Row],[DEVELOPMENT]],Data[],28,FALSE)</f>
        <v>0</v>
      </c>
      <c r="K58" s="51"/>
      <c r="L58" s="50"/>
      <c r="M58" s="51" t="str">
        <f ca="1">IFERROR(VLOOKUP(Yards[[#This Row],[DEVELOPMENT]],Data[],4,FALSE),"")</f>
        <v>2026+</v>
      </c>
      <c r="N58" s="51" t="str">
        <f ca="1">IF(Yards[[#This Row],[RAD/PACT]]="","",IF(OR(Yards[[#This Row],[RAD/PACT]]="2022-2025",Yards[[#This Row],[RAD/PACT]]=2019,Yards[[#This Row],[RAD/PACT]]="2020-2021"),"Yes",""))</f>
        <v/>
      </c>
      <c r="O58" s="51" t="str">
        <f ca="1">IFERROR(VLOOKUP(Yards[[#This Row],[DEVELOPMENT]],ExtComp[],8,FALSE),"")</f>
        <v/>
      </c>
      <c r="P58" s="51"/>
      <c r="Q58" s="51"/>
      <c r="R58" s="51" t="str">
        <f>IF(ISBLANK(Yards[[#This Row],[DSGN CALENDAR YEAR]]),"",Yards[[#This Row],[DSGN CALENDAR YEAR]]+1)</f>
        <v/>
      </c>
      <c r="S58" s="51" t="str">
        <f>IF(ISBLANK(Yards[[#This Row],[DSGN FISCAL YEAR]]),"",Yards[[#This Row],[DSGN FISCAL YEAR]]+1)</f>
        <v/>
      </c>
      <c r="T58" s="51"/>
      <c r="U58" s="128">
        <f ca="1">Yards[[#This Row],[Estimate]]*0.1</f>
        <v>199733.80581700004</v>
      </c>
      <c r="V58" s="47">
        <f ca="1">Yards[[#This Row],[Estimate]]-Yards[[#This Row],[Design Est.]]</f>
        <v>1797604.2523530002</v>
      </c>
      <c r="W58" s="85">
        <f ca="1">(Yards[[#This Row],['# yards]]*INDEX(UnitCosts[],MATCH(Yards[[#This Row],[WORK TYPE]],UnitCosts[Work Type],0),2))*(1+((Yards[[#This Row],[est. CONS Year]]-YEAR(TODAY()))*$W$3))</f>
        <v>1997338.0581700003</v>
      </c>
      <c r="X58" s="142">
        <f ca="1">IF(ISNUMBER(SEARCH("LLC",Yards[[#This Row],[PROGRAM]])),0,IF(Yards[[#This Row],[RAD/PACT by 2025]]="yes",0,1))</f>
        <v>1</v>
      </c>
      <c r="Y58" s="1"/>
      <c r="Z58" s="1"/>
      <c r="AA58" s="51">
        <f ca="1">COUNTIF($X$5:Yards[[#This Row],['# yards]],"&gt;0")-10</f>
        <v>27</v>
      </c>
      <c r="AB58" s="1">
        <f ca="1">IF(ISBLANK(Yards[[#This Row],[DSGN CALENDAR YEAR]]),ROUNDDOWN(Yards[[#This Row],[Count]]/24,0)+$AB$1,Yards[[#This Row],[DSGN CALENDAR YEAR]])</f>
        <v>2022</v>
      </c>
      <c r="AC58" s="16">
        <f ca="1">Yards[[#This Row],[est. DSGN Year]]+1</f>
        <v>2023</v>
      </c>
    </row>
    <row r="59" spans="1:29" hidden="1">
      <c r="A59" s="13" t="s">
        <v>200</v>
      </c>
      <c r="B59" s="51" t="str">
        <f>VLOOKUP(Yards[[#This Row],[DEVELOPMENT]],Data[],2,FALSE)</f>
        <v>BRONX</v>
      </c>
      <c r="C59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59" s="51" t="str">
        <f>VLOOKUP(Yards[[#This Row],[DEVELOPMENT]],Data[],52,FALSE)</f>
        <v>MIXED FINANCE/LLC1</v>
      </c>
      <c r="E59" s="50">
        <f>VLOOKUP(Yards[[#This Row],[DEVELOPMENT]],Data[],8,FALSE)</f>
        <v>0</v>
      </c>
      <c r="F59" s="51" t="str">
        <f>VLOOKUP(Yards[[#This Row],[DEVELOPMENT]],all[[DEVELOPMENT]:[MRST Ext. Comp. Priority]],6,FALSE)</f>
        <v>B</v>
      </c>
      <c r="G59" s="51">
        <f>VLOOKUP(Yards[[#This Row],[DEVELOPMENT]],all[[DEVELOPMENT]:[MRST Ext. Comp. Priority]],13,FALSE)</f>
        <v>2</v>
      </c>
      <c r="H59" s="50">
        <f>IF(VLOOKUP(Yards[[#This Row],[DEVELOPMENT]],Data[],9,FALSE)=0,5,VLOOKUP(Yards[[#This Row],[DEVELOPMENT]],Data[],9,FALSE))</f>
        <v>5</v>
      </c>
      <c r="I59" s="51">
        <f>VLOOKUP(Yards[[#This Row],[DEVELOPMENT]],Data[],33,FALSE)</f>
        <v>4</v>
      </c>
      <c r="J59" s="51">
        <f>VLOOKUP(Yards[[#This Row],[DEVELOPMENT]],Data[],28,FALSE)</f>
        <v>0</v>
      </c>
      <c r="K59" s="51"/>
      <c r="L59" s="50"/>
      <c r="M59" s="51" t="str">
        <f ca="1">IFERROR(VLOOKUP(Yards[[#This Row],[DEVELOPMENT]],Data[],4,FALSE),"")</f>
        <v/>
      </c>
      <c r="N59" s="51" t="str">
        <f ca="1">IF(Yards[[#This Row],[RAD/PACT]]="","",IF(OR(Yards[[#This Row],[RAD/PACT]]="2022-2025",Yards[[#This Row],[RAD/PACT]]=2019,Yards[[#This Row],[RAD/PACT]]="2020-2021"),"Yes",""))</f>
        <v/>
      </c>
      <c r="O59" s="51">
        <f ca="1">IFERROR(VLOOKUP(Yards[[#This Row],[DEVELOPMENT]],ExtComp[],8,FALSE),"")</f>
        <v>2</v>
      </c>
      <c r="P59" s="51"/>
      <c r="Q59" s="51"/>
      <c r="R59" s="51" t="str">
        <f>IF(ISBLANK(Yards[[#This Row],[DSGN CALENDAR YEAR]]),"",Yards[[#This Row],[DSGN CALENDAR YEAR]]+1)</f>
        <v/>
      </c>
      <c r="S59" s="51" t="str">
        <f>IF(ISBLANK(Yards[[#This Row],[DSGN FISCAL YEAR]]),"",Yards[[#This Row],[DSGN FISCAL YEAR]]+1)</f>
        <v/>
      </c>
      <c r="T59" s="51"/>
      <c r="U59" s="128">
        <f ca="1">Yards[[#This Row],[Estimate]]*0.1</f>
        <v>0</v>
      </c>
      <c r="V59" s="47">
        <f ca="1">Yards[[#This Row],[Estimate]]-Yards[[#This Row],[Design Est.]]</f>
        <v>0</v>
      </c>
      <c r="W59" s="85">
        <f ca="1">(Yards[[#This Row],['# yards]]*INDEX(UnitCosts[],MATCH(Yards[[#This Row],[WORK TYPE]],UnitCosts[Work Type],0),2))*(1+((Yards[[#This Row],[est. CONS Year]]-YEAR(TODAY()))*$W$3))</f>
        <v>0</v>
      </c>
      <c r="X59" s="142">
        <f>IF(ISNUMBER(SEARCH("LLC",Yards[[#This Row],[PROGRAM]])),0,IF(Yards[[#This Row],[RAD/PACT by 2025]]="yes",0,1))</f>
        <v>0</v>
      </c>
      <c r="Y59" s="1"/>
      <c r="Z59" s="1"/>
      <c r="AA59" s="51">
        <f ca="1">COUNTIF($X$5:Yards[[#This Row],['# yards]],"&gt;0")-10</f>
        <v>27</v>
      </c>
      <c r="AB59" s="1">
        <f ca="1">IF(ISBLANK(Yards[[#This Row],[DSGN CALENDAR YEAR]]),ROUNDDOWN(Yards[[#This Row],[Count]]/24,0)+$AB$1,Yards[[#This Row],[DSGN CALENDAR YEAR]])</f>
        <v>2022</v>
      </c>
      <c r="AC59" s="16">
        <f ca="1">Yards[[#This Row],[est. DSGN Year]]+1</f>
        <v>2023</v>
      </c>
    </row>
    <row r="60" spans="1:29" hidden="1">
      <c r="A60" s="13" t="s">
        <v>56</v>
      </c>
      <c r="B60" s="51" t="str">
        <f>VLOOKUP(Yards[[#This Row],[DEVELOPMENT]],Data[],2,FALSE)</f>
        <v>MANHATTAN</v>
      </c>
      <c r="C6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60" s="51" t="str">
        <f>VLOOKUP(Yards[[#This Row],[DEVELOPMENT]],Data[],52,FALSE)</f>
        <v>FEDERAL</v>
      </c>
      <c r="E60" s="50" t="str">
        <f>VLOOKUP(Yards[[#This Row],[DEVELOPMENT]],Data[],8,FALSE)</f>
        <v>Zone 1</v>
      </c>
      <c r="F60" s="51" t="str">
        <f>VLOOKUP(Yards[[#This Row],[DEVELOPMENT]],all[[DEVELOPMENT]:[MRST Ext. Comp. Priority]],6,FALSE)</f>
        <v>B</v>
      </c>
      <c r="G60" s="51">
        <f>VLOOKUP(Yards[[#This Row],[DEVELOPMENT]],all[[DEVELOPMENT]:[MRST Ext. Comp. Priority]],13,FALSE)</f>
        <v>4</v>
      </c>
      <c r="H60" s="50">
        <f>IF(VLOOKUP(Yards[[#This Row],[DEVELOPMENT]],Data[],9,FALSE)=0,5,VLOOKUP(Yards[[#This Row],[DEVELOPMENT]],Data[],9,FALSE))</f>
        <v>3</v>
      </c>
      <c r="I60" s="51">
        <f>VLOOKUP(Yards[[#This Row],[DEVELOPMENT]],Data[],33,FALSE)</f>
        <v>0</v>
      </c>
      <c r="J60" s="51">
        <f>VLOOKUP(Yards[[#This Row],[DEVELOPMENT]],Data[],28,FALSE)</f>
        <v>0</v>
      </c>
      <c r="K60" s="51"/>
      <c r="L60" s="50"/>
      <c r="M60" s="51" t="str">
        <f ca="1">IFERROR(VLOOKUP(Yards[[#This Row],[DEVELOPMENT]],Data[],4,FALSE),"")</f>
        <v/>
      </c>
      <c r="N60" s="51" t="str">
        <f ca="1">IF(Yards[[#This Row],[RAD/PACT]]="","",IF(OR(Yards[[#This Row],[RAD/PACT]]="2022-2025",Yards[[#This Row],[RAD/PACT]]=2019,Yards[[#This Row],[RAD/PACT]]="2020-2021"),"Yes",""))</f>
        <v/>
      </c>
      <c r="O60" s="51" t="str">
        <f ca="1">IFERROR(VLOOKUP(Yards[[#This Row],[DEVELOPMENT]],ExtComp[],8,FALSE),"")</f>
        <v/>
      </c>
      <c r="P60" s="51"/>
      <c r="Q60" s="51"/>
      <c r="R60" s="51"/>
      <c r="S60" s="51" t="str">
        <f>IF(ISBLANK(Yards[[#This Row],[DSGN FISCAL YEAR]]),"",Yards[[#This Row],[DSGN FISCAL YEAR]]+1)</f>
        <v/>
      </c>
      <c r="T60" s="51"/>
      <c r="U60" s="128">
        <f>Yards[[#This Row],[Estimate]]*0.1</f>
        <v>0</v>
      </c>
      <c r="V60" s="47">
        <f>Yards[[#This Row],[Estimate]]-Yards[[#This Row],[Design Est.]]</f>
        <v>0</v>
      </c>
      <c r="W60" s="85">
        <v>0</v>
      </c>
      <c r="X60" s="142">
        <f ca="1">IF(ISNUMBER(SEARCH("LLC",Yards[[#This Row],[PROGRAM]])),0,IF(Yards[[#This Row],[RAD/PACT by 2025]]="yes",0,1))</f>
        <v>1</v>
      </c>
      <c r="Y60" s="1"/>
      <c r="Z60" s="1"/>
      <c r="AA60" s="51">
        <f ca="1">COUNTIF($X$5:Yards[[#This Row],['# yards]],"&gt;0")-10</f>
        <v>28</v>
      </c>
      <c r="AB60" s="1">
        <f ca="1">IF(ISBLANK(Yards[[#This Row],[DSGN CALENDAR YEAR]]),ROUNDDOWN(Yards[[#This Row],[Count]]/24,0)+$AB$1,Yards[[#This Row],[DSGN CALENDAR YEAR]])</f>
        <v>2022</v>
      </c>
      <c r="AC60" s="16">
        <f ca="1">Yards[[#This Row],[est. DSGN Year]]+1</f>
        <v>2023</v>
      </c>
    </row>
    <row r="61" spans="1:29" hidden="1">
      <c r="A61" s="13" t="s">
        <v>117</v>
      </c>
      <c r="B61" s="51" t="str">
        <f>VLOOKUP(Yards[[#This Row],[DEVELOPMENT]],Data[],2,FALSE)</f>
        <v>MANHATTAN</v>
      </c>
      <c r="C61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61" s="51" t="str">
        <f>VLOOKUP(Yards[[#This Row],[DEVELOPMENT]],Data[],52,FALSE)</f>
        <v>FEDERAL</v>
      </c>
      <c r="E61" s="50" t="str">
        <f>VLOOKUP(Yards[[#This Row],[DEVELOPMENT]],Data[],8,FALSE)</f>
        <v>Zone 3</v>
      </c>
      <c r="F61" s="51" t="str">
        <f>VLOOKUP(Yards[[#This Row],[DEVELOPMENT]],all[[DEVELOPMENT]:[MRST Ext. Comp. Priority]],6,FALSE)</f>
        <v>B</v>
      </c>
      <c r="G61" s="51">
        <f>VLOOKUP(Yards[[#This Row],[DEVELOPMENT]],all[[DEVELOPMENT]:[MRST Ext. Comp. Priority]],13,FALSE)</f>
        <v>4</v>
      </c>
      <c r="H61" s="50">
        <f>IF(VLOOKUP(Yards[[#This Row],[DEVELOPMENT]],Data[],9,FALSE)=0,5,VLOOKUP(Yards[[#This Row],[DEVELOPMENT]],Data[],9,FALSE))</f>
        <v>4</v>
      </c>
      <c r="I61" s="51">
        <f>VLOOKUP(Yards[[#This Row],[DEVELOPMENT]],Data[],33,FALSE)</f>
        <v>2</v>
      </c>
      <c r="J61" s="51">
        <f>VLOOKUP(Yards[[#This Row],[DEVELOPMENT]],Data[],28,FALSE)</f>
        <v>0</v>
      </c>
      <c r="K61" s="51"/>
      <c r="L61" s="50"/>
      <c r="M61" s="51" t="str">
        <f ca="1">IFERROR(VLOOKUP(Yards[[#This Row],[DEVELOPMENT]],Data[],4,FALSE),"")</f>
        <v>2020-2021</v>
      </c>
      <c r="N61" s="51" t="str">
        <f ca="1">IF(Yards[[#This Row],[RAD/PACT]]="","",IF(OR(Yards[[#This Row],[RAD/PACT]]="2022-2025",Yards[[#This Row],[RAD/PACT]]=2019,Yards[[#This Row],[RAD/PACT]]="2020-2021"),"Yes",""))</f>
        <v>Yes</v>
      </c>
      <c r="O61" s="51">
        <f ca="1">IFERROR(VLOOKUP(Yards[[#This Row],[DEVELOPMENT]],ExtComp[],8,FALSE),"")</f>
        <v>10</v>
      </c>
      <c r="P61" s="51"/>
      <c r="Q61" s="51"/>
      <c r="R61" s="51" t="str">
        <f>IF(ISBLANK(Yards[[#This Row],[DSGN CALENDAR YEAR]]),"",Yards[[#This Row],[DSGN CALENDAR YEAR]]+1)</f>
        <v/>
      </c>
      <c r="S61" s="51" t="str">
        <f>IF(ISBLANK(Yards[[#This Row],[DSGN FISCAL YEAR]]),"",Yards[[#This Row],[DSGN FISCAL YEAR]]+1)</f>
        <v/>
      </c>
      <c r="T61" s="51"/>
      <c r="U61" s="128">
        <f ca="1">Yards[[#This Row],[Estimate]]*0.1</f>
        <v>0</v>
      </c>
      <c r="V61" s="47">
        <f ca="1">Yards[[#This Row],[Estimate]]-Yards[[#This Row],[Design Est.]]</f>
        <v>0</v>
      </c>
      <c r="W61" s="85">
        <f ca="1">(Yards[[#This Row],['# yards]]*INDEX(UnitCosts[],MATCH(Yards[[#This Row],[WORK TYPE]],UnitCosts[Work Type],0),2))*(1+((Yards[[#This Row],[est. CONS Year]]-YEAR(TODAY()))*$W$3))</f>
        <v>0</v>
      </c>
      <c r="X61" s="142">
        <f ca="1">IF(ISNUMBER(SEARCH("LLC",Yards[[#This Row],[PROGRAM]])),0,IF(Yards[[#This Row],[RAD/PACT by 2025]]="yes",0,1))</f>
        <v>0</v>
      </c>
      <c r="Y61" s="1"/>
      <c r="Z61" s="1"/>
      <c r="AA61" s="51">
        <f ca="1">COUNTIF($X$5:Yards[[#This Row],['# yards]],"&gt;0")-10</f>
        <v>28</v>
      </c>
      <c r="AB61" s="1">
        <f ca="1">IF(ISBLANK(Yards[[#This Row],[DSGN CALENDAR YEAR]]),ROUNDDOWN(Yards[[#This Row],[Count]]/24,0)+$AB$1,Yards[[#This Row],[DSGN CALENDAR YEAR]])</f>
        <v>2022</v>
      </c>
      <c r="AC61" s="16">
        <f ca="1">Yards[[#This Row],[est. DSGN Year]]+1</f>
        <v>2023</v>
      </c>
    </row>
    <row r="62" spans="1:29">
      <c r="A62" s="13" t="s">
        <v>219</v>
      </c>
      <c r="B62" s="51" t="str">
        <f>VLOOKUP(Yards[[#This Row],[DEVELOPMENT]],Data[],2,FALSE)</f>
        <v>BROOKLYN</v>
      </c>
      <c r="C6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62" s="51" t="str">
        <f>VLOOKUP(Yards[[#This Row],[DEVELOPMENT]],Data[],52,FALSE)</f>
        <v>FEDERAL</v>
      </c>
      <c r="E62" s="50">
        <f>VLOOKUP(Yards[[#This Row],[DEVELOPMENT]],Data[],8,FALSE)</f>
        <v>0</v>
      </c>
      <c r="F62" s="51" t="str">
        <f>VLOOKUP(Yards[[#This Row],[DEVELOPMENT]],all[[DEVELOPMENT]:[MRST Ext. Comp. Priority]],6,FALSE)</f>
        <v>B</v>
      </c>
      <c r="G62" s="51">
        <f>VLOOKUP(Yards[[#This Row],[DEVELOPMENT]],all[[DEVELOPMENT]:[MRST Ext. Comp. Priority]],13,FALSE)</f>
        <v>3</v>
      </c>
      <c r="H62" s="50">
        <f>IF(VLOOKUP(Yards[[#This Row],[DEVELOPMENT]],Data[],9,FALSE)=0,5,VLOOKUP(Yards[[#This Row],[DEVELOPMENT]],Data[],9,FALSE))</f>
        <v>5</v>
      </c>
      <c r="I62" s="51">
        <f>VLOOKUP(Yards[[#This Row],[DEVELOPMENT]],Data[],33,FALSE)</f>
        <v>0</v>
      </c>
      <c r="J62" s="51">
        <f>VLOOKUP(Yards[[#This Row],[DEVELOPMENT]],Data[],28,FALSE)</f>
        <v>0</v>
      </c>
      <c r="K62" s="51"/>
      <c r="L62" s="50"/>
      <c r="M62" s="51" t="str">
        <f ca="1">IFERROR(VLOOKUP(Yards[[#This Row],[DEVELOPMENT]],Data[],4,FALSE),"")</f>
        <v>2026+</v>
      </c>
      <c r="N62" s="51" t="str">
        <f ca="1">IF(Yards[[#This Row],[RAD/PACT]]="","",IF(OR(Yards[[#This Row],[RAD/PACT]]="2022-2025",Yards[[#This Row],[RAD/PACT]]=2019,Yards[[#This Row],[RAD/PACT]]="2020-2021"),"Yes",""))</f>
        <v/>
      </c>
      <c r="O62" s="51" t="str">
        <f ca="1">IFERROR(VLOOKUP(Yards[[#This Row],[DEVELOPMENT]],ExtComp[],8,FALSE),"")</f>
        <v/>
      </c>
      <c r="P62" s="51"/>
      <c r="Q62" s="51"/>
      <c r="R62" s="51" t="str">
        <f>IF(ISBLANK(Yards[[#This Row],[DSGN CALENDAR YEAR]]),"",Yards[[#This Row],[DSGN CALENDAR YEAR]]+1)</f>
        <v/>
      </c>
      <c r="S62" s="51" t="str">
        <f>IF(ISBLANK(Yards[[#This Row],[DSGN FISCAL YEAR]]),"",Yards[[#This Row],[DSGN FISCAL YEAR]]+1)</f>
        <v/>
      </c>
      <c r="T62" s="51"/>
      <c r="U62" s="128">
        <f ca="1">Yards[[#This Row],[Estimate]]*0.1</f>
        <v>199733.80581700004</v>
      </c>
      <c r="V62" s="47">
        <f ca="1">Yards[[#This Row],[Estimate]]-Yards[[#This Row],[Design Est.]]</f>
        <v>1797604.2523530002</v>
      </c>
      <c r="W62" s="85">
        <f ca="1">(Yards[[#This Row],['# yards]]*INDEX(UnitCosts[],MATCH(Yards[[#This Row],[WORK TYPE]],UnitCosts[Work Type],0),2))*(1+((Yards[[#This Row],[est. CONS Year]]-YEAR(TODAY()))*$W$3))</f>
        <v>1997338.0581700003</v>
      </c>
      <c r="X62" s="142">
        <f ca="1">IF(ISNUMBER(SEARCH("LLC",Yards[[#This Row],[PROGRAM]])),0,IF(Yards[[#This Row],[RAD/PACT by 2025]]="yes",0,1))</f>
        <v>1</v>
      </c>
      <c r="Y62" s="1"/>
      <c r="Z62" s="1"/>
      <c r="AA62" s="51">
        <f ca="1">COUNTIF($X$5:Yards[[#This Row],['# yards]],"&gt;0")-10</f>
        <v>29</v>
      </c>
      <c r="AB62" s="1">
        <f ca="1">IF(ISBLANK(Yards[[#This Row],[DSGN CALENDAR YEAR]]),ROUNDDOWN(Yards[[#This Row],[Count]]/24,0)+$AB$1,Yards[[#This Row],[DSGN CALENDAR YEAR]])</f>
        <v>2022</v>
      </c>
      <c r="AC62" s="16">
        <f ca="1">Yards[[#This Row],[est. DSGN Year]]+1</f>
        <v>2023</v>
      </c>
    </row>
    <row r="63" spans="1:29" hidden="1">
      <c r="A63" s="13" t="s">
        <v>201</v>
      </c>
      <c r="B63" s="51" t="str">
        <f>VLOOKUP(Yards[[#This Row],[DEVELOPMENT]],Data[],2,FALSE)</f>
        <v>BRONX</v>
      </c>
      <c r="C63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v6</v>
      </c>
      <c r="D63" s="51" t="str">
        <f>VLOOKUP(Yards[[#This Row],[DEVELOPMENT]],Data[],52,FALSE)</f>
        <v>FEDERAL</v>
      </c>
      <c r="E63" s="50">
        <f>VLOOKUP(Yards[[#This Row],[DEVELOPMENT]],Data[],8,FALSE)</f>
        <v>0</v>
      </c>
      <c r="F63" s="51" t="str">
        <f>VLOOKUP(Yards[[#This Row],[DEVELOPMENT]],all[[DEVELOPMENT]:[MRST Ext. Comp. Priority]],6,FALSE)</f>
        <v>B</v>
      </c>
      <c r="G63" s="51">
        <f>VLOOKUP(Yards[[#This Row],[DEVELOPMENT]],all[[DEVELOPMENT]:[MRST Ext. Comp. Priority]],13,FALSE)</f>
        <v>4</v>
      </c>
      <c r="H63" s="50">
        <f>IF(VLOOKUP(Yards[[#This Row],[DEVELOPMENT]],Data[],9,FALSE)=0,5,VLOOKUP(Yards[[#This Row],[DEVELOPMENT]],Data[],9,FALSE))</f>
        <v>5</v>
      </c>
      <c r="I63" s="51">
        <f>VLOOKUP(Yards[[#This Row],[DEVELOPMENT]],Data[],33,FALSE)</f>
        <v>5</v>
      </c>
      <c r="J63" s="51">
        <f>VLOOKUP(Yards[[#This Row],[DEVELOPMENT]],Data[],28,FALSE)</f>
        <v>0</v>
      </c>
      <c r="K63" s="51"/>
      <c r="L63" s="50"/>
      <c r="M63" s="51" t="str">
        <f ca="1">IFERROR(VLOOKUP(Yards[[#This Row],[DEVELOPMENT]],Data[],4,FALSE),"")</f>
        <v>2022-2025</v>
      </c>
      <c r="N63" s="51" t="str">
        <f ca="1">IF(Yards[[#This Row],[RAD/PACT]]="","",IF(OR(Yards[[#This Row],[RAD/PACT]]="2022-2025",Yards[[#This Row],[RAD/PACT]]=2019,Yards[[#This Row],[RAD/PACT]]="2020-2021"),"Yes",""))</f>
        <v>Yes</v>
      </c>
      <c r="O63" s="51">
        <f ca="1">IFERROR(VLOOKUP(Yards[[#This Row],[DEVELOPMENT]],ExtComp[],8,FALSE),"")</f>
        <v>5</v>
      </c>
      <c r="P63" s="51"/>
      <c r="Q63" s="51"/>
      <c r="R63" s="51" t="str">
        <f>IF(ISBLANK(Yards[[#This Row],[DSGN CALENDAR YEAR]]),"",Yards[[#This Row],[DSGN CALENDAR YEAR]]+1)</f>
        <v/>
      </c>
      <c r="S63" s="51" t="str">
        <f>IF(ISBLANK(Yards[[#This Row],[DSGN FISCAL YEAR]]),"",Yards[[#This Row],[DSGN FISCAL YEAR]]+1)</f>
        <v/>
      </c>
      <c r="T63" s="51"/>
      <c r="U63" s="128">
        <f ca="1">Yards[[#This Row],[Estimate]]*0.1</f>
        <v>0</v>
      </c>
      <c r="V63" s="47">
        <f ca="1">Yards[[#This Row],[Estimate]]-Yards[[#This Row],[Design Est.]]</f>
        <v>0</v>
      </c>
      <c r="W63" s="85">
        <f ca="1">(Yards[[#This Row],['# yards]]*INDEX(UnitCosts[],MATCH(Yards[[#This Row],[WORK TYPE]],UnitCosts[Work Type],0),2))*(1+((Yards[[#This Row],[est. CONS Year]]-YEAR(TODAY()))*$W$3))</f>
        <v>0</v>
      </c>
      <c r="X63" s="142">
        <f ca="1">IF(ISNUMBER(SEARCH("LLC",Yards[[#This Row],[PROGRAM]])),0,IF(Yards[[#This Row],[RAD/PACT by 2025]]="yes",0,1))</f>
        <v>0</v>
      </c>
      <c r="Y63" s="1"/>
      <c r="Z63" s="1"/>
      <c r="AA63" s="51">
        <f ca="1">COUNTIF($X$5:Yards[[#This Row],['# yards]],"&gt;0")-10</f>
        <v>29</v>
      </c>
      <c r="AB63" s="1">
        <f ca="1">IF(ISBLANK(Yards[[#This Row],[DSGN CALENDAR YEAR]]),ROUNDDOWN(Yards[[#This Row],[Count]]/24,0)+$AB$1,Yards[[#This Row],[DSGN CALENDAR YEAR]])</f>
        <v>2022</v>
      </c>
      <c r="AC63" s="16">
        <f ca="1">Yards[[#This Row],[est. DSGN Year]]+1</f>
        <v>2023</v>
      </c>
    </row>
    <row r="64" spans="1:29">
      <c r="A64" s="13" t="s">
        <v>138</v>
      </c>
      <c r="B64" s="51" t="str">
        <f>VLOOKUP(Yards[[#This Row],[DEVELOPMENT]],Data[],2,FALSE)</f>
        <v>BRONX</v>
      </c>
      <c r="C64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64" s="51" t="str">
        <f>VLOOKUP(Yards[[#This Row],[DEVELOPMENT]],Data[],52,FALSE)</f>
        <v>FEDERAL</v>
      </c>
      <c r="E64" s="50" t="str">
        <f>VLOOKUP(Yards[[#This Row],[DEVELOPMENT]],Data[],8,FALSE)</f>
        <v>Zone 1</v>
      </c>
      <c r="F64" s="51" t="str">
        <f>VLOOKUP(Yards[[#This Row],[DEVELOPMENT]],all[[DEVELOPMENT]:[MRST Ext. Comp. Priority]],6,FALSE)</f>
        <v>B</v>
      </c>
      <c r="G64" s="51">
        <f>VLOOKUP(Yards[[#This Row],[DEVELOPMENT]],all[[DEVELOPMENT]:[MRST Ext. Comp. Priority]],13,FALSE)</f>
        <v>4</v>
      </c>
      <c r="H64" s="50">
        <f>IF(VLOOKUP(Yards[[#This Row],[DEVELOPMENT]],Data[],9,FALSE)=0,5,VLOOKUP(Yards[[#This Row],[DEVELOPMENT]],Data[],9,FALSE))</f>
        <v>4</v>
      </c>
      <c r="I64" s="51">
        <f>VLOOKUP(Yards[[#This Row],[DEVELOPMENT]],Data[],33,FALSE)</f>
        <v>0</v>
      </c>
      <c r="J64" s="51">
        <f>VLOOKUP(Yards[[#This Row],[DEVELOPMENT]],Data[],28,FALSE)</f>
        <v>0</v>
      </c>
      <c r="K64" s="51"/>
      <c r="L64" s="50"/>
      <c r="M64" s="51" t="str">
        <f ca="1">IFERROR(VLOOKUP(Yards[[#This Row],[DEVELOPMENT]],Data[],4,FALSE),"")</f>
        <v/>
      </c>
      <c r="N64" s="51" t="str">
        <f ca="1">IF(Yards[[#This Row],[RAD/PACT]]="","",IF(OR(Yards[[#This Row],[RAD/PACT]]="2022-2025",Yards[[#This Row],[RAD/PACT]]=2019,Yards[[#This Row],[RAD/PACT]]="2020-2021"),"Yes",""))</f>
        <v/>
      </c>
      <c r="O64" s="51" t="str">
        <f ca="1">IFERROR(VLOOKUP(Yards[[#This Row],[DEVELOPMENT]],ExtComp[],8,FALSE),"")</f>
        <v/>
      </c>
      <c r="P64" s="51"/>
      <c r="Q64" s="51"/>
      <c r="R64" s="51" t="str">
        <f>IF(ISBLANK(Yards[[#This Row],[DSGN CALENDAR YEAR]]),"",Yards[[#This Row],[DSGN CALENDAR YEAR]]+1)</f>
        <v/>
      </c>
      <c r="S64" s="51" t="str">
        <f>IF(ISBLANK(Yards[[#This Row],[DSGN FISCAL YEAR]]),"",Yards[[#This Row],[DSGN FISCAL YEAR]]+1)</f>
        <v/>
      </c>
      <c r="T64" s="51"/>
      <c r="U64" s="128">
        <f ca="1">Yards[[#This Row],[Estimate]]*0.1</f>
        <v>199733.80581700004</v>
      </c>
      <c r="V64" s="47">
        <f ca="1">Yards[[#This Row],[Estimate]]-Yards[[#This Row],[Design Est.]]</f>
        <v>1797604.2523530002</v>
      </c>
      <c r="W64" s="85">
        <f ca="1">(Yards[[#This Row],['# yards]]*INDEX(UnitCosts[],MATCH(Yards[[#This Row],[WORK TYPE]],UnitCosts[Work Type],0),2))*(1+((Yards[[#This Row],[est. CONS Year]]-YEAR(TODAY()))*$W$3))</f>
        <v>1997338.0581700003</v>
      </c>
      <c r="X64" s="142">
        <f ca="1">IF(ISNUMBER(SEARCH("LLC",Yards[[#This Row],[PROGRAM]])),0,IF(Yards[[#This Row],[RAD/PACT by 2025]]="yes",0,1))</f>
        <v>1</v>
      </c>
      <c r="Y64" s="1"/>
      <c r="Z64" s="1"/>
      <c r="AA64" s="51">
        <f ca="1">COUNTIF($X$5:Yards[[#This Row],['# yards]],"&gt;0")-10</f>
        <v>30</v>
      </c>
      <c r="AB64" s="1">
        <f ca="1">IF(ISBLANK(Yards[[#This Row],[DSGN CALENDAR YEAR]]),ROUNDDOWN(Yards[[#This Row],[Count]]/24,0)+$AB$1,Yards[[#This Row],[DSGN CALENDAR YEAR]])</f>
        <v>2022</v>
      </c>
      <c r="AC64" s="16">
        <f ca="1">Yards[[#This Row],[est. DSGN Year]]+1</f>
        <v>2023</v>
      </c>
    </row>
    <row r="65" spans="1:29">
      <c r="A65" s="13" t="s">
        <v>204</v>
      </c>
      <c r="B65" s="51" t="str">
        <f>VLOOKUP(Yards[[#This Row],[DEVELOPMENT]],Data[],2,FALSE)</f>
        <v>BRONX</v>
      </c>
      <c r="C6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65" s="51" t="str">
        <f>VLOOKUP(Yards[[#This Row],[DEVELOPMENT]],Data[],52,FALSE)</f>
        <v>FEDERAL</v>
      </c>
      <c r="E65" s="50" t="str">
        <f>VLOOKUP(Yards[[#This Row],[DEVELOPMENT]],Data[],8,FALSE)</f>
        <v>Zone 4</v>
      </c>
      <c r="F65" s="51" t="str">
        <f>VLOOKUP(Yards[[#This Row],[DEVELOPMENT]],all[[DEVELOPMENT]:[MRST Ext. Comp. Priority]],6,FALSE)</f>
        <v>B</v>
      </c>
      <c r="G65" s="51">
        <f>VLOOKUP(Yards[[#This Row],[DEVELOPMENT]],all[[DEVELOPMENT]:[MRST Ext. Comp. Priority]],13,FALSE)</f>
        <v>4</v>
      </c>
      <c r="H65" s="50">
        <f>IF(VLOOKUP(Yards[[#This Row],[DEVELOPMENT]],Data[],9,FALSE)=0,5,VLOOKUP(Yards[[#This Row],[DEVELOPMENT]],Data[],9,FALSE))</f>
        <v>5</v>
      </c>
      <c r="I65" s="51">
        <f>VLOOKUP(Yards[[#This Row],[DEVELOPMENT]],Data[],33,FALSE)</f>
        <v>3</v>
      </c>
      <c r="J65" s="51">
        <f>VLOOKUP(Yards[[#This Row],[DEVELOPMENT]],Data[],28,FALSE)</f>
        <v>0</v>
      </c>
      <c r="K65" s="51"/>
      <c r="L65" s="50"/>
      <c r="M65" s="51" t="str">
        <f ca="1">IFERROR(VLOOKUP(Yards[[#This Row],[DEVELOPMENT]],Data[],4,FALSE),"")</f>
        <v>2026+</v>
      </c>
      <c r="N65" s="51" t="str">
        <f ca="1">IF(Yards[[#This Row],[RAD/PACT]]="","",IF(OR(Yards[[#This Row],[RAD/PACT]]="2022-2025",Yards[[#This Row],[RAD/PACT]]=2019,Yards[[#This Row],[RAD/PACT]]="2020-2021"),"Yes",""))</f>
        <v/>
      </c>
      <c r="O65" s="51">
        <f ca="1">IFERROR(VLOOKUP(Yards[[#This Row],[DEVELOPMENT]],ExtComp[],8,FALSE),"")</f>
        <v>20</v>
      </c>
      <c r="P65" s="51"/>
      <c r="Q65" s="51"/>
      <c r="R65" s="51"/>
      <c r="S65" s="51" t="str">
        <f>IF(ISBLANK(Yards[[#This Row],[DSGN FISCAL YEAR]]),"",Yards[[#This Row],[DSGN FISCAL YEAR]]+1)</f>
        <v/>
      </c>
      <c r="T65" s="51"/>
      <c r="U65" s="128">
        <f ca="1">Yards[[#This Row],[Estimate]]*0.1</f>
        <v>259621.01510345002</v>
      </c>
      <c r="V65" s="47">
        <f ca="1">Yards[[#This Row],[Estimate]]-Yards[[#This Row],[Design Est.]]</f>
        <v>2336589.1359310499</v>
      </c>
      <c r="W65" s="85">
        <f ca="1">(Yards[[#This Row],['# yards]]*INDEX(UnitCosts[],MATCH(Yards[[#This Row],[WORK TYPE]],UnitCosts[Work Type],0),2))*(1+((Yards[[#This Row],[est. CONS Year]]-YEAR(TODAY()))*$W$3))</f>
        <v>2596210.1510345</v>
      </c>
      <c r="X65" s="142">
        <f ca="1">IF(ISNUMBER(SEARCH("LLC",Yards[[#This Row],[PROGRAM]])),0,IF(Yards[[#This Row],[RAD/PACT by 2025]]="yes",0,1))</f>
        <v>1</v>
      </c>
      <c r="Y65" s="1"/>
      <c r="Z65" s="1"/>
      <c r="AA65" s="51">
        <f ca="1">COUNTIF($X$5:Yards[[#This Row],['# yards]],"&gt;0")-10</f>
        <v>31</v>
      </c>
      <c r="AB65" s="1">
        <f ca="1">IF(ISBLANK(Yards[[#This Row],[DSGN CALENDAR YEAR]]),ROUNDDOWN(Yards[[#This Row],[Count]]/24,0)+$AB$1,Yards[[#This Row],[DSGN CALENDAR YEAR]])</f>
        <v>2022</v>
      </c>
      <c r="AC65" s="16">
        <f ca="1">Yards[[#This Row],[est. DSGN Year]]+1</f>
        <v>2023</v>
      </c>
    </row>
    <row r="66" spans="1:29">
      <c r="A66" s="13" t="s">
        <v>222</v>
      </c>
      <c r="B66" s="51" t="str">
        <f>VLOOKUP(Yards[[#This Row],[DEVELOPMENT]],Data[],2,FALSE)</f>
        <v>BRONX</v>
      </c>
      <c r="C6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66" s="51" t="str">
        <f>VLOOKUP(Yards[[#This Row],[DEVELOPMENT]],Data[],52,FALSE)</f>
        <v>FEDERAL</v>
      </c>
      <c r="E66" s="50" t="str">
        <f>VLOOKUP(Yards[[#This Row],[DEVELOPMENT]],Data[],8,FALSE)</f>
        <v>Zone 4</v>
      </c>
      <c r="F66" s="51" t="str">
        <f>VLOOKUP(Yards[[#This Row],[DEVELOPMENT]],all[[DEVELOPMENT]:[MRST Ext. Comp. Priority]],6,FALSE)</f>
        <v>B</v>
      </c>
      <c r="G66" s="51">
        <f>VLOOKUP(Yards[[#This Row],[DEVELOPMENT]],all[[DEVELOPMENT]:[MRST Ext. Comp. Priority]],13,FALSE)</f>
        <v>4</v>
      </c>
      <c r="H66" s="50">
        <f>IF(VLOOKUP(Yards[[#This Row],[DEVELOPMENT]],Data[],9,FALSE)=0,5,VLOOKUP(Yards[[#This Row],[DEVELOPMENT]],Data[],9,FALSE))</f>
        <v>5</v>
      </c>
      <c r="I66" s="51">
        <f>VLOOKUP(Yards[[#This Row],[DEVELOPMENT]],Data[],33,FALSE)</f>
        <v>2</v>
      </c>
      <c r="J66" s="51">
        <f>VLOOKUP(Yards[[#This Row],[DEVELOPMENT]],Data[],28,FALSE)</f>
        <v>0</v>
      </c>
      <c r="K66" s="51"/>
      <c r="L66" s="50"/>
      <c r="M66" s="51" t="str">
        <f ca="1">IFERROR(VLOOKUP(Yards[[#This Row],[DEVELOPMENT]],Data[],4,FALSE),"")</f>
        <v>2026+</v>
      </c>
      <c r="N66" s="51" t="str">
        <f ca="1">IF(Yards[[#This Row],[RAD/PACT]]="","",IF(OR(Yards[[#This Row],[RAD/PACT]]="2022-2025",Yards[[#This Row],[RAD/PACT]]=2019,Yards[[#This Row],[RAD/PACT]]="2020-2021"),"Yes",""))</f>
        <v/>
      </c>
      <c r="O66" s="51">
        <f ca="1">IFERROR(VLOOKUP(Yards[[#This Row],[DEVELOPMENT]],ExtComp[],8,FALSE),"")</f>
        <v>20</v>
      </c>
      <c r="P66" s="51"/>
      <c r="Q66" s="51"/>
      <c r="R66" s="51"/>
      <c r="S66" s="51" t="str">
        <f>IF(ISBLANK(Yards[[#This Row],[DSGN FISCAL YEAR]]),"",Yards[[#This Row],[DSGN FISCAL YEAR]]+1)</f>
        <v/>
      </c>
      <c r="T66" s="51"/>
      <c r="U66" s="128">
        <f ca="1">Yards[[#This Row],[Estimate]]*0.1</f>
        <v>223257.39527325006</v>
      </c>
      <c r="V66" s="47">
        <f ca="1">Yards[[#This Row],[Estimate]]-Yards[[#This Row],[Design Est.]]</f>
        <v>2009316.5574592506</v>
      </c>
      <c r="W66" s="85">
        <f ca="1">(Yards[[#This Row],['# yards]]*INDEX(UnitCosts[],MATCH(Yards[[#This Row],[WORK TYPE]],UnitCosts[Work Type],0),2))*(1+((Yards[[#This Row],[est. CONS Year]]-YEAR(TODAY()))*$W$3))</f>
        <v>2232573.9527325006</v>
      </c>
      <c r="X66" s="142">
        <f ca="1">IF(ISNUMBER(SEARCH("LLC",Yards[[#This Row],[PROGRAM]])),0,IF(Yards[[#This Row],[RAD/PACT by 2025]]="yes",0,1))</f>
        <v>1</v>
      </c>
      <c r="Y66" s="1"/>
      <c r="Z66" s="1"/>
      <c r="AA66" s="51">
        <f ca="1">COUNTIF($X$5:Yards[[#This Row],['# yards]],"&gt;0")-10</f>
        <v>32</v>
      </c>
      <c r="AB66" s="1">
        <f ca="1">IF(ISBLANK(Yards[[#This Row],[DSGN CALENDAR YEAR]]),ROUNDDOWN(Yards[[#This Row],[Count]]/24,0)+$AB$1,Yards[[#This Row],[DSGN CALENDAR YEAR]])</f>
        <v>2022</v>
      </c>
      <c r="AC66" s="16">
        <f ca="1">Yards[[#This Row],[est. DSGN Year]]+1</f>
        <v>2023</v>
      </c>
    </row>
    <row r="67" spans="1:29">
      <c r="A67" s="13" t="s">
        <v>196</v>
      </c>
      <c r="B67" s="51" t="str">
        <f>VLOOKUP(Yards[[#This Row],[DEVELOPMENT]],Data[],2,FALSE)</f>
        <v>BROOKLYN</v>
      </c>
      <c r="C6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v6</v>
      </c>
      <c r="D67" s="51" t="str">
        <f>VLOOKUP(Yards[[#This Row],[DEVELOPMENT]],Data[],52,FALSE)</f>
        <v>FEDERAL</v>
      </c>
      <c r="E67" s="50">
        <f>VLOOKUP(Yards[[#This Row],[DEVELOPMENT]],Data[],8,FALSE)</f>
        <v>0</v>
      </c>
      <c r="F67" s="51" t="str">
        <f>VLOOKUP(Yards[[#This Row],[DEVELOPMENT]],all[[DEVELOPMENT]:[MRST Ext. Comp. Priority]],6,FALSE)</f>
        <v>B</v>
      </c>
      <c r="G67" s="51">
        <f>VLOOKUP(Yards[[#This Row],[DEVELOPMENT]],all[[DEVELOPMENT]:[MRST Ext. Comp. Priority]],13,FALSE)</f>
        <v>4</v>
      </c>
      <c r="H67" s="50">
        <f>IF(VLOOKUP(Yards[[#This Row],[DEVELOPMENT]],Data[],9,FALSE)=0,5,VLOOKUP(Yards[[#This Row],[DEVELOPMENT]],Data[],9,FALSE))</f>
        <v>5</v>
      </c>
      <c r="I67" s="51">
        <f>VLOOKUP(Yards[[#This Row],[DEVELOPMENT]],Data[],33,FALSE)</f>
        <v>5</v>
      </c>
      <c r="J67" s="51">
        <f>VLOOKUP(Yards[[#This Row],[DEVELOPMENT]],Data[],28,FALSE)</f>
        <v>0</v>
      </c>
      <c r="K67" s="51"/>
      <c r="L67" s="50"/>
      <c r="M67" s="51" t="str">
        <f ca="1">IFERROR(VLOOKUP(Yards[[#This Row],[DEVELOPMENT]],Data[],4,FALSE),"")</f>
        <v>2026+</v>
      </c>
      <c r="N67" s="51" t="str">
        <f ca="1">IF(Yards[[#This Row],[RAD/PACT]]="","",IF(OR(Yards[[#This Row],[RAD/PACT]]="2022-2025",Yards[[#This Row],[RAD/PACT]]=2019,Yards[[#This Row],[RAD/PACT]]="2020-2021"),"Yes",""))</f>
        <v/>
      </c>
      <c r="O67" s="51">
        <f ca="1">IFERROR(VLOOKUP(Yards[[#This Row],[DEVELOPMENT]],ExtComp[],8,FALSE),"")</f>
        <v>18</v>
      </c>
      <c r="P67" s="51"/>
      <c r="Q67" s="51"/>
      <c r="R67" s="51"/>
      <c r="S67" s="51" t="str">
        <f>IF(ISBLANK(Yards[[#This Row],[DSGN FISCAL YEAR]]),"",Yards[[#This Row],[DSGN FISCAL YEAR]]+1)</f>
        <v/>
      </c>
      <c r="T67" s="51"/>
      <c r="U67" s="128">
        <f ca="1">Yards[[#This Row],[Estimate]]*0.1</f>
        <v>332348.25476385001</v>
      </c>
      <c r="V67" s="47">
        <f ca="1">Yards[[#This Row],[Estimate]]-Yards[[#This Row],[Design Est.]]</f>
        <v>2991134.2928746496</v>
      </c>
      <c r="W67" s="85">
        <f ca="1">(Yards[[#This Row],['# yards]]*INDEX(UnitCosts[],MATCH(Yards[[#This Row],[WORK TYPE]],UnitCosts[Work Type],0),2))*(1+((Yards[[#This Row],[est. CONS Year]]-YEAR(TODAY()))*$W$3))</f>
        <v>3323482.5476384996</v>
      </c>
      <c r="X67" s="142">
        <f ca="1">IF(ISNUMBER(SEARCH("LLC",Yards[[#This Row],[PROGRAM]])),0,IF(Yards[[#This Row],[RAD/PACT by 2025]]="yes",0,1))</f>
        <v>1</v>
      </c>
      <c r="Y67" s="1"/>
      <c r="Z67" s="1"/>
      <c r="AA67" s="51">
        <f ca="1">COUNTIF($X$5:Yards[[#This Row],['# yards]],"&gt;0")-10</f>
        <v>33</v>
      </c>
      <c r="AB67" s="1">
        <f ca="1">IF(ISBLANK(Yards[[#This Row],[DSGN CALENDAR YEAR]]),ROUNDDOWN(Yards[[#This Row],[Count]]/24,0)+$AB$1,Yards[[#This Row],[DSGN CALENDAR YEAR]])</f>
        <v>2022</v>
      </c>
      <c r="AC67" s="16">
        <f ca="1">Yards[[#This Row],[est. DSGN Year]]+1</f>
        <v>2023</v>
      </c>
    </row>
    <row r="68" spans="1:29">
      <c r="A68" s="13" t="s">
        <v>206</v>
      </c>
      <c r="B68" s="51" t="str">
        <f>VLOOKUP(Yards[[#This Row],[DEVELOPMENT]],Data[],2,FALSE)</f>
        <v>BROOKLYN</v>
      </c>
      <c r="C68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68" s="51" t="str">
        <f>VLOOKUP(Yards[[#This Row],[DEVELOPMENT]],Data[],52,FALSE)</f>
        <v>FEDERAL</v>
      </c>
      <c r="E68" s="50">
        <f>VLOOKUP(Yards[[#This Row],[DEVELOPMENT]],Data[],8,FALSE)</f>
        <v>0</v>
      </c>
      <c r="F68" s="51" t="str">
        <f>VLOOKUP(Yards[[#This Row],[DEVELOPMENT]],all[[DEVELOPMENT]:[MRST Ext. Comp. Priority]],6,FALSE)</f>
        <v>B</v>
      </c>
      <c r="G68" s="51">
        <f>VLOOKUP(Yards[[#This Row],[DEVELOPMENT]],all[[DEVELOPMENT]:[MRST Ext. Comp. Priority]],13,FALSE)</f>
        <v>4</v>
      </c>
      <c r="H68" s="50">
        <f>IF(VLOOKUP(Yards[[#This Row],[DEVELOPMENT]],Data[],9,FALSE)=0,5,VLOOKUP(Yards[[#This Row],[DEVELOPMENT]],Data[],9,FALSE))</f>
        <v>5</v>
      </c>
      <c r="I68" s="51">
        <f>VLOOKUP(Yards[[#This Row],[DEVELOPMENT]],Data[],33,FALSE)</f>
        <v>2</v>
      </c>
      <c r="J68" s="51">
        <f>VLOOKUP(Yards[[#This Row],[DEVELOPMENT]],Data[],28,FALSE)</f>
        <v>0</v>
      </c>
      <c r="K68" s="51"/>
      <c r="L68" s="50"/>
      <c r="M68" s="51" t="str">
        <f ca="1">IFERROR(VLOOKUP(Yards[[#This Row],[DEVELOPMENT]],Data[],4,FALSE),"")</f>
        <v>2026+</v>
      </c>
      <c r="N68" s="51" t="str">
        <f ca="1">IF(Yards[[#This Row],[RAD/PACT]]="","",IF(OR(Yards[[#This Row],[RAD/PACT]]="2022-2025",Yards[[#This Row],[RAD/PACT]]=2019,Yards[[#This Row],[RAD/PACT]]="2020-2021"),"Yes",""))</f>
        <v/>
      </c>
      <c r="O68" s="51">
        <f ca="1">IFERROR(VLOOKUP(Yards[[#This Row],[DEVELOPMENT]],ExtComp[],8,FALSE),"")</f>
        <v>17</v>
      </c>
      <c r="P68" s="51"/>
      <c r="Q68" s="51"/>
      <c r="R68" s="51" t="str">
        <f>IF(ISBLANK(Yards[[#This Row],[DSGN CALENDAR YEAR]]),"",Yards[[#This Row],[DSGN CALENDAR YEAR]]+1)</f>
        <v/>
      </c>
      <c r="S68" s="51" t="str">
        <f>IF(ISBLANK(Yards[[#This Row],[DSGN FISCAL YEAR]]),"",Yards[[#This Row],[DSGN FISCAL YEAR]]+1)</f>
        <v/>
      </c>
      <c r="T68" s="51"/>
      <c r="U68" s="128">
        <f ca="1">Yards[[#This Row],[Estimate]]*0.1</f>
        <v>223257.39527325006</v>
      </c>
      <c r="V68" s="47">
        <f ca="1">Yards[[#This Row],[Estimate]]-Yards[[#This Row],[Design Est.]]</f>
        <v>2009316.5574592506</v>
      </c>
      <c r="W68" s="85">
        <f ca="1">(Yards[[#This Row],['# yards]]*INDEX(UnitCosts[],MATCH(Yards[[#This Row],[WORK TYPE]],UnitCosts[Work Type],0),2))*(1+((Yards[[#This Row],[est. CONS Year]]-YEAR(TODAY()))*$W$3))</f>
        <v>2232573.9527325006</v>
      </c>
      <c r="X68" s="142">
        <f ca="1">IF(ISNUMBER(SEARCH("LLC",Yards[[#This Row],[PROGRAM]])),0,IF(Yards[[#This Row],[RAD/PACT by 2025]]="yes",0,1))</f>
        <v>1</v>
      </c>
      <c r="Y68" s="1"/>
      <c r="Z68" s="1"/>
      <c r="AA68" s="51">
        <f ca="1">COUNTIF($X$5:Yards[[#This Row],['# yards]],"&gt;0")-10</f>
        <v>34</v>
      </c>
      <c r="AB68" s="1">
        <f ca="1">IF(ISBLANK(Yards[[#This Row],[DSGN CALENDAR YEAR]]),ROUNDDOWN(Yards[[#This Row],[Count]]/24,0)+$AB$1,Yards[[#This Row],[DSGN CALENDAR YEAR]])</f>
        <v>2022</v>
      </c>
      <c r="AC68" s="16">
        <f ca="1">Yards[[#This Row],[est. DSGN Year]]+1</f>
        <v>2023</v>
      </c>
    </row>
    <row r="69" spans="1:29" hidden="1">
      <c r="A69" s="13" t="s">
        <v>214</v>
      </c>
      <c r="B69" s="51" t="str">
        <f>VLOOKUP(Yards[[#This Row],[DEVELOPMENT]],Data[],2,FALSE)</f>
        <v>BROOKLYN</v>
      </c>
      <c r="C69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69" s="51" t="str">
        <f>VLOOKUP(Yards[[#This Row],[DEVELOPMENT]],Data[],52,FALSE)</f>
        <v>FEDERAL</v>
      </c>
      <c r="E69" s="50">
        <f>VLOOKUP(Yards[[#This Row],[DEVELOPMENT]],Data[],8,FALSE)</f>
        <v>0</v>
      </c>
      <c r="F69" s="51" t="str">
        <f>VLOOKUP(Yards[[#This Row],[DEVELOPMENT]],all[[DEVELOPMENT]:[MRST Ext. Comp. Priority]],6,FALSE)</f>
        <v>B</v>
      </c>
      <c r="G69" s="51">
        <f>VLOOKUP(Yards[[#This Row],[DEVELOPMENT]],all[[DEVELOPMENT]:[MRST Ext. Comp. Priority]],13,FALSE)</f>
        <v>4</v>
      </c>
      <c r="H69" s="50">
        <f>IF(VLOOKUP(Yards[[#This Row],[DEVELOPMENT]],Data[],9,FALSE)=0,5,VLOOKUP(Yards[[#This Row],[DEVELOPMENT]],Data[],9,FALSE))</f>
        <v>5</v>
      </c>
      <c r="I69" s="51">
        <f>VLOOKUP(Yards[[#This Row],[DEVELOPMENT]],Data[],33,FALSE)</f>
        <v>2</v>
      </c>
      <c r="J69" s="51">
        <f>VLOOKUP(Yards[[#This Row],[DEVELOPMENT]],Data[],28,FALSE)</f>
        <v>0</v>
      </c>
      <c r="K69" s="51"/>
      <c r="L69" s="50"/>
      <c r="M69" s="51" t="str">
        <f ca="1">IFERROR(VLOOKUP(Yards[[#This Row],[DEVELOPMENT]],Data[],4,FALSE),"")</f>
        <v>2022-2025</v>
      </c>
      <c r="N69" s="51" t="str">
        <f ca="1">IF(Yards[[#This Row],[RAD/PACT]]="","",IF(OR(Yards[[#This Row],[RAD/PACT]]="2022-2025",Yards[[#This Row],[RAD/PACT]]=2019,Yards[[#This Row],[RAD/PACT]]="2020-2021"),"Yes",""))</f>
        <v>Yes</v>
      </c>
      <c r="O69" s="51">
        <f ca="1">IFERROR(VLOOKUP(Yards[[#This Row],[DEVELOPMENT]],ExtComp[],8,FALSE),"")</f>
        <v>21</v>
      </c>
      <c r="P69" s="51"/>
      <c r="Q69" s="51"/>
      <c r="R69" s="51" t="str">
        <f>IF(ISBLANK(Yards[[#This Row],[DSGN CALENDAR YEAR]]),"",Yards[[#This Row],[DSGN CALENDAR YEAR]]+1)</f>
        <v/>
      </c>
      <c r="S69" s="51" t="str">
        <f>IF(ISBLANK(Yards[[#This Row],[DSGN FISCAL YEAR]]),"",Yards[[#This Row],[DSGN FISCAL YEAR]]+1)</f>
        <v/>
      </c>
      <c r="T69" s="51"/>
      <c r="U69" s="128">
        <f ca="1">Yards[[#This Row],[Estimate]]*0.1</f>
        <v>0</v>
      </c>
      <c r="V69" s="47">
        <f ca="1">Yards[[#This Row],[Estimate]]-Yards[[#This Row],[Design Est.]]</f>
        <v>0</v>
      </c>
      <c r="W69" s="85">
        <f ca="1">(Yards[[#This Row],['# yards]]*INDEX(UnitCosts[],MATCH(Yards[[#This Row],[WORK TYPE]],UnitCosts[Work Type],0),2))*(1+((Yards[[#This Row],[est. CONS Year]]-YEAR(TODAY()))*$W$3))</f>
        <v>0</v>
      </c>
      <c r="X69" s="142">
        <f ca="1">IF(ISNUMBER(SEARCH("LLC",Yards[[#This Row],[PROGRAM]])),0,IF(Yards[[#This Row],[RAD/PACT by 2025]]="yes",0,1))</f>
        <v>0</v>
      </c>
      <c r="Y69" s="1"/>
      <c r="Z69" s="1"/>
      <c r="AA69" s="51">
        <f ca="1">COUNTIF($X$5:Yards[[#This Row],['# yards]],"&gt;0")-10</f>
        <v>34</v>
      </c>
      <c r="AB69" s="1">
        <f ca="1">IF(ISBLANK(Yards[[#This Row],[DSGN CALENDAR YEAR]]),ROUNDDOWN(Yards[[#This Row],[Count]]/24,0)+$AB$1,Yards[[#This Row],[DSGN CALENDAR YEAR]])</f>
        <v>2022</v>
      </c>
      <c r="AC69" s="16">
        <f ca="1">Yards[[#This Row],[est. DSGN Year]]+1</f>
        <v>2023</v>
      </c>
    </row>
    <row r="70" spans="1:29" hidden="1">
      <c r="A70" s="13" t="s">
        <v>217</v>
      </c>
      <c r="B70" s="51" t="str">
        <f>VLOOKUP(Yards[[#This Row],[DEVELOPMENT]],Data[],2,FALSE)</f>
        <v>BRONX</v>
      </c>
      <c r="C70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v6</v>
      </c>
      <c r="D70" s="51" t="str">
        <f>VLOOKUP(Yards[[#This Row],[DEVELOPMENT]],Data[],52,FALSE)</f>
        <v>FEDERAL</v>
      </c>
      <c r="E70" s="50">
        <f>VLOOKUP(Yards[[#This Row],[DEVELOPMENT]],Data[],8,FALSE)</f>
        <v>0</v>
      </c>
      <c r="F70" s="51" t="str">
        <f>VLOOKUP(Yards[[#This Row],[DEVELOPMENT]],all[[DEVELOPMENT]:[MRST Ext. Comp. Priority]],6,FALSE)</f>
        <v>B</v>
      </c>
      <c r="G70" s="51">
        <f>VLOOKUP(Yards[[#This Row],[DEVELOPMENT]],all[[DEVELOPMENT]:[MRST Ext. Comp. Priority]],13,FALSE)</f>
        <v>4</v>
      </c>
      <c r="H70" s="50">
        <f>IF(VLOOKUP(Yards[[#This Row],[DEVELOPMENT]],Data[],9,FALSE)=0,5,VLOOKUP(Yards[[#This Row],[DEVELOPMENT]],Data[],9,FALSE))</f>
        <v>5</v>
      </c>
      <c r="I70" s="51">
        <f>VLOOKUP(Yards[[#This Row],[DEVELOPMENT]],Data[],33,FALSE)</f>
        <v>5</v>
      </c>
      <c r="J70" s="51">
        <f>VLOOKUP(Yards[[#This Row],[DEVELOPMENT]],Data[],28,FALSE)</f>
        <v>0</v>
      </c>
      <c r="K70" s="51"/>
      <c r="L70" s="50"/>
      <c r="M70" s="51" t="str">
        <f ca="1">IFERROR(VLOOKUP(Yards[[#This Row],[DEVELOPMENT]],Data[],4,FALSE),"")</f>
        <v>2020-2021</v>
      </c>
      <c r="N70" s="51" t="str">
        <f ca="1">IF(Yards[[#This Row],[RAD/PACT]]="","",IF(OR(Yards[[#This Row],[RAD/PACT]]="2022-2025",Yards[[#This Row],[RAD/PACT]]=2019,Yards[[#This Row],[RAD/PACT]]="2020-2021"),"Yes",""))</f>
        <v>Yes</v>
      </c>
      <c r="O70" s="51">
        <f ca="1">IFERROR(VLOOKUP(Yards[[#This Row],[DEVELOPMENT]],ExtComp[],8,FALSE),"")</f>
        <v>2</v>
      </c>
      <c r="P70" s="51"/>
      <c r="Q70" s="51"/>
      <c r="R70" s="51" t="str">
        <f>IF(ISBLANK(Yards[[#This Row],[DSGN CALENDAR YEAR]]),"",Yards[[#This Row],[DSGN CALENDAR YEAR]]+1)</f>
        <v/>
      </c>
      <c r="S70" s="51" t="str">
        <f>IF(ISBLANK(Yards[[#This Row],[DSGN FISCAL YEAR]]),"",Yards[[#This Row],[DSGN FISCAL YEAR]]+1)</f>
        <v/>
      </c>
      <c r="T70" s="51"/>
      <c r="U70" s="128">
        <f ca="1">Yards[[#This Row],[Estimate]]*0.1</f>
        <v>0</v>
      </c>
      <c r="V70" s="47">
        <f ca="1">Yards[[#This Row],[Estimate]]-Yards[[#This Row],[Design Est.]]</f>
        <v>0</v>
      </c>
      <c r="W70" s="85">
        <f ca="1">(Yards[[#This Row],['# yards]]*INDEX(UnitCosts[],MATCH(Yards[[#This Row],[WORK TYPE]],UnitCosts[Work Type],0),2))*(1+((Yards[[#This Row],[est. CONS Year]]-YEAR(TODAY()))*$W$3))</f>
        <v>0</v>
      </c>
      <c r="X70" s="142">
        <f ca="1">IF(ISNUMBER(SEARCH("LLC",Yards[[#This Row],[PROGRAM]])),0,IF(Yards[[#This Row],[RAD/PACT by 2025]]="yes",0,1))</f>
        <v>0</v>
      </c>
      <c r="Y70" s="1"/>
      <c r="Z70" s="1"/>
      <c r="AA70" s="51">
        <f ca="1">COUNTIF($X$5:Yards[[#This Row],['# yards]],"&gt;0")-10</f>
        <v>34</v>
      </c>
      <c r="AB70" s="1">
        <f ca="1">IF(ISBLANK(Yards[[#This Row],[DSGN CALENDAR YEAR]]),ROUNDDOWN(Yards[[#This Row],[Count]]/24,0)+$AB$1,Yards[[#This Row],[DSGN CALENDAR YEAR]])</f>
        <v>2022</v>
      </c>
      <c r="AC70" s="16">
        <f ca="1">Yards[[#This Row],[est. DSGN Year]]+1</f>
        <v>2023</v>
      </c>
    </row>
    <row r="71" spans="1:29" hidden="1">
      <c r="A71" s="13" t="s">
        <v>225</v>
      </c>
      <c r="B71" s="51" t="str">
        <f>VLOOKUP(Yards[[#This Row],[DEVELOPMENT]],Data[],2,FALSE)</f>
        <v>BRONX</v>
      </c>
      <c r="C71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71" s="51" t="str">
        <f>VLOOKUP(Yards[[#This Row],[DEVELOPMENT]],Data[],52,FALSE)</f>
        <v>FEDERAL</v>
      </c>
      <c r="E71" s="50">
        <f>VLOOKUP(Yards[[#This Row],[DEVELOPMENT]],Data[],8,FALSE)</f>
        <v>0</v>
      </c>
      <c r="F71" s="51" t="str">
        <f>VLOOKUP(Yards[[#This Row],[DEVELOPMENT]],all[[DEVELOPMENT]:[MRST Ext. Comp. Priority]],6,FALSE)</f>
        <v>B</v>
      </c>
      <c r="G71" s="51">
        <f>VLOOKUP(Yards[[#This Row],[DEVELOPMENT]],all[[DEVELOPMENT]:[MRST Ext. Comp. Priority]],13,FALSE)</f>
        <v>4</v>
      </c>
      <c r="H71" s="50">
        <f>IF(VLOOKUP(Yards[[#This Row],[DEVELOPMENT]],Data[],9,FALSE)=0,5,VLOOKUP(Yards[[#This Row],[DEVELOPMENT]],Data[],9,FALSE))</f>
        <v>5</v>
      </c>
      <c r="I71" s="51">
        <f>VLOOKUP(Yards[[#This Row],[DEVELOPMENT]],Data[],33,FALSE)</f>
        <v>0</v>
      </c>
      <c r="J71" s="51">
        <f>VLOOKUP(Yards[[#This Row],[DEVELOPMENT]],Data[],28,FALSE)</f>
        <v>0</v>
      </c>
      <c r="K71" s="51"/>
      <c r="L71" s="50"/>
      <c r="M71" s="51" t="str">
        <f ca="1">IFERROR(VLOOKUP(Yards[[#This Row],[DEVELOPMENT]],Data[],4,FALSE),"")</f>
        <v>2020-2021</v>
      </c>
      <c r="N71" s="51" t="str">
        <f ca="1">IF(Yards[[#This Row],[RAD/PACT]]="","",IF(OR(Yards[[#This Row],[RAD/PACT]]="2022-2025",Yards[[#This Row],[RAD/PACT]]=2019,Yards[[#This Row],[RAD/PACT]]="2020-2021"),"Yes",""))</f>
        <v>Yes</v>
      </c>
      <c r="O71" s="51" t="str">
        <f ca="1">IFERROR(VLOOKUP(Yards[[#This Row],[DEVELOPMENT]],ExtComp[],8,FALSE),"")</f>
        <v/>
      </c>
      <c r="P71" s="51"/>
      <c r="Q71" s="51"/>
      <c r="R71" s="51" t="str">
        <f>IF(ISBLANK(Yards[[#This Row],[DSGN CALENDAR YEAR]]),"",Yards[[#This Row],[DSGN CALENDAR YEAR]]+1)</f>
        <v/>
      </c>
      <c r="S71" s="51" t="str">
        <f>IF(ISBLANK(Yards[[#This Row],[DSGN FISCAL YEAR]]),"",Yards[[#This Row],[DSGN FISCAL YEAR]]+1)</f>
        <v/>
      </c>
      <c r="T71" s="51"/>
      <c r="U71" s="128">
        <f ca="1">Yards[[#This Row],[Estimate]]*0.1</f>
        <v>0</v>
      </c>
      <c r="V71" s="47">
        <f ca="1">Yards[[#This Row],[Estimate]]-Yards[[#This Row],[Design Est.]]</f>
        <v>0</v>
      </c>
      <c r="W71" s="85">
        <f ca="1">(Yards[[#This Row],['# yards]]*INDEX(UnitCosts[],MATCH(Yards[[#This Row],[WORK TYPE]],UnitCosts[Work Type],0),2))*(1+((Yards[[#This Row],[est. CONS Year]]-YEAR(TODAY()))*$W$3))</f>
        <v>0</v>
      </c>
      <c r="X71" s="142">
        <f ca="1">IF(ISNUMBER(SEARCH("LLC",Yards[[#This Row],[PROGRAM]])),0,IF(Yards[[#This Row],[RAD/PACT by 2025]]="yes",0,1))</f>
        <v>0</v>
      </c>
      <c r="Y71" s="1"/>
      <c r="Z71" s="1"/>
      <c r="AA71" s="51">
        <f ca="1">COUNTIF($X$5:Yards[[#This Row],['# yards]],"&gt;0")-10</f>
        <v>34</v>
      </c>
      <c r="AB71" s="1">
        <f ca="1">IF(ISBLANK(Yards[[#This Row],[DSGN CALENDAR YEAR]]),ROUNDDOWN(Yards[[#This Row],[Count]]/24,0)+$AB$1,Yards[[#This Row],[DSGN CALENDAR YEAR]])</f>
        <v>2022</v>
      </c>
      <c r="AC71" s="16">
        <f ca="1">Yards[[#This Row],[est. DSGN Year]]+1</f>
        <v>2023</v>
      </c>
    </row>
    <row r="72" spans="1:29">
      <c r="A72" s="13" t="s">
        <v>209</v>
      </c>
      <c r="B72" s="51" t="str">
        <f>VLOOKUP(Yards[[#This Row],[DEVELOPMENT]],Data[],2,FALSE)</f>
        <v>BROOKLYN</v>
      </c>
      <c r="C7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72" s="51" t="str">
        <f>VLOOKUP(Yards[[#This Row],[DEVELOPMENT]],Data[],52,FALSE)</f>
        <v>FEDERAL</v>
      </c>
      <c r="E72" s="50">
        <f>VLOOKUP(Yards[[#This Row],[DEVELOPMENT]],Data[],8,FALSE)</f>
        <v>0</v>
      </c>
      <c r="F72" s="51" t="str">
        <f>VLOOKUP(Yards[[#This Row],[DEVELOPMENT]],all[[DEVELOPMENT]:[MRST Ext. Comp. Priority]],6,FALSE)</f>
        <v>B</v>
      </c>
      <c r="G72" s="51">
        <f>VLOOKUP(Yards[[#This Row],[DEVELOPMENT]],all[[DEVELOPMENT]:[MRST Ext. Comp. Priority]],13,FALSE)</f>
        <v>4</v>
      </c>
      <c r="H72" s="50">
        <f>IF(VLOOKUP(Yards[[#This Row],[DEVELOPMENT]],Data[],9,FALSE)=0,5,VLOOKUP(Yards[[#This Row],[DEVELOPMENT]],Data[],9,FALSE))</f>
        <v>5</v>
      </c>
      <c r="I72" s="51">
        <f>VLOOKUP(Yards[[#This Row],[DEVELOPMENT]],Data[],33,FALSE)</f>
        <v>0</v>
      </c>
      <c r="J72" s="51">
        <f>VLOOKUP(Yards[[#This Row],[DEVELOPMENT]],Data[],28,FALSE)</f>
        <v>0</v>
      </c>
      <c r="K72" s="51"/>
      <c r="L72" s="50"/>
      <c r="M72" s="51" t="str">
        <f ca="1">IFERROR(VLOOKUP(Yards[[#This Row],[DEVELOPMENT]],Data[],4,FALSE),"")</f>
        <v>2026+</v>
      </c>
      <c r="N72" s="51" t="str">
        <f ca="1">IF(Yards[[#This Row],[RAD/PACT]]="","",IF(OR(Yards[[#This Row],[RAD/PACT]]="2022-2025",Yards[[#This Row],[RAD/PACT]]=2019,Yards[[#This Row],[RAD/PACT]]="2020-2021"),"Yes",""))</f>
        <v/>
      </c>
      <c r="O72" s="51">
        <f ca="1">IFERROR(VLOOKUP(Yards[[#This Row],[DEVELOPMENT]],ExtComp[],8,FALSE),"")</f>
        <v>12</v>
      </c>
      <c r="P72" s="51"/>
      <c r="Q72" s="51"/>
      <c r="R72" s="51" t="str">
        <f>IF(ISBLANK(Yards[[#This Row],[DSGN CALENDAR YEAR]]),"",Yards[[#This Row],[DSGN CALENDAR YEAR]]+1)</f>
        <v/>
      </c>
      <c r="S72" s="51" t="str">
        <f>IF(ISBLANK(Yards[[#This Row],[DSGN FISCAL YEAR]]),"",Yards[[#This Row],[DSGN FISCAL YEAR]]+1)</f>
        <v/>
      </c>
      <c r="T72" s="51"/>
      <c r="U72" s="128">
        <f ca="1">Yards[[#This Row],[Estimate]]*0.1</f>
        <v>199733.80581700004</v>
      </c>
      <c r="V72" s="47">
        <f ca="1">Yards[[#This Row],[Estimate]]-Yards[[#This Row],[Design Est.]]</f>
        <v>1797604.2523530002</v>
      </c>
      <c r="W72" s="85">
        <f ca="1">(Yards[[#This Row],['# yards]]*INDEX(UnitCosts[],MATCH(Yards[[#This Row],[WORK TYPE]],UnitCosts[Work Type],0),2))*(1+((Yards[[#This Row],[est. CONS Year]]-YEAR(TODAY()))*$W$3))</f>
        <v>1997338.0581700003</v>
      </c>
      <c r="X72" s="142">
        <f ca="1">IF(ISNUMBER(SEARCH("LLC",Yards[[#This Row],[PROGRAM]])),0,IF(Yards[[#This Row],[RAD/PACT by 2025]]="yes",0,1))</f>
        <v>1</v>
      </c>
      <c r="Y72" s="1"/>
      <c r="Z72" s="1"/>
      <c r="AA72" s="51">
        <f ca="1">COUNTIF($X$5:Yards[[#This Row],['# yards]],"&gt;0")-10</f>
        <v>35</v>
      </c>
      <c r="AB72" s="1">
        <f ca="1">IF(ISBLANK(Yards[[#This Row],[DSGN CALENDAR YEAR]]),ROUNDDOWN(Yards[[#This Row],[Count]]/24,0)+$AB$1,Yards[[#This Row],[DSGN CALENDAR YEAR]])</f>
        <v>2022</v>
      </c>
      <c r="AC72" s="16">
        <f ca="1">Yards[[#This Row],[est. DSGN Year]]+1</f>
        <v>2023</v>
      </c>
    </row>
    <row r="73" spans="1:29" hidden="1">
      <c r="A73" s="13" t="s">
        <v>188</v>
      </c>
      <c r="B73" s="51" t="str">
        <f>VLOOKUP(Yards[[#This Row],[DEVELOPMENT]],Data[],2,FALSE)</f>
        <v>BROOKLYN</v>
      </c>
      <c r="C73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73" s="51" t="str">
        <f>VLOOKUP(Yards[[#This Row],[DEVELOPMENT]],Data[],52,FALSE)</f>
        <v>FEDERAL</v>
      </c>
      <c r="E73" s="50">
        <f>VLOOKUP(Yards[[#This Row],[DEVELOPMENT]],Data[],8,FALSE)</f>
        <v>0</v>
      </c>
      <c r="F73" s="51" t="str">
        <f>VLOOKUP(Yards[[#This Row],[DEVELOPMENT]],all[[DEVELOPMENT]:[MRST Ext. Comp. Priority]],6,FALSE)</f>
        <v>B</v>
      </c>
      <c r="G73" s="51" t="str">
        <f>VLOOKUP(Yards[[#This Row],[DEVELOPMENT]],all[[DEVELOPMENT]:[MRST Ext. Comp. Priority]],13,FALSE)</f>
        <v>None</v>
      </c>
      <c r="H73" s="50">
        <f>IF(VLOOKUP(Yards[[#This Row],[DEVELOPMENT]],Data[],9,FALSE)=0,5,VLOOKUP(Yards[[#This Row],[DEVELOPMENT]],Data[],9,FALSE))</f>
        <v>5</v>
      </c>
      <c r="I73" s="51">
        <f>VLOOKUP(Yards[[#This Row],[DEVELOPMENT]],Data[],33,FALSE)</f>
        <v>4</v>
      </c>
      <c r="J73" s="51">
        <f>VLOOKUP(Yards[[#This Row],[DEVELOPMENT]],Data[],28,FALSE)</f>
        <v>0</v>
      </c>
      <c r="K73" s="51"/>
      <c r="L73" s="50"/>
      <c r="M73" s="51" t="str">
        <f ca="1">IFERROR(VLOOKUP(Yards[[#This Row],[DEVELOPMENT]],Data[],4,FALSE),"")</f>
        <v>2020-2021</v>
      </c>
      <c r="N73" s="51" t="str">
        <f ca="1">IF(Yards[[#This Row],[RAD/PACT]]="","",IF(OR(Yards[[#This Row],[RAD/PACT]]="2022-2025",Yards[[#This Row],[RAD/PACT]]=2019,Yards[[#This Row],[RAD/PACT]]="2020-2021"),"Yes",""))</f>
        <v>Yes</v>
      </c>
      <c r="O73" s="51">
        <f ca="1">IFERROR(VLOOKUP(Yards[[#This Row],[DEVELOPMENT]],ExtComp[],8,FALSE),"")</f>
        <v>18</v>
      </c>
      <c r="P73" s="51"/>
      <c r="Q73" s="51"/>
      <c r="R73" s="51" t="str">
        <f>IF(ISBLANK(Yards[[#This Row],[DSGN CALENDAR YEAR]]),"",Yards[[#This Row],[DSGN CALENDAR YEAR]]+1)</f>
        <v/>
      </c>
      <c r="S73" s="51" t="str">
        <f>IF(ISBLANK(Yards[[#This Row],[DSGN FISCAL YEAR]]),"",Yards[[#This Row],[DSGN FISCAL YEAR]]+1)</f>
        <v/>
      </c>
      <c r="T73" s="51"/>
      <c r="U73" s="128">
        <f ca="1">Yards[[#This Row],[Estimate]]*0.1</f>
        <v>0</v>
      </c>
      <c r="V73" s="47">
        <f ca="1">Yards[[#This Row],[Estimate]]-Yards[[#This Row],[Design Est.]]</f>
        <v>0</v>
      </c>
      <c r="W73" s="85">
        <f ca="1">(Yards[[#This Row],['# yards]]*INDEX(UnitCosts[],MATCH(Yards[[#This Row],[WORK TYPE]],UnitCosts[Work Type],0),2))*(1+((Yards[[#This Row],[est. CONS Year]]-YEAR(TODAY()))*$W$3))</f>
        <v>0</v>
      </c>
      <c r="X73" s="142">
        <f ca="1">IF(ISNUMBER(SEARCH("LLC",Yards[[#This Row],[PROGRAM]])),0,IF(Yards[[#This Row],[RAD/PACT by 2025]]="yes",0,1))</f>
        <v>0</v>
      </c>
      <c r="Y73" s="1"/>
      <c r="Z73" s="1"/>
      <c r="AA73" s="51">
        <f ca="1">COUNTIF($X$5:Yards[[#This Row],['# yards]],"&gt;0")-10</f>
        <v>35</v>
      </c>
      <c r="AB73" s="1">
        <f ca="1">IF(ISBLANK(Yards[[#This Row],[DSGN CALENDAR YEAR]]),ROUNDDOWN(Yards[[#This Row],[Count]]/24,0)+$AB$1,Yards[[#This Row],[DSGN CALENDAR YEAR]])</f>
        <v>2022</v>
      </c>
      <c r="AC73" s="16">
        <f ca="1">Yards[[#This Row],[est. DSGN Year]]+1</f>
        <v>2023</v>
      </c>
    </row>
    <row r="74" spans="1:29">
      <c r="A74" s="13" t="s">
        <v>73</v>
      </c>
      <c r="B74" s="51" t="str">
        <f>VLOOKUP(Yards[[#This Row],[DEVELOPMENT]],Data[],2,FALSE)</f>
        <v>BRONX</v>
      </c>
      <c r="C7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74" s="51" t="str">
        <f>VLOOKUP(Yards[[#This Row],[DEVELOPMENT]],Data[],52,FALSE)</f>
        <v>FEDERAL</v>
      </c>
      <c r="E74" s="50" t="str">
        <f>VLOOKUP(Yards[[#This Row],[DEVELOPMENT]],Data[],8,FALSE)</f>
        <v>Zone 3</v>
      </c>
      <c r="F74" s="51" t="str">
        <f>VLOOKUP(Yards[[#This Row],[DEVELOPMENT]],all[[DEVELOPMENT]:[MRST Ext. Comp. Priority]],6,FALSE)</f>
        <v>B</v>
      </c>
      <c r="G74" s="51" t="str">
        <f>VLOOKUP(Yards[[#This Row],[DEVELOPMENT]],all[[DEVELOPMENT]:[MRST Ext. Comp. Priority]],13,FALSE)</f>
        <v>None</v>
      </c>
      <c r="H74" s="50">
        <f>IF(VLOOKUP(Yards[[#This Row],[DEVELOPMENT]],Data[],9,FALSE)=0,5,VLOOKUP(Yards[[#This Row],[DEVELOPMENT]],Data[],9,FALSE))</f>
        <v>4</v>
      </c>
      <c r="I74" s="51">
        <f>VLOOKUP(Yards[[#This Row],[DEVELOPMENT]],Data[],33,FALSE)</f>
        <v>3</v>
      </c>
      <c r="J74" s="51">
        <f>VLOOKUP(Yards[[#This Row],[DEVELOPMENT]],Data[],28,FALSE)</f>
        <v>0</v>
      </c>
      <c r="K74" s="51"/>
      <c r="L74" s="50"/>
      <c r="M74" s="51" t="str">
        <f ca="1">IFERROR(VLOOKUP(Yards[[#This Row],[DEVELOPMENT]],Data[],4,FALSE),"")</f>
        <v/>
      </c>
      <c r="N74" s="51" t="str">
        <f ca="1">IF(Yards[[#This Row],[RAD/PACT]]="","",IF(OR(Yards[[#This Row],[RAD/PACT]]="2022-2025",Yards[[#This Row],[RAD/PACT]]=2019,Yards[[#This Row],[RAD/PACT]]="2020-2021"),"Yes",""))</f>
        <v/>
      </c>
      <c r="O74" s="51">
        <f ca="1">IFERROR(VLOOKUP(Yards[[#This Row],[DEVELOPMENT]],ExtComp[],8,FALSE),"")</f>
        <v>20</v>
      </c>
      <c r="P74" s="51"/>
      <c r="Q74" s="51"/>
      <c r="R74" s="51" t="str">
        <f>IF(ISBLANK(Yards[[#This Row],[DSGN CALENDAR YEAR]]),"",Yards[[#This Row],[DSGN CALENDAR YEAR]]+1)</f>
        <v/>
      </c>
      <c r="S74" s="51" t="str">
        <f>IF(ISBLANK(Yards[[#This Row],[DSGN FISCAL YEAR]]),"",Yards[[#This Row],[DSGN FISCAL YEAR]]+1)</f>
        <v/>
      </c>
      <c r="T74" s="51"/>
      <c r="U74" s="128">
        <f ca="1">Yards[[#This Row],[Estimate]]*0.1</f>
        <v>259621.01510345002</v>
      </c>
      <c r="V74" s="47">
        <f ca="1">Yards[[#This Row],[Estimate]]-Yards[[#This Row],[Design Est.]]</f>
        <v>2336589.1359310499</v>
      </c>
      <c r="W74" s="85">
        <f ca="1">(Yards[[#This Row],['# yards]]*INDEX(UnitCosts[],MATCH(Yards[[#This Row],[WORK TYPE]],UnitCosts[Work Type],0),2))*(1+((Yards[[#This Row],[est. CONS Year]]-YEAR(TODAY()))*$W$3))</f>
        <v>2596210.1510345</v>
      </c>
      <c r="X74" s="142">
        <f ca="1">IF(ISNUMBER(SEARCH("LLC",Yards[[#This Row],[PROGRAM]])),0,IF(Yards[[#This Row],[RAD/PACT by 2025]]="yes",0,1))</f>
        <v>1</v>
      </c>
      <c r="Y74" s="1"/>
      <c r="Z74" s="1"/>
      <c r="AA74" s="51">
        <f ca="1">COUNTIF($X$5:Yards[[#This Row],['# yards]],"&gt;0")-10</f>
        <v>36</v>
      </c>
      <c r="AB74" s="1">
        <f ca="1">IF(ISBLANK(Yards[[#This Row],[DSGN CALENDAR YEAR]]),ROUNDDOWN(Yards[[#This Row],[Count]]/24,0)+$AB$1,Yards[[#This Row],[DSGN CALENDAR YEAR]])</f>
        <v>2022</v>
      </c>
      <c r="AC74" s="16">
        <f ca="1">Yards[[#This Row],[est. DSGN Year]]+1</f>
        <v>2023</v>
      </c>
    </row>
    <row r="75" spans="1:29">
      <c r="A75" s="13" t="s">
        <v>189</v>
      </c>
      <c r="B75" s="51" t="str">
        <f>VLOOKUP(Yards[[#This Row],[DEVELOPMENT]],Data[],2,FALSE)</f>
        <v>BRONX</v>
      </c>
      <c r="C75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75" s="51" t="str">
        <f>VLOOKUP(Yards[[#This Row],[DEVELOPMENT]],Data[],52,FALSE)</f>
        <v>FEDERAL</v>
      </c>
      <c r="E75" s="50" t="str">
        <f>VLOOKUP(Yards[[#This Row],[DEVELOPMENT]],Data[],8,FALSE)</f>
        <v>Zone 3</v>
      </c>
      <c r="F75" s="51" t="str">
        <f>VLOOKUP(Yards[[#This Row],[DEVELOPMENT]],all[[DEVELOPMENT]:[MRST Ext. Comp. Priority]],6,FALSE)</f>
        <v>B</v>
      </c>
      <c r="G75" s="51" t="str">
        <f>VLOOKUP(Yards[[#This Row],[DEVELOPMENT]],all[[DEVELOPMENT]:[MRST Ext. Comp. Priority]],13,FALSE)</f>
        <v>None</v>
      </c>
      <c r="H75" s="50">
        <f>IF(VLOOKUP(Yards[[#This Row],[DEVELOPMENT]],Data[],9,FALSE)=0,5,VLOOKUP(Yards[[#This Row],[DEVELOPMENT]],Data[],9,FALSE))</f>
        <v>5</v>
      </c>
      <c r="I75" s="51">
        <f>VLOOKUP(Yards[[#This Row],[DEVELOPMENT]],Data[],33,FALSE)</f>
        <v>0</v>
      </c>
      <c r="J75" s="51">
        <f>VLOOKUP(Yards[[#This Row],[DEVELOPMENT]],Data[],28,FALSE)</f>
        <v>0</v>
      </c>
      <c r="K75" s="51"/>
      <c r="L75" s="50"/>
      <c r="M75" s="51" t="str">
        <f ca="1">IFERROR(VLOOKUP(Yards[[#This Row],[DEVELOPMENT]],Data[],4,FALSE),"")</f>
        <v/>
      </c>
      <c r="N75" s="51" t="str">
        <f ca="1">IF(Yards[[#This Row],[RAD/PACT]]="","",IF(OR(Yards[[#This Row],[RAD/PACT]]="2022-2025",Yards[[#This Row],[RAD/PACT]]=2019,Yards[[#This Row],[RAD/PACT]]="2020-2021"),"Yes",""))</f>
        <v/>
      </c>
      <c r="O75" s="51" t="str">
        <f ca="1">IFERROR(VLOOKUP(Yards[[#This Row],[DEVELOPMENT]],ExtComp[],8,FALSE),"")</f>
        <v/>
      </c>
      <c r="P75" s="51"/>
      <c r="Q75" s="51"/>
      <c r="R75" s="51" t="str">
        <f>IF(ISBLANK(Yards[[#This Row],[DSGN CALENDAR YEAR]]),"",Yards[[#This Row],[DSGN CALENDAR YEAR]]+1)</f>
        <v/>
      </c>
      <c r="S75" s="51" t="str">
        <f>IF(ISBLANK(Yards[[#This Row],[DSGN FISCAL YEAR]]),"",Yards[[#This Row],[DSGN FISCAL YEAR]]+1)</f>
        <v/>
      </c>
      <c r="T75" s="51"/>
      <c r="U75" s="128">
        <f ca="1">Yards[[#This Row],[Estimate]]*0.1</f>
        <v>199733.80581700004</v>
      </c>
      <c r="V75" s="47">
        <f ca="1">Yards[[#This Row],[Estimate]]-Yards[[#This Row],[Design Est.]]</f>
        <v>1797604.2523530002</v>
      </c>
      <c r="W75" s="85">
        <f ca="1">(Yards[[#This Row],['# yards]]*INDEX(UnitCosts[],MATCH(Yards[[#This Row],[WORK TYPE]],UnitCosts[Work Type],0),2))*(1+((Yards[[#This Row],[est. CONS Year]]-YEAR(TODAY()))*$W$3))</f>
        <v>1997338.0581700003</v>
      </c>
      <c r="X75" s="142">
        <f ca="1">IF(ISNUMBER(SEARCH("LLC",Yards[[#This Row],[PROGRAM]])),0,IF(Yards[[#This Row],[RAD/PACT by 2025]]="yes",0,1))</f>
        <v>1</v>
      </c>
      <c r="Y75" s="1"/>
      <c r="Z75" s="1"/>
      <c r="AA75" s="51">
        <f ca="1">COUNTIF($X$5:Yards[[#This Row],['# yards]],"&gt;0")-10</f>
        <v>37</v>
      </c>
      <c r="AB75" s="1">
        <f ca="1">IF(ISBLANK(Yards[[#This Row],[DSGN CALENDAR YEAR]]),ROUNDDOWN(Yards[[#This Row],[Count]]/24,0)+$AB$1,Yards[[#This Row],[DSGN CALENDAR YEAR]])</f>
        <v>2022</v>
      </c>
      <c r="AC75" s="16">
        <f ca="1">Yards[[#This Row],[est. DSGN Year]]+1</f>
        <v>2023</v>
      </c>
    </row>
    <row r="76" spans="1:29">
      <c r="A76" s="13" t="s">
        <v>92</v>
      </c>
      <c r="B76" s="51" t="str">
        <f>VLOOKUP(Yards[[#This Row],[DEVELOPMENT]],Data[],2,FALSE)</f>
        <v>MANHATTAN</v>
      </c>
      <c r="C7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76" s="51" t="str">
        <f>VLOOKUP(Yards[[#This Row],[DEVELOPMENT]],Data[],52,FALSE)</f>
        <v>FEDERAL</v>
      </c>
      <c r="E76" s="50" t="str">
        <f>VLOOKUP(Yards[[#This Row],[DEVELOPMENT]],Data[],8,FALSE)</f>
        <v>Zone 2</v>
      </c>
      <c r="F76" s="51" t="str">
        <f>VLOOKUP(Yards[[#This Row],[DEVELOPMENT]],all[[DEVELOPMENT]:[MRST Ext. Comp. Priority]],6,FALSE)</f>
        <v>C</v>
      </c>
      <c r="G76" s="51">
        <f>VLOOKUP(Yards[[#This Row],[DEVELOPMENT]],all[[DEVELOPMENT]:[MRST Ext. Comp. Priority]],13,FALSE)</f>
        <v>2</v>
      </c>
      <c r="H76" s="50">
        <f>IF(VLOOKUP(Yards[[#This Row],[DEVELOPMENT]],Data[],9,FALSE)=0,5,VLOOKUP(Yards[[#This Row],[DEVELOPMENT]],Data[],9,FALSE))</f>
        <v>1</v>
      </c>
      <c r="I76" s="51">
        <f>VLOOKUP(Yards[[#This Row],[DEVELOPMENT]],Data[],33,FALSE)</f>
        <v>0</v>
      </c>
      <c r="J76" s="51">
        <f>VLOOKUP(Yards[[#This Row],[DEVELOPMENT]],Data[],28,FALSE)</f>
        <v>0</v>
      </c>
      <c r="K76" s="51"/>
      <c r="L76" s="50"/>
      <c r="M76" s="51" t="str">
        <f ca="1">IFERROR(VLOOKUP(Yards[[#This Row],[DEVELOPMENT]],Data[],4,FALSE),"")</f>
        <v/>
      </c>
      <c r="N76" s="51" t="str">
        <f ca="1">IF(Yards[[#This Row],[RAD/PACT]]="","",IF(OR(Yards[[#This Row],[RAD/PACT]]="2022-2025",Yards[[#This Row],[RAD/PACT]]=2019,Yards[[#This Row],[RAD/PACT]]="2020-2021"),"Yes",""))</f>
        <v/>
      </c>
      <c r="O76" s="51" t="str">
        <f ca="1">IFERROR(VLOOKUP(Yards[[#This Row],[DEVELOPMENT]],ExtComp[],8,FALSE),"")</f>
        <v/>
      </c>
      <c r="P76" s="51"/>
      <c r="Q76" s="51"/>
      <c r="R76" s="51" t="str">
        <f>IF(ISBLANK(Yards[[#This Row],[DSGN CALENDAR YEAR]]),"",Yards[[#This Row],[DSGN CALENDAR YEAR]]+1)</f>
        <v/>
      </c>
      <c r="S76" s="51" t="str">
        <f>IF(ISBLANK(Yards[[#This Row],[DSGN FISCAL YEAR]]),"",Yards[[#This Row],[DSGN FISCAL YEAR]]+1)</f>
        <v/>
      </c>
      <c r="T76" s="51"/>
      <c r="U76" s="128">
        <f ca="1">Yards[[#This Row],[Estimate]]*0.1</f>
        <v>199733.80581700004</v>
      </c>
      <c r="V76" s="47">
        <f ca="1">Yards[[#This Row],[Estimate]]-Yards[[#This Row],[Design Est.]]</f>
        <v>1797604.2523530002</v>
      </c>
      <c r="W76" s="85">
        <f ca="1">(Yards[[#This Row],['# yards]]*INDEX(UnitCosts[],MATCH(Yards[[#This Row],[WORK TYPE]],UnitCosts[Work Type],0),2))*(1+((Yards[[#This Row],[est. CONS Year]]-YEAR(TODAY()))*$W$3))</f>
        <v>1997338.0581700003</v>
      </c>
      <c r="X76" s="142">
        <f ca="1">IF(ISNUMBER(SEARCH("LLC",Yards[[#This Row],[PROGRAM]])),0,IF(Yards[[#This Row],[RAD/PACT by 2025]]="yes",0,1))</f>
        <v>1</v>
      </c>
      <c r="Y76" s="1"/>
      <c r="Z76" s="1"/>
      <c r="AA76" s="51">
        <f ca="1">COUNTIF($X$5:Yards[[#This Row],['# yards]],"&gt;0")-10</f>
        <v>38</v>
      </c>
      <c r="AB76" s="1">
        <f ca="1">IF(ISBLANK(Yards[[#This Row],[DSGN CALENDAR YEAR]]),ROUNDDOWN(Yards[[#This Row],[Count]]/24,0)+$AB$1,Yards[[#This Row],[DSGN CALENDAR YEAR]])</f>
        <v>2022</v>
      </c>
      <c r="AC76" s="16">
        <f ca="1">Yards[[#This Row],[est. DSGN Year]]+1</f>
        <v>2023</v>
      </c>
    </row>
    <row r="77" spans="1:29">
      <c r="A77" s="13" t="s">
        <v>37</v>
      </c>
      <c r="B77" s="51" t="str">
        <f>VLOOKUP(Yards[[#This Row],[DEVELOPMENT]],Data[],2,FALSE)</f>
        <v>BROOKLYN</v>
      </c>
      <c r="C7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77" s="51" t="str">
        <f>VLOOKUP(Yards[[#This Row],[DEVELOPMENT]],Data[],52,FALSE)</f>
        <v>FEDERAL</v>
      </c>
      <c r="E77" s="50" t="str">
        <f>VLOOKUP(Yards[[#This Row],[DEVELOPMENT]],Data[],8,FALSE)</f>
        <v>Zone 1</v>
      </c>
      <c r="F77" s="51" t="str">
        <f>VLOOKUP(Yards[[#This Row],[DEVELOPMENT]],all[[DEVELOPMENT]:[MRST Ext. Comp. Priority]],6,FALSE)</f>
        <v>C</v>
      </c>
      <c r="G77" s="51">
        <f>VLOOKUP(Yards[[#This Row],[DEVELOPMENT]],all[[DEVELOPMENT]:[MRST Ext. Comp. Priority]],13,FALSE)</f>
        <v>2</v>
      </c>
      <c r="H77" s="50">
        <f>IF(VLOOKUP(Yards[[#This Row],[DEVELOPMENT]],Data[],9,FALSE)=0,5,VLOOKUP(Yards[[#This Row],[DEVELOPMENT]],Data[],9,FALSE))</f>
        <v>2</v>
      </c>
      <c r="I77" s="51">
        <f>VLOOKUP(Yards[[#This Row],[DEVELOPMENT]],Data[],33,FALSE)</f>
        <v>2</v>
      </c>
      <c r="J77" s="51">
        <f>VLOOKUP(Yards[[#This Row],[DEVELOPMENT]],Data[],28,FALSE)</f>
        <v>0</v>
      </c>
      <c r="K77" s="51"/>
      <c r="L77" s="50"/>
      <c r="M77" s="51" t="str">
        <f ca="1">IFERROR(VLOOKUP(Yards[[#This Row],[DEVELOPMENT]],Data[],4,FALSE),"")</f>
        <v/>
      </c>
      <c r="N77" s="51" t="str">
        <f ca="1">IF(Yards[[#This Row],[RAD/PACT]]="","",IF(OR(Yards[[#This Row],[RAD/PACT]]="2022-2025",Yards[[#This Row],[RAD/PACT]]=2019,Yards[[#This Row],[RAD/PACT]]="2020-2021"),"Yes",""))</f>
        <v/>
      </c>
      <c r="O77" s="51">
        <f ca="1">IFERROR(VLOOKUP(Yards[[#This Row],[DEVELOPMENT]],ExtComp[],8,FALSE),"")</f>
        <v>0</v>
      </c>
      <c r="P77" s="51"/>
      <c r="Q77" s="51"/>
      <c r="R77" s="51" t="str">
        <f>IF(ISBLANK(Yards[[#This Row],[DSGN CALENDAR YEAR]]),"",Yards[[#This Row],[DSGN CALENDAR YEAR]]+1)</f>
        <v/>
      </c>
      <c r="S77" s="51" t="str">
        <f>IF(ISBLANK(Yards[[#This Row],[DSGN FISCAL YEAR]]),"",Yards[[#This Row],[DSGN FISCAL YEAR]]+1)</f>
        <v/>
      </c>
      <c r="T77" s="51"/>
      <c r="U77" s="128">
        <f ca="1">Yards[[#This Row],[Estimate]]*0.1</f>
        <v>150530.15561285004</v>
      </c>
      <c r="V77" s="47">
        <f ca="1">Yards[[#This Row],[Estimate]]-Yards[[#This Row],[Design Est.]]</f>
        <v>1354771.4005156502</v>
      </c>
      <c r="W77" s="85">
        <f ca="1">(Yards[[#This Row],['# yards]]*INDEX(UnitCosts[],MATCH(Yards[[#This Row],[WORK TYPE]],UnitCosts[Work Type],0),2))*(1+((Yards[[#This Row],[est. CONS Year]]-YEAR(TODAY()))*$W$3))</f>
        <v>1505301.5561285003</v>
      </c>
      <c r="X77" s="142">
        <f ca="1">IF(ISNUMBER(SEARCH("LLC",Yards[[#This Row],[PROGRAM]])),0,IF(Yards[[#This Row],[RAD/PACT by 2025]]="yes",0,1))</f>
        <v>1</v>
      </c>
      <c r="Y77" s="1"/>
      <c r="Z77" s="1"/>
      <c r="AA77" s="51">
        <f ca="1">COUNTIF($X$5:Yards[[#This Row],['# yards]],"&gt;0")-10</f>
        <v>39</v>
      </c>
      <c r="AB77" s="1">
        <f ca="1">IF(ISBLANK(Yards[[#This Row],[DSGN CALENDAR YEAR]]),ROUNDDOWN(Yards[[#This Row],[Count]]/24,0)+$AB$1,Yards[[#This Row],[DSGN CALENDAR YEAR]])</f>
        <v>2022</v>
      </c>
      <c r="AC77" s="16">
        <f ca="1">Yards[[#This Row],[est. DSGN Year]]+1</f>
        <v>2023</v>
      </c>
    </row>
    <row r="78" spans="1:29">
      <c r="A78" s="13" t="s">
        <v>105</v>
      </c>
      <c r="B78" s="51" t="str">
        <f>VLOOKUP(Yards[[#This Row],[DEVELOPMENT]],Data[],2,FALSE)</f>
        <v>BRONX</v>
      </c>
      <c r="C78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78" s="51" t="str">
        <f>VLOOKUP(Yards[[#This Row],[DEVELOPMENT]],Data[],52,FALSE)</f>
        <v>FEDERAL</v>
      </c>
      <c r="E78" s="50" t="str">
        <f>VLOOKUP(Yards[[#This Row],[DEVELOPMENT]],Data[],8,FALSE)</f>
        <v>Zone 3</v>
      </c>
      <c r="F78" s="51" t="str">
        <f>VLOOKUP(Yards[[#This Row],[DEVELOPMENT]],all[[DEVELOPMENT]:[MRST Ext. Comp. Priority]],6,FALSE)</f>
        <v>C</v>
      </c>
      <c r="G78" s="51">
        <f>VLOOKUP(Yards[[#This Row],[DEVELOPMENT]],all[[DEVELOPMENT]:[MRST Ext. Comp. Priority]],13,FALSE)</f>
        <v>2</v>
      </c>
      <c r="H78" s="50">
        <f>IF(VLOOKUP(Yards[[#This Row],[DEVELOPMENT]],Data[],9,FALSE)=0,5,VLOOKUP(Yards[[#This Row],[DEVELOPMENT]],Data[],9,FALSE))</f>
        <v>4</v>
      </c>
      <c r="I78" s="51">
        <f>VLOOKUP(Yards[[#This Row],[DEVELOPMENT]],Data[],33,FALSE)</f>
        <v>1</v>
      </c>
      <c r="J78" s="51">
        <f>VLOOKUP(Yards[[#This Row],[DEVELOPMENT]],Data[],28,FALSE)</f>
        <v>0</v>
      </c>
      <c r="K78" s="51"/>
      <c r="L78" s="50"/>
      <c r="M78" s="51" t="str">
        <f ca="1">IFERROR(VLOOKUP(Yards[[#This Row],[DEVELOPMENT]],Data[],4,FALSE),"")</f>
        <v>2026+</v>
      </c>
      <c r="N78" s="51" t="str">
        <f ca="1">IF(Yards[[#This Row],[RAD/PACT]]="","",IF(OR(Yards[[#This Row],[RAD/PACT]]="2022-2025",Yards[[#This Row],[RAD/PACT]]=2019,Yards[[#This Row],[RAD/PACT]]="2020-2021"),"Yes",""))</f>
        <v/>
      </c>
      <c r="O78" s="51">
        <f ca="1">IFERROR(VLOOKUP(Yards[[#This Row],[DEVELOPMENT]],ExtComp[],8,FALSE),"")</f>
        <v>15</v>
      </c>
      <c r="P78" s="51"/>
      <c r="Q78" s="51"/>
      <c r="R78" s="51" t="str">
        <f>IF(ISBLANK(Yards[[#This Row],[DSGN CALENDAR YEAR]]),"",Yards[[#This Row],[DSGN CALENDAR YEAR]]+1)</f>
        <v/>
      </c>
      <c r="S78" s="51" t="str">
        <f>IF(ISBLANK(Yards[[#This Row],[DSGN FISCAL YEAR]]),"",Yards[[#This Row],[DSGN FISCAL YEAR]]+1)</f>
        <v/>
      </c>
      <c r="T78" s="51"/>
      <c r="U78" s="128">
        <f ca="1">Yards[[#This Row],[Estimate]]*0.1</f>
        <v>199733.80581700004</v>
      </c>
      <c r="V78" s="47">
        <f ca="1">Yards[[#This Row],[Estimate]]-Yards[[#This Row],[Design Est.]]</f>
        <v>1797604.2523530002</v>
      </c>
      <c r="W78" s="85">
        <f ca="1">(Yards[[#This Row],['# yards]]*INDEX(UnitCosts[],MATCH(Yards[[#This Row],[WORK TYPE]],UnitCosts[Work Type],0),2))*(1+((Yards[[#This Row],[est. CONS Year]]-YEAR(TODAY()))*$W$3))</f>
        <v>1997338.0581700003</v>
      </c>
      <c r="X78" s="142">
        <f ca="1">IF(ISNUMBER(SEARCH("LLC",Yards[[#This Row],[PROGRAM]])),0,IF(Yards[[#This Row],[RAD/PACT by 2025]]="yes",0,1))</f>
        <v>1</v>
      </c>
      <c r="Y78" s="1"/>
      <c r="Z78" s="1"/>
      <c r="AA78" s="51">
        <f ca="1">COUNTIF($X$5:Yards[[#This Row],['# yards]],"&gt;0")-10</f>
        <v>40</v>
      </c>
      <c r="AB78" s="1">
        <f ca="1">IF(ISBLANK(Yards[[#This Row],[DSGN CALENDAR YEAR]]),ROUNDDOWN(Yards[[#This Row],[Count]]/24,0)+$AB$1,Yards[[#This Row],[DSGN CALENDAR YEAR]])</f>
        <v>2022</v>
      </c>
      <c r="AC78" s="16">
        <f ca="1">Yards[[#This Row],[est. DSGN Year]]+1</f>
        <v>2023</v>
      </c>
    </row>
    <row r="79" spans="1:29">
      <c r="A79" s="13" t="s">
        <v>229</v>
      </c>
      <c r="B79" s="51" t="str">
        <f>VLOOKUP(Yards[[#This Row],[DEVELOPMENT]],Data[],2,FALSE)</f>
        <v>MANHATTAN</v>
      </c>
      <c r="C7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79" s="51" t="str">
        <f>VLOOKUP(Yards[[#This Row],[DEVELOPMENT]],Data[],52,FALSE)</f>
        <v>FEDERAL</v>
      </c>
      <c r="E79" s="50">
        <f>VLOOKUP(Yards[[#This Row],[DEVELOPMENT]],Data[],8,FALSE)</f>
        <v>0</v>
      </c>
      <c r="F79" s="51" t="str">
        <f>VLOOKUP(Yards[[#This Row],[DEVELOPMENT]],all[[DEVELOPMENT]:[MRST Ext. Comp. Priority]],6,FALSE)</f>
        <v>C</v>
      </c>
      <c r="G79" s="51">
        <f>VLOOKUP(Yards[[#This Row],[DEVELOPMENT]],all[[DEVELOPMENT]:[MRST Ext. Comp. Priority]],13,FALSE)</f>
        <v>2</v>
      </c>
      <c r="H79" s="50">
        <f>IF(VLOOKUP(Yards[[#This Row],[DEVELOPMENT]],Data[],9,FALSE)=0,5,VLOOKUP(Yards[[#This Row],[DEVELOPMENT]],Data[],9,FALSE))</f>
        <v>5</v>
      </c>
      <c r="I79" s="51">
        <f>VLOOKUP(Yards[[#This Row],[DEVELOPMENT]],Data[],33,FALSE)</f>
        <v>0</v>
      </c>
      <c r="J79" s="51">
        <f>VLOOKUP(Yards[[#This Row],[DEVELOPMENT]],Data[],28,FALSE)</f>
        <v>0</v>
      </c>
      <c r="K79" s="51"/>
      <c r="L79" s="50"/>
      <c r="M79" s="51" t="str">
        <f ca="1">IFERROR(VLOOKUP(Yards[[#This Row],[DEVELOPMENT]],Data[],4,FALSE),"")</f>
        <v/>
      </c>
      <c r="N79" s="51" t="str">
        <f ca="1">IF(Yards[[#This Row],[RAD/PACT]]="","",IF(OR(Yards[[#This Row],[RAD/PACT]]="2022-2025",Yards[[#This Row],[RAD/PACT]]=2019,Yards[[#This Row],[RAD/PACT]]="2020-2021"),"Yes",""))</f>
        <v/>
      </c>
      <c r="O79" s="51" t="str">
        <f ca="1">IFERROR(VLOOKUP(Yards[[#This Row],[DEVELOPMENT]],ExtComp[],8,FALSE),"")</f>
        <v/>
      </c>
      <c r="P79" s="51"/>
      <c r="Q79" s="51"/>
      <c r="R79" s="51" t="str">
        <f>IF(ISBLANK(Yards[[#This Row],[DSGN CALENDAR YEAR]]),"",Yards[[#This Row],[DSGN CALENDAR YEAR]]+1)</f>
        <v/>
      </c>
      <c r="S79" s="51" t="str">
        <f>IF(ISBLANK(Yards[[#This Row],[DSGN FISCAL YEAR]]),"",Yards[[#This Row],[DSGN FISCAL YEAR]]+1)</f>
        <v/>
      </c>
      <c r="T79" s="51"/>
      <c r="U79" s="128">
        <f ca="1">Yards[[#This Row],[Estimate]]*0.1</f>
        <v>199733.80581700004</v>
      </c>
      <c r="V79" s="47">
        <f ca="1">Yards[[#This Row],[Estimate]]-Yards[[#This Row],[Design Est.]]</f>
        <v>1797604.2523530002</v>
      </c>
      <c r="W79" s="85">
        <f ca="1">(Yards[[#This Row],['# yards]]*INDEX(UnitCosts[],MATCH(Yards[[#This Row],[WORK TYPE]],UnitCosts[Work Type],0),2))*(1+((Yards[[#This Row],[est. CONS Year]]-YEAR(TODAY()))*$W$3))</f>
        <v>1997338.0581700003</v>
      </c>
      <c r="X79" s="142">
        <f ca="1">IF(ISNUMBER(SEARCH("LLC",Yards[[#This Row],[PROGRAM]])),0,IF(Yards[[#This Row],[RAD/PACT by 2025]]="yes",0,1))</f>
        <v>1</v>
      </c>
      <c r="Y79" s="1"/>
      <c r="Z79" s="1"/>
      <c r="AA79" s="51">
        <f ca="1">COUNTIF($X$5:Yards[[#This Row],['# yards]],"&gt;0")-10</f>
        <v>41</v>
      </c>
      <c r="AB79" s="1">
        <f ca="1">IF(ISBLANK(Yards[[#This Row],[DSGN CALENDAR YEAR]]),ROUNDDOWN(Yards[[#This Row],[Count]]/24,0)+$AB$1,Yards[[#This Row],[DSGN CALENDAR YEAR]])</f>
        <v>2022</v>
      </c>
      <c r="AC79" s="16">
        <f ca="1">Yards[[#This Row],[est. DSGN Year]]+1</f>
        <v>2023</v>
      </c>
    </row>
    <row r="80" spans="1:29">
      <c r="A80" s="13" t="s">
        <v>278</v>
      </c>
      <c r="B80" s="51" t="str">
        <f>VLOOKUP(Yards[[#This Row],[DEVELOPMENT]],Data[],2,FALSE)</f>
        <v>BRONX</v>
      </c>
      <c r="C80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80" s="51" t="str">
        <f>VLOOKUP(Yards[[#This Row],[DEVELOPMENT]],Data[],52,FALSE)</f>
        <v>FEDERAL</v>
      </c>
      <c r="E80" s="50">
        <f>VLOOKUP(Yards[[#This Row],[DEVELOPMENT]],Data[],8,FALSE)</f>
        <v>0</v>
      </c>
      <c r="F80" s="51" t="str">
        <f>VLOOKUP(Yards[[#This Row],[DEVELOPMENT]],all[[DEVELOPMENT]:[MRST Ext. Comp. Priority]],6,FALSE)</f>
        <v>C</v>
      </c>
      <c r="G80" s="51">
        <f>VLOOKUP(Yards[[#This Row],[DEVELOPMENT]],all[[DEVELOPMENT]:[MRST Ext. Comp. Priority]],13,FALSE)</f>
        <v>2</v>
      </c>
      <c r="H80" s="50">
        <f>IF(VLOOKUP(Yards[[#This Row],[DEVELOPMENT]],Data[],9,FALSE)=0,5,VLOOKUP(Yards[[#This Row],[DEVELOPMENT]],Data[],9,FALSE))</f>
        <v>5</v>
      </c>
      <c r="I80" s="51">
        <f>VLOOKUP(Yards[[#This Row],[DEVELOPMENT]],Data[],33,FALSE)</f>
        <v>2</v>
      </c>
      <c r="J80" s="51">
        <f>VLOOKUP(Yards[[#This Row],[DEVELOPMENT]],Data[],28,FALSE)</f>
        <v>0</v>
      </c>
      <c r="K80" s="51"/>
      <c r="L80" s="50"/>
      <c r="M80" s="51" t="str">
        <f ca="1">IFERROR(VLOOKUP(Yards[[#This Row],[DEVELOPMENT]],Data[],4,FALSE),"")</f>
        <v/>
      </c>
      <c r="N80" s="51" t="str">
        <f ca="1">IF(Yards[[#This Row],[RAD/PACT]]="","",IF(OR(Yards[[#This Row],[RAD/PACT]]="2022-2025",Yards[[#This Row],[RAD/PACT]]=2019,Yards[[#This Row],[RAD/PACT]]="2020-2021"),"Yes",""))</f>
        <v/>
      </c>
      <c r="O80" s="51">
        <f ca="1">IFERROR(VLOOKUP(Yards[[#This Row],[DEVELOPMENT]],ExtComp[],8,FALSE),"")</f>
        <v>20</v>
      </c>
      <c r="P80" s="51"/>
      <c r="Q80" s="51"/>
      <c r="R80" s="51" t="str">
        <f>IF(ISBLANK(Yards[[#This Row],[DSGN CALENDAR YEAR]]),"",Yards[[#This Row],[DSGN CALENDAR YEAR]]+1)</f>
        <v/>
      </c>
      <c r="S80" s="51" t="str">
        <f>IF(ISBLANK(Yards[[#This Row],[DSGN FISCAL YEAR]]),"",Yards[[#This Row],[DSGN FISCAL YEAR]]+1)</f>
        <v/>
      </c>
      <c r="T80" s="51"/>
      <c r="U80" s="128">
        <f ca="1">Yards[[#This Row],[Estimate]]*0.1</f>
        <v>223257.39527325006</v>
      </c>
      <c r="V80" s="47">
        <f ca="1">Yards[[#This Row],[Estimate]]-Yards[[#This Row],[Design Est.]]</f>
        <v>2009316.5574592506</v>
      </c>
      <c r="W80" s="85">
        <f ca="1">(Yards[[#This Row],['# yards]]*INDEX(UnitCosts[],MATCH(Yards[[#This Row],[WORK TYPE]],UnitCosts[Work Type],0),2))*(1+((Yards[[#This Row],[est. CONS Year]]-YEAR(TODAY()))*$W$3))</f>
        <v>2232573.9527325006</v>
      </c>
      <c r="X80" s="142">
        <f ca="1">IF(ISNUMBER(SEARCH("LLC",Yards[[#This Row],[PROGRAM]])),0,IF(Yards[[#This Row],[RAD/PACT by 2025]]="yes",0,1))</f>
        <v>1</v>
      </c>
      <c r="Y80" s="1"/>
      <c r="Z80" s="1"/>
      <c r="AA80" s="51">
        <f ca="1">COUNTIF($X$5:Yards[[#This Row],['# yards]],"&gt;0")-10</f>
        <v>42</v>
      </c>
      <c r="AB80" s="1">
        <f ca="1">IF(ISBLANK(Yards[[#This Row],[DSGN CALENDAR YEAR]]),ROUNDDOWN(Yards[[#This Row],[Count]]/24,0)+$AB$1,Yards[[#This Row],[DSGN CALENDAR YEAR]])</f>
        <v>2022</v>
      </c>
      <c r="AC80" s="16">
        <f ca="1">Yards[[#This Row],[est. DSGN Year]]+1</f>
        <v>2023</v>
      </c>
    </row>
    <row r="81" spans="1:29">
      <c r="A81" s="13" t="s">
        <v>232</v>
      </c>
      <c r="B81" s="51" t="str">
        <f>VLOOKUP(Yards[[#This Row],[DEVELOPMENT]],Data[],2,FALSE)</f>
        <v>STATEN ISLAND</v>
      </c>
      <c r="C81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81" s="51" t="str">
        <f>VLOOKUP(Yards[[#This Row],[DEVELOPMENT]],Data[],52,FALSE)</f>
        <v>FEDERAL</v>
      </c>
      <c r="E81" s="50">
        <f>VLOOKUP(Yards[[#This Row],[DEVELOPMENT]],Data[],8,FALSE)</f>
        <v>0</v>
      </c>
      <c r="F81" s="51" t="str">
        <f>VLOOKUP(Yards[[#This Row],[DEVELOPMENT]],all[[DEVELOPMENT]:[MRST Ext. Comp. Priority]],6,FALSE)</f>
        <v>C</v>
      </c>
      <c r="G81" s="51">
        <f>VLOOKUP(Yards[[#This Row],[DEVELOPMENT]],all[[DEVELOPMENT]:[MRST Ext. Comp. Priority]],13,FALSE)</f>
        <v>2</v>
      </c>
      <c r="H81" s="50">
        <f>IF(VLOOKUP(Yards[[#This Row],[DEVELOPMENT]],Data[],9,FALSE)=0,5,VLOOKUP(Yards[[#This Row],[DEVELOPMENT]],Data[],9,FALSE))</f>
        <v>5</v>
      </c>
      <c r="I81" s="51">
        <f>VLOOKUP(Yards[[#This Row],[DEVELOPMENT]],Data[],33,FALSE)</f>
        <v>1</v>
      </c>
      <c r="J81" s="51">
        <f>VLOOKUP(Yards[[#This Row],[DEVELOPMENT]],Data[],28,FALSE)</f>
        <v>0</v>
      </c>
      <c r="K81" s="51"/>
      <c r="L81" s="50"/>
      <c r="M81" s="51" t="str">
        <f ca="1">IFERROR(VLOOKUP(Yards[[#This Row],[DEVELOPMENT]],Data[],4,FALSE),"")</f>
        <v/>
      </c>
      <c r="N81" s="51" t="str">
        <f ca="1">IF(Yards[[#This Row],[RAD/PACT]]="","",IF(OR(Yards[[#This Row],[RAD/PACT]]="2022-2025",Yards[[#This Row],[RAD/PACT]]=2019,Yards[[#This Row],[RAD/PACT]]="2020-2021"),"Yes",""))</f>
        <v/>
      </c>
      <c r="O81" s="51">
        <f ca="1">IFERROR(VLOOKUP(Yards[[#This Row],[DEVELOPMENT]],ExtComp[],8,FALSE),"")</f>
        <v>17</v>
      </c>
      <c r="P81" s="51"/>
      <c r="Q81" s="51"/>
      <c r="R81" s="51" t="str">
        <f>IF(ISBLANK(Yards[[#This Row],[DSGN CALENDAR YEAR]]),"",Yards[[#This Row],[DSGN CALENDAR YEAR]]+1)</f>
        <v/>
      </c>
      <c r="S81" s="51" t="str">
        <f>IF(ISBLANK(Yards[[#This Row],[DSGN FISCAL YEAR]]),"",Yards[[#This Row],[DSGN FISCAL YEAR]]+1)</f>
        <v/>
      </c>
      <c r="T81" s="51"/>
      <c r="U81" s="128">
        <f ca="1">Yards[[#This Row],[Estimate]]*0.1</f>
        <v>199733.80581700004</v>
      </c>
      <c r="V81" s="47">
        <f ca="1">Yards[[#This Row],[Estimate]]-Yards[[#This Row],[Design Est.]]</f>
        <v>1797604.2523530002</v>
      </c>
      <c r="W81" s="85">
        <f ca="1">(Yards[[#This Row],['# yards]]*INDEX(UnitCosts[],MATCH(Yards[[#This Row],[WORK TYPE]],UnitCosts[Work Type],0),2))*(1+((Yards[[#This Row],[est. CONS Year]]-YEAR(TODAY()))*$W$3))</f>
        <v>1997338.0581700003</v>
      </c>
      <c r="X81" s="142">
        <f ca="1">IF(ISNUMBER(SEARCH("LLC",Yards[[#This Row],[PROGRAM]])),0,IF(Yards[[#This Row],[RAD/PACT by 2025]]="yes",0,1))</f>
        <v>1</v>
      </c>
      <c r="Y81" s="1"/>
      <c r="Z81" s="1"/>
      <c r="AA81" s="51">
        <f ca="1">COUNTIF($X$5:Yards[[#This Row],['# yards]],"&gt;0")-10</f>
        <v>43</v>
      </c>
      <c r="AB81" s="1">
        <f ca="1">IF(ISBLANK(Yards[[#This Row],[DSGN CALENDAR YEAR]]),ROUNDDOWN(Yards[[#This Row],[Count]]/24,0)+$AB$1,Yards[[#This Row],[DSGN CALENDAR YEAR]])</f>
        <v>2022</v>
      </c>
      <c r="AC81" s="16">
        <f ca="1">Yards[[#This Row],[est. DSGN Year]]+1</f>
        <v>2023</v>
      </c>
    </row>
    <row r="82" spans="1:29">
      <c r="A82" s="13" t="s">
        <v>277</v>
      </c>
      <c r="B82" s="51" t="str">
        <f>VLOOKUP(Yards[[#This Row],[DEVELOPMENT]],Data[],2,FALSE)</f>
        <v>BRONX</v>
      </c>
      <c r="C8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82" s="51" t="str">
        <f>VLOOKUP(Yards[[#This Row],[DEVELOPMENT]],Data[],52,FALSE)</f>
        <v>FEDERAL</v>
      </c>
      <c r="E82" s="50">
        <f>VLOOKUP(Yards[[#This Row],[DEVELOPMENT]],Data[],8,FALSE)</f>
        <v>0</v>
      </c>
      <c r="F82" s="51" t="str">
        <f>VLOOKUP(Yards[[#This Row],[DEVELOPMENT]],all[[DEVELOPMENT]:[MRST Ext. Comp. Priority]],6,FALSE)</f>
        <v>C</v>
      </c>
      <c r="G82" s="51">
        <f>VLOOKUP(Yards[[#This Row],[DEVELOPMENT]],all[[DEVELOPMENT]:[MRST Ext. Comp. Priority]],13,FALSE)</f>
        <v>2</v>
      </c>
      <c r="H82" s="50">
        <f>IF(VLOOKUP(Yards[[#This Row],[DEVELOPMENT]],Data[],9,FALSE)=0,5,VLOOKUP(Yards[[#This Row],[DEVELOPMENT]],Data[],9,FALSE))</f>
        <v>5</v>
      </c>
      <c r="I82" s="51">
        <f>VLOOKUP(Yards[[#This Row],[DEVELOPMENT]],Data[],33,FALSE)</f>
        <v>1</v>
      </c>
      <c r="J82" s="51">
        <f>VLOOKUP(Yards[[#This Row],[DEVELOPMENT]],Data[],28,FALSE)</f>
        <v>0</v>
      </c>
      <c r="K82" s="51"/>
      <c r="L82" s="50"/>
      <c r="M82" s="51" t="str">
        <f ca="1">IFERROR(VLOOKUP(Yards[[#This Row],[DEVELOPMENT]],Data[],4,FALSE),"")</f>
        <v/>
      </c>
      <c r="N82" s="51" t="str">
        <f ca="1">IF(Yards[[#This Row],[RAD/PACT]]="","",IF(OR(Yards[[#This Row],[RAD/PACT]]="2022-2025",Yards[[#This Row],[RAD/PACT]]=2019,Yards[[#This Row],[RAD/PACT]]="2020-2021"),"Yes",""))</f>
        <v/>
      </c>
      <c r="O82" s="51" t="str">
        <f ca="1">IFERROR(VLOOKUP(Yards[[#This Row],[DEVELOPMENT]],ExtComp[],8,FALSE),"")</f>
        <v/>
      </c>
      <c r="P82" s="51"/>
      <c r="Q82" s="51"/>
      <c r="R82" s="51" t="str">
        <f>IF(ISBLANK(Yards[[#This Row],[DSGN CALENDAR YEAR]]),"",Yards[[#This Row],[DSGN CALENDAR YEAR]]+1)</f>
        <v/>
      </c>
      <c r="S82" s="51" t="str">
        <f>IF(ISBLANK(Yards[[#This Row],[DSGN FISCAL YEAR]]),"",Yards[[#This Row],[DSGN FISCAL YEAR]]+1)</f>
        <v/>
      </c>
      <c r="T82" s="51"/>
      <c r="U82" s="128">
        <f ca="1">Yards[[#This Row],[Estimate]]*0.1</f>
        <v>199733.80581700004</v>
      </c>
      <c r="V82" s="47">
        <f ca="1">Yards[[#This Row],[Estimate]]-Yards[[#This Row],[Design Est.]]</f>
        <v>1797604.2523530002</v>
      </c>
      <c r="W82" s="85">
        <f ca="1">(Yards[[#This Row],['# yards]]*INDEX(UnitCosts[],MATCH(Yards[[#This Row],[WORK TYPE]],UnitCosts[Work Type],0),2))*(1+((Yards[[#This Row],[est. CONS Year]]-YEAR(TODAY()))*$W$3))</f>
        <v>1997338.0581700003</v>
      </c>
      <c r="X82" s="142">
        <f ca="1">IF(ISNUMBER(SEARCH("LLC",Yards[[#This Row],[PROGRAM]])),0,IF(Yards[[#This Row],[RAD/PACT by 2025]]="yes",0,1))</f>
        <v>1</v>
      </c>
      <c r="Y82" s="1"/>
      <c r="Z82" s="1"/>
      <c r="AA82" s="51">
        <f ca="1">COUNTIF($X$5:Yards[[#This Row],['# yards]],"&gt;0")-10</f>
        <v>44</v>
      </c>
      <c r="AB82" s="1">
        <f ca="1">IF(ISBLANK(Yards[[#This Row],[DSGN CALENDAR YEAR]]),ROUNDDOWN(Yards[[#This Row],[Count]]/24,0)+$AB$1,Yards[[#This Row],[DSGN CALENDAR YEAR]])</f>
        <v>2022</v>
      </c>
      <c r="AC82" s="16">
        <f ca="1">Yards[[#This Row],[est. DSGN Year]]+1</f>
        <v>2023</v>
      </c>
    </row>
    <row r="83" spans="1:29">
      <c r="A83" s="13" t="s">
        <v>251</v>
      </c>
      <c r="B83" s="51" t="str">
        <f>VLOOKUP(Yards[[#This Row],[DEVELOPMENT]],Data[],2,FALSE)</f>
        <v>MANHATTAN</v>
      </c>
      <c r="C83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83" s="51" t="str">
        <f>VLOOKUP(Yards[[#This Row],[DEVELOPMENT]],Data[],52,FALSE)</f>
        <v>FEDERAL</v>
      </c>
      <c r="E83" s="50">
        <f>VLOOKUP(Yards[[#This Row],[DEVELOPMENT]],Data[],8,FALSE)</f>
        <v>0</v>
      </c>
      <c r="F83" s="51" t="str">
        <f>VLOOKUP(Yards[[#This Row],[DEVELOPMENT]],all[[DEVELOPMENT]:[MRST Ext. Comp. Priority]],6,FALSE)</f>
        <v>C</v>
      </c>
      <c r="G83" s="51">
        <f>VLOOKUP(Yards[[#This Row],[DEVELOPMENT]],all[[DEVELOPMENT]:[MRST Ext. Comp. Priority]],13,FALSE)</f>
        <v>2</v>
      </c>
      <c r="H83" s="50">
        <f>IF(VLOOKUP(Yards[[#This Row],[DEVELOPMENT]],Data[],9,FALSE)=0,5,VLOOKUP(Yards[[#This Row],[DEVELOPMENT]],Data[],9,FALSE))</f>
        <v>5</v>
      </c>
      <c r="I83" s="51">
        <f>VLOOKUP(Yards[[#This Row],[DEVELOPMENT]],Data[],33,FALSE)</f>
        <v>0</v>
      </c>
      <c r="J83" s="51">
        <f>VLOOKUP(Yards[[#This Row],[DEVELOPMENT]],Data[],28,FALSE)</f>
        <v>0</v>
      </c>
      <c r="K83" s="51"/>
      <c r="L83" s="50"/>
      <c r="M83" s="51" t="str">
        <f ca="1">IFERROR(VLOOKUP(Yards[[#This Row],[DEVELOPMENT]],Data[],4,FALSE),"")</f>
        <v/>
      </c>
      <c r="N83" s="51" t="str">
        <f ca="1">IF(Yards[[#This Row],[RAD/PACT]]="","",IF(OR(Yards[[#This Row],[RAD/PACT]]="2022-2025",Yards[[#This Row],[RAD/PACT]]=2019,Yards[[#This Row],[RAD/PACT]]="2020-2021"),"Yes",""))</f>
        <v/>
      </c>
      <c r="O83" s="51" t="str">
        <f ca="1">IFERROR(VLOOKUP(Yards[[#This Row],[DEVELOPMENT]],ExtComp[],8,FALSE),"")</f>
        <v/>
      </c>
      <c r="P83" s="51"/>
      <c r="Q83" s="51"/>
      <c r="R83" s="51" t="str">
        <f>IF(ISBLANK(Yards[[#This Row],[DSGN CALENDAR YEAR]]),"",Yards[[#This Row],[DSGN CALENDAR YEAR]]+1)</f>
        <v/>
      </c>
      <c r="S83" s="51" t="str">
        <f>IF(ISBLANK(Yards[[#This Row],[DSGN FISCAL YEAR]]),"",Yards[[#This Row],[DSGN FISCAL YEAR]]+1)</f>
        <v/>
      </c>
      <c r="T83" s="51"/>
      <c r="U83" s="128">
        <f ca="1">Yards[[#This Row],[Estimate]]*0.1</f>
        <v>199733.80581700004</v>
      </c>
      <c r="V83" s="47">
        <f ca="1">Yards[[#This Row],[Estimate]]-Yards[[#This Row],[Design Est.]]</f>
        <v>1797604.2523530002</v>
      </c>
      <c r="W83" s="85">
        <f ca="1">(Yards[[#This Row],['# yards]]*INDEX(UnitCosts[],MATCH(Yards[[#This Row],[WORK TYPE]],UnitCosts[Work Type],0),2))*(1+((Yards[[#This Row],[est. CONS Year]]-YEAR(TODAY()))*$W$3))</f>
        <v>1997338.0581700003</v>
      </c>
      <c r="X83" s="142">
        <f ca="1">IF(ISNUMBER(SEARCH("LLC",Yards[[#This Row],[PROGRAM]])),0,IF(Yards[[#This Row],[RAD/PACT by 2025]]="yes",0,1))</f>
        <v>1</v>
      </c>
      <c r="Y83" s="1"/>
      <c r="Z83" s="1"/>
      <c r="AA83" s="51">
        <f ca="1">COUNTIF($X$5:Yards[[#This Row],['# yards]],"&gt;0")-10</f>
        <v>45</v>
      </c>
      <c r="AB83" s="1">
        <f ca="1">IF(ISBLANK(Yards[[#This Row],[DSGN CALENDAR YEAR]]),ROUNDDOWN(Yards[[#This Row],[Count]]/24,0)+$AB$1,Yards[[#This Row],[DSGN CALENDAR YEAR]])</f>
        <v>2022</v>
      </c>
      <c r="AC83" s="16">
        <f ca="1">Yards[[#This Row],[est. DSGN Year]]+1</f>
        <v>2023</v>
      </c>
    </row>
    <row r="84" spans="1:29">
      <c r="A84" s="13" t="s">
        <v>260</v>
      </c>
      <c r="B84" s="51" t="str">
        <f>VLOOKUP(Yards[[#This Row],[DEVELOPMENT]],Data[],2,FALSE)</f>
        <v>BROOKLYN</v>
      </c>
      <c r="C8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84" s="51" t="str">
        <f>VLOOKUP(Yards[[#This Row],[DEVELOPMENT]],Data[],52,FALSE)</f>
        <v>FEDERAL</v>
      </c>
      <c r="E84" s="50">
        <f>VLOOKUP(Yards[[#This Row],[DEVELOPMENT]],Data[],8,FALSE)</f>
        <v>0</v>
      </c>
      <c r="F84" s="51" t="str">
        <f>VLOOKUP(Yards[[#This Row],[DEVELOPMENT]],all[[DEVELOPMENT]:[MRST Ext. Comp. Priority]],6,FALSE)</f>
        <v>C</v>
      </c>
      <c r="G84" s="51">
        <f>VLOOKUP(Yards[[#This Row],[DEVELOPMENT]],all[[DEVELOPMENT]:[MRST Ext. Comp. Priority]],13,FALSE)</f>
        <v>2</v>
      </c>
      <c r="H84" s="50">
        <f>IF(VLOOKUP(Yards[[#This Row],[DEVELOPMENT]],Data[],9,FALSE)=0,5,VLOOKUP(Yards[[#This Row],[DEVELOPMENT]],Data[],9,FALSE))</f>
        <v>5</v>
      </c>
      <c r="I84" s="51">
        <f>VLOOKUP(Yards[[#This Row],[DEVELOPMENT]],Data[],33,FALSE)</f>
        <v>2</v>
      </c>
      <c r="J84" s="51">
        <f>VLOOKUP(Yards[[#This Row],[DEVELOPMENT]],Data[],28,FALSE)</f>
        <v>0</v>
      </c>
      <c r="K84" s="51"/>
      <c r="L84" s="50"/>
      <c r="M84" s="51" t="str">
        <f ca="1">IFERROR(VLOOKUP(Yards[[#This Row],[DEVELOPMENT]],Data[],4,FALSE),"")</f>
        <v/>
      </c>
      <c r="N84" s="51" t="str">
        <f ca="1">IF(Yards[[#This Row],[RAD/PACT]]="","",IF(OR(Yards[[#This Row],[RAD/PACT]]="2022-2025",Yards[[#This Row],[RAD/PACT]]=2019,Yards[[#This Row],[RAD/PACT]]="2020-2021"),"Yes",""))</f>
        <v/>
      </c>
      <c r="O84" s="51">
        <f ca="1">IFERROR(VLOOKUP(Yards[[#This Row],[DEVELOPMENT]],ExtComp[],8,FALSE),"")</f>
        <v>18</v>
      </c>
      <c r="P84" s="51"/>
      <c r="Q84" s="51"/>
      <c r="R84" s="51" t="str">
        <f>IF(ISBLANK(Yards[[#This Row],[DSGN CALENDAR YEAR]]),"",Yards[[#This Row],[DSGN CALENDAR YEAR]]+1)</f>
        <v/>
      </c>
      <c r="S84" s="51" t="str">
        <f>IF(ISBLANK(Yards[[#This Row],[DSGN FISCAL YEAR]]),"",Yards[[#This Row],[DSGN FISCAL YEAR]]+1)</f>
        <v/>
      </c>
      <c r="T84" s="51"/>
      <c r="U84" s="128">
        <f ca="1">Yards[[#This Row],[Estimate]]*0.1</f>
        <v>223257.39527325006</v>
      </c>
      <c r="V84" s="47">
        <f ca="1">Yards[[#This Row],[Estimate]]-Yards[[#This Row],[Design Est.]]</f>
        <v>2009316.5574592506</v>
      </c>
      <c r="W84" s="85">
        <f ca="1">(Yards[[#This Row],['# yards]]*INDEX(UnitCosts[],MATCH(Yards[[#This Row],[WORK TYPE]],UnitCosts[Work Type],0),2))*(1+((Yards[[#This Row],[est. CONS Year]]-YEAR(TODAY()))*$W$3))</f>
        <v>2232573.9527325006</v>
      </c>
      <c r="X84" s="142">
        <f ca="1">IF(ISNUMBER(SEARCH("LLC",Yards[[#This Row],[PROGRAM]])),0,IF(Yards[[#This Row],[RAD/PACT by 2025]]="yes",0,1))</f>
        <v>1</v>
      </c>
      <c r="Y84" s="1"/>
      <c r="Z84" s="1"/>
      <c r="AA84" s="51">
        <f ca="1">COUNTIF($X$5:Yards[[#This Row],['# yards]],"&gt;0")-10</f>
        <v>46</v>
      </c>
      <c r="AB84" s="1">
        <f ca="1">IF(ISBLANK(Yards[[#This Row],[DSGN CALENDAR YEAR]]),ROUNDDOWN(Yards[[#This Row],[Count]]/24,0)+$AB$1,Yards[[#This Row],[DSGN CALENDAR YEAR]])</f>
        <v>2022</v>
      </c>
      <c r="AC84" s="16">
        <f ca="1">Yards[[#This Row],[est. DSGN Year]]+1</f>
        <v>2023</v>
      </c>
    </row>
    <row r="85" spans="1:29">
      <c r="A85" s="13" t="s">
        <v>263</v>
      </c>
      <c r="B85" s="51" t="str">
        <f>VLOOKUP(Yards[[#This Row],[DEVELOPMENT]],Data[],2,FALSE)</f>
        <v>MANHATTAN</v>
      </c>
      <c r="C85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85" s="51" t="str">
        <f>VLOOKUP(Yards[[#This Row],[DEVELOPMENT]],Data[],52,FALSE)</f>
        <v>FEDERAL</v>
      </c>
      <c r="E85" s="50" t="str">
        <f>VLOOKUP(Yards[[#This Row],[DEVELOPMENT]],Data[],8,FALSE)</f>
        <v>Zone 3</v>
      </c>
      <c r="F85" s="51" t="str">
        <f>VLOOKUP(Yards[[#This Row],[DEVELOPMENT]],all[[DEVELOPMENT]:[MRST Ext. Comp. Priority]],6,FALSE)</f>
        <v>C</v>
      </c>
      <c r="G85" s="51">
        <f>VLOOKUP(Yards[[#This Row],[DEVELOPMENT]],all[[DEVELOPMENT]:[MRST Ext. Comp. Priority]],13,FALSE)</f>
        <v>2</v>
      </c>
      <c r="H85" s="50">
        <f>IF(VLOOKUP(Yards[[#This Row],[DEVELOPMENT]],Data[],9,FALSE)=0,5,VLOOKUP(Yards[[#This Row],[DEVELOPMENT]],Data[],9,FALSE))</f>
        <v>5</v>
      </c>
      <c r="I85" s="51">
        <f>VLOOKUP(Yards[[#This Row],[DEVELOPMENT]],Data[],33,FALSE)</f>
        <v>0</v>
      </c>
      <c r="J85" s="51">
        <f>VLOOKUP(Yards[[#This Row],[DEVELOPMENT]],Data[],28,FALSE)</f>
        <v>0</v>
      </c>
      <c r="K85" s="51"/>
      <c r="L85" s="50"/>
      <c r="M85" s="51" t="str">
        <f ca="1">IFERROR(VLOOKUP(Yards[[#This Row],[DEVELOPMENT]],Data[],4,FALSE),"")</f>
        <v/>
      </c>
      <c r="N85" s="51" t="str">
        <f ca="1">IF(Yards[[#This Row],[RAD/PACT]]="","",IF(OR(Yards[[#This Row],[RAD/PACT]]="2022-2025",Yards[[#This Row],[RAD/PACT]]=2019,Yards[[#This Row],[RAD/PACT]]="2020-2021"),"Yes",""))</f>
        <v/>
      </c>
      <c r="O85" s="51" t="str">
        <f ca="1">IFERROR(VLOOKUP(Yards[[#This Row],[DEVELOPMENT]],ExtComp[],8,FALSE),"")</f>
        <v/>
      </c>
      <c r="P85" s="51"/>
      <c r="Q85" s="51"/>
      <c r="R85" s="51" t="str">
        <f>IF(ISBLANK(Yards[[#This Row],[DSGN CALENDAR YEAR]]),"",Yards[[#This Row],[DSGN CALENDAR YEAR]]+1)</f>
        <v/>
      </c>
      <c r="S85" s="51" t="str">
        <f>IF(ISBLANK(Yards[[#This Row],[DSGN FISCAL YEAR]]),"",Yards[[#This Row],[DSGN FISCAL YEAR]]+1)</f>
        <v/>
      </c>
      <c r="T85" s="51"/>
      <c r="U85" s="128">
        <f ca="1">Yards[[#This Row],[Estimate]]*0.1</f>
        <v>199733.80581700004</v>
      </c>
      <c r="V85" s="47">
        <f ca="1">Yards[[#This Row],[Estimate]]-Yards[[#This Row],[Design Est.]]</f>
        <v>1797604.2523530002</v>
      </c>
      <c r="W85" s="85">
        <f ca="1">(Yards[[#This Row],['# yards]]*INDEX(UnitCosts[],MATCH(Yards[[#This Row],[WORK TYPE]],UnitCosts[Work Type],0),2))*(1+((Yards[[#This Row],[est. CONS Year]]-YEAR(TODAY()))*$W$3))</f>
        <v>1997338.0581700003</v>
      </c>
      <c r="X85" s="142">
        <f ca="1">IF(ISNUMBER(SEARCH("LLC",Yards[[#This Row],[PROGRAM]])),0,IF(Yards[[#This Row],[RAD/PACT by 2025]]="yes",0,1))</f>
        <v>1</v>
      </c>
      <c r="Y85" s="1"/>
      <c r="Z85" s="1"/>
      <c r="AA85" s="51">
        <f ca="1">COUNTIF($X$5:Yards[[#This Row],['# yards]],"&gt;0")-10</f>
        <v>47</v>
      </c>
      <c r="AB85" s="1">
        <f ca="1">IF(ISBLANK(Yards[[#This Row],[DSGN CALENDAR YEAR]]),ROUNDDOWN(Yards[[#This Row],[Count]]/24,0)+$AB$1,Yards[[#This Row],[DSGN CALENDAR YEAR]])</f>
        <v>2022</v>
      </c>
      <c r="AC85" s="16">
        <f ca="1">Yards[[#This Row],[est. DSGN Year]]+1</f>
        <v>2023</v>
      </c>
    </row>
    <row r="86" spans="1:29">
      <c r="A86" s="13" t="s">
        <v>261</v>
      </c>
      <c r="B86" s="51" t="str">
        <f>VLOOKUP(Yards[[#This Row],[DEVELOPMENT]],Data[],2,FALSE)</f>
        <v>MANHATTAN</v>
      </c>
      <c r="C8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86" s="51" t="str">
        <f>VLOOKUP(Yards[[#This Row],[DEVELOPMENT]],Data[],52,FALSE)</f>
        <v>FEDERAL</v>
      </c>
      <c r="E86" s="50" t="str">
        <f>VLOOKUP(Yards[[#This Row],[DEVELOPMENT]],Data[],8,FALSE)</f>
        <v>Zone 4</v>
      </c>
      <c r="F86" s="51" t="str">
        <f>VLOOKUP(Yards[[#This Row],[DEVELOPMENT]],all[[DEVELOPMENT]:[MRST Ext. Comp. Priority]],6,FALSE)</f>
        <v>C</v>
      </c>
      <c r="G86" s="51">
        <f>VLOOKUP(Yards[[#This Row],[DEVELOPMENT]],all[[DEVELOPMENT]:[MRST Ext. Comp. Priority]],13,FALSE)</f>
        <v>2</v>
      </c>
      <c r="H86" s="50">
        <f>IF(VLOOKUP(Yards[[#This Row],[DEVELOPMENT]],Data[],9,FALSE)=0,5,VLOOKUP(Yards[[#This Row],[DEVELOPMENT]],Data[],9,FALSE))</f>
        <v>5</v>
      </c>
      <c r="I86" s="51">
        <f>VLOOKUP(Yards[[#This Row],[DEVELOPMENT]],Data[],33,FALSE)</f>
        <v>3</v>
      </c>
      <c r="J86" s="51">
        <f>VLOOKUP(Yards[[#This Row],[DEVELOPMENT]],Data[],28,FALSE)</f>
        <v>0</v>
      </c>
      <c r="K86" s="51"/>
      <c r="L86" s="50"/>
      <c r="M86" s="51" t="str">
        <f ca="1">IFERROR(VLOOKUP(Yards[[#This Row],[DEVELOPMENT]],Data[],4,FALSE),"")</f>
        <v/>
      </c>
      <c r="N86" s="51" t="str">
        <f ca="1">IF(Yards[[#This Row],[RAD/PACT]]="","",IF(OR(Yards[[#This Row],[RAD/PACT]]="2022-2025",Yards[[#This Row],[RAD/PACT]]=2019,Yards[[#This Row],[RAD/PACT]]="2020-2021"),"Yes",""))</f>
        <v/>
      </c>
      <c r="O86" s="51">
        <f ca="1">IFERROR(VLOOKUP(Yards[[#This Row],[DEVELOPMENT]],ExtComp[],8,FALSE),"")</f>
        <v>13</v>
      </c>
      <c r="P86" s="51"/>
      <c r="Q86" s="51"/>
      <c r="R86" s="51" t="str">
        <f>IF(ISBLANK(Yards[[#This Row],[DSGN CALENDAR YEAR]]),"",Yards[[#This Row],[DSGN CALENDAR YEAR]]+1)</f>
        <v/>
      </c>
      <c r="S86" s="51" t="str">
        <f>IF(ISBLANK(Yards[[#This Row],[DSGN FISCAL YEAR]]),"",Yards[[#This Row],[DSGN FISCAL YEAR]]+1)</f>
        <v/>
      </c>
      <c r="T86" s="51"/>
      <c r="U86" s="128">
        <f ca="1">Yards[[#This Row],[Estimate]]*0.1</f>
        <v>267844.30517460004</v>
      </c>
      <c r="V86" s="47">
        <f ca="1">Yards[[#This Row],[Estimate]]-Yards[[#This Row],[Design Est.]]</f>
        <v>2410598.7465714007</v>
      </c>
      <c r="W86" s="85">
        <f ca="1">(Yards[[#This Row],['# yards]]*INDEX(UnitCosts[],MATCH(Yards[[#This Row],[WORK TYPE]],UnitCosts[Work Type],0),2))*(1+((Yards[[#This Row],[est. CONS Year]]-YEAR(TODAY()))*$W$3))</f>
        <v>2678443.0517460005</v>
      </c>
      <c r="X86" s="142">
        <f ca="1">IF(ISNUMBER(SEARCH("LLC",Yards[[#This Row],[PROGRAM]])),0,IF(Yards[[#This Row],[RAD/PACT by 2025]]="yes",0,1))</f>
        <v>1</v>
      </c>
      <c r="Y86" s="1"/>
      <c r="Z86" s="1"/>
      <c r="AA86" s="51">
        <f ca="1">COUNTIF($X$5:Yards[[#This Row],['# yards]],"&gt;0")-10</f>
        <v>48</v>
      </c>
      <c r="AB86" s="1">
        <f ca="1">IF(ISBLANK(Yards[[#This Row],[DSGN CALENDAR YEAR]]),ROUNDDOWN(Yards[[#This Row],[Count]]/24,0)+$AB$1,Yards[[#This Row],[DSGN CALENDAR YEAR]])</f>
        <v>2023</v>
      </c>
      <c r="AC86" s="16">
        <f ca="1">Yards[[#This Row],[est. DSGN Year]]+1</f>
        <v>2024</v>
      </c>
    </row>
    <row r="87" spans="1:29" hidden="1">
      <c r="A87" s="13" t="s">
        <v>248</v>
      </c>
      <c r="B87" s="51" t="str">
        <f>VLOOKUP(Yards[[#This Row],[DEVELOPMENT]],Data[],2,FALSE)</f>
        <v>BROOKLYN</v>
      </c>
      <c r="C87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87" s="51" t="str">
        <f>VLOOKUP(Yards[[#This Row],[DEVELOPMENT]],Data[],52,FALSE)</f>
        <v>FEDERAL</v>
      </c>
      <c r="E87" s="50">
        <f>VLOOKUP(Yards[[#This Row],[DEVELOPMENT]],Data[],8,FALSE)</f>
        <v>0</v>
      </c>
      <c r="F87" s="51" t="str">
        <f>VLOOKUP(Yards[[#This Row],[DEVELOPMENT]],all[[DEVELOPMENT]:[MRST Ext. Comp. Priority]],6,FALSE)</f>
        <v>C</v>
      </c>
      <c r="G87" s="51">
        <f>VLOOKUP(Yards[[#This Row],[DEVELOPMENT]],all[[DEVELOPMENT]:[MRST Ext. Comp. Priority]],13,FALSE)</f>
        <v>2</v>
      </c>
      <c r="H87" s="50">
        <f>IF(VLOOKUP(Yards[[#This Row],[DEVELOPMENT]],Data[],9,FALSE)=0,5,VLOOKUP(Yards[[#This Row],[DEVELOPMENT]],Data[],9,FALSE))</f>
        <v>5</v>
      </c>
      <c r="I87" s="51">
        <f>VLOOKUP(Yards[[#This Row],[DEVELOPMENT]],Data[],33,FALSE)</f>
        <v>0</v>
      </c>
      <c r="J87" s="51">
        <f>VLOOKUP(Yards[[#This Row],[DEVELOPMENT]],Data[],28,FALSE)</f>
        <v>0</v>
      </c>
      <c r="K87" s="51"/>
      <c r="L87" s="50"/>
      <c r="M87" s="51">
        <f ca="1">IFERROR(VLOOKUP(Yards[[#This Row],[DEVELOPMENT]],Data[],4,FALSE),"")</f>
        <v>2019</v>
      </c>
      <c r="N87" s="51" t="str">
        <f ca="1">IF(Yards[[#This Row],[RAD/PACT]]="","",IF(OR(Yards[[#This Row],[RAD/PACT]]="2022-2025",Yards[[#This Row],[RAD/PACT]]=2019,Yards[[#This Row],[RAD/PACT]]="2020-2021"),"Yes",""))</f>
        <v>Yes</v>
      </c>
      <c r="O87" s="51" t="str">
        <f ca="1">IFERROR(VLOOKUP(Yards[[#This Row],[DEVELOPMENT]],ExtComp[],8,FALSE),"")</f>
        <v/>
      </c>
      <c r="P87" s="51"/>
      <c r="Q87" s="51"/>
      <c r="R87" s="51" t="str">
        <f>IF(ISBLANK(Yards[[#This Row],[DSGN CALENDAR YEAR]]),"",Yards[[#This Row],[DSGN CALENDAR YEAR]]+1)</f>
        <v/>
      </c>
      <c r="S87" s="51" t="str">
        <f>IF(ISBLANK(Yards[[#This Row],[DSGN FISCAL YEAR]]),"",Yards[[#This Row],[DSGN FISCAL YEAR]]+1)</f>
        <v/>
      </c>
      <c r="T87" s="51"/>
      <c r="U87" s="128">
        <f ca="1">Yards[[#This Row],[Estimate]]*0.1</f>
        <v>0</v>
      </c>
      <c r="V87" s="47">
        <f ca="1">Yards[[#This Row],[Estimate]]-Yards[[#This Row],[Design Est.]]</f>
        <v>0</v>
      </c>
      <c r="W87" s="85">
        <f ca="1">(Yards[[#This Row],['# yards]]*INDEX(UnitCosts[],MATCH(Yards[[#This Row],[WORK TYPE]],UnitCosts[Work Type],0),2))*(1+((Yards[[#This Row],[est. CONS Year]]-YEAR(TODAY()))*$W$3))</f>
        <v>0</v>
      </c>
      <c r="X87" s="142">
        <f ca="1">IF(ISNUMBER(SEARCH("LLC",Yards[[#This Row],[PROGRAM]])),0,IF(Yards[[#This Row],[RAD/PACT by 2025]]="yes",0,1))</f>
        <v>0</v>
      </c>
      <c r="Y87" s="1"/>
      <c r="Z87" s="1"/>
      <c r="AA87" s="51">
        <f ca="1">COUNTIF($X$5:Yards[[#This Row],['# yards]],"&gt;0")-10</f>
        <v>48</v>
      </c>
      <c r="AB87" s="1">
        <f ca="1">IF(ISBLANK(Yards[[#This Row],[DSGN CALENDAR YEAR]]),ROUNDDOWN(Yards[[#This Row],[Count]]/24,0)+$AB$1,Yards[[#This Row],[DSGN CALENDAR YEAR]])</f>
        <v>2023</v>
      </c>
      <c r="AC87" s="16">
        <f ca="1">Yards[[#This Row],[est. DSGN Year]]+1</f>
        <v>2024</v>
      </c>
    </row>
    <row r="88" spans="1:29" hidden="1">
      <c r="A88" s="13" t="s">
        <v>259</v>
      </c>
      <c r="B88" s="51" t="str">
        <f>VLOOKUP(Yards[[#This Row],[DEVELOPMENT]],Data[],2,FALSE)</f>
        <v>MANHATTAN</v>
      </c>
      <c r="C88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88" s="51" t="str">
        <f>VLOOKUP(Yards[[#This Row],[DEVELOPMENT]],Data[],52,FALSE)</f>
        <v>FEDERAL</v>
      </c>
      <c r="E88" s="50">
        <f>VLOOKUP(Yards[[#This Row],[DEVELOPMENT]],Data[],8,FALSE)</f>
        <v>0</v>
      </c>
      <c r="F88" s="51" t="str">
        <f>VLOOKUP(Yards[[#This Row],[DEVELOPMENT]],all[[DEVELOPMENT]:[MRST Ext. Comp. Priority]],6,FALSE)</f>
        <v>C</v>
      </c>
      <c r="G88" s="51">
        <f>VLOOKUP(Yards[[#This Row],[DEVELOPMENT]],all[[DEVELOPMENT]:[MRST Ext. Comp. Priority]],13,FALSE)</f>
        <v>2</v>
      </c>
      <c r="H88" s="50">
        <f>IF(VLOOKUP(Yards[[#This Row],[DEVELOPMENT]],Data[],9,FALSE)=0,5,VLOOKUP(Yards[[#This Row],[DEVELOPMENT]],Data[],9,FALSE))</f>
        <v>5</v>
      </c>
      <c r="I88" s="51">
        <f>VLOOKUP(Yards[[#This Row],[DEVELOPMENT]],Data[],33,FALSE)</f>
        <v>0</v>
      </c>
      <c r="J88" s="51">
        <f>VLOOKUP(Yards[[#This Row],[DEVELOPMENT]],Data[],28,FALSE)</f>
        <v>0</v>
      </c>
      <c r="K88" s="51"/>
      <c r="L88" s="50"/>
      <c r="M88" s="51" t="str">
        <f ca="1">IFERROR(VLOOKUP(Yards[[#This Row],[DEVELOPMENT]],Data[],4,FALSE),"")</f>
        <v>2020-2021</v>
      </c>
      <c r="N88" s="51" t="str">
        <f ca="1">IF(Yards[[#This Row],[RAD/PACT]]="","",IF(OR(Yards[[#This Row],[RAD/PACT]]="2022-2025",Yards[[#This Row],[RAD/PACT]]=2019,Yards[[#This Row],[RAD/PACT]]="2020-2021"),"Yes",""))</f>
        <v>Yes</v>
      </c>
      <c r="O88" s="51" t="str">
        <f ca="1">IFERROR(VLOOKUP(Yards[[#This Row],[DEVELOPMENT]],ExtComp[],8,FALSE),"")</f>
        <v/>
      </c>
      <c r="P88" s="51"/>
      <c r="Q88" s="51"/>
      <c r="R88" s="51" t="str">
        <f>IF(ISBLANK(Yards[[#This Row],[DSGN CALENDAR YEAR]]),"",Yards[[#This Row],[DSGN CALENDAR YEAR]]+1)</f>
        <v/>
      </c>
      <c r="S88" s="51" t="str">
        <f>IF(ISBLANK(Yards[[#This Row],[DSGN FISCAL YEAR]]),"",Yards[[#This Row],[DSGN FISCAL YEAR]]+1)</f>
        <v/>
      </c>
      <c r="T88" s="51"/>
      <c r="U88" s="128">
        <f ca="1">Yards[[#This Row],[Estimate]]*0.1</f>
        <v>0</v>
      </c>
      <c r="V88" s="47">
        <f ca="1">Yards[[#This Row],[Estimate]]-Yards[[#This Row],[Design Est.]]</f>
        <v>0</v>
      </c>
      <c r="W88" s="85">
        <f ca="1">(Yards[[#This Row],['# yards]]*INDEX(UnitCosts[],MATCH(Yards[[#This Row],[WORK TYPE]],UnitCosts[Work Type],0),2))*(1+((Yards[[#This Row],[est. CONS Year]]-YEAR(TODAY()))*$W$3))</f>
        <v>0</v>
      </c>
      <c r="X88" s="142">
        <f ca="1">IF(ISNUMBER(SEARCH("LLC",Yards[[#This Row],[PROGRAM]])),0,IF(Yards[[#This Row],[RAD/PACT by 2025]]="yes",0,1))</f>
        <v>0</v>
      </c>
      <c r="Y88" s="1"/>
      <c r="Z88" s="1"/>
      <c r="AA88" s="51">
        <f ca="1">COUNTIF($X$5:Yards[[#This Row],['# yards]],"&gt;0")-10</f>
        <v>48</v>
      </c>
      <c r="AB88" s="1">
        <f ca="1">IF(ISBLANK(Yards[[#This Row],[DSGN CALENDAR YEAR]]),ROUNDDOWN(Yards[[#This Row],[Count]]/24,0)+$AB$1,Yards[[#This Row],[DSGN CALENDAR YEAR]])</f>
        <v>2023</v>
      </c>
      <c r="AC88" s="16">
        <f ca="1">Yards[[#This Row],[est. DSGN Year]]+1</f>
        <v>2024</v>
      </c>
    </row>
    <row r="89" spans="1:29">
      <c r="A89" s="13" t="s">
        <v>264</v>
      </c>
      <c r="B89" s="51" t="str">
        <f>VLOOKUP(Yards[[#This Row],[DEVELOPMENT]],Data[],2,FALSE)</f>
        <v>BRONX</v>
      </c>
      <c r="C8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89" s="51" t="str">
        <f>VLOOKUP(Yards[[#This Row],[DEVELOPMENT]],Data[],52,FALSE)</f>
        <v>FEDERAL</v>
      </c>
      <c r="E89" s="50">
        <f>VLOOKUP(Yards[[#This Row],[DEVELOPMENT]],Data[],8,FALSE)</f>
        <v>0</v>
      </c>
      <c r="F89" s="51" t="str">
        <f>VLOOKUP(Yards[[#This Row],[DEVELOPMENT]],all[[DEVELOPMENT]:[MRST Ext. Comp. Priority]],6,FALSE)</f>
        <v>C</v>
      </c>
      <c r="G89" s="51">
        <f>VLOOKUP(Yards[[#This Row],[DEVELOPMENT]],all[[DEVELOPMENT]:[MRST Ext. Comp. Priority]],13,FALSE)</f>
        <v>2</v>
      </c>
      <c r="H89" s="50">
        <f>IF(VLOOKUP(Yards[[#This Row],[DEVELOPMENT]],Data[],9,FALSE)=0,5,VLOOKUP(Yards[[#This Row],[DEVELOPMENT]],Data[],9,FALSE))</f>
        <v>5</v>
      </c>
      <c r="I89" s="51">
        <f>VLOOKUP(Yards[[#This Row],[DEVELOPMENT]],Data[],33,FALSE)</f>
        <v>0</v>
      </c>
      <c r="J89" s="51">
        <f>VLOOKUP(Yards[[#This Row],[DEVELOPMENT]],Data[],28,FALSE)</f>
        <v>0</v>
      </c>
      <c r="K89" s="51"/>
      <c r="L89" s="50"/>
      <c r="M89" s="51" t="str">
        <f ca="1">IFERROR(VLOOKUP(Yards[[#This Row],[DEVELOPMENT]],Data[],4,FALSE),"")</f>
        <v>2026+</v>
      </c>
      <c r="N89" s="51" t="str">
        <f ca="1">IF(Yards[[#This Row],[RAD/PACT]]="","",IF(OR(Yards[[#This Row],[RAD/PACT]]="2022-2025",Yards[[#This Row],[RAD/PACT]]=2019,Yards[[#This Row],[RAD/PACT]]="2020-2021"),"Yes",""))</f>
        <v/>
      </c>
      <c r="O89" s="51" t="str">
        <f ca="1">IFERROR(VLOOKUP(Yards[[#This Row],[DEVELOPMENT]],ExtComp[],8,FALSE),"")</f>
        <v/>
      </c>
      <c r="P89" s="51"/>
      <c r="Q89" s="51"/>
      <c r="R89" s="51" t="str">
        <f>IF(ISBLANK(Yards[[#This Row],[DSGN CALENDAR YEAR]]),"",Yards[[#This Row],[DSGN CALENDAR YEAR]]+1)</f>
        <v/>
      </c>
      <c r="S89" s="51" t="str">
        <f>IF(ISBLANK(Yards[[#This Row],[DSGN FISCAL YEAR]]),"",Yards[[#This Row],[DSGN FISCAL YEAR]]+1)</f>
        <v/>
      </c>
      <c r="T89" s="51"/>
      <c r="U89" s="128">
        <f ca="1">Yards[[#This Row],[Estimate]]*0.1</f>
        <v>206060.21595600009</v>
      </c>
      <c r="V89" s="47">
        <f ca="1">Yards[[#This Row],[Estimate]]-Yards[[#This Row],[Design Est.]]</f>
        <v>1854541.9436040006</v>
      </c>
      <c r="W89" s="85">
        <f ca="1">(Yards[[#This Row],['# yards]]*INDEX(UnitCosts[],MATCH(Yards[[#This Row],[WORK TYPE]],UnitCosts[Work Type],0),2))*(1+((Yards[[#This Row],[est. CONS Year]]-YEAR(TODAY()))*$W$3))</f>
        <v>2060602.1595600008</v>
      </c>
      <c r="X89" s="142">
        <f ca="1">IF(ISNUMBER(SEARCH("LLC",Yards[[#This Row],[PROGRAM]])),0,IF(Yards[[#This Row],[RAD/PACT by 2025]]="yes",0,1))</f>
        <v>1</v>
      </c>
      <c r="Y89" s="1"/>
      <c r="Z89" s="1"/>
      <c r="AA89" s="51">
        <f ca="1">COUNTIF($X$5:Yards[[#This Row],['# yards]],"&gt;0")-10</f>
        <v>49</v>
      </c>
      <c r="AB89" s="1">
        <f ca="1">IF(ISBLANK(Yards[[#This Row],[DSGN CALENDAR YEAR]]),ROUNDDOWN(Yards[[#This Row],[Count]]/24,0)+$AB$1,Yards[[#This Row],[DSGN CALENDAR YEAR]])</f>
        <v>2023</v>
      </c>
      <c r="AC89" s="16">
        <f ca="1">Yards[[#This Row],[est. DSGN Year]]+1</f>
        <v>2024</v>
      </c>
    </row>
    <row r="90" spans="1:29" hidden="1">
      <c r="A90" s="13" t="s">
        <v>70</v>
      </c>
      <c r="B90" s="51" t="str">
        <f>VLOOKUP(Yards[[#This Row],[DEVELOPMENT]],Data[],2,FALSE)</f>
        <v>MANHATTAN</v>
      </c>
      <c r="C90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90" s="51" t="str">
        <f>VLOOKUP(Yards[[#This Row],[DEVELOPMENT]],Data[],52,FALSE)</f>
        <v>FEDERAL</v>
      </c>
      <c r="E90" s="50" t="str">
        <f>VLOOKUP(Yards[[#This Row],[DEVELOPMENT]],Data[],8,FALSE)</f>
        <v>Zone 3</v>
      </c>
      <c r="F90" s="51" t="str">
        <f>VLOOKUP(Yards[[#This Row],[DEVELOPMENT]],all[[DEVELOPMENT]:[MRST Ext. Comp. Priority]],6,FALSE)</f>
        <v>C</v>
      </c>
      <c r="G90" s="51">
        <f>VLOOKUP(Yards[[#This Row],[DEVELOPMENT]],all[[DEVELOPMENT]:[MRST Ext. Comp. Priority]],13,FALSE)</f>
        <v>3</v>
      </c>
      <c r="H90" s="50">
        <f>IF(VLOOKUP(Yards[[#This Row],[DEVELOPMENT]],Data[],9,FALSE)=0,5,VLOOKUP(Yards[[#This Row],[DEVELOPMENT]],Data[],9,FALSE))</f>
        <v>1</v>
      </c>
      <c r="I90" s="51">
        <f>VLOOKUP(Yards[[#This Row],[DEVELOPMENT]],Data[],33,FALSE)</f>
        <v>0</v>
      </c>
      <c r="J90" s="51">
        <f>VLOOKUP(Yards[[#This Row],[DEVELOPMENT]],Data[],28,FALSE)</f>
        <v>0</v>
      </c>
      <c r="K90" s="51"/>
      <c r="L90" s="50"/>
      <c r="M90" s="51" t="str">
        <f ca="1">IFERROR(VLOOKUP(Yards[[#This Row],[DEVELOPMENT]],Data[],4,FALSE),"")</f>
        <v>2020-2021</v>
      </c>
      <c r="N90" s="51" t="str">
        <f ca="1">IF(Yards[[#This Row],[RAD/PACT]]="","",IF(OR(Yards[[#This Row],[RAD/PACT]]="2022-2025",Yards[[#This Row],[RAD/PACT]]=2019,Yards[[#This Row],[RAD/PACT]]="2020-2021"),"Yes",""))</f>
        <v>Yes</v>
      </c>
      <c r="O90" s="51">
        <f ca="1">IFERROR(VLOOKUP(Yards[[#This Row],[DEVELOPMENT]],ExtComp[],8,FALSE),"")</f>
        <v>20</v>
      </c>
      <c r="P90" s="51"/>
      <c r="Q90" s="51"/>
      <c r="R90" s="51" t="str">
        <f>IF(ISBLANK(Yards[[#This Row],[DSGN CALENDAR YEAR]]),"",Yards[[#This Row],[DSGN CALENDAR YEAR]]+1)</f>
        <v/>
      </c>
      <c r="S90" s="51" t="str">
        <f>IF(ISBLANK(Yards[[#This Row],[DSGN FISCAL YEAR]]),"",Yards[[#This Row],[DSGN FISCAL YEAR]]+1)</f>
        <v/>
      </c>
      <c r="T90" s="51"/>
      <c r="U90" s="128">
        <f ca="1">Yards[[#This Row],[Estimate]]*0.1</f>
        <v>0</v>
      </c>
      <c r="V90" s="47">
        <f ca="1">Yards[[#This Row],[Estimate]]-Yards[[#This Row],[Design Est.]]</f>
        <v>0</v>
      </c>
      <c r="W90" s="85">
        <f ca="1">(Yards[[#This Row],['# yards]]*INDEX(UnitCosts[],MATCH(Yards[[#This Row],[WORK TYPE]],UnitCosts[Work Type],0),2))*(1+((Yards[[#This Row],[est. CONS Year]]-YEAR(TODAY()))*$W$3))</f>
        <v>0</v>
      </c>
      <c r="X90" s="142">
        <f ca="1">IF(ISNUMBER(SEARCH("LLC",Yards[[#This Row],[PROGRAM]])),0,IF(Yards[[#This Row],[RAD/PACT by 2025]]="yes",0,1))</f>
        <v>0</v>
      </c>
      <c r="Y90" s="1"/>
      <c r="Z90" s="1"/>
      <c r="AA90" s="51">
        <f ca="1">COUNTIF($X$5:Yards[[#This Row],['# yards]],"&gt;0")-10</f>
        <v>49</v>
      </c>
      <c r="AB90" s="1">
        <f ca="1">IF(ISBLANK(Yards[[#This Row],[DSGN CALENDAR YEAR]]),ROUNDDOWN(Yards[[#This Row],[Count]]/24,0)+$AB$1,Yards[[#This Row],[DSGN CALENDAR YEAR]])</f>
        <v>2023</v>
      </c>
      <c r="AC90" s="16">
        <f ca="1">Yards[[#This Row],[est. DSGN Year]]+1</f>
        <v>2024</v>
      </c>
    </row>
    <row r="91" spans="1:29">
      <c r="A91" s="13" t="s">
        <v>269</v>
      </c>
      <c r="B91" s="51" t="str">
        <f>VLOOKUP(Yards[[#This Row],[DEVELOPMENT]],Data[],2,FALSE)</f>
        <v>QUEENS</v>
      </c>
      <c r="C91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91" s="51" t="str">
        <f>VLOOKUP(Yards[[#This Row],[DEVELOPMENT]],Data[],52,FALSE)</f>
        <v>FEDERAL</v>
      </c>
      <c r="E91" s="50">
        <f>VLOOKUP(Yards[[#This Row],[DEVELOPMENT]],Data[],8,FALSE)</f>
        <v>0</v>
      </c>
      <c r="F91" s="51" t="str">
        <f>VLOOKUP(Yards[[#This Row],[DEVELOPMENT]],all[[DEVELOPMENT]:[MRST Ext. Comp. Priority]],6,FALSE)</f>
        <v>C</v>
      </c>
      <c r="G91" s="51">
        <f>VLOOKUP(Yards[[#This Row],[DEVELOPMENT]],all[[DEVELOPMENT]:[MRST Ext. Comp. Priority]],13,FALSE)</f>
        <v>2</v>
      </c>
      <c r="H91" s="50">
        <f>IF(VLOOKUP(Yards[[#This Row],[DEVELOPMENT]],Data[],9,FALSE)=0,5,VLOOKUP(Yards[[#This Row],[DEVELOPMENT]],Data[],9,FALSE))</f>
        <v>5</v>
      </c>
      <c r="I91" s="51">
        <f>VLOOKUP(Yards[[#This Row],[DEVELOPMENT]],Data[],33,FALSE)</f>
        <v>2</v>
      </c>
      <c r="J91" s="51">
        <f>VLOOKUP(Yards[[#This Row],[DEVELOPMENT]],Data[],28,FALSE)</f>
        <v>0</v>
      </c>
      <c r="K91" s="51"/>
      <c r="L91" s="50"/>
      <c r="M91" s="51" t="str">
        <f ca="1">IFERROR(VLOOKUP(Yards[[#This Row],[DEVELOPMENT]],Data[],4,FALSE),"")</f>
        <v>2026+</v>
      </c>
      <c r="N91" s="51" t="str">
        <f ca="1">IF(Yards[[#This Row],[RAD/PACT]]="","",IF(OR(Yards[[#This Row],[RAD/PACT]]="2022-2025",Yards[[#This Row],[RAD/PACT]]=2019,Yards[[#This Row],[RAD/PACT]]="2020-2021"),"Yes",""))</f>
        <v/>
      </c>
      <c r="O91" s="51" t="str">
        <f ca="1">IFERROR(VLOOKUP(Yards[[#This Row],[DEVELOPMENT]],ExtComp[],8,FALSE),"")</f>
        <v/>
      </c>
      <c r="P91" s="51"/>
      <c r="Q91" s="51"/>
      <c r="R91" s="51" t="str">
        <f>IF(ISBLANK(Yards[[#This Row],[DSGN CALENDAR YEAR]]),"",Yards[[#This Row],[DSGN CALENDAR YEAR]]+1)</f>
        <v/>
      </c>
      <c r="S91" s="51" t="str">
        <f>IF(ISBLANK(Yards[[#This Row],[DSGN FISCAL YEAR]]),"",Yards[[#This Row],[DSGN FISCAL YEAR]]+1)</f>
        <v/>
      </c>
      <c r="T91" s="51"/>
      <c r="U91" s="128">
        <f ca="1">Yards[[#This Row],[Estimate]]*0.1</f>
        <v>230328.89648100009</v>
      </c>
      <c r="V91" s="47">
        <f ca="1">Yards[[#This Row],[Estimate]]-Yards[[#This Row],[Design Est.]]</f>
        <v>2072960.0683290006</v>
      </c>
      <c r="W91" s="85">
        <f ca="1">(Yards[[#This Row],['# yards]]*INDEX(UnitCosts[],MATCH(Yards[[#This Row],[WORK TYPE]],UnitCosts[Work Type],0),2))*(1+((Yards[[#This Row],[est. CONS Year]]-YEAR(TODAY()))*$W$3))</f>
        <v>2303288.9648100007</v>
      </c>
      <c r="X91" s="142">
        <f ca="1">IF(ISNUMBER(SEARCH("LLC",Yards[[#This Row],[PROGRAM]])),0,IF(Yards[[#This Row],[RAD/PACT by 2025]]="yes",0,1))</f>
        <v>1</v>
      </c>
      <c r="Y91" s="1"/>
      <c r="Z91" s="1"/>
      <c r="AA91" s="51">
        <f ca="1">COUNTIF($X$5:Yards[[#This Row],['# yards]],"&gt;0")-10</f>
        <v>50</v>
      </c>
      <c r="AB91" s="1">
        <f ca="1">IF(ISBLANK(Yards[[#This Row],[DSGN CALENDAR YEAR]]),ROUNDDOWN(Yards[[#This Row],[Count]]/24,0)+$AB$1,Yards[[#This Row],[DSGN CALENDAR YEAR]])</f>
        <v>2023</v>
      </c>
      <c r="AC91" s="16">
        <f ca="1">Yards[[#This Row],[est. DSGN Year]]+1</f>
        <v>2024</v>
      </c>
    </row>
    <row r="92" spans="1:29">
      <c r="A92" s="13" t="s">
        <v>113</v>
      </c>
      <c r="B92" s="51" t="str">
        <f>VLOOKUP(Yards[[#This Row],[DEVELOPMENT]],Data[],2,FALSE)</f>
        <v>MANHATTAN</v>
      </c>
      <c r="C9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92" s="51" t="str">
        <f>VLOOKUP(Yards[[#This Row],[DEVELOPMENT]],Data[],52,FALSE)</f>
        <v>FEDERAL</v>
      </c>
      <c r="E92" s="50" t="str">
        <f>VLOOKUP(Yards[[#This Row],[DEVELOPMENT]],Data[],8,FALSE)</f>
        <v>Zone 2</v>
      </c>
      <c r="F92" s="51" t="str">
        <f>VLOOKUP(Yards[[#This Row],[DEVELOPMENT]],all[[DEVELOPMENT]:[MRST Ext. Comp. Priority]],6,FALSE)</f>
        <v>C</v>
      </c>
      <c r="G92" s="51">
        <f>VLOOKUP(Yards[[#This Row],[DEVELOPMENT]],all[[DEVELOPMENT]:[MRST Ext. Comp. Priority]],13,FALSE)</f>
        <v>3</v>
      </c>
      <c r="H92" s="50">
        <f>IF(VLOOKUP(Yards[[#This Row],[DEVELOPMENT]],Data[],9,FALSE)=0,5,VLOOKUP(Yards[[#This Row],[DEVELOPMENT]],Data[],9,FALSE))</f>
        <v>1</v>
      </c>
      <c r="I92" s="51">
        <f>VLOOKUP(Yards[[#This Row],[DEVELOPMENT]],Data[],33,FALSE)</f>
        <v>2</v>
      </c>
      <c r="J92" s="51">
        <f>VLOOKUP(Yards[[#This Row],[DEVELOPMENT]],Data[],28,FALSE)</f>
        <v>0</v>
      </c>
      <c r="K92" s="51"/>
      <c r="L92" s="50"/>
      <c r="M92" s="51" t="str">
        <f ca="1">IFERROR(VLOOKUP(Yards[[#This Row],[DEVELOPMENT]],Data[],4,FALSE),"")</f>
        <v>2026+</v>
      </c>
      <c r="N92" s="51" t="str">
        <f ca="1">IF(Yards[[#This Row],[RAD/PACT]]="","",IF(OR(Yards[[#This Row],[RAD/PACT]]="2022-2025",Yards[[#This Row],[RAD/PACT]]=2019,Yards[[#This Row],[RAD/PACT]]="2020-2021"),"Yes",""))</f>
        <v/>
      </c>
      <c r="O92" s="1">
        <f ca="1">IFERROR(VLOOKUP(Yards[[#This Row],[DEVELOPMENT]],ExtComp[],8,FALSE),"")</f>
        <v>17</v>
      </c>
      <c r="P92" s="1"/>
      <c r="Q92" s="1"/>
      <c r="R92" s="1" t="str">
        <f>IF(ISBLANK(Yards[[#This Row],[DSGN CALENDAR YEAR]]),"",Yards[[#This Row],[DSGN CALENDAR YEAR]]+1)</f>
        <v/>
      </c>
      <c r="S92" s="51" t="str">
        <f>IF(ISBLANK(Yards[[#This Row],[DSGN FISCAL YEAR]]),"",Yards[[#This Row],[DSGN FISCAL YEAR]]+1)</f>
        <v/>
      </c>
      <c r="T92" s="1"/>
      <c r="U92" s="128">
        <f ca="1">Yards[[#This Row],[Estimate]]*0.1</f>
        <v>230328.89648100009</v>
      </c>
      <c r="V92" s="47">
        <f ca="1">Yards[[#This Row],[Estimate]]-Yards[[#This Row],[Design Est.]]</f>
        <v>2072960.0683290006</v>
      </c>
      <c r="W92" s="85">
        <f ca="1">(Yards[[#This Row],['# yards]]*INDEX(UnitCosts[],MATCH(Yards[[#This Row],[WORK TYPE]],UnitCosts[Work Type],0),2))*(1+((Yards[[#This Row],[est. CONS Year]]-YEAR(TODAY()))*$W$3))</f>
        <v>2303288.9648100007</v>
      </c>
      <c r="X92" s="142">
        <f ca="1">IF(ISNUMBER(SEARCH("LLC",Yards[[#This Row],[PROGRAM]])),0,IF(Yards[[#This Row],[RAD/PACT by 2025]]="yes",0,1))</f>
        <v>1</v>
      </c>
      <c r="Y92" s="1"/>
      <c r="Z92" s="1"/>
      <c r="AA92" s="51">
        <f ca="1">COUNTIF($X$5:Yards[[#This Row],['# yards]],"&gt;0")-10</f>
        <v>51</v>
      </c>
      <c r="AB92" s="1">
        <f ca="1">IF(ISBLANK(Yards[[#This Row],[DSGN CALENDAR YEAR]]),ROUNDDOWN(Yards[[#This Row],[Count]]/24,0)+$AB$1,Yards[[#This Row],[DSGN CALENDAR YEAR]])</f>
        <v>2023</v>
      </c>
      <c r="AC92" s="16">
        <f ca="1">Yards[[#This Row],[est. DSGN Year]]+1</f>
        <v>2024</v>
      </c>
    </row>
    <row r="93" spans="1:29">
      <c r="A93" s="13" t="s">
        <v>72</v>
      </c>
      <c r="B93" s="51" t="str">
        <f>VLOOKUP(Yards[[#This Row],[DEVELOPMENT]],Data[],2,FALSE)</f>
        <v>BROOKLYN</v>
      </c>
      <c r="C93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93" s="51" t="str">
        <f>VLOOKUP(Yards[[#This Row],[DEVELOPMENT]],Data[],52,FALSE)</f>
        <v>FEDERAL</v>
      </c>
      <c r="E93" s="50" t="str">
        <f>VLOOKUP(Yards[[#This Row],[DEVELOPMENT]],Data[],8,FALSE)</f>
        <v>Zone 3</v>
      </c>
      <c r="F93" s="51" t="str">
        <f>VLOOKUP(Yards[[#This Row],[DEVELOPMENT]],all[[DEVELOPMENT]:[MRST Ext. Comp. Priority]],6,FALSE)</f>
        <v>C</v>
      </c>
      <c r="G93" s="51">
        <f>VLOOKUP(Yards[[#This Row],[DEVELOPMENT]],all[[DEVELOPMENT]:[MRST Ext. Comp. Priority]],13,FALSE)</f>
        <v>3</v>
      </c>
      <c r="H93" s="50">
        <f>IF(VLOOKUP(Yards[[#This Row],[DEVELOPMENT]],Data[],9,FALSE)=0,5,VLOOKUP(Yards[[#This Row],[DEVELOPMENT]],Data[],9,FALSE))</f>
        <v>2</v>
      </c>
      <c r="I93" s="51">
        <f>VLOOKUP(Yards[[#This Row],[DEVELOPMENT]],Data[],33,FALSE)</f>
        <v>0</v>
      </c>
      <c r="J93" s="51">
        <f>VLOOKUP(Yards[[#This Row],[DEVELOPMENT]],Data[],28,FALSE)</f>
        <v>0</v>
      </c>
      <c r="K93" s="51"/>
      <c r="L93" s="50"/>
      <c r="M93" s="51" t="str">
        <f ca="1">IFERROR(VLOOKUP(Yards[[#This Row],[DEVELOPMENT]],Data[],4,FALSE),"")</f>
        <v>2026+</v>
      </c>
      <c r="N93" s="51" t="str">
        <f ca="1">IF(Yards[[#This Row],[RAD/PACT]]="","",IF(OR(Yards[[#This Row],[RAD/PACT]]="2022-2025",Yards[[#This Row],[RAD/PACT]]=2019,Yards[[#This Row],[RAD/PACT]]="2020-2021"),"Yes",""))</f>
        <v/>
      </c>
      <c r="O93" s="51" t="str">
        <f ca="1">IFERROR(VLOOKUP(Yards[[#This Row],[DEVELOPMENT]],ExtComp[],8,FALSE),"")</f>
        <v/>
      </c>
      <c r="P93" s="51"/>
      <c r="Q93" s="51"/>
      <c r="R93" s="51" t="str">
        <f>IF(ISBLANK(Yards[[#This Row],[DSGN CALENDAR YEAR]]),"",Yards[[#This Row],[DSGN CALENDAR YEAR]]+1)</f>
        <v/>
      </c>
      <c r="S93" s="51" t="str">
        <f>IF(ISBLANK(Yards[[#This Row],[DSGN FISCAL YEAR]]),"",Yards[[#This Row],[DSGN FISCAL YEAR]]+1)</f>
        <v/>
      </c>
      <c r="T93" s="51"/>
      <c r="U93" s="128">
        <f ca="1">Yards[[#This Row],[Estimate]]*0.1</f>
        <v>206060.21595600009</v>
      </c>
      <c r="V93" s="47">
        <f ca="1">Yards[[#This Row],[Estimate]]-Yards[[#This Row],[Design Est.]]</f>
        <v>1854541.9436040006</v>
      </c>
      <c r="W93" s="85">
        <f ca="1">(Yards[[#This Row],['# yards]]*INDEX(UnitCosts[],MATCH(Yards[[#This Row],[WORK TYPE]],UnitCosts[Work Type],0),2))*(1+((Yards[[#This Row],[est. CONS Year]]-YEAR(TODAY()))*$W$3))</f>
        <v>2060602.1595600008</v>
      </c>
      <c r="X93" s="142">
        <f ca="1">IF(ISNUMBER(SEARCH("LLC",Yards[[#This Row],[PROGRAM]])),0,IF(Yards[[#This Row],[RAD/PACT by 2025]]="yes",0,1))</f>
        <v>1</v>
      </c>
      <c r="Y93" s="1"/>
      <c r="Z93" s="1"/>
      <c r="AA93" s="51">
        <f ca="1">COUNTIF($X$5:Yards[[#This Row],['# yards]],"&gt;0")-10</f>
        <v>52</v>
      </c>
      <c r="AB93" s="1">
        <f ca="1">IF(ISBLANK(Yards[[#This Row],[DSGN CALENDAR YEAR]]),ROUNDDOWN(Yards[[#This Row],[Count]]/24,0)+$AB$1,Yards[[#This Row],[DSGN CALENDAR YEAR]])</f>
        <v>2023</v>
      </c>
      <c r="AC93" s="16">
        <f ca="1">Yards[[#This Row],[est. DSGN Year]]+1</f>
        <v>2024</v>
      </c>
    </row>
    <row r="94" spans="1:29">
      <c r="A94" s="13" t="s">
        <v>83</v>
      </c>
      <c r="B94" s="51" t="str">
        <f>VLOOKUP(Yards[[#This Row],[DEVELOPMENT]],Data[],2,FALSE)</f>
        <v>MANHATTAN</v>
      </c>
      <c r="C9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94" s="51" t="str">
        <f>VLOOKUP(Yards[[#This Row],[DEVELOPMENT]],Data[],52,FALSE)</f>
        <v>FEDERAL</v>
      </c>
      <c r="E94" s="50" t="str">
        <f>VLOOKUP(Yards[[#This Row],[DEVELOPMENT]],Data[],8,FALSE)</f>
        <v>Zone 2</v>
      </c>
      <c r="F94" s="51" t="str">
        <f>VLOOKUP(Yards[[#This Row],[DEVELOPMENT]],all[[DEVELOPMENT]:[MRST Ext. Comp. Priority]],6,FALSE)</f>
        <v>C</v>
      </c>
      <c r="G94" s="51">
        <f>VLOOKUP(Yards[[#This Row],[DEVELOPMENT]],all[[DEVELOPMENT]:[MRST Ext. Comp. Priority]],13,FALSE)</f>
        <v>3</v>
      </c>
      <c r="H94" s="50">
        <f>IF(VLOOKUP(Yards[[#This Row],[DEVELOPMENT]],Data[],9,FALSE)=0,5,VLOOKUP(Yards[[#This Row],[DEVELOPMENT]],Data[],9,FALSE))</f>
        <v>2</v>
      </c>
      <c r="I94" s="51">
        <f>VLOOKUP(Yards[[#This Row],[DEVELOPMENT]],Data[],33,FALSE)</f>
        <v>2</v>
      </c>
      <c r="J94" s="51">
        <f>VLOOKUP(Yards[[#This Row],[DEVELOPMENT]],Data[],28,FALSE)</f>
        <v>0</v>
      </c>
      <c r="K94" s="51"/>
      <c r="L94" s="50"/>
      <c r="M94" s="51" t="str">
        <f ca="1">IFERROR(VLOOKUP(Yards[[#This Row],[DEVELOPMENT]],Data[],4,FALSE),"")</f>
        <v>2026+</v>
      </c>
      <c r="N94" s="51" t="str">
        <f ca="1">IF(Yards[[#This Row],[RAD/PACT]]="","",IF(OR(Yards[[#This Row],[RAD/PACT]]="2022-2025",Yards[[#This Row],[RAD/PACT]]=2019,Yards[[#This Row],[RAD/PACT]]="2020-2021"),"Yes",""))</f>
        <v/>
      </c>
      <c r="O94" s="1">
        <f ca="1">IFERROR(VLOOKUP(Yards[[#This Row],[DEVELOPMENT]],ExtComp[],8,FALSE),"")</f>
        <v>19</v>
      </c>
      <c r="P94" s="1"/>
      <c r="Q94" s="1"/>
      <c r="R94" s="1" t="str">
        <f>IF(ISBLANK(Yards[[#This Row],[DSGN CALENDAR YEAR]]),"",Yards[[#This Row],[DSGN CALENDAR YEAR]]+1)</f>
        <v/>
      </c>
      <c r="S94" s="51" t="str">
        <f>IF(ISBLANK(Yards[[#This Row],[DSGN FISCAL YEAR]]),"",Yards[[#This Row],[DSGN FISCAL YEAR]]+1)</f>
        <v/>
      </c>
      <c r="T94" s="1"/>
      <c r="U94" s="128">
        <f ca="1">Yards[[#This Row],[Estimate]]*0.1</f>
        <v>230328.89648100009</v>
      </c>
      <c r="V94" s="47">
        <f ca="1">Yards[[#This Row],[Estimate]]-Yards[[#This Row],[Design Est.]]</f>
        <v>2072960.0683290006</v>
      </c>
      <c r="W94" s="85">
        <f ca="1">(Yards[[#This Row],['# yards]]*INDEX(UnitCosts[],MATCH(Yards[[#This Row],[WORK TYPE]],UnitCosts[Work Type],0),2))*(1+((Yards[[#This Row],[est. CONS Year]]-YEAR(TODAY()))*$W$3))</f>
        <v>2303288.9648100007</v>
      </c>
      <c r="X94" s="142">
        <f ca="1">IF(ISNUMBER(SEARCH("LLC",Yards[[#This Row],[PROGRAM]])),0,IF(Yards[[#This Row],[RAD/PACT by 2025]]="yes",0,1))</f>
        <v>1</v>
      </c>
      <c r="Y94" s="1"/>
      <c r="Z94" s="1"/>
      <c r="AA94" s="51">
        <f ca="1">COUNTIF($X$5:Yards[[#This Row],['# yards]],"&gt;0")-10</f>
        <v>53</v>
      </c>
      <c r="AB94" s="1">
        <f ca="1">IF(ISBLANK(Yards[[#This Row],[DSGN CALENDAR YEAR]]),ROUNDDOWN(Yards[[#This Row],[Count]]/24,0)+$AB$1,Yards[[#This Row],[DSGN CALENDAR YEAR]])</f>
        <v>2023</v>
      </c>
      <c r="AC94" s="16">
        <f ca="1">Yards[[#This Row],[est. DSGN Year]]+1</f>
        <v>2024</v>
      </c>
    </row>
    <row r="95" spans="1:29">
      <c r="A95" s="13" t="s">
        <v>131</v>
      </c>
      <c r="B95" s="51" t="str">
        <f>VLOOKUP(Yards[[#This Row],[DEVELOPMENT]],Data[],2,FALSE)</f>
        <v>MANHATTAN</v>
      </c>
      <c r="C9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95" s="51" t="str">
        <f>VLOOKUP(Yards[[#This Row],[DEVELOPMENT]],Data[],52,FALSE)</f>
        <v>FEDERAL</v>
      </c>
      <c r="E95" s="50" t="str">
        <f>VLOOKUP(Yards[[#This Row],[DEVELOPMENT]],Data[],8,FALSE)</f>
        <v>Zone 2</v>
      </c>
      <c r="F95" s="51" t="str">
        <f>VLOOKUP(Yards[[#This Row],[DEVELOPMENT]],all[[DEVELOPMENT]:[MRST Ext. Comp. Priority]],6,FALSE)</f>
        <v>C</v>
      </c>
      <c r="G95" s="51">
        <f>VLOOKUP(Yards[[#This Row],[DEVELOPMENT]],all[[DEVELOPMENT]:[MRST Ext. Comp. Priority]],13,FALSE)</f>
        <v>3</v>
      </c>
      <c r="H95" s="50">
        <f>IF(VLOOKUP(Yards[[#This Row],[DEVELOPMENT]],Data[],9,FALSE)=0,5,VLOOKUP(Yards[[#This Row],[DEVELOPMENT]],Data[],9,FALSE))</f>
        <v>2</v>
      </c>
      <c r="I95" s="51">
        <f>VLOOKUP(Yards[[#This Row],[DEVELOPMENT]],Data[],33,FALSE)</f>
        <v>2</v>
      </c>
      <c r="J95" s="51">
        <f>VLOOKUP(Yards[[#This Row],[DEVELOPMENT]],Data[],28,FALSE)</f>
        <v>0</v>
      </c>
      <c r="K95" s="51"/>
      <c r="L95" s="50"/>
      <c r="M95" s="51" t="str">
        <f ca="1">IFERROR(VLOOKUP(Yards[[#This Row],[DEVELOPMENT]],Data[],4,FALSE),"")</f>
        <v/>
      </c>
      <c r="N95" s="51" t="str">
        <f ca="1">IF(Yards[[#This Row],[RAD/PACT]]="","",IF(OR(Yards[[#This Row],[RAD/PACT]]="2022-2025",Yards[[#This Row],[RAD/PACT]]=2019,Yards[[#This Row],[RAD/PACT]]="2020-2021"),"Yes",""))</f>
        <v/>
      </c>
      <c r="O95" s="1">
        <f ca="1">IFERROR(VLOOKUP(Yards[[#This Row],[DEVELOPMENT]],ExtComp[],8,FALSE),"")</f>
        <v>5</v>
      </c>
      <c r="P95" s="1"/>
      <c r="Q95" s="1"/>
      <c r="R95" s="1" t="str">
        <f>IF(ISBLANK(Yards[[#This Row],[DSGN CALENDAR YEAR]]),"",Yards[[#This Row],[DSGN CALENDAR YEAR]]+1)</f>
        <v/>
      </c>
      <c r="S95" s="51" t="str">
        <f>IF(ISBLANK(Yards[[#This Row],[DSGN FISCAL YEAR]]),"",Yards[[#This Row],[DSGN FISCAL YEAR]]+1)</f>
        <v/>
      </c>
      <c r="T95" s="1"/>
      <c r="U95" s="128">
        <f ca="1">Yards[[#This Row],[Estimate]]*0.1</f>
        <v>155298.07909380004</v>
      </c>
      <c r="V95" s="47">
        <f ca="1">Yards[[#This Row],[Estimate]]-Yards[[#This Row],[Design Est.]]</f>
        <v>1397682.7118442003</v>
      </c>
      <c r="W95" s="85">
        <f ca="1">(Yards[[#This Row],['# yards]]*INDEX(UnitCosts[],MATCH(Yards[[#This Row],[WORK TYPE]],UnitCosts[Work Type],0),2))*(1+((Yards[[#This Row],[est. CONS Year]]-YEAR(TODAY()))*$W$3))</f>
        <v>1552980.7909380004</v>
      </c>
      <c r="X95" s="142">
        <f ca="1">IF(ISNUMBER(SEARCH("LLC",Yards[[#This Row],[PROGRAM]])),0,IF(Yards[[#This Row],[RAD/PACT by 2025]]="yes",0,1))</f>
        <v>1</v>
      </c>
      <c r="Y95" s="1"/>
      <c r="Z95" s="1"/>
      <c r="AA95" s="51">
        <f ca="1">COUNTIF($X$5:Yards[[#This Row],['# yards]],"&gt;0")-10</f>
        <v>54</v>
      </c>
      <c r="AB95" s="1">
        <f ca="1">IF(ISBLANK(Yards[[#This Row],[DSGN CALENDAR YEAR]]),ROUNDDOWN(Yards[[#This Row],[Count]]/24,0)+$AB$1,Yards[[#This Row],[DSGN CALENDAR YEAR]])</f>
        <v>2023</v>
      </c>
      <c r="AC95" s="16">
        <f ca="1">Yards[[#This Row],[est. DSGN Year]]+1</f>
        <v>2024</v>
      </c>
    </row>
    <row r="96" spans="1:29">
      <c r="A96" s="13" t="s">
        <v>266</v>
      </c>
      <c r="B96" s="51" t="str">
        <f>VLOOKUP(Yards[[#This Row],[DEVELOPMENT]],Data[],2,FALSE)</f>
        <v>MANHATTAN</v>
      </c>
      <c r="C9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96" s="51" t="str">
        <f>VLOOKUP(Yards[[#This Row],[DEVELOPMENT]],Data[],52,FALSE)</f>
        <v>FEDERAL</v>
      </c>
      <c r="E96" s="50" t="str">
        <f>VLOOKUP(Yards[[#This Row],[DEVELOPMENT]],Data[],8,FALSE)</f>
        <v>Zone 1</v>
      </c>
      <c r="F96" s="51" t="str">
        <f>VLOOKUP(Yards[[#This Row],[DEVELOPMENT]],all[[DEVELOPMENT]:[MRST Ext. Comp. Priority]],6,FALSE)</f>
        <v>C</v>
      </c>
      <c r="G96" s="51">
        <f>VLOOKUP(Yards[[#This Row],[DEVELOPMENT]],all[[DEVELOPMENT]:[MRST Ext. Comp. Priority]],13,FALSE)</f>
        <v>3</v>
      </c>
      <c r="H96" s="50">
        <f>IF(VLOOKUP(Yards[[#This Row],[DEVELOPMENT]],Data[],9,FALSE)=0,5,VLOOKUP(Yards[[#This Row],[DEVELOPMENT]],Data[],9,FALSE))</f>
        <v>3</v>
      </c>
      <c r="I96" s="51">
        <f>VLOOKUP(Yards[[#This Row],[DEVELOPMENT]],Data[],33,FALSE)</f>
        <v>0</v>
      </c>
      <c r="J96" s="51">
        <f>VLOOKUP(Yards[[#This Row],[DEVELOPMENT]],Data[],28,FALSE)</f>
        <v>0</v>
      </c>
      <c r="K96" s="51"/>
      <c r="L96" s="50"/>
      <c r="M96" s="51" t="str">
        <f ca="1">IFERROR(VLOOKUP(Yards[[#This Row],[DEVELOPMENT]],Data[],4,FALSE),"")</f>
        <v/>
      </c>
      <c r="N96" s="51" t="str">
        <f ca="1">IF(Yards[[#This Row],[RAD/PACT]]="","",IF(OR(Yards[[#This Row],[RAD/PACT]]="2022-2025",Yards[[#This Row],[RAD/PACT]]=2019,Yards[[#This Row],[RAD/PACT]]="2020-2021"),"Yes",""))</f>
        <v/>
      </c>
      <c r="O96" s="51" t="str">
        <f ca="1">IFERROR(VLOOKUP(Yards[[#This Row],[DEVELOPMENT]],ExtComp[],8,FALSE),"")</f>
        <v/>
      </c>
      <c r="P96" s="51"/>
      <c r="Q96" s="51"/>
      <c r="R96" s="51" t="str">
        <f>IF(ISBLANK(Yards[[#This Row],[DSGN CALENDAR YEAR]]),"",Yards[[#This Row],[DSGN CALENDAR YEAR]]+1)</f>
        <v/>
      </c>
      <c r="S96" s="51" t="str">
        <f>IF(ISBLANK(Yards[[#This Row],[DSGN FISCAL YEAR]]),"",Yards[[#This Row],[DSGN FISCAL YEAR]]+1)</f>
        <v/>
      </c>
      <c r="T96" s="51"/>
      <c r="U96" s="128">
        <f ca="1">Yards[[#This Row],[Estimate]]*0.1</f>
        <v>206060.21595600009</v>
      </c>
      <c r="V96" s="47">
        <f ca="1">Yards[[#This Row],[Estimate]]-Yards[[#This Row],[Design Est.]]</f>
        <v>1854541.9436040006</v>
      </c>
      <c r="W96" s="85">
        <f ca="1">(Yards[[#This Row],['# yards]]*INDEX(UnitCosts[],MATCH(Yards[[#This Row],[WORK TYPE]],UnitCosts[Work Type],0),2))*(1+((Yards[[#This Row],[est. CONS Year]]-YEAR(TODAY()))*$W$3))</f>
        <v>2060602.1595600008</v>
      </c>
      <c r="X96" s="142">
        <f ca="1">IF(ISNUMBER(SEARCH("LLC",Yards[[#This Row],[PROGRAM]])),0,IF(Yards[[#This Row],[RAD/PACT by 2025]]="yes",0,1))</f>
        <v>1</v>
      </c>
      <c r="Y96" s="1"/>
      <c r="Z96" s="1"/>
      <c r="AA96" s="51">
        <f ca="1">COUNTIF($X$5:Yards[[#This Row],['# yards]],"&gt;0")-10</f>
        <v>55</v>
      </c>
      <c r="AB96" s="1">
        <f ca="1">IF(ISBLANK(Yards[[#This Row],[DSGN CALENDAR YEAR]]),ROUNDDOWN(Yards[[#This Row],[Count]]/24,0)+$AB$1,Yards[[#This Row],[DSGN CALENDAR YEAR]])</f>
        <v>2023</v>
      </c>
      <c r="AC96" s="16">
        <f ca="1">Yards[[#This Row],[est. DSGN Year]]+1</f>
        <v>2024</v>
      </c>
    </row>
    <row r="97" spans="1:29">
      <c r="A97" s="13" t="s">
        <v>112</v>
      </c>
      <c r="B97" s="51" t="str">
        <f>VLOOKUP(Yards[[#This Row],[DEVELOPMENT]],Data[],2,FALSE)</f>
        <v>MANHATTAN</v>
      </c>
      <c r="C9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97" s="51" t="str">
        <f>VLOOKUP(Yards[[#This Row],[DEVELOPMENT]],Data[],52,FALSE)</f>
        <v>FEDERAL</v>
      </c>
      <c r="E97" s="50" t="str">
        <f>VLOOKUP(Yards[[#This Row],[DEVELOPMENT]],Data[],8,FALSE)</f>
        <v>Zone 2</v>
      </c>
      <c r="F97" s="51" t="str">
        <f>VLOOKUP(Yards[[#This Row],[DEVELOPMENT]],all[[DEVELOPMENT]:[MRST Ext. Comp. Priority]],6,FALSE)</f>
        <v>C</v>
      </c>
      <c r="G97" s="51">
        <f>VLOOKUP(Yards[[#This Row],[DEVELOPMENT]],all[[DEVELOPMENT]:[MRST Ext. Comp. Priority]],13,FALSE)</f>
        <v>3</v>
      </c>
      <c r="H97" s="50">
        <f>IF(VLOOKUP(Yards[[#This Row],[DEVELOPMENT]],Data[],9,FALSE)=0,5,VLOOKUP(Yards[[#This Row],[DEVELOPMENT]],Data[],9,FALSE))</f>
        <v>3</v>
      </c>
      <c r="I97" s="51">
        <f>VLOOKUP(Yards[[#This Row],[DEVELOPMENT]],Data[],33,FALSE)</f>
        <v>4</v>
      </c>
      <c r="J97" s="51">
        <f>VLOOKUP(Yards[[#This Row],[DEVELOPMENT]],Data[],28,FALSE)</f>
        <v>0</v>
      </c>
      <c r="K97" s="51"/>
      <c r="L97" s="50"/>
      <c r="M97" s="51" t="str">
        <f ca="1">IFERROR(VLOOKUP(Yards[[#This Row],[DEVELOPMENT]],Data[],4,FALSE),"")</f>
        <v>2026+</v>
      </c>
      <c r="N97" s="51" t="str">
        <f ca="1">IF(Yards[[#This Row],[RAD/PACT]]="","",IF(OR(Yards[[#This Row],[RAD/PACT]]="2022-2025",Yards[[#This Row],[RAD/PACT]]=2019,Yards[[#This Row],[RAD/PACT]]="2020-2021"),"Yes",""))</f>
        <v/>
      </c>
      <c r="O97" s="1">
        <f ca="1">IFERROR(VLOOKUP(Yards[[#This Row],[DEVELOPMENT]],ExtComp[],8,FALSE),"")</f>
        <v>17</v>
      </c>
      <c r="P97" s="1"/>
      <c r="Q97" s="1"/>
      <c r="R97" s="1" t="str">
        <f>IF(ISBLANK(Yards[[#This Row],[DSGN CALENDAR YEAR]]),"",Yards[[#This Row],[DSGN CALENDAR YEAR]]+1)</f>
        <v/>
      </c>
      <c r="S97" s="51" t="str">
        <f>IF(ISBLANK(Yards[[#This Row],[DSGN FISCAL YEAR]]),"",Yards[[#This Row],[DSGN FISCAL YEAR]]+1)</f>
        <v/>
      </c>
      <c r="T97" s="1"/>
      <c r="U97" s="128">
        <f ca="1">Yards[[#This Row],[Estimate]]*0.1</f>
        <v>305359.71386820002</v>
      </c>
      <c r="V97" s="47">
        <f ca="1">Yards[[#This Row],[Estimate]]-Yards[[#This Row],[Design Est.]]</f>
        <v>2748237.4248138</v>
      </c>
      <c r="W97" s="85">
        <f ca="1">(Yards[[#This Row],['# yards]]*INDEX(UnitCosts[],MATCH(Yards[[#This Row],[WORK TYPE]],UnitCosts[Work Type],0),2))*(1+((Yards[[#This Row],[est. CONS Year]]-YEAR(TODAY()))*$W$3))</f>
        <v>3053597.1386819999</v>
      </c>
      <c r="X97" s="142">
        <f ca="1">IF(ISNUMBER(SEARCH("LLC",Yards[[#This Row],[PROGRAM]])),0,IF(Yards[[#This Row],[RAD/PACT by 2025]]="yes",0,1))</f>
        <v>1</v>
      </c>
      <c r="Y97" s="1"/>
      <c r="Z97" s="1"/>
      <c r="AA97" s="51">
        <f ca="1">COUNTIF($X$5:Yards[[#This Row],['# yards]],"&gt;0")-10</f>
        <v>56</v>
      </c>
      <c r="AB97" s="1">
        <f ca="1">IF(ISBLANK(Yards[[#This Row],[DSGN CALENDAR YEAR]]),ROUNDDOWN(Yards[[#This Row],[Count]]/24,0)+$AB$1,Yards[[#This Row],[DSGN CALENDAR YEAR]])</f>
        <v>2023</v>
      </c>
      <c r="AC97" s="16">
        <f ca="1">Yards[[#This Row],[est. DSGN Year]]+1</f>
        <v>2024</v>
      </c>
    </row>
    <row r="98" spans="1:29">
      <c r="A98" s="13" t="s">
        <v>62</v>
      </c>
      <c r="B98" s="51" t="str">
        <f>VLOOKUP(Yards[[#This Row],[DEVELOPMENT]],Data[],2,FALSE)</f>
        <v>MANHATTAN</v>
      </c>
      <c r="C98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98" s="51" t="str">
        <f>VLOOKUP(Yards[[#This Row],[DEVELOPMENT]],Data[],52,FALSE)</f>
        <v>FEDERAL</v>
      </c>
      <c r="E98" s="50" t="str">
        <f>VLOOKUP(Yards[[#This Row],[DEVELOPMENT]],Data[],8,FALSE)</f>
        <v>Zone 1</v>
      </c>
      <c r="F98" s="51" t="str">
        <f>VLOOKUP(Yards[[#This Row],[DEVELOPMENT]],all[[DEVELOPMENT]:[MRST Ext. Comp. Priority]],6,FALSE)</f>
        <v>C</v>
      </c>
      <c r="G98" s="51">
        <f>VLOOKUP(Yards[[#This Row],[DEVELOPMENT]],all[[DEVELOPMENT]:[MRST Ext. Comp. Priority]],13,FALSE)</f>
        <v>3</v>
      </c>
      <c r="H98" s="50">
        <f>IF(VLOOKUP(Yards[[#This Row],[DEVELOPMENT]],Data[],9,FALSE)=0,5,VLOOKUP(Yards[[#This Row],[DEVELOPMENT]],Data[],9,FALSE))</f>
        <v>3</v>
      </c>
      <c r="I98" s="51">
        <f>VLOOKUP(Yards[[#This Row],[DEVELOPMENT]],Data[],33,FALSE)</f>
        <v>0</v>
      </c>
      <c r="J98" s="51">
        <f>VLOOKUP(Yards[[#This Row],[DEVELOPMENT]],Data[],28,FALSE)</f>
        <v>0</v>
      </c>
      <c r="K98" s="51"/>
      <c r="L98" s="50"/>
      <c r="M98" s="51" t="str">
        <f ca="1">IFERROR(VLOOKUP(Yards[[#This Row],[DEVELOPMENT]],Data[],4,FALSE),"")</f>
        <v/>
      </c>
      <c r="N98" s="51" t="str">
        <f ca="1">IF(Yards[[#This Row],[RAD/PACT]]="","",IF(OR(Yards[[#This Row],[RAD/PACT]]="2022-2025",Yards[[#This Row],[RAD/PACT]]=2019,Yards[[#This Row],[RAD/PACT]]="2020-2021"),"Yes",""))</f>
        <v/>
      </c>
      <c r="O98" s="51" t="str">
        <f ca="1">IFERROR(VLOOKUP(Yards[[#This Row],[DEVELOPMENT]],ExtComp[],8,FALSE),"")</f>
        <v/>
      </c>
      <c r="P98" s="51"/>
      <c r="Q98" s="51"/>
      <c r="R98" s="51" t="str">
        <f>IF(ISBLANK(Yards[[#This Row],[DSGN CALENDAR YEAR]]),"",Yards[[#This Row],[DSGN CALENDAR YEAR]]+1)</f>
        <v/>
      </c>
      <c r="S98" s="51" t="str">
        <f>IF(ISBLANK(Yards[[#This Row],[DSGN FISCAL YEAR]]),"",Yards[[#This Row],[DSGN FISCAL YEAR]]+1)</f>
        <v/>
      </c>
      <c r="T98" s="51"/>
      <c r="U98" s="128">
        <f ca="1">Yards[[#This Row],[Estimate]]*0.1</f>
        <v>206060.21595600009</v>
      </c>
      <c r="V98" s="47">
        <f ca="1">Yards[[#This Row],[Estimate]]-Yards[[#This Row],[Design Est.]]</f>
        <v>1854541.9436040006</v>
      </c>
      <c r="W98" s="85">
        <f ca="1">(Yards[[#This Row],['# yards]]*INDEX(UnitCosts[],MATCH(Yards[[#This Row],[WORK TYPE]],UnitCosts[Work Type],0),2))*(1+((Yards[[#This Row],[est. CONS Year]]-YEAR(TODAY()))*$W$3))</f>
        <v>2060602.1595600008</v>
      </c>
      <c r="X98" s="142">
        <f ca="1">IF(ISNUMBER(SEARCH("LLC",Yards[[#This Row],[PROGRAM]])),0,IF(Yards[[#This Row],[RAD/PACT by 2025]]="yes",0,1))</f>
        <v>1</v>
      </c>
      <c r="Y98" s="1"/>
      <c r="Z98" s="1"/>
      <c r="AA98" s="51">
        <f ca="1">COUNTIF($X$5:Yards[[#This Row],['# yards]],"&gt;0")-10</f>
        <v>57</v>
      </c>
      <c r="AB98" s="1">
        <f ca="1">IF(ISBLANK(Yards[[#This Row],[DSGN CALENDAR YEAR]]),ROUNDDOWN(Yards[[#This Row],[Count]]/24,0)+$AB$1,Yards[[#This Row],[DSGN CALENDAR YEAR]])</f>
        <v>2023</v>
      </c>
      <c r="AC98" s="16">
        <f ca="1">Yards[[#This Row],[est. DSGN Year]]+1</f>
        <v>2024</v>
      </c>
    </row>
    <row r="99" spans="1:29" hidden="1">
      <c r="A99" s="13" t="s">
        <v>230</v>
      </c>
      <c r="B99" s="51" t="str">
        <f>VLOOKUP(Yards[[#This Row],[DEVELOPMENT]],Data[],2,FALSE)</f>
        <v>BROOKLYN</v>
      </c>
      <c r="C9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99" s="51" t="str">
        <f>VLOOKUP(Yards[[#This Row],[DEVELOPMENT]],Data[],52,FALSE)</f>
        <v>FEDERAL</v>
      </c>
      <c r="E99" s="50" t="str">
        <f>VLOOKUP(Yards[[#This Row],[DEVELOPMENT]],Data[],8,FALSE)</f>
        <v>Zone 1</v>
      </c>
      <c r="F99" s="51" t="str">
        <f>VLOOKUP(Yards[[#This Row],[DEVELOPMENT]],all[[DEVELOPMENT]:[MRST Ext. Comp. Priority]],6,FALSE)</f>
        <v>C</v>
      </c>
      <c r="G99" s="51">
        <f>VLOOKUP(Yards[[#This Row],[DEVELOPMENT]],all[[DEVELOPMENT]:[MRST Ext. Comp. Priority]],13,FALSE)</f>
        <v>3</v>
      </c>
      <c r="H99" s="50">
        <f>IF(VLOOKUP(Yards[[#This Row],[DEVELOPMENT]],Data[],9,FALSE)=0,5,VLOOKUP(Yards[[#This Row],[DEVELOPMENT]],Data[],9,FALSE))</f>
        <v>4</v>
      </c>
      <c r="I99" s="51">
        <f>VLOOKUP(Yards[[#This Row],[DEVELOPMENT]],Data[],33,FALSE)</f>
        <v>0</v>
      </c>
      <c r="J99" s="51">
        <f>VLOOKUP(Yards[[#This Row],[DEVELOPMENT]],Data[],28,FALSE)</f>
        <v>0</v>
      </c>
      <c r="K99" s="51"/>
      <c r="L99" s="50"/>
      <c r="M99" s="51">
        <f ca="1">IFERROR(VLOOKUP(Yards[[#This Row],[DEVELOPMENT]],Data[],4,FALSE),"")</f>
        <v>2019</v>
      </c>
      <c r="N99" s="51" t="str">
        <f ca="1">IF(Yards[[#This Row],[RAD/PACT]]="","",IF(OR(Yards[[#This Row],[RAD/PACT]]="2022-2025",Yards[[#This Row],[RAD/PACT]]=2019,Yards[[#This Row],[RAD/PACT]]="2020-2021"),"Yes",""))</f>
        <v>Yes</v>
      </c>
      <c r="O99" s="51" t="str">
        <f ca="1">IFERROR(VLOOKUP(Yards[[#This Row],[DEVELOPMENT]],ExtComp[],8,FALSE),"")</f>
        <v/>
      </c>
      <c r="P99" s="51"/>
      <c r="Q99" s="51"/>
      <c r="R99" s="51" t="str">
        <f>IF(ISBLANK(Yards[[#This Row],[DSGN CALENDAR YEAR]]),"",Yards[[#This Row],[DSGN CALENDAR YEAR]]+1)</f>
        <v/>
      </c>
      <c r="S99" s="51" t="str">
        <f>IF(ISBLANK(Yards[[#This Row],[DSGN FISCAL YEAR]]),"",Yards[[#This Row],[DSGN FISCAL YEAR]]+1)</f>
        <v/>
      </c>
      <c r="T99" s="51"/>
      <c r="U99" s="128">
        <f ca="1">Yards[[#This Row],[Estimate]]*0.1</f>
        <v>0</v>
      </c>
      <c r="V99" s="47">
        <f ca="1">Yards[[#This Row],[Estimate]]-Yards[[#This Row],[Design Est.]]</f>
        <v>0</v>
      </c>
      <c r="W99" s="85">
        <f ca="1">(Yards[[#This Row],['# yards]]*INDEX(UnitCosts[],MATCH(Yards[[#This Row],[WORK TYPE]],UnitCosts[Work Type],0),2))*(1+((Yards[[#This Row],[est. CONS Year]]-YEAR(TODAY()))*$W$3))</f>
        <v>0</v>
      </c>
      <c r="X99" s="142">
        <f ca="1">IF(ISNUMBER(SEARCH("LLC",Yards[[#This Row],[PROGRAM]])),0,IF(Yards[[#This Row],[RAD/PACT by 2025]]="yes",0,1))</f>
        <v>0</v>
      </c>
      <c r="Y99" s="1"/>
      <c r="Z99" s="1"/>
      <c r="AA99" s="51">
        <f ca="1">COUNTIF($X$5:Yards[[#This Row],['# yards]],"&gt;0")-10</f>
        <v>57</v>
      </c>
      <c r="AB99" s="1">
        <f ca="1">IF(ISBLANK(Yards[[#This Row],[DSGN CALENDAR YEAR]]),ROUNDDOWN(Yards[[#This Row],[Count]]/24,0)+$AB$1,Yards[[#This Row],[DSGN CALENDAR YEAR]])</f>
        <v>2023</v>
      </c>
      <c r="AC99" s="16">
        <f ca="1">Yards[[#This Row],[est. DSGN Year]]+1</f>
        <v>2024</v>
      </c>
    </row>
    <row r="100" spans="1:29" hidden="1">
      <c r="A100" s="13" t="s">
        <v>32</v>
      </c>
      <c r="B100" s="51" t="str">
        <f>VLOOKUP(Yards[[#This Row],[DEVELOPMENT]],Data[],2,FALSE)</f>
        <v>BRONX</v>
      </c>
      <c r="C100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00" s="51" t="str">
        <f>VLOOKUP(Yards[[#This Row],[DEVELOPMENT]],Data[],52,FALSE)</f>
        <v>FEDERAL</v>
      </c>
      <c r="E100" s="50" t="str">
        <f>VLOOKUP(Yards[[#This Row],[DEVELOPMENT]],Data[],8,FALSE)</f>
        <v>Zone 1</v>
      </c>
      <c r="F100" s="51" t="str">
        <f>VLOOKUP(Yards[[#This Row],[DEVELOPMENT]],all[[DEVELOPMENT]:[MRST Ext. Comp. Priority]],6,FALSE)</f>
        <v>C</v>
      </c>
      <c r="G100" s="51">
        <f>VLOOKUP(Yards[[#This Row],[DEVELOPMENT]],all[[DEVELOPMENT]:[MRST Ext. Comp. Priority]],13,FALSE)</f>
        <v>3</v>
      </c>
      <c r="H100" s="50">
        <f>IF(VLOOKUP(Yards[[#This Row],[DEVELOPMENT]],Data[],9,FALSE)=0,5,VLOOKUP(Yards[[#This Row],[DEVELOPMENT]],Data[],9,FALSE))</f>
        <v>4</v>
      </c>
      <c r="I100" s="51">
        <f>VLOOKUP(Yards[[#This Row],[DEVELOPMENT]],Data[],33,FALSE)</f>
        <v>0</v>
      </c>
      <c r="J100" s="51">
        <f>VLOOKUP(Yards[[#This Row],[DEVELOPMENT]],Data[],28,FALSE)</f>
        <v>0</v>
      </c>
      <c r="K100" s="51"/>
      <c r="L100" s="50"/>
      <c r="M100" s="51" t="str">
        <f ca="1">IFERROR(VLOOKUP(Yards[[#This Row],[DEVELOPMENT]],Data[],4,FALSE),"")</f>
        <v>2022-2025</v>
      </c>
      <c r="N100" s="51" t="str">
        <f ca="1">IF(Yards[[#This Row],[RAD/PACT]]="","",IF(OR(Yards[[#This Row],[RAD/PACT]]="2022-2025",Yards[[#This Row],[RAD/PACT]]=2019,Yards[[#This Row],[RAD/PACT]]="2020-2021"),"Yes",""))</f>
        <v>Yes</v>
      </c>
      <c r="O100" s="51" t="str">
        <f ca="1">IFERROR(VLOOKUP(Yards[[#This Row],[DEVELOPMENT]],ExtComp[],8,FALSE),"")</f>
        <v/>
      </c>
      <c r="P100" s="51"/>
      <c r="Q100" s="51"/>
      <c r="R100" s="51" t="str">
        <f>IF(ISBLANK(Yards[[#This Row],[DSGN CALENDAR YEAR]]),"",Yards[[#This Row],[DSGN CALENDAR YEAR]]+1)</f>
        <v/>
      </c>
      <c r="S100" s="51" t="str">
        <f>IF(ISBLANK(Yards[[#This Row],[DSGN FISCAL YEAR]]),"",Yards[[#This Row],[DSGN FISCAL YEAR]]+1)</f>
        <v/>
      </c>
      <c r="T100" s="51"/>
      <c r="U100" s="128">
        <f ca="1">Yards[[#This Row],[Estimate]]*0.1</f>
        <v>0</v>
      </c>
      <c r="V100" s="47">
        <f ca="1">Yards[[#This Row],[Estimate]]-Yards[[#This Row],[Design Est.]]</f>
        <v>0</v>
      </c>
      <c r="W100" s="85">
        <f ca="1">(Yards[[#This Row],['# yards]]*INDEX(UnitCosts[],MATCH(Yards[[#This Row],[WORK TYPE]],UnitCosts[Work Type],0),2))*(1+((Yards[[#This Row],[est. CONS Year]]-YEAR(TODAY()))*$W$3))</f>
        <v>0</v>
      </c>
      <c r="X100" s="142">
        <f ca="1">IF(ISNUMBER(SEARCH("LLC",Yards[[#This Row],[PROGRAM]])),0,IF(Yards[[#This Row],[RAD/PACT by 2025]]="yes",0,1))</f>
        <v>0</v>
      </c>
      <c r="Y100" s="1"/>
      <c r="Z100" s="1"/>
      <c r="AA100" s="51">
        <f ca="1">COUNTIF($X$5:Yards[[#This Row],['# yards]],"&gt;0")-10</f>
        <v>57</v>
      </c>
      <c r="AB100" s="1">
        <f ca="1">IF(ISBLANK(Yards[[#This Row],[DSGN CALENDAR YEAR]]),ROUNDDOWN(Yards[[#This Row],[Count]]/24,0)+$AB$1,Yards[[#This Row],[DSGN CALENDAR YEAR]])</f>
        <v>2023</v>
      </c>
      <c r="AC100" s="16">
        <f ca="1">Yards[[#This Row],[est. DSGN Year]]+1</f>
        <v>2024</v>
      </c>
    </row>
    <row r="101" spans="1:29" hidden="1">
      <c r="A101" s="13" t="s">
        <v>145</v>
      </c>
      <c r="B101" s="51" t="str">
        <f>VLOOKUP(Yards[[#This Row],[DEVELOPMENT]],Data[],2,FALSE)</f>
        <v>BRONX</v>
      </c>
      <c r="C101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01" s="51" t="str">
        <f>VLOOKUP(Yards[[#This Row],[DEVELOPMENT]],Data[],52,FALSE)</f>
        <v>FEDERAL</v>
      </c>
      <c r="E101" s="50" t="str">
        <f>VLOOKUP(Yards[[#This Row],[DEVELOPMENT]],Data[],8,FALSE)</f>
        <v>Zone 1</v>
      </c>
      <c r="F101" s="51" t="str">
        <f>VLOOKUP(Yards[[#This Row],[DEVELOPMENT]],all[[DEVELOPMENT]:[MRST Ext. Comp. Priority]],6,FALSE)</f>
        <v>C</v>
      </c>
      <c r="G101" s="51">
        <f>VLOOKUP(Yards[[#This Row],[DEVELOPMENT]],all[[DEVELOPMENT]:[MRST Ext. Comp. Priority]],13,FALSE)</f>
        <v>3</v>
      </c>
      <c r="H101" s="50">
        <f>IF(VLOOKUP(Yards[[#This Row],[DEVELOPMENT]],Data[],9,FALSE)=0,5,VLOOKUP(Yards[[#This Row],[DEVELOPMENT]],Data[],9,FALSE))</f>
        <v>4</v>
      </c>
      <c r="I101" s="51">
        <f>VLOOKUP(Yards[[#This Row],[DEVELOPMENT]],Data[],33,FALSE)</f>
        <v>1</v>
      </c>
      <c r="J101" s="51">
        <f>VLOOKUP(Yards[[#This Row],[DEVELOPMENT]],Data[],28,FALSE)</f>
        <v>0</v>
      </c>
      <c r="K101" s="51"/>
      <c r="L101" s="50"/>
      <c r="M101" s="51" t="str">
        <f ca="1">IFERROR(VLOOKUP(Yards[[#This Row],[DEVELOPMENT]],Data[],4,FALSE),"")</f>
        <v>2022-2025</v>
      </c>
      <c r="N101" s="51" t="str">
        <f ca="1">IF(Yards[[#This Row],[RAD/PACT]]="","",IF(OR(Yards[[#This Row],[RAD/PACT]]="2022-2025",Yards[[#This Row],[RAD/PACT]]=2019,Yards[[#This Row],[RAD/PACT]]="2020-2021"),"Yes",""))</f>
        <v>Yes</v>
      </c>
      <c r="O101" s="51" t="str">
        <f ca="1">IFERROR(VLOOKUP(Yards[[#This Row],[DEVELOPMENT]],ExtComp[],8,FALSE),"")</f>
        <v/>
      </c>
      <c r="P101" s="51"/>
      <c r="Q101" s="51"/>
      <c r="R101" s="51" t="str">
        <f>IF(ISBLANK(Yards[[#This Row],[DSGN CALENDAR YEAR]]),"",Yards[[#This Row],[DSGN CALENDAR YEAR]]+1)</f>
        <v/>
      </c>
      <c r="S101" s="51" t="str">
        <f>IF(ISBLANK(Yards[[#This Row],[DSGN FISCAL YEAR]]),"",Yards[[#This Row],[DSGN FISCAL YEAR]]+1)</f>
        <v/>
      </c>
      <c r="T101" s="51"/>
      <c r="U101" s="128">
        <f ca="1">Yards[[#This Row],[Estimate]]*0.1</f>
        <v>0</v>
      </c>
      <c r="V101" s="47">
        <f ca="1">Yards[[#This Row],[Estimate]]-Yards[[#This Row],[Design Est.]]</f>
        <v>0</v>
      </c>
      <c r="W101" s="85">
        <f ca="1">(Yards[[#This Row],['# yards]]*INDEX(UnitCosts[],MATCH(Yards[[#This Row],[WORK TYPE]],UnitCosts[Work Type],0),2))*(1+((Yards[[#This Row],[est. CONS Year]]-YEAR(TODAY()))*$W$3))</f>
        <v>0</v>
      </c>
      <c r="X101" s="142">
        <f ca="1">IF(ISNUMBER(SEARCH("LLC",Yards[[#This Row],[PROGRAM]])),0,IF(Yards[[#This Row],[RAD/PACT by 2025]]="yes",0,1))</f>
        <v>0</v>
      </c>
      <c r="Y101" s="1"/>
      <c r="Z101" s="1"/>
      <c r="AA101" s="51">
        <f ca="1">COUNTIF($X$5:Yards[[#This Row],['# yards]],"&gt;0")-10</f>
        <v>57</v>
      </c>
      <c r="AB101" s="1">
        <f ca="1">IF(ISBLANK(Yards[[#This Row],[DSGN CALENDAR YEAR]]),ROUNDDOWN(Yards[[#This Row],[Count]]/24,0)+$AB$1,Yards[[#This Row],[DSGN CALENDAR YEAR]])</f>
        <v>2023</v>
      </c>
      <c r="AC101" s="16">
        <f ca="1">Yards[[#This Row],[est. DSGN Year]]+1</f>
        <v>2024</v>
      </c>
    </row>
    <row r="102" spans="1:29" hidden="1">
      <c r="A102" s="13" t="s">
        <v>94</v>
      </c>
      <c r="B102" s="51" t="str">
        <f>VLOOKUP(Yards[[#This Row],[DEVELOPMENT]],Data[],2,FALSE)</f>
        <v>MANHATTAN</v>
      </c>
      <c r="C102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02" s="51" t="str">
        <f>VLOOKUP(Yards[[#This Row],[DEVELOPMENT]],Data[],52,FALSE)</f>
        <v>FEDERAL</v>
      </c>
      <c r="E102" s="50" t="str">
        <f>VLOOKUP(Yards[[#This Row],[DEVELOPMENT]],Data[],8,FALSE)</f>
        <v>Zone 3</v>
      </c>
      <c r="F102" s="51" t="str">
        <f>VLOOKUP(Yards[[#This Row],[DEVELOPMENT]],all[[DEVELOPMENT]:[MRST Ext. Comp. Priority]],6,FALSE)</f>
        <v>C</v>
      </c>
      <c r="G102" s="51">
        <f>VLOOKUP(Yards[[#This Row],[DEVELOPMENT]],all[[DEVELOPMENT]:[MRST Ext. Comp. Priority]],13,FALSE)</f>
        <v>3</v>
      </c>
      <c r="H102" s="50">
        <f>IF(VLOOKUP(Yards[[#This Row],[DEVELOPMENT]],Data[],9,FALSE)=0,5,VLOOKUP(Yards[[#This Row],[DEVELOPMENT]],Data[],9,FALSE))</f>
        <v>4</v>
      </c>
      <c r="I102" s="51">
        <f>VLOOKUP(Yards[[#This Row],[DEVELOPMENT]],Data[],33,FALSE)</f>
        <v>0</v>
      </c>
      <c r="J102" s="51">
        <f>VLOOKUP(Yards[[#This Row],[DEVELOPMENT]],Data[],28,FALSE)</f>
        <v>0</v>
      </c>
      <c r="K102" s="51"/>
      <c r="L102" s="50"/>
      <c r="M102" s="51" t="str">
        <f ca="1">IFERROR(VLOOKUP(Yards[[#This Row],[DEVELOPMENT]],Data[],4,FALSE),"")</f>
        <v>2020-2021</v>
      </c>
      <c r="N102" s="51" t="str">
        <f ca="1">IF(Yards[[#This Row],[RAD/PACT]]="","",IF(OR(Yards[[#This Row],[RAD/PACT]]="2022-2025",Yards[[#This Row],[RAD/PACT]]=2019,Yards[[#This Row],[RAD/PACT]]="2020-2021"),"Yes",""))</f>
        <v>Yes</v>
      </c>
      <c r="O102" s="51" t="str">
        <f ca="1">IFERROR(VLOOKUP(Yards[[#This Row],[DEVELOPMENT]],ExtComp[],8,FALSE),"")</f>
        <v/>
      </c>
      <c r="P102" s="51"/>
      <c r="Q102" s="51"/>
      <c r="R102" s="51" t="str">
        <f>IF(ISBLANK(Yards[[#This Row],[DSGN CALENDAR YEAR]]),"",Yards[[#This Row],[DSGN CALENDAR YEAR]]+1)</f>
        <v/>
      </c>
      <c r="S102" s="51" t="str">
        <f>IF(ISBLANK(Yards[[#This Row],[DSGN FISCAL YEAR]]),"",Yards[[#This Row],[DSGN FISCAL YEAR]]+1)</f>
        <v/>
      </c>
      <c r="T102" s="51"/>
      <c r="U102" s="128">
        <f ca="1">Yards[[#This Row],[Estimate]]*0.1</f>
        <v>0</v>
      </c>
      <c r="V102" s="47">
        <f ca="1">Yards[[#This Row],[Estimate]]-Yards[[#This Row],[Design Est.]]</f>
        <v>0</v>
      </c>
      <c r="W102" s="85">
        <f ca="1">(Yards[[#This Row],['# yards]]*INDEX(UnitCosts[],MATCH(Yards[[#This Row],[WORK TYPE]],UnitCosts[Work Type],0),2))*(1+((Yards[[#This Row],[est. CONS Year]]-YEAR(TODAY()))*$W$3))</f>
        <v>0</v>
      </c>
      <c r="X102" s="142">
        <f ca="1">IF(ISNUMBER(SEARCH("LLC",Yards[[#This Row],[PROGRAM]])),0,IF(Yards[[#This Row],[RAD/PACT by 2025]]="yes",0,1))</f>
        <v>0</v>
      </c>
      <c r="Y102" s="1"/>
      <c r="Z102" s="1"/>
      <c r="AA102" s="51">
        <f ca="1">COUNTIF($X$5:Yards[[#This Row],['# yards]],"&gt;0")-10</f>
        <v>57</v>
      </c>
      <c r="AB102" s="1">
        <f ca="1">IF(ISBLANK(Yards[[#This Row],[DSGN CALENDAR YEAR]]),ROUNDDOWN(Yards[[#This Row],[Count]]/24,0)+$AB$1,Yards[[#This Row],[DSGN CALENDAR YEAR]])</f>
        <v>2023</v>
      </c>
      <c r="AC102" s="16">
        <f ca="1">Yards[[#This Row],[est. DSGN Year]]+1</f>
        <v>2024</v>
      </c>
    </row>
    <row r="103" spans="1:29">
      <c r="A103" s="13" t="s">
        <v>91</v>
      </c>
      <c r="B103" s="51" t="str">
        <f>VLOOKUP(Yards[[#This Row],[DEVELOPMENT]],Data[],2,FALSE)</f>
        <v>BRONX</v>
      </c>
      <c r="C10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03" s="51" t="str">
        <f>VLOOKUP(Yards[[#This Row],[DEVELOPMENT]],Data[],52,FALSE)</f>
        <v>FEDERAL</v>
      </c>
      <c r="E103" s="50" t="str">
        <f>VLOOKUP(Yards[[#This Row],[DEVELOPMENT]],Data[],8,FALSE)</f>
        <v>Zone 3</v>
      </c>
      <c r="F103" s="51" t="str">
        <f>VLOOKUP(Yards[[#This Row],[DEVELOPMENT]],all[[DEVELOPMENT]:[MRST Ext. Comp. Priority]],6,FALSE)</f>
        <v>C</v>
      </c>
      <c r="G103" s="51">
        <f>VLOOKUP(Yards[[#This Row],[DEVELOPMENT]],all[[DEVELOPMENT]:[MRST Ext. Comp. Priority]],13,FALSE)</f>
        <v>3</v>
      </c>
      <c r="H103" s="50">
        <f>IF(VLOOKUP(Yards[[#This Row],[DEVELOPMENT]],Data[],9,FALSE)=0,5,VLOOKUP(Yards[[#This Row],[DEVELOPMENT]],Data[],9,FALSE))</f>
        <v>3</v>
      </c>
      <c r="I103" s="51">
        <f>VLOOKUP(Yards[[#This Row],[DEVELOPMENT]],Data[],33,FALSE)</f>
        <v>1</v>
      </c>
      <c r="J103" s="51">
        <f>VLOOKUP(Yards[[#This Row],[DEVELOPMENT]],Data[],28,FALSE)</f>
        <v>0</v>
      </c>
      <c r="K103" s="51"/>
      <c r="L103" s="50"/>
      <c r="M103" s="51" t="str">
        <f ca="1">IFERROR(VLOOKUP(Yards[[#This Row],[DEVELOPMENT]],Data[],4,FALSE),"")</f>
        <v>2026+</v>
      </c>
      <c r="N103" s="51" t="str">
        <f ca="1">IF(Yards[[#This Row],[RAD/PACT]]="","",IF(OR(Yards[[#This Row],[RAD/PACT]]="2022-2025",Yards[[#This Row],[RAD/PACT]]=2019,Yards[[#This Row],[RAD/PACT]]="2020-2021"),"Yes",""))</f>
        <v/>
      </c>
      <c r="O103" s="51">
        <f ca="1">IFERROR(VLOOKUP(Yards[[#This Row],[DEVELOPMENT]],ExtComp[],8,FALSE),"")</f>
        <v>19</v>
      </c>
      <c r="P103" s="51"/>
      <c r="Q103" s="51"/>
      <c r="R103" s="51" t="str">
        <f>IF(ISBLANK(Yards[[#This Row],[DSGN CALENDAR YEAR]]),"",Yards[[#This Row],[DSGN CALENDAR YEAR]]+1)</f>
        <v/>
      </c>
      <c r="S103" s="51" t="str">
        <f>IF(ISBLANK(Yards[[#This Row],[DSGN FISCAL YEAR]]),"",Yards[[#This Row],[DSGN FISCAL YEAR]]+1)</f>
        <v/>
      </c>
      <c r="T103" s="51"/>
      <c r="U103" s="128">
        <f ca="1">Yards[[#This Row],[Estimate]]*0.1</f>
        <v>206060.21595600009</v>
      </c>
      <c r="V103" s="47">
        <f ca="1">Yards[[#This Row],[Estimate]]-Yards[[#This Row],[Design Est.]]</f>
        <v>1854541.9436040006</v>
      </c>
      <c r="W103" s="85">
        <f ca="1">(Yards[[#This Row],['# yards]]*INDEX(UnitCosts[],MATCH(Yards[[#This Row],[WORK TYPE]],UnitCosts[Work Type],0),2))*(1+((Yards[[#This Row],[est. CONS Year]]-YEAR(TODAY()))*$W$3))</f>
        <v>2060602.1595600008</v>
      </c>
      <c r="X103" s="142">
        <f ca="1">IF(ISNUMBER(SEARCH("LLC",Yards[[#This Row],[PROGRAM]])),0,IF(Yards[[#This Row],[RAD/PACT by 2025]]="yes",0,1))</f>
        <v>1</v>
      </c>
      <c r="Y103" s="1"/>
      <c r="Z103" s="1"/>
      <c r="AA103" s="51">
        <f ca="1">COUNTIF($X$5:Yards[[#This Row],['# yards]],"&gt;0")-10</f>
        <v>58</v>
      </c>
      <c r="AB103" s="1">
        <f ca="1">IF(ISBLANK(Yards[[#This Row],[DSGN CALENDAR YEAR]]),ROUNDDOWN(Yards[[#This Row],[Count]]/24,0)+$AB$1,Yards[[#This Row],[DSGN CALENDAR YEAR]])</f>
        <v>2023</v>
      </c>
      <c r="AC103" s="16">
        <f ca="1">Yards[[#This Row],[est. DSGN Year]]+1</f>
        <v>2024</v>
      </c>
    </row>
    <row r="104" spans="1:29" hidden="1">
      <c r="A104" s="13" t="s">
        <v>231</v>
      </c>
      <c r="B104" s="51" t="str">
        <f>VLOOKUP(Yards[[#This Row],[DEVELOPMENT]],Data[],2,FALSE)</f>
        <v>BROOKLYN</v>
      </c>
      <c r="C10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104" s="51" t="str">
        <f>VLOOKUP(Yards[[#This Row],[DEVELOPMENT]],Data[],52,FALSE)</f>
        <v>MIXED FINANCE/LLC1</v>
      </c>
      <c r="E104" s="50">
        <f>VLOOKUP(Yards[[#This Row],[DEVELOPMENT]],Data[],8,FALSE)</f>
        <v>0</v>
      </c>
      <c r="F104" s="51" t="str">
        <f>VLOOKUP(Yards[[#This Row],[DEVELOPMENT]],all[[DEVELOPMENT]:[MRST Ext. Comp. Priority]],6,FALSE)</f>
        <v>C</v>
      </c>
      <c r="G104" s="51">
        <f>VLOOKUP(Yards[[#This Row],[DEVELOPMENT]],all[[DEVELOPMENT]:[MRST Ext. Comp. Priority]],13,FALSE)</f>
        <v>2</v>
      </c>
      <c r="H104" s="50">
        <f>IF(VLOOKUP(Yards[[#This Row],[DEVELOPMENT]],Data[],9,FALSE)=0,5,VLOOKUP(Yards[[#This Row],[DEVELOPMENT]],Data[],9,FALSE))</f>
        <v>5</v>
      </c>
      <c r="I104" s="51">
        <f>VLOOKUP(Yards[[#This Row],[DEVELOPMENT]],Data[],33,FALSE)</f>
        <v>4</v>
      </c>
      <c r="J104" s="51">
        <f>VLOOKUP(Yards[[#This Row],[DEVELOPMENT]],Data[],28,FALSE)</f>
        <v>0</v>
      </c>
      <c r="K104" s="51"/>
      <c r="L104" s="50"/>
      <c r="M104" s="51" t="str">
        <f ca="1">IFERROR(VLOOKUP(Yards[[#This Row],[DEVELOPMENT]],Data[],4,FALSE),"")</f>
        <v>2026+</v>
      </c>
      <c r="N104" s="51" t="str">
        <f ca="1">IF(Yards[[#This Row],[RAD/PACT]]="","",IF(OR(Yards[[#This Row],[RAD/PACT]]="2022-2025",Yards[[#This Row],[RAD/PACT]]=2019,Yards[[#This Row],[RAD/PACT]]="2020-2021"),"Yes",""))</f>
        <v/>
      </c>
      <c r="O104" s="51">
        <f ca="1">IFERROR(VLOOKUP(Yards[[#This Row],[DEVELOPMENT]],ExtComp[],8,FALSE),"")</f>
        <v>16</v>
      </c>
      <c r="P104" s="51"/>
      <c r="Q104" s="51"/>
      <c r="R104" s="51" t="str">
        <f>IF(ISBLANK(Yards[[#This Row],[DSGN CALENDAR YEAR]]),"",Yards[[#This Row],[DSGN CALENDAR YEAR]]+1)</f>
        <v/>
      </c>
      <c r="S104" s="51" t="str">
        <f>IF(ISBLANK(Yards[[#This Row],[DSGN FISCAL YEAR]]),"",Yards[[#This Row],[DSGN FISCAL YEAR]]+1)</f>
        <v/>
      </c>
      <c r="T104" s="51"/>
      <c r="U104" s="128">
        <f ca="1">Yards[[#This Row],[Estimate]]*0.1</f>
        <v>0</v>
      </c>
      <c r="V104" s="47">
        <f ca="1">Yards[[#This Row],[Estimate]]-Yards[[#This Row],[Design Est.]]</f>
        <v>0</v>
      </c>
      <c r="W104" s="85">
        <f ca="1">(Yards[[#This Row],['# yards]]*INDEX(UnitCosts[],MATCH(Yards[[#This Row],[WORK TYPE]],UnitCosts[Work Type],0),2))*(1+((Yards[[#This Row],[est. CONS Year]]-YEAR(TODAY()))*$W$3))</f>
        <v>0</v>
      </c>
      <c r="X104" s="142">
        <f>IF(ISNUMBER(SEARCH("LLC",Yards[[#This Row],[PROGRAM]])),0,IF(Yards[[#This Row],[RAD/PACT by 2025]]="yes",0,1))</f>
        <v>0</v>
      </c>
      <c r="Y104" s="1"/>
      <c r="Z104" s="1"/>
      <c r="AA104" s="51">
        <f ca="1">COUNTIF($X$5:Yards[[#This Row],['# yards]],"&gt;0")-10</f>
        <v>58</v>
      </c>
      <c r="AB104" s="1">
        <f ca="1">IF(ISBLANK(Yards[[#This Row],[DSGN CALENDAR YEAR]]),ROUNDDOWN(Yards[[#This Row],[Count]]/24,0)+$AB$1,Yards[[#This Row],[DSGN CALENDAR YEAR]])</f>
        <v>2023</v>
      </c>
      <c r="AC104" s="16">
        <f ca="1">Yards[[#This Row],[est. DSGN Year]]+1</f>
        <v>2024</v>
      </c>
    </row>
    <row r="105" spans="1:29">
      <c r="A105" s="13" t="s">
        <v>44</v>
      </c>
      <c r="B105" s="51" t="str">
        <f>VLOOKUP(Yards[[#This Row],[DEVELOPMENT]],Data[],2,FALSE)</f>
        <v>MANHATTAN</v>
      </c>
      <c r="C105" s="51" t="s">
        <v>483</v>
      </c>
      <c r="D105" s="51" t="str">
        <f>VLOOKUP(Yards[[#This Row],[DEVELOPMENT]],Data[],52,FALSE)</f>
        <v>FEDERAL</v>
      </c>
      <c r="E105" s="50" t="str">
        <f>VLOOKUP(Yards[[#This Row],[DEVELOPMENT]],Data[],8,FALSE)</f>
        <v>Zone 1</v>
      </c>
      <c r="F105" s="51" t="str">
        <f>VLOOKUP(Yards[[#This Row],[DEVELOPMENT]],all[[DEVELOPMENT]:[MRST Ext. Comp. Priority]],6,FALSE)</f>
        <v>C</v>
      </c>
      <c r="G105" s="51">
        <f>VLOOKUP(Yards[[#This Row],[DEVELOPMENT]],all[[DEVELOPMENT]:[MRST Ext. Comp. Priority]],13,FALSE)</f>
        <v>3</v>
      </c>
      <c r="H105" s="50">
        <f>IF(VLOOKUP(Yards[[#This Row],[DEVELOPMENT]],Data[],9,FALSE)=0,5,VLOOKUP(Yards[[#This Row],[DEVELOPMENT]],Data[],9,FALSE))</f>
        <v>4</v>
      </c>
      <c r="I105" s="51">
        <f>VLOOKUP(Yards[[#This Row],[DEVELOPMENT]],Data[],33,FALSE)</f>
        <v>4</v>
      </c>
      <c r="J105" s="51">
        <f>VLOOKUP(Yards[[#This Row],[DEVELOPMENT]],Data[],28,FALSE)</f>
        <v>0</v>
      </c>
      <c r="K105" s="51"/>
      <c r="L105" s="50"/>
      <c r="M105" s="51" t="str">
        <f ca="1">IFERROR(VLOOKUP(Yards[[#This Row],[DEVELOPMENT]],Data[],4,FALSE),"")</f>
        <v/>
      </c>
      <c r="N105" s="51" t="str">
        <f ca="1">IF(Yards[[#This Row],[RAD/PACT]]="","",IF(OR(Yards[[#This Row],[RAD/PACT]]="2022-2025",Yards[[#This Row],[RAD/PACT]]=2019,Yards[[#This Row],[RAD/PACT]]="2020-2021"),"Yes",""))</f>
        <v/>
      </c>
      <c r="O105" s="51">
        <f ca="1">IFERROR(VLOOKUP(Yards[[#This Row],[DEVELOPMENT]],ExtComp[],8,FALSE),"")</f>
        <v>16</v>
      </c>
      <c r="P105" s="51"/>
      <c r="Q105" s="51"/>
      <c r="R105" s="51" t="str">
        <f>IF(ISBLANK(Yards[[#This Row],[DSGN CALENDAR YEAR]]),"",Yards[[#This Row],[DSGN CALENDAR YEAR]]+1)</f>
        <v/>
      </c>
      <c r="S105" s="51">
        <f>Yards[[#This Row],[DSGN FISCAL YEAR]]+1</f>
        <v>1</v>
      </c>
      <c r="T105" s="51" t="s">
        <v>401</v>
      </c>
      <c r="U105" s="128">
        <f ca="1">Yards[[#This Row],[Estimate]]*0.1</f>
        <v>155298.07909380004</v>
      </c>
      <c r="V105" s="47">
        <f ca="1">Yards[[#This Row],[Estimate]]-Yards[[#This Row],[Design Est.]]</f>
        <v>1397682.7118442003</v>
      </c>
      <c r="W105" s="85">
        <f ca="1">(Yards[[#This Row],['# yards]]*INDEX(UnitCosts[],MATCH(Yards[[#This Row],[WORK TYPE]],UnitCosts[Work Type],0),2))*(1+((Yards[[#This Row],[est. CONS Year]]-YEAR(TODAY()))*$W$3))</f>
        <v>1552980.7909380004</v>
      </c>
      <c r="X105" s="142">
        <f ca="1">IF(ISNUMBER(SEARCH("LLC",Yards[[#This Row],[PROGRAM]])),0,IF(Yards[[#This Row],[RAD/PACT by 2025]]="yes",0,1))</f>
        <v>1</v>
      </c>
      <c r="Y105" s="1" t="s">
        <v>2295</v>
      </c>
      <c r="Z105" s="1"/>
      <c r="AA105" s="51">
        <f ca="1">COUNTIF($X$5:Yards[[#This Row],['# yards]],"&gt;0")-10</f>
        <v>59</v>
      </c>
      <c r="AB105" s="1">
        <f ca="1">IF(ISBLANK(Yards[[#This Row],[DSGN CALENDAR YEAR]]),ROUNDDOWN(Yards[[#This Row],[Count]]/24,0)+$AB$1,Yards[[#This Row],[DSGN CALENDAR YEAR]])</f>
        <v>2023</v>
      </c>
      <c r="AC105" s="16">
        <f ca="1">Yards[[#This Row],[est. DSGN Year]]+1</f>
        <v>2024</v>
      </c>
    </row>
    <row r="106" spans="1:29" hidden="1">
      <c r="A106" s="13" t="s">
        <v>103</v>
      </c>
      <c r="B106" s="51" t="str">
        <f>VLOOKUP(Yards[[#This Row],[DEVELOPMENT]],Data[],2,FALSE)</f>
        <v>MANHATTAN</v>
      </c>
      <c r="C10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06" s="51" t="str">
        <f>VLOOKUP(Yards[[#This Row],[DEVELOPMENT]],Data[],52,FALSE)</f>
        <v>FEDERAL</v>
      </c>
      <c r="E106" s="50" t="str">
        <f>VLOOKUP(Yards[[#This Row],[DEVELOPMENT]],Data[],8,FALSE)</f>
        <v>Zone 1</v>
      </c>
      <c r="F106" s="51" t="str">
        <f>VLOOKUP(Yards[[#This Row],[DEVELOPMENT]],all[[DEVELOPMENT]:[MRST Ext. Comp. Priority]],6,FALSE)</f>
        <v>C</v>
      </c>
      <c r="G106" s="51">
        <f>VLOOKUP(Yards[[#This Row],[DEVELOPMENT]],all[[DEVELOPMENT]:[MRST Ext. Comp. Priority]],13,FALSE)</f>
        <v>3</v>
      </c>
      <c r="H106" s="50">
        <f>IF(VLOOKUP(Yards[[#This Row],[DEVELOPMENT]],Data[],9,FALSE)=0,5,VLOOKUP(Yards[[#This Row],[DEVELOPMENT]],Data[],9,FALSE))</f>
        <v>4</v>
      </c>
      <c r="I106" s="51">
        <f>VLOOKUP(Yards[[#This Row],[DEVELOPMENT]],Data[],33,FALSE)</f>
        <v>0</v>
      </c>
      <c r="J106" s="51">
        <f>VLOOKUP(Yards[[#This Row],[DEVELOPMENT]],Data[],28,FALSE)</f>
        <v>0</v>
      </c>
      <c r="K106" s="51"/>
      <c r="L106" s="50"/>
      <c r="M106" s="51" t="str">
        <f ca="1">IFERROR(VLOOKUP(Yards[[#This Row],[DEVELOPMENT]],Data[],4,FALSE),"")</f>
        <v/>
      </c>
      <c r="N106" s="51" t="str">
        <f ca="1">IF(Yards[[#This Row],[RAD/PACT]]="","",IF(OR(Yards[[#This Row],[RAD/PACT]]="2022-2025",Yards[[#This Row],[RAD/PACT]]=2019,Yards[[#This Row],[RAD/PACT]]="2020-2021"),"Yes",""))</f>
        <v/>
      </c>
      <c r="O106" s="51" t="str">
        <f ca="1">IFERROR(VLOOKUP(Yards[[#This Row],[DEVELOPMENT]],ExtComp[],8,FALSE),"")</f>
        <v/>
      </c>
      <c r="P106" s="51"/>
      <c r="Q106" s="51"/>
      <c r="R106" s="51" t="str">
        <f>IF(ISBLANK(Yards[[#This Row],[DSGN CALENDAR YEAR]]),"",Yards[[#This Row],[DSGN CALENDAR YEAR]]+1)</f>
        <v/>
      </c>
      <c r="S106" s="51" t="str">
        <f>IF(ISBLANK(Yards[[#This Row],[DSGN FISCAL YEAR]]),"",Yards[[#This Row],[DSGN FISCAL YEAR]]+1)</f>
        <v/>
      </c>
      <c r="T106" s="51"/>
      <c r="U106" s="128">
        <f>Yards[[#This Row],[Estimate]]*0.1</f>
        <v>0</v>
      </c>
      <c r="V106" s="47">
        <f>Yards[[#This Row],[Estimate]]-Yards[[#This Row],[Design Est.]]</f>
        <v>0</v>
      </c>
      <c r="W106" s="85">
        <v>0</v>
      </c>
      <c r="X106" s="142">
        <v>0</v>
      </c>
      <c r="Y106" s="1"/>
      <c r="Z106" s="1"/>
      <c r="AA106" s="51">
        <f ca="1">COUNTIF($X$5:Yards[[#This Row],['# yards]],"&gt;0")-10</f>
        <v>59</v>
      </c>
      <c r="AB106" s="1">
        <f ca="1">IF(ISBLANK(Yards[[#This Row],[DSGN CALENDAR YEAR]]),ROUNDDOWN(Yards[[#This Row],[Count]]/24,0)+$AB$1,Yards[[#This Row],[DSGN CALENDAR YEAR]])</f>
        <v>2023</v>
      </c>
      <c r="AC106" s="16">
        <f ca="1">Yards[[#This Row],[est. DSGN Year]]+1</f>
        <v>2024</v>
      </c>
    </row>
    <row r="107" spans="1:29" hidden="1">
      <c r="A107" s="13" t="s">
        <v>50</v>
      </c>
      <c r="B107" s="51" t="str">
        <f>VLOOKUP(Yards[[#This Row],[DEVELOPMENT]],Data[],2,FALSE)</f>
        <v>MANHATTAN</v>
      </c>
      <c r="C10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07" s="51" t="str">
        <f>VLOOKUP(Yards[[#This Row],[DEVELOPMENT]],Data[],52,FALSE)</f>
        <v>FEDERAL</v>
      </c>
      <c r="E107" s="50" t="str">
        <f>VLOOKUP(Yards[[#This Row],[DEVELOPMENT]],Data[],8,FALSE)</f>
        <v>Zone 1</v>
      </c>
      <c r="F107" s="51" t="str">
        <f>VLOOKUP(Yards[[#This Row],[DEVELOPMENT]],all[[DEVELOPMENT]:[MRST Ext. Comp. Priority]],6,FALSE)</f>
        <v>C</v>
      </c>
      <c r="G107" s="51">
        <f>VLOOKUP(Yards[[#This Row],[DEVELOPMENT]],all[[DEVELOPMENT]:[MRST Ext. Comp. Priority]],13,FALSE)</f>
        <v>3</v>
      </c>
      <c r="H107" s="50">
        <f>IF(VLOOKUP(Yards[[#This Row],[DEVELOPMENT]],Data[],9,FALSE)=0,5,VLOOKUP(Yards[[#This Row],[DEVELOPMENT]],Data[],9,FALSE))</f>
        <v>4</v>
      </c>
      <c r="I107" s="51">
        <f>VLOOKUP(Yards[[#This Row],[DEVELOPMENT]],Data[],33,FALSE)</f>
        <v>0</v>
      </c>
      <c r="J107" s="51">
        <f>VLOOKUP(Yards[[#This Row],[DEVELOPMENT]],Data[],28,FALSE)</f>
        <v>0</v>
      </c>
      <c r="K107" s="51"/>
      <c r="L107" s="50"/>
      <c r="M107" s="51" t="str">
        <f ca="1">IFERROR(VLOOKUP(Yards[[#This Row],[DEVELOPMENT]],Data[],4,FALSE),"")</f>
        <v/>
      </c>
      <c r="N107" s="51" t="str">
        <f ca="1">IF(Yards[[#This Row],[RAD/PACT]]="","",IF(OR(Yards[[#This Row],[RAD/PACT]]="2022-2025",Yards[[#This Row],[RAD/PACT]]=2019,Yards[[#This Row],[RAD/PACT]]="2020-2021"),"Yes",""))</f>
        <v/>
      </c>
      <c r="O107" s="51" t="str">
        <f ca="1">IFERROR(VLOOKUP(Yards[[#This Row],[DEVELOPMENT]],ExtComp[],8,FALSE),"")</f>
        <v/>
      </c>
      <c r="P107" s="51"/>
      <c r="Q107" s="51"/>
      <c r="R107" s="51" t="str">
        <f>IF(ISBLANK(Yards[[#This Row],[DSGN CALENDAR YEAR]]),"",Yards[[#This Row],[DSGN CALENDAR YEAR]]+1)</f>
        <v/>
      </c>
      <c r="S107" s="51" t="str">
        <f>IF(ISBLANK(Yards[[#This Row],[DSGN FISCAL YEAR]]),"",Yards[[#This Row],[DSGN FISCAL YEAR]]+1)</f>
        <v/>
      </c>
      <c r="T107" s="51"/>
      <c r="U107" s="128">
        <f>Yards[[#This Row],[Estimate]]*0.1</f>
        <v>0</v>
      </c>
      <c r="V107" s="47">
        <f>Yards[[#This Row],[Estimate]]-Yards[[#This Row],[Design Est.]]</f>
        <v>0</v>
      </c>
      <c r="W107" s="85">
        <v>0</v>
      </c>
      <c r="X107" s="142">
        <v>0</v>
      </c>
      <c r="Y107" s="1"/>
      <c r="Z107" s="1"/>
      <c r="AA107" s="51">
        <f ca="1">COUNTIF($X$5:Yards[[#This Row],['# yards]],"&gt;0")-10</f>
        <v>59</v>
      </c>
      <c r="AB107" s="1">
        <f ca="1">IF(ISBLANK(Yards[[#This Row],[DSGN CALENDAR YEAR]]),ROUNDDOWN(Yards[[#This Row],[Count]]/24,0)+$AB$1,Yards[[#This Row],[DSGN CALENDAR YEAR]])</f>
        <v>2023</v>
      </c>
      <c r="AC107" s="16">
        <f ca="1">Yards[[#This Row],[est. DSGN Year]]+1</f>
        <v>2024</v>
      </c>
    </row>
    <row r="108" spans="1:29">
      <c r="A108" s="13" t="s">
        <v>61</v>
      </c>
      <c r="B108" s="51" t="str">
        <f>VLOOKUP(Yards[[#This Row],[DEVELOPMENT]],Data[],2,FALSE)</f>
        <v>MANHATTAN</v>
      </c>
      <c r="C108" s="51" t="s">
        <v>483</v>
      </c>
      <c r="D108" s="51" t="str">
        <f>VLOOKUP(Yards[[#This Row],[DEVELOPMENT]],Data[],52,FALSE)</f>
        <v>FEDERAL</v>
      </c>
      <c r="E108" s="50" t="str">
        <f>VLOOKUP(Yards[[#This Row],[DEVELOPMENT]],Data[],8,FALSE)</f>
        <v>Zone 1</v>
      </c>
      <c r="F108" s="51" t="str">
        <f>VLOOKUP(Yards[[#This Row],[DEVELOPMENT]],all[[DEVELOPMENT]:[MRST Ext. Comp. Priority]],6,FALSE)</f>
        <v>C</v>
      </c>
      <c r="G108" s="51">
        <f>VLOOKUP(Yards[[#This Row],[DEVELOPMENT]],all[[DEVELOPMENT]:[MRST Ext. Comp. Priority]],13,FALSE)</f>
        <v>3</v>
      </c>
      <c r="H108" s="50">
        <f>IF(VLOOKUP(Yards[[#This Row],[DEVELOPMENT]],Data[],9,FALSE)=0,5,VLOOKUP(Yards[[#This Row],[DEVELOPMENT]],Data[],9,FALSE))</f>
        <v>4</v>
      </c>
      <c r="I108" s="51">
        <f>VLOOKUP(Yards[[#This Row],[DEVELOPMENT]],Data[],33,FALSE)</f>
        <v>1</v>
      </c>
      <c r="J108" s="51">
        <f>VLOOKUP(Yards[[#This Row],[DEVELOPMENT]],Data[],28,FALSE)</f>
        <v>0</v>
      </c>
      <c r="K108" s="51"/>
      <c r="L108" s="50"/>
      <c r="M108" s="51" t="str">
        <f ca="1">IFERROR(VLOOKUP(Yards[[#This Row],[DEVELOPMENT]],Data[],4,FALSE),"")</f>
        <v/>
      </c>
      <c r="N108" s="51" t="str">
        <f ca="1">IF(Yards[[#This Row],[RAD/PACT]]="","",IF(OR(Yards[[#This Row],[RAD/PACT]]="2022-2025",Yards[[#This Row],[RAD/PACT]]=2019,Yards[[#This Row],[RAD/PACT]]="2020-2021"),"Yes",""))</f>
        <v/>
      </c>
      <c r="O108" s="51">
        <f ca="1">IFERROR(VLOOKUP(Yards[[#This Row],[DEVELOPMENT]],ExtComp[],8,FALSE),"")</f>
        <v>19</v>
      </c>
      <c r="P108" s="51"/>
      <c r="Q108" s="51"/>
      <c r="R108" s="51"/>
      <c r="S108" s="51" t="str">
        <f>IF(ISBLANK(Yards[[#This Row],[DSGN FISCAL YEAR]]),"",Yards[[#This Row],[DSGN FISCAL YEAR]]+1)</f>
        <v/>
      </c>
      <c r="T108" s="51" t="s">
        <v>20</v>
      </c>
      <c r="U108" s="128">
        <f ca="1">Yards[[#This Row],[Estimate]]*0.1</f>
        <v>155298.07909380004</v>
      </c>
      <c r="V108" s="47">
        <f ca="1">Yards[[#This Row],[Estimate]]-Yards[[#This Row],[Design Est.]]</f>
        <v>1397682.7118442003</v>
      </c>
      <c r="W108" s="85">
        <f ca="1">(Yards[[#This Row],['# yards]]*INDEX(UnitCosts[],MATCH(Yards[[#This Row],[WORK TYPE]],UnitCosts[Work Type],0),2))*(1+((Yards[[#This Row],[est. CONS Year]]-YEAR(TODAY()))*$W$3))</f>
        <v>1552980.7909380004</v>
      </c>
      <c r="X108" s="142">
        <f ca="1">IF(ISNUMBER(SEARCH("LLC",Yards[[#This Row],[PROGRAM]])),0,IF(Yards[[#This Row],[RAD/PACT by 2025]]="yes",0,1))</f>
        <v>1</v>
      </c>
      <c r="Y108" s="1" t="s">
        <v>2295</v>
      </c>
      <c r="Z108" s="1"/>
      <c r="AA108" s="51">
        <f ca="1">COUNTIF($X$5:Yards[[#This Row],['# yards]],"&gt;0")-10</f>
        <v>60</v>
      </c>
      <c r="AB108" s="1">
        <f ca="1">IF(ISBLANK(Yards[[#This Row],[DSGN CALENDAR YEAR]]),ROUNDDOWN(Yards[[#This Row],[Count]]/24,0)+$AB$1,Yards[[#This Row],[DSGN CALENDAR YEAR]])</f>
        <v>2023</v>
      </c>
      <c r="AC108" s="16">
        <f ca="1">Yards[[#This Row],[est. DSGN Year]]+1</f>
        <v>2024</v>
      </c>
    </row>
    <row r="109" spans="1:29">
      <c r="A109" s="13" t="s">
        <v>116</v>
      </c>
      <c r="B109" s="51" t="str">
        <f>VLOOKUP(Yards[[#This Row],[DEVELOPMENT]],Data[],2,FALSE)</f>
        <v>MANHATTAN</v>
      </c>
      <c r="C109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09" s="51" t="str">
        <f>VLOOKUP(Yards[[#This Row],[DEVELOPMENT]],Data[],52,FALSE)</f>
        <v>FEDERAL</v>
      </c>
      <c r="E109" s="50" t="str">
        <f>VLOOKUP(Yards[[#This Row],[DEVELOPMENT]],Data[],8,FALSE)</f>
        <v>Zone 2</v>
      </c>
      <c r="F109" s="51" t="str">
        <f>VLOOKUP(Yards[[#This Row],[DEVELOPMENT]],all[[DEVELOPMENT]:[MRST Ext. Comp. Priority]],6,FALSE)</f>
        <v>C</v>
      </c>
      <c r="G109" s="51">
        <f>VLOOKUP(Yards[[#This Row],[DEVELOPMENT]],all[[DEVELOPMENT]:[MRST Ext. Comp. Priority]],13,FALSE)</f>
        <v>3</v>
      </c>
      <c r="H109" s="50">
        <f>IF(VLOOKUP(Yards[[#This Row],[DEVELOPMENT]],Data[],9,FALSE)=0,5,VLOOKUP(Yards[[#This Row],[DEVELOPMENT]],Data[],9,FALSE))</f>
        <v>4</v>
      </c>
      <c r="I109" s="51">
        <f>VLOOKUP(Yards[[#This Row],[DEVELOPMENT]],Data[],33,FALSE)</f>
        <v>2</v>
      </c>
      <c r="J109" s="51">
        <f>VLOOKUP(Yards[[#This Row],[DEVELOPMENT]],Data[],28,FALSE)</f>
        <v>0</v>
      </c>
      <c r="K109" s="51"/>
      <c r="L109" s="50"/>
      <c r="M109" s="51" t="str">
        <f ca="1">IFERROR(VLOOKUP(Yards[[#This Row],[DEVELOPMENT]],Data[],4,FALSE),"")</f>
        <v>2026+</v>
      </c>
      <c r="N109" s="51" t="str">
        <f ca="1">IF(Yards[[#This Row],[RAD/PACT]]="","",IF(OR(Yards[[#This Row],[RAD/PACT]]="2022-2025",Yards[[#This Row],[RAD/PACT]]=2019,Yards[[#This Row],[RAD/PACT]]="2020-2021"),"Yes",""))</f>
        <v/>
      </c>
      <c r="O109" s="51">
        <f ca="1">IFERROR(VLOOKUP(Yards[[#This Row],[DEVELOPMENT]],ExtComp[],8,FALSE),"")</f>
        <v>17</v>
      </c>
      <c r="P109" s="51"/>
      <c r="Q109" s="51"/>
      <c r="R109" s="51" t="str">
        <f>IF(ISBLANK(Yards[[#This Row],[DSGN CALENDAR YEAR]]),"",Yards[[#This Row],[DSGN CALENDAR YEAR]]+1)</f>
        <v/>
      </c>
      <c r="S109" s="51" t="str">
        <f>IF(ISBLANK(Yards[[#This Row],[DSGN FISCAL YEAR]]),"",Yards[[#This Row],[DSGN FISCAL YEAR]]+1)</f>
        <v/>
      </c>
      <c r="T109" s="51"/>
      <c r="U109" s="128">
        <f ca="1">Yards[[#This Row],[Estimate]]*0.1</f>
        <v>230328.89648100009</v>
      </c>
      <c r="V109" s="47">
        <f ca="1">Yards[[#This Row],[Estimate]]-Yards[[#This Row],[Design Est.]]</f>
        <v>2072960.0683290006</v>
      </c>
      <c r="W109" s="85">
        <f ca="1">(Yards[[#This Row],['# yards]]*INDEX(UnitCosts[],MATCH(Yards[[#This Row],[WORK TYPE]],UnitCosts[Work Type],0),2))*(1+((Yards[[#This Row],[est. CONS Year]]-YEAR(TODAY()))*$W$3))</f>
        <v>2303288.9648100007</v>
      </c>
      <c r="X109" s="142">
        <f ca="1">IF(ISNUMBER(SEARCH("LLC",Yards[[#This Row],[PROGRAM]])),0,IF(Yards[[#This Row],[RAD/PACT by 2025]]="yes",0,1))</f>
        <v>1</v>
      </c>
      <c r="Y109" s="1"/>
      <c r="Z109" s="1"/>
      <c r="AA109" s="51">
        <f ca="1">COUNTIF($X$5:Yards[[#This Row],['# yards]],"&gt;0")-10</f>
        <v>61</v>
      </c>
      <c r="AB109" s="1">
        <f ca="1">IF(ISBLANK(Yards[[#This Row],[DSGN CALENDAR YEAR]]),ROUNDDOWN(Yards[[#This Row],[Count]]/24,0)+$AB$1,Yards[[#This Row],[DSGN CALENDAR YEAR]])</f>
        <v>2023</v>
      </c>
      <c r="AC109" s="16">
        <f ca="1">Yards[[#This Row],[est. DSGN Year]]+1</f>
        <v>2024</v>
      </c>
    </row>
    <row r="110" spans="1:29">
      <c r="A110" s="13" t="s">
        <v>134</v>
      </c>
      <c r="B110" s="51" t="str">
        <f>VLOOKUP(Yards[[#This Row],[DEVELOPMENT]],Data[],2,FALSE)</f>
        <v>QUEENS</v>
      </c>
      <c r="C110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10" s="51" t="str">
        <f>VLOOKUP(Yards[[#This Row],[DEVELOPMENT]],Data[],52,FALSE)</f>
        <v>FEDERAL</v>
      </c>
      <c r="E110" s="50" t="str">
        <f>VLOOKUP(Yards[[#This Row],[DEVELOPMENT]],Data[],8,FALSE)</f>
        <v>Zone 3</v>
      </c>
      <c r="F110" s="51" t="str">
        <f>VLOOKUP(Yards[[#This Row],[DEVELOPMENT]],all[[DEVELOPMENT]:[MRST Ext. Comp. Priority]],6,FALSE)</f>
        <v>C</v>
      </c>
      <c r="G110" s="51">
        <f>VLOOKUP(Yards[[#This Row],[DEVELOPMENT]],all[[DEVELOPMENT]:[MRST Ext. Comp. Priority]],13,FALSE)</f>
        <v>3</v>
      </c>
      <c r="H110" s="50">
        <f>IF(VLOOKUP(Yards[[#This Row],[DEVELOPMENT]],Data[],9,FALSE)=0,5,VLOOKUP(Yards[[#This Row],[DEVELOPMENT]],Data[],9,FALSE))</f>
        <v>4</v>
      </c>
      <c r="I110" s="51">
        <f>VLOOKUP(Yards[[#This Row],[DEVELOPMENT]],Data[],33,FALSE)</f>
        <v>3</v>
      </c>
      <c r="J110" s="51">
        <f>VLOOKUP(Yards[[#This Row],[DEVELOPMENT]],Data[],28,FALSE)</f>
        <v>0</v>
      </c>
      <c r="K110" s="51"/>
      <c r="L110" s="50"/>
      <c r="M110" s="51" t="str">
        <f ca="1">IFERROR(VLOOKUP(Yards[[#This Row],[DEVELOPMENT]],Data[],4,FALSE),"")</f>
        <v>2026+</v>
      </c>
      <c r="N110" s="51" t="str">
        <f ca="1">IF(Yards[[#This Row],[RAD/PACT]]="","",IF(OR(Yards[[#This Row],[RAD/PACT]]="2022-2025",Yards[[#This Row],[RAD/PACT]]=2019,Yards[[#This Row],[RAD/PACT]]="2020-2021"),"Yes",""))</f>
        <v/>
      </c>
      <c r="O110" s="51">
        <f ca="1">IFERROR(VLOOKUP(Yards[[#This Row],[DEVELOPMENT]],ExtComp[],8,FALSE),"")</f>
        <v>10</v>
      </c>
      <c r="P110" s="51"/>
      <c r="Q110" s="51"/>
      <c r="R110" s="51" t="str">
        <f>IF(ISBLANK(Yards[[#This Row],[DSGN CALENDAR YEAR]]),"",Yards[[#This Row],[DSGN CALENDAR YEAR]]+1)</f>
        <v/>
      </c>
      <c r="S110" s="51" t="str">
        <f>IF(ISBLANK(Yards[[#This Row],[DSGN FISCAL YEAR]]),"",Yards[[#This Row],[DSGN FISCAL YEAR]]+1)</f>
        <v/>
      </c>
      <c r="T110" s="51"/>
      <c r="U110" s="128">
        <f ca="1">Yards[[#This Row],[Estimate]]*0.1</f>
        <v>155298.07909380004</v>
      </c>
      <c r="V110" s="47">
        <f ca="1">Yards[[#This Row],[Estimate]]-Yards[[#This Row],[Design Est.]]</f>
        <v>1397682.7118442003</v>
      </c>
      <c r="W110" s="85">
        <f ca="1">(Yards[[#This Row],['# yards]]*INDEX(UnitCosts[],MATCH(Yards[[#This Row],[WORK TYPE]],UnitCosts[Work Type],0),2))*(1+((Yards[[#This Row],[est. CONS Year]]-YEAR(TODAY()))*$W$3))</f>
        <v>1552980.7909380004</v>
      </c>
      <c r="X110" s="142">
        <f ca="1">IF(ISNUMBER(SEARCH("LLC",Yards[[#This Row],[PROGRAM]])),0,IF(Yards[[#This Row],[RAD/PACT by 2025]]="yes",0,1))</f>
        <v>1</v>
      </c>
      <c r="Y110" s="1"/>
      <c r="Z110" s="1"/>
      <c r="AA110" s="51">
        <f ca="1">COUNTIF($X$5:Yards[[#This Row],['# yards]],"&gt;0")-10</f>
        <v>62</v>
      </c>
      <c r="AB110" s="1">
        <f ca="1">IF(ISBLANK(Yards[[#This Row],[DSGN CALENDAR YEAR]]),ROUNDDOWN(Yards[[#This Row],[Count]]/24,0)+$AB$1,Yards[[#This Row],[DSGN CALENDAR YEAR]])</f>
        <v>2023</v>
      </c>
      <c r="AC110" s="16">
        <f ca="1">Yards[[#This Row],[est. DSGN Year]]+1</f>
        <v>2024</v>
      </c>
    </row>
    <row r="111" spans="1:29">
      <c r="A111" s="13" t="s">
        <v>45</v>
      </c>
      <c r="B111" s="51" t="str">
        <f>VLOOKUP(Yards[[#This Row],[DEVELOPMENT]],Data[],2,FALSE)</f>
        <v>BROOKLYN</v>
      </c>
      <c r="C111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11" s="51" t="str">
        <f>VLOOKUP(Yards[[#This Row],[DEVELOPMENT]],Data[],52,FALSE)</f>
        <v>FEDERAL</v>
      </c>
      <c r="E111" s="50" t="str">
        <f>VLOOKUP(Yards[[#This Row],[DEVELOPMENT]],Data[],8,FALSE)</f>
        <v>Zone 1</v>
      </c>
      <c r="F111" s="51" t="str">
        <f>VLOOKUP(Yards[[#This Row],[DEVELOPMENT]],all[[DEVELOPMENT]:[MRST Ext. Comp. Priority]],6,FALSE)</f>
        <v>C</v>
      </c>
      <c r="G111" s="51">
        <f>VLOOKUP(Yards[[#This Row],[DEVELOPMENT]],all[[DEVELOPMENT]:[MRST Ext. Comp. Priority]],13,FALSE)</f>
        <v>3</v>
      </c>
      <c r="H111" s="50">
        <f>IF(VLOOKUP(Yards[[#This Row],[DEVELOPMENT]],Data[],9,FALSE)=0,5,VLOOKUP(Yards[[#This Row],[DEVELOPMENT]],Data[],9,FALSE))</f>
        <v>4</v>
      </c>
      <c r="I111" s="51">
        <f>VLOOKUP(Yards[[#This Row],[DEVELOPMENT]],Data[],33,FALSE)</f>
        <v>3</v>
      </c>
      <c r="J111" s="51">
        <f>VLOOKUP(Yards[[#This Row],[DEVELOPMENT]],Data[],28,FALSE)</f>
        <v>0</v>
      </c>
      <c r="K111" s="51"/>
      <c r="L111" s="50"/>
      <c r="M111" s="51" t="str">
        <f ca="1">IFERROR(VLOOKUP(Yards[[#This Row],[DEVELOPMENT]],Data[],4,FALSE),"")</f>
        <v/>
      </c>
      <c r="N111" s="51" t="str">
        <f ca="1">IF(Yards[[#This Row],[RAD/PACT]]="","",IF(OR(Yards[[#This Row],[RAD/PACT]]="2022-2025",Yards[[#This Row],[RAD/PACT]]=2019,Yards[[#This Row],[RAD/PACT]]="2020-2021"),"Yes",""))</f>
        <v/>
      </c>
      <c r="O111" s="51">
        <f ca="1">IFERROR(VLOOKUP(Yards[[#This Row],[DEVELOPMENT]],ExtComp[],8,FALSE),"")</f>
        <v>1</v>
      </c>
      <c r="P111" s="51"/>
      <c r="Q111" s="51"/>
      <c r="R111" s="51" t="str">
        <f>IF(ISBLANK(Yards[[#This Row],[DSGN CALENDAR YEAR]]),"",Yards[[#This Row],[DSGN CALENDAR YEAR]]+1)</f>
        <v/>
      </c>
      <c r="S111" s="51" t="str">
        <f>IF(ISBLANK(Yards[[#This Row],[DSGN FISCAL YEAR]]),"",Yards[[#This Row],[DSGN FISCAL YEAR]]+1)</f>
        <v/>
      </c>
      <c r="T111" s="51"/>
      <c r="U111" s="128">
        <f ca="1">Yards[[#This Row],[Estimate]]*0.1</f>
        <v>155298.07909380004</v>
      </c>
      <c r="V111" s="47">
        <f ca="1">Yards[[#This Row],[Estimate]]-Yards[[#This Row],[Design Est.]]</f>
        <v>1397682.7118442003</v>
      </c>
      <c r="W111" s="85">
        <f ca="1">(Yards[[#This Row],['# yards]]*INDEX(UnitCosts[],MATCH(Yards[[#This Row],[WORK TYPE]],UnitCosts[Work Type],0),2))*(1+((Yards[[#This Row],[est. CONS Year]]-YEAR(TODAY()))*$W$3))</f>
        <v>1552980.7909380004</v>
      </c>
      <c r="X111" s="142">
        <f ca="1">IF(ISNUMBER(SEARCH("LLC",Yards[[#This Row],[PROGRAM]])),0,IF(Yards[[#This Row],[RAD/PACT by 2025]]="yes",0,1))</f>
        <v>1</v>
      </c>
      <c r="Y111" s="1"/>
      <c r="Z111" s="1"/>
      <c r="AA111" s="51">
        <f ca="1">COUNTIF($X$5:Yards[[#This Row],['# yards]],"&gt;0")-10</f>
        <v>63</v>
      </c>
      <c r="AB111" s="1">
        <f ca="1">IF(ISBLANK(Yards[[#This Row],[DSGN CALENDAR YEAR]]),ROUNDDOWN(Yards[[#This Row],[Count]]/24,0)+$AB$1,Yards[[#This Row],[DSGN CALENDAR YEAR]])</f>
        <v>2023</v>
      </c>
      <c r="AC111" s="16">
        <f ca="1">Yards[[#This Row],[est. DSGN Year]]+1</f>
        <v>2024</v>
      </c>
    </row>
    <row r="112" spans="1:29" hidden="1">
      <c r="A112" s="13" t="s">
        <v>234</v>
      </c>
      <c r="B112" s="51" t="str">
        <f>VLOOKUP(Yards[[#This Row],[DEVELOPMENT]],Data[],2,FALSE)</f>
        <v>BRONX</v>
      </c>
      <c r="C112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12" s="51" t="str">
        <f>VLOOKUP(Yards[[#This Row],[DEVELOPMENT]],Data[],52,FALSE)</f>
        <v>FEDERAL</v>
      </c>
      <c r="E112" s="50">
        <f>VLOOKUP(Yards[[#This Row],[DEVELOPMENT]],Data[],8,FALSE)</f>
        <v>0</v>
      </c>
      <c r="F112" s="51" t="str">
        <f>VLOOKUP(Yards[[#This Row],[DEVELOPMENT]],all[[DEVELOPMENT]:[MRST Ext. Comp. Priority]],6,FALSE)</f>
        <v>C</v>
      </c>
      <c r="G112" s="51">
        <f>VLOOKUP(Yards[[#This Row],[DEVELOPMENT]],all[[DEVELOPMENT]:[MRST Ext. Comp. Priority]],13,FALSE)</f>
        <v>3</v>
      </c>
      <c r="H112" s="50">
        <f>IF(VLOOKUP(Yards[[#This Row],[DEVELOPMENT]],Data[],9,FALSE)=0,5,VLOOKUP(Yards[[#This Row],[DEVELOPMENT]],Data[],9,FALSE))</f>
        <v>5</v>
      </c>
      <c r="I112" s="51">
        <f>VLOOKUP(Yards[[#This Row],[DEVELOPMENT]],Data[],33,FALSE)</f>
        <v>0</v>
      </c>
      <c r="J112" s="51">
        <f>VLOOKUP(Yards[[#This Row],[DEVELOPMENT]],Data[],28,FALSE)</f>
        <v>0</v>
      </c>
      <c r="K112" s="51"/>
      <c r="L112" s="50"/>
      <c r="M112" s="51" t="str">
        <f ca="1">IFERROR(VLOOKUP(Yards[[#This Row],[DEVELOPMENT]],Data[],4,FALSE),"")</f>
        <v>2022-2025</v>
      </c>
      <c r="N112" s="51" t="str">
        <f ca="1">IF(Yards[[#This Row],[RAD/PACT]]="","",IF(OR(Yards[[#This Row],[RAD/PACT]]="2022-2025",Yards[[#This Row],[RAD/PACT]]=2019,Yards[[#This Row],[RAD/PACT]]="2020-2021"),"Yes",""))</f>
        <v>Yes</v>
      </c>
      <c r="O112" s="51" t="str">
        <f ca="1">IFERROR(VLOOKUP(Yards[[#This Row],[DEVELOPMENT]],ExtComp[],8,FALSE),"")</f>
        <v/>
      </c>
      <c r="P112" s="51"/>
      <c r="Q112" s="51"/>
      <c r="R112" s="51" t="str">
        <f>IF(ISBLANK(Yards[[#This Row],[DSGN CALENDAR YEAR]]),"",Yards[[#This Row],[DSGN CALENDAR YEAR]]+1)</f>
        <v/>
      </c>
      <c r="S112" s="51" t="str">
        <f>IF(ISBLANK(Yards[[#This Row],[DSGN FISCAL YEAR]]),"",Yards[[#This Row],[DSGN FISCAL YEAR]]+1)</f>
        <v/>
      </c>
      <c r="T112" s="51"/>
      <c r="U112" s="128">
        <f ca="1">Yards[[#This Row],[Estimate]]*0.1</f>
        <v>0</v>
      </c>
      <c r="V112" s="47">
        <f ca="1">Yards[[#This Row],[Estimate]]-Yards[[#This Row],[Design Est.]]</f>
        <v>0</v>
      </c>
      <c r="W112" s="85">
        <f ca="1">(Yards[[#This Row],['# yards]]*INDEX(UnitCosts[],MATCH(Yards[[#This Row],[WORK TYPE]],UnitCosts[Work Type],0),2))*(1+((Yards[[#This Row],[est. CONS Year]]-YEAR(TODAY()))*$W$3))</f>
        <v>0</v>
      </c>
      <c r="X112" s="142">
        <f ca="1">IF(ISNUMBER(SEARCH("LLC",Yards[[#This Row],[PROGRAM]])),0,IF(Yards[[#This Row],[RAD/PACT by 2025]]="yes",0,1))</f>
        <v>0</v>
      </c>
      <c r="Y112" s="1"/>
      <c r="Z112" s="1"/>
      <c r="AA112" s="51">
        <f ca="1">COUNTIF($X$5:Yards[[#This Row],['# yards]],"&gt;0")-10</f>
        <v>63</v>
      </c>
      <c r="AB112" s="1">
        <f ca="1">IF(ISBLANK(Yards[[#This Row],[DSGN CALENDAR YEAR]]),ROUNDDOWN(Yards[[#This Row],[Count]]/24,0)+$AB$1,Yards[[#This Row],[DSGN CALENDAR YEAR]])</f>
        <v>2023</v>
      </c>
      <c r="AC112" s="16">
        <f ca="1">Yards[[#This Row],[est. DSGN Year]]+1</f>
        <v>2024</v>
      </c>
    </row>
    <row r="113" spans="1:29">
      <c r="A113" s="13" t="s">
        <v>135</v>
      </c>
      <c r="B113" s="51" t="str">
        <f>VLOOKUP(Yards[[#This Row],[DEVELOPMENT]],Data[],2,FALSE)</f>
        <v>QUEENS</v>
      </c>
      <c r="C11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13" s="51" t="str">
        <f>VLOOKUP(Yards[[#This Row],[DEVELOPMENT]],Data[],52,FALSE)</f>
        <v>FEDERAL</v>
      </c>
      <c r="E113" s="50" t="str">
        <f>VLOOKUP(Yards[[#This Row],[DEVELOPMENT]],Data[],8,FALSE)</f>
        <v>Zone 3</v>
      </c>
      <c r="F113" s="51" t="str">
        <f>VLOOKUP(Yards[[#This Row],[DEVELOPMENT]],all[[DEVELOPMENT]:[MRST Ext. Comp. Priority]],6,FALSE)</f>
        <v>C</v>
      </c>
      <c r="G113" s="51">
        <f>VLOOKUP(Yards[[#This Row],[DEVELOPMENT]],all[[DEVELOPMENT]:[MRST Ext. Comp. Priority]],13,FALSE)</f>
        <v>3</v>
      </c>
      <c r="H113" s="50">
        <f>IF(VLOOKUP(Yards[[#This Row],[DEVELOPMENT]],Data[],9,FALSE)=0,5,VLOOKUP(Yards[[#This Row],[DEVELOPMENT]],Data[],9,FALSE))</f>
        <v>4</v>
      </c>
      <c r="I113" s="51">
        <f>VLOOKUP(Yards[[#This Row],[DEVELOPMENT]],Data[],33,FALSE)</f>
        <v>3</v>
      </c>
      <c r="J113" s="51">
        <f>VLOOKUP(Yards[[#This Row],[DEVELOPMENT]],Data[],28,FALSE)</f>
        <v>0</v>
      </c>
      <c r="K113" s="51"/>
      <c r="L113" s="50"/>
      <c r="M113" s="51" t="str">
        <f ca="1">IFERROR(VLOOKUP(Yards[[#This Row],[DEVELOPMENT]],Data[],4,FALSE),"")</f>
        <v>2026+</v>
      </c>
      <c r="N113" s="51" t="str">
        <f ca="1">IF(Yards[[#This Row],[RAD/PACT]]="","",IF(OR(Yards[[#This Row],[RAD/PACT]]="2022-2025",Yards[[#This Row],[RAD/PACT]]=2019,Yards[[#This Row],[RAD/PACT]]="2020-2021"),"Yes",""))</f>
        <v/>
      </c>
      <c r="O113" s="51">
        <f ca="1">IFERROR(VLOOKUP(Yards[[#This Row],[DEVELOPMENT]],ExtComp[],8,FALSE),"")</f>
        <v>10</v>
      </c>
      <c r="P113" s="51"/>
      <c r="Q113" s="51"/>
      <c r="R113" s="51" t="str">
        <f>IF(ISBLANK(Yards[[#This Row],[DSGN CALENDAR YEAR]]),"",Yards[[#This Row],[DSGN CALENDAR YEAR]]+1)</f>
        <v/>
      </c>
      <c r="S113" s="51" t="str">
        <f>IF(ISBLANK(Yards[[#This Row],[DSGN FISCAL YEAR]]),"",Yards[[#This Row],[DSGN FISCAL YEAR]]+1)</f>
        <v/>
      </c>
      <c r="T113" s="51"/>
      <c r="U113" s="128">
        <f ca="1">Yards[[#This Row],[Estimate]]*0.1</f>
        <v>155298.07909380004</v>
      </c>
      <c r="V113" s="47">
        <f ca="1">Yards[[#This Row],[Estimate]]-Yards[[#This Row],[Design Est.]]</f>
        <v>1397682.7118442003</v>
      </c>
      <c r="W113" s="85">
        <f ca="1">(Yards[[#This Row],['# yards]]*INDEX(UnitCosts[],MATCH(Yards[[#This Row],[WORK TYPE]],UnitCosts[Work Type],0),2))*(1+((Yards[[#This Row],[est. CONS Year]]-YEAR(TODAY()))*$W$3))</f>
        <v>1552980.7909380004</v>
      </c>
      <c r="X113" s="142">
        <f ca="1">IF(ISNUMBER(SEARCH("LLC",Yards[[#This Row],[PROGRAM]])),0,IF(Yards[[#This Row],[RAD/PACT by 2025]]="yes",0,1))</f>
        <v>1</v>
      </c>
      <c r="Y113" s="1"/>
      <c r="Z113" s="1"/>
      <c r="AA113" s="51">
        <f ca="1">COUNTIF($X$5:Yards[[#This Row],['# yards]],"&gt;0")-10</f>
        <v>64</v>
      </c>
      <c r="AB113" s="1">
        <f ca="1">IF(ISBLANK(Yards[[#This Row],[DSGN CALENDAR YEAR]]),ROUNDDOWN(Yards[[#This Row],[Count]]/24,0)+$AB$1,Yards[[#This Row],[DSGN CALENDAR YEAR]])</f>
        <v>2023</v>
      </c>
      <c r="AC113" s="16">
        <f ca="1">Yards[[#This Row],[est. DSGN Year]]+1</f>
        <v>2024</v>
      </c>
    </row>
    <row r="114" spans="1:29">
      <c r="A114" s="13" t="s">
        <v>235</v>
      </c>
      <c r="B114" s="51" t="str">
        <f>VLOOKUP(Yards[[#This Row],[DEVELOPMENT]],Data[],2,FALSE)</f>
        <v>BROOKLYN</v>
      </c>
      <c r="C114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14" s="51" t="str">
        <f>VLOOKUP(Yards[[#This Row],[DEVELOPMENT]],Data[],52,FALSE)</f>
        <v>FEDERAL</v>
      </c>
      <c r="E114" s="50">
        <f>VLOOKUP(Yards[[#This Row],[DEVELOPMENT]],Data[],8,FALSE)</f>
        <v>0</v>
      </c>
      <c r="F114" s="51" t="str">
        <f>VLOOKUP(Yards[[#This Row],[DEVELOPMENT]],all[[DEVELOPMENT]:[MRST Ext. Comp. Priority]],6,FALSE)</f>
        <v>C</v>
      </c>
      <c r="G114" s="51">
        <f>VLOOKUP(Yards[[#This Row],[DEVELOPMENT]],all[[DEVELOPMENT]:[MRST Ext. Comp. Priority]],13,FALSE)</f>
        <v>3</v>
      </c>
      <c r="H114" s="50">
        <f>IF(VLOOKUP(Yards[[#This Row],[DEVELOPMENT]],Data[],9,FALSE)=0,5,VLOOKUP(Yards[[#This Row],[DEVELOPMENT]],Data[],9,FALSE))</f>
        <v>5</v>
      </c>
      <c r="I114" s="51">
        <f>VLOOKUP(Yards[[#This Row],[DEVELOPMENT]],Data[],33,FALSE)</f>
        <v>0</v>
      </c>
      <c r="J114" s="51">
        <f>VLOOKUP(Yards[[#This Row],[DEVELOPMENT]],Data[],28,FALSE)</f>
        <v>0</v>
      </c>
      <c r="K114" s="51"/>
      <c r="L114" s="50">
        <v>1</v>
      </c>
      <c r="M114" s="51" t="str">
        <f ca="1">IFERROR(VLOOKUP(Yards[[#This Row],[DEVELOPMENT]],Data[],4,FALSE),"")</f>
        <v/>
      </c>
      <c r="N114" s="51" t="str">
        <f ca="1">IF(Yards[[#This Row],[RAD/PACT]]="","",IF(OR(Yards[[#This Row],[RAD/PACT]]="2022-2025",Yards[[#This Row],[RAD/PACT]]=2019,Yards[[#This Row],[RAD/PACT]]="2020-2021"),"Yes",""))</f>
        <v/>
      </c>
      <c r="O114" s="51" t="str">
        <f ca="1">IFERROR(VLOOKUP(Yards[[#This Row],[DEVELOPMENT]],ExtComp[],8,FALSE),"")</f>
        <v/>
      </c>
      <c r="P114" s="51"/>
      <c r="Q114" s="51"/>
      <c r="R114" s="51" t="str">
        <f>IF(ISBLANK(Yards[[#This Row],[DSGN CALENDAR YEAR]]),"",Yards[[#This Row],[DSGN CALENDAR YEAR]]+1)</f>
        <v/>
      </c>
      <c r="S114" s="51" t="str">
        <f>IF(ISBLANK(Yards[[#This Row],[DSGN FISCAL YEAR]]),"",Yards[[#This Row],[DSGN FISCAL YEAR]]+1)</f>
        <v/>
      </c>
      <c r="T114" s="51"/>
      <c r="U114" s="128">
        <f ca="1">Yards[[#This Row],[Estimate]]*0.1</f>
        <v>206060.21595600009</v>
      </c>
      <c r="V114" s="47">
        <f ca="1">Yards[[#This Row],[Estimate]]-Yards[[#This Row],[Design Est.]]</f>
        <v>1854541.9436040006</v>
      </c>
      <c r="W114" s="85">
        <f ca="1">(Yards[[#This Row],['# yards]]*INDEX(UnitCosts[],MATCH(Yards[[#This Row],[WORK TYPE]],UnitCosts[Work Type],0),2))*(1+((Yards[[#This Row],[est. CONS Year]]-YEAR(TODAY()))*$W$3))</f>
        <v>2060602.1595600008</v>
      </c>
      <c r="X114" s="142">
        <f ca="1">IF(ISNUMBER(SEARCH("LLC",Yards[[#This Row],[PROGRAM]])),0,IF(Yards[[#This Row],[RAD/PACT by 2025]]="yes",0,1))</f>
        <v>1</v>
      </c>
      <c r="Y114" s="1"/>
      <c r="Z114" s="1"/>
      <c r="AA114" s="51">
        <f ca="1">COUNTIF($X$5:Yards[[#This Row],['# yards]],"&gt;0")-10</f>
        <v>65</v>
      </c>
      <c r="AB114" s="1">
        <f ca="1">IF(ISBLANK(Yards[[#This Row],[DSGN CALENDAR YEAR]]),ROUNDDOWN(Yards[[#This Row],[Count]]/24,0)+$AB$1,Yards[[#This Row],[DSGN CALENDAR YEAR]])</f>
        <v>2023</v>
      </c>
      <c r="AC114" s="16">
        <f ca="1">Yards[[#This Row],[est. DSGN Year]]+1</f>
        <v>2024</v>
      </c>
    </row>
    <row r="115" spans="1:29" hidden="1">
      <c r="A115" s="13" t="s">
        <v>237</v>
      </c>
      <c r="B115" s="51">
        <f>VLOOKUP(Yards[[#This Row],[DEVELOPMENT]],Data[],2,FALSE)</f>
        <v>0</v>
      </c>
      <c r="C115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15" s="51" t="str">
        <f>VLOOKUP(Yards[[#This Row],[DEVELOPMENT]],Data[],52,FALSE)</f>
        <v>FEDERAL</v>
      </c>
      <c r="E115" s="50">
        <f>VLOOKUP(Yards[[#This Row],[DEVELOPMENT]],Data[],8,FALSE)</f>
        <v>0</v>
      </c>
      <c r="F115" s="51" t="str">
        <f>VLOOKUP(Yards[[#This Row],[DEVELOPMENT]],all[[DEVELOPMENT]:[MRST Ext. Comp. Priority]],6,FALSE)</f>
        <v>C</v>
      </c>
      <c r="G115" s="51">
        <f>VLOOKUP(Yards[[#This Row],[DEVELOPMENT]],all[[DEVELOPMENT]:[MRST Ext. Comp. Priority]],13,FALSE)</f>
        <v>3</v>
      </c>
      <c r="H115" s="50">
        <f>IF(VLOOKUP(Yards[[#This Row],[DEVELOPMENT]],Data[],9,FALSE)=0,5,VLOOKUP(Yards[[#This Row],[DEVELOPMENT]],Data[],9,FALSE))</f>
        <v>5</v>
      </c>
      <c r="I115" s="51">
        <f>VLOOKUP(Yards[[#This Row],[DEVELOPMENT]],Data[],33,FALSE)</f>
        <v>0</v>
      </c>
      <c r="J115" s="51">
        <f>VLOOKUP(Yards[[#This Row],[DEVELOPMENT]],Data[],28,FALSE)</f>
        <v>0</v>
      </c>
      <c r="K115" s="51"/>
      <c r="L115" s="50"/>
      <c r="M115" s="51" t="str">
        <f ca="1">IFERROR(VLOOKUP(Yards[[#This Row],[DEVELOPMENT]],Data[],4,FALSE),"")</f>
        <v/>
      </c>
      <c r="N115" s="51" t="str">
        <f ca="1">IF(Yards[[#This Row],[RAD/PACT]]="","",IF(OR(Yards[[#This Row],[RAD/PACT]]="2022-2025",Yards[[#This Row],[RAD/PACT]]=2019,Yards[[#This Row],[RAD/PACT]]="2020-2021"),"Yes",""))</f>
        <v/>
      </c>
      <c r="O115" s="51" t="str">
        <f ca="1">IFERROR(VLOOKUP(Yards[[#This Row],[DEVELOPMENT]],ExtComp[],8,FALSE),"")</f>
        <v/>
      </c>
      <c r="P115" s="51"/>
      <c r="Q115" s="51"/>
      <c r="R115" s="51" t="str">
        <f>IF(ISBLANK(Yards[[#This Row],[DSGN CALENDAR YEAR]]),"",Yards[[#This Row],[DSGN CALENDAR YEAR]]+1)</f>
        <v/>
      </c>
      <c r="S115" s="51" t="str">
        <f>IF(ISBLANK(Yards[[#This Row],[DSGN FISCAL YEAR]]),"",Yards[[#This Row],[DSGN FISCAL YEAR]]+1)</f>
        <v/>
      </c>
      <c r="T115" s="51"/>
      <c r="U115" s="128">
        <f>Yards[[#This Row],[Estimate]]*0.1</f>
        <v>0</v>
      </c>
      <c r="V115" s="47">
        <f>Yards[[#This Row],[Estimate]]-Yards[[#This Row],[Design Est.]]</f>
        <v>0</v>
      </c>
      <c r="W115" s="85"/>
      <c r="X115" s="142"/>
      <c r="Y115" s="1"/>
      <c r="Z115" s="1" t="s">
        <v>2299</v>
      </c>
      <c r="AA115" s="51">
        <f ca="1">COUNTIF($X$5:Yards[[#This Row],['# yards]],"&gt;0")-10</f>
        <v>65</v>
      </c>
      <c r="AB115" s="1">
        <f ca="1">IF(ISBLANK(Yards[[#This Row],[DSGN CALENDAR YEAR]]),ROUNDDOWN(Yards[[#This Row],[Count]]/24,0)+$AB$1,Yards[[#This Row],[DSGN CALENDAR YEAR]])</f>
        <v>2023</v>
      </c>
      <c r="AC115" s="16">
        <f ca="1">Yards[[#This Row],[est. DSGN Year]]+1</f>
        <v>2024</v>
      </c>
    </row>
    <row r="116" spans="1:29" hidden="1">
      <c r="A116" s="13" t="s">
        <v>238</v>
      </c>
      <c r="B116" s="51">
        <f>VLOOKUP(Yards[[#This Row],[DEVELOPMENT]],Data[],2,FALSE)</f>
        <v>0</v>
      </c>
      <c r="C116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16" s="51" t="str">
        <f>VLOOKUP(Yards[[#This Row],[DEVELOPMENT]],Data[],52,FALSE)</f>
        <v>FEDERAL</v>
      </c>
      <c r="E116" s="50">
        <f>VLOOKUP(Yards[[#This Row],[DEVELOPMENT]],Data[],8,FALSE)</f>
        <v>0</v>
      </c>
      <c r="F116" s="51" t="str">
        <f>VLOOKUP(Yards[[#This Row],[DEVELOPMENT]],all[[DEVELOPMENT]:[MRST Ext. Comp. Priority]],6,FALSE)</f>
        <v>C</v>
      </c>
      <c r="G116" s="51">
        <f>VLOOKUP(Yards[[#This Row],[DEVELOPMENT]],all[[DEVELOPMENT]:[MRST Ext. Comp. Priority]],13,FALSE)</f>
        <v>3</v>
      </c>
      <c r="H116" s="50">
        <f>IF(VLOOKUP(Yards[[#This Row],[DEVELOPMENT]],Data[],9,FALSE)=0,5,VLOOKUP(Yards[[#This Row],[DEVELOPMENT]],Data[],9,FALSE))</f>
        <v>5</v>
      </c>
      <c r="I116" s="51">
        <f>VLOOKUP(Yards[[#This Row],[DEVELOPMENT]],Data[],33,FALSE)</f>
        <v>0</v>
      </c>
      <c r="J116" s="51">
        <f>VLOOKUP(Yards[[#This Row],[DEVELOPMENT]],Data[],28,FALSE)</f>
        <v>0</v>
      </c>
      <c r="K116" s="51"/>
      <c r="L116" s="50"/>
      <c r="M116" s="51" t="str">
        <f ca="1">IFERROR(VLOOKUP(Yards[[#This Row],[DEVELOPMENT]],Data[],4,FALSE),"")</f>
        <v/>
      </c>
      <c r="N116" s="51" t="str">
        <f ca="1">IF(Yards[[#This Row],[RAD/PACT]]="","",IF(OR(Yards[[#This Row],[RAD/PACT]]="2022-2025",Yards[[#This Row],[RAD/PACT]]=2019,Yards[[#This Row],[RAD/PACT]]="2020-2021"),"Yes",""))</f>
        <v/>
      </c>
      <c r="O116" s="51" t="str">
        <f ca="1">IFERROR(VLOOKUP(Yards[[#This Row],[DEVELOPMENT]],ExtComp[],8,FALSE),"")</f>
        <v/>
      </c>
      <c r="P116" s="51"/>
      <c r="Q116" s="51"/>
      <c r="R116" s="51" t="str">
        <f>IF(ISBLANK(Yards[[#This Row],[DSGN CALENDAR YEAR]]),"",Yards[[#This Row],[DSGN CALENDAR YEAR]]+1)</f>
        <v/>
      </c>
      <c r="S116" s="51" t="str">
        <f>IF(ISBLANK(Yards[[#This Row],[DSGN FISCAL YEAR]]),"",Yards[[#This Row],[DSGN FISCAL YEAR]]+1)</f>
        <v/>
      </c>
      <c r="T116" s="51"/>
      <c r="U116" s="128">
        <f>Yards[[#This Row],[Estimate]]*0.1</f>
        <v>0</v>
      </c>
      <c r="V116" s="47">
        <f>Yards[[#This Row],[Estimate]]-Yards[[#This Row],[Design Est.]]</f>
        <v>0</v>
      </c>
      <c r="W116" s="85"/>
      <c r="X116" s="142"/>
      <c r="Y116" s="1"/>
      <c r="Z116" s="1" t="s">
        <v>2299</v>
      </c>
      <c r="AA116" s="51">
        <f ca="1">COUNTIF($X$5:Yards[[#This Row],['# yards]],"&gt;0")-10</f>
        <v>65</v>
      </c>
      <c r="AB116" s="1">
        <f ca="1">IF(ISBLANK(Yards[[#This Row],[DSGN CALENDAR YEAR]]),ROUNDDOWN(Yards[[#This Row],[Count]]/24,0)+$AB$1,Yards[[#This Row],[DSGN CALENDAR YEAR]])</f>
        <v>2023</v>
      </c>
      <c r="AC116" s="16">
        <f ca="1">Yards[[#This Row],[est. DSGN Year]]+1</f>
        <v>2024</v>
      </c>
    </row>
    <row r="117" spans="1:29" hidden="1">
      <c r="A117" s="13" t="s">
        <v>239</v>
      </c>
      <c r="B117" s="51">
        <f>VLOOKUP(Yards[[#This Row],[DEVELOPMENT]],Data[],2,FALSE)</f>
        <v>0</v>
      </c>
      <c r="C117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17" s="51" t="str">
        <f>VLOOKUP(Yards[[#This Row],[DEVELOPMENT]],Data[],52,FALSE)</f>
        <v>FEDERAL</v>
      </c>
      <c r="E117" s="50">
        <f>VLOOKUP(Yards[[#This Row],[DEVELOPMENT]],Data[],8,FALSE)</f>
        <v>0</v>
      </c>
      <c r="F117" s="51" t="str">
        <f>VLOOKUP(Yards[[#This Row],[DEVELOPMENT]],all[[DEVELOPMENT]:[MRST Ext. Comp. Priority]],6,FALSE)</f>
        <v>C</v>
      </c>
      <c r="G117" s="51">
        <f>VLOOKUP(Yards[[#This Row],[DEVELOPMENT]],all[[DEVELOPMENT]:[MRST Ext. Comp. Priority]],13,FALSE)</f>
        <v>3</v>
      </c>
      <c r="H117" s="50">
        <f>IF(VLOOKUP(Yards[[#This Row],[DEVELOPMENT]],Data[],9,FALSE)=0,5,VLOOKUP(Yards[[#This Row],[DEVELOPMENT]],Data[],9,FALSE))</f>
        <v>5</v>
      </c>
      <c r="I117" s="51">
        <f>VLOOKUP(Yards[[#This Row],[DEVELOPMENT]],Data[],33,FALSE)</f>
        <v>0</v>
      </c>
      <c r="J117" s="51">
        <f>VLOOKUP(Yards[[#This Row],[DEVELOPMENT]],Data[],28,FALSE)</f>
        <v>0</v>
      </c>
      <c r="K117" s="51"/>
      <c r="L117" s="50"/>
      <c r="M117" s="51" t="str">
        <f ca="1">IFERROR(VLOOKUP(Yards[[#This Row],[DEVELOPMENT]],Data[],4,FALSE),"")</f>
        <v/>
      </c>
      <c r="N117" s="51" t="str">
        <f ca="1">IF(Yards[[#This Row],[RAD/PACT]]="","",IF(OR(Yards[[#This Row],[RAD/PACT]]="2022-2025",Yards[[#This Row],[RAD/PACT]]=2019,Yards[[#This Row],[RAD/PACT]]="2020-2021"),"Yes",""))</f>
        <v/>
      </c>
      <c r="O117" s="51" t="str">
        <f ca="1">IFERROR(VLOOKUP(Yards[[#This Row],[DEVELOPMENT]],ExtComp[],8,FALSE),"")</f>
        <v/>
      </c>
      <c r="P117" s="51"/>
      <c r="Q117" s="51"/>
      <c r="R117" s="51" t="str">
        <f>IF(ISBLANK(Yards[[#This Row],[DSGN CALENDAR YEAR]]),"",Yards[[#This Row],[DSGN CALENDAR YEAR]]+1)</f>
        <v/>
      </c>
      <c r="S117" s="51" t="str">
        <f>IF(ISBLANK(Yards[[#This Row],[DSGN FISCAL YEAR]]),"",Yards[[#This Row],[DSGN FISCAL YEAR]]+1)</f>
        <v/>
      </c>
      <c r="T117" s="51"/>
      <c r="U117" s="128">
        <f>Yards[[#This Row],[Estimate]]*0.1</f>
        <v>0</v>
      </c>
      <c r="V117" s="47">
        <f>Yards[[#This Row],[Estimate]]-Yards[[#This Row],[Design Est.]]</f>
        <v>0</v>
      </c>
      <c r="W117" s="85"/>
      <c r="X117" s="142"/>
      <c r="Y117" s="1"/>
      <c r="Z117" s="1" t="s">
        <v>2299</v>
      </c>
      <c r="AA117" s="51">
        <f ca="1">COUNTIF($X$5:Yards[[#This Row],['# yards]],"&gt;0")-10</f>
        <v>65</v>
      </c>
      <c r="AB117" s="1">
        <f ca="1">IF(ISBLANK(Yards[[#This Row],[DSGN CALENDAR YEAR]]),ROUNDDOWN(Yards[[#This Row],[Count]]/24,0)+$AB$1,Yards[[#This Row],[DSGN CALENDAR YEAR]])</f>
        <v>2023</v>
      </c>
      <c r="AC117" s="16">
        <f ca="1">Yards[[#This Row],[est. DSGN Year]]+1</f>
        <v>2024</v>
      </c>
    </row>
    <row r="118" spans="1:29" hidden="1">
      <c r="A118" s="13" t="s">
        <v>240</v>
      </c>
      <c r="B118" s="51">
        <f>VLOOKUP(Yards[[#This Row],[DEVELOPMENT]],Data[],2,FALSE)</f>
        <v>0</v>
      </c>
      <c r="C118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18" s="51" t="str">
        <f>VLOOKUP(Yards[[#This Row],[DEVELOPMENT]],Data[],52,FALSE)</f>
        <v>FEDERAL</v>
      </c>
      <c r="E118" s="50" t="str">
        <f>VLOOKUP(Yards[[#This Row],[DEVELOPMENT]],Data[],8,FALSE)</f>
        <v>Zone 4</v>
      </c>
      <c r="F118" s="51" t="str">
        <f>VLOOKUP(Yards[[#This Row],[DEVELOPMENT]],all[[DEVELOPMENT]:[MRST Ext. Comp. Priority]],6,FALSE)</f>
        <v>C</v>
      </c>
      <c r="G118" s="51">
        <f>VLOOKUP(Yards[[#This Row],[DEVELOPMENT]],all[[DEVELOPMENT]:[MRST Ext. Comp. Priority]],13,FALSE)</f>
        <v>3</v>
      </c>
      <c r="H118" s="50">
        <f>IF(VLOOKUP(Yards[[#This Row],[DEVELOPMENT]],Data[],9,FALSE)=0,5,VLOOKUP(Yards[[#This Row],[DEVELOPMENT]],Data[],9,FALSE))</f>
        <v>5</v>
      </c>
      <c r="I118" s="51">
        <f>VLOOKUP(Yards[[#This Row],[DEVELOPMENT]],Data[],33,FALSE)</f>
        <v>0</v>
      </c>
      <c r="J118" s="51">
        <f>VLOOKUP(Yards[[#This Row],[DEVELOPMENT]],Data[],28,FALSE)</f>
        <v>0</v>
      </c>
      <c r="K118" s="51"/>
      <c r="L118" s="50"/>
      <c r="M118" s="51" t="str">
        <f ca="1">IFERROR(VLOOKUP(Yards[[#This Row],[DEVELOPMENT]],Data[],4,FALSE),"")</f>
        <v/>
      </c>
      <c r="N118" s="51" t="str">
        <f ca="1">IF(Yards[[#This Row],[RAD/PACT]]="","",IF(OR(Yards[[#This Row],[RAD/PACT]]="2022-2025",Yards[[#This Row],[RAD/PACT]]=2019,Yards[[#This Row],[RAD/PACT]]="2020-2021"),"Yes",""))</f>
        <v/>
      </c>
      <c r="O118" s="51" t="str">
        <f ca="1">IFERROR(VLOOKUP(Yards[[#This Row],[DEVELOPMENT]],ExtComp[],8,FALSE),"")</f>
        <v/>
      </c>
      <c r="P118" s="51"/>
      <c r="Q118" s="51"/>
      <c r="R118" s="51" t="str">
        <f>IF(ISBLANK(Yards[[#This Row],[DSGN CALENDAR YEAR]]),"",Yards[[#This Row],[DSGN CALENDAR YEAR]]+1)</f>
        <v/>
      </c>
      <c r="S118" s="51" t="str">
        <f>IF(ISBLANK(Yards[[#This Row],[DSGN FISCAL YEAR]]),"",Yards[[#This Row],[DSGN FISCAL YEAR]]+1)</f>
        <v/>
      </c>
      <c r="T118" s="51"/>
      <c r="U118" s="128">
        <f>Yards[[#This Row],[Estimate]]*0.1</f>
        <v>0</v>
      </c>
      <c r="V118" s="47">
        <f>Yards[[#This Row],[Estimate]]-Yards[[#This Row],[Design Est.]]</f>
        <v>0</v>
      </c>
      <c r="W118" s="85"/>
      <c r="X118" s="142"/>
      <c r="Y118" s="1"/>
      <c r="Z118" s="1" t="s">
        <v>2299</v>
      </c>
      <c r="AA118" s="51">
        <f ca="1">COUNTIF($X$5:Yards[[#This Row],['# yards]],"&gt;0")-10</f>
        <v>65</v>
      </c>
      <c r="AB118" s="1">
        <f ca="1">IF(ISBLANK(Yards[[#This Row],[DSGN CALENDAR YEAR]]),ROUNDDOWN(Yards[[#This Row],[Count]]/24,0)+$AB$1,Yards[[#This Row],[DSGN CALENDAR YEAR]])</f>
        <v>2023</v>
      </c>
      <c r="AC118" s="16">
        <f ca="1">Yards[[#This Row],[est. DSGN Year]]+1</f>
        <v>2024</v>
      </c>
    </row>
    <row r="119" spans="1:29">
      <c r="A119" s="13" t="s">
        <v>280</v>
      </c>
      <c r="B119" s="51" t="str">
        <f>VLOOKUP(Yards[[#This Row],[DEVELOPMENT]],Data[],2,FALSE)</f>
        <v>BRONX</v>
      </c>
      <c r="C11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19" s="51" t="str">
        <f>VLOOKUP(Yards[[#This Row],[DEVELOPMENT]],Data[],52,FALSE)</f>
        <v>FEDERAL</v>
      </c>
      <c r="E119" s="50" t="str">
        <f>VLOOKUP(Yards[[#This Row],[DEVELOPMENT]],Data[],8,FALSE)</f>
        <v>Zone 4</v>
      </c>
      <c r="F119" s="51" t="str">
        <f>VLOOKUP(Yards[[#This Row],[DEVELOPMENT]],all[[DEVELOPMENT]:[MRST Ext. Comp. Priority]],6,FALSE)</f>
        <v>C</v>
      </c>
      <c r="G119" s="51">
        <f>VLOOKUP(Yards[[#This Row],[DEVELOPMENT]],all[[DEVELOPMENT]:[MRST Ext. Comp. Priority]],13,FALSE)</f>
        <v>3</v>
      </c>
      <c r="H119" s="50">
        <f>IF(VLOOKUP(Yards[[#This Row],[DEVELOPMENT]],Data[],9,FALSE)=0,5,VLOOKUP(Yards[[#This Row],[DEVELOPMENT]],Data[],9,FALSE))</f>
        <v>5</v>
      </c>
      <c r="I119" s="51">
        <f>VLOOKUP(Yards[[#This Row],[DEVELOPMENT]],Data[],33,FALSE)</f>
        <v>0</v>
      </c>
      <c r="J119" s="51">
        <f>VLOOKUP(Yards[[#This Row],[DEVELOPMENT]],Data[],28,FALSE)</f>
        <v>0</v>
      </c>
      <c r="K119" s="51"/>
      <c r="L119" s="50"/>
      <c r="M119" s="51" t="str">
        <f ca="1">IFERROR(VLOOKUP(Yards[[#This Row],[DEVELOPMENT]],Data[],4,FALSE),"")</f>
        <v/>
      </c>
      <c r="N119" s="51" t="str">
        <f ca="1">IF(Yards[[#This Row],[RAD/PACT]]="","",IF(OR(Yards[[#This Row],[RAD/PACT]]="2022-2025",Yards[[#This Row],[RAD/PACT]]=2019,Yards[[#This Row],[RAD/PACT]]="2020-2021"),"Yes",""))</f>
        <v/>
      </c>
      <c r="O119" s="51" t="str">
        <f ca="1">IFERROR(VLOOKUP(Yards[[#This Row],[DEVELOPMENT]],ExtComp[],8,FALSE),"")</f>
        <v/>
      </c>
      <c r="P119" s="51"/>
      <c r="Q119" s="51"/>
      <c r="R119" s="51" t="str">
        <f>IF(ISBLANK(Yards[[#This Row],[DSGN CALENDAR YEAR]]),"",Yards[[#This Row],[DSGN CALENDAR YEAR]]+1)</f>
        <v/>
      </c>
      <c r="S119" s="51" t="str">
        <f>IF(ISBLANK(Yards[[#This Row],[DSGN FISCAL YEAR]]),"",Yards[[#This Row],[DSGN FISCAL YEAR]]+1)</f>
        <v/>
      </c>
      <c r="T119" s="51"/>
      <c r="U119" s="128">
        <f ca="1">Yards[[#This Row],[Estimate]]*0.1</f>
        <v>206060.21595600009</v>
      </c>
      <c r="V119" s="47">
        <f ca="1">Yards[[#This Row],[Estimate]]-Yards[[#This Row],[Design Est.]]</f>
        <v>1854541.9436040006</v>
      </c>
      <c r="W119" s="85">
        <f ca="1">(Yards[[#This Row],['# yards]]*INDEX(UnitCosts[],MATCH(Yards[[#This Row],[WORK TYPE]],UnitCosts[Work Type],0),2))*(1+((Yards[[#This Row],[est. CONS Year]]-YEAR(TODAY()))*$W$3))</f>
        <v>2060602.1595600008</v>
      </c>
      <c r="X119" s="142">
        <f ca="1">IF(ISNUMBER(SEARCH("LLC",Yards[[#This Row],[PROGRAM]])),0,IF(Yards[[#This Row],[RAD/PACT by 2025]]="yes",0,1))</f>
        <v>1</v>
      </c>
      <c r="Y119" s="1"/>
      <c r="Z119" s="1"/>
      <c r="AA119" s="51">
        <f ca="1">COUNTIF($X$5:Yards[[#This Row],['# yards]],"&gt;0")-10</f>
        <v>66</v>
      </c>
      <c r="AB119" s="1">
        <f ca="1">IF(ISBLANK(Yards[[#This Row],[DSGN CALENDAR YEAR]]),ROUNDDOWN(Yards[[#This Row],[Count]]/24,0)+$AB$1,Yards[[#This Row],[DSGN CALENDAR YEAR]])</f>
        <v>2023</v>
      </c>
      <c r="AC119" s="16">
        <f ca="1">Yards[[#This Row],[est. DSGN Year]]+1</f>
        <v>2024</v>
      </c>
    </row>
    <row r="120" spans="1:29">
      <c r="A120" s="13" t="s">
        <v>249</v>
      </c>
      <c r="B120" s="51" t="str">
        <f>VLOOKUP(Yards[[#This Row],[DEVELOPMENT]],Data[],2,FALSE)</f>
        <v>BROOKLYN</v>
      </c>
      <c r="C120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20" s="51" t="str">
        <f>VLOOKUP(Yards[[#This Row],[DEVELOPMENT]],Data[],52,FALSE)</f>
        <v>FEDERAL</v>
      </c>
      <c r="E120" s="50">
        <f>VLOOKUP(Yards[[#This Row],[DEVELOPMENT]],Data[],8,FALSE)</f>
        <v>0</v>
      </c>
      <c r="F120" s="51" t="str">
        <f>VLOOKUP(Yards[[#This Row],[DEVELOPMENT]],all[[DEVELOPMENT]:[MRST Ext. Comp. Priority]],6,FALSE)</f>
        <v>C</v>
      </c>
      <c r="G120" s="51">
        <f>VLOOKUP(Yards[[#This Row],[DEVELOPMENT]],all[[DEVELOPMENT]:[MRST Ext. Comp. Priority]],13,FALSE)</f>
        <v>3</v>
      </c>
      <c r="H120" s="50">
        <f>IF(VLOOKUP(Yards[[#This Row],[DEVELOPMENT]],Data[],9,FALSE)=0,5,VLOOKUP(Yards[[#This Row],[DEVELOPMENT]],Data[],9,FALSE))</f>
        <v>5</v>
      </c>
      <c r="I120" s="51">
        <f>VLOOKUP(Yards[[#This Row],[DEVELOPMENT]],Data[],33,FALSE)</f>
        <v>4</v>
      </c>
      <c r="J120" s="51">
        <f>VLOOKUP(Yards[[#This Row],[DEVELOPMENT]],Data[],28,FALSE)</f>
        <v>0</v>
      </c>
      <c r="K120" s="51"/>
      <c r="L120" s="50"/>
      <c r="M120" s="51" t="str">
        <f ca="1">IFERROR(VLOOKUP(Yards[[#This Row],[DEVELOPMENT]],Data[],4,FALSE),"")</f>
        <v/>
      </c>
      <c r="N120" s="51" t="str">
        <f ca="1">IF(Yards[[#This Row],[RAD/PACT]]="","",IF(OR(Yards[[#This Row],[RAD/PACT]]="2022-2025",Yards[[#This Row],[RAD/PACT]]=2019,Yards[[#This Row],[RAD/PACT]]="2020-2021"),"Yes",""))</f>
        <v/>
      </c>
      <c r="O120" s="51">
        <f ca="1">IFERROR(VLOOKUP(Yards[[#This Row],[DEVELOPMENT]],ExtComp[],8,FALSE),"")</f>
        <v>9</v>
      </c>
      <c r="P120" s="51"/>
      <c r="Q120" s="51"/>
      <c r="R120" s="51" t="str">
        <f>IF(ISBLANK(Yards[[#This Row],[DSGN CALENDAR YEAR]]),"",Yards[[#This Row],[DSGN CALENDAR YEAR]]+1)</f>
        <v/>
      </c>
      <c r="S120" s="51" t="str">
        <f>IF(ISBLANK(Yards[[#This Row],[DSGN FISCAL YEAR]]),"",Yards[[#This Row],[DSGN FISCAL YEAR]]+1)</f>
        <v/>
      </c>
      <c r="T120" s="51"/>
      <c r="U120" s="128">
        <f ca="1">Yards[[#This Row],[Estimate]]*0.1</f>
        <v>155298.07909380004</v>
      </c>
      <c r="V120" s="47">
        <f ca="1">Yards[[#This Row],[Estimate]]-Yards[[#This Row],[Design Est.]]</f>
        <v>1397682.7118442003</v>
      </c>
      <c r="W120" s="85">
        <f ca="1">(Yards[[#This Row],['# yards]]*INDEX(UnitCosts[],MATCH(Yards[[#This Row],[WORK TYPE]],UnitCosts[Work Type],0),2))*(1+((Yards[[#This Row],[est. CONS Year]]-YEAR(TODAY()))*$W$3))</f>
        <v>1552980.7909380004</v>
      </c>
      <c r="X120" s="142">
        <f ca="1">IF(ISNUMBER(SEARCH("LLC",Yards[[#This Row],[PROGRAM]])),0,IF(Yards[[#This Row],[RAD/PACT by 2025]]="yes",0,1))</f>
        <v>1</v>
      </c>
      <c r="Y120" s="1"/>
      <c r="Z120" s="1"/>
      <c r="AA120" s="51">
        <f ca="1">COUNTIF($X$5:Yards[[#This Row],['# yards]],"&gt;0")-10</f>
        <v>67</v>
      </c>
      <c r="AB120" s="1">
        <f ca="1">IF(ISBLANK(Yards[[#This Row],[DSGN CALENDAR YEAR]]),ROUNDDOWN(Yards[[#This Row],[Count]]/24,0)+$AB$1,Yards[[#This Row],[DSGN CALENDAR YEAR]])</f>
        <v>2023</v>
      </c>
      <c r="AC120" s="16">
        <f ca="1">Yards[[#This Row],[est. DSGN Year]]+1</f>
        <v>2024</v>
      </c>
    </row>
    <row r="121" spans="1:29">
      <c r="A121" s="13" t="s">
        <v>243</v>
      </c>
      <c r="B121" s="51" t="str">
        <f>VLOOKUP(Yards[[#This Row],[DEVELOPMENT]],Data[],2,FALSE)</f>
        <v>BRONX</v>
      </c>
      <c r="C121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21" s="51" t="str">
        <f>VLOOKUP(Yards[[#This Row],[DEVELOPMENT]],Data[],52,FALSE)</f>
        <v>FEDERAL</v>
      </c>
      <c r="E121" s="50">
        <f>VLOOKUP(Yards[[#This Row],[DEVELOPMENT]],Data[],8,FALSE)</f>
        <v>0</v>
      </c>
      <c r="F121" s="51" t="str">
        <f>VLOOKUP(Yards[[#This Row],[DEVELOPMENT]],all[[DEVELOPMENT]:[MRST Ext. Comp. Priority]],6,FALSE)</f>
        <v>C</v>
      </c>
      <c r="G121" s="51">
        <f>VLOOKUP(Yards[[#This Row],[DEVELOPMENT]],all[[DEVELOPMENT]:[MRST Ext. Comp. Priority]],13,FALSE)</f>
        <v>3</v>
      </c>
      <c r="H121" s="50">
        <f>IF(VLOOKUP(Yards[[#This Row],[DEVELOPMENT]],Data[],9,FALSE)=0,5,VLOOKUP(Yards[[#This Row],[DEVELOPMENT]],Data[],9,FALSE))</f>
        <v>5</v>
      </c>
      <c r="I121" s="51">
        <f>VLOOKUP(Yards[[#This Row],[DEVELOPMENT]],Data[],33,FALSE)</f>
        <v>0</v>
      </c>
      <c r="J121" s="51">
        <f>VLOOKUP(Yards[[#This Row],[DEVELOPMENT]],Data[],28,FALSE)</f>
        <v>0</v>
      </c>
      <c r="K121" s="51"/>
      <c r="L121" s="50"/>
      <c r="M121" s="51" t="str">
        <f ca="1">IFERROR(VLOOKUP(Yards[[#This Row],[DEVELOPMENT]],Data[],4,FALSE),"")</f>
        <v>2026+</v>
      </c>
      <c r="N121" s="51" t="str">
        <f ca="1">IF(Yards[[#This Row],[RAD/PACT]]="","",IF(OR(Yards[[#This Row],[RAD/PACT]]="2022-2025",Yards[[#This Row],[RAD/PACT]]=2019,Yards[[#This Row],[RAD/PACT]]="2020-2021"),"Yes",""))</f>
        <v/>
      </c>
      <c r="O121" s="51" t="str">
        <f ca="1">IFERROR(VLOOKUP(Yards[[#This Row],[DEVELOPMENT]],ExtComp[],8,FALSE),"")</f>
        <v/>
      </c>
      <c r="P121" s="51"/>
      <c r="Q121" s="51"/>
      <c r="R121" s="51" t="str">
        <f>IF(ISBLANK(Yards[[#This Row],[DSGN CALENDAR YEAR]]),"",Yards[[#This Row],[DSGN CALENDAR YEAR]]+1)</f>
        <v/>
      </c>
      <c r="S121" s="51" t="str">
        <f>IF(ISBLANK(Yards[[#This Row],[DSGN FISCAL YEAR]]),"",Yards[[#This Row],[DSGN FISCAL YEAR]]+1)</f>
        <v/>
      </c>
      <c r="T121" s="51"/>
      <c r="U121" s="128">
        <f ca="1">Yards[[#This Row],[Estimate]]*0.1</f>
        <v>206060.21595600009</v>
      </c>
      <c r="V121" s="47">
        <f ca="1">Yards[[#This Row],[Estimate]]-Yards[[#This Row],[Design Est.]]</f>
        <v>1854541.9436040006</v>
      </c>
      <c r="W121" s="85">
        <f ca="1">(Yards[[#This Row],['# yards]]*INDEX(UnitCosts[],MATCH(Yards[[#This Row],[WORK TYPE]],UnitCosts[Work Type],0),2))*(1+((Yards[[#This Row],[est. CONS Year]]-YEAR(TODAY()))*$W$3))</f>
        <v>2060602.1595600008</v>
      </c>
      <c r="X121" s="142">
        <f ca="1">IF(ISNUMBER(SEARCH("LLC",Yards[[#This Row],[PROGRAM]])),0,IF(Yards[[#This Row],[RAD/PACT by 2025]]="yes",0,1))</f>
        <v>1</v>
      </c>
      <c r="Y121" s="1"/>
      <c r="Z121" s="1"/>
      <c r="AA121" s="51">
        <f ca="1">COUNTIF($X$5:Yards[[#This Row],['# yards]],"&gt;0")-10</f>
        <v>68</v>
      </c>
      <c r="AB121" s="1">
        <f ca="1">IF(ISBLANK(Yards[[#This Row],[DSGN CALENDAR YEAR]]),ROUNDDOWN(Yards[[#This Row],[Count]]/24,0)+$AB$1,Yards[[#This Row],[DSGN CALENDAR YEAR]])</f>
        <v>2023</v>
      </c>
      <c r="AC121" s="16">
        <f ca="1">Yards[[#This Row],[est. DSGN Year]]+1</f>
        <v>2024</v>
      </c>
    </row>
    <row r="122" spans="1:29">
      <c r="A122" s="13" t="s">
        <v>254</v>
      </c>
      <c r="B122" s="51" t="str">
        <f>VLOOKUP(Yards[[#This Row],[DEVELOPMENT]],Data[],2,FALSE)</f>
        <v>BROOKLYN</v>
      </c>
      <c r="C12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22" s="51" t="str">
        <f>VLOOKUP(Yards[[#This Row],[DEVELOPMENT]],Data[],52,FALSE)</f>
        <v>FEDERAL</v>
      </c>
      <c r="E122" s="50">
        <f>VLOOKUP(Yards[[#This Row],[DEVELOPMENT]],Data[],8,FALSE)</f>
        <v>0</v>
      </c>
      <c r="F122" s="51" t="str">
        <f>VLOOKUP(Yards[[#This Row],[DEVELOPMENT]],all[[DEVELOPMENT]:[MRST Ext. Comp. Priority]],6,FALSE)</f>
        <v>C</v>
      </c>
      <c r="G122" s="51">
        <f>VLOOKUP(Yards[[#This Row],[DEVELOPMENT]],all[[DEVELOPMENT]:[MRST Ext. Comp. Priority]],13,FALSE)</f>
        <v>3</v>
      </c>
      <c r="H122" s="50">
        <f>IF(VLOOKUP(Yards[[#This Row],[DEVELOPMENT]],Data[],9,FALSE)=0,5,VLOOKUP(Yards[[#This Row],[DEVELOPMENT]],Data[],9,FALSE))</f>
        <v>5</v>
      </c>
      <c r="I122" s="51">
        <f>VLOOKUP(Yards[[#This Row],[DEVELOPMENT]],Data[],33,FALSE)</f>
        <v>0</v>
      </c>
      <c r="J122" s="51">
        <f>VLOOKUP(Yards[[#This Row],[DEVELOPMENT]],Data[],28,FALSE)</f>
        <v>0</v>
      </c>
      <c r="K122" s="51"/>
      <c r="L122" s="50"/>
      <c r="M122" s="51" t="str">
        <f ca="1">IFERROR(VLOOKUP(Yards[[#This Row],[DEVELOPMENT]],Data[],4,FALSE),"")</f>
        <v/>
      </c>
      <c r="N122" s="51" t="str">
        <f ca="1">IF(Yards[[#This Row],[RAD/PACT]]="","",IF(OR(Yards[[#This Row],[RAD/PACT]]="2022-2025",Yards[[#This Row],[RAD/PACT]]=2019,Yards[[#This Row],[RAD/PACT]]="2020-2021"),"Yes",""))</f>
        <v/>
      </c>
      <c r="O122" s="51" t="str">
        <f ca="1">IFERROR(VLOOKUP(Yards[[#This Row],[DEVELOPMENT]],ExtComp[],8,FALSE),"")</f>
        <v/>
      </c>
      <c r="P122" s="51"/>
      <c r="Q122" s="51"/>
      <c r="R122" s="51" t="str">
        <f>IF(ISBLANK(Yards[[#This Row],[DSGN CALENDAR YEAR]]),"",Yards[[#This Row],[DSGN CALENDAR YEAR]]+1)</f>
        <v/>
      </c>
      <c r="S122" s="51" t="str">
        <f>IF(ISBLANK(Yards[[#This Row],[DSGN FISCAL YEAR]]),"",Yards[[#This Row],[DSGN FISCAL YEAR]]+1)</f>
        <v/>
      </c>
      <c r="T122" s="51"/>
      <c r="U122" s="128">
        <f ca="1">Yards[[#This Row],[Estimate]]*0.1</f>
        <v>206060.21595600009</v>
      </c>
      <c r="V122" s="47">
        <f ca="1">Yards[[#This Row],[Estimate]]-Yards[[#This Row],[Design Est.]]</f>
        <v>1854541.9436040006</v>
      </c>
      <c r="W122" s="85">
        <f ca="1">(Yards[[#This Row],['# yards]]*INDEX(UnitCosts[],MATCH(Yards[[#This Row],[WORK TYPE]],UnitCosts[Work Type],0),2))*(1+((Yards[[#This Row],[est. CONS Year]]-YEAR(TODAY()))*$W$3))</f>
        <v>2060602.1595600008</v>
      </c>
      <c r="X122" s="142">
        <f ca="1">IF(ISNUMBER(SEARCH("LLC",Yards[[#This Row],[PROGRAM]])),0,IF(Yards[[#This Row],[RAD/PACT by 2025]]="yes",0,1))</f>
        <v>1</v>
      </c>
      <c r="Y122" s="1"/>
      <c r="Z122" s="1"/>
      <c r="AA122" s="51">
        <f ca="1">COUNTIF($X$5:Yards[[#This Row],['# yards]],"&gt;0")-10</f>
        <v>69</v>
      </c>
      <c r="AB122" s="1">
        <f ca="1">IF(ISBLANK(Yards[[#This Row],[DSGN CALENDAR YEAR]]),ROUNDDOWN(Yards[[#This Row],[Count]]/24,0)+$AB$1,Yards[[#This Row],[DSGN CALENDAR YEAR]])</f>
        <v>2023</v>
      </c>
      <c r="AC122" s="16">
        <f ca="1">Yards[[#This Row],[est. DSGN Year]]+1</f>
        <v>2024</v>
      </c>
    </row>
    <row r="123" spans="1:29">
      <c r="A123" s="13" t="s">
        <v>255</v>
      </c>
      <c r="B123" s="51" t="str">
        <f>VLOOKUP(Yards[[#This Row],[DEVELOPMENT]],Data[],2,FALSE)</f>
        <v>STATEN ISLAND</v>
      </c>
      <c r="C12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23" s="51" t="str">
        <f>VLOOKUP(Yards[[#This Row],[DEVELOPMENT]],Data[],52,FALSE)</f>
        <v>FEDERAL</v>
      </c>
      <c r="E123" s="50">
        <f>VLOOKUP(Yards[[#This Row],[DEVELOPMENT]],Data[],8,FALSE)</f>
        <v>0</v>
      </c>
      <c r="F123" s="51" t="str">
        <f>VLOOKUP(Yards[[#This Row],[DEVELOPMENT]],all[[DEVELOPMENT]:[MRST Ext. Comp. Priority]],6,FALSE)</f>
        <v>C</v>
      </c>
      <c r="G123" s="51">
        <f>VLOOKUP(Yards[[#This Row],[DEVELOPMENT]],all[[DEVELOPMENT]:[MRST Ext. Comp. Priority]],13,FALSE)</f>
        <v>3</v>
      </c>
      <c r="H123" s="50">
        <f>IF(VLOOKUP(Yards[[#This Row],[DEVELOPMENT]],Data[],9,FALSE)=0,5,VLOOKUP(Yards[[#This Row],[DEVELOPMENT]],Data[],9,FALSE))</f>
        <v>5</v>
      </c>
      <c r="I123" s="51">
        <f>VLOOKUP(Yards[[#This Row],[DEVELOPMENT]],Data[],33,FALSE)</f>
        <v>1</v>
      </c>
      <c r="J123" s="51">
        <f>VLOOKUP(Yards[[#This Row],[DEVELOPMENT]],Data[],28,FALSE)</f>
        <v>0</v>
      </c>
      <c r="K123" s="51"/>
      <c r="L123" s="50"/>
      <c r="M123" s="51" t="str">
        <f ca="1">IFERROR(VLOOKUP(Yards[[#This Row],[DEVELOPMENT]],Data[],4,FALSE),"")</f>
        <v/>
      </c>
      <c r="N123" s="51" t="str">
        <f ca="1">IF(Yards[[#This Row],[RAD/PACT]]="","",IF(OR(Yards[[#This Row],[RAD/PACT]]="2022-2025",Yards[[#This Row],[RAD/PACT]]=2019,Yards[[#This Row],[RAD/PACT]]="2020-2021"),"Yes",""))</f>
        <v/>
      </c>
      <c r="O123" s="51">
        <f ca="1">IFERROR(VLOOKUP(Yards[[#This Row],[DEVELOPMENT]],ExtComp[],8,FALSE),"")</f>
        <v>13</v>
      </c>
      <c r="P123" s="51"/>
      <c r="Q123" s="51"/>
      <c r="R123" s="51" t="str">
        <f>IF(ISBLANK(Yards[[#This Row],[DSGN CALENDAR YEAR]]),"",Yards[[#This Row],[DSGN CALENDAR YEAR]]+1)</f>
        <v/>
      </c>
      <c r="S123" s="51" t="str">
        <f>IF(ISBLANK(Yards[[#This Row],[DSGN FISCAL YEAR]]),"",Yards[[#This Row],[DSGN FISCAL YEAR]]+1)</f>
        <v/>
      </c>
      <c r="T123" s="51"/>
      <c r="U123" s="128">
        <f ca="1">Yards[[#This Row],[Estimate]]*0.1</f>
        <v>206060.21595600009</v>
      </c>
      <c r="V123" s="47">
        <f ca="1">Yards[[#This Row],[Estimate]]-Yards[[#This Row],[Design Est.]]</f>
        <v>1854541.9436040006</v>
      </c>
      <c r="W123" s="85">
        <f ca="1">(Yards[[#This Row],['# yards]]*INDEX(UnitCosts[],MATCH(Yards[[#This Row],[WORK TYPE]],UnitCosts[Work Type],0),2))*(1+((Yards[[#This Row],[est. CONS Year]]-YEAR(TODAY()))*$W$3))</f>
        <v>2060602.1595600008</v>
      </c>
      <c r="X123" s="142">
        <f ca="1">IF(ISNUMBER(SEARCH("LLC",Yards[[#This Row],[PROGRAM]])),0,IF(Yards[[#This Row],[RAD/PACT by 2025]]="yes",0,1))</f>
        <v>1</v>
      </c>
      <c r="Y123" s="1"/>
      <c r="Z123" s="1"/>
      <c r="AA123" s="51">
        <f ca="1">COUNTIF($X$5:Yards[[#This Row],['# yards]],"&gt;0")-10</f>
        <v>70</v>
      </c>
      <c r="AB123" s="1">
        <f ca="1">IF(ISBLANK(Yards[[#This Row],[DSGN CALENDAR YEAR]]),ROUNDDOWN(Yards[[#This Row],[Count]]/24,0)+$AB$1,Yards[[#This Row],[DSGN CALENDAR YEAR]])</f>
        <v>2023</v>
      </c>
      <c r="AC123" s="16">
        <f ca="1">Yards[[#This Row],[est. DSGN Year]]+1</f>
        <v>2024</v>
      </c>
    </row>
    <row r="124" spans="1:29">
      <c r="A124" s="13" t="s">
        <v>257</v>
      </c>
      <c r="B124" s="51" t="str">
        <f>VLOOKUP(Yards[[#This Row],[DEVELOPMENT]],Data[],2,FALSE)</f>
        <v>BROOKLYN</v>
      </c>
      <c r="C12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24" s="51" t="str">
        <f>VLOOKUP(Yards[[#This Row],[DEVELOPMENT]],Data[],52,FALSE)</f>
        <v>FEDERAL</v>
      </c>
      <c r="E124" s="50">
        <f>VLOOKUP(Yards[[#This Row],[DEVELOPMENT]],Data[],8,FALSE)</f>
        <v>0</v>
      </c>
      <c r="F124" s="51" t="str">
        <f>VLOOKUP(Yards[[#This Row],[DEVELOPMENT]],all[[DEVELOPMENT]:[MRST Ext. Comp. Priority]],6,FALSE)</f>
        <v>C</v>
      </c>
      <c r="G124" s="51">
        <f>VLOOKUP(Yards[[#This Row],[DEVELOPMENT]],all[[DEVELOPMENT]:[MRST Ext. Comp. Priority]],13,FALSE)</f>
        <v>3</v>
      </c>
      <c r="H124" s="50">
        <f>IF(VLOOKUP(Yards[[#This Row],[DEVELOPMENT]],Data[],9,FALSE)=0,5,VLOOKUP(Yards[[#This Row],[DEVELOPMENT]],Data[],9,FALSE))</f>
        <v>5</v>
      </c>
      <c r="I124" s="51">
        <f>VLOOKUP(Yards[[#This Row],[DEVELOPMENT]],Data[],33,FALSE)</f>
        <v>1</v>
      </c>
      <c r="J124" s="51">
        <f>VLOOKUP(Yards[[#This Row],[DEVELOPMENT]],Data[],28,FALSE)</f>
        <v>0</v>
      </c>
      <c r="K124" s="51"/>
      <c r="L124" s="50"/>
      <c r="M124" s="51" t="str">
        <f ca="1">IFERROR(VLOOKUP(Yards[[#This Row],[DEVELOPMENT]],Data[],4,FALSE),"")</f>
        <v>2026+</v>
      </c>
      <c r="N124" s="51" t="str">
        <f ca="1">IF(Yards[[#This Row],[RAD/PACT]]="","",IF(OR(Yards[[#This Row],[RAD/PACT]]="2022-2025",Yards[[#This Row],[RAD/PACT]]=2019,Yards[[#This Row],[RAD/PACT]]="2020-2021"),"Yes",""))</f>
        <v/>
      </c>
      <c r="O124" s="51">
        <f ca="1">IFERROR(VLOOKUP(Yards[[#This Row],[DEVELOPMENT]],ExtComp[],8,FALSE),"")</f>
        <v>12</v>
      </c>
      <c r="P124" s="51"/>
      <c r="Q124" s="51"/>
      <c r="R124" s="51" t="str">
        <f>IF(ISBLANK(Yards[[#This Row],[DSGN CALENDAR YEAR]]),"",Yards[[#This Row],[DSGN CALENDAR YEAR]]+1)</f>
        <v/>
      </c>
      <c r="S124" s="51" t="str">
        <f>IF(ISBLANK(Yards[[#This Row],[DSGN FISCAL YEAR]]),"",Yards[[#This Row],[DSGN FISCAL YEAR]]+1)</f>
        <v/>
      </c>
      <c r="T124" s="51"/>
      <c r="U124" s="128">
        <f ca="1">Yards[[#This Row],[Estimate]]*0.1</f>
        <v>206060.21595600009</v>
      </c>
      <c r="V124" s="47">
        <f ca="1">Yards[[#This Row],[Estimate]]-Yards[[#This Row],[Design Est.]]</f>
        <v>1854541.9436040006</v>
      </c>
      <c r="W124" s="85">
        <f ca="1">(Yards[[#This Row],['# yards]]*INDEX(UnitCosts[],MATCH(Yards[[#This Row],[WORK TYPE]],UnitCosts[Work Type],0),2))*(1+((Yards[[#This Row],[est. CONS Year]]-YEAR(TODAY()))*$W$3))</f>
        <v>2060602.1595600008</v>
      </c>
      <c r="X124" s="142">
        <f ca="1">IF(ISNUMBER(SEARCH("LLC",Yards[[#This Row],[PROGRAM]])),0,IF(Yards[[#This Row],[RAD/PACT by 2025]]="yes",0,1))</f>
        <v>1</v>
      </c>
      <c r="Y124" s="1"/>
      <c r="Z124" s="1"/>
      <c r="AA124" s="51">
        <f ca="1">COUNTIF($X$5:Yards[[#This Row],['# yards]],"&gt;0")-10</f>
        <v>71</v>
      </c>
      <c r="AB124" s="1">
        <f ca="1">IF(ISBLANK(Yards[[#This Row],[DSGN CALENDAR YEAR]]),ROUNDDOWN(Yards[[#This Row],[Count]]/24,0)+$AB$1,Yards[[#This Row],[DSGN CALENDAR YEAR]])</f>
        <v>2023</v>
      </c>
      <c r="AC124" s="16">
        <f ca="1">Yards[[#This Row],[est. DSGN Year]]+1</f>
        <v>2024</v>
      </c>
    </row>
    <row r="125" spans="1:29" hidden="1">
      <c r="A125" s="13" t="s">
        <v>252</v>
      </c>
      <c r="B125" s="51" t="str">
        <f>VLOOKUP(Yards[[#This Row],[DEVELOPMENT]],Data[],2,FALSE)</f>
        <v>MANHATTAN</v>
      </c>
      <c r="C125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25" s="51" t="str">
        <f>VLOOKUP(Yards[[#This Row],[DEVELOPMENT]],Data[],52,FALSE)</f>
        <v>FEDERAL</v>
      </c>
      <c r="E125" s="50" t="str">
        <f>VLOOKUP(Yards[[#This Row],[DEVELOPMENT]],Data[],8,FALSE)</f>
        <v>Zone 4</v>
      </c>
      <c r="F125" s="51" t="str">
        <f>VLOOKUP(Yards[[#This Row],[DEVELOPMENT]],all[[DEVELOPMENT]:[MRST Ext. Comp. Priority]],6,FALSE)</f>
        <v>C</v>
      </c>
      <c r="G125" s="51">
        <f>VLOOKUP(Yards[[#This Row],[DEVELOPMENT]],all[[DEVELOPMENT]:[MRST Ext. Comp. Priority]],13,FALSE)</f>
        <v>3</v>
      </c>
      <c r="H125" s="50">
        <f>IF(VLOOKUP(Yards[[#This Row],[DEVELOPMENT]],Data[],9,FALSE)=0,5,VLOOKUP(Yards[[#This Row],[DEVELOPMENT]],Data[],9,FALSE))</f>
        <v>5</v>
      </c>
      <c r="I125" s="51">
        <f>VLOOKUP(Yards[[#This Row],[DEVELOPMENT]],Data[],33,FALSE)</f>
        <v>0</v>
      </c>
      <c r="J125" s="51">
        <f>VLOOKUP(Yards[[#This Row],[DEVELOPMENT]],Data[],28,FALSE)</f>
        <v>0</v>
      </c>
      <c r="K125" s="51"/>
      <c r="L125" s="50"/>
      <c r="M125" s="51" t="str">
        <f ca="1">IFERROR(VLOOKUP(Yards[[#This Row],[DEVELOPMENT]],Data[],4,FALSE),"")</f>
        <v/>
      </c>
      <c r="N125" s="51" t="str">
        <f ca="1">IF(Yards[[#This Row],[RAD/PACT]]="","",IF(OR(Yards[[#This Row],[RAD/PACT]]="2022-2025",Yards[[#This Row],[RAD/PACT]]=2019,Yards[[#This Row],[RAD/PACT]]="2020-2021"),"Yes",""))</f>
        <v/>
      </c>
      <c r="O125" s="51" t="str">
        <f ca="1">IFERROR(VLOOKUP(Yards[[#This Row],[DEVELOPMENT]],ExtComp[],8,FALSE),"")</f>
        <v/>
      </c>
      <c r="P125" s="51"/>
      <c r="Q125" s="51"/>
      <c r="R125" s="51" t="str">
        <f>IF(ISBLANK(Yards[[#This Row],[DSGN CALENDAR YEAR]]),"",Yards[[#This Row],[DSGN CALENDAR YEAR]]+1)</f>
        <v/>
      </c>
      <c r="S125" s="51" t="str">
        <f>IF(ISBLANK(Yards[[#This Row],[DSGN FISCAL YEAR]]),"",Yards[[#This Row],[DSGN FISCAL YEAR]]+1)</f>
        <v/>
      </c>
      <c r="T125" s="51"/>
      <c r="U125" s="128">
        <f>Yards[[#This Row],[Estimate]]*0.1</f>
        <v>0</v>
      </c>
      <c r="V125" s="47">
        <f>Yards[[#This Row],[Estimate]]-Yards[[#This Row],[Design Est.]]</f>
        <v>0</v>
      </c>
      <c r="W125" s="85"/>
      <c r="X125" s="142"/>
      <c r="Y125" s="1"/>
      <c r="Z125" s="1"/>
      <c r="AA125" s="51">
        <f ca="1">COUNTIF($X$5:Yards[[#This Row],['# yards]],"&gt;0")-10</f>
        <v>71</v>
      </c>
      <c r="AB125" s="1">
        <f ca="1">IF(ISBLANK(Yards[[#This Row],[DSGN CALENDAR YEAR]]),ROUNDDOWN(Yards[[#This Row],[Count]]/24,0)+$AB$1,Yards[[#This Row],[DSGN CALENDAR YEAR]])</f>
        <v>2023</v>
      </c>
      <c r="AC125" s="16">
        <f ca="1">Yards[[#This Row],[est. DSGN Year]]+1</f>
        <v>2024</v>
      </c>
    </row>
    <row r="126" spans="1:29">
      <c r="A126" s="13" t="s">
        <v>273</v>
      </c>
      <c r="B126" s="51" t="str">
        <f>VLOOKUP(Yards[[#This Row],[DEVELOPMENT]],Data[],2,FALSE)</f>
        <v>BRONX</v>
      </c>
      <c r="C12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26" s="51" t="str">
        <f>VLOOKUP(Yards[[#This Row],[DEVELOPMENT]],Data[],52,FALSE)</f>
        <v>FEDERAL</v>
      </c>
      <c r="E126" s="50">
        <f>VLOOKUP(Yards[[#This Row],[DEVELOPMENT]],Data[],8,FALSE)</f>
        <v>0</v>
      </c>
      <c r="F126" s="51" t="str">
        <f>VLOOKUP(Yards[[#This Row],[DEVELOPMENT]],all[[DEVELOPMENT]:[MRST Ext. Comp. Priority]],6,FALSE)</f>
        <v>C</v>
      </c>
      <c r="G126" s="51">
        <f>VLOOKUP(Yards[[#This Row],[DEVELOPMENT]],all[[DEVELOPMENT]:[MRST Ext. Comp. Priority]],13,FALSE)</f>
        <v>3</v>
      </c>
      <c r="H126" s="50">
        <f>IF(VLOOKUP(Yards[[#This Row],[DEVELOPMENT]],Data[],9,FALSE)=0,5,VLOOKUP(Yards[[#This Row],[DEVELOPMENT]],Data[],9,FALSE))</f>
        <v>5</v>
      </c>
      <c r="I126" s="51">
        <f>VLOOKUP(Yards[[#This Row],[DEVELOPMENT]],Data[],33,FALSE)</f>
        <v>1</v>
      </c>
      <c r="J126" s="51">
        <f>VLOOKUP(Yards[[#This Row],[DEVELOPMENT]],Data[],28,FALSE)</f>
        <v>0</v>
      </c>
      <c r="K126" s="51"/>
      <c r="L126" s="50"/>
      <c r="M126" s="51" t="str">
        <f ca="1">IFERROR(VLOOKUP(Yards[[#This Row],[DEVELOPMENT]],Data[],4,FALSE),"")</f>
        <v/>
      </c>
      <c r="N126" s="51" t="str">
        <f ca="1">IF(Yards[[#This Row],[RAD/PACT]]="","",IF(OR(Yards[[#This Row],[RAD/PACT]]="2022-2025",Yards[[#This Row],[RAD/PACT]]=2019,Yards[[#This Row],[RAD/PACT]]="2020-2021"),"Yes",""))</f>
        <v/>
      </c>
      <c r="O126" s="51">
        <f ca="1">IFERROR(VLOOKUP(Yards[[#This Row],[DEVELOPMENT]],ExtComp[],8,FALSE),"")</f>
        <v>16</v>
      </c>
      <c r="P126" s="51"/>
      <c r="Q126" s="51"/>
      <c r="R126" s="51" t="str">
        <f>IF(ISBLANK(Yards[[#This Row],[DSGN CALENDAR YEAR]]),"",Yards[[#This Row],[DSGN CALENDAR YEAR]]+1)</f>
        <v/>
      </c>
      <c r="S126" s="51" t="str">
        <f>IF(ISBLANK(Yards[[#This Row],[DSGN FISCAL YEAR]]),"",Yards[[#This Row],[DSGN FISCAL YEAR]]+1)</f>
        <v/>
      </c>
      <c r="T126" s="51"/>
      <c r="U126" s="128">
        <f ca="1">Yards[[#This Row],[Estimate]]*0.1</f>
        <v>212386.62609500007</v>
      </c>
      <c r="V126" s="47">
        <f ca="1">Yards[[#This Row],[Estimate]]-Yards[[#This Row],[Design Est.]]</f>
        <v>1911479.6348550003</v>
      </c>
      <c r="W126" s="85">
        <f ca="1">(Yards[[#This Row],['# yards]]*INDEX(UnitCosts[],MATCH(Yards[[#This Row],[WORK TYPE]],UnitCosts[Work Type],0),2))*(1+((Yards[[#This Row],[est. CONS Year]]-YEAR(TODAY()))*$W$3))</f>
        <v>2123866.2609500005</v>
      </c>
      <c r="X126" s="142">
        <f ca="1">IF(ISNUMBER(SEARCH("LLC",Yards[[#This Row],[PROGRAM]])),0,IF(Yards[[#This Row],[RAD/PACT by 2025]]="yes",0,1))</f>
        <v>1</v>
      </c>
      <c r="Y126" s="1"/>
      <c r="Z126" s="1"/>
      <c r="AA126" s="51">
        <f ca="1">COUNTIF($X$5:Yards[[#This Row],['# yards]],"&gt;0")-10</f>
        <v>72</v>
      </c>
      <c r="AB126" s="1">
        <f ca="1">IF(ISBLANK(Yards[[#This Row],[DSGN CALENDAR YEAR]]),ROUNDDOWN(Yards[[#This Row],[Count]]/24,0)+$AB$1,Yards[[#This Row],[DSGN CALENDAR YEAR]])</f>
        <v>2024</v>
      </c>
      <c r="AC126" s="16">
        <f ca="1">Yards[[#This Row],[est. DSGN Year]]+1</f>
        <v>2025</v>
      </c>
    </row>
    <row r="127" spans="1:29" hidden="1">
      <c r="A127" s="13" t="s">
        <v>253</v>
      </c>
      <c r="B127" s="51" t="str">
        <f>VLOOKUP(Yards[[#This Row],[DEVELOPMENT]],Data[],2,FALSE)</f>
        <v>BRONX</v>
      </c>
      <c r="C127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27" s="51" t="str">
        <f>VLOOKUP(Yards[[#This Row],[DEVELOPMENT]],Data[],52,FALSE)</f>
        <v>FEDERAL</v>
      </c>
      <c r="E127" s="50">
        <f>VLOOKUP(Yards[[#This Row],[DEVELOPMENT]],Data[],8,FALSE)</f>
        <v>0</v>
      </c>
      <c r="F127" s="51" t="str">
        <f>VLOOKUP(Yards[[#This Row],[DEVELOPMENT]],all[[DEVELOPMENT]:[MRST Ext. Comp. Priority]],6,FALSE)</f>
        <v>C</v>
      </c>
      <c r="G127" s="51">
        <f>VLOOKUP(Yards[[#This Row],[DEVELOPMENT]],all[[DEVELOPMENT]:[MRST Ext. Comp. Priority]],13,FALSE)</f>
        <v>3</v>
      </c>
      <c r="H127" s="50">
        <f>IF(VLOOKUP(Yards[[#This Row],[DEVELOPMENT]],Data[],9,FALSE)=0,5,VLOOKUP(Yards[[#This Row],[DEVELOPMENT]],Data[],9,FALSE))</f>
        <v>5</v>
      </c>
      <c r="I127" s="51">
        <f>VLOOKUP(Yards[[#This Row],[DEVELOPMENT]],Data[],33,FALSE)</f>
        <v>0</v>
      </c>
      <c r="J127" s="51">
        <f>VLOOKUP(Yards[[#This Row],[DEVELOPMENT]],Data[],28,FALSE)</f>
        <v>0</v>
      </c>
      <c r="K127" s="51"/>
      <c r="L127" s="50"/>
      <c r="M127" s="51" t="str">
        <f ca="1">IFERROR(VLOOKUP(Yards[[#This Row],[DEVELOPMENT]],Data[],4,FALSE),"")</f>
        <v>2022-2025</v>
      </c>
      <c r="N127" s="51" t="str">
        <f ca="1">IF(Yards[[#This Row],[RAD/PACT]]="","",IF(OR(Yards[[#This Row],[RAD/PACT]]="2022-2025",Yards[[#This Row],[RAD/PACT]]=2019,Yards[[#This Row],[RAD/PACT]]="2020-2021"),"Yes",""))</f>
        <v>Yes</v>
      </c>
      <c r="O127" s="51" t="str">
        <f ca="1">IFERROR(VLOOKUP(Yards[[#This Row],[DEVELOPMENT]],ExtComp[],8,FALSE),"")</f>
        <v/>
      </c>
      <c r="P127" s="51"/>
      <c r="Q127" s="51"/>
      <c r="R127" s="51" t="str">
        <f>IF(ISBLANK(Yards[[#This Row],[DSGN CALENDAR YEAR]]),"",Yards[[#This Row],[DSGN CALENDAR YEAR]]+1)</f>
        <v/>
      </c>
      <c r="S127" s="51" t="str">
        <f>IF(ISBLANK(Yards[[#This Row],[DSGN FISCAL YEAR]]),"",Yards[[#This Row],[DSGN FISCAL YEAR]]+1)</f>
        <v/>
      </c>
      <c r="T127" s="51"/>
      <c r="U127" s="128">
        <f ca="1">Yards[[#This Row],[Estimate]]*0.1</f>
        <v>0</v>
      </c>
      <c r="V127" s="47">
        <f ca="1">Yards[[#This Row],[Estimate]]-Yards[[#This Row],[Design Est.]]</f>
        <v>0</v>
      </c>
      <c r="W127" s="85">
        <f ca="1">(Yards[[#This Row],['# yards]]*INDEX(UnitCosts[],MATCH(Yards[[#This Row],[WORK TYPE]],UnitCosts[Work Type],0),2))*(1+((Yards[[#This Row],[est. CONS Year]]-YEAR(TODAY()))*$W$3))</f>
        <v>0</v>
      </c>
      <c r="X127" s="142">
        <f ca="1">IF(ISNUMBER(SEARCH("LLC",Yards[[#This Row],[PROGRAM]])),0,IF(Yards[[#This Row],[RAD/PACT by 2025]]="yes",0,1))</f>
        <v>0</v>
      </c>
      <c r="Y127" s="1"/>
      <c r="Z127" s="1"/>
      <c r="AA127" s="51">
        <f ca="1">COUNTIF($X$5:Yards[[#This Row],['# yards]],"&gt;0")-10</f>
        <v>72</v>
      </c>
      <c r="AB127" s="1">
        <f ca="1">IF(ISBLANK(Yards[[#This Row],[DSGN CALENDAR YEAR]]),ROUNDDOWN(Yards[[#This Row],[Count]]/24,0)+$AB$1,Yards[[#This Row],[DSGN CALENDAR YEAR]])</f>
        <v>2024</v>
      </c>
      <c r="AC127" s="16">
        <f ca="1">Yards[[#This Row],[est. DSGN Year]]+1</f>
        <v>2025</v>
      </c>
    </row>
    <row r="128" spans="1:29">
      <c r="A128" s="13" t="s">
        <v>267</v>
      </c>
      <c r="B128" s="51" t="str">
        <f>VLOOKUP(Yards[[#This Row],[DEVELOPMENT]],Data[],2,FALSE)</f>
        <v>BRONX</v>
      </c>
      <c r="C128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28" s="51" t="str">
        <f>VLOOKUP(Yards[[#This Row],[DEVELOPMENT]],Data[],52,FALSE)</f>
        <v>FEDERAL</v>
      </c>
      <c r="E128" s="50">
        <f>VLOOKUP(Yards[[#This Row],[DEVELOPMENT]],Data[],8,FALSE)</f>
        <v>0</v>
      </c>
      <c r="F128" s="51" t="str">
        <f>VLOOKUP(Yards[[#This Row],[DEVELOPMENT]],all[[DEVELOPMENT]:[MRST Ext. Comp. Priority]],6,FALSE)</f>
        <v>C</v>
      </c>
      <c r="G128" s="51">
        <f>VLOOKUP(Yards[[#This Row],[DEVELOPMENT]],all[[DEVELOPMENT]:[MRST Ext. Comp. Priority]],13,FALSE)</f>
        <v>3</v>
      </c>
      <c r="H128" s="50">
        <f>IF(VLOOKUP(Yards[[#This Row],[DEVELOPMENT]],Data[],9,FALSE)=0,5,VLOOKUP(Yards[[#This Row],[DEVELOPMENT]],Data[],9,FALSE))</f>
        <v>5</v>
      </c>
      <c r="I128" s="51">
        <f>VLOOKUP(Yards[[#This Row],[DEVELOPMENT]],Data[],33,FALSE)</f>
        <v>2</v>
      </c>
      <c r="J128" s="51">
        <f>VLOOKUP(Yards[[#This Row],[DEVELOPMENT]],Data[],28,FALSE)</f>
        <v>0</v>
      </c>
      <c r="K128" s="51"/>
      <c r="L128" s="50"/>
      <c r="M128" s="51" t="str">
        <f ca="1">IFERROR(VLOOKUP(Yards[[#This Row],[DEVELOPMENT]],Data[],4,FALSE),"")</f>
        <v/>
      </c>
      <c r="N128" s="51" t="str">
        <f ca="1">IF(Yards[[#This Row],[RAD/PACT]]="","",IF(OR(Yards[[#This Row],[RAD/PACT]]="2022-2025",Yards[[#This Row],[RAD/PACT]]=2019,Yards[[#This Row],[RAD/PACT]]="2020-2021"),"Yes",""))</f>
        <v/>
      </c>
      <c r="O128" s="51">
        <f ca="1">IFERROR(VLOOKUP(Yards[[#This Row],[DEVELOPMENT]],ExtComp[],8,FALSE),"")</f>
        <v>8</v>
      </c>
      <c r="P128" s="51"/>
      <c r="Q128" s="51"/>
      <c r="R128" s="51" t="str">
        <f>IF(ISBLANK(Yards[[#This Row],[DSGN CALENDAR YEAR]]),"",Yards[[#This Row],[DSGN CALENDAR YEAR]]+1)</f>
        <v/>
      </c>
      <c r="S128" s="51" t="str">
        <f>IF(ISBLANK(Yards[[#This Row],[DSGN FISCAL YEAR]]),"",Yards[[#This Row],[DSGN FISCAL YEAR]]+1)</f>
        <v/>
      </c>
      <c r="T128" s="51"/>
      <c r="U128" s="128">
        <f ca="1">Yards[[#This Row],[Estimate]]*0.1</f>
        <v>160066.00257475005</v>
      </c>
      <c r="V128" s="47">
        <f ca="1">Yards[[#This Row],[Estimate]]-Yards[[#This Row],[Design Est.]]</f>
        <v>1440594.0231727504</v>
      </c>
      <c r="W128" s="85">
        <f ca="1">(Yards[[#This Row],['# yards]]*INDEX(UnitCosts[],MATCH(Yards[[#This Row],[WORK TYPE]],UnitCosts[Work Type],0),2))*(1+((Yards[[#This Row],[est. CONS Year]]-YEAR(TODAY()))*$W$3))</f>
        <v>1600660.0257475004</v>
      </c>
      <c r="X128" s="142">
        <f ca="1">IF(ISNUMBER(SEARCH("LLC",Yards[[#This Row],[PROGRAM]])),0,IF(Yards[[#This Row],[RAD/PACT by 2025]]="yes",0,1))</f>
        <v>1</v>
      </c>
      <c r="Y128" s="1"/>
      <c r="Z128" s="1"/>
      <c r="AA128" s="51">
        <f ca="1">COUNTIF($X$5:Yards[[#This Row],['# yards]],"&gt;0")-10</f>
        <v>73</v>
      </c>
      <c r="AB128" s="1">
        <f ca="1">IF(ISBLANK(Yards[[#This Row],[DSGN CALENDAR YEAR]]),ROUNDDOWN(Yards[[#This Row],[Count]]/24,0)+$AB$1,Yards[[#This Row],[DSGN CALENDAR YEAR]])</f>
        <v>2024</v>
      </c>
      <c r="AC128" s="16">
        <f ca="1">Yards[[#This Row],[est. DSGN Year]]+1</f>
        <v>2025</v>
      </c>
    </row>
    <row r="129" spans="1:29" hidden="1">
      <c r="A129" s="13" t="s">
        <v>256</v>
      </c>
      <c r="B129" s="51" t="str">
        <f>VLOOKUP(Yards[[#This Row],[DEVELOPMENT]],Data[],2,FALSE)</f>
        <v>BROOKLYN</v>
      </c>
      <c r="C129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29" s="51" t="str">
        <f>VLOOKUP(Yards[[#This Row],[DEVELOPMENT]],Data[],52,FALSE)</f>
        <v>FEDERAL</v>
      </c>
      <c r="E129" s="50">
        <f>VLOOKUP(Yards[[#This Row],[DEVELOPMENT]],Data[],8,FALSE)</f>
        <v>0</v>
      </c>
      <c r="F129" s="51" t="str">
        <f>VLOOKUP(Yards[[#This Row],[DEVELOPMENT]],all[[DEVELOPMENT]:[MRST Ext. Comp. Priority]],6,FALSE)</f>
        <v>C</v>
      </c>
      <c r="G129" s="51">
        <f>VLOOKUP(Yards[[#This Row],[DEVELOPMENT]],all[[DEVELOPMENT]:[MRST Ext. Comp. Priority]],13,FALSE)</f>
        <v>3</v>
      </c>
      <c r="H129" s="50">
        <f>IF(VLOOKUP(Yards[[#This Row],[DEVELOPMENT]],Data[],9,FALSE)=0,5,VLOOKUP(Yards[[#This Row],[DEVELOPMENT]],Data[],9,FALSE))</f>
        <v>5</v>
      </c>
      <c r="I129" s="51">
        <f>VLOOKUP(Yards[[#This Row],[DEVELOPMENT]],Data[],33,FALSE)</f>
        <v>0</v>
      </c>
      <c r="J129" s="51">
        <f>VLOOKUP(Yards[[#This Row],[DEVELOPMENT]],Data[],28,FALSE)</f>
        <v>0</v>
      </c>
      <c r="K129" s="51"/>
      <c r="L129" s="50"/>
      <c r="M129" s="51" t="str">
        <f ca="1">IFERROR(VLOOKUP(Yards[[#This Row],[DEVELOPMENT]],Data[],4,FALSE),"")</f>
        <v>2022-2025</v>
      </c>
      <c r="N129" s="51" t="str">
        <f ca="1">IF(Yards[[#This Row],[RAD/PACT]]="","",IF(OR(Yards[[#This Row],[RAD/PACT]]="2022-2025",Yards[[#This Row],[RAD/PACT]]=2019,Yards[[#This Row],[RAD/PACT]]="2020-2021"),"Yes",""))</f>
        <v>Yes</v>
      </c>
      <c r="O129" s="51" t="str">
        <f ca="1">IFERROR(VLOOKUP(Yards[[#This Row],[DEVELOPMENT]],ExtComp[],8,FALSE),"")</f>
        <v/>
      </c>
      <c r="P129" s="51"/>
      <c r="Q129" s="51"/>
      <c r="R129" s="51" t="str">
        <f>IF(ISBLANK(Yards[[#This Row],[DSGN CALENDAR YEAR]]),"",Yards[[#This Row],[DSGN CALENDAR YEAR]]+1)</f>
        <v/>
      </c>
      <c r="S129" s="51" t="str">
        <f>IF(ISBLANK(Yards[[#This Row],[DSGN FISCAL YEAR]]),"",Yards[[#This Row],[DSGN FISCAL YEAR]]+1)</f>
        <v/>
      </c>
      <c r="T129" s="51"/>
      <c r="U129" s="128">
        <f ca="1">Yards[[#This Row],[Estimate]]*0.1</f>
        <v>0</v>
      </c>
      <c r="V129" s="47">
        <f ca="1">Yards[[#This Row],[Estimate]]-Yards[[#This Row],[Design Est.]]</f>
        <v>0</v>
      </c>
      <c r="W129" s="85">
        <f ca="1">(Yards[[#This Row],['# yards]]*INDEX(UnitCosts[],MATCH(Yards[[#This Row],[WORK TYPE]],UnitCosts[Work Type],0),2))*(1+((Yards[[#This Row],[est. CONS Year]]-YEAR(TODAY()))*$W$3))</f>
        <v>0</v>
      </c>
      <c r="X129" s="142">
        <f ca="1">IF(ISNUMBER(SEARCH("LLC",Yards[[#This Row],[PROGRAM]])),0,IF(Yards[[#This Row],[RAD/PACT by 2025]]="yes",0,1))</f>
        <v>0</v>
      </c>
      <c r="Y129" s="1"/>
      <c r="Z129" s="1"/>
      <c r="AA129" s="51">
        <f ca="1">COUNTIF($X$5:Yards[[#This Row],['# yards]],"&gt;0")-10</f>
        <v>73</v>
      </c>
      <c r="AB129" s="1">
        <f ca="1">IF(ISBLANK(Yards[[#This Row],[DSGN CALENDAR YEAR]]),ROUNDDOWN(Yards[[#This Row],[Count]]/24,0)+$AB$1,Yards[[#This Row],[DSGN CALENDAR YEAR]])</f>
        <v>2024</v>
      </c>
      <c r="AC129" s="16">
        <f ca="1">Yards[[#This Row],[est. DSGN Year]]+1</f>
        <v>2025</v>
      </c>
    </row>
    <row r="130" spans="1:29" hidden="1">
      <c r="A130" s="13" t="s">
        <v>272</v>
      </c>
      <c r="B130" s="51" t="str">
        <f>VLOOKUP(Yards[[#This Row],[DEVELOPMENT]],Data[],2,FALSE)</f>
        <v>QUEENS</v>
      </c>
      <c r="C130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130" s="51" t="str">
        <f>VLOOKUP(Yards[[#This Row],[DEVELOPMENT]],Data[],52,FALSE)</f>
        <v>FEDERAL</v>
      </c>
      <c r="E130" s="50">
        <f>VLOOKUP(Yards[[#This Row],[DEVELOPMENT]],Data[],8,FALSE)</f>
        <v>0</v>
      </c>
      <c r="F130" s="51" t="str">
        <f>VLOOKUP(Yards[[#This Row],[DEVELOPMENT]],all[[DEVELOPMENT]:[MRST Ext. Comp. Priority]],6,FALSE)</f>
        <v>C</v>
      </c>
      <c r="G130" s="51">
        <f>VLOOKUP(Yards[[#This Row],[DEVELOPMENT]],all[[DEVELOPMENT]:[MRST Ext. Comp. Priority]],13,FALSE)</f>
        <v>3</v>
      </c>
      <c r="H130" s="50">
        <f>IF(VLOOKUP(Yards[[#This Row],[DEVELOPMENT]],Data[],9,FALSE)=0,5,VLOOKUP(Yards[[#This Row],[DEVELOPMENT]],Data[],9,FALSE))</f>
        <v>5</v>
      </c>
      <c r="I130" s="51">
        <f>VLOOKUP(Yards[[#This Row],[DEVELOPMENT]],Data[],33,FALSE)</f>
        <v>3</v>
      </c>
      <c r="J130" s="51">
        <f>VLOOKUP(Yards[[#This Row],[DEVELOPMENT]],Data[],28,FALSE)</f>
        <v>0</v>
      </c>
      <c r="K130" s="51"/>
      <c r="L130" s="50"/>
      <c r="M130" s="51" t="str">
        <f ca="1">IFERROR(VLOOKUP(Yards[[#This Row],[DEVELOPMENT]],Data[],4,FALSE),"")</f>
        <v>2022-2025</v>
      </c>
      <c r="N130" s="51" t="str">
        <f ca="1">IF(Yards[[#This Row],[RAD/PACT]]="","",IF(OR(Yards[[#This Row],[RAD/PACT]]="2022-2025",Yards[[#This Row],[RAD/PACT]]=2019,Yards[[#This Row],[RAD/PACT]]="2020-2021"),"Yes",""))</f>
        <v>Yes</v>
      </c>
      <c r="O130" s="51">
        <f ca="1">IFERROR(VLOOKUP(Yards[[#This Row],[DEVELOPMENT]],ExtComp[],8,FALSE),"")</f>
        <v>17</v>
      </c>
      <c r="P130" s="51"/>
      <c r="Q130" s="51"/>
      <c r="R130" s="51" t="str">
        <f>IF(ISBLANK(Yards[[#This Row],[DSGN CALENDAR YEAR]]),"",Yards[[#This Row],[DSGN CALENDAR YEAR]]+1)</f>
        <v/>
      </c>
      <c r="S130" s="51" t="str">
        <f>IF(ISBLANK(Yards[[#This Row],[DSGN FISCAL YEAR]]),"",Yards[[#This Row],[DSGN FISCAL YEAR]]+1)</f>
        <v/>
      </c>
      <c r="T130" s="51"/>
      <c r="U130" s="128">
        <f ca="1">Yards[[#This Row],[Estimate]]*0.1</f>
        <v>0</v>
      </c>
      <c r="V130" s="47">
        <f ca="1">Yards[[#This Row],[Estimate]]-Yards[[#This Row],[Design Est.]]</f>
        <v>0</v>
      </c>
      <c r="W130" s="85">
        <f ca="1">(Yards[[#This Row],['# yards]]*INDEX(UnitCosts[],MATCH(Yards[[#This Row],[WORK TYPE]],UnitCosts[Work Type],0),2))*(1+((Yards[[#This Row],[est. CONS Year]]-YEAR(TODAY()))*$W$3))</f>
        <v>0</v>
      </c>
      <c r="X130" s="142">
        <f ca="1">IF(ISNUMBER(SEARCH("LLC",Yards[[#This Row],[PROGRAM]])),0,IF(Yards[[#This Row],[RAD/PACT by 2025]]="yes",0,1))</f>
        <v>0</v>
      </c>
      <c r="Y130" s="1"/>
      <c r="Z130" s="1"/>
      <c r="AA130" s="51">
        <f ca="1">COUNTIF($X$5:Yards[[#This Row],['# yards]],"&gt;0")-10</f>
        <v>73</v>
      </c>
      <c r="AB130" s="1">
        <f ca="1">IF(ISBLANK(Yards[[#This Row],[DSGN CALENDAR YEAR]]),ROUNDDOWN(Yards[[#This Row],[Count]]/24,0)+$AB$1,Yards[[#This Row],[DSGN CALENDAR YEAR]])</f>
        <v>2024</v>
      </c>
      <c r="AC130" s="16">
        <f ca="1">Yards[[#This Row],[est. DSGN Year]]+1</f>
        <v>2025</v>
      </c>
    </row>
    <row r="131" spans="1:29" hidden="1">
      <c r="A131" s="13" t="s">
        <v>275</v>
      </c>
      <c r="B131" s="51" t="str">
        <f>VLOOKUP(Yards[[#This Row],[DEVELOPMENT]],Data[],2,FALSE)</f>
        <v>BRONX</v>
      </c>
      <c r="C131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31" s="51" t="str">
        <f>VLOOKUP(Yards[[#This Row],[DEVELOPMENT]],Data[],52,FALSE)</f>
        <v>FEDERAL</v>
      </c>
      <c r="E131" s="50">
        <f>VLOOKUP(Yards[[#This Row],[DEVELOPMENT]],Data[],8,FALSE)</f>
        <v>0</v>
      </c>
      <c r="F131" s="51" t="str">
        <f>VLOOKUP(Yards[[#This Row],[DEVELOPMENT]],all[[DEVELOPMENT]:[MRST Ext. Comp. Priority]],6,FALSE)</f>
        <v>C</v>
      </c>
      <c r="G131" s="51">
        <f>VLOOKUP(Yards[[#This Row],[DEVELOPMENT]],all[[DEVELOPMENT]:[MRST Ext. Comp. Priority]],13,FALSE)</f>
        <v>3</v>
      </c>
      <c r="H131" s="50">
        <f>IF(VLOOKUP(Yards[[#This Row],[DEVELOPMENT]],Data[],9,FALSE)=0,5,VLOOKUP(Yards[[#This Row],[DEVELOPMENT]],Data[],9,FALSE))</f>
        <v>5</v>
      </c>
      <c r="I131" s="51">
        <f>VLOOKUP(Yards[[#This Row],[DEVELOPMENT]],Data[],33,FALSE)</f>
        <v>1</v>
      </c>
      <c r="J131" s="51">
        <f>VLOOKUP(Yards[[#This Row],[DEVELOPMENT]],Data[],28,FALSE)</f>
        <v>0</v>
      </c>
      <c r="K131" s="51"/>
      <c r="L131" s="50"/>
      <c r="M131" s="51" t="str">
        <f ca="1">IFERROR(VLOOKUP(Yards[[#This Row],[DEVELOPMENT]],Data[],4,FALSE),"")</f>
        <v>2022-2025</v>
      </c>
      <c r="N131" s="51" t="str">
        <f ca="1">IF(Yards[[#This Row],[RAD/PACT]]="","",IF(OR(Yards[[#This Row],[RAD/PACT]]="2022-2025",Yards[[#This Row],[RAD/PACT]]=2019,Yards[[#This Row],[RAD/PACT]]="2020-2021"),"Yes",""))</f>
        <v>Yes</v>
      </c>
      <c r="O131" s="51">
        <f ca="1">IFERROR(VLOOKUP(Yards[[#This Row],[DEVELOPMENT]],ExtComp[],8,FALSE),"")</f>
        <v>15</v>
      </c>
      <c r="P131" s="51"/>
      <c r="Q131" s="51"/>
      <c r="R131" s="51" t="str">
        <f>IF(ISBLANK(Yards[[#This Row],[DSGN CALENDAR YEAR]]),"",Yards[[#This Row],[DSGN CALENDAR YEAR]]+1)</f>
        <v/>
      </c>
      <c r="S131" s="51" t="str">
        <f>IF(ISBLANK(Yards[[#This Row],[DSGN FISCAL YEAR]]),"",Yards[[#This Row],[DSGN FISCAL YEAR]]+1)</f>
        <v/>
      </c>
      <c r="T131" s="51"/>
      <c r="U131" s="128">
        <f ca="1">Yards[[#This Row],[Estimate]]*0.1</f>
        <v>0</v>
      </c>
      <c r="V131" s="47">
        <f ca="1">Yards[[#This Row],[Estimate]]-Yards[[#This Row],[Design Est.]]</f>
        <v>0</v>
      </c>
      <c r="W131" s="85">
        <f ca="1">(Yards[[#This Row],['# yards]]*INDEX(UnitCosts[],MATCH(Yards[[#This Row],[WORK TYPE]],UnitCosts[Work Type],0),2))*(1+((Yards[[#This Row],[est. CONS Year]]-YEAR(TODAY()))*$W$3))</f>
        <v>0</v>
      </c>
      <c r="X131" s="142">
        <f ca="1">IF(ISNUMBER(SEARCH("LLC",Yards[[#This Row],[PROGRAM]])),0,IF(Yards[[#This Row],[RAD/PACT by 2025]]="yes",0,1))</f>
        <v>0</v>
      </c>
      <c r="Y131" s="1"/>
      <c r="Z131" s="1"/>
      <c r="AA131" s="51">
        <f ca="1">COUNTIF($X$5:Yards[[#This Row],['# yards]],"&gt;0")-10</f>
        <v>73</v>
      </c>
      <c r="AB131" s="1">
        <f ca="1">IF(ISBLANK(Yards[[#This Row],[DSGN CALENDAR YEAR]]),ROUNDDOWN(Yards[[#This Row],[Count]]/24,0)+$AB$1,Yards[[#This Row],[DSGN CALENDAR YEAR]])</f>
        <v>2024</v>
      </c>
      <c r="AC131" s="16">
        <f ca="1">Yards[[#This Row],[est. DSGN Year]]+1</f>
        <v>2025</v>
      </c>
    </row>
    <row r="132" spans="1:29">
      <c r="A132" s="13" t="s">
        <v>271</v>
      </c>
      <c r="B132" s="51" t="str">
        <f>VLOOKUP(Yards[[#This Row],[DEVELOPMENT]],Data[],2,FALSE)</f>
        <v>QUEENS</v>
      </c>
      <c r="C13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132" s="51" t="str">
        <f>VLOOKUP(Yards[[#This Row],[DEVELOPMENT]],Data[],52,FALSE)</f>
        <v>FEDERAL</v>
      </c>
      <c r="E132" s="50">
        <f>VLOOKUP(Yards[[#This Row],[DEVELOPMENT]],Data[],8,FALSE)</f>
        <v>0</v>
      </c>
      <c r="F132" s="51" t="str">
        <f>VLOOKUP(Yards[[#This Row],[DEVELOPMENT]],all[[DEVELOPMENT]:[MRST Ext. Comp. Priority]],6,FALSE)</f>
        <v>C</v>
      </c>
      <c r="G132" s="51">
        <f>VLOOKUP(Yards[[#This Row],[DEVELOPMENT]],all[[DEVELOPMENT]:[MRST Ext. Comp. Priority]],13,FALSE)</f>
        <v>3</v>
      </c>
      <c r="H132" s="50">
        <f>IF(VLOOKUP(Yards[[#This Row],[DEVELOPMENT]],Data[],9,FALSE)=0,5,VLOOKUP(Yards[[#This Row],[DEVELOPMENT]],Data[],9,FALSE))</f>
        <v>5</v>
      </c>
      <c r="I132" s="51">
        <f>VLOOKUP(Yards[[#This Row],[DEVELOPMENT]],Data[],33,FALSE)</f>
        <v>3</v>
      </c>
      <c r="J132" s="51">
        <f>VLOOKUP(Yards[[#This Row],[DEVELOPMENT]],Data[],28,FALSE)</f>
        <v>0</v>
      </c>
      <c r="K132" s="51"/>
      <c r="L132" s="50"/>
      <c r="M132" s="51" t="str">
        <f ca="1">IFERROR(VLOOKUP(Yards[[#This Row],[DEVELOPMENT]],Data[],4,FALSE),"")</f>
        <v/>
      </c>
      <c r="N132" s="51" t="str">
        <f ca="1">IF(Yards[[#This Row],[RAD/PACT]]="","",IF(OR(Yards[[#This Row],[RAD/PACT]]="2022-2025",Yards[[#This Row],[RAD/PACT]]=2019,Yards[[#This Row],[RAD/PACT]]="2020-2021"),"Yes",""))</f>
        <v/>
      </c>
      <c r="O132" s="51">
        <f ca="1">IFERROR(VLOOKUP(Yards[[#This Row],[DEVELOPMENT]],ExtComp[],8,FALSE),"")</f>
        <v>12</v>
      </c>
      <c r="P132" s="51"/>
      <c r="Q132" s="51"/>
      <c r="R132" s="51" t="str">
        <f>IF(ISBLANK(Yards[[#This Row],[DSGN CALENDAR YEAR]]),"",Yards[[#This Row],[DSGN CALENDAR YEAR]]+1)</f>
        <v/>
      </c>
      <c r="S132" s="51" t="str">
        <f>IF(ISBLANK(Yards[[#This Row],[DSGN FISCAL YEAR]]),"",Yards[[#This Row],[DSGN FISCAL YEAR]]+1)</f>
        <v/>
      </c>
      <c r="T132" s="51"/>
      <c r="U132" s="128">
        <f ca="1">Yards[[#This Row],[Estimate]]*0.1</f>
        <v>276067.59524575004</v>
      </c>
      <c r="V132" s="47">
        <f ca="1">Yards[[#This Row],[Estimate]]-Yards[[#This Row],[Design Est.]]</f>
        <v>2484608.35721175</v>
      </c>
      <c r="W132" s="85">
        <f ca="1">(Yards[[#This Row],['# yards]]*INDEX(UnitCosts[],MATCH(Yards[[#This Row],[WORK TYPE]],UnitCosts[Work Type],0),2))*(1+((Yards[[#This Row],[est. CONS Year]]-YEAR(TODAY()))*$W$3))</f>
        <v>2760675.9524575002</v>
      </c>
      <c r="X132" s="142">
        <f ca="1">IF(ISNUMBER(SEARCH("LLC",Yards[[#This Row],[PROGRAM]])),0,IF(Yards[[#This Row],[RAD/PACT by 2025]]="yes",0,1))</f>
        <v>1</v>
      </c>
      <c r="Y132" s="1"/>
      <c r="Z132" s="1"/>
      <c r="AA132" s="51">
        <f ca="1">COUNTIF($X$5:Yards[[#This Row],['# yards]],"&gt;0")-10</f>
        <v>74</v>
      </c>
      <c r="AB132" s="1">
        <f ca="1">IF(ISBLANK(Yards[[#This Row],[DSGN CALENDAR YEAR]]),ROUNDDOWN(Yards[[#This Row],[Count]]/24,0)+$AB$1,Yards[[#This Row],[DSGN CALENDAR YEAR]])</f>
        <v>2024</v>
      </c>
      <c r="AC132" s="16">
        <f ca="1">Yards[[#This Row],[est. DSGN Year]]+1</f>
        <v>2025</v>
      </c>
    </row>
    <row r="133" spans="1:29" hidden="1">
      <c r="A133" s="13" t="s">
        <v>242</v>
      </c>
      <c r="B133" s="51" t="str">
        <f>VLOOKUP(Yards[[#This Row],[DEVELOPMENT]],Data[],2,FALSE)</f>
        <v>MANHATTAN</v>
      </c>
      <c r="C133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33" s="51" t="str">
        <f>VLOOKUP(Yards[[#This Row],[DEVELOPMENT]],Data[],52,FALSE)</f>
        <v>FEDERAL</v>
      </c>
      <c r="E133" s="50" t="str">
        <f>VLOOKUP(Yards[[#This Row],[DEVELOPMENT]],Data[],8,FALSE)</f>
        <v>Zone 1</v>
      </c>
      <c r="F133" s="51" t="str">
        <f>VLOOKUP(Yards[[#This Row],[DEVELOPMENT]],all[[DEVELOPMENT]:[MRST Ext. Comp. Priority]],6,FALSE)</f>
        <v>C</v>
      </c>
      <c r="G133" s="51">
        <f>VLOOKUP(Yards[[#This Row],[DEVELOPMENT]],all[[DEVELOPMENT]:[MRST Ext. Comp. Priority]],13,FALSE)</f>
        <v>4</v>
      </c>
      <c r="H133" s="50">
        <f>IF(VLOOKUP(Yards[[#This Row],[DEVELOPMENT]],Data[],9,FALSE)=0,5,VLOOKUP(Yards[[#This Row],[DEVELOPMENT]],Data[],9,FALSE))</f>
        <v>4</v>
      </c>
      <c r="I133" s="51">
        <f>VLOOKUP(Yards[[#This Row],[DEVELOPMENT]],Data[],33,FALSE)</f>
        <v>0</v>
      </c>
      <c r="J133" s="51">
        <f>VLOOKUP(Yards[[#This Row],[DEVELOPMENT]],Data[],28,FALSE)</f>
        <v>0</v>
      </c>
      <c r="K133" s="51"/>
      <c r="L133" s="50"/>
      <c r="M133" s="51" t="str">
        <f ca="1">IFERROR(VLOOKUP(Yards[[#This Row],[DEVELOPMENT]],Data[],4,FALSE),"")</f>
        <v>2026+</v>
      </c>
      <c r="N133" s="51" t="str">
        <f ca="1">IF(Yards[[#This Row],[RAD/PACT]]="","",IF(OR(Yards[[#This Row],[RAD/PACT]]="2022-2025",Yards[[#This Row],[RAD/PACT]]=2019,Yards[[#This Row],[RAD/PACT]]="2020-2021"),"Yes",""))</f>
        <v/>
      </c>
      <c r="O133" s="51" t="str">
        <f ca="1">IFERROR(VLOOKUP(Yards[[#This Row],[DEVELOPMENT]],ExtComp[],8,FALSE),"")</f>
        <v/>
      </c>
      <c r="P133" s="51"/>
      <c r="Q133" s="51"/>
      <c r="R133" s="51" t="str">
        <f>IF(ISBLANK(Yards[[#This Row],[DSGN CALENDAR YEAR]]),"",Yards[[#This Row],[DSGN CALENDAR YEAR]]+1)</f>
        <v/>
      </c>
      <c r="S133" s="51" t="str">
        <f>IF(ISBLANK(Yards[[#This Row],[DSGN FISCAL YEAR]]),"",Yards[[#This Row],[DSGN FISCAL YEAR]]+1)</f>
        <v/>
      </c>
      <c r="T133" s="51"/>
      <c r="U133" s="128">
        <f>Yards[[#This Row],[Estimate]]*0.1</f>
        <v>0</v>
      </c>
      <c r="V133" s="47">
        <f>Yards[[#This Row],[Estimate]]-Yards[[#This Row],[Design Est.]]</f>
        <v>0</v>
      </c>
      <c r="W133" s="85">
        <v>0</v>
      </c>
      <c r="X133" s="142">
        <v>0</v>
      </c>
      <c r="Y133" s="1"/>
      <c r="Z133" s="1"/>
      <c r="AA133" s="51">
        <f ca="1">COUNTIF($X$5:Yards[[#This Row],['# yards]],"&gt;0")-10</f>
        <v>74</v>
      </c>
      <c r="AB133" s="1">
        <f ca="1">IF(ISBLANK(Yards[[#This Row],[DSGN CALENDAR YEAR]]),ROUNDDOWN(Yards[[#This Row],[Count]]/24,0)+$AB$1,Yards[[#This Row],[DSGN CALENDAR YEAR]])</f>
        <v>2024</v>
      </c>
      <c r="AC133" s="16">
        <f ca="1">Yards[[#This Row],[est. DSGN Year]]+1</f>
        <v>2025</v>
      </c>
    </row>
    <row r="134" spans="1:29">
      <c r="A134" s="13" t="s">
        <v>124</v>
      </c>
      <c r="B134" s="51" t="str">
        <f>VLOOKUP(Yards[[#This Row],[DEVELOPMENT]],Data[],2,FALSE)</f>
        <v>BRONX</v>
      </c>
      <c r="C13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34" s="51" t="str">
        <f>VLOOKUP(Yards[[#This Row],[DEVELOPMENT]],Data[],52,FALSE)</f>
        <v>FEDERAL</v>
      </c>
      <c r="E134" s="50" t="str">
        <f>VLOOKUP(Yards[[#This Row],[DEVELOPMENT]],Data[],8,FALSE)</f>
        <v>Zone 3</v>
      </c>
      <c r="F134" s="51" t="str">
        <f>VLOOKUP(Yards[[#This Row],[DEVELOPMENT]],all[[DEVELOPMENT]:[MRST Ext. Comp. Priority]],6,FALSE)</f>
        <v>C</v>
      </c>
      <c r="G134" s="51">
        <f>VLOOKUP(Yards[[#This Row],[DEVELOPMENT]],all[[DEVELOPMENT]:[MRST Ext. Comp. Priority]],13,FALSE)</f>
        <v>4</v>
      </c>
      <c r="H134" s="50">
        <f>IF(VLOOKUP(Yards[[#This Row],[DEVELOPMENT]],Data[],9,FALSE)=0,5,VLOOKUP(Yards[[#This Row],[DEVELOPMENT]],Data[],9,FALSE))</f>
        <v>4</v>
      </c>
      <c r="I134" s="51">
        <f>VLOOKUP(Yards[[#This Row],[DEVELOPMENT]],Data[],33,FALSE)</f>
        <v>1</v>
      </c>
      <c r="J134" s="51">
        <f>VLOOKUP(Yards[[#This Row],[DEVELOPMENT]],Data[],28,FALSE)</f>
        <v>0</v>
      </c>
      <c r="K134" s="51"/>
      <c r="L134" s="50"/>
      <c r="M134" s="51" t="str">
        <f ca="1">IFERROR(VLOOKUP(Yards[[#This Row],[DEVELOPMENT]],Data[],4,FALSE),"")</f>
        <v>2026+</v>
      </c>
      <c r="N134" s="51" t="str">
        <f ca="1">IF(Yards[[#This Row],[RAD/PACT]]="","",IF(OR(Yards[[#This Row],[RAD/PACT]]="2022-2025",Yards[[#This Row],[RAD/PACT]]=2019,Yards[[#This Row],[RAD/PACT]]="2020-2021"),"Yes",""))</f>
        <v/>
      </c>
      <c r="O134" s="51">
        <f ca="1">IFERROR(VLOOKUP(Yards[[#This Row],[DEVELOPMENT]],ExtComp[],8,FALSE),"")</f>
        <v>12</v>
      </c>
      <c r="P134" s="51"/>
      <c r="Q134" s="51"/>
      <c r="R134" s="51" t="str">
        <f>IF(ISBLANK(Yards[[#This Row],[DSGN CALENDAR YEAR]]),"",Yards[[#This Row],[DSGN CALENDAR YEAR]]+1)</f>
        <v/>
      </c>
      <c r="S134" s="51" t="str">
        <f>IF(ISBLANK(Yards[[#This Row],[DSGN FISCAL YEAR]]),"",Yards[[#This Row],[DSGN FISCAL YEAR]]+1)</f>
        <v/>
      </c>
      <c r="T134" s="51"/>
      <c r="U134" s="128">
        <f ca="1">Yards[[#This Row],[Estimate]]*0.1</f>
        <v>212386.62609500007</v>
      </c>
      <c r="V134" s="47">
        <f ca="1">Yards[[#This Row],[Estimate]]-Yards[[#This Row],[Design Est.]]</f>
        <v>1911479.6348550003</v>
      </c>
      <c r="W134" s="85">
        <f ca="1">(Yards[[#This Row],['# yards]]*INDEX(UnitCosts[],MATCH(Yards[[#This Row],[WORK TYPE]],UnitCosts[Work Type],0),2))*(1+((Yards[[#This Row],[est. CONS Year]]-YEAR(TODAY()))*$W$3))</f>
        <v>2123866.2609500005</v>
      </c>
      <c r="X134" s="142">
        <f ca="1">IF(ISNUMBER(SEARCH("LLC",Yards[[#This Row],[PROGRAM]])),0,IF(Yards[[#This Row],[RAD/PACT by 2025]]="yes",0,1))</f>
        <v>1</v>
      </c>
      <c r="Y134" s="1"/>
      <c r="Z134" s="1"/>
      <c r="AA134" s="51">
        <f ca="1">COUNTIF($X$5:Yards[[#This Row],['# yards]],"&gt;0")-10</f>
        <v>75</v>
      </c>
      <c r="AB134" s="1">
        <f ca="1">IF(ISBLANK(Yards[[#This Row],[DSGN CALENDAR YEAR]]),ROUNDDOWN(Yards[[#This Row],[Count]]/24,0)+$AB$1,Yards[[#This Row],[DSGN CALENDAR YEAR]])</f>
        <v>2024</v>
      </c>
      <c r="AC134" s="16">
        <f ca="1">Yards[[#This Row],[est. DSGN Year]]+1</f>
        <v>2025</v>
      </c>
    </row>
    <row r="135" spans="1:29">
      <c r="A135" s="13" t="s">
        <v>139</v>
      </c>
      <c r="B135" s="51" t="str">
        <f>VLOOKUP(Yards[[#This Row],[DEVELOPMENT]],Data[],2,FALSE)</f>
        <v>BROOKLYN</v>
      </c>
      <c r="C135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35" s="51" t="str">
        <f>VLOOKUP(Yards[[#This Row],[DEVELOPMENT]],Data[],52,FALSE)</f>
        <v>FEDERAL</v>
      </c>
      <c r="E135" s="50" t="str">
        <f>VLOOKUP(Yards[[#This Row],[DEVELOPMENT]],Data[],8,FALSE)</f>
        <v>Zone 1</v>
      </c>
      <c r="F135" s="51" t="str">
        <f>VLOOKUP(Yards[[#This Row],[DEVELOPMENT]],all[[DEVELOPMENT]:[MRST Ext. Comp. Priority]],6,FALSE)</f>
        <v>C</v>
      </c>
      <c r="G135" s="51">
        <f>VLOOKUP(Yards[[#This Row],[DEVELOPMENT]],all[[DEVELOPMENT]:[MRST Ext. Comp. Priority]],13,FALSE)</f>
        <v>4</v>
      </c>
      <c r="H135" s="50">
        <f>IF(VLOOKUP(Yards[[#This Row],[DEVELOPMENT]],Data[],9,FALSE)=0,5,VLOOKUP(Yards[[#This Row],[DEVELOPMENT]],Data[],9,FALSE))</f>
        <v>4</v>
      </c>
      <c r="I135" s="51">
        <f>VLOOKUP(Yards[[#This Row],[DEVELOPMENT]],Data[],33,FALSE)</f>
        <v>0</v>
      </c>
      <c r="J135" s="51">
        <f>VLOOKUP(Yards[[#This Row],[DEVELOPMENT]],Data[],28,FALSE)</f>
        <v>0</v>
      </c>
      <c r="K135" s="51"/>
      <c r="L135" s="50"/>
      <c r="M135" s="51" t="str">
        <f ca="1">IFERROR(VLOOKUP(Yards[[#This Row],[DEVELOPMENT]],Data[],4,FALSE),"")</f>
        <v/>
      </c>
      <c r="N135" s="51" t="str">
        <f ca="1">IF(Yards[[#This Row],[RAD/PACT]]="","",IF(OR(Yards[[#This Row],[RAD/PACT]]="2022-2025",Yards[[#This Row],[RAD/PACT]]=2019,Yards[[#This Row],[RAD/PACT]]="2020-2021"),"Yes",""))</f>
        <v/>
      </c>
      <c r="O135" s="51" t="str">
        <f ca="1">IFERROR(VLOOKUP(Yards[[#This Row],[DEVELOPMENT]],ExtComp[],8,FALSE),"")</f>
        <v/>
      </c>
      <c r="P135" s="51"/>
      <c r="Q135" s="51"/>
      <c r="R135" s="51" t="str">
        <f>IF(ISBLANK(Yards[[#This Row],[DSGN CALENDAR YEAR]]),"",Yards[[#This Row],[DSGN CALENDAR YEAR]]+1)</f>
        <v/>
      </c>
      <c r="S135" s="51" t="str">
        <f>IF(ISBLANK(Yards[[#This Row],[DSGN FISCAL YEAR]]),"",Yards[[#This Row],[DSGN FISCAL YEAR]]+1)</f>
        <v/>
      </c>
      <c r="T135" s="51"/>
      <c r="U135" s="128">
        <f ca="1">Yards[[#This Row],[Estimate]]*0.1</f>
        <v>212386.62609500007</v>
      </c>
      <c r="V135" s="47">
        <f ca="1">Yards[[#This Row],[Estimate]]-Yards[[#This Row],[Design Est.]]</f>
        <v>1911479.6348550003</v>
      </c>
      <c r="W135" s="85">
        <f ca="1">(Yards[[#This Row],['# yards]]*INDEX(UnitCosts[],MATCH(Yards[[#This Row],[WORK TYPE]],UnitCosts[Work Type],0),2))*(1+((Yards[[#This Row],[est. CONS Year]]-YEAR(TODAY()))*$W$3))</f>
        <v>2123866.2609500005</v>
      </c>
      <c r="X135" s="142">
        <f ca="1">IF(ISNUMBER(SEARCH("LLC",Yards[[#This Row],[PROGRAM]])),0,IF(Yards[[#This Row],[RAD/PACT by 2025]]="yes",0,1))</f>
        <v>1</v>
      </c>
      <c r="Y135" s="1"/>
      <c r="Z135" s="1"/>
      <c r="AA135" s="51">
        <f ca="1">COUNTIF($X$5:Yards[[#This Row],['# yards]],"&gt;0")-10</f>
        <v>76</v>
      </c>
      <c r="AB135" s="1">
        <f ca="1">IF(ISBLANK(Yards[[#This Row],[DSGN CALENDAR YEAR]]),ROUNDDOWN(Yards[[#This Row],[Count]]/24,0)+$AB$1,Yards[[#This Row],[DSGN CALENDAR YEAR]])</f>
        <v>2024</v>
      </c>
      <c r="AC135" s="16">
        <f ca="1">Yards[[#This Row],[est. DSGN Year]]+1</f>
        <v>2025</v>
      </c>
    </row>
    <row r="136" spans="1:29">
      <c r="A136" s="13" t="s">
        <v>247</v>
      </c>
      <c r="B136" s="51" t="str">
        <f>VLOOKUP(Yards[[#This Row],[DEVELOPMENT]],Data[],2,FALSE)</f>
        <v>MANHATTAN</v>
      </c>
      <c r="C13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36" s="51" t="str">
        <f>VLOOKUP(Yards[[#This Row],[DEVELOPMENT]],Data[],52,FALSE)</f>
        <v>FEDERAL</v>
      </c>
      <c r="E136" s="50" t="str">
        <f>VLOOKUP(Yards[[#This Row],[DEVELOPMENT]],Data[],8,FALSE)</f>
        <v>Zone 1</v>
      </c>
      <c r="F136" s="51" t="str">
        <f>VLOOKUP(Yards[[#This Row],[DEVELOPMENT]],all[[DEVELOPMENT]:[MRST Ext. Comp. Priority]],6,FALSE)</f>
        <v>C</v>
      </c>
      <c r="G136" s="51">
        <f>VLOOKUP(Yards[[#This Row],[DEVELOPMENT]],all[[DEVELOPMENT]:[MRST Ext. Comp. Priority]],13,FALSE)</f>
        <v>4</v>
      </c>
      <c r="H136" s="50">
        <f>IF(VLOOKUP(Yards[[#This Row],[DEVELOPMENT]],Data[],9,FALSE)=0,5,VLOOKUP(Yards[[#This Row],[DEVELOPMENT]],Data[],9,FALSE))</f>
        <v>4</v>
      </c>
      <c r="I136" s="51">
        <f>VLOOKUP(Yards[[#This Row],[DEVELOPMENT]],Data[],33,FALSE)</f>
        <v>0</v>
      </c>
      <c r="J136" s="51">
        <f>VLOOKUP(Yards[[#This Row],[DEVELOPMENT]],Data[],28,FALSE)</f>
        <v>0</v>
      </c>
      <c r="K136" s="51"/>
      <c r="L136" s="50"/>
      <c r="M136" s="51" t="str">
        <f ca="1">IFERROR(VLOOKUP(Yards[[#This Row],[DEVELOPMENT]],Data[],4,FALSE),"")</f>
        <v/>
      </c>
      <c r="N136" s="51" t="str">
        <f ca="1">IF(Yards[[#This Row],[RAD/PACT]]="","",IF(OR(Yards[[#This Row],[RAD/PACT]]="2022-2025",Yards[[#This Row],[RAD/PACT]]=2019,Yards[[#This Row],[RAD/PACT]]="2020-2021"),"Yes",""))</f>
        <v/>
      </c>
      <c r="O136" s="51" t="str">
        <f ca="1">IFERROR(VLOOKUP(Yards[[#This Row],[DEVELOPMENT]],ExtComp[],8,FALSE),"")</f>
        <v/>
      </c>
      <c r="P136" s="51"/>
      <c r="Q136" s="51"/>
      <c r="R136" s="51" t="str">
        <f>IF(ISBLANK(Yards[[#This Row],[DSGN CALENDAR YEAR]]),"",Yards[[#This Row],[DSGN CALENDAR YEAR]]+1)</f>
        <v/>
      </c>
      <c r="S136" s="51" t="str">
        <f>IF(ISBLANK(Yards[[#This Row],[DSGN FISCAL YEAR]]),"",Yards[[#This Row],[DSGN FISCAL YEAR]]+1)</f>
        <v/>
      </c>
      <c r="T136" s="51"/>
      <c r="U136" s="128">
        <f ca="1">Yards[[#This Row],[Estimate]]*0.1</f>
        <v>212386.62609500007</v>
      </c>
      <c r="V136" s="47">
        <f ca="1">Yards[[#This Row],[Estimate]]-Yards[[#This Row],[Design Est.]]</f>
        <v>1911479.6348550003</v>
      </c>
      <c r="W136" s="85">
        <f ca="1">(Yards[[#This Row],['# yards]]*INDEX(UnitCosts[],MATCH(Yards[[#This Row],[WORK TYPE]],UnitCosts[Work Type],0),2))*(1+((Yards[[#This Row],[est. CONS Year]]-YEAR(TODAY()))*$W$3))</f>
        <v>2123866.2609500005</v>
      </c>
      <c r="X136" s="142">
        <f ca="1">IF(ISNUMBER(SEARCH("LLC",Yards[[#This Row],[PROGRAM]])),0,IF(Yards[[#This Row],[RAD/PACT by 2025]]="yes",0,1))</f>
        <v>1</v>
      </c>
      <c r="Y136" s="1"/>
      <c r="Z136" s="1"/>
      <c r="AA136" s="51">
        <f ca="1">COUNTIF($X$5:Yards[[#This Row],['# yards]],"&gt;0")-10</f>
        <v>77</v>
      </c>
      <c r="AB136" s="1">
        <f ca="1">IF(ISBLANK(Yards[[#This Row],[DSGN CALENDAR YEAR]]),ROUNDDOWN(Yards[[#This Row],[Count]]/24,0)+$AB$1,Yards[[#This Row],[DSGN CALENDAR YEAR]])</f>
        <v>2024</v>
      </c>
      <c r="AC136" s="16">
        <f ca="1">Yards[[#This Row],[est. DSGN Year]]+1</f>
        <v>2025</v>
      </c>
    </row>
    <row r="137" spans="1:29">
      <c r="A137" s="13" t="s">
        <v>100</v>
      </c>
      <c r="B137" s="51" t="str">
        <f>VLOOKUP(Yards[[#This Row],[DEVELOPMENT]],Data[],2,FALSE)</f>
        <v>MANHATTAN</v>
      </c>
      <c r="C13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37" s="51" t="str">
        <f>VLOOKUP(Yards[[#This Row],[DEVELOPMENT]],Data[],52,FALSE)</f>
        <v>FEDERAL</v>
      </c>
      <c r="E137" s="50" t="str">
        <f>VLOOKUP(Yards[[#This Row],[DEVELOPMENT]],Data[],8,FALSE)</f>
        <v>Zone 2</v>
      </c>
      <c r="F137" s="51" t="str">
        <f>VLOOKUP(Yards[[#This Row],[DEVELOPMENT]],all[[DEVELOPMENT]:[MRST Ext. Comp. Priority]],6,FALSE)</f>
        <v>C</v>
      </c>
      <c r="G137" s="51">
        <f>VLOOKUP(Yards[[#This Row],[DEVELOPMENT]],all[[DEVELOPMENT]:[MRST Ext. Comp. Priority]],13,FALSE)</f>
        <v>4</v>
      </c>
      <c r="H137" s="50">
        <f>IF(VLOOKUP(Yards[[#This Row],[DEVELOPMENT]],Data[],9,FALSE)=0,5,VLOOKUP(Yards[[#This Row],[DEVELOPMENT]],Data[],9,FALSE))</f>
        <v>4</v>
      </c>
      <c r="I137" s="51">
        <f>VLOOKUP(Yards[[#This Row],[DEVELOPMENT]],Data[],33,FALSE)</f>
        <v>2</v>
      </c>
      <c r="J137" s="51">
        <f>VLOOKUP(Yards[[#This Row],[DEVELOPMENT]],Data[],28,FALSE)</f>
        <v>0</v>
      </c>
      <c r="K137" s="51"/>
      <c r="L137" s="50"/>
      <c r="M137" s="51" t="str">
        <f ca="1">IFERROR(VLOOKUP(Yards[[#This Row],[DEVELOPMENT]],Data[],4,FALSE),"")</f>
        <v/>
      </c>
      <c r="N137" s="51" t="str">
        <f ca="1">IF(Yards[[#This Row],[RAD/PACT]]="","",IF(OR(Yards[[#This Row],[RAD/PACT]]="2022-2025",Yards[[#This Row],[RAD/PACT]]=2019,Yards[[#This Row],[RAD/PACT]]="2020-2021"),"Yes",""))</f>
        <v/>
      </c>
      <c r="O137" s="51" t="str">
        <f ca="1">IFERROR(VLOOKUP(Yards[[#This Row],[DEVELOPMENT]],ExtComp[],8,FALSE),"")</f>
        <v/>
      </c>
      <c r="P137" s="51"/>
      <c r="Q137" s="51"/>
      <c r="R137" s="51" t="str">
        <f>IF(ISBLANK(Yards[[#This Row],[DSGN CALENDAR YEAR]]),"",Yards[[#This Row],[DSGN CALENDAR YEAR]]+1)</f>
        <v/>
      </c>
      <c r="S137" s="51" t="str">
        <f>IF(ISBLANK(Yards[[#This Row],[DSGN FISCAL YEAR]]),"",Yards[[#This Row],[DSGN FISCAL YEAR]]+1)</f>
        <v/>
      </c>
      <c r="T137" s="51"/>
      <c r="U137" s="128">
        <f ca="1">Yards[[#This Row],[Estimate]]*0.1</f>
        <v>237400.39768875009</v>
      </c>
      <c r="V137" s="47">
        <f ca="1">Yards[[#This Row],[Estimate]]-Yards[[#This Row],[Design Est.]]</f>
        <v>2136603.5791987507</v>
      </c>
      <c r="W137" s="85">
        <f ca="1">(Yards[[#This Row],['# yards]]*INDEX(UnitCosts[],MATCH(Yards[[#This Row],[WORK TYPE]],UnitCosts[Work Type],0),2))*(1+((Yards[[#This Row],[est. CONS Year]]-YEAR(TODAY()))*$W$3))</f>
        <v>2374003.9768875008</v>
      </c>
      <c r="X137" s="142">
        <f ca="1">IF(ISNUMBER(SEARCH("LLC",Yards[[#This Row],[PROGRAM]])),0,IF(Yards[[#This Row],[RAD/PACT by 2025]]="yes",0,1))</f>
        <v>1</v>
      </c>
      <c r="Y137" s="1"/>
      <c r="Z137" s="1"/>
      <c r="AA137" s="51">
        <f ca="1">COUNTIF($X$5:Yards[[#This Row],['# yards]],"&gt;0")-10</f>
        <v>78</v>
      </c>
      <c r="AB137" s="1">
        <f ca="1">IF(ISBLANK(Yards[[#This Row],[DSGN CALENDAR YEAR]]),ROUNDDOWN(Yards[[#This Row],[Count]]/24,0)+$AB$1,Yards[[#This Row],[DSGN CALENDAR YEAR]])</f>
        <v>2024</v>
      </c>
      <c r="AC137" s="16">
        <f ca="1">Yards[[#This Row],[est. DSGN Year]]+1</f>
        <v>2025</v>
      </c>
    </row>
    <row r="138" spans="1:29" hidden="1">
      <c r="A138" s="13" t="s">
        <v>245</v>
      </c>
      <c r="B138" s="51" t="str">
        <f>VLOOKUP(Yards[[#This Row],[DEVELOPMENT]],Data[],2,FALSE)</f>
        <v>BROOKLYN</v>
      </c>
      <c r="C138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38" s="51" t="str">
        <f>VLOOKUP(Yards[[#This Row],[DEVELOPMENT]],Data[],52,FALSE)</f>
        <v>FEDERAL</v>
      </c>
      <c r="E138" s="50">
        <f>VLOOKUP(Yards[[#This Row],[DEVELOPMENT]],Data[],8,FALSE)</f>
        <v>0</v>
      </c>
      <c r="F138" s="51" t="str">
        <f>VLOOKUP(Yards[[#This Row],[DEVELOPMENT]],all[[DEVELOPMENT]:[MRST Ext. Comp. Priority]],6,FALSE)</f>
        <v>C</v>
      </c>
      <c r="G138" s="51">
        <f>VLOOKUP(Yards[[#This Row],[DEVELOPMENT]],all[[DEVELOPMENT]:[MRST Ext. Comp. Priority]],13,FALSE)</f>
        <v>4</v>
      </c>
      <c r="H138" s="50">
        <f>IF(VLOOKUP(Yards[[#This Row],[DEVELOPMENT]],Data[],9,FALSE)=0,5,VLOOKUP(Yards[[#This Row],[DEVELOPMENT]],Data[],9,FALSE))</f>
        <v>5</v>
      </c>
      <c r="I138" s="51">
        <f>VLOOKUP(Yards[[#This Row],[DEVELOPMENT]],Data[],33,FALSE)</f>
        <v>0</v>
      </c>
      <c r="J138" s="51">
        <f>VLOOKUP(Yards[[#This Row],[DEVELOPMENT]],Data[],28,FALSE)</f>
        <v>0</v>
      </c>
      <c r="K138" s="51"/>
      <c r="L138" s="50"/>
      <c r="M138" s="51" t="str">
        <f ca="1">IFERROR(VLOOKUP(Yards[[#This Row],[DEVELOPMENT]],Data[],4,FALSE),"")</f>
        <v>2022-2025</v>
      </c>
      <c r="N138" s="51" t="str">
        <f ca="1">IF(Yards[[#This Row],[RAD/PACT]]="","",IF(OR(Yards[[#This Row],[RAD/PACT]]="2022-2025",Yards[[#This Row],[RAD/PACT]]=2019,Yards[[#This Row],[RAD/PACT]]="2020-2021"),"Yes",""))</f>
        <v>Yes</v>
      </c>
      <c r="O138" s="51" t="str">
        <f ca="1">IFERROR(VLOOKUP(Yards[[#This Row],[DEVELOPMENT]],ExtComp[],8,FALSE),"")</f>
        <v/>
      </c>
      <c r="P138" s="51"/>
      <c r="Q138" s="51"/>
      <c r="R138" s="51" t="str">
        <f>IF(ISBLANK(Yards[[#This Row],[DSGN CALENDAR YEAR]]),"",Yards[[#This Row],[DSGN CALENDAR YEAR]]+1)</f>
        <v/>
      </c>
      <c r="S138" s="51" t="str">
        <f>IF(ISBLANK(Yards[[#This Row],[DSGN FISCAL YEAR]]),"",Yards[[#This Row],[DSGN FISCAL YEAR]]+1)</f>
        <v/>
      </c>
      <c r="T138" s="51"/>
      <c r="U138" s="128">
        <f ca="1">Yards[[#This Row],[Estimate]]*0.1</f>
        <v>0</v>
      </c>
      <c r="V138" s="47">
        <f ca="1">Yards[[#This Row],[Estimate]]-Yards[[#This Row],[Design Est.]]</f>
        <v>0</v>
      </c>
      <c r="W138" s="85">
        <f ca="1">(Yards[[#This Row],['# yards]]*INDEX(UnitCosts[],MATCH(Yards[[#This Row],[WORK TYPE]],UnitCosts[Work Type],0),2))*(1+((Yards[[#This Row],[est. CONS Year]]-YEAR(TODAY()))*$W$3))</f>
        <v>0</v>
      </c>
      <c r="X138" s="142">
        <f ca="1">IF(ISNUMBER(SEARCH("LLC",Yards[[#This Row],[PROGRAM]])),0,IF(Yards[[#This Row],[RAD/PACT by 2025]]="yes",0,1))</f>
        <v>0</v>
      </c>
      <c r="Y138" s="1"/>
      <c r="Z138" s="1"/>
      <c r="AA138" s="51">
        <f ca="1">COUNTIF($X$5:Yards[[#This Row],['# yards]],"&gt;0")-10</f>
        <v>78</v>
      </c>
      <c r="AB138" s="1">
        <f ca="1">IF(ISBLANK(Yards[[#This Row],[DSGN CALENDAR YEAR]]),ROUNDDOWN(Yards[[#This Row],[Count]]/24,0)+$AB$1,Yards[[#This Row],[DSGN CALENDAR YEAR]])</f>
        <v>2024</v>
      </c>
      <c r="AC138" s="16">
        <f ca="1">Yards[[#This Row],[est. DSGN Year]]+1</f>
        <v>2025</v>
      </c>
    </row>
    <row r="139" spans="1:29" hidden="1">
      <c r="A139" s="13" t="s">
        <v>246</v>
      </c>
      <c r="B139" s="51" t="str">
        <f>VLOOKUP(Yards[[#This Row],[DEVELOPMENT]],Data[],2,FALSE)</f>
        <v>BROOKLYN</v>
      </c>
      <c r="C139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39" s="51" t="str">
        <f>VLOOKUP(Yards[[#This Row],[DEVELOPMENT]],Data[],52,FALSE)</f>
        <v>FEDERAL</v>
      </c>
      <c r="E139" s="50" t="str">
        <f>VLOOKUP(Yards[[#This Row],[DEVELOPMENT]],Data[],8,FALSE)</f>
        <v>Zone 4</v>
      </c>
      <c r="F139" s="51" t="str">
        <f>VLOOKUP(Yards[[#This Row],[DEVELOPMENT]],all[[DEVELOPMENT]:[MRST Ext. Comp. Priority]],6,FALSE)</f>
        <v>C</v>
      </c>
      <c r="G139" s="51">
        <f>VLOOKUP(Yards[[#This Row],[DEVELOPMENT]],all[[DEVELOPMENT]:[MRST Ext. Comp. Priority]],13,FALSE)</f>
        <v>4</v>
      </c>
      <c r="H139" s="50">
        <f>IF(VLOOKUP(Yards[[#This Row],[DEVELOPMENT]],Data[],9,FALSE)=0,5,VLOOKUP(Yards[[#This Row],[DEVELOPMENT]],Data[],9,FALSE))</f>
        <v>5</v>
      </c>
      <c r="I139" s="51">
        <f>VLOOKUP(Yards[[#This Row],[DEVELOPMENT]],Data[],33,FALSE)</f>
        <v>0</v>
      </c>
      <c r="J139" s="51">
        <f>VLOOKUP(Yards[[#This Row],[DEVELOPMENT]],Data[],28,FALSE)</f>
        <v>0</v>
      </c>
      <c r="K139" s="51"/>
      <c r="L139" s="50"/>
      <c r="M139" s="51" t="str">
        <f ca="1">IFERROR(VLOOKUP(Yards[[#This Row],[DEVELOPMENT]],Data[],4,FALSE),"")</f>
        <v>2022-2025</v>
      </c>
      <c r="N139" s="51" t="str">
        <f ca="1">IF(Yards[[#This Row],[RAD/PACT]]="","",IF(OR(Yards[[#This Row],[RAD/PACT]]="2022-2025",Yards[[#This Row],[RAD/PACT]]=2019,Yards[[#This Row],[RAD/PACT]]="2020-2021"),"Yes",""))</f>
        <v>Yes</v>
      </c>
      <c r="O139" s="51" t="str">
        <f ca="1">IFERROR(VLOOKUP(Yards[[#This Row],[DEVELOPMENT]],ExtComp[],8,FALSE),"")</f>
        <v/>
      </c>
      <c r="P139" s="51"/>
      <c r="Q139" s="51"/>
      <c r="R139" s="51" t="str">
        <f>IF(ISBLANK(Yards[[#This Row],[DSGN CALENDAR YEAR]]),"",Yards[[#This Row],[DSGN CALENDAR YEAR]]+1)</f>
        <v/>
      </c>
      <c r="S139" s="51" t="str">
        <f>IF(ISBLANK(Yards[[#This Row],[DSGN FISCAL YEAR]]),"",Yards[[#This Row],[DSGN FISCAL YEAR]]+1)</f>
        <v/>
      </c>
      <c r="T139" s="51"/>
      <c r="U139" s="128">
        <f ca="1">Yards[[#This Row],[Estimate]]*0.1</f>
        <v>0</v>
      </c>
      <c r="V139" s="47">
        <f ca="1">Yards[[#This Row],[Estimate]]-Yards[[#This Row],[Design Est.]]</f>
        <v>0</v>
      </c>
      <c r="W139" s="85">
        <f ca="1">(Yards[[#This Row],['# yards]]*INDEX(UnitCosts[],MATCH(Yards[[#This Row],[WORK TYPE]],UnitCosts[Work Type],0),2))*(1+((Yards[[#This Row],[est. CONS Year]]-YEAR(TODAY()))*$W$3))</f>
        <v>0</v>
      </c>
      <c r="X139" s="142">
        <f ca="1">IF(ISNUMBER(SEARCH("LLC",Yards[[#This Row],[PROGRAM]])),0,IF(Yards[[#This Row],[RAD/PACT by 2025]]="yes",0,1))</f>
        <v>0</v>
      </c>
      <c r="Y139" s="1"/>
      <c r="Z139" s="1"/>
      <c r="AA139" s="51">
        <f ca="1">COUNTIF($X$5:Yards[[#This Row],['# yards]],"&gt;0")-10</f>
        <v>78</v>
      </c>
      <c r="AB139" s="1">
        <f ca="1">IF(ISBLANK(Yards[[#This Row],[DSGN CALENDAR YEAR]]),ROUNDDOWN(Yards[[#This Row],[Count]]/24,0)+$AB$1,Yards[[#This Row],[DSGN CALENDAR YEAR]])</f>
        <v>2024</v>
      </c>
      <c r="AC139" s="16">
        <f ca="1">Yards[[#This Row],[est. DSGN Year]]+1</f>
        <v>2025</v>
      </c>
    </row>
    <row r="140" spans="1:29" hidden="1">
      <c r="A140" s="13" t="s">
        <v>241</v>
      </c>
      <c r="B140" s="51">
        <f>VLOOKUP(Yards[[#This Row],[DEVELOPMENT]],Data[],2,FALSE)</f>
        <v>0</v>
      </c>
      <c r="C140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40" s="51" t="str">
        <f>VLOOKUP(Yards[[#This Row],[DEVELOPMENT]],Data[],52,FALSE)</f>
        <v>FEDERAL</v>
      </c>
      <c r="E140" s="50">
        <f>VLOOKUP(Yards[[#This Row],[DEVELOPMENT]],Data[],8,FALSE)</f>
        <v>0</v>
      </c>
      <c r="F140" s="51" t="str">
        <f>VLOOKUP(Yards[[#This Row],[DEVELOPMENT]],all[[DEVELOPMENT]:[MRST Ext. Comp. Priority]],6,FALSE)</f>
        <v>C</v>
      </c>
      <c r="G140" s="51">
        <f>VLOOKUP(Yards[[#This Row],[DEVELOPMENT]],all[[DEVELOPMENT]:[MRST Ext. Comp. Priority]],13,FALSE)</f>
        <v>4</v>
      </c>
      <c r="H140" s="50">
        <f>IF(VLOOKUP(Yards[[#This Row],[DEVELOPMENT]],Data[],9,FALSE)=0,5,VLOOKUP(Yards[[#This Row],[DEVELOPMENT]],Data[],9,FALSE))</f>
        <v>5</v>
      </c>
      <c r="I140" s="51">
        <f>VLOOKUP(Yards[[#This Row],[DEVELOPMENT]],Data[],33,FALSE)</f>
        <v>0</v>
      </c>
      <c r="J140" s="51">
        <f>VLOOKUP(Yards[[#This Row],[DEVELOPMENT]],Data[],28,FALSE)</f>
        <v>0</v>
      </c>
      <c r="K140" s="51"/>
      <c r="L140" s="50"/>
      <c r="M140" s="51" t="str">
        <f ca="1">IFERROR(VLOOKUP(Yards[[#This Row],[DEVELOPMENT]],Data[],4,FALSE),"")</f>
        <v/>
      </c>
      <c r="N140" s="51" t="str">
        <f ca="1">IF(Yards[[#This Row],[RAD/PACT]]="","",IF(OR(Yards[[#This Row],[RAD/PACT]]="2022-2025",Yards[[#This Row],[RAD/PACT]]=2019,Yards[[#This Row],[RAD/PACT]]="2020-2021"),"Yes",""))</f>
        <v/>
      </c>
      <c r="O140" s="51" t="str">
        <f ca="1">IFERROR(VLOOKUP(Yards[[#This Row],[DEVELOPMENT]],ExtComp[],8,FALSE),"")</f>
        <v/>
      </c>
      <c r="P140" s="51"/>
      <c r="Q140" s="51"/>
      <c r="R140" s="51" t="str">
        <f>IF(ISBLANK(Yards[[#This Row],[DSGN CALENDAR YEAR]]),"",Yards[[#This Row],[DSGN CALENDAR YEAR]]+1)</f>
        <v/>
      </c>
      <c r="S140" s="51" t="str">
        <f>IF(ISBLANK(Yards[[#This Row],[DSGN FISCAL YEAR]]),"",Yards[[#This Row],[DSGN FISCAL YEAR]]+1)</f>
        <v/>
      </c>
      <c r="T140" s="51"/>
      <c r="U140" s="128">
        <f>Yards[[#This Row],[Estimate]]*0.1</f>
        <v>0</v>
      </c>
      <c r="V140" s="47">
        <f>Yards[[#This Row],[Estimate]]-Yards[[#This Row],[Design Est.]]</f>
        <v>0</v>
      </c>
      <c r="W140" s="85"/>
      <c r="X140" s="142"/>
      <c r="Y140" s="1"/>
      <c r="Z140" s="1" t="s">
        <v>2299</v>
      </c>
      <c r="AA140" s="51">
        <f ca="1">COUNTIF($X$5:Yards[[#This Row],['# yards]],"&gt;0")-10</f>
        <v>78</v>
      </c>
      <c r="AB140" s="1">
        <f ca="1">IF(ISBLANK(Yards[[#This Row],[DSGN CALENDAR YEAR]]),ROUNDDOWN(Yards[[#This Row],[Count]]/24,0)+$AB$1,Yards[[#This Row],[DSGN CALENDAR YEAR]])</f>
        <v>2024</v>
      </c>
      <c r="AC140" s="16">
        <f ca="1">Yards[[#This Row],[est. DSGN Year]]+1</f>
        <v>2025</v>
      </c>
    </row>
    <row r="141" spans="1:29">
      <c r="A141" s="13" t="s">
        <v>227</v>
      </c>
      <c r="B141" s="51" t="str">
        <f>VLOOKUP(Yards[[#This Row],[DEVELOPMENT]],Data[],2,FALSE)</f>
        <v>BRONX</v>
      </c>
      <c r="C141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41" s="51" t="str">
        <f>VLOOKUP(Yards[[#This Row],[DEVELOPMENT]],Data[],52,FALSE)</f>
        <v>FEDERAL</v>
      </c>
      <c r="E141" s="50" t="str">
        <f>VLOOKUP(Yards[[#This Row],[DEVELOPMENT]],Data[],8,FALSE)</f>
        <v>Zone 3</v>
      </c>
      <c r="F141" s="51" t="str">
        <f>VLOOKUP(Yards[[#This Row],[DEVELOPMENT]],all[[DEVELOPMENT]:[MRST Ext. Comp. Priority]],6,FALSE)</f>
        <v>C</v>
      </c>
      <c r="G141" s="51">
        <f>VLOOKUP(Yards[[#This Row],[DEVELOPMENT]],all[[DEVELOPMENT]:[MRST Ext. Comp. Priority]],13,FALSE)</f>
        <v>4</v>
      </c>
      <c r="H141" s="50">
        <f>IF(VLOOKUP(Yards[[#This Row],[DEVELOPMENT]],Data[],9,FALSE)=0,5,VLOOKUP(Yards[[#This Row],[DEVELOPMENT]],Data[],9,FALSE))</f>
        <v>5</v>
      </c>
      <c r="I141" s="51">
        <f>VLOOKUP(Yards[[#This Row],[DEVELOPMENT]],Data[],33,FALSE)</f>
        <v>0</v>
      </c>
      <c r="J141" s="51">
        <f>VLOOKUP(Yards[[#This Row],[DEVELOPMENT]],Data[],28,FALSE)</f>
        <v>0</v>
      </c>
      <c r="K141" s="51"/>
      <c r="L141" s="50"/>
      <c r="M141" s="51" t="str">
        <f ca="1">IFERROR(VLOOKUP(Yards[[#This Row],[DEVELOPMENT]],Data[],4,FALSE),"")</f>
        <v>2026+</v>
      </c>
      <c r="N141" s="51" t="str">
        <f ca="1">IF(Yards[[#This Row],[RAD/PACT]]="","",IF(OR(Yards[[#This Row],[RAD/PACT]]="2022-2025",Yards[[#This Row],[RAD/PACT]]=2019,Yards[[#This Row],[RAD/PACT]]="2020-2021"),"Yes",""))</f>
        <v/>
      </c>
      <c r="O141" s="51" t="str">
        <f ca="1">IFERROR(VLOOKUP(Yards[[#This Row],[DEVELOPMENT]],ExtComp[],8,FALSE),"")</f>
        <v/>
      </c>
      <c r="P141" s="51"/>
      <c r="Q141" s="51"/>
      <c r="R141" s="51" t="str">
        <f>IF(ISBLANK(Yards[[#This Row],[DSGN CALENDAR YEAR]]),"",Yards[[#This Row],[DSGN CALENDAR YEAR]]+1)</f>
        <v/>
      </c>
      <c r="S141" s="51" t="str">
        <f>IF(ISBLANK(Yards[[#This Row],[DSGN FISCAL YEAR]]),"",Yards[[#This Row],[DSGN FISCAL YEAR]]+1)</f>
        <v/>
      </c>
      <c r="T141" s="51"/>
      <c r="U141" s="128">
        <f ca="1">Yards[[#This Row],[Estimate]]*0.1</f>
        <v>212386.62609500007</v>
      </c>
      <c r="V141" s="47">
        <f ca="1">Yards[[#This Row],[Estimate]]-Yards[[#This Row],[Design Est.]]</f>
        <v>1911479.6348550003</v>
      </c>
      <c r="W141" s="85">
        <f ca="1">(Yards[[#This Row],['# yards]]*INDEX(UnitCosts[],MATCH(Yards[[#This Row],[WORK TYPE]],UnitCosts[Work Type],0),2))*(1+((Yards[[#This Row],[est. CONS Year]]-YEAR(TODAY()))*$W$3))</f>
        <v>2123866.2609500005</v>
      </c>
      <c r="X141" s="142">
        <f ca="1">IF(ISNUMBER(SEARCH("LLC",Yards[[#This Row],[PROGRAM]])),0,IF(Yards[[#This Row],[RAD/PACT by 2025]]="yes",0,1))</f>
        <v>1</v>
      </c>
      <c r="Y141" s="1"/>
      <c r="Z141" s="1"/>
      <c r="AA141" s="51">
        <f ca="1">COUNTIF($X$5:Yards[[#This Row],['# yards]],"&gt;0")-10</f>
        <v>79</v>
      </c>
      <c r="AB141" s="1">
        <f ca="1">IF(ISBLANK(Yards[[#This Row],[DSGN CALENDAR YEAR]]),ROUNDDOWN(Yards[[#This Row],[Count]]/24,0)+$AB$1,Yards[[#This Row],[DSGN CALENDAR YEAR]])</f>
        <v>2024</v>
      </c>
      <c r="AC141" s="16">
        <f ca="1">Yards[[#This Row],[est. DSGN Year]]+1</f>
        <v>2025</v>
      </c>
    </row>
    <row r="142" spans="1:29">
      <c r="A142" s="13" t="s">
        <v>233</v>
      </c>
      <c r="B142" s="51" t="str">
        <f>VLOOKUP(Yards[[#This Row],[DEVELOPMENT]],Data[],2,FALSE)</f>
        <v>QUEENS</v>
      </c>
      <c r="C14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42" s="51" t="str">
        <f>VLOOKUP(Yards[[#This Row],[DEVELOPMENT]],Data[],52,FALSE)</f>
        <v>FEDERAL</v>
      </c>
      <c r="E142" s="50">
        <f>VLOOKUP(Yards[[#This Row],[DEVELOPMENT]],Data[],8,FALSE)</f>
        <v>0</v>
      </c>
      <c r="F142" s="51" t="str">
        <f>VLOOKUP(Yards[[#This Row],[DEVELOPMENT]],all[[DEVELOPMENT]:[MRST Ext. Comp. Priority]],6,FALSE)</f>
        <v>C</v>
      </c>
      <c r="G142" s="51">
        <f>VLOOKUP(Yards[[#This Row],[DEVELOPMENT]],all[[DEVELOPMENT]:[MRST Ext. Comp. Priority]],13,FALSE)</f>
        <v>4</v>
      </c>
      <c r="H142" s="50">
        <f>IF(VLOOKUP(Yards[[#This Row],[DEVELOPMENT]],Data[],9,FALSE)=0,5,VLOOKUP(Yards[[#This Row],[DEVELOPMENT]],Data[],9,FALSE))</f>
        <v>5</v>
      </c>
      <c r="I142" s="51">
        <f>VLOOKUP(Yards[[#This Row],[DEVELOPMENT]],Data[],33,FALSE)</f>
        <v>0</v>
      </c>
      <c r="J142" s="51">
        <f>VLOOKUP(Yards[[#This Row],[DEVELOPMENT]],Data[],28,FALSE)</f>
        <v>0</v>
      </c>
      <c r="K142" s="51"/>
      <c r="L142" s="50"/>
      <c r="M142" s="51" t="str">
        <f ca="1">IFERROR(VLOOKUP(Yards[[#This Row],[DEVELOPMENT]],Data[],4,FALSE),"")</f>
        <v/>
      </c>
      <c r="N142" s="51" t="str">
        <f ca="1">IF(Yards[[#This Row],[RAD/PACT]]="","",IF(OR(Yards[[#This Row],[RAD/PACT]]="2022-2025",Yards[[#This Row],[RAD/PACT]]=2019,Yards[[#This Row],[RAD/PACT]]="2020-2021"),"Yes",""))</f>
        <v/>
      </c>
      <c r="O142" s="51" t="str">
        <f ca="1">IFERROR(VLOOKUP(Yards[[#This Row],[DEVELOPMENT]],ExtComp[],8,FALSE),"")</f>
        <v/>
      </c>
      <c r="P142" s="51"/>
      <c r="Q142" s="51"/>
      <c r="R142" s="51" t="str">
        <f>IF(ISBLANK(Yards[[#This Row],[DSGN CALENDAR YEAR]]),"",Yards[[#This Row],[DSGN CALENDAR YEAR]]+1)</f>
        <v/>
      </c>
      <c r="S142" s="51" t="str">
        <f>IF(ISBLANK(Yards[[#This Row],[DSGN FISCAL YEAR]]),"",Yards[[#This Row],[DSGN FISCAL YEAR]]+1)</f>
        <v/>
      </c>
      <c r="T142" s="51"/>
      <c r="U142" s="128">
        <f ca="1">Yards[[#This Row],[Estimate]]*0.1</f>
        <v>212386.62609500007</v>
      </c>
      <c r="V142" s="47">
        <f ca="1">Yards[[#This Row],[Estimate]]-Yards[[#This Row],[Design Est.]]</f>
        <v>1911479.6348550003</v>
      </c>
      <c r="W142" s="85">
        <f ca="1">(Yards[[#This Row],['# yards]]*INDEX(UnitCosts[],MATCH(Yards[[#This Row],[WORK TYPE]],UnitCosts[Work Type],0),2))*(1+((Yards[[#This Row],[est. CONS Year]]-YEAR(TODAY()))*$W$3))</f>
        <v>2123866.2609500005</v>
      </c>
      <c r="X142" s="142">
        <f ca="1">IF(ISNUMBER(SEARCH("LLC",Yards[[#This Row],[PROGRAM]])),0,IF(Yards[[#This Row],[RAD/PACT by 2025]]="yes",0,1))</f>
        <v>1</v>
      </c>
      <c r="Y142" s="1"/>
      <c r="Z142" s="1"/>
      <c r="AA142" s="51">
        <f ca="1">COUNTIF($X$5:Yards[[#This Row],['# yards]],"&gt;0")-10</f>
        <v>80</v>
      </c>
      <c r="AB142" s="1">
        <f ca="1">IF(ISBLANK(Yards[[#This Row],[DSGN CALENDAR YEAR]]),ROUNDDOWN(Yards[[#This Row],[Count]]/24,0)+$AB$1,Yards[[#This Row],[DSGN CALENDAR YEAR]])</f>
        <v>2024</v>
      </c>
      <c r="AC142" s="16">
        <f ca="1">Yards[[#This Row],[est. DSGN Year]]+1</f>
        <v>2025</v>
      </c>
    </row>
    <row r="143" spans="1:29">
      <c r="A143" s="13" t="s">
        <v>274</v>
      </c>
      <c r="B143" s="51" t="str">
        <f>VLOOKUP(Yards[[#This Row],[DEVELOPMENT]],Data[],2,FALSE)</f>
        <v>MANHATTAN</v>
      </c>
      <c r="C143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43" s="51" t="str">
        <f>VLOOKUP(Yards[[#This Row],[DEVELOPMENT]],Data[],52,FALSE)</f>
        <v>FEDERAL</v>
      </c>
      <c r="E143" s="50" t="str">
        <f>VLOOKUP(Yards[[#This Row],[DEVELOPMENT]],Data[],8,FALSE)</f>
        <v>Zone 3</v>
      </c>
      <c r="F143" s="51" t="str">
        <f>VLOOKUP(Yards[[#This Row],[DEVELOPMENT]],all[[DEVELOPMENT]:[MRST Ext. Comp. Priority]],6,FALSE)</f>
        <v>C</v>
      </c>
      <c r="G143" s="51">
        <f>VLOOKUP(Yards[[#This Row],[DEVELOPMENT]],all[[DEVELOPMENT]:[MRST Ext. Comp. Priority]],13,FALSE)</f>
        <v>4</v>
      </c>
      <c r="H143" s="50">
        <f>IF(VLOOKUP(Yards[[#This Row],[DEVELOPMENT]],Data[],9,FALSE)=0,5,VLOOKUP(Yards[[#This Row],[DEVELOPMENT]],Data[],9,FALSE))</f>
        <v>5</v>
      </c>
      <c r="I143" s="51">
        <f>VLOOKUP(Yards[[#This Row],[DEVELOPMENT]],Data[],33,FALSE)</f>
        <v>0</v>
      </c>
      <c r="J143" s="51">
        <f>VLOOKUP(Yards[[#This Row],[DEVELOPMENT]],Data[],28,FALSE)</f>
        <v>0</v>
      </c>
      <c r="K143" s="51"/>
      <c r="L143" s="50"/>
      <c r="M143" s="51" t="str">
        <f ca="1">IFERROR(VLOOKUP(Yards[[#This Row],[DEVELOPMENT]],Data[],4,FALSE),"")</f>
        <v/>
      </c>
      <c r="N143" s="51" t="str">
        <f ca="1">IF(Yards[[#This Row],[RAD/PACT]]="","",IF(OR(Yards[[#This Row],[RAD/PACT]]="2022-2025",Yards[[#This Row],[RAD/PACT]]=2019,Yards[[#This Row],[RAD/PACT]]="2020-2021"),"Yes",""))</f>
        <v/>
      </c>
      <c r="O143" s="51" t="str">
        <f ca="1">IFERROR(VLOOKUP(Yards[[#This Row],[DEVELOPMENT]],ExtComp[],8,FALSE),"")</f>
        <v/>
      </c>
      <c r="P143" s="51"/>
      <c r="Q143" s="51"/>
      <c r="R143" s="51" t="str">
        <f>IF(ISBLANK(Yards[[#This Row],[DSGN CALENDAR YEAR]]),"",Yards[[#This Row],[DSGN CALENDAR YEAR]]+1)</f>
        <v/>
      </c>
      <c r="S143" s="51" t="str">
        <f>IF(ISBLANK(Yards[[#This Row],[DSGN FISCAL YEAR]]),"",Yards[[#This Row],[DSGN FISCAL YEAR]]+1)</f>
        <v/>
      </c>
      <c r="T143" s="51"/>
      <c r="U143" s="128">
        <f ca="1">Yards[[#This Row],[Estimate]]*0.1</f>
        <v>212386.62609500007</v>
      </c>
      <c r="V143" s="47">
        <f ca="1">Yards[[#This Row],[Estimate]]-Yards[[#This Row],[Design Est.]]</f>
        <v>1911479.6348550003</v>
      </c>
      <c r="W143" s="85">
        <f ca="1">(Yards[[#This Row],['# yards]]*INDEX(UnitCosts[],MATCH(Yards[[#This Row],[WORK TYPE]],UnitCosts[Work Type],0),2))*(1+((Yards[[#This Row],[est. CONS Year]]-YEAR(TODAY()))*$W$3))</f>
        <v>2123866.2609500005</v>
      </c>
      <c r="X143" s="142">
        <f ca="1">IF(ISNUMBER(SEARCH("LLC",Yards[[#This Row],[PROGRAM]])),0,IF(Yards[[#This Row],[RAD/PACT by 2025]]="yes",0,1))</f>
        <v>1</v>
      </c>
      <c r="Y143" s="1"/>
      <c r="Z143" s="1"/>
      <c r="AA143" s="51">
        <f ca="1">COUNTIF($X$5:Yards[[#This Row],['# yards]],"&gt;0")-10</f>
        <v>81</v>
      </c>
      <c r="AB143" s="1">
        <f ca="1">IF(ISBLANK(Yards[[#This Row],[DSGN CALENDAR YEAR]]),ROUNDDOWN(Yards[[#This Row],[Count]]/24,0)+$AB$1,Yards[[#This Row],[DSGN CALENDAR YEAR]])</f>
        <v>2024</v>
      </c>
      <c r="AC143" s="16">
        <f ca="1">Yards[[#This Row],[est. DSGN Year]]+1</f>
        <v>2025</v>
      </c>
    </row>
    <row r="144" spans="1:29">
      <c r="A144" s="13" t="s">
        <v>236</v>
      </c>
      <c r="B144" s="51" t="str">
        <f>VLOOKUP(Yards[[#This Row],[DEVELOPMENT]],Data[],2,FALSE)</f>
        <v>BROOKLYN</v>
      </c>
      <c r="C144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44" s="51" t="str">
        <f>VLOOKUP(Yards[[#This Row],[DEVELOPMENT]],Data[],52,FALSE)</f>
        <v>FEDERAL</v>
      </c>
      <c r="E144" s="50">
        <f>VLOOKUP(Yards[[#This Row],[DEVELOPMENT]],Data[],8,FALSE)</f>
        <v>0</v>
      </c>
      <c r="F144" s="51" t="str">
        <f>VLOOKUP(Yards[[#This Row],[DEVELOPMENT]],all[[DEVELOPMENT]:[MRST Ext. Comp. Priority]],6,FALSE)</f>
        <v>C</v>
      </c>
      <c r="G144" s="51">
        <f>VLOOKUP(Yards[[#This Row],[DEVELOPMENT]],all[[DEVELOPMENT]:[MRST Ext. Comp. Priority]],13,FALSE)</f>
        <v>4</v>
      </c>
      <c r="H144" s="50">
        <f>IF(VLOOKUP(Yards[[#This Row],[DEVELOPMENT]],Data[],9,FALSE)=0,5,VLOOKUP(Yards[[#This Row],[DEVELOPMENT]],Data[],9,FALSE))</f>
        <v>5</v>
      </c>
      <c r="I144" s="51">
        <f>VLOOKUP(Yards[[#This Row],[DEVELOPMENT]],Data[],33,FALSE)</f>
        <v>0</v>
      </c>
      <c r="J144" s="51">
        <f>VLOOKUP(Yards[[#This Row],[DEVELOPMENT]],Data[],28,FALSE)</f>
        <v>0</v>
      </c>
      <c r="K144" s="51"/>
      <c r="L144" s="50"/>
      <c r="M144" s="51" t="str">
        <f ca="1">IFERROR(VLOOKUP(Yards[[#This Row],[DEVELOPMENT]],Data[],4,FALSE),"")</f>
        <v>2026+</v>
      </c>
      <c r="N144" s="51" t="str">
        <f ca="1">IF(Yards[[#This Row],[RAD/PACT]]="","",IF(OR(Yards[[#This Row],[RAD/PACT]]="2022-2025",Yards[[#This Row],[RAD/PACT]]=2019,Yards[[#This Row],[RAD/PACT]]="2020-2021"),"Yes",""))</f>
        <v/>
      </c>
      <c r="O144" s="51" t="str">
        <f ca="1">IFERROR(VLOOKUP(Yards[[#This Row],[DEVELOPMENT]],ExtComp[],8,FALSE),"")</f>
        <v/>
      </c>
      <c r="P144" s="51"/>
      <c r="Q144" s="51"/>
      <c r="R144" s="51" t="str">
        <f>IF(ISBLANK(Yards[[#This Row],[DSGN CALENDAR YEAR]]),"",Yards[[#This Row],[DSGN CALENDAR YEAR]]+1)</f>
        <v/>
      </c>
      <c r="S144" s="51" t="str">
        <f>IF(ISBLANK(Yards[[#This Row],[DSGN FISCAL YEAR]]),"",Yards[[#This Row],[DSGN FISCAL YEAR]]+1)</f>
        <v/>
      </c>
      <c r="T144" s="51"/>
      <c r="U144" s="128">
        <f ca="1">Yards[[#This Row],[Estimate]]*0.1</f>
        <v>212386.62609500007</v>
      </c>
      <c r="V144" s="47">
        <f ca="1">Yards[[#This Row],[Estimate]]-Yards[[#This Row],[Design Est.]]</f>
        <v>1911479.6348550003</v>
      </c>
      <c r="W144" s="85">
        <f ca="1">(Yards[[#This Row],['# yards]]*INDEX(UnitCosts[],MATCH(Yards[[#This Row],[WORK TYPE]],UnitCosts[Work Type],0),2))*(1+((Yards[[#This Row],[est. CONS Year]]-YEAR(TODAY()))*$W$3))</f>
        <v>2123866.2609500005</v>
      </c>
      <c r="X144" s="142">
        <f ca="1">IF(ISNUMBER(SEARCH("LLC",Yards[[#This Row],[PROGRAM]])),0,IF(Yards[[#This Row],[RAD/PACT by 2025]]="yes",0,1))</f>
        <v>1</v>
      </c>
      <c r="Y144" s="1"/>
      <c r="Z144" s="1"/>
      <c r="AA144" s="51">
        <f ca="1">COUNTIF($X$5:Yards[[#This Row],['# yards]],"&gt;0")-10</f>
        <v>82</v>
      </c>
      <c r="AB144" s="1">
        <f ca="1">IF(ISBLANK(Yards[[#This Row],[DSGN CALENDAR YEAR]]),ROUNDDOWN(Yards[[#This Row],[Count]]/24,0)+$AB$1,Yards[[#This Row],[DSGN CALENDAR YEAR]])</f>
        <v>2024</v>
      </c>
      <c r="AC144" s="16">
        <f ca="1">Yards[[#This Row],[est. DSGN Year]]+1</f>
        <v>2025</v>
      </c>
    </row>
    <row r="145" spans="1:29" hidden="1">
      <c r="A145" s="13" t="s">
        <v>77</v>
      </c>
      <c r="B145" s="1" t="str">
        <f>VLOOKUP(Yards[[#This Row],[DEVELOPMENT]],Data[],2,FALSE)</f>
        <v>MANHATTAN</v>
      </c>
      <c r="C14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45" s="51" t="str">
        <f>VLOOKUP(Yards[[#This Row],[DEVELOPMENT]],Data[],52,FALSE)</f>
        <v>MIXED FINANCE/LLC1</v>
      </c>
      <c r="E145" s="9" t="str">
        <f>VLOOKUP(Yards[[#This Row],[DEVELOPMENT]],Data[],8,FALSE)</f>
        <v>Zone 2</v>
      </c>
      <c r="F145" s="51" t="str">
        <f>VLOOKUP(Yards[[#This Row],[DEVELOPMENT]],all[[DEVELOPMENT]:[MRST Ext. Comp. Priority]],6,FALSE)</f>
        <v>C</v>
      </c>
      <c r="G145" s="51" t="str">
        <f>VLOOKUP(Yards[[#This Row],[DEVELOPMENT]],all[[DEVELOPMENT]:[MRST Ext. Comp. Priority]],13,FALSE)</f>
        <v>None</v>
      </c>
      <c r="H145" s="9">
        <f>IF(VLOOKUP(Yards[[#This Row],[DEVELOPMENT]],Data[],9,FALSE)=0,5,VLOOKUP(Yards[[#This Row],[DEVELOPMENT]],Data[],9,FALSE))</f>
        <v>4</v>
      </c>
      <c r="I145" s="51">
        <f>VLOOKUP(Yards[[#This Row],[DEVELOPMENT]],Data[],33,FALSE)</f>
        <v>2</v>
      </c>
      <c r="J145" s="51">
        <f>VLOOKUP(Yards[[#This Row],[DEVELOPMENT]],Data[],28,FALSE)</f>
        <v>0</v>
      </c>
      <c r="K145" s="51"/>
      <c r="L145" s="9">
        <v>1</v>
      </c>
      <c r="M145" s="1" t="str">
        <f ca="1">IFERROR(VLOOKUP(Yards[[#This Row],[DEVELOPMENT]],Data[],4,FALSE),"")</f>
        <v/>
      </c>
      <c r="N145" s="1" t="str">
        <f ca="1">IF(Yards[[#This Row],[RAD/PACT]]="","",IF(OR(Yards[[#This Row],[RAD/PACT]]="2022-2025",Yards[[#This Row],[RAD/PACT]]=2019,Yards[[#This Row],[RAD/PACT]]="2020-2021"),"Yes",""))</f>
        <v/>
      </c>
      <c r="O145" s="1">
        <f ca="1">IFERROR(VLOOKUP(Yards[[#This Row],[DEVELOPMENT]],ExtComp[],8,FALSE),"")</f>
        <v>20</v>
      </c>
      <c r="P145" s="1"/>
      <c r="Q145" s="1"/>
      <c r="R145" s="1" t="str">
        <f>IF(ISBLANK(Yards[[#This Row],[DSGN CALENDAR YEAR]]),"",Yards[[#This Row],[DSGN CALENDAR YEAR]]+1)</f>
        <v/>
      </c>
      <c r="S145" s="51" t="str">
        <f>IF(ISBLANK(Yards[[#This Row],[DSGN FISCAL YEAR]]),"",Yards[[#This Row],[DSGN FISCAL YEAR]]+1)</f>
        <v/>
      </c>
      <c r="T145" s="1"/>
      <c r="U145" s="128">
        <f ca="1">Yards[[#This Row],[Estimate]]*0.1</f>
        <v>0</v>
      </c>
      <c r="V145" s="47">
        <f ca="1">Yards[[#This Row],[Estimate]]-Yards[[#This Row],[Design Est.]]</f>
        <v>0</v>
      </c>
      <c r="W145" s="85">
        <f ca="1">(Yards[[#This Row],['# yards]]*INDEX(UnitCosts[],MATCH(Yards[[#This Row],[WORK TYPE]],UnitCosts[Work Type],0),2))*(1+((Yards[[#This Row],[est. CONS Year]]-YEAR(TODAY()))*$W$3))</f>
        <v>0</v>
      </c>
      <c r="X145" s="142">
        <f>IF(ISNUMBER(SEARCH("LLC",Yards[[#This Row],[PROGRAM]])),0,IF(Yards[[#This Row],[RAD/PACT by 2025]]="yes",0,1))</f>
        <v>0</v>
      </c>
      <c r="Y145" s="1"/>
      <c r="Z145" s="1"/>
      <c r="AA145" s="51">
        <f ca="1">COUNTIF($X$5:Yards[[#This Row],['# yards]],"&gt;0")-10</f>
        <v>82</v>
      </c>
      <c r="AB145" s="1">
        <f ca="1">IF(ISBLANK(Yards[[#This Row],[DSGN CALENDAR YEAR]]),ROUNDDOWN(Yards[[#This Row],[Count]]/24,0)+$AB$1,Yards[[#This Row],[DSGN CALENDAR YEAR]])</f>
        <v>2024</v>
      </c>
      <c r="AC145" s="16">
        <f ca="1">Yards[[#This Row],[est. DSGN Year]]+1</f>
        <v>2025</v>
      </c>
    </row>
    <row r="146" spans="1:29">
      <c r="A146" s="13" t="s">
        <v>279</v>
      </c>
      <c r="B146" s="51" t="str">
        <f>VLOOKUP(Yards[[#This Row],[DEVELOPMENT]],Data[],2,FALSE)</f>
        <v>MANHATTAN</v>
      </c>
      <c r="C14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46" s="51" t="str">
        <f>VLOOKUP(Yards[[#This Row],[DEVELOPMENT]],Data[],52,FALSE)</f>
        <v>FEDERAL</v>
      </c>
      <c r="E146" s="50">
        <f>VLOOKUP(Yards[[#This Row],[DEVELOPMENT]],Data[],8,FALSE)</f>
        <v>0</v>
      </c>
      <c r="F146" s="51" t="str">
        <f>VLOOKUP(Yards[[#This Row],[DEVELOPMENT]],all[[DEVELOPMENT]:[MRST Ext. Comp. Priority]],6,FALSE)</f>
        <v>C</v>
      </c>
      <c r="G146" s="51">
        <f>VLOOKUP(Yards[[#This Row],[DEVELOPMENT]],all[[DEVELOPMENT]:[MRST Ext. Comp. Priority]],13,FALSE)</f>
        <v>4</v>
      </c>
      <c r="H146" s="50">
        <f>IF(VLOOKUP(Yards[[#This Row],[DEVELOPMENT]],Data[],9,FALSE)=0,5,VLOOKUP(Yards[[#This Row],[DEVELOPMENT]],Data[],9,FALSE))</f>
        <v>5</v>
      </c>
      <c r="I146" s="51">
        <f>VLOOKUP(Yards[[#This Row],[DEVELOPMENT]],Data[],33,FALSE)</f>
        <v>2</v>
      </c>
      <c r="J146" s="51">
        <f>VLOOKUP(Yards[[#This Row],[DEVELOPMENT]],Data[],28,FALSE)</f>
        <v>0</v>
      </c>
      <c r="K146" s="51"/>
      <c r="L146" s="50"/>
      <c r="M146" s="51" t="str">
        <f ca="1">IFERROR(VLOOKUP(Yards[[#This Row],[DEVELOPMENT]],Data[],4,FALSE),"")</f>
        <v/>
      </c>
      <c r="N146" s="51" t="str">
        <f ca="1">IF(Yards[[#This Row],[RAD/PACT]]="","",IF(OR(Yards[[#This Row],[RAD/PACT]]="2022-2025",Yards[[#This Row],[RAD/PACT]]=2019,Yards[[#This Row],[RAD/PACT]]="2020-2021"),"Yes",""))</f>
        <v/>
      </c>
      <c r="O146" s="51">
        <f ca="1">IFERROR(VLOOKUP(Yards[[#This Row],[DEVELOPMENT]],ExtComp[],8,FALSE),"")</f>
        <v>5</v>
      </c>
      <c r="P146" s="51"/>
      <c r="Q146" s="51"/>
      <c r="R146" s="51" t="str">
        <f>IF(ISBLANK(Yards[[#This Row],[DSGN CALENDAR YEAR]]),"",Yards[[#This Row],[DSGN CALENDAR YEAR]]+1)</f>
        <v/>
      </c>
      <c r="S146" s="51" t="str">
        <f>IF(ISBLANK(Yards[[#This Row],[DSGN FISCAL YEAR]]),"",Yards[[#This Row],[DSGN FISCAL YEAR]]+1)</f>
        <v/>
      </c>
      <c r="T146" s="51"/>
      <c r="U146" s="128">
        <f ca="1">Yards[[#This Row],[Estimate]]*0.1</f>
        <v>160066.00257475005</v>
      </c>
      <c r="V146" s="47">
        <f ca="1">Yards[[#This Row],[Estimate]]-Yards[[#This Row],[Design Est.]]</f>
        <v>1440594.0231727504</v>
      </c>
      <c r="W146" s="85">
        <f ca="1">(Yards[[#This Row],['# yards]]*INDEX(UnitCosts[],MATCH(Yards[[#This Row],[WORK TYPE]],UnitCosts[Work Type],0),2))*(1+((Yards[[#This Row],[est. CONS Year]]-YEAR(TODAY()))*$W$3))</f>
        <v>1600660.0257475004</v>
      </c>
      <c r="X146" s="142">
        <f ca="1">IF(ISNUMBER(SEARCH("LLC",Yards[[#This Row],[PROGRAM]])),0,IF(Yards[[#This Row],[RAD/PACT by 2025]]="yes",0,1))</f>
        <v>1</v>
      </c>
      <c r="Y146" s="1"/>
      <c r="Z146" s="1"/>
      <c r="AA146" s="51">
        <f ca="1">COUNTIF($X$5:Yards[[#This Row],['# yards]],"&gt;0")-10</f>
        <v>83</v>
      </c>
      <c r="AB146" s="1">
        <f ca="1">IF(ISBLANK(Yards[[#This Row],[DSGN CALENDAR YEAR]]),ROUNDDOWN(Yards[[#This Row],[Count]]/24,0)+$AB$1,Yards[[#This Row],[DSGN CALENDAR YEAR]])</f>
        <v>2024</v>
      </c>
      <c r="AC146" s="16">
        <f ca="1">Yards[[#This Row],[est. DSGN Year]]+1</f>
        <v>2025</v>
      </c>
    </row>
    <row r="147" spans="1:29" hidden="1">
      <c r="A147" s="13" t="s">
        <v>122</v>
      </c>
      <c r="B147" s="51" t="str">
        <f>VLOOKUP(Yards[[#This Row],[DEVELOPMENT]],Data[],2,FALSE)</f>
        <v>MANHATTAN</v>
      </c>
      <c r="C14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147" s="51" t="str">
        <f>VLOOKUP(Yards[[#This Row],[DEVELOPMENT]],Data[],52,FALSE)</f>
        <v>MIXED FINANCE/LLC1</v>
      </c>
      <c r="E147" s="50" t="str">
        <f>VLOOKUP(Yards[[#This Row],[DEVELOPMENT]],Data[],8,FALSE)</f>
        <v>Zone 2</v>
      </c>
      <c r="F147" s="51" t="str">
        <f>VLOOKUP(Yards[[#This Row],[DEVELOPMENT]],all[[DEVELOPMENT]:[MRST Ext. Comp. Priority]],6,FALSE)</f>
        <v>C</v>
      </c>
      <c r="G147" s="51">
        <f>VLOOKUP(Yards[[#This Row],[DEVELOPMENT]],all[[DEVELOPMENT]:[MRST Ext. Comp. Priority]],13,FALSE)</f>
        <v>2</v>
      </c>
      <c r="H147" s="50">
        <f>IF(VLOOKUP(Yards[[#This Row],[DEVELOPMENT]],Data[],9,FALSE)=0,5,VLOOKUP(Yards[[#This Row],[DEVELOPMENT]],Data[],9,FALSE))</f>
        <v>4</v>
      </c>
      <c r="I147" s="51">
        <f>VLOOKUP(Yards[[#This Row],[DEVELOPMENT]],Data[],33,FALSE)</f>
        <v>3</v>
      </c>
      <c r="J147" s="51">
        <f>VLOOKUP(Yards[[#This Row],[DEVELOPMENT]],Data[],28,FALSE)</f>
        <v>0</v>
      </c>
      <c r="K147" s="51"/>
      <c r="L147" s="50"/>
      <c r="M147" s="51" t="str">
        <f ca="1">IFERROR(VLOOKUP(Yards[[#This Row],[DEVELOPMENT]],Data[],4,FALSE),"")</f>
        <v>2026+</v>
      </c>
      <c r="N147" s="51" t="str">
        <f ca="1">IF(Yards[[#This Row],[RAD/PACT]]="","",IF(OR(Yards[[#This Row],[RAD/PACT]]="2022-2025",Yards[[#This Row],[RAD/PACT]]=2019,Yards[[#This Row],[RAD/PACT]]="2020-2021"),"Yes",""))</f>
        <v/>
      </c>
      <c r="O147" s="1">
        <f ca="1">IFERROR(VLOOKUP(Yards[[#This Row],[DEVELOPMENT]],ExtComp[],8,FALSE),"")</f>
        <v>15</v>
      </c>
      <c r="P147" s="1"/>
      <c r="Q147" s="1"/>
      <c r="R147" s="1" t="str">
        <f>IF(ISBLANK(Yards[[#This Row],[DSGN CALENDAR YEAR]]),"",Yards[[#This Row],[DSGN CALENDAR YEAR]]+1)</f>
        <v/>
      </c>
      <c r="S147" s="51" t="str">
        <f>IF(ISBLANK(Yards[[#This Row],[DSGN FISCAL YEAR]]),"",Yards[[#This Row],[DSGN FISCAL YEAR]]+1)</f>
        <v/>
      </c>
      <c r="T147" s="1"/>
      <c r="U147" s="128">
        <f ca="1">Yards[[#This Row],[Estimate]]*0.1</f>
        <v>0</v>
      </c>
      <c r="V147" s="47">
        <f ca="1">Yards[[#This Row],[Estimate]]-Yards[[#This Row],[Design Est.]]</f>
        <v>0</v>
      </c>
      <c r="W147" s="85">
        <f ca="1">(Yards[[#This Row],['# yards]]*INDEX(UnitCosts[],MATCH(Yards[[#This Row],[WORK TYPE]],UnitCosts[Work Type],0),2))*(1+((Yards[[#This Row],[est. CONS Year]]-YEAR(TODAY()))*$W$3))</f>
        <v>0</v>
      </c>
      <c r="X147" s="142">
        <f>IF(ISNUMBER(SEARCH("LLC",Yards[[#This Row],[PROGRAM]])),0,IF(Yards[[#This Row],[RAD/PACT by 2025]]="yes",0,1))</f>
        <v>0</v>
      </c>
      <c r="Y147" s="1"/>
      <c r="Z147" s="1"/>
      <c r="AA147" s="51">
        <f ca="1">COUNTIF($X$5:Yards[[#This Row],['# yards]],"&gt;0")-10</f>
        <v>83</v>
      </c>
      <c r="AB147" s="1">
        <f ca="1">IF(ISBLANK(Yards[[#This Row],[DSGN CALENDAR YEAR]]),ROUNDDOWN(Yards[[#This Row],[Count]]/24,0)+$AB$1,Yards[[#This Row],[DSGN CALENDAR YEAR]])</f>
        <v>2024</v>
      </c>
      <c r="AC147" s="16">
        <f ca="1">Yards[[#This Row],[est. DSGN Year]]+1</f>
        <v>2025</v>
      </c>
    </row>
    <row r="148" spans="1:29">
      <c r="A148" s="13" t="s">
        <v>244</v>
      </c>
      <c r="B148" s="51" t="str">
        <f>VLOOKUP(Yards[[#This Row],[DEVELOPMENT]],Data[],2,FALSE)</f>
        <v>QUEENS</v>
      </c>
      <c r="C148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48" s="51" t="str">
        <f>VLOOKUP(Yards[[#This Row],[DEVELOPMENT]],Data[],52,FALSE)</f>
        <v>FEDERAL</v>
      </c>
      <c r="E148" s="50">
        <f>VLOOKUP(Yards[[#This Row],[DEVELOPMENT]],Data[],8,FALSE)</f>
        <v>0</v>
      </c>
      <c r="F148" s="51" t="str">
        <f>VLOOKUP(Yards[[#This Row],[DEVELOPMENT]],all[[DEVELOPMENT]:[MRST Ext. Comp. Priority]],6,FALSE)</f>
        <v>C</v>
      </c>
      <c r="G148" s="51">
        <f>VLOOKUP(Yards[[#This Row],[DEVELOPMENT]],all[[DEVELOPMENT]:[MRST Ext. Comp. Priority]],13,FALSE)</f>
        <v>4</v>
      </c>
      <c r="H148" s="50">
        <f>IF(VLOOKUP(Yards[[#This Row],[DEVELOPMENT]],Data[],9,FALSE)=0,5,VLOOKUP(Yards[[#This Row],[DEVELOPMENT]],Data[],9,FALSE))</f>
        <v>5</v>
      </c>
      <c r="I148" s="51">
        <f>VLOOKUP(Yards[[#This Row],[DEVELOPMENT]],Data[],33,FALSE)</f>
        <v>2</v>
      </c>
      <c r="J148" s="51">
        <f>VLOOKUP(Yards[[#This Row],[DEVELOPMENT]],Data[],28,FALSE)</f>
        <v>0</v>
      </c>
      <c r="K148" s="51"/>
      <c r="L148" s="50"/>
      <c r="M148" s="51" t="str">
        <f ca="1">IFERROR(VLOOKUP(Yards[[#This Row],[DEVELOPMENT]],Data[],4,FALSE),"")</f>
        <v>2026+</v>
      </c>
      <c r="N148" s="51" t="str">
        <f ca="1">IF(Yards[[#This Row],[RAD/PACT]]="","",IF(OR(Yards[[#This Row],[RAD/PACT]]="2022-2025",Yards[[#This Row],[RAD/PACT]]=2019,Yards[[#This Row],[RAD/PACT]]="2020-2021"),"Yes",""))</f>
        <v/>
      </c>
      <c r="O148" s="51">
        <f ca="1">IFERROR(VLOOKUP(Yards[[#This Row],[DEVELOPMENT]],ExtComp[],8,FALSE),"")</f>
        <v>13</v>
      </c>
      <c r="P148" s="51"/>
      <c r="Q148" s="51"/>
      <c r="R148" s="51" t="str">
        <f>IF(ISBLANK(Yards[[#This Row],[DSGN CALENDAR YEAR]]),"",Yards[[#This Row],[DSGN CALENDAR YEAR]]+1)</f>
        <v/>
      </c>
      <c r="S148" s="51" t="str">
        <f>IF(ISBLANK(Yards[[#This Row],[DSGN FISCAL YEAR]]),"",Yards[[#This Row],[DSGN FISCAL YEAR]]+1)</f>
        <v/>
      </c>
      <c r="T148" s="51"/>
      <c r="U148" s="128">
        <f ca="1">Yards[[#This Row],[Estimate]]*0.1</f>
        <v>237400.39768875009</v>
      </c>
      <c r="V148" s="47">
        <f ca="1">Yards[[#This Row],[Estimate]]-Yards[[#This Row],[Design Est.]]</f>
        <v>2136603.5791987507</v>
      </c>
      <c r="W148" s="85">
        <f ca="1">(Yards[[#This Row],['# yards]]*INDEX(UnitCosts[],MATCH(Yards[[#This Row],[WORK TYPE]],UnitCosts[Work Type],0),2))*(1+((Yards[[#This Row],[est. CONS Year]]-YEAR(TODAY()))*$W$3))</f>
        <v>2374003.9768875008</v>
      </c>
      <c r="X148" s="142">
        <f ca="1">IF(ISNUMBER(SEARCH("LLC",Yards[[#This Row],[PROGRAM]])),0,IF(Yards[[#This Row],[RAD/PACT by 2025]]="yes",0,1))</f>
        <v>1</v>
      </c>
      <c r="Y148" s="1"/>
      <c r="Z148" s="1"/>
      <c r="AA148" s="51">
        <f ca="1">COUNTIF($X$5:Yards[[#This Row],['# yards]],"&gt;0")-10</f>
        <v>84</v>
      </c>
      <c r="AB148" s="1">
        <f ca="1">IF(ISBLANK(Yards[[#This Row],[DSGN CALENDAR YEAR]]),ROUNDDOWN(Yards[[#This Row],[Count]]/24,0)+$AB$1,Yards[[#This Row],[DSGN CALENDAR YEAR]])</f>
        <v>2024</v>
      </c>
      <c r="AC148" s="16">
        <f ca="1">Yards[[#This Row],[est. DSGN Year]]+1</f>
        <v>2025</v>
      </c>
    </row>
    <row r="149" spans="1:29">
      <c r="A149" s="13" t="s">
        <v>250</v>
      </c>
      <c r="B149" s="51" t="str">
        <f>VLOOKUP(Yards[[#This Row],[DEVELOPMENT]],Data[],2,FALSE)</f>
        <v>MANHATTAN</v>
      </c>
      <c r="C14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49" s="51" t="str">
        <f>VLOOKUP(Yards[[#This Row],[DEVELOPMENT]],Data[],52,FALSE)</f>
        <v>FEDERAL</v>
      </c>
      <c r="E149" s="50" t="str">
        <f>VLOOKUP(Yards[[#This Row],[DEVELOPMENT]],Data[],8,FALSE)</f>
        <v>Zone 3</v>
      </c>
      <c r="F149" s="51" t="str">
        <f>VLOOKUP(Yards[[#This Row],[DEVELOPMENT]],all[[DEVELOPMENT]:[MRST Ext. Comp. Priority]],6,FALSE)</f>
        <v>C</v>
      </c>
      <c r="G149" s="51">
        <f>VLOOKUP(Yards[[#This Row],[DEVELOPMENT]],all[[DEVELOPMENT]:[MRST Ext. Comp. Priority]],13,FALSE)</f>
        <v>4</v>
      </c>
      <c r="H149" s="50">
        <f>IF(VLOOKUP(Yards[[#This Row],[DEVELOPMENT]],Data[],9,FALSE)=0,5,VLOOKUP(Yards[[#This Row],[DEVELOPMENT]],Data[],9,FALSE))</f>
        <v>5</v>
      </c>
      <c r="I149" s="51">
        <f>VLOOKUP(Yards[[#This Row],[DEVELOPMENT]],Data[],33,FALSE)</f>
        <v>0</v>
      </c>
      <c r="J149" s="51">
        <f>VLOOKUP(Yards[[#This Row],[DEVELOPMENT]],Data[],28,FALSE)</f>
        <v>0</v>
      </c>
      <c r="K149" s="51"/>
      <c r="L149" s="50"/>
      <c r="M149" s="51" t="str">
        <f ca="1">IFERROR(VLOOKUP(Yards[[#This Row],[DEVELOPMENT]],Data[],4,FALSE),"")</f>
        <v/>
      </c>
      <c r="N149" s="51" t="str">
        <f ca="1">IF(Yards[[#This Row],[RAD/PACT]]="","",IF(OR(Yards[[#This Row],[RAD/PACT]]="2022-2025",Yards[[#This Row],[RAD/PACT]]=2019,Yards[[#This Row],[RAD/PACT]]="2020-2021"),"Yes",""))</f>
        <v/>
      </c>
      <c r="O149" s="51" t="str">
        <f ca="1">IFERROR(VLOOKUP(Yards[[#This Row],[DEVELOPMENT]],ExtComp[],8,FALSE),"")</f>
        <v/>
      </c>
      <c r="P149" s="51"/>
      <c r="Q149" s="51"/>
      <c r="R149" s="51" t="str">
        <f>IF(ISBLANK(Yards[[#This Row],[DSGN CALENDAR YEAR]]),"",Yards[[#This Row],[DSGN CALENDAR YEAR]]+1)</f>
        <v/>
      </c>
      <c r="S149" s="51" t="str">
        <f>IF(ISBLANK(Yards[[#This Row],[DSGN FISCAL YEAR]]),"",Yards[[#This Row],[DSGN FISCAL YEAR]]+1)</f>
        <v/>
      </c>
      <c r="T149" s="51"/>
      <c r="U149" s="128">
        <f ca="1">Yards[[#This Row],[Estimate]]*0.1</f>
        <v>212386.62609500007</v>
      </c>
      <c r="V149" s="47">
        <f ca="1">Yards[[#This Row],[Estimate]]-Yards[[#This Row],[Design Est.]]</f>
        <v>1911479.6348550003</v>
      </c>
      <c r="W149" s="85">
        <f ca="1">(Yards[[#This Row],['# yards]]*INDEX(UnitCosts[],MATCH(Yards[[#This Row],[WORK TYPE]],UnitCosts[Work Type],0),2))*(1+((Yards[[#This Row],[est. CONS Year]]-YEAR(TODAY()))*$W$3))</f>
        <v>2123866.2609500005</v>
      </c>
      <c r="X149" s="142">
        <f ca="1">IF(ISNUMBER(SEARCH("LLC",Yards[[#This Row],[PROGRAM]])),0,IF(Yards[[#This Row],[RAD/PACT by 2025]]="yes",0,1))</f>
        <v>1</v>
      </c>
      <c r="Y149" s="1"/>
      <c r="Z149" s="1"/>
      <c r="AA149" s="51">
        <f ca="1">COUNTIF($X$5:Yards[[#This Row],['# yards]],"&gt;0")-10</f>
        <v>85</v>
      </c>
      <c r="AB149" s="1">
        <f ca="1">IF(ISBLANK(Yards[[#This Row],[DSGN CALENDAR YEAR]]),ROUNDDOWN(Yards[[#This Row],[Count]]/24,0)+$AB$1,Yards[[#This Row],[DSGN CALENDAR YEAR]])</f>
        <v>2024</v>
      </c>
      <c r="AC149" s="16">
        <f ca="1">Yards[[#This Row],[est. DSGN Year]]+1</f>
        <v>2025</v>
      </c>
    </row>
    <row r="150" spans="1:29" hidden="1">
      <c r="A150" s="13" t="s">
        <v>262</v>
      </c>
      <c r="B150" s="51" t="str">
        <f>VLOOKUP(Yards[[#This Row],[DEVELOPMENT]],Data[],2,FALSE)</f>
        <v>MANHATTAN</v>
      </c>
      <c r="C15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50" s="51" t="str">
        <f>VLOOKUP(Yards[[#This Row],[DEVELOPMENT]],Data[],52,FALSE)</f>
        <v>MIXED FINANCE/LLC1</v>
      </c>
      <c r="E150" s="50">
        <f>VLOOKUP(Yards[[#This Row],[DEVELOPMENT]],Data[],8,FALSE)</f>
        <v>0</v>
      </c>
      <c r="F150" s="51" t="str">
        <f>VLOOKUP(Yards[[#This Row],[DEVELOPMENT]],all[[DEVELOPMENT]:[MRST Ext. Comp. Priority]],6,FALSE)</f>
        <v>C</v>
      </c>
      <c r="G150" s="51">
        <f>VLOOKUP(Yards[[#This Row],[DEVELOPMENT]],all[[DEVELOPMENT]:[MRST Ext. Comp. Priority]],13,FALSE)</f>
        <v>3</v>
      </c>
      <c r="H150" s="50">
        <f>IF(VLOOKUP(Yards[[#This Row],[DEVELOPMENT]],Data[],9,FALSE)=0,5,VLOOKUP(Yards[[#This Row],[DEVELOPMENT]],Data[],9,FALSE))</f>
        <v>5</v>
      </c>
      <c r="I150" s="51">
        <f>VLOOKUP(Yards[[#This Row],[DEVELOPMENT]],Data[],33,FALSE)</f>
        <v>0</v>
      </c>
      <c r="J150" s="51">
        <f>VLOOKUP(Yards[[#This Row],[DEVELOPMENT]],Data[],28,FALSE)</f>
        <v>0</v>
      </c>
      <c r="K150" s="51"/>
      <c r="L150" s="50"/>
      <c r="M150" s="51" t="str">
        <f ca="1">IFERROR(VLOOKUP(Yards[[#This Row],[DEVELOPMENT]],Data[],4,FALSE),"")</f>
        <v/>
      </c>
      <c r="N150" s="51" t="str">
        <f ca="1">IF(Yards[[#This Row],[RAD/PACT]]="","",IF(OR(Yards[[#This Row],[RAD/PACT]]="2022-2025",Yards[[#This Row],[RAD/PACT]]=2019,Yards[[#This Row],[RAD/PACT]]="2020-2021"),"Yes",""))</f>
        <v/>
      </c>
      <c r="O150" s="51" t="str">
        <f ca="1">IFERROR(VLOOKUP(Yards[[#This Row],[DEVELOPMENT]],ExtComp[],8,FALSE),"")</f>
        <v/>
      </c>
      <c r="P150" s="51"/>
      <c r="Q150" s="51"/>
      <c r="R150" s="51" t="str">
        <f>IF(ISBLANK(Yards[[#This Row],[DSGN CALENDAR YEAR]]),"",Yards[[#This Row],[DSGN CALENDAR YEAR]]+1)</f>
        <v/>
      </c>
      <c r="S150" s="51" t="str">
        <f>IF(ISBLANK(Yards[[#This Row],[DSGN FISCAL YEAR]]),"",Yards[[#This Row],[DSGN FISCAL YEAR]]+1)</f>
        <v/>
      </c>
      <c r="T150" s="51"/>
      <c r="U150" s="128">
        <f ca="1">Yards[[#This Row],[Estimate]]*0.1</f>
        <v>0</v>
      </c>
      <c r="V150" s="47">
        <f ca="1">Yards[[#This Row],[Estimate]]-Yards[[#This Row],[Design Est.]]</f>
        <v>0</v>
      </c>
      <c r="W150" s="85">
        <f ca="1">(Yards[[#This Row],['# yards]]*INDEX(UnitCosts[],MATCH(Yards[[#This Row],[WORK TYPE]],UnitCosts[Work Type],0),2))*(1+((Yards[[#This Row],[est. CONS Year]]-YEAR(TODAY()))*$W$3))</f>
        <v>0</v>
      </c>
      <c r="X150" s="142">
        <f>IF(ISNUMBER(SEARCH("LLC",Yards[[#This Row],[PROGRAM]])),0,IF(Yards[[#This Row],[RAD/PACT by 2025]]="yes",0,1))</f>
        <v>0</v>
      </c>
      <c r="Y150" s="1"/>
      <c r="Z150" s="1"/>
      <c r="AA150" s="51">
        <f ca="1">COUNTIF($X$5:Yards[[#This Row],['# yards]],"&gt;0")-10</f>
        <v>85</v>
      </c>
      <c r="AB150" s="1">
        <f ca="1">IF(ISBLANK(Yards[[#This Row],[DSGN CALENDAR YEAR]]),ROUNDDOWN(Yards[[#This Row],[Count]]/24,0)+$AB$1,Yards[[#This Row],[DSGN CALENDAR YEAR]])</f>
        <v>2024</v>
      </c>
      <c r="AC150" s="16">
        <f ca="1">Yards[[#This Row],[est. DSGN Year]]+1</f>
        <v>2025</v>
      </c>
    </row>
    <row r="151" spans="1:29">
      <c r="A151" s="13" t="s">
        <v>258</v>
      </c>
      <c r="B151" s="51" t="str">
        <f>VLOOKUP(Yards[[#This Row],[DEVELOPMENT]],Data[],2,FALSE)</f>
        <v>BROOKLYN</v>
      </c>
      <c r="C151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51" s="51" t="str">
        <f>VLOOKUP(Yards[[#This Row],[DEVELOPMENT]],Data[],52,FALSE)</f>
        <v>FEDERAL</v>
      </c>
      <c r="E151" s="50">
        <f>VLOOKUP(Yards[[#This Row],[DEVELOPMENT]],Data[],8,FALSE)</f>
        <v>0</v>
      </c>
      <c r="F151" s="51" t="str">
        <f>VLOOKUP(Yards[[#This Row],[DEVELOPMENT]],all[[DEVELOPMENT]:[MRST Ext. Comp. Priority]],6,FALSE)</f>
        <v>C</v>
      </c>
      <c r="G151" s="51">
        <f>VLOOKUP(Yards[[#This Row],[DEVELOPMENT]],all[[DEVELOPMENT]:[MRST Ext. Comp. Priority]],13,FALSE)</f>
        <v>4</v>
      </c>
      <c r="H151" s="50">
        <f>IF(VLOOKUP(Yards[[#This Row],[DEVELOPMENT]],Data[],9,FALSE)=0,5,VLOOKUP(Yards[[#This Row],[DEVELOPMENT]],Data[],9,FALSE))</f>
        <v>5</v>
      </c>
      <c r="I151" s="51">
        <f>VLOOKUP(Yards[[#This Row],[DEVELOPMENT]],Data[],33,FALSE)</f>
        <v>0</v>
      </c>
      <c r="J151" s="51">
        <f>VLOOKUP(Yards[[#This Row],[DEVELOPMENT]],Data[],28,FALSE)</f>
        <v>0</v>
      </c>
      <c r="K151" s="51"/>
      <c r="L151" s="50"/>
      <c r="M151" s="51" t="str">
        <f ca="1">IFERROR(VLOOKUP(Yards[[#This Row],[DEVELOPMENT]],Data[],4,FALSE),"")</f>
        <v>2026+</v>
      </c>
      <c r="N151" s="51" t="str">
        <f ca="1">IF(Yards[[#This Row],[RAD/PACT]]="","",IF(OR(Yards[[#This Row],[RAD/PACT]]="2022-2025",Yards[[#This Row],[RAD/PACT]]=2019,Yards[[#This Row],[RAD/PACT]]="2020-2021"),"Yes",""))</f>
        <v/>
      </c>
      <c r="O151" s="51" t="str">
        <f ca="1">IFERROR(VLOOKUP(Yards[[#This Row],[DEVELOPMENT]],ExtComp[],8,FALSE),"")</f>
        <v/>
      </c>
      <c r="P151" s="51"/>
      <c r="Q151" s="51"/>
      <c r="R151" s="51" t="str">
        <f>IF(ISBLANK(Yards[[#This Row],[DSGN CALENDAR YEAR]]),"",Yards[[#This Row],[DSGN CALENDAR YEAR]]+1)</f>
        <v/>
      </c>
      <c r="S151" s="51" t="str">
        <f>IF(ISBLANK(Yards[[#This Row],[DSGN FISCAL YEAR]]),"",Yards[[#This Row],[DSGN FISCAL YEAR]]+1)</f>
        <v/>
      </c>
      <c r="T151" s="51"/>
      <c r="U151" s="128">
        <f ca="1">Yards[[#This Row],[Estimate]]*0.1</f>
        <v>212386.62609500007</v>
      </c>
      <c r="V151" s="47">
        <f ca="1">Yards[[#This Row],[Estimate]]-Yards[[#This Row],[Design Est.]]</f>
        <v>1911479.6348550003</v>
      </c>
      <c r="W151" s="85">
        <f ca="1">(Yards[[#This Row],['# yards]]*INDEX(UnitCosts[],MATCH(Yards[[#This Row],[WORK TYPE]],UnitCosts[Work Type],0),2))*(1+((Yards[[#This Row],[est. CONS Year]]-YEAR(TODAY()))*$W$3))</f>
        <v>2123866.2609500005</v>
      </c>
      <c r="X151" s="142">
        <f ca="1">IF(ISNUMBER(SEARCH("LLC",Yards[[#This Row],[PROGRAM]])),0,IF(Yards[[#This Row],[RAD/PACT by 2025]]="yes",0,1))</f>
        <v>1</v>
      </c>
      <c r="Y151" s="1"/>
      <c r="Z151" s="1"/>
      <c r="AA151" s="51">
        <f ca="1">COUNTIF($X$5:Yards[[#This Row],['# yards]],"&gt;0")-10</f>
        <v>86</v>
      </c>
      <c r="AB151" s="1">
        <f ca="1">IF(ISBLANK(Yards[[#This Row],[DSGN CALENDAR YEAR]]),ROUNDDOWN(Yards[[#This Row],[Count]]/24,0)+$AB$1,Yards[[#This Row],[DSGN CALENDAR YEAR]])</f>
        <v>2024</v>
      </c>
      <c r="AC151" s="16">
        <f ca="1">Yards[[#This Row],[est. DSGN Year]]+1</f>
        <v>2025</v>
      </c>
    </row>
    <row r="152" spans="1:29">
      <c r="A152" s="13" t="s">
        <v>270</v>
      </c>
      <c r="B152" s="51" t="str">
        <f>VLOOKUP(Yards[[#This Row],[DEVELOPMENT]],Data[],2,FALSE)</f>
        <v>BROOKLYN</v>
      </c>
      <c r="C15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52" s="51" t="str">
        <f>VLOOKUP(Yards[[#This Row],[DEVELOPMENT]],Data[],52,FALSE)</f>
        <v>FEDERAL</v>
      </c>
      <c r="E152" s="50">
        <f>VLOOKUP(Yards[[#This Row],[DEVELOPMENT]],Data[],8,FALSE)</f>
        <v>0</v>
      </c>
      <c r="F152" s="51" t="str">
        <f>VLOOKUP(Yards[[#This Row],[DEVELOPMENT]],all[[DEVELOPMENT]:[MRST Ext. Comp. Priority]],6,FALSE)</f>
        <v>C</v>
      </c>
      <c r="G152" s="51">
        <f>VLOOKUP(Yards[[#This Row],[DEVELOPMENT]],all[[DEVELOPMENT]:[MRST Ext. Comp. Priority]],13,FALSE)</f>
        <v>4</v>
      </c>
      <c r="H152" s="50">
        <f>IF(VLOOKUP(Yards[[#This Row],[DEVELOPMENT]],Data[],9,FALSE)=0,5,VLOOKUP(Yards[[#This Row],[DEVELOPMENT]],Data[],9,FALSE))</f>
        <v>5</v>
      </c>
      <c r="I152" s="51">
        <f>VLOOKUP(Yards[[#This Row],[DEVELOPMENT]],Data[],33,FALSE)</f>
        <v>2</v>
      </c>
      <c r="J152" s="51">
        <f>VLOOKUP(Yards[[#This Row],[DEVELOPMENT]],Data[],28,FALSE)</f>
        <v>0</v>
      </c>
      <c r="K152" s="51"/>
      <c r="L152" s="50">
        <v>1</v>
      </c>
      <c r="M152" s="51" t="str">
        <f ca="1">IFERROR(VLOOKUP(Yards[[#This Row],[DEVELOPMENT]],Data[],4,FALSE),"")</f>
        <v/>
      </c>
      <c r="N152" s="51" t="str">
        <f ca="1">IF(Yards[[#This Row],[RAD/PACT]]="","",IF(OR(Yards[[#This Row],[RAD/PACT]]="2022-2025",Yards[[#This Row],[RAD/PACT]]=2019,Yards[[#This Row],[RAD/PACT]]="2020-2021"),"Yes",""))</f>
        <v/>
      </c>
      <c r="O152" s="51">
        <f ca="1">IFERROR(VLOOKUP(Yards[[#This Row],[DEVELOPMENT]],ExtComp[],8,FALSE),"")</f>
        <v>12</v>
      </c>
      <c r="P152" s="51"/>
      <c r="Q152" s="51"/>
      <c r="R152" s="51" t="str">
        <f>IF(ISBLANK(Yards[[#This Row],[DSGN CALENDAR YEAR]]),"",Yards[[#This Row],[DSGN CALENDAR YEAR]]+1)</f>
        <v/>
      </c>
      <c r="S152" s="51" t="str">
        <f>IF(ISBLANK(Yards[[#This Row],[DSGN FISCAL YEAR]]),"",Yards[[#This Row],[DSGN FISCAL YEAR]]+1)</f>
        <v/>
      </c>
      <c r="T152" s="51"/>
      <c r="U152" s="128">
        <f ca="1">Yards[[#This Row],[Estimate]]*0.1</f>
        <v>237400.39768875009</v>
      </c>
      <c r="V152" s="47">
        <f ca="1">Yards[[#This Row],[Estimate]]-Yards[[#This Row],[Design Est.]]</f>
        <v>2136603.5791987507</v>
      </c>
      <c r="W152" s="85">
        <f ca="1">(Yards[[#This Row],['# yards]]*INDEX(UnitCosts[],MATCH(Yards[[#This Row],[WORK TYPE]],UnitCosts[Work Type],0),2))*(1+((Yards[[#This Row],[est. CONS Year]]-YEAR(TODAY()))*$W$3))</f>
        <v>2374003.9768875008</v>
      </c>
      <c r="X152" s="142">
        <f ca="1">IF(ISNUMBER(SEARCH("LLC",Yards[[#This Row],[PROGRAM]])),0,IF(Yards[[#This Row],[RAD/PACT by 2025]]="yes",0,1))</f>
        <v>1</v>
      </c>
      <c r="Y152" s="1"/>
      <c r="Z152" s="1"/>
      <c r="AA152" s="51">
        <f ca="1">COUNTIF($X$5:Yards[[#This Row],['# yards]],"&gt;0")-10</f>
        <v>87</v>
      </c>
      <c r="AB152" s="1">
        <f ca="1">IF(ISBLANK(Yards[[#This Row],[DSGN CALENDAR YEAR]]),ROUNDDOWN(Yards[[#This Row],[Count]]/24,0)+$AB$1,Yards[[#This Row],[DSGN CALENDAR YEAR]])</f>
        <v>2024</v>
      </c>
      <c r="AC152" s="16">
        <f ca="1">Yards[[#This Row],[est. DSGN Year]]+1</f>
        <v>2025</v>
      </c>
    </row>
    <row r="153" spans="1:29">
      <c r="A153" s="13" t="s">
        <v>276</v>
      </c>
      <c r="B153" s="51" t="str">
        <f>VLOOKUP(Yards[[#This Row],[DEVELOPMENT]],Data[],2,FALSE)</f>
        <v>BRONX</v>
      </c>
      <c r="C15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53" s="51" t="str">
        <f>VLOOKUP(Yards[[#This Row],[DEVELOPMENT]],Data[],52,FALSE)</f>
        <v>FEDERAL</v>
      </c>
      <c r="E153" s="50">
        <f>VLOOKUP(Yards[[#This Row],[DEVELOPMENT]],Data[],8,FALSE)</f>
        <v>0</v>
      </c>
      <c r="F153" s="51" t="str">
        <f>VLOOKUP(Yards[[#This Row],[DEVELOPMENT]],all[[DEVELOPMENT]:[MRST Ext. Comp. Priority]],6,FALSE)</f>
        <v>C</v>
      </c>
      <c r="G153" s="51">
        <f>VLOOKUP(Yards[[#This Row],[DEVELOPMENT]],all[[DEVELOPMENT]:[MRST Ext. Comp. Priority]],13,FALSE)</f>
        <v>4</v>
      </c>
      <c r="H153" s="50">
        <f>IF(VLOOKUP(Yards[[#This Row],[DEVELOPMENT]],Data[],9,FALSE)=0,5,VLOOKUP(Yards[[#This Row],[DEVELOPMENT]],Data[],9,FALSE))</f>
        <v>5</v>
      </c>
      <c r="I153" s="51">
        <f>VLOOKUP(Yards[[#This Row],[DEVELOPMENT]],Data[],33,FALSE)</f>
        <v>1</v>
      </c>
      <c r="J153" s="51">
        <f>VLOOKUP(Yards[[#This Row],[DEVELOPMENT]],Data[],28,FALSE)</f>
        <v>0</v>
      </c>
      <c r="K153" s="51"/>
      <c r="L153" s="50"/>
      <c r="M153" s="51" t="str">
        <f ca="1">IFERROR(VLOOKUP(Yards[[#This Row],[DEVELOPMENT]],Data[],4,FALSE),"")</f>
        <v/>
      </c>
      <c r="N153" s="51" t="str">
        <f ca="1">IF(Yards[[#This Row],[RAD/PACT]]="","",IF(OR(Yards[[#This Row],[RAD/PACT]]="2022-2025",Yards[[#This Row],[RAD/PACT]]=2019,Yards[[#This Row],[RAD/PACT]]="2020-2021"),"Yes",""))</f>
        <v/>
      </c>
      <c r="O153" s="51">
        <f ca="1">IFERROR(VLOOKUP(Yards[[#This Row],[DEVELOPMENT]],ExtComp[],8,FALSE),"")</f>
        <v>20</v>
      </c>
      <c r="P153" s="51"/>
      <c r="Q153" s="51"/>
      <c r="R153" s="51" t="str">
        <f>IF(ISBLANK(Yards[[#This Row],[DSGN CALENDAR YEAR]]),"",Yards[[#This Row],[DSGN CALENDAR YEAR]]+1)</f>
        <v/>
      </c>
      <c r="S153" s="51" t="str">
        <f>IF(ISBLANK(Yards[[#This Row],[DSGN FISCAL YEAR]]),"",Yards[[#This Row],[DSGN FISCAL YEAR]]+1)</f>
        <v/>
      </c>
      <c r="T153" s="51"/>
      <c r="U153" s="128">
        <f ca="1">Yards[[#This Row],[Estimate]]*0.1</f>
        <v>212386.62609500007</v>
      </c>
      <c r="V153" s="47">
        <f ca="1">Yards[[#This Row],[Estimate]]-Yards[[#This Row],[Design Est.]]</f>
        <v>1911479.6348550003</v>
      </c>
      <c r="W153" s="85">
        <f ca="1">(Yards[[#This Row],['# yards]]*INDEX(UnitCosts[],MATCH(Yards[[#This Row],[WORK TYPE]],UnitCosts[Work Type],0),2))*(1+((Yards[[#This Row],[est. CONS Year]]-YEAR(TODAY()))*$W$3))</f>
        <v>2123866.2609500005</v>
      </c>
      <c r="X153" s="142">
        <f ca="1">IF(ISNUMBER(SEARCH("LLC",Yards[[#This Row],[PROGRAM]])),0,IF(Yards[[#This Row],[RAD/PACT by 2025]]="yes",0,1))</f>
        <v>1</v>
      </c>
      <c r="Y153" s="1"/>
      <c r="Z153" s="1"/>
      <c r="AA153" s="51">
        <f ca="1">COUNTIF($X$5:Yards[[#This Row],['# yards]],"&gt;0")-10</f>
        <v>88</v>
      </c>
      <c r="AB153" s="1">
        <f ca="1">IF(ISBLANK(Yards[[#This Row],[DSGN CALENDAR YEAR]]),ROUNDDOWN(Yards[[#This Row],[Count]]/24,0)+$AB$1,Yards[[#This Row],[DSGN CALENDAR YEAR]])</f>
        <v>2024</v>
      </c>
      <c r="AC153" s="16">
        <f ca="1">Yards[[#This Row],[est. DSGN Year]]+1</f>
        <v>2025</v>
      </c>
    </row>
    <row r="154" spans="1:29">
      <c r="A154" s="13" t="s">
        <v>265</v>
      </c>
      <c r="B154" s="51" t="str">
        <f>VLOOKUP(Yards[[#This Row],[DEVELOPMENT]],Data[],2,FALSE)</f>
        <v>MANHATTAN</v>
      </c>
      <c r="C15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54" s="51" t="str">
        <f>VLOOKUP(Yards[[#This Row],[DEVELOPMENT]],Data[],52,FALSE)</f>
        <v>FEDERAL</v>
      </c>
      <c r="E154" s="50">
        <f>VLOOKUP(Yards[[#This Row],[DEVELOPMENT]],Data[],8,FALSE)</f>
        <v>0</v>
      </c>
      <c r="F154" s="51" t="str">
        <f>VLOOKUP(Yards[[#This Row],[DEVELOPMENT]],all[[DEVELOPMENT]:[MRST Ext. Comp. Priority]],6,FALSE)</f>
        <v>C</v>
      </c>
      <c r="G154" s="51">
        <f>VLOOKUP(Yards[[#This Row],[DEVELOPMENT]],all[[DEVELOPMENT]:[MRST Ext. Comp. Priority]],13,FALSE)</f>
        <v>4</v>
      </c>
      <c r="H154" s="50">
        <f>IF(VLOOKUP(Yards[[#This Row],[DEVELOPMENT]],Data[],9,FALSE)=0,5,VLOOKUP(Yards[[#This Row],[DEVELOPMENT]],Data[],9,FALSE))</f>
        <v>5</v>
      </c>
      <c r="I154" s="51">
        <f>VLOOKUP(Yards[[#This Row],[DEVELOPMENT]],Data[],33,FALSE)</f>
        <v>1</v>
      </c>
      <c r="J154" s="51">
        <f>VLOOKUP(Yards[[#This Row],[DEVELOPMENT]],Data[],28,FALSE)</f>
        <v>0</v>
      </c>
      <c r="K154" s="51"/>
      <c r="L154" s="50"/>
      <c r="M154" s="51" t="str">
        <f ca="1">IFERROR(VLOOKUP(Yards[[#This Row],[DEVELOPMENT]],Data[],4,FALSE),"")</f>
        <v/>
      </c>
      <c r="N154" s="51" t="str">
        <f ca="1">IF(Yards[[#This Row],[RAD/PACT]]="","",IF(OR(Yards[[#This Row],[RAD/PACT]]="2022-2025",Yards[[#This Row],[RAD/PACT]]=2019,Yards[[#This Row],[RAD/PACT]]="2020-2021"),"Yes",""))</f>
        <v/>
      </c>
      <c r="O154" s="51">
        <f ca="1">IFERROR(VLOOKUP(Yards[[#This Row],[DEVELOPMENT]],ExtComp[],8,FALSE),"")</f>
        <v>17</v>
      </c>
      <c r="P154" s="51"/>
      <c r="Q154" s="51"/>
      <c r="R154" s="51" t="str">
        <f>IF(ISBLANK(Yards[[#This Row],[DSGN CALENDAR YEAR]]),"",Yards[[#This Row],[DSGN CALENDAR YEAR]]+1)</f>
        <v/>
      </c>
      <c r="S154" s="51" t="str">
        <f>IF(ISBLANK(Yards[[#This Row],[DSGN FISCAL YEAR]]),"",Yards[[#This Row],[DSGN FISCAL YEAR]]+1)</f>
        <v/>
      </c>
      <c r="T154" s="51"/>
      <c r="U154" s="128">
        <f ca="1">Yards[[#This Row],[Estimate]]*0.1</f>
        <v>212386.62609500007</v>
      </c>
      <c r="V154" s="47">
        <f ca="1">Yards[[#This Row],[Estimate]]-Yards[[#This Row],[Design Est.]]</f>
        <v>1911479.6348550003</v>
      </c>
      <c r="W154" s="85">
        <f ca="1">(Yards[[#This Row],['# yards]]*INDEX(UnitCosts[],MATCH(Yards[[#This Row],[WORK TYPE]],UnitCosts[Work Type],0),2))*(1+((Yards[[#This Row],[est. CONS Year]]-YEAR(TODAY()))*$W$3))</f>
        <v>2123866.2609500005</v>
      </c>
      <c r="X154" s="142">
        <f ca="1">IF(ISNUMBER(SEARCH("LLC",Yards[[#This Row],[PROGRAM]])),0,IF(Yards[[#This Row],[RAD/PACT by 2025]]="yes",0,1))</f>
        <v>1</v>
      </c>
      <c r="Y154" s="1"/>
      <c r="Z154" s="1"/>
      <c r="AA154" s="51">
        <f ca="1">COUNTIF($X$5:Yards[[#This Row],['# yards]],"&gt;0")-10</f>
        <v>89</v>
      </c>
      <c r="AB154" s="1">
        <f ca="1">IF(ISBLANK(Yards[[#This Row],[DSGN CALENDAR YEAR]]),ROUNDDOWN(Yards[[#This Row],[Count]]/24,0)+$AB$1,Yards[[#This Row],[DSGN CALENDAR YEAR]])</f>
        <v>2024</v>
      </c>
      <c r="AC154" s="16">
        <f ca="1">Yards[[#This Row],[est. DSGN Year]]+1</f>
        <v>2025</v>
      </c>
    </row>
    <row r="155" spans="1:29" hidden="1">
      <c r="A155" s="13" t="s">
        <v>268</v>
      </c>
      <c r="B155" s="51" t="str">
        <f>VLOOKUP(Yards[[#This Row],[DEVELOPMENT]],Data[],2,FALSE)</f>
        <v>BRONX</v>
      </c>
      <c r="C155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55" s="51" t="str">
        <f>VLOOKUP(Yards[[#This Row],[DEVELOPMENT]],Data[],52,FALSE)</f>
        <v>FEDERAL</v>
      </c>
      <c r="E155" s="50">
        <f>VLOOKUP(Yards[[#This Row],[DEVELOPMENT]],Data[],8,FALSE)</f>
        <v>0</v>
      </c>
      <c r="F155" s="51" t="str">
        <f>VLOOKUP(Yards[[#This Row],[DEVELOPMENT]],all[[DEVELOPMENT]:[MRST Ext. Comp. Priority]],6,FALSE)</f>
        <v>C</v>
      </c>
      <c r="G155" s="51" t="str">
        <f>VLOOKUP(Yards[[#This Row],[DEVELOPMENT]],all[[DEVELOPMENT]:[MRST Ext. Comp. Priority]],13,FALSE)</f>
        <v>None</v>
      </c>
      <c r="H155" s="50">
        <f>IF(VLOOKUP(Yards[[#This Row],[DEVELOPMENT]],Data[],9,FALSE)=0,5,VLOOKUP(Yards[[#This Row],[DEVELOPMENT]],Data[],9,FALSE))</f>
        <v>5</v>
      </c>
      <c r="I155" s="51">
        <f>VLOOKUP(Yards[[#This Row],[DEVELOPMENT]],Data[],33,FALSE)</f>
        <v>1</v>
      </c>
      <c r="J155" s="51">
        <f>VLOOKUP(Yards[[#This Row],[DEVELOPMENT]],Data[],28,FALSE)</f>
        <v>0</v>
      </c>
      <c r="K155" s="51"/>
      <c r="L155" s="50"/>
      <c r="M155" s="51" t="str">
        <f ca="1">IFERROR(VLOOKUP(Yards[[#This Row],[DEVELOPMENT]],Data[],4,FALSE),"")</f>
        <v>2020-2021</v>
      </c>
      <c r="N155" s="51" t="str">
        <f ca="1">IF(Yards[[#This Row],[RAD/PACT]]="","",IF(OR(Yards[[#This Row],[RAD/PACT]]="2022-2025",Yards[[#This Row],[RAD/PACT]]=2019,Yards[[#This Row],[RAD/PACT]]="2020-2021"),"Yes",""))</f>
        <v>Yes</v>
      </c>
      <c r="O155" s="51" t="str">
        <f ca="1">IFERROR(VLOOKUP(Yards[[#This Row],[DEVELOPMENT]],ExtComp[],8,FALSE),"")</f>
        <v/>
      </c>
      <c r="P155" s="51"/>
      <c r="Q155" s="51"/>
      <c r="R155" s="51" t="str">
        <f>IF(ISBLANK(Yards[[#This Row],[DSGN CALENDAR YEAR]]),"",Yards[[#This Row],[DSGN CALENDAR YEAR]]+1)</f>
        <v/>
      </c>
      <c r="S155" s="51" t="str">
        <f>IF(ISBLANK(Yards[[#This Row],[DSGN FISCAL YEAR]]),"",Yards[[#This Row],[DSGN FISCAL YEAR]]+1)</f>
        <v/>
      </c>
      <c r="T155" s="51"/>
      <c r="U155" s="128">
        <f ca="1">Yards[[#This Row],[Estimate]]*0.1</f>
        <v>0</v>
      </c>
      <c r="V155" s="47">
        <f ca="1">Yards[[#This Row],[Estimate]]-Yards[[#This Row],[Design Est.]]</f>
        <v>0</v>
      </c>
      <c r="W155" s="85">
        <f ca="1">(Yards[[#This Row],['# yards]]*INDEX(UnitCosts[],MATCH(Yards[[#This Row],[WORK TYPE]],UnitCosts[Work Type],0),2))*(1+((Yards[[#This Row],[est. CONS Year]]-YEAR(TODAY()))*$W$3))</f>
        <v>0</v>
      </c>
      <c r="X155" s="142">
        <f ca="1">IF(ISNUMBER(SEARCH("LLC",Yards[[#This Row],[PROGRAM]])),0,IF(Yards[[#This Row],[RAD/PACT by 2025]]="yes",0,1))</f>
        <v>0</v>
      </c>
      <c r="Y155" s="1"/>
      <c r="Z155" s="1"/>
      <c r="AA155" s="51">
        <f ca="1">COUNTIF($X$5:Yards[[#This Row],['# yards]],"&gt;0")-10</f>
        <v>89</v>
      </c>
      <c r="AB155" s="1">
        <f ca="1">IF(ISBLANK(Yards[[#This Row],[DSGN CALENDAR YEAR]]),ROUNDDOWN(Yards[[#This Row],[Count]]/24,0)+$AB$1,Yards[[#This Row],[DSGN CALENDAR YEAR]])</f>
        <v>2024</v>
      </c>
      <c r="AC155" s="16">
        <f ca="1">Yards[[#This Row],[est. DSGN Year]]+1</f>
        <v>2025</v>
      </c>
    </row>
    <row r="156" spans="1:29" hidden="1">
      <c r="A156" s="13" t="s">
        <v>104</v>
      </c>
      <c r="B156" s="51" t="str">
        <f>VLOOKUP(Yards[[#This Row],[DEVELOPMENT]],Data[],2,FALSE)</f>
        <v>MANHATTAN</v>
      </c>
      <c r="C15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56" s="51" t="str">
        <f>VLOOKUP(Yards[[#This Row],[DEVELOPMENT]],Data[],52,FALSE)</f>
        <v>FEDERAL</v>
      </c>
      <c r="E156" s="50" t="str">
        <f>VLOOKUP(Yards[[#This Row],[DEVELOPMENT]],Data[],8,FALSE)</f>
        <v>Zone 1</v>
      </c>
      <c r="F156" s="51" t="str">
        <f>VLOOKUP(Yards[[#This Row],[DEVELOPMENT]],all[[DEVELOPMENT]:[MRST Ext. Comp. Priority]],6,FALSE)</f>
        <v>D</v>
      </c>
      <c r="G156" s="51">
        <f>VLOOKUP(Yards[[#This Row],[DEVELOPMENT]],all[[DEVELOPMENT]:[MRST Ext. Comp. Priority]],13,FALSE)</f>
        <v>2</v>
      </c>
      <c r="H156" s="50">
        <f>IF(VLOOKUP(Yards[[#This Row],[DEVELOPMENT]],Data[],9,FALSE)=0,5,VLOOKUP(Yards[[#This Row],[DEVELOPMENT]],Data[],9,FALSE))</f>
        <v>3</v>
      </c>
      <c r="I156" s="51">
        <f>VLOOKUP(Yards[[#This Row],[DEVELOPMENT]],Data[],33,FALSE)</f>
        <v>1</v>
      </c>
      <c r="J156" s="51">
        <f>VLOOKUP(Yards[[#This Row],[DEVELOPMENT]],Data[],28,FALSE)</f>
        <v>0</v>
      </c>
      <c r="K156" s="51"/>
      <c r="L156" s="50"/>
      <c r="M156" s="51" t="str">
        <f ca="1">IFERROR(VLOOKUP(Yards[[#This Row],[DEVELOPMENT]],Data[],4,FALSE),"")</f>
        <v/>
      </c>
      <c r="N156" s="51" t="str">
        <f ca="1">IF(Yards[[#This Row],[RAD/PACT]]="","",IF(OR(Yards[[#This Row],[RAD/PACT]]="2022-2025",Yards[[#This Row],[RAD/PACT]]=2019,Yards[[#This Row],[RAD/PACT]]="2020-2021"),"Yes",""))</f>
        <v/>
      </c>
      <c r="O156" s="51" t="str">
        <f ca="1">IFERROR(VLOOKUP(Yards[[#This Row],[DEVELOPMENT]],ExtComp[],8,FALSE),"")</f>
        <v/>
      </c>
      <c r="P156" s="51"/>
      <c r="Q156" s="51"/>
      <c r="R156" s="51" t="str">
        <f>IF(ISBLANK(Yards[[#This Row],[DSGN CALENDAR YEAR]]),"",Yards[[#This Row],[DSGN CALENDAR YEAR]]+1)</f>
        <v/>
      </c>
      <c r="S156" s="51" t="str">
        <f>IF(ISBLANK(Yards[[#This Row],[DSGN FISCAL YEAR]]),"",Yards[[#This Row],[DSGN FISCAL YEAR]]+1)</f>
        <v/>
      </c>
      <c r="T156" s="51"/>
      <c r="U156" s="128">
        <f>Yards[[#This Row],[Estimate]]*0.1</f>
        <v>0</v>
      </c>
      <c r="V156" s="47">
        <f>Yards[[#This Row],[Estimate]]-Yards[[#This Row],[Design Est.]]</f>
        <v>0</v>
      </c>
      <c r="W156" s="85">
        <v>0</v>
      </c>
      <c r="X156" s="142">
        <v>0</v>
      </c>
      <c r="Y156" s="1"/>
      <c r="Z156" s="1"/>
      <c r="AA156" s="51">
        <f ca="1">COUNTIF($X$5:Yards[[#This Row],['# yards]],"&gt;0")-10</f>
        <v>89</v>
      </c>
      <c r="AB156" s="1">
        <f ca="1">IF(ISBLANK(Yards[[#This Row],[DSGN CALENDAR YEAR]]),ROUNDDOWN(Yards[[#This Row],[Count]]/24,0)+$AB$1,Yards[[#This Row],[DSGN CALENDAR YEAR]])</f>
        <v>2024</v>
      </c>
      <c r="AC156" s="16">
        <f ca="1">Yards[[#This Row],[est. DSGN Year]]+1</f>
        <v>2025</v>
      </c>
    </row>
    <row r="157" spans="1:29">
      <c r="A157" s="13" t="s">
        <v>147</v>
      </c>
      <c r="B157" s="51" t="str">
        <f>VLOOKUP(Yards[[#This Row],[DEVELOPMENT]],Data[],2,FALSE)</f>
        <v>BRONX</v>
      </c>
      <c r="C15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57" s="51" t="str">
        <f>VLOOKUP(Yards[[#This Row],[DEVELOPMENT]],Data[],52,FALSE)</f>
        <v>FEDERAL</v>
      </c>
      <c r="E157" s="50" t="str">
        <f>VLOOKUP(Yards[[#This Row],[DEVELOPMENT]],Data[],8,FALSE)</f>
        <v>Zone 1</v>
      </c>
      <c r="F157" s="51" t="str">
        <f>VLOOKUP(Yards[[#This Row],[DEVELOPMENT]],all[[DEVELOPMENT]:[MRST Ext. Comp. Priority]],6,FALSE)</f>
        <v>C</v>
      </c>
      <c r="G157" s="51" t="str">
        <f>VLOOKUP(Yards[[#This Row],[DEVELOPMENT]],all[[DEVELOPMENT]:[MRST Ext. Comp. Priority]],13,FALSE)</f>
        <v>None</v>
      </c>
      <c r="H157" s="50">
        <f>IF(VLOOKUP(Yards[[#This Row],[DEVELOPMENT]],Data[],9,FALSE)=0,5,VLOOKUP(Yards[[#This Row],[DEVELOPMENT]],Data[],9,FALSE))</f>
        <v>1</v>
      </c>
      <c r="I157" s="51">
        <f>VLOOKUP(Yards[[#This Row],[DEVELOPMENT]],Data[],33,FALSE)</f>
        <v>0</v>
      </c>
      <c r="J157" s="51">
        <f>VLOOKUP(Yards[[#This Row],[DEVELOPMENT]],Data[],28,FALSE)</f>
        <v>0</v>
      </c>
      <c r="K157" s="51"/>
      <c r="L157" s="50">
        <v>1</v>
      </c>
      <c r="M157" s="51" t="str">
        <f ca="1">IFERROR(VLOOKUP(Yards[[#This Row],[DEVELOPMENT]],Data[],4,FALSE),"")</f>
        <v/>
      </c>
      <c r="N157" s="51" t="str">
        <f ca="1">IF(Yards[[#This Row],[RAD/PACT]]="","",IF(OR(Yards[[#This Row],[RAD/PACT]]="2022-2025",Yards[[#This Row],[RAD/PACT]]=2019,Yards[[#This Row],[RAD/PACT]]="2020-2021"),"Yes",""))</f>
        <v/>
      </c>
      <c r="O157" s="51" t="str">
        <f ca="1">IFERROR(VLOOKUP(Yards[[#This Row],[DEVELOPMENT]],ExtComp[],8,FALSE),"")</f>
        <v/>
      </c>
      <c r="P157" s="51"/>
      <c r="Q157" s="51"/>
      <c r="R157" s="51" t="str">
        <f>IF(ISBLANK(Yards[[#This Row],[DSGN CALENDAR YEAR]]),"",Yards[[#This Row],[DSGN CALENDAR YEAR]]+1)</f>
        <v/>
      </c>
      <c r="S157" s="51" t="str">
        <f>IF(ISBLANK(Yards[[#This Row],[DSGN FISCAL YEAR]]),"",Yards[[#This Row],[DSGN FISCAL YEAR]]+1)</f>
        <v/>
      </c>
      <c r="T157" s="51"/>
      <c r="U157" s="128">
        <f ca="1">Yards[[#This Row],[Estimate]]*0.1</f>
        <v>212386.62609500007</v>
      </c>
      <c r="V157" s="47">
        <f ca="1">Yards[[#This Row],[Estimate]]-Yards[[#This Row],[Design Est.]]</f>
        <v>1911479.6348550003</v>
      </c>
      <c r="W157" s="85">
        <f ca="1">(Yards[[#This Row],['# yards]]*INDEX(UnitCosts[],MATCH(Yards[[#This Row],[WORK TYPE]],UnitCosts[Work Type],0),2))*(1+((Yards[[#This Row],[est. CONS Year]]-YEAR(TODAY()))*$W$3))</f>
        <v>2123866.2609500005</v>
      </c>
      <c r="X157" s="142">
        <f ca="1">IF(ISNUMBER(SEARCH("LLC",Yards[[#This Row],[PROGRAM]])),0,IF(Yards[[#This Row],[RAD/PACT by 2025]]="yes",0,1))</f>
        <v>1</v>
      </c>
      <c r="Y157" s="1"/>
      <c r="Z157" s="1"/>
      <c r="AA157" s="51">
        <f ca="1">COUNTIF($X$5:Yards[[#This Row],['# yards]],"&gt;0")-10</f>
        <v>90</v>
      </c>
      <c r="AB157" s="1">
        <f ca="1">IF(ISBLANK(Yards[[#This Row],[DSGN CALENDAR YEAR]]),ROUNDDOWN(Yards[[#This Row],[Count]]/24,0)+$AB$1,Yards[[#This Row],[DSGN CALENDAR YEAR]])</f>
        <v>2024</v>
      </c>
      <c r="AC157" s="16">
        <f ca="1">Yards[[#This Row],[est. DSGN Year]]+1</f>
        <v>2025</v>
      </c>
    </row>
    <row r="158" spans="1:29" hidden="1">
      <c r="A158" s="13" t="s">
        <v>51</v>
      </c>
      <c r="B158" s="51" t="str">
        <f>VLOOKUP(Yards[[#This Row],[DEVELOPMENT]],Data[],2,FALSE)</f>
        <v>MANHATTAN</v>
      </c>
      <c r="C158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58" s="51" t="str">
        <f>VLOOKUP(Yards[[#This Row],[DEVELOPMENT]],Data[],52,FALSE)</f>
        <v>FEDERAL</v>
      </c>
      <c r="E158" s="50" t="str">
        <f>VLOOKUP(Yards[[#This Row],[DEVELOPMENT]],Data[],8,FALSE)</f>
        <v>Zone 1</v>
      </c>
      <c r="F158" s="51" t="str">
        <f>VLOOKUP(Yards[[#This Row],[DEVELOPMENT]],all[[DEVELOPMENT]:[MRST Ext. Comp. Priority]],6,FALSE)</f>
        <v>D</v>
      </c>
      <c r="G158" s="51">
        <f>VLOOKUP(Yards[[#This Row],[DEVELOPMENT]],all[[DEVELOPMENT]:[MRST Ext. Comp. Priority]],13,FALSE)</f>
        <v>2</v>
      </c>
      <c r="H158" s="50">
        <f>IF(VLOOKUP(Yards[[#This Row],[DEVELOPMENT]],Data[],9,FALSE)=0,5,VLOOKUP(Yards[[#This Row],[DEVELOPMENT]],Data[],9,FALSE))</f>
        <v>4</v>
      </c>
      <c r="I158" s="51">
        <f>VLOOKUP(Yards[[#This Row],[DEVELOPMENT]],Data[],33,FALSE)</f>
        <v>0</v>
      </c>
      <c r="J158" s="51">
        <f>VLOOKUP(Yards[[#This Row],[DEVELOPMENT]],Data[],28,FALSE)</f>
        <v>0</v>
      </c>
      <c r="K158" s="51"/>
      <c r="L158" s="50"/>
      <c r="M158" s="51" t="str">
        <f ca="1">IFERROR(VLOOKUP(Yards[[#This Row],[DEVELOPMENT]],Data[],4,FALSE),"")</f>
        <v/>
      </c>
      <c r="N158" s="51" t="str">
        <f ca="1">IF(Yards[[#This Row],[RAD/PACT]]="","",IF(OR(Yards[[#This Row],[RAD/PACT]]="2022-2025",Yards[[#This Row],[RAD/PACT]]=2019,Yards[[#This Row],[RAD/PACT]]="2020-2021"),"Yes",""))</f>
        <v/>
      </c>
      <c r="O158" s="51" t="str">
        <f ca="1">IFERROR(VLOOKUP(Yards[[#This Row],[DEVELOPMENT]],ExtComp[],8,FALSE),"")</f>
        <v/>
      </c>
      <c r="P158" s="51"/>
      <c r="Q158" s="51"/>
      <c r="R158" s="51" t="str">
        <f>IF(ISBLANK(Yards[[#This Row],[DSGN CALENDAR YEAR]]),"",Yards[[#This Row],[DSGN CALENDAR YEAR]]+1)</f>
        <v/>
      </c>
      <c r="S158" s="51" t="str">
        <f>IF(ISBLANK(Yards[[#This Row],[DSGN FISCAL YEAR]]),"",Yards[[#This Row],[DSGN FISCAL YEAR]]+1)</f>
        <v/>
      </c>
      <c r="T158" s="51"/>
      <c r="U158" s="128">
        <f>Yards[[#This Row],[Estimate]]*0.1</f>
        <v>0</v>
      </c>
      <c r="V158" s="47">
        <f>Yards[[#This Row],[Estimate]]-Yards[[#This Row],[Design Est.]]</f>
        <v>0</v>
      </c>
      <c r="W158" s="85">
        <v>0</v>
      </c>
      <c r="X158" s="142">
        <v>0</v>
      </c>
      <c r="Y158" s="1"/>
      <c r="Z158" s="1"/>
      <c r="AA158" s="51">
        <f ca="1">COUNTIF($X$5:Yards[[#This Row],['# yards]],"&gt;0")-10</f>
        <v>90</v>
      </c>
      <c r="AB158" s="1">
        <f ca="1">IF(ISBLANK(Yards[[#This Row],[DSGN CALENDAR YEAR]]),ROUNDDOWN(Yards[[#This Row],[Count]]/24,0)+$AB$1,Yards[[#This Row],[DSGN CALENDAR YEAR]])</f>
        <v>2024</v>
      </c>
      <c r="AC158" s="16">
        <f ca="1">Yards[[#This Row],[est. DSGN Year]]+1</f>
        <v>2025</v>
      </c>
    </row>
    <row r="159" spans="1:29">
      <c r="A159" s="13" t="s">
        <v>57</v>
      </c>
      <c r="B159" s="51" t="str">
        <f>VLOOKUP(Yards[[#This Row],[DEVELOPMENT]],Data[],2,FALSE)</f>
        <v>MANHATTAN</v>
      </c>
      <c r="C15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59" s="51" t="str">
        <f>VLOOKUP(Yards[[#This Row],[DEVELOPMENT]],Data[],52,FALSE)</f>
        <v>FEDERAL</v>
      </c>
      <c r="E159" s="50" t="str">
        <f>VLOOKUP(Yards[[#This Row],[DEVELOPMENT]],Data[],8,FALSE)</f>
        <v>Zone 1</v>
      </c>
      <c r="F159" s="51" t="str">
        <f>VLOOKUP(Yards[[#This Row],[DEVELOPMENT]],all[[DEVELOPMENT]:[MRST Ext. Comp. Priority]],6,FALSE)</f>
        <v>D</v>
      </c>
      <c r="G159" s="51">
        <f>VLOOKUP(Yards[[#This Row],[DEVELOPMENT]],all[[DEVELOPMENT]:[MRST Ext. Comp. Priority]],13,FALSE)</f>
        <v>2</v>
      </c>
      <c r="H159" s="50">
        <f>IF(VLOOKUP(Yards[[#This Row],[DEVELOPMENT]],Data[],9,FALSE)=0,5,VLOOKUP(Yards[[#This Row],[DEVELOPMENT]],Data[],9,FALSE))</f>
        <v>3</v>
      </c>
      <c r="I159" s="51">
        <f>VLOOKUP(Yards[[#This Row],[DEVELOPMENT]],Data[],33,FALSE)</f>
        <v>0</v>
      </c>
      <c r="J159" s="51">
        <f>VLOOKUP(Yards[[#This Row],[DEVELOPMENT]],Data[],28,FALSE)</f>
        <v>0</v>
      </c>
      <c r="K159" s="51"/>
      <c r="L159" s="50"/>
      <c r="M159" s="51" t="str">
        <f ca="1">IFERROR(VLOOKUP(Yards[[#This Row],[DEVELOPMENT]],Data[],4,FALSE),"")</f>
        <v/>
      </c>
      <c r="N159" s="51" t="str">
        <f ca="1">IF(Yards[[#This Row],[RAD/PACT]]="","",IF(OR(Yards[[#This Row],[RAD/PACT]]="2022-2025",Yards[[#This Row],[RAD/PACT]]=2019,Yards[[#This Row],[RAD/PACT]]="2020-2021"),"Yes",""))</f>
        <v/>
      </c>
      <c r="O159" s="51" t="str">
        <f ca="1">IFERROR(VLOOKUP(Yards[[#This Row],[DEVELOPMENT]],ExtComp[],8,FALSE),"")</f>
        <v/>
      </c>
      <c r="P159" s="51"/>
      <c r="Q159" s="51"/>
      <c r="R159" s="51" t="str">
        <f>IF(ISBLANK(Yards[[#This Row],[DSGN CALENDAR YEAR]]),"",Yards[[#This Row],[DSGN CALENDAR YEAR]]+1)</f>
        <v/>
      </c>
      <c r="S159" s="51" t="str">
        <f>IF(ISBLANK(Yards[[#This Row],[DSGN FISCAL YEAR]]),"",Yards[[#This Row],[DSGN FISCAL YEAR]]+1)</f>
        <v/>
      </c>
      <c r="T159" s="51"/>
      <c r="U159" s="128">
        <f ca="1">Yards[[#This Row],[Estimate]]*0.1</f>
        <v>212386.62609500007</v>
      </c>
      <c r="V159" s="47">
        <f ca="1">Yards[[#This Row],[Estimate]]-Yards[[#This Row],[Design Est.]]</f>
        <v>1911479.6348550003</v>
      </c>
      <c r="W159" s="85">
        <f ca="1">(Yards[[#This Row],['# yards]]*INDEX(UnitCosts[],MATCH(Yards[[#This Row],[WORK TYPE]],UnitCosts[Work Type],0),2))*(1+((Yards[[#This Row],[est. CONS Year]]-YEAR(TODAY()))*$W$3))</f>
        <v>2123866.2609500005</v>
      </c>
      <c r="X159" s="142">
        <f ca="1">IF(ISNUMBER(SEARCH("LLC",Yards[[#This Row],[PROGRAM]])),0,IF(Yards[[#This Row],[RAD/PACT by 2025]]="yes",0,1))</f>
        <v>1</v>
      </c>
      <c r="Y159" s="1"/>
      <c r="Z159" s="1"/>
      <c r="AA159" s="51">
        <f ca="1">COUNTIF($X$5:Yards[[#This Row],['# yards]],"&gt;0")-10</f>
        <v>91</v>
      </c>
      <c r="AB159" s="1">
        <f ca="1">IF(ISBLANK(Yards[[#This Row],[DSGN CALENDAR YEAR]]),ROUNDDOWN(Yards[[#This Row],[Count]]/24,0)+$AB$1,Yards[[#This Row],[DSGN CALENDAR YEAR]])</f>
        <v>2024</v>
      </c>
      <c r="AC159" s="16">
        <f ca="1">Yards[[#This Row],[est. DSGN Year]]+1</f>
        <v>2025</v>
      </c>
    </row>
    <row r="160" spans="1:29">
      <c r="A160" s="13" t="s">
        <v>111</v>
      </c>
      <c r="B160" s="51" t="str">
        <f>VLOOKUP(Yards[[#This Row],[DEVELOPMENT]],Data[],2,FALSE)</f>
        <v>MANHATTAN</v>
      </c>
      <c r="C160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60" s="51" t="str">
        <f>VLOOKUP(Yards[[#This Row],[DEVELOPMENT]],Data[],52,FALSE)</f>
        <v>FEDERAL</v>
      </c>
      <c r="E160" s="50" t="str">
        <f>VLOOKUP(Yards[[#This Row],[DEVELOPMENT]],Data[],8,FALSE)</f>
        <v>Zone 3</v>
      </c>
      <c r="F160" s="51" t="str">
        <f>VLOOKUP(Yards[[#This Row],[DEVELOPMENT]],all[[DEVELOPMENT]:[MRST Ext. Comp. Priority]],6,FALSE)</f>
        <v>D</v>
      </c>
      <c r="G160" s="51">
        <f>VLOOKUP(Yards[[#This Row],[DEVELOPMENT]],all[[DEVELOPMENT]:[MRST Ext. Comp. Priority]],13,FALSE)</f>
        <v>2</v>
      </c>
      <c r="H160" s="50">
        <f>IF(VLOOKUP(Yards[[#This Row],[DEVELOPMENT]],Data[],9,FALSE)=0,5,VLOOKUP(Yards[[#This Row],[DEVELOPMENT]],Data[],9,FALSE))</f>
        <v>4</v>
      </c>
      <c r="I160" s="51">
        <f>VLOOKUP(Yards[[#This Row],[DEVELOPMENT]],Data[],33,FALSE)</f>
        <v>2</v>
      </c>
      <c r="J160" s="51">
        <f>VLOOKUP(Yards[[#This Row],[DEVELOPMENT]],Data[],28,FALSE)</f>
        <v>0</v>
      </c>
      <c r="K160" s="51"/>
      <c r="L160" s="50"/>
      <c r="M160" s="51" t="str">
        <f ca="1">IFERROR(VLOOKUP(Yards[[#This Row],[DEVELOPMENT]],Data[],4,FALSE),"")</f>
        <v/>
      </c>
      <c r="N160" s="51" t="str">
        <f ca="1">IF(Yards[[#This Row],[RAD/PACT]]="","",IF(OR(Yards[[#This Row],[RAD/PACT]]="2022-2025",Yards[[#This Row],[RAD/PACT]]=2019,Yards[[#This Row],[RAD/PACT]]="2020-2021"),"Yes",""))</f>
        <v/>
      </c>
      <c r="O160" s="51">
        <f ca="1">IFERROR(VLOOKUP(Yards[[#This Row],[DEVELOPMENT]],ExtComp[],8,FALSE),"")</f>
        <v>18</v>
      </c>
      <c r="P160" s="51"/>
      <c r="Q160" s="51"/>
      <c r="R160" s="51" t="str">
        <f>IF(ISBLANK(Yards[[#This Row],[DSGN CALENDAR YEAR]]),"",Yards[[#This Row],[DSGN CALENDAR YEAR]]+1)</f>
        <v/>
      </c>
      <c r="S160" s="51" t="str">
        <f>IF(ISBLANK(Yards[[#This Row],[DSGN FISCAL YEAR]]),"",Yards[[#This Row],[DSGN FISCAL YEAR]]+1)</f>
        <v/>
      </c>
      <c r="T160" s="51"/>
      <c r="U160" s="128">
        <f ca="1">Yards[[#This Row],[Estimate]]*0.1</f>
        <v>237400.39768875009</v>
      </c>
      <c r="V160" s="47">
        <f ca="1">Yards[[#This Row],[Estimate]]-Yards[[#This Row],[Design Est.]]</f>
        <v>2136603.5791987507</v>
      </c>
      <c r="W160" s="85">
        <f ca="1">(Yards[[#This Row],['# yards]]*INDEX(UnitCosts[],MATCH(Yards[[#This Row],[WORK TYPE]],UnitCosts[Work Type],0),2))*(1+((Yards[[#This Row],[est. CONS Year]]-YEAR(TODAY()))*$W$3))</f>
        <v>2374003.9768875008</v>
      </c>
      <c r="X160" s="142">
        <f ca="1">IF(ISNUMBER(SEARCH("LLC",Yards[[#This Row],[PROGRAM]])),0,IF(Yards[[#This Row],[RAD/PACT by 2025]]="yes",0,1))</f>
        <v>1</v>
      </c>
      <c r="Y160" s="1"/>
      <c r="Z160" s="1"/>
      <c r="AA160" s="51">
        <f ca="1">COUNTIF($X$5:Yards[[#This Row],['# yards]],"&gt;0")-10</f>
        <v>92</v>
      </c>
      <c r="AB160" s="1">
        <f ca="1">IF(ISBLANK(Yards[[#This Row],[DSGN CALENDAR YEAR]]),ROUNDDOWN(Yards[[#This Row],[Count]]/24,0)+$AB$1,Yards[[#This Row],[DSGN CALENDAR YEAR]])</f>
        <v>2024</v>
      </c>
      <c r="AC160" s="16">
        <f ca="1">Yards[[#This Row],[est. DSGN Year]]+1</f>
        <v>2025</v>
      </c>
    </row>
    <row r="161" spans="1:29">
      <c r="A161" s="13" t="s">
        <v>115</v>
      </c>
      <c r="B161" s="51" t="str">
        <f>VLOOKUP(Yards[[#This Row],[DEVELOPMENT]],Data[],2,FALSE)</f>
        <v>MANHATTAN</v>
      </c>
      <c r="C161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161" s="51" t="str">
        <f>VLOOKUP(Yards[[#This Row],[DEVELOPMENT]],Data[],52,FALSE)</f>
        <v>FEDERAL</v>
      </c>
      <c r="E161" s="50" t="str">
        <f>VLOOKUP(Yards[[#This Row],[DEVELOPMENT]],Data[],8,FALSE)</f>
        <v>Zone 2</v>
      </c>
      <c r="F161" s="51" t="str">
        <f>VLOOKUP(Yards[[#This Row],[DEVELOPMENT]],all[[DEVELOPMENT]:[MRST Ext. Comp. Priority]],6,FALSE)</f>
        <v>D</v>
      </c>
      <c r="G161" s="51">
        <f>VLOOKUP(Yards[[#This Row],[DEVELOPMENT]],all[[DEVELOPMENT]:[MRST Ext. Comp. Priority]],13,FALSE)</f>
        <v>2</v>
      </c>
      <c r="H161" s="50">
        <f>IF(VLOOKUP(Yards[[#This Row],[DEVELOPMENT]],Data[],9,FALSE)=0,5,VLOOKUP(Yards[[#This Row],[DEVELOPMENT]],Data[],9,FALSE))</f>
        <v>4</v>
      </c>
      <c r="I161" s="51">
        <f>VLOOKUP(Yards[[#This Row],[DEVELOPMENT]],Data[],33,FALSE)</f>
        <v>3</v>
      </c>
      <c r="J161" s="51">
        <f>VLOOKUP(Yards[[#This Row],[DEVELOPMENT]],Data[],28,FALSE)</f>
        <v>0</v>
      </c>
      <c r="K161" s="51"/>
      <c r="L161" s="50"/>
      <c r="M161" s="51" t="str">
        <f ca="1">IFERROR(VLOOKUP(Yards[[#This Row],[DEVELOPMENT]],Data[],4,FALSE),"")</f>
        <v/>
      </c>
      <c r="N161" s="51" t="str">
        <f ca="1">IF(Yards[[#This Row],[RAD/PACT]]="","",IF(OR(Yards[[#This Row],[RAD/PACT]]="2022-2025",Yards[[#This Row],[RAD/PACT]]=2019,Yards[[#This Row],[RAD/PACT]]="2020-2021"),"Yes",""))</f>
        <v/>
      </c>
      <c r="O161" s="1">
        <f ca="1">IFERROR(VLOOKUP(Yards[[#This Row],[DEVELOPMENT]],ExtComp[],8,FALSE),"")</f>
        <v>17</v>
      </c>
      <c r="P161" s="1"/>
      <c r="Q161" s="1"/>
      <c r="R161" s="1" t="str">
        <f>IF(ISBLANK(Yards[[#This Row],[DSGN CALENDAR YEAR]]),"",Yards[[#This Row],[DSGN CALENDAR YEAR]]+1)</f>
        <v/>
      </c>
      <c r="S161" s="51" t="str">
        <f>IF(ISBLANK(Yards[[#This Row],[DSGN FISCAL YEAR]]),"",Yards[[#This Row],[DSGN FISCAL YEAR]]+1)</f>
        <v/>
      </c>
      <c r="T161" s="1"/>
      <c r="U161" s="128">
        <f ca="1">Yards[[#This Row],[Estimate]]*0.1</f>
        <v>276067.59524575004</v>
      </c>
      <c r="V161" s="47">
        <f ca="1">Yards[[#This Row],[Estimate]]-Yards[[#This Row],[Design Est.]]</f>
        <v>2484608.35721175</v>
      </c>
      <c r="W161" s="85">
        <f ca="1">(Yards[[#This Row],['# yards]]*INDEX(UnitCosts[],MATCH(Yards[[#This Row],[WORK TYPE]],UnitCosts[Work Type],0),2))*(1+((Yards[[#This Row],[est. CONS Year]]-YEAR(TODAY()))*$W$3))</f>
        <v>2760675.9524575002</v>
      </c>
      <c r="X161" s="142">
        <f ca="1">IF(ISNUMBER(SEARCH("LLC",Yards[[#This Row],[PROGRAM]])),0,IF(Yards[[#This Row],[RAD/PACT by 2025]]="yes",0,1))</f>
        <v>1</v>
      </c>
      <c r="Y161" s="1"/>
      <c r="Z161" s="1"/>
      <c r="AA161" s="51">
        <f ca="1">COUNTIF($X$5:Yards[[#This Row],['# yards]],"&gt;0")-10</f>
        <v>93</v>
      </c>
      <c r="AB161" s="1">
        <f ca="1">IF(ISBLANK(Yards[[#This Row],[DSGN CALENDAR YEAR]]),ROUNDDOWN(Yards[[#This Row],[Count]]/24,0)+$AB$1,Yards[[#This Row],[DSGN CALENDAR YEAR]])</f>
        <v>2024</v>
      </c>
      <c r="AC161" s="16">
        <f ca="1">Yards[[#This Row],[est. DSGN Year]]+1</f>
        <v>2025</v>
      </c>
    </row>
    <row r="162" spans="1:29">
      <c r="A162" s="13" t="s">
        <v>290</v>
      </c>
      <c r="B162" s="51" t="str">
        <f>VLOOKUP(Yards[[#This Row],[DEVELOPMENT]],Data[],2,FALSE)</f>
        <v>BRONX</v>
      </c>
      <c r="C16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62" s="51" t="str">
        <f>VLOOKUP(Yards[[#This Row],[DEVELOPMENT]],Data[],52,FALSE)</f>
        <v>FEDERAL</v>
      </c>
      <c r="E162" s="50">
        <f>VLOOKUP(Yards[[#This Row],[DEVELOPMENT]],Data[],8,FALSE)</f>
        <v>0</v>
      </c>
      <c r="F162" s="51" t="str">
        <f>VLOOKUP(Yards[[#This Row],[DEVELOPMENT]],all[[DEVELOPMENT]:[MRST Ext. Comp. Priority]],6,FALSE)</f>
        <v>D</v>
      </c>
      <c r="G162" s="51">
        <f>VLOOKUP(Yards[[#This Row],[DEVELOPMENT]],all[[DEVELOPMENT]:[MRST Ext. Comp. Priority]],13,FALSE)</f>
        <v>2</v>
      </c>
      <c r="H162" s="50">
        <f>IF(VLOOKUP(Yards[[#This Row],[DEVELOPMENT]],Data[],9,FALSE)=0,5,VLOOKUP(Yards[[#This Row],[DEVELOPMENT]],Data[],9,FALSE))</f>
        <v>5</v>
      </c>
      <c r="I162" s="51">
        <f>VLOOKUP(Yards[[#This Row],[DEVELOPMENT]],Data[],33,FALSE)</f>
        <v>0</v>
      </c>
      <c r="J162" s="51">
        <f>VLOOKUP(Yards[[#This Row],[DEVELOPMENT]],Data[],28,FALSE)</f>
        <v>0</v>
      </c>
      <c r="K162" s="51"/>
      <c r="L162" s="50"/>
      <c r="M162" s="51" t="str">
        <f ca="1">IFERROR(VLOOKUP(Yards[[#This Row],[DEVELOPMENT]],Data[],4,FALSE),"")</f>
        <v/>
      </c>
      <c r="N162" s="51" t="str">
        <f ca="1">IF(Yards[[#This Row],[RAD/PACT]]="","",IF(OR(Yards[[#This Row],[RAD/PACT]]="2022-2025",Yards[[#This Row],[RAD/PACT]]=2019,Yards[[#This Row],[RAD/PACT]]="2020-2021"),"Yes",""))</f>
        <v/>
      </c>
      <c r="O162" s="51" t="str">
        <f ca="1">IFERROR(VLOOKUP(Yards[[#This Row],[DEVELOPMENT]],ExtComp[],8,FALSE),"")</f>
        <v/>
      </c>
      <c r="P162" s="51"/>
      <c r="Q162" s="51"/>
      <c r="R162" s="51" t="str">
        <f>IF(ISBLANK(Yards[[#This Row],[DSGN CALENDAR YEAR]]),"",Yards[[#This Row],[DSGN CALENDAR YEAR]]+1)</f>
        <v/>
      </c>
      <c r="S162" s="51" t="str">
        <f>IF(ISBLANK(Yards[[#This Row],[DSGN FISCAL YEAR]]),"",Yards[[#This Row],[DSGN FISCAL YEAR]]+1)</f>
        <v/>
      </c>
      <c r="T162" s="51"/>
      <c r="U162" s="128">
        <f ca="1">Yards[[#This Row],[Estimate]]*0.1</f>
        <v>212386.62609500007</v>
      </c>
      <c r="V162" s="47">
        <f ca="1">Yards[[#This Row],[Estimate]]-Yards[[#This Row],[Design Est.]]</f>
        <v>1911479.6348550003</v>
      </c>
      <c r="W162" s="85">
        <f ca="1">(Yards[[#This Row],['# yards]]*INDEX(UnitCosts[],MATCH(Yards[[#This Row],[WORK TYPE]],UnitCosts[Work Type],0),2))*(1+((Yards[[#This Row],[est. CONS Year]]-YEAR(TODAY()))*$W$3))</f>
        <v>2123866.2609500005</v>
      </c>
      <c r="X162" s="142">
        <f ca="1">IF(ISNUMBER(SEARCH("LLC",Yards[[#This Row],[PROGRAM]])),0,IF(Yards[[#This Row],[RAD/PACT by 2025]]="yes",0,1))</f>
        <v>1</v>
      </c>
      <c r="Y162" s="1"/>
      <c r="Z162" s="1"/>
      <c r="AA162" s="51">
        <f ca="1">COUNTIF($X$5:Yards[[#This Row],['# yards]],"&gt;0")-10</f>
        <v>94</v>
      </c>
      <c r="AB162" s="1">
        <f ca="1">IF(ISBLANK(Yards[[#This Row],[DSGN CALENDAR YEAR]]),ROUNDDOWN(Yards[[#This Row],[Count]]/24,0)+$AB$1,Yards[[#This Row],[DSGN CALENDAR YEAR]])</f>
        <v>2024</v>
      </c>
      <c r="AC162" s="16">
        <f ca="1">Yards[[#This Row],[est. DSGN Year]]+1</f>
        <v>2025</v>
      </c>
    </row>
    <row r="163" spans="1:29">
      <c r="A163" s="13" t="s">
        <v>289</v>
      </c>
      <c r="B163" s="51" t="str">
        <f>VLOOKUP(Yards[[#This Row],[DEVELOPMENT]],Data[],2,FALSE)</f>
        <v>BRONX</v>
      </c>
      <c r="C163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63" s="51" t="str">
        <f>VLOOKUP(Yards[[#This Row],[DEVELOPMENT]],Data[],52,FALSE)</f>
        <v>FEDERAL</v>
      </c>
      <c r="E163" s="50">
        <f>VLOOKUP(Yards[[#This Row],[DEVELOPMENT]],Data[],8,FALSE)</f>
        <v>0</v>
      </c>
      <c r="F163" s="51" t="str">
        <f>VLOOKUP(Yards[[#This Row],[DEVELOPMENT]],all[[DEVELOPMENT]:[MRST Ext. Comp. Priority]],6,FALSE)</f>
        <v>D</v>
      </c>
      <c r="G163" s="51">
        <f>VLOOKUP(Yards[[#This Row],[DEVELOPMENT]],all[[DEVELOPMENT]:[MRST Ext. Comp. Priority]],13,FALSE)</f>
        <v>2</v>
      </c>
      <c r="H163" s="50">
        <f>IF(VLOOKUP(Yards[[#This Row],[DEVELOPMENT]],Data[],9,FALSE)=0,5,VLOOKUP(Yards[[#This Row],[DEVELOPMENT]],Data[],9,FALSE))</f>
        <v>5</v>
      </c>
      <c r="I163" s="51">
        <f>VLOOKUP(Yards[[#This Row],[DEVELOPMENT]],Data[],33,FALSE)</f>
        <v>0</v>
      </c>
      <c r="J163" s="51">
        <f>VLOOKUP(Yards[[#This Row],[DEVELOPMENT]],Data[],28,FALSE)</f>
        <v>0</v>
      </c>
      <c r="K163" s="51"/>
      <c r="L163" s="50"/>
      <c r="M163" s="51" t="str">
        <f ca="1">IFERROR(VLOOKUP(Yards[[#This Row],[DEVELOPMENT]],Data[],4,FALSE),"")</f>
        <v/>
      </c>
      <c r="N163" s="51" t="str">
        <f ca="1">IF(Yards[[#This Row],[RAD/PACT]]="","",IF(OR(Yards[[#This Row],[RAD/PACT]]="2022-2025",Yards[[#This Row],[RAD/PACT]]=2019,Yards[[#This Row],[RAD/PACT]]="2020-2021"),"Yes",""))</f>
        <v/>
      </c>
      <c r="O163" s="51" t="str">
        <f ca="1">IFERROR(VLOOKUP(Yards[[#This Row],[DEVELOPMENT]],ExtComp[],8,FALSE),"")</f>
        <v/>
      </c>
      <c r="P163" s="51"/>
      <c r="Q163" s="51"/>
      <c r="R163" s="51" t="str">
        <f>IF(ISBLANK(Yards[[#This Row],[DSGN CALENDAR YEAR]]),"",Yards[[#This Row],[DSGN CALENDAR YEAR]]+1)</f>
        <v/>
      </c>
      <c r="S163" s="51" t="str">
        <f>IF(ISBLANK(Yards[[#This Row],[DSGN FISCAL YEAR]]),"",Yards[[#This Row],[DSGN FISCAL YEAR]]+1)</f>
        <v/>
      </c>
      <c r="T163" s="51"/>
      <c r="U163" s="128">
        <f ca="1">Yards[[#This Row],[Estimate]]*0.1</f>
        <v>212386.62609500007</v>
      </c>
      <c r="V163" s="47">
        <f ca="1">Yards[[#This Row],[Estimate]]-Yards[[#This Row],[Design Est.]]</f>
        <v>1911479.6348550003</v>
      </c>
      <c r="W163" s="85">
        <f ca="1">(Yards[[#This Row],['# yards]]*INDEX(UnitCosts[],MATCH(Yards[[#This Row],[WORK TYPE]],UnitCosts[Work Type],0),2))*(1+((Yards[[#This Row],[est. CONS Year]]-YEAR(TODAY()))*$W$3))</f>
        <v>2123866.2609500005</v>
      </c>
      <c r="X163" s="142">
        <f ca="1">IF(ISNUMBER(SEARCH("LLC",Yards[[#This Row],[PROGRAM]])),0,IF(Yards[[#This Row],[RAD/PACT by 2025]]="yes",0,1))</f>
        <v>1</v>
      </c>
      <c r="Y163" s="1"/>
      <c r="Z163" s="1"/>
      <c r="AA163" s="51">
        <f ca="1">COUNTIF($X$5:Yards[[#This Row],['# yards]],"&gt;0")-10</f>
        <v>95</v>
      </c>
      <c r="AB163" s="1">
        <f ca="1">IF(ISBLANK(Yards[[#This Row],[DSGN CALENDAR YEAR]]),ROUNDDOWN(Yards[[#This Row],[Count]]/24,0)+$AB$1,Yards[[#This Row],[DSGN CALENDAR YEAR]])</f>
        <v>2024</v>
      </c>
      <c r="AC163" s="16">
        <f ca="1">Yards[[#This Row],[est. DSGN Year]]+1</f>
        <v>2025</v>
      </c>
    </row>
    <row r="164" spans="1:29" hidden="1">
      <c r="A164" s="13" t="s">
        <v>137</v>
      </c>
      <c r="B164" s="51" t="str">
        <f>VLOOKUP(Yards[[#This Row],[DEVELOPMENT]],Data[],2,FALSE)</f>
        <v>MANHATTAN</v>
      </c>
      <c r="C164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164" s="51" t="str">
        <f>VLOOKUP(Yards[[#This Row],[DEVELOPMENT]],Data[],52,FALSE)</f>
        <v>FEDERAL</v>
      </c>
      <c r="E164" s="50" t="str">
        <f>VLOOKUP(Yards[[#This Row],[DEVELOPMENT]],Data[],8,FALSE)</f>
        <v>Zone 2</v>
      </c>
      <c r="F164" s="51" t="str">
        <f>VLOOKUP(Yards[[#This Row],[DEVELOPMENT]],all[[DEVELOPMENT]:[MRST Ext. Comp. Priority]],6,FALSE)</f>
        <v>D</v>
      </c>
      <c r="G164" s="51">
        <f>VLOOKUP(Yards[[#This Row],[DEVELOPMENT]],all[[DEVELOPMENT]:[MRST Ext. Comp. Priority]],13,FALSE)</f>
        <v>3</v>
      </c>
      <c r="H164" s="50">
        <f>IF(VLOOKUP(Yards[[#This Row],[DEVELOPMENT]],Data[],9,FALSE)=0,5,VLOOKUP(Yards[[#This Row],[DEVELOPMENT]],Data[],9,FALSE))</f>
        <v>2</v>
      </c>
      <c r="I164" s="51">
        <f>VLOOKUP(Yards[[#This Row],[DEVELOPMENT]],Data[],33,FALSE)</f>
        <v>4</v>
      </c>
      <c r="J164" s="51">
        <f>VLOOKUP(Yards[[#This Row],[DEVELOPMENT]],Data[],28,FALSE)</f>
        <v>1</v>
      </c>
      <c r="K164" s="51"/>
      <c r="L164" s="50"/>
      <c r="M164" s="51" t="str">
        <f ca="1">IFERROR(VLOOKUP(Yards[[#This Row],[DEVELOPMENT]],Data[],4,FALSE),"")</f>
        <v>2022-2025</v>
      </c>
      <c r="N164" s="51" t="str">
        <f ca="1">IF(Yards[[#This Row],[RAD/PACT]]="","",IF(OR(Yards[[#This Row],[RAD/PACT]]="2022-2025",Yards[[#This Row],[RAD/PACT]]=2019,Yards[[#This Row],[RAD/PACT]]="2020-2021"),"Yes",""))</f>
        <v>Yes</v>
      </c>
      <c r="O164" s="51">
        <f ca="1">IFERROR(VLOOKUP(Yards[[#This Row],[DEVELOPMENT]],ExtComp[],8,FALSE),"")</f>
        <v>8</v>
      </c>
      <c r="P164" s="51"/>
      <c r="Q164" s="51"/>
      <c r="R164" s="51" t="str">
        <f>IF(ISBLANK(Yards[[#This Row],[DSGN CALENDAR YEAR]]),"",Yards[[#This Row],[DSGN CALENDAR YEAR]]+1)</f>
        <v/>
      </c>
      <c r="S164" s="51" t="str">
        <f>IF(ISBLANK(Yards[[#This Row],[DSGN FISCAL YEAR]]),"",Yards[[#This Row],[DSGN FISCAL YEAR]]+1)</f>
        <v/>
      </c>
      <c r="T164" s="51"/>
      <c r="U164" s="128">
        <f ca="1">Yards[[#This Row],[Estimate]]*0.1</f>
        <v>0</v>
      </c>
      <c r="V164" s="47">
        <f ca="1">Yards[[#This Row],[Estimate]]-Yards[[#This Row],[Design Est.]]</f>
        <v>0</v>
      </c>
      <c r="W164" s="85">
        <f ca="1">(Yards[[#This Row],['# yards]]*INDEX(UnitCosts[],MATCH(Yards[[#This Row],[WORK TYPE]],UnitCosts[Work Type],0),2))*(1+((Yards[[#This Row],[est. CONS Year]]-YEAR(TODAY()))*$W$3))</f>
        <v>0</v>
      </c>
      <c r="X164" s="142">
        <f ca="1">IF(ISNUMBER(SEARCH("LLC",Yards[[#This Row],[PROGRAM]])),0,IF(Yards[[#This Row],[RAD/PACT by 2025]]="yes",0,1))</f>
        <v>0</v>
      </c>
      <c r="Y164" s="1"/>
      <c r="Z164" s="1"/>
      <c r="AA164" s="51">
        <f ca="1">COUNTIF($X$5:Yards[[#This Row],['# yards]],"&gt;0")-10</f>
        <v>95</v>
      </c>
      <c r="AB164" s="1">
        <f ca="1">IF(ISBLANK(Yards[[#This Row],[DSGN CALENDAR YEAR]]),ROUNDDOWN(Yards[[#This Row],[Count]]/24,0)+$AB$1,Yards[[#This Row],[DSGN CALENDAR YEAR]])</f>
        <v>2024</v>
      </c>
      <c r="AC164" s="16">
        <f ca="1">Yards[[#This Row],[est. DSGN Year]]+1</f>
        <v>2025</v>
      </c>
    </row>
    <row r="165" spans="1:29" hidden="1">
      <c r="A165" s="13" t="s">
        <v>125</v>
      </c>
      <c r="B165" s="51" t="str">
        <f>VLOOKUP(Yards[[#This Row],[DEVELOPMENT]],Data[],2,FALSE)</f>
        <v>MANHATTAN</v>
      </c>
      <c r="C165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65" s="51" t="str">
        <f>VLOOKUP(Yards[[#This Row],[DEVELOPMENT]],Data[],52,FALSE)</f>
        <v>FEDERAL</v>
      </c>
      <c r="E165" s="50" t="str">
        <f>VLOOKUP(Yards[[#This Row],[DEVELOPMENT]],Data[],8,FALSE)</f>
        <v>Zone 2</v>
      </c>
      <c r="F165" s="51" t="str">
        <f>VLOOKUP(Yards[[#This Row],[DEVELOPMENT]],all[[DEVELOPMENT]:[MRST Ext. Comp. Priority]],6,FALSE)</f>
        <v>D</v>
      </c>
      <c r="G165" s="51">
        <f>VLOOKUP(Yards[[#This Row],[DEVELOPMENT]],all[[DEVELOPMENT]:[MRST Ext. Comp. Priority]],13,FALSE)</f>
        <v>3</v>
      </c>
      <c r="H165" s="50">
        <f>IF(VLOOKUP(Yards[[#This Row],[DEVELOPMENT]],Data[],9,FALSE)=0,5,VLOOKUP(Yards[[#This Row],[DEVELOPMENT]],Data[],9,FALSE))</f>
        <v>4</v>
      </c>
      <c r="I165" s="51">
        <f>VLOOKUP(Yards[[#This Row],[DEVELOPMENT]],Data[],33,FALSE)</f>
        <v>1</v>
      </c>
      <c r="J165" s="51">
        <f>VLOOKUP(Yards[[#This Row],[DEVELOPMENT]],Data[],28,FALSE)</f>
        <v>0</v>
      </c>
      <c r="K165" s="51"/>
      <c r="L165" s="50"/>
      <c r="M165" s="51" t="str">
        <f ca="1">IFERROR(VLOOKUP(Yards[[#This Row],[DEVELOPMENT]],Data[],4,FALSE),"")</f>
        <v>2022-2025</v>
      </c>
      <c r="N165" s="51" t="str">
        <f ca="1">IF(Yards[[#This Row],[RAD/PACT]]="","",IF(OR(Yards[[#This Row],[RAD/PACT]]="2022-2025",Yards[[#This Row],[RAD/PACT]]=2019,Yards[[#This Row],[RAD/PACT]]="2020-2021"),"Yes",""))</f>
        <v>Yes</v>
      </c>
      <c r="O165" s="51">
        <f ca="1">IFERROR(VLOOKUP(Yards[[#This Row],[DEVELOPMENT]],ExtComp[],8,FALSE),"")</f>
        <v>13</v>
      </c>
      <c r="P165" s="51"/>
      <c r="Q165" s="51"/>
      <c r="R165" s="51" t="str">
        <f>IF(ISBLANK(Yards[[#This Row],[DSGN CALENDAR YEAR]]),"",Yards[[#This Row],[DSGN CALENDAR YEAR]]+1)</f>
        <v/>
      </c>
      <c r="S165" s="51" t="str">
        <f>IF(ISBLANK(Yards[[#This Row],[DSGN FISCAL YEAR]]),"",Yards[[#This Row],[DSGN FISCAL YEAR]]+1)</f>
        <v/>
      </c>
      <c r="T165" s="51"/>
      <c r="U165" s="128">
        <f ca="1">Yards[[#This Row],[Estimate]]*0.1</f>
        <v>0</v>
      </c>
      <c r="V165" s="47">
        <f ca="1">Yards[[#This Row],[Estimate]]-Yards[[#This Row],[Design Est.]]</f>
        <v>0</v>
      </c>
      <c r="W165" s="85">
        <f ca="1">(Yards[[#This Row],['# yards]]*INDEX(UnitCosts[],MATCH(Yards[[#This Row],[WORK TYPE]],UnitCosts[Work Type],0),2))*(1+((Yards[[#This Row],[est. CONS Year]]-YEAR(TODAY()))*$W$3))</f>
        <v>0</v>
      </c>
      <c r="X165" s="142">
        <f ca="1">IF(ISNUMBER(SEARCH("LLC",Yards[[#This Row],[PROGRAM]])),0,IF(Yards[[#This Row],[RAD/PACT by 2025]]="yes",0,1))</f>
        <v>0</v>
      </c>
      <c r="Y165" s="1"/>
      <c r="Z165" s="1"/>
      <c r="AA165" s="51">
        <f ca="1">COUNTIF($X$5:Yards[[#This Row],['# yards]],"&gt;0")-10</f>
        <v>95</v>
      </c>
      <c r="AB165" s="1">
        <f ca="1">IF(ISBLANK(Yards[[#This Row],[DSGN CALENDAR YEAR]]),ROUNDDOWN(Yards[[#This Row],[Count]]/24,0)+$AB$1,Yards[[#This Row],[DSGN CALENDAR YEAR]])</f>
        <v>2024</v>
      </c>
      <c r="AC165" s="16">
        <f ca="1">Yards[[#This Row],[est. DSGN Year]]+1</f>
        <v>2025</v>
      </c>
    </row>
    <row r="166" spans="1:29">
      <c r="A166" s="13" t="s">
        <v>129</v>
      </c>
      <c r="B166" s="1" t="str">
        <f>VLOOKUP(Yards[[#This Row],[DEVELOPMENT]],Data[],2,FALSE)</f>
        <v>MANHATTAN</v>
      </c>
      <c r="C16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66" s="51" t="str">
        <f>VLOOKUP(Yards[[#This Row],[DEVELOPMENT]],Data[],52,FALSE)</f>
        <v>FEDERAL</v>
      </c>
      <c r="E166" s="9" t="str">
        <f>VLOOKUP(Yards[[#This Row],[DEVELOPMENT]],Data[],8,FALSE)</f>
        <v>Zone 2</v>
      </c>
      <c r="F166" s="51" t="str">
        <f>VLOOKUP(Yards[[#This Row],[DEVELOPMENT]],all[[DEVELOPMENT]:[MRST Ext. Comp. Priority]],6,FALSE)</f>
        <v>D</v>
      </c>
      <c r="G166" s="51">
        <f>VLOOKUP(Yards[[#This Row],[DEVELOPMENT]],all[[DEVELOPMENT]:[MRST Ext. Comp. Priority]],13,FALSE)</f>
        <v>3</v>
      </c>
      <c r="H166" s="9">
        <f>IF(VLOOKUP(Yards[[#This Row],[DEVELOPMENT]],Data[],9,FALSE)=0,5,VLOOKUP(Yards[[#This Row],[DEVELOPMENT]],Data[],9,FALSE))</f>
        <v>1</v>
      </c>
      <c r="I166" s="51">
        <f>VLOOKUP(Yards[[#This Row],[DEVELOPMENT]],Data[],33,FALSE)</f>
        <v>2</v>
      </c>
      <c r="J166" s="51">
        <f>VLOOKUP(Yards[[#This Row],[DEVELOPMENT]],Data[],28,FALSE)</f>
        <v>0</v>
      </c>
      <c r="K166" s="51"/>
      <c r="L166" s="9"/>
      <c r="M166" s="1" t="str">
        <f ca="1">IFERROR(VLOOKUP(Yards[[#This Row],[DEVELOPMENT]],Data[],4,FALSE),"")</f>
        <v/>
      </c>
      <c r="N166" s="1" t="str">
        <f ca="1">IF(Yards[[#This Row],[RAD/PACT]]="","",IF(OR(Yards[[#This Row],[RAD/PACT]]="2022-2025",Yards[[#This Row],[RAD/PACT]]=2019,Yards[[#This Row],[RAD/PACT]]="2020-2021"),"Yes",""))</f>
        <v/>
      </c>
      <c r="O166" s="1">
        <f ca="1">IFERROR(VLOOKUP(Yards[[#This Row],[DEVELOPMENT]],ExtComp[],8,FALSE),"")</f>
        <v>5</v>
      </c>
      <c r="P166" s="1"/>
      <c r="Q166" s="1"/>
      <c r="R166" s="1" t="str">
        <f>IF(ISBLANK(Yards[[#This Row],[DSGN CALENDAR YEAR]]),"",Yards[[#This Row],[DSGN CALENDAR YEAR]]+1)</f>
        <v/>
      </c>
      <c r="S166" s="51" t="str">
        <f>IF(ISBLANK(Yards[[#This Row],[DSGN FISCAL YEAR]]),"",Yards[[#This Row],[DSGN FISCAL YEAR]]+1)</f>
        <v/>
      </c>
      <c r="T166" s="1"/>
      <c r="U166" s="128">
        <f ca="1">Yards[[#This Row],[Estimate]]*0.1</f>
        <v>164833.92605570005</v>
      </c>
      <c r="V166" s="47">
        <f ca="1">Yards[[#This Row],[Estimate]]-Yards[[#This Row],[Design Est.]]</f>
        <v>1483505.3345013002</v>
      </c>
      <c r="W166" s="85">
        <f ca="1">(Yards[[#This Row],['# yards]]*INDEX(UnitCosts[],MATCH(Yards[[#This Row],[WORK TYPE]],UnitCosts[Work Type],0),2))*(1+((Yards[[#This Row],[est. CONS Year]]-YEAR(TODAY()))*$W$3))</f>
        <v>1648339.2605570003</v>
      </c>
      <c r="X166" s="142">
        <f ca="1">IF(ISNUMBER(SEARCH("LLC",Yards[[#This Row],[PROGRAM]])),0,IF(Yards[[#This Row],[RAD/PACT by 2025]]="yes",0,1))</f>
        <v>1</v>
      </c>
      <c r="Y166" s="1"/>
      <c r="Z166" s="1"/>
      <c r="AA166" s="51">
        <f ca="1">COUNTIF($X$5:Yards[[#This Row],['# yards]],"&gt;0")-10</f>
        <v>96</v>
      </c>
      <c r="AB166" s="1">
        <f ca="1">IF(ISBLANK(Yards[[#This Row],[DSGN CALENDAR YEAR]]),ROUNDDOWN(Yards[[#This Row],[Count]]/24,0)+$AB$1,Yards[[#This Row],[DSGN CALENDAR YEAR]])</f>
        <v>2025</v>
      </c>
      <c r="AC166" s="16">
        <f ca="1">Yards[[#This Row],[est. DSGN Year]]+1</f>
        <v>2026</v>
      </c>
    </row>
    <row r="167" spans="1:29">
      <c r="A167" s="13" t="s">
        <v>285</v>
      </c>
      <c r="B167" s="51" t="str">
        <f>VLOOKUP(Yards[[#This Row],[DEVELOPMENT]],Data[],2,FALSE)</f>
        <v>BRONX</v>
      </c>
      <c r="C16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67" s="51" t="str">
        <f>VLOOKUP(Yards[[#This Row],[DEVELOPMENT]],Data[],52,FALSE)</f>
        <v>FEDERAL</v>
      </c>
      <c r="E167" s="50">
        <f>VLOOKUP(Yards[[#This Row],[DEVELOPMENT]],Data[],8,FALSE)</f>
        <v>0</v>
      </c>
      <c r="F167" s="51" t="str">
        <f>VLOOKUP(Yards[[#This Row],[DEVELOPMENT]],all[[DEVELOPMENT]:[MRST Ext. Comp. Priority]],6,FALSE)</f>
        <v>D</v>
      </c>
      <c r="G167" s="51">
        <f>VLOOKUP(Yards[[#This Row],[DEVELOPMENT]],all[[DEVELOPMENT]:[MRST Ext. Comp. Priority]],13,FALSE)</f>
        <v>3</v>
      </c>
      <c r="H167" s="50">
        <f>IF(VLOOKUP(Yards[[#This Row],[DEVELOPMENT]],Data[],9,FALSE)=0,5,VLOOKUP(Yards[[#This Row],[DEVELOPMENT]],Data[],9,FALSE))</f>
        <v>5</v>
      </c>
      <c r="I167" s="51">
        <f>VLOOKUP(Yards[[#This Row],[DEVELOPMENT]],Data[],33,FALSE)</f>
        <v>0</v>
      </c>
      <c r="J167" s="51">
        <f>VLOOKUP(Yards[[#This Row],[DEVELOPMENT]],Data[],28,FALSE)</f>
        <v>0</v>
      </c>
      <c r="K167" s="51"/>
      <c r="L167" s="50"/>
      <c r="M167" s="51" t="str">
        <f ca="1">IFERROR(VLOOKUP(Yards[[#This Row],[DEVELOPMENT]],Data[],4,FALSE),"")</f>
        <v/>
      </c>
      <c r="N167" s="51" t="str">
        <f ca="1">IF(Yards[[#This Row],[RAD/PACT]]="","",IF(OR(Yards[[#This Row],[RAD/PACT]]="2022-2025",Yards[[#This Row],[RAD/PACT]]=2019,Yards[[#This Row],[RAD/PACT]]="2020-2021"),"Yes",""))</f>
        <v/>
      </c>
      <c r="O167" s="51" t="str">
        <f ca="1">IFERROR(VLOOKUP(Yards[[#This Row],[DEVELOPMENT]],ExtComp[],8,FALSE),"")</f>
        <v/>
      </c>
      <c r="P167" s="51"/>
      <c r="Q167" s="51"/>
      <c r="R167" s="51" t="str">
        <f>IF(ISBLANK(Yards[[#This Row],[DSGN CALENDAR YEAR]]),"",Yards[[#This Row],[DSGN CALENDAR YEAR]]+1)</f>
        <v/>
      </c>
      <c r="S167" s="51" t="str">
        <f>IF(ISBLANK(Yards[[#This Row],[DSGN FISCAL YEAR]]),"",Yards[[#This Row],[DSGN FISCAL YEAR]]+1)</f>
        <v/>
      </c>
      <c r="T167" s="51"/>
      <c r="U167" s="128">
        <f ca="1">Yards[[#This Row],[Estimate]]*0.1</f>
        <v>218713.03623400006</v>
      </c>
      <c r="V167" s="47">
        <f ca="1">Yards[[#This Row],[Estimate]]-Yards[[#This Row],[Design Est.]]</f>
        <v>1968417.3261060005</v>
      </c>
      <c r="W167" s="85">
        <f ca="1">(Yards[[#This Row],['# yards]]*INDEX(UnitCosts[],MATCH(Yards[[#This Row],[WORK TYPE]],UnitCosts[Work Type],0),2))*(1+((Yards[[#This Row],[est. CONS Year]]-YEAR(TODAY()))*$W$3))</f>
        <v>2187130.3623400005</v>
      </c>
      <c r="X167" s="142">
        <f ca="1">IF(ISNUMBER(SEARCH("LLC",Yards[[#This Row],[PROGRAM]])),0,IF(Yards[[#This Row],[RAD/PACT by 2025]]="yes",0,1))</f>
        <v>1</v>
      </c>
      <c r="Y167" s="1"/>
      <c r="Z167" s="1"/>
      <c r="AA167" s="51">
        <f ca="1">COUNTIF($X$5:Yards[[#This Row],['# yards]],"&gt;0")-10</f>
        <v>97</v>
      </c>
      <c r="AB167" s="1">
        <f ca="1">IF(ISBLANK(Yards[[#This Row],[DSGN CALENDAR YEAR]]),ROUNDDOWN(Yards[[#This Row],[Count]]/24,0)+$AB$1,Yards[[#This Row],[DSGN CALENDAR YEAR]])</f>
        <v>2025</v>
      </c>
      <c r="AC167" s="16">
        <f ca="1">Yards[[#This Row],[est. DSGN Year]]+1</f>
        <v>2026</v>
      </c>
    </row>
    <row r="168" spans="1:29">
      <c r="A168" s="13" t="s">
        <v>286</v>
      </c>
      <c r="B168" s="51" t="str">
        <f>VLOOKUP(Yards[[#This Row],[DEVELOPMENT]],Data[],2,FALSE)</f>
        <v>BRONX</v>
      </c>
      <c r="C168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68" s="51" t="str">
        <f>VLOOKUP(Yards[[#This Row],[DEVELOPMENT]],Data[],52,FALSE)</f>
        <v>FEDERAL</v>
      </c>
      <c r="E168" s="50" t="str">
        <f>VLOOKUP(Yards[[#This Row],[DEVELOPMENT]],Data[],8,FALSE)</f>
        <v>Zone 3</v>
      </c>
      <c r="F168" s="51" t="str">
        <f>VLOOKUP(Yards[[#This Row],[DEVELOPMENT]],all[[DEVELOPMENT]:[MRST Ext. Comp. Priority]],6,FALSE)</f>
        <v>D</v>
      </c>
      <c r="G168" s="51">
        <f>VLOOKUP(Yards[[#This Row],[DEVELOPMENT]],all[[DEVELOPMENT]:[MRST Ext. Comp. Priority]],13,FALSE)</f>
        <v>3</v>
      </c>
      <c r="H168" s="50">
        <f>IF(VLOOKUP(Yards[[#This Row],[DEVELOPMENT]],Data[],9,FALSE)=0,5,VLOOKUP(Yards[[#This Row],[DEVELOPMENT]],Data[],9,FALSE))</f>
        <v>5</v>
      </c>
      <c r="I168" s="51">
        <f>VLOOKUP(Yards[[#This Row],[DEVELOPMENT]],Data[],33,FALSE)</f>
        <v>0</v>
      </c>
      <c r="J168" s="51">
        <f>VLOOKUP(Yards[[#This Row],[DEVELOPMENT]],Data[],28,FALSE)</f>
        <v>0</v>
      </c>
      <c r="K168" s="51"/>
      <c r="L168" s="50"/>
      <c r="M168" s="51" t="str">
        <f ca="1">IFERROR(VLOOKUP(Yards[[#This Row],[DEVELOPMENT]],Data[],4,FALSE),"")</f>
        <v/>
      </c>
      <c r="N168" s="51" t="str">
        <f ca="1">IF(Yards[[#This Row],[RAD/PACT]]="","",IF(OR(Yards[[#This Row],[RAD/PACT]]="2022-2025",Yards[[#This Row],[RAD/PACT]]=2019,Yards[[#This Row],[RAD/PACT]]="2020-2021"),"Yes",""))</f>
        <v/>
      </c>
      <c r="O168" s="51" t="str">
        <f ca="1">IFERROR(VLOOKUP(Yards[[#This Row],[DEVELOPMENT]],ExtComp[],8,FALSE),"")</f>
        <v/>
      </c>
      <c r="P168" s="51"/>
      <c r="Q168" s="51"/>
      <c r="R168" s="51" t="str">
        <f>IF(ISBLANK(Yards[[#This Row],[DSGN CALENDAR YEAR]]),"",Yards[[#This Row],[DSGN CALENDAR YEAR]]+1)</f>
        <v/>
      </c>
      <c r="S168" s="51" t="str">
        <f>IF(ISBLANK(Yards[[#This Row],[DSGN FISCAL YEAR]]),"",Yards[[#This Row],[DSGN FISCAL YEAR]]+1)</f>
        <v/>
      </c>
      <c r="T168" s="51"/>
      <c r="U168" s="128">
        <f ca="1">Yards[[#This Row],[Estimate]]*0.1</f>
        <v>218713.03623400006</v>
      </c>
      <c r="V168" s="47">
        <f ca="1">Yards[[#This Row],[Estimate]]-Yards[[#This Row],[Design Est.]]</f>
        <v>1968417.3261060005</v>
      </c>
      <c r="W168" s="85">
        <f ca="1">(Yards[[#This Row],['# yards]]*INDEX(UnitCosts[],MATCH(Yards[[#This Row],[WORK TYPE]],UnitCosts[Work Type],0),2))*(1+((Yards[[#This Row],[est. CONS Year]]-YEAR(TODAY()))*$W$3))</f>
        <v>2187130.3623400005</v>
      </c>
      <c r="X168" s="142">
        <f ca="1">IF(ISNUMBER(SEARCH("LLC",Yards[[#This Row],[PROGRAM]])),0,IF(Yards[[#This Row],[RAD/PACT by 2025]]="yes",0,1))</f>
        <v>1</v>
      </c>
      <c r="Y168" s="1"/>
      <c r="Z168" s="1"/>
      <c r="AA168" s="51">
        <f ca="1">COUNTIF($X$5:Yards[[#This Row],['# yards]],"&gt;0")-10</f>
        <v>98</v>
      </c>
      <c r="AB168" s="1">
        <f ca="1">IF(ISBLANK(Yards[[#This Row],[DSGN CALENDAR YEAR]]),ROUNDDOWN(Yards[[#This Row],[Count]]/24,0)+$AB$1,Yards[[#This Row],[DSGN CALENDAR YEAR]])</f>
        <v>2025</v>
      </c>
      <c r="AC168" s="16">
        <f ca="1">Yards[[#This Row],[est. DSGN Year]]+1</f>
        <v>2026</v>
      </c>
    </row>
    <row r="169" spans="1:29" hidden="1">
      <c r="A169" s="13" t="s">
        <v>123</v>
      </c>
      <c r="B169" s="51" t="str">
        <f>VLOOKUP(Yards[[#This Row],[DEVELOPMENT]],Data[],2,FALSE)</f>
        <v>BRONX</v>
      </c>
      <c r="C169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69" s="51" t="str">
        <f>VLOOKUP(Yards[[#This Row],[DEVELOPMENT]],Data[],52,FALSE)</f>
        <v>MIXED FINANCE/LLC1</v>
      </c>
      <c r="E169" s="50" t="str">
        <f>VLOOKUP(Yards[[#This Row],[DEVELOPMENT]],Data[],8,FALSE)</f>
        <v>Zone 3</v>
      </c>
      <c r="F169" s="51" t="str">
        <f>VLOOKUP(Yards[[#This Row],[DEVELOPMENT]],all[[DEVELOPMENT]:[MRST Ext. Comp. Priority]],6,FALSE)</f>
        <v>D</v>
      </c>
      <c r="G169" s="51" t="str">
        <f>VLOOKUP(Yards[[#This Row],[DEVELOPMENT]],all[[DEVELOPMENT]:[MRST Ext. Comp. Priority]],13,FALSE)</f>
        <v>None</v>
      </c>
      <c r="H169" s="50">
        <f>IF(VLOOKUP(Yards[[#This Row],[DEVELOPMENT]],Data[],9,FALSE)=0,5,VLOOKUP(Yards[[#This Row],[DEVELOPMENT]],Data[],9,FALSE))</f>
        <v>4</v>
      </c>
      <c r="I169" s="51">
        <f>VLOOKUP(Yards[[#This Row],[DEVELOPMENT]],Data[],33,FALSE)</f>
        <v>2</v>
      </c>
      <c r="J169" s="51">
        <f>VLOOKUP(Yards[[#This Row],[DEVELOPMENT]],Data[],28,FALSE)</f>
        <v>0</v>
      </c>
      <c r="K169" s="51"/>
      <c r="L169" s="50"/>
      <c r="M169" s="51" t="str">
        <f ca="1">IFERROR(VLOOKUP(Yards[[#This Row],[DEVELOPMENT]],Data[],4,FALSE),"")</f>
        <v>2026+</v>
      </c>
      <c r="N169" s="51" t="str">
        <f ca="1">IF(Yards[[#This Row],[RAD/PACT]]="","",IF(OR(Yards[[#This Row],[RAD/PACT]]="2022-2025",Yards[[#This Row],[RAD/PACT]]=2019,Yards[[#This Row],[RAD/PACT]]="2020-2021"),"Yes",""))</f>
        <v/>
      </c>
      <c r="O169" s="51">
        <f ca="1">IFERROR(VLOOKUP(Yards[[#This Row],[DEVELOPMENT]],ExtComp[],8,FALSE),"")</f>
        <v>14</v>
      </c>
      <c r="P169" s="51"/>
      <c r="Q169" s="51"/>
      <c r="R169" s="51" t="str">
        <f>IF(ISBLANK(Yards[[#This Row],[DSGN CALENDAR YEAR]]),"",Yards[[#This Row],[DSGN CALENDAR YEAR]]+1)</f>
        <v/>
      </c>
      <c r="S169" s="51" t="str">
        <f>IF(ISBLANK(Yards[[#This Row],[DSGN FISCAL YEAR]]),"",Yards[[#This Row],[DSGN FISCAL YEAR]]+1)</f>
        <v/>
      </c>
      <c r="T169" s="51"/>
      <c r="U169" s="128">
        <f ca="1">Yards[[#This Row],[Estimate]]*0.1</f>
        <v>0</v>
      </c>
      <c r="V169" s="47">
        <f ca="1">Yards[[#This Row],[Estimate]]-Yards[[#This Row],[Design Est.]]</f>
        <v>0</v>
      </c>
      <c r="W169" s="85">
        <f ca="1">(Yards[[#This Row],['# yards]]*INDEX(UnitCosts[],MATCH(Yards[[#This Row],[WORK TYPE]],UnitCosts[Work Type],0),2))*(1+((Yards[[#This Row],[est. CONS Year]]-YEAR(TODAY()))*$W$3))</f>
        <v>0</v>
      </c>
      <c r="X169" s="142">
        <f>IF(ISNUMBER(SEARCH("LLC",Yards[[#This Row],[PROGRAM]])),0,IF(Yards[[#This Row],[RAD/PACT by 2025]]="yes",0,1))</f>
        <v>0</v>
      </c>
      <c r="Y169" s="1"/>
      <c r="Z169" s="1"/>
      <c r="AA169" s="51">
        <f ca="1">COUNTIF($X$5:Yards[[#This Row],['# yards]],"&gt;0")-10</f>
        <v>98</v>
      </c>
      <c r="AB169" s="1">
        <f ca="1">IF(ISBLANK(Yards[[#This Row],[DSGN CALENDAR YEAR]]),ROUNDDOWN(Yards[[#This Row],[Count]]/24,0)+$AB$1,Yards[[#This Row],[DSGN CALENDAR YEAR]])</f>
        <v>2025</v>
      </c>
      <c r="AC169" s="16">
        <f ca="1">Yards[[#This Row],[est. DSGN Year]]+1</f>
        <v>2026</v>
      </c>
    </row>
    <row r="170" spans="1:29" hidden="1">
      <c r="A170" s="13" t="s">
        <v>282</v>
      </c>
      <c r="B170" s="51" t="str">
        <f>VLOOKUP(Yards[[#This Row],[DEVELOPMENT]],Data[],2,FALSE)</f>
        <v>MANHATTAN</v>
      </c>
      <c r="C17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70" s="51" t="str">
        <f>VLOOKUP(Yards[[#This Row],[DEVELOPMENT]],Data[],52,FALSE)</f>
        <v>MIXED FINANCE/LLC2</v>
      </c>
      <c r="E170" s="50">
        <f>VLOOKUP(Yards[[#This Row],[DEVELOPMENT]],Data[],8,FALSE)</f>
        <v>0</v>
      </c>
      <c r="F170" s="51" t="str">
        <f>VLOOKUP(Yards[[#This Row],[DEVELOPMENT]],all[[DEVELOPMENT]:[MRST Ext. Comp. Priority]],6,FALSE)</f>
        <v>D</v>
      </c>
      <c r="G170" s="51">
        <f>VLOOKUP(Yards[[#This Row],[DEVELOPMENT]],all[[DEVELOPMENT]:[MRST Ext. Comp. Priority]],13,FALSE)</f>
        <v>2</v>
      </c>
      <c r="H170" s="50">
        <f>IF(VLOOKUP(Yards[[#This Row],[DEVELOPMENT]],Data[],9,FALSE)=0,5,VLOOKUP(Yards[[#This Row],[DEVELOPMENT]],Data[],9,FALSE))</f>
        <v>5</v>
      </c>
      <c r="I170" s="51">
        <f>VLOOKUP(Yards[[#This Row],[DEVELOPMENT]],Data[],33,FALSE)</f>
        <v>0</v>
      </c>
      <c r="J170" s="51">
        <f>VLOOKUP(Yards[[#This Row],[DEVELOPMENT]],Data[],28,FALSE)</f>
        <v>0</v>
      </c>
      <c r="K170" s="51"/>
      <c r="L170" s="50"/>
      <c r="M170" s="51" t="str">
        <f ca="1">IFERROR(VLOOKUP(Yards[[#This Row],[DEVELOPMENT]],Data[],4,FALSE),"")</f>
        <v>2020-2021</v>
      </c>
      <c r="N170" s="51" t="str">
        <f ca="1">IF(Yards[[#This Row],[RAD/PACT]]="","",IF(OR(Yards[[#This Row],[RAD/PACT]]="2022-2025",Yards[[#This Row],[RAD/PACT]]=2019,Yards[[#This Row],[RAD/PACT]]="2020-2021"),"Yes",""))</f>
        <v>Yes</v>
      </c>
      <c r="O170" s="51" t="str">
        <f ca="1">IFERROR(VLOOKUP(Yards[[#This Row],[DEVELOPMENT]],ExtComp[],8,FALSE),"")</f>
        <v/>
      </c>
      <c r="P170" s="51"/>
      <c r="Q170" s="51"/>
      <c r="R170" s="51" t="str">
        <f>IF(ISBLANK(Yards[[#This Row],[DSGN CALENDAR YEAR]]),"",Yards[[#This Row],[DSGN CALENDAR YEAR]]+1)</f>
        <v/>
      </c>
      <c r="S170" s="51" t="str">
        <f>IF(ISBLANK(Yards[[#This Row],[DSGN FISCAL YEAR]]),"",Yards[[#This Row],[DSGN FISCAL YEAR]]+1)</f>
        <v/>
      </c>
      <c r="T170" s="51"/>
      <c r="U170" s="128">
        <f ca="1">Yards[[#This Row],[Estimate]]*0.1</f>
        <v>0</v>
      </c>
      <c r="V170" s="47">
        <f ca="1">Yards[[#This Row],[Estimate]]-Yards[[#This Row],[Design Est.]]</f>
        <v>0</v>
      </c>
      <c r="W170" s="85">
        <f ca="1">(Yards[[#This Row],['# yards]]*INDEX(UnitCosts[],MATCH(Yards[[#This Row],[WORK TYPE]],UnitCosts[Work Type],0),2))*(1+((Yards[[#This Row],[est. CONS Year]]-YEAR(TODAY()))*$W$3))</f>
        <v>0</v>
      </c>
      <c r="X170" s="142">
        <f>IF(ISNUMBER(SEARCH("LLC",Yards[[#This Row],[PROGRAM]])),0,IF(Yards[[#This Row],[RAD/PACT by 2025]]="yes",0,1))</f>
        <v>0</v>
      </c>
      <c r="Y170" s="1"/>
      <c r="Z170" s="1"/>
      <c r="AA170" s="51">
        <f ca="1">COUNTIF($X$5:Yards[[#This Row],['# yards]],"&gt;0")-10</f>
        <v>98</v>
      </c>
      <c r="AB170" s="1">
        <f ca="1">IF(ISBLANK(Yards[[#This Row],[DSGN CALENDAR YEAR]]),ROUNDDOWN(Yards[[#This Row],[Count]]/24,0)+$AB$1,Yards[[#This Row],[DSGN CALENDAR YEAR]])</f>
        <v>2025</v>
      </c>
      <c r="AC170" s="16">
        <f ca="1">Yards[[#This Row],[est. DSGN Year]]+1</f>
        <v>2026</v>
      </c>
    </row>
    <row r="171" spans="1:29">
      <c r="A171" s="13" t="s">
        <v>146</v>
      </c>
      <c r="B171" s="51" t="str">
        <f>VLOOKUP(Yards[[#This Row],[DEVELOPMENT]],Data[],2,FALSE)</f>
        <v>MANHATTAN</v>
      </c>
      <c r="C171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71" s="51" t="str">
        <f>VLOOKUP(Yards[[#This Row],[DEVELOPMENT]],Data[],52,FALSE)</f>
        <v>FEDERAL</v>
      </c>
      <c r="E171" s="50">
        <f>VLOOKUP(Yards[[#This Row],[DEVELOPMENT]],Data[],8,FALSE)</f>
        <v>0</v>
      </c>
      <c r="F171" s="51" t="str">
        <f>VLOOKUP(Yards[[#This Row],[DEVELOPMENT]],all[[DEVELOPMENT]:[MRST Ext. Comp. Priority]],6,FALSE)</f>
        <v>D</v>
      </c>
      <c r="G171" s="51">
        <f>VLOOKUP(Yards[[#This Row],[DEVELOPMENT]],all[[DEVELOPMENT]:[MRST Ext. Comp. Priority]],13,FALSE)</f>
        <v>3</v>
      </c>
      <c r="H171" s="50">
        <f>IF(VLOOKUP(Yards[[#This Row],[DEVELOPMENT]],Data[],9,FALSE)=0,5,VLOOKUP(Yards[[#This Row],[DEVELOPMENT]],Data[],9,FALSE))</f>
        <v>5</v>
      </c>
      <c r="I171" s="51">
        <f>VLOOKUP(Yards[[#This Row],[DEVELOPMENT]],Data[],33,FALSE)</f>
        <v>2</v>
      </c>
      <c r="J171" s="51">
        <f>VLOOKUP(Yards[[#This Row],[DEVELOPMENT]],Data[],28,FALSE)</f>
        <v>0</v>
      </c>
      <c r="K171" s="51"/>
      <c r="L171" s="50"/>
      <c r="M171" s="51" t="str">
        <f ca="1">IFERROR(VLOOKUP(Yards[[#This Row],[DEVELOPMENT]],Data[],4,FALSE),"")</f>
        <v/>
      </c>
      <c r="N171" s="51" t="str">
        <f ca="1">IF(Yards[[#This Row],[RAD/PACT]]="","",IF(OR(Yards[[#This Row],[RAD/PACT]]="2022-2025",Yards[[#This Row],[RAD/PACT]]=2019,Yards[[#This Row],[RAD/PACT]]="2020-2021"),"Yes",""))</f>
        <v/>
      </c>
      <c r="O171" s="51">
        <f ca="1">IFERROR(VLOOKUP(Yards[[#This Row],[DEVELOPMENT]],ExtComp[],8,FALSE),"")</f>
        <v>5</v>
      </c>
      <c r="P171" s="51"/>
      <c r="Q171" s="51"/>
      <c r="R171" s="51" t="str">
        <f>IF(ISBLANK(Yards[[#This Row],[DSGN CALENDAR YEAR]]),"",Yards[[#This Row],[DSGN CALENDAR YEAR]]+1)</f>
        <v/>
      </c>
      <c r="S171" s="51" t="str">
        <f>IF(ISBLANK(Yards[[#This Row],[DSGN FISCAL YEAR]]),"",Yards[[#This Row],[DSGN FISCAL YEAR]]+1)</f>
        <v/>
      </c>
      <c r="T171" s="51"/>
      <c r="U171" s="128">
        <f ca="1">Yards[[#This Row],[Estimate]]*0.1</f>
        <v>164833.92605570005</v>
      </c>
      <c r="V171" s="47">
        <f ca="1">Yards[[#This Row],[Estimate]]-Yards[[#This Row],[Design Est.]]</f>
        <v>1483505.3345013002</v>
      </c>
      <c r="W171" s="85">
        <f ca="1">(Yards[[#This Row],['# yards]]*INDEX(UnitCosts[],MATCH(Yards[[#This Row],[WORK TYPE]],UnitCosts[Work Type],0),2))*(1+((Yards[[#This Row],[est. CONS Year]]-YEAR(TODAY()))*$W$3))</f>
        <v>1648339.2605570003</v>
      </c>
      <c r="X171" s="142">
        <f ca="1">IF(ISNUMBER(SEARCH("LLC",Yards[[#This Row],[PROGRAM]])),0,IF(Yards[[#This Row],[RAD/PACT by 2025]]="yes",0,1))</f>
        <v>1</v>
      </c>
      <c r="Y171" s="1"/>
      <c r="Z171" s="1"/>
      <c r="AA171" s="51">
        <f ca="1">COUNTIF($X$5:Yards[[#This Row],['# yards]],"&gt;0")-10</f>
        <v>99</v>
      </c>
      <c r="AB171" s="1">
        <f ca="1">IF(ISBLANK(Yards[[#This Row],[DSGN CALENDAR YEAR]]),ROUNDDOWN(Yards[[#This Row],[Count]]/24,0)+$AB$1,Yards[[#This Row],[DSGN CALENDAR YEAR]])</f>
        <v>2025</v>
      </c>
      <c r="AC171" s="16">
        <f ca="1">Yards[[#This Row],[est. DSGN Year]]+1</f>
        <v>2026</v>
      </c>
    </row>
    <row r="172" spans="1:29">
      <c r="A172" s="13" t="s">
        <v>287</v>
      </c>
      <c r="B172" s="51" t="str">
        <f>VLOOKUP(Yards[[#This Row],[DEVELOPMENT]],Data[],2,FALSE)</f>
        <v>BRONX</v>
      </c>
      <c r="C17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72" s="51" t="str">
        <f>VLOOKUP(Yards[[#This Row],[DEVELOPMENT]],Data[],52,FALSE)</f>
        <v>FEDERAL</v>
      </c>
      <c r="E172" s="50">
        <f>VLOOKUP(Yards[[#This Row],[DEVELOPMENT]],Data[],8,FALSE)</f>
        <v>0</v>
      </c>
      <c r="F172" s="51" t="str">
        <f>VLOOKUP(Yards[[#This Row],[DEVELOPMENT]],all[[DEVELOPMENT]:[MRST Ext. Comp. Priority]],6,FALSE)</f>
        <v>D</v>
      </c>
      <c r="G172" s="51">
        <f>VLOOKUP(Yards[[#This Row],[DEVELOPMENT]],all[[DEVELOPMENT]:[MRST Ext. Comp. Priority]],13,FALSE)</f>
        <v>3</v>
      </c>
      <c r="H172" s="50">
        <f>IF(VLOOKUP(Yards[[#This Row],[DEVELOPMENT]],Data[],9,FALSE)=0,5,VLOOKUP(Yards[[#This Row],[DEVELOPMENT]],Data[],9,FALSE))</f>
        <v>5</v>
      </c>
      <c r="I172" s="51">
        <f>VLOOKUP(Yards[[#This Row],[DEVELOPMENT]],Data[],33,FALSE)</f>
        <v>0</v>
      </c>
      <c r="J172" s="51">
        <f>VLOOKUP(Yards[[#This Row],[DEVELOPMENT]],Data[],28,FALSE)</f>
        <v>0</v>
      </c>
      <c r="K172" s="51"/>
      <c r="L172" s="50"/>
      <c r="M172" s="51" t="str">
        <f ca="1">IFERROR(VLOOKUP(Yards[[#This Row],[DEVELOPMENT]],Data[],4,FALSE),"")</f>
        <v/>
      </c>
      <c r="N172" s="51" t="str">
        <f ca="1">IF(Yards[[#This Row],[RAD/PACT]]="","",IF(OR(Yards[[#This Row],[RAD/PACT]]="2022-2025",Yards[[#This Row],[RAD/PACT]]=2019,Yards[[#This Row],[RAD/PACT]]="2020-2021"),"Yes",""))</f>
        <v/>
      </c>
      <c r="O172" s="51" t="str">
        <f ca="1">IFERROR(VLOOKUP(Yards[[#This Row],[DEVELOPMENT]],ExtComp[],8,FALSE),"")</f>
        <v/>
      </c>
      <c r="P172" s="51"/>
      <c r="Q172" s="51"/>
      <c r="R172" s="51" t="str">
        <f>IF(ISBLANK(Yards[[#This Row],[DSGN CALENDAR YEAR]]),"",Yards[[#This Row],[DSGN CALENDAR YEAR]]+1)</f>
        <v/>
      </c>
      <c r="S172" s="51" t="str">
        <f>IF(ISBLANK(Yards[[#This Row],[DSGN FISCAL YEAR]]),"",Yards[[#This Row],[DSGN FISCAL YEAR]]+1)</f>
        <v/>
      </c>
      <c r="T172" s="51"/>
      <c r="U172" s="128">
        <f ca="1">Yards[[#This Row],[Estimate]]*0.1</f>
        <v>218713.03623400006</v>
      </c>
      <c r="V172" s="47">
        <f ca="1">Yards[[#This Row],[Estimate]]-Yards[[#This Row],[Design Est.]]</f>
        <v>1968417.3261060005</v>
      </c>
      <c r="W172" s="85">
        <f ca="1">(Yards[[#This Row],['# yards]]*INDEX(UnitCosts[],MATCH(Yards[[#This Row],[WORK TYPE]],UnitCosts[Work Type],0),2))*(1+((Yards[[#This Row],[est. CONS Year]]-YEAR(TODAY()))*$W$3))</f>
        <v>2187130.3623400005</v>
      </c>
      <c r="X172" s="142">
        <f ca="1">IF(ISNUMBER(SEARCH("LLC",Yards[[#This Row],[PROGRAM]])),0,IF(Yards[[#This Row],[RAD/PACT by 2025]]="yes",0,1))</f>
        <v>1</v>
      </c>
      <c r="Y172" s="1"/>
      <c r="Z172" s="1"/>
      <c r="AA172" s="51">
        <f ca="1">COUNTIF($X$5:Yards[[#This Row],['# yards]],"&gt;0")-10</f>
        <v>100</v>
      </c>
      <c r="AB172" s="1">
        <f ca="1">IF(ISBLANK(Yards[[#This Row],[DSGN CALENDAR YEAR]]),ROUNDDOWN(Yards[[#This Row],[Count]]/24,0)+$AB$1,Yards[[#This Row],[DSGN CALENDAR YEAR]])</f>
        <v>2025</v>
      </c>
      <c r="AC172" s="16">
        <f ca="1">Yards[[#This Row],[est. DSGN Year]]+1</f>
        <v>2026</v>
      </c>
    </row>
    <row r="173" spans="1:29">
      <c r="A173" s="13" t="s">
        <v>288</v>
      </c>
      <c r="B173" s="51" t="str">
        <f>VLOOKUP(Yards[[#This Row],[DEVELOPMENT]],Data[],2,FALSE)</f>
        <v>STATEN ISLAND</v>
      </c>
      <c r="C17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73" s="51" t="str">
        <f>VLOOKUP(Yards[[#This Row],[DEVELOPMENT]],Data[],52,FALSE)</f>
        <v>FEDERAL</v>
      </c>
      <c r="E173" s="50">
        <f>VLOOKUP(Yards[[#This Row],[DEVELOPMENT]],Data[],8,FALSE)</f>
        <v>0</v>
      </c>
      <c r="F173" s="51" t="str">
        <f>VLOOKUP(Yards[[#This Row],[DEVELOPMENT]],all[[DEVELOPMENT]:[MRST Ext. Comp. Priority]],6,FALSE)</f>
        <v>D</v>
      </c>
      <c r="G173" s="51">
        <f>VLOOKUP(Yards[[#This Row],[DEVELOPMENT]],all[[DEVELOPMENT]:[MRST Ext. Comp. Priority]],13,FALSE)</f>
        <v>4</v>
      </c>
      <c r="H173" s="50">
        <f>IF(VLOOKUP(Yards[[#This Row],[DEVELOPMENT]],Data[],9,FALSE)=0,5,VLOOKUP(Yards[[#This Row],[DEVELOPMENT]],Data[],9,FALSE))</f>
        <v>5</v>
      </c>
      <c r="I173" s="51">
        <f>VLOOKUP(Yards[[#This Row],[DEVELOPMENT]],Data[],33,FALSE)</f>
        <v>1</v>
      </c>
      <c r="J173" s="51">
        <f>VLOOKUP(Yards[[#This Row],[DEVELOPMENT]],Data[],28,FALSE)</f>
        <v>0</v>
      </c>
      <c r="K173" s="51"/>
      <c r="L173" s="50"/>
      <c r="M173" s="51" t="str">
        <f ca="1">IFERROR(VLOOKUP(Yards[[#This Row],[DEVELOPMENT]],Data[],4,FALSE),"")</f>
        <v/>
      </c>
      <c r="N173" s="51" t="str">
        <f ca="1">IF(Yards[[#This Row],[RAD/PACT]]="","",IF(OR(Yards[[#This Row],[RAD/PACT]]="2022-2025",Yards[[#This Row],[RAD/PACT]]=2019,Yards[[#This Row],[RAD/PACT]]="2020-2021"),"Yes",""))</f>
        <v/>
      </c>
      <c r="O173" s="51" t="str">
        <f ca="1">IFERROR(VLOOKUP(Yards[[#This Row],[DEVELOPMENT]],ExtComp[],8,FALSE),"")</f>
        <v/>
      </c>
      <c r="P173" s="51"/>
      <c r="Q173" s="51"/>
      <c r="R173" s="51" t="str">
        <f>IF(ISBLANK(Yards[[#This Row],[DSGN CALENDAR YEAR]]),"",Yards[[#This Row],[DSGN CALENDAR YEAR]]+1)</f>
        <v/>
      </c>
      <c r="S173" s="51" t="str">
        <f>IF(ISBLANK(Yards[[#This Row],[DSGN FISCAL YEAR]]),"",Yards[[#This Row],[DSGN FISCAL YEAR]]+1)</f>
        <v/>
      </c>
      <c r="T173" s="51"/>
      <c r="U173" s="128">
        <f ca="1">Yards[[#This Row],[Estimate]]*0.1</f>
        <v>218713.03623400006</v>
      </c>
      <c r="V173" s="47">
        <f ca="1">Yards[[#This Row],[Estimate]]-Yards[[#This Row],[Design Est.]]</f>
        <v>1968417.3261060005</v>
      </c>
      <c r="W173" s="85">
        <f ca="1">(Yards[[#This Row],['# yards]]*INDEX(UnitCosts[],MATCH(Yards[[#This Row],[WORK TYPE]],UnitCosts[Work Type],0),2))*(1+((Yards[[#This Row],[est. CONS Year]]-YEAR(TODAY()))*$W$3))</f>
        <v>2187130.3623400005</v>
      </c>
      <c r="X173" s="142">
        <f ca="1">IF(ISNUMBER(SEARCH("LLC",Yards[[#This Row],[PROGRAM]])),0,IF(Yards[[#This Row],[RAD/PACT by 2025]]="yes",0,1))</f>
        <v>1</v>
      </c>
      <c r="Y173" s="1"/>
      <c r="Z173" s="1"/>
      <c r="AA173" s="51">
        <f ca="1">COUNTIF($X$5:Yards[[#This Row],['# yards]],"&gt;0")-10</f>
        <v>101</v>
      </c>
      <c r="AB173" s="1">
        <f ca="1">IF(ISBLANK(Yards[[#This Row],[DSGN CALENDAR YEAR]]),ROUNDDOWN(Yards[[#This Row],[Count]]/24,0)+$AB$1,Yards[[#This Row],[DSGN CALENDAR YEAR]])</f>
        <v>2025</v>
      </c>
      <c r="AC173" s="16">
        <f ca="1">Yards[[#This Row],[est. DSGN Year]]+1</f>
        <v>2026</v>
      </c>
    </row>
    <row r="174" spans="1:29" hidden="1">
      <c r="A174" s="13" t="s">
        <v>284</v>
      </c>
      <c r="B174" s="51" t="str">
        <f>VLOOKUP(Yards[[#This Row],[DEVELOPMENT]],Data[],2,FALSE)</f>
        <v>BRONX</v>
      </c>
      <c r="C174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74" s="51" t="str">
        <f>VLOOKUP(Yards[[#This Row],[DEVELOPMENT]],Data[],52,FALSE)</f>
        <v>FEDERAL</v>
      </c>
      <c r="E174" s="50" t="str">
        <f>VLOOKUP(Yards[[#This Row],[DEVELOPMENT]],Data[],8,FALSE)</f>
        <v>Zone 4</v>
      </c>
      <c r="F174" s="51" t="str">
        <f>VLOOKUP(Yards[[#This Row],[DEVELOPMENT]],all[[DEVELOPMENT]:[MRST Ext. Comp. Priority]],6,FALSE)</f>
        <v>D</v>
      </c>
      <c r="G174" s="51" t="str">
        <f>VLOOKUP(Yards[[#This Row],[DEVELOPMENT]],all[[DEVELOPMENT]:[MRST Ext. Comp. Priority]],13,FALSE)</f>
        <v>None</v>
      </c>
      <c r="H174" s="50">
        <f>IF(VLOOKUP(Yards[[#This Row],[DEVELOPMENT]],Data[],9,FALSE)=0,5,VLOOKUP(Yards[[#This Row],[DEVELOPMENT]],Data[],9,FALSE))</f>
        <v>5</v>
      </c>
      <c r="I174" s="51">
        <f>VLOOKUP(Yards[[#This Row],[DEVELOPMENT]],Data[],33,FALSE)</f>
        <v>0</v>
      </c>
      <c r="J174" s="51">
        <f>VLOOKUP(Yards[[#This Row],[DEVELOPMENT]],Data[],28,FALSE)</f>
        <v>0</v>
      </c>
      <c r="K174" s="51"/>
      <c r="L174" s="50"/>
      <c r="M174" s="51" t="str">
        <f ca="1">IFERROR(VLOOKUP(Yards[[#This Row],[DEVELOPMENT]],Data[],4,FALSE),"")</f>
        <v/>
      </c>
      <c r="N174" s="51" t="str">
        <f ca="1">IF(Yards[[#This Row],[RAD/PACT]]="","",IF(OR(Yards[[#This Row],[RAD/PACT]]="2022-2025",Yards[[#This Row],[RAD/PACT]]=2019,Yards[[#This Row],[RAD/PACT]]="2020-2021"),"Yes",""))</f>
        <v/>
      </c>
      <c r="O174" s="51" t="str">
        <f ca="1">IFERROR(VLOOKUP(Yards[[#This Row],[DEVELOPMENT]],ExtComp[],8,FALSE),"")</f>
        <v/>
      </c>
      <c r="P174" s="51"/>
      <c r="Q174" s="51"/>
      <c r="R174" s="51" t="str">
        <f>IF(ISBLANK(Yards[[#This Row],[DSGN CALENDAR YEAR]]),"",Yards[[#This Row],[DSGN CALENDAR YEAR]]+1)</f>
        <v/>
      </c>
      <c r="S174" s="51" t="str">
        <f>IF(ISBLANK(Yards[[#This Row],[DSGN FISCAL YEAR]]),"",Yards[[#This Row],[DSGN FISCAL YEAR]]+1)</f>
        <v/>
      </c>
      <c r="T174" s="51"/>
      <c r="U174" s="128">
        <f>Yards[[#This Row],[Estimate]]*0.1</f>
        <v>0</v>
      </c>
      <c r="V174" s="47">
        <f>Yards[[#This Row],[Estimate]]-Yards[[#This Row],[Design Est.]]</f>
        <v>0</v>
      </c>
      <c r="W174" s="85"/>
      <c r="X174" s="142"/>
      <c r="Y174" s="1"/>
      <c r="Z174" s="1"/>
      <c r="AA174" s="51">
        <f ca="1">COUNTIF($X$5:Yards[[#This Row],['# yards]],"&gt;0")-10</f>
        <v>101</v>
      </c>
      <c r="AB174" s="1">
        <f ca="1">IF(ISBLANK(Yards[[#This Row],[DSGN CALENDAR YEAR]]),ROUNDDOWN(Yards[[#This Row],[Count]]/24,0)+$AB$1,Yards[[#This Row],[DSGN CALENDAR YEAR]])</f>
        <v>2025</v>
      </c>
      <c r="AC174" s="16">
        <f ca="1">Yards[[#This Row],[est. DSGN Year]]+1</f>
        <v>2026</v>
      </c>
    </row>
    <row r="175" spans="1:29">
      <c r="A175" s="13" t="s">
        <v>120</v>
      </c>
      <c r="B175" s="1" t="str">
        <f>VLOOKUP(Yards[[#This Row],[DEVELOPMENT]],Data[],2,FALSE)</f>
        <v>MANHATTAN</v>
      </c>
      <c r="C17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175" s="51" t="str">
        <f>VLOOKUP(Yards[[#This Row],[DEVELOPMENT]],Data[],52,FALSE)</f>
        <v>FEDERAL</v>
      </c>
      <c r="E175" s="9" t="str">
        <f>VLOOKUP(Yards[[#This Row],[DEVELOPMENT]],Data[],8,FALSE)</f>
        <v>Zone 2</v>
      </c>
      <c r="F175" s="51" t="str">
        <f>VLOOKUP(Yards[[#This Row],[DEVELOPMENT]],all[[DEVELOPMENT]:[MRST Ext. Comp. Priority]],6,FALSE)</f>
        <v>D</v>
      </c>
      <c r="G175" s="51" t="str">
        <f>VLOOKUP(Yards[[#This Row],[DEVELOPMENT]],all[[DEVELOPMENT]:[MRST Ext. Comp. Priority]],13,FALSE)</f>
        <v>None</v>
      </c>
      <c r="H175" s="9">
        <f>IF(VLOOKUP(Yards[[#This Row],[DEVELOPMENT]],Data[],9,FALSE)=0,5,VLOOKUP(Yards[[#This Row],[DEVELOPMENT]],Data[],9,FALSE))</f>
        <v>3</v>
      </c>
      <c r="I175" s="51">
        <f>VLOOKUP(Yards[[#This Row],[DEVELOPMENT]],Data[],33,FALSE)</f>
        <v>3</v>
      </c>
      <c r="J175" s="51">
        <f>VLOOKUP(Yards[[#This Row],[DEVELOPMENT]],Data[],28,FALSE)</f>
        <v>0</v>
      </c>
      <c r="K175" s="51"/>
      <c r="L175" s="9"/>
      <c r="M175" s="1" t="str">
        <f ca="1">IFERROR(VLOOKUP(Yards[[#This Row],[DEVELOPMENT]],Data[],4,FALSE),"")</f>
        <v>2026+</v>
      </c>
      <c r="N175" s="1" t="str">
        <f ca="1">IF(Yards[[#This Row],[RAD/PACT]]="","",IF(OR(Yards[[#This Row],[RAD/PACT]]="2022-2025",Yards[[#This Row],[RAD/PACT]]=2019,Yards[[#This Row],[RAD/PACT]]="2020-2021"),"Yes",""))</f>
        <v/>
      </c>
      <c r="O175" s="1">
        <f ca="1">IFERROR(VLOOKUP(Yards[[#This Row],[DEVELOPMENT]],ExtComp[],8,FALSE),"")</f>
        <v>14</v>
      </c>
      <c r="P175" s="1"/>
      <c r="Q175" s="1"/>
      <c r="R175" s="1" t="str">
        <f>IF(ISBLANK(Yards[[#This Row],[DSGN CALENDAR YEAR]]),"",Yards[[#This Row],[DSGN CALENDAR YEAR]]+1)</f>
        <v/>
      </c>
      <c r="S175" s="51" t="str">
        <f>IF(ISBLANK(Yards[[#This Row],[DSGN FISCAL YEAR]]),"",Yards[[#This Row],[DSGN FISCAL YEAR]]+1)</f>
        <v/>
      </c>
      <c r="T175" s="1"/>
      <c r="U175" s="128">
        <f ca="1">Yards[[#This Row],[Estimate]]*0.1</f>
        <v>284290.88531690004</v>
      </c>
      <c r="V175" s="47">
        <f ca="1">Yards[[#This Row],[Estimate]]-Yards[[#This Row],[Design Est.]]</f>
        <v>2558617.9678521003</v>
      </c>
      <c r="W175" s="85">
        <f ca="1">(Yards[[#This Row],['# yards]]*INDEX(UnitCosts[],MATCH(Yards[[#This Row],[WORK TYPE]],UnitCosts[Work Type],0),2))*(1+((Yards[[#This Row],[est. CONS Year]]-YEAR(TODAY()))*$W$3))</f>
        <v>2842908.8531690002</v>
      </c>
      <c r="X175" s="142">
        <f ca="1">IF(ISNUMBER(SEARCH("LLC",Yards[[#This Row],[PROGRAM]])),0,IF(Yards[[#This Row],[RAD/PACT by 2025]]="yes",0,1))</f>
        <v>1</v>
      </c>
      <c r="Y175" s="1"/>
      <c r="Z175" s="1"/>
      <c r="AA175" s="51">
        <f ca="1">COUNTIF($X$5:Yards[[#This Row],['# yards]],"&gt;0")-10</f>
        <v>102</v>
      </c>
      <c r="AB175" s="1">
        <f ca="1">IF(ISBLANK(Yards[[#This Row],[DSGN CALENDAR YEAR]]),ROUNDDOWN(Yards[[#This Row],[Count]]/24,0)+$AB$1,Yards[[#This Row],[DSGN CALENDAR YEAR]])</f>
        <v>2025</v>
      </c>
      <c r="AC175" s="16">
        <f ca="1">Yards[[#This Row],[est. DSGN Year]]+1</f>
        <v>2026</v>
      </c>
    </row>
    <row r="176" spans="1:29">
      <c r="A176" s="13" t="s">
        <v>283</v>
      </c>
      <c r="B176" s="51" t="str">
        <f>VLOOKUP(Yards[[#This Row],[DEVELOPMENT]],Data[],2,FALSE)</f>
        <v>BRONX</v>
      </c>
      <c r="C17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76" s="51" t="str">
        <f>VLOOKUP(Yards[[#This Row],[DEVELOPMENT]],Data[],52,FALSE)</f>
        <v>FEDERAL</v>
      </c>
      <c r="E176" s="50">
        <f>VLOOKUP(Yards[[#This Row],[DEVELOPMENT]],Data[],8,FALSE)</f>
        <v>0</v>
      </c>
      <c r="F176" s="51" t="str">
        <f>VLOOKUP(Yards[[#This Row],[DEVELOPMENT]],all[[DEVELOPMENT]:[MRST Ext. Comp. Priority]],6,FALSE)</f>
        <v>D</v>
      </c>
      <c r="G176" s="51" t="str">
        <f>VLOOKUP(Yards[[#This Row],[DEVELOPMENT]],all[[DEVELOPMENT]:[MRST Ext. Comp. Priority]],13,FALSE)</f>
        <v>None</v>
      </c>
      <c r="H176" s="50">
        <f>IF(VLOOKUP(Yards[[#This Row],[DEVELOPMENT]],Data[],9,FALSE)=0,5,VLOOKUP(Yards[[#This Row],[DEVELOPMENT]],Data[],9,FALSE))</f>
        <v>5</v>
      </c>
      <c r="I176" s="51">
        <f>VLOOKUP(Yards[[#This Row],[DEVELOPMENT]],Data[],33,FALSE)</f>
        <v>0</v>
      </c>
      <c r="J176" s="51">
        <f>VLOOKUP(Yards[[#This Row],[DEVELOPMENT]],Data[],28,FALSE)</f>
        <v>0</v>
      </c>
      <c r="K176" s="51"/>
      <c r="L176" s="50"/>
      <c r="M176" s="51" t="str">
        <f ca="1">IFERROR(VLOOKUP(Yards[[#This Row],[DEVELOPMENT]],Data[],4,FALSE),"")</f>
        <v/>
      </c>
      <c r="N176" s="51" t="str">
        <f ca="1">IF(Yards[[#This Row],[RAD/PACT]]="","",IF(OR(Yards[[#This Row],[RAD/PACT]]="2022-2025",Yards[[#This Row],[RAD/PACT]]=2019,Yards[[#This Row],[RAD/PACT]]="2020-2021"),"Yes",""))</f>
        <v/>
      </c>
      <c r="O176" s="51" t="str">
        <f ca="1">IFERROR(VLOOKUP(Yards[[#This Row],[DEVELOPMENT]],ExtComp[],8,FALSE),"")</f>
        <v/>
      </c>
      <c r="P176" s="51"/>
      <c r="Q176" s="51"/>
      <c r="R176" s="51" t="str">
        <f>IF(ISBLANK(Yards[[#This Row],[DSGN CALENDAR YEAR]]),"",Yards[[#This Row],[DSGN CALENDAR YEAR]]+1)</f>
        <v/>
      </c>
      <c r="S176" s="51" t="str">
        <f>IF(ISBLANK(Yards[[#This Row],[DSGN FISCAL YEAR]]),"",Yards[[#This Row],[DSGN FISCAL YEAR]]+1)</f>
        <v/>
      </c>
      <c r="T176" s="51"/>
      <c r="U176" s="128">
        <f ca="1">Yards[[#This Row],[Estimate]]*0.1</f>
        <v>218713.03623400006</v>
      </c>
      <c r="V176" s="47">
        <f ca="1">Yards[[#This Row],[Estimate]]-Yards[[#This Row],[Design Est.]]</f>
        <v>1968417.3261060005</v>
      </c>
      <c r="W176" s="85">
        <f ca="1">(Yards[[#This Row],['# yards]]*INDEX(UnitCosts[],MATCH(Yards[[#This Row],[WORK TYPE]],UnitCosts[Work Type],0),2))*(1+((Yards[[#This Row],[est. CONS Year]]-YEAR(TODAY()))*$W$3))</f>
        <v>2187130.3623400005</v>
      </c>
      <c r="X176" s="142">
        <f ca="1">IF(ISNUMBER(SEARCH("LLC",Yards[[#This Row],[PROGRAM]])),0,IF(Yards[[#This Row],[RAD/PACT by 2025]]="yes",0,1))</f>
        <v>1</v>
      </c>
      <c r="Y176" s="1"/>
      <c r="Z176" s="1"/>
      <c r="AA176" s="51">
        <f ca="1">COUNTIF($X$5:Yards[[#This Row],['# yards]],"&gt;0")-10</f>
        <v>103</v>
      </c>
      <c r="AB176" s="1">
        <f ca="1">IF(ISBLANK(Yards[[#This Row],[DSGN CALENDAR YEAR]]),ROUNDDOWN(Yards[[#This Row],[Count]]/24,0)+$AB$1,Yards[[#This Row],[DSGN CALENDAR YEAR]])</f>
        <v>2025</v>
      </c>
      <c r="AC176" s="16">
        <f ca="1">Yards[[#This Row],[est. DSGN Year]]+1</f>
        <v>2026</v>
      </c>
    </row>
    <row r="177" spans="1:29">
      <c r="A177" s="13" t="s">
        <v>81</v>
      </c>
      <c r="B177" s="51" t="str">
        <f>VLOOKUP(Yards[[#This Row],[DEVELOPMENT]],Data[],2,FALSE)</f>
        <v>MANHATTAN</v>
      </c>
      <c r="C17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177" s="51" t="str">
        <f>VLOOKUP(Yards[[#This Row],[DEVELOPMENT]],Data[],52,FALSE)</f>
        <v>FEDERAL</v>
      </c>
      <c r="E177" s="50" t="str">
        <f>VLOOKUP(Yards[[#This Row],[DEVELOPMENT]],Data[],8,FALSE)</f>
        <v>Zone 2</v>
      </c>
      <c r="F177" s="51" t="str">
        <f>VLOOKUP(Yards[[#This Row],[DEVELOPMENT]],all[[DEVELOPMENT]:[MRST Ext. Comp. Priority]],6,FALSE)</f>
        <v>None</v>
      </c>
      <c r="G177" s="51">
        <f>VLOOKUP(Yards[[#This Row],[DEVELOPMENT]],all[[DEVELOPMENT]:[MRST Ext. Comp. Priority]],13,FALSE)</f>
        <v>2</v>
      </c>
      <c r="H177" s="50">
        <f>IF(VLOOKUP(Yards[[#This Row],[DEVELOPMENT]],Data[],9,FALSE)=0,5,VLOOKUP(Yards[[#This Row],[DEVELOPMENT]],Data[],9,FALSE))</f>
        <v>1</v>
      </c>
      <c r="I177" s="51">
        <f>VLOOKUP(Yards[[#This Row],[DEVELOPMENT]],Data[],33,FALSE)</f>
        <v>4</v>
      </c>
      <c r="J177" s="51">
        <f>VLOOKUP(Yards[[#This Row],[DEVELOPMENT]],Data[],28,FALSE)</f>
        <v>0</v>
      </c>
      <c r="K177" s="51"/>
      <c r="L177" s="50"/>
      <c r="M177" s="51" t="str">
        <f ca="1">IFERROR(VLOOKUP(Yards[[#This Row],[DEVELOPMENT]],Data[],4,FALSE),"")</f>
        <v>2026+</v>
      </c>
      <c r="N177" s="51" t="str">
        <f ca="1">IF(Yards[[#This Row],[RAD/PACT]]="","",IF(OR(Yards[[#This Row],[RAD/PACT]]="2022-2025",Yards[[#This Row],[RAD/PACT]]=2019,Yards[[#This Row],[RAD/PACT]]="2020-2021"),"Yes",""))</f>
        <v/>
      </c>
      <c r="O177" s="1">
        <f ca="1">IFERROR(VLOOKUP(Yards[[#This Row],[DEVELOPMENT]],ExtComp[],8,FALSE),"")</f>
        <v>20</v>
      </c>
      <c r="P177" s="1"/>
      <c r="Q177" s="1"/>
      <c r="R177" s="1" t="str">
        <f>IF(ISBLANK(Yards[[#This Row],[DSGN CALENDAR YEAR]]),"",Yards[[#This Row],[DSGN CALENDAR YEAR]]+1)</f>
        <v/>
      </c>
      <c r="S177" s="51" t="str">
        <f>IF(ISBLANK(Yards[[#This Row],[DSGN FISCAL YEAR]]),"",Yards[[#This Row],[DSGN FISCAL YEAR]]+1)</f>
        <v/>
      </c>
      <c r="T177" s="1"/>
      <c r="U177" s="128">
        <f ca="1">Yards[[#This Row],[Estimate]]*0.1</f>
        <v>324109.87173729995</v>
      </c>
      <c r="V177" s="47">
        <f ca="1">Yards[[#This Row],[Estimate]]-Yards[[#This Row],[Design Est.]]</f>
        <v>2916988.8456356996</v>
      </c>
      <c r="W177" s="85">
        <f ca="1">(Yards[[#This Row],['# yards]]*INDEX(UnitCosts[],MATCH(Yards[[#This Row],[WORK TYPE]],UnitCosts[Work Type],0),2))*(1+((Yards[[#This Row],[est. CONS Year]]-YEAR(TODAY()))*$W$3))</f>
        <v>3241098.7173729995</v>
      </c>
      <c r="X177" s="142">
        <f ca="1">IF(ISNUMBER(SEARCH("LLC",Yards[[#This Row],[PROGRAM]])),0,IF(Yards[[#This Row],[RAD/PACT by 2025]]="yes",0,1))</f>
        <v>1</v>
      </c>
      <c r="Y177" s="1"/>
      <c r="Z177" s="1"/>
      <c r="AA177" s="51">
        <f ca="1">COUNTIF($X$5:Yards[[#This Row],['# yards]],"&gt;0")-10</f>
        <v>104</v>
      </c>
      <c r="AB177" s="1">
        <f ca="1">IF(ISBLANK(Yards[[#This Row],[DSGN CALENDAR YEAR]]),ROUNDDOWN(Yards[[#This Row],[Count]]/24,0)+$AB$1,Yards[[#This Row],[DSGN CALENDAR YEAR]])</f>
        <v>2025</v>
      </c>
      <c r="AC177" s="16">
        <f ca="1">Yards[[#This Row],[est. DSGN Year]]+1</f>
        <v>2026</v>
      </c>
    </row>
    <row r="178" spans="1:29">
      <c r="A178" s="13" t="s">
        <v>96</v>
      </c>
      <c r="B178" s="51" t="str">
        <f>VLOOKUP(Yards[[#This Row],[DEVELOPMENT]],Data[],2,FALSE)</f>
        <v>BRONX</v>
      </c>
      <c r="C178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78" s="51" t="str">
        <f>VLOOKUP(Yards[[#This Row],[DEVELOPMENT]],Data[],52,FALSE)</f>
        <v>FEDERAL</v>
      </c>
      <c r="E178" s="50" t="str">
        <f>VLOOKUP(Yards[[#This Row],[DEVELOPMENT]],Data[],8,FALSE)</f>
        <v>Zone 3</v>
      </c>
      <c r="F178" s="51" t="str">
        <f>VLOOKUP(Yards[[#This Row],[DEVELOPMENT]],all[[DEVELOPMENT]:[MRST Ext. Comp. Priority]],6,FALSE)</f>
        <v>None</v>
      </c>
      <c r="G178" s="51">
        <f>VLOOKUP(Yards[[#This Row],[DEVELOPMENT]],all[[DEVELOPMENT]:[MRST Ext. Comp. Priority]],13,FALSE)</f>
        <v>2</v>
      </c>
      <c r="H178" s="50">
        <f>IF(VLOOKUP(Yards[[#This Row],[DEVELOPMENT]],Data[],9,FALSE)=0,5,VLOOKUP(Yards[[#This Row],[DEVELOPMENT]],Data[],9,FALSE))</f>
        <v>3</v>
      </c>
      <c r="I178" s="51">
        <f>VLOOKUP(Yards[[#This Row],[DEVELOPMENT]],Data[],33,FALSE)</f>
        <v>0</v>
      </c>
      <c r="J178" s="51">
        <f>VLOOKUP(Yards[[#This Row],[DEVELOPMENT]],Data[],28,FALSE)</f>
        <v>0</v>
      </c>
      <c r="K178" s="51"/>
      <c r="L178" s="50"/>
      <c r="M178" s="51" t="str">
        <f ca="1">IFERROR(VLOOKUP(Yards[[#This Row],[DEVELOPMENT]],Data[],4,FALSE),"")</f>
        <v>2026+</v>
      </c>
      <c r="N178" s="51" t="str">
        <f ca="1">IF(Yards[[#This Row],[RAD/PACT]]="","",IF(OR(Yards[[#This Row],[RAD/PACT]]="2022-2025",Yards[[#This Row],[RAD/PACT]]=2019,Yards[[#This Row],[RAD/PACT]]="2020-2021"),"Yes",""))</f>
        <v/>
      </c>
      <c r="O178" s="51" t="str">
        <f ca="1">IFERROR(VLOOKUP(Yards[[#This Row],[DEVELOPMENT]],ExtComp[],8,FALSE),"")</f>
        <v/>
      </c>
      <c r="P178" s="51"/>
      <c r="Q178" s="51"/>
      <c r="R178" s="51" t="str">
        <f>IF(ISBLANK(Yards[[#This Row],[DSGN CALENDAR YEAR]]),"",Yards[[#This Row],[DSGN CALENDAR YEAR]]+1)</f>
        <v/>
      </c>
      <c r="S178" s="51" t="str">
        <f>IF(ISBLANK(Yards[[#This Row],[DSGN FISCAL YEAR]]),"",Yards[[#This Row],[DSGN FISCAL YEAR]]+1)</f>
        <v/>
      </c>
      <c r="T178" s="51"/>
      <c r="U178" s="128">
        <f ca="1">Yards[[#This Row],[Estimate]]*0.1</f>
        <v>218713.03623400006</v>
      </c>
      <c r="V178" s="47">
        <f ca="1">Yards[[#This Row],[Estimate]]-Yards[[#This Row],[Design Est.]]</f>
        <v>1968417.3261060005</v>
      </c>
      <c r="W178" s="85">
        <f ca="1">(Yards[[#This Row],['# yards]]*INDEX(UnitCosts[],MATCH(Yards[[#This Row],[WORK TYPE]],UnitCosts[Work Type],0),2))*(1+((Yards[[#This Row],[est. CONS Year]]-YEAR(TODAY()))*$W$3))</f>
        <v>2187130.3623400005</v>
      </c>
      <c r="X178" s="142">
        <f ca="1">IF(ISNUMBER(SEARCH("LLC",Yards[[#This Row],[PROGRAM]])),0,IF(Yards[[#This Row],[RAD/PACT by 2025]]="yes",0,1))</f>
        <v>1</v>
      </c>
      <c r="Y178" s="1"/>
      <c r="Z178" s="1"/>
      <c r="AA178" s="51">
        <f ca="1">COUNTIF($X$5:Yards[[#This Row],['# yards]],"&gt;0")-10</f>
        <v>105</v>
      </c>
      <c r="AB178" s="1">
        <f ca="1">IF(ISBLANK(Yards[[#This Row],[DSGN CALENDAR YEAR]]),ROUNDDOWN(Yards[[#This Row],[Count]]/24,0)+$AB$1,Yards[[#This Row],[DSGN CALENDAR YEAR]])</f>
        <v>2025</v>
      </c>
      <c r="AC178" s="16">
        <f ca="1">Yards[[#This Row],[est. DSGN Year]]+1</f>
        <v>2026</v>
      </c>
    </row>
    <row r="179" spans="1:29">
      <c r="A179" s="13" t="s">
        <v>42</v>
      </c>
      <c r="B179" s="51" t="str">
        <f>VLOOKUP(Yards[[#This Row],[DEVELOPMENT]],Data[],2,FALSE)</f>
        <v>BROOKLYN</v>
      </c>
      <c r="C17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79" s="51" t="str">
        <f>VLOOKUP(Yards[[#This Row],[DEVELOPMENT]],Data[],52,FALSE)</f>
        <v>FEDERAL</v>
      </c>
      <c r="E179" s="50" t="str">
        <f>VLOOKUP(Yards[[#This Row],[DEVELOPMENT]],Data[],8,FALSE)</f>
        <v>Zone 1</v>
      </c>
      <c r="F179" s="51" t="str">
        <f>VLOOKUP(Yards[[#This Row],[DEVELOPMENT]],all[[DEVELOPMENT]:[MRST Ext. Comp. Priority]],6,FALSE)</f>
        <v>None</v>
      </c>
      <c r="G179" s="51">
        <f>VLOOKUP(Yards[[#This Row],[DEVELOPMENT]],all[[DEVELOPMENT]:[MRST Ext. Comp. Priority]],13,FALSE)</f>
        <v>2</v>
      </c>
      <c r="H179" s="50">
        <f>IF(VLOOKUP(Yards[[#This Row],[DEVELOPMENT]],Data[],9,FALSE)=0,5,VLOOKUP(Yards[[#This Row],[DEVELOPMENT]],Data[],9,FALSE))</f>
        <v>4</v>
      </c>
      <c r="I179" s="51">
        <f>VLOOKUP(Yards[[#This Row],[DEVELOPMENT]],Data[],33,FALSE)</f>
        <v>0</v>
      </c>
      <c r="J179" s="51">
        <f>VLOOKUP(Yards[[#This Row],[DEVELOPMENT]],Data[],28,FALSE)</f>
        <v>0</v>
      </c>
      <c r="K179" s="51"/>
      <c r="L179" s="50"/>
      <c r="M179" s="51" t="str">
        <f ca="1">IFERROR(VLOOKUP(Yards[[#This Row],[DEVELOPMENT]],Data[],4,FALSE),"")</f>
        <v/>
      </c>
      <c r="N179" s="51" t="str">
        <f ca="1">IF(Yards[[#This Row],[RAD/PACT]]="","",IF(OR(Yards[[#This Row],[RAD/PACT]]="2022-2025",Yards[[#This Row],[RAD/PACT]]=2019,Yards[[#This Row],[RAD/PACT]]="2020-2021"),"Yes",""))</f>
        <v/>
      </c>
      <c r="O179" s="51">
        <f ca="1">IFERROR(VLOOKUP(Yards[[#This Row],[DEVELOPMENT]],ExtComp[],8,FALSE),"")</f>
        <v>1</v>
      </c>
      <c r="P179" s="51"/>
      <c r="Q179" s="51"/>
      <c r="R179" s="51" t="str">
        <f>IF(ISBLANK(Yards[[#This Row],[DSGN CALENDAR YEAR]]),"",Yards[[#This Row],[DSGN CALENDAR YEAR]]+1)</f>
        <v/>
      </c>
      <c r="S179" s="51" t="str">
        <f>IF(ISBLANK(Yards[[#This Row],[DSGN FISCAL YEAR]]),"",Yards[[#This Row],[DSGN FISCAL YEAR]]+1)</f>
        <v/>
      </c>
      <c r="T179" s="51"/>
      <c r="U179" s="128">
        <f ca="1">Yards[[#This Row],[Estimate]]*0.1</f>
        <v>218713.03623400006</v>
      </c>
      <c r="V179" s="47">
        <f ca="1">Yards[[#This Row],[Estimate]]-Yards[[#This Row],[Design Est.]]</f>
        <v>1968417.3261060005</v>
      </c>
      <c r="W179" s="85">
        <f ca="1">(Yards[[#This Row],['# yards]]*INDEX(UnitCosts[],MATCH(Yards[[#This Row],[WORK TYPE]],UnitCosts[Work Type],0),2))*(1+((Yards[[#This Row],[est. CONS Year]]-YEAR(TODAY()))*$W$3))</f>
        <v>2187130.3623400005</v>
      </c>
      <c r="X179" s="142">
        <f ca="1">IF(ISNUMBER(SEARCH("LLC",Yards[[#This Row],[PROGRAM]])),0,IF(Yards[[#This Row],[RAD/PACT by 2025]]="yes",0,1))</f>
        <v>1</v>
      </c>
      <c r="Y179" s="1"/>
      <c r="Z179" s="1"/>
      <c r="AA179" s="51">
        <f ca="1">COUNTIF($X$5:Yards[[#This Row],['# yards]],"&gt;0")-10</f>
        <v>106</v>
      </c>
      <c r="AB179" s="1">
        <f ca="1">IF(ISBLANK(Yards[[#This Row],[DSGN CALENDAR YEAR]]),ROUNDDOWN(Yards[[#This Row],[Count]]/24,0)+$AB$1,Yards[[#This Row],[DSGN CALENDAR YEAR]])</f>
        <v>2025</v>
      </c>
      <c r="AC179" s="16">
        <f ca="1">Yards[[#This Row],[est. DSGN Year]]+1</f>
        <v>2026</v>
      </c>
    </row>
    <row r="180" spans="1:29">
      <c r="A180" s="13" t="s">
        <v>98</v>
      </c>
      <c r="B180" s="51" t="str">
        <f>VLOOKUP(Yards[[#This Row],[DEVELOPMENT]],Data[],2,FALSE)</f>
        <v>BRONX</v>
      </c>
      <c r="C18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80" s="51" t="str">
        <f>VLOOKUP(Yards[[#This Row],[DEVELOPMENT]],Data[],52,FALSE)</f>
        <v>FEDERAL</v>
      </c>
      <c r="E180" s="50" t="str">
        <f>VLOOKUP(Yards[[#This Row],[DEVELOPMENT]],Data[],8,FALSE)</f>
        <v>Zone 3</v>
      </c>
      <c r="F180" s="51" t="str">
        <f>VLOOKUP(Yards[[#This Row],[DEVELOPMENT]],all[[DEVELOPMENT]:[MRST Ext. Comp. Priority]],6,FALSE)</f>
        <v>None</v>
      </c>
      <c r="G180" s="51">
        <f>VLOOKUP(Yards[[#This Row],[DEVELOPMENT]],all[[DEVELOPMENT]:[MRST Ext. Comp. Priority]],13,FALSE)</f>
        <v>2</v>
      </c>
      <c r="H180" s="50">
        <f>IF(VLOOKUP(Yards[[#This Row],[DEVELOPMENT]],Data[],9,FALSE)=0,5,VLOOKUP(Yards[[#This Row],[DEVELOPMENT]],Data[],9,FALSE))</f>
        <v>4</v>
      </c>
      <c r="I180" s="51">
        <f>VLOOKUP(Yards[[#This Row],[DEVELOPMENT]],Data[],33,FALSE)</f>
        <v>0</v>
      </c>
      <c r="J180" s="51">
        <f>VLOOKUP(Yards[[#This Row],[DEVELOPMENT]],Data[],28,FALSE)</f>
        <v>0</v>
      </c>
      <c r="K180" s="51"/>
      <c r="L180" s="50"/>
      <c r="M180" s="51" t="str">
        <f ca="1">IFERROR(VLOOKUP(Yards[[#This Row],[DEVELOPMENT]],Data[],4,FALSE),"")</f>
        <v>2026+</v>
      </c>
      <c r="N180" s="51" t="str">
        <f ca="1">IF(Yards[[#This Row],[RAD/PACT]]="","",IF(OR(Yards[[#This Row],[RAD/PACT]]="2022-2025",Yards[[#This Row],[RAD/PACT]]=2019,Yards[[#This Row],[RAD/PACT]]="2020-2021"),"Yes",""))</f>
        <v/>
      </c>
      <c r="O180" s="51" t="str">
        <f ca="1">IFERROR(VLOOKUP(Yards[[#This Row],[DEVELOPMENT]],ExtComp[],8,FALSE),"")</f>
        <v/>
      </c>
      <c r="P180" s="51"/>
      <c r="Q180" s="51"/>
      <c r="R180" s="51" t="str">
        <f>IF(ISBLANK(Yards[[#This Row],[DSGN CALENDAR YEAR]]),"",Yards[[#This Row],[DSGN CALENDAR YEAR]]+1)</f>
        <v/>
      </c>
      <c r="S180" s="51" t="str">
        <f>IF(ISBLANK(Yards[[#This Row],[DSGN FISCAL YEAR]]),"",Yards[[#This Row],[DSGN FISCAL YEAR]]+1)</f>
        <v/>
      </c>
      <c r="T180" s="51"/>
      <c r="U180" s="128">
        <f ca="1">Yards[[#This Row],[Estimate]]*0.1</f>
        <v>218713.03623400006</v>
      </c>
      <c r="V180" s="47">
        <f ca="1">Yards[[#This Row],[Estimate]]-Yards[[#This Row],[Design Est.]]</f>
        <v>1968417.3261060005</v>
      </c>
      <c r="W180" s="85">
        <f ca="1">(Yards[[#This Row],['# yards]]*INDEX(UnitCosts[],MATCH(Yards[[#This Row],[WORK TYPE]],UnitCosts[Work Type],0),2))*(1+((Yards[[#This Row],[est. CONS Year]]-YEAR(TODAY()))*$W$3))</f>
        <v>2187130.3623400005</v>
      </c>
      <c r="X180" s="142">
        <f ca="1">IF(ISNUMBER(SEARCH("LLC",Yards[[#This Row],[PROGRAM]])),0,IF(Yards[[#This Row],[RAD/PACT by 2025]]="yes",0,1))</f>
        <v>1</v>
      </c>
      <c r="Y180" s="1"/>
      <c r="Z180" s="1"/>
      <c r="AA180" s="51">
        <f ca="1">COUNTIF($X$5:Yards[[#This Row],['# yards]],"&gt;0")-10</f>
        <v>107</v>
      </c>
      <c r="AB180" s="1">
        <f ca="1">IF(ISBLANK(Yards[[#This Row],[DSGN CALENDAR YEAR]]),ROUNDDOWN(Yards[[#This Row],[Count]]/24,0)+$AB$1,Yards[[#This Row],[DSGN CALENDAR YEAR]])</f>
        <v>2025</v>
      </c>
      <c r="AC180" s="16">
        <f ca="1">Yards[[#This Row],[est. DSGN Year]]+1</f>
        <v>2026</v>
      </c>
    </row>
    <row r="181" spans="1:29">
      <c r="A181" s="13" t="s">
        <v>48</v>
      </c>
      <c r="B181" s="51" t="str">
        <f>VLOOKUP(Yards[[#This Row],[DEVELOPMENT]],Data[],2,FALSE)</f>
        <v>MANHATTAN</v>
      </c>
      <c r="C181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81" s="51" t="str">
        <f>VLOOKUP(Yards[[#This Row],[DEVELOPMENT]],Data[],52,FALSE)</f>
        <v>FEDERAL</v>
      </c>
      <c r="E181" s="50" t="str">
        <f>VLOOKUP(Yards[[#This Row],[DEVELOPMENT]],Data[],8,FALSE)</f>
        <v>Zone 1</v>
      </c>
      <c r="F181" s="51" t="str">
        <f>VLOOKUP(Yards[[#This Row],[DEVELOPMENT]],all[[DEVELOPMENT]:[MRST Ext. Comp. Priority]],6,FALSE)</f>
        <v>None</v>
      </c>
      <c r="G181" s="51">
        <f>VLOOKUP(Yards[[#This Row],[DEVELOPMENT]],all[[DEVELOPMENT]:[MRST Ext. Comp. Priority]],13,FALSE)</f>
        <v>2</v>
      </c>
      <c r="H181" s="50">
        <f>IF(VLOOKUP(Yards[[#This Row],[DEVELOPMENT]],Data[],9,FALSE)=0,5,VLOOKUP(Yards[[#This Row],[DEVELOPMENT]],Data[],9,FALSE))</f>
        <v>4</v>
      </c>
      <c r="I181" s="51">
        <f>VLOOKUP(Yards[[#This Row],[DEVELOPMENT]],Data[],33,FALSE)</f>
        <v>0</v>
      </c>
      <c r="J181" s="51">
        <f>VLOOKUP(Yards[[#This Row],[DEVELOPMENT]],Data[],28,FALSE)</f>
        <v>0</v>
      </c>
      <c r="K181" s="51"/>
      <c r="L181" s="50"/>
      <c r="M181" s="51" t="str">
        <f ca="1">IFERROR(VLOOKUP(Yards[[#This Row],[DEVELOPMENT]],Data[],4,FALSE),"")</f>
        <v/>
      </c>
      <c r="N181" s="51" t="str">
        <f ca="1">IF(Yards[[#This Row],[RAD/PACT]]="","",IF(OR(Yards[[#This Row],[RAD/PACT]]="2022-2025",Yards[[#This Row],[RAD/PACT]]=2019,Yards[[#This Row],[RAD/PACT]]="2020-2021"),"Yes",""))</f>
        <v/>
      </c>
      <c r="O181" s="51" t="str">
        <f ca="1">IFERROR(VLOOKUP(Yards[[#This Row],[DEVELOPMENT]],ExtComp[],8,FALSE),"")</f>
        <v/>
      </c>
      <c r="P181" s="51"/>
      <c r="Q181" s="51"/>
      <c r="R181" s="51" t="str">
        <f>IF(ISBLANK(Yards[[#This Row],[DSGN CALENDAR YEAR]]),"",Yards[[#This Row],[DSGN CALENDAR YEAR]]+1)</f>
        <v/>
      </c>
      <c r="S181" s="51" t="str">
        <f>IF(ISBLANK(Yards[[#This Row],[DSGN FISCAL YEAR]]),"",Yards[[#This Row],[DSGN FISCAL YEAR]]+1)</f>
        <v/>
      </c>
      <c r="T181" s="51"/>
      <c r="U181" s="128">
        <f ca="1">Yards[[#This Row],[Estimate]]*0.1</f>
        <v>218713.03623400006</v>
      </c>
      <c r="V181" s="47">
        <f ca="1">Yards[[#This Row],[Estimate]]-Yards[[#This Row],[Design Est.]]</f>
        <v>1968417.3261060005</v>
      </c>
      <c r="W181" s="85">
        <f ca="1">(Yards[[#This Row],['# yards]]*INDEX(UnitCosts[],MATCH(Yards[[#This Row],[WORK TYPE]],UnitCosts[Work Type],0),2))*(1+((Yards[[#This Row],[est. CONS Year]]-YEAR(TODAY()))*$W$3))</f>
        <v>2187130.3623400005</v>
      </c>
      <c r="X181" s="142">
        <f ca="1">IF(ISNUMBER(SEARCH("LLC",Yards[[#This Row],[PROGRAM]])),0,IF(Yards[[#This Row],[RAD/PACT by 2025]]="yes",0,1))</f>
        <v>1</v>
      </c>
      <c r="Y181" s="1"/>
      <c r="Z181" s="1"/>
      <c r="AA181" s="51">
        <f ca="1">COUNTIF($X$5:Yards[[#This Row],['# yards]],"&gt;0")-10</f>
        <v>108</v>
      </c>
      <c r="AB181" s="1">
        <f ca="1">IF(ISBLANK(Yards[[#This Row],[DSGN CALENDAR YEAR]]),ROUNDDOWN(Yards[[#This Row],[Count]]/24,0)+$AB$1,Yards[[#This Row],[DSGN CALENDAR YEAR]])</f>
        <v>2025</v>
      </c>
      <c r="AC181" s="16">
        <f ca="1">Yards[[#This Row],[est. DSGN Year]]+1</f>
        <v>2026</v>
      </c>
    </row>
    <row r="182" spans="1:29">
      <c r="A182" s="13" t="s">
        <v>75</v>
      </c>
      <c r="B182" s="51" t="str">
        <f>VLOOKUP(Yards[[#This Row],[DEVELOPMENT]],Data[],2,FALSE)</f>
        <v>MANHATTAN</v>
      </c>
      <c r="C18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82" s="51" t="str">
        <f>VLOOKUP(Yards[[#This Row],[DEVELOPMENT]],Data[],52,FALSE)</f>
        <v>FEDERAL</v>
      </c>
      <c r="E182" s="50" t="str">
        <f>VLOOKUP(Yards[[#This Row],[DEVELOPMENT]],Data[],8,FALSE)</f>
        <v>Zone 3</v>
      </c>
      <c r="F182" s="51" t="str">
        <f>VLOOKUP(Yards[[#This Row],[DEVELOPMENT]],all[[DEVELOPMENT]:[MRST Ext. Comp. Priority]],6,FALSE)</f>
        <v>None</v>
      </c>
      <c r="G182" s="51">
        <f>VLOOKUP(Yards[[#This Row],[DEVELOPMENT]],all[[DEVELOPMENT]:[MRST Ext. Comp. Priority]],13,FALSE)</f>
        <v>2</v>
      </c>
      <c r="H182" s="50">
        <f>IF(VLOOKUP(Yards[[#This Row],[DEVELOPMENT]],Data[],9,FALSE)=0,5,VLOOKUP(Yards[[#This Row],[DEVELOPMENT]],Data[],9,FALSE))</f>
        <v>4</v>
      </c>
      <c r="I182" s="51">
        <f>VLOOKUP(Yards[[#This Row],[DEVELOPMENT]],Data[],33,FALSE)</f>
        <v>0</v>
      </c>
      <c r="J182" s="51">
        <f>VLOOKUP(Yards[[#This Row],[DEVELOPMENT]],Data[],28,FALSE)</f>
        <v>0</v>
      </c>
      <c r="K182" s="51"/>
      <c r="L182" s="50">
        <v>1</v>
      </c>
      <c r="M182" s="51" t="str">
        <f ca="1">IFERROR(VLOOKUP(Yards[[#This Row],[DEVELOPMENT]],Data[],4,FALSE),"")</f>
        <v/>
      </c>
      <c r="N182" s="51" t="str">
        <f ca="1">IF(Yards[[#This Row],[RAD/PACT]]="","",IF(OR(Yards[[#This Row],[RAD/PACT]]="2022-2025",Yards[[#This Row],[RAD/PACT]]=2019,Yards[[#This Row],[RAD/PACT]]="2020-2021"),"Yes",""))</f>
        <v/>
      </c>
      <c r="O182" s="51" t="str">
        <f ca="1">IFERROR(VLOOKUP(Yards[[#This Row],[DEVELOPMENT]],ExtComp[],8,FALSE),"")</f>
        <v/>
      </c>
      <c r="P182" s="51"/>
      <c r="Q182" s="51"/>
      <c r="R182" s="51" t="str">
        <f>IF(ISBLANK(Yards[[#This Row],[DSGN CALENDAR YEAR]]),"",Yards[[#This Row],[DSGN CALENDAR YEAR]]+1)</f>
        <v/>
      </c>
      <c r="S182" s="51" t="str">
        <f>IF(ISBLANK(Yards[[#This Row],[DSGN FISCAL YEAR]]),"",Yards[[#This Row],[DSGN FISCAL YEAR]]+1)</f>
        <v/>
      </c>
      <c r="T182" s="51"/>
      <c r="U182" s="128">
        <f ca="1">Yards[[#This Row],[Estimate]]*0.1</f>
        <v>218713.03623400006</v>
      </c>
      <c r="V182" s="47">
        <f ca="1">Yards[[#This Row],[Estimate]]-Yards[[#This Row],[Design Est.]]</f>
        <v>1968417.3261060005</v>
      </c>
      <c r="W182" s="85">
        <f ca="1">(Yards[[#This Row],['# yards]]*INDEX(UnitCosts[],MATCH(Yards[[#This Row],[WORK TYPE]],UnitCosts[Work Type],0),2))*(1+((Yards[[#This Row],[est. CONS Year]]-YEAR(TODAY()))*$W$3))</f>
        <v>2187130.3623400005</v>
      </c>
      <c r="X182" s="142">
        <f ca="1">IF(ISNUMBER(SEARCH("LLC",Yards[[#This Row],[PROGRAM]])),0,IF(Yards[[#This Row],[RAD/PACT by 2025]]="yes",0,1))</f>
        <v>1</v>
      </c>
      <c r="Y182" s="1"/>
      <c r="Z182" s="1"/>
      <c r="AA182" s="51">
        <f ca="1">COUNTIF($X$5:Yards[[#This Row],['# yards]],"&gt;0")-10</f>
        <v>109</v>
      </c>
      <c r="AB182" s="1">
        <f ca="1">IF(ISBLANK(Yards[[#This Row],[DSGN CALENDAR YEAR]]),ROUNDDOWN(Yards[[#This Row],[Count]]/24,0)+$AB$1,Yards[[#This Row],[DSGN CALENDAR YEAR]])</f>
        <v>2025</v>
      </c>
      <c r="AC182" s="16">
        <f ca="1">Yards[[#This Row],[est. DSGN Year]]+1</f>
        <v>2026</v>
      </c>
    </row>
    <row r="183" spans="1:29">
      <c r="A183" s="13" t="s">
        <v>90</v>
      </c>
      <c r="B183" s="51" t="str">
        <f>VLOOKUP(Yards[[#This Row],[DEVELOPMENT]],Data[],2,FALSE)</f>
        <v>MANHATTAN</v>
      </c>
      <c r="C183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83" s="51" t="str">
        <f>VLOOKUP(Yards[[#This Row],[DEVELOPMENT]],Data[],52,FALSE)</f>
        <v>FEDERAL</v>
      </c>
      <c r="E183" s="50" t="str">
        <f>VLOOKUP(Yards[[#This Row],[DEVELOPMENT]],Data[],8,FALSE)</f>
        <v>Zone 2</v>
      </c>
      <c r="F183" s="51" t="str">
        <f>VLOOKUP(Yards[[#This Row],[DEVELOPMENT]],all[[DEVELOPMENT]:[MRST Ext. Comp. Priority]],6,FALSE)</f>
        <v>None</v>
      </c>
      <c r="G183" s="51">
        <f>VLOOKUP(Yards[[#This Row],[DEVELOPMENT]],all[[DEVELOPMENT]:[MRST Ext. Comp. Priority]],13,FALSE)</f>
        <v>2</v>
      </c>
      <c r="H183" s="50">
        <f>IF(VLOOKUP(Yards[[#This Row],[DEVELOPMENT]],Data[],9,FALSE)=0,5,VLOOKUP(Yards[[#This Row],[DEVELOPMENT]],Data[],9,FALSE))</f>
        <v>4</v>
      </c>
      <c r="I183" s="51">
        <f>VLOOKUP(Yards[[#This Row],[DEVELOPMENT]],Data[],33,FALSE)</f>
        <v>0</v>
      </c>
      <c r="J183" s="51">
        <f>VLOOKUP(Yards[[#This Row],[DEVELOPMENT]],Data[],28,FALSE)</f>
        <v>0</v>
      </c>
      <c r="K183" s="51"/>
      <c r="L183" s="50"/>
      <c r="M183" s="51" t="str">
        <f ca="1">IFERROR(VLOOKUP(Yards[[#This Row],[DEVELOPMENT]],Data[],4,FALSE),"")</f>
        <v>2026+</v>
      </c>
      <c r="N183" s="51" t="str">
        <f ca="1">IF(Yards[[#This Row],[RAD/PACT]]="","",IF(OR(Yards[[#This Row],[RAD/PACT]]="2022-2025",Yards[[#This Row],[RAD/PACT]]=2019,Yards[[#This Row],[RAD/PACT]]="2020-2021"),"Yes",""))</f>
        <v/>
      </c>
      <c r="O183" s="1" t="str">
        <f ca="1">IFERROR(VLOOKUP(Yards[[#This Row],[DEVELOPMENT]],ExtComp[],8,FALSE),"")</f>
        <v/>
      </c>
      <c r="P183" s="1"/>
      <c r="Q183" s="1"/>
      <c r="R183" s="1" t="str">
        <f>IF(ISBLANK(Yards[[#This Row],[DSGN CALENDAR YEAR]]),"",Yards[[#This Row],[DSGN CALENDAR YEAR]]+1)</f>
        <v/>
      </c>
      <c r="S183" s="51" t="str">
        <f>IF(ISBLANK(Yards[[#This Row],[DSGN FISCAL YEAR]]),"",Yards[[#This Row],[DSGN FISCAL YEAR]]+1)</f>
        <v/>
      </c>
      <c r="T183" s="1"/>
      <c r="U183" s="128">
        <f ca="1">Yards[[#This Row],[Estimate]]*0.1</f>
        <v>218713.03623400006</v>
      </c>
      <c r="V183" s="47">
        <f ca="1">Yards[[#This Row],[Estimate]]-Yards[[#This Row],[Design Est.]]</f>
        <v>1968417.3261060005</v>
      </c>
      <c r="W183" s="85">
        <f ca="1">(Yards[[#This Row],['# yards]]*INDEX(UnitCosts[],MATCH(Yards[[#This Row],[WORK TYPE]],UnitCosts[Work Type],0),2))*(1+((Yards[[#This Row],[est. CONS Year]]-YEAR(TODAY()))*$W$3))</f>
        <v>2187130.3623400005</v>
      </c>
      <c r="X183" s="142">
        <f ca="1">IF(ISNUMBER(SEARCH("LLC",Yards[[#This Row],[PROGRAM]])),0,IF(Yards[[#This Row],[RAD/PACT by 2025]]="yes",0,1))</f>
        <v>1</v>
      </c>
      <c r="Y183" s="1"/>
      <c r="Z183" s="1"/>
      <c r="AA183" s="51">
        <f ca="1">COUNTIF($X$5:Yards[[#This Row],['# yards]],"&gt;0")-10</f>
        <v>110</v>
      </c>
      <c r="AB183" s="1">
        <f ca="1">IF(ISBLANK(Yards[[#This Row],[DSGN CALENDAR YEAR]]),ROUNDDOWN(Yards[[#This Row],[Count]]/24,0)+$AB$1,Yards[[#This Row],[DSGN CALENDAR YEAR]])</f>
        <v>2025</v>
      </c>
      <c r="AC183" s="16">
        <f ca="1">Yards[[#This Row],[est. DSGN Year]]+1</f>
        <v>2026</v>
      </c>
    </row>
    <row r="184" spans="1:29">
      <c r="A184" s="13" t="s">
        <v>136</v>
      </c>
      <c r="B184" s="51" t="str">
        <f>VLOOKUP(Yards[[#This Row],[DEVELOPMENT]],Data[],2,FALSE)</f>
        <v>MANHATTAN</v>
      </c>
      <c r="C18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84" s="51" t="str">
        <f>VLOOKUP(Yards[[#This Row],[DEVELOPMENT]],Data[],52,FALSE)</f>
        <v>FEDERAL</v>
      </c>
      <c r="E184" s="50" t="str">
        <f>VLOOKUP(Yards[[#This Row],[DEVELOPMENT]],Data[],8,FALSE)</f>
        <v>Zone 2</v>
      </c>
      <c r="F184" s="51" t="str">
        <f>VLOOKUP(Yards[[#This Row],[DEVELOPMENT]],all[[DEVELOPMENT]:[MRST Ext. Comp. Priority]],6,FALSE)</f>
        <v>None</v>
      </c>
      <c r="G184" s="51">
        <f>VLOOKUP(Yards[[#This Row],[DEVELOPMENT]],all[[DEVELOPMENT]:[MRST Ext. Comp. Priority]],13,FALSE)</f>
        <v>2</v>
      </c>
      <c r="H184" s="50">
        <f>IF(VLOOKUP(Yards[[#This Row],[DEVELOPMENT]],Data[],9,FALSE)=0,5,VLOOKUP(Yards[[#This Row],[DEVELOPMENT]],Data[],9,FALSE))</f>
        <v>4</v>
      </c>
      <c r="I184" s="51">
        <f>VLOOKUP(Yards[[#This Row],[DEVELOPMENT]],Data[],33,FALSE)</f>
        <v>3</v>
      </c>
      <c r="J184" s="51">
        <f>VLOOKUP(Yards[[#This Row],[DEVELOPMENT]],Data[],28,FALSE)</f>
        <v>0</v>
      </c>
      <c r="K184" s="51"/>
      <c r="L184" s="50"/>
      <c r="M184" s="51" t="str">
        <f ca="1">IFERROR(VLOOKUP(Yards[[#This Row],[DEVELOPMENT]],Data[],4,FALSE),"")</f>
        <v>2026+</v>
      </c>
      <c r="N184" s="51" t="str">
        <f ca="1">IF(Yards[[#This Row],[RAD/PACT]]="","",IF(OR(Yards[[#This Row],[RAD/PACT]]="2022-2025",Yards[[#This Row],[RAD/PACT]]=2019,Yards[[#This Row],[RAD/PACT]]="2020-2021"),"Yes",""))</f>
        <v/>
      </c>
      <c r="O184" s="1">
        <f ca="1">IFERROR(VLOOKUP(Yards[[#This Row],[DEVELOPMENT]],ExtComp[],8,FALSE),"")</f>
        <v>2</v>
      </c>
      <c r="P184" s="1"/>
      <c r="Q184" s="1"/>
      <c r="R184" s="1" t="str">
        <f>IF(ISBLANK(Yards[[#This Row],[DSGN CALENDAR YEAR]]),"",Yards[[#This Row],[DSGN CALENDAR YEAR]]+1)</f>
        <v/>
      </c>
      <c r="S184" s="51" t="str">
        <f>IF(ISBLANK(Yards[[#This Row],[DSGN FISCAL YEAR]]),"",Yards[[#This Row],[DSGN FISCAL YEAR]]+1)</f>
        <v/>
      </c>
      <c r="T184" s="1"/>
      <c r="U184" s="128">
        <f ca="1">Yards[[#This Row],[Estimate]]*0.1</f>
        <v>164833.92605570005</v>
      </c>
      <c r="V184" s="47">
        <f ca="1">Yards[[#This Row],[Estimate]]-Yards[[#This Row],[Design Est.]]</f>
        <v>1483505.3345013002</v>
      </c>
      <c r="W184" s="85">
        <f ca="1">(Yards[[#This Row],['# yards]]*INDEX(UnitCosts[],MATCH(Yards[[#This Row],[WORK TYPE]],UnitCosts[Work Type],0),2))*(1+((Yards[[#This Row],[est. CONS Year]]-YEAR(TODAY()))*$W$3))</f>
        <v>1648339.2605570003</v>
      </c>
      <c r="X184" s="142">
        <f ca="1">IF(ISNUMBER(SEARCH("LLC",Yards[[#This Row],[PROGRAM]])),0,IF(Yards[[#This Row],[RAD/PACT by 2025]]="yes",0,1))</f>
        <v>1</v>
      </c>
      <c r="Y184" s="1"/>
      <c r="Z184" s="1"/>
      <c r="AA184" s="51">
        <f ca="1">COUNTIF($X$5:Yards[[#This Row],['# yards]],"&gt;0")-10</f>
        <v>111</v>
      </c>
      <c r="AB184" s="1">
        <f ca="1">IF(ISBLANK(Yards[[#This Row],[DSGN CALENDAR YEAR]]),ROUNDDOWN(Yards[[#This Row],[Count]]/24,0)+$AB$1,Yards[[#This Row],[DSGN CALENDAR YEAR]])</f>
        <v>2025</v>
      </c>
      <c r="AC184" s="16">
        <f ca="1">Yards[[#This Row],[est. DSGN Year]]+1</f>
        <v>2026</v>
      </c>
    </row>
    <row r="185" spans="1:29" hidden="1">
      <c r="A185" s="13" t="s">
        <v>69</v>
      </c>
      <c r="B185" s="51" t="str">
        <f>VLOOKUP(Yards[[#This Row],[DEVELOPMENT]],Data[],2,FALSE)</f>
        <v>MANHATTAN</v>
      </c>
      <c r="C185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85" s="51" t="str">
        <f>VLOOKUP(Yards[[#This Row],[DEVELOPMENT]],Data[],52,FALSE)</f>
        <v>FEDERAL</v>
      </c>
      <c r="E185" s="50" t="str">
        <f>VLOOKUP(Yards[[#This Row],[DEVELOPMENT]],Data[],8,FALSE)</f>
        <v>Zone 3</v>
      </c>
      <c r="F185" s="51" t="str">
        <f>VLOOKUP(Yards[[#This Row],[DEVELOPMENT]],all[[DEVELOPMENT]:[MRST Ext. Comp. Priority]],6,FALSE)</f>
        <v>None</v>
      </c>
      <c r="G185" s="51">
        <f>VLOOKUP(Yards[[#This Row],[DEVELOPMENT]],all[[DEVELOPMENT]:[MRST Ext. Comp. Priority]],13,FALSE)</f>
        <v>2</v>
      </c>
      <c r="H185" s="50">
        <f>IF(VLOOKUP(Yards[[#This Row],[DEVELOPMENT]],Data[],9,FALSE)=0,5,VLOOKUP(Yards[[#This Row],[DEVELOPMENT]],Data[],9,FALSE))</f>
        <v>4</v>
      </c>
      <c r="I185" s="51">
        <f>VLOOKUP(Yards[[#This Row],[DEVELOPMENT]],Data[],33,FALSE)</f>
        <v>0</v>
      </c>
      <c r="J185" s="51">
        <f>VLOOKUP(Yards[[#This Row],[DEVELOPMENT]],Data[],28,FALSE)</f>
        <v>0</v>
      </c>
      <c r="K185" s="51"/>
      <c r="L185" s="50"/>
      <c r="M185" s="51" t="str">
        <f ca="1">IFERROR(VLOOKUP(Yards[[#This Row],[DEVELOPMENT]],Data[],4,FALSE),"")</f>
        <v>2020-2021</v>
      </c>
      <c r="N185" s="51" t="str">
        <f ca="1">IF(Yards[[#This Row],[RAD/PACT]]="","",IF(OR(Yards[[#This Row],[RAD/PACT]]="2022-2025",Yards[[#This Row],[RAD/PACT]]=2019,Yards[[#This Row],[RAD/PACT]]="2020-2021"),"Yes",""))</f>
        <v>Yes</v>
      </c>
      <c r="O185" s="51" t="str">
        <f ca="1">IFERROR(VLOOKUP(Yards[[#This Row],[DEVELOPMENT]],ExtComp[],8,FALSE),"")</f>
        <v/>
      </c>
      <c r="P185" s="51"/>
      <c r="Q185" s="51"/>
      <c r="R185" s="51" t="str">
        <f>IF(ISBLANK(Yards[[#This Row],[DSGN CALENDAR YEAR]]),"",Yards[[#This Row],[DSGN CALENDAR YEAR]]+1)</f>
        <v/>
      </c>
      <c r="S185" s="51" t="str">
        <f>IF(ISBLANK(Yards[[#This Row],[DSGN FISCAL YEAR]]),"",Yards[[#This Row],[DSGN FISCAL YEAR]]+1)</f>
        <v/>
      </c>
      <c r="T185" s="51"/>
      <c r="U185" s="128">
        <f ca="1">Yards[[#This Row],[Estimate]]*0.1</f>
        <v>0</v>
      </c>
      <c r="V185" s="47">
        <f ca="1">Yards[[#This Row],[Estimate]]-Yards[[#This Row],[Design Est.]]</f>
        <v>0</v>
      </c>
      <c r="W185" s="85">
        <f ca="1">(Yards[[#This Row],['# yards]]*INDEX(UnitCosts[],MATCH(Yards[[#This Row],[WORK TYPE]],UnitCosts[Work Type],0),2))*(1+((Yards[[#This Row],[est. CONS Year]]-YEAR(TODAY()))*$W$3))</f>
        <v>0</v>
      </c>
      <c r="X185" s="142">
        <f ca="1">IF(ISNUMBER(SEARCH("LLC",Yards[[#This Row],[PROGRAM]])),0,IF(Yards[[#This Row],[RAD/PACT by 2025]]="yes",0,1))</f>
        <v>0</v>
      </c>
      <c r="Y185" s="1"/>
      <c r="Z185" s="1"/>
      <c r="AA185" s="51">
        <f ca="1">COUNTIF($X$5:Yards[[#This Row],['# yards]],"&gt;0")-10</f>
        <v>111</v>
      </c>
      <c r="AB185" s="1">
        <f ca="1">IF(ISBLANK(Yards[[#This Row],[DSGN CALENDAR YEAR]]),ROUNDDOWN(Yards[[#This Row],[Count]]/24,0)+$AB$1,Yards[[#This Row],[DSGN CALENDAR YEAR]])</f>
        <v>2025</v>
      </c>
      <c r="AC185" s="16">
        <f ca="1">Yards[[#This Row],[est. DSGN Year]]+1</f>
        <v>2026</v>
      </c>
    </row>
    <row r="186" spans="1:29" hidden="1">
      <c r="A186" s="13" t="s">
        <v>298</v>
      </c>
      <c r="B186" s="51" t="str">
        <f>VLOOKUP(Yards[[#This Row],[DEVELOPMENT]],Data[],2,FALSE)</f>
        <v>BROOKLYN</v>
      </c>
      <c r="C18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86" s="51" t="str">
        <f>VLOOKUP(Yards[[#This Row],[DEVELOPMENT]],Data[],52,FALSE)</f>
        <v>FEDERAL</v>
      </c>
      <c r="E186" s="50" t="str">
        <f>VLOOKUP(Yards[[#This Row],[DEVELOPMENT]],Data[],8,FALSE)</f>
        <v>Zone 1</v>
      </c>
      <c r="F186" s="51" t="str">
        <f>VLOOKUP(Yards[[#This Row],[DEVELOPMENT]],all[[DEVELOPMENT]:[MRST Ext. Comp. Priority]],6,FALSE)</f>
        <v>None</v>
      </c>
      <c r="G186" s="51">
        <f>VLOOKUP(Yards[[#This Row],[DEVELOPMENT]],all[[DEVELOPMENT]:[MRST Ext. Comp. Priority]],13,FALSE)</f>
        <v>2</v>
      </c>
      <c r="H186" s="50">
        <f>IF(VLOOKUP(Yards[[#This Row],[DEVELOPMENT]],Data[],9,FALSE)=0,5,VLOOKUP(Yards[[#This Row],[DEVELOPMENT]],Data[],9,FALSE))</f>
        <v>4</v>
      </c>
      <c r="I186" s="51">
        <f>VLOOKUP(Yards[[#This Row],[DEVELOPMENT]],Data[],33,FALSE)</f>
        <v>0</v>
      </c>
      <c r="J186" s="51">
        <f>VLOOKUP(Yards[[#This Row],[DEVELOPMENT]],Data[],28,FALSE)</f>
        <v>0</v>
      </c>
      <c r="K186" s="51"/>
      <c r="L186" s="50"/>
      <c r="M186" s="51">
        <f ca="1">IFERROR(VLOOKUP(Yards[[#This Row],[DEVELOPMENT]],Data[],4,FALSE),"")</f>
        <v>2019</v>
      </c>
      <c r="N186" s="51" t="str">
        <f ca="1">IF(Yards[[#This Row],[RAD/PACT]]="","",IF(OR(Yards[[#This Row],[RAD/PACT]]="2022-2025",Yards[[#This Row],[RAD/PACT]]=2019,Yards[[#This Row],[RAD/PACT]]="2020-2021"),"Yes",""))</f>
        <v>Yes</v>
      </c>
      <c r="O186" s="51" t="str">
        <f ca="1">IFERROR(VLOOKUP(Yards[[#This Row],[DEVELOPMENT]],ExtComp[],8,FALSE),"")</f>
        <v/>
      </c>
      <c r="P186" s="51"/>
      <c r="Q186" s="51"/>
      <c r="R186" s="51" t="str">
        <f>IF(ISBLANK(Yards[[#This Row],[DSGN CALENDAR YEAR]]),"",Yards[[#This Row],[DSGN CALENDAR YEAR]]+1)</f>
        <v/>
      </c>
      <c r="S186" s="51" t="str">
        <f>IF(ISBLANK(Yards[[#This Row],[DSGN FISCAL YEAR]]),"",Yards[[#This Row],[DSGN FISCAL YEAR]]+1)</f>
        <v/>
      </c>
      <c r="T186" s="51"/>
      <c r="U186" s="128">
        <f ca="1">Yards[[#This Row],[Estimate]]*0.1</f>
        <v>0</v>
      </c>
      <c r="V186" s="47">
        <f ca="1">Yards[[#This Row],[Estimate]]-Yards[[#This Row],[Design Est.]]</f>
        <v>0</v>
      </c>
      <c r="W186" s="85">
        <f ca="1">(Yards[[#This Row],['# yards]]*INDEX(UnitCosts[],MATCH(Yards[[#This Row],[WORK TYPE]],UnitCosts[Work Type],0),2))*(1+((Yards[[#This Row],[est. CONS Year]]-YEAR(TODAY()))*$W$3))</f>
        <v>0</v>
      </c>
      <c r="X186" s="142">
        <f ca="1">IF(ISNUMBER(SEARCH("LLC",Yards[[#This Row],[PROGRAM]])),0,IF(Yards[[#This Row],[RAD/PACT by 2025]]="yes",0,1))</f>
        <v>0</v>
      </c>
      <c r="Y186" s="1"/>
      <c r="Z186" s="1"/>
      <c r="AA186" s="51">
        <f ca="1">COUNTIF($X$5:Yards[[#This Row],['# yards]],"&gt;0")-10</f>
        <v>111</v>
      </c>
      <c r="AB186" s="1">
        <f ca="1">IF(ISBLANK(Yards[[#This Row],[DSGN CALENDAR YEAR]]),ROUNDDOWN(Yards[[#This Row],[Count]]/24,0)+$AB$1,Yards[[#This Row],[DSGN CALENDAR YEAR]])</f>
        <v>2025</v>
      </c>
      <c r="AC186" s="16">
        <f ca="1">Yards[[#This Row],[est. DSGN Year]]+1</f>
        <v>2026</v>
      </c>
    </row>
    <row r="187" spans="1:29" hidden="1">
      <c r="A187" s="13" t="s">
        <v>34</v>
      </c>
      <c r="B187" s="51" t="str">
        <f>VLOOKUP(Yards[[#This Row],[DEVELOPMENT]],Data[],2,FALSE)</f>
        <v>BRONX</v>
      </c>
      <c r="C187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87" s="51" t="str">
        <f>VLOOKUP(Yards[[#This Row],[DEVELOPMENT]],Data[],52,FALSE)</f>
        <v>FEDERAL</v>
      </c>
      <c r="E187" s="50" t="str">
        <f>VLOOKUP(Yards[[#This Row],[DEVELOPMENT]],Data[],8,FALSE)</f>
        <v>Zone 1</v>
      </c>
      <c r="F187" s="51" t="str">
        <f>VLOOKUP(Yards[[#This Row],[DEVELOPMENT]],all[[DEVELOPMENT]:[MRST Ext. Comp. Priority]],6,FALSE)</f>
        <v>None</v>
      </c>
      <c r="G187" s="51">
        <f>VLOOKUP(Yards[[#This Row],[DEVELOPMENT]],all[[DEVELOPMENT]:[MRST Ext. Comp. Priority]],13,FALSE)</f>
        <v>2</v>
      </c>
      <c r="H187" s="50">
        <f>IF(VLOOKUP(Yards[[#This Row],[DEVELOPMENT]],Data[],9,FALSE)=0,5,VLOOKUP(Yards[[#This Row],[DEVELOPMENT]],Data[],9,FALSE))</f>
        <v>4</v>
      </c>
      <c r="I187" s="51">
        <f>VLOOKUP(Yards[[#This Row],[DEVELOPMENT]],Data[],33,FALSE)</f>
        <v>0</v>
      </c>
      <c r="J187" s="51">
        <f>VLOOKUP(Yards[[#This Row],[DEVELOPMENT]],Data[],28,FALSE)</f>
        <v>0</v>
      </c>
      <c r="K187" s="51"/>
      <c r="L187" s="50"/>
      <c r="M187" s="51" t="str">
        <f ca="1">IFERROR(VLOOKUP(Yards[[#This Row],[DEVELOPMENT]],Data[],4,FALSE),"")</f>
        <v>2022-2025</v>
      </c>
      <c r="N187" s="51" t="str">
        <f ca="1">IF(Yards[[#This Row],[RAD/PACT]]="","",IF(OR(Yards[[#This Row],[RAD/PACT]]="2022-2025",Yards[[#This Row],[RAD/PACT]]=2019,Yards[[#This Row],[RAD/PACT]]="2020-2021"),"Yes",""))</f>
        <v>Yes</v>
      </c>
      <c r="O187" s="51" t="str">
        <f ca="1">IFERROR(VLOOKUP(Yards[[#This Row],[DEVELOPMENT]],ExtComp[],8,FALSE),"")</f>
        <v/>
      </c>
      <c r="P187" s="51"/>
      <c r="Q187" s="51"/>
      <c r="R187" s="51" t="str">
        <f>IF(ISBLANK(Yards[[#This Row],[DSGN CALENDAR YEAR]]),"",Yards[[#This Row],[DSGN CALENDAR YEAR]]+1)</f>
        <v/>
      </c>
      <c r="S187" s="51" t="str">
        <f>IF(ISBLANK(Yards[[#This Row],[DSGN FISCAL YEAR]]),"",Yards[[#This Row],[DSGN FISCAL YEAR]]+1)</f>
        <v/>
      </c>
      <c r="T187" s="51"/>
      <c r="U187" s="128">
        <f ca="1">Yards[[#This Row],[Estimate]]*0.1</f>
        <v>0</v>
      </c>
      <c r="V187" s="47">
        <f ca="1">Yards[[#This Row],[Estimate]]-Yards[[#This Row],[Design Est.]]</f>
        <v>0</v>
      </c>
      <c r="W187" s="85">
        <f ca="1">(Yards[[#This Row],['# yards]]*INDEX(UnitCosts[],MATCH(Yards[[#This Row],[WORK TYPE]],UnitCosts[Work Type],0),2))*(1+((Yards[[#This Row],[est. CONS Year]]-YEAR(TODAY()))*$W$3))</f>
        <v>0</v>
      </c>
      <c r="X187" s="142">
        <f ca="1">IF(ISNUMBER(SEARCH("LLC",Yards[[#This Row],[PROGRAM]])),0,IF(Yards[[#This Row],[RAD/PACT by 2025]]="yes",0,1))</f>
        <v>0</v>
      </c>
      <c r="Y187" s="1"/>
      <c r="Z187" s="1"/>
      <c r="AA187" s="51">
        <f ca="1">COUNTIF($X$5:Yards[[#This Row],['# yards]],"&gt;0")-10</f>
        <v>111</v>
      </c>
      <c r="AB187" s="1">
        <f ca="1">IF(ISBLANK(Yards[[#This Row],[DSGN CALENDAR YEAR]]),ROUNDDOWN(Yards[[#This Row],[Count]]/24,0)+$AB$1,Yards[[#This Row],[DSGN CALENDAR YEAR]])</f>
        <v>2025</v>
      </c>
      <c r="AC187" s="16">
        <f ca="1">Yards[[#This Row],[est. DSGN Year]]+1</f>
        <v>2026</v>
      </c>
    </row>
    <row r="188" spans="1:29" hidden="1">
      <c r="A188" s="13" t="s">
        <v>144</v>
      </c>
      <c r="B188" s="51" t="str">
        <f>VLOOKUP(Yards[[#This Row],[DEVELOPMENT]],Data[],2,FALSE)</f>
        <v>BRONX</v>
      </c>
      <c r="C188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88" s="51" t="str">
        <f>VLOOKUP(Yards[[#This Row],[DEVELOPMENT]],Data[],52,FALSE)</f>
        <v>FEDERAL</v>
      </c>
      <c r="E188" s="50" t="str">
        <f>VLOOKUP(Yards[[#This Row],[DEVELOPMENT]],Data[],8,FALSE)</f>
        <v>Zone 1</v>
      </c>
      <c r="F188" s="51" t="str">
        <f>VLOOKUP(Yards[[#This Row],[DEVELOPMENT]],all[[DEVELOPMENT]:[MRST Ext. Comp. Priority]],6,FALSE)</f>
        <v>None</v>
      </c>
      <c r="G188" s="51">
        <f>VLOOKUP(Yards[[#This Row],[DEVELOPMENT]],all[[DEVELOPMENT]:[MRST Ext. Comp. Priority]],13,FALSE)</f>
        <v>2</v>
      </c>
      <c r="H188" s="50">
        <f>IF(VLOOKUP(Yards[[#This Row],[DEVELOPMENT]],Data[],9,FALSE)=0,5,VLOOKUP(Yards[[#This Row],[DEVELOPMENT]],Data[],9,FALSE))</f>
        <v>4</v>
      </c>
      <c r="I188" s="51">
        <f>VLOOKUP(Yards[[#This Row],[DEVELOPMENT]],Data[],33,FALSE)</f>
        <v>0</v>
      </c>
      <c r="J188" s="51">
        <f>VLOOKUP(Yards[[#This Row],[DEVELOPMENT]],Data[],28,FALSE)</f>
        <v>0</v>
      </c>
      <c r="K188" s="51"/>
      <c r="L188" s="50"/>
      <c r="M188" s="51" t="str">
        <f ca="1">IFERROR(VLOOKUP(Yards[[#This Row],[DEVELOPMENT]],Data[],4,FALSE),"")</f>
        <v>2022-2025</v>
      </c>
      <c r="N188" s="51" t="str">
        <f ca="1">IF(Yards[[#This Row],[RAD/PACT]]="","",IF(OR(Yards[[#This Row],[RAD/PACT]]="2022-2025",Yards[[#This Row],[RAD/PACT]]=2019,Yards[[#This Row],[RAD/PACT]]="2020-2021"),"Yes",""))</f>
        <v>Yes</v>
      </c>
      <c r="O188" s="51" t="str">
        <f ca="1">IFERROR(VLOOKUP(Yards[[#This Row],[DEVELOPMENT]],ExtComp[],8,FALSE),"")</f>
        <v/>
      </c>
      <c r="P188" s="51"/>
      <c r="Q188" s="51"/>
      <c r="R188" s="51" t="str">
        <f>IF(ISBLANK(Yards[[#This Row],[DSGN CALENDAR YEAR]]),"",Yards[[#This Row],[DSGN CALENDAR YEAR]]+1)</f>
        <v/>
      </c>
      <c r="S188" s="51" t="str">
        <f>IF(ISBLANK(Yards[[#This Row],[DSGN FISCAL YEAR]]),"",Yards[[#This Row],[DSGN FISCAL YEAR]]+1)</f>
        <v/>
      </c>
      <c r="T188" s="51"/>
      <c r="U188" s="128">
        <f ca="1">Yards[[#This Row],[Estimate]]*0.1</f>
        <v>0</v>
      </c>
      <c r="V188" s="47">
        <f ca="1">Yards[[#This Row],[Estimate]]-Yards[[#This Row],[Design Est.]]</f>
        <v>0</v>
      </c>
      <c r="W188" s="85">
        <f ca="1">(Yards[[#This Row],['# yards]]*INDEX(UnitCosts[],MATCH(Yards[[#This Row],[WORK TYPE]],UnitCosts[Work Type],0),2))*(1+((Yards[[#This Row],[est. CONS Year]]-YEAR(TODAY()))*$W$3))</f>
        <v>0</v>
      </c>
      <c r="X188" s="142">
        <f ca="1">IF(ISNUMBER(SEARCH("LLC",Yards[[#This Row],[PROGRAM]])),0,IF(Yards[[#This Row],[RAD/PACT by 2025]]="yes",0,1))</f>
        <v>0</v>
      </c>
      <c r="Y188" s="1"/>
      <c r="Z188" s="1"/>
      <c r="AA188" s="51">
        <f ca="1">COUNTIF($X$5:Yards[[#This Row],['# yards]],"&gt;0")-10</f>
        <v>111</v>
      </c>
      <c r="AB188" s="1">
        <f ca="1">IF(ISBLANK(Yards[[#This Row],[DSGN CALENDAR YEAR]]),ROUNDDOWN(Yards[[#This Row],[Count]]/24,0)+$AB$1,Yards[[#This Row],[DSGN CALENDAR YEAR]])</f>
        <v>2025</v>
      </c>
      <c r="AC188" s="16">
        <f ca="1">Yards[[#This Row],[est. DSGN Year]]+1</f>
        <v>2026</v>
      </c>
    </row>
    <row r="189" spans="1:29" hidden="1">
      <c r="A189" s="13" t="s">
        <v>88</v>
      </c>
      <c r="B189" s="51" t="str">
        <f>VLOOKUP(Yards[[#This Row],[DEVELOPMENT]],Data[],2,FALSE)</f>
        <v>MANHATTAN</v>
      </c>
      <c r="C189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89" s="51" t="str">
        <f>VLOOKUP(Yards[[#This Row],[DEVELOPMENT]],Data[],52,FALSE)</f>
        <v>FEDERAL</v>
      </c>
      <c r="E189" s="50" t="str">
        <f>VLOOKUP(Yards[[#This Row],[DEVELOPMENT]],Data[],8,FALSE)</f>
        <v>Zone 3</v>
      </c>
      <c r="F189" s="51" t="str">
        <f>VLOOKUP(Yards[[#This Row],[DEVELOPMENT]],all[[DEVELOPMENT]:[MRST Ext. Comp. Priority]],6,FALSE)</f>
        <v>None</v>
      </c>
      <c r="G189" s="51">
        <f>VLOOKUP(Yards[[#This Row],[DEVELOPMENT]],all[[DEVELOPMENT]:[MRST Ext. Comp. Priority]],13,FALSE)</f>
        <v>2</v>
      </c>
      <c r="H189" s="50">
        <f>IF(VLOOKUP(Yards[[#This Row],[DEVELOPMENT]],Data[],9,FALSE)=0,5,VLOOKUP(Yards[[#This Row],[DEVELOPMENT]],Data[],9,FALSE))</f>
        <v>4</v>
      </c>
      <c r="I189" s="51">
        <f>VLOOKUP(Yards[[#This Row],[DEVELOPMENT]],Data[],33,FALSE)</f>
        <v>0</v>
      </c>
      <c r="J189" s="51">
        <f>VLOOKUP(Yards[[#This Row],[DEVELOPMENT]],Data[],28,FALSE)</f>
        <v>0</v>
      </c>
      <c r="K189" s="51"/>
      <c r="L189" s="50"/>
      <c r="M189" s="51" t="str">
        <f ca="1">IFERROR(VLOOKUP(Yards[[#This Row],[DEVELOPMENT]],Data[],4,FALSE),"")</f>
        <v>2020-2021</v>
      </c>
      <c r="N189" s="51" t="str">
        <f ca="1">IF(Yards[[#This Row],[RAD/PACT]]="","",IF(OR(Yards[[#This Row],[RAD/PACT]]="2022-2025",Yards[[#This Row],[RAD/PACT]]=2019,Yards[[#This Row],[RAD/PACT]]="2020-2021"),"Yes",""))</f>
        <v>Yes</v>
      </c>
      <c r="O189" s="51" t="str">
        <f ca="1">IFERROR(VLOOKUP(Yards[[#This Row],[DEVELOPMENT]],ExtComp[],8,FALSE),"")</f>
        <v/>
      </c>
      <c r="P189" s="51"/>
      <c r="Q189" s="51"/>
      <c r="R189" s="51" t="str">
        <f>IF(ISBLANK(Yards[[#This Row],[DSGN CALENDAR YEAR]]),"",Yards[[#This Row],[DSGN CALENDAR YEAR]]+1)</f>
        <v/>
      </c>
      <c r="S189" s="51" t="str">
        <f>IF(ISBLANK(Yards[[#This Row],[DSGN FISCAL YEAR]]),"",Yards[[#This Row],[DSGN FISCAL YEAR]]+1)</f>
        <v/>
      </c>
      <c r="T189" s="51"/>
      <c r="U189" s="128">
        <f ca="1">Yards[[#This Row],[Estimate]]*0.1</f>
        <v>0</v>
      </c>
      <c r="V189" s="47">
        <f ca="1">Yards[[#This Row],[Estimate]]-Yards[[#This Row],[Design Est.]]</f>
        <v>0</v>
      </c>
      <c r="W189" s="85">
        <f ca="1">(Yards[[#This Row],['# yards]]*INDEX(UnitCosts[],MATCH(Yards[[#This Row],[WORK TYPE]],UnitCosts[Work Type],0),2))*(1+((Yards[[#This Row],[est. CONS Year]]-YEAR(TODAY()))*$W$3))</f>
        <v>0</v>
      </c>
      <c r="X189" s="142">
        <f ca="1">IF(ISNUMBER(SEARCH("LLC",Yards[[#This Row],[PROGRAM]])),0,IF(Yards[[#This Row],[RAD/PACT by 2025]]="yes",0,1))</f>
        <v>0</v>
      </c>
      <c r="Y189" s="1"/>
      <c r="Z189" s="1"/>
      <c r="AA189" s="51">
        <f ca="1">COUNTIF($X$5:Yards[[#This Row],['# yards]],"&gt;0")-10</f>
        <v>111</v>
      </c>
      <c r="AB189" s="1">
        <f ca="1">IF(ISBLANK(Yards[[#This Row],[DSGN CALENDAR YEAR]]),ROUNDDOWN(Yards[[#This Row],[Count]]/24,0)+$AB$1,Yards[[#This Row],[DSGN CALENDAR YEAR]])</f>
        <v>2025</v>
      </c>
      <c r="AC189" s="16">
        <f ca="1">Yards[[#This Row],[est. DSGN Year]]+1</f>
        <v>2026</v>
      </c>
    </row>
    <row r="190" spans="1:29" hidden="1">
      <c r="A190" s="13" t="s">
        <v>343</v>
      </c>
      <c r="B190" s="51" t="str">
        <f>VLOOKUP(Yards[[#This Row],[DEVELOPMENT]],Data[],2,FALSE)</f>
        <v>BROOKLYN</v>
      </c>
      <c r="C190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90" s="51" t="str">
        <f>VLOOKUP(Yards[[#This Row],[DEVELOPMENT]],Data[],52,FALSE)</f>
        <v>FEDERAL</v>
      </c>
      <c r="E190" s="50" t="str">
        <f>VLOOKUP(Yards[[#This Row],[DEVELOPMENT]],Data[],8,FALSE)</f>
        <v>Zone 1</v>
      </c>
      <c r="F190" s="51" t="str">
        <f>VLOOKUP(Yards[[#This Row],[DEVELOPMENT]],all[[DEVELOPMENT]:[MRST Ext. Comp. Priority]],6,FALSE)</f>
        <v>None</v>
      </c>
      <c r="G190" s="51">
        <f>VLOOKUP(Yards[[#This Row],[DEVELOPMENT]],all[[DEVELOPMENT]:[MRST Ext. Comp. Priority]],13,FALSE)</f>
        <v>2</v>
      </c>
      <c r="H190" s="50">
        <f>IF(VLOOKUP(Yards[[#This Row],[DEVELOPMENT]],Data[],9,FALSE)=0,5,VLOOKUP(Yards[[#This Row],[DEVELOPMENT]],Data[],9,FALSE))</f>
        <v>4</v>
      </c>
      <c r="I190" s="51">
        <f>VLOOKUP(Yards[[#This Row],[DEVELOPMENT]],Data[],33,FALSE)</f>
        <v>0</v>
      </c>
      <c r="J190" s="51">
        <f>VLOOKUP(Yards[[#This Row],[DEVELOPMENT]],Data[],28,FALSE)</f>
        <v>0</v>
      </c>
      <c r="K190" s="51"/>
      <c r="L190" s="50"/>
      <c r="M190" s="51">
        <f ca="1">IFERROR(VLOOKUP(Yards[[#This Row],[DEVELOPMENT]],Data[],4,FALSE),"")</f>
        <v>2019</v>
      </c>
      <c r="N190" s="51" t="str">
        <f ca="1">IF(Yards[[#This Row],[RAD/PACT]]="","",IF(OR(Yards[[#This Row],[RAD/PACT]]="2022-2025",Yards[[#This Row],[RAD/PACT]]=2019,Yards[[#This Row],[RAD/PACT]]="2020-2021"),"Yes",""))</f>
        <v>Yes</v>
      </c>
      <c r="O190" s="51" t="str">
        <f ca="1">IFERROR(VLOOKUP(Yards[[#This Row],[DEVELOPMENT]],ExtComp[],8,FALSE),"")</f>
        <v/>
      </c>
      <c r="P190" s="51"/>
      <c r="Q190" s="51"/>
      <c r="R190" s="51" t="str">
        <f>IF(ISBLANK(Yards[[#This Row],[DSGN CALENDAR YEAR]]),"",Yards[[#This Row],[DSGN CALENDAR YEAR]]+1)</f>
        <v/>
      </c>
      <c r="S190" s="51" t="str">
        <f>IF(ISBLANK(Yards[[#This Row],[DSGN FISCAL YEAR]]),"",Yards[[#This Row],[DSGN FISCAL YEAR]]+1)</f>
        <v/>
      </c>
      <c r="T190" s="51"/>
      <c r="U190" s="128">
        <f ca="1">Yards[[#This Row],[Estimate]]*0.1</f>
        <v>0</v>
      </c>
      <c r="V190" s="47">
        <f ca="1">Yards[[#This Row],[Estimate]]-Yards[[#This Row],[Design Est.]]</f>
        <v>0</v>
      </c>
      <c r="W190" s="85">
        <f ca="1">(Yards[[#This Row],['# yards]]*INDEX(UnitCosts[],MATCH(Yards[[#This Row],[WORK TYPE]],UnitCosts[Work Type],0),2))*(1+((Yards[[#This Row],[est. CONS Year]]-YEAR(TODAY()))*$W$3))</f>
        <v>0</v>
      </c>
      <c r="X190" s="142">
        <f ca="1">IF(ISNUMBER(SEARCH("LLC",Yards[[#This Row],[PROGRAM]])),0,IF(Yards[[#This Row],[RAD/PACT by 2025]]="yes",0,1))</f>
        <v>0</v>
      </c>
      <c r="Y190" s="1"/>
      <c r="Z190" s="1"/>
      <c r="AA190" s="51">
        <f ca="1">COUNTIF($X$5:Yards[[#This Row],['# yards]],"&gt;0")-10</f>
        <v>111</v>
      </c>
      <c r="AB190" s="1">
        <f ca="1">IF(ISBLANK(Yards[[#This Row],[DSGN CALENDAR YEAR]]),ROUNDDOWN(Yards[[#This Row],[Count]]/24,0)+$AB$1,Yards[[#This Row],[DSGN CALENDAR YEAR]])</f>
        <v>2025</v>
      </c>
      <c r="AC190" s="16">
        <f ca="1">Yards[[#This Row],[est. DSGN Year]]+1</f>
        <v>2026</v>
      </c>
    </row>
    <row r="191" spans="1:29" hidden="1">
      <c r="A191" s="13" t="s">
        <v>315</v>
      </c>
      <c r="B191" s="51" t="str">
        <f>VLOOKUP(Yards[[#This Row],[DEVELOPMENT]],Data[],2,FALSE)</f>
        <v>BROOKLYN</v>
      </c>
      <c r="C191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191" s="51" t="str">
        <f>VLOOKUP(Yards[[#This Row],[DEVELOPMENT]],Data[],52,FALSE)</f>
        <v>FEDERAL</v>
      </c>
      <c r="E191" s="50">
        <f>VLOOKUP(Yards[[#This Row],[DEVELOPMENT]],Data[],8,FALSE)</f>
        <v>0</v>
      </c>
      <c r="F191" s="51" t="str">
        <f>VLOOKUP(Yards[[#This Row],[DEVELOPMENT]],all[[DEVELOPMENT]:[MRST Ext. Comp. Priority]],6,FALSE)</f>
        <v>None</v>
      </c>
      <c r="G191" s="51">
        <f>VLOOKUP(Yards[[#This Row],[DEVELOPMENT]],all[[DEVELOPMENT]:[MRST Ext. Comp. Priority]],13,FALSE)</f>
        <v>2</v>
      </c>
      <c r="H191" s="50">
        <f>IF(VLOOKUP(Yards[[#This Row],[DEVELOPMENT]],Data[],9,FALSE)=0,5,VLOOKUP(Yards[[#This Row],[DEVELOPMENT]],Data[],9,FALSE))</f>
        <v>5</v>
      </c>
      <c r="I191" s="51">
        <f>VLOOKUP(Yards[[#This Row],[DEVELOPMENT]],Data[],33,FALSE)</f>
        <v>3</v>
      </c>
      <c r="J191" s="51">
        <f>VLOOKUP(Yards[[#This Row],[DEVELOPMENT]],Data[],28,FALSE)</f>
        <v>0</v>
      </c>
      <c r="K191" s="51"/>
      <c r="L191" s="50"/>
      <c r="M191" s="51" t="str">
        <f ca="1">IFERROR(VLOOKUP(Yards[[#This Row],[DEVELOPMENT]],Data[],4,FALSE),"")</f>
        <v>2022-2025</v>
      </c>
      <c r="N191" s="51" t="str">
        <f ca="1">IF(Yards[[#This Row],[RAD/PACT]]="","",IF(OR(Yards[[#This Row],[RAD/PACT]]="2022-2025",Yards[[#This Row],[RAD/PACT]]=2019,Yards[[#This Row],[RAD/PACT]]="2020-2021"),"Yes",""))</f>
        <v>Yes</v>
      </c>
      <c r="O191" s="51">
        <f ca="1">IFERROR(VLOOKUP(Yards[[#This Row],[DEVELOPMENT]],ExtComp[],8,FALSE),"")</f>
        <v>3</v>
      </c>
      <c r="P191" s="51"/>
      <c r="Q191" s="51"/>
      <c r="R191" s="51" t="str">
        <f>IF(ISBLANK(Yards[[#This Row],[DSGN CALENDAR YEAR]]),"",Yards[[#This Row],[DSGN CALENDAR YEAR]]+1)</f>
        <v/>
      </c>
      <c r="S191" s="51" t="str">
        <f>IF(ISBLANK(Yards[[#This Row],[DSGN FISCAL YEAR]]),"",Yards[[#This Row],[DSGN FISCAL YEAR]]+1)</f>
        <v/>
      </c>
      <c r="T191" s="51"/>
      <c r="U191" s="128">
        <f ca="1">Yards[[#This Row],[Estimate]]*0.1</f>
        <v>0</v>
      </c>
      <c r="V191" s="47">
        <f ca="1">Yards[[#This Row],[Estimate]]-Yards[[#This Row],[Design Est.]]</f>
        <v>0</v>
      </c>
      <c r="W191" s="85">
        <f ca="1">(Yards[[#This Row],['# yards]]*INDEX(UnitCosts[],MATCH(Yards[[#This Row],[WORK TYPE]],UnitCosts[Work Type],0),2))*(1+((Yards[[#This Row],[est. CONS Year]]-YEAR(TODAY()))*$W$3))</f>
        <v>0</v>
      </c>
      <c r="X191" s="142">
        <f ca="1">IF(ISNUMBER(SEARCH("LLC",Yards[[#This Row],[PROGRAM]])),0,IF(Yards[[#This Row],[RAD/PACT by 2025]]="yes",0,1))</f>
        <v>0</v>
      </c>
      <c r="Y191" s="1"/>
      <c r="Z191" s="1"/>
      <c r="AA191" s="51">
        <f ca="1">COUNTIF($X$5:Yards[[#This Row],['# yards]],"&gt;0")-10</f>
        <v>111</v>
      </c>
      <c r="AB191" s="1">
        <f ca="1">IF(ISBLANK(Yards[[#This Row],[DSGN CALENDAR YEAR]]),ROUNDDOWN(Yards[[#This Row],[Count]]/24,0)+$AB$1,Yards[[#This Row],[DSGN CALENDAR YEAR]])</f>
        <v>2025</v>
      </c>
      <c r="AC191" s="16">
        <f ca="1">Yards[[#This Row],[est. DSGN Year]]+1</f>
        <v>2026</v>
      </c>
    </row>
    <row r="192" spans="1:29">
      <c r="A192" s="13" t="s">
        <v>295</v>
      </c>
      <c r="B192" s="51" t="str">
        <f>VLOOKUP(Yards[[#This Row],[DEVELOPMENT]],Data[],2,FALSE)</f>
        <v>MANHATTAN</v>
      </c>
      <c r="C19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92" s="51" t="str">
        <f>VLOOKUP(Yards[[#This Row],[DEVELOPMENT]],Data[],52,FALSE)</f>
        <v>FEDERAL</v>
      </c>
      <c r="E192" s="50">
        <f>VLOOKUP(Yards[[#This Row],[DEVELOPMENT]],Data[],8,FALSE)</f>
        <v>0</v>
      </c>
      <c r="F192" s="51" t="str">
        <f>VLOOKUP(Yards[[#This Row],[DEVELOPMENT]],all[[DEVELOPMENT]:[MRST Ext. Comp. Priority]],6,FALSE)</f>
        <v>None</v>
      </c>
      <c r="G192" s="51">
        <f>VLOOKUP(Yards[[#This Row],[DEVELOPMENT]],all[[DEVELOPMENT]:[MRST Ext. Comp. Priority]],13,FALSE)</f>
        <v>2</v>
      </c>
      <c r="H192" s="50">
        <f>IF(VLOOKUP(Yards[[#This Row],[DEVELOPMENT]],Data[],9,FALSE)=0,5,VLOOKUP(Yards[[#This Row],[DEVELOPMENT]],Data[],9,FALSE))</f>
        <v>5</v>
      </c>
      <c r="I192" s="51">
        <f>VLOOKUP(Yards[[#This Row],[DEVELOPMENT]],Data[],33,FALSE)</f>
        <v>0</v>
      </c>
      <c r="J192" s="51">
        <f>VLOOKUP(Yards[[#This Row],[DEVELOPMENT]],Data[],28,FALSE)</f>
        <v>0</v>
      </c>
      <c r="K192" s="51"/>
      <c r="L192" s="50"/>
      <c r="M192" s="51" t="str">
        <f ca="1">IFERROR(VLOOKUP(Yards[[#This Row],[DEVELOPMENT]],Data[],4,FALSE),"")</f>
        <v/>
      </c>
      <c r="N192" s="51" t="str">
        <f ca="1">IF(Yards[[#This Row],[RAD/PACT]]="","",IF(OR(Yards[[#This Row],[RAD/PACT]]="2022-2025",Yards[[#This Row],[RAD/PACT]]=2019,Yards[[#This Row],[RAD/PACT]]="2020-2021"),"Yes",""))</f>
        <v/>
      </c>
      <c r="O192" s="51" t="str">
        <f ca="1">IFERROR(VLOOKUP(Yards[[#This Row],[DEVELOPMENT]],ExtComp[],8,FALSE),"")</f>
        <v/>
      </c>
      <c r="P192" s="51"/>
      <c r="Q192" s="51"/>
      <c r="R192" s="51" t="str">
        <f>IF(ISBLANK(Yards[[#This Row],[DSGN CALENDAR YEAR]]),"",Yards[[#This Row],[DSGN CALENDAR YEAR]]+1)</f>
        <v/>
      </c>
      <c r="S192" s="51" t="str">
        <f>IF(ISBLANK(Yards[[#This Row],[DSGN FISCAL YEAR]]),"",Yards[[#This Row],[DSGN FISCAL YEAR]]+1)</f>
        <v/>
      </c>
      <c r="T192" s="51"/>
      <c r="U192" s="128">
        <f ca="1">Yards[[#This Row],[Estimate]]*0.1</f>
        <v>218713.03623400006</v>
      </c>
      <c r="V192" s="47">
        <f ca="1">Yards[[#This Row],[Estimate]]-Yards[[#This Row],[Design Est.]]</f>
        <v>1968417.3261060005</v>
      </c>
      <c r="W192" s="85">
        <f ca="1">(Yards[[#This Row],['# yards]]*INDEX(UnitCosts[],MATCH(Yards[[#This Row],[WORK TYPE]],UnitCosts[Work Type],0),2))*(1+((Yards[[#This Row],[est. CONS Year]]-YEAR(TODAY()))*$W$3))</f>
        <v>2187130.3623400005</v>
      </c>
      <c r="X192" s="142">
        <f ca="1">IF(ISNUMBER(SEARCH("LLC",Yards[[#This Row],[PROGRAM]])),0,IF(Yards[[#This Row],[RAD/PACT by 2025]]="yes",0,1))</f>
        <v>1</v>
      </c>
      <c r="Y192" s="1"/>
      <c r="Z192" s="1"/>
      <c r="AA192" s="51">
        <f ca="1">COUNTIF($X$5:Yards[[#This Row],['# yards]],"&gt;0")-10</f>
        <v>112</v>
      </c>
      <c r="AB192" s="1">
        <f ca="1">IF(ISBLANK(Yards[[#This Row],[DSGN CALENDAR YEAR]]),ROUNDDOWN(Yards[[#This Row],[Count]]/24,0)+$AB$1,Yards[[#This Row],[DSGN CALENDAR YEAR]])</f>
        <v>2025</v>
      </c>
      <c r="AC192" s="16">
        <f ca="1">Yards[[#This Row],[est. DSGN Year]]+1</f>
        <v>2026</v>
      </c>
    </row>
    <row r="193" spans="1:29" hidden="1">
      <c r="A193" s="13" t="s">
        <v>300</v>
      </c>
      <c r="B193" s="51" t="str">
        <f>VLOOKUP(Yards[[#This Row],[DEVELOPMENT]],Data[],2,FALSE)</f>
        <v>QUEENS</v>
      </c>
      <c r="C19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193" s="51" t="str">
        <f>VLOOKUP(Yards[[#This Row],[DEVELOPMENT]],Data[],52,FALSE)</f>
        <v>FEDERAL</v>
      </c>
      <c r="E193" s="50">
        <f>VLOOKUP(Yards[[#This Row],[DEVELOPMENT]],Data[],8,FALSE)</f>
        <v>0</v>
      </c>
      <c r="F193" s="51" t="str">
        <f>VLOOKUP(Yards[[#This Row],[DEVELOPMENT]],all[[DEVELOPMENT]:[MRST Ext. Comp. Priority]],6,FALSE)</f>
        <v>None</v>
      </c>
      <c r="G193" s="51">
        <f>VLOOKUP(Yards[[#This Row],[DEVELOPMENT]],all[[DEVELOPMENT]:[MRST Ext. Comp. Priority]],13,FALSE)</f>
        <v>2</v>
      </c>
      <c r="H193" s="50">
        <f>IF(VLOOKUP(Yards[[#This Row],[DEVELOPMENT]],Data[],9,FALSE)=0,5,VLOOKUP(Yards[[#This Row],[DEVELOPMENT]],Data[],9,FALSE))</f>
        <v>5</v>
      </c>
      <c r="I193" s="51">
        <f>VLOOKUP(Yards[[#This Row],[DEVELOPMENT]],Data[],33,FALSE)</f>
        <v>2</v>
      </c>
      <c r="J193" s="51">
        <f>VLOOKUP(Yards[[#This Row],[DEVELOPMENT]],Data[],28,FALSE)</f>
        <v>0</v>
      </c>
      <c r="K193" s="51"/>
      <c r="L193" s="50"/>
      <c r="M193" s="51" t="str">
        <f ca="1">IFERROR(VLOOKUP(Yards[[#This Row],[DEVELOPMENT]],Data[],4,FALSE),"")</f>
        <v/>
      </c>
      <c r="N193" s="51" t="str">
        <f ca="1">IF(Yards[[#This Row],[RAD/PACT]]="","",IF(OR(Yards[[#This Row],[RAD/PACT]]="2022-2025",Yards[[#This Row],[RAD/PACT]]=2019,Yards[[#This Row],[RAD/PACT]]="2020-2021"),"Yes",""))</f>
        <v/>
      </c>
      <c r="O193" s="51">
        <f ca="1">IFERROR(VLOOKUP(Yards[[#This Row],[DEVELOPMENT]],ExtComp[],8,FALSE),"")</f>
        <v>20</v>
      </c>
      <c r="P193" s="51"/>
      <c r="Q193" s="51"/>
      <c r="R193" s="51" t="str">
        <f>IF(ISBLANK(Yards[[#This Row],[DSGN CALENDAR YEAR]]),"",Yards[[#This Row],[DSGN CALENDAR YEAR]]+1)</f>
        <v/>
      </c>
      <c r="S193" s="51" t="str">
        <f>IF(ISBLANK(Yards[[#This Row],[DSGN FISCAL YEAR]]),"",Yards[[#This Row],[DSGN FISCAL YEAR]]+1)</f>
        <v/>
      </c>
      <c r="T193" s="51"/>
      <c r="U193" s="128">
        <f ca="1">Yards[[#This Row],[Estimate]]*0.1</f>
        <v>244471.89889650006</v>
      </c>
      <c r="V193" s="47">
        <f ca="1">Yards[[#This Row],[Estimate]]-Yards[[#This Row],[Design Est.]]</f>
        <v>2200247.0900685005</v>
      </c>
      <c r="W193" s="85">
        <f ca="1">(Yards[[#This Row],['# yards]]*INDEX(UnitCosts[],MATCH(Yards[[#This Row],[WORK TYPE]],UnitCosts[Work Type],0),2))*(1+((Yards[[#This Row],[est. CONS Year]]-YEAR(TODAY()))*$W$3))</f>
        <v>2444718.9889650005</v>
      </c>
      <c r="X193" s="142">
        <f ca="1">IF(ISNUMBER(SEARCH("LLC",Yards[[#This Row],[PROGRAM]])),0,IF(Yards[[#This Row],[RAD/PACT by 2025]]="yes",0,1))</f>
        <v>1</v>
      </c>
      <c r="Y193" s="1"/>
      <c r="Z193" s="1"/>
      <c r="AA193" s="51">
        <f ca="1">COUNTIF($X$5:Yards[[#This Row],['# yards]],"&gt;0")-10</f>
        <v>113</v>
      </c>
      <c r="AB193" s="1">
        <f ca="1">IF(ISBLANK(Yards[[#This Row],[DSGN CALENDAR YEAR]]),ROUNDDOWN(Yards[[#This Row],[Count]]/24,0)+$AB$1,Yards[[#This Row],[DSGN CALENDAR YEAR]])</f>
        <v>2025</v>
      </c>
      <c r="AC193" s="16">
        <f ca="1">Yards[[#This Row],[est. DSGN Year]]+1</f>
        <v>2026</v>
      </c>
    </row>
    <row r="194" spans="1:29">
      <c r="A194" s="13" t="s">
        <v>311</v>
      </c>
      <c r="B194" s="51" t="str">
        <f>VLOOKUP(Yards[[#This Row],[DEVELOPMENT]],Data[],2,FALSE)</f>
        <v>BROOKLYN</v>
      </c>
      <c r="C194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94" s="51" t="str">
        <f>VLOOKUP(Yards[[#This Row],[DEVELOPMENT]],Data[],52,FALSE)</f>
        <v>FEDERAL</v>
      </c>
      <c r="E194" s="50">
        <f>VLOOKUP(Yards[[#This Row],[DEVELOPMENT]],Data[],8,FALSE)</f>
        <v>0</v>
      </c>
      <c r="F194" s="51" t="str">
        <f>VLOOKUP(Yards[[#This Row],[DEVELOPMENT]],all[[DEVELOPMENT]:[MRST Ext. Comp. Priority]],6,FALSE)</f>
        <v>None</v>
      </c>
      <c r="G194" s="51">
        <f>VLOOKUP(Yards[[#This Row],[DEVELOPMENT]],all[[DEVELOPMENT]:[MRST Ext. Comp. Priority]],13,FALSE)</f>
        <v>2</v>
      </c>
      <c r="H194" s="50">
        <f>IF(VLOOKUP(Yards[[#This Row],[DEVELOPMENT]],Data[],9,FALSE)=0,5,VLOOKUP(Yards[[#This Row],[DEVELOPMENT]],Data[],9,FALSE))</f>
        <v>5</v>
      </c>
      <c r="I194" s="51">
        <f>VLOOKUP(Yards[[#This Row],[DEVELOPMENT]],Data[],33,FALSE)</f>
        <v>0</v>
      </c>
      <c r="J194" s="51">
        <f>VLOOKUP(Yards[[#This Row],[DEVELOPMENT]],Data[],28,FALSE)</f>
        <v>0</v>
      </c>
      <c r="K194" s="51"/>
      <c r="L194" s="50"/>
      <c r="M194" s="51" t="str">
        <f ca="1">IFERROR(VLOOKUP(Yards[[#This Row],[DEVELOPMENT]],Data[],4,FALSE),"")</f>
        <v/>
      </c>
      <c r="N194" s="51" t="str">
        <f ca="1">IF(Yards[[#This Row],[RAD/PACT]]="","",IF(OR(Yards[[#This Row],[RAD/PACT]]="2022-2025",Yards[[#This Row],[RAD/PACT]]=2019,Yards[[#This Row],[RAD/PACT]]="2020-2021"),"Yes",""))</f>
        <v/>
      </c>
      <c r="O194" s="51" t="str">
        <f ca="1">IFERROR(VLOOKUP(Yards[[#This Row],[DEVELOPMENT]],ExtComp[],8,FALSE),"")</f>
        <v/>
      </c>
      <c r="P194" s="51"/>
      <c r="Q194" s="51"/>
      <c r="R194" s="51" t="str">
        <f>IF(ISBLANK(Yards[[#This Row],[DSGN CALENDAR YEAR]]),"",Yards[[#This Row],[DSGN CALENDAR YEAR]]+1)</f>
        <v/>
      </c>
      <c r="S194" s="51" t="str">
        <f>IF(ISBLANK(Yards[[#This Row],[DSGN FISCAL YEAR]]),"",Yards[[#This Row],[DSGN FISCAL YEAR]]+1)</f>
        <v/>
      </c>
      <c r="T194" s="51"/>
      <c r="U194" s="128">
        <f ca="1">Yards[[#This Row],[Estimate]]*0.1</f>
        <v>218713.03623400006</v>
      </c>
      <c r="V194" s="47">
        <f ca="1">Yards[[#This Row],[Estimate]]-Yards[[#This Row],[Design Est.]]</f>
        <v>1968417.3261060005</v>
      </c>
      <c r="W194" s="85">
        <f ca="1">(Yards[[#This Row],['# yards]]*INDEX(UnitCosts[],MATCH(Yards[[#This Row],[WORK TYPE]],UnitCosts[Work Type],0),2))*(1+((Yards[[#This Row],[est. CONS Year]]-YEAR(TODAY()))*$W$3))</f>
        <v>2187130.3623400005</v>
      </c>
      <c r="X194" s="142">
        <f ca="1">IF(ISNUMBER(SEARCH("LLC",Yards[[#This Row],[PROGRAM]])),0,IF(Yards[[#This Row],[RAD/PACT by 2025]]="yes",0,1))</f>
        <v>1</v>
      </c>
      <c r="Y194" s="1"/>
      <c r="Z194" s="1"/>
      <c r="AA194" s="51">
        <f ca="1">COUNTIF($X$5:Yards[[#This Row],['# yards]],"&gt;0")-10</f>
        <v>114</v>
      </c>
      <c r="AB194" s="1">
        <f ca="1">IF(ISBLANK(Yards[[#This Row],[DSGN CALENDAR YEAR]]),ROUNDDOWN(Yards[[#This Row],[Count]]/24,0)+$AB$1,Yards[[#This Row],[DSGN CALENDAR YEAR]])</f>
        <v>2025</v>
      </c>
      <c r="AC194" s="16">
        <f ca="1">Yards[[#This Row],[est. DSGN Year]]+1</f>
        <v>2026</v>
      </c>
    </row>
    <row r="195" spans="1:29">
      <c r="A195" s="13" t="s">
        <v>325</v>
      </c>
      <c r="B195" s="51" t="str">
        <f>VLOOKUP(Yards[[#This Row],[DEVELOPMENT]],Data[],2,FALSE)</f>
        <v>BROOKLYN</v>
      </c>
      <c r="C19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195" s="51" t="str">
        <f>VLOOKUP(Yards[[#This Row],[DEVELOPMENT]],Data[],52,FALSE)</f>
        <v>FEDERAL</v>
      </c>
      <c r="E195" s="50">
        <f>VLOOKUP(Yards[[#This Row],[DEVELOPMENT]],Data[],8,FALSE)</f>
        <v>0</v>
      </c>
      <c r="F195" s="51" t="str">
        <f>VLOOKUP(Yards[[#This Row],[DEVELOPMENT]],all[[DEVELOPMENT]:[MRST Ext. Comp. Priority]],6,FALSE)</f>
        <v>None</v>
      </c>
      <c r="G195" s="51">
        <f>VLOOKUP(Yards[[#This Row],[DEVELOPMENT]],all[[DEVELOPMENT]:[MRST Ext. Comp. Priority]],13,FALSE)</f>
        <v>2</v>
      </c>
      <c r="H195" s="50">
        <f>IF(VLOOKUP(Yards[[#This Row],[DEVELOPMENT]],Data[],9,FALSE)=0,5,VLOOKUP(Yards[[#This Row],[DEVELOPMENT]],Data[],9,FALSE))</f>
        <v>5</v>
      </c>
      <c r="I195" s="51">
        <f>VLOOKUP(Yards[[#This Row],[DEVELOPMENT]],Data[],33,FALSE)</f>
        <v>3</v>
      </c>
      <c r="J195" s="51">
        <f>VLOOKUP(Yards[[#This Row],[DEVELOPMENT]],Data[],28,FALSE)</f>
        <v>0</v>
      </c>
      <c r="K195" s="51"/>
      <c r="L195" s="50"/>
      <c r="M195" s="51" t="str">
        <f ca="1">IFERROR(VLOOKUP(Yards[[#This Row],[DEVELOPMENT]],Data[],4,FALSE),"")</f>
        <v>2026+</v>
      </c>
      <c r="N195" s="51" t="str">
        <f ca="1">IF(Yards[[#This Row],[RAD/PACT]]="","",IF(OR(Yards[[#This Row],[RAD/PACT]]="2022-2025",Yards[[#This Row],[RAD/PACT]]=2019,Yards[[#This Row],[RAD/PACT]]="2020-2021"),"Yes",""))</f>
        <v/>
      </c>
      <c r="O195" s="51">
        <f ca="1">IFERROR(VLOOKUP(Yards[[#This Row],[DEVELOPMENT]],ExtComp[],8,FALSE),"")</f>
        <v>2</v>
      </c>
      <c r="P195" s="51"/>
      <c r="Q195" s="51"/>
      <c r="R195" s="51" t="str">
        <f>IF(ISBLANK(Yards[[#This Row],[DSGN CALENDAR YEAR]]),"",Yards[[#This Row],[DSGN CALENDAR YEAR]]+1)</f>
        <v/>
      </c>
      <c r="S195" s="51" t="str">
        <f>IF(ISBLANK(Yards[[#This Row],[DSGN FISCAL YEAR]]),"",Yards[[#This Row],[DSGN FISCAL YEAR]]+1)</f>
        <v/>
      </c>
      <c r="T195" s="51"/>
      <c r="U195" s="128">
        <f ca="1">Yards[[#This Row],[Estimate]]*0.1</f>
        <v>164833.92605570005</v>
      </c>
      <c r="V195" s="47">
        <f ca="1">Yards[[#This Row],[Estimate]]-Yards[[#This Row],[Design Est.]]</f>
        <v>1483505.3345013002</v>
      </c>
      <c r="W195" s="85">
        <f ca="1">(Yards[[#This Row],['# yards]]*INDEX(UnitCosts[],MATCH(Yards[[#This Row],[WORK TYPE]],UnitCosts[Work Type],0),2))*(1+((Yards[[#This Row],[est. CONS Year]]-YEAR(TODAY()))*$W$3))</f>
        <v>1648339.2605570003</v>
      </c>
      <c r="X195" s="142">
        <f ca="1">IF(ISNUMBER(SEARCH("LLC",Yards[[#This Row],[PROGRAM]])),0,IF(Yards[[#This Row],[RAD/PACT by 2025]]="yes",0,1))</f>
        <v>1</v>
      </c>
      <c r="Y195" s="1"/>
      <c r="Z195" s="1"/>
      <c r="AA195" s="51">
        <f ca="1">COUNTIF($X$5:Yards[[#This Row],['# yards]],"&gt;0")-10</f>
        <v>115</v>
      </c>
      <c r="AB195" s="1">
        <f ca="1">IF(ISBLANK(Yards[[#This Row],[DSGN CALENDAR YEAR]]),ROUNDDOWN(Yards[[#This Row],[Count]]/24,0)+$AB$1,Yards[[#This Row],[DSGN CALENDAR YEAR]])</f>
        <v>2025</v>
      </c>
      <c r="AC195" s="16">
        <f ca="1">Yards[[#This Row],[est. DSGN Year]]+1</f>
        <v>2026</v>
      </c>
    </row>
    <row r="196" spans="1:29">
      <c r="A196" s="13" t="s">
        <v>327</v>
      </c>
      <c r="B196" s="51" t="str">
        <f>VLOOKUP(Yards[[#This Row],[DEVELOPMENT]],Data[],2,FALSE)</f>
        <v>BROOKLYN</v>
      </c>
      <c r="C19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96" s="51" t="str">
        <f>VLOOKUP(Yards[[#This Row],[DEVELOPMENT]],Data[],52,FALSE)</f>
        <v>FEDERAL</v>
      </c>
      <c r="E196" s="50">
        <f>VLOOKUP(Yards[[#This Row],[DEVELOPMENT]],Data[],8,FALSE)</f>
        <v>0</v>
      </c>
      <c r="F196" s="51" t="str">
        <f>VLOOKUP(Yards[[#This Row],[DEVELOPMENT]],all[[DEVELOPMENT]:[MRST Ext. Comp. Priority]],6,FALSE)</f>
        <v>None</v>
      </c>
      <c r="G196" s="51">
        <f>VLOOKUP(Yards[[#This Row],[DEVELOPMENT]],all[[DEVELOPMENT]:[MRST Ext. Comp. Priority]],13,FALSE)</f>
        <v>2</v>
      </c>
      <c r="H196" s="50">
        <f>IF(VLOOKUP(Yards[[#This Row],[DEVELOPMENT]],Data[],9,FALSE)=0,5,VLOOKUP(Yards[[#This Row],[DEVELOPMENT]],Data[],9,FALSE))</f>
        <v>5</v>
      </c>
      <c r="I196" s="51">
        <f>VLOOKUP(Yards[[#This Row],[DEVELOPMENT]],Data[],33,FALSE)</f>
        <v>0</v>
      </c>
      <c r="J196" s="51">
        <f>VLOOKUP(Yards[[#This Row],[DEVELOPMENT]],Data[],28,FALSE)</f>
        <v>0</v>
      </c>
      <c r="K196" s="51"/>
      <c r="L196" s="50"/>
      <c r="M196" s="51" t="str">
        <f ca="1">IFERROR(VLOOKUP(Yards[[#This Row],[DEVELOPMENT]],Data[],4,FALSE),"")</f>
        <v>2026+</v>
      </c>
      <c r="N196" s="51" t="str">
        <f ca="1">IF(Yards[[#This Row],[RAD/PACT]]="","",IF(OR(Yards[[#This Row],[RAD/PACT]]="2022-2025",Yards[[#This Row],[RAD/PACT]]=2019,Yards[[#This Row],[RAD/PACT]]="2020-2021"),"Yes",""))</f>
        <v/>
      </c>
      <c r="O196" s="51" t="str">
        <f ca="1">IFERROR(VLOOKUP(Yards[[#This Row],[DEVELOPMENT]],ExtComp[],8,FALSE),"")</f>
        <v/>
      </c>
      <c r="P196" s="51"/>
      <c r="Q196" s="51"/>
      <c r="R196" s="51" t="str">
        <f>IF(ISBLANK(Yards[[#This Row],[DSGN CALENDAR YEAR]]),"",Yards[[#This Row],[DSGN CALENDAR YEAR]]+1)</f>
        <v/>
      </c>
      <c r="S196" s="51" t="str">
        <f>IF(ISBLANK(Yards[[#This Row],[DSGN FISCAL YEAR]]),"",Yards[[#This Row],[DSGN FISCAL YEAR]]+1)</f>
        <v/>
      </c>
      <c r="T196" s="51"/>
      <c r="U196" s="128">
        <f ca="1">Yards[[#This Row],[Estimate]]*0.1</f>
        <v>218713.03623400006</v>
      </c>
      <c r="V196" s="47">
        <f ca="1">Yards[[#This Row],[Estimate]]-Yards[[#This Row],[Design Est.]]</f>
        <v>1968417.3261060005</v>
      </c>
      <c r="W196" s="85">
        <f ca="1">(Yards[[#This Row],['# yards]]*INDEX(UnitCosts[],MATCH(Yards[[#This Row],[WORK TYPE]],UnitCosts[Work Type],0),2))*(1+((Yards[[#This Row],[est. CONS Year]]-YEAR(TODAY()))*$W$3))</f>
        <v>2187130.3623400005</v>
      </c>
      <c r="X196" s="142">
        <f ca="1">IF(ISNUMBER(SEARCH("LLC",Yards[[#This Row],[PROGRAM]])),0,IF(Yards[[#This Row],[RAD/PACT by 2025]]="yes",0,1))</f>
        <v>1</v>
      </c>
      <c r="Y196" s="1"/>
      <c r="Z196" s="1"/>
      <c r="AA196" s="51">
        <f ca="1">COUNTIF($X$5:Yards[[#This Row],['# yards]],"&gt;0")-10</f>
        <v>116</v>
      </c>
      <c r="AB196" s="1">
        <f ca="1">IF(ISBLANK(Yards[[#This Row],[DSGN CALENDAR YEAR]]),ROUNDDOWN(Yards[[#This Row],[Count]]/24,0)+$AB$1,Yards[[#This Row],[DSGN CALENDAR YEAR]])</f>
        <v>2025</v>
      </c>
      <c r="AC196" s="16">
        <f ca="1">Yards[[#This Row],[est. DSGN Year]]+1</f>
        <v>2026</v>
      </c>
    </row>
    <row r="197" spans="1:29">
      <c r="A197" s="13" t="s">
        <v>329</v>
      </c>
      <c r="B197" s="51" t="str">
        <f>VLOOKUP(Yards[[#This Row],[DEVELOPMENT]],Data[],2,FALSE)</f>
        <v>BROOKLYN</v>
      </c>
      <c r="C19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97" s="51" t="str">
        <f>VLOOKUP(Yards[[#This Row],[DEVELOPMENT]],Data[],52,FALSE)</f>
        <v>FEDERAL</v>
      </c>
      <c r="E197" s="50">
        <f>VLOOKUP(Yards[[#This Row],[DEVELOPMENT]],Data[],8,FALSE)</f>
        <v>0</v>
      </c>
      <c r="F197" s="51" t="str">
        <f>VLOOKUP(Yards[[#This Row],[DEVELOPMENT]],all[[DEVELOPMENT]:[MRST Ext. Comp. Priority]],6,FALSE)</f>
        <v>None</v>
      </c>
      <c r="G197" s="51">
        <f>VLOOKUP(Yards[[#This Row],[DEVELOPMENT]],all[[DEVELOPMENT]:[MRST Ext. Comp. Priority]],13,FALSE)</f>
        <v>2</v>
      </c>
      <c r="H197" s="50">
        <f>IF(VLOOKUP(Yards[[#This Row],[DEVELOPMENT]],Data[],9,FALSE)=0,5,VLOOKUP(Yards[[#This Row],[DEVELOPMENT]],Data[],9,FALSE))</f>
        <v>5</v>
      </c>
      <c r="I197" s="51">
        <f>VLOOKUP(Yards[[#This Row],[DEVELOPMENT]],Data[],33,FALSE)</f>
        <v>0</v>
      </c>
      <c r="J197" s="51">
        <f>VLOOKUP(Yards[[#This Row],[DEVELOPMENT]],Data[],28,FALSE)</f>
        <v>0</v>
      </c>
      <c r="K197" s="51"/>
      <c r="L197" s="50"/>
      <c r="M197" s="51" t="str">
        <f ca="1">IFERROR(VLOOKUP(Yards[[#This Row],[DEVELOPMENT]],Data[],4,FALSE),"")</f>
        <v/>
      </c>
      <c r="N197" s="51" t="str">
        <f ca="1">IF(Yards[[#This Row],[RAD/PACT]]="","",IF(OR(Yards[[#This Row],[RAD/PACT]]="2022-2025",Yards[[#This Row],[RAD/PACT]]=2019,Yards[[#This Row],[RAD/PACT]]="2020-2021"),"Yes",""))</f>
        <v/>
      </c>
      <c r="O197" s="51" t="str">
        <f ca="1">IFERROR(VLOOKUP(Yards[[#This Row],[DEVELOPMENT]],ExtComp[],8,FALSE),"")</f>
        <v/>
      </c>
      <c r="P197" s="51"/>
      <c r="Q197" s="51"/>
      <c r="R197" s="51" t="str">
        <f>IF(ISBLANK(Yards[[#This Row],[DSGN CALENDAR YEAR]]),"",Yards[[#This Row],[DSGN CALENDAR YEAR]]+1)</f>
        <v/>
      </c>
      <c r="S197" s="51" t="str">
        <f>IF(ISBLANK(Yards[[#This Row],[DSGN FISCAL YEAR]]),"",Yards[[#This Row],[DSGN FISCAL YEAR]]+1)</f>
        <v/>
      </c>
      <c r="T197" s="51"/>
      <c r="U197" s="128">
        <f ca="1">Yards[[#This Row],[Estimate]]*0.1</f>
        <v>218713.03623400006</v>
      </c>
      <c r="V197" s="47">
        <f ca="1">Yards[[#This Row],[Estimate]]-Yards[[#This Row],[Design Est.]]</f>
        <v>1968417.3261060005</v>
      </c>
      <c r="W197" s="85">
        <f ca="1">(Yards[[#This Row],['# yards]]*INDEX(UnitCosts[],MATCH(Yards[[#This Row],[WORK TYPE]],UnitCosts[Work Type],0),2))*(1+((Yards[[#This Row],[est. CONS Year]]-YEAR(TODAY()))*$W$3))</f>
        <v>2187130.3623400005</v>
      </c>
      <c r="X197" s="142">
        <f ca="1">IF(ISNUMBER(SEARCH("LLC",Yards[[#This Row],[PROGRAM]])),0,IF(Yards[[#This Row],[RAD/PACT by 2025]]="yes",0,1))</f>
        <v>1</v>
      </c>
      <c r="Y197" s="1"/>
      <c r="Z197" s="1"/>
      <c r="AA197" s="51">
        <f ca="1">COUNTIF($X$5:Yards[[#This Row],['# yards]],"&gt;0")-10</f>
        <v>117</v>
      </c>
      <c r="AB197" s="1">
        <f ca="1">IF(ISBLANK(Yards[[#This Row],[DSGN CALENDAR YEAR]]),ROUNDDOWN(Yards[[#This Row],[Count]]/24,0)+$AB$1,Yards[[#This Row],[DSGN CALENDAR YEAR]])</f>
        <v>2025</v>
      </c>
      <c r="AC197" s="16">
        <f ca="1">Yards[[#This Row],[est. DSGN Year]]+1</f>
        <v>2026</v>
      </c>
    </row>
    <row r="198" spans="1:29">
      <c r="A198" s="13" t="s">
        <v>334</v>
      </c>
      <c r="B198" s="51" t="str">
        <f>VLOOKUP(Yards[[#This Row],[DEVELOPMENT]],Data[],2,FALSE)</f>
        <v>BROOKLYN</v>
      </c>
      <c r="C198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98" s="51" t="str">
        <f>VLOOKUP(Yards[[#This Row],[DEVELOPMENT]],Data[],52,FALSE)</f>
        <v>FEDERAL</v>
      </c>
      <c r="E198" s="50">
        <f>VLOOKUP(Yards[[#This Row],[DEVELOPMENT]],Data[],8,FALSE)</f>
        <v>0</v>
      </c>
      <c r="F198" s="51" t="str">
        <f>VLOOKUP(Yards[[#This Row],[DEVELOPMENT]],all[[DEVELOPMENT]:[MRST Ext. Comp. Priority]],6,FALSE)</f>
        <v>None</v>
      </c>
      <c r="G198" s="51">
        <f>VLOOKUP(Yards[[#This Row],[DEVELOPMENT]],all[[DEVELOPMENT]:[MRST Ext. Comp. Priority]],13,FALSE)</f>
        <v>2</v>
      </c>
      <c r="H198" s="50">
        <f>IF(VLOOKUP(Yards[[#This Row],[DEVELOPMENT]],Data[],9,FALSE)=0,5,VLOOKUP(Yards[[#This Row],[DEVELOPMENT]],Data[],9,FALSE))</f>
        <v>5</v>
      </c>
      <c r="I198" s="51">
        <f>VLOOKUP(Yards[[#This Row],[DEVELOPMENT]],Data[],33,FALSE)</f>
        <v>1</v>
      </c>
      <c r="J198" s="51">
        <f>VLOOKUP(Yards[[#This Row],[DEVELOPMENT]],Data[],28,FALSE)</f>
        <v>0</v>
      </c>
      <c r="K198" s="51"/>
      <c r="L198" s="50"/>
      <c r="M198" s="51" t="str">
        <f ca="1">IFERROR(VLOOKUP(Yards[[#This Row],[DEVELOPMENT]],Data[],4,FALSE),"")</f>
        <v/>
      </c>
      <c r="N198" s="51" t="str">
        <f ca="1">IF(Yards[[#This Row],[RAD/PACT]]="","",IF(OR(Yards[[#This Row],[RAD/PACT]]="2022-2025",Yards[[#This Row],[RAD/PACT]]=2019,Yards[[#This Row],[RAD/PACT]]="2020-2021"),"Yes",""))</f>
        <v/>
      </c>
      <c r="O198" s="51">
        <f ca="1">IFERROR(VLOOKUP(Yards[[#This Row],[DEVELOPMENT]],ExtComp[],8,FALSE),"")</f>
        <v>12</v>
      </c>
      <c r="P198" s="51"/>
      <c r="Q198" s="51"/>
      <c r="R198" s="51" t="str">
        <f>IF(ISBLANK(Yards[[#This Row],[DSGN CALENDAR YEAR]]),"",Yards[[#This Row],[DSGN CALENDAR YEAR]]+1)</f>
        <v/>
      </c>
      <c r="S198" s="51" t="str">
        <f>IF(ISBLANK(Yards[[#This Row],[DSGN FISCAL YEAR]]),"",Yards[[#This Row],[DSGN FISCAL YEAR]]+1)</f>
        <v/>
      </c>
      <c r="T198" s="51"/>
      <c r="U198" s="128">
        <f ca="1">Yards[[#This Row],[Estimate]]*0.1</f>
        <v>218713.03623400006</v>
      </c>
      <c r="V198" s="47">
        <f ca="1">Yards[[#This Row],[Estimate]]-Yards[[#This Row],[Design Est.]]</f>
        <v>1968417.3261060005</v>
      </c>
      <c r="W198" s="85">
        <f ca="1">(Yards[[#This Row],['# yards]]*INDEX(UnitCosts[],MATCH(Yards[[#This Row],[WORK TYPE]],UnitCosts[Work Type],0),2))*(1+((Yards[[#This Row],[est. CONS Year]]-YEAR(TODAY()))*$W$3))</f>
        <v>2187130.3623400005</v>
      </c>
      <c r="X198" s="142">
        <f ca="1">IF(ISNUMBER(SEARCH("LLC",Yards[[#This Row],[PROGRAM]])),0,IF(Yards[[#This Row],[RAD/PACT by 2025]]="yes",0,1))</f>
        <v>1</v>
      </c>
      <c r="Y198" s="1"/>
      <c r="Z198" s="1"/>
      <c r="AA198" s="51">
        <f ca="1">COUNTIF($X$5:Yards[[#This Row],['# yards]],"&gt;0")-10</f>
        <v>118</v>
      </c>
      <c r="AB198" s="1">
        <f ca="1">IF(ISBLANK(Yards[[#This Row],[DSGN CALENDAR YEAR]]),ROUNDDOWN(Yards[[#This Row],[Count]]/24,0)+$AB$1,Yards[[#This Row],[DSGN CALENDAR YEAR]])</f>
        <v>2025</v>
      </c>
      <c r="AC198" s="16">
        <f ca="1">Yards[[#This Row],[est. DSGN Year]]+1</f>
        <v>2026</v>
      </c>
    </row>
    <row r="199" spans="1:29">
      <c r="A199" s="13" t="s">
        <v>336</v>
      </c>
      <c r="B199" s="51" t="str">
        <f>VLOOKUP(Yards[[#This Row],[DEVELOPMENT]],Data[],2,FALSE)</f>
        <v>QUEENS</v>
      </c>
      <c r="C19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199" s="51" t="str">
        <f>VLOOKUP(Yards[[#This Row],[DEVELOPMENT]],Data[],52,FALSE)</f>
        <v>FEDERAL</v>
      </c>
      <c r="E199" s="50">
        <f>VLOOKUP(Yards[[#This Row],[DEVELOPMENT]],Data[],8,FALSE)</f>
        <v>0</v>
      </c>
      <c r="F199" s="51" t="str">
        <f>VLOOKUP(Yards[[#This Row],[DEVELOPMENT]],all[[DEVELOPMENT]:[MRST Ext. Comp. Priority]],6,FALSE)</f>
        <v>None</v>
      </c>
      <c r="G199" s="51">
        <f>VLOOKUP(Yards[[#This Row],[DEVELOPMENT]],all[[DEVELOPMENT]:[MRST Ext. Comp. Priority]],13,FALSE)</f>
        <v>2</v>
      </c>
      <c r="H199" s="50">
        <f>IF(VLOOKUP(Yards[[#This Row],[DEVELOPMENT]],Data[],9,FALSE)=0,5,VLOOKUP(Yards[[#This Row],[DEVELOPMENT]],Data[],9,FALSE))</f>
        <v>5</v>
      </c>
      <c r="I199" s="51">
        <f>VLOOKUP(Yards[[#This Row],[DEVELOPMENT]],Data[],33,FALSE)</f>
        <v>0</v>
      </c>
      <c r="J199" s="51">
        <f>VLOOKUP(Yards[[#This Row],[DEVELOPMENT]],Data[],28,FALSE)</f>
        <v>0</v>
      </c>
      <c r="K199" s="51"/>
      <c r="L199" s="50"/>
      <c r="M199" s="51" t="str">
        <f ca="1">IFERROR(VLOOKUP(Yards[[#This Row],[DEVELOPMENT]],Data[],4,FALSE),"")</f>
        <v/>
      </c>
      <c r="N199" s="51" t="str">
        <f ca="1">IF(Yards[[#This Row],[RAD/PACT]]="","",IF(OR(Yards[[#This Row],[RAD/PACT]]="2022-2025",Yards[[#This Row],[RAD/PACT]]=2019,Yards[[#This Row],[RAD/PACT]]="2020-2021"),"Yes",""))</f>
        <v/>
      </c>
      <c r="O199" s="51" t="str">
        <f ca="1">IFERROR(VLOOKUP(Yards[[#This Row],[DEVELOPMENT]],ExtComp[],8,FALSE),"")</f>
        <v/>
      </c>
      <c r="P199" s="51"/>
      <c r="Q199" s="51"/>
      <c r="R199" s="51" t="str">
        <f>IF(ISBLANK(Yards[[#This Row],[DSGN CALENDAR YEAR]]),"",Yards[[#This Row],[DSGN CALENDAR YEAR]]+1)</f>
        <v/>
      </c>
      <c r="S199" s="51" t="str">
        <f>IF(ISBLANK(Yards[[#This Row],[DSGN FISCAL YEAR]]),"",Yards[[#This Row],[DSGN FISCAL YEAR]]+1)</f>
        <v/>
      </c>
      <c r="T199" s="51"/>
      <c r="U199" s="128">
        <f ca="1">Yards[[#This Row],[Estimate]]*0.1</f>
        <v>218713.03623400006</v>
      </c>
      <c r="V199" s="47">
        <f ca="1">Yards[[#This Row],[Estimate]]-Yards[[#This Row],[Design Est.]]</f>
        <v>1968417.3261060005</v>
      </c>
      <c r="W199" s="85">
        <f ca="1">(Yards[[#This Row],['# yards]]*INDEX(UnitCosts[],MATCH(Yards[[#This Row],[WORK TYPE]],UnitCosts[Work Type],0),2))*(1+((Yards[[#This Row],[est. CONS Year]]-YEAR(TODAY()))*$W$3))</f>
        <v>2187130.3623400005</v>
      </c>
      <c r="X199" s="142">
        <f ca="1">IF(ISNUMBER(SEARCH("LLC",Yards[[#This Row],[PROGRAM]])),0,IF(Yards[[#This Row],[RAD/PACT by 2025]]="yes",0,1))</f>
        <v>1</v>
      </c>
      <c r="Y199" s="1"/>
      <c r="Z199" s="1"/>
      <c r="AA199" s="51">
        <f ca="1">COUNTIF($X$5:Yards[[#This Row],['# yards]],"&gt;0")-10</f>
        <v>119</v>
      </c>
      <c r="AB199" s="1">
        <f ca="1">IF(ISBLANK(Yards[[#This Row],[DSGN CALENDAR YEAR]]),ROUNDDOWN(Yards[[#This Row],[Count]]/24,0)+$AB$1,Yards[[#This Row],[DSGN CALENDAR YEAR]])</f>
        <v>2025</v>
      </c>
      <c r="AC199" s="16">
        <f ca="1">Yards[[#This Row],[est. DSGN Year]]+1</f>
        <v>2026</v>
      </c>
    </row>
    <row r="200" spans="1:29">
      <c r="A200" s="13" t="s">
        <v>354</v>
      </c>
      <c r="B200" s="51" t="str">
        <f>VLOOKUP(Yards[[#This Row],[DEVELOPMENT]],Data[],2,FALSE)</f>
        <v>BROOKLYN</v>
      </c>
      <c r="C200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00" s="51" t="str">
        <f>VLOOKUP(Yards[[#This Row],[DEVELOPMENT]],Data[],52,FALSE)</f>
        <v>FEDERAL</v>
      </c>
      <c r="E200" s="50">
        <f>VLOOKUP(Yards[[#This Row],[DEVELOPMENT]],Data[],8,FALSE)</f>
        <v>0</v>
      </c>
      <c r="F200" s="51" t="str">
        <f>VLOOKUP(Yards[[#This Row],[DEVELOPMENT]],all[[DEVELOPMENT]:[MRST Ext. Comp. Priority]],6,FALSE)</f>
        <v>None</v>
      </c>
      <c r="G200" s="51">
        <f>VLOOKUP(Yards[[#This Row],[DEVELOPMENT]],all[[DEVELOPMENT]:[MRST Ext. Comp. Priority]],13,FALSE)</f>
        <v>2</v>
      </c>
      <c r="H200" s="50">
        <f>IF(VLOOKUP(Yards[[#This Row],[DEVELOPMENT]],Data[],9,FALSE)=0,5,VLOOKUP(Yards[[#This Row],[DEVELOPMENT]],Data[],9,FALSE))</f>
        <v>5</v>
      </c>
      <c r="I200" s="51">
        <f>VLOOKUP(Yards[[#This Row],[DEVELOPMENT]],Data[],33,FALSE)</f>
        <v>1</v>
      </c>
      <c r="J200" s="51">
        <f>VLOOKUP(Yards[[#This Row],[DEVELOPMENT]],Data[],28,FALSE)</f>
        <v>0</v>
      </c>
      <c r="K200" s="51"/>
      <c r="L200" s="50"/>
      <c r="M200" s="51" t="str">
        <f ca="1">IFERROR(VLOOKUP(Yards[[#This Row],[DEVELOPMENT]],Data[],4,FALSE),"")</f>
        <v/>
      </c>
      <c r="N200" s="51" t="str">
        <f ca="1">IF(Yards[[#This Row],[RAD/PACT]]="","",IF(OR(Yards[[#This Row],[RAD/PACT]]="2022-2025",Yards[[#This Row],[RAD/PACT]]=2019,Yards[[#This Row],[RAD/PACT]]="2020-2021"),"Yes",""))</f>
        <v/>
      </c>
      <c r="O200" s="51">
        <f ca="1">IFERROR(VLOOKUP(Yards[[#This Row],[DEVELOPMENT]],ExtComp[],8,FALSE),"")</f>
        <v>17</v>
      </c>
      <c r="P200" s="51"/>
      <c r="Q200" s="51"/>
      <c r="R200" s="51" t="str">
        <f>IF(ISBLANK(Yards[[#This Row],[DSGN CALENDAR YEAR]]),"",Yards[[#This Row],[DSGN CALENDAR YEAR]]+1)</f>
        <v/>
      </c>
      <c r="S200" s="51" t="str">
        <f>IF(ISBLANK(Yards[[#This Row],[DSGN FISCAL YEAR]]),"",Yards[[#This Row],[DSGN FISCAL YEAR]]+1)</f>
        <v/>
      </c>
      <c r="T200" s="51"/>
      <c r="U200" s="128">
        <f ca="1">Yards[[#This Row],[Estimate]]*0.1</f>
        <v>225039.4463730001</v>
      </c>
      <c r="V200" s="47">
        <f ca="1">Yards[[#This Row],[Estimate]]-Yards[[#This Row],[Design Est.]]</f>
        <v>2025355.0173570008</v>
      </c>
      <c r="W200" s="85">
        <f ca="1">(Yards[[#This Row],['# yards]]*INDEX(UnitCosts[],MATCH(Yards[[#This Row],[WORK TYPE]],UnitCosts[Work Type],0),2))*(1+((Yards[[#This Row],[est. CONS Year]]-YEAR(TODAY()))*$W$3))</f>
        <v>2250394.4637300009</v>
      </c>
      <c r="X200" s="142">
        <f ca="1">IF(ISNUMBER(SEARCH("LLC",Yards[[#This Row],[PROGRAM]])),0,IF(Yards[[#This Row],[RAD/PACT by 2025]]="yes",0,1))</f>
        <v>1</v>
      </c>
      <c r="Y200" s="1"/>
      <c r="Z200" s="1"/>
      <c r="AA200" s="51">
        <f ca="1">COUNTIF($X$5:Yards[[#This Row],['# yards]],"&gt;0")-10</f>
        <v>120</v>
      </c>
      <c r="AB200" s="1">
        <f ca="1">IF(ISBLANK(Yards[[#This Row],[DSGN CALENDAR YEAR]]),ROUNDDOWN(Yards[[#This Row],[Count]]/24,0)+$AB$1,Yards[[#This Row],[DSGN CALENDAR YEAR]])</f>
        <v>2026</v>
      </c>
      <c r="AC200" s="16">
        <f ca="1">Yards[[#This Row],[est. DSGN Year]]+1</f>
        <v>2027</v>
      </c>
    </row>
    <row r="201" spans="1:29">
      <c r="A201" s="13" t="s">
        <v>362</v>
      </c>
      <c r="B201" s="51" t="str">
        <f>VLOOKUP(Yards[[#This Row],[DEVELOPMENT]],Data[],2,FALSE)</f>
        <v>QUEENS</v>
      </c>
      <c r="C201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01" s="51" t="str">
        <f>VLOOKUP(Yards[[#This Row],[DEVELOPMENT]],Data[],52,FALSE)</f>
        <v>FEDERAL</v>
      </c>
      <c r="E201" s="50">
        <f>VLOOKUP(Yards[[#This Row],[DEVELOPMENT]],Data[],8,FALSE)</f>
        <v>0</v>
      </c>
      <c r="F201" s="51" t="str">
        <f>VLOOKUP(Yards[[#This Row],[DEVELOPMENT]],all[[DEVELOPMENT]:[MRST Ext. Comp. Priority]],6,FALSE)</f>
        <v>None</v>
      </c>
      <c r="G201" s="51">
        <f>VLOOKUP(Yards[[#This Row],[DEVELOPMENT]],all[[DEVELOPMENT]:[MRST Ext. Comp. Priority]],13,FALSE)</f>
        <v>2</v>
      </c>
      <c r="H201" s="50">
        <f>IF(VLOOKUP(Yards[[#This Row],[DEVELOPMENT]],Data[],9,FALSE)=0,5,VLOOKUP(Yards[[#This Row],[DEVELOPMENT]],Data[],9,FALSE))</f>
        <v>5</v>
      </c>
      <c r="I201" s="51">
        <f>VLOOKUP(Yards[[#This Row],[DEVELOPMENT]],Data[],33,FALSE)</f>
        <v>0</v>
      </c>
      <c r="J201" s="51">
        <f>VLOOKUP(Yards[[#This Row],[DEVELOPMENT]],Data[],28,FALSE)</f>
        <v>0</v>
      </c>
      <c r="K201" s="51"/>
      <c r="L201" s="50"/>
      <c r="M201" s="51" t="str">
        <f ca="1">IFERROR(VLOOKUP(Yards[[#This Row],[DEVELOPMENT]],Data[],4,FALSE),"")</f>
        <v/>
      </c>
      <c r="N201" s="51" t="str">
        <f ca="1">IF(Yards[[#This Row],[RAD/PACT]]="","",IF(OR(Yards[[#This Row],[RAD/PACT]]="2022-2025",Yards[[#This Row],[RAD/PACT]]=2019,Yards[[#This Row],[RAD/PACT]]="2020-2021"),"Yes",""))</f>
        <v/>
      </c>
      <c r="O201" s="51" t="str">
        <f ca="1">IFERROR(VLOOKUP(Yards[[#This Row],[DEVELOPMENT]],ExtComp[],8,FALSE),"")</f>
        <v/>
      </c>
      <c r="P201" s="51"/>
      <c r="Q201" s="51"/>
      <c r="R201" s="51" t="str">
        <f>IF(ISBLANK(Yards[[#This Row],[DSGN CALENDAR YEAR]]),"",Yards[[#This Row],[DSGN CALENDAR YEAR]]+1)</f>
        <v/>
      </c>
      <c r="S201" s="51" t="str">
        <f>IF(ISBLANK(Yards[[#This Row],[DSGN FISCAL YEAR]]),"",Yards[[#This Row],[DSGN FISCAL YEAR]]+1)</f>
        <v/>
      </c>
      <c r="T201" s="51"/>
      <c r="U201" s="128">
        <f ca="1">Yards[[#This Row],[Estimate]]*0.1</f>
        <v>225039.4463730001</v>
      </c>
      <c r="V201" s="47">
        <f ca="1">Yards[[#This Row],[Estimate]]-Yards[[#This Row],[Design Est.]]</f>
        <v>2025355.0173570008</v>
      </c>
      <c r="W201" s="85">
        <f ca="1">(Yards[[#This Row],['# yards]]*INDEX(UnitCosts[],MATCH(Yards[[#This Row],[WORK TYPE]],UnitCosts[Work Type],0),2))*(1+((Yards[[#This Row],[est. CONS Year]]-YEAR(TODAY()))*$W$3))</f>
        <v>2250394.4637300009</v>
      </c>
      <c r="X201" s="142">
        <f ca="1">IF(ISNUMBER(SEARCH("LLC",Yards[[#This Row],[PROGRAM]])),0,IF(Yards[[#This Row],[RAD/PACT by 2025]]="yes",0,1))</f>
        <v>1</v>
      </c>
      <c r="Y201" s="1"/>
      <c r="Z201" s="1"/>
      <c r="AA201" s="51">
        <f ca="1">COUNTIF($X$5:Yards[[#This Row],['# yards]],"&gt;0")-10</f>
        <v>121</v>
      </c>
      <c r="AB201" s="1">
        <f ca="1">IF(ISBLANK(Yards[[#This Row],[DSGN CALENDAR YEAR]]),ROUNDDOWN(Yards[[#This Row],[Count]]/24,0)+$AB$1,Yards[[#This Row],[DSGN CALENDAR YEAR]])</f>
        <v>2026</v>
      </c>
      <c r="AC201" s="16">
        <f ca="1">Yards[[#This Row],[est. DSGN Year]]+1</f>
        <v>2027</v>
      </c>
    </row>
    <row r="202" spans="1:29">
      <c r="A202" s="13" t="s">
        <v>380</v>
      </c>
      <c r="B202" s="51" t="str">
        <f>VLOOKUP(Yards[[#This Row],[DEVELOPMENT]],Data[],2,FALSE)</f>
        <v>STATEN ISLAND</v>
      </c>
      <c r="C20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02" s="51" t="str">
        <f>VLOOKUP(Yards[[#This Row],[DEVELOPMENT]],Data[],52,FALSE)</f>
        <v>FEDERAL</v>
      </c>
      <c r="E202" s="50">
        <f>VLOOKUP(Yards[[#This Row],[DEVELOPMENT]],Data[],8,FALSE)</f>
        <v>0</v>
      </c>
      <c r="F202" s="51" t="str">
        <f>VLOOKUP(Yards[[#This Row],[DEVELOPMENT]],all[[DEVELOPMENT]:[MRST Ext. Comp. Priority]],6,FALSE)</f>
        <v>None</v>
      </c>
      <c r="G202" s="51">
        <f>VLOOKUP(Yards[[#This Row],[DEVELOPMENT]],all[[DEVELOPMENT]:[MRST Ext. Comp. Priority]],13,FALSE)</f>
        <v>2</v>
      </c>
      <c r="H202" s="50">
        <f>IF(VLOOKUP(Yards[[#This Row],[DEVELOPMENT]],Data[],9,FALSE)=0,5,VLOOKUP(Yards[[#This Row],[DEVELOPMENT]],Data[],9,FALSE))</f>
        <v>5</v>
      </c>
      <c r="I202" s="51">
        <f>VLOOKUP(Yards[[#This Row],[DEVELOPMENT]],Data[],33,FALSE)</f>
        <v>2</v>
      </c>
      <c r="J202" s="51">
        <f>VLOOKUP(Yards[[#This Row],[DEVELOPMENT]],Data[],28,FALSE)</f>
        <v>0</v>
      </c>
      <c r="K202" s="51"/>
      <c r="L202" s="50"/>
      <c r="M202" s="51" t="str">
        <f ca="1">IFERROR(VLOOKUP(Yards[[#This Row],[DEVELOPMENT]],Data[],4,FALSE),"")</f>
        <v/>
      </c>
      <c r="N202" s="51" t="str">
        <f ca="1">IF(Yards[[#This Row],[RAD/PACT]]="","",IF(OR(Yards[[#This Row],[RAD/PACT]]="2022-2025",Yards[[#This Row],[RAD/PACT]]=2019,Yards[[#This Row],[RAD/PACT]]="2020-2021"),"Yes",""))</f>
        <v/>
      </c>
      <c r="O202" s="51">
        <f ca="1">IFERROR(VLOOKUP(Yards[[#This Row],[DEVELOPMENT]],ExtComp[],8,FALSE),"")</f>
        <v>20</v>
      </c>
      <c r="P202" s="51"/>
      <c r="Q202" s="51"/>
      <c r="R202" s="51" t="str">
        <f>IF(ISBLANK(Yards[[#This Row],[DSGN CALENDAR YEAR]]),"",Yards[[#This Row],[DSGN CALENDAR YEAR]]+1)</f>
        <v/>
      </c>
      <c r="S202" s="51" t="str">
        <f>IF(ISBLANK(Yards[[#This Row],[DSGN FISCAL YEAR]]),"",Yards[[#This Row],[DSGN FISCAL YEAR]]+1)</f>
        <v/>
      </c>
      <c r="T202" s="51"/>
      <c r="U202" s="128">
        <f ca="1">Yards[[#This Row],[Estimate]]*0.1</f>
        <v>251543.40010425012</v>
      </c>
      <c r="V202" s="47">
        <f ca="1">Yards[[#This Row],[Estimate]]-Yards[[#This Row],[Design Est.]]</f>
        <v>2263890.6009382508</v>
      </c>
      <c r="W202" s="85">
        <f ca="1">(Yards[[#This Row],['# yards]]*INDEX(UnitCosts[],MATCH(Yards[[#This Row],[WORK TYPE]],UnitCosts[Work Type],0),2))*(1+((Yards[[#This Row],[est. CONS Year]]-YEAR(TODAY()))*$W$3))</f>
        <v>2515434.0010425011</v>
      </c>
      <c r="X202" s="142">
        <f ca="1">IF(ISNUMBER(SEARCH("LLC",Yards[[#This Row],[PROGRAM]])),0,IF(Yards[[#This Row],[RAD/PACT by 2025]]="yes",0,1))</f>
        <v>1</v>
      </c>
      <c r="Y202" s="1"/>
      <c r="Z202" s="1"/>
      <c r="AA202" s="51">
        <f ca="1">COUNTIF($X$5:Yards[[#This Row],['# yards]],"&gt;0")-10</f>
        <v>122</v>
      </c>
      <c r="AB202" s="1">
        <f ca="1">IF(ISBLANK(Yards[[#This Row],[DSGN CALENDAR YEAR]]),ROUNDDOWN(Yards[[#This Row],[Count]]/24,0)+$AB$1,Yards[[#This Row],[DSGN CALENDAR YEAR]])</f>
        <v>2026</v>
      </c>
      <c r="AC202" s="16">
        <f ca="1">Yards[[#This Row],[est. DSGN Year]]+1</f>
        <v>2027</v>
      </c>
    </row>
    <row r="203" spans="1:29" hidden="1">
      <c r="A203" s="13" t="s">
        <v>365</v>
      </c>
      <c r="B203" s="51" t="str">
        <f>VLOOKUP(Yards[[#This Row],[DEVELOPMENT]],Data[],2,FALSE)</f>
        <v>STATEN ISLAND</v>
      </c>
      <c r="C20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03" s="51" t="str">
        <f>VLOOKUP(Yards[[#This Row],[DEVELOPMENT]],Data[],52,FALSE)</f>
        <v>MIXED FINANCE/LLC1</v>
      </c>
      <c r="E203" s="50">
        <f>VLOOKUP(Yards[[#This Row],[DEVELOPMENT]],Data[],8,FALSE)</f>
        <v>0</v>
      </c>
      <c r="F203" s="51" t="str">
        <f>VLOOKUP(Yards[[#This Row],[DEVELOPMENT]],all[[DEVELOPMENT]:[MRST Ext. Comp. Priority]],6,FALSE)</f>
        <v>None</v>
      </c>
      <c r="G203" s="51">
        <f>VLOOKUP(Yards[[#This Row],[DEVELOPMENT]],all[[DEVELOPMENT]:[MRST Ext. Comp. Priority]],13,FALSE)</f>
        <v>3</v>
      </c>
      <c r="H203" s="50">
        <f>IF(VLOOKUP(Yards[[#This Row],[DEVELOPMENT]],Data[],9,FALSE)=0,5,VLOOKUP(Yards[[#This Row],[DEVELOPMENT]],Data[],9,FALSE))</f>
        <v>5</v>
      </c>
      <c r="I203" s="51">
        <f>VLOOKUP(Yards[[#This Row],[DEVELOPMENT]],Data[],33,FALSE)</f>
        <v>2</v>
      </c>
      <c r="J203" s="51">
        <f>VLOOKUP(Yards[[#This Row],[DEVELOPMENT]],Data[],28,FALSE)</f>
        <v>0</v>
      </c>
      <c r="K203" s="51"/>
      <c r="L203" s="50"/>
      <c r="M203" s="51" t="str">
        <f ca="1">IFERROR(VLOOKUP(Yards[[#This Row],[DEVELOPMENT]],Data[],4,FALSE),"")</f>
        <v/>
      </c>
      <c r="N203" s="51" t="str">
        <f ca="1">IF(Yards[[#This Row],[RAD/PACT]]="","",IF(OR(Yards[[#This Row],[RAD/PACT]]="2022-2025",Yards[[#This Row],[RAD/PACT]]=2019,Yards[[#This Row],[RAD/PACT]]="2020-2021"),"Yes",""))</f>
        <v/>
      </c>
      <c r="O203" s="51">
        <f ca="1">IFERROR(VLOOKUP(Yards[[#This Row],[DEVELOPMENT]],ExtComp[],8,FALSE),"")</f>
        <v>18</v>
      </c>
      <c r="P203" s="51"/>
      <c r="Q203" s="51"/>
      <c r="R203" s="51" t="str">
        <f>IF(ISBLANK(Yards[[#This Row],[DSGN CALENDAR YEAR]]),"",Yards[[#This Row],[DSGN CALENDAR YEAR]]+1)</f>
        <v/>
      </c>
      <c r="S203" s="51" t="str">
        <f>IF(ISBLANK(Yards[[#This Row],[DSGN FISCAL YEAR]]),"",Yards[[#This Row],[DSGN FISCAL YEAR]]+1)</f>
        <v/>
      </c>
      <c r="T203" s="51"/>
      <c r="U203" s="128">
        <f ca="1">Yards[[#This Row],[Estimate]]*0.1</f>
        <v>0</v>
      </c>
      <c r="V203" s="47">
        <f ca="1">Yards[[#This Row],[Estimate]]-Yards[[#This Row],[Design Est.]]</f>
        <v>0</v>
      </c>
      <c r="W203" s="85">
        <f ca="1">(Yards[[#This Row],['# yards]]*INDEX(UnitCosts[],MATCH(Yards[[#This Row],[WORK TYPE]],UnitCosts[Work Type],0),2))*(1+((Yards[[#This Row],[est. CONS Year]]-YEAR(TODAY()))*$W$3))</f>
        <v>0</v>
      </c>
      <c r="X203" s="142">
        <f>IF(ISNUMBER(SEARCH("LLC",Yards[[#This Row],[PROGRAM]])),0,IF(Yards[[#This Row],[RAD/PACT by 2025]]="yes",0,1))</f>
        <v>0</v>
      </c>
      <c r="Y203" s="1"/>
      <c r="Z203" s="1"/>
      <c r="AA203" s="51">
        <f ca="1">COUNTIF($X$5:Yards[[#This Row],['# yards]],"&gt;0")-10</f>
        <v>122</v>
      </c>
      <c r="AB203" s="1">
        <f ca="1">IF(ISBLANK(Yards[[#This Row],[DSGN CALENDAR YEAR]]),ROUNDDOWN(Yards[[#This Row],[Count]]/24,0)+$AB$1,Yards[[#This Row],[DSGN CALENDAR YEAR]])</f>
        <v>2026</v>
      </c>
      <c r="AC203" s="16">
        <f ca="1">Yards[[#This Row],[est. DSGN Year]]+1</f>
        <v>2027</v>
      </c>
    </row>
    <row r="204" spans="1:29" hidden="1">
      <c r="A204" s="13" t="s">
        <v>359</v>
      </c>
      <c r="B204" s="51" t="str">
        <f>VLOOKUP(Yards[[#This Row],[DEVELOPMENT]],Data[],2,FALSE)</f>
        <v>MANHATTAN</v>
      </c>
      <c r="C204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04" s="51" t="str">
        <f>VLOOKUP(Yards[[#This Row],[DEVELOPMENT]],Data[],52,FALSE)</f>
        <v>MHOP</v>
      </c>
      <c r="E204" s="50">
        <f>VLOOKUP(Yards[[#This Row],[DEVELOPMENT]],Data[],8,FALSE)</f>
        <v>0</v>
      </c>
      <c r="F204" s="51" t="str">
        <f>VLOOKUP(Yards[[#This Row],[DEVELOPMENT]],all[[DEVELOPMENT]:[MRST Ext. Comp. Priority]],6,FALSE)</f>
        <v>None</v>
      </c>
      <c r="G204" s="51">
        <f>VLOOKUP(Yards[[#This Row],[DEVELOPMENT]],all[[DEVELOPMENT]:[MRST Ext. Comp. Priority]],13,FALSE)</f>
        <v>2</v>
      </c>
      <c r="H204" s="50">
        <f>IF(VLOOKUP(Yards[[#This Row],[DEVELOPMENT]],Data[],9,FALSE)=0,5,VLOOKUP(Yards[[#This Row],[DEVELOPMENT]],Data[],9,FALSE))</f>
        <v>5</v>
      </c>
      <c r="I204" s="51">
        <f>VLOOKUP(Yards[[#This Row],[DEVELOPMENT]],Data[],33,FALSE)</f>
        <v>0</v>
      </c>
      <c r="J204" s="51">
        <f>VLOOKUP(Yards[[#This Row],[DEVELOPMENT]],Data[],28,FALSE)</f>
        <v>0</v>
      </c>
      <c r="K204" s="51"/>
      <c r="L204" s="50"/>
      <c r="M204" s="51" t="str">
        <f ca="1">IFERROR(VLOOKUP(Yards[[#This Row],[DEVELOPMENT]],Data[],4,FALSE),"")</f>
        <v>2020-2021</v>
      </c>
      <c r="N204" s="51" t="str">
        <f ca="1">IF(Yards[[#This Row],[RAD/PACT]]="","",IF(OR(Yards[[#This Row],[RAD/PACT]]="2022-2025",Yards[[#This Row],[RAD/PACT]]=2019,Yards[[#This Row],[RAD/PACT]]="2020-2021"),"Yes",""))</f>
        <v>Yes</v>
      </c>
      <c r="O204" s="51" t="str">
        <f ca="1">IFERROR(VLOOKUP(Yards[[#This Row],[DEVELOPMENT]],ExtComp[],8,FALSE),"")</f>
        <v/>
      </c>
      <c r="P204" s="51"/>
      <c r="Q204" s="51"/>
      <c r="R204" s="51" t="str">
        <f>IF(ISBLANK(Yards[[#This Row],[DSGN CALENDAR YEAR]]),"",Yards[[#This Row],[DSGN CALENDAR YEAR]]+1)</f>
        <v/>
      </c>
      <c r="S204" s="51" t="str">
        <f>IF(ISBLANK(Yards[[#This Row],[DSGN FISCAL YEAR]]),"",Yards[[#This Row],[DSGN FISCAL YEAR]]+1)</f>
        <v/>
      </c>
      <c r="T204" s="51"/>
      <c r="U204" s="128">
        <f ca="1">Yards[[#This Row],[Estimate]]*0.1</f>
        <v>0</v>
      </c>
      <c r="V204" s="47">
        <f ca="1">Yards[[#This Row],[Estimate]]-Yards[[#This Row],[Design Est.]]</f>
        <v>0</v>
      </c>
      <c r="W204" s="85">
        <f ca="1">(Yards[[#This Row],['# yards]]*INDEX(UnitCosts[],MATCH(Yards[[#This Row],[WORK TYPE]],UnitCosts[Work Type],0),2))*(1+((Yards[[#This Row],[est. CONS Year]]-YEAR(TODAY()))*$W$3))</f>
        <v>0</v>
      </c>
      <c r="X204" s="142">
        <f ca="1">IF(ISNUMBER(SEARCH("LLC",Yards[[#This Row],[PROGRAM]])),0,IF(Yards[[#This Row],[RAD/PACT by 2025]]="yes",0,1))</f>
        <v>0</v>
      </c>
      <c r="Y204" s="1"/>
      <c r="Z204" s="1"/>
      <c r="AA204" s="51">
        <f ca="1">COUNTIF($X$5:Yards[[#This Row],['# yards]],"&gt;0")-10</f>
        <v>122</v>
      </c>
      <c r="AB204" s="1">
        <f ca="1">IF(ISBLANK(Yards[[#This Row],[DSGN CALENDAR YEAR]]),ROUNDDOWN(Yards[[#This Row],[Count]]/24,0)+$AB$1,Yards[[#This Row],[DSGN CALENDAR YEAR]])</f>
        <v>2026</v>
      </c>
      <c r="AC204" s="16">
        <f ca="1">Yards[[#This Row],[est. DSGN Year]]+1</f>
        <v>2027</v>
      </c>
    </row>
    <row r="205" spans="1:29">
      <c r="A205" s="13" t="s">
        <v>381</v>
      </c>
      <c r="B205" s="51" t="str">
        <f>VLOOKUP(Yards[[#This Row],[DEVELOPMENT]],Data[],2,FALSE)</f>
        <v>STATEN ISLAND</v>
      </c>
      <c r="C205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05" s="51" t="str">
        <f>VLOOKUP(Yards[[#This Row],[DEVELOPMENT]],Data[],52,FALSE)</f>
        <v>FEDERAL</v>
      </c>
      <c r="E205" s="50">
        <f>VLOOKUP(Yards[[#This Row],[DEVELOPMENT]],Data[],8,FALSE)</f>
        <v>0</v>
      </c>
      <c r="F205" s="51" t="str">
        <f>VLOOKUP(Yards[[#This Row],[DEVELOPMENT]],all[[DEVELOPMENT]:[MRST Ext. Comp. Priority]],6,FALSE)</f>
        <v>None</v>
      </c>
      <c r="G205" s="51">
        <f>VLOOKUP(Yards[[#This Row],[DEVELOPMENT]],all[[DEVELOPMENT]:[MRST Ext. Comp. Priority]],13,FALSE)</f>
        <v>2</v>
      </c>
      <c r="H205" s="50">
        <f>IF(VLOOKUP(Yards[[#This Row],[DEVELOPMENT]],Data[],9,FALSE)=0,5,VLOOKUP(Yards[[#This Row],[DEVELOPMENT]],Data[],9,FALSE))</f>
        <v>5</v>
      </c>
      <c r="I205" s="51">
        <f>VLOOKUP(Yards[[#This Row],[DEVELOPMENT]],Data[],33,FALSE)</f>
        <v>0</v>
      </c>
      <c r="J205" s="51">
        <f>VLOOKUP(Yards[[#This Row],[DEVELOPMENT]],Data[],28,FALSE)</f>
        <v>0</v>
      </c>
      <c r="K205" s="51"/>
      <c r="L205" s="50"/>
      <c r="M205" s="51" t="str">
        <f ca="1">IFERROR(VLOOKUP(Yards[[#This Row],[DEVELOPMENT]],Data[],4,FALSE),"")</f>
        <v/>
      </c>
      <c r="N205" s="51" t="str">
        <f ca="1">IF(Yards[[#This Row],[RAD/PACT]]="","",IF(OR(Yards[[#This Row],[RAD/PACT]]="2022-2025",Yards[[#This Row],[RAD/PACT]]=2019,Yards[[#This Row],[RAD/PACT]]="2020-2021"),"Yes",""))</f>
        <v/>
      </c>
      <c r="O205" s="51" t="str">
        <f ca="1">IFERROR(VLOOKUP(Yards[[#This Row],[DEVELOPMENT]],ExtComp[],8,FALSE),"")</f>
        <v/>
      </c>
      <c r="P205" s="51"/>
      <c r="Q205" s="51"/>
      <c r="R205" s="51" t="str">
        <f>IF(ISBLANK(Yards[[#This Row],[DSGN CALENDAR YEAR]]),"",Yards[[#This Row],[DSGN CALENDAR YEAR]]+1)</f>
        <v/>
      </c>
      <c r="S205" s="51" t="str">
        <f>IF(ISBLANK(Yards[[#This Row],[DSGN FISCAL YEAR]]),"",Yards[[#This Row],[DSGN FISCAL YEAR]]+1)</f>
        <v/>
      </c>
      <c r="T205" s="51"/>
      <c r="U205" s="128">
        <f ca="1">Yards[[#This Row],[Estimate]]*0.1</f>
        <v>225039.4463730001</v>
      </c>
      <c r="V205" s="47">
        <f ca="1">Yards[[#This Row],[Estimate]]-Yards[[#This Row],[Design Est.]]</f>
        <v>2025355.0173570008</v>
      </c>
      <c r="W205" s="85">
        <f ca="1">(Yards[[#This Row],['# yards]]*INDEX(UnitCosts[],MATCH(Yards[[#This Row],[WORK TYPE]],UnitCosts[Work Type],0),2))*(1+((Yards[[#This Row],[est. CONS Year]]-YEAR(TODAY()))*$W$3))</f>
        <v>2250394.4637300009</v>
      </c>
      <c r="X205" s="142">
        <f ca="1">IF(ISNUMBER(SEARCH("LLC",Yards[[#This Row],[PROGRAM]])),0,IF(Yards[[#This Row],[RAD/PACT by 2025]]="yes",0,1))</f>
        <v>1</v>
      </c>
      <c r="Y205" s="1"/>
      <c r="Z205" s="1"/>
      <c r="AA205" s="51">
        <f ca="1">COUNTIF($X$5:Yards[[#This Row],['# yards]],"&gt;0")-10</f>
        <v>123</v>
      </c>
      <c r="AB205" s="1">
        <f ca="1">IF(ISBLANK(Yards[[#This Row],[DSGN CALENDAR YEAR]]),ROUNDDOWN(Yards[[#This Row],[Count]]/24,0)+$AB$1,Yards[[#This Row],[DSGN CALENDAR YEAR]])</f>
        <v>2026</v>
      </c>
      <c r="AC205" s="16">
        <f ca="1">Yards[[#This Row],[est. DSGN Year]]+1</f>
        <v>2027</v>
      </c>
    </row>
    <row r="206" spans="1:29">
      <c r="A206" s="13" t="s">
        <v>390</v>
      </c>
      <c r="B206" s="51" t="str">
        <f>VLOOKUP(Yards[[#This Row],[DEVELOPMENT]],Data[],2,FALSE)</f>
        <v>MANHATTAN</v>
      </c>
      <c r="C20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06" s="51" t="str">
        <f>VLOOKUP(Yards[[#This Row],[DEVELOPMENT]],Data[],52,FALSE)</f>
        <v>FEDERAL</v>
      </c>
      <c r="E206" s="50" t="str">
        <f>VLOOKUP(Yards[[#This Row],[DEVELOPMENT]],Data[],8,FALSE)</f>
        <v>Zone 4</v>
      </c>
      <c r="F206" s="51" t="str">
        <f>VLOOKUP(Yards[[#This Row],[DEVELOPMENT]],all[[DEVELOPMENT]:[MRST Ext. Comp. Priority]],6,FALSE)</f>
        <v>None</v>
      </c>
      <c r="G206" s="51">
        <f>VLOOKUP(Yards[[#This Row],[DEVELOPMENT]],all[[DEVELOPMENT]:[MRST Ext. Comp. Priority]],13,FALSE)</f>
        <v>2</v>
      </c>
      <c r="H206" s="50">
        <f>IF(VLOOKUP(Yards[[#This Row],[DEVELOPMENT]],Data[],9,FALSE)=0,5,VLOOKUP(Yards[[#This Row],[DEVELOPMENT]],Data[],9,FALSE))</f>
        <v>5</v>
      </c>
      <c r="I206" s="51">
        <f>VLOOKUP(Yards[[#This Row],[DEVELOPMENT]],Data[],33,FALSE)</f>
        <v>0</v>
      </c>
      <c r="J206" s="51">
        <f>VLOOKUP(Yards[[#This Row],[DEVELOPMENT]],Data[],28,FALSE)</f>
        <v>0</v>
      </c>
      <c r="K206" s="51"/>
      <c r="L206" s="50"/>
      <c r="M206" s="51" t="str">
        <f ca="1">IFERROR(VLOOKUP(Yards[[#This Row],[DEVELOPMENT]],Data[],4,FALSE),"")</f>
        <v/>
      </c>
      <c r="N206" s="51" t="str">
        <f ca="1">IF(Yards[[#This Row],[RAD/PACT]]="","",IF(OR(Yards[[#This Row],[RAD/PACT]]="2022-2025",Yards[[#This Row],[RAD/PACT]]=2019,Yards[[#This Row],[RAD/PACT]]="2020-2021"),"Yes",""))</f>
        <v/>
      </c>
      <c r="O206" s="51" t="str">
        <f ca="1">IFERROR(VLOOKUP(Yards[[#This Row],[DEVELOPMENT]],ExtComp[],8,FALSE),"")</f>
        <v/>
      </c>
      <c r="P206" s="51"/>
      <c r="Q206" s="51"/>
      <c r="R206" s="51" t="str">
        <f>IF(ISBLANK(Yards[[#This Row],[DSGN CALENDAR YEAR]]),"",Yards[[#This Row],[DSGN CALENDAR YEAR]]+1)</f>
        <v/>
      </c>
      <c r="S206" s="51" t="str">
        <f>IF(ISBLANK(Yards[[#This Row],[DSGN FISCAL YEAR]]),"",Yards[[#This Row],[DSGN FISCAL YEAR]]+1)</f>
        <v/>
      </c>
      <c r="T206" s="51"/>
      <c r="U206" s="128">
        <f ca="1">Yards[[#This Row],[Estimate]]*0.1</f>
        <v>225039.4463730001</v>
      </c>
      <c r="V206" s="47">
        <f ca="1">Yards[[#This Row],[Estimate]]-Yards[[#This Row],[Design Est.]]</f>
        <v>2025355.0173570008</v>
      </c>
      <c r="W206" s="85">
        <f ca="1">(Yards[[#This Row],['# yards]]*INDEX(UnitCosts[],MATCH(Yards[[#This Row],[WORK TYPE]],UnitCosts[Work Type],0),2))*(1+((Yards[[#This Row],[est. CONS Year]]-YEAR(TODAY()))*$W$3))</f>
        <v>2250394.4637300009</v>
      </c>
      <c r="X206" s="142">
        <f ca="1">IF(ISNUMBER(SEARCH("LLC",Yards[[#This Row],[PROGRAM]])),0,IF(Yards[[#This Row],[RAD/PACT by 2025]]="yes",0,1))</f>
        <v>1</v>
      </c>
      <c r="Y206" s="1"/>
      <c r="Z206" s="1"/>
      <c r="AA206" s="51">
        <f ca="1">COUNTIF($X$5:Yards[[#This Row],['# yards]],"&gt;0")-10</f>
        <v>124</v>
      </c>
      <c r="AB206" s="1">
        <f ca="1">IF(ISBLANK(Yards[[#This Row],[DSGN CALENDAR YEAR]]),ROUNDDOWN(Yards[[#This Row],[Count]]/24,0)+$AB$1,Yards[[#This Row],[DSGN CALENDAR YEAR]])</f>
        <v>2026</v>
      </c>
      <c r="AC206" s="16">
        <f ca="1">Yards[[#This Row],[est. DSGN Year]]+1</f>
        <v>2027</v>
      </c>
    </row>
    <row r="207" spans="1:29">
      <c r="A207" s="13" t="s">
        <v>391</v>
      </c>
      <c r="B207" s="51" t="str">
        <f>VLOOKUP(Yards[[#This Row],[DEVELOPMENT]],Data[],2,FALSE)</f>
        <v>MANHATTAN</v>
      </c>
      <c r="C20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07" s="51" t="str">
        <f>VLOOKUP(Yards[[#This Row],[DEVELOPMENT]],Data[],52,FALSE)</f>
        <v>FEDERAL</v>
      </c>
      <c r="E207" s="50">
        <f>VLOOKUP(Yards[[#This Row],[DEVELOPMENT]],Data[],8,FALSE)</f>
        <v>0</v>
      </c>
      <c r="F207" s="51" t="str">
        <f>VLOOKUP(Yards[[#This Row],[DEVELOPMENT]],all[[DEVELOPMENT]:[MRST Ext. Comp. Priority]],6,FALSE)</f>
        <v>None</v>
      </c>
      <c r="G207" s="51">
        <f>VLOOKUP(Yards[[#This Row],[DEVELOPMENT]],all[[DEVELOPMENT]:[MRST Ext. Comp. Priority]],13,FALSE)</f>
        <v>2</v>
      </c>
      <c r="H207" s="50">
        <f>IF(VLOOKUP(Yards[[#This Row],[DEVELOPMENT]],Data[],9,FALSE)=0,5,VLOOKUP(Yards[[#This Row],[DEVELOPMENT]],Data[],9,FALSE))</f>
        <v>5</v>
      </c>
      <c r="I207" s="51">
        <f>VLOOKUP(Yards[[#This Row],[DEVELOPMENT]],Data[],33,FALSE)</f>
        <v>0</v>
      </c>
      <c r="J207" s="51">
        <f>VLOOKUP(Yards[[#This Row],[DEVELOPMENT]],Data[],28,FALSE)</f>
        <v>0</v>
      </c>
      <c r="K207" s="51"/>
      <c r="L207" s="50"/>
      <c r="M207" s="51" t="str">
        <f ca="1">IFERROR(VLOOKUP(Yards[[#This Row],[DEVELOPMENT]],Data[],4,FALSE),"")</f>
        <v/>
      </c>
      <c r="N207" s="51" t="str">
        <f ca="1">IF(Yards[[#This Row],[RAD/PACT]]="","",IF(OR(Yards[[#This Row],[RAD/PACT]]="2022-2025",Yards[[#This Row],[RAD/PACT]]=2019,Yards[[#This Row],[RAD/PACT]]="2020-2021"),"Yes",""))</f>
        <v/>
      </c>
      <c r="O207" s="51" t="str">
        <f ca="1">IFERROR(VLOOKUP(Yards[[#This Row],[DEVELOPMENT]],ExtComp[],8,FALSE),"")</f>
        <v/>
      </c>
      <c r="P207" s="51"/>
      <c r="Q207" s="51"/>
      <c r="R207" s="51" t="str">
        <f>IF(ISBLANK(Yards[[#This Row],[DSGN CALENDAR YEAR]]),"",Yards[[#This Row],[DSGN CALENDAR YEAR]]+1)</f>
        <v/>
      </c>
      <c r="S207" s="51" t="str">
        <f>IF(ISBLANK(Yards[[#This Row],[DSGN FISCAL YEAR]]),"",Yards[[#This Row],[DSGN FISCAL YEAR]]+1)</f>
        <v/>
      </c>
      <c r="T207" s="51"/>
      <c r="U207" s="128">
        <f ca="1">Yards[[#This Row],[Estimate]]*0.1</f>
        <v>225039.4463730001</v>
      </c>
      <c r="V207" s="47">
        <f ca="1">Yards[[#This Row],[Estimate]]-Yards[[#This Row],[Design Est.]]</f>
        <v>2025355.0173570008</v>
      </c>
      <c r="W207" s="85">
        <f ca="1">(Yards[[#This Row],['# yards]]*INDEX(UnitCosts[],MATCH(Yards[[#This Row],[WORK TYPE]],UnitCosts[Work Type],0),2))*(1+((Yards[[#This Row],[est. CONS Year]]-YEAR(TODAY()))*$W$3))</f>
        <v>2250394.4637300009</v>
      </c>
      <c r="X207" s="142">
        <f ca="1">IF(ISNUMBER(SEARCH("LLC",Yards[[#This Row],[PROGRAM]])),0,IF(Yards[[#This Row],[RAD/PACT by 2025]]="yes",0,1))</f>
        <v>1</v>
      </c>
      <c r="Y207" s="1"/>
      <c r="Z207" s="1"/>
      <c r="AA207" s="51">
        <f ca="1">COUNTIF($X$5:Yards[[#This Row],['# yards]],"&gt;0")-10</f>
        <v>125</v>
      </c>
      <c r="AB207" s="1">
        <f ca="1">IF(ISBLANK(Yards[[#This Row],[DSGN CALENDAR YEAR]]),ROUNDDOWN(Yards[[#This Row],[Count]]/24,0)+$AB$1,Yards[[#This Row],[DSGN CALENDAR YEAR]])</f>
        <v>2026</v>
      </c>
      <c r="AC207" s="16">
        <f ca="1">Yards[[#This Row],[est. DSGN Year]]+1</f>
        <v>2027</v>
      </c>
    </row>
    <row r="208" spans="1:29" hidden="1">
      <c r="A208" s="13" t="s">
        <v>368</v>
      </c>
      <c r="B208" s="51" t="str">
        <f>VLOOKUP(Yards[[#This Row],[DEVELOPMENT]],Data[],2,FALSE)</f>
        <v>BROOKLYN</v>
      </c>
      <c r="C208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08" s="51" t="str">
        <f>VLOOKUP(Yards[[#This Row],[DEVELOPMENT]],Data[],52,FALSE)</f>
        <v>FEDERAL</v>
      </c>
      <c r="E208" s="50">
        <f>VLOOKUP(Yards[[#This Row],[DEVELOPMENT]],Data[],8,FALSE)</f>
        <v>0</v>
      </c>
      <c r="F208" s="51" t="str">
        <f>VLOOKUP(Yards[[#This Row],[DEVELOPMENT]],all[[DEVELOPMENT]:[MRST Ext. Comp. Priority]],6,FALSE)</f>
        <v>None</v>
      </c>
      <c r="G208" s="51">
        <f>VLOOKUP(Yards[[#This Row],[DEVELOPMENT]],all[[DEVELOPMENT]:[MRST Ext. Comp. Priority]],13,FALSE)</f>
        <v>2</v>
      </c>
      <c r="H208" s="50">
        <f>IF(VLOOKUP(Yards[[#This Row],[DEVELOPMENT]],Data[],9,FALSE)=0,5,VLOOKUP(Yards[[#This Row],[DEVELOPMENT]],Data[],9,FALSE))</f>
        <v>5</v>
      </c>
      <c r="I208" s="51">
        <f>VLOOKUP(Yards[[#This Row],[DEVELOPMENT]],Data[],33,FALSE)</f>
        <v>0</v>
      </c>
      <c r="J208" s="51">
        <f>VLOOKUP(Yards[[#This Row],[DEVELOPMENT]],Data[],28,FALSE)</f>
        <v>0</v>
      </c>
      <c r="K208" s="51"/>
      <c r="L208" s="50"/>
      <c r="M208" s="51" t="str">
        <f ca="1">IFERROR(VLOOKUP(Yards[[#This Row],[DEVELOPMENT]],Data[],4,FALSE),"")</f>
        <v>2020-2021</v>
      </c>
      <c r="N208" s="51" t="str">
        <f ca="1">IF(Yards[[#This Row],[RAD/PACT]]="","",IF(OR(Yards[[#This Row],[RAD/PACT]]="2022-2025",Yards[[#This Row],[RAD/PACT]]=2019,Yards[[#This Row],[RAD/PACT]]="2020-2021"),"Yes",""))</f>
        <v>Yes</v>
      </c>
      <c r="O208" s="51" t="str">
        <f ca="1">IFERROR(VLOOKUP(Yards[[#This Row],[DEVELOPMENT]],ExtComp[],8,FALSE),"")</f>
        <v/>
      </c>
      <c r="P208" s="51"/>
      <c r="Q208" s="51"/>
      <c r="R208" s="51" t="str">
        <f>IF(ISBLANK(Yards[[#This Row],[DSGN CALENDAR YEAR]]),"",Yards[[#This Row],[DSGN CALENDAR YEAR]]+1)</f>
        <v/>
      </c>
      <c r="S208" s="51" t="str">
        <f>IF(ISBLANK(Yards[[#This Row],[DSGN FISCAL YEAR]]),"",Yards[[#This Row],[DSGN FISCAL YEAR]]+1)</f>
        <v/>
      </c>
      <c r="T208" s="51"/>
      <c r="U208" s="128">
        <f ca="1">Yards[[#This Row],[Estimate]]*0.1</f>
        <v>0</v>
      </c>
      <c r="V208" s="47">
        <f ca="1">Yards[[#This Row],[Estimate]]-Yards[[#This Row],[Design Est.]]</f>
        <v>0</v>
      </c>
      <c r="W208" s="85">
        <f ca="1">(Yards[[#This Row],['# yards]]*INDEX(UnitCosts[],MATCH(Yards[[#This Row],[WORK TYPE]],UnitCosts[Work Type],0),2))*(1+((Yards[[#This Row],[est. CONS Year]]-YEAR(TODAY()))*$W$3))</f>
        <v>0</v>
      </c>
      <c r="X208" s="142">
        <f ca="1">IF(ISNUMBER(SEARCH("LLC",Yards[[#This Row],[PROGRAM]])),0,IF(Yards[[#This Row],[RAD/PACT by 2025]]="yes",0,1))</f>
        <v>0</v>
      </c>
      <c r="Y208" s="1"/>
      <c r="Z208" s="1"/>
      <c r="AA208" s="51">
        <f ca="1">COUNTIF($X$5:Yards[[#This Row],['# yards]],"&gt;0")-10</f>
        <v>125</v>
      </c>
      <c r="AB208" s="1">
        <f ca="1">IF(ISBLANK(Yards[[#This Row],[DSGN CALENDAR YEAR]]),ROUNDDOWN(Yards[[#This Row],[Count]]/24,0)+$AB$1,Yards[[#This Row],[DSGN CALENDAR YEAR]])</f>
        <v>2026</v>
      </c>
      <c r="AC208" s="16">
        <f ca="1">Yards[[#This Row],[est. DSGN Year]]+1</f>
        <v>2027</v>
      </c>
    </row>
    <row r="209" spans="1:29" hidden="1">
      <c r="A209" s="13" t="s">
        <v>293</v>
      </c>
      <c r="B209" s="51" t="str">
        <f>VLOOKUP(Yards[[#This Row],[DEVELOPMENT]],Data[],2,FALSE)</f>
        <v>BRONX</v>
      </c>
      <c r="C209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09" s="51" t="str">
        <f>VLOOKUP(Yards[[#This Row],[DEVELOPMENT]],Data[],52,FALSE)</f>
        <v>FEDERAL</v>
      </c>
      <c r="E209" s="50">
        <f>VLOOKUP(Yards[[#This Row],[DEVELOPMENT]],Data[],8,FALSE)</f>
        <v>0</v>
      </c>
      <c r="F209" s="51" t="str">
        <f>VLOOKUP(Yards[[#This Row],[DEVELOPMENT]],all[[DEVELOPMENT]:[MRST Ext. Comp. Priority]],6,FALSE)</f>
        <v>None</v>
      </c>
      <c r="G209" s="51">
        <f>VLOOKUP(Yards[[#This Row],[DEVELOPMENT]],all[[DEVELOPMENT]:[MRST Ext. Comp. Priority]],13,FALSE)</f>
        <v>2</v>
      </c>
      <c r="H209" s="50">
        <f>IF(VLOOKUP(Yards[[#This Row],[DEVELOPMENT]],Data[],9,FALSE)=0,5,VLOOKUP(Yards[[#This Row],[DEVELOPMENT]],Data[],9,FALSE))</f>
        <v>5</v>
      </c>
      <c r="I209" s="51">
        <f>VLOOKUP(Yards[[#This Row],[DEVELOPMENT]],Data[],33,FALSE)</f>
        <v>0</v>
      </c>
      <c r="J209" s="51">
        <f>VLOOKUP(Yards[[#This Row],[DEVELOPMENT]],Data[],28,FALSE)</f>
        <v>0</v>
      </c>
      <c r="K209" s="51"/>
      <c r="L209" s="50"/>
      <c r="M209" s="51" t="str">
        <f ca="1">IFERROR(VLOOKUP(Yards[[#This Row],[DEVELOPMENT]],Data[],4,FALSE),"")</f>
        <v>2022-2025</v>
      </c>
      <c r="N209" s="51" t="str">
        <f ca="1">IF(Yards[[#This Row],[RAD/PACT]]="","",IF(OR(Yards[[#This Row],[RAD/PACT]]="2022-2025",Yards[[#This Row],[RAD/PACT]]=2019,Yards[[#This Row],[RAD/PACT]]="2020-2021"),"Yes",""))</f>
        <v>Yes</v>
      </c>
      <c r="O209" s="51" t="str">
        <f ca="1">IFERROR(VLOOKUP(Yards[[#This Row],[DEVELOPMENT]],ExtComp[],8,FALSE),"")</f>
        <v/>
      </c>
      <c r="P209" s="51"/>
      <c r="Q209" s="51"/>
      <c r="R209" s="51" t="str">
        <f>IF(ISBLANK(Yards[[#This Row],[DSGN CALENDAR YEAR]]),"",Yards[[#This Row],[DSGN CALENDAR YEAR]]+1)</f>
        <v/>
      </c>
      <c r="S209" s="51" t="str">
        <f>IF(ISBLANK(Yards[[#This Row],[DSGN FISCAL YEAR]]),"",Yards[[#This Row],[DSGN FISCAL YEAR]]+1)</f>
        <v/>
      </c>
      <c r="T209" s="51"/>
      <c r="U209" s="128">
        <f ca="1">Yards[[#This Row],[Estimate]]*0.1</f>
        <v>0</v>
      </c>
      <c r="V209" s="47">
        <f ca="1">Yards[[#This Row],[Estimate]]-Yards[[#This Row],[Design Est.]]</f>
        <v>0</v>
      </c>
      <c r="W209" s="85">
        <f ca="1">(Yards[[#This Row],['# yards]]*INDEX(UnitCosts[],MATCH(Yards[[#This Row],[WORK TYPE]],UnitCosts[Work Type],0),2))*(1+((Yards[[#This Row],[est. CONS Year]]-YEAR(TODAY()))*$W$3))</f>
        <v>0</v>
      </c>
      <c r="X209" s="142">
        <f ca="1">IF(ISNUMBER(SEARCH("LLC",Yards[[#This Row],[PROGRAM]])),0,IF(Yards[[#This Row],[RAD/PACT by 2025]]="yes",0,1))</f>
        <v>0</v>
      </c>
      <c r="Y209" s="1"/>
      <c r="Z209" s="1"/>
      <c r="AA209" s="51">
        <f ca="1">COUNTIF($X$5:Yards[[#This Row],['# yards]],"&gt;0")-10</f>
        <v>125</v>
      </c>
      <c r="AB209" s="1">
        <f ca="1">IF(ISBLANK(Yards[[#This Row],[DSGN CALENDAR YEAR]]),ROUNDDOWN(Yards[[#This Row],[Count]]/24,0)+$AB$1,Yards[[#This Row],[DSGN CALENDAR YEAR]])</f>
        <v>2026</v>
      </c>
      <c r="AC209" s="16">
        <f ca="1">Yards[[#This Row],[est. DSGN Year]]+1</f>
        <v>2027</v>
      </c>
    </row>
    <row r="210" spans="1:29" hidden="1">
      <c r="A210" s="13" t="s">
        <v>384</v>
      </c>
      <c r="B210" s="51" t="str">
        <f>VLOOKUP(Yards[[#This Row],[DEVELOPMENT]],Data[],2,FALSE)</f>
        <v>BROOKLYN</v>
      </c>
      <c r="C210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10" s="51" t="str">
        <f>VLOOKUP(Yards[[#This Row],[DEVELOPMENT]],Data[],52,FALSE)</f>
        <v>MIXED FINANCE/LLC2</v>
      </c>
      <c r="E210" s="50">
        <f>VLOOKUP(Yards[[#This Row],[DEVELOPMENT]],Data[],8,FALSE)</f>
        <v>0</v>
      </c>
      <c r="F210" s="51" t="str">
        <f>VLOOKUP(Yards[[#This Row],[DEVELOPMENT]],all[[DEVELOPMENT]:[MRST Ext. Comp. Priority]],6,FALSE)</f>
        <v>None</v>
      </c>
      <c r="G210" s="51">
        <f>VLOOKUP(Yards[[#This Row],[DEVELOPMENT]],all[[DEVELOPMENT]:[MRST Ext. Comp. Priority]],13,FALSE)</f>
        <v>3</v>
      </c>
      <c r="H210" s="50">
        <f>IF(VLOOKUP(Yards[[#This Row],[DEVELOPMENT]],Data[],9,FALSE)=0,5,VLOOKUP(Yards[[#This Row],[DEVELOPMENT]],Data[],9,FALSE))</f>
        <v>5</v>
      </c>
      <c r="I210" s="51">
        <f>VLOOKUP(Yards[[#This Row],[DEVELOPMENT]],Data[],33,FALSE)</f>
        <v>1</v>
      </c>
      <c r="J210" s="51">
        <f>VLOOKUP(Yards[[#This Row],[DEVELOPMENT]],Data[],28,FALSE)</f>
        <v>1</v>
      </c>
      <c r="K210" s="51"/>
      <c r="L210" s="50"/>
      <c r="M210" s="51">
        <f ca="1">IFERROR(VLOOKUP(Yards[[#This Row],[DEVELOPMENT]],Data[],4,FALSE),"")</f>
        <v>2019</v>
      </c>
      <c r="N210" s="51" t="str">
        <f ca="1">IF(Yards[[#This Row],[RAD/PACT]]="","",IF(OR(Yards[[#This Row],[RAD/PACT]]="2022-2025",Yards[[#This Row],[RAD/PACT]]=2019,Yards[[#This Row],[RAD/PACT]]="2020-2021"),"Yes",""))</f>
        <v>Yes</v>
      </c>
      <c r="O210" s="51">
        <f ca="1">IFERROR(VLOOKUP(Yards[[#This Row],[DEVELOPMENT]],ExtComp[],8,FALSE),"")</f>
        <v>11</v>
      </c>
      <c r="P210" s="51"/>
      <c r="Q210" s="51"/>
      <c r="R210" s="51" t="str">
        <f>IF(ISBLANK(Yards[[#This Row],[DSGN CALENDAR YEAR]]),"",Yards[[#This Row],[DSGN CALENDAR YEAR]]+1)</f>
        <v/>
      </c>
      <c r="S210" s="51" t="str">
        <f>IF(ISBLANK(Yards[[#This Row],[DSGN FISCAL YEAR]]),"",Yards[[#This Row],[DSGN FISCAL YEAR]]+1)</f>
        <v/>
      </c>
      <c r="T210" s="51"/>
      <c r="U210" s="128">
        <f ca="1">Yards[[#This Row],[Estimate]]*0.1</f>
        <v>0</v>
      </c>
      <c r="V210" s="47">
        <f ca="1">Yards[[#This Row],[Estimate]]-Yards[[#This Row],[Design Est.]]</f>
        <v>0</v>
      </c>
      <c r="W210" s="85">
        <f ca="1">(Yards[[#This Row],['# yards]]*INDEX(UnitCosts[],MATCH(Yards[[#This Row],[WORK TYPE]],UnitCosts[Work Type],0),2))*(1+((Yards[[#This Row],[est. CONS Year]]-YEAR(TODAY()))*$W$3))</f>
        <v>0</v>
      </c>
      <c r="X210" s="142">
        <f>IF(ISNUMBER(SEARCH("LLC",Yards[[#This Row],[PROGRAM]])),0,IF(Yards[[#This Row],[RAD/PACT by 2025]]="yes",0,1))</f>
        <v>0</v>
      </c>
      <c r="Y210" s="1"/>
      <c r="Z210" s="1"/>
      <c r="AA210" s="51">
        <f ca="1">COUNTIF($X$5:Yards[[#This Row],['# yards]],"&gt;0")-10</f>
        <v>125</v>
      </c>
      <c r="AB210" s="1">
        <f ca="1">IF(ISBLANK(Yards[[#This Row],[DSGN CALENDAR YEAR]]),ROUNDDOWN(Yards[[#This Row],[Count]]/24,0)+$AB$1,Yards[[#This Row],[DSGN CALENDAR YEAR]])</f>
        <v>2026</v>
      </c>
      <c r="AC210" s="16">
        <f ca="1">Yards[[#This Row],[est. DSGN Year]]+1</f>
        <v>2027</v>
      </c>
    </row>
    <row r="211" spans="1:29" hidden="1">
      <c r="A211" s="13" t="s">
        <v>294</v>
      </c>
      <c r="B211" s="51" t="str">
        <f>VLOOKUP(Yards[[#This Row],[DEVELOPMENT]],Data[],2,FALSE)</f>
        <v>BROOKLYN</v>
      </c>
      <c r="C211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11" s="51" t="str">
        <f>VLOOKUP(Yards[[#This Row],[DEVELOPMENT]],Data[],52,FALSE)</f>
        <v>FEDERAL</v>
      </c>
      <c r="E211" s="50">
        <f>VLOOKUP(Yards[[#This Row],[DEVELOPMENT]],Data[],8,FALSE)</f>
        <v>0</v>
      </c>
      <c r="F211" s="51" t="str">
        <f>VLOOKUP(Yards[[#This Row],[DEVELOPMENT]],all[[DEVELOPMENT]:[MRST Ext. Comp. Priority]],6,FALSE)</f>
        <v>None</v>
      </c>
      <c r="G211" s="51">
        <f>VLOOKUP(Yards[[#This Row],[DEVELOPMENT]],all[[DEVELOPMENT]:[MRST Ext. Comp. Priority]],13,FALSE)</f>
        <v>2</v>
      </c>
      <c r="H211" s="50">
        <f>IF(VLOOKUP(Yards[[#This Row],[DEVELOPMENT]],Data[],9,FALSE)=0,5,VLOOKUP(Yards[[#This Row],[DEVELOPMENT]],Data[],9,FALSE))</f>
        <v>5</v>
      </c>
      <c r="I211" s="51">
        <f>VLOOKUP(Yards[[#This Row],[DEVELOPMENT]],Data[],33,FALSE)</f>
        <v>0</v>
      </c>
      <c r="J211" s="51">
        <f>VLOOKUP(Yards[[#This Row],[DEVELOPMENT]],Data[],28,FALSE)</f>
        <v>0</v>
      </c>
      <c r="K211" s="51"/>
      <c r="L211" s="50"/>
      <c r="M211" s="51">
        <f ca="1">IFERROR(VLOOKUP(Yards[[#This Row],[DEVELOPMENT]],Data[],4,FALSE),"")</f>
        <v>2019</v>
      </c>
      <c r="N211" s="51" t="str">
        <f ca="1">IF(Yards[[#This Row],[RAD/PACT]]="","",IF(OR(Yards[[#This Row],[RAD/PACT]]="2022-2025",Yards[[#This Row],[RAD/PACT]]=2019,Yards[[#This Row],[RAD/PACT]]="2020-2021"),"Yes",""))</f>
        <v>Yes</v>
      </c>
      <c r="O211" s="51" t="str">
        <f ca="1">IFERROR(VLOOKUP(Yards[[#This Row],[DEVELOPMENT]],ExtComp[],8,FALSE),"")</f>
        <v/>
      </c>
      <c r="P211" s="51"/>
      <c r="Q211" s="51"/>
      <c r="R211" s="51" t="str">
        <f>IF(ISBLANK(Yards[[#This Row],[DSGN CALENDAR YEAR]]),"",Yards[[#This Row],[DSGN CALENDAR YEAR]]+1)</f>
        <v/>
      </c>
      <c r="S211" s="51" t="str">
        <f>IF(ISBLANK(Yards[[#This Row],[DSGN FISCAL YEAR]]),"",Yards[[#This Row],[DSGN FISCAL YEAR]]+1)</f>
        <v/>
      </c>
      <c r="T211" s="51"/>
      <c r="U211" s="128">
        <f ca="1">Yards[[#This Row],[Estimate]]*0.1</f>
        <v>0</v>
      </c>
      <c r="V211" s="47">
        <f ca="1">Yards[[#This Row],[Estimate]]-Yards[[#This Row],[Design Est.]]</f>
        <v>0</v>
      </c>
      <c r="W211" s="85">
        <f ca="1">(Yards[[#This Row],['# yards]]*INDEX(UnitCosts[],MATCH(Yards[[#This Row],[WORK TYPE]],UnitCosts[Work Type],0),2))*(1+((Yards[[#This Row],[est. CONS Year]]-YEAR(TODAY()))*$W$3))</f>
        <v>0</v>
      </c>
      <c r="X211" s="142">
        <f ca="1">IF(ISNUMBER(SEARCH("LLC",Yards[[#This Row],[PROGRAM]])),0,IF(Yards[[#This Row],[RAD/PACT by 2025]]="yes",0,1))</f>
        <v>0</v>
      </c>
      <c r="Y211" s="1"/>
      <c r="Z211" s="1"/>
      <c r="AA211" s="51">
        <f ca="1">COUNTIF($X$5:Yards[[#This Row],['# yards]],"&gt;0")-10</f>
        <v>125</v>
      </c>
      <c r="AB211" s="1">
        <f ca="1">IF(ISBLANK(Yards[[#This Row],[DSGN CALENDAR YEAR]]),ROUNDDOWN(Yards[[#This Row],[Count]]/24,0)+$AB$1,Yards[[#This Row],[DSGN CALENDAR YEAR]])</f>
        <v>2026</v>
      </c>
      <c r="AC211" s="16">
        <f ca="1">Yards[[#This Row],[est. DSGN Year]]+1</f>
        <v>2027</v>
      </c>
    </row>
    <row r="212" spans="1:29" hidden="1">
      <c r="A212" s="13" t="s">
        <v>296</v>
      </c>
      <c r="B212" s="51" t="str">
        <f>VLOOKUP(Yards[[#This Row],[DEVELOPMENT]],Data[],2,FALSE)</f>
        <v>BROOKLYN</v>
      </c>
      <c r="C212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212" s="51" t="str">
        <f>VLOOKUP(Yards[[#This Row],[DEVELOPMENT]],Data[],52,FALSE)</f>
        <v>FEDERAL</v>
      </c>
      <c r="E212" s="50">
        <f>VLOOKUP(Yards[[#This Row],[DEVELOPMENT]],Data[],8,FALSE)</f>
        <v>0</v>
      </c>
      <c r="F212" s="51" t="str">
        <f>VLOOKUP(Yards[[#This Row],[DEVELOPMENT]],all[[DEVELOPMENT]:[MRST Ext. Comp. Priority]],6,FALSE)</f>
        <v>None</v>
      </c>
      <c r="G212" s="51">
        <f>VLOOKUP(Yards[[#This Row],[DEVELOPMENT]],all[[DEVELOPMENT]:[MRST Ext. Comp. Priority]],13,FALSE)</f>
        <v>2</v>
      </c>
      <c r="H212" s="50">
        <f>IF(VLOOKUP(Yards[[#This Row],[DEVELOPMENT]],Data[],9,FALSE)=0,5,VLOOKUP(Yards[[#This Row],[DEVELOPMENT]],Data[],9,FALSE))</f>
        <v>5</v>
      </c>
      <c r="I212" s="51">
        <f>VLOOKUP(Yards[[#This Row],[DEVELOPMENT]],Data[],33,FALSE)</f>
        <v>3</v>
      </c>
      <c r="J212" s="51">
        <f>VLOOKUP(Yards[[#This Row],[DEVELOPMENT]],Data[],28,FALSE)</f>
        <v>0</v>
      </c>
      <c r="K212" s="51"/>
      <c r="L212" s="50"/>
      <c r="M212" s="51" t="str">
        <f ca="1">IFERROR(VLOOKUP(Yards[[#This Row],[DEVELOPMENT]],Data[],4,FALSE),"")</f>
        <v>2022-2025</v>
      </c>
      <c r="N212" s="51" t="str">
        <f ca="1">IF(Yards[[#This Row],[RAD/PACT]]="","",IF(OR(Yards[[#This Row],[RAD/PACT]]="2022-2025",Yards[[#This Row],[RAD/PACT]]=2019,Yards[[#This Row],[RAD/PACT]]="2020-2021"),"Yes",""))</f>
        <v>Yes</v>
      </c>
      <c r="O212" s="51">
        <f ca="1">IFERROR(VLOOKUP(Yards[[#This Row],[DEVELOPMENT]],ExtComp[],8,FALSE),"")</f>
        <v>13</v>
      </c>
      <c r="P212" s="51"/>
      <c r="Q212" s="51"/>
      <c r="R212" s="51" t="str">
        <f>IF(ISBLANK(Yards[[#This Row],[DSGN CALENDAR YEAR]]),"",Yards[[#This Row],[DSGN CALENDAR YEAR]]+1)</f>
        <v/>
      </c>
      <c r="S212" s="51" t="str">
        <f>IF(ISBLANK(Yards[[#This Row],[DSGN FISCAL YEAR]]),"",Yards[[#This Row],[DSGN FISCAL YEAR]]+1)</f>
        <v/>
      </c>
      <c r="T212" s="51"/>
      <c r="U212" s="128">
        <f ca="1">Yards[[#This Row],[Estimate]]*0.1</f>
        <v>0</v>
      </c>
      <c r="V212" s="47">
        <f ca="1">Yards[[#This Row],[Estimate]]-Yards[[#This Row],[Design Est.]]</f>
        <v>0</v>
      </c>
      <c r="W212" s="85">
        <f ca="1">(Yards[[#This Row],['# yards]]*INDEX(UnitCosts[],MATCH(Yards[[#This Row],[WORK TYPE]],UnitCosts[Work Type],0),2))*(1+((Yards[[#This Row],[est. CONS Year]]-YEAR(TODAY()))*$W$3))</f>
        <v>0</v>
      </c>
      <c r="X212" s="142">
        <f ca="1">IF(ISNUMBER(SEARCH("LLC",Yards[[#This Row],[PROGRAM]])),0,IF(Yards[[#This Row],[RAD/PACT by 2025]]="yes",0,1))</f>
        <v>0</v>
      </c>
      <c r="Y212" s="1"/>
      <c r="Z212" s="1"/>
      <c r="AA212" s="51">
        <f ca="1">COUNTIF($X$5:Yards[[#This Row],['# yards]],"&gt;0")-10</f>
        <v>125</v>
      </c>
      <c r="AB212" s="1">
        <f ca="1">IF(ISBLANK(Yards[[#This Row],[DSGN CALENDAR YEAR]]),ROUNDDOWN(Yards[[#This Row],[Count]]/24,0)+$AB$1,Yards[[#This Row],[DSGN CALENDAR YEAR]])</f>
        <v>2026</v>
      </c>
      <c r="AC212" s="16">
        <f ca="1">Yards[[#This Row],[est. DSGN Year]]+1</f>
        <v>2027</v>
      </c>
    </row>
    <row r="213" spans="1:29" hidden="1">
      <c r="A213" s="13" t="s">
        <v>297</v>
      </c>
      <c r="B213" s="51" t="str">
        <f>VLOOKUP(Yards[[#This Row],[DEVELOPMENT]],Data[],2,FALSE)</f>
        <v>BROOKLYN</v>
      </c>
      <c r="C213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13" s="51" t="str">
        <f>VLOOKUP(Yards[[#This Row],[DEVELOPMENT]],Data[],52,FALSE)</f>
        <v>FEDERAL</v>
      </c>
      <c r="E213" s="50">
        <f>VLOOKUP(Yards[[#This Row],[DEVELOPMENT]],Data[],8,FALSE)</f>
        <v>0</v>
      </c>
      <c r="F213" s="51" t="str">
        <f>VLOOKUP(Yards[[#This Row],[DEVELOPMENT]],all[[DEVELOPMENT]:[MRST Ext. Comp. Priority]],6,FALSE)</f>
        <v>None</v>
      </c>
      <c r="G213" s="51">
        <f>VLOOKUP(Yards[[#This Row],[DEVELOPMENT]],all[[DEVELOPMENT]:[MRST Ext. Comp. Priority]],13,FALSE)</f>
        <v>2</v>
      </c>
      <c r="H213" s="50">
        <f>IF(VLOOKUP(Yards[[#This Row],[DEVELOPMENT]],Data[],9,FALSE)=0,5,VLOOKUP(Yards[[#This Row],[DEVELOPMENT]],Data[],9,FALSE))</f>
        <v>5</v>
      </c>
      <c r="I213" s="51">
        <f>VLOOKUP(Yards[[#This Row],[DEVELOPMENT]],Data[],33,FALSE)</f>
        <v>0</v>
      </c>
      <c r="J213" s="51">
        <f>VLOOKUP(Yards[[#This Row],[DEVELOPMENT]],Data[],28,FALSE)</f>
        <v>0</v>
      </c>
      <c r="K213" s="51"/>
      <c r="L213" s="50"/>
      <c r="M213" s="51" t="str">
        <f ca="1">IFERROR(VLOOKUP(Yards[[#This Row],[DEVELOPMENT]],Data[],4,FALSE),"")</f>
        <v>2022-2025</v>
      </c>
      <c r="N213" s="51" t="str">
        <f ca="1">IF(Yards[[#This Row],[RAD/PACT]]="","",IF(OR(Yards[[#This Row],[RAD/PACT]]="2022-2025",Yards[[#This Row],[RAD/PACT]]=2019,Yards[[#This Row],[RAD/PACT]]="2020-2021"),"Yes",""))</f>
        <v>Yes</v>
      </c>
      <c r="O213" s="51" t="str">
        <f ca="1">IFERROR(VLOOKUP(Yards[[#This Row],[DEVELOPMENT]],ExtComp[],8,FALSE),"")</f>
        <v/>
      </c>
      <c r="P213" s="51"/>
      <c r="Q213" s="51"/>
      <c r="R213" s="51" t="str">
        <f>IF(ISBLANK(Yards[[#This Row],[DSGN CALENDAR YEAR]]),"",Yards[[#This Row],[DSGN CALENDAR YEAR]]+1)</f>
        <v/>
      </c>
      <c r="S213" s="51" t="str">
        <f>IF(ISBLANK(Yards[[#This Row],[DSGN FISCAL YEAR]]),"",Yards[[#This Row],[DSGN FISCAL YEAR]]+1)</f>
        <v/>
      </c>
      <c r="T213" s="51"/>
      <c r="U213" s="128">
        <f ca="1">Yards[[#This Row],[Estimate]]*0.1</f>
        <v>0</v>
      </c>
      <c r="V213" s="47">
        <f ca="1">Yards[[#This Row],[Estimate]]-Yards[[#This Row],[Design Est.]]</f>
        <v>0</v>
      </c>
      <c r="W213" s="85">
        <f ca="1">(Yards[[#This Row],['# yards]]*INDEX(UnitCosts[],MATCH(Yards[[#This Row],[WORK TYPE]],UnitCosts[Work Type],0),2))*(1+((Yards[[#This Row],[est. CONS Year]]-YEAR(TODAY()))*$W$3))</f>
        <v>0</v>
      </c>
      <c r="X213" s="142">
        <f ca="1">IF(ISNUMBER(SEARCH("LLC",Yards[[#This Row],[PROGRAM]])),0,IF(Yards[[#This Row],[RAD/PACT by 2025]]="yes",0,1))</f>
        <v>0</v>
      </c>
      <c r="Y213" s="1"/>
      <c r="Z213" s="1"/>
      <c r="AA213" s="51">
        <f ca="1">COUNTIF($X$5:Yards[[#This Row],['# yards]],"&gt;0")-10</f>
        <v>125</v>
      </c>
      <c r="AB213" s="1">
        <f ca="1">IF(ISBLANK(Yards[[#This Row],[DSGN CALENDAR YEAR]]),ROUNDDOWN(Yards[[#This Row],[Count]]/24,0)+$AB$1,Yards[[#This Row],[DSGN CALENDAR YEAR]])</f>
        <v>2026</v>
      </c>
      <c r="AC213" s="16">
        <f ca="1">Yards[[#This Row],[est. DSGN Year]]+1</f>
        <v>2027</v>
      </c>
    </row>
    <row r="214" spans="1:29" hidden="1">
      <c r="A214" s="13" t="s">
        <v>321</v>
      </c>
      <c r="B214" s="51">
        <f>VLOOKUP(Yards[[#This Row],[DEVELOPMENT]],Data[],2,FALSE)</f>
        <v>0</v>
      </c>
      <c r="C214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14" s="51" t="str">
        <f>VLOOKUP(Yards[[#This Row],[DEVELOPMENT]],Data[],52,FALSE)</f>
        <v>FEDERAL</v>
      </c>
      <c r="E214" s="50">
        <f>VLOOKUP(Yards[[#This Row],[DEVELOPMENT]],Data[],8,FALSE)</f>
        <v>0</v>
      </c>
      <c r="F214" s="51" t="str">
        <f>VLOOKUP(Yards[[#This Row],[DEVELOPMENT]],all[[DEVELOPMENT]:[MRST Ext. Comp. Priority]],6,FALSE)</f>
        <v>None</v>
      </c>
      <c r="G214" s="51">
        <f>VLOOKUP(Yards[[#This Row],[DEVELOPMENT]],all[[DEVELOPMENT]:[MRST Ext. Comp. Priority]],13,FALSE)</f>
        <v>2</v>
      </c>
      <c r="H214" s="50">
        <f>IF(VLOOKUP(Yards[[#This Row],[DEVELOPMENT]],Data[],9,FALSE)=0,5,VLOOKUP(Yards[[#This Row],[DEVELOPMENT]],Data[],9,FALSE))</f>
        <v>5</v>
      </c>
      <c r="I214" s="51">
        <f>VLOOKUP(Yards[[#This Row],[DEVELOPMENT]],Data[],33,FALSE)</f>
        <v>0</v>
      </c>
      <c r="J214" s="51">
        <f>VLOOKUP(Yards[[#This Row],[DEVELOPMENT]],Data[],28,FALSE)</f>
        <v>0</v>
      </c>
      <c r="K214" s="51"/>
      <c r="L214" s="50"/>
      <c r="M214" s="51" t="str">
        <f ca="1">IFERROR(VLOOKUP(Yards[[#This Row],[DEVELOPMENT]],Data[],4,FALSE),"")</f>
        <v/>
      </c>
      <c r="N214" s="51" t="str">
        <f ca="1">IF(Yards[[#This Row],[RAD/PACT]]="","",IF(OR(Yards[[#This Row],[RAD/PACT]]="2022-2025",Yards[[#This Row],[RAD/PACT]]=2019,Yards[[#This Row],[RAD/PACT]]="2020-2021"),"Yes",""))</f>
        <v/>
      </c>
      <c r="O214" s="51" t="str">
        <f ca="1">IFERROR(VLOOKUP(Yards[[#This Row],[DEVELOPMENT]],ExtComp[],8,FALSE),"")</f>
        <v/>
      </c>
      <c r="P214" s="51"/>
      <c r="Q214" s="51"/>
      <c r="R214" s="51" t="str">
        <f>IF(ISBLANK(Yards[[#This Row],[DSGN CALENDAR YEAR]]),"",Yards[[#This Row],[DSGN CALENDAR YEAR]]+1)</f>
        <v/>
      </c>
      <c r="S214" s="51" t="str">
        <f>IF(ISBLANK(Yards[[#This Row],[DSGN FISCAL YEAR]]),"",Yards[[#This Row],[DSGN FISCAL YEAR]]+1)</f>
        <v/>
      </c>
      <c r="T214" s="51"/>
      <c r="U214" s="128">
        <f>Yards[[#This Row],[Estimate]]*0.1</f>
        <v>0</v>
      </c>
      <c r="V214" s="47">
        <f>Yards[[#This Row],[Estimate]]-Yards[[#This Row],[Design Est.]]</f>
        <v>0</v>
      </c>
      <c r="W214" s="85"/>
      <c r="X214" s="142"/>
      <c r="Y214" s="1"/>
      <c r="Z214" s="1" t="s">
        <v>2299</v>
      </c>
      <c r="AA214" s="51">
        <f ca="1">COUNTIF($X$5:Yards[[#This Row],['# yards]],"&gt;0")-10</f>
        <v>125</v>
      </c>
      <c r="AB214" s="1">
        <f ca="1">IF(ISBLANK(Yards[[#This Row],[DSGN CALENDAR YEAR]]),ROUNDDOWN(Yards[[#This Row],[Count]]/24,0)+$AB$1,Yards[[#This Row],[DSGN CALENDAR YEAR]])</f>
        <v>2026</v>
      </c>
      <c r="AC214" s="16">
        <f ca="1">Yards[[#This Row],[est. DSGN Year]]+1</f>
        <v>2027</v>
      </c>
    </row>
    <row r="215" spans="1:29" hidden="1">
      <c r="A215" s="13" t="s">
        <v>303</v>
      </c>
      <c r="B215" s="51" t="str">
        <f>VLOOKUP(Yards[[#This Row],[DEVELOPMENT]],Data[],2,FALSE)</f>
        <v>BROOKLYN</v>
      </c>
      <c r="C21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15" s="51" t="str">
        <f>VLOOKUP(Yards[[#This Row],[DEVELOPMENT]],Data[],52,FALSE)</f>
        <v>FEDERAL</v>
      </c>
      <c r="E215" s="50">
        <f>VLOOKUP(Yards[[#This Row],[DEVELOPMENT]],Data[],8,FALSE)</f>
        <v>0</v>
      </c>
      <c r="F215" s="51" t="str">
        <f>VLOOKUP(Yards[[#This Row],[DEVELOPMENT]],all[[DEVELOPMENT]:[MRST Ext. Comp. Priority]],6,FALSE)</f>
        <v>None</v>
      </c>
      <c r="G215" s="51">
        <f>VLOOKUP(Yards[[#This Row],[DEVELOPMENT]],all[[DEVELOPMENT]:[MRST Ext. Comp. Priority]],13,FALSE)</f>
        <v>2</v>
      </c>
      <c r="H215" s="50">
        <f>IF(VLOOKUP(Yards[[#This Row],[DEVELOPMENT]],Data[],9,FALSE)=0,5,VLOOKUP(Yards[[#This Row],[DEVELOPMENT]],Data[],9,FALSE))</f>
        <v>5</v>
      </c>
      <c r="I215" s="51">
        <f>VLOOKUP(Yards[[#This Row],[DEVELOPMENT]],Data[],33,FALSE)</f>
        <v>1</v>
      </c>
      <c r="J215" s="51">
        <f>VLOOKUP(Yards[[#This Row],[DEVELOPMENT]],Data[],28,FALSE)</f>
        <v>0</v>
      </c>
      <c r="K215" s="51"/>
      <c r="L215" s="50"/>
      <c r="M215" s="51">
        <f ca="1">IFERROR(VLOOKUP(Yards[[#This Row],[DEVELOPMENT]],Data[],4,FALSE),"")</f>
        <v>2019</v>
      </c>
      <c r="N215" s="51" t="str">
        <f ca="1">IF(Yards[[#This Row],[RAD/PACT]]="","",IF(OR(Yards[[#This Row],[RAD/PACT]]="2022-2025",Yards[[#This Row],[RAD/PACT]]=2019,Yards[[#This Row],[RAD/PACT]]="2020-2021"),"Yes",""))</f>
        <v>Yes</v>
      </c>
      <c r="O215" s="51">
        <f ca="1">IFERROR(VLOOKUP(Yards[[#This Row],[DEVELOPMENT]],ExtComp[],8,FALSE),"")</f>
        <v>15</v>
      </c>
      <c r="P215" s="51"/>
      <c r="Q215" s="51"/>
      <c r="R215" s="51" t="str">
        <f>IF(ISBLANK(Yards[[#This Row],[DSGN CALENDAR YEAR]]),"",Yards[[#This Row],[DSGN CALENDAR YEAR]]+1)</f>
        <v/>
      </c>
      <c r="S215" s="51" t="str">
        <f>IF(ISBLANK(Yards[[#This Row],[DSGN FISCAL YEAR]]),"",Yards[[#This Row],[DSGN FISCAL YEAR]]+1)</f>
        <v/>
      </c>
      <c r="T215" s="51"/>
      <c r="U215" s="128">
        <f ca="1">Yards[[#This Row],[Estimate]]*0.1</f>
        <v>0</v>
      </c>
      <c r="V215" s="47">
        <f ca="1">Yards[[#This Row],[Estimate]]-Yards[[#This Row],[Design Est.]]</f>
        <v>0</v>
      </c>
      <c r="W215" s="85">
        <f ca="1">(Yards[[#This Row],['# yards]]*INDEX(UnitCosts[],MATCH(Yards[[#This Row],[WORK TYPE]],UnitCosts[Work Type],0),2))*(1+((Yards[[#This Row],[est. CONS Year]]-YEAR(TODAY()))*$W$3))</f>
        <v>0</v>
      </c>
      <c r="X215" s="142">
        <f ca="1">IF(ISNUMBER(SEARCH("LLC",Yards[[#This Row],[PROGRAM]])),0,IF(Yards[[#This Row],[RAD/PACT by 2025]]="yes",0,1))</f>
        <v>0</v>
      </c>
      <c r="Y215" s="1"/>
      <c r="Z215" s="1"/>
      <c r="AA215" s="51">
        <f ca="1">COUNTIF($X$5:Yards[[#This Row],['# yards]],"&gt;0")-10</f>
        <v>125</v>
      </c>
      <c r="AB215" s="1">
        <f ca="1">IF(ISBLANK(Yards[[#This Row],[DSGN CALENDAR YEAR]]),ROUNDDOWN(Yards[[#This Row],[Count]]/24,0)+$AB$1,Yards[[#This Row],[DSGN CALENDAR YEAR]])</f>
        <v>2026</v>
      </c>
      <c r="AC215" s="16">
        <f ca="1">Yards[[#This Row],[est. DSGN Year]]+1</f>
        <v>2027</v>
      </c>
    </row>
    <row r="216" spans="1:29" hidden="1">
      <c r="A216" s="13" t="s">
        <v>323</v>
      </c>
      <c r="B216" s="51">
        <f>VLOOKUP(Yards[[#This Row],[DEVELOPMENT]],Data[],2,FALSE)</f>
        <v>0</v>
      </c>
      <c r="C216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16" s="51" t="str">
        <f>VLOOKUP(Yards[[#This Row],[DEVELOPMENT]],Data[],52,FALSE)</f>
        <v>FEDERAL</v>
      </c>
      <c r="E216" s="50">
        <f>VLOOKUP(Yards[[#This Row],[DEVELOPMENT]],Data[],8,FALSE)</f>
        <v>0</v>
      </c>
      <c r="F216" s="51" t="str">
        <f>VLOOKUP(Yards[[#This Row],[DEVELOPMENT]],all[[DEVELOPMENT]:[MRST Ext. Comp. Priority]],6,FALSE)</f>
        <v>None</v>
      </c>
      <c r="G216" s="51">
        <f>VLOOKUP(Yards[[#This Row],[DEVELOPMENT]],all[[DEVELOPMENT]:[MRST Ext. Comp. Priority]],13,FALSE)</f>
        <v>2</v>
      </c>
      <c r="H216" s="50">
        <f>IF(VLOOKUP(Yards[[#This Row],[DEVELOPMENT]],Data[],9,FALSE)=0,5,VLOOKUP(Yards[[#This Row],[DEVELOPMENT]],Data[],9,FALSE))</f>
        <v>5</v>
      </c>
      <c r="I216" s="51">
        <f>VLOOKUP(Yards[[#This Row],[DEVELOPMENT]],Data[],33,FALSE)</f>
        <v>0</v>
      </c>
      <c r="J216" s="51">
        <f>VLOOKUP(Yards[[#This Row],[DEVELOPMENT]],Data[],28,FALSE)</f>
        <v>0</v>
      </c>
      <c r="K216" s="51"/>
      <c r="L216" s="50"/>
      <c r="M216" s="51" t="str">
        <f ca="1">IFERROR(VLOOKUP(Yards[[#This Row],[DEVELOPMENT]],Data[],4,FALSE),"")</f>
        <v/>
      </c>
      <c r="N216" s="51" t="str">
        <f ca="1">IF(Yards[[#This Row],[RAD/PACT]]="","",IF(OR(Yards[[#This Row],[RAD/PACT]]="2022-2025",Yards[[#This Row],[RAD/PACT]]=2019,Yards[[#This Row],[RAD/PACT]]="2020-2021"),"Yes",""))</f>
        <v/>
      </c>
      <c r="O216" s="51" t="str">
        <f ca="1">IFERROR(VLOOKUP(Yards[[#This Row],[DEVELOPMENT]],ExtComp[],8,FALSE),"")</f>
        <v/>
      </c>
      <c r="P216" s="51"/>
      <c r="Q216" s="51"/>
      <c r="R216" s="51" t="str">
        <f>IF(ISBLANK(Yards[[#This Row],[DSGN CALENDAR YEAR]]),"",Yards[[#This Row],[DSGN CALENDAR YEAR]]+1)</f>
        <v/>
      </c>
      <c r="S216" s="51" t="str">
        <f>IF(ISBLANK(Yards[[#This Row],[DSGN FISCAL YEAR]]),"",Yards[[#This Row],[DSGN FISCAL YEAR]]+1)</f>
        <v/>
      </c>
      <c r="T216" s="51"/>
      <c r="U216" s="128">
        <f>Yards[[#This Row],[Estimate]]*0.1</f>
        <v>0</v>
      </c>
      <c r="V216" s="47">
        <f>Yards[[#This Row],[Estimate]]-Yards[[#This Row],[Design Est.]]</f>
        <v>0</v>
      </c>
      <c r="W216" s="85"/>
      <c r="X216" s="142"/>
      <c r="Y216" s="1"/>
      <c r="Z216" s="1" t="s">
        <v>2299</v>
      </c>
      <c r="AA216" s="51">
        <f ca="1">COUNTIF($X$5:Yards[[#This Row],['# yards]],"&gt;0")-10</f>
        <v>125</v>
      </c>
      <c r="AB216" s="1">
        <f ca="1">IF(ISBLANK(Yards[[#This Row],[DSGN CALENDAR YEAR]]),ROUNDDOWN(Yards[[#This Row],[Count]]/24,0)+$AB$1,Yards[[#This Row],[DSGN CALENDAR YEAR]])</f>
        <v>2026</v>
      </c>
      <c r="AC216" s="16">
        <f ca="1">Yards[[#This Row],[est. DSGN Year]]+1</f>
        <v>2027</v>
      </c>
    </row>
    <row r="217" spans="1:29" hidden="1">
      <c r="A217" s="13" t="s">
        <v>389</v>
      </c>
      <c r="B217" s="51" t="str">
        <f>VLOOKUP(Yards[[#This Row],[DEVELOPMENT]],Data[],2,FALSE)</f>
        <v>MANHATTAN</v>
      </c>
      <c r="C217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17" s="51" t="str">
        <f>VLOOKUP(Yards[[#This Row],[DEVELOPMENT]],Data[],52,FALSE)</f>
        <v>FEDERAL</v>
      </c>
      <c r="E217" s="50" t="str">
        <f>VLOOKUP(Yards[[#This Row],[DEVELOPMENT]],Data[],8,FALSE)</f>
        <v>Zone 4</v>
      </c>
      <c r="F217" s="51" t="str">
        <f>VLOOKUP(Yards[[#This Row],[DEVELOPMENT]],all[[DEVELOPMENT]:[MRST Ext. Comp. Priority]],6,FALSE)</f>
        <v>None</v>
      </c>
      <c r="G217" s="51">
        <f>VLOOKUP(Yards[[#This Row],[DEVELOPMENT]],all[[DEVELOPMENT]:[MRST Ext. Comp. Priority]],13,FALSE)</f>
        <v>2</v>
      </c>
      <c r="H217" s="50">
        <f>IF(VLOOKUP(Yards[[#This Row],[DEVELOPMENT]],Data[],9,FALSE)=0,5,VLOOKUP(Yards[[#This Row],[DEVELOPMENT]],Data[],9,FALSE))</f>
        <v>5</v>
      </c>
      <c r="I217" s="51">
        <f>VLOOKUP(Yards[[#This Row],[DEVELOPMENT]],Data[],33,FALSE)</f>
        <v>0</v>
      </c>
      <c r="J217" s="51">
        <f>VLOOKUP(Yards[[#This Row],[DEVELOPMENT]],Data[],28,FALSE)</f>
        <v>0</v>
      </c>
      <c r="K217" s="51"/>
      <c r="L217" s="50"/>
      <c r="M217" s="51" t="str">
        <f ca="1">IFERROR(VLOOKUP(Yards[[#This Row],[DEVELOPMENT]],Data[],4,FALSE),"")</f>
        <v/>
      </c>
      <c r="N217" s="51" t="str">
        <f ca="1">IF(Yards[[#This Row],[RAD/PACT]]="","",IF(OR(Yards[[#This Row],[RAD/PACT]]="2022-2025",Yards[[#This Row],[RAD/PACT]]=2019,Yards[[#This Row],[RAD/PACT]]="2020-2021"),"Yes",""))</f>
        <v/>
      </c>
      <c r="O217" s="51" t="str">
        <f ca="1">IFERROR(VLOOKUP(Yards[[#This Row],[DEVELOPMENT]],ExtComp[],8,FALSE),"")</f>
        <v/>
      </c>
      <c r="P217" s="51"/>
      <c r="Q217" s="51"/>
      <c r="R217" s="51" t="str">
        <f>IF(ISBLANK(Yards[[#This Row],[DSGN CALENDAR YEAR]]),"",Yards[[#This Row],[DSGN CALENDAR YEAR]]+1)</f>
        <v/>
      </c>
      <c r="S217" s="51" t="str">
        <f>IF(ISBLANK(Yards[[#This Row],[DSGN FISCAL YEAR]]),"",Yards[[#This Row],[DSGN FISCAL YEAR]]+1)</f>
        <v/>
      </c>
      <c r="T217" s="51"/>
      <c r="U217" s="128">
        <f>Yards[[#This Row],[Estimate]]*0.1</f>
        <v>0</v>
      </c>
      <c r="V217" s="47">
        <f>Yards[[#This Row],[Estimate]]-Yards[[#This Row],[Design Est.]]</f>
        <v>0</v>
      </c>
      <c r="W217" s="85"/>
      <c r="X217" s="142"/>
      <c r="Y217" s="1"/>
      <c r="Z217" s="1"/>
      <c r="AA217" s="51">
        <f ca="1">COUNTIF($X$5:Yards[[#This Row],['# yards]],"&gt;0")-10</f>
        <v>125</v>
      </c>
      <c r="AB217" s="1">
        <f ca="1">IF(ISBLANK(Yards[[#This Row],[DSGN CALENDAR YEAR]]),ROUNDDOWN(Yards[[#This Row],[Count]]/24,0)+$AB$1,Yards[[#This Row],[DSGN CALENDAR YEAR]])</f>
        <v>2026</v>
      </c>
      <c r="AC217" s="16">
        <f ca="1">Yards[[#This Row],[est. DSGN Year]]+1</f>
        <v>2027</v>
      </c>
    </row>
    <row r="218" spans="1:29" hidden="1">
      <c r="A218" s="13" t="s">
        <v>318</v>
      </c>
      <c r="B218" s="51" t="str">
        <f>VLOOKUP(Yards[[#This Row],[DEVELOPMENT]],Data[],2,FALSE)</f>
        <v>BROOKLYN</v>
      </c>
      <c r="C218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18" s="51" t="str">
        <f>VLOOKUP(Yards[[#This Row],[DEVELOPMENT]],Data[],52,FALSE)</f>
        <v>FEDERAL</v>
      </c>
      <c r="E218" s="50">
        <f>VLOOKUP(Yards[[#This Row],[DEVELOPMENT]],Data[],8,FALSE)</f>
        <v>0</v>
      </c>
      <c r="F218" s="51" t="str">
        <f>VLOOKUP(Yards[[#This Row],[DEVELOPMENT]],all[[DEVELOPMENT]:[MRST Ext. Comp. Priority]],6,FALSE)</f>
        <v>None</v>
      </c>
      <c r="G218" s="51">
        <f>VLOOKUP(Yards[[#This Row],[DEVELOPMENT]],all[[DEVELOPMENT]:[MRST Ext. Comp. Priority]],13,FALSE)</f>
        <v>2</v>
      </c>
      <c r="H218" s="50">
        <f>IF(VLOOKUP(Yards[[#This Row],[DEVELOPMENT]],Data[],9,FALSE)=0,5,VLOOKUP(Yards[[#This Row],[DEVELOPMENT]],Data[],9,FALSE))</f>
        <v>5</v>
      </c>
      <c r="I218" s="51">
        <f>VLOOKUP(Yards[[#This Row],[DEVELOPMENT]],Data[],33,FALSE)</f>
        <v>0</v>
      </c>
      <c r="J218" s="51">
        <f>VLOOKUP(Yards[[#This Row],[DEVELOPMENT]],Data[],28,FALSE)</f>
        <v>0</v>
      </c>
      <c r="K218" s="51"/>
      <c r="L218" s="50"/>
      <c r="M218" s="51" t="str">
        <f ca="1">IFERROR(VLOOKUP(Yards[[#This Row],[DEVELOPMENT]],Data[],4,FALSE),"")</f>
        <v>2020-2021</v>
      </c>
      <c r="N218" s="51" t="str">
        <f ca="1">IF(Yards[[#This Row],[RAD/PACT]]="","",IF(OR(Yards[[#This Row],[RAD/PACT]]="2022-2025",Yards[[#This Row],[RAD/PACT]]=2019,Yards[[#This Row],[RAD/PACT]]="2020-2021"),"Yes",""))</f>
        <v>Yes</v>
      </c>
      <c r="O218" s="51" t="str">
        <f ca="1">IFERROR(VLOOKUP(Yards[[#This Row],[DEVELOPMENT]],ExtComp[],8,FALSE),"")</f>
        <v/>
      </c>
      <c r="P218" s="51"/>
      <c r="Q218" s="51"/>
      <c r="R218" s="51" t="str">
        <f>IF(ISBLANK(Yards[[#This Row],[DSGN CALENDAR YEAR]]),"",Yards[[#This Row],[DSGN CALENDAR YEAR]]+1)</f>
        <v/>
      </c>
      <c r="S218" s="51" t="str">
        <f>IF(ISBLANK(Yards[[#This Row],[DSGN FISCAL YEAR]]),"",Yards[[#This Row],[DSGN FISCAL YEAR]]+1)</f>
        <v/>
      </c>
      <c r="T218" s="51"/>
      <c r="U218" s="128">
        <f ca="1">Yards[[#This Row],[Estimate]]*0.1</f>
        <v>0</v>
      </c>
      <c r="V218" s="47">
        <f ca="1">Yards[[#This Row],[Estimate]]-Yards[[#This Row],[Design Est.]]</f>
        <v>0</v>
      </c>
      <c r="W218" s="85">
        <f ca="1">(Yards[[#This Row],['# yards]]*INDEX(UnitCosts[],MATCH(Yards[[#This Row],[WORK TYPE]],UnitCosts[Work Type],0),2))*(1+((Yards[[#This Row],[est. CONS Year]]-YEAR(TODAY()))*$W$3))</f>
        <v>0</v>
      </c>
      <c r="X218" s="142">
        <f ca="1">IF(ISNUMBER(SEARCH("LLC",Yards[[#This Row],[PROGRAM]])),0,IF(Yards[[#This Row],[RAD/PACT by 2025]]="yes",0,1))</f>
        <v>0</v>
      </c>
      <c r="Y218" s="1"/>
      <c r="Z218" s="1"/>
      <c r="AA218" s="51">
        <f ca="1">COUNTIF($X$5:Yards[[#This Row],['# yards]],"&gt;0")-10</f>
        <v>125</v>
      </c>
      <c r="AB218" s="1">
        <f ca="1">IF(ISBLANK(Yards[[#This Row],[DSGN CALENDAR YEAR]]),ROUNDDOWN(Yards[[#This Row],[Count]]/24,0)+$AB$1,Yards[[#This Row],[DSGN CALENDAR YEAR]])</f>
        <v>2026</v>
      </c>
      <c r="AC218" s="16">
        <f ca="1">Yards[[#This Row],[est. DSGN Year]]+1</f>
        <v>2027</v>
      </c>
    </row>
    <row r="219" spans="1:29" hidden="1">
      <c r="A219" s="13" t="s">
        <v>350</v>
      </c>
      <c r="B219" s="51" t="str">
        <f>VLOOKUP(Yards[[#This Row],[DEVELOPMENT]],Data[],2,FALSE)</f>
        <v>BROOKLYN</v>
      </c>
      <c r="C219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19" s="51" t="str">
        <f>VLOOKUP(Yards[[#This Row],[DEVELOPMENT]],Data[],52,FALSE)</f>
        <v>FEDERAL</v>
      </c>
      <c r="E219" s="50">
        <f>VLOOKUP(Yards[[#This Row],[DEVELOPMENT]],Data[],8,FALSE)</f>
        <v>0</v>
      </c>
      <c r="F219" s="51" t="str">
        <f>VLOOKUP(Yards[[#This Row],[DEVELOPMENT]],all[[DEVELOPMENT]:[MRST Ext. Comp. Priority]],6,FALSE)</f>
        <v>None</v>
      </c>
      <c r="G219" s="51">
        <f>VLOOKUP(Yards[[#This Row],[DEVELOPMENT]],all[[DEVELOPMENT]:[MRST Ext. Comp. Priority]],13,FALSE)</f>
        <v>2</v>
      </c>
      <c r="H219" s="50">
        <f>IF(VLOOKUP(Yards[[#This Row],[DEVELOPMENT]],Data[],9,FALSE)=0,5,VLOOKUP(Yards[[#This Row],[DEVELOPMENT]],Data[],9,FALSE))</f>
        <v>5</v>
      </c>
      <c r="I219" s="51">
        <f>VLOOKUP(Yards[[#This Row],[DEVELOPMENT]],Data[],33,FALSE)</f>
        <v>0</v>
      </c>
      <c r="J219" s="51">
        <f>VLOOKUP(Yards[[#This Row],[DEVELOPMENT]],Data[],28,FALSE)</f>
        <v>0</v>
      </c>
      <c r="K219" s="51"/>
      <c r="L219" s="50"/>
      <c r="M219" s="51" t="str">
        <f ca="1">IFERROR(VLOOKUP(Yards[[#This Row],[DEVELOPMENT]],Data[],4,FALSE),"")</f>
        <v>2022-2025</v>
      </c>
      <c r="N219" s="51" t="str">
        <f ca="1">IF(Yards[[#This Row],[RAD/PACT]]="","",IF(OR(Yards[[#This Row],[RAD/PACT]]="2022-2025",Yards[[#This Row],[RAD/PACT]]=2019,Yards[[#This Row],[RAD/PACT]]="2020-2021"),"Yes",""))</f>
        <v>Yes</v>
      </c>
      <c r="O219" s="51" t="str">
        <f ca="1">IFERROR(VLOOKUP(Yards[[#This Row],[DEVELOPMENT]],ExtComp[],8,FALSE),"")</f>
        <v/>
      </c>
      <c r="P219" s="51"/>
      <c r="Q219" s="51"/>
      <c r="R219" s="51" t="str">
        <f>IF(ISBLANK(Yards[[#This Row],[DSGN CALENDAR YEAR]]),"",Yards[[#This Row],[DSGN CALENDAR YEAR]]+1)</f>
        <v/>
      </c>
      <c r="S219" s="51" t="str">
        <f>IF(ISBLANK(Yards[[#This Row],[DSGN FISCAL YEAR]]),"",Yards[[#This Row],[DSGN FISCAL YEAR]]+1)</f>
        <v/>
      </c>
      <c r="T219" s="51"/>
      <c r="U219" s="128">
        <f ca="1">Yards[[#This Row],[Estimate]]*0.1</f>
        <v>0</v>
      </c>
      <c r="V219" s="47">
        <f ca="1">Yards[[#This Row],[Estimate]]-Yards[[#This Row],[Design Est.]]</f>
        <v>0</v>
      </c>
      <c r="W219" s="85">
        <f ca="1">(Yards[[#This Row],['# yards]]*INDEX(UnitCosts[],MATCH(Yards[[#This Row],[WORK TYPE]],UnitCosts[Work Type],0),2))*(1+((Yards[[#This Row],[est. CONS Year]]-YEAR(TODAY()))*$W$3))</f>
        <v>0</v>
      </c>
      <c r="X219" s="142">
        <f ca="1">IF(ISNUMBER(SEARCH("LLC",Yards[[#This Row],[PROGRAM]])),0,IF(Yards[[#This Row],[RAD/PACT by 2025]]="yes",0,1))</f>
        <v>0</v>
      </c>
      <c r="Y219" s="1"/>
      <c r="Z219" s="1"/>
      <c r="AA219" s="51">
        <f ca="1">COUNTIF($X$5:Yards[[#This Row],['# yards]],"&gt;0")-10</f>
        <v>125</v>
      </c>
      <c r="AB219" s="1">
        <f ca="1">IF(ISBLANK(Yards[[#This Row],[DSGN CALENDAR YEAR]]),ROUNDDOWN(Yards[[#This Row],[Count]]/24,0)+$AB$1,Yards[[#This Row],[DSGN CALENDAR YEAR]])</f>
        <v>2026</v>
      </c>
      <c r="AC219" s="16">
        <f ca="1">Yards[[#This Row],[est. DSGN Year]]+1</f>
        <v>2027</v>
      </c>
    </row>
    <row r="220" spans="1:29" hidden="1">
      <c r="A220" s="13" t="s">
        <v>95</v>
      </c>
      <c r="B220" s="51" t="str">
        <f>VLOOKUP(Yards[[#This Row],[DEVELOPMENT]],Data[],2,FALSE)</f>
        <v>MANHATTAN</v>
      </c>
      <c r="C22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20" s="51" t="str">
        <f>VLOOKUP(Yards[[#This Row],[DEVELOPMENT]],Data[],52,FALSE)</f>
        <v>MIXED FINANCE/LLC1</v>
      </c>
      <c r="E220" s="50" t="str">
        <f>VLOOKUP(Yards[[#This Row],[DEVELOPMENT]],Data[],8,FALSE)</f>
        <v>Zone 2</v>
      </c>
      <c r="F220" s="51" t="str">
        <f>VLOOKUP(Yards[[#This Row],[DEVELOPMENT]],all[[DEVELOPMENT]:[MRST Ext. Comp. Priority]],6,FALSE)</f>
        <v>None</v>
      </c>
      <c r="G220" s="51">
        <f>VLOOKUP(Yards[[#This Row],[DEVELOPMENT]],all[[DEVELOPMENT]:[MRST Ext. Comp. Priority]],13,FALSE)</f>
        <v>2</v>
      </c>
      <c r="H220" s="50">
        <f>IF(VLOOKUP(Yards[[#This Row],[DEVELOPMENT]],Data[],9,FALSE)=0,5,VLOOKUP(Yards[[#This Row],[DEVELOPMENT]],Data[],9,FALSE))</f>
        <v>3</v>
      </c>
      <c r="I220" s="51">
        <f>VLOOKUP(Yards[[#This Row],[DEVELOPMENT]],Data[],33,FALSE)</f>
        <v>0</v>
      </c>
      <c r="J220" s="51">
        <f>VLOOKUP(Yards[[#This Row],[DEVELOPMENT]],Data[],28,FALSE)</f>
        <v>0</v>
      </c>
      <c r="K220" s="51"/>
      <c r="L220" s="50"/>
      <c r="M220" s="51" t="str">
        <f ca="1">IFERROR(VLOOKUP(Yards[[#This Row],[DEVELOPMENT]],Data[],4,FALSE),"")</f>
        <v>2020-2021</v>
      </c>
      <c r="N220" s="51" t="str">
        <f ca="1">IF(Yards[[#This Row],[RAD/PACT]]="","",IF(OR(Yards[[#This Row],[RAD/PACT]]="2022-2025",Yards[[#This Row],[RAD/PACT]]=2019,Yards[[#This Row],[RAD/PACT]]="2020-2021"),"Yes",""))</f>
        <v>Yes</v>
      </c>
      <c r="O220" s="51" t="str">
        <f ca="1">IFERROR(VLOOKUP(Yards[[#This Row],[DEVELOPMENT]],ExtComp[],8,FALSE),"")</f>
        <v/>
      </c>
      <c r="P220" s="51"/>
      <c r="Q220" s="51"/>
      <c r="R220" s="51" t="str">
        <f>IF(ISBLANK(Yards[[#This Row],[DSGN CALENDAR YEAR]]),"",Yards[[#This Row],[DSGN CALENDAR YEAR]]+1)</f>
        <v/>
      </c>
      <c r="S220" s="51" t="str">
        <f>IF(ISBLANK(Yards[[#This Row],[DSGN FISCAL YEAR]]),"",Yards[[#This Row],[DSGN FISCAL YEAR]]+1)</f>
        <v/>
      </c>
      <c r="T220" s="51"/>
      <c r="U220" s="128">
        <f ca="1">Yards[[#This Row],[Estimate]]*0.1</f>
        <v>0</v>
      </c>
      <c r="V220" s="47">
        <f ca="1">Yards[[#This Row],[Estimate]]-Yards[[#This Row],[Design Est.]]</f>
        <v>0</v>
      </c>
      <c r="W220" s="85">
        <f ca="1">(Yards[[#This Row],['# yards]]*INDEX(UnitCosts[],MATCH(Yards[[#This Row],[WORK TYPE]],UnitCosts[Work Type],0),2))*(1+((Yards[[#This Row],[est. CONS Year]]-YEAR(TODAY()))*$W$3))</f>
        <v>0</v>
      </c>
      <c r="X220" s="142">
        <f>IF(ISNUMBER(SEARCH("LLC",Yards[[#This Row],[PROGRAM]])),0,IF(Yards[[#This Row],[RAD/PACT by 2025]]="yes",0,1))</f>
        <v>0</v>
      </c>
      <c r="Y220" s="1"/>
      <c r="Z220" s="1"/>
      <c r="AA220" s="51">
        <f ca="1">COUNTIF($X$5:Yards[[#This Row],['# yards]],"&gt;0")-10</f>
        <v>125</v>
      </c>
      <c r="AB220" s="1">
        <f ca="1">IF(ISBLANK(Yards[[#This Row],[DSGN CALENDAR YEAR]]),ROUNDDOWN(Yards[[#This Row],[Count]]/24,0)+$AB$1,Yards[[#This Row],[DSGN CALENDAR YEAR]])</f>
        <v>2026</v>
      </c>
      <c r="AC220" s="16">
        <f ca="1">Yards[[#This Row],[est. DSGN Year]]+1</f>
        <v>2027</v>
      </c>
    </row>
    <row r="221" spans="1:29" hidden="1">
      <c r="A221" s="13" t="s">
        <v>355</v>
      </c>
      <c r="B221" s="51" t="str">
        <f>VLOOKUP(Yards[[#This Row],[DEVELOPMENT]],Data[],2,FALSE)</f>
        <v>BROOKLYN</v>
      </c>
      <c r="C221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21" s="51" t="str">
        <f>VLOOKUP(Yards[[#This Row],[DEVELOPMENT]],Data[],52,FALSE)</f>
        <v>FEDERAL</v>
      </c>
      <c r="E221" s="50">
        <f>VLOOKUP(Yards[[#This Row],[DEVELOPMENT]],Data[],8,FALSE)</f>
        <v>0</v>
      </c>
      <c r="F221" s="51" t="str">
        <f>VLOOKUP(Yards[[#This Row],[DEVELOPMENT]],all[[DEVELOPMENT]:[MRST Ext. Comp. Priority]],6,FALSE)</f>
        <v>None</v>
      </c>
      <c r="G221" s="51">
        <f>VLOOKUP(Yards[[#This Row],[DEVELOPMENT]],all[[DEVELOPMENT]:[MRST Ext. Comp. Priority]],13,FALSE)</f>
        <v>2</v>
      </c>
      <c r="H221" s="50">
        <f>IF(VLOOKUP(Yards[[#This Row],[DEVELOPMENT]],Data[],9,FALSE)=0,5,VLOOKUP(Yards[[#This Row],[DEVELOPMENT]],Data[],9,FALSE))</f>
        <v>5</v>
      </c>
      <c r="I221" s="51">
        <f>VLOOKUP(Yards[[#This Row],[DEVELOPMENT]],Data[],33,FALSE)</f>
        <v>0</v>
      </c>
      <c r="J221" s="51">
        <f>VLOOKUP(Yards[[#This Row],[DEVELOPMENT]],Data[],28,FALSE)</f>
        <v>0</v>
      </c>
      <c r="K221" s="51"/>
      <c r="L221" s="50"/>
      <c r="M221" s="51" t="str">
        <f ca="1">IFERROR(VLOOKUP(Yards[[#This Row],[DEVELOPMENT]],Data[],4,FALSE),"")</f>
        <v>2020-2021</v>
      </c>
      <c r="N221" s="51" t="str">
        <f ca="1">IF(Yards[[#This Row],[RAD/PACT]]="","",IF(OR(Yards[[#This Row],[RAD/PACT]]="2022-2025",Yards[[#This Row],[RAD/PACT]]=2019,Yards[[#This Row],[RAD/PACT]]="2020-2021"),"Yes",""))</f>
        <v>Yes</v>
      </c>
      <c r="O221" s="51">
        <f ca="1">IFERROR(VLOOKUP(Yards[[#This Row],[DEVELOPMENT]],ExtComp[],8,FALSE),"")</f>
        <v>19</v>
      </c>
      <c r="P221" s="51"/>
      <c r="Q221" s="51"/>
      <c r="R221" s="51" t="str">
        <f>IF(ISBLANK(Yards[[#This Row],[DSGN CALENDAR YEAR]]),"",Yards[[#This Row],[DSGN CALENDAR YEAR]]+1)</f>
        <v/>
      </c>
      <c r="S221" s="51" t="str">
        <f>IF(ISBLANK(Yards[[#This Row],[DSGN FISCAL YEAR]]),"",Yards[[#This Row],[DSGN FISCAL YEAR]]+1)</f>
        <v/>
      </c>
      <c r="T221" s="51"/>
      <c r="U221" s="128">
        <f ca="1">Yards[[#This Row],[Estimate]]*0.1</f>
        <v>0</v>
      </c>
      <c r="V221" s="47">
        <f ca="1">Yards[[#This Row],[Estimate]]-Yards[[#This Row],[Design Est.]]</f>
        <v>0</v>
      </c>
      <c r="W221" s="85">
        <f ca="1">(Yards[[#This Row],['# yards]]*INDEX(UnitCosts[],MATCH(Yards[[#This Row],[WORK TYPE]],UnitCosts[Work Type],0),2))*(1+((Yards[[#This Row],[est. CONS Year]]-YEAR(TODAY()))*$W$3))</f>
        <v>0</v>
      </c>
      <c r="X221" s="142">
        <f ca="1">IF(ISNUMBER(SEARCH("LLC",Yards[[#This Row],[PROGRAM]])),0,IF(Yards[[#This Row],[RAD/PACT by 2025]]="yes",0,1))</f>
        <v>0</v>
      </c>
      <c r="Y221" s="1"/>
      <c r="Z221" s="1"/>
      <c r="AA221" s="51">
        <f ca="1">COUNTIF($X$5:Yards[[#This Row],['# yards]],"&gt;0")-10</f>
        <v>125</v>
      </c>
      <c r="AB221" s="1">
        <f ca="1">IF(ISBLANK(Yards[[#This Row],[DSGN CALENDAR YEAR]]),ROUNDDOWN(Yards[[#This Row],[Count]]/24,0)+$AB$1,Yards[[#This Row],[DSGN CALENDAR YEAR]])</f>
        <v>2026</v>
      </c>
      <c r="AC221" s="16">
        <f ca="1">Yards[[#This Row],[est. DSGN Year]]+1</f>
        <v>2027</v>
      </c>
    </row>
    <row r="222" spans="1:29" hidden="1">
      <c r="A222" s="13" t="s">
        <v>360</v>
      </c>
      <c r="B222" s="51" t="str">
        <f>VLOOKUP(Yards[[#This Row],[DEVELOPMENT]],Data[],2,FALSE)</f>
        <v>MANHATTAN</v>
      </c>
      <c r="C222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22" s="51" t="str">
        <f>VLOOKUP(Yards[[#This Row],[DEVELOPMENT]],Data[],52,FALSE)</f>
        <v>MHOP</v>
      </c>
      <c r="E222" s="50">
        <f>VLOOKUP(Yards[[#This Row],[DEVELOPMENT]],Data[],8,FALSE)</f>
        <v>0</v>
      </c>
      <c r="F222" s="51" t="str">
        <f>VLOOKUP(Yards[[#This Row],[DEVELOPMENT]],all[[DEVELOPMENT]:[MRST Ext. Comp. Priority]],6,FALSE)</f>
        <v>None</v>
      </c>
      <c r="G222" s="51">
        <f>VLOOKUP(Yards[[#This Row],[DEVELOPMENT]],all[[DEVELOPMENT]:[MRST Ext. Comp. Priority]],13,FALSE)</f>
        <v>2</v>
      </c>
      <c r="H222" s="50">
        <f>IF(VLOOKUP(Yards[[#This Row],[DEVELOPMENT]],Data[],9,FALSE)=0,5,VLOOKUP(Yards[[#This Row],[DEVELOPMENT]],Data[],9,FALSE))</f>
        <v>5</v>
      </c>
      <c r="I222" s="51">
        <f>VLOOKUP(Yards[[#This Row],[DEVELOPMENT]],Data[],33,FALSE)</f>
        <v>0</v>
      </c>
      <c r="J222" s="51">
        <f>VLOOKUP(Yards[[#This Row],[DEVELOPMENT]],Data[],28,FALSE)</f>
        <v>0</v>
      </c>
      <c r="K222" s="51"/>
      <c r="L222" s="50"/>
      <c r="M222" s="51" t="str">
        <f ca="1">IFERROR(VLOOKUP(Yards[[#This Row],[DEVELOPMENT]],Data[],4,FALSE),"")</f>
        <v>2020-2021</v>
      </c>
      <c r="N222" s="51" t="str">
        <f ca="1">IF(Yards[[#This Row],[RAD/PACT]]="","",IF(OR(Yards[[#This Row],[RAD/PACT]]="2022-2025",Yards[[#This Row],[RAD/PACT]]=2019,Yards[[#This Row],[RAD/PACT]]="2020-2021"),"Yes",""))</f>
        <v>Yes</v>
      </c>
      <c r="O222" s="51" t="str">
        <f ca="1">IFERROR(VLOOKUP(Yards[[#This Row],[DEVELOPMENT]],ExtComp[],8,FALSE),"")</f>
        <v/>
      </c>
      <c r="P222" s="51"/>
      <c r="Q222" s="51"/>
      <c r="R222" s="51" t="str">
        <f>IF(ISBLANK(Yards[[#This Row],[DSGN CALENDAR YEAR]]),"",Yards[[#This Row],[DSGN CALENDAR YEAR]]+1)</f>
        <v/>
      </c>
      <c r="S222" s="51" t="str">
        <f>IF(ISBLANK(Yards[[#This Row],[DSGN FISCAL YEAR]]),"",Yards[[#This Row],[DSGN FISCAL YEAR]]+1)</f>
        <v/>
      </c>
      <c r="T222" s="51"/>
      <c r="U222" s="128">
        <f ca="1">Yards[[#This Row],[Estimate]]*0.1</f>
        <v>0</v>
      </c>
      <c r="V222" s="47">
        <f ca="1">Yards[[#This Row],[Estimate]]-Yards[[#This Row],[Design Est.]]</f>
        <v>0</v>
      </c>
      <c r="W222" s="85">
        <f ca="1">(Yards[[#This Row],['# yards]]*INDEX(UnitCosts[],MATCH(Yards[[#This Row],[WORK TYPE]],UnitCosts[Work Type],0),2))*(1+((Yards[[#This Row],[est. CONS Year]]-YEAR(TODAY()))*$W$3))</f>
        <v>0</v>
      </c>
      <c r="X222" s="142">
        <f ca="1">IF(ISNUMBER(SEARCH("LLC",Yards[[#This Row],[PROGRAM]])),0,IF(Yards[[#This Row],[RAD/PACT by 2025]]="yes",0,1))</f>
        <v>0</v>
      </c>
      <c r="Y222" s="1"/>
      <c r="Z222" s="1"/>
      <c r="AA222" s="51">
        <f ca="1">COUNTIF($X$5:Yards[[#This Row],['# yards]],"&gt;0")-10</f>
        <v>125</v>
      </c>
      <c r="AB222" s="1">
        <f ca="1">IF(ISBLANK(Yards[[#This Row],[DSGN CALENDAR YEAR]]),ROUNDDOWN(Yards[[#This Row],[Count]]/24,0)+$AB$1,Yards[[#This Row],[DSGN CALENDAR YEAR]])</f>
        <v>2026</v>
      </c>
      <c r="AC222" s="16">
        <f ca="1">Yards[[#This Row],[est. DSGN Year]]+1</f>
        <v>2027</v>
      </c>
    </row>
    <row r="223" spans="1:29" hidden="1">
      <c r="A223" s="13" t="s">
        <v>363</v>
      </c>
      <c r="B223" s="51" t="str">
        <f>VLOOKUP(Yards[[#This Row],[DEVELOPMENT]],Data[],2,FALSE)</f>
        <v>BRONX</v>
      </c>
      <c r="C223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v5</v>
      </c>
      <c r="D223" s="51" t="str">
        <f>VLOOKUP(Yards[[#This Row],[DEVELOPMENT]],Data[],52,FALSE)</f>
        <v>FEDERAL</v>
      </c>
      <c r="E223" s="50">
        <f>VLOOKUP(Yards[[#This Row],[DEVELOPMENT]],Data[],8,FALSE)</f>
        <v>0</v>
      </c>
      <c r="F223" s="51" t="str">
        <f>VLOOKUP(Yards[[#This Row],[DEVELOPMENT]],all[[DEVELOPMENT]:[MRST Ext. Comp. Priority]],6,FALSE)</f>
        <v>None</v>
      </c>
      <c r="G223" s="51">
        <f>VLOOKUP(Yards[[#This Row],[DEVELOPMENT]],all[[DEVELOPMENT]:[MRST Ext. Comp. Priority]],13,FALSE)</f>
        <v>2</v>
      </c>
      <c r="H223" s="50">
        <f>IF(VLOOKUP(Yards[[#This Row],[DEVELOPMENT]],Data[],9,FALSE)=0,5,VLOOKUP(Yards[[#This Row],[DEVELOPMENT]],Data[],9,FALSE))</f>
        <v>5</v>
      </c>
      <c r="I223" s="51">
        <f>VLOOKUP(Yards[[#This Row],[DEVELOPMENT]],Data[],33,FALSE)</f>
        <v>4</v>
      </c>
      <c r="J223" s="51">
        <f>VLOOKUP(Yards[[#This Row],[DEVELOPMENT]],Data[],28,FALSE)</f>
        <v>0</v>
      </c>
      <c r="K223" s="51"/>
      <c r="L223" s="50"/>
      <c r="M223" s="51" t="str">
        <f ca="1">IFERROR(VLOOKUP(Yards[[#This Row],[DEVELOPMENT]],Data[],4,FALSE),"")</f>
        <v>2022-2025</v>
      </c>
      <c r="N223" s="51" t="str">
        <f ca="1">IF(Yards[[#This Row],[RAD/PACT]]="","",IF(OR(Yards[[#This Row],[RAD/PACT]]="2022-2025",Yards[[#This Row],[RAD/PACT]]=2019,Yards[[#This Row],[RAD/PACT]]="2020-2021"),"Yes",""))</f>
        <v>Yes</v>
      </c>
      <c r="O223" s="51">
        <f ca="1">IFERROR(VLOOKUP(Yards[[#This Row],[DEVELOPMENT]],ExtComp[],8,FALSE),"")</f>
        <v>15</v>
      </c>
      <c r="P223" s="51"/>
      <c r="Q223" s="51"/>
      <c r="R223" s="51" t="str">
        <f>IF(ISBLANK(Yards[[#This Row],[DSGN CALENDAR YEAR]]),"",Yards[[#This Row],[DSGN CALENDAR YEAR]]+1)</f>
        <v/>
      </c>
      <c r="S223" s="51" t="str">
        <f>IF(ISBLANK(Yards[[#This Row],[DSGN FISCAL YEAR]]),"",Yards[[#This Row],[DSGN FISCAL YEAR]]+1)</f>
        <v/>
      </c>
      <c r="T223" s="51"/>
      <c r="U223" s="128">
        <f ca="1">Yards[[#This Row],[Estimate]]*0.1</f>
        <v>0</v>
      </c>
      <c r="V223" s="47">
        <f ca="1">Yards[[#This Row],[Estimate]]-Yards[[#This Row],[Design Est.]]</f>
        <v>0</v>
      </c>
      <c r="W223" s="85">
        <f ca="1">(Yards[[#This Row],['# yards]]*INDEX(UnitCosts[],MATCH(Yards[[#This Row],[WORK TYPE]],UnitCosts[Work Type],0),2))*(1+((Yards[[#This Row],[est. CONS Year]]-YEAR(TODAY()))*$W$3))</f>
        <v>0</v>
      </c>
      <c r="X223" s="142">
        <f ca="1">IF(ISNUMBER(SEARCH("LLC",Yards[[#This Row],[PROGRAM]])),0,IF(Yards[[#This Row],[RAD/PACT by 2025]]="yes",0,1))</f>
        <v>0</v>
      </c>
      <c r="Y223" s="1"/>
      <c r="Z223" s="1"/>
      <c r="AA223" s="51">
        <f ca="1">COUNTIF($X$5:Yards[[#This Row],['# yards]],"&gt;0")-10</f>
        <v>125</v>
      </c>
      <c r="AB223" s="1">
        <f ca="1">IF(ISBLANK(Yards[[#This Row],[DSGN CALENDAR YEAR]]),ROUNDDOWN(Yards[[#This Row],[Count]]/24,0)+$AB$1,Yards[[#This Row],[DSGN CALENDAR YEAR]])</f>
        <v>2026</v>
      </c>
      <c r="AC223" s="16">
        <f ca="1">Yards[[#This Row],[est. DSGN Year]]+1</f>
        <v>2027</v>
      </c>
    </row>
    <row r="224" spans="1:29" hidden="1">
      <c r="A224" s="13" t="s">
        <v>385</v>
      </c>
      <c r="B224" s="51" t="str">
        <f>VLOOKUP(Yards[[#This Row],[DEVELOPMENT]],Data[],2,FALSE)</f>
        <v>BROOKLYN</v>
      </c>
      <c r="C224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24" s="51" t="str">
        <f>VLOOKUP(Yards[[#This Row],[DEVELOPMENT]],Data[],52,FALSE)</f>
        <v>FEDERAL</v>
      </c>
      <c r="E224" s="50">
        <f>VLOOKUP(Yards[[#This Row],[DEVELOPMENT]],Data[],8,FALSE)</f>
        <v>0</v>
      </c>
      <c r="F224" s="51" t="str">
        <f>VLOOKUP(Yards[[#This Row],[DEVELOPMENT]],all[[DEVELOPMENT]:[MRST Ext. Comp. Priority]],6,FALSE)</f>
        <v>None</v>
      </c>
      <c r="G224" s="51">
        <f>VLOOKUP(Yards[[#This Row],[DEVELOPMENT]],all[[DEVELOPMENT]:[MRST Ext. Comp. Priority]],13,FALSE)</f>
        <v>2</v>
      </c>
      <c r="H224" s="50">
        <f>IF(VLOOKUP(Yards[[#This Row],[DEVELOPMENT]],Data[],9,FALSE)=0,5,VLOOKUP(Yards[[#This Row],[DEVELOPMENT]],Data[],9,FALSE))</f>
        <v>5</v>
      </c>
      <c r="I224" s="51">
        <f>VLOOKUP(Yards[[#This Row],[DEVELOPMENT]],Data[],33,FALSE)</f>
        <v>0</v>
      </c>
      <c r="J224" s="51">
        <f>VLOOKUP(Yards[[#This Row],[DEVELOPMENT]],Data[],28,FALSE)</f>
        <v>0</v>
      </c>
      <c r="K224" s="51"/>
      <c r="L224" s="50"/>
      <c r="M224" s="51" t="str">
        <f ca="1">IFERROR(VLOOKUP(Yards[[#This Row],[DEVELOPMENT]],Data[],4,FALSE),"")</f>
        <v>2020-2021</v>
      </c>
      <c r="N224" s="51" t="str">
        <f ca="1">IF(Yards[[#This Row],[RAD/PACT]]="","",IF(OR(Yards[[#This Row],[RAD/PACT]]="2022-2025",Yards[[#This Row],[RAD/PACT]]=2019,Yards[[#This Row],[RAD/PACT]]="2020-2021"),"Yes",""))</f>
        <v>Yes</v>
      </c>
      <c r="O224" s="51" t="str">
        <f ca="1">IFERROR(VLOOKUP(Yards[[#This Row],[DEVELOPMENT]],ExtComp[],8,FALSE),"")</f>
        <v/>
      </c>
      <c r="P224" s="51"/>
      <c r="Q224" s="51"/>
      <c r="R224" s="51" t="str">
        <f>IF(ISBLANK(Yards[[#This Row],[DSGN CALENDAR YEAR]]),"",Yards[[#This Row],[DSGN CALENDAR YEAR]]+1)</f>
        <v/>
      </c>
      <c r="S224" s="51" t="str">
        <f>IF(ISBLANK(Yards[[#This Row],[DSGN FISCAL YEAR]]),"",Yards[[#This Row],[DSGN FISCAL YEAR]]+1)</f>
        <v/>
      </c>
      <c r="T224" s="51"/>
      <c r="U224" s="128">
        <f ca="1">Yards[[#This Row],[Estimate]]*0.1</f>
        <v>0</v>
      </c>
      <c r="V224" s="47">
        <f ca="1">Yards[[#This Row],[Estimate]]-Yards[[#This Row],[Design Est.]]</f>
        <v>0</v>
      </c>
      <c r="W224" s="85">
        <f ca="1">(Yards[[#This Row],['# yards]]*INDEX(UnitCosts[],MATCH(Yards[[#This Row],[WORK TYPE]],UnitCosts[Work Type],0),2))*(1+((Yards[[#This Row],[est. CONS Year]]-YEAR(TODAY()))*$W$3))</f>
        <v>0</v>
      </c>
      <c r="X224" s="142">
        <f ca="1">IF(ISNUMBER(SEARCH("LLC",Yards[[#This Row],[PROGRAM]])),0,IF(Yards[[#This Row],[RAD/PACT by 2025]]="yes",0,1))</f>
        <v>0</v>
      </c>
      <c r="Y224" s="1"/>
      <c r="Z224" s="1"/>
      <c r="AA224" s="51">
        <f ca="1">COUNTIF($X$5:Yards[[#This Row],['# yards]],"&gt;0")-10</f>
        <v>125</v>
      </c>
      <c r="AB224" s="1">
        <f ca="1">IF(ISBLANK(Yards[[#This Row],[DSGN CALENDAR YEAR]]),ROUNDDOWN(Yards[[#This Row],[Count]]/24,0)+$AB$1,Yards[[#This Row],[DSGN CALENDAR YEAR]])</f>
        <v>2026</v>
      </c>
      <c r="AC224" s="16">
        <f ca="1">Yards[[#This Row],[est. DSGN Year]]+1</f>
        <v>2027</v>
      </c>
    </row>
    <row r="225" spans="1:29">
      <c r="A225" s="13" t="s">
        <v>76</v>
      </c>
      <c r="B225" s="51" t="str">
        <f>VLOOKUP(Yards[[#This Row],[DEVELOPMENT]],Data[],2,FALSE)</f>
        <v>MANHATTAN</v>
      </c>
      <c r="C225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25" s="51" t="str">
        <f>VLOOKUP(Yards[[#This Row],[DEVELOPMENT]],Data[],52,FALSE)</f>
        <v>FEDERAL</v>
      </c>
      <c r="E225" s="50" t="str">
        <f>VLOOKUP(Yards[[#This Row],[DEVELOPMENT]],Data[],8,FALSE)</f>
        <v>Zone 3</v>
      </c>
      <c r="F225" s="51" t="str">
        <f>VLOOKUP(Yards[[#This Row],[DEVELOPMENT]],all[[DEVELOPMENT]:[MRST Ext. Comp. Priority]],6,FALSE)</f>
        <v>None</v>
      </c>
      <c r="G225" s="51">
        <f>VLOOKUP(Yards[[#This Row],[DEVELOPMENT]],all[[DEVELOPMENT]:[MRST Ext. Comp. Priority]],13,FALSE)</f>
        <v>3</v>
      </c>
      <c r="H225" s="50">
        <f>IF(VLOOKUP(Yards[[#This Row],[DEVELOPMENT]],Data[],9,FALSE)=0,5,VLOOKUP(Yards[[#This Row],[DEVELOPMENT]],Data[],9,FALSE))</f>
        <v>2</v>
      </c>
      <c r="I225" s="51">
        <f>VLOOKUP(Yards[[#This Row],[DEVELOPMENT]],Data[],33,FALSE)</f>
        <v>0</v>
      </c>
      <c r="J225" s="51">
        <f>VLOOKUP(Yards[[#This Row],[DEVELOPMENT]],Data[],28,FALSE)</f>
        <v>0</v>
      </c>
      <c r="K225" s="51"/>
      <c r="L225" s="50"/>
      <c r="M225" s="51" t="str">
        <f ca="1">IFERROR(VLOOKUP(Yards[[#This Row],[DEVELOPMENT]],Data[],4,FALSE),"")</f>
        <v/>
      </c>
      <c r="N225" s="51" t="str">
        <f ca="1">IF(Yards[[#This Row],[RAD/PACT]]="","",IF(OR(Yards[[#This Row],[RAD/PACT]]="2022-2025",Yards[[#This Row],[RAD/PACT]]=2019,Yards[[#This Row],[RAD/PACT]]="2020-2021"),"Yes",""))</f>
        <v/>
      </c>
      <c r="O225" s="51" t="str">
        <f ca="1">IFERROR(VLOOKUP(Yards[[#This Row],[DEVELOPMENT]],ExtComp[],8,FALSE),"")</f>
        <v/>
      </c>
      <c r="P225" s="51"/>
      <c r="Q225" s="51"/>
      <c r="R225" s="51" t="str">
        <f>IF(ISBLANK(Yards[[#This Row],[DSGN CALENDAR YEAR]]),"",Yards[[#This Row],[DSGN CALENDAR YEAR]]+1)</f>
        <v/>
      </c>
      <c r="S225" s="51" t="str">
        <f>IF(ISBLANK(Yards[[#This Row],[DSGN FISCAL YEAR]]),"",Yards[[#This Row],[DSGN FISCAL YEAR]]+1)</f>
        <v/>
      </c>
      <c r="T225" s="51"/>
      <c r="U225" s="128">
        <f ca="1">Yards[[#This Row],[Estimate]]*0.1</f>
        <v>225039.4463730001</v>
      </c>
      <c r="V225" s="47">
        <f ca="1">Yards[[#This Row],[Estimate]]-Yards[[#This Row],[Design Est.]]</f>
        <v>2025355.0173570008</v>
      </c>
      <c r="W225" s="85">
        <f ca="1">(Yards[[#This Row],['# yards]]*INDEX(UnitCosts[],MATCH(Yards[[#This Row],[WORK TYPE]],UnitCosts[Work Type],0),2))*(1+((Yards[[#This Row],[est. CONS Year]]-YEAR(TODAY()))*$W$3))</f>
        <v>2250394.4637300009</v>
      </c>
      <c r="X225" s="142">
        <f ca="1">IF(ISNUMBER(SEARCH("LLC",Yards[[#This Row],[PROGRAM]])),0,IF(Yards[[#This Row],[RAD/PACT by 2025]]="yes",0,1))</f>
        <v>1</v>
      </c>
      <c r="Y225" s="1"/>
      <c r="Z225" s="1"/>
      <c r="AA225" s="51">
        <f ca="1">COUNTIF($X$5:Yards[[#This Row],['# yards]],"&gt;0")-10</f>
        <v>126</v>
      </c>
      <c r="AB225" s="1">
        <f ca="1">IF(ISBLANK(Yards[[#This Row],[DSGN CALENDAR YEAR]]),ROUNDDOWN(Yards[[#This Row],[Count]]/24,0)+$AB$1,Yards[[#This Row],[DSGN CALENDAR YEAR]])</f>
        <v>2026</v>
      </c>
      <c r="AC225" s="16">
        <f ca="1">Yards[[#This Row],[est. DSGN Year]]+1</f>
        <v>2027</v>
      </c>
    </row>
    <row r="226" spans="1:29">
      <c r="A226" s="13" t="s">
        <v>97</v>
      </c>
      <c r="B226" s="51" t="str">
        <f>VLOOKUP(Yards[[#This Row],[DEVELOPMENT]],Data[],2,FALSE)</f>
        <v>BRONX</v>
      </c>
      <c r="C22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26" s="51" t="str">
        <f>VLOOKUP(Yards[[#This Row],[DEVELOPMENT]],Data[],52,FALSE)</f>
        <v>FEDERAL</v>
      </c>
      <c r="E226" s="50" t="str">
        <f>VLOOKUP(Yards[[#This Row],[DEVELOPMENT]],Data[],8,FALSE)</f>
        <v>Zone 3</v>
      </c>
      <c r="F226" s="51" t="str">
        <f>VLOOKUP(Yards[[#This Row],[DEVELOPMENT]],all[[DEVELOPMENT]:[MRST Ext. Comp. Priority]],6,FALSE)</f>
        <v>None</v>
      </c>
      <c r="G226" s="51">
        <f>VLOOKUP(Yards[[#This Row],[DEVELOPMENT]],all[[DEVELOPMENT]:[MRST Ext. Comp. Priority]],13,FALSE)</f>
        <v>3</v>
      </c>
      <c r="H226" s="50">
        <f>IF(VLOOKUP(Yards[[#This Row],[DEVELOPMENT]],Data[],9,FALSE)=0,5,VLOOKUP(Yards[[#This Row],[DEVELOPMENT]],Data[],9,FALSE))</f>
        <v>2</v>
      </c>
      <c r="I226" s="51">
        <f>VLOOKUP(Yards[[#This Row],[DEVELOPMENT]],Data[],33,FALSE)</f>
        <v>0</v>
      </c>
      <c r="J226" s="51">
        <f>VLOOKUP(Yards[[#This Row],[DEVELOPMENT]],Data[],28,FALSE)</f>
        <v>0</v>
      </c>
      <c r="K226" s="51"/>
      <c r="L226" s="50"/>
      <c r="M226" s="51" t="str">
        <f ca="1">IFERROR(VLOOKUP(Yards[[#This Row],[DEVELOPMENT]],Data[],4,FALSE),"")</f>
        <v>2026+</v>
      </c>
      <c r="N226" s="51" t="str">
        <f ca="1">IF(Yards[[#This Row],[RAD/PACT]]="","",IF(OR(Yards[[#This Row],[RAD/PACT]]="2022-2025",Yards[[#This Row],[RAD/PACT]]=2019,Yards[[#This Row],[RAD/PACT]]="2020-2021"),"Yes",""))</f>
        <v/>
      </c>
      <c r="O226" s="51" t="str">
        <f ca="1">IFERROR(VLOOKUP(Yards[[#This Row],[DEVELOPMENT]],ExtComp[],8,FALSE),"")</f>
        <v/>
      </c>
      <c r="P226" s="51"/>
      <c r="Q226" s="51"/>
      <c r="R226" s="51" t="str">
        <f>IF(ISBLANK(Yards[[#This Row],[DSGN CALENDAR YEAR]]),"",Yards[[#This Row],[DSGN CALENDAR YEAR]]+1)</f>
        <v/>
      </c>
      <c r="S226" s="51" t="str">
        <f>IF(ISBLANK(Yards[[#This Row],[DSGN FISCAL YEAR]]),"",Yards[[#This Row],[DSGN FISCAL YEAR]]+1)</f>
        <v/>
      </c>
      <c r="T226" s="51"/>
      <c r="U226" s="128">
        <f ca="1">Yards[[#This Row],[Estimate]]*0.1</f>
        <v>225039.4463730001</v>
      </c>
      <c r="V226" s="47">
        <f ca="1">Yards[[#This Row],[Estimate]]-Yards[[#This Row],[Design Est.]]</f>
        <v>2025355.0173570008</v>
      </c>
      <c r="W226" s="85">
        <f ca="1">(Yards[[#This Row],['# yards]]*INDEX(UnitCosts[],MATCH(Yards[[#This Row],[WORK TYPE]],UnitCosts[Work Type],0),2))*(1+((Yards[[#This Row],[est. CONS Year]]-YEAR(TODAY()))*$W$3))</f>
        <v>2250394.4637300009</v>
      </c>
      <c r="X226" s="142">
        <f ca="1">IF(ISNUMBER(SEARCH("LLC",Yards[[#This Row],[PROGRAM]])),0,IF(Yards[[#This Row],[RAD/PACT by 2025]]="yes",0,1))</f>
        <v>1</v>
      </c>
      <c r="Y226" s="1"/>
      <c r="Z226" s="1"/>
      <c r="AA226" s="51">
        <f ca="1">COUNTIF($X$5:Yards[[#This Row],['# yards]],"&gt;0")-10</f>
        <v>127</v>
      </c>
      <c r="AB226" s="1">
        <f ca="1">IF(ISBLANK(Yards[[#This Row],[DSGN CALENDAR YEAR]]),ROUNDDOWN(Yards[[#This Row],[Count]]/24,0)+$AB$1,Yards[[#This Row],[DSGN CALENDAR YEAR]])</f>
        <v>2026</v>
      </c>
      <c r="AC226" s="16">
        <f ca="1">Yards[[#This Row],[est. DSGN Year]]+1</f>
        <v>2027</v>
      </c>
    </row>
    <row r="227" spans="1:29">
      <c r="A227" s="13" t="s">
        <v>40</v>
      </c>
      <c r="B227" s="51" t="str">
        <f>VLOOKUP(Yards[[#This Row],[DEVELOPMENT]],Data[],2,FALSE)</f>
        <v>BRONX</v>
      </c>
      <c r="C22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227" s="51" t="str">
        <f>VLOOKUP(Yards[[#This Row],[DEVELOPMENT]],Data[],52,FALSE)</f>
        <v>FEDERAL</v>
      </c>
      <c r="E227" s="50" t="str">
        <f>VLOOKUP(Yards[[#This Row],[DEVELOPMENT]],Data[],8,FALSE)</f>
        <v>Zone 1</v>
      </c>
      <c r="F227" s="51" t="str">
        <f>VLOOKUP(Yards[[#This Row],[DEVELOPMENT]],all[[DEVELOPMENT]:[MRST Ext. Comp. Priority]],6,FALSE)</f>
        <v>None</v>
      </c>
      <c r="G227" s="51">
        <f>VLOOKUP(Yards[[#This Row],[DEVELOPMENT]],all[[DEVELOPMENT]:[MRST Ext. Comp. Priority]],13,FALSE)</f>
        <v>3</v>
      </c>
      <c r="H227" s="50">
        <f>IF(VLOOKUP(Yards[[#This Row],[DEVELOPMENT]],Data[],9,FALSE)=0,5,VLOOKUP(Yards[[#This Row],[DEVELOPMENT]],Data[],9,FALSE))</f>
        <v>3</v>
      </c>
      <c r="I227" s="51">
        <f>VLOOKUP(Yards[[#This Row],[DEVELOPMENT]],Data[],33,FALSE)</f>
        <v>3</v>
      </c>
      <c r="J227" s="51">
        <f>VLOOKUP(Yards[[#This Row],[DEVELOPMENT]],Data[],28,FALSE)</f>
        <v>0</v>
      </c>
      <c r="K227" s="51"/>
      <c r="L227" s="50"/>
      <c r="M227" s="51" t="str">
        <f ca="1">IFERROR(VLOOKUP(Yards[[#This Row],[DEVELOPMENT]],Data[],4,FALSE),"")</f>
        <v/>
      </c>
      <c r="N227" s="51" t="str">
        <f ca="1">IF(Yards[[#This Row],[RAD/PACT]]="","",IF(OR(Yards[[#This Row],[RAD/PACT]]="2022-2025",Yards[[#This Row],[RAD/PACT]]=2019,Yards[[#This Row],[RAD/PACT]]="2020-2021"),"Yes",""))</f>
        <v/>
      </c>
      <c r="O227" s="1">
        <f ca="1">IFERROR(VLOOKUP(Yards[[#This Row],[DEVELOPMENT]],ExtComp[],8,FALSE),"")</f>
        <v>0</v>
      </c>
      <c r="P227" s="1"/>
      <c r="Q227" s="1"/>
      <c r="R227" s="1" t="str">
        <f>IF(ISBLANK(Yards[[#This Row],[DSGN CALENDAR YEAR]]),"",Yards[[#This Row],[DSGN CALENDAR YEAR]]+1)</f>
        <v/>
      </c>
      <c r="S227" s="51" t="str">
        <f>IF(ISBLANK(Yards[[#This Row],[DSGN FISCAL YEAR]]),"",Yards[[#This Row],[DSGN FISCAL YEAR]]+1)</f>
        <v/>
      </c>
      <c r="T227" s="1"/>
      <c r="U227" s="128">
        <f ca="1">Yards[[#This Row],[Estimate]]*0.1</f>
        <v>169601.84953665006</v>
      </c>
      <c r="V227" s="47">
        <f ca="1">Yards[[#This Row],[Estimate]]-Yards[[#This Row],[Design Est.]]</f>
        <v>1526416.6458298503</v>
      </c>
      <c r="W227" s="85">
        <f ca="1">(Yards[[#This Row],['# yards]]*INDEX(UnitCosts[],MATCH(Yards[[#This Row],[WORK TYPE]],UnitCosts[Work Type],0),2))*(1+((Yards[[#This Row],[est. CONS Year]]-YEAR(TODAY()))*$W$3))</f>
        <v>1696018.4953665005</v>
      </c>
      <c r="X227" s="142">
        <f ca="1">IF(ISNUMBER(SEARCH("LLC",Yards[[#This Row],[PROGRAM]])),0,IF(Yards[[#This Row],[RAD/PACT by 2025]]="yes",0,1))</f>
        <v>1</v>
      </c>
      <c r="Y227" s="1"/>
      <c r="Z227" s="1"/>
      <c r="AA227" s="51">
        <f ca="1">COUNTIF($X$5:Yards[[#This Row],['# yards]],"&gt;0")-10</f>
        <v>128</v>
      </c>
      <c r="AB227" s="1">
        <f ca="1">IF(ISBLANK(Yards[[#This Row],[DSGN CALENDAR YEAR]]),ROUNDDOWN(Yards[[#This Row],[Count]]/24,0)+$AB$1,Yards[[#This Row],[DSGN CALENDAR YEAR]])</f>
        <v>2026</v>
      </c>
      <c r="AC227" s="16">
        <f ca="1">Yards[[#This Row],[est. DSGN Year]]+1</f>
        <v>2027</v>
      </c>
    </row>
    <row r="228" spans="1:29">
      <c r="A228" s="13" t="s">
        <v>60</v>
      </c>
      <c r="B228" s="51" t="str">
        <f>VLOOKUP(Yards[[#This Row],[DEVELOPMENT]],Data[],2,FALSE)</f>
        <v>MANHATTAN</v>
      </c>
      <c r="C228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28" s="51" t="str">
        <f>VLOOKUP(Yards[[#This Row],[DEVELOPMENT]],Data[],52,FALSE)</f>
        <v>FEDERAL</v>
      </c>
      <c r="E228" s="50" t="str">
        <f>VLOOKUP(Yards[[#This Row],[DEVELOPMENT]],Data[],8,FALSE)</f>
        <v>Zone 1</v>
      </c>
      <c r="F228" s="51" t="str">
        <f>VLOOKUP(Yards[[#This Row],[DEVELOPMENT]],all[[DEVELOPMENT]:[MRST Ext. Comp. Priority]],6,FALSE)</f>
        <v>None</v>
      </c>
      <c r="G228" s="51">
        <f>VLOOKUP(Yards[[#This Row],[DEVELOPMENT]],all[[DEVELOPMENT]:[MRST Ext. Comp. Priority]],13,FALSE)</f>
        <v>3</v>
      </c>
      <c r="H228" s="50">
        <f>IF(VLOOKUP(Yards[[#This Row],[DEVELOPMENT]],Data[],9,FALSE)=0,5,VLOOKUP(Yards[[#This Row],[DEVELOPMENT]],Data[],9,FALSE))</f>
        <v>3</v>
      </c>
      <c r="I228" s="51">
        <f>VLOOKUP(Yards[[#This Row],[DEVELOPMENT]],Data[],33,FALSE)</f>
        <v>0</v>
      </c>
      <c r="J228" s="51">
        <f>VLOOKUP(Yards[[#This Row],[DEVELOPMENT]],Data[],28,FALSE)</f>
        <v>0</v>
      </c>
      <c r="K228" s="51"/>
      <c r="L228" s="50"/>
      <c r="M228" s="51" t="str">
        <f ca="1">IFERROR(VLOOKUP(Yards[[#This Row],[DEVELOPMENT]],Data[],4,FALSE),"")</f>
        <v>2026+</v>
      </c>
      <c r="N228" s="51" t="str">
        <f ca="1">IF(Yards[[#This Row],[RAD/PACT]]="","",IF(OR(Yards[[#This Row],[RAD/PACT]]="2022-2025",Yards[[#This Row],[RAD/PACT]]=2019,Yards[[#This Row],[RAD/PACT]]="2020-2021"),"Yes",""))</f>
        <v/>
      </c>
      <c r="O228" s="51" t="str">
        <f ca="1">IFERROR(VLOOKUP(Yards[[#This Row],[DEVELOPMENT]],ExtComp[],8,FALSE),"")</f>
        <v/>
      </c>
      <c r="P228" s="51"/>
      <c r="Q228" s="51"/>
      <c r="R228" s="51" t="str">
        <f>IF(ISBLANK(Yards[[#This Row],[DSGN CALENDAR YEAR]]),"",Yards[[#This Row],[DSGN CALENDAR YEAR]]+1)</f>
        <v/>
      </c>
      <c r="S228" s="51" t="str">
        <f>IF(ISBLANK(Yards[[#This Row],[DSGN FISCAL YEAR]]),"",Yards[[#This Row],[DSGN FISCAL YEAR]]+1)</f>
        <v/>
      </c>
      <c r="T228" s="51"/>
      <c r="U228" s="128">
        <f ca="1">Yards[[#This Row],[Estimate]]*0.1</f>
        <v>225039.4463730001</v>
      </c>
      <c r="V228" s="47">
        <f ca="1">Yards[[#This Row],[Estimate]]-Yards[[#This Row],[Design Est.]]</f>
        <v>2025355.0173570008</v>
      </c>
      <c r="W228" s="85">
        <f ca="1">(Yards[[#This Row],['# yards]]*INDEX(UnitCosts[],MATCH(Yards[[#This Row],[WORK TYPE]],UnitCosts[Work Type],0),2))*(1+((Yards[[#This Row],[est. CONS Year]]-YEAR(TODAY()))*$W$3))</f>
        <v>2250394.4637300009</v>
      </c>
      <c r="X228" s="142">
        <f ca="1">IF(ISNUMBER(SEARCH("LLC",Yards[[#This Row],[PROGRAM]])),0,IF(Yards[[#This Row],[RAD/PACT by 2025]]="yes",0,1))</f>
        <v>1</v>
      </c>
      <c r="Y228" s="1"/>
      <c r="Z228" s="1"/>
      <c r="AA228" s="51">
        <f ca="1">COUNTIF($X$5:Yards[[#This Row],['# yards]],"&gt;0")-10</f>
        <v>129</v>
      </c>
      <c r="AB228" s="1">
        <f ca="1">IF(ISBLANK(Yards[[#This Row],[DSGN CALENDAR YEAR]]),ROUNDDOWN(Yards[[#This Row],[Count]]/24,0)+$AB$1,Yards[[#This Row],[DSGN CALENDAR YEAR]])</f>
        <v>2026</v>
      </c>
      <c r="AC228" s="16">
        <f ca="1">Yards[[#This Row],[est. DSGN Year]]+1</f>
        <v>2027</v>
      </c>
    </row>
    <row r="229" spans="1:29">
      <c r="A229" s="13" t="s">
        <v>107</v>
      </c>
      <c r="B229" s="51" t="str">
        <f>VLOOKUP(Yards[[#This Row],[DEVELOPMENT]],Data[],2,FALSE)</f>
        <v>MANHATTAN</v>
      </c>
      <c r="C22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29" s="51" t="str">
        <f>VLOOKUP(Yards[[#This Row],[DEVELOPMENT]],Data[],52,FALSE)</f>
        <v>FEDERAL</v>
      </c>
      <c r="E229" s="50" t="str">
        <f>VLOOKUP(Yards[[#This Row],[DEVELOPMENT]],Data[],8,FALSE)</f>
        <v>Zone 2</v>
      </c>
      <c r="F229" s="51" t="str">
        <f>VLOOKUP(Yards[[#This Row],[DEVELOPMENT]],all[[DEVELOPMENT]:[MRST Ext. Comp. Priority]],6,FALSE)</f>
        <v>None</v>
      </c>
      <c r="G229" s="51">
        <f>VLOOKUP(Yards[[#This Row],[DEVELOPMENT]],all[[DEVELOPMENT]:[MRST Ext. Comp. Priority]],13,FALSE)</f>
        <v>3</v>
      </c>
      <c r="H229" s="50">
        <f>IF(VLOOKUP(Yards[[#This Row],[DEVELOPMENT]],Data[],9,FALSE)=0,5,VLOOKUP(Yards[[#This Row],[DEVELOPMENT]],Data[],9,FALSE))</f>
        <v>3</v>
      </c>
      <c r="I229" s="51">
        <f>VLOOKUP(Yards[[#This Row],[DEVELOPMENT]],Data[],33,FALSE)</f>
        <v>0</v>
      </c>
      <c r="J229" s="51">
        <f>VLOOKUP(Yards[[#This Row],[DEVELOPMENT]],Data[],28,FALSE)</f>
        <v>0</v>
      </c>
      <c r="K229" s="51"/>
      <c r="L229" s="50"/>
      <c r="M229" s="51" t="str">
        <f ca="1">IFERROR(VLOOKUP(Yards[[#This Row],[DEVELOPMENT]],Data[],4,FALSE),"")</f>
        <v/>
      </c>
      <c r="N229" s="51" t="str">
        <f ca="1">IF(Yards[[#This Row],[RAD/PACT]]="","",IF(OR(Yards[[#This Row],[RAD/PACT]]="2022-2025",Yards[[#This Row],[RAD/PACT]]=2019,Yards[[#This Row],[RAD/PACT]]="2020-2021"),"Yes",""))</f>
        <v/>
      </c>
      <c r="O229" s="51">
        <f ca="1">IFERROR(VLOOKUP(Yards[[#This Row],[DEVELOPMENT]],ExtComp[],8,FALSE),"")</f>
        <v>13</v>
      </c>
      <c r="P229" s="51"/>
      <c r="Q229" s="51"/>
      <c r="R229" s="51" t="str">
        <f>IF(ISBLANK(Yards[[#This Row],[DSGN CALENDAR YEAR]]),"",Yards[[#This Row],[DSGN CALENDAR YEAR]]+1)</f>
        <v/>
      </c>
      <c r="S229" s="51" t="str">
        <f>IF(ISBLANK(Yards[[#This Row],[DSGN FISCAL YEAR]]),"",Yards[[#This Row],[DSGN FISCAL YEAR]]+1)</f>
        <v/>
      </c>
      <c r="T229" s="51"/>
      <c r="U229" s="128">
        <f ca="1">Yards[[#This Row],[Estimate]]*0.1</f>
        <v>225039.4463730001</v>
      </c>
      <c r="V229" s="47">
        <f ca="1">Yards[[#This Row],[Estimate]]-Yards[[#This Row],[Design Est.]]</f>
        <v>2025355.0173570008</v>
      </c>
      <c r="W229" s="85">
        <f ca="1">(Yards[[#This Row],['# yards]]*INDEX(UnitCosts[],MATCH(Yards[[#This Row],[WORK TYPE]],UnitCosts[Work Type],0),2))*(1+((Yards[[#This Row],[est. CONS Year]]-YEAR(TODAY()))*$W$3))</f>
        <v>2250394.4637300009</v>
      </c>
      <c r="X229" s="142">
        <f ca="1">IF(ISNUMBER(SEARCH("LLC",Yards[[#This Row],[PROGRAM]])),0,IF(Yards[[#This Row],[RAD/PACT by 2025]]="yes",0,1))</f>
        <v>1</v>
      </c>
      <c r="Y229" s="1"/>
      <c r="Z229" s="1"/>
      <c r="AA229" s="51">
        <f ca="1">COUNTIF($X$5:Yards[[#This Row],['# yards]],"&gt;0")-10</f>
        <v>130</v>
      </c>
      <c r="AB229" s="1">
        <f ca="1">IF(ISBLANK(Yards[[#This Row],[DSGN CALENDAR YEAR]]),ROUNDDOWN(Yards[[#This Row],[Count]]/24,0)+$AB$1,Yards[[#This Row],[DSGN CALENDAR YEAR]])</f>
        <v>2026</v>
      </c>
      <c r="AC229" s="16">
        <f ca="1">Yards[[#This Row],[est. DSGN Year]]+1</f>
        <v>2027</v>
      </c>
    </row>
    <row r="230" spans="1:29">
      <c r="A230" s="13" t="s">
        <v>59</v>
      </c>
      <c r="B230" s="51" t="str">
        <f>VLOOKUP(Yards[[#This Row],[DEVELOPMENT]],Data[],2,FALSE)</f>
        <v>MANHATTAN</v>
      </c>
      <c r="C23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30" s="51" t="str">
        <f>VLOOKUP(Yards[[#This Row],[DEVELOPMENT]],Data[],52,FALSE)</f>
        <v>FEDERAL</v>
      </c>
      <c r="E230" s="50" t="str">
        <f>VLOOKUP(Yards[[#This Row],[DEVELOPMENT]],Data[],8,FALSE)</f>
        <v>Zone 1</v>
      </c>
      <c r="F230" s="51" t="str">
        <f>VLOOKUP(Yards[[#This Row],[DEVELOPMENT]],all[[DEVELOPMENT]:[MRST Ext. Comp. Priority]],6,FALSE)</f>
        <v>None</v>
      </c>
      <c r="G230" s="51">
        <f>VLOOKUP(Yards[[#This Row],[DEVELOPMENT]],all[[DEVELOPMENT]:[MRST Ext. Comp. Priority]],13,FALSE)</f>
        <v>3</v>
      </c>
      <c r="H230" s="50">
        <f>IF(VLOOKUP(Yards[[#This Row],[DEVELOPMENT]],Data[],9,FALSE)=0,5,VLOOKUP(Yards[[#This Row],[DEVELOPMENT]],Data[],9,FALSE))</f>
        <v>4</v>
      </c>
      <c r="I230" s="51">
        <f>VLOOKUP(Yards[[#This Row],[DEVELOPMENT]],Data[],33,FALSE)</f>
        <v>0</v>
      </c>
      <c r="J230" s="51">
        <f>VLOOKUP(Yards[[#This Row],[DEVELOPMENT]],Data[],28,FALSE)</f>
        <v>0</v>
      </c>
      <c r="K230" s="51"/>
      <c r="L230" s="50"/>
      <c r="M230" s="51" t="str">
        <f ca="1">IFERROR(VLOOKUP(Yards[[#This Row],[DEVELOPMENT]],Data[],4,FALSE),"")</f>
        <v>2026+</v>
      </c>
      <c r="N230" s="51" t="str">
        <f ca="1">IF(Yards[[#This Row],[RAD/PACT]]="","",IF(OR(Yards[[#This Row],[RAD/PACT]]="2022-2025",Yards[[#This Row],[RAD/PACT]]=2019,Yards[[#This Row],[RAD/PACT]]="2020-2021"),"Yes",""))</f>
        <v/>
      </c>
      <c r="O230" s="51" t="str">
        <f ca="1">IFERROR(VLOOKUP(Yards[[#This Row],[DEVELOPMENT]],ExtComp[],8,FALSE),"")</f>
        <v/>
      </c>
      <c r="P230" s="51"/>
      <c r="Q230" s="51"/>
      <c r="R230" s="51" t="str">
        <f>IF(ISBLANK(Yards[[#This Row],[DSGN CALENDAR YEAR]]),"",Yards[[#This Row],[DSGN CALENDAR YEAR]]+1)</f>
        <v/>
      </c>
      <c r="S230" s="51" t="str">
        <f>IF(ISBLANK(Yards[[#This Row],[DSGN FISCAL YEAR]]),"",Yards[[#This Row],[DSGN FISCAL YEAR]]+1)</f>
        <v/>
      </c>
      <c r="T230" s="51"/>
      <c r="U230" s="128">
        <f ca="1">Yards[[#This Row],[Estimate]]*0.1</f>
        <v>225039.4463730001</v>
      </c>
      <c r="V230" s="47">
        <f ca="1">Yards[[#This Row],[Estimate]]-Yards[[#This Row],[Design Est.]]</f>
        <v>2025355.0173570008</v>
      </c>
      <c r="W230" s="85">
        <f ca="1">(Yards[[#This Row],['# yards]]*INDEX(UnitCosts[],MATCH(Yards[[#This Row],[WORK TYPE]],UnitCosts[Work Type],0),2))*(1+((Yards[[#This Row],[est. CONS Year]]-YEAR(TODAY()))*$W$3))</f>
        <v>2250394.4637300009</v>
      </c>
      <c r="X230" s="142">
        <f ca="1">IF(ISNUMBER(SEARCH("LLC",Yards[[#This Row],[PROGRAM]])),0,IF(Yards[[#This Row],[RAD/PACT by 2025]]="yes",0,1))</f>
        <v>1</v>
      </c>
      <c r="Y230" s="1"/>
      <c r="Z230" s="1"/>
      <c r="AA230" s="51">
        <f ca="1">COUNTIF($X$5:Yards[[#This Row],['# yards]],"&gt;0")-10</f>
        <v>131</v>
      </c>
      <c r="AB230" s="1">
        <f ca="1">IF(ISBLANK(Yards[[#This Row],[DSGN CALENDAR YEAR]]),ROUNDDOWN(Yards[[#This Row],[Count]]/24,0)+$AB$1,Yards[[#This Row],[DSGN CALENDAR YEAR]])</f>
        <v>2026</v>
      </c>
      <c r="AC230" s="16">
        <f ca="1">Yards[[#This Row],[est. DSGN Year]]+1</f>
        <v>2027</v>
      </c>
    </row>
    <row r="231" spans="1:29">
      <c r="A231" s="13" t="s">
        <v>126</v>
      </c>
      <c r="B231" s="51" t="str">
        <f>VLOOKUP(Yards[[#This Row],[DEVELOPMENT]],Data[],2,FALSE)</f>
        <v>MANHATTAN</v>
      </c>
      <c r="C231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31" s="51" t="str">
        <f>VLOOKUP(Yards[[#This Row],[DEVELOPMENT]],Data[],52,FALSE)</f>
        <v>FEDERAL</v>
      </c>
      <c r="E231" s="50" t="str">
        <f>VLOOKUP(Yards[[#This Row],[DEVELOPMENT]],Data[],8,FALSE)</f>
        <v>Zone 2</v>
      </c>
      <c r="F231" s="51" t="str">
        <f>VLOOKUP(Yards[[#This Row],[DEVELOPMENT]],all[[DEVELOPMENT]:[MRST Ext. Comp. Priority]],6,FALSE)</f>
        <v>None</v>
      </c>
      <c r="G231" s="51">
        <f>VLOOKUP(Yards[[#This Row],[DEVELOPMENT]],all[[DEVELOPMENT]:[MRST Ext. Comp. Priority]],13,FALSE)</f>
        <v>3</v>
      </c>
      <c r="H231" s="50">
        <f>IF(VLOOKUP(Yards[[#This Row],[DEVELOPMENT]],Data[],9,FALSE)=0,5,VLOOKUP(Yards[[#This Row],[DEVELOPMENT]],Data[],9,FALSE))</f>
        <v>4</v>
      </c>
      <c r="I231" s="51">
        <f>VLOOKUP(Yards[[#This Row],[DEVELOPMENT]],Data[],33,FALSE)</f>
        <v>0</v>
      </c>
      <c r="J231" s="51">
        <f>VLOOKUP(Yards[[#This Row],[DEVELOPMENT]],Data[],28,FALSE)</f>
        <v>0</v>
      </c>
      <c r="K231" s="51"/>
      <c r="L231" s="50"/>
      <c r="M231" s="51" t="str">
        <f ca="1">IFERROR(VLOOKUP(Yards[[#This Row],[DEVELOPMENT]],Data[],4,FALSE),"")</f>
        <v/>
      </c>
      <c r="N231" s="51" t="str">
        <f ca="1">IF(Yards[[#This Row],[RAD/PACT]]="","",IF(OR(Yards[[#This Row],[RAD/PACT]]="2022-2025",Yards[[#This Row],[RAD/PACT]]=2019,Yards[[#This Row],[RAD/PACT]]="2020-2021"),"Yes",""))</f>
        <v/>
      </c>
      <c r="O231" s="51">
        <f ca="1">IFERROR(VLOOKUP(Yards[[#This Row],[DEVELOPMENT]],ExtComp[],8,FALSE),"")</f>
        <v>13</v>
      </c>
      <c r="P231" s="51"/>
      <c r="Q231" s="51"/>
      <c r="R231" s="51" t="str">
        <f>IF(ISBLANK(Yards[[#This Row],[DSGN CALENDAR YEAR]]),"",Yards[[#This Row],[DSGN CALENDAR YEAR]]+1)</f>
        <v/>
      </c>
      <c r="S231" s="51" t="str">
        <f>IF(ISBLANK(Yards[[#This Row],[DSGN FISCAL YEAR]]),"",Yards[[#This Row],[DSGN FISCAL YEAR]]+1)</f>
        <v/>
      </c>
      <c r="T231" s="51"/>
      <c r="U231" s="128">
        <f ca="1">Yards[[#This Row],[Estimate]]*0.1</f>
        <v>225039.4463730001</v>
      </c>
      <c r="V231" s="47">
        <f ca="1">Yards[[#This Row],[Estimate]]-Yards[[#This Row],[Design Est.]]</f>
        <v>2025355.0173570008</v>
      </c>
      <c r="W231" s="85">
        <f ca="1">(Yards[[#This Row],['# yards]]*INDEX(UnitCosts[],MATCH(Yards[[#This Row],[WORK TYPE]],UnitCosts[Work Type],0),2))*(1+((Yards[[#This Row],[est. CONS Year]]-YEAR(TODAY()))*$W$3))</f>
        <v>2250394.4637300009</v>
      </c>
      <c r="X231" s="142">
        <f ca="1">IF(ISNUMBER(SEARCH("LLC",Yards[[#This Row],[PROGRAM]])),0,IF(Yards[[#This Row],[RAD/PACT by 2025]]="yes",0,1))</f>
        <v>1</v>
      </c>
      <c r="Y231" s="1"/>
      <c r="Z231" s="1"/>
      <c r="AA231" s="51">
        <f ca="1">COUNTIF($X$5:Yards[[#This Row],['# yards]],"&gt;0")-10</f>
        <v>132</v>
      </c>
      <c r="AB231" s="1">
        <f ca="1">IF(ISBLANK(Yards[[#This Row],[DSGN CALENDAR YEAR]]),ROUNDDOWN(Yards[[#This Row],[Count]]/24,0)+$AB$1,Yards[[#This Row],[DSGN CALENDAR YEAR]])</f>
        <v>2026</v>
      </c>
      <c r="AC231" s="16">
        <f ca="1">Yards[[#This Row],[est. DSGN Year]]+1</f>
        <v>2027</v>
      </c>
    </row>
    <row r="232" spans="1:29">
      <c r="A232" s="13" t="s">
        <v>74</v>
      </c>
      <c r="B232" s="51" t="str">
        <f>VLOOKUP(Yards[[#This Row],[DEVELOPMENT]],Data[],2,FALSE)</f>
        <v>MANHATTAN</v>
      </c>
      <c r="C23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32" s="51" t="str">
        <f>VLOOKUP(Yards[[#This Row],[DEVELOPMENT]],Data[],52,FALSE)</f>
        <v>FEDERAL</v>
      </c>
      <c r="E232" s="50" t="str">
        <f>VLOOKUP(Yards[[#This Row],[DEVELOPMENT]],Data[],8,FALSE)</f>
        <v>Zone 2</v>
      </c>
      <c r="F232" s="51" t="str">
        <f>VLOOKUP(Yards[[#This Row],[DEVELOPMENT]],all[[DEVELOPMENT]:[MRST Ext. Comp. Priority]],6,FALSE)</f>
        <v>None</v>
      </c>
      <c r="G232" s="51">
        <f>VLOOKUP(Yards[[#This Row],[DEVELOPMENT]],all[[DEVELOPMENT]:[MRST Ext. Comp. Priority]],13,FALSE)</f>
        <v>3</v>
      </c>
      <c r="H232" s="50">
        <f>IF(VLOOKUP(Yards[[#This Row],[DEVELOPMENT]],Data[],9,FALSE)=0,5,VLOOKUP(Yards[[#This Row],[DEVELOPMENT]],Data[],9,FALSE))</f>
        <v>4</v>
      </c>
      <c r="I232" s="51">
        <f>VLOOKUP(Yards[[#This Row],[DEVELOPMENT]],Data[],33,FALSE)</f>
        <v>0</v>
      </c>
      <c r="J232" s="51">
        <f>VLOOKUP(Yards[[#This Row],[DEVELOPMENT]],Data[],28,FALSE)</f>
        <v>0</v>
      </c>
      <c r="K232" s="51"/>
      <c r="L232" s="50"/>
      <c r="M232" s="51" t="str">
        <f ca="1">IFERROR(VLOOKUP(Yards[[#This Row],[DEVELOPMENT]],Data[],4,FALSE),"")</f>
        <v>2026+</v>
      </c>
      <c r="N232" s="51" t="str">
        <f ca="1">IF(Yards[[#This Row],[RAD/PACT]]="","",IF(OR(Yards[[#This Row],[RAD/PACT]]="2022-2025",Yards[[#This Row],[RAD/PACT]]=2019,Yards[[#This Row],[RAD/PACT]]="2020-2021"),"Yes",""))</f>
        <v/>
      </c>
      <c r="O232" s="51" t="str">
        <f ca="1">IFERROR(VLOOKUP(Yards[[#This Row],[DEVELOPMENT]],ExtComp[],8,FALSE),"")</f>
        <v/>
      </c>
      <c r="P232" s="51"/>
      <c r="Q232" s="51"/>
      <c r="R232" s="51" t="str">
        <f>IF(ISBLANK(Yards[[#This Row],[DSGN CALENDAR YEAR]]),"",Yards[[#This Row],[DSGN CALENDAR YEAR]]+1)</f>
        <v/>
      </c>
      <c r="S232" s="51" t="str">
        <f>IF(ISBLANK(Yards[[#This Row],[DSGN FISCAL YEAR]]),"",Yards[[#This Row],[DSGN FISCAL YEAR]]+1)</f>
        <v/>
      </c>
      <c r="T232" s="51"/>
      <c r="U232" s="128">
        <f ca="1">Yards[[#This Row],[Estimate]]*0.1</f>
        <v>225039.4463730001</v>
      </c>
      <c r="V232" s="47">
        <f ca="1">Yards[[#This Row],[Estimate]]-Yards[[#This Row],[Design Est.]]</f>
        <v>2025355.0173570008</v>
      </c>
      <c r="W232" s="85">
        <f ca="1">(Yards[[#This Row],['# yards]]*INDEX(UnitCosts[],MATCH(Yards[[#This Row],[WORK TYPE]],UnitCosts[Work Type],0),2))*(1+((Yards[[#This Row],[est. CONS Year]]-YEAR(TODAY()))*$W$3))</f>
        <v>2250394.4637300009</v>
      </c>
      <c r="X232" s="142">
        <f ca="1">IF(ISNUMBER(SEARCH("LLC",Yards[[#This Row],[PROGRAM]])),0,IF(Yards[[#This Row],[RAD/PACT by 2025]]="yes",0,1))</f>
        <v>1</v>
      </c>
      <c r="Y232" s="1"/>
      <c r="Z232" s="1"/>
      <c r="AA232" s="51">
        <f ca="1">COUNTIF($X$5:Yards[[#This Row],['# yards]],"&gt;0")-10</f>
        <v>133</v>
      </c>
      <c r="AB232" s="1">
        <f ca="1">IF(ISBLANK(Yards[[#This Row],[DSGN CALENDAR YEAR]]),ROUNDDOWN(Yards[[#This Row],[Count]]/24,0)+$AB$1,Yards[[#This Row],[DSGN CALENDAR YEAR]])</f>
        <v>2026</v>
      </c>
      <c r="AC232" s="16">
        <f ca="1">Yards[[#This Row],[est. DSGN Year]]+1</f>
        <v>2027</v>
      </c>
    </row>
    <row r="233" spans="1:29">
      <c r="A233" s="13" t="s">
        <v>63</v>
      </c>
      <c r="B233" s="51" t="str">
        <f>VLOOKUP(Yards[[#This Row],[DEVELOPMENT]],Data[],2,FALSE)</f>
        <v>MANHATTAN</v>
      </c>
      <c r="C233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33" s="51" t="str">
        <f>VLOOKUP(Yards[[#This Row],[DEVELOPMENT]],Data[],52,FALSE)</f>
        <v>FEDERAL</v>
      </c>
      <c r="E233" s="50" t="str">
        <f>VLOOKUP(Yards[[#This Row],[DEVELOPMENT]],Data[],8,FALSE)</f>
        <v>Zone 1</v>
      </c>
      <c r="F233" s="51" t="str">
        <f>VLOOKUP(Yards[[#This Row],[DEVELOPMENT]],all[[DEVELOPMENT]:[MRST Ext. Comp. Priority]],6,FALSE)</f>
        <v>None</v>
      </c>
      <c r="G233" s="51">
        <f>VLOOKUP(Yards[[#This Row],[DEVELOPMENT]],all[[DEVELOPMENT]:[MRST Ext. Comp. Priority]],13,FALSE)</f>
        <v>3</v>
      </c>
      <c r="H233" s="50">
        <f>IF(VLOOKUP(Yards[[#This Row],[DEVELOPMENT]],Data[],9,FALSE)=0,5,VLOOKUP(Yards[[#This Row],[DEVELOPMENT]],Data[],9,FALSE))</f>
        <v>4</v>
      </c>
      <c r="I233" s="51">
        <f>VLOOKUP(Yards[[#This Row],[DEVELOPMENT]],Data[],33,FALSE)</f>
        <v>0</v>
      </c>
      <c r="J233" s="51">
        <f>VLOOKUP(Yards[[#This Row],[DEVELOPMENT]],Data[],28,FALSE)</f>
        <v>0</v>
      </c>
      <c r="K233" s="51"/>
      <c r="L233" s="50"/>
      <c r="M233" s="51" t="str">
        <f ca="1">IFERROR(VLOOKUP(Yards[[#This Row],[DEVELOPMENT]],Data[],4,FALSE),"")</f>
        <v>2026+</v>
      </c>
      <c r="N233" s="51" t="str">
        <f ca="1">IF(Yards[[#This Row],[RAD/PACT]]="","",IF(OR(Yards[[#This Row],[RAD/PACT]]="2022-2025",Yards[[#This Row],[RAD/PACT]]=2019,Yards[[#This Row],[RAD/PACT]]="2020-2021"),"Yes",""))</f>
        <v/>
      </c>
      <c r="O233" s="51" t="str">
        <f ca="1">IFERROR(VLOOKUP(Yards[[#This Row],[DEVELOPMENT]],ExtComp[],8,FALSE),"")</f>
        <v/>
      </c>
      <c r="P233" s="51"/>
      <c r="Q233" s="51"/>
      <c r="R233" s="51" t="str">
        <f>IF(ISBLANK(Yards[[#This Row],[DSGN CALENDAR YEAR]]),"",Yards[[#This Row],[DSGN CALENDAR YEAR]]+1)</f>
        <v/>
      </c>
      <c r="S233" s="51" t="str">
        <f>IF(ISBLANK(Yards[[#This Row],[DSGN FISCAL YEAR]]),"",Yards[[#This Row],[DSGN FISCAL YEAR]]+1)</f>
        <v/>
      </c>
      <c r="T233" s="51"/>
      <c r="U233" s="128">
        <f ca="1">Yards[[#This Row],[Estimate]]*0.1</f>
        <v>225039.4463730001</v>
      </c>
      <c r="V233" s="47">
        <f ca="1">Yards[[#This Row],[Estimate]]-Yards[[#This Row],[Design Est.]]</f>
        <v>2025355.0173570008</v>
      </c>
      <c r="W233" s="85">
        <f ca="1">(Yards[[#This Row],['# yards]]*INDEX(UnitCosts[],MATCH(Yards[[#This Row],[WORK TYPE]],UnitCosts[Work Type],0),2))*(1+((Yards[[#This Row],[est. CONS Year]]-YEAR(TODAY()))*$W$3))</f>
        <v>2250394.4637300009</v>
      </c>
      <c r="X233" s="142">
        <f ca="1">IF(ISNUMBER(SEARCH("LLC",Yards[[#This Row],[PROGRAM]])),0,IF(Yards[[#This Row],[RAD/PACT by 2025]]="yes",0,1))</f>
        <v>1</v>
      </c>
      <c r="Y233" s="1"/>
      <c r="Z233" s="1"/>
      <c r="AA233" s="51">
        <f ca="1">COUNTIF($X$5:Yards[[#This Row],['# yards]],"&gt;0")-10</f>
        <v>134</v>
      </c>
      <c r="AB233" s="1">
        <f ca="1">IF(ISBLANK(Yards[[#This Row],[DSGN CALENDAR YEAR]]),ROUNDDOWN(Yards[[#This Row],[Count]]/24,0)+$AB$1,Yards[[#This Row],[DSGN CALENDAR YEAR]])</f>
        <v>2026</v>
      </c>
      <c r="AC233" s="16">
        <f ca="1">Yards[[#This Row],[est. DSGN Year]]+1</f>
        <v>2027</v>
      </c>
    </row>
    <row r="234" spans="1:29">
      <c r="A234" s="13" t="s">
        <v>148</v>
      </c>
      <c r="B234" s="51" t="str">
        <f>VLOOKUP(Yards[[#This Row],[DEVELOPMENT]],Data[],2,FALSE)</f>
        <v>BROOKLYN</v>
      </c>
      <c r="C23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34" s="51" t="str">
        <f>VLOOKUP(Yards[[#This Row],[DEVELOPMENT]],Data[],52,FALSE)</f>
        <v>FEDERAL</v>
      </c>
      <c r="E234" s="50" t="str">
        <f>VLOOKUP(Yards[[#This Row],[DEVELOPMENT]],Data[],8,FALSE)</f>
        <v>Zone 1</v>
      </c>
      <c r="F234" s="51" t="str">
        <f>VLOOKUP(Yards[[#This Row],[DEVELOPMENT]],all[[DEVELOPMENT]:[MRST Ext. Comp. Priority]],6,FALSE)</f>
        <v>None</v>
      </c>
      <c r="G234" s="51">
        <f>VLOOKUP(Yards[[#This Row],[DEVELOPMENT]],all[[DEVELOPMENT]:[MRST Ext. Comp. Priority]],13,FALSE)</f>
        <v>3</v>
      </c>
      <c r="H234" s="50">
        <f>IF(VLOOKUP(Yards[[#This Row],[DEVELOPMENT]],Data[],9,FALSE)=0,5,VLOOKUP(Yards[[#This Row],[DEVELOPMENT]],Data[],9,FALSE))</f>
        <v>4</v>
      </c>
      <c r="I234" s="51">
        <f>VLOOKUP(Yards[[#This Row],[DEVELOPMENT]],Data[],33,FALSE)</f>
        <v>2</v>
      </c>
      <c r="J234" s="51">
        <f>VLOOKUP(Yards[[#This Row],[DEVELOPMENT]],Data[],28,FALSE)</f>
        <v>0</v>
      </c>
      <c r="K234" s="51"/>
      <c r="L234" s="50"/>
      <c r="M234" s="51" t="str">
        <f ca="1">IFERROR(VLOOKUP(Yards[[#This Row],[DEVELOPMENT]],Data[],4,FALSE),"")</f>
        <v/>
      </c>
      <c r="N234" s="51" t="str">
        <f ca="1">IF(Yards[[#This Row],[RAD/PACT]]="","",IF(OR(Yards[[#This Row],[RAD/PACT]]="2022-2025",Yards[[#This Row],[RAD/PACT]]=2019,Yards[[#This Row],[RAD/PACT]]="2020-2021"),"Yes",""))</f>
        <v/>
      </c>
      <c r="O234" s="51" t="str">
        <f ca="1">IFERROR(VLOOKUP(Yards[[#This Row],[DEVELOPMENT]],ExtComp[],8,FALSE),"")</f>
        <v/>
      </c>
      <c r="P234" s="51"/>
      <c r="Q234" s="51"/>
      <c r="R234" s="51" t="str">
        <f>IF(ISBLANK(Yards[[#This Row],[DSGN CALENDAR YEAR]]),"",Yards[[#This Row],[DSGN CALENDAR YEAR]]+1)</f>
        <v/>
      </c>
      <c r="S234" s="51" t="str">
        <f>IF(ISBLANK(Yards[[#This Row],[DSGN FISCAL YEAR]]),"",Yards[[#This Row],[DSGN FISCAL YEAR]]+1)</f>
        <v/>
      </c>
      <c r="T234" s="51"/>
      <c r="U234" s="128">
        <f ca="1">Yards[[#This Row],[Estimate]]*0.1</f>
        <v>251543.40010425012</v>
      </c>
      <c r="V234" s="47">
        <f ca="1">Yards[[#This Row],[Estimate]]-Yards[[#This Row],[Design Est.]]</f>
        <v>2263890.6009382508</v>
      </c>
      <c r="W234" s="85">
        <f ca="1">(Yards[[#This Row],['# yards]]*INDEX(UnitCosts[],MATCH(Yards[[#This Row],[WORK TYPE]],UnitCosts[Work Type],0),2))*(1+((Yards[[#This Row],[est. CONS Year]]-YEAR(TODAY()))*$W$3))</f>
        <v>2515434.0010425011</v>
      </c>
      <c r="X234" s="142">
        <f ca="1">IF(ISNUMBER(SEARCH("LLC",Yards[[#This Row],[PROGRAM]])),0,IF(Yards[[#This Row],[RAD/PACT by 2025]]="yes",0,1))</f>
        <v>1</v>
      </c>
      <c r="Y234" s="1"/>
      <c r="Z234" s="1"/>
      <c r="AA234" s="51">
        <f ca="1">COUNTIF($X$5:Yards[[#This Row],['# yards]],"&gt;0")-10</f>
        <v>135</v>
      </c>
      <c r="AB234" s="1">
        <f ca="1">IF(ISBLANK(Yards[[#This Row],[DSGN CALENDAR YEAR]]),ROUNDDOWN(Yards[[#This Row],[Count]]/24,0)+$AB$1,Yards[[#This Row],[DSGN CALENDAR YEAR]])</f>
        <v>2026</v>
      </c>
      <c r="AC234" s="16">
        <f ca="1">Yards[[#This Row],[est. DSGN Year]]+1</f>
        <v>2027</v>
      </c>
    </row>
    <row r="235" spans="1:29">
      <c r="A235" s="13" t="s">
        <v>46</v>
      </c>
      <c r="B235" s="51" t="str">
        <f>VLOOKUP(Yards[[#This Row],[DEVELOPMENT]],Data[],2,FALSE)</f>
        <v>BROOKLYN</v>
      </c>
      <c r="C23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235" s="51" t="str">
        <f>VLOOKUP(Yards[[#This Row],[DEVELOPMENT]],Data[],52,FALSE)</f>
        <v>FEDERAL</v>
      </c>
      <c r="E235" s="50" t="str">
        <f>VLOOKUP(Yards[[#This Row],[DEVELOPMENT]],Data[],8,FALSE)</f>
        <v>Zone 1</v>
      </c>
      <c r="F235" s="51" t="str">
        <f>VLOOKUP(Yards[[#This Row],[DEVELOPMENT]],all[[DEVELOPMENT]:[MRST Ext. Comp. Priority]],6,FALSE)</f>
        <v>None</v>
      </c>
      <c r="G235" s="51">
        <f>VLOOKUP(Yards[[#This Row],[DEVELOPMENT]],all[[DEVELOPMENT]:[MRST Ext. Comp. Priority]],13,FALSE)</f>
        <v>3</v>
      </c>
      <c r="H235" s="50">
        <f>IF(VLOOKUP(Yards[[#This Row],[DEVELOPMENT]],Data[],9,FALSE)=0,5,VLOOKUP(Yards[[#This Row],[DEVELOPMENT]],Data[],9,FALSE))</f>
        <v>4</v>
      </c>
      <c r="I235" s="51">
        <f>VLOOKUP(Yards[[#This Row],[DEVELOPMENT]],Data[],33,FALSE)</f>
        <v>2</v>
      </c>
      <c r="J235" s="51">
        <f>VLOOKUP(Yards[[#This Row],[DEVELOPMENT]],Data[],28,FALSE)</f>
        <v>0</v>
      </c>
      <c r="K235" s="51"/>
      <c r="L235" s="50"/>
      <c r="M235" s="51" t="str">
        <f ca="1">IFERROR(VLOOKUP(Yards[[#This Row],[DEVELOPMENT]],Data[],4,FALSE),"")</f>
        <v>2026+</v>
      </c>
      <c r="N235" s="51" t="str">
        <f ca="1">IF(Yards[[#This Row],[RAD/PACT]]="","",IF(OR(Yards[[#This Row],[RAD/PACT]]="2022-2025",Yards[[#This Row],[RAD/PACT]]=2019,Yards[[#This Row],[RAD/PACT]]="2020-2021"),"Yes",""))</f>
        <v/>
      </c>
      <c r="O235" s="51">
        <f ca="1">IFERROR(VLOOKUP(Yards[[#This Row],[DEVELOPMENT]],ExtComp[],8,FALSE),"")</f>
        <v>1</v>
      </c>
      <c r="P235" s="51"/>
      <c r="Q235" s="51"/>
      <c r="R235" s="51" t="str">
        <f>IF(ISBLANK(Yards[[#This Row],[DSGN CALENDAR YEAR]]),"",Yards[[#This Row],[DSGN CALENDAR YEAR]]+1)</f>
        <v/>
      </c>
      <c r="S235" s="51" t="str">
        <f>IF(ISBLANK(Yards[[#This Row],[DSGN FISCAL YEAR]]),"",Yards[[#This Row],[DSGN FISCAL YEAR]]+1)</f>
        <v/>
      </c>
      <c r="T235" s="51"/>
      <c r="U235" s="128">
        <f ca="1">Yards[[#This Row],[Estimate]]*0.1</f>
        <v>169601.84953665006</v>
      </c>
      <c r="V235" s="47">
        <f ca="1">Yards[[#This Row],[Estimate]]-Yards[[#This Row],[Design Est.]]</f>
        <v>1526416.6458298503</v>
      </c>
      <c r="W235" s="85">
        <f ca="1">(Yards[[#This Row],['# yards]]*INDEX(UnitCosts[],MATCH(Yards[[#This Row],[WORK TYPE]],UnitCosts[Work Type],0),2))*(1+((Yards[[#This Row],[est. CONS Year]]-YEAR(TODAY()))*$W$3))</f>
        <v>1696018.4953665005</v>
      </c>
      <c r="X235" s="142">
        <f ca="1">IF(ISNUMBER(SEARCH("LLC",Yards[[#This Row],[PROGRAM]])),0,IF(Yards[[#This Row],[RAD/PACT by 2025]]="yes",0,1))</f>
        <v>1</v>
      </c>
      <c r="Y235" s="1"/>
      <c r="Z235" s="1"/>
      <c r="AA235" s="51">
        <f ca="1">COUNTIF($X$5:Yards[[#This Row],['# yards]],"&gt;0")-10</f>
        <v>136</v>
      </c>
      <c r="AB235" s="1">
        <f ca="1">IF(ISBLANK(Yards[[#This Row],[DSGN CALENDAR YEAR]]),ROUNDDOWN(Yards[[#This Row],[Count]]/24,0)+$AB$1,Yards[[#This Row],[DSGN CALENDAR YEAR]])</f>
        <v>2026</v>
      </c>
      <c r="AC235" s="16">
        <f ca="1">Yards[[#This Row],[est. DSGN Year]]+1</f>
        <v>2027</v>
      </c>
    </row>
    <row r="236" spans="1:29">
      <c r="A236" s="13" t="s">
        <v>99</v>
      </c>
      <c r="B236" s="51" t="str">
        <f>VLOOKUP(Yards[[#This Row],[DEVELOPMENT]],Data[],2,FALSE)</f>
        <v>BRONX</v>
      </c>
      <c r="C23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36" s="51" t="str">
        <f>VLOOKUP(Yards[[#This Row],[DEVELOPMENT]],Data[],52,FALSE)</f>
        <v>FEDERAL</v>
      </c>
      <c r="E236" s="50" t="str">
        <f>VLOOKUP(Yards[[#This Row],[DEVELOPMENT]],Data[],8,FALSE)</f>
        <v>Zone 3</v>
      </c>
      <c r="F236" s="51" t="str">
        <f>VLOOKUP(Yards[[#This Row],[DEVELOPMENT]],all[[DEVELOPMENT]:[MRST Ext. Comp. Priority]],6,FALSE)</f>
        <v>None</v>
      </c>
      <c r="G236" s="51">
        <f>VLOOKUP(Yards[[#This Row],[DEVELOPMENT]],all[[DEVELOPMENT]:[MRST Ext. Comp. Priority]],13,FALSE)</f>
        <v>3</v>
      </c>
      <c r="H236" s="50">
        <f>IF(VLOOKUP(Yards[[#This Row],[DEVELOPMENT]],Data[],9,FALSE)=0,5,VLOOKUP(Yards[[#This Row],[DEVELOPMENT]],Data[],9,FALSE))</f>
        <v>4</v>
      </c>
      <c r="I236" s="51">
        <f>VLOOKUP(Yards[[#This Row],[DEVELOPMENT]],Data[],33,FALSE)</f>
        <v>1</v>
      </c>
      <c r="J236" s="51">
        <f>VLOOKUP(Yards[[#This Row],[DEVELOPMENT]],Data[],28,FALSE)</f>
        <v>0</v>
      </c>
      <c r="K236" s="51"/>
      <c r="L236" s="50"/>
      <c r="M236" s="51" t="str">
        <f ca="1">IFERROR(VLOOKUP(Yards[[#This Row],[DEVELOPMENT]],Data[],4,FALSE),"")</f>
        <v>2026+</v>
      </c>
      <c r="N236" s="51" t="str">
        <f ca="1">IF(Yards[[#This Row],[RAD/PACT]]="","",IF(OR(Yards[[#This Row],[RAD/PACT]]="2022-2025",Yards[[#This Row],[RAD/PACT]]=2019,Yards[[#This Row],[RAD/PACT]]="2020-2021"),"Yes",""))</f>
        <v/>
      </c>
      <c r="O236" s="51" t="str">
        <f ca="1">IFERROR(VLOOKUP(Yards[[#This Row],[DEVELOPMENT]],ExtComp[],8,FALSE),"")</f>
        <v/>
      </c>
      <c r="P236" s="51"/>
      <c r="Q236" s="51"/>
      <c r="R236" s="51" t="str">
        <f>IF(ISBLANK(Yards[[#This Row],[DSGN CALENDAR YEAR]]),"",Yards[[#This Row],[DSGN CALENDAR YEAR]]+1)</f>
        <v/>
      </c>
      <c r="S236" s="51" t="str">
        <f>IF(ISBLANK(Yards[[#This Row],[DSGN FISCAL YEAR]]),"",Yards[[#This Row],[DSGN FISCAL YEAR]]+1)</f>
        <v/>
      </c>
      <c r="T236" s="51"/>
      <c r="U236" s="128">
        <f ca="1">Yards[[#This Row],[Estimate]]*0.1</f>
        <v>225039.4463730001</v>
      </c>
      <c r="V236" s="47">
        <f ca="1">Yards[[#This Row],[Estimate]]-Yards[[#This Row],[Design Est.]]</f>
        <v>2025355.0173570008</v>
      </c>
      <c r="W236" s="85">
        <f ca="1">(Yards[[#This Row],['# yards]]*INDEX(UnitCosts[],MATCH(Yards[[#This Row],[WORK TYPE]],UnitCosts[Work Type],0),2))*(1+((Yards[[#This Row],[est. CONS Year]]-YEAR(TODAY()))*$W$3))</f>
        <v>2250394.4637300009</v>
      </c>
      <c r="X236" s="142">
        <f ca="1">IF(ISNUMBER(SEARCH("LLC",Yards[[#This Row],[PROGRAM]])),0,IF(Yards[[#This Row],[RAD/PACT by 2025]]="yes",0,1))</f>
        <v>1</v>
      </c>
      <c r="Y236" s="1"/>
      <c r="Z236" s="1"/>
      <c r="AA236" s="51">
        <f ca="1">COUNTIF($X$5:Yards[[#This Row],['# yards]],"&gt;0")-10</f>
        <v>137</v>
      </c>
      <c r="AB236" s="1">
        <f ca="1">IF(ISBLANK(Yards[[#This Row],[DSGN CALENDAR YEAR]]),ROUNDDOWN(Yards[[#This Row],[Count]]/24,0)+$AB$1,Yards[[#This Row],[DSGN CALENDAR YEAR]])</f>
        <v>2026</v>
      </c>
      <c r="AC236" s="16">
        <f ca="1">Yards[[#This Row],[est. DSGN Year]]+1</f>
        <v>2027</v>
      </c>
    </row>
    <row r="237" spans="1:29" hidden="1">
      <c r="A237" s="13" t="s">
        <v>127</v>
      </c>
      <c r="B237" s="51" t="str">
        <f>VLOOKUP(Yards[[#This Row],[DEVELOPMENT]],Data[],2,FALSE)</f>
        <v>MANHATTAN</v>
      </c>
      <c r="C23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v6</v>
      </c>
      <c r="D237" s="51" t="str">
        <f>VLOOKUP(Yards[[#This Row],[DEVELOPMENT]],Data[],52,FALSE)</f>
        <v>FEDERAL</v>
      </c>
      <c r="E237" s="50" t="str">
        <f>VLOOKUP(Yards[[#This Row],[DEVELOPMENT]],Data[],8,FALSE)</f>
        <v>Zone 2</v>
      </c>
      <c r="F237" s="51" t="str">
        <f>VLOOKUP(Yards[[#This Row],[DEVELOPMENT]],all[[DEVELOPMENT]:[MRST Ext. Comp. Priority]],6,FALSE)</f>
        <v>None</v>
      </c>
      <c r="G237" s="51">
        <f>VLOOKUP(Yards[[#This Row],[DEVELOPMENT]],all[[DEVELOPMENT]:[MRST Ext. Comp. Priority]],13,FALSE)</f>
        <v>3</v>
      </c>
      <c r="H237" s="50">
        <f>IF(VLOOKUP(Yards[[#This Row],[DEVELOPMENT]],Data[],9,FALSE)=0,5,VLOOKUP(Yards[[#This Row],[DEVELOPMENT]],Data[],9,FALSE))</f>
        <v>4</v>
      </c>
      <c r="I237" s="51">
        <f>VLOOKUP(Yards[[#This Row],[DEVELOPMENT]],Data[],33,FALSE)</f>
        <v>5</v>
      </c>
      <c r="J237" s="51">
        <f>VLOOKUP(Yards[[#This Row],[DEVELOPMENT]],Data[],28,FALSE)</f>
        <v>0</v>
      </c>
      <c r="K237" s="51"/>
      <c r="L237" s="50"/>
      <c r="M237" s="51" t="str">
        <f ca="1">IFERROR(VLOOKUP(Yards[[#This Row],[DEVELOPMENT]],Data[],4,FALSE),"")</f>
        <v>2026+</v>
      </c>
      <c r="N237" s="51" t="str">
        <f ca="1">IF(Yards[[#This Row],[RAD/PACT]]="","",IF(OR(Yards[[#This Row],[RAD/PACT]]="2022-2025",Yards[[#This Row],[RAD/PACT]]=2019,Yards[[#This Row],[RAD/PACT]]="2020-2021"),"Yes",""))</f>
        <v/>
      </c>
      <c r="O237" s="1">
        <f ca="1">IFERROR(VLOOKUP(Yards[[#This Row],[DEVELOPMENT]],ExtComp[],8,FALSE),"")</f>
        <v>13</v>
      </c>
      <c r="P237" s="1"/>
      <c r="Q237" s="1"/>
      <c r="R237" s="1" t="str">
        <f>IF(ISBLANK(Yards[[#This Row],[DSGN CALENDAR YEAR]]),"",Yards[[#This Row],[DSGN CALENDAR YEAR]]+1)</f>
        <v/>
      </c>
      <c r="S237" s="51" t="str">
        <f>IF(ISBLANK(Yards[[#This Row],[DSGN FISCAL YEAR]]),"",Yards[[#This Row],[DSGN FISCAL YEAR]]+1)</f>
        <v/>
      </c>
      <c r="T237" s="1"/>
      <c r="U237" s="128">
        <f ca="1">Yards[[#This Row],[Estimate]]*0.1</f>
        <v>374455.72595564998</v>
      </c>
      <c r="V237" s="47">
        <f ca="1">Yards[[#This Row],[Estimate]]-Yards[[#This Row],[Design Est.]]</f>
        <v>3370101.53360085</v>
      </c>
      <c r="W237" s="85">
        <f ca="1">(Yards[[#This Row],['# yards]]*INDEX(UnitCosts[],MATCH(Yards[[#This Row],[WORK TYPE]],UnitCosts[Work Type],0),2))*(1+((Yards[[#This Row],[est. CONS Year]]-YEAR(TODAY()))*$W$3))</f>
        <v>3744557.2595564998</v>
      </c>
      <c r="X237" s="142">
        <f ca="1">IF(ISNUMBER(SEARCH("LLC",Yards[[#This Row],[PROGRAM]])),0,IF(Yards[[#This Row],[RAD/PACT by 2025]]="yes",0,1))</f>
        <v>1</v>
      </c>
      <c r="Y237" s="1"/>
      <c r="Z237" s="1"/>
      <c r="AA237" s="51">
        <f ca="1">COUNTIF($X$5:Yards[[#This Row],['# yards]],"&gt;0")-10</f>
        <v>138</v>
      </c>
      <c r="AB237" s="1">
        <f ca="1">IF(ISBLANK(Yards[[#This Row],[DSGN CALENDAR YEAR]]),ROUNDDOWN(Yards[[#This Row],[Count]]/24,0)+$AB$1,Yards[[#This Row],[DSGN CALENDAR YEAR]])</f>
        <v>2026</v>
      </c>
      <c r="AC237" s="16">
        <f ca="1">Yards[[#This Row],[est. DSGN Year]]+1</f>
        <v>2027</v>
      </c>
    </row>
    <row r="238" spans="1:29" hidden="1">
      <c r="A238" s="13" t="s">
        <v>149</v>
      </c>
      <c r="B238" s="51" t="str">
        <f>VLOOKUP(Yards[[#This Row],[DEVELOPMENT]],Data[],2,FALSE)</f>
        <v>BRONX</v>
      </c>
      <c r="C238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38" s="51" t="str">
        <f>VLOOKUP(Yards[[#This Row],[DEVELOPMENT]],Data[],52,FALSE)</f>
        <v>FEDERAL</v>
      </c>
      <c r="E238" s="50" t="str">
        <f>VLOOKUP(Yards[[#This Row],[DEVELOPMENT]],Data[],8,FALSE)</f>
        <v>Zone 1</v>
      </c>
      <c r="F238" s="51" t="str">
        <f>VLOOKUP(Yards[[#This Row],[DEVELOPMENT]],all[[DEVELOPMENT]:[MRST Ext. Comp. Priority]],6,FALSE)</f>
        <v>None</v>
      </c>
      <c r="G238" s="51">
        <f>VLOOKUP(Yards[[#This Row],[DEVELOPMENT]],all[[DEVELOPMENT]:[MRST Ext. Comp. Priority]],13,FALSE)</f>
        <v>3</v>
      </c>
      <c r="H238" s="50">
        <f>IF(VLOOKUP(Yards[[#This Row],[DEVELOPMENT]],Data[],9,FALSE)=0,5,VLOOKUP(Yards[[#This Row],[DEVELOPMENT]],Data[],9,FALSE))</f>
        <v>4</v>
      </c>
      <c r="I238" s="51">
        <f>VLOOKUP(Yards[[#This Row],[DEVELOPMENT]],Data[],33,FALSE)</f>
        <v>1</v>
      </c>
      <c r="J238" s="51">
        <f>VLOOKUP(Yards[[#This Row],[DEVELOPMENT]],Data[],28,FALSE)</f>
        <v>0</v>
      </c>
      <c r="K238" s="51"/>
      <c r="L238" s="50"/>
      <c r="M238" s="51" t="str">
        <f ca="1">IFERROR(VLOOKUP(Yards[[#This Row],[DEVELOPMENT]],Data[],4,FALSE),"")</f>
        <v>2022-2025</v>
      </c>
      <c r="N238" s="51" t="str">
        <f ca="1">IF(Yards[[#This Row],[RAD/PACT]]="","",IF(OR(Yards[[#This Row],[RAD/PACT]]="2022-2025",Yards[[#This Row],[RAD/PACT]]=2019,Yards[[#This Row],[RAD/PACT]]="2020-2021"),"Yes",""))</f>
        <v>Yes</v>
      </c>
      <c r="O238" s="51" t="str">
        <f ca="1">IFERROR(VLOOKUP(Yards[[#This Row],[DEVELOPMENT]],ExtComp[],8,FALSE),"")</f>
        <v/>
      </c>
      <c r="P238" s="51"/>
      <c r="Q238" s="51"/>
      <c r="R238" s="51" t="str">
        <f>IF(ISBLANK(Yards[[#This Row],[DSGN CALENDAR YEAR]]),"",Yards[[#This Row],[DSGN CALENDAR YEAR]]+1)</f>
        <v/>
      </c>
      <c r="S238" s="51" t="str">
        <f>IF(ISBLANK(Yards[[#This Row],[DSGN FISCAL YEAR]]),"",Yards[[#This Row],[DSGN FISCAL YEAR]]+1)</f>
        <v/>
      </c>
      <c r="T238" s="51"/>
      <c r="U238" s="128">
        <f ca="1">Yards[[#This Row],[Estimate]]*0.1</f>
        <v>0</v>
      </c>
      <c r="V238" s="47">
        <f ca="1">Yards[[#This Row],[Estimate]]-Yards[[#This Row],[Design Est.]]</f>
        <v>0</v>
      </c>
      <c r="W238" s="85">
        <f ca="1">(Yards[[#This Row],['# yards]]*INDEX(UnitCosts[],MATCH(Yards[[#This Row],[WORK TYPE]],UnitCosts[Work Type],0),2))*(1+((Yards[[#This Row],[est. CONS Year]]-YEAR(TODAY()))*$W$3))</f>
        <v>0</v>
      </c>
      <c r="X238" s="142">
        <f ca="1">IF(ISNUMBER(SEARCH("LLC",Yards[[#This Row],[PROGRAM]])),0,IF(Yards[[#This Row],[RAD/PACT by 2025]]="yes",0,1))</f>
        <v>0</v>
      </c>
      <c r="Y238" s="1"/>
      <c r="Z238" s="1"/>
      <c r="AA238" s="51">
        <f ca="1">COUNTIF($X$5:Yards[[#This Row],['# yards]],"&gt;0")-10</f>
        <v>138</v>
      </c>
      <c r="AB238" s="1">
        <f ca="1">IF(ISBLANK(Yards[[#This Row],[DSGN CALENDAR YEAR]]),ROUNDDOWN(Yards[[#This Row],[Count]]/24,0)+$AB$1,Yards[[#This Row],[DSGN CALENDAR YEAR]])</f>
        <v>2026</v>
      </c>
      <c r="AC238" s="16">
        <f ca="1">Yards[[#This Row],[est. DSGN Year]]+1</f>
        <v>2027</v>
      </c>
    </row>
    <row r="239" spans="1:29" hidden="1">
      <c r="A239" s="13" t="s">
        <v>43</v>
      </c>
      <c r="B239" s="51" t="str">
        <f>VLOOKUP(Yards[[#This Row],[DEVELOPMENT]],Data[],2,FALSE)</f>
        <v>MANHATTAN</v>
      </c>
      <c r="C239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39" s="51" t="str">
        <f>VLOOKUP(Yards[[#This Row],[DEVELOPMENT]],Data[],52,FALSE)</f>
        <v>MIXED FINANCE/LLC1</v>
      </c>
      <c r="E239" s="50" t="str">
        <f>VLOOKUP(Yards[[#This Row],[DEVELOPMENT]],Data[],8,FALSE)</f>
        <v>Zone 1</v>
      </c>
      <c r="F239" s="51" t="str">
        <f>VLOOKUP(Yards[[#This Row],[DEVELOPMENT]],all[[DEVELOPMENT]:[MRST Ext. Comp. Priority]],6,FALSE)</f>
        <v>None</v>
      </c>
      <c r="G239" s="51">
        <f>VLOOKUP(Yards[[#This Row],[DEVELOPMENT]],all[[DEVELOPMENT]:[MRST Ext. Comp. Priority]],13,FALSE)</f>
        <v>2</v>
      </c>
      <c r="H239" s="50">
        <f>IF(VLOOKUP(Yards[[#This Row],[DEVELOPMENT]],Data[],9,FALSE)=0,5,VLOOKUP(Yards[[#This Row],[DEVELOPMENT]],Data[],9,FALSE))</f>
        <v>4</v>
      </c>
      <c r="I239" s="51">
        <f>VLOOKUP(Yards[[#This Row],[DEVELOPMENT]],Data[],33,FALSE)</f>
        <v>1</v>
      </c>
      <c r="J239" s="51">
        <f>VLOOKUP(Yards[[#This Row],[DEVELOPMENT]],Data[],28,FALSE)</f>
        <v>0</v>
      </c>
      <c r="K239" s="51"/>
      <c r="L239" s="50"/>
      <c r="M239" s="51" t="str">
        <f ca="1">IFERROR(VLOOKUP(Yards[[#This Row],[DEVELOPMENT]],Data[],4,FALSE),"")</f>
        <v/>
      </c>
      <c r="N239" s="51" t="str">
        <f ca="1">IF(Yards[[#This Row],[RAD/PACT]]="","",IF(OR(Yards[[#This Row],[RAD/PACT]]="2022-2025",Yards[[#This Row],[RAD/PACT]]=2019,Yards[[#This Row],[RAD/PACT]]="2020-2021"),"Yes",""))</f>
        <v/>
      </c>
      <c r="O239" s="51">
        <f ca="1">IFERROR(VLOOKUP(Yards[[#This Row],[DEVELOPMENT]],ExtComp[],8,FALSE),"")</f>
        <v>14</v>
      </c>
      <c r="P239" s="51"/>
      <c r="Q239" s="51"/>
      <c r="R239" s="51" t="str">
        <f>IF(ISBLANK(Yards[[#This Row],[DSGN CALENDAR YEAR]]),"",Yards[[#This Row],[DSGN CALENDAR YEAR]]+1)</f>
        <v/>
      </c>
      <c r="S239" s="51" t="str">
        <f>IF(ISBLANK(Yards[[#This Row],[DSGN FISCAL YEAR]]),"",Yards[[#This Row],[DSGN FISCAL YEAR]]+1)</f>
        <v/>
      </c>
      <c r="T239" s="51"/>
      <c r="U239" s="128">
        <f ca="1">Yards[[#This Row],[Estimate]]*0.1</f>
        <v>0</v>
      </c>
      <c r="V239" s="47">
        <f ca="1">Yards[[#This Row],[Estimate]]-Yards[[#This Row],[Design Est.]]</f>
        <v>0</v>
      </c>
      <c r="W239" s="85">
        <f ca="1">(Yards[[#This Row],['# yards]]*INDEX(UnitCosts[],MATCH(Yards[[#This Row],[WORK TYPE]],UnitCosts[Work Type],0),2))*(1+((Yards[[#This Row],[est. CONS Year]]-YEAR(TODAY()))*$W$3))</f>
        <v>0</v>
      </c>
      <c r="X239" s="142">
        <f>IF(ISNUMBER(SEARCH("LLC",Yards[[#This Row],[PROGRAM]])),0,IF(Yards[[#This Row],[RAD/PACT by 2025]]="yes",0,1))</f>
        <v>0</v>
      </c>
      <c r="Y239" s="1"/>
      <c r="Z239" s="1"/>
      <c r="AA239" s="51">
        <f ca="1">COUNTIF($X$5:Yards[[#This Row],['# yards]],"&gt;0")-10</f>
        <v>138</v>
      </c>
      <c r="AB239" s="1">
        <f ca="1">IF(ISBLANK(Yards[[#This Row],[DSGN CALENDAR YEAR]]),ROUNDDOWN(Yards[[#This Row],[Count]]/24,0)+$AB$1,Yards[[#This Row],[DSGN CALENDAR YEAR]])</f>
        <v>2026</v>
      </c>
      <c r="AC239" s="16">
        <f ca="1">Yards[[#This Row],[est. DSGN Year]]+1</f>
        <v>2027</v>
      </c>
    </row>
    <row r="240" spans="1:29" hidden="1">
      <c r="A240" s="13" t="s">
        <v>316</v>
      </c>
      <c r="B240" s="51" t="str">
        <f>VLOOKUP(Yards[[#This Row],[DEVELOPMENT]],Data[],2,FALSE)</f>
        <v>BROOKLYN</v>
      </c>
      <c r="C240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40" s="51" t="str">
        <f>VLOOKUP(Yards[[#This Row],[DEVELOPMENT]],Data[],52,FALSE)</f>
        <v>FEDERAL</v>
      </c>
      <c r="E240" s="50">
        <f>VLOOKUP(Yards[[#This Row],[DEVELOPMENT]],Data[],8,FALSE)</f>
        <v>0</v>
      </c>
      <c r="F240" s="51" t="str">
        <f>VLOOKUP(Yards[[#This Row],[DEVELOPMENT]],all[[DEVELOPMENT]:[MRST Ext. Comp. Priority]],6,FALSE)</f>
        <v>None</v>
      </c>
      <c r="G240" s="51">
        <f>VLOOKUP(Yards[[#This Row],[DEVELOPMENT]],all[[DEVELOPMENT]:[MRST Ext. Comp. Priority]],13,FALSE)</f>
        <v>3</v>
      </c>
      <c r="H240" s="50">
        <f>IF(VLOOKUP(Yards[[#This Row],[DEVELOPMENT]],Data[],9,FALSE)=0,5,VLOOKUP(Yards[[#This Row],[DEVELOPMENT]],Data[],9,FALSE))</f>
        <v>5</v>
      </c>
      <c r="I240" s="51">
        <f>VLOOKUP(Yards[[#This Row],[DEVELOPMENT]],Data[],33,FALSE)</f>
        <v>0</v>
      </c>
      <c r="J240" s="51">
        <f>VLOOKUP(Yards[[#This Row],[DEVELOPMENT]],Data[],28,FALSE)</f>
        <v>0</v>
      </c>
      <c r="K240" s="51"/>
      <c r="L240" s="50"/>
      <c r="M240" s="51" t="str">
        <f ca="1">IFERROR(VLOOKUP(Yards[[#This Row],[DEVELOPMENT]],Data[],4,FALSE),"")</f>
        <v>2022-2025</v>
      </c>
      <c r="N240" s="51" t="str">
        <f ca="1">IF(Yards[[#This Row],[RAD/PACT]]="","",IF(OR(Yards[[#This Row],[RAD/PACT]]="2022-2025",Yards[[#This Row],[RAD/PACT]]=2019,Yards[[#This Row],[RAD/PACT]]="2020-2021"),"Yes",""))</f>
        <v>Yes</v>
      </c>
      <c r="O240" s="51" t="str">
        <f ca="1">IFERROR(VLOOKUP(Yards[[#This Row],[DEVELOPMENT]],ExtComp[],8,FALSE),"")</f>
        <v/>
      </c>
      <c r="P240" s="51"/>
      <c r="Q240" s="51"/>
      <c r="R240" s="51" t="str">
        <f>IF(ISBLANK(Yards[[#This Row],[DSGN CALENDAR YEAR]]),"",Yards[[#This Row],[DSGN CALENDAR YEAR]]+1)</f>
        <v/>
      </c>
      <c r="S240" s="51" t="str">
        <f>IF(ISBLANK(Yards[[#This Row],[DSGN FISCAL YEAR]]),"",Yards[[#This Row],[DSGN FISCAL YEAR]]+1)</f>
        <v/>
      </c>
      <c r="T240" s="51"/>
      <c r="U240" s="128">
        <f ca="1">Yards[[#This Row],[Estimate]]*0.1</f>
        <v>0</v>
      </c>
      <c r="V240" s="47">
        <f ca="1">Yards[[#This Row],[Estimate]]-Yards[[#This Row],[Design Est.]]</f>
        <v>0</v>
      </c>
      <c r="W240" s="85">
        <f ca="1">(Yards[[#This Row],['# yards]]*INDEX(UnitCosts[],MATCH(Yards[[#This Row],[WORK TYPE]],UnitCosts[Work Type],0),2))*(1+((Yards[[#This Row],[est. CONS Year]]-YEAR(TODAY()))*$W$3))</f>
        <v>0</v>
      </c>
      <c r="X240" s="142">
        <f ca="1">IF(ISNUMBER(SEARCH("LLC",Yards[[#This Row],[PROGRAM]])),0,IF(Yards[[#This Row],[RAD/PACT by 2025]]="yes",0,1))</f>
        <v>0</v>
      </c>
      <c r="Y240" s="1"/>
      <c r="Z240" s="1"/>
      <c r="AA240" s="51">
        <f ca="1">COUNTIF($X$5:Yards[[#This Row],['# yards]],"&gt;0")-10</f>
        <v>138</v>
      </c>
      <c r="AB240" s="1">
        <f ca="1">IF(ISBLANK(Yards[[#This Row],[DSGN CALENDAR YEAR]]),ROUNDDOWN(Yards[[#This Row],[Count]]/24,0)+$AB$1,Yards[[#This Row],[DSGN CALENDAR YEAR]])</f>
        <v>2026</v>
      </c>
      <c r="AC240" s="16">
        <f ca="1">Yards[[#This Row],[est. DSGN Year]]+1</f>
        <v>2027</v>
      </c>
    </row>
    <row r="241" spans="1:29" hidden="1">
      <c r="A241" s="13" t="s">
        <v>356</v>
      </c>
      <c r="B241" s="51" t="str">
        <f>VLOOKUP(Yards[[#This Row],[DEVELOPMENT]],Data[],2,FALSE)</f>
        <v>BROOKLYN</v>
      </c>
      <c r="C241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41" s="51" t="str">
        <f>VLOOKUP(Yards[[#This Row],[DEVELOPMENT]],Data[],52,FALSE)</f>
        <v>FEDERAL</v>
      </c>
      <c r="E241" s="50">
        <f>VLOOKUP(Yards[[#This Row],[DEVELOPMENT]],Data[],8,FALSE)</f>
        <v>0</v>
      </c>
      <c r="F241" s="51" t="str">
        <f>VLOOKUP(Yards[[#This Row],[DEVELOPMENT]],all[[DEVELOPMENT]:[MRST Ext. Comp. Priority]],6,FALSE)</f>
        <v>None</v>
      </c>
      <c r="G241" s="51">
        <f>VLOOKUP(Yards[[#This Row],[DEVELOPMENT]],all[[DEVELOPMENT]:[MRST Ext. Comp. Priority]],13,FALSE)</f>
        <v>3</v>
      </c>
      <c r="H241" s="50">
        <f>IF(VLOOKUP(Yards[[#This Row],[DEVELOPMENT]],Data[],9,FALSE)=0,5,VLOOKUP(Yards[[#This Row],[DEVELOPMENT]],Data[],9,FALSE))</f>
        <v>5</v>
      </c>
      <c r="I241" s="51">
        <f>VLOOKUP(Yards[[#This Row],[DEVELOPMENT]],Data[],33,FALSE)</f>
        <v>0</v>
      </c>
      <c r="J241" s="51">
        <f>VLOOKUP(Yards[[#This Row],[DEVELOPMENT]],Data[],28,FALSE)</f>
        <v>0</v>
      </c>
      <c r="K241" s="51"/>
      <c r="L241" s="50"/>
      <c r="M241" s="51" t="str">
        <f ca="1">IFERROR(VLOOKUP(Yards[[#This Row],[DEVELOPMENT]],Data[],4,FALSE),"")</f>
        <v>2020-2021</v>
      </c>
      <c r="N241" s="51" t="str">
        <f ca="1">IF(Yards[[#This Row],[RAD/PACT]]="","",IF(OR(Yards[[#This Row],[RAD/PACT]]="2022-2025",Yards[[#This Row],[RAD/PACT]]=2019,Yards[[#This Row],[RAD/PACT]]="2020-2021"),"Yes",""))</f>
        <v>Yes</v>
      </c>
      <c r="O241" s="51" t="str">
        <f ca="1">IFERROR(VLOOKUP(Yards[[#This Row],[DEVELOPMENT]],ExtComp[],8,FALSE),"")</f>
        <v/>
      </c>
      <c r="P241" s="51"/>
      <c r="Q241" s="51"/>
      <c r="R241" s="51" t="str">
        <f>IF(ISBLANK(Yards[[#This Row],[DSGN CALENDAR YEAR]]),"",Yards[[#This Row],[DSGN CALENDAR YEAR]]+1)</f>
        <v/>
      </c>
      <c r="S241" s="51" t="str">
        <f>IF(ISBLANK(Yards[[#This Row],[DSGN FISCAL YEAR]]),"",Yards[[#This Row],[DSGN FISCAL YEAR]]+1)</f>
        <v/>
      </c>
      <c r="T241" s="51"/>
      <c r="U241" s="128">
        <f ca="1">Yards[[#This Row],[Estimate]]*0.1</f>
        <v>0</v>
      </c>
      <c r="V241" s="47">
        <f ca="1">Yards[[#This Row],[Estimate]]-Yards[[#This Row],[Design Est.]]</f>
        <v>0</v>
      </c>
      <c r="W241" s="85">
        <f ca="1">(Yards[[#This Row],['# yards]]*INDEX(UnitCosts[],MATCH(Yards[[#This Row],[WORK TYPE]],UnitCosts[Work Type],0),2))*(1+((Yards[[#This Row],[est. CONS Year]]-YEAR(TODAY()))*$W$3))</f>
        <v>0</v>
      </c>
      <c r="X241" s="142">
        <f ca="1">IF(ISNUMBER(SEARCH("LLC",Yards[[#This Row],[PROGRAM]])),0,IF(Yards[[#This Row],[RAD/PACT by 2025]]="yes",0,1))</f>
        <v>0</v>
      </c>
      <c r="Y241" s="1"/>
      <c r="Z241" s="1"/>
      <c r="AA241" s="51">
        <f ca="1">COUNTIF($X$5:Yards[[#This Row],['# yards]],"&gt;0")-10</f>
        <v>138</v>
      </c>
      <c r="AB241" s="1">
        <f ca="1">IF(ISBLANK(Yards[[#This Row],[DSGN CALENDAR YEAR]]),ROUNDDOWN(Yards[[#This Row],[Count]]/24,0)+$AB$1,Yards[[#This Row],[DSGN CALENDAR YEAR]])</f>
        <v>2026</v>
      </c>
      <c r="AC241" s="16">
        <f ca="1">Yards[[#This Row],[est. DSGN Year]]+1</f>
        <v>2027</v>
      </c>
    </row>
    <row r="242" spans="1:29" hidden="1">
      <c r="A242" s="13" t="s">
        <v>319</v>
      </c>
      <c r="B242" s="51">
        <f>VLOOKUP(Yards[[#This Row],[DEVELOPMENT]],Data[],2,FALSE)</f>
        <v>0</v>
      </c>
      <c r="C242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42" s="51" t="str">
        <f>VLOOKUP(Yards[[#This Row],[DEVELOPMENT]],Data[],52,FALSE)</f>
        <v>FEDERAL</v>
      </c>
      <c r="E242" s="50">
        <f>VLOOKUP(Yards[[#This Row],[DEVELOPMENT]],Data[],8,FALSE)</f>
        <v>0</v>
      </c>
      <c r="F242" s="51" t="str">
        <f>VLOOKUP(Yards[[#This Row],[DEVELOPMENT]],all[[DEVELOPMENT]:[MRST Ext. Comp. Priority]],6,FALSE)</f>
        <v>None</v>
      </c>
      <c r="G242" s="51">
        <f>VLOOKUP(Yards[[#This Row],[DEVELOPMENT]],all[[DEVELOPMENT]:[MRST Ext. Comp. Priority]],13,FALSE)</f>
        <v>3</v>
      </c>
      <c r="H242" s="50">
        <f>IF(VLOOKUP(Yards[[#This Row],[DEVELOPMENT]],Data[],9,FALSE)=0,5,VLOOKUP(Yards[[#This Row],[DEVELOPMENT]],Data[],9,FALSE))</f>
        <v>5</v>
      </c>
      <c r="I242" s="51">
        <f>VLOOKUP(Yards[[#This Row],[DEVELOPMENT]],Data[],33,FALSE)</f>
        <v>0</v>
      </c>
      <c r="J242" s="51">
        <f>VLOOKUP(Yards[[#This Row],[DEVELOPMENT]],Data[],28,FALSE)</f>
        <v>0</v>
      </c>
      <c r="K242" s="51"/>
      <c r="L242" s="50"/>
      <c r="M242" s="51" t="str">
        <f ca="1">IFERROR(VLOOKUP(Yards[[#This Row],[DEVELOPMENT]],Data[],4,FALSE),"")</f>
        <v/>
      </c>
      <c r="N242" s="51" t="str">
        <f ca="1">IF(Yards[[#This Row],[RAD/PACT]]="","",IF(OR(Yards[[#This Row],[RAD/PACT]]="2022-2025",Yards[[#This Row],[RAD/PACT]]=2019,Yards[[#This Row],[RAD/PACT]]="2020-2021"),"Yes",""))</f>
        <v/>
      </c>
      <c r="O242" s="51" t="str">
        <f ca="1">IFERROR(VLOOKUP(Yards[[#This Row],[DEVELOPMENT]],ExtComp[],8,FALSE),"")</f>
        <v/>
      </c>
      <c r="P242" s="51"/>
      <c r="Q242" s="51"/>
      <c r="R242" s="51" t="str">
        <f>IF(ISBLANK(Yards[[#This Row],[DSGN CALENDAR YEAR]]),"",Yards[[#This Row],[DSGN CALENDAR YEAR]]+1)</f>
        <v/>
      </c>
      <c r="S242" s="51" t="str">
        <f>IF(ISBLANK(Yards[[#This Row],[DSGN FISCAL YEAR]]),"",Yards[[#This Row],[DSGN FISCAL YEAR]]+1)</f>
        <v/>
      </c>
      <c r="T242" s="51"/>
      <c r="U242" s="128">
        <f>Yards[[#This Row],[Estimate]]*0.1</f>
        <v>0</v>
      </c>
      <c r="V242" s="47">
        <f>Yards[[#This Row],[Estimate]]-Yards[[#This Row],[Design Est.]]</f>
        <v>0</v>
      </c>
      <c r="W242" s="85"/>
      <c r="X242" s="142"/>
      <c r="Y242" s="1"/>
      <c r="Z242" s="1" t="s">
        <v>2299</v>
      </c>
      <c r="AA242" s="51">
        <f ca="1">COUNTIF($X$5:Yards[[#This Row],['# yards]],"&gt;0")-10</f>
        <v>138</v>
      </c>
      <c r="AB242" s="1">
        <f ca="1">IF(ISBLANK(Yards[[#This Row],[DSGN CALENDAR YEAR]]),ROUNDDOWN(Yards[[#This Row],[Count]]/24,0)+$AB$1,Yards[[#This Row],[DSGN CALENDAR YEAR]])</f>
        <v>2026</v>
      </c>
      <c r="AC242" s="16">
        <f ca="1">Yards[[#This Row],[est. DSGN Year]]+1</f>
        <v>2027</v>
      </c>
    </row>
    <row r="243" spans="1:29" hidden="1">
      <c r="A243" s="13" t="s">
        <v>320</v>
      </c>
      <c r="B243" s="51">
        <f>VLOOKUP(Yards[[#This Row],[DEVELOPMENT]],Data[],2,FALSE)</f>
        <v>0</v>
      </c>
      <c r="C243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43" s="51" t="str">
        <f>VLOOKUP(Yards[[#This Row],[DEVELOPMENT]],Data[],52,FALSE)</f>
        <v>FEDERAL</v>
      </c>
      <c r="E243" s="50">
        <f>VLOOKUP(Yards[[#This Row],[DEVELOPMENT]],Data[],8,FALSE)</f>
        <v>0</v>
      </c>
      <c r="F243" s="51" t="str">
        <f>VLOOKUP(Yards[[#This Row],[DEVELOPMENT]],all[[DEVELOPMENT]:[MRST Ext. Comp. Priority]],6,FALSE)</f>
        <v>None</v>
      </c>
      <c r="G243" s="51">
        <f>VLOOKUP(Yards[[#This Row],[DEVELOPMENT]],all[[DEVELOPMENT]:[MRST Ext. Comp. Priority]],13,FALSE)</f>
        <v>3</v>
      </c>
      <c r="H243" s="50">
        <f>IF(VLOOKUP(Yards[[#This Row],[DEVELOPMENT]],Data[],9,FALSE)=0,5,VLOOKUP(Yards[[#This Row],[DEVELOPMENT]],Data[],9,FALSE))</f>
        <v>5</v>
      </c>
      <c r="I243" s="51">
        <f>VLOOKUP(Yards[[#This Row],[DEVELOPMENT]],Data[],33,FALSE)</f>
        <v>0</v>
      </c>
      <c r="J243" s="51">
        <f>VLOOKUP(Yards[[#This Row],[DEVELOPMENT]],Data[],28,FALSE)</f>
        <v>0</v>
      </c>
      <c r="K243" s="51"/>
      <c r="L243" s="50"/>
      <c r="M243" s="51" t="str">
        <f ca="1">IFERROR(VLOOKUP(Yards[[#This Row],[DEVELOPMENT]],Data[],4,FALSE),"")</f>
        <v/>
      </c>
      <c r="N243" s="51" t="str">
        <f ca="1">IF(Yards[[#This Row],[RAD/PACT]]="","",IF(OR(Yards[[#This Row],[RAD/PACT]]="2022-2025",Yards[[#This Row],[RAD/PACT]]=2019,Yards[[#This Row],[RAD/PACT]]="2020-2021"),"Yes",""))</f>
        <v/>
      </c>
      <c r="O243" s="51" t="str">
        <f ca="1">IFERROR(VLOOKUP(Yards[[#This Row],[DEVELOPMENT]],ExtComp[],8,FALSE),"")</f>
        <v/>
      </c>
      <c r="P243" s="51"/>
      <c r="Q243" s="51"/>
      <c r="R243" s="51" t="str">
        <f>IF(ISBLANK(Yards[[#This Row],[DSGN CALENDAR YEAR]]),"",Yards[[#This Row],[DSGN CALENDAR YEAR]]+1)</f>
        <v/>
      </c>
      <c r="S243" s="51" t="str">
        <f>IF(ISBLANK(Yards[[#This Row],[DSGN FISCAL YEAR]]),"",Yards[[#This Row],[DSGN FISCAL YEAR]]+1)</f>
        <v/>
      </c>
      <c r="T243" s="51"/>
      <c r="U243" s="128">
        <f>Yards[[#This Row],[Estimate]]*0.1</f>
        <v>0</v>
      </c>
      <c r="V243" s="47">
        <f>Yards[[#This Row],[Estimate]]-Yards[[#This Row],[Design Est.]]</f>
        <v>0</v>
      </c>
      <c r="W243" s="85"/>
      <c r="X243" s="142"/>
      <c r="Y243" s="1"/>
      <c r="Z243" s="1" t="s">
        <v>2299</v>
      </c>
      <c r="AA243" s="51">
        <f ca="1">COUNTIF($X$5:Yards[[#This Row],['# yards]],"&gt;0")-10</f>
        <v>138</v>
      </c>
      <c r="AB243" s="1">
        <f ca="1">IF(ISBLANK(Yards[[#This Row],[DSGN CALENDAR YEAR]]),ROUNDDOWN(Yards[[#This Row],[Count]]/24,0)+$AB$1,Yards[[#This Row],[DSGN CALENDAR YEAR]])</f>
        <v>2026</v>
      </c>
      <c r="AC243" s="16">
        <f ca="1">Yards[[#This Row],[est. DSGN Year]]+1</f>
        <v>2027</v>
      </c>
    </row>
    <row r="244" spans="1:29" hidden="1">
      <c r="A244" s="13" t="s">
        <v>382</v>
      </c>
      <c r="B244" s="51" t="str">
        <f>VLOOKUP(Yards[[#This Row],[DEVELOPMENT]],Data[],2,FALSE)</f>
        <v>BRONX</v>
      </c>
      <c r="C244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44" s="51" t="str">
        <f>VLOOKUP(Yards[[#This Row],[DEVELOPMENT]],Data[],52,FALSE)</f>
        <v>FEDERAL</v>
      </c>
      <c r="E244" s="50" t="str">
        <f>VLOOKUP(Yards[[#This Row],[DEVELOPMENT]],Data[],8,FALSE)</f>
        <v>Zone 4</v>
      </c>
      <c r="F244" s="51" t="str">
        <f>VLOOKUP(Yards[[#This Row],[DEVELOPMENT]],all[[DEVELOPMENT]:[MRST Ext. Comp. Priority]],6,FALSE)</f>
        <v>None</v>
      </c>
      <c r="G244" s="51">
        <f>VLOOKUP(Yards[[#This Row],[DEVELOPMENT]],all[[DEVELOPMENT]:[MRST Ext. Comp. Priority]],13,FALSE)</f>
        <v>3</v>
      </c>
      <c r="H244" s="50">
        <f>IF(VLOOKUP(Yards[[#This Row],[DEVELOPMENT]],Data[],9,FALSE)=0,5,VLOOKUP(Yards[[#This Row],[DEVELOPMENT]],Data[],9,FALSE))</f>
        <v>5</v>
      </c>
      <c r="I244" s="51">
        <f>VLOOKUP(Yards[[#This Row],[DEVELOPMENT]],Data[],33,FALSE)</f>
        <v>0</v>
      </c>
      <c r="J244" s="51">
        <f>VLOOKUP(Yards[[#This Row],[DEVELOPMENT]],Data[],28,FALSE)</f>
        <v>0</v>
      </c>
      <c r="K244" s="51"/>
      <c r="L244" s="50"/>
      <c r="M244" s="51" t="str">
        <f ca="1">IFERROR(VLOOKUP(Yards[[#This Row],[DEVELOPMENT]],Data[],4,FALSE),"")</f>
        <v/>
      </c>
      <c r="N244" s="51" t="str">
        <f ca="1">IF(Yards[[#This Row],[RAD/PACT]]="","",IF(OR(Yards[[#This Row],[RAD/PACT]]="2022-2025",Yards[[#This Row],[RAD/PACT]]=2019,Yards[[#This Row],[RAD/PACT]]="2020-2021"),"Yes",""))</f>
        <v/>
      </c>
      <c r="O244" s="51" t="str">
        <f ca="1">IFERROR(VLOOKUP(Yards[[#This Row],[DEVELOPMENT]],ExtComp[],8,FALSE),"")</f>
        <v/>
      </c>
      <c r="P244" s="51"/>
      <c r="Q244" s="51"/>
      <c r="R244" s="51" t="str">
        <f>IF(ISBLANK(Yards[[#This Row],[DSGN CALENDAR YEAR]]),"",Yards[[#This Row],[DSGN CALENDAR YEAR]]+1)</f>
        <v/>
      </c>
      <c r="S244" s="51" t="str">
        <f>IF(ISBLANK(Yards[[#This Row],[DSGN FISCAL YEAR]]),"",Yards[[#This Row],[DSGN FISCAL YEAR]]+1)</f>
        <v/>
      </c>
      <c r="T244" s="51"/>
      <c r="U244" s="128">
        <f>Yards[[#This Row],[Estimate]]*0.1</f>
        <v>0</v>
      </c>
      <c r="V244" s="47">
        <f>Yards[[#This Row],[Estimate]]-Yards[[#This Row],[Design Est.]]</f>
        <v>0</v>
      </c>
      <c r="W244" s="85"/>
      <c r="X244" s="142"/>
      <c r="Y244" s="1"/>
      <c r="Z244" s="1"/>
      <c r="AA244" s="51">
        <f ca="1">COUNTIF($X$5:Yards[[#This Row],['# yards]],"&gt;0")-10</f>
        <v>138</v>
      </c>
      <c r="AB244" s="1">
        <f ca="1">IF(ISBLANK(Yards[[#This Row],[DSGN CALENDAR YEAR]]),ROUNDDOWN(Yards[[#This Row],[Count]]/24,0)+$AB$1,Yards[[#This Row],[DSGN CALENDAR YEAR]])</f>
        <v>2026</v>
      </c>
      <c r="AC244" s="16">
        <f ca="1">Yards[[#This Row],[est. DSGN Year]]+1</f>
        <v>2027</v>
      </c>
    </row>
    <row r="245" spans="1:29">
      <c r="A245" s="13" t="s">
        <v>313</v>
      </c>
      <c r="B245" s="51" t="str">
        <f>VLOOKUP(Yards[[#This Row],[DEVELOPMENT]],Data[],2,FALSE)</f>
        <v>QUEENS</v>
      </c>
      <c r="C24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45" s="51" t="str">
        <f>VLOOKUP(Yards[[#This Row],[DEVELOPMENT]],Data[],52,FALSE)</f>
        <v>FEDERAL</v>
      </c>
      <c r="E245" s="50">
        <f>VLOOKUP(Yards[[#This Row],[DEVELOPMENT]],Data[],8,FALSE)</f>
        <v>0</v>
      </c>
      <c r="F245" s="51" t="str">
        <f>VLOOKUP(Yards[[#This Row],[DEVELOPMENT]],all[[DEVELOPMENT]:[MRST Ext. Comp. Priority]],6,FALSE)</f>
        <v>None</v>
      </c>
      <c r="G245" s="51">
        <f>VLOOKUP(Yards[[#This Row],[DEVELOPMENT]],all[[DEVELOPMENT]:[MRST Ext. Comp. Priority]],13,FALSE)</f>
        <v>3</v>
      </c>
      <c r="H245" s="50">
        <f>IF(VLOOKUP(Yards[[#This Row],[DEVELOPMENT]],Data[],9,FALSE)=0,5,VLOOKUP(Yards[[#This Row],[DEVELOPMENT]],Data[],9,FALSE))</f>
        <v>5</v>
      </c>
      <c r="I245" s="51">
        <f>VLOOKUP(Yards[[#This Row],[DEVELOPMENT]],Data[],33,FALSE)</f>
        <v>1</v>
      </c>
      <c r="J245" s="51">
        <f>VLOOKUP(Yards[[#This Row],[DEVELOPMENT]],Data[],28,FALSE)</f>
        <v>0</v>
      </c>
      <c r="K245" s="51"/>
      <c r="L245" s="50"/>
      <c r="M245" s="51" t="str">
        <f ca="1">IFERROR(VLOOKUP(Yards[[#This Row],[DEVELOPMENT]],Data[],4,FALSE),"")</f>
        <v/>
      </c>
      <c r="N245" s="51" t="str">
        <f ca="1">IF(Yards[[#This Row],[RAD/PACT]]="","",IF(OR(Yards[[#This Row],[RAD/PACT]]="2022-2025",Yards[[#This Row],[RAD/PACT]]=2019,Yards[[#This Row],[RAD/PACT]]="2020-2021"),"Yes",""))</f>
        <v/>
      </c>
      <c r="O245" s="51">
        <f ca="1">IFERROR(VLOOKUP(Yards[[#This Row],[DEVELOPMENT]],ExtComp[],8,FALSE),"")</f>
        <v>15</v>
      </c>
      <c r="P245" s="51"/>
      <c r="Q245" s="51"/>
      <c r="R245" s="51" t="str">
        <f>IF(ISBLANK(Yards[[#This Row],[DSGN CALENDAR YEAR]]),"",Yards[[#This Row],[DSGN CALENDAR YEAR]]+1)</f>
        <v/>
      </c>
      <c r="S245" s="51" t="str">
        <f>IF(ISBLANK(Yards[[#This Row],[DSGN FISCAL YEAR]]),"",Yards[[#This Row],[DSGN FISCAL YEAR]]+1)</f>
        <v/>
      </c>
      <c r="T245" s="51"/>
      <c r="U245" s="128">
        <f ca="1">Yards[[#This Row],[Estimate]]*0.1</f>
        <v>225039.4463730001</v>
      </c>
      <c r="V245" s="47">
        <f ca="1">Yards[[#This Row],[Estimate]]-Yards[[#This Row],[Design Est.]]</f>
        <v>2025355.0173570008</v>
      </c>
      <c r="W245" s="85">
        <f ca="1">(Yards[[#This Row],['# yards]]*INDEX(UnitCosts[],MATCH(Yards[[#This Row],[WORK TYPE]],UnitCosts[Work Type],0),2))*(1+((Yards[[#This Row],[est. CONS Year]]-YEAR(TODAY()))*$W$3))</f>
        <v>2250394.4637300009</v>
      </c>
      <c r="X245" s="142">
        <f ca="1">IF(ISNUMBER(SEARCH("LLC",Yards[[#This Row],[PROGRAM]])),0,IF(Yards[[#This Row],[RAD/PACT by 2025]]="yes",0,1))</f>
        <v>1</v>
      </c>
      <c r="Y245" s="1"/>
      <c r="Z245" s="1"/>
      <c r="AA245" s="51">
        <f ca="1">COUNTIF($X$5:Yards[[#This Row],['# yards]],"&gt;0")-10</f>
        <v>139</v>
      </c>
      <c r="AB245" s="1">
        <f ca="1">IF(ISBLANK(Yards[[#This Row],[DSGN CALENDAR YEAR]]),ROUNDDOWN(Yards[[#This Row],[Count]]/24,0)+$AB$1,Yards[[#This Row],[DSGN CALENDAR YEAR]])</f>
        <v>2026</v>
      </c>
      <c r="AC245" s="16">
        <f ca="1">Yards[[#This Row],[est. DSGN Year]]+1</f>
        <v>2027</v>
      </c>
    </row>
    <row r="246" spans="1:29">
      <c r="A246" s="13" t="s">
        <v>333</v>
      </c>
      <c r="B246" s="51" t="str">
        <f>VLOOKUP(Yards[[#This Row],[DEVELOPMENT]],Data[],2,FALSE)</f>
        <v>MANHATTAN</v>
      </c>
      <c r="C24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46" s="51" t="str">
        <f>VLOOKUP(Yards[[#This Row],[DEVELOPMENT]],Data[],52,FALSE)</f>
        <v>FEDERAL</v>
      </c>
      <c r="E246" s="50">
        <f>VLOOKUP(Yards[[#This Row],[DEVELOPMENT]],Data[],8,FALSE)</f>
        <v>0</v>
      </c>
      <c r="F246" s="51" t="str">
        <f>VLOOKUP(Yards[[#This Row],[DEVELOPMENT]],all[[DEVELOPMENT]:[MRST Ext. Comp. Priority]],6,FALSE)</f>
        <v>None</v>
      </c>
      <c r="G246" s="51">
        <f>VLOOKUP(Yards[[#This Row],[DEVELOPMENT]],all[[DEVELOPMENT]:[MRST Ext. Comp. Priority]],13,FALSE)</f>
        <v>3</v>
      </c>
      <c r="H246" s="50">
        <f>IF(VLOOKUP(Yards[[#This Row],[DEVELOPMENT]],Data[],9,FALSE)=0,5,VLOOKUP(Yards[[#This Row],[DEVELOPMENT]],Data[],9,FALSE))</f>
        <v>5</v>
      </c>
      <c r="I246" s="51">
        <f>VLOOKUP(Yards[[#This Row],[DEVELOPMENT]],Data[],33,FALSE)</f>
        <v>0</v>
      </c>
      <c r="J246" s="51">
        <f>VLOOKUP(Yards[[#This Row],[DEVELOPMENT]],Data[],28,FALSE)</f>
        <v>0</v>
      </c>
      <c r="K246" s="51"/>
      <c r="L246" s="50"/>
      <c r="M246" s="51" t="str">
        <f ca="1">IFERROR(VLOOKUP(Yards[[#This Row],[DEVELOPMENT]],Data[],4,FALSE),"")</f>
        <v/>
      </c>
      <c r="N246" s="51" t="str">
        <f ca="1">IF(Yards[[#This Row],[RAD/PACT]]="","",IF(OR(Yards[[#This Row],[RAD/PACT]]="2022-2025",Yards[[#This Row],[RAD/PACT]]=2019,Yards[[#This Row],[RAD/PACT]]="2020-2021"),"Yes",""))</f>
        <v/>
      </c>
      <c r="O246" s="51" t="str">
        <f ca="1">IFERROR(VLOOKUP(Yards[[#This Row],[DEVELOPMENT]],ExtComp[],8,FALSE),"")</f>
        <v/>
      </c>
      <c r="P246" s="51"/>
      <c r="Q246" s="51"/>
      <c r="R246" s="51" t="str">
        <f>IF(ISBLANK(Yards[[#This Row],[DSGN CALENDAR YEAR]]),"",Yards[[#This Row],[DSGN CALENDAR YEAR]]+1)</f>
        <v/>
      </c>
      <c r="S246" s="51" t="str">
        <f>IF(ISBLANK(Yards[[#This Row],[DSGN FISCAL YEAR]]),"",Yards[[#This Row],[DSGN FISCAL YEAR]]+1)</f>
        <v/>
      </c>
      <c r="T246" s="51"/>
      <c r="U246" s="128">
        <f ca="1">Yards[[#This Row],[Estimate]]*0.1</f>
        <v>225039.4463730001</v>
      </c>
      <c r="V246" s="47">
        <f ca="1">Yards[[#This Row],[Estimate]]-Yards[[#This Row],[Design Est.]]</f>
        <v>2025355.0173570008</v>
      </c>
      <c r="W246" s="85">
        <f ca="1">(Yards[[#This Row],['# yards]]*INDEX(UnitCosts[],MATCH(Yards[[#This Row],[WORK TYPE]],UnitCosts[Work Type],0),2))*(1+((Yards[[#This Row],[est. CONS Year]]-YEAR(TODAY()))*$W$3))</f>
        <v>2250394.4637300009</v>
      </c>
      <c r="X246" s="142">
        <f ca="1">IF(ISNUMBER(SEARCH("LLC",Yards[[#This Row],[PROGRAM]])),0,IF(Yards[[#This Row],[RAD/PACT by 2025]]="yes",0,1))</f>
        <v>1</v>
      </c>
      <c r="Y246" s="1"/>
      <c r="Z246" s="1"/>
      <c r="AA246" s="51">
        <f ca="1">COUNTIF($X$5:Yards[[#This Row],['# yards]],"&gt;0")-10</f>
        <v>140</v>
      </c>
      <c r="AB246" s="1">
        <f ca="1">IF(ISBLANK(Yards[[#This Row],[DSGN CALENDAR YEAR]]),ROUNDDOWN(Yards[[#This Row],[Count]]/24,0)+$AB$1,Yards[[#This Row],[DSGN CALENDAR YEAR]])</f>
        <v>2026</v>
      </c>
      <c r="AC246" s="16">
        <f ca="1">Yards[[#This Row],[est. DSGN Year]]+1</f>
        <v>2027</v>
      </c>
    </row>
    <row r="247" spans="1:29">
      <c r="A247" s="13" t="s">
        <v>337</v>
      </c>
      <c r="B247" s="51" t="str">
        <f>VLOOKUP(Yards[[#This Row],[DEVELOPMENT]],Data[],2,FALSE)</f>
        <v>MANHATTAN</v>
      </c>
      <c r="C24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247" s="51" t="str">
        <f>VLOOKUP(Yards[[#This Row],[DEVELOPMENT]],Data[],52,FALSE)</f>
        <v>FEDERAL</v>
      </c>
      <c r="E247" s="50">
        <f>VLOOKUP(Yards[[#This Row],[DEVELOPMENT]],Data[],8,FALSE)</f>
        <v>0</v>
      </c>
      <c r="F247" s="51" t="str">
        <f>VLOOKUP(Yards[[#This Row],[DEVELOPMENT]],all[[DEVELOPMENT]:[MRST Ext. Comp. Priority]],6,FALSE)</f>
        <v>None</v>
      </c>
      <c r="G247" s="51">
        <f>VLOOKUP(Yards[[#This Row],[DEVELOPMENT]],all[[DEVELOPMENT]:[MRST Ext. Comp. Priority]],13,FALSE)</f>
        <v>3</v>
      </c>
      <c r="H247" s="50">
        <f>IF(VLOOKUP(Yards[[#This Row],[DEVELOPMENT]],Data[],9,FALSE)=0,5,VLOOKUP(Yards[[#This Row],[DEVELOPMENT]],Data[],9,FALSE))</f>
        <v>5</v>
      </c>
      <c r="I247" s="51">
        <f>VLOOKUP(Yards[[#This Row],[DEVELOPMENT]],Data[],33,FALSE)</f>
        <v>1</v>
      </c>
      <c r="J247" s="51">
        <f>VLOOKUP(Yards[[#This Row],[DEVELOPMENT]],Data[],28,FALSE)</f>
        <v>0</v>
      </c>
      <c r="K247" s="51"/>
      <c r="L247" s="50"/>
      <c r="M247" s="51" t="str">
        <f ca="1">IFERROR(VLOOKUP(Yards[[#This Row],[DEVELOPMENT]],Data[],4,FALSE),"")</f>
        <v/>
      </c>
      <c r="N247" s="51" t="str">
        <f ca="1">IF(Yards[[#This Row],[RAD/PACT]]="","",IF(OR(Yards[[#This Row],[RAD/PACT]]="2022-2025",Yards[[#This Row],[RAD/PACT]]=2019,Yards[[#This Row],[RAD/PACT]]="2020-2021"),"Yes",""))</f>
        <v/>
      </c>
      <c r="O247" s="51">
        <f ca="1">IFERROR(VLOOKUP(Yards[[#This Row],[DEVELOPMENT]],ExtComp[],8,FALSE),"")</f>
        <v>5</v>
      </c>
      <c r="P247" s="51"/>
      <c r="Q247" s="51"/>
      <c r="R247" s="51" t="str">
        <f>IF(ISBLANK(Yards[[#This Row],[DSGN CALENDAR YEAR]]),"",Yards[[#This Row],[DSGN CALENDAR YEAR]]+1)</f>
        <v/>
      </c>
      <c r="S247" s="51" t="str">
        <f>IF(ISBLANK(Yards[[#This Row],[DSGN FISCAL YEAR]]),"",Yards[[#This Row],[DSGN FISCAL YEAR]]+1)</f>
        <v/>
      </c>
      <c r="T247" s="51"/>
      <c r="U247" s="128">
        <f ca="1">Yards[[#This Row],[Estimate]]*0.1</f>
        <v>169601.84953665006</v>
      </c>
      <c r="V247" s="47">
        <f ca="1">Yards[[#This Row],[Estimate]]-Yards[[#This Row],[Design Est.]]</f>
        <v>1526416.6458298503</v>
      </c>
      <c r="W247" s="85">
        <f ca="1">(Yards[[#This Row],['# yards]]*INDEX(UnitCosts[],MATCH(Yards[[#This Row],[WORK TYPE]],UnitCosts[Work Type],0),2))*(1+((Yards[[#This Row],[est. CONS Year]]-YEAR(TODAY()))*$W$3))</f>
        <v>1696018.4953665005</v>
      </c>
      <c r="X247" s="142">
        <f ca="1">IF(ISNUMBER(SEARCH("LLC",Yards[[#This Row],[PROGRAM]])),0,IF(Yards[[#This Row],[RAD/PACT by 2025]]="yes",0,1))</f>
        <v>1</v>
      </c>
      <c r="Y247" s="1"/>
      <c r="Z247" s="1"/>
      <c r="AA247" s="51">
        <f ca="1">COUNTIF($X$5:Yards[[#This Row],['# yards]],"&gt;0")-10</f>
        <v>141</v>
      </c>
      <c r="AB247" s="1">
        <f ca="1">IF(ISBLANK(Yards[[#This Row],[DSGN CALENDAR YEAR]]),ROUNDDOWN(Yards[[#This Row],[Count]]/24,0)+$AB$1,Yards[[#This Row],[DSGN CALENDAR YEAR]])</f>
        <v>2026</v>
      </c>
      <c r="AC247" s="16">
        <f ca="1">Yards[[#This Row],[est. DSGN Year]]+1</f>
        <v>2027</v>
      </c>
    </row>
    <row r="248" spans="1:29">
      <c r="A248" s="13" t="s">
        <v>345</v>
      </c>
      <c r="B248" s="51" t="str">
        <f>VLOOKUP(Yards[[#This Row],[DEVELOPMENT]],Data[],2,FALSE)</f>
        <v>BRONX</v>
      </c>
      <c r="C248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48" s="51" t="str">
        <f>VLOOKUP(Yards[[#This Row],[DEVELOPMENT]],Data[],52,FALSE)</f>
        <v>FEDERAL</v>
      </c>
      <c r="E248" s="50">
        <f>VLOOKUP(Yards[[#This Row],[DEVELOPMENT]],Data[],8,FALSE)</f>
        <v>0</v>
      </c>
      <c r="F248" s="51" t="str">
        <f>VLOOKUP(Yards[[#This Row],[DEVELOPMENT]],all[[DEVELOPMENT]:[MRST Ext. Comp. Priority]],6,FALSE)</f>
        <v>None</v>
      </c>
      <c r="G248" s="51">
        <f>VLOOKUP(Yards[[#This Row],[DEVELOPMENT]],all[[DEVELOPMENT]:[MRST Ext. Comp. Priority]],13,FALSE)</f>
        <v>3</v>
      </c>
      <c r="H248" s="50">
        <f>IF(VLOOKUP(Yards[[#This Row],[DEVELOPMENT]],Data[],9,FALSE)=0,5,VLOOKUP(Yards[[#This Row],[DEVELOPMENT]],Data[],9,FALSE))</f>
        <v>5</v>
      </c>
      <c r="I248" s="51">
        <f>VLOOKUP(Yards[[#This Row],[DEVELOPMENT]],Data[],33,FALSE)</f>
        <v>0</v>
      </c>
      <c r="J248" s="51">
        <f>VLOOKUP(Yards[[#This Row],[DEVELOPMENT]],Data[],28,FALSE)</f>
        <v>0</v>
      </c>
      <c r="K248" s="51"/>
      <c r="L248" s="50"/>
      <c r="M248" s="51" t="str">
        <f ca="1">IFERROR(VLOOKUP(Yards[[#This Row],[DEVELOPMENT]],Data[],4,FALSE),"")</f>
        <v>2026+</v>
      </c>
      <c r="N248" s="51" t="str">
        <f ca="1">IF(Yards[[#This Row],[RAD/PACT]]="","",IF(OR(Yards[[#This Row],[RAD/PACT]]="2022-2025",Yards[[#This Row],[RAD/PACT]]=2019,Yards[[#This Row],[RAD/PACT]]="2020-2021"),"Yes",""))</f>
        <v/>
      </c>
      <c r="O248" s="51" t="str">
        <f ca="1">IFERROR(VLOOKUP(Yards[[#This Row],[DEVELOPMENT]],ExtComp[],8,FALSE),"")</f>
        <v/>
      </c>
      <c r="P248" s="51"/>
      <c r="Q248" s="51"/>
      <c r="R248" s="51" t="str">
        <f>IF(ISBLANK(Yards[[#This Row],[DSGN CALENDAR YEAR]]),"",Yards[[#This Row],[DSGN CALENDAR YEAR]]+1)</f>
        <v/>
      </c>
      <c r="S248" s="51" t="str">
        <f>IF(ISBLANK(Yards[[#This Row],[DSGN FISCAL YEAR]]),"",Yards[[#This Row],[DSGN FISCAL YEAR]]+1)</f>
        <v/>
      </c>
      <c r="T248" s="51"/>
      <c r="U248" s="128">
        <f ca="1">Yards[[#This Row],[Estimate]]*0.1</f>
        <v>225039.4463730001</v>
      </c>
      <c r="V248" s="47">
        <f ca="1">Yards[[#This Row],[Estimate]]-Yards[[#This Row],[Design Est.]]</f>
        <v>2025355.0173570008</v>
      </c>
      <c r="W248" s="85">
        <f ca="1">(Yards[[#This Row],['# yards]]*INDEX(UnitCosts[],MATCH(Yards[[#This Row],[WORK TYPE]],UnitCosts[Work Type],0),2))*(1+((Yards[[#This Row],[est. CONS Year]]-YEAR(TODAY()))*$W$3))</f>
        <v>2250394.4637300009</v>
      </c>
      <c r="X248" s="142">
        <f ca="1">IF(ISNUMBER(SEARCH("LLC",Yards[[#This Row],[PROGRAM]])),0,IF(Yards[[#This Row],[RAD/PACT by 2025]]="yes",0,1))</f>
        <v>1</v>
      </c>
      <c r="Y248" s="1"/>
      <c r="Z248" s="1"/>
      <c r="AA248" s="51">
        <f ca="1">COUNTIF($X$5:Yards[[#This Row],['# yards]],"&gt;0")-10</f>
        <v>142</v>
      </c>
      <c r="AB248" s="1">
        <f ca="1">IF(ISBLANK(Yards[[#This Row],[DSGN CALENDAR YEAR]]),ROUNDDOWN(Yards[[#This Row],[Count]]/24,0)+$AB$1,Yards[[#This Row],[DSGN CALENDAR YEAR]])</f>
        <v>2026</v>
      </c>
      <c r="AC248" s="16">
        <f ca="1">Yards[[#This Row],[est. DSGN Year]]+1</f>
        <v>2027</v>
      </c>
    </row>
    <row r="249" spans="1:29">
      <c r="A249" s="13" t="s">
        <v>348</v>
      </c>
      <c r="B249" s="51" t="str">
        <f>VLOOKUP(Yards[[#This Row],[DEVELOPMENT]],Data[],2,FALSE)</f>
        <v>QUEENS</v>
      </c>
      <c r="C24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49" s="51" t="str">
        <f>VLOOKUP(Yards[[#This Row],[DEVELOPMENT]],Data[],52,FALSE)</f>
        <v>FEDERAL</v>
      </c>
      <c r="E249" s="50">
        <f>VLOOKUP(Yards[[#This Row],[DEVELOPMENT]],Data[],8,FALSE)</f>
        <v>0</v>
      </c>
      <c r="F249" s="51" t="str">
        <f>VLOOKUP(Yards[[#This Row],[DEVELOPMENT]],all[[DEVELOPMENT]:[MRST Ext. Comp. Priority]],6,FALSE)</f>
        <v>None</v>
      </c>
      <c r="G249" s="51">
        <f>VLOOKUP(Yards[[#This Row],[DEVELOPMENT]],all[[DEVELOPMENT]:[MRST Ext. Comp. Priority]],13,FALSE)</f>
        <v>3</v>
      </c>
      <c r="H249" s="50">
        <f>IF(VLOOKUP(Yards[[#This Row],[DEVELOPMENT]],Data[],9,FALSE)=0,5,VLOOKUP(Yards[[#This Row],[DEVELOPMENT]],Data[],9,FALSE))</f>
        <v>5</v>
      </c>
      <c r="I249" s="51">
        <f>VLOOKUP(Yards[[#This Row],[DEVELOPMENT]],Data[],33,FALSE)</f>
        <v>0</v>
      </c>
      <c r="J249" s="51">
        <f>VLOOKUP(Yards[[#This Row],[DEVELOPMENT]],Data[],28,FALSE)</f>
        <v>0</v>
      </c>
      <c r="K249" s="51"/>
      <c r="L249" s="50"/>
      <c r="M249" s="51" t="str">
        <f ca="1">IFERROR(VLOOKUP(Yards[[#This Row],[DEVELOPMENT]],Data[],4,FALSE),"")</f>
        <v>2026+</v>
      </c>
      <c r="N249" s="51" t="str">
        <f ca="1">IF(Yards[[#This Row],[RAD/PACT]]="","",IF(OR(Yards[[#This Row],[RAD/PACT]]="2022-2025",Yards[[#This Row],[RAD/PACT]]=2019,Yards[[#This Row],[RAD/PACT]]="2020-2021"),"Yes",""))</f>
        <v/>
      </c>
      <c r="O249" s="51" t="str">
        <f ca="1">IFERROR(VLOOKUP(Yards[[#This Row],[DEVELOPMENT]],ExtComp[],8,FALSE),"")</f>
        <v/>
      </c>
      <c r="P249" s="51"/>
      <c r="Q249" s="51"/>
      <c r="R249" s="51" t="str">
        <f>IF(ISBLANK(Yards[[#This Row],[DSGN CALENDAR YEAR]]),"",Yards[[#This Row],[DSGN CALENDAR YEAR]]+1)</f>
        <v/>
      </c>
      <c r="S249" s="51" t="str">
        <f>IF(ISBLANK(Yards[[#This Row],[DSGN FISCAL YEAR]]),"",Yards[[#This Row],[DSGN FISCAL YEAR]]+1)</f>
        <v/>
      </c>
      <c r="T249" s="51"/>
      <c r="U249" s="128">
        <f ca="1">Yards[[#This Row],[Estimate]]*0.1</f>
        <v>225039.4463730001</v>
      </c>
      <c r="V249" s="47">
        <f ca="1">Yards[[#This Row],[Estimate]]-Yards[[#This Row],[Design Est.]]</f>
        <v>2025355.0173570008</v>
      </c>
      <c r="W249" s="85">
        <f ca="1">(Yards[[#This Row],['# yards]]*INDEX(UnitCosts[],MATCH(Yards[[#This Row],[WORK TYPE]],UnitCosts[Work Type],0),2))*(1+((Yards[[#This Row],[est. CONS Year]]-YEAR(TODAY()))*$W$3))</f>
        <v>2250394.4637300009</v>
      </c>
      <c r="X249" s="142">
        <f ca="1">IF(ISNUMBER(SEARCH("LLC",Yards[[#This Row],[PROGRAM]])),0,IF(Yards[[#This Row],[RAD/PACT by 2025]]="yes",0,1))</f>
        <v>1</v>
      </c>
      <c r="Y249" s="1"/>
      <c r="Z249" s="1"/>
      <c r="AA249" s="51">
        <f ca="1">COUNTIF($X$5:Yards[[#This Row],['# yards]],"&gt;0")-10</f>
        <v>143</v>
      </c>
      <c r="AB249" s="1">
        <f ca="1">IF(ISBLANK(Yards[[#This Row],[DSGN CALENDAR YEAR]]),ROUNDDOWN(Yards[[#This Row],[Count]]/24,0)+$AB$1,Yards[[#This Row],[DSGN CALENDAR YEAR]])</f>
        <v>2026</v>
      </c>
      <c r="AC249" s="16">
        <f ca="1">Yards[[#This Row],[est. DSGN Year]]+1</f>
        <v>2027</v>
      </c>
    </row>
    <row r="250" spans="1:29">
      <c r="A250" s="13" t="s">
        <v>364</v>
      </c>
      <c r="B250" s="51" t="str">
        <f>VLOOKUP(Yards[[#This Row],[DEVELOPMENT]],Data[],2,FALSE)</f>
        <v>MANHATTAN</v>
      </c>
      <c r="C25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50" s="51" t="str">
        <f>VLOOKUP(Yards[[#This Row],[DEVELOPMENT]],Data[],52,FALSE)</f>
        <v>FEDERAL</v>
      </c>
      <c r="E250" s="50">
        <f>VLOOKUP(Yards[[#This Row],[DEVELOPMENT]],Data[],8,FALSE)</f>
        <v>0</v>
      </c>
      <c r="F250" s="51" t="str">
        <f>VLOOKUP(Yards[[#This Row],[DEVELOPMENT]],all[[DEVELOPMENT]:[MRST Ext. Comp. Priority]],6,FALSE)</f>
        <v>None</v>
      </c>
      <c r="G250" s="51">
        <f>VLOOKUP(Yards[[#This Row],[DEVELOPMENT]],all[[DEVELOPMENT]:[MRST Ext. Comp. Priority]],13,FALSE)</f>
        <v>3</v>
      </c>
      <c r="H250" s="50">
        <f>IF(VLOOKUP(Yards[[#This Row],[DEVELOPMENT]],Data[],9,FALSE)=0,5,VLOOKUP(Yards[[#This Row],[DEVELOPMENT]],Data[],9,FALSE))</f>
        <v>5</v>
      </c>
      <c r="I250" s="51">
        <f>VLOOKUP(Yards[[#This Row],[DEVELOPMENT]],Data[],33,FALSE)</f>
        <v>0</v>
      </c>
      <c r="J250" s="51">
        <f>VLOOKUP(Yards[[#This Row],[DEVELOPMENT]],Data[],28,FALSE)</f>
        <v>0</v>
      </c>
      <c r="K250" s="51"/>
      <c r="L250" s="50"/>
      <c r="M250" s="51" t="str">
        <f ca="1">IFERROR(VLOOKUP(Yards[[#This Row],[DEVELOPMENT]],Data[],4,FALSE),"")</f>
        <v/>
      </c>
      <c r="N250" s="51" t="str">
        <f ca="1">IF(Yards[[#This Row],[RAD/PACT]]="","",IF(OR(Yards[[#This Row],[RAD/PACT]]="2022-2025",Yards[[#This Row],[RAD/PACT]]=2019,Yards[[#This Row],[RAD/PACT]]="2020-2021"),"Yes",""))</f>
        <v/>
      </c>
      <c r="O250" s="51" t="str">
        <f ca="1">IFERROR(VLOOKUP(Yards[[#This Row],[DEVELOPMENT]],ExtComp[],8,FALSE),"")</f>
        <v/>
      </c>
      <c r="P250" s="51"/>
      <c r="Q250" s="51"/>
      <c r="R250" s="51" t="str">
        <f>IF(ISBLANK(Yards[[#This Row],[DSGN CALENDAR YEAR]]),"",Yards[[#This Row],[DSGN CALENDAR YEAR]]+1)</f>
        <v/>
      </c>
      <c r="S250" s="51" t="str">
        <f>IF(ISBLANK(Yards[[#This Row],[DSGN FISCAL YEAR]]),"",Yards[[#This Row],[DSGN FISCAL YEAR]]+1)</f>
        <v/>
      </c>
      <c r="T250" s="51"/>
      <c r="U250" s="128">
        <f ca="1">Yards[[#This Row],[Estimate]]*0.1</f>
        <v>231365.85651200006</v>
      </c>
      <c r="V250" s="47">
        <f ca="1">Yards[[#This Row],[Estimate]]-Yards[[#This Row],[Design Est.]]</f>
        <v>2082292.7086080003</v>
      </c>
      <c r="W250" s="85">
        <f ca="1">(Yards[[#This Row],['# yards]]*INDEX(UnitCosts[],MATCH(Yards[[#This Row],[WORK TYPE]],UnitCosts[Work Type],0),2))*(1+((Yards[[#This Row],[est. CONS Year]]-YEAR(TODAY()))*$W$3))</f>
        <v>2313658.5651200004</v>
      </c>
      <c r="X250" s="142">
        <f ca="1">IF(ISNUMBER(SEARCH("LLC",Yards[[#This Row],[PROGRAM]])),0,IF(Yards[[#This Row],[RAD/PACT by 2025]]="yes",0,1))</f>
        <v>1</v>
      </c>
      <c r="Y250" s="1"/>
      <c r="Z250" s="1"/>
      <c r="AA250" s="51">
        <f ca="1">COUNTIF($X$5:Yards[[#This Row],['# yards]],"&gt;0")-10</f>
        <v>144</v>
      </c>
      <c r="AB250" s="1">
        <f ca="1">IF(ISBLANK(Yards[[#This Row],[DSGN CALENDAR YEAR]]),ROUNDDOWN(Yards[[#This Row],[Count]]/24,0)+$AB$1,Yards[[#This Row],[DSGN CALENDAR YEAR]])</f>
        <v>2027</v>
      </c>
      <c r="AC250" s="16">
        <f ca="1">Yards[[#This Row],[est. DSGN Year]]+1</f>
        <v>2028</v>
      </c>
    </row>
    <row r="251" spans="1:29">
      <c r="A251" s="13" t="s">
        <v>367</v>
      </c>
      <c r="B251" s="51" t="str">
        <f>VLOOKUP(Yards[[#This Row],[DEVELOPMENT]],Data[],2,FALSE)</f>
        <v>BROOKLYN</v>
      </c>
      <c r="C251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51" s="51" t="str">
        <f>VLOOKUP(Yards[[#This Row],[DEVELOPMENT]],Data[],52,FALSE)</f>
        <v>FEDERAL</v>
      </c>
      <c r="E251" s="50">
        <f>VLOOKUP(Yards[[#This Row],[DEVELOPMENT]],Data[],8,FALSE)</f>
        <v>0</v>
      </c>
      <c r="F251" s="51" t="str">
        <f>VLOOKUP(Yards[[#This Row],[DEVELOPMENT]],all[[DEVELOPMENT]:[MRST Ext. Comp. Priority]],6,FALSE)</f>
        <v>None</v>
      </c>
      <c r="G251" s="51">
        <f>VLOOKUP(Yards[[#This Row],[DEVELOPMENT]],all[[DEVELOPMENT]:[MRST Ext. Comp. Priority]],13,FALSE)</f>
        <v>3</v>
      </c>
      <c r="H251" s="50">
        <f>IF(VLOOKUP(Yards[[#This Row],[DEVELOPMENT]],Data[],9,FALSE)=0,5,VLOOKUP(Yards[[#This Row],[DEVELOPMENT]],Data[],9,FALSE))</f>
        <v>5</v>
      </c>
      <c r="I251" s="51">
        <f>VLOOKUP(Yards[[#This Row],[DEVELOPMENT]],Data[],33,FALSE)</f>
        <v>2</v>
      </c>
      <c r="J251" s="51">
        <f>VLOOKUP(Yards[[#This Row],[DEVELOPMENT]],Data[],28,FALSE)</f>
        <v>0</v>
      </c>
      <c r="K251" s="51"/>
      <c r="L251" s="50"/>
      <c r="M251" s="51" t="str">
        <f ca="1">IFERROR(VLOOKUP(Yards[[#This Row],[DEVELOPMENT]],Data[],4,FALSE),"")</f>
        <v/>
      </c>
      <c r="N251" s="51" t="str">
        <f ca="1">IF(Yards[[#This Row],[RAD/PACT]]="","",IF(OR(Yards[[#This Row],[RAD/PACT]]="2022-2025",Yards[[#This Row],[RAD/PACT]]=2019,Yards[[#This Row],[RAD/PACT]]="2020-2021"),"Yes",""))</f>
        <v/>
      </c>
      <c r="O251" s="51">
        <f ca="1">IFERROR(VLOOKUP(Yards[[#This Row],[DEVELOPMENT]],ExtComp[],8,FALSE),"")</f>
        <v>12</v>
      </c>
      <c r="P251" s="51"/>
      <c r="Q251" s="51"/>
      <c r="R251" s="51" t="str">
        <f>IF(ISBLANK(Yards[[#This Row],[DSGN CALENDAR YEAR]]),"",Yards[[#This Row],[DSGN CALENDAR YEAR]]+1)</f>
        <v/>
      </c>
      <c r="S251" s="51" t="str">
        <f>IF(ISBLANK(Yards[[#This Row],[DSGN FISCAL YEAR]]),"",Yards[[#This Row],[DSGN FISCAL YEAR]]+1)</f>
        <v/>
      </c>
      <c r="T251" s="51"/>
      <c r="U251" s="128">
        <f ca="1">Yards[[#This Row],[Estimate]]*0.1</f>
        <v>258614.90131200009</v>
      </c>
      <c r="V251" s="47">
        <f ca="1">Yards[[#This Row],[Estimate]]-Yards[[#This Row],[Design Est.]]</f>
        <v>2327534.1118080006</v>
      </c>
      <c r="W251" s="85">
        <f ca="1">(Yards[[#This Row],['# yards]]*INDEX(UnitCosts[],MATCH(Yards[[#This Row],[WORK TYPE]],UnitCosts[Work Type],0),2))*(1+((Yards[[#This Row],[est. CONS Year]]-YEAR(TODAY()))*$W$3))</f>
        <v>2586149.0131200007</v>
      </c>
      <c r="X251" s="142">
        <f ca="1">IF(ISNUMBER(SEARCH("LLC",Yards[[#This Row],[PROGRAM]])),0,IF(Yards[[#This Row],[RAD/PACT by 2025]]="yes",0,1))</f>
        <v>1</v>
      </c>
      <c r="Y251" s="1"/>
      <c r="Z251" s="1"/>
      <c r="AA251" s="51">
        <f ca="1">COUNTIF($X$5:Yards[[#This Row],['# yards]],"&gt;0")-10</f>
        <v>145</v>
      </c>
      <c r="AB251" s="1">
        <f ca="1">IF(ISBLANK(Yards[[#This Row],[DSGN CALENDAR YEAR]]),ROUNDDOWN(Yards[[#This Row],[Count]]/24,0)+$AB$1,Yards[[#This Row],[DSGN CALENDAR YEAR]])</f>
        <v>2027</v>
      </c>
      <c r="AC251" s="16">
        <f ca="1">Yards[[#This Row],[est. DSGN Year]]+1</f>
        <v>2028</v>
      </c>
    </row>
    <row r="252" spans="1:29">
      <c r="A252" s="13" t="s">
        <v>370</v>
      </c>
      <c r="B252" s="51" t="str">
        <f>VLOOKUP(Yards[[#This Row],[DEVELOPMENT]],Data[],2,FALSE)</f>
        <v>BROOKLYN</v>
      </c>
      <c r="C25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52" s="51" t="str">
        <f>VLOOKUP(Yards[[#This Row],[DEVELOPMENT]],Data[],52,FALSE)</f>
        <v>FEDERAL</v>
      </c>
      <c r="E252" s="50">
        <f>VLOOKUP(Yards[[#This Row],[DEVELOPMENT]],Data[],8,FALSE)</f>
        <v>0</v>
      </c>
      <c r="F252" s="51" t="str">
        <f>VLOOKUP(Yards[[#This Row],[DEVELOPMENT]],all[[DEVELOPMENT]:[MRST Ext. Comp. Priority]],6,FALSE)</f>
        <v>None</v>
      </c>
      <c r="G252" s="51">
        <f>VLOOKUP(Yards[[#This Row],[DEVELOPMENT]],all[[DEVELOPMENT]:[MRST Ext. Comp. Priority]],13,FALSE)</f>
        <v>3</v>
      </c>
      <c r="H252" s="50">
        <f>IF(VLOOKUP(Yards[[#This Row],[DEVELOPMENT]],Data[],9,FALSE)=0,5,VLOOKUP(Yards[[#This Row],[DEVELOPMENT]],Data[],9,FALSE))</f>
        <v>5</v>
      </c>
      <c r="I252" s="51">
        <f>VLOOKUP(Yards[[#This Row],[DEVELOPMENT]],Data[],33,FALSE)</f>
        <v>2</v>
      </c>
      <c r="J252" s="51">
        <f>VLOOKUP(Yards[[#This Row],[DEVELOPMENT]],Data[],28,FALSE)</f>
        <v>0</v>
      </c>
      <c r="K252" s="51"/>
      <c r="L252" s="50"/>
      <c r="M252" s="51" t="str">
        <f ca="1">IFERROR(VLOOKUP(Yards[[#This Row],[DEVELOPMENT]],Data[],4,FALSE),"")</f>
        <v/>
      </c>
      <c r="N252" s="51" t="str">
        <f ca="1">IF(Yards[[#This Row],[RAD/PACT]]="","",IF(OR(Yards[[#This Row],[RAD/PACT]]="2022-2025",Yards[[#This Row],[RAD/PACT]]=2019,Yards[[#This Row],[RAD/PACT]]="2020-2021"),"Yes",""))</f>
        <v/>
      </c>
      <c r="O252" s="51">
        <f ca="1">IFERROR(VLOOKUP(Yards[[#This Row],[DEVELOPMENT]],ExtComp[],8,FALSE),"")</f>
        <v>20</v>
      </c>
      <c r="P252" s="51"/>
      <c r="Q252" s="51"/>
      <c r="R252" s="51" t="str">
        <f>IF(ISBLANK(Yards[[#This Row],[DSGN CALENDAR YEAR]]),"",Yards[[#This Row],[DSGN CALENDAR YEAR]]+1)</f>
        <v/>
      </c>
      <c r="S252" s="51" t="str">
        <f>IF(ISBLANK(Yards[[#This Row],[DSGN FISCAL YEAR]]),"",Yards[[#This Row],[DSGN FISCAL YEAR]]+1)</f>
        <v/>
      </c>
      <c r="T252" s="51"/>
      <c r="U252" s="128">
        <f ca="1">Yards[[#This Row],[Estimate]]*0.1</f>
        <v>258614.90131200009</v>
      </c>
      <c r="V252" s="47">
        <f ca="1">Yards[[#This Row],[Estimate]]-Yards[[#This Row],[Design Est.]]</f>
        <v>2327534.1118080006</v>
      </c>
      <c r="W252" s="85">
        <f ca="1">(Yards[[#This Row],['# yards]]*INDEX(UnitCosts[],MATCH(Yards[[#This Row],[WORK TYPE]],UnitCosts[Work Type],0),2))*(1+((Yards[[#This Row],[est. CONS Year]]-YEAR(TODAY()))*$W$3))</f>
        <v>2586149.0131200007</v>
      </c>
      <c r="X252" s="142">
        <f ca="1">IF(ISNUMBER(SEARCH("LLC",Yards[[#This Row],[PROGRAM]])),0,IF(Yards[[#This Row],[RAD/PACT by 2025]]="yes",0,1))</f>
        <v>1</v>
      </c>
      <c r="Y252" s="1"/>
      <c r="Z252" s="1"/>
      <c r="AA252" s="51">
        <f ca="1">COUNTIF($X$5:Yards[[#This Row],['# yards]],"&gt;0")-10</f>
        <v>146</v>
      </c>
      <c r="AB252" s="1">
        <f ca="1">IF(ISBLANK(Yards[[#This Row],[DSGN CALENDAR YEAR]]),ROUNDDOWN(Yards[[#This Row],[Count]]/24,0)+$AB$1,Yards[[#This Row],[DSGN CALENDAR YEAR]])</f>
        <v>2027</v>
      </c>
      <c r="AC252" s="16">
        <f ca="1">Yards[[#This Row],[est. DSGN Year]]+1</f>
        <v>2028</v>
      </c>
    </row>
    <row r="253" spans="1:29">
      <c r="A253" s="13" t="s">
        <v>387</v>
      </c>
      <c r="B253" s="51" t="str">
        <f>VLOOKUP(Yards[[#This Row],[DEVELOPMENT]],Data[],2,FALSE)</f>
        <v>BROOKLYN</v>
      </c>
      <c r="C25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253" s="51" t="str">
        <f>VLOOKUP(Yards[[#This Row],[DEVELOPMENT]],Data[],52,FALSE)</f>
        <v>FEDERAL</v>
      </c>
      <c r="E253" s="50">
        <f>VLOOKUP(Yards[[#This Row],[DEVELOPMENT]],Data[],8,FALSE)</f>
        <v>0</v>
      </c>
      <c r="F253" s="51" t="str">
        <f>VLOOKUP(Yards[[#This Row],[DEVELOPMENT]],all[[DEVELOPMENT]:[MRST Ext. Comp. Priority]],6,FALSE)</f>
        <v>None</v>
      </c>
      <c r="G253" s="51">
        <f>VLOOKUP(Yards[[#This Row],[DEVELOPMENT]],all[[DEVELOPMENT]:[MRST Ext. Comp. Priority]],13,FALSE)</f>
        <v>3</v>
      </c>
      <c r="H253" s="50">
        <f>IF(VLOOKUP(Yards[[#This Row],[DEVELOPMENT]],Data[],9,FALSE)=0,5,VLOOKUP(Yards[[#This Row],[DEVELOPMENT]],Data[],9,FALSE))</f>
        <v>5</v>
      </c>
      <c r="I253" s="51">
        <f>VLOOKUP(Yards[[#This Row],[DEVELOPMENT]],Data[],33,FALSE)</f>
        <v>1</v>
      </c>
      <c r="J253" s="51">
        <f>VLOOKUP(Yards[[#This Row],[DEVELOPMENT]],Data[],28,FALSE)</f>
        <v>0</v>
      </c>
      <c r="K253" s="51"/>
      <c r="L253" s="50"/>
      <c r="M253" s="51" t="str">
        <f ca="1">IFERROR(VLOOKUP(Yards[[#This Row],[DEVELOPMENT]],Data[],4,FALSE),"")</f>
        <v/>
      </c>
      <c r="N253" s="51" t="str">
        <f ca="1">IF(Yards[[#This Row],[RAD/PACT]]="","",IF(OR(Yards[[#This Row],[RAD/PACT]]="2022-2025",Yards[[#This Row],[RAD/PACT]]=2019,Yards[[#This Row],[RAD/PACT]]="2020-2021"),"Yes",""))</f>
        <v/>
      </c>
      <c r="O253" s="51">
        <f ca="1">IFERROR(VLOOKUP(Yards[[#This Row],[DEVELOPMENT]],ExtComp[],8,FALSE),"")</f>
        <v>1</v>
      </c>
      <c r="P253" s="51"/>
      <c r="Q253" s="51"/>
      <c r="R253" s="51" t="str">
        <f>IF(ISBLANK(Yards[[#This Row],[DSGN CALENDAR YEAR]]),"",Yards[[#This Row],[DSGN CALENDAR YEAR]]+1)</f>
        <v/>
      </c>
      <c r="S253" s="51" t="str">
        <f>IF(ISBLANK(Yards[[#This Row],[DSGN FISCAL YEAR]]),"",Yards[[#This Row],[DSGN FISCAL YEAR]]+1)</f>
        <v/>
      </c>
      <c r="T253" s="51"/>
      <c r="U253" s="128">
        <f ca="1">Yards[[#This Row],[Estimate]]*0.1</f>
        <v>174369.77301760006</v>
      </c>
      <c r="V253" s="47">
        <f ca="1">Yards[[#This Row],[Estimate]]-Yards[[#This Row],[Design Est.]]</f>
        <v>1569327.9571584002</v>
      </c>
      <c r="W253" s="85">
        <f ca="1">(Yards[[#This Row],['# yards]]*INDEX(UnitCosts[],MATCH(Yards[[#This Row],[WORK TYPE]],UnitCosts[Work Type],0),2))*(1+((Yards[[#This Row],[est. CONS Year]]-YEAR(TODAY()))*$W$3))</f>
        <v>1743697.7301760004</v>
      </c>
      <c r="X253" s="142">
        <f ca="1">IF(ISNUMBER(SEARCH("LLC",Yards[[#This Row],[PROGRAM]])),0,IF(Yards[[#This Row],[RAD/PACT by 2025]]="yes",0,1))</f>
        <v>1</v>
      </c>
      <c r="Y253" s="1"/>
      <c r="Z253" s="1"/>
      <c r="AA253" s="51">
        <f ca="1">COUNTIF($X$5:Yards[[#This Row],['# yards]],"&gt;0")-10</f>
        <v>147</v>
      </c>
      <c r="AB253" s="1">
        <f ca="1">IF(ISBLANK(Yards[[#This Row],[DSGN CALENDAR YEAR]]),ROUNDDOWN(Yards[[#This Row],[Count]]/24,0)+$AB$1,Yards[[#This Row],[DSGN CALENDAR YEAR]])</f>
        <v>2027</v>
      </c>
      <c r="AC253" s="16">
        <f ca="1">Yards[[#This Row],[est. DSGN Year]]+1</f>
        <v>2028</v>
      </c>
    </row>
    <row r="254" spans="1:29">
      <c r="A254" s="13" t="s">
        <v>299</v>
      </c>
      <c r="B254" s="51" t="str">
        <f>VLOOKUP(Yards[[#This Row],[DEVELOPMENT]],Data[],2,FALSE)</f>
        <v>BROOKLYN</v>
      </c>
      <c r="C25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54" s="51" t="str">
        <f>VLOOKUP(Yards[[#This Row],[DEVELOPMENT]],Data[],52,FALSE)</f>
        <v>FEDERAL</v>
      </c>
      <c r="E254" s="50">
        <f>VLOOKUP(Yards[[#This Row],[DEVELOPMENT]],Data[],8,FALSE)</f>
        <v>0</v>
      </c>
      <c r="F254" s="51" t="str">
        <f>VLOOKUP(Yards[[#This Row],[DEVELOPMENT]],all[[DEVELOPMENT]:[MRST Ext. Comp. Priority]],6,FALSE)</f>
        <v>None</v>
      </c>
      <c r="G254" s="51">
        <f>VLOOKUP(Yards[[#This Row],[DEVELOPMENT]],all[[DEVELOPMENT]:[MRST Ext. Comp. Priority]],13,FALSE)</f>
        <v>3</v>
      </c>
      <c r="H254" s="50">
        <f>IF(VLOOKUP(Yards[[#This Row],[DEVELOPMENT]],Data[],9,FALSE)=0,5,VLOOKUP(Yards[[#This Row],[DEVELOPMENT]],Data[],9,FALSE))</f>
        <v>5</v>
      </c>
      <c r="I254" s="51">
        <f>VLOOKUP(Yards[[#This Row],[DEVELOPMENT]],Data[],33,FALSE)</f>
        <v>1</v>
      </c>
      <c r="J254" s="51">
        <f>VLOOKUP(Yards[[#This Row],[DEVELOPMENT]],Data[],28,FALSE)</f>
        <v>0</v>
      </c>
      <c r="K254" s="51"/>
      <c r="L254" s="50"/>
      <c r="M254" s="51" t="str">
        <f ca="1">IFERROR(VLOOKUP(Yards[[#This Row],[DEVELOPMENT]],Data[],4,FALSE),"")</f>
        <v/>
      </c>
      <c r="N254" s="51" t="str">
        <f ca="1">IF(Yards[[#This Row],[RAD/PACT]]="","",IF(OR(Yards[[#This Row],[RAD/PACT]]="2022-2025",Yards[[#This Row],[RAD/PACT]]=2019,Yards[[#This Row],[RAD/PACT]]="2020-2021"),"Yes",""))</f>
        <v/>
      </c>
      <c r="O254" s="51">
        <f ca="1">IFERROR(VLOOKUP(Yards[[#This Row],[DEVELOPMENT]],ExtComp[],8,FALSE),"")</f>
        <v>15</v>
      </c>
      <c r="P254" s="51"/>
      <c r="Q254" s="51"/>
      <c r="R254" s="51" t="str">
        <f>IF(ISBLANK(Yards[[#This Row],[DSGN CALENDAR YEAR]]),"",Yards[[#This Row],[DSGN CALENDAR YEAR]]+1)</f>
        <v/>
      </c>
      <c r="S254" s="51" t="str">
        <f>IF(ISBLANK(Yards[[#This Row],[DSGN FISCAL YEAR]]),"",Yards[[#This Row],[DSGN FISCAL YEAR]]+1)</f>
        <v/>
      </c>
      <c r="T254" s="51"/>
      <c r="U254" s="128">
        <f ca="1">Yards[[#This Row],[Estimate]]*0.1</f>
        <v>231365.85651200006</v>
      </c>
      <c r="V254" s="47">
        <f ca="1">Yards[[#This Row],[Estimate]]-Yards[[#This Row],[Design Est.]]</f>
        <v>2082292.7086080003</v>
      </c>
      <c r="W254" s="85">
        <f ca="1">(Yards[[#This Row],['# yards]]*INDEX(UnitCosts[],MATCH(Yards[[#This Row],[WORK TYPE]],UnitCosts[Work Type],0),2))*(1+((Yards[[#This Row],[est. CONS Year]]-YEAR(TODAY()))*$W$3))</f>
        <v>2313658.5651200004</v>
      </c>
      <c r="X254" s="142">
        <f ca="1">IF(ISNUMBER(SEARCH("LLC",Yards[[#This Row],[PROGRAM]])),0,IF(Yards[[#This Row],[RAD/PACT by 2025]]="yes",0,1))</f>
        <v>1</v>
      </c>
      <c r="Y254" s="1"/>
      <c r="Z254" s="1"/>
      <c r="AA254" s="51">
        <f ca="1">COUNTIF($X$5:Yards[[#This Row],['# yards]],"&gt;0")-10</f>
        <v>148</v>
      </c>
      <c r="AB254" s="1">
        <f ca="1">IF(ISBLANK(Yards[[#This Row],[DSGN CALENDAR YEAR]]),ROUNDDOWN(Yards[[#This Row],[Count]]/24,0)+$AB$1,Yards[[#This Row],[DSGN CALENDAR YEAR]])</f>
        <v>2027</v>
      </c>
      <c r="AC254" s="16">
        <f ca="1">Yards[[#This Row],[est. DSGN Year]]+1</f>
        <v>2028</v>
      </c>
    </row>
    <row r="255" spans="1:29">
      <c r="A255" s="13" t="s">
        <v>312</v>
      </c>
      <c r="B255" s="51" t="str">
        <f>VLOOKUP(Yards[[#This Row],[DEVELOPMENT]],Data[],2,FALSE)</f>
        <v>BROOKLYN</v>
      </c>
      <c r="C25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55" s="51" t="str">
        <f>VLOOKUP(Yards[[#This Row],[DEVELOPMENT]],Data[],52,FALSE)</f>
        <v>FEDERAL</v>
      </c>
      <c r="E255" s="50">
        <f>VLOOKUP(Yards[[#This Row],[DEVELOPMENT]],Data[],8,FALSE)</f>
        <v>0</v>
      </c>
      <c r="F255" s="51" t="str">
        <f>VLOOKUP(Yards[[#This Row],[DEVELOPMENT]],all[[DEVELOPMENT]:[MRST Ext. Comp. Priority]],6,FALSE)</f>
        <v>None</v>
      </c>
      <c r="G255" s="51">
        <f>VLOOKUP(Yards[[#This Row],[DEVELOPMENT]],all[[DEVELOPMENT]:[MRST Ext. Comp. Priority]],13,FALSE)</f>
        <v>3</v>
      </c>
      <c r="H255" s="50">
        <f>IF(VLOOKUP(Yards[[#This Row],[DEVELOPMENT]],Data[],9,FALSE)=0,5,VLOOKUP(Yards[[#This Row],[DEVELOPMENT]],Data[],9,FALSE))</f>
        <v>5</v>
      </c>
      <c r="I255" s="51">
        <f>VLOOKUP(Yards[[#This Row],[DEVELOPMENT]],Data[],33,FALSE)</f>
        <v>1</v>
      </c>
      <c r="J255" s="51">
        <f>VLOOKUP(Yards[[#This Row],[DEVELOPMENT]],Data[],28,FALSE)</f>
        <v>1</v>
      </c>
      <c r="K255" s="51"/>
      <c r="L255" s="50"/>
      <c r="M255" s="51" t="str">
        <f ca="1">IFERROR(VLOOKUP(Yards[[#This Row],[DEVELOPMENT]],Data[],4,FALSE),"")</f>
        <v/>
      </c>
      <c r="N255" s="51" t="str">
        <f ca="1">IF(Yards[[#This Row],[RAD/PACT]]="","",IF(OR(Yards[[#This Row],[RAD/PACT]]="2022-2025",Yards[[#This Row],[RAD/PACT]]=2019,Yards[[#This Row],[RAD/PACT]]="2020-2021"),"Yes",""))</f>
        <v/>
      </c>
      <c r="O255" s="51" t="str">
        <f ca="1">IFERROR(VLOOKUP(Yards[[#This Row],[DEVELOPMENT]],ExtComp[],8,FALSE),"")</f>
        <v/>
      </c>
      <c r="P255" s="51"/>
      <c r="Q255" s="51"/>
      <c r="R255" s="51" t="str">
        <f>IF(ISBLANK(Yards[[#This Row],[DSGN CALENDAR YEAR]]),"",Yards[[#This Row],[DSGN CALENDAR YEAR]]+1)</f>
        <v/>
      </c>
      <c r="S255" s="51" t="str">
        <f>IF(ISBLANK(Yards[[#This Row],[DSGN FISCAL YEAR]]),"",Yards[[#This Row],[DSGN FISCAL YEAR]]+1)</f>
        <v/>
      </c>
      <c r="T255" s="51"/>
      <c r="U255" s="128">
        <f ca="1">Yards[[#This Row],[Estimate]]*0.1</f>
        <v>231365.85651200006</v>
      </c>
      <c r="V255" s="47">
        <f ca="1">Yards[[#This Row],[Estimate]]-Yards[[#This Row],[Design Est.]]</f>
        <v>2082292.7086080003</v>
      </c>
      <c r="W255" s="85">
        <f ca="1">(Yards[[#This Row],['# yards]]*INDEX(UnitCosts[],MATCH(Yards[[#This Row],[WORK TYPE]],UnitCosts[Work Type],0),2))*(1+((Yards[[#This Row],[est. CONS Year]]-YEAR(TODAY()))*$W$3))</f>
        <v>2313658.5651200004</v>
      </c>
      <c r="X255" s="142">
        <f ca="1">IF(ISNUMBER(SEARCH("LLC",Yards[[#This Row],[PROGRAM]])),0,IF(Yards[[#This Row],[RAD/PACT by 2025]]="yes",0,1))</f>
        <v>1</v>
      </c>
      <c r="Y255" s="1"/>
      <c r="Z255" s="1"/>
      <c r="AA255" s="51">
        <f ca="1">COUNTIF($X$5:Yards[[#This Row],['# yards]],"&gt;0")-10</f>
        <v>149</v>
      </c>
      <c r="AB255" s="1">
        <f ca="1">IF(ISBLANK(Yards[[#This Row],[DSGN CALENDAR YEAR]]),ROUNDDOWN(Yards[[#This Row],[Count]]/24,0)+$AB$1,Yards[[#This Row],[DSGN CALENDAR YEAR]])</f>
        <v>2027</v>
      </c>
      <c r="AC255" s="16">
        <f ca="1">Yards[[#This Row],[est. DSGN Year]]+1</f>
        <v>2028</v>
      </c>
    </row>
    <row r="256" spans="1:29">
      <c r="A256" s="13" t="s">
        <v>317</v>
      </c>
      <c r="B256" s="51" t="str">
        <f>VLOOKUP(Yards[[#This Row],[DEVELOPMENT]],Data[],2,FALSE)</f>
        <v>BRONX</v>
      </c>
      <c r="C25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56" s="51" t="str">
        <f>VLOOKUP(Yards[[#This Row],[DEVELOPMENT]],Data[],52,FALSE)</f>
        <v>FEDERAL</v>
      </c>
      <c r="E256" s="50">
        <f>VLOOKUP(Yards[[#This Row],[DEVELOPMENT]],Data[],8,FALSE)</f>
        <v>0</v>
      </c>
      <c r="F256" s="51" t="str">
        <f>VLOOKUP(Yards[[#This Row],[DEVELOPMENT]],all[[DEVELOPMENT]:[MRST Ext. Comp. Priority]],6,FALSE)</f>
        <v>None</v>
      </c>
      <c r="G256" s="51">
        <f>VLOOKUP(Yards[[#This Row],[DEVELOPMENT]],all[[DEVELOPMENT]:[MRST Ext. Comp. Priority]],13,FALSE)</f>
        <v>3</v>
      </c>
      <c r="H256" s="50">
        <f>IF(VLOOKUP(Yards[[#This Row],[DEVELOPMENT]],Data[],9,FALSE)=0,5,VLOOKUP(Yards[[#This Row],[DEVELOPMENT]],Data[],9,FALSE))</f>
        <v>5</v>
      </c>
      <c r="I256" s="51">
        <f>VLOOKUP(Yards[[#This Row],[DEVELOPMENT]],Data[],33,FALSE)</f>
        <v>2</v>
      </c>
      <c r="J256" s="51">
        <f>VLOOKUP(Yards[[#This Row],[DEVELOPMENT]],Data[],28,FALSE)</f>
        <v>0</v>
      </c>
      <c r="K256" s="51"/>
      <c r="L256" s="50"/>
      <c r="M256" s="51" t="str">
        <f ca="1">IFERROR(VLOOKUP(Yards[[#This Row],[DEVELOPMENT]],Data[],4,FALSE),"")</f>
        <v>2026+</v>
      </c>
      <c r="N256" s="51" t="str">
        <f ca="1">IF(Yards[[#This Row],[RAD/PACT]]="","",IF(OR(Yards[[#This Row],[RAD/PACT]]="2022-2025",Yards[[#This Row],[RAD/PACT]]=2019,Yards[[#This Row],[RAD/PACT]]="2020-2021"),"Yes",""))</f>
        <v/>
      </c>
      <c r="O256" s="51">
        <f ca="1">IFERROR(VLOOKUP(Yards[[#This Row],[DEVELOPMENT]],ExtComp[],8,FALSE),"")</f>
        <v>16</v>
      </c>
      <c r="P256" s="51"/>
      <c r="Q256" s="51"/>
      <c r="R256" s="51" t="str">
        <f>IF(ISBLANK(Yards[[#This Row],[DSGN CALENDAR YEAR]]),"",Yards[[#This Row],[DSGN CALENDAR YEAR]]+1)</f>
        <v/>
      </c>
      <c r="S256" s="51" t="str">
        <f>IF(ISBLANK(Yards[[#This Row],[DSGN FISCAL YEAR]]),"",Yards[[#This Row],[DSGN FISCAL YEAR]]+1)</f>
        <v/>
      </c>
      <c r="T256" s="51"/>
      <c r="U256" s="128">
        <f ca="1">Yards[[#This Row],[Estimate]]*0.1</f>
        <v>258614.90131200009</v>
      </c>
      <c r="V256" s="47">
        <f ca="1">Yards[[#This Row],[Estimate]]-Yards[[#This Row],[Design Est.]]</f>
        <v>2327534.1118080006</v>
      </c>
      <c r="W256" s="85">
        <f ca="1">(Yards[[#This Row],['# yards]]*INDEX(UnitCosts[],MATCH(Yards[[#This Row],[WORK TYPE]],UnitCosts[Work Type],0),2))*(1+((Yards[[#This Row],[est. CONS Year]]-YEAR(TODAY()))*$W$3))</f>
        <v>2586149.0131200007</v>
      </c>
      <c r="X256" s="142">
        <f ca="1">IF(ISNUMBER(SEARCH("LLC",Yards[[#This Row],[PROGRAM]])),0,IF(Yards[[#This Row],[RAD/PACT by 2025]]="yes",0,1))</f>
        <v>1</v>
      </c>
      <c r="Y256" s="1"/>
      <c r="Z256" s="1"/>
      <c r="AA256" s="51">
        <f ca="1">COUNTIF($X$5:Yards[[#This Row],['# yards]],"&gt;0")-10</f>
        <v>150</v>
      </c>
      <c r="AB256" s="1">
        <f ca="1">IF(ISBLANK(Yards[[#This Row],[DSGN CALENDAR YEAR]]),ROUNDDOWN(Yards[[#This Row],[Count]]/24,0)+$AB$1,Yards[[#This Row],[DSGN CALENDAR YEAR]])</f>
        <v>2027</v>
      </c>
      <c r="AC256" s="16">
        <f ca="1">Yards[[#This Row],[est. DSGN Year]]+1</f>
        <v>2028</v>
      </c>
    </row>
    <row r="257" spans="1:29">
      <c r="A257" s="13" t="s">
        <v>347</v>
      </c>
      <c r="B257" s="51" t="str">
        <f>VLOOKUP(Yards[[#This Row],[DEVELOPMENT]],Data[],2,FALSE)</f>
        <v>STATEN ISLAND</v>
      </c>
      <c r="C25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57" s="51" t="str">
        <f>VLOOKUP(Yards[[#This Row],[DEVELOPMENT]],Data[],52,FALSE)</f>
        <v>FEDERAL</v>
      </c>
      <c r="E257" s="50">
        <f>VLOOKUP(Yards[[#This Row],[DEVELOPMENT]],Data[],8,FALSE)</f>
        <v>0</v>
      </c>
      <c r="F257" s="51" t="str">
        <f>VLOOKUP(Yards[[#This Row],[DEVELOPMENT]],all[[DEVELOPMENT]:[MRST Ext. Comp. Priority]],6,FALSE)</f>
        <v>None</v>
      </c>
      <c r="G257" s="51">
        <f>VLOOKUP(Yards[[#This Row],[DEVELOPMENT]],all[[DEVELOPMENT]:[MRST Ext. Comp. Priority]],13,FALSE)</f>
        <v>3</v>
      </c>
      <c r="H257" s="50">
        <f>IF(VLOOKUP(Yards[[#This Row],[DEVELOPMENT]],Data[],9,FALSE)=0,5,VLOOKUP(Yards[[#This Row],[DEVELOPMENT]],Data[],9,FALSE))</f>
        <v>5</v>
      </c>
      <c r="I257" s="51">
        <f>VLOOKUP(Yards[[#This Row],[DEVELOPMENT]],Data[],33,FALSE)</f>
        <v>0</v>
      </c>
      <c r="J257" s="51">
        <f>VLOOKUP(Yards[[#This Row],[DEVELOPMENT]],Data[],28,FALSE)</f>
        <v>0</v>
      </c>
      <c r="K257" s="51"/>
      <c r="L257" s="50"/>
      <c r="M257" s="51" t="str">
        <f ca="1">IFERROR(VLOOKUP(Yards[[#This Row],[DEVELOPMENT]],Data[],4,FALSE),"")</f>
        <v/>
      </c>
      <c r="N257" s="51" t="str">
        <f ca="1">IF(Yards[[#This Row],[RAD/PACT]]="","",IF(OR(Yards[[#This Row],[RAD/PACT]]="2022-2025",Yards[[#This Row],[RAD/PACT]]=2019,Yards[[#This Row],[RAD/PACT]]="2020-2021"),"Yes",""))</f>
        <v/>
      </c>
      <c r="O257" s="51" t="str">
        <f ca="1">IFERROR(VLOOKUP(Yards[[#This Row],[DEVELOPMENT]],ExtComp[],8,FALSE),"")</f>
        <v/>
      </c>
      <c r="P257" s="51"/>
      <c r="Q257" s="51"/>
      <c r="R257" s="51" t="str">
        <f>IF(ISBLANK(Yards[[#This Row],[DSGN CALENDAR YEAR]]),"",Yards[[#This Row],[DSGN CALENDAR YEAR]]+1)</f>
        <v/>
      </c>
      <c r="S257" s="51" t="str">
        <f>IF(ISBLANK(Yards[[#This Row],[DSGN FISCAL YEAR]]),"",Yards[[#This Row],[DSGN FISCAL YEAR]]+1)</f>
        <v/>
      </c>
      <c r="T257" s="51"/>
      <c r="U257" s="128">
        <f ca="1">Yards[[#This Row],[Estimate]]*0.1</f>
        <v>231365.85651200006</v>
      </c>
      <c r="V257" s="47">
        <f ca="1">Yards[[#This Row],[Estimate]]-Yards[[#This Row],[Design Est.]]</f>
        <v>2082292.7086080003</v>
      </c>
      <c r="W257" s="85">
        <f ca="1">(Yards[[#This Row],['# yards]]*INDEX(UnitCosts[],MATCH(Yards[[#This Row],[WORK TYPE]],UnitCosts[Work Type],0),2))*(1+((Yards[[#This Row],[est. CONS Year]]-YEAR(TODAY()))*$W$3))</f>
        <v>2313658.5651200004</v>
      </c>
      <c r="X257" s="142">
        <f ca="1">IF(ISNUMBER(SEARCH("LLC",Yards[[#This Row],[PROGRAM]])),0,IF(Yards[[#This Row],[RAD/PACT by 2025]]="yes",0,1))</f>
        <v>1</v>
      </c>
      <c r="Y257" s="1"/>
      <c r="Z257" s="1"/>
      <c r="AA257" s="51">
        <f ca="1">COUNTIF($X$5:Yards[[#This Row],['# yards]],"&gt;0")-10</f>
        <v>151</v>
      </c>
      <c r="AB257" s="1">
        <f ca="1">IF(ISBLANK(Yards[[#This Row],[DSGN CALENDAR YEAR]]),ROUNDDOWN(Yards[[#This Row],[Count]]/24,0)+$AB$1,Yards[[#This Row],[DSGN CALENDAR YEAR]])</f>
        <v>2027</v>
      </c>
      <c r="AC257" s="16">
        <f ca="1">Yards[[#This Row],[est. DSGN Year]]+1</f>
        <v>2028</v>
      </c>
    </row>
    <row r="258" spans="1:29">
      <c r="A258" s="13" t="s">
        <v>353</v>
      </c>
      <c r="B258" s="51" t="str">
        <f>VLOOKUP(Yards[[#This Row],[DEVELOPMENT]],Data[],2,FALSE)</f>
        <v>BRONX</v>
      </c>
      <c r="C258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58" s="51" t="str">
        <f>VLOOKUP(Yards[[#This Row],[DEVELOPMENT]],Data[],52,FALSE)</f>
        <v>FEDERAL</v>
      </c>
      <c r="E258" s="50">
        <f>VLOOKUP(Yards[[#This Row],[DEVELOPMENT]],Data[],8,FALSE)</f>
        <v>0</v>
      </c>
      <c r="F258" s="51" t="str">
        <f>VLOOKUP(Yards[[#This Row],[DEVELOPMENT]],all[[DEVELOPMENT]:[MRST Ext. Comp. Priority]],6,FALSE)</f>
        <v>None</v>
      </c>
      <c r="G258" s="51">
        <f>VLOOKUP(Yards[[#This Row],[DEVELOPMENT]],all[[DEVELOPMENT]:[MRST Ext. Comp. Priority]],13,FALSE)</f>
        <v>3</v>
      </c>
      <c r="H258" s="50">
        <f>IF(VLOOKUP(Yards[[#This Row],[DEVELOPMENT]],Data[],9,FALSE)=0,5,VLOOKUP(Yards[[#This Row],[DEVELOPMENT]],Data[],9,FALSE))</f>
        <v>5</v>
      </c>
      <c r="I258" s="51">
        <f>VLOOKUP(Yards[[#This Row],[DEVELOPMENT]],Data[],33,FALSE)</f>
        <v>2</v>
      </c>
      <c r="J258" s="51">
        <f>VLOOKUP(Yards[[#This Row],[DEVELOPMENT]],Data[],28,FALSE)</f>
        <v>0</v>
      </c>
      <c r="K258" s="51"/>
      <c r="L258" s="50"/>
      <c r="M258" s="51" t="str">
        <f ca="1">IFERROR(VLOOKUP(Yards[[#This Row],[DEVELOPMENT]],Data[],4,FALSE),"")</f>
        <v>2026+</v>
      </c>
      <c r="N258" s="51" t="str">
        <f ca="1">IF(Yards[[#This Row],[RAD/PACT]]="","",IF(OR(Yards[[#This Row],[RAD/PACT]]="2022-2025",Yards[[#This Row],[RAD/PACT]]=2019,Yards[[#This Row],[RAD/PACT]]="2020-2021"),"Yes",""))</f>
        <v/>
      </c>
      <c r="O258" s="51">
        <f ca="1">IFERROR(VLOOKUP(Yards[[#This Row],[DEVELOPMENT]],ExtComp[],8,FALSE),"")</f>
        <v>18</v>
      </c>
      <c r="P258" s="51"/>
      <c r="Q258" s="51"/>
      <c r="R258" s="51" t="str">
        <f>IF(ISBLANK(Yards[[#This Row],[DSGN CALENDAR YEAR]]),"",Yards[[#This Row],[DSGN CALENDAR YEAR]]+1)</f>
        <v/>
      </c>
      <c r="S258" s="51" t="str">
        <f>IF(ISBLANK(Yards[[#This Row],[DSGN FISCAL YEAR]]),"",Yards[[#This Row],[DSGN FISCAL YEAR]]+1)</f>
        <v/>
      </c>
      <c r="T258" s="51"/>
      <c r="U258" s="128">
        <f ca="1">Yards[[#This Row],[Estimate]]*0.1</f>
        <v>258614.90131200009</v>
      </c>
      <c r="V258" s="47">
        <f ca="1">Yards[[#This Row],[Estimate]]-Yards[[#This Row],[Design Est.]]</f>
        <v>2327534.1118080006</v>
      </c>
      <c r="W258" s="85">
        <f ca="1">(Yards[[#This Row],['# yards]]*INDEX(UnitCosts[],MATCH(Yards[[#This Row],[WORK TYPE]],UnitCosts[Work Type],0),2))*(1+((Yards[[#This Row],[est. CONS Year]]-YEAR(TODAY()))*$W$3))</f>
        <v>2586149.0131200007</v>
      </c>
      <c r="X258" s="142">
        <f ca="1">IF(ISNUMBER(SEARCH("LLC",Yards[[#This Row],[PROGRAM]])),0,IF(Yards[[#This Row],[RAD/PACT by 2025]]="yes",0,1))</f>
        <v>1</v>
      </c>
      <c r="Y258" s="1"/>
      <c r="Z258" s="1"/>
      <c r="AA258" s="51">
        <f ca="1">COUNTIF($X$5:Yards[[#This Row],['# yards]],"&gt;0")-10</f>
        <v>152</v>
      </c>
      <c r="AB258" s="1">
        <f ca="1">IF(ISBLANK(Yards[[#This Row],[DSGN CALENDAR YEAR]]),ROUNDDOWN(Yards[[#This Row],[Count]]/24,0)+$AB$1,Yards[[#This Row],[DSGN CALENDAR YEAR]])</f>
        <v>2027</v>
      </c>
      <c r="AC258" s="16">
        <f ca="1">Yards[[#This Row],[est. DSGN Year]]+1</f>
        <v>2028</v>
      </c>
    </row>
    <row r="259" spans="1:29">
      <c r="A259" s="13" t="s">
        <v>372</v>
      </c>
      <c r="B259" s="51" t="str">
        <f>VLOOKUP(Yards[[#This Row],[DEVELOPMENT]],Data[],2,FALSE)</f>
        <v>BRONX</v>
      </c>
      <c r="C25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59" s="51" t="str">
        <f>VLOOKUP(Yards[[#This Row],[DEVELOPMENT]],Data[],52,FALSE)</f>
        <v>FEDERAL</v>
      </c>
      <c r="E259" s="50">
        <f>VLOOKUP(Yards[[#This Row],[DEVELOPMENT]],Data[],8,FALSE)</f>
        <v>0</v>
      </c>
      <c r="F259" s="51" t="str">
        <f>VLOOKUP(Yards[[#This Row],[DEVELOPMENT]],all[[DEVELOPMENT]:[MRST Ext. Comp. Priority]],6,FALSE)</f>
        <v>None</v>
      </c>
      <c r="G259" s="51">
        <f>VLOOKUP(Yards[[#This Row],[DEVELOPMENT]],all[[DEVELOPMENT]:[MRST Ext. Comp. Priority]],13,FALSE)</f>
        <v>3</v>
      </c>
      <c r="H259" s="50">
        <f>IF(VLOOKUP(Yards[[#This Row],[DEVELOPMENT]],Data[],9,FALSE)=0,5,VLOOKUP(Yards[[#This Row],[DEVELOPMENT]],Data[],9,FALSE))</f>
        <v>5</v>
      </c>
      <c r="I259" s="51">
        <f>VLOOKUP(Yards[[#This Row],[DEVELOPMENT]],Data[],33,FALSE)</f>
        <v>0</v>
      </c>
      <c r="J259" s="51">
        <f>VLOOKUP(Yards[[#This Row],[DEVELOPMENT]],Data[],28,FALSE)</f>
        <v>0</v>
      </c>
      <c r="K259" s="51"/>
      <c r="L259" s="50"/>
      <c r="M259" s="51" t="str">
        <f ca="1">IFERROR(VLOOKUP(Yards[[#This Row],[DEVELOPMENT]],Data[],4,FALSE),"")</f>
        <v/>
      </c>
      <c r="N259" s="51" t="str">
        <f ca="1">IF(Yards[[#This Row],[RAD/PACT]]="","",IF(OR(Yards[[#This Row],[RAD/PACT]]="2022-2025",Yards[[#This Row],[RAD/PACT]]=2019,Yards[[#This Row],[RAD/PACT]]="2020-2021"),"Yes",""))</f>
        <v/>
      </c>
      <c r="O259" s="51" t="str">
        <f ca="1">IFERROR(VLOOKUP(Yards[[#This Row],[DEVELOPMENT]],ExtComp[],8,FALSE),"")</f>
        <v/>
      </c>
      <c r="P259" s="51"/>
      <c r="Q259" s="51"/>
      <c r="R259" s="51" t="str">
        <f>IF(ISBLANK(Yards[[#This Row],[DSGN CALENDAR YEAR]]),"",Yards[[#This Row],[DSGN CALENDAR YEAR]]+1)</f>
        <v/>
      </c>
      <c r="S259" s="51" t="str">
        <f>IF(ISBLANK(Yards[[#This Row],[DSGN FISCAL YEAR]]),"",Yards[[#This Row],[DSGN FISCAL YEAR]]+1)</f>
        <v/>
      </c>
      <c r="T259" s="51"/>
      <c r="U259" s="128">
        <f ca="1">Yards[[#This Row],[Estimate]]*0.1</f>
        <v>231365.85651200006</v>
      </c>
      <c r="V259" s="47">
        <f ca="1">Yards[[#This Row],[Estimate]]-Yards[[#This Row],[Design Est.]]</f>
        <v>2082292.7086080003</v>
      </c>
      <c r="W259" s="85">
        <f ca="1">(Yards[[#This Row],['# yards]]*INDEX(UnitCosts[],MATCH(Yards[[#This Row],[WORK TYPE]],UnitCosts[Work Type],0),2))*(1+((Yards[[#This Row],[est. CONS Year]]-YEAR(TODAY()))*$W$3))</f>
        <v>2313658.5651200004</v>
      </c>
      <c r="X259" s="142">
        <f ca="1">IF(ISNUMBER(SEARCH("LLC",Yards[[#This Row],[PROGRAM]])),0,IF(Yards[[#This Row],[RAD/PACT by 2025]]="yes",0,1))</f>
        <v>1</v>
      </c>
      <c r="Y259" s="1"/>
      <c r="Z259" s="1"/>
      <c r="AA259" s="51">
        <f ca="1">COUNTIF($X$5:Yards[[#This Row],['# yards]],"&gt;0")-10</f>
        <v>153</v>
      </c>
      <c r="AB259" s="1">
        <f ca="1">IF(ISBLANK(Yards[[#This Row],[DSGN CALENDAR YEAR]]),ROUNDDOWN(Yards[[#This Row],[Count]]/24,0)+$AB$1,Yards[[#This Row],[DSGN CALENDAR YEAR]])</f>
        <v>2027</v>
      </c>
      <c r="AC259" s="16">
        <f ca="1">Yards[[#This Row],[est. DSGN Year]]+1</f>
        <v>2028</v>
      </c>
    </row>
    <row r="260" spans="1:29">
      <c r="A260" s="13" t="s">
        <v>375</v>
      </c>
      <c r="B260" s="51" t="str">
        <f>VLOOKUP(Yards[[#This Row],[DEVELOPMENT]],Data[],2,FALSE)</f>
        <v>BROOKLYN</v>
      </c>
      <c r="C26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60" s="51" t="str">
        <f>VLOOKUP(Yards[[#This Row],[DEVELOPMENT]],Data[],52,FALSE)</f>
        <v>FEDERAL</v>
      </c>
      <c r="E260" s="50">
        <f>VLOOKUP(Yards[[#This Row],[DEVELOPMENT]],Data[],8,FALSE)</f>
        <v>0</v>
      </c>
      <c r="F260" s="51" t="str">
        <f>VLOOKUP(Yards[[#This Row],[DEVELOPMENT]],all[[DEVELOPMENT]:[MRST Ext. Comp. Priority]],6,FALSE)</f>
        <v>None</v>
      </c>
      <c r="G260" s="51">
        <f>VLOOKUP(Yards[[#This Row],[DEVELOPMENT]],all[[DEVELOPMENT]:[MRST Ext. Comp. Priority]],13,FALSE)</f>
        <v>3</v>
      </c>
      <c r="H260" s="50">
        <f>IF(VLOOKUP(Yards[[#This Row],[DEVELOPMENT]],Data[],9,FALSE)=0,5,VLOOKUP(Yards[[#This Row],[DEVELOPMENT]],Data[],9,FALSE))</f>
        <v>5</v>
      </c>
      <c r="I260" s="51">
        <f>VLOOKUP(Yards[[#This Row],[DEVELOPMENT]],Data[],33,FALSE)</f>
        <v>0</v>
      </c>
      <c r="J260" s="51">
        <f>VLOOKUP(Yards[[#This Row],[DEVELOPMENT]],Data[],28,FALSE)</f>
        <v>0</v>
      </c>
      <c r="K260" s="51"/>
      <c r="L260" s="50"/>
      <c r="M260" s="51" t="str">
        <f ca="1">IFERROR(VLOOKUP(Yards[[#This Row],[DEVELOPMENT]],Data[],4,FALSE),"")</f>
        <v/>
      </c>
      <c r="N260" s="51" t="str">
        <f ca="1">IF(Yards[[#This Row],[RAD/PACT]]="","",IF(OR(Yards[[#This Row],[RAD/PACT]]="2022-2025",Yards[[#This Row],[RAD/PACT]]=2019,Yards[[#This Row],[RAD/PACT]]="2020-2021"),"Yes",""))</f>
        <v/>
      </c>
      <c r="O260" s="51" t="str">
        <f ca="1">IFERROR(VLOOKUP(Yards[[#This Row],[DEVELOPMENT]],ExtComp[],8,FALSE),"")</f>
        <v/>
      </c>
      <c r="P260" s="51"/>
      <c r="Q260" s="51"/>
      <c r="R260" s="51" t="str">
        <f>IF(ISBLANK(Yards[[#This Row],[DSGN CALENDAR YEAR]]),"",Yards[[#This Row],[DSGN CALENDAR YEAR]]+1)</f>
        <v/>
      </c>
      <c r="S260" s="51" t="str">
        <f>IF(ISBLANK(Yards[[#This Row],[DSGN FISCAL YEAR]]),"",Yards[[#This Row],[DSGN FISCAL YEAR]]+1)</f>
        <v/>
      </c>
      <c r="T260" s="51"/>
      <c r="U260" s="128">
        <f ca="1">Yards[[#This Row],[Estimate]]*0.1</f>
        <v>231365.85651200006</v>
      </c>
      <c r="V260" s="47">
        <f ca="1">Yards[[#This Row],[Estimate]]-Yards[[#This Row],[Design Est.]]</f>
        <v>2082292.7086080003</v>
      </c>
      <c r="W260" s="85">
        <f ca="1">(Yards[[#This Row],['# yards]]*INDEX(UnitCosts[],MATCH(Yards[[#This Row],[WORK TYPE]],UnitCosts[Work Type],0),2))*(1+((Yards[[#This Row],[est. CONS Year]]-YEAR(TODAY()))*$W$3))</f>
        <v>2313658.5651200004</v>
      </c>
      <c r="X260" s="142">
        <f ca="1">IF(ISNUMBER(SEARCH("LLC",Yards[[#This Row],[PROGRAM]])),0,IF(Yards[[#This Row],[RAD/PACT by 2025]]="yes",0,1))</f>
        <v>1</v>
      </c>
      <c r="Y260" s="1"/>
      <c r="Z260" s="1"/>
      <c r="AA260" s="51">
        <f ca="1">COUNTIF($X$5:Yards[[#This Row],['# yards]],"&gt;0")-10</f>
        <v>154</v>
      </c>
      <c r="AB260" s="1">
        <f ca="1">IF(ISBLANK(Yards[[#This Row],[DSGN CALENDAR YEAR]]),ROUNDDOWN(Yards[[#This Row],[Count]]/24,0)+$AB$1,Yards[[#This Row],[DSGN CALENDAR YEAR]])</f>
        <v>2027</v>
      </c>
      <c r="AC260" s="16">
        <f ca="1">Yards[[#This Row],[est. DSGN Year]]+1</f>
        <v>2028</v>
      </c>
    </row>
    <row r="261" spans="1:29" hidden="1">
      <c r="A261" s="13" t="s">
        <v>310</v>
      </c>
      <c r="B261" s="51" t="str">
        <f>VLOOKUP(Yards[[#This Row],[DEVELOPMENT]],Data[],2,FALSE)</f>
        <v>BRONX</v>
      </c>
      <c r="C261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61" s="51" t="str">
        <f>VLOOKUP(Yards[[#This Row],[DEVELOPMENT]],Data[],52,FALSE)</f>
        <v>FEDERAL</v>
      </c>
      <c r="E261" s="50">
        <f>VLOOKUP(Yards[[#This Row],[DEVELOPMENT]],Data[],8,FALSE)</f>
        <v>0</v>
      </c>
      <c r="F261" s="51" t="str">
        <f>VLOOKUP(Yards[[#This Row],[DEVELOPMENT]],all[[DEVELOPMENT]:[MRST Ext. Comp. Priority]],6,FALSE)</f>
        <v>None</v>
      </c>
      <c r="G261" s="51">
        <f>VLOOKUP(Yards[[#This Row],[DEVELOPMENT]],all[[DEVELOPMENT]:[MRST Ext. Comp. Priority]],13,FALSE)</f>
        <v>3</v>
      </c>
      <c r="H261" s="50">
        <f>IF(VLOOKUP(Yards[[#This Row],[DEVELOPMENT]],Data[],9,FALSE)=0,5,VLOOKUP(Yards[[#This Row],[DEVELOPMENT]],Data[],9,FALSE))</f>
        <v>5</v>
      </c>
      <c r="I261" s="51">
        <f>VLOOKUP(Yards[[#This Row],[DEVELOPMENT]],Data[],33,FALSE)</f>
        <v>0</v>
      </c>
      <c r="J261" s="51">
        <f>VLOOKUP(Yards[[#This Row],[DEVELOPMENT]],Data[],28,FALSE)</f>
        <v>0</v>
      </c>
      <c r="K261" s="51"/>
      <c r="L261" s="50"/>
      <c r="M261" s="51" t="str">
        <f ca="1">IFERROR(VLOOKUP(Yards[[#This Row],[DEVELOPMENT]],Data[],4,FALSE),"")</f>
        <v>2022-2025</v>
      </c>
      <c r="N261" s="51" t="str">
        <f ca="1">IF(Yards[[#This Row],[RAD/PACT]]="","",IF(OR(Yards[[#This Row],[RAD/PACT]]="2022-2025",Yards[[#This Row],[RAD/PACT]]=2019,Yards[[#This Row],[RAD/PACT]]="2020-2021"),"Yes",""))</f>
        <v>Yes</v>
      </c>
      <c r="O261" s="51" t="str">
        <f ca="1">IFERROR(VLOOKUP(Yards[[#This Row],[DEVELOPMENT]],ExtComp[],8,FALSE),"")</f>
        <v/>
      </c>
      <c r="P261" s="51"/>
      <c r="Q261" s="51"/>
      <c r="R261" s="51" t="str">
        <f>IF(ISBLANK(Yards[[#This Row],[DSGN CALENDAR YEAR]]),"",Yards[[#This Row],[DSGN CALENDAR YEAR]]+1)</f>
        <v/>
      </c>
      <c r="S261" s="51" t="str">
        <f>IF(ISBLANK(Yards[[#This Row],[DSGN FISCAL YEAR]]),"",Yards[[#This Row],[DSGN FISCAL YEAR]]+1)</f>
        <v/>
      </c>
      <c r="T261" s="51"/>
      <c r="U261" s="128">
        <f ca="1">Yards[[#This Row],[Estimate]]*0.1</f>
        <v>0</v>
      </c>
      <c r="V261" s="47">
        <f ca="1">Yards[[#This Row],[Estimate]]-Yards[[#This Row],[Design Est.]]</f>
        <v>0</v>
      </c>
      <c r="W261" s="85">
        <f ca="1">(Yards[[#This Row],['# yards]]*INDEX(UnitCosts[],MATCH(Yards[[#This Row],[WORK TYPE]],UnitCosts[Work Type],0),2))*(1+((Yards[[#This Row],[est. CONS Year]]-YEAR(TODAY()))*$W$3))</f>
        <v>0</v>
      </c>
      <c r="X261" s="142">
        <f ca="1">IF(ISNUMBER(SEARCH("LLC",Yards[[#This Row],[PROGRAM]])),0,IF(Yards[[#This Row],[RAD/PACT by 2025]]="yes",0,1))</f>
        <v>0</v>
      </c>
      <c r="Y261" s="1"/>
      <c r="Z261" s="1"/>
      <c r="AA261" s="51">
        <f ca="1">COUNTIF($X$5:Yards[[#This Row],['# yards]],"&gt;0")-10</f>
        <v>154</v>
      </c>
      <c r="AB261" s="1">
        <f ca="1">IF(ISBLANK(Yards[[#This Row],[DSGN CALENDAR YEAR]]),ROUNDDOWN(Yards[[#This Row],[Count]]/24,0)+$AB$1,Yards[[#This Row],[DSGN CALENDAR YEAR]])</f>
        <v>2027</v>
      </c>
      <c r="AC261" s="16">
        <f ca="1">Yards[[#This Row],[est. DSGN Year]]+1</f>
        <v>2028</v>
      </c>
    </row>
    <row r="262" spans="1:29" hidden="1">
      <c r="A262" s="13" t="s">
        <v>322</v>
      </c>
      <c r="B262" s="51">
        <f>VLOOKUP(Yards[[#This Row],[DEVELOPMENT]],Data[],2,FALSE)</f>
        <v>0</v>
      </c>
      <c r="C262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62" s="51" t="str">
        <f>VLOOKUP(Yards[[#This Row],[DEVELOPMENT]],Data[],52,FALSE)</f>
        <v>FEDERAL</v>
      </c>
      <c r="E262" s="50">
        <f>VLOOKUP(Yards[[#This Row],[DEVELOPMENT]],Data[],8,FALSE)</f>
        <v>0</v>
      </c>
      <c r="F262" s="51" t="str">
        <f>VLOOKUP(Yards[[#This Row],[DEVELOPMENT]],all[[DEVELOPMENT]:[MRST Ext. Comp. Priority]],6,FALSE)</f>
        <v>None</v>
      </c>
      <c r="G262" s="51">
        <f>VLOOKUP(Yards[[#This Row],[DEVELOPMENT]],all[[DEVELOPMENT]:[MRST Ext. Comp. Priority]],13,FALSE)</f>
        <v>3</v>
      </c>
      <c r="H262" s="50">
        <f>IF(VLOOKUP(Yards[[#This Row],[DEVELOPMENT]],Data[],9,FALSE)=0,5,VLOOKUP(Yards[[#This Row],[DEVELOPMENT]],Data[],9,FALSE))</f>
        <v>5</v>
      </c>
      <c r="I262" s="51">
        <f>VLOOKUP(Yards[[#This Row],[DEVELOPMENT]],Data[],33,FALSE)</f>
        <v>0</v>
      </c>
      <c r="J262" s="51">
        <f>VLOOKUP(Yards[[#This Row],[DEVELOPMENT]],Data[],28,FALSE)</f>
        <v>0</v>
      </c>
      <c r="K262" s="51"/>
      <c r="L262" s="50"/>
      <c r="M262" s="51" t="str">
        <f ca="1">IFERROR(VLOOKUP(Yards[[#This Row],[DEVELOPMENT]],Data[],4,FALSE),"")</f>
        <v/>
      </c>
      <c r="N262" s="51" t="str">
        <f ca="1">IF(Yards[[#This Row],[RAD/PACT]]="","",IF(OR(Yards[[#This Row],[RAD/PACT]]="2022-2025",Yards[[#This Row],[RAD/PACT]]=2019,Yards[[#This Row],[RAD/PACT]]="2020-2021"),"Yes",""))</f>
        <v/>
      </c>
      <c r="O262" s="51" t="str">
        <f ca="1">IFERROR(VLOOKUP(Yards[[#This Row],[DEVELOPMENT]],ExtComp[],8,FALSE),"")</f>
        <v/>
      </c>
      <c r="P262" s="51"/>
      <c r="Q262" s="51"/>
      <c r="R262" s="51" t="str">
        <f>IF(ISBLANK(Yards[[#This Row],[DSGN CALENDAR YEAR]]),"",Yards[[#This Row],[DSGN CALENDAR YEAR]]+1)</f>
        <v/>
      </c>
      <c r="S262" s="51" t="str">
        <f>IF(ISBLANK(Yards[[#This Row],[DSGN FISCAL YEAR]]),"",Yards[[#This Row],[DSGN FISCAL YEAR]]+1)</f>
        <v/>
      </c>
      <c r="T262" s="51"/>
      <c r="U262" s="128">
        <f>Yards[[#This Row],[Estimate]]*0.1</f>
        <v>0</v>
      </c>
      <c r="V262" s="47">
        <f>Yards[[#This Row],[Estimate]]-Yards[[#This Row],[Design Est.]]</f>
        <v>0</v>
      </c>
      <c r="W262" s="85"/>
      <c r="X262" s="142"/>
      <c r="Y262" s="1"/>
      <c r="Z262" s="1" t="s">
        <v>2299</v>
      </c>
      <c r="AA262" s="51">
        <f ca="1">COUNTIF($X$5:Yards[[#This Row],['# yards]],"&gt;0")-10</f>
        <v>154</v>
      </c>
      <c r="AB262" s="1">
        <f ca="1">IF(ISBLANK(Yards[[#This Row],[DSGN CALENDAR YEAR]]),ROUNDDOWN(Yards[[#This Row],[Count]]/24,0)+$AB$1,Yards[[#This Row],[DSGN CALENDAR YEAR]])</f>
        <v>2027</v>
      </c>
      <c r="AC262" s="16">
        <f ca="1">Yards[[#This Row],[est. DSGN Year]]+1</f>
        <v>2028</v>
      </c>
    </row>
    <row r="263" spans="1:29" hidden="1">
      <c r="A263" s="13" t="s">
        <v>309</v>
      </c>
      <c r="B263" s="51" t="str">
        <f>VLOOKUP(Yards[[#This Row],[DEVELOPMENT]],Data[],2,FALSE)</f>
        <v>MANHATTAN</v>
      </c>
      <c r="C26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263" s="51" t="str">
        <f>VLOOKUP(Yards[[#This Row],[DEVELOPMENT]],Data[],52,FALSE)</f>
        <v>MIXED FINANCE/LLC1</v>
      </c>
      <c r="E263" s="50">
        <f>VLOOKUP(Yards[[#This Row],[DEVELOPMENT]],Data[],8,FALSE)</f>
        <v>0</v>
      </c>
      <c r="F263" s="51" t="str">
        <f>VLOOKUP(Yards[[#This Row],[DEVELOPMENT]],all[[DEVELOPMENT]:[MRST Ext. Comp. Priority]],6,FALSE)</f>
        <v>None</v>
      </c>
      <c r="G263" s="51">
        <f>VLOOKUP(Yards[[#This Row],[DEVELOPMENT]],all[[DEVELOPMENT]:[MRST Ext. Comp. Priority]],13,FALSE)</f>
        <v>4</v>
      </c>
      <c r="H263" s="50">
        <f>IF(VLOOKUP(Yards[[#This Row],[DEVELOPMENT]],Data[],9,FALSE)=0,5,VLOOKUP(Yards[[#This Row],[DEVELOPMENT]],Data[],9,FALSE))</f>
        <v>5</v>
      </c>
      <c r="I263" s="51">
        <f>VLOOKUP(Yards[[#This Row],[DEVELOPMENT]],Data[],33,FALSE)</f>
        <v>2</v>
      </c>
      <c r="J263" s="51">
        <f>VLOOKUP(Yards[[#This Row],[DEVELOPMENT]],Data[],28,FALSE)</f>
        <v>0</v>
      </c>
      <c r="K263" s="51"/>
      <c r="L263" s="50"/>
      <c r="M263" s="51" t="str">
        <f ca="1">IFERROR(VLOOKUP(Yards[[#This Row],[DEVELOPMENT]],Data[],4,FALSE),"")</f>
        <v/>
      </c>
      <c r="N263" s="51" t="str">
        <f ca="1">IF(Yards[[#This Row],[RAD/PACT]]="","",IF(OR(Yards[[#This Row],[RAD/PACT]]="2022-2025",Yards[[#This Row],[RAD/PACT]]=2019,Yards[[#This Row],[RAD/PACT]]="2020-2021"),"Yes",""))</f>
        <v/>
      </c>
      <c r="O263" s="51">
        <f ca="1">IFERROR(VLOOKUP(Yards[[#This Row],[DEVELOPMENT]],ExtComp[],8,FALSE),"")</f>
        <v>10</v>
      </c>
      <c r="P263" s="51"/>
      <c r="Q263" s="51"/>
      <c r="R263" s="51" t="str">
        <f>IF(ISBLANK(Yards[[#This Row],[DSGN CALENDAR YEAR]]),"",Yards[[#This Row],[DSGN CALENDAR YEAR]]+1)</f>
        <v/>
      </c>
      <c r="S263" s="51" t="str">
        <f>IF(ISBLANK(Yards[[#This Row],[DSGN FISCAL YEAR]]),"",Yards[[#This Row],[DSGN FISCAL YEAR]]+1)</f>
        <v/>
      </c>
      <c r="T263" s="51"/>
      <c r="U263" s="128">
        <f ca="1">Yards[[#This Row],[Estimate]]*0.1</f>
        <v>0</v>
      </c>
      <c r="V263" s="47">
        <f ca="1">Yards[[#This Row],[Estimate]]-Yards[[#This Row],[Design Est.]]</f>
        <v>0</v>
      </c>
      <c r="W263" s="85">
        <f ca="1">(Yards[[#This Row],['# yards]]*INDEX(UnitCosts[],MATCH(Yards[[#This Row],[WORK TYPE]],UnitCosts[Work Type],0),2))*(1+((Yards[[#This Row],[est. CONS Year]]-YEAR(TODAY()))*$W$3))</f>
        <v>0</v>
      </c>
      <c r="X263" s="142">
        <f>IF(ISNUMBER(SEARCH("LLC",Yards[[#This Row],[PROGRAM]])),0,IF(Yards[[#This Row],[RAD/PACT by 2025]]="yes",0,1))</f>
        <v>0</v>
      </c>
      <c r="Y263" s="1"/>
      <c r="Z263" s="1"/>
      <c r="AA263" s="51">
        <f ca="1">COUNTIF($X$5:Yards[[#This Row],['# yards]],"&gt;0")-10</f>
        <v>154</v>
      </c>
      <c r="AB263" s="1">
        <f ca="1">IF(ISBLANK(Yards[[#This Row],[DSGN CALENDAR YEAR]]),ROUNDDOWN(Yards[[#This Row],[Count]]/24,0)+$AB$1,Yards[[#This Row],[DSGN CALENDAR YEAR]])</f>
        <v>2027</v>
      </c>
      <c r="AC263" s="16">
        <f ca="1">Yards[[#This Row],[est. DSGN Year]]+1</f>
        <v>2028</v>
      </c>
    </row>
    <row r="264" spans="1:29" hidden="1">
      <c r="A264" s="13" t="s">
        <v>314</v>
      </c>
      <c r="B264" s="51" t="str">
        <f>VLOOKUP(Yards[[#This Row],[DEVELOPMENT]],Data[],2,FALSE)</f>
        <v>BROOKLYN</v>
      </c>
      <c r="C264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64" s="51" t="str">
        <f>VLOOKUP(Yards[[#This Row],[DEVELOPMENT]],Data[],52,FALSE)</f>
        <v>FEDERAL</v>
      </c>
      <c r="E264" s="50" t="str">
        <f>VLOOKUP(Yards[[#This Row],[DEVELOPMENT]],Data[],8,FALSE)</f>
        <v>Zone 4</v>
      </c>
      <c r="F264" s="51" t="str">
        <f>VLOOKUP(Yards[[#This Row],[DEVELOPMENT]],all[[DEVELOPMENT]:[MRST Ext. Comp. Priority]],6,FALSE)</f>
        <v>None</v>
      </c>
      <c r="G264" s="51">
        <f>VLOOKUP(Yards[[#This Row],[DEVELOPMENT]],all[[DEVELOPMENT]:[MRST Ext. Comp. Priority]],13,FALSE)</f>
        <v>3</v>
      </c>
      <c r="H264" s="50">
        <f>IF(VLOOKUP(Yards[[#This Row],[DEVELOPMENT]],Data[],9,FALSE)=0,5,VLOOKUP(Yards[[#This Row],[DEVELOPMENT]],Data[],9,FALSE))</f>
        <v>5</v>
      </c>
      <c r="I264" s="51">
        <f>VLOOKUP(Yards[[#This Row],[DEVELOPMENT]],Data[],33,FALSE)</f>
        <v>0</v>
      </c>
      <c r="J264" s="51">
        <f>VLOOKUP(Yards[[#This Row],[DEVELOPMENT]],Data[],28,FALSE)</f>
        <v>0</v>
      </c>
      <c r="K264" s="51"/>
      <c r="L264" s="50"/>
      <c r="M264" s="51" t="str">
        <f ca="1">IFERROR(VLOOKUP(Yards[[#This Row],[DEVELOPMENT]],Data[],4,FALSE),"")</f>
        <v>2022-2025</v>
      </c>
      <c r="N264" s="51" t="str">
        <f ca="1">IF(Yards[[#This Row],[RAD/PACT]]="","",IF(OR(Yards[[#This Row],[RAD/PACT]]="2022-2025",Yards[[#This Row],[RAD/PACT]]=2019,Yards[[#This Row],[RAD/PACT]]="2020-2021"),"Yes",""))</f>
        <v>Yes</v>
      </c>
      <c r="O264" s="51" t="str">
        <f ca="1">IFERROR(VLOOKUP(Yards[[#This Row],[DEVELOPMENT]],ExtComp[],8,FALSE),"")</f>
        <v/>
      </c>
      <c r="P264" s="51"/>
      <c r="Q264" s="51"/>
      <c r="R264" s="51" t="str">
        <f>IF(ISBLANK(Yards[[#This Row],[DSGN CALENDAR YEAR]]),"",Yards[[#This Row],[DSGN CALENDAR YEAR]]+1)</f>
        <v/>
      </c>
      <c r="S264" s="51" t="str">
        <f>IF(ISBLANK(Yards[[#This Row],[DSGN FISCAL YEAR]]),"",Yards[[#This Row],[DSGN FISCAL YEAR]]+1)</f>
        <v/>
      </c>
      <c r="T264" s="51"/>
      <c r="U264" s="128">
        <f ca="1">Yards[[#This Row],[Estimate]]*0.1</f>
        <v>0</v>
      </c>
      <c r="V264" s="47">
        <f ca="1">Yards[[#This Row],[Estimate]]-Yards[[#This Row],[Design Est.]]</f>
        <v>0</v>
      </c>
      <c r="W264" s="85">
        <f ca="1">(Yards[[#This Row],['# yards]]*INDEX(UnitCosts[],MATCH(Yards[[#This Row],[WORK TYPE]],UnitCosts[Work Type],0),2))*(1+((Yards[[#This Row],[est. CONS Year]]-YEAR(TODAY()))*$W$3))</f>
        <v>0</v>
      </c>
      <c r="X264" s="142">
        <f ca="1">IF(ISNUMBER(SEARCH("LLC",Yards[[#This Row],[PROGRAM]])),0,IF(Yards[[#This Row],[RAD/PACT by 2025]]="yes",0,1))</f>
        <v>0</v>
      </c>
      <c r="Y264" s="1"/>
      <c r="Z264" s="1"/>
      <c r="AA264" s="51">
        <f ca="1">COUNTIF($X$5:Yards[[#This Row],['# yards]],"&gt;0")-10</f>
        <v>154</v>
      </c>
      <c r="AB264" s="1">
        <f ca="1">IF(ISBLANK(Yards[[#This Row],[DSGN CALENDAR YEAR]]),ROUNDDOWN(Yards[[#This Row],[Count]]/24,0)+$AB$1,Yards[[#This Row],[DSGN CALENDAR YEAR]])</f>
        <v>2027</v>
      </c>
      <c r="AC264" s="16">
        <f ca="1">Yards[[#This Row],[est. DSGN Year]]+1</f>
        <v>2028</v>
      </c>
    </row>
    <row r="265" spans="1:29" hidden="1">
      <c r="A265" s="13" t="s">
        <v>340</v>
      </c>
      <c r="B265" s="51" t="str">
        <f>VLOOKUP(Yards[[#This Row],[DEVELOPMENT]],Data[],2,FALSE)</f>
        <v>BROOKLYN</v>
      </c>
      <c r="C265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65" s="51" t="str">
        <f>VLOOKUP(Yards[[#This Row],[DEVELOPMENT]],Data[],52,FALSE)</f>
        <v>FEDERAL</v>
      </c>
      <c r="E265" s="50">
        <f>VLOOKUP(Yards[[#This Row],[DEVELOPMENT]],Data[],8,FALSE)</f>
        <v>0</v>
      </c>
      <c r="F265" s="51" t="str">
        <f>VLOOKUP(Yards[[#This Row],[DEVELOPMENT]],all[[DEVELOPMENT]:[MRST Ext. Comp. Priority]],6,FALSE)</f>
        <v>None</v>
      </c>
      <c r="G265" s="51">
        <f>VLOOKUP(Yards[[#This Row],[DEVELOPMENT]],all[[DEVELOPMENT]:[MRST Ext. Comp. Priority]],13,FALSE)</f>
        <v>3</v>
      </c>
      <c r="H265" s="50">
        <f>IF(VLOOKUP(Yards[[#This Row],[DEVELOPMENT]],Data[],9,FALSE)=0,5,VLOOKUP(Yards[[#This Row],[DEVELOPMENT]],Data[],9,FALSE))</f>
        <v>5</v>
      </c>
      <c r="I265" s="51">
        <f>VLOOKUP(Yards[[#This Row],[DEVELOPMENT]],Data[],33,FALSE)</f>
        <v>0</v>
      </c>
      <c r="J265" s="51">
        <f>VLOOKUP(Yards[[#This Row],[DEVELOPMENT]],Data[],28,FALSE)</f>
        <v>0</v>
      </c>
      <c r="K265" s="51"/>
      <c r="L265" s="50"/>
      <c r="M265" s="51" t="str">
        <f ca="1">IFERROR(VLOOKUP(Yards[[#This Row],[DEVELOPMENT]],Data[],4,FALSE),"")</f>
        <v>2020-2021</v>
      </c>
      <c r="N265" s="51" t="str">
        <f ca="1">IF(Yards[[#This Row],[RAD/PACT]]="","",IF(OR(Yards[[#This Row],[RAD/PACT]]="2022-2025",Yards[[#This Row],[RAD/PACT]]=2019,Yards[[#This Row],[RAD/PACT]]="2020-2021"),"Yes",""))</f>
        <v>Yes</v>
      </c>
      <c r="O265" s="51" t="str">
        <f ca="1">IFERROR(VLOOKUP(Yards[[#This Row],[DEVELOPMENT]],ExtComp[],8,FALSE),"")</f>
        <v/>
      </c>
      <c r="P265" s="51"/>
      <c r="Q265" s="51"/>
      <c r="R265" s="51" t="str">
        <f>IF(ISBLANK(Yards[[#This Row],[DSGN CALENDAR YEAR]]),"",Yards[[#This Row],[DSGN CALENDAR YEAR]]+1)</f>
        <v/>
      </c>
      <c r="S265" s="51" t="str">
        <f>IF(ISBLANK(Yards[[#This Row],[DSGN FISCAL YEAR]]),"",Yards[[#This Row],[DSGN FISCAL YEAR]]+1)</f>
        <v/>
      </c>
      <c r="T265" s="51"/>
      <c r="U265" s="128">
        <f ca="1">Yards[[#This Row],[Estimate]]*0.1</f>
        <v>0</v>
      </c>
      <c r="V265" s="47">
        <f ca="1">Yards[[#This Row],[Estimate]]-Yards[[#This Row],[Design Est.]]</f>
        <v>0</v>
      </c>
      <c r="W265" s="85">
        <f ca="1">(Yards[[#This Row],['# yards]]*INDEX(UnitCosts[],MATCH(Yards[[#This Row],[WORK TYPE]],UnitCosts[Work Type],0),2))*(1+((Yards[[#This Row],[est. CONS Year]]-YEAR(TODAY()))*$W$3))</f>
        <v>0</v>
      </c>
      <c r="X265" s="142">
        <f ca="1">IF(ISNUMBER(SEARCH("LLC",Yards[[#This Row],[PROGRAM]])),0,IF(Yards[[#This Row],[RAD/PACT by 2025]]="yes",0,1))</f>
        <v>0</v>
      </c>
      <c r="Y265" s="1"/>
      <c r="Z265" s="1"/>
      <c r="AA265" s="51">
        <f ca="1">COUNTIF($X$5:Yards[[#This Row],['# yards]],"&gt;0")-10</f>
        <v>154</v>
      </c>
      <c r="AB265" s="1">
        <f ca="1">IF(ISBLANK(Yards[[#This Row],[DSGN CALENDAR YEAR]]),ROUNDDOWN(Yards[[#This Row],[Count]]/24,0)+$AB$1,Yards[[#This Row],[DSGN CALENDAR YEAR]])</f>
        <v>2027</v>
      </c>
      <c r="AC265" s="16">
        <f ca="1">Yards[[#This Row],[est. DSGN Year]]+1</f>
        <v>2028</v>
      </c>
    </row>
    <row r="266" spans="1:29" hidden="1">
      <c r="A266" s="13" t="s">
        <v>352</v>
      </c>
      <c r="B266" s="51" t="str">
        <f>VLOOKUP(Yards[[#This Row],[DEVELOPMENT]],Data[],2,FALSE)</f>
        <v>BROOKLYN</v>
      </c>
      <c r="C266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66" s="51" t="str">
        <f>VLOOKUP(Yards[[#This Row],[DEVELOPMENT]],Data[],52,FALSE)</f>
        <v>FEDERAL</v>
      </c>
      <c r="E266" s="50">
        <f>VLOOKUP(Yards[[#This Row],[DEVELOPMENT]],Data[],8,FALSE)</f>
        <v>0</v>
      </c>
      <c r="F266" s="51" t="str">
        <f>VLOOKUP(Yards[[#This Row],[DEVELOPMENT]],all[[DEVELOPMENT]:[MRST Ext. Comp. Priority]],6,FALSE)</f>
        <v>None</v>
      </c>
      <c r="G266" s="51">
        <f>VLOOKUP(Yards[[#This Row],[DEVELOPMENT]],all[[DEVELOPMENT]:[MRST Ext. Comp. Priority]],13,FALSE)</f>
        <v>3</v>
      </c>
      <c r="H266" s="50">
        <f>IF(VLOOKUP(Yards[[#This Row],[DEVELOPMENT]],Data[],9,FALSE)=0,5,VLOOKUP(Yards[[#This Row],[DEVELOPMENT]],Data[],9,FALSE))</f>
        <v>5</v>
      </c>
      <c r="I266" s="51">
        <f>VLOOKUP(Yards[[#This Row],[DEVELOPMENT]],Data[],33,FALSE)</f>
        <v>0</v>
      </c>
      <c r="J266" s="51">
        <f>VLOOKUP(Yards[[#This Row],[DEVELOPMENT]],Data[],28,FALSE)</f>
        <v>0</v>
      </c>
      <c r="K266" s="51"/>
      <c r="L266" s="50"/>
      <c r="M266" s="51" t="str">
        <f ca="1">IFERROR(VLOOKUP(Yards[[#This Row],[DEVELOPMENT]],Data[],4,FALSE),"")</f>
        <v>2022-2025</v>
      </c>
      <c r="N266" s="51" t="str">
        <f ca="1">IF(Yards[[#This Row],[RAD/PACT]]="","",IF(OR(Yards[[#This Row],[RAD/PACT]]="2022-2025",Yards[[#This Row],[RAD/PACT]]=2019,Yards[[#This Row],[RAD/PACT]]="2020-2021"),"Yes",""))</f>
        <v>Yes</v>
      </c>
      <c r="O266" s="51" t="str">
        <f ca="1">IFERROR(VLOOKUP(Yards[[#This Row],[DEVELOPMENT]],ExtComp[],8,FALSE),"")</f>
        <v/>
      </c>
      <c r="P266" s="51"/>
      <c r="Q266" s="51"/>
      <c r="R266" s="51" t="str">
        <f>IF(ISBLANK(Yards[[#This Row],[DSGN CALENDAR YEAR]]),"",Yards[[#This Row],[DSGN CALENDAR YEAR]]+1)</f>
        <v/>
      </c>
      <c r="S266" s="51" t="str">
        <f>IF(ISBLANK(Yards[[#This Row],[DSGN FISCAL YEAR]]),"",Yards[[#This Row],[DSGN FISCAL YEAR]]+1)</f>
        <v/>
      </c>
      <c r="T266" s="51"/>
      <c r="U266" s="128">
        <f ca="1">Yards[[#This Row],[Estimate]]*0.1</f>
        <v>0</v>
      </c>
      <c r="V266" s="47">
        <f ca="1">Yards[[#This Row],[Estimate]]-Yards[[#This Row],[Design Est.]]</f>
        <v>0</v>
      </c>
      <c r="W266" s="85">
        <f ca="1">(Yards[[#This Row],['# yards]]*INDEX(UnitCosts[],MATCH(Yards[[#This Row],[WORK TYPE]],UnitCosts[Work Type],0),2))*(1+((Yards[[#This Row],[est. CONS Year]]-YEAR(TODAY()))*$W$3))</f>
        <v>0</v>
      </c>
      <c r="X266" s="142">
        <f ca="1">IF(ISNUMBER(SEARCH("LLC",Yards[[#This Row],[PROGRAM]])),0,IF(Yards[[#This Row],[RAD/PACT by 2025]]="yes",0,1))</f>
        <v>0</v>
      </c>
      <c r="Y266" s="1"/>
      <c r="Z266" s="1"/>
      <c r="AA266" s="51">
        <f ca="1">COUNTIF($X$5:Yards[[#This Row],['# yards]],"&gt;0")-10</f>
        <v>154</v>
      </c>
      <c r="AB266" s="1">
        <f ca="1">IF(ISBLANK(Yards[[#This Row],[DSGN CALENDAR YEAR]]),ROUNDDOWN(Yards[[#This Row],[Count]]/24,0)+$AB$1,Yards[[#This Row],[DSGN CALENDAR YEAR]])</f>
        <v>2027</v>
      </c>
      <c r="AC266" s="16">
        <f ca="1">Yards[[#This Row],[est. DSGN Year]]+1</f>
        <v>2028</v>
      </c>
    </row>
    <row r="267" spans="1:29">
      <c r="A267" s="13" t="s">
        <v>64</v>
      </c>
      <c r="B267" s="51" t="str">
        <f>VLOOKUP(Yards[[#This Row],[DEVELOPMENT]],Data[],2,FALSE)</f>
        <v>MANHATTAN</v>
      </c>
      <c r="C26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67" s="51" t="str">
        <f>VLOOKUP(Yards[[#This Row],[DEVELOPMENT]],Data[],52,FALSE)</f>
        <v>FEDERAL</v>
      </c>
      <c r="E267" s="50" t="str">
        <f>VLOOKUP(Yards[[#This Row],[DEVELOPMENT]],Data[],8,FALSE)</f>
        <v>Zone 1</v>
      </c>
      <c r="F267" s="51" t="str">
        <f>VLOOKUP(Yards[[#This Row],[DEVELOPMENT]],all[[DEVELOPMENT]:[MRST Ext. Comp. Priority]],6,FALSE)</f>
        <v>None</v>
      </c>
      <c r="G267" s="51">
        <f>VLOOKUP(Yards[[#This Row],[DEVELOPMENT]],all[[DEVELOPMENT]:[MRST Ext. Comp. Priority]],13,FALSE)</f>
        <v>4</v>
      </c>
      <c r="H267" s="50">
        <f>IF(VLOOKUP(Yards[[#This Row],[DEVELOPMENT]],Data[],9,FALSE)=0,5,VLOOKUP(Yards[[#This Row],[DEVELOPMENT]],Data[],9,FALSE))</f>
        <v>3</v>
      </c>
      <c r="I267" s="51">
        <f>VLOOKUP(Yards[[#This Row],[DEVELOPMENT]],Data[],33,FALSE)</f>
        <v>0</v>
      </c>
      <c r="J267" s="51">
        <f>VLOOKUP(Yards[[#This Row],[DEVELOPMENT]],Data[],28,FALSE)</f>
        <v>0</v>
      </c>
      <c r="K267" s="51"/>
      <c r="L267" s="50"/>
      <c r="M267" s="51" t="str">
        <f ca="1">IFERROR(VLOOKUP(Yards[[#This Row],[DEVELOPMENT]],Data[],4,FALSE),"")</f>
        <v>2026+</v>
      </c>
      <c r="N267" s="51" t="str">
        <f ca="1">IF(Yards[[#This Row],[RAD/PACT]]="","",IF(OR(Yards[[#This Row],[RAD/PACT]]="2022-2025",Yards[[#This Row],[RAD/PACT]]=2019,Yards[[#This Row],[RAD/PACT]]="2020-2021"),"Yes",""))</f>
        <v/>
      </c>
      <c r="O267" s="51" t="str">
        <f ca="1">IFERROR(VLOOKUP(Yards[[#This Row],[DEVELOPMENT]],ExtComp[],8,FALSE),"")</f>
        <v/>
      </c>
      <c r="P267" s="51"/>
      <c r="Q267" s="51"/>
      <c r="R267" s="51" t="str">
        <f>IF(ISBLANK(Yards[[#This Row],[DSGN CALENDAR YEAR]]),"",Yards[[#This Row],[DSGN CALENDAR YEAR]]+1)</f>
        <v/>
      </c>
      <c r="S267" s="51" t="str">
        <f>IF(ISBLANK(Yards[[#This Row],[DSGN FISCAL YEAR]]),"",Yards[[#This Row],[DSGN FISCAL YEAR]]+1)</f>
        <v/>
      </c>
      <c r="T267" s="51"/>
      <c r="U267" s="128">
        <f ca="1">Yards[[#This Row],[Estimate]]*0.1</f>
        <v>231365.85651200006</v>
      </c>
      <c r="V267" s="47">
        <f ca="1">Yards[[#This Row],[Estimate]]-Yards[[#This Row],[Design Est.]]</f>
        <v>2082292.7086080003</v>
      </c>
      <c r="W267" s="85">
        <f ca="1">(Yards[[#This Row],['# yards]]*INDEX(UnitCosts[],MATCH(Yards[[#This Row],[WORK TYPE]],UnitCosts[Work Type],0),2))*(1+((Yards[[#This Row],[est. CONS Year]]-YEAR(TODAY()))*$W$3))</f>
        <v>2313658.5651200004</v>
      </c>
      <c r="X267" s="142">
        <f ca="1">IF(ISNUMBER(SEARCH("LLC",Yards[[#This Row],[PROGRAM]])),0,IF(Yards[[#This Row],[RAD/PACT by 2025]]="yes",0,1))</f>
        <v>1</v>
      </c>
      <c r="Y267" s="1"/>
      <c r="Z267" s="1"/>
      <c r="AA267" s="51">
        <f ca="1">COUNTIF($X$5:Yards[[#This Row],['# yards]],"&gt;0")-10</f>
        <v>155</v>
      </c>
      <c r="AB267" s="1">
        <f ca="1">IF(ISBLANK(Yards[[#This Row],[DSGN CALENDAR YEAR]]),ROUNDDOWN(Yards[[#This Row],[Count]]/24,0)+$AB$1,Yards[[#This Row],[DSGN CALENDAR YEAR]])</f>
        <v>2027</v>
      </c>
      <c r="AC267" s="16">
        <f ca="1">Yards[[#This Row],[est. DSGN Year]]+1</f>
        <v>2028</v>
      </c>
    </row>
    <row r="268" spans="1:29" hidden="1">
      <c r="A268" s="13" t="s">
        <v>79</v>
      </c>
      <c r="B268" s="51" t="str">
        <f>VLOOKUP(Yards[[#This Row],[DEVELOPMENT]],Data[],2,FALSE)</f>
        <v>MANHATTAN</v>
      </c>
      <c r="C268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68" s="51" t="str">
        <f>VLOOKUP(Yards[[#This Row],[DEVELOPMENT]],Data[],52,FALSE)</f>
        <v>FEDERAL</v>
      </c>
      <c r="E268" s="50" t="str">
        <f>VLOOKUP(Yards[[#This Row],[DEVELOPMENT]],Data[],8,FALSE)</f>
        <v>Zone 3</v>
      </c>
      <c r="F268" s="51" t="str">
        <f>VLOOKUP(Yards[[#This Row],[DEVELOPMENT]],all[[DEVELOPMENT]:[MRST Ext. Comp. Priority]],6,FALSE)</f>
        <v>None</v>
      </c>
      <c r="G268" s="51">
        <f>VLOOKUP(Yards[[#This Row],[DEVELOPMENT]],all[[DEVELOPMENT]:[MRST Ext. Comp. Priority]],13,FALSE)</f>
        <v>4</v>
      </c>
      <c r="H268" s="50">
        <f>IF(VLOOKUP(Yards[[#This Row],[DEVELOPMENT]],Data[],9,FALSE)=0,5,VLOOKUP(Yards[[#This Row],[DEVELOPMENT]],Data[],9,FALSE))</f>
        <v>4</v>
      </c>
      <c r="I268" s="51">
        <f>VLOOKUP(Yards[[#This Row],[DEVELOPMENT]],Data[],33,FALSE)</f>
        <v>0</v>
      </c>
      <c r="J268" s="51">
        <f>VLOOKUP(Yards[[#This Row],[DEVELOPMENT]],Data[],28,FALSE)</f>
        <v>0</v>
      </c>
      <c r="K268" s="51"/>
      <c r="L268" s="50"/>
      <c r="M268" s="51" t="str">
        <f ca="1">IFERROR(VLOOKUP(Yards[[#This Row],[DEVELOPMENT]],Data[],4,FALSE),"")</f>
        <v>2020-2021</v>
      </c>
      <c r="N268" s="51" t="str">
        <f ca="1">IF(Yards[[#This Row],[RAD/PACT]]="","",IF(OR(Yards[[#This Row],[RAD/PACT]]="2022-2025",Yards[[#This Row],[RAD/PACT]]=2019,Yards[[#This Row],[RAD/PACT]]="2020-2021"),"Yes",""))</f>
        <v>Yes</v>
      </c>
      <c r="O268" s="51" t="str">
        <f ca="1">IFERROR(VLOOKUP(Yards[[#This Row],[DEVELOPMENT]],ExtComp[],8,FALSE),"")</f>
        <v/>
      </c>
      <c r="P268" s="51"/>
      <c r="Q268" s="51"/>
      <c r="R268" s="51" t="str">
        <f>IF(ISBLANK(Yards[[#This Row],[DSGN CALENDAR YEAR]]),"",Yards[[#This Row],[DSGN CALENDAR YEAR]]+1)</f>
        <v/>
      </c>
      <c r="S268" s="51" t="str">
        <f>IF(ISBLANK(Yards[[#This Row],[DSGN FISCAL YEAR]]),"",Yards[[#This Row],[DSGN FISCAL YEAR]]+1)</f>
        <v/>
      </c>
      <c r="T268" s="51"/>
      <c r="U268" s="128">
        <f ca="1">Yards[[#This Row],[Estimate]]*0.1</f>
        <v>0</v>
      </c>
      <c r="V268" s="47">
        <f ca="1">Yards[[#This Row],[Estimate]]-Yards[[#This Row],[Design Est.]]</f>
        <v>0</v>
      </c>
      <c r="W268" s="85">
        <f ca="1">(Yards[[#This Row],['# yards]]*INDEX(UnitCosts[],MATCH(Yards[[#This Row],[WORK TYPE]],UnitCosts[Work Type],0),2))*(1+((Yards[[#This Row],[est. CONS Year]]-YEAR(TODAY()))*$W$3))</f>
        <v>0</v>
      </c>
      <c r="X268" s="142">
        <f ca="1">IF(ISNUMBER(SEARCH("LLC",Yards[[#This Row],[PROGRAM]])),0,IF(Yards[[#This Row],[RAD/PACT by 2025]]="yes",0,1))</f>
        <v>0</v>
      </c>
      <c r="Y268" s="1"/>
      <c r="Z268" s="1"/>
      <c r="AA268" s="51">
        <f ca="1">COUNTIF($X$5:Yards[[#This Row],['# yards]],"&gt;0")-10</f>
        <v>155</v>
      </c>
      <c r="AB268" s="1">
        <f ca="1">IF(ISBLANK(Yards[[#This Row],[DSGN CALENDAR YEAR]]),ROUNDDOWN(Yards[[#This Row],[Count]]/24,0)+$AB$1,Yards[[#This Row],[DSGN CALENDAR YEAR]])</f>
        <v>2027</v>
      </c>
      <c r="AC268" s="16">
        <f ca="1">Yards[[#This Row],[est. DSGN Year]]+1</f>
        <v>2028</v>
      </c>
    </row>
    <row r="269" spans="1:29" hidden="1">
      <c r="A269" s="13" t="s">
        <v>143</v>
      </c>
      <c r="B269" s="51" t="str">
        <f>VLOOKUP(Yards[[#This Row],[DEVELOPMENT]],Data[],2,FALSE)</f>
        <v>BRONX</v>
      </c>
      <c r="C269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69" s="51" t="str">
        <f>VLOOKUP(Yards[[#This Row],[DEVELOPMENT]],Data[],52,FALSE)</f>
        <v>FEDERAL</v>
      </c>
      <c r="E269" s="50" t="str">
        <f>VLOOKUP(Yards[[#This Row],[DEVELOPMENT]],Data[],8,FALSE)</f>
        <v>Zone 1</v>
      </c>
      <c r="F269" s="51" t="str">
        <f>VLOOKUP(Yards[[#This Row],[DEVELOPMENT]],all[[DEVELOPMENT]:[MRST Ext. Comp. Priority]],6,FALSE)</f>
        <v>None</v>
      </c>
      <c r="G269" s="51">
        <f>VLOOKUP(Yards[[#This Row],[DEVELOPMENT]],all[[DEVELOPMENT]:[MRST Ext. Comp. Priority]],13,FALSE)</f>
        <v>4</v>
      </c>
      <c r="H269" s="50">
        <f>IF(VLOOKUP(Yards[[#This Row],[DEVELOPMENT]],Data[],9,FALSE)=0,5,VLOOKUP(Yards[[#This Row],[DEVELOPMENT]],Data[],9,FALSE))</f>
        <v>4</v>
      </c>
      <c r="I269" s="51">
        <f>VLOOKUP(Yards[[#This Row],[DEVELOPMENT]],Data[],33,FALSE)</f>
        <v>0</v>
      </c>
      <c r="J269" s="51">
        <f>VLOOKUP(Yards[[#This Row],[DEVELOPMENT]],Data[],28,FALSE)</f>
        <v>0</v>
      </c>
      <c r="K269" s="51"/>
      <c r="L269" s="50"/>
      <c r="M269" s="51" t="str">
        <f ca="1">IFERROR(VLOOKUP(Yards[[#This Row],[DEVELOPMENT]],Data[],4,FALSE),"")</f>
        <v>2022-2025</v>
      </c>
      <c r="N269" s="51" t="str">
        <f ca="1">IF(Yards[[#This Row],[RAD/PACT]]="","",IF(OR(Yards[[#This Row],[RAD/PACT]]="2022-2025",Yards[[#This Row],[RAD/PACT]]=2019,Yards[[#This Row],[RAD/PACT]]="2020-2021"),"Yes",""))</f>
        <v>Yes</v>
      </c>
      <c r="O269" s="51">
        <f ca="1">IFERROR(VLOOKUP(Yards[[#This Row],[DEVELOPMENT]],ExtComp[],8,FALSE),"")</f>
        <v>13</v>
      </c>
      <c r="P269" s="51"/>
      <c r="Q269" s="51"/>
      <c r="R269" s="51" t="str">
        <f>IF(ISBLANK(Yards[[#This Row],[DSGN CALENDAR YEAR]]),"",Yards[[#This Row],[DSGN CALENDAR YEAR]]+1)</f>
        <v/>
      </c>
      <c r="S269" s="51" t="str">
        <f>IF(ISBLANK(Yards[[#This Row],[DSGN FISCAL YEAR]]),"",Yards[[#This Row],[DSGN FISCAL YEAR]]+1)</f>
        <v/>
      </c>
      <c r="T269" s="51"/>
      <c r="U269" s="128">
        <f ca="1">Yards[[#This Row],[Estimate]]*0.1</f>
        <v>0</v>
      </c>
      <c r="V269" s="47">
        <f ca="1">Yards[[#This Row],[Estimate]]-Yards[[#This Row],[Design Est.]]</f>
        <v>0</v>
      </c>
      <c r="W269" s="85">
        <f ca="1">(Yards[[#This Row],['# yards]]*INDEX(UnitCosts[],MATCH(Yards[[#This Row],[WORK TYPE]],UnitCosts[Work Type],0),2))*(1+((Yards[[#This Row],[est. CONS Year]]-YEAR(TODAY()))*$W$3))</f>
        <v>0</v>
      </c>
      <c r="X269" s="142">
        <f ca="1">IF(ISNUMBER(SEARCH("LLC",Yards[[#This Row],[PROGRAM]])),0,IF(Yards[[#This Row],[RAD/PACT by 2025]]="yes",0,1))</f>
        <v>0</v>
      </c>
      <c r="Y269" s="1"/>
      <c r="Z269" s="1"/>
      <c r="AA269" s="51">
        <f ca="1">COUNTIF($X$5:Yards[[#This Row],['# yards]],"&gt;0")-10</f>
        <v>155</v>
      </c>
      <c r="AB269" s="1">
        <f ca="1">IF(ISBLANK(Yards[[#This Row],[DSGN CALENDAR YEAR]]),ROUNDDOWN(Yards[[#This Row],[Count]]/24,0)+$AB$1,Yards[[#This Row],[DSGN CALENDAR YEAR]])</f>
        <v>2027</v>
      </c>
      <c r="AC269" s="16">
        <f ca="1">Yards[[#This Row],[est. DSGN Year]]+1</f>
        <v>2028</v>
      </c>
    </row>
    <row r="270" spans="1:29" hidden="1">
      <c r="A270" s="13" t="s">
        <v>78</v>
      </c>
      <c r="B270" s="51" t="str">
        <f>VLOOKUP(Yards[[#This Row],[DEVELOPMENT]],Data[],2,FALSE)</f>
        <v>MANHATTAN</v>
      </c>
      <c r="C270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70" s="51" t="str">
        <f>VLOOKUP(Yards[[#This Row],[DEVELOPMENT]],Data[],52,FALSE)</f>
        <v>FEDERAL</v>
      </c>
      <c r="E270" s="50" t="str">
        <f>VLOOKUP(Yards[[#This Row],[DEVELOPMENT]],Data[],8,FALSE)</f>
        <v>Zone 2</v>
      </c>
      <c r="F270" s="51" t="str">
        <f>VLOOKUP(Yards[[#This Row],[DEVELOPMENT]],all[[DEVELOPMENT]:[MRST Ext. Comp. Priority]],6,FALSE)</f>
        <v>None</v>
      </c>
      <c r="G270" s="51">
        <f>VLOOKUP(Yards[[#This Row],[DEVELOPMENT]],all[[DEVELOPMENT]:[MRST Ext. Comp. Priority]],13,FALSE)</f>
        <v>4</v>
      </c>
      <c r="H270" s="50">
        <f>IF(VLOOKUP(Yards[[#This Row],[DEVELOPMENT]],Data[],9,FALSE)=0,5,VLOOKUP(Yards[[#This Row],[DEVELOPMENT]],Data[],9,FALSE))</f>
        <v>4</v>
      </c>
      <c r="I270" s="51">
        <f>VLOOKUP(Yards[[#This Row],[DEVELOPMENT]],Data[],33,FALSE)</f>
        <v>2</v>
      </c>
      <c r="J270" s="51">
        <f>VLOOKUP(Yards[[#This Row],[DEVELOPMENT]],Data[],28,FALSE)</f>
        <v>0</v>
      </c>
      <c r="K270" s="51"/>
      <c r="L270" s="50"/>
      <c r="M270" s="51" t="str">
        <f ca="1">IFERROR(VLOOKUP(Yards[[#This Row],[DEVELOPMENT]],Data[],4,FALSE),"")</f>
        <v>2022-2025</v>
      </c>
      <c r="N270" s="51" t="str">
        <f ca="1">IF(Yards[[#This Row],[RAD/PACT]]="","",IF(OR(Yards[[#This Row],[RAD/PACT]]="2022-2025",Yards[[#This Row],[RAD/PACT]]=2019,Yards[[#This Row],[RAD/PACT]]="2020-2021"),"Yes",""))</f>
        <v>Yes</v>
      </c>
      <c r="O270" s="1">
        <f ca="1">IFERROR(VLOOKUP(Yards[[#This Row],[DEVELOPMENT]],ExtComp[],8,FALSE),"")</f>
        <v>21</v>
      </c>
      <c r="P270" s="1"/>
      <c r="Q270" s="1"/>
      <c r="R270" s="1" t="str">
        <f>IF(ISBLANK(Yards[[#This Row],[DSGN CALENDAR YEAR]]),"",Yards[[#This Row],[DSGN CALENDAR YEAR]]+1)</f>
        <v/>
      </c>
      <c r="S270" s="51" t="str">
        <f>IF(ISBLANK(Yards[[#This Row],[DSGN FISCAL YEAR]]),"",Yards[[#This Row],[DSGN FISCAL YEAR]]+1)</f>
        <v/>
      </c>
      <c r="T270" s="1"/>
      <c r="U270" s="128">
        <f ca="1">Yards[[#This Row],[Estimate]]*0.1</f>
        <v>0</v>
      </c>
      <c r="V270" s="47">
        <f ca="1">Yards[[#This Row],[Estimate]]-Yards[[#This Row],[Design Est.]]</f>
        <v>0</v>
      </c>
      <c r="W270" s="85">
        <f ca="1">(Yards[[#This Row],['# yards]]*INDEX(UnitCosts[],MATCH(Yards[[#This Row],[WORK TYPE]],UnitCosts[Work Type],0),2))*(1+((Yards[[#This Row],[est. CONS Year]]-YEAR(TODAY()))*$W$3))</f>
        <v>0</v>
      </c>
      <c r="X270" s="142">
        <f ca="1">IF(ISNUMBER(SEARCH("LLC",Yards[[#This Row],[PROGRAM]])),0,IF(Yards[[#This Row],[RAD/PACT by 2025]]="yes",0,1))</f>
        <v>0</v>
      </c>
      <c r="Y270" s="1"/>
      <c r="Z270" s="1"/>
      <c r="AA270" s="51">
        <f ca="1">COUNTIF($X$5:Yards[[#This Row],['# yards]],"&gt;0")-10</f>
        <v>155</v>
      </c>
      <c r="AB270" s="1">
        <f ca="1">IF(ISBLANK(Yards[[#This Row],[DSGN CALENDAR YEAR]]),ROUNDDOWN(Yards[[#This Row],[Count]]/24,0)+$AB$1,Yards[[#This Row],[DSGN CALENDAR YEAR]])</f>
        <v>2027</v>
      </c>
      <c r="AC270" s="16">
        <f ca="1">Yards[[#This Row],[est. DSGN Year]]+1</f>
        <v>2028</v>
      </c>
    </row>
    <row r="271" spans="1:29" hidden="1">
      <c r="A271" s="13" t="s">
        <v>87</v>
      </c>
      <c r="B271" s="51" t="str">
        <f>VLOOKUP(Yards[[#This Row],[DEVELOPMENT]],Data[],2,FALSE)</f>
        <v>MANHATTAN</v>
      </c>
      <c r="C271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71" s="51" t="str">
        <f>VLOOKUP(Yards[[#This Row],[DEVELOPMENT]],Data[],52,FALSE)</f>
        <v>FEDERAL</v>
      </c>
      <c r="E271" s="50" t="str">
        <f>VLOOKUP(Yards[[#This Row],[DEVELOPMENT]],Data[],8,FALSE)</f>
        <v>Zone 3</v>
      </c>
      <c r="F271" s="51" t="str">
        <f>VLOOKUP(Yards[[#This Row],[DEVELOPMENT]],all[[DEVELOPMENT]:[MRST Ext. Comp. Priority]],6,FALSE)</f>
        <v>None</v>
      </c>
      <c r="G271" s="51">
        <f>VLOOKUP(Yards[[#This Row],[DEVELOPMENT]],all[[DEVELOPMENT]:[MRST Ext. Comp. Priority]],13,FALSE)</f>
        <v>4</v>
      </c>
      <c r="H271" s="50">
        <f>IF(VLOOKUP(Yards[[#This Row],[DEVELOPMENT]],Data[],9,FALSE)=0,5,VLOOKUP(Yards[[#This Row],[DEVELOPMENT]],Data[],9,FALSE))</f>
        <v>4</v>
      </c>
      <c r="I271" s="51">
        <f>VLOOKUP(Yards[[#This Row],[DEVELOPMENT]],Data[],33,FALSE)</f>
        <v>0</v>
      </c>
      <c r="J271" s="51">
        <f>VLOOKUP(Yards[[#This Row],[DEVELOPMENT]],Data[],28,FALSE)</f>
        <v>0</v>
      </c>
      <c r="K271" s="51"/>
      <c r="L271" s="50"/>
      <c r="M271" s="51" t="str">
        <f ca="1">IFERROR(VLOOKUP(Yards[[#This Row],[DEVELOPMENT]],Data[],4,FALSE),"")</f>
        <v>2020-2021</v>
      </c>
      <c r="N271" s="51" t="str">
        <f ca="1">IF(Yards[[#This Row],[RAD/PACT]]="","",IF(OR(Yards[[#This Row],[RAD/PACT]]="2022-2025",Yards[[#This Row],[RAD/PACT]]=2019,Yards[[#This Row],[RAD/PACT]]="2020-2021"),"Yes",""))</f>
        <v>Yes</v>
      </c>
      <c r="O271" s="51" t="str">
        <f ca="1">IFERROR(VLOOKUP(Yards[[#This Row],[DEVELOPMENT]],ExtComp[],8,FALSE),"")</f>
        <v/>
      </c>
      <c r="P271" s="51"/>
      <c r="Q271" s="51"/>
      <c r="R271" s="51" t="str">
        <f>IF(ISBLANK(Yards[[#This Row],[DSGN CALENDAR YEAR]]),"",Yards[[#This Row],[DSGN CALENDAR YEAR]]+1)</f>
        <v/>
      </c>
      <c r="S271" s="51" t="str">
        <f>IF(ISBLANK(Yards[[#This Row],[DSGN FISCAL YEAR]]),"",Yards[[#This Row],[DSGN FISCAL YEAR]]+1)</f>
        <v/>
      </c>
      <c r="T271" s="51"/>
      <c r="U271" s="128">
        <f ca="1">Yards[[#This Row],[Estimate]]*0.1</f>
        <v>0</v>
      </c>
      <c r="V271" s="47">
        <f ca="1">Yards[[#This Row],[Estimate]]-Yards[[#This Row],[Design Est.]]</f>
        <v>0</v>
      </c>
      <c r="W271" s="85">
        <f ca="1">(Yards[[#This Row],['# yards]]*INDEX(UnitCosts[],MATCH(Yards[[#This Row],[WORK TYPE]],UnitCosts[Work Type],0),2))*(1+((Yards[[#This Row],[est. CONS Year]]-YEAR(TODAY()))*$W$3))</f>
        <v>0</v>
      </c>
      <c r="X271" s="142">
        <f ca="1">IF(ISNUMBER(SEARCH("LLC",Yards[[#This Row],[PROGRAM]])),0,IF(Yards[[#This Row],[RAD/PACT by 2025]]="yes",0,1))</f>
        <v>0</v>
      </c>
      <c r="Y271" s="1"/>
      <c r="Z271" s="1"/>
      <c r="AA271" s="51">
        <f ca="1">COUNTIF($X$5:Yards[[#This Row],['# yards]],"&gt;0")-10</f>
        <v>155</v>
      </c>
      <c r="AB271" s="1">
        <f ca="1">IF(ISBLANK(Yards[[#This Row],[DSGN CALENDAR YEAR]]),ROUNDDOWN(Yards[[#This Row],[Count]]/24,0)+$AB$1,Yards[[#This Row],[DSGN CALENDAR YEAR]])</f>
        <v>2027</v>
      </c>
      <c r="AC271" s="16">
        <f ca="1">Yards[[#This Row],[est. DSGN Year]]+1</f>
        <v>2028</v>
      </c>
    </row>
    <row r="272" spans="1:29">
      <c r="A272" s="13" t="s">
        <v>67</v>
      </c>
      <c r="B272" s="51" t="str">
        <f>VLOOKUP(Yards[[#This Row],[DEVELOPMENT]],Data[],2,FALSE)</f>
        <v>MANHATTAN</v>
      </c>
      <c r="C272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72" s="51" t="str">
        <f>VLOOKUP(Yards[[#This Row],[DEVELOPMENT]],Data[],52,FALSE)</f>
        <v>FEDERAL</v>
      </c>
      <c r="E272" s="50" t="str">
        <f>VLOOKUP(Yards[[#This Row],[DEVELOPMENT]],Data[],8,FALSE)</f>
        <v>Zone 2</v>
      </c>
      <c r="F272" s="51" t="str">
        <f>VLOOKUP(Yards[[#This Row],[DEVELOPMENT]],all[[DEVELOPMENT]:[MRST Ext. Comp. Priority]],6,FALSE)</f>
        <v>None</v>
      </c>
      <c r="G272" s="51">
        <f>VLOOKUP(Yards[[#This Row],[DEVELOPMENT]],all[[DEVELOPMENT]:[MRST Ext. Comp. Priority]],13,FALSE)</f>
        <v>4</v>
      </c>
      <c r="H272" s="50">
        <f>IF(VLOOKUP(Yards[[#This Row],[DEVELOPMENT]],Data[],9,FALSE)=0,5,VLOOKUP(Yards[[#This Row],[DEVELOPMENT]],Data[],9,FALSE))</f>
        <v>4</v>
      </c>
      <c r="I272" s="51">
        <f>VLOOKUP(Yards[[#This Row],[DEVELOPMENT]],Data[],33,FALSE)</f>
        <v>0</v>
      </c>
      <c r="J272" s="51">
        <f>VLOOKUP(Yards[[#This Row],[DEVELOPMENT]],Data[],28,FALSE)</f>
        <v>0</v>
      </c>
      <c r="K272" s="51"/>
      <c r="L272" s="50"/>
      <c r="M272" s="51" t="str">
        <f ca="1">IFERROR(VLOOKUP(Yards[[#This Row],[DEVELOPMENT]],Data[],4,FALSE),"")</f>
        <v>2026+</v>
      </c>
      <c r="N272" s="51" t="str">
        <f ca="1">IF(Yards[[#This Row],[RAD/PACT]]="","",IF(OR(Yards[[#This Row],[RAD/PACT]]="2022-2025",Yards[[#This Row],[RAD/PACT]]=2019,Yards[[#This Row],[RAD/PACT]]="2020-2021"),"Yes",""))</f>
        <v/>
      </c>
      <c r="O272" s="51" t="str">
        <f ca="1">IFERROR(VLOOKUP(Yards[[#This Row],[DEVELOPMENT]],ExtComp[],8,FALSE),"")</f>
        <v/>
      </c>
      <c r="P272" s="51"/>
      <c r="Q272" s="51"/>
      <c r="R272" s="51" t="str">
        <f>IF(ISBLANK(Yards[[#This Row],[DSGN CALENDAR YEAR]]),"",Yards[[#This Row],[DSGN CALENDAR YEAR]]+1)</f>
        <v/>
      </c>
      <c r="S272" s="51" t="str">
        <f>IF(ISBLANK(Yards[[#This Row],[DSGN FISCAL YEAR]]),"",Yards[[#This Row],[DSGN FISCAL YEAR]]+1)</f>
        <v/>
      </c>
      <c r="T272" s="51"/>
      <c r="U272" s="128">
        <f ca="1">Yards[[#This Row],[Estimate]]*0.1</f>
        <v>231365.85651200006</v>
      </c>
      <c r="V272" s="47">
        <f ca="1">Yards[[#This Row],[Estimate]]-Yards[[#This Row],[Design Est.]]</f>
        <v>2082292.7086080003</v>
      </c>
      <c r="W272" s="85">
        <f ca="1">(Yards[[#This Row],['# yards]]*INDEX(UnitCosts[],MATCH(Yards[[#This Row],[WORK TYPE]],UnitCosts[Work Type],0),2))*(1+((Yards[[#This Row],[est. CONS Year]]-YEAR(TODAY()))*$W$3))</f>
        <v>2313658.5651200004</v>
      </c>
      <c r="X272" s="142">
        <f ca="1">IF(ISNUMBER(SEARCH("LLC",Yards[[#This Row],[PROGRAM]])),0,IF(Yards[[#This Row],[RAD/PACT by 2025]]="yes",0,1))</f>
        <v>1</v>
      </c>
      <c r="Y272" s="1"/>
      <c r="Z272" s="1"/>
      <c r="AA272" s="51">
        <f ca="1">COUNTIF($X$5:Yards[[#This Row],['# yards]],"&gt;0")-10</f>
        <v>156</v>
      </c>
      <c r="AB272" s="1">
        <f ca="1">IF(ISBLANK(Yards[[#This Row],[DSGN CALENDAR YEAR]]),ROUNDDOWN(Yards[[#This Row],[Count]]/24,0)+$AB$1,Yards[[#This Row],[DSGN CALENDAR YEAR]])</f>
        <v>2027</v>
      </c>
      <c r="AC272" s="16">
        <f ca="1">Yards[[#This Row],[est. DSGN Year]]+1</f>
        <v>2028</v>
      </c>
    </row>
    <row r="273" spans="1:29" hidden="1">
      <c r="A273" s="13" t="s">
        <v>373</v>
      </c>
      <c r="B273" s="51" t="str">
        <f>VLOOKUP(Yards[[#This Row],[DEVELOPMENT]],Data[],2,FALSE)</f>
        <v>BROOKLYN</v>
      </c>
      <c r="C273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273" s="51" t="str">
        <f>VLOOKUP(Yards[[#This Row],[DEVELOPMENT]],Data[],52,FALSE)</f>
        <v>FEDERAL</v>
      </c>
      <c r="E273" s="50">
        <f>VLOOKUP(Yards[[#This Row],[DEVELOPMENT]],Data[],8,FALSE)</f>
        <v>0</v>
      </c>
      <c r="F273" s="51" t="str">
        <f>VLOOKUP(Yards[[#This Row],[DEVELOPMENT]],all[[DEVELOPMENT]:[MRST Ext. Comp. Priority]],6,FALSE)</f>
        <v>None</v>
      </c>
      <c r="G273" s="51">
        <f>VLOOKUP(Yards[[#This Row],[DEVELOPMENT]],all[[DEVELOPMENT]:[MRST Ext. Comp. Priority]],13,FALSE)</f>
        <v>4</v>
      </c>
      <c r="H273" s="50">
        <f>IF(VLOOKUP(Yards[[#This Row],[DEVELOPMENT]],Data[],9,FALSE)=0,5,VLOOKUP(Yards[[#This Row],[DEVELOPMENT]],Data[],9,FALSE))</f>
        <v>5</v>
      </c>
      <c r="I273" s="51">
        <f>VLOOKUP(Yards[[#This Row],[DEVELOPMENT]],Data[],33,FALSE)</f>
        <v>3</v>
      </c>
      <c r="J273" s="51">
        <f>VLOOKUP(Yards[[#This Row],[DEVELOPMENT]],Data[],28,FALSE)</f>
        <v>0</v>
      </c>
      <c r="K273" s="51"/>
      <c r="L273" s="50"/>
      <c r="M273" s="51" t="str">
        <f ca="1">IFERROR(VLOOKUP(Yards[[#This Row],[DEVELOPMENT]],Data[],4,FALSE),"")</f>
        <v>2022-2025</v>
      </c>
      <c r="N273" s="51" t="str">
        <f ca="1">IF(Yards[[#This Row],[RAD/PACT]]="","",IF(OR(Yards[[#This Row],[RAD/PACT]]="2022-2025",Yards[[#This Row],[RAD/PACT]]=2019,Yards[[#This Row],[RAD/PACT]]="2020-2021"),"Yes",""))</f>
        <v>Yes</v>
      </c>
      <c r="O273" s="51">
        <f ca="1">IFERROR(VLOOKUP(Yards[[#This Row],[DEVELOPMENT]],ExtComp[],8,FALSE),"")</f>
        <v>1</v>
      </c>
      <c r="P273" s="51"/>
      <c r="Q273" s="51"/>
      <c r="R273" s="51" t="str">
        <f>IF(ISBLANK(Yards[[#This Row],[DSGN CALENDAR YEAR]]),"",Yards[[#This Row],[DSGN CALENDAR YEAR]]+1)</f>
        <v/>
      </c>
      <c r="S273" s="51" t="str">
        <f>IF(ISBLANK(Yards[[#This Row],[DSGN FISCAL YEAR]]),"",Yards[[#This Row],[DSGN FISCAL YEAR]]+1)</f>
        <v/>
      </c>
      <c r="T273" s="51"/>
      <c r="U273" s="128">
        <f ca="1">Yards[[#This Row],[Estimate]]*0.1</f>
        <v>0</v>
      </c>
      <c r="V273" s="47">
        <f ca="1">Yards[[#This Row],[Estimate]]-Yards[[#This Row],[Design Est.]]</f>
        <v>0</v>
      </c>
      <c r="W273" s="85">
        <f ca="1">(Yards[[#This Row],['# yards]]*INDEX(UnitCosts[],MATCH(Yards[[#This Row],[WORK TYPE]],UnitCosts[Work Type],0),2))*(1+((Yards[[#This Row],[est. CONS Year]]-YEAR(TODAY()))*$W$3))</f>
        <v>0</v>
      </c>
      <c r="X273" s="142">
        <f ca="1">IF(ISNUMBER(SEARCH("LLC",Yards[[#This Row],[PROGRAM]])),0,IF(Yards[[#This Row],[RAD/PACT by 2025]]="yes",0,1))</f>
        <v>0</v>
      </c>
      <c r="Y273" s="1"/>
      <c r="Z273" s="1"/>
      <c r="AA273" s="51">
        <f ca="1">COUNTIF($X$5:Yards[[#This Row],['# yards]],"&gt;0")-10</f>
        <v>156</v>
      </c>
      <c r="AB273" s="1">
        <f ca="1">IF(ISBLANK(Yards[[#This Row],[DSGN CALENDAR YEAR]]),ROUNDDOWN(Yards[[#This Row],[Count]]/24,0)+$AB$1,Yards[[#This Row],[DSGN CALENDAR YEAR]])</f>
        <v>2027</v>
      </c>
      <c r="AC273" s="16">
        <f ca="1">Yards[[#This Row],[est. DSGN Year]]+1</f>
        <v>2028</v>
      </c>
    </row>
    <row r="274" spans="1:29" hidden="1">
      <c r="A274" s="13" t="s">
        <v>292</v>
      </c>
      <c r="B274" s="51" t="str">
        <f>VLOOKUP(Yards[[#This Row],[DEVELOPMENT]],Data[],2,FALSE)</f>
        <v>BROOKLYN</v>
      </c>
      <c r="C274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74" s="51" t="str">
        <f>VLOOKUP(Yards[[#This Row],[DEVELOPMENT]],Data[],52,FALSE)</f>
        <v>FEDERAL</v>
      </c>
      <c r="E274" s="50">
        <f>VLOOKUP(Yards[[#This Row],[DEVELOPMENT]],Data[],8,FALSE)</f>
        <v>0</v>
      </c>
      <c r="F274" s="51" t="str">
        <f>VLOOKUP(Yards[[#This Row],[DEVELOPMENT]],all[[DEVELOPMENT]:[MRST Ext. Comp. Priority]],6,FALSE)</f>
        <v>None</v>
      </c>
      <c r="G274" s="51">
        <f>VLOOKUP(Yards[[#This Row],[DEVELOPMENT]],all[[DEVELOPMENT]:[MRST Ext. Comp. Priority]],13,FALSE)</f>
        <v>4</v>
      </c>
      <c r="H274" s="50">
        <f>IF(VLOOKUP(Yards[[#This Row],[DEVELOPMENT]],Data[],9,FALSE)=0,5,VLOOKUP(Yards[[#This Row],[DEVELOPMENT]],Data[],9,FALSE))</f>
        <v>5</v>
      </c>
      <c r="I274" s="51">
        <f>VLOOKUP(Yards[[#This Row],[DEVELOPMENT]],Data[],33,FALSE)</f>
        <v>0</v>
      </c>
      <c r="J274" s="51">
        <f>VLOOKUP(Yards[[#This Row],[DEVELOPMENT]],Data[],28,FALSE)</f>
        <v>0</v>
      </c>
      <c r="K274" s="51"/>
      <c r="L274" s="50"/>
      <c r="M274" s="51" t="str">
        <f ca="1">IFERROR(VLOOKUP(Yards[[#This Row],[DEVELOPMENT]],Data[],4,FALSE),"")</f>
        <v>2020-2021</v>
      </c>
      <c r="N274" s="51" t="str">
        <f ca="1">IF(Yards[[#This Row],[RAD/PACT]]="","",IF(OR(Yards[[#This Row],[RAD/PACT]]="2022-2025",Yards[[#This Row],[RAD/PACT]]=2019,Yards[[#This Row],[RAD/PACT]]="2020-2021"),"Yes",""))</f>
        <v>Yes</v>
      </c>
      <c r="O274" s="51" t="str">
        <f ca="1">IFERROR(VLOOKUP(Yards[[#This Row],[DEVELOPMENT]],ExtComp[],8,FALSE),"")</f>
        <v/>
      </c>
      <c r="P274" s="51"/>
      <c r="Q274" s="51"/>
      <c r="R274" s="51" t="str">
        <f>IF(ISBLANK(Yards[[#This Row],[DSGN CALENDAR YEAR]]),"",Yards[[#This Row],[DSGN CALENDAR YEAR]]+1)</f>
        <v/>
      </c>
      <c r="S274" s="51" t="str">
        <f>IF(ISBLANK(Yards[[#This Row],[DSGN FISCAL YEAR]]),"",Yards[[#This Row],[DSGN FISCAL YEAR]]+1)</f>
        <v/>
      </c>
      <c r="T274" s="51"/>
      <c r="U274" s="128">
        <f ca="1">Yards[[#This Row],[Estimate]]*0.1</f>
        <v>0</v>
      </c>
      <c r="V274" s="47">
        <f ca="1">Yards[[#This Row],[Estimate]]-Yards[[#This Row],[Design Est.]]</f>
        <v>0</v>
      </c>
      <c r="W274" s="85">
        <f ca="1">(Yards[[#This Row],['# yards]]*INDEX(UnitCosts[],MATCH(Yards[[#This Row],[WORK TYPE]],UnitCosts[Work Type],0),2))*(1+((Yards[[#This Row],[est. CONS Year]]-YEAR(TODAY()))*$W$3))</f>
        <v>0</v>
      </c>
      <c r="X274" s="142">
        <f ca="1">IF(ISNUMBER(SEARCH("LLC",Yards[[#This Row],[PROGRAM]])),0,IF(Yards[[#This Row],[RAD/PACT by 2025]]="yes",0,1))</f>
        <v>0</v>
      </c>
      <c r="Y274" s="1"/>
      <c r="Z274" s="1"/>
      <c r="AA274" s="51">
        <f ca="1">COUNTIF($X$5:Yards[[#This Row],['# yards]],"&gt;0")-10</f>
        <v>156</v>
      </c>
      <c r="AB274" s="1">
        <f ca="1">IF(ISBLANK(Yards[[#This Row],[DSGN CALENDAR YEAR]]),ROUNDDOWN(Yards[[#This Row],[Count]]/24,0)+$AB$1,Yards[[#This Row],[DSGN CALENDAR YEAR]])</f>
        <v>2027</v>
      </c>
      <c r="AC274" s="16">
        <f ca="1">Yards[[#This Row],[est. DSGN Year]]+1</f>
        <v>2028</v>
      </c>
    </row>
    <row r="275" spans="1:29">
      <c r="A275" s="13" t="s">
        <v>304</v>
      </c>
      <c r="B275" s="51" t="str">
        <f>VLOOKUP(Yards[[#This Row],[DEVELOPMENT]],Data[],2,FALSE)</f>
        <v>BRONX</v>
      </c>
      <c r="C27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75" s="51" t="str">
        <f>VLOOKUP(Yards[[#This Row],[DEVELOPMENT]],Data[],52,FALSE)</f>
        <v>FEDERAL</v>
      </c>
      <c r="E275" s="50">
        <f>VLOOKUP(Yards[[#This Row],[DEVELOPMENT]],Data[],8,FALSE)</f>
        <v>0</v>
      </c>
      <c r="F275" s="51" t="str">
        <f>VLOOKUP(Yards[[#This Row],[DEVELOPMENT]],all[[DEVELOPMENT]:[MRST Ext. Comp. Priority]],6,FALSE)</f>
        <v>None</v>
      </c>
      <c r="G275" s="51">
        <f>VLOOKUP(Yards[[#This Row],[DEVELOPMENT]],all[[DEVELOPMENT]:[MRST Ext. Comp. Priority]],13,FALSE)</f>
        <v>4</v>
      </c>
      <c r="H275" s="50">
        <f>IF(VLOOKUP(Yards[[#This Row],[DEVELOPMENT]],Data[],9,FALSE)=0,5,VLOOKUP(Yards[[#This Row],[DEVELOPMENT]],Data[],9,FALSE))</f>
        <v>5</v>
      </c>
      <c r="I275" s="51">
        <f>VLOOKUP(Yards[[#This Row],[DEVELOPMENT]],Data[],33,FALSE)</f>
        <v>2</v>
      </c>
      <c r="J275" s="51">
        <f>VLOOKUP(Yards[[#This Row],[DEVELOPMENT]],Data[],28,FALSE)</f>
        <v>0</v>
      </c>
      <c r="K275" s="51"/>
      <c r="L275" s="50"/>
      <c r="M275" s="51" t="str">
        <f ca="1">IFERROR(VLOOKUP(Yards[[#This Row],[DEVELOPMENT]],Data[],4,FALSE),"")</f>
        <v/>
      </c>
      <c r="N275" s="51" t="str">
        <f ca="1">IF(Yards[[#This Row],[RAD/PACT]]="","",IF(OR(Yards[[#This Row],[RAD/PACT]]="2022-2025",Yards[[#This Row],[RAD/PACT]]=2019,Yards[[#This Row],[RAD/PACT]]="2020-2021"),"Yes",""))</f>
        <v/>
      </c>
      <c r="O275" s="51">
        <f ca="1">IFERROR(VLOOKUP(Yards[[#This Row],[DEVELOPMENT]],ExtComp[],8,FALSE),"")</f>
        <v>19</v>
      </c>
      <c r="P275" s="51"/>
      <c r="Q275" s="51"/>
      <c r="R275" s="51" t="str">
        <f>IF(ISBLANK(Yards[[#This Row],[DSGN CALENDAR YEAR]]),"",Yards[[#This Row],[DSGN CALENDAR YEAR]]+1)</f>
        <v/>
      </c>
      <c r="S275" s="51" t="str">
        <f>IF(ISBLANK(Yards[[#This Row],[DSGN FISCAL YEAR]]),"",Yards[[#This Row],[DSGN FISCAL YEAR]]+1)</f>
        <v/>
      </c>
      <c r="T275" s="51"/>
      <c r="U275" s="128">
        <f ca="1">Yards[[#This Row],[Estimate]]*0.1</f>
        <v>258614.90131200009</v>
      </c>
      <c r="V275" s="47">
        <f ca="1">Yards[[#This Row],[Estimate]]-Yards[[#This Row],[Design Est.]]</f>
        <v>2327534.1118080006</v>
      </c>
      <c r="W275" s="85">
        <f ca="1">(Yards[[#This Row],['# yards]]*INDEX(UnitCosts[],MATCH(Yards[[#This Row],[WORK TYPE]],UnitCosts[Work Type],0),2))*(1+((Yards[[#This Row],[est. CONS Year]]-YEAR(TODAY()))*$W$3))</f>
        <v>2586149.0131200007</v>
      </c>
      <c r="X275" s="142">
        <f ca="1">IF(ISNUMBER(SEARCH("LLC",Yards[[#This Row],[PROGRAM]])),0,IF(Yards[[#This Row],[RAD/PACT by 2025]]="yes",0,1))</f>
        <v>1</v>
      </c>
      <c r="Y275" s="1"/>
      <c r="Z275" s="1"/>
      <c r="AA275" s="51">
        <f ca="1">COUNTIF($X$5:Yards[[#This Row],['# yards]],"&gt;0")-10</f>
        <v>157</v>
      </c>
      <c r="AB275" s="1">
        <f ca="1">IF(ISBLANK(Yards[[#This Row],[DSGN CALENDAR YEAR]]),ROUNDDOWN(Yards[[#This Row],[Count]]/24,0)+$AB$1,Yards[[#This Row],[DSGN CALENDAR YEAR]])</f>
        <v>2027</v>
      </c>
      <c r="AC275" s="16">
        <f ca="1">Yards[[#This Row],[est. DSGN Year]]+1</f>
        <v>2028</v>
      </c>
    </row>
    <row r="276" spans="1:29">
      <c r="A276" s="13" t="s">
        <v>324</v>
      </c>
      <c r="B276" s="51" t="str">
        <f>VLOOKUP(Yards[[#This Row],[DEVELOPMENT]],Data[],2,FALSE)</f>
        <v>BROOKLYN</v>
      </c>
      <c r="C27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76" s="51" t="str">
        <f>VLOOKUP(Yards[[#This Row],[DEVELOPMENT]],Data[],52,FALSE)</f>
        <v>FEDERAL</v>
      </c>
      <c r="E276" s="50">
        <f>VLOOKUP(Yards[[#This Row],[DEVELOPMENT]],Data[],8,FALSE)</f>
        <v>0</v>
      </c>
      <c r="F276" s="51" t="str">
        <f>VLOOKUP(Yards[[#This Row],[DEVELOPMENT]],all[[DEVELOPMENT]:[MRST Ext. Comp. Priority]],6,FALSE)</f>
        <v>None</v>
      </c>
      <c r="G276" s="51">
        <f>VLOOKUP(Yards[[#This Row],[DEVELOPMENT]],all[[DEVELOPMENT]:[MRST Ext. Comp. Priority]],13,FALSE)</f>
        <v>4</v>
      </c>
      <c r="H276" s="50">
        <f>IF(VLOOKUP(Yards[[#This Row],[DEVELOPMENT]],Data[],9,FALSE)=0,5,VLOOKUP(Yards[[#This Row],[DEVELOPMENT]],Data[],9,FALSE))</f>
        <v>5</v>
      </c>
      <c r="I276" s="51">
        <f>VLOOKUP(Yards[[#This Row],[DEVELOPMENT]],Data[],33,FALSE)</f>
        <v>0</v>
      </c>
      <c r="J276" s="51">
        <f>VLOOKUP(Yards[[#This Row],[DEVELOPMENT]],Data[],28,FALSE)</f>
        <v>0</v>
      </c>
      <c r="K276" s="51"/>
      <c r="L276" s="50"/>
      <c r="M276" s="51" t="str">
        <f ca="1">IFERROR(VLOOKUP(Yards[[#This Row],[DEVELOPMENT]],Data[],4,FALSE),"")</f>
        <v/>
      </c>
      <c r="N276" s="51" t="str">
        <f ca="1">IF(Yards[[#This Row],[RAD/PACT]]="","",IF(OR(Yards[[#This Row],[RAD/PACT]]="2022-2025",Yards[[#This Row],[RAD/PACT]]=2019,Yards[[#This Row],[RAD/PACT]]="2020-2021"),"Yes",""))</f>
        <v/>
      </c>
      <c r="O276" s="51" t="str">
        <f ca="1">IFERROR(VLOOKUP(Yards[[#This Row],[DEVELOPMENT]],ExtComp[],8,FALSE),"")</f>
        <v/>
      </c>
      <c r="P276" s="51"/>
      <c r="Q276" s="51"/>
      <c r="R276" s="51" t="str">
        <f>IF(ISBLANK(Yards[[#This Row],[DSGN CALENDAR YEAR]]),"",Yards[[#This Row],[DSGN CALENDAR YEAR]]+1)</f>
        <v/>
      </c>
      <c r="S276" s="51" t="str">
        <f>IF(ISBLANK(Yards[[#This Row],[DSGN FISCAL YEAR]]),"",Yards[[#This Row],[DSGN FISCAL YEAR]]+1)</f>
        <v/>
      </c>
      <c r="T276" s="51"/>
      <c r="U276" s="128">
        <f ca="1">Yards[[#This Row],[Estimate]]*0.1</f>
        <v>231365.85651200006</v>
      </c>
      <c r="V276" s="47">
        <f ca="1">Yards[[#This Row],[Estimate]]-Yards[[#This Row],[Design Est.]]</f>
        <v>2082292.7086080003</v>
      </c>
      <c r="W276" s="85">
        <f ca="1">(Yards[[#This Row],['# yards]]*INDEX(UnitCosts[],MATCH(Yards[[#This Row],[WORK TYPE]],UnitCosts[Work Type],0),2))*(1+((Yards[[#This Row],[est. CONS Year]]-YEAR(TODAY()))*$W$3))</f>
        <v>2313658.5651200004</v>
      </c>
      <c r="X276" s="142">
        <f ca="1">IF(ISNUMBER(SEARCH("LLC",Yards[[#This Row],[PROGRAM]])),0,IF(Yards[[#This Row],[RAD/PACT by 2025]]="yes",0,1))</f>
        <v>1</v>
      </c>
      <c r="Y276" s="1"/>
      <c r="Z276" s="1"/>
      <c r="AA276" s="51">
        <f ca="1">COUNTIF($X$5:Yards[[#This Row],['# yards]],"&gt;0")-10</f>
        <v>158</v>
      </c>
      <c r="AB276" s="1">
        <f ca="1">IF(ISBLANK(Yards[[#This Row],[DSGN CALENDAR YEAR]]),ROUNDDOWN(Yards[[#This Row],[Count]]/24,0)+$AB$1,Yards[[#This Row],[DSGN CALENDAR YEAR]])</f>
        <v>2027</v>
      </c>
      <c r="AC276" s="16">
        <f ca="1">Yards[[#This Row],[est. DSGN Year]]+1</f>
        <v>2028</v>
      </c>
    </row>
    <row r="277" spans="1:29">
      <c r="A277" s="13" t="s">
        <v>330</v>
      </c>
      <c r="B277" s="51" t="str">
        <f>VLOOKUP(Yards[[#This Row],[DEVELOPMENT]],Data[],2,FALSE)</f>
        <v>BRONX</v>
      </c>
      <c r="C27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77" s="51" t="str">
        <f>VLOOKUP(Yards[[#This Row],[DEVELOPMENT]],Data[],52,FALSE)</f>
        <v>FEDERAL</v>
      </c>
      <c r="E277" s="50">
        <f>VLOOKUP(Yards[[#This Row],[DEVELOPMENT]],Data[],8,FALSE)</f>
        <v>0</v>
      </c>
      <c r="F277" s="51" t="str">
        <f>VLOOKUP(Yards[[#This Row],[DEVELOPMENT]],all[[DEVELOPMENT]:[MRST Ext. Comp. Priority]],6,FALSE)</f>
        <v>None</v>
      </c>
      <c r="G277" s="51">
        <f>VLOOKUP(Yards[[#This Row],[DEVELOPMENT]],all[[DEVELOPMENT]:[MRST Ext. Comp. Priority]],13,FALSE)</f>
        <v>4</v>
      </c>
      <c r="H277" s="50">
        <f>IF(VLOOKUP(Yards[[#This Row],[DEVELOPMENT]],Data[],9,FALSE)=0,5,VLOOKUP(Yards[[#This Row],[DEVELOPMENT]],Data[],9,FALSE))</f>
        <v>5</v>
      </c>
      <c r="I277" s="51">
        <f>VLOOKUP(Yards[[#This Row],[DEVELOPMENT]],Data[],33,FALSE)</f>
        <v>0</v>
      </c>
      <c r="J277" s="51">
        <f>VLOOKUP(Yards[[#This Row],[DEVELOPMENT]],Data[],28,FALSE)</f>
        <v>0</v>
      </c>
      <c r="K277" s="51"/>
      <c r="L277" s="50"/>
      <c r="M277" s="51" t="str">
        <f ca="1">IFERROR(VLOOKUP(Yards[[#This Row],[DEVELOPMENT]],Data[],4,FALSE),"")</f>
        <v/>
      </c>
      <c r="N277" s="51" t="str">
        <f ca="1">IF(Yards[[#This Row],[RAD/PACT]]="","",IF(OR(Yards[[#This Row],[RAD/PACT]]="2022-2025",Yards[[#This Row],[RAD/PACT]]=2019,Yards[[#This Row],[RAD/PACT]]="2020-2021"),"Yes",""))</f>
        <v/>
      </c>
      <c r="O277" s="51" t="str">
        <f ca="1">IFERROR(VLOOKUP(Yards[[#This Row],[DEVELOPMENT]],ExtComp[],8,FALSE),"")</f>
        <v/>
      </c>
      <c r="P277" s="51"/>
      <c r="Q277" s="51"/>
      <c r="R277" s="51" t="str">
        <f>IF(ISBLANK(Yards[[#This Row],[DSGN CALENDAR YEAR]]),"",Yards[[#This Row],[DSGN CALENDAR YEAR]]+1)</f>
        <v/>
      </c>
      <c r="S277" s="51" t="str">
        <f>IF(ISBLANK(Yards[[#This Row],[DSGN FISCAL YEAR]]),"",Yards[[#This Row],[DSGN FISCAL YEAR]]+1)</f>
        <v/>
      </c>
      <c r="T277" s="51"/>
      <c r="U277" s="128">
        <f ca="1">Yards[[#This Row],[Estimate]]*0.1</f>
        <v>231365.85651200006</v>
      </c>
      <c r="V277" s="47">
        <f ca="1">Yards[[#This Row],[Estimate]]-Yards[[#This Row],[Design Est.]]</f>
        <v>2082292.7086080003</v>
      </c>
      <c r="W277" s="85">
        <f ca="1">(Yards[[#This Row],['# yards]]*INDEX(UnitCosts[],MATCH(Yards[[#This Row],[WORK TYPE]],UnitCosts[Work Type],0),2))*(1+((Yards[[#This Row],[est. CONS Year]]-YEAR(TODAY()))*$W$3))</f>
        <v>2313658.5651200004</v>
      </c>
      <c r="X277" s="142">
        <f ca="1">IF(ISNUMBER(SEARCH("LLC",Yards[[#This Row],[PROGRAM]])),0,IF(Yards[[#This Row],[RAD/PACT by 2025]]="yes",0,1))</f>
        <v>1</v>
      </c>
      <c r="Y277" s="1"/>
      <c r="Z277" s="1"/>
      <c r="AA277" s="51">
        <f ca="1">COUNTIF($X$5:Yards[[#This Row],['# yards]],"&gt;0")-10</f>
        <v>159</v>
      </c>
      <c r="AB277" s="1">
        <f ca="1">IF(ISBLANK(Yards[[#This Row],[DSGN CALENDAR YEAR]]),ROUNDDOWN(Yards[[#This Row],[Count]]/24,0)+$AB$1,Yards[[#This Row],[DSGN CALENDAR YEAR]])</f>
        <v>2027</v>
      </c>
      <c r="AC277" s="16">
        <f ca="1">Yards[[#This Row],[est. DSGN Year]]+1</f>
        <v>2028</v>
      </c>
    </row>
    <row r="278" spans="1:29">
      <c r="A278" s="13" t="s">
        <v>338</v>
      </c>
      <c r="B278" s="51" t="str">
        <f>VLOOKUP(Yards[[#This Row],[DEVELOPMENT]],Data[],2,FALSE)</f>
        <v>QUEENS</v>
      </c>
      <c r="C278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78" s="51" t="str">
        <f>VLOOKUP(Yards[[#This Row],[DEVELOPMENT]],Data[],52,FALSE)</f>
        <v>FEDERAL</v>
      </c>
      <c r="E278" s="50">
        <f>VLOOKUP(Yards[[#This Row],[DEVELOPMENT]],Data[],8,FALSE)</f>
        <v>0</v>
      </c>
      <c r="F278" s="51" t="str">
        <f>VLOOKUP(Yards[[#This Row],[DEVELOPMENT]],all[[DEVELOPMENT]:[MRST Ext. Comp. Priority]],6,FALSE)</f>
        <v>None</v>
      </c>
      <c r="G278" s="51">
        <f>VLOOKUP(Yards[[#This Row],[DEVELOPMENT]],all[[DEVELOPMENT]:[MRST Ext. Comp. Priority]],13,FALSE)</f>
        <v>4</v>
      </c>
      <c r="H278" s="50">
        <f>IF(VLOOKUP(Yards[[#This Row],[DEVELOPMENT]],Data[],9,FALSE)=0,5,VLOOKUP(Yards[[#This Row],[DEVELOPMENT]],Data[],9,FALSE))</f>
        <v>5</v>
      </c>
      <c r="I278" s="51">
        <f>VLOOKUP(Yards[[#This Row],[DEVELOPMENT]],Data[],33,FALSE)</f>
        <v>1</v>
      </c>
      <c r="J278" s="51">
        <f>VLOOKUP(Yards[[#This Row],[DEVELOPMENT]],Data[],28,FALSE)</f>
        <v>0</v>
      </c>
      <c r="K278" s="51"/>
      <c r="L278" s="50"/>
      <c r="M278" s="51" t="str">
        <f ca="1">IFERROR(VLOOKUP(Yards[[#This Row],[DEVELOPMENT]],Data[],4,FALSE),"")</f>
        <v/>
      </c>
      <c r="N278" s="51" t="str">
        <f ca="1">IF(Yards[[#This Row],[RAD/PACT]]="","",IF(OR(Yards[[#This Row],[RAD/PACT]]="2022-2025",Yards[[#This Row],[RAD/PACT]]=2019,Yards[[#This Row],[RAD/PACT]]="2020-2021"),"Yes",""))</f>
        <v/>
      </c>
      <c r="O278" s="51">
        <f ca="1">IFERROR(VLOOKUP(Yards[[#This Row],[DEVELOPMENT]],ExtComp[],8,FALSE),"")</f>
        <v>13</v>
      </c>
      <c r="P278" s="51"/>
      <c r="Q278" s="51"/>
      <c r="R278" s="51" t="str">
        <f>IF(ISBLANK(Yards[[#This Row],[DSGN CALENDAR YEAR]]),"",Yards[[#This Row],[DSGN CALENDAR YEAR]]+1)</f>
        <v/>
      </c>
      <c r="S278" s="51" t="str">
        <f>IF(ISBLANK(Yards[[#This Row],[DSGN FISCAL YEAR]]),"",Yards[[#This Row],[DSGN FISCAL YEAR]]+1)</f>
        <v/>
      </c>
      <c r="T278" s="51"/>
      <c r="U278" s="128">
        <f ca="1">Yards[[#This Row],[Estimate]]*0.1</f>
        <v>231365.85651200006</v>
      </c>
      <c r="V278" s="47">
        <f ca="1">Yards[[#This Row],[Estimate]]-Yards[[#This Row],[Design Est.]]</f>
        <v>2082292.7086080003</v>
      </c>
      <c r="W278" s="85">
        <f ca="1">(Yards[[#This Row],['# yards]]*INDEX(UnitCosts[],MATCH(Yards[[#This Row],[WORK TYPE]],UnitCosts[Work Type],0),2))*(1+((Yards[[#This Row],[est. CONS Year]]-YEAR(TODAY()))*$W$3))</f>
        <v>2313658.5651200004</v>
      </c>
      <c r="X278" s="142">
        <f ca="1">IF(ISNUMBER(SEARCH("LLC",Yards[[#This Row],[PROGRAM]])),0,IF(Yards[[#This Row],[RAD/PACT by 2025]]="yes",0,1))</f>
        <v>1</v>
      </c>
      <c r="Y278" s="1"/>
      <c r="Z278" s="1"/>
      <c r="AA278" s="51">
        <f ca="1">COUNTIF($X$5:Yards[[#This Row],['# yards]],"&gt;0")-10</f>
        <v>160</v>
      </c>
      <c r="AB278" s="1">
        <f ca="1">IF(ISBLANK(Yards[[#This Row],[DSGN CALENDAR YEAR]]),ROUNDDOWN(Yards[[#This Row],[Count]]/24,0)+$AB$1,Yards[[#This Row],[DSGN CALENDAR YEAR]])</f>
        <v>2027</v>
      </c>
      <c r="AC278" s="16">
        <f ca="1">Yards[[#This Row],[est. DSGN Year]]+1</f>
        <v>2028</v>
      </c>
    </row>
    <row r="279" spans="1:29">
      <c r="A279" s="13" t="s">
        <v>344</v>
      </c>
      <c r="B279" s="51" t="str">
        <f>VLOOKUP(Yards[[#This Row],[DEVELOPMENT]],Data[],2,FALSE)</f>
        <v>STATEN ISLAND</v>
      </c>
      <c r="C279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279" s="51" t="str">
        <f>VLOOKUP(Yards[[#This Row],[DEVELOPMENT]],Data[],52,FALSE)</f>
        <v>FEDERAL</v>
      </c>
      <c r="E279" s="50">
        <f>VLOOKUP(Yards[[#This Row],[DEVELOPMENT]],Data[],8,FALSE)</f>
        <v>0</v>
      </c>
      <c r="F279" s="51" t="str">
        <f>VLOOKUP(Yards[[#This Row],[DEVELOPMENT]],all[[DEVELOPMENT]:[MRST Ext. Comp. Priority]],6,FALSE)</f>
        <v>None</v>
      </c>
      <c r="G279" s="51">
        <f>VLOOKUP(Yards[[#This Row],[DEVELOPMENT]],all[[DEVELOPMENT]:[MRST Ext. Comp. Priority]],13,FALSE)</f>
        <v>4</v>
      </c>
      <c r="H279" s="50">
        <f>IF(VLOOKUP(Yards[[#This Row],[DEVELOPMENT]],Data[],9,FALSE)=0,5,VLOOKUP(Yards[[#This Row],[DEVELOPMENT]],Data[],9,FALSE))</f>
        <v>5</v>
      </c>
      <c r="I279" s="51">
        <f>VLOOKUP(Yards[[#This Row],[DEVELOPMENT]],Data[],33,FALSE)</f>
        <v>2</v>
      </c>
      <c r="J279" s="51">
        <f>VLOOKUP(Yards[[#This Row],[DEVELOPMENT]],Data[],28,FALSE)</f>
        <v>0</v>
      </c>
      <c r="K279" s="51"/>
      <c r="L279" s="50"/>
      <c r="M279" s="51" t="str">
        <f ca="1">IFERROR(VLOOKUP(Yards[[#This Row],[DEVELOPMENT]],Data[],4,FALSE),"")</f>
        <v>2026+</v>
      </c>
      <c r="N279" s="51" t="str">
        <f ca="1">IF(Yards[[#This Row],[RAD/PACT]]="","",IF(OR(Yards[[#This Row],[RAD/PACT]]="2022-2025",Yards[[#This Row],[RAD/PACT]]=2019,Yards[[#This Row],[RAD/PACT]]="2020-2021"),"Yes",""))</f>
        <v/>
      </c>
      <c r="O279" s="51">
        <f ca="1">IFERROR(VLOOKUP(Yards[[#This Row],[DEVELOPMENT]],ExtComp[],8,FALSE),"")</f>
        <v>5</v>
      </c>
      <c r="P279" s="51"/>
      <c r="Q279" s="51"/>
      <c r="R279" s="51" t="str">
        <f>IF(ISBLANK(Yards[[#This Row],[DSGN CALENDAR YEAR]]),"",Yards[[#This Row],[DSGN CALENDAR YEAR]]+1)</f>
        <v/>
      </c>
      <c r="S279" s="51" t="str">
        <f>IF(ISBLANK(Yards[[#This Row],[DSGN FISCAL YEAR]]),"",Yards[[#This Row],[DSGN FISCAL YEAR]]+1)</f>
        <v/>
      </c>
      <c r="T279" s="51"/>
      <c r="U279" s="128">
        <f ca="1">Yards[[#This Row],[Estimate]]*0.1</f>
        <v>174369.77301760006</v>
      </c>
      <c r="V279" s="47">
        <f ca="1">Yards[[#This Row],[Estimate]]-Yards[[#This Row],[Design Est.]]</f>
        <v>1569327.9571584002</v>
      </c>
      <c r="W279" s="85">
        <f ca="1">(Yards[[#This Row],['# yards]]*INDEX(UnitCosts[],MATCH(Yards[[#This Row],[WORK TYPE]],UnitCosts[Work Type],0),2))*(1+((Yards[[#This Row],[est. CONS Year]]-YEAR(TODAY()))*$W$3))</f>
        <v>1743697.7301760004</v>
      </c>
      <c r="X279" s="142">
        <f ca="1">IF(ISNUMBER(SEARCH("LLC",Yards[[#This Row],[PROGRAM]])),0,IF(Yards[[#This Row],[RAD/PACT by 2025]]="yes",0,1))</f>
        <v>1</v>
      </c>
      <c r="Y279" s="1"/>
      <c r="Z279" s="1"/>
      <c r="AA279" s="51">
        <f ca="1">COUNTIF($X$5:Yards[[#This Row],['# yards]],"&gt;0")-10</f>
        <v>161</v>
      </c>
      <c r="AB279" s="1">
        <f ca="1">IF(ISBLANK(Yards[[#This Row],[DSGN CALENDAR YEAR]]),ROUNDDOWN(Yards[[#This Row],[Count]]/24,0)+$AB$1,Yards[[#This Row],[DSGN CALENDAR YEAR]])</f>
        <v>2027</v>
      </c>
      <c r="AC279" s="16">
        <f ca="1">Yards[[#This Row],[est. DSGN Year]]+1</f>
        <v>2028</v>
      </c>
    </row>
    <row r="280" spans="1:29" hidden="1">
      <c r="A280" s="13" t="s">
        <v>335</v>
      </c>
      <c r="B280" s="51" t="str">
        <f>VLOOKUP(Yards[[#This Row],[DEVELOPMENT]],Data[],2,FALSE)</f>
        <v>BROOKLYN</v>
      </c>
      <c r="C280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80" s="51" t="str">
        <f>VLOOKUP(Yards[[#This Row],[DEVELOPMENT]],Data[],52,FALSE)</f>
        <v>MIXED FINANCE/LLC2</v>
      </c>
      <c r="E280" s="50">
        <f>VLOOKUP(Yards[[#This Row],[DEVELOPMENT]],Data[],8,FALSE)</f>
        <v>0</v>
      </c>
      <c r="F280" s="51" t="str">
        <f>VLOOKUP(Yards[[#This Row],[DEVELOPMENT]],all[[DEVELOPMENT]:[MRST Ext. Comp. Priority]],6,FALSE)</f>
        <v>None</v>
      </c>
      <c r="G280" s="51">
        <f>VLOOKUP(Yards[[#This Row],[DEVELOPMENT]],all[[DEVELOPMENT]:[MRST Ext. Comp. Priority]],13,FALSE)</f>
        <v>4</v>
      </c>
      <c r="H280" s="50">
        <f>IF(VLOOKUP(Yards[[#This Row],[DEVELOPMENT]],Data[],9,FALSE)=0,5,VLOOKUP(Yards[[#This Row],[DEVELOPMENT]],Data[],9,FALSE))</f>
        <v>5</v>
      </c>
      <c r="I280" s="51">
        <f>VLOOKUP(Yards[[#This Row],[DEVELOPMENT]],Data[],33,FALSE)</f>
        <v>0</v>
      </c>
      <c r="J280" s="51">
        <f>VLOOKUP(Yards[[#This Row],[DEVELOPMENT]],Data[],28,FALSE)</f>
        <v>0</v>
      </c>
      <c r="K280" s="51"/>
      <c r="L280" s="50"/>
      <c r="M280" s="51">
        <f ca="1">IFERROR(VLOOKUP(Yards[[#This Row],[DEVELOPMENT]],Data[],4,FALSE),"")</f>
        <v>2019</v>
      </c>
      <c r="N280" s="51" t="str">
        <f ca="1">IF(Yards[[#This Row],[RAD/PACT]]="","",IF(OR(Yards[[#This Row],[RAD/PACT]]="2022-2025",Yards[[#This Row],[RAD/PACT]]=2019,Yards[[#This Row],[RAD/PACT]]="2020-2021"),"Yes",""))</f>
        <v>Yes</v>
      </c>
      <c r="O280" s="51" t="str">
        <f ca="1">IFERROR(VLOOKUP(Yards[[#This Row],[DEVELOPMENT]],ExtComp[],8,FALSE),"")</f>
        <v/>
      </c>
      <c r="P280" s="51"/>
      <c r="Q280" s="51"/>
      <c r="R280" s="51" t="str">
        <f>IF(ISBLANK(Yards[[#This Row],[DSGN CALENDAR YEAR]]),"",Yards[[#This Row],[DSGN CALENDAR YEAR]]+1)</f>
        <v/>
      </c>
      <c r="S280" s="51" t="str">
        <f>IF(ISBLANK(Yards[[#This Row],[DSGN FISCAL YEAR]]),"",Yards[[#This Row],[DSGN FISCAL YEAR]]+1)</f>
        <v/>
      </c>
      <c r="T280" s="51"/>
      <c r="U280" s="128">
        <f ca="1">Yards[[#This Row],[Estimate]]*0.1</f>
        <v>0</v>
      </c>
      <c r="V280" s="47">
        <f ca="1">Yards[[#This Row],[Estimate]]-Yards[[#This Row],[Design Est.]]</f>
        <v>0</v>
      </c>
      <c r="W280" s="85">
        <f ca="1">(Yards[[#This Row],['# yards]]*INDEX(UnitCosts[],MATCH(Yards[[#This Row],[WORK TYPE]],UnitCosts[Work Type],0),2))*(1+((Yards[[#This Row],[est. CONS Year]]-YEAR(TODAY()))*$W$3))</f>
        <v>0</v>
      </c>
      <c r="X280" s="142">
        <f>IF(ISNUMBER(SEARCH("LLC",Yards[[#This Row],[PROGRAM]])),0,IF(Yards[[#This Row],[RAD/PACT by 2025]]="yes",0,1))</f>
        <v>0</v>
      </c>
      <c r="Y280" s="1"/>
      <c r="Z280" s="1"/>
      <c r="AA280" s="51">
        <f ca="1">COUNTIF($X$5:Yards[[#This Row],['# yards]],"&gt;0")-10</f>
        <v>161</v>
      </c>
      <c r="AB280" s="1">
        <f ca="1">IF(ISBLANK(Yards[[#This Row],[DSGN CALENDAR YEAR]]),ROUNDDOWN(Yards[[#This Row],[Count]]/24,0)+$AB$1,Yards[[#This Row],[DSGN CALENDAR YEAR]])</f>
        <v>2027</v>
      </c>
      <c r="AC280" s="16">
        <f ca="1">Yards[[#This Row],[est. DSGN Year]]+1</f>
        <v>2028</v>
      </c>
    </row>
    <row r="281" spans="1:29">
      <c r="A281" s="13" t="s">
        <v>351</v>
      </c>
      <c r="B281" s="51" t="str">
        <f>VLOOKUP(Yards[[#This Row],[DEVELOPMENT]],Data[],2,FALSE)</f>
        <v>BROOKLYN</v>
      </c>
      <c r="C281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81" s="51" t="str">
        <f>VLOOKUP(Yards[[#This Row],[DEVELOPMENT]],Data[],52,FALSE)</f>
        <v>FEDERAL</v>
      </c>
      <c r="E281" s="50">
        <f>VLOOKUP(Yards[[#This Row],[DEVELOPMENT]],Data[],8,FALSE)</f>
        <v>0</v>
      </c>
      <c r="F281" s="51" t="str">
        <f>VLOOKUP(Yards[[#This Row],[DEVELOPMENT]],all[[DEVELOPMENT]:[MRST Ext. Comp. Priority]],6,FALSE)</f>
        <v>None</v>
      </c>
      <c r="G281" s="51">
        <f>VLOOKUP(Yards[[#This Row],[DEVELOPMENT]],all[[DEVELOPMENT]:[MRST Ext. Comp. Priority]],13,FALSE)</f>
        <v>4</v>
      </c>
      <c r="H281" s="50">
        <f>IF(VLOOKUP(Yards[[#This Row],[DEVELOPMENT]],Data[],9,FALSE)=0,5,VLOOKUP(Yards[[#This Row],[DEVELOPMENT]],Data[],9,FALSE))</f>
        <v>5</v>
      </c>
      <c r="I281" s="51">
        <f>VLOOKUP(Yards[[#This Row],[DEVELOPMENT]],Data[],33,FALSE)</f>
        <v>0</v>
      </c>
      <c r="J281" s="51">
        <f>VLOOKUP(Yards[[#This Row],[DEVELOPMENT]],Data[],28,FALSE)</f>
        <v>0</v>
      </c>
      <c r="K281" s="51"/>
      <c r="L281" s="50"/>
      <c r="M281" s="51" t="str">
        <f ca="1">IFERROR(VLOOKUP(Yards[[#This Row],[DEVELOPMENT]],Data[],4,FALSE),"")</f>
        <v>2026+</v>
      </c>
      <c r="N281" s="51" t="str">
        <f ca="1">IF(Yards[[#This Row],[RAD/PACT]]="","",IF(OR(Yards[[#This Row],[RAD/PACT]]="2022-2025",Yards[[#This Row],[RAD/PACT]]=2019,Yards[[#This Row],[RAD/PACT]]="2020-2021"),"Yes",""))</f>
        <v/>
      </c>
      <c r="O281" s="51" t="str">
        <f ca="1">IFERROR(VLOOKUP(Yards[[#This Row],[DEVELOPMENT]],ExtComp[],8,FALSE),"")</f>
        <v/>
      </c>
      <c r="P281" s="51"/>
      <c r="Q281" s="51"/>
      <c r="R281" s="51" t="str">
        <f>IF(ISBLANK(Yards[[#This Row],[DSGN CALENDAR YEAR]]),"",Yards[[#This Row],[DSGN CALENDAR YEAR]]+1)</f>
        <v/>
      </c>
      <c r="S281" s="51" t="str">
        <f>IF(ISBLANK(Yards[[#This Row],[DSGN FISCAL YEAR]]),"",Yards[[#This Row],[DSGN FISCAL YEAR]]+1)</f>
        <v/>
      </c>
      <c r="T281" s="51"/>
      <c r="U281" s="128">
        <f ca="1">Yards[[#This Row],[Estimate]]*0.1</f>
        <v>231365.85651200006</v>
      </c>
      <c r="V281" s="47">
        <f ca="1">Yards[[#This Row],[Estimate]]-Yards[[#This Row],[Design Est.]]</f>
        <v>2082292.7086080003</v>
      </c>
      <c r="W281" s="85">
        <f ca="1">(Yards[[#This Row],['# yards]]*INDEX(UnitCosts[],MATCH(Yards[[#This Row],[WORK TYPE]],UnitCosts[Work Type],0),2))*(1+((Yards[[#This Row],[est. CONS Year]]-YEAR(TODAY()))*$W$3))</f>
        <v>2313658.5651200004</v>
      </c>
      <c r="X281" s="142">
        <f ca="1">IF(ISNUMBER(SEARCH("LLC",Yards[[#This Row],[PROGRAM]])),0,IF(Yards[[#This Row],[RAD/PACT by 2025]]="yes",0,1))</f>
        <v>1</v>
      </c>
      <c r="Y281" s="1"/>
      <c r="Z281" s="1"/>
      <c r="AA281" s="51">
        <f ca="1">COUNTIF($X$5:Yards[[#This Row],['# yards]],"&gt;0")-10</f>
        <v>162</v>
      </c>
      <c r="AB281" s="1">
        <f ca="1">IF(ISBLANK(Yards[[#This Row],[DSGN CALENDAR YEAR]]),ROUNDDOWN(Yards[[#This Row],[Count]]/24,0)+$AB$1,Yards[[#This Row],[DSGN CALENDAR YEAR]])</f>
        <v>2027</v>
      </c>
      <c r="AC281" s="16">
        <f ca="1">Yards[[#This Row],[est. DSGN Year]]+1</f>
        <v>2028</v>
      </c>
    </row>
    <row r="282" spans="1:29">
      <c r="A282" s="13" t="s">
        <v>361</v>
      </c>
      <c r="B282" s="51" t="str">
        <f>VLOOKUP(Yards[[#This Row],[DEVELOPMENT]],Data[],2,FALSE)</f>
        <v>BRONX</v>
      </c>
      <c r="C28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82" s="51" t="str">
        <f>VLOOKUP(Yards[[#This Row],[DEVELOPMENT]],Data[],52,FALSE)</f>
        <v>FEDERAL</v>
      </c>
      <c r="E282" s="50">
        <f>VLOOKUP(Yards[[#This Row],[DEVELOPMENT]],Data[],8,FALSE)</f>
        <v>0</v>
      </c>
      <c r="F282" s="51" t="str">
        <f>VLOOKUP(Yards[[#This Row],[DEVELOPMENT]],all[[DEVELOPMENT]:[MRST Ext. Comp. Priority]],6,FALSE)</f>
        <v>None</v>
      </c>
      <c r="G282" s="51">
        <f>VLOOKUP(Yards[[#This Row],[DEVELOPMENT]],all[[DEVELOPMENT]:[MRST Ext. Comp. Priority]],13,FALSE)</f>
        <v>4</v>
      </c>
      <c r="H282" s="50">
        <f>IF(VLOOKUP(Yards[[#This Row],[DEVELOPMENT]],Data[],9,FALSE)=0,5,VLOOKUP(Yards[[#This Row],[DEVELOPMENT]],Data[],9,FALSE))</f>
        <v>5</v>
      </c>
      <c r="I282" s="51">
        <f>VLOOKUP(Yards[[#This Row],[DEVELOPMENT]],Data[],33,FALSE)</f>
        <v>2</v>
      </c>
      <c r="J282" s="51">
        <f>VLOOKUP(Yards[[#This Row],[DEVELOPMENT]],Data[],28,FALSE)</f>
        <v>0</v>
      </c>
      <c r="K282" s="51"/>
      <c r="L282" s="50"/>
      <c r="M282" s="51" t="str">
        <f ca="1">IFERROR(VLOOKUP(Yards[[#This Row],[DEVELOPMENT]],Data[],4,FALSE),"")</f>
        <v/>
      </c>
      <c r="N282" s="51" t="str">
        <f ca="1">IF(Yards[[#This Row],[RAD/PACT]]="","",IF(OR(Yards[[#This Row],[RAD/PACT]]="2022-2025",Yards[[#This Row],[RAD/PACT]]=2019,Yards[[#This Row],[RAD/PACT]]="2020-2021"),"Yes",""))</f>
        <v/>
      </c>
      <c r="O282" s="51">
        <f ca="1">IFERROR(VLOOKUP(Yards[[#This Row],[DEVELOPMENT]],ExtComp[],8,FALSE),"")</f>
        <v>19</v>
      </c>
      <c r="P282" s="51"/>
      <c r="Q282" s="51"/>
      <c r="R282" s="51" t="str">
        <f>IF(ISBLANK(Yards[[#This Row],[DSGN CALENDAR YEAR]]),"",Yards[[#This Row],[DSGN CALENDAR YEAR]]+1)</f>
        <v/>
      </c>
      <c r="S282" s="51" t="str">
        <f>IF(ISBLANK(Yards[[#This Row],[DSGN FISCAL YEAR]]),"",Yards[[#This Row],[DSGN FISCAL YEAR]]+1)</f>
        <v/>
      </c>
      <c r="T282" s="51"/>
      <c r="U282" s="128">
        <f ca="1">Yards[[#This Row],[Estimate]]*0.1</f>
        <v>258614.90131200009</v>
      </c>
      <c r="V282" s="47">
        <f ca="1">Yards[[#This Row],[Estimate]]-Yards[[#This Row],[Design Est.]]</f>
        <v>2327534.1118080006</v>
      </c>
      <c r="W282" s="85">
        <f ca="1">(Yards[[#This Row],['# yards]]*INDEX(UnitCosts[],MATCH(Yards[[#This Row],[WORK TYPE]],UnitCosts[Work Type],0),2))*(1+((Yards[[#This Row],[est. CONS Year]]-YEAR(TODAY()))*$W$3))</f>
        <v>2586149.0131200007</v>
      </c>
      <c r="X282" s="142">
        <f ca="1">IF(ISNUMBER(SEARCH("LLC",Yards[[#This Row],[PROGRAM]])),0,IF(Yards[[#This Row],[RAD/PACT by 2025]]="yes",0,1))</f>
        <v>1</v>
      </c>
      <c r="Y282" s="1"/>
      <c r="Z282" s="1"/>
      <c r="AA282" s="51">
        <f ca="1">COUNTIF($X$5:Yards[[#This Row],['# yards]],"&gt;0")-10</f>
        <v>163</v>
      </c>
      <c r="AB282" s="1">
        <f ca="1">IF(ISBLANK(Yards[[#This Row],[DSGN CALENDAR YEAR]]),ROUNDDOWN(Yards[[#This Row],[Count]]/24,0)+$AB$1,Yards[[#This Row],[DSGN CALENDAR YEAR]])</f>
        <v>2027</v>
      </c>
      <c r="AC282" s="16">
        <f ca="1">Yards[[#This Row],[est. DSGN Year]]+1</f>
        <v>2028</v>
      </c>
    </row>
    <row r="283" spans="1:29">
      <c r="A283" s="13" t="s">
        <v>377</v>
      </c>
      <c r="B283" s="51" t="str">
        <f>VLOOKUP(Yards[[#This Row],[DEVELOPMENT]],Data[],2,FALSE)</f>
        <v>MANHATTAN</v>
      </c>
      <c r="C283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83" s="51" t="str">
        <f>VLOOKUP(Yards[[#This Row],[DEVELOPMENT]],Data[],52,FALSE)</f>
        <v>FEDERAL</v>
      </c>
      <c r="E283" s="50">
        <f>VLOOKUP(Yards[[#This Row],[DEVELOPMENT]],Data[],8,FALSE)</f>
        <v>0</v>
      </c>
      <c r="F283" s="51" t="str">
        <f>VLOOKUP(Yards[[#This Row],[DEVELOPMENT]],all[[DEVELOPMENT]:[MRST Ext. Comp. Priority]],6,FALSE)</f>
        <v>None</v>
      </c>
      <c r="G283" s="51">
        <f>VLOOKUP(Yards[[#This Row],[DEVELOPMENT]],all[[DEVELOPMENT]:[MRST Ext. Comp. Priority]],13,FALSE)</f>
        <v>4</v>
      </c>
      <c r="H283" s="50">
        <f>IF(VLOOKUP(Yards[[#This Row],[DEVELOPMENT]],Data[],9,FALSE)=0,5,VLOOKUP(Yards[[#This Row],[DEVELOPMENT]],Data[],9,FALSE))</f>
        <v>5</v>
      </c>
      <c r="I283" s="51">
        <f>VLOOKUP(Yards[[#This Row],[DEVELOPMENT]],Data[],33,FALSE)</f>
        <v>0</v>
      </c>
      <c r="J283" s="51">
        <f>VLOOKUP(Yards[[#This Row],[DEVELOPMENT]],Data[],28,FALSE)</f>
        <v>0</v>
      </c>
      <c r="K283" s="51"/>
      <c r="L283" s="50"/>
      <c r="M283" s="51" t="str">
        <f ca="1">IFERROR(VLOOKUP(Yards[[#This Row],[DEVELOPMENT]],Data[],4,FALSE),"")</f>
        <v/>
      </c>
      <c r="N283" s="51" t="str">
        <f ca="1">IF(Yards[[#This Row],[RAD/PACT]]="","",IF(OR(Yards[[#This Row],[RAD/PACT]]="2022-2025",Yards[[#This Row],[RAD/PACT]]=2019,Yards[[#This Row],[RAD/PACT]]="2020-2021"),"Yes",""))</f>
        <v/>
      </c>
      <c r="O283" s="51" t="str">
        <f ca="1">IFERROR(VLOOKUP(Yards[[#This Row],[DEVELOPMENT]],ExtComp[],8,FALSE),"")</f>
        <v/>
      </c>
      <c r="P283" s="51"/>
      <c r="Q283" s="51"/>
      <c r="R283" s="51" t="str">
        <f>IF(ISBLANK(Yards[[#This Row],[DSGN CALENDAR YEAR]]),"",Yards[[#This Row],[DSGN CALENDAR YEAR]]+1)</f>
        <v/>
      </c>
      <c r="S283" s="51" t="str">
        <f>IF(ISBLANK(Yards[[#This Row],[DSGN FISCAL YEAR]]),"",Yards[[#This Row],[DSGN FISCAL YEAR]]+1)</f>
        <v/>
      </c>
      <c r="T283" s="51"/>
      <c r="U283" s="128">
        <f ca="1">Yards[[#This Row],[Estimate]]*0.1</f>
        <v>231365.85651200006</v>
      </c>
      <c r="V283" s="47">
        <f ca="1">Yards[[#This Row],[Estimate]]-Yards[[#This Row],[Design Est.]]</f>
        <v>2082292.7086080003</v>
      </c>
      <c r="W283" s="85">
        <f ca="1">(Yards[[#This Row],['# yards]]*INDEX(UnitCosts[],MATCH(Yards[[#This Row],[WORK TYPE]],UnitCosts[Work Type],0),2))*(1+((Yards[[#This Row],[est. CONS Year]]-YEAR(TODAY()))*$W$3))</f>
        <v>2313658.5651200004</v>
      </c>
      <c r="X283" s="142">
        <f ca="1">IF(ISNUMBER(SEARCH("LLC",Yards[[#This Row],[PROGRAM]])),0,IF(Yards[[#This Row],[RAD/PACT by 2025]]="yes",0,1))</f>
        <v>1</v>
      </c>
      <c r="Y283" s="1"/>
      <c r="Z283" s="1"/>
      <c r="AA283" s="51">
        <f ca="1">COUNTIF($X$5:Yards[[#This Row],['# yards]],"&gt;0")-10</f>
        <v>164</v>
      </c>
      <c r="AB283" s="1">
        <f ca="1">IF(ISBLANK(Yards[[#This Row],[DSGN CALENDAR YEAR]]),ROUNDDOWN(Yards[[#This Row],[Count]]/24,0)+$AB$1,Yards[[#This Row],[DSGN CALENDAR YEAR]])</f>
        <v>2027</v>
      </c>
      <c r="AC283" s="16">
        <f ca="1">Yards[[#This Row],[est. DSGN Year]]+1</f>
        <v>2028</v>
      </c>
    </row>
    <row r="284" spans="1:29" hidden="1">
      <c r="A284" s="13" t="s">
        <v>341</v>
      </c>
      <c r="B284" s="51" t="str">
        <f>VLOOKUP(Yards[[#This Row],[DEVELOPMENT]],Data[],2,FALSE)</f>
        <v>BROOKLYN</v>
      </c>
      <c r="C284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284" s="51" t="str">
        <f>VLOOKUP(Yards[[#This Row],[DEVELOPMENT]],Data[],52,FALSE)</f>
        <v>MIXED FINANCE/LLC2</v>
      </c>
      <c r="E284" s="50">
        <f>VLOOKUP(Yards[[#This Row],[DEVELOPMENT]],Data[],8,FALSE)</f>
        <v>0</v>
      </c>
      <c r="F284" s="51" t="str">
        <f>VLOOKUP(Yards[[#This Row],[DEVELOPMENT]],all[[DEVELOPMENT]:[MRST Ext. Comp. Priority]],6,FALSE)</f>
        <v>None</v>
      </c>
      <c r="G284" s="51">
        <f>VLOOKUP(Yards[[#This Row],[DEVELOPMENT]],all[[DEVELOPMENT]:[MRST Ext. Comp. Priority]],13,FALSE)</f>
        <v>2</v>
      </c>
      <c r="H284" s="50">
        <f>IF(VLOOKUP(Yards[[#This Row],[DEVELOPMENT]],Data[],9,FALSE)=0,5,VLOOKUP(Yards[[#This Row],[DEVELOPMENT]],Data[],9,FALSE))</f>
        <v>5</v>
      </c>
      <c r="I284" s="51">
        <f>VLOOKUP(Yards[[#This Row],[DEVELOPMENT]],Data[],33,FALSE)</f>
        <v>3</v>
      </c>
      <c r="J284" s="51">
        <f>VLOOKUP(Yards[[#This Row],[DEVELOPMENT]],Data[],28,FALSE)</f>
        <v>1</v>
      </c>
      <c r="K284" s="51"/>
      <c r="L284" s="50"/>
      <c r="M284" s="51" t="str">
        <f ca="1">IFERROR(VLOOKUP(Yards[[#This Row],[DEVELOPMENT]],Data[],4,FALSE),"")</f>
        <v>2020-2021</v>
      </c>
      <c r="N284" s="51" t="str">
        <f ca="1">IF(Yards[[#This Row],[RAD/PACT]]="","",IF(OR(Yards[[#This Row],[RAD/PACT]]="2022-2025",Yards[[#This Row],[RAD/PACT]]=2019,Yards[[#This Row],[RAD/PACT]]="2020-2021"),"Yes",""))</f>
        <v>Yes</v>
      </c>
      <c r="O284" s="51">
        <f ca="1">IFERROR(VLOOKUP(Yards[[#This Row],[DEVELOPMENT]],ExtComp[],8,FALSE),"")</f>
        <v>13</v>
      </c>
      <c r="P284" s="51"/>
      <c r="Q284" s="51"/>
      <c r="R284" s="51" t="str">
        <f>IF(ISBLANK(Yards[[#This Row],[DSGN CALENDAR YEAR]]),"",Yards[[#This Row],[DSGN CALENDAR YEAR]]+1)</f>
        <v/>
      </c>
      <c r="S284" s="51" t="str">
        <f>IF(ISBLANK(Yards[[#This Row],[DSGN FISCAL YEAR]]),"",Yards[[#This Row],[DSGN FISCAL YEAR]]+1)</f>
        <v/>
      </c>
      <c r="T284" s="51"/>
      <c r="U284" s="128">
        <f ca="1">Yards[[#This Row],[Estimate]]*0.1</f>
        <v>0</v>
      </c>
      <c r="V284" s="47">
        <f ca="1">Yards[[#This Row],[Estimate]]-Yards[[#This Row],[Design Est.]]</f>
        <v>0</v>
      </c>
      <c r="W284" s="85">
        <f ca="1">(Yards[[#This Row],['# yards]]*INDEX(UnitCosts[],MATCH(Yards[[#This Row],[WORK TYPE]],UnitCosts[Work Type],0),2))*(1+((Yards[[#This Row],[est. CONS Year]]-YEAR(TODAY()))*$W$3))</f>
        <v>0</v>
      </c>
      <c r="X284" s="142">
        <f>IF(ISNUMBER(SEARCH("LLC",Yards[[#This Row],[PROGRAM]])),0,IF(Yards[[#This Row],[RAD/PACT by 2025]]="yes",0,1))</f>
        <v>0</v>
      </c>
      <c r="Y284" s="1"/>
      <c r="Z284" s="1"/>
      <c r="AA284" s="51">
        <f ca="1">COUNTIF($X$5:Yards[[#This Row],['# yards]],"&gt;0")-10</f>
        <v>164</v>
      </c>
      <c r="AB284" s="1">
        <f ca="1">IF(ISBLANK(Yards[[#This Row],[DSGN CALENDAR YEAR]]),ROUNDDOWN(Yards[[#This Row],[Count]]/24,0)+$AB$1,Yards[[#This Row],[DSGN CALENDAR YEAR]])</f>
        <v>2027</v>
      </c>
      <c r="AC284" s="16">
        <f ca="1">Yards[[#This Row],[est. DSGN Year]]+1</f>
        <v>2028</v>
      </c>
    </row>
    <row r="285" spans="1:29" hidden="1">
      <c r="A285" s="13" t="s">
        <v>342</v>
      </c>
      <c r="B285" s="51" t="str">
        <f>VLOOKUP(Yards[[#This Row],[DEVELOPMENT]],Data[],2,FALSE)</f>
        <v>BRONX</v>
      </c>
      <c r="C28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285" s="51" t="str">
        <f>VLOOKUP(Yards[[#This Row],[DEVELOPMENT]],Data[],52,FALSE)</f>
        <v>MIXED FINANCE/LLC1</v>
      </c>
      <c r="E285" s="50">
        <f>VLOOKUP(Yards[[#This Row],[DEVELOPMENT]],Data[],8,FALSE)</f>
        <v>0</v>
      </c>
      <c r="F285" s="51" t="str">
        <f>VLOOKUP(Yards[[#This Row],[DEVELOPMENT]],all[[DEVELOPMENT]:[MRST Ext. Comp. Priority]],6,FALSE)</f>
        <v>None</v>
      </c>
      <c r="G285" s="51">
        <f>VLOOKUP(Yards[[#This Row],[DEVELOPMENT]],all[[DEVELOPMENT]:[MRST Ext. Comp. Priority]],13,FALSE)</f>
        <v>2</v>
      </c>
      <c r="H285" s="50">
        <f>IF(VLOOKUP(Yards[[#This Row],[DEVELOPMENT]],Data[],9,FALSE)=0,5,VLOOKUP(Yards[[#This Row],[DEVELOPMENT]],Data[],9,FALSE))</f>
        <v>5</v>
      </c>
      <c r="I285" s="51">
        <f>VLOOKUP(Yards[[#This Row],[DEVELOPMENT]],Data[],33,FALSE)</f>
        <v>3</v>
      </c>
      <c r="J285" s="51">
        <f>VLOOKUP(Yards[[#This Row],[DEVELOPMENT]],Data[],28,FALSE)</f>
        <v>0</v>
      </c>
      <c r="K285" s="51"/>
      <c r="L285" s="50"/>
      <c r="M285" s="51" t="str">
        <f ca="1">IFERROR(VLOOKUP(Yards[[#This Row],[DEVELOPMENT]],Data[],4,FALSE),"")</f>
        <v/>
      </c>
      <c r="N285" s="51" t="str">
        <f ca="1">IF(Yards[[#This Row],[RAD/PACT]]="","",IF(OR(Yards[[#This Row],[RAD/PACT]]="2022-2025",Yards[[#This Row],[RAD/PACT]]=2019,Yards[[#This Row],[RAD/PACT]]="2020-2021"),"Yes",""))</f>
        <v/>
      </c>
      <c r="O285" s="51">
        <f ca="1">IFERROR(VLOOKUP(Yards[[#This Row],[DEVELOPMENT]],ExtComp[],8,FALSE),"")</f>
        <v>16</v>
      </c>
      <c r="P285" s="51"/>
      <c r="Q285" s="51"/>
      <c r="R285" s="51" t="str">
        <f>IF(ISBLANK(Yards[[#This Row],[DSGN CALENDAR YEAR]]),"",Yards[[#This Row],[DSGN CALENDAR YEAR]]+1)</f>
        <v/>
      </c>
      <c r="S285" s="51" t="str">
        <f>IF(ISBLANK(Yards[[#This Row],[DSGN FISCAL YEAR]]),"",Yards[[#This Row],[DSGN FISCAL YEAR]]+1)</f>
        <v/>
      </c>
      <c r="T285" s="51"/>
      <c r="U285" s="128">
        <f ca="1">Yards[[#This Row],[Estimate]]*0.1</f>
        <v>0</v>
      </c>
      <c r="V285" s="47">
        <f ca="1">Yards[[#This Row],[Estimate]]-Yards[[#This Row],[Design Est.]]</f>
        <v>0</v>
      </c>
      <c r="W285" s="85">
        <f ca="1">(Yards[[#This Row],['# yards]]*INDEX(UnitCosts[],MATCH(Yards[[#This Row],[WORK TYPE]],UnitCosts[Work Type],0),2))*(1+((Yards[[#This Row],[est. CONS Year]]-YEAR(TODAY()))*$W$3))</f>
        <v>0</v>
      </c>
      <c r="X285" s="142">
        <f>IF(ISNUMBER(SEARCH("LLC",Yards[[#This Row],[PROGRAM]])),0,IF(Yards[[#This Row],[RAD/PACT by 2025]]="yes",0,1))</f>
        <v>0</v>
      </c>
      <c r="Y285" s="1"/>
      <c r="Z285" s="1"/>
      <c r="AA285" s="51">
        <f ca="1">COUNTIF($X$5:Yards[[#This Row],['# yards]],"&gt;0")-10</f>
        <v>164</v>
      </c>
      <c r="AB285" s="1">
        <f ca="1">IF(ISBLANK(Yards[[#This Row],[DSGN CALENDAR YEAR]]),ROUNDDOWN(Yards[[#This Row],[Count]]/24,0)+$AB$1,Yards[[#This Row],[DSGN CALENDAR YEAR]])</f>
        <v>2027</v>
      </c>
      <c r="AC285" s="16">
        <f ca="1">Yards[[#This Row],[est. DSGN Year]]+1</f>
        <v>2028</v>
      </c>
    </row>
    <row r="286" spans="1:29">
      <c r="A286" s="13" t="s">
        <v>291</v>
      </c>
      <c r="B286" s="51" t="str">
        <f>VLOOKUP(Yards[[#This Row],[DEVELOPMENT]],Data[],2,FALSE)</f>
        <v>BRONX</v>
      </c>
      <c r="C286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86" s="51" t="str">
        <f>VLOOKUP(Yards[[#This Row],[DEVELOPMENT]],Data[],52,FALSE)</f>
        <v>FEDERAL</v>
      </c>
      <c r="E286" s="50">
        <f>VLOOKUP(Yards[[#This Row],[DEVELOPMENT]],Data[],8,FALSE)</f>
        <v>0</v>
      </c>
      <c r="F286" s="51" t="str">
        <f>VLOOKUP(Yards[[#This Row],[DEVELOPMENT]],all[[DEVELOPMENT]:[MRST Ext. Comp. Priority]],6,FALSE)</f>
        <v>None</v>
      </c>
      <c r="G286" s="51">
        <f>VLOOKUP(Yards[[#This Row],[DEVELOPMENT]],all[[DEVELOPMENT]:[MRST Ext. Comp. Priority]],13,FALSE)</f>
        <v>4</v>
      </c>
      <c r="H286" s="50">
        <f>IF(VLOOKUP(Yards[[#This Row],[DEVELOPMENT]],Data[],9,FALSE)=0,5,VLOOKUP(Yards[[#This Row],[DEVELOPMENT]],Data[],9,FALSE))</f>
        <v>5</v>
      </c>
      <c r="I286" s="51">
        <f>VLOOKUP(Yards[[#This Row],[DEVELOPMENT]],Data[],33,FALSE)</f>
        <v>0</v>
      </c>
      <c r="J286" s="51">
        <f>VLOOKUP(Yards[[#This Row],[DEVELOPMENT]],Data[],28,FALSE)</f>
        <v>0</v>
      </c>
      <c r="K286" s="51"/>
      <c r="L286" s="50"/>
      <c r="M286" s="51" t="str">
        <f ca="1">IFERROR(VLOOKUP(Yards[[#This Row],[DEVELOPMENT]],Data[],4,FALSE),"")</f>
        <v/>
      </c>
      <c r="N286" s="51" t="str">
        <f ca="1">IF(Yards[[#This Row],[RAD/PACT]]="","",IF(OR(Yards[[#This Row],[RAD/PACT]]="2022-2025",Yards[[#This Row],[RAD/PACT]]=2019,Yards[[#This Row],[RAD/PACT]]="2020-2021"),"Yes",""))</f>
        <v/>
      </c>
      <c r="O286" s="51" t="str">
        <f ca="1">IFERROR(VLOOKUP(Yards[[#This Row],[DEVELOPMENT]],ExtComp[],8,FALSE),"")</f>
        <v/>
      </c>
      <c r="P286" s="51"/>
      <c r="Q286" s="51"/>
      <c r="R286" s="51" t="str">
        <f>IF(ISBLANK(Yards[[#This Row],[DSGN CALENDAR YEAR]]),"",Yards[[#This Row],[DSGN CALENDAR YEAR]]+1)</f>
        <v/>
      </c>
      <c r="S286" s="51" t="str">
        <f>IF(ISBLANK(Yards[[#This Row],[DSGN FISCAL YEAR]]),"",Yards[[#This Row],[DSGN FISCAL YEAR]]+1)</f>
        <v/>
      </c>
      <c r="T286" s="51"/>
      <c r="U286" s="128">
        <f ca="1">Yards[[#This Row],[Estimate]]*0.1</f>
        <v>231365.85651200006</v>
      </c>
      <c r="V286" s="47">
        <f ca="1">Yards[[#This Row],[Estimate]]-Yards[[#This Row],[Design Est.]]</f>
        <v>2082292.7086080003</v>
      </c>
      <c r="W286" s="85">
        <f ca="1">(Yards[[#This Row],['# yards]]*INDEX(UnitCosts[],MATCH(Yards[[#This Row],[WORK TYPE]],UnitCosts[Work Type],0),2))*(1+((Yards[[#This Row],[est. CONS Year]]-YEAR(TODAY()))*$W$3))</f>
        <v>2313658.5651200004</v>
      </c>
      <c r="X286" s="142">
        <f ca="1">IF(ISNUMBER(SEARCH("LLC",Yards[[#This Row],[PROGRAM]])),0,IF(Yards[[#This Row],[RAD/PACT by 2025]]="yes",0,1))</f>
        <v>1</v>
      </c>
      <c r="Y286" s="1"/>
      <c r="Z286" s="1"/>
      <c r="AA286" s="51">
        <f ca="1">COUNTIF($X$5:Yards[[#This Row],['# yards]],"&gt;0")-10</f>
        <v>165</v>
      </c>
      <c r="AB286" s="1">
        <f ca="1">IF(ISBLANK(Yards[[#This Row],[DSGN CALENDAR YEAR]]),ROUNDDOWN(Yards[[#This Row],[Count]]/24,0)+$AB$1,Yards[[#This Row],[DSGN CALENDAR YEAR]])</f>
        <v>2027</v>
      </c>
      <c r="AC286" s="16">
        <f ca="1">Yards[[#This Row],[est. DSGN Year]]+1</f>
        <v>2028</v>
      </c>
    </row>
    <row r="287" spans="1:29">
      <c r="A287" s="13" t="s">
        <v>326</v>
      </c>
      <c r="B287" s="51" t="str">
        <f>VLOOKUP(Yards[[#This Row],[DEVELOPMENT]],Data[],2,FALSE)</f>
        <v>BROOKLYN</v>
      </c>
      <c r="C287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287" s="51" t="str">
        <f>VLOOKUP(Yards[[#This Row],[DEVELOPMENT]],Data[],52,FALSE)</f>
        <v>FEDERAL</v>
      </c>
      <c r="E287" s="50">
        <f>VLOOKUP(Yards[[#This Row],[DEVELOPMENT]],Data[],8,FALSE)</f>
        <v>0</v>
      </c>
      <c r="F287" s="51" t="str">
        <f>VLOOKUP(Yards[[#This Row],[DEVELOPMENT]],all[[DEVELOPMENT]:[MRST Ext. Comp. Priority]],6,FALSE)</f>
        <v>None</v>
      </c>
      <c r="G287" s="51">
        <f>VLOOKUP(Yards[[#This Row],[DEVELOPMENT]],all[[DEVELOPMENT]:[MRST Ext. Comp. Priority]],13,FALSE)</f>
        <v>4</v>
      </c>
      <c r="H287" s="50">
        <f>IF(VLOOKUP(Yards[[#This Row],[DEVELOPMENT]],Data[],9,FALSE)=0,5,VLOOKUP(Yards[[#This Row],[DEVELOPMENT]],Data[],9,FALSE))</f>
        <v>5</v>
      </c>
      <c r="I287" s="51">
        <f>VLOOKUP(Yards[[#This Row],[DEVELOPMENT]],Data[],33,FALSE)</f>
        <v>3</v>
      </c>
      <c r="J287" s="51">
        <f>VLOOKUP(Yards[[#This Row],[DEVELOPMENT]],Data[],28,FALSE)</f>
        <v>0</v>
      </c>
      <c r="K287" s="51"/>
      <c r="L287" s="50"/>
      <c r="M287" s="51" t="str">
        <f ca="1">IFERROR(VLOOKUP(Yards[[#This Row],[DEVELOPMENT]],Data[],4,FALSE),"")</f>
        <v>2026+</v>
      </c>
      <c r="N287" s="51" t="str">
        <f ca="1">IF(Yards[[#This Row],[RAD/PACT]]="","",IF(OR(Yards[[#This Row],[RAD/PACT]]="2022-2025",Yards[[#This Row],[RAD/PACT]]=2019,Yards[[#This Row],[RAD/PACT]]="2020-2021"),"Yes",""))</f>
        <v/>
      </c>
      <c r="O287" s="51">
        <f ca="1">IFERROR(VLOOKUP(Yards[[#This Row],[DEVELOPMENT]],ExtComp[],8,FALSE),"")</f>
        <v>18</v>
      </c>
      <c r="P287" s="51"/>
      <c r="Q287" s="51"/>
      <c r="R287" s="51" t="str">
        <f>IF(ISBLANK(Yards[[#This Row],[DSGN CALENDAR YEAR]]),"",Yards[[#This Row],[DSGN CALENDAR YEAR]]+1)</f>
        <v/>
      </c>
      <c r="S287" s="51" t="str">
        <f>IF(ISBLANK(Yards[[#This Row],[DSGN FISCAL YEAR]]),"",Yards[[#This Row],[DSGN FISCAL YEAR]]+1)</f>
        <v/>
      </c>
      <c r="T287" s="51"/>
      <c r="U287" s="128">
        <f ca="1">Yards[[#This Row],[Estimate]]*0.1</f>
        <v>300737.46545920003</v>
      </c>
      <c r="V287" s="47">
        <f ca="1">Yards[[#This Row],[Estimate]]-Yards[[#This Row],[Design Est.]]</f>
        <v>2706637.1891328003</v>
      </c>
      <c r="W287" s="85">
        <f ca="1">(Yards[[#This Row],['# yards]]*INDEX(UnitCosts[],MATCH(Yards[[#This Row],[WORK TYPE]],UnitCosts[Work Type],0),2))*(1+((Yards[[#This Row],[est. CONS Year]]-YEAR(TODAY()))*$W$3))</f>
        <v>3007374.6545920004</v>
      </c>
      <c r="X287" s="142">
        <f ca="1">IF(ISNUMBER(SEARCH("LLC",Yards[[#This Row],[PROGRAM]])),0,IF(Yards[[#This Row],[RAD/PACT by 2025]]="yes",0,1))</f>
        <v>1</v>
      </c>
      <c r="Y287" s="1"/>
      <c r="Z287" s="1"/>
      <c r="AA287" s="51">
        <f ca="1">COUNTIF($X$5:Yards[[#This Row],['# yards]],"&gt;0")-10</f>
        <v>166</v>
      </c>
      <c r="AB287" s="1">
        <f ca="1">IF(ISBLANK(Yards[[#This Row],[DSGN CALENDAR YEAR]]),ROUNDDOWN(Yards[[#This Row],[Count]]/24,0)+$AB$1,Yards[[#This Row],[DSGN CALENDAR YEAR]])</f>
        <v>2027</v>
      </c>
      <c r="AC287" s="16">
        <f ca="1">Yards[[#This Row],[est. DSGN Year]]+1</f>
        <v>2028</v>
      </c>
    </row>
    <row r="288" spans="1:29">
      <c r="A288" s="13" t="s">
        <v>349</v>
      </c>
      <c r="B288" s="51" t="str">
        <f>VLOOKUP(Yards[[#This Row],[DEVELOPMENT]],Data[],2,FALSE)</f>
        <v>BROOKLYN</v>
      </c>
      <c r="C288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88" s="51" t="str">
        <f>VLOOKUP(Yards[[#This Row],[DEVELOPMENT]],Data[],52,FALSE)</f>
        <v>FEDERAL</v>
      </c>
      <c r="E288" s="50">
        <f>VLOOKUP(Yards[[#This Row],[DEVELOPMENT]],Data[],8,FALSE)</f>
        <v>0</v>
      </c>
      <c r="F288" s="51" t="str">
        <f>VLOOKUP(Yards[[#This Row],[DEVELOPMENT]],all[[DEVELOPMENT]:[MRST Ext. Comp. Priority]],6,FALSE)</f>
        <v>None</v>
      </c>
      <c r="G288" s="51">
        <f>VLOOKUP(Yards[[#This Row],[DEVELOPMENT]],all[[DEVELOPMENT]:[MRST Ext. Comp. Priority]],13,FALSE)</f>
        <v>4</v>
      </c>
      <c r="H288" s="50">
        <f>IF(VLOOKUP(Yards[[#This Row],[DEVELOPMENT]],Data[],9,FALSE)=0,5,VLOOKUP(Yards[[#This Row],[DEVELOPMENT]],Data[],9,FALSE))</f>
        <v>5</v>
      </c>
      <c r="I288" s="51">
        <f>VLOOKUP(Yards[[#This Row],[DEVELOPMENT]],Data[],33,FALSE)</f>
        <v>0</v>
      </c>
      <c r="J288" s="51">
        <f>VLOOKUP(Yards[[#This Row],[DEVELOPMENT]],Data[],28,FALSE)</f>
        <v>0</v>
      </c>
      <c r="K288" s="51"/>
      <c r="L288" s="50"/>
      <c r="M288" s="51" t="str">
        <f ca="1">IFERROR(VLOOKUP(Yards[[#This Row],[DEVELOPMENT]],Data[],4,FALSE),"")</f>
        <v/>
      </c>
      <c r="N288" s="51" t="str">
        <f ca="1">IF(Yards[[#This Row],[RAD/PACT]]="","",IF(OR(Yards[[#This Row],[RAD/PACT]]="2022-2025",Yards[[#This Row],[RAD/PACT]]=2019,Yards[[#This Row],[RAD/PACT]]="2020-2021"),"Yes",""))</f>
        <v/>
      </c>
      <c r="O288" s="51" t="str">
        <f ca="1">IFERROR(VLOOKUP(Yards[[#This Row],[DEVELOPMENT]],ExtComp[],8,FALSE),"")</f>
        <v/>
      </c>
      <c r="P288" s="51"/>
      <c r="Q288" s="51"/>
      <c r="R288" s="51" t="str">
        <f>IF(ISBLANK(Yards[[#This Row],[DSGN CALENDAR YEAR]]),"",Yards[[#This Row],[DSGN CALENDAR YEAR]]+1)</f>
        <v/>
      </c>
      <c r="S288" s="51" t="str">
        <f>IF(ISBLANK(Yards[[#This Row],[DSGN FISCAL YEAR]]),"",Yards[[#This Row],[DSGN FISCAL YEAR]]+1)</f>
        <v/>
      </c>
      <c r="T288" s="51"/>
      <c r="U288" s="128">
        <f ca="1">Yards[[#This Row],[Estimate]]*0.1</f>
        <v>231365.85651200006</v>
      </c>
      <c r="V288" s="47">
        <f ca="1">Yards[[#This Row],[Estimate]]-Yards[[#This Row],[Design Est.]]</f>
        <v>2082292.7086080003</v>
      </c>
      <c r="W288" s="85">
        <f ca="1">(Yards[[#This Row],['# yards]]*INDEX(UnitCosts[],MATCH(Yards[[#This Row],[WORK TYPE]],UnitCosts[Work Type],0),2))*(1+((Yards[[#This Row],[est. CONS Year]]-YEAR(TODAY()))*$W$3))</f>
        <v>2313658.5651200004</v>
      </c>
      <c r="X288" s="142">
        <f ca="1">IF(ISNUMBER(SEARCH("LLC",Yards[[#This Row],[PROGRAM]])),0,IF(Yards[[#This Row],[RAD/PACT by 2025]]="yes",0,1))</f>
        <v>1</v>
      </c>
      <c r="Y288" s="1"/>
      <c r="Z288" s="1"/>
      <c r="AA288" s="51">
        <f ca="1">COUNTIF($X$5:Yards[[#This Row],['# yards]],"&gt;0")-10</f>
        <v>167</v>
      </c>
      <c r="AB288" s="1">
        <f ca="1">IF(ISBLANK(Yards[[#This Row],[DSGN CALENDAR YEAR]]),ROUNDDOWN(Yards[[#This Row],[Count]]/24,0)+$AB$1,Yards[[#This Row],[DSGN CALENDAR YEAR]])</f>
        <v>2027</v>
      </c>
      <c r="AC288" s="16">
        <f ca="1">Yards[[#This Row],[est. DSGN Year]]+1</f>
        <v>2028</v>
      </c>
    </row>
    <row r="289" spans="1:29">
      <c r="A289" s="13" t="s">
        <v>374</v>
      </c>
      <c r="B289" s="51" t="str">
        <f>VLOOKUP(Yards[[#This Row],[DEVELOPMENT]],Data[],2,FALSE)</f>
        <v>BROOKLYN</v>
      </c>
      <c r="C28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89" s="51" t="str">
        <f>VLOOKUP(Yards[[#This Row],[DEVELOPMENT]],Data[],52,FALSE)</f>
        <v>FEDERAL</v>
      </c>
      <c r="E289" s="50">
        <f>VLOOKUP(Yards[[#This Row],[DEVELOPMENT]],Data[],8,FALSE)</f>
        <v>0</v>
      </c>
      <c r="F289" s="51" t="str">
        <f>VLOOKUP(Yards[[#This Row],[DEVELOPMENT]],all[[DEVELOPMENT]:[MRST Ext. Comp. Priority]],6,FALSE)</f>
        <v>None</v>
      </c>
      <c r="G289" s="51">
        <f>VLOOKUP(Yards[[#This Row],[DEVELOPMENT]],all[[DEVELOPMENT]:[MRST Ext. Comp. Priority]],13,FALSE)</f>
        <v>4</v>
      </c>
      <c r="H289" s="50">
        <f>IF(VLOOKUP(Yards[[#This Row],[DEVELOPMENT]],Data[],9,FALSE)=0,5,VLOOKUP(Yards[[#This Row],[DEVELOPMENT]],Data[],9,FALSE))</f>
        <v>5</v>
      </c>
      <c r="I289" s="51">
        <f>VLOOKUP(Yards[[#This Row],[DEVELOPMENT]],Data[],33,FALSE)</f>
        <v>0</v>
      </c>
      <c r="J289" s="51">
        <f>VLOOKUP(Yards[[#This Row],[DEVELOPMENT]],Data[],28,FALSE)</f>
        <v>0</v>
      </c>
      <c r="K289" s="51"/>
      <c r="L289" s="50"/>
      <c r="M289" s="51" t="str">
        <f ca="1">IFERROR(VLOOKUP(Yards[[#This Row],[DEVELOPMENT]],Data[],4,FALSE),"")</f>
        <v/>
      </c>
      <c r="N289" s="51" t="str">
        <f ca="1">IF(Yards[[#This Row],[RAD/PACT]]="","",IF(OR(Yards[[#This Row],[RAD/PACT]]="2022-2025",Yards[[#This Row],[RAD/PACT]]=2019,Yards[[#This Row],[RAD/PACT]]="2020-2021"),"Yes",""))</f>
        <v/>
      </c>
      <c r="O289" s="51" t="str">
        <f ca="1">IFERROR(VLOOKUP(Yards[[#This Row],[DEVELOPMENT]],ExtComp[],8,FALSE),"")</f>
        <v/>
      </c>
      <c r="P289" s="51"/>
      <c r="Q289" s="51"/>
      <c r="R289" s="51" t="str">
        <f>IF(ISBLANK(Yards[[#This Row],[DSGN CALENDAR YEAR]]),"",Yards[[#This Row],[DSGN CALENDAR YEAR]]+1)</f>
        <v/>
      </c>
      <c r="S289" s="51" t="str">
        <f>IF(ISBLANK(Yards[[#This Row],[DSGN FISCAL YEAR]]),"",Yards[[#This Row],[DSGN FISCAL YEAR]]+1)</f>
        <v/>
      </c>
      <c r="T289" s="51"/>
      <c r="U289" s="128">
        <f ca="1">Yards[[#This Row],[Estimate]]*0.1</f>
        <v>237692.26665100004</v>
      </c>
      <c r="V289" s="47">
        <f ca="1">Yards[[#This Row],[Estimate]]-Yards[[#This Row],[Design Est.]]</f>
        <v>2139230.3998590005</v>
      </c>
      <c r="W289" s="85">
        <f ca="1">(Yards[[#This Row],['# yards]]*INDEX(UnitCosts[],MATCH(Yards[[#This Row],[WORK TYPE]],UnitCosts[Work Type],0),2))*(1+((Yards[[#This Row],[est. CONS Year]]-YEAR(TODAY()))*$W$3))</f>
        <v>2376922.6665100004</v>
      </c>
      <c r="X289" s="142">
        <f ca="1">IF(ISNUMBER(SEARCH("LLC",Yards[[#This Row],[PROGRAM]])),0,IF(Yards[[#This Row],[RAD/PACT by 2025]]="yes",0,1))</f>
        <v>1</v>
      </c>
      <c r="Y289" s="1"/>
      <c r="Z289" s="1"/>
      <c r="AA289" s="51">
        <f ca="1">COUNTIF($X$5:Yards[[#This Row],['# yards]],"&gt;0")-10</f>
        <v>168</v>
      </c>
      <c r="AB289" s="1">
        <f ca="1">IF(ISBLANK(Yards[[#This Row],[DSGN CALENDAR YEAR]]),ROUNDDOWN(Yards[[#This Row],[Count]]/24,0)+$AB$1,Yards[[#This Row],[DSGN CALENDAR YEAR]])</f>
        <v>2028</v>
      </c>
      <c r="AC289" s="16">
        <f ca="1">Yards[[#This Row],[est. DSGN Year]]+1</f>
        <v>2029</v>
      </c>
    </row>
    <row r="290" spans="1:29" hidden="1">
      <c r="A290" s="13" t="s">
        <v>358</v>
      </c>
      <c r="B290" s="51" t="str">
        <f>VLOOKUP(Yards[[#This Row],[DEVELOPMENT]],Data[],2,FALSE)</f>
        <v>MANHATTAN</v>
      </c>
      <c r="C290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90" s="51" t="str">
        <f>VLOOKUP(Yards[[#This Row],[DEVELOPMENT]],Data[],52,FALSE)</f>
        <v>MHOP</v>
      </c>
      <c r="E290" s="50">
        <f>VLOOKUP(Yards[[#This Row],[DEVELOPMENT]],Data[],8,FALSE)</f>
        <v>0</v>
      </c>
      <c r="F290" s="51" t="str">
        <f>VLOOKUP(Yards[[#This Row],[DEVELOPMENT]],all[[DEVELOPMENT]:[MRST Ext. Comp. Priority]],6,FALSE)</f>
        <v>None</v>
      </c>
      <c r="G290" s="51">
        <f>VLOOKUP(Yards[[#This Row],[DEVELOPMENT]],all[[DEVELOPMENT]:[MRST Ext. Comp. Priority]],13,FALSE)</f>
        <v>4</v>
      </c>
      <c r="H290" s="50">
        <f>IF(VLOOKUP(Yards[[#This Row],[DEVELOPMENT]],Data[],9,FALSE)=0,5,VLOOKUP(Yards[[#This Row],[DEVELOPMENT]],Data[],9,FALSE))</f>
        <v>5</v>
      </c>
      <c r="I290" s="51">
        <f>VLOOKUP(Yards[[#This Row],[DEVELOPMENT]],Data[],33,FALSE)</f>
        <v>0</v>
      </c>
      <c r="J290" s="51">
        <f>VLOOKUP(Yards[[#This Row],[DEVELOPMENT]],Data[],28,FALSE)</f>
        <v>0</v>
      </c>
      <c r="K290" s="51"/>
      <c r="L290" s="50"/>
      <c r="M290" s="51" t="str">
        <f ca="1">IFERROR(VLOOKUP(Yards[[#This Row],[DEVELOPMENT]],Data[],4,FALSE),"")</f>
        <v>2020-2021</v>
      </c>
      <c r="N290" s="51" t="str">
        <f ca="1">IF(Yards[[#This Row],[RAD/PACT]]="","",IF(OR(Yards[[#This Row],[RAD/PACT]]="2022-2025",Yards[[#This Row],[RAD/PACT]]=2019,Yards[[#This Row],[RAD/PACT]]="2020-2021"),"Yes",""))</f>
        <v>Yes</v>
      </c>
      <c r="O290" s="51" t="str">
        <f ca="1">IFERROR(VLOOKUP(Yards[[#This Row],[DEVELOPMENT]],ExtComp[],8,FALSE),"")</f>
        <v/>
      </c>
      <c r="P290" s="51"/>
      <c r="Q290" s="51"/>
      <c r="R290" s="51" t="str">
        <f>IF(ISBLANK(Yards[[#This Row],[DSGN CALENDAR YEAR]]),"",Yards[[#This Row],[DSGN CALENDAR YEAR]]+1)</f>
        <v/>
      </c>
      <c r="S290" s="51" t="str">
        <f>IF(ISBLANK(Yards[[#This Row],[DSGN FISCAL YEAR]]),"",Yards[[#This Row],[DSGN FISCAL YEAR]]+1)</f>
        <v/>
      </c>
      <c r="T290" s="51"/>
      <c r="U290" s="128">
        <f ca="1">Yards[[#This Row],[Estimate]]*0.1</f>
        <v>0</v>
      </c>
      <c r="V290" s="47">
        <f ca="1">Yards[[#This Row],[Estimate]]-Yards[[#This Row],[Design Est.]]</f>
        <v>0</v>
      </c>
      <c r="W290" s="85">
        <f ca="1">(Yards[[#This Row],['# yards]]*INDEX(UnitCosts[],MATCH(Yards[[#This Row],[WORK TYPE]],UnitCosts[Work Type],0),2))*(1+((Yards[[#This Row],[est. CONS Year]]-YEAR(TODAY()))*$W$3))</f>
        <v>0</v>
      </c>
      <c r="X290" s="142">
        <f ca="1">IF(ISNUMBER(SEARCH("LLC",Yards[[#This Row],[PROGRAM]])),0,IF(Yards[[#This Row],[RAD/PACT by 2025]]="yes",0,1))</f>
        <v>0</v>
      </c>
      <c r="Y290" s="1"/>
      <c r="Z290" s="1"/>
      <c r="AA290" s="51">
        <f ca="1">COUNTIF($X$5:Yards[[#This Row],['# yards]],"&gt;0")-10</f>
        <v>168</v>
      </c>
      <c r="AB290" s="1">
        <f ca="1">IF(ISBLANK(Yards[[#This Row],[DSGN CALENDAR YEAR]]),ROUNDDOWN(Yards[[#This Row],[Count]]/24,0)+$AB$1,Yards[[#This Row],[DSGN CALENDAR YEAR]])</f>
        <v>2028</v>
      </c>
      <c r="AC290" s="16">
        <f ca="1">Yards[[#This Row],[est. DSGN Year]]+1</f>
        <v>2029</v>
      </c>
    </row>
    <row r="291" spans="1:29" hidden="1">
      <c r="A291" s="13" t="s">
        <v>366</v>
      </c>
      <c r="B291" s="51" t="str">
        <f>VLOOKUP(Yards[[#This Row],[DEVELOPMENT]],Data[],2,FALSE)</f>
        <v>BROOKLYN</v>
      </c>
      <c r="C291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91" s="51" t="str">
        <f>VLOOKUP(Yards[[#This Row],[DEVELOPMENT]],Data[],52,FALSE)</f>
        <v>FEDERAL</v>
      </c>
      <c r="E291" s="50">
        <f>VLOOKUP(Yards[[#This Row],[DEVELOPMENT]],Data[],8,FALSE)</f>
        <v>0</v>
      </c>
      <c r="F291" s="51" t="str">
        <f>VLOOKUP(Yards[[#This Row],[DEVELOPMENT]],all[[DEVELOPMENT]:[MRST Ext. Comp. Priority]],6,FALSE)</f>
        <v>None</v>
      </c>
      <c r="G291" s="51">
        <f>VLOOKUP(Yards[[#This Row],[DEVELOPMENT]],all[[DEVELOPMENT]:[MRST Ext. Comp. Priority]],13,FALSE)</f>
        <v>4</v>
      </c>
      <c r="H291" s="50">
        <f>IF(VLOOKUP(Yards[[#This Row],[DEVELOPMENT]],Data[],9,FALSE)=0,5,VLOOKUP(Yards[[#This Row],[DEVELOPMENT]],Data[],9,FALSE))</f>
        <v>5</v>
      </c>
      <c r="I291" s="51">
        <f>VLOOKUP(Yards[[#This Row],[DEVELOPMENT]],Data[],33,FALSE)</f>
        <v>0</v>
      </c>
      <c r="J291" s="51">
        <f>VLOOKUP(Yards[[#This Row],[DEVELOPMENT]],Data[],28,FALSE)</f>
        <v>0</v>
      </c>
      <c r="K291" s="51"/>
      <c r="L291" s="50"/>
      <c r="M291" s="51" t="str">
        <f ca="1">IFERROR(VLOOKUP(Yards[[#This Row],[DEVELOPMENT]],Data[],4,FALSE),"")</f>
        <v>2022-2025</v>
      </c>
      <c r="N291" s="51" t="str">
        <f ca="1">IF(Yards[[#This Row],[RAD/PACT]]="","",IF(OR(Yards[[#This Row],[RAD/PACT]]="2022-2025",Yards[[#This Row],[RAD/PACT]]=2019,Yards[[#This Row],[RAD/PACT]]="2020-2021"),"Yes",""))</f>
        <v>Yes</v>
      </c>
      <c r="O291" s="51" t="str">
        <f ca="1">IFERROR(VLOOKUP(Yards[[#This Row],[DEVELOPMENT]],ExtComp[],8,FALSE),"")</f>
        <v/>
      </c>
      <c r="P291" s="51"/>
      <c r="Q291" s="51"/>
      <c r="R291" s="51" t="str">
        <f>IF(ISBLANK(Yards[[#This Row],[DSGN CALENDAR YEAR]]),"",Yards[[#This Row],[DSGN CALENDAR YEAR]]+1)</f>
        <v/>
      </c>
      <c r="S291" s="51" t="str">
        <f>IF(ISBLANK(Yards[[#This Row],[DSGN FISCAL YEAR]]),"",Yards[[#This Row],[DSGN FISCAL YEAR]]+1)</f>
        <v/>
      </c>
      <c r="T291" s="51"/>
      <c r="U291" s="128">
        <f ca="1">Yards[[#This Row],[Estimate]]*0.1</f>
        <v>0</v>
      </c>
      <c r="V291" s="47">
        <f ca="1">Yards[[#This Row],[Estimate]]-Yards[[#This Row],[Design Est.]]</f>
        <v>0</v>
      </c>
      <c r="W291" s="85">
        <f ca="1">(Yards[[#This Row],['# yards]]*INDEX(UnitCosts[],MATCH(Yards[[#This Row],[WORK TYPE]],UnitCosts[Work Type],0),2))*(1+((Yards[[#This Row],[est. CONS Year]]-YEAR(TODAY()))*$W$3))</f>
        <v>0</v>
      </c>
      <c r="X291" s="142">
        <f ca="1">IF(ISNUMBER(SEARCH("LLC",Yards[[#This Row],[PROGRAM]])),0,IF(Yards[[#This Row],[RAD/PACT by 2025]]="yes",0,1))</f>
        <v>0</v>
      </c>
      <c r="Y291" s="1"/>
      <c r="Z291" s="1"/>
      <c r="AA291" s="51">
        <f ca="1">COUNTIF($X$5:Yards[[#This Row],['# yards]],"&gt;0")-10</f>
        <v>168</v>
      </c>
      <c r="AB291" s="1">
        <f ca="1">IF(ISBLANK(Yards[[#This Row],[DSGN CALENDAR YEAR]]),ROUNDDOWN(Yards[[#This Row],[Count]]/24,0)+$AB$1,Yards[[#This Row],[DSGN CALENDAR YEAR]])</f>
        <v>2028</v>
      </c>
      <c r="AC291" s="16">
        <f ca="1">Yards[[#This Row],[est. DSGN Year]]+1</f>
        <v>2029</v>
      </c>
    </row>
    <row r="292" spans="1:29" hidden="1">
      <c r="A292" s="13" t="s">
        <v>369</v>
      </c>
      <c r="B292" s="51" t="str">
        <f>VLOOKUP(Yards[[#This Row],[DEVELOPMENT]],Data[],2,FALSE)</f>
        <v>BROOKLYN</v>
      </c>
      <c r="C292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92" s="51" t="str">
        <f>VLOOKUP(Yards[[#This Row],[DEVELOPMENT]],Data[],52,FALSE)</f>
        <v>FEDERAL</v>
      </c>
      <c r="E292" s="50">
        <f>VLOOKUP(Yards[[#This Row],[DEVELOPMENT]],Data[],8,FALSE)</f>
        <v>0</v>
      </c>
      <c r="F292" s="51" t="str">
        <f>VLOOKUP(Yards[[#This Row],[DEVELOPMENT]],all[[DEVELOPMENT]:[MRST Ext. Comp. Priority]],6,FALSE)</f>
        <v>None</v>
      </c>
      <c r="G292" s="51">
        <f>VLOOKUP(Yards[[#This Row],[DEVELOPMENT]],all[[DEVELOPMENT]:[MRST Ext. Comp. Priority]],13,FALSE)</f>
        <v>4</v>
      </c>
      <c r="H292" s="50">
        <f>IF(VLOOKUP(Yards[[#This Row],[DEVELOPMENT]],Data[],9,FALSE)=0,5,VLOOKUP(Yards[[#This Row],[DEVELOPMENT]],Data[],9,FALSE))</f>
        <v>5</v>
      </c>
      <c r="I292" s="51">
        <f>VLOOKUP(Yards[[#This Row],[DEVELOPMENT]],Data[],33,FALSE)</f>
        <v>0</v>
      </c>
      <c r="J292" s="51">
        <f>VLOOKUP(Yards[[#This Row],[DEVELOPMENT]],Data[],28,FALSE)</f>
        <v>0</v>
      </c>
      <c r="K292" s="51"/>
      <c r="L292" s="50"/>
      <c r="M292" s="51" t="str">
        <f ca="1">IFERROR(VLOOKUP(Yards[[#This Row],[DEVELOPMENT]],Data[],4,FALSE),"")</f>
        <v>2020-2021</v>
      </c>
      <c r="N292" s="51" t="str">
        <f ca="1">IF(Yards[[#This Row],[RAD/PACT]]="","",IF(OR(Yards[[#This Row],[RAD/PACT]]="2022-2025",Yards[[#This Row],[RAD/PACT]]=2019,Yards[[#This Row],[RAD/PACT]]="2020-2021"),"Yes",""))</f>
        <v>Yes</v>
      </c>
      <c r="O292" s="51" t="str">
        <f ca="1">IFERROR(VLOOKUP(Yards[[#This Row],[DEVELOPMENT]],ExtComp[],8,FALSE),"")</f>
        <v/>
      </c>
      <c r="P292" s="51"/>
      <c r="Q292" s="51"/>
      <c r="R292" s="51" t="str">
        <f>IF(ISBLANK(Yards[[#This Row],[DSGN CALENDAR YEAR]]),"",Yards[[#This Row],[DSGN CALENDAR YEAR]]+1)</f>
        <v/>
      </c>
      <c r="S292" s="51" t="str">
        <f>IF(ISBLANK(Yards[[#This Row],[DSGN FISCAL YEAR]]),"",Yards[[#This Row],[DSGN FISCAL YEAR]]+1)</f>
        <v/>
      </c>
      <c r="T292" s="51"/>
      <c r="U292" s="128">
        <f ca="1">Yards[[#This Row],[Estimate]]*0.1</f>
        <v>0</v>
      </c>
      <c r="V292" s="47">
        <f ca="1">Yards[[#This Row],[Estimate]]-Yards[[#This Row],[Design Est.]]</f>
        <v>0</v>
      </c>
      <c r="W292" s="85">
        <f ca="1">(Yards[[#This Row],['# yards]]*INDEX(UnitCosts[],MATCH(Yards[[#This Row],[WORK TYPE]],UnitCosts[Work Type],0),2))*(1+((Yards[[#This Row],[est. CONS Year]]-YEAR(TODAY()))*$W$3))</f>
        <v>0</v>
      </c>
      <c r="X292" s="142">
        <f ca="1">IF(ISNUMBER(SEARCH("LLC",Yards[[#This Row],[PROGRAM]])),0,IF(Yards[[#This Row],[RAD/PACT by 2025]]="yes",0,1))</f>
        <v>0</v>
      </c>
      <c r="Y292" s="1"/>
      <c r="Z292" s="1"/>
      <c r="AA292" s="51">
        <f ca="1">COUNTIF($X$5:Yards[[#This Row],['# yards]],"&gt;0")-10</f>
        <v>168</v>
      </c>
      <c r="AB292" s="1">
        <f ca="1">IF(ISBLANK(Yards[[#This Row],[DSGN CALENDAR YEAR]]),ROUNDDOWN(Yards[[#This Row],[Count]]/24,0)+$AB$1,Yards[[#This Row],[DSGN CALENDAR YEAR]])</f>
        <v>2028</v>
      </c>
      <c r="AC292" s="16">
        <f ca="1">Yards[[#This Row],[est. DSGN Year]]+1</f>
        <v>2029</v>
      </c>
    </row>
    <row r="293" spans="1:29" hidden="1">
      <c r="A293" s="13" t="s">
        <v>376</v>
      </c>
      <c r="B293" s="51" t="str">
        <f>VLOOKUP(Yards[[#This Row],[DEVELOPMENT]],Data[],2,FALSE)</f>
        <v>MANHATTAN</v>
      </c>
      <c r="C293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93" s="51" t="str">
        <f>VLOOKUP(Yards[[#This Row],[DEVELOPMENT]],Data[],52,FALSE)</f>
        <v>FEDERAL</v>
      </c>
      <c r="E293" s="50">
        <f>VLOOKUP(Yards[[#This Row],[DEVELOPMENT]],Data[],8,FALSE)</f>
        <v>0</v>
      </c>
      <c r="F293" s="51" t="str">
        <f>VLOOKUP(Yards[[#This Row],[DEVELOPMENT]],all[[DEVELOPMENT]:[MRST Ext. Comp. Priority]],6,FALSE)</f>
        <v>None</v>
      </c>
      <c r="G293" s="51">
        <f>VLOOKUP(Yards[[#This Row],[DEVELOPMENT]],all[[DEVELOPMENT]:[MRST Ext. Comp. Priority]],13,FALSE)</f>
        <v>4</v>
      </c>
      <c r="H293" s="50">
        <f>IF(VLOOKUP(Yards[[#This Row],[DEVELOPMENT]],Data[],9,FALSE)=0,5,VLOOKUP(Yards[[#This Row],[DEVELOPMENT]],Data[],9,FALSE))</f>
        <v>5</v>
      </c>
      <c r="I293" s="51">
        <f>VLOOKUP(Yards[[#This Row],[DEVELOPMENT]],Data[],33,FALSE)</f>
        <v>0</v>
      </c>
      <c r="J293" s="51">
        <f>VLOOKUP(Yards[[#This Row],[DEVELOPMENT]],Data[],28,FALSE)</f>
        <v>0</v>
      </c>
      <c r="K293" s="51"/>
      <c r="L293" s="50"/>
      <c r="M293" s="51" t="str">
        <f ca="1">IFERROR(VLOOKUP(Yards[[#This Row],[DEVELOPMENT]],Data[],4,FALSE),"")</f>
        <v>2020-2021</v>
      </c>
      <c r="N293" s="51" t="str">
        <f ca="1">IF(Yards[[#This Row],[RAD/PACT]]="","",IF(OR(Yards[[#This Row],[RAD/PACT]]="2022-2025",Yards[[#This Row],[RAD/PACT]]=2019,Yards[[#This Row],[RAD/PACT]]="2020-2021"),"Yes",""))</f>
        <v>Yes</v>
      </c>
      <c r="O293" s="51" t="str">
        <f ca="1">IFERROR(VLOOKUP(Yards[[#This Row],[DEVELOPMENT]],ExtComp[],8,FALSE),"")</f>
        <v/>
      </c>
      <c r="P293" s="51"/>
      <c r="Q293" s="51"/>
      <c r="R293" s="51" t="str">
        <f>IF(ISBLANK(Yards[[#This Row],[DSGN CALENDAR YEAR]]),"",Yards[[#This Row],[DSGN CALENDAR YEAR]]+1)</f>
        <v/>
      </c>
      <c r="S293" s="51" t="str">
        <f>IF(ISBLANK(Yards[[#This Row],[DSGN FISCAL YEAR]]),"",Yards[[#This Row],[DSGN FISCAL YEAR]]+1)</f>
        <v/>
      </c>
      <c r="T293" s="51"/>
      <c r="U293" s="128">
        <f ca="1">Yards[[#This Row],[Estimate]]*0.1</f>
        <v>0</v>
      </c>
      <c r="V293" s="47">
        <f ca="1">Yards[[#This Row],[Estimate]]-Yards[[#This Row],[Design Est.]]</f>
        <v>0</v>
      </c>
      <c r="W293" s="85">
        <f ca="1">(Yards[[#This Row],['# yards]]*INDEX(UnitCosts[],MATCH(Yards[[#This Row],[WORK TYPE]],UnitCosts[Work Type],0),2))*(1+((Yards[[#This Row],[est. CONS Year]]-YEAR(TODAY()))*$W$3))</f>
        <v>0</v>
      </c>
      <c r="X293" s="142">
        <f ca="1">IF(ISNUMBER(SEARCH("LLC",Yards[[#This Row],[PROGRAM]])),0,IF(Yards[[#This Row],[RAD/PACT by 2025]]="yes",0,1))</f>
        <v>0</v>
      </c>
      <c r="Y293" s="1"/>
      <c r="Z293" s="1"/>
      <c r="AA293" s="51">
        <f ca="1">COUNTIF($X$5:Yards[[#This Row],['# yards]],"&gt;0")-10</f>
        <v>168</v>
      </c>
      <c r="AB293" s="1">
        <f ca="1">IF(ISBLANK(Yards[[#This Row],[DSGN CALENDAR YEAR]]),ROUNDDOWN(Yards[[#This Row],[Count]]/24,0)+$AB$1,Yards[[#This Row],[DSGN CALENDAR YEAR]])</f>
        <v>2028</v>
      </c>
      <c r="AC293" s="16">
        <f ca="1">Yards[[#This Row],[est. DSGN Year]]+1</f>
        <v>2029</v>
      </c>
    </row>
    <row r="294" spans="1:29" hidden="1">
      <c r="A294" s="13" t="s">
        <v>71</v>
      </c>
      <c r="B294" s="51" t="str">
        <f>VLOOKUP(Yards[[#This Row],[DEVELOPMENT]],Data[],2,FALSE)</f>
        <v>MANHATTAN</v>
      </c>
      <c r="C294" s="51" t="str">
        <f ca="1"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94" s="51" t="str">
        <f>VLOOKUP(Yards[[#This Row],[DEVELOPMENT]],Data[],52,FALSE)</f>
        <v>FEDERAL</v>
      </c>
      <c r="E294" s="50" t="str">
        <f>VLOOKUP(Yards[[#This Row],[DEVELOPMENT]],Data[],8,FALSE)</f>
        <v>Zone 3</v>
      </c>
      <c r="F294" s="51" t="str">
        <f>VLOOKUP(Yards[[#This Row],[DEVELOPMENT]],all[[DEVELOPMENT]:[MRST Ext. Comp. Priority]],6,FALSE)</f>
        <v>None</v>
      </c>
      <c r="G294" s="51" t="str">
        <f>VLOOKUP(Yards[[#This Row],[DEVELOPMENT]],all[[DEVELOPMENT]:[MRST Ext. Comp. Priority]],13,FALSE)</f>
        <v>None</v>
      </c>
      <c r="H294" s="50">
        <f>IF(VLOOKUP(Yards[[#This Row],[DEVELOPMENT]],Data[],9,FALSE)=0,5,VLOOKUP(Yards[[#This Row],[DEVELOPMENT]],Data[],9,FALSE))</f>
        <v>3</v>
      </c>
      <c r="I294" s="51">
        <f>VLOOKUP(Yards[[#This Row],[DEVELOPMENT]],Data[],33,FALSE)</f>
        <v>1</v>
      </c>
      <c r="J294" s="51">
        <f>VLOOKUP(Yards[[#This Row],[DEVELOPMENT]],Data[],28,FALSE)</f>
        <v>0</v>
      </c>
      <c r="K294" s="51"/>
      <c r="L294" s="50"/>
      <c r="M294" s="51" t="str">
        <f ca="1">IFERROR(VLOOKUP(Yards[[#This Row],[DEVELOPMENT]],Data[],4,FALSE),"")</f>
        <v>2020-2021</v>
      </c>
      <c r="N294" s="51" t="str">
        <f ca="1">IF(Yards[[#This Row],[RAD/PACT]]="","",IF(OR(Yards[[#This Row],[RAD/PACT]]="2022-2025",Yards[[#This Row],[RAD/PACT]]=2019,Yards[[#This Row],[RAD/PACT]]="2020-2021"),"Yes",""))</f>
        <v>Yes</v>
      </c>
      <c r="O294" s="51">
        <f ca="1">IFERROR(VLOOKUP(Yards[[#This Row],[DEVELOPMENT]],ExtComp[],8,FALSE),"")</f>
        <v>20</v>
      </c>
      <c r="P294" s="51"/>
      <c r="Q294" s="51"/>
      <c r="R294" s="51" t="str">
        <f>IF(ISBLANK(Yards[[#This Row],[DSGN CALENDAR YEAR]]),"",Yards[[#This Row],[DSGN CALENDAR YEAR]]+1)</f>
        <v/>
      </c>
      <c r="S294" s="51" t="str">
        <f>IF(ISBLANK(Yards[[#This Row],[DSGN FISCAL YEAR]]),"",Yards[[#This Row],[DSGN FISCAL YEAR]]+1)</f>
        <v/>
      </c>
      <c r="T294" s="51"/>
      <c r="U294" s="128">
        <f ca="1">Yards[[#This Row],[Estimate]]*0.1</f>
        <v>0</v>
      </c>
      <c r="V294" s="47">
        <f ca="1">Yards[[#This Row],[Estimate]]-Yards[[#This Row],[Design Est.]]</f>
        <v>0</v>
      </c>
      <c r="W294" s="85">
        <f ca="1">(Yards[[#This Row],['# yards]]*INDEX(UnitCosts[],MATCH(Yards[[#This Row],[WORK TYPE]],UnitCosts[Work Type],0),2))*(1+((Yards[[#This Row],[est. CONS Year]]-YEAR(TODAY()))*$W$3))</f>
        <v>0</v>
      </c>
      <c r="X294" s="142">
        <f ca="1">IF(ISNUMBER(SEARCH("LLC",Yards[[#This Row],[PROGRAM]])),0,IF(Yards[[#This Row],[RAD/PACT by 2025]]="yes",0,1))</f>
        <v>0</v>
      </c>
      <c r="Y294" s="1"/>
      <c r="Z294" s="1"/>
      <c r="AA294" s="51">
        <f ca="1">COUNTIF($X$5:Yards[[#This Row],['# yards]],"&gt;0")-10</f>
        <v>168</v>
      </c>
      <c r="AB294" s="1">
        <f ca="1">IF(ISBLANK(Yards[[#This Row],[DSGN CALENDAR YEAR]]),ROUNDDOWN(Yards[[#This Row],[Count]]/24,0)+$AB$1,Yards[[#This Row],[DSGN CALENDAR YEAR]])</f>
        <v>2028</v>
      </c>
      <c r="AC294" s="16">
        <f ca="1">Yards[[#This Row],[est. DSGN Year]]+1</f>
        <v>2029</v>
      </c>
    </row>
    <row r="295" spans="1:29" hidden="1">
      <c r="A295" s="13" t="s">
        <v>93</v>
      </c>
      <c r="B295" s="51" t="str">
        <f>VLOOKUP(Yards[[#This Row],[DEVELOPMENT]],Data[],2,FALSE)</f>
        <v>MANHATTAN</v>
      </c>
      <c r="C295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95" s="51" t="str">
        <f>VLOOKUP(Yards[[#This Row],[DEVELOPMENT]],Data[],52,FALSE)</f>
        <v>FEDERAL</v>
      </c>
      <c r="E295" s="50" t="str">
        <f>VLOOKUP(Yards[[#This Row],[DEVELOPMENT]],Data[],8,FALSE)</f>
        <v>Zone 3</v>
      </c>
      <c r="F295" s="51" t="str">
        <f>VLOOKUP(Yards[[#This Row],[DEVELOPMENT]],all[[DEVELOPMENT]:[MRST Ext. Comp. Priority]],6,FALSE)</f>
        <v>None</v>
      </c>
      <c r="G295" s="51" t="str">
        <f>VLOOKUP(Yards[[#This Row],[DEVELOPMENT]],all[[DEVELOPMENT]:[MRST Ext. Comp. Priority]],13,FALSE)</f>
        <v>None</v>
      </c>
      <c r="H295" s="50">
        <f>IF(VLOOKUP(Yards[[#This Row],[DEVELOPMENT]],Data[],9,FALSE)=0,5,VLOOKUP(Yards[[#This Row],[DEVELOPMENT]],Data[],9,FALSE))</f>
        <v>3</v>
      </c>
      <c r="I295" s="51">
        <f>VLOOKUP(Yards[[#This Row],[DEVELOPMENT]],Data[],33,FALSE)</f>
        <v>0</v>
      </c>
      <c r="J295" s="51">
        <f>VLOOKUP(Yards[[#This Row],[DEVELOPMENT]],Data[],28,FALSE)</f>
        <v>0</v>
      </c>
      <c r="K295" s="51"/>
      <c r="L295" s="50"/>
      <c r="M295" s="51" t="str">
        <f ca="1">IFERROR(VLOOKUP(Yards[[#This Row],[DEVELOPMENT]],Data[],4,FALSE),"")</f>
        <v>2020-2021</v>
      </c>
      <c r="N295" s="51" t="str">
        <f ca="1">IF(Yards[[#This Row],[RAD/PACT]]="","",IF(OR(Yards[[#This Row],[RAD/PACT]]="2022-2025",Yards[[#This Row],[RAD/PACT]]=2019,Yards[[#This Row],[RAD/PACT]]="2020-2021"),"Yes",""))</f>
        <v>Yes</v>
      </c>
      <c r="O295" s="51" t="str">
        <f ca="1">IFERROR(VLOOKUP(Yards[[#This Row],[DEVELOPMENT]],ExtComp[],8,FALSE),"")</f>
        <v/>
      </c>
      <c r="P295" s="51"/>
      <c r="Q295" s="51"/>
      <c r="R295" s="51" t="str">
        <f>IF(ISBLANK(Yards[[#This Row],[DSGN CALENDAR YEAR]]),"",Yards[[#This Row],[DSGN CALENDAR YEAR]]+1)</f>
        <v/>
      </c>
      <c r="S295" s="51" t="str">
        <f>IF(ISBLANK(Yards[[#This Row],[DSGN FISCAL YEAR]]),"",Yards[[#This Row],[DSGN FISCAL YEAR]]+1)</f>
        <v/>
      </c>
      <c r="T295" s="51"/>
      <c r="U295" s="128">
        <f ca="1">Yards[[#This Row],[Estimate]]*0.1</f>
        <v>0</v>
      </c>
      <c r="V295" s="47">
        <f ca="1">Yards[[#This Row],[Estimate]]-Yards[[#This Row],[Design Est.]]</f>
        <v>0</v>
      </c>
      <c r="W295" s="85">
        <f ca="1">(Yards[[#This Row],['# yards]]*INDEX(UnitCosts[],MATCH(Yards[[#This Row],[WORK TYPE]],UnitCosts[Work Type],0),2))*(1+((Yards[[#This Row],[est. CONS Year]]-YEAR(TODAY()))*$W$3))</f>
        <v>0</v>
      </c>
      <c r="X295" s="142">
        <f ca="1">IF(ISNUMBER(SEARCH("LLC",Yards[[#This Row],[PROGRAM]])),0,IF(Yards[[#This Row],[RAD/PACT by 2025]]="yes",0,1))</f>
        <v>0</v>
      </c>
      <c r="Y295" s="1"/>
      <c r="Z295" s="1"/>
      <c r="AA295" s="51">
        <f ca="1">COUNTIF($X$5:Yards[[#This Row],['# yards]],"&gt;0")-10</f>
        <v>168</v>
      </c>
      <c r="AB295" s="1">
        <f ca="1">IF(ISBLANK(Yards[[#This Row],[DSGN CALENDAR YEAR]]),ROUNDDOWN(Yards[[#This Row],[Count]]/24,0)+$AB$1,Yards[[#This Row],[DSGN CALENDAR YEAR]])</f>
        <v>2028</v>
      </c>
      <c r="AC295" s="16">
        <f ca="1">Yards[[#This Row],[est. DSGN Year]]+1</f>
        <v>2029</v>
      </c>
    </row>
    <row r="296" spans="1:29">
      <c r="A296" s="13" t="s">
        <v>332</v>
      </c>
      <c r="B296" s="51" t="str">
        <f>VLOOKUP(Yards[[#This Row],[DEVELOPMENT]],Data[],2,FALSE)</f>
        <v>BRONX</v>
      </c>
      <c r="C29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296" s="51" t="str">
        <f>VLOOKUP(Yards[[#This Row],[DEVELOPMENT]],Data[],52,FALSE)</f>
        <v>FEDERAL</v>
      </c>
      <c r="E296" s="50" t="str">
        <f>VLOOKUP(Yards[[#This Row],[DEVELOPMENT]],Data[],8,FALSE)</f>
        <v>Zone 1</v>
      </c>
      <c r="F296" s="51" t="str">
        <f>VLOOKUP(Yards[[#This Row],[DEVELOPMENT]],all[[DEVELOPMENT]:[MRST Ext. Comp. Priority]],6,FALSE)</f>
        <v>None</v>
      </c>
      <c r="G296" s="51" t="str">
        <f>VLOOKUP(Yards[[#This Row],[DEVELOPMENT]],all[[DEVELOPMENT]:[MRST Ext. Comp. Priority]],13,FALSE)</f>
        <v>None</v>
      </c>
      <c r="H296" s="50">
        <f>IF(VLOOKUP(Yards[[#This Row],[DEVELOPMENT]],Data[],9,FALSE)=0,5,VLOOKUP(Yards[[#This Row],[DEVELOPMENT]],Data[],9,FALSE))</f>
        <v>4</v>
      </c>
      <c r="I296" s="51">
        <f>VLOOKUP(Yards[[#This Row],[DEVELOPMENT]],Data[],33,FALSE)</f>
        <v>2</v>
      </c>
      <c r="J296" s="51">
        <f>VLOOKUP(Yards[[#This Row],[DEVELOPMENT]],Data[],28,FALSE)</f>
        <v>0</v>
      </c>
      <c r="K296" s="51"/>
      <c r="L296" s="50"/>
      <c r="M296" s="51" t="str">
        <f ca="1">IFERROR(VLOOKUP(Yards[[#This Row],[DEVELOPMENT]],Data[],4,FALSE),"")</f>
        <v/>
      </c>
      <c r="N296" s="51" t="str">
        <f ca="1">IF(Yards[[#This Row],[RAD/PACT]]="","",IF(OR(Yards[[#This Row],[RAD/PACT]]="2022-2025",Yards[[#This Row],[RAD/PACT]]=2019,Yards[[#This Row],[RAD/PACT]]="2020-2021"),"Yes",""))</f>
        <v/>
      </c>
      <c r="O296" s="51">
        <f ca="1">IFERROR(VLOOKUP(Yards[[#This Row],[DEVELOPMENT]],ExtComp[],8,FALSE),"")</f>
        <v>19</v>
      </c>
      <c r="P296" s="51"/>
      <c r="Q296" s="51"/>
      <c r="R296" s="51" t="str">
        <f>IF(ISBLANK(Yards[[#This Row],[DSGN CALENDAR YEAR]]),"",Yards[[#This Row],[DSGN CALENDAR YEAR]]+1)</f>
        <v/>
      </c>
      <c r="S296" s="51" t="str">
        <f>IF(ISBLANK(Yards[[#This Row],[DSGN FISCAL YEAR]]),"",Yards[[#This Row],[DSGN FISCAL YEAR]]+1)</f>
        <v/>
      </c>
      <c r="T296" s="51"/>
      <c r="U296" s="128">
        <f ca="1">Yards[[#This Row],[Estimate]]*0.1</f>
        <v>265686.40251975006</v>
      </c>
      <c r="V296" s="47">
        <f ca="1">Yards[[#This Row],[Estimate]]-Yards[[#This Row],[Design Est.]]</f>
        <v>2391177.6226777504</v>
      </c>
      <c r="W296" s="85">
        <f ca="1">(Yards[[#This Row],['# yards]]*INDEX(UnitCosts[],MATCH(Yards[[#This Row],[WORK TYPE]],UnitCosts[Work Type],0),2))*(1+((Yards[[#This Row],[est. CONS Year]]-YEAR(TODAY()))*$W$3))</f>
        <v>2656864.0251975004</v>
      </c>
      <c r="X296" s="142">
        <f ca="1">IF(ISNUMBER(SEARCH("LLC",Yards[[#This Row],[PROGRAM]])),0,IF(Yards[[#This Row],[RAD/PACT by 2025]]="yes",0,1))</f>
        <v>1</v>
      </c>
      <c r="Y296" s="1"/>
      <c r="Z296" s="1"/>
      <c r="AA296" s="51">
        <f ca="1">COUNTIF($X$5:Yards[[#This Row],['# yards]],"&gt;0")-10</f>
        <v>169</v>
      </c>
      <c r="AB296" s="1">
        <f ca="1">IF(ISBLANK(Yards[[#This Row],[DSGN CALENDAR YEAR]]),ROUNDDOWN(Yards[[#This Row],[Count]]/24,0)+$AB$1,Yards[[#This Row],[DSGN CALENDAR YEAR]])</f>
        <v>2028</v>
      </c>
      <c r="AC296" s="16">
        <f ca="1">Yards[[#This Row],[est. DSGN Year]]+1</f>
        <v>2029</v>
      </c>
    </row>
    <row r="297" spans="1:29">
      <c r="A297" s="13" t="s">
        <v>65</v>
      </c>
      <c r="B297" s="51" t="str">
        <f>VLOOKUP(Yards[[#This Row],[DEVELOPMENT]],Data[],2,FALSE)</f>
        <v>MANHATTAN</v>
      </c>
      <c r="C297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97" s="51" t="str">
        <f>VLOOKUP(Yards[[#This Row],[DEVELOPMENT]],Data[],52,FALSE)</f>
        <v>FEDERAL</v>
      </c>
      <c r="E297" s="50" t="str">
        <f>VLOOKUP(Yards[[#This Row],[DEVELOPMENT]],Data[],8,FALSE)</f>
        <v>Zone 1</v>
      </c>
      <c r="F297" s="51" t="str">
        <f>VLOOKUP(Yards[[#This Row],[DEVELOPMENT]],all[[DEVELOPMENT]:[MRST Ext. Comp. Priority]],6,FALSE)</f>
        <v>None</v>
      </c>
      <c r="G297" s="51" t="str">
        <f>VLOOKUP(Yards[[#This Row],[DEVELOPMENT]],all[[DEVELOPMENT]:[MRST Ext. Comp. Priority]],13,FALSE)</f>
        <v>None</v>
      </c>
      <c r="H297" s="50">
        <f>IF(VLOOKUP(Yards[[#This Row],[DEVELOPMENT]],Data[],9,FALSE)=0,5,VLOOKUP(Yards[[#This Row],[DEVELOPMENT]],Data[],9,FALSE))</f>
        <v>4</v>
      </c>
      <c r="I297" s="51">
        <f>VLOOKUP(Yards[[#This Row],[DEVELOPMENT]],Data[],33,FALSE)</f>
        <v>0</v>
      </c>
      <c r="J297" s="51">
        <f>VLOOKUP(Yards[[#This Row],[DEVELOPMENT]],Data[],28,FALSE)</f>
        <v>0</v>
      </c>
      <c r="K297" s="51"/>
      <c r="L297" s="50"/>
      <c r="M297" s="51" t="str">
        <f ca="1">IFERROR(VLOOKUP(Yards[[#This Row],[DEVELOPMENT]],Data[],4,FALSE),"")</f>
        <v/>
      </c>
      <c r="N297" s="51" t="str">
        <f ca="1">IF(Yards[[#This Row],[RAD/PACT]]="","",IF(OR(Yards[[#This Row],[RAD/PACT]]="2022-2025",Yards[[#This Row],[RAD/PACT]]=2019,Yards[[#This Row],[RAD/PACT]]="2020-2021"),"Yes",""))</f>
        <v/>
      </c>
      <c r="O297" s="51" t="str">
        <f ca="1">IFERROR(VLOOKUP(Yards[[#This Row],[DEVELOPMENT]],ExtComp[],8,FALSE),"")</f>
        <v/>
      </c>
      <c r="P297" s="51"/>
      <c r="Q297" s="51"/>
      <c r="R297" s="51" t="str">
        <f>IF(ISBLANK(Yards[[#This Row],[DSGN CALENDAR YEAR]]),"",Yards[[#This Row],[DSGN CALENDAR YEAR]]+1)</f>
        <v/>
      </c>
      <c r="S297" s="51" t="str">
        <f>IF(ISBLANK(Yards[[#This Row],[DSGN FISCAL YEAR]]),"",Yards[[#This Row],[DSGN FISCAL YEAR]]+1)</f>
        <v/>
      </c>
      <c r="T297" s="51"/>
      <c r="U297" s="128">
        <f ca="1">Yards[[#This Row],[Estimate]]*0.1</f>
        <v>237692.26665100004</v>
      </c>
      <c r="V297" s="47">
        <f ca="1">Yards[[#This Row],[Estimate]]-Yards[[#This Row],[Design Est.]]</f>
        <v>2139230.3998590005</v>
      </c>
      <c r="W297" s="85">
        <f ca="1">(Yards[[#This Row],['# yards]]*INDEX(UnitCosts[],MATCH(Yards[[#This Row],[WORK TYPE]],UnitCosts[Work Type],0),2))*(1+((Yards[[#This Row],[est. CONS Year]]-YEAR(TODAY()))*$W$3))</f>
        <v>2376922.6665100004</v>
      </c>
      <c r="X297" s="142">
        <f ca="1">IF(ISNUMBER(SEARCH("LLC",Yards[[#This Row],[PROGRAM]])),0,IF(Yards[[#This Row],[RAD/PACT by 2025]]="yes",0,1))</f>
        <v>1</v>
      </c>
      <c r="Y297" s="1"/>
      <c r="Z297" s="1"/>
      <c r="AA297" s="51">
        <f ca="1">COUNTIF($X$5:Yards[[#This Row],['# yards]],"&gt;0")-10</f>
        <v>170</v>
      </c>
      <c r="AB297" s="1">
        <f ca="1">IF(ISBLANK(Yards[[#This Row],[DSGN CALENDAR YEAR]]),ROUNDDOWN(Yards[[#This Row],[Count]]/24,0)+$AB$1,Yards[[#This Row],[DSGN CALENDAR YEAR]])</f>
        <v>2028</v>
      </c>
      <c r="AC297" s="16">
        <f ca="1">Yards[[#This Row],[est. DSGN Year]]+1</f>
        <v>2029</v>
      </c>
    </row>
    <row r="298" spans="1:29" hidden="1">
      <c r="A298" s="13" t="s">
        <v>371</v>
      </c>
      <c r="B298" s="51" t="str">
        <f>VLOOKUP(Yards[[#This Row],[DEVELOPMENT]],Data[],2,FALSE)</f>
        <v>MANHATTAN</v>
      </c>
      <c r="C298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298" s="51" t="str">
        <f>VLOOKUP(Yards[[#This Row],[DEVELOPMENT]],Data[],52,FALSE)</f>
        <v>FEDERAL</v>
      </c>
      <c r="E298" s="50" t="str">
        <f>VLOOKUP(Yards[[#This Row],[DEVELOPMENT]],Data[],8,FALSE)</f>
        <v>Zone 4</v>
      </c>
      <c r="F298" s="51" t="str">
        <f>VLOOKUP(Yards[[#This Row],[DEVELOPMENT]],all[[DEVELOPMENT]:[MRST Ext. Comp. Priority]],6,FALSE)</f>
        <v>None</v>
      </c>
      <c r="G298" s="51" t="str">
        <f>VLOOKUP(Yards[[#This Row],[DEVELOPMENT]],all[[DEVELOPMENT]:[MRST Ext. Comp. Priority]],13,FALSE)</f>
        <v>None</v>
      </c>
      <c r="H298" s="50">
        <f>IF(VLOOKUP(Yards[[#This Row],[DEVELOPMENT]],Data[],9,FALSE)=0,5,VLOOKUP(Yards[[#This Row],[DEVELOPMENT]],Data[],9,FALSE))</f>
        <v>5</v>
      </c>
      <c r="I298" s="51">
        <f>VLOOKUP(Yards[[#This Row],[DEVELOPMENT]],Data[],33,FALSE)</f>
        <v>0</v>
      </c>
      <c r="J298" s="51">
        <f>VLOOKUP(Yards[[#This Row],[DEVELOPMENT]],Data[],28,FALSE)</f>
        <v>0</v>
      </c>
      <c r="K298" s="51"/>
      <c r="L298" s="50"/>
      <c r="M298" s="51" t="str">
        <f ca="1">IFERROR(VLOOKUP(Yards[[#This Row],[DEVELOPMENT]],Data[],4,FALSE),"")</f>
        <v/>
      </c>
      <c r="N298" s="51" t="str">
        <f ca="1">IF(Yards[[#This Row],[RAD/PACT]]="","",IF(OR(Yards[[#This Row],[RAD/PACT]]="2022-2025",Yards[[#This Row],[RAD/PACT]]=2019,Yards[[#This Row],[RAD/PACT]]="2020-2021"),"Yes",""))</f>
        <v/>
      </c>
      <c r="O298" s="51" t="str">
        <f ca="1">IFERROR(VLOOKUP(Yards[[#This Row],[DEVELOPMENT]],ExtComp[],8,FALSE),"")</f>
        <v/>
      </c>
      <c r="P298" s="51"/>
      <c r="Q298" s="51"/>
      <c r="R298" s="51" t="str">
        <f>IF(ISBLANK(Yards[[#This Row],[DSGN CALENDAR YEAR]]),"",Yards[[#This Row],[DSGN CALENDAR YEAR]]+1)</f>
        <v/>
      </c>
      <c r="S298" s="51" t="str">
        <f>IF(ISBLANK(Yards[[#This Row],[DSGN FISCAL YEAR]]),"",Yards[[#This Row],[DSGN FISCAL YEAR]]+1)</f>
        <v/>
      </c>
      <c r="T298" s="51"/>
      <c r="U298" s="128">
        <f>Yards[[#This Row],[Estimate]]*0.1</f>
        <v>0</v>
      </c>
      <c r="V298" s="47">
        <f>Yards[[#This Row],[Estimate]]-Yards[[#This Row],[Design Est.]]</f>
        <v>0</v>
      </c>
      <c r="W298" s="85"/>
      <c r="X298" s="142"/>
      <c r="Y298" s="1"/>
      <c r="Z298" s="1"/>
      <c r="AA298" s="51">
        <f ca="1">COUNTIF($X$5:Yards[[#This Row],['# yards]],"&gt;0")-10</f>
        <v>170</v>
      </c>
      <c r="AB298" s="1">
        <f ca="1">IF(ISBLANK(Yards[[#This Row],[DSGN CALENDAR YEAR]]),ROUNDDOWN(Yards[[#This Row],[Count]]/24,0)+$AB$1,Yards[[#This Row],[DSGN CALENDAR YEAR]])</f>
        <v>2028</v>
      </c>
      <c r="AC298" s="16">
        <f ca="1">Yards[[#This Row],[est. DSGN Year]]+1</f>
        <v>2029</v>
      </c>
    </row>
    <row r="299" spans="1:29">
      <c r="A299" s="13" t="s">
        <v>301</v>
      </c>
      <c r="B299" s="51" t="str">
        <f>VLOOKUP(Yards[[#This Row],[DEVELOPMENT]],Data[],2,FALSE)</f>
        <v>QUEENS</v>
      </c>
      <c r="C299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299" s="51" t="str">
        <f>VLOOKUP(Yards[[#This Row],[DEVELOPMENT]],Data[],52,FALSE)</f>
        <v>FEDERAL</v>
      </c>
      <c r="E299" s="50">
        <f>VLOOKUP(Yards[[#This Row],[DEVELOPMENT]],Data[],8,FALSE)</f>
        <v>0</v>
      </c>
      <c r="F299" s="51" t="str">
        <f>VLOOKUP(Yards[[#This Row],[DEVELOPMENT]],all[[DEVELOPMENT]:[MRST Ext. Comp. Priority]],6,FALSE)</f>
        <v>None</v>
      </c>
      <c r="G299" s="51" t="str">
        <f>VLOOKUP(Yards[[#This Row],[DEVELOPMENT]],all[[DEVELOPMENT]:[MRST Ext. Comp. Priority]],13,FALSE)</f>
        <v>None</v>
      </c>
      <c r="H299" s="50">
        <f>IF(VLOOKUP(Yards[[#This Row],[DEVELOPMENT]],Data[],9,FALSE)=0,5,VLOOKUP(Yards[[#This Row],[DEVELOPMENT]],Data[],9,FALSE))</f>
        <v>5</v>
      </c>
      <c r="I299" s="51">
        <f>VLOOKUP(Yards[[#This Row],[DEVELOPMENT]],Data[],33,FALSE)</f>
        <v>2</v>
      </c>
      <c r="J299" s="51">
        <f>VLOOKUP(Yards[[#This Row],[DEVELOPMENT]],Data[],28,FALSE)</f>
        <v>0</v>
      </c>
      <c r="K299" s="51"/>
      <c r="L299" s="50"/>
      <c r="M299" s="51" t="str">
        <f ca="1">IFERROR(VLOOKUP(Yards[[#This Row],[DEVELOPMENT]],Data[],4,FALSE),"")</f>
        <v>2026+</v>
      </c>
      <c r="N299" s="51" t="str">
        <f ca="1">IF(Yards[[#This Row],[RAD/PACT]]="","",IF(OR(Yards[[#This Row],[RAD/PACT]]="2022-2025",Yards[[#This Row],[RAD/PACT]]=2019,Yards[[#This Row],[RAD/PACT]]="2020-2021"),"Yes",""))</f>
        <v/>
      </c>
      <c r="O299" s="51">
        <f ca="1">IFERROR(VLOOKUP(Yards[[#This Row],[DEVELOPMENT]],ExtComp[],8,FALSE),"")</f>
        <v>5</v>
      </c>
      <c r="P299" s="51"/>
      <c r="Q299" s="51"/>
      <c r="R299" s="51" t="str">
        <f>IF(ISBLANK(Yards[[#This Row],[DSGN CALENDAR YEAR]]),"",Yards[[#This Row],[DSGN CALENDAR YEAR]]+1)</f>
        <v/>
      </c>
      <c r="S299" s="51" t="str">
        <f>IF(ISBLANK(Yards[[#This Row],[DSGN FISCAL YEAR]]),"",Yards[[#This Row],[DSGN FISCAL YEAR]]+1)</f>
        <v/>
      </c>
      <c r="T299" s="51"/>
      <c r="U299" s="128">
        <f ca="1">Yards[[#This Row],[Estimate]]*0.1</f>
        <v>179137.69649855004</v>
      </c>
      <c r="V299" s="47">
        <f ca="1">Yards[[#This Row],[Estimate]]-Yards[[#This Row],[Design Est.]]</f>
        <v>1612239.2684869503</v>
      </c>
      <c r="W299" s="85">
        <f ca="1">(Yards[[#This Row],['# yards]]*INDEX(UnitCosts[],MATCH(Yards[[#This Row],[WORK TYPE]],UnitCosts[Work Type],0),2))*(1+((Yards[[#This Row],[est. CONS Year]]-YEAR(TODAY()))*$W$3))</f>
        <v>1791376.9649855003</v>
      </c>
      <c r="X299" s="142">
        <f ca="1">IF(ISNUMBER(SEARCH("LLC",Yards[[#This Row],[PROGRAM]])),0,IF(Yards[[#This Row],[RAD/PACT by 2025]]="yes",0,1))</f>
        <v>1</v>
      </c>
      <c r="Y299" s="1"/>
      <c r="Z299" s="1"/>
      <c r="AA299" s="51">
        <f ca="1">COUNTIF($X$5:Yards[[#This Row],['# yards]],"&gt;0")-10</f>
        <v>171</v>
      </c>
      <c r="AB299" s="1">
        <f ca="1">IF(ISBLANK(Yards[[#This Row],[DSGN CALENDAR YEAR]]),ROUNDDOWN(Yards[[#This Row],[Count]]/24,0)+$AB$1,Yards[[#This Row],[DSGN CALENDAR YEAR]])</f>
        <v>2028</v>
      </c>
      <c r="AC299" s="16">
        <f ca="1">Yards[[#This Row],[est. DSGN Year]]+1</f>
        <v>2029</v>
      </c>
    </row>
    <row r="300" spans="1:29">
      <c r="A300" s="13" t="s">
        <v>302</v>
      </c>
      <c r="B300" s="51" t="str">
        <f>VLOOKUP(Yards[[#This Row],[DEVELOPMENT]],Data[],2,FALSE)</f>
        <v>BROOKLYN</v>
      </c>
      <c r="C300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00" s="51" t="str">
        <f>VLOOKUP(Yards[[#This Row],[DEVELOPMENT]],Data[],52,FALSE)</f>
        <v>FEDERAL</v>
      </c>
      <c r="E300" s="50">
        <f>VLOOKUP(Yards[[#This Row],[DEVELOPMENT]],Data[],8,FALSE)</f>
        <v>0</v>
      </c>
      <c r="F300" s="51" t="str">
        <f>VLOOKUP(Yards[[#This Row],[DEVELOPMENT]],all[[DEVELOPMENT]:[MRST Ext. Comp. Priority]],6,FALSE)</f>
        <v>None</v>
      </c>
      <c r="G300" s="51" t="str">
        <f>VLOOKUP(Yards[[#This Row],[DEVELOPMENT]],all[[DEVELOPMENT]:[MRST Ext. Comp. Priority]],13,FALSE)</f>
        <v>None</v>
      </c>
      <c r="H300" s="50">
        <f>IF(VLOOKUP(Yards[[#This Row],[DEVELOPMENT]],Data[],9,FALSE)=0,5,VLOOKUP(Yards[[#This Row],[DEVELOPMENT]],Data[],9,FALSE))</f>
        <v>5</v>
      </c>
      <c r="I300" s="51">
        <f>VLOOKUP(Yards[[#This Row],[DEVELOPMENT]],Data[],33,FALSE)</f>
        <v>0</v>
      </c>
      <c r="J300" s="51">
        <f>VLOOKUP(Yards[[#This Row],[DEVELOPMENT]],Data[],28,FALSE)</f>
        <v>0</v>
      </c>
      <c r="K300" s="51"/>
      <c r="L300" s="50"/>
      <c r="M300" s="51" t="str">
        <f ca="1">IFERROR(VLOOKUP(Yards[[#This Row],[DEVELOPMENT]],Data[],4,FALSE),"")</f>
        <v/>
      </c>
      <c r="N300" s="51" t="str">
        <f ca="1">IF(Yards[[#This Row],[RAD/PACT]]="","",IF(OR(Yards[[#This Row],[RAD/PACT]]="2022-2025",Yards[[#This Row],[RAD/PACT]]=2019,Yards[[#This Row],[RAD/PACT]]="2020-2021"),"Yes",""))</f>
        <v/>
      </c>
      <c r="O300" s="51" t="str">
        <f ca="1">IFERROR(VLOOKUP(Yards[[#This Row],[DEVELOPMENT]],ExtComp[],8,FALSE),"")</f>
        <v/>
      </c>
      <c r="P300" s="51"/>
      <c r="Q300" s="51"/>
      <c r="R300" s="51" t="str">
        <f>IF(ISBLANK(Yards[[#This Row],[DSGN CALENDAR YEAR]]),"",Yards[[#This Row],[DSGN CALENDAR YEAR]]+1)</f>
        <v/>
      </c>
      <c r="S300" s="51" t="str">
        <f>IF(ISBLANK(Yards[[#This Row],[DSGN FISCAL YEAR]]),"",Yards[[#This Row],[DSGN FISCAL YEAR]]+1)</f>
        <v/>
      </c>
      <c r="T300" s="51"/>
      <c r="U300" s="128">
        <f ca="1">Yards[[#This Row],[Estimate]]*0.1</f>
        <v>237692.26665100004</v>
      </c>
      <c r="V300" s="47">
        <f ca="1">Yards[[#This Row],[Estimate]]-Yards[[#This Row],[Design Est.]]</f>
        <v>2139230.3998590005</v>
      </c>
      <c r="W300" s="85">
        <f ca="1">(Yards[[#This Row],['# yards]]*INDEX(UnitCosts[],MATCH(Yards[[#This Row],[WORK TYPE]],UnitCosts[Work Type],0),2))*(1+((Yards[[#This Row],[est. CONS Year]]-YEAR(TODAY()))*$W$3))</f>
        <v>2376922.6665100004</v>
      </c>
      <c r="X300" s="142">
        <f ca="1">IF(ISNUMBER(SEARCH("LLC",Yards[[#This Row],[PROGRAM]])),0,IF(Yards[[#This Row],[RAD/PACT by 2025]]="yes",0,1))</f>
        <v>1</v>
      </c>
      <c r="Y300" s="1"/>
      <c r="Z300" s="1"/>
      <c r="AA300" s="51">
        <f ca="1">COUNTIF($X$5:Yards[[#This Row],['# yards]],"&gt;0")-10</f>
        <v>172</v>
      </c>
      <c r="AB300" s="1">
        <f ca="1">IF(ISBLANK(Yards[[#This Row],[DSGN CALENDAR YEAR]]),ROUNDDOWN(Yards[[#This Row],[Count]]/24,0)+$AB$1,Yards[[#This Row],[DSGN CALENDAR YEAR]])</f>
        <v>2028</v>
      </c>
      <c r="AC300" s="16">
        <f ca="1">Yards[[#This Row],[est. DSGN Year]]+1</f>
        <v>2029</v>
      </c>
    </row>
    <row r="301" spans="1:29">
      <c r="A301" s="13" t="s">
        <v>305</v>
      </c>
      <c r="B301" s="51" t="str">
        <f>VLOOKUP(Yards[[#This Row],[DEVELOPMENT]],Data[],2,FALSE)</f>
        <v>BROOKLYN</v>
      </c>
      <c r="C301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01" s="51" t="str">
        <f>VLOOKUP(Yards[[#This Row],[DEVELOPMENT]],Data[],52,FALSE)</f>
        <v>FEDERAL</v>
      </c>
      <c r="E301" s="50">
        <f>VLOOKUP(Yards[[#This Row],[DEVELOPMENT]],Data[],8,FALSE)</f>
        <v>0</v>
      </c>
      <c r="F301" s="51" t="str">
        <f>VLOOKUP(Yards[[#This Row],[DEVELOPMENT]],all[[DEVELOPMENT]:[MRST Ext. Comp. Priority]],6,FALSE)</f>
        <v>None</v>
      </c>
      <c r="G301" s="51" t="str">
        <f>VLOOKUP(Yards[[#This Row],[DEVELOPMENT]],all[[DEVELOPMENT]:[MRST Ext. Comp. Priority]],13,FALSE)</f>
        <v>None</v>
      </c>
      <c r="H301" s="50">
        <f>IF(VLOOKUP(Yards[[#This Row],[DEVELOPMENT]],Data[],9,FALSE)=0,5,VLOOKUP(Yards[[#This Row],[DEVELOPMENT]],Data[],9,FALSE))</f>
        <v>5</v>
      </c>
      <c r="I301" s="51">
        <f>VLOOKUP(Yards[[#This Row],[DEVELOPMENT]],Data[],33,FALSE)</f>
        <v>0</v>
      </c>
      <c r="J301" s="51">
        <f>VLOOKUP(Yards[[#This Row],[DEVELOPMENT]],Data[],28,FALSE)</f>
        <v>0</v>
      </c>
      <c r="K301" s="51"/>
      <c r="L301" s="50"/>
      <c r="M301" s="51" t="str">
        <f ca="1">IFERROR(VLOOKUP(Yards[[#This Row],[DEVELOPMENT]],Data[],4,FALSE),"")</f>
        <v/>
      </c>
      <c r="N301" s="51" t="str">
        <f ca="1">IF(Yards[[#This Row],[RAD/PACT]]="","",IF(OR(Yards[[#This Row],[RAD/PACT]]="2022-2025",Yards[[#This Row],[RAD/PACT]]=2019,Yards[[#This Row],[RAD/PACT]]="2020-2021"),"Yes",""))</f>
        <v/>
      </c>
      <c r="O301" s="51" t="str">
        <f ca="1">IFERROR(VLOOKUP(Yards[[#This Row],[DEVELOPMENT]],ExtComp[],8,FALSE),"")</f>
        <v/>
      </c>
      <c r="P301" s="51"/>
      <c r="Q301" s="51"/>
      <c r="R301" s="51" t="str">
        <f>IF(ISBLANK(Yards[[#This Row],[DSGN CALENDAR YEAR]]),"",Yards[[#This Row],[DSGN CALENDAR YEAR]]+1)</f>
        <v/>
      </c>
      <c r="S301" s="51" t="str">
        <f>IF(ISBLANK(Yards[[#This Row],[DSGN FISCAL YEAR]]),"",Yards[[#This Row],[DSGN FISCAL YEAR]]+1)</f>
        <v/>
      </c>
      <c r="T301" s="51"/>
      <c r="U301" s="128">
        <f ca="1">Yards[[#This Row],[Estimate]]*0.1</f>
        <v>237692.26665100004</v>
      </c>
      <c r="V301" s="47">
        <f ca="1">Yards[[#This Row],[Estimate]]-Yards[[#This Row],[Design Est.]]</f>
        <v>2139230.3998590005</v>
      </c>
      <c r="W301" s="85">
        <f ca="1">(Yards[[#This Row],['# yards]]*INDEX(UnitCosts[],MATCH(Yards[[#This Row],[WORK TYPE]],UnitCosts[Work Type],0),2))*(1+((Yards[[#This Row],[est. CONS Year]]-YEAR(TODAY()))*$W$3))</f>
        <v>2376922.6665100004</v>
      </c>
      <c r="X301" s="142">
        <f ca="1">IF(ISNUMBER(SEARCH("LLC",Yards[[#This Row],[PROGRAM]])),0,IF(Yards[[#This Row],[RAD/PACT by 2025]]="yes",0,1))</f>
        <v>1</v>
      </c>
      <c r="Y301" s="1"/>
      <c r="Z301" s="1"/>
      <c r="AA301" s="51">
        <f ca="1">COUNTIF($X$5:Yards[[#This Row],['# yards]],"&gt;0")-10</f>
        <v>173</v>
      </c>
      <c r="AB301" s="1">
        <f ca="1">IF(ISBLANK(Yards[[#This Row],[DSGN CALENDAR YEAR]]),ROUNDDOWN(Yards[[#This Row],[Count]]/24,0)+$AB$1,Yards[[#This Row],[DSGN CALENDAR YEAR]])</f>
        <v>2028</v>
      </c>
      <c r="AC301" s="16">
        <f ca="1">Yards[[#This Row],[est. DSGN Year]]+1</f>
        <v>2029</v>
      </c>
    </row>
    <row r="302" spans="1:29">
      <c r="A302" s="13" t="s">
        <v>392</v>
      </c>
      <c r="B302" s="51" t="str">
        <f>VLOOKUP(Yards[[#This Row],[DEVELOPMENT]],Data[],2,FALSE)</f>
        <v>BROOKLYN</v>
      </c>
      <c r="C30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302" s="51" t="str">
        <f>VLOOKUP(Yards[[#This Row],[DEVELOPMENT]],Data[],52,FALSE)</f>
        <v>FEDERAL</v>
      </c>
      <c r="E302" s="50">
        <f>VLOOKUP(Yards[[#This Row],[DEVELOPMENT]],Data[],8,FALSE)</f>
        <v>0</v>
      </c>
      <c r="F302" s="51" t="str">
        <f>VLOOKUP(Yards[[#This Row],[DEVELOPMENT]],all[[DEVELOPMENT]:[MRST Ext. Comp. Priority]],6,FALSE)</f>
        <v>None</v>
      </c>
      <c r="G302" s="51" t="str">
        <f>VLOOKUP(Yards[[#This Row],[DEVELOPMENT]],all[[DEVELOPMENT]:[MRST Ext. Comp. Priority]],13,FALSE)</f>
        <v>None</v>
      </c>
      <c r="H302" s="50">
        <f>IF(VLOOKUP(Yards[[#This Row],[DEVELOPMENT]],Data[],9,FALSE)=0,5,VLOOKUP(Yards[[#This Row],[DEVELOPMENT]],Data[],9,FALSE))</f>
        <v>5</v>
      </c>
      <c r="I302" s="51">
        <f>VLOOKUP(Yards[[#This Row],[DEVELOPMENT]],Data[],33,FALSE)</f>
        <v>3</v>
      </c>
      <c r="J302" s="51">
        <f>VLOOKUP(Yards[[#This Row],[DEVELOPMENT]],Data[],28,FALSE)</f>
        <v>0</v>
      </c>
      <c r="K302" s="51"/>
      <c r="L302" s="50"/>
      <c r="M302" s="51" t="str">
        <f ca="1">IFERROR(VLOOKUP(Yards[[#This Row],[DEVELOPMENT]],Data[],4,FALSE),"")</f>
        <v>2026+</v>
      </c>
      <c r="N302" s="51" t="str">
        <f ca="1">IF(Yards[[#This Row],[RAD/PACT]]="","",IF(OR(Yards[[#This Row],[RAD/PACT]]="2022-2025",Yards[[#This Row],[RAD/PACT]]=2019,Yards[[#This Row],[RAD/PACT]]="2020-2021"),"Yes",""))</f>
        <v/>
      </c>
      <c r="O302" s="51">
        <f ca="1">IFERROR(VLOOKUP(Yards[[#This Row],[DEVELOPMENT]],ExtComp[],8,FALSE),"")</f>
        <v>15</v>
      </c>
      <c r="P302" s="51"/>
      <c r="Q302" s="51"/>
      <c r="R302" s="51" t="str">
        <f>IF(ISBLANK(Yards[[#This Row],[DSGN CALENDAR YEAR]]),"",Yards[[#This Row],[DSGN CALENDAR YEAR]]+1)</f>
        <v/>
      </c>
      <c r="S302" s="51" t="str">
        <f>IF(ISBLANK(Yards[[#This Row],[DSGN FISCAL YEAR]]),"",Yards[[#This Row],[DSGN FISCAL YEAR]]+1)</f>
        <v/>
      </c>
      <c r="T302" s="51"/>
      <c r="U302" s="128">
        <f ca="1">Yards[[#This Row],[Estimate]]*0.1</f>
        <v>308960.75553035003</v>
      </c>
      <c r="V302" s="47">
        <f ca="1">Yards[[#This Row],[Estimate]]-Yards[[#This Row],[Design Est.]]</f>
        <v>2780646.7997731501</v>
      </c>
      <c r="W302" s="85">
        <f ca="1">(Yards[[#This Row],['# yards]]*INDEX(UnitCosts[],MATCH(Yards[[#This Row],[WORK TYPE]],UnitCosts[Work Type],0),2))*(1+((Yards[[#This Row],[est. CONS Year]]-YEAR(TODAY()))*$W$3))</f>
        <v>3089607.5553035</v>
      </c>
      <c r="X302" s="142">
        <f ca="1">IF(ISNUMBER(SEARCH("LLC",Yards[[#This Row],[PROGRAM]])),0,IF(Yards[[#This Row],[RAD/PACT by 2025]]="yes",0,1))</f>
        <v>1</v>
      </c>
      <c r="Y302" s="1"/>
      <c r="Z302" s="1"/>
      <c r="AA302" s="51">
        <f ca="1">COUNTIF($X$5:Yards[[#This Row],['# yards]],"&gt;0")-10</f>
        <v>174</v>
      </c>
      <c r="AB302" s="1">
        <f ca="1">IF(ISBLANK(Yards[[#This Row],[DSGN CALENDAR YEAR]]),ROUNDDOWN(Yards[[#This Row],[Count]]/24,0)+$AB$1,Yards[[#This Row],[DSGN CALENDAR YEAR]])</f>
        <v>2028</v>
      </c>
      <c r="AC302" s="16">
        <f ca="1">Yards[[#This Row],[est. DSGN Year]]+1</f>
        <v>2029</v>
      </c>
    </row>
    <row r="303" spans="1:29">
      <c r="A303" s="13" t="s">
        <v>306</v>
      </c>
      <c r="B303" s="51" t="str">
        <f>VLOOKUP(Yards[[#This Row],[DEVELOPMENT]],Data[],2,FALSE)</f>
        <v>BROOKLYN</v>
      </c>
      <c r="C303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303" s="51" t="str">
        <f>VLOOKUP(Yards[[#This Row],[DEVELOPMENT]],Data[],52,FALSE)</f>
        <v>FEDERAL</v>
      </c>
      <c r="E303" s="50">
        <f>VLOOKUP(Yards[[#This Row],[DEVELOPMENT]],Data[],8,FALSE)</f>
        <v>0</v>
      </c>
      <c r="F303" s="51" t="str">
        <f>VLOOKUP(Yards[[#This Row],[DEVELOPMENT]],all[[DEVELOPMENT]:[MRST Ext. Comp. Priority]],6,FALSE)</f>
        <v>None</v>
      </c>
      <c r="G303" s="51" t="str">
        <f>VLOOKUP(Yards[[#This Row],[DEVELOPMENT]],all[[DEVELOPMENT]:[MRST Ext. Comp. Priority]],13,FALSE)</f>
        <v>None</v>
      </c>
      <c r="H303" s="50">
        <f>IF(VLOOKUP(Yards[[#This Row],[DEVELOPMENT]],Data[],9,FALSE)=0,5,VLOOKUP(Yards[[#This Row],[DEVELOPMENT]],Data[],9,FALSE))</f>
        <v>5</v>
      </c>
      <c r="I303" s="51">
        <f>VLOOKUP(Yards[[#This Row],[DEVELOPMENT]],Data[],33,FALSE)</f>
        <v>2</v>
      </c>
      <c r="J303" s="51">
        <f>VLOOKUP(Yards[[#This Row],[DEVELOPMENT]],Data[],28,FALSE)</f>
        <v>0</v>
      </c>
      <c r="K303" s="51"/>
      <c r="L303" s="50"/>
      <c r="M303" s="51" t="str">
        <f ca="1">IFERROR(VLOOKUP(Yards[[#This Row],[DEVELOPMENT]],Data[],4,FALSE),"")</f>
        <v/>
      </c>
      <c r="N303" s="51" t="str">
        <f ca="1">IF(Yards[[#This Row],[RAD/PACT]]="","",IF(OR(Yards[[#This Row],[RAD/PACT]]="2022-2025",Yards[[#This Row],[RAD/PACT]]=2019,Yards[[#This Row],[RAD/PACT]]="2020-2021"),"Yes",""))</f>
        <v/>
      </c>
      <c r="O303" s="51">
        <f ca="1">IFERROR(VLOOKUP(Yards[[#This Row],[DEVELOPMENT]],ExtComp[],8,FALSE),"")</f>
        <v>20</v>
      </c>
      <c r="P303" s="51"/>
      <c r="Q303" s="51"/>
      <c r="R303" s="51" t="str">
        <f>IF(ISBLANK(Yards[[#This Row],[DSGN CALENDAR YEAR]]),"",Yards[[#This Row],[DSGN CALENDAR YEAR]]+1)</f>
        <v/>
      </c>
      <c r="S303" s="51" t="str">
        <f>IF(ISBLANK(Yards[[#This Row],[DSGN FISCAL YEAR]]),"",Yards[[#This Row],[DSGN FISCAL YEAR]]+1)</f>
        <v/>
      </c>
      <c r="T303" s="51"/>
      <c r="U303" s="128">
        <f ca="1">Yards[[#This Row],[Estimate]]*0.1</f>
        <v>265686.40251975006</v>
      </c>
      <c r="V303" s="47">
        <f ca="1">Yards[[#This Row],[Estimate]]-Yards[[#This Row],[Design Est.]]</f>
        <v>2391177.6226777504</v>
      </c>
      <c r="W303" s="85">
        <f ca="1">(Yards[[#This Row],['# yards]]*INDEX(UnitCosts[],MATCH(Yards[[#This Row],[WORK TYPE]],UnitCosts[Work Type],0),2))*(1+((Yards[[#This Row],[est. CONS Year]]-YEAR(TODAY()))*$W$3))</f>
        <v>2656864.0251975004</v>
      </c>
      <c r="X303" s="142">
        <f ca="1">IF(ISNUMBER(SEARCH("LLC",Yards[[#This Row],[PROGRAM]])),0,IF(Yards[[#This Row],[RAD/PACT by 2025]]="yes",0,1))</f>
        <v>1</v>
      </c>
      <c r="Y303" s="1"/>
      <c r="Z303" s="1"/>
      <c r="AA303" s="51">
        <f ca="1">COUNTIF($X$5:Yards[[#This Row],['# yards]],"&gt;0")-10</f>
        <v>175</v>
      </c>
      <c r="AB303" s="1">
        <f ca="1">IF(ISBLANK(Yards[[#This Row],[DSGN CALENDAR YEAR]]),ROUNDDOWN(Yards[[#This Row],[Count]]/24,0)+$AB$1,Yards[[#This Row],[DSGN CALENDAR YEAR]])</f>
        <v>2028</v>
      </c>
      <c r="AC303" s="16">
        <f ca="1">Yards[[#This Row],[est. DSGN Year]]+1</f>
        <v>2029</v>
      </c>
    </row>
    <row r="304" spans="1:29">
      <c r="A304" s="13" t="s">
        <v>307</v>
      </c>
      <c r="B304" s="51" t="str">
        <f>VLOOKUP(Yards[[#This Row],[DEVELOPMENT]],Data[],2,FALSE)</f>
        <v>QUEENS</v>
      </c>
      <c r="C304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04" s="51" t="str">
        <f>VLOOKUP(Yards[[#This Row],[DEVELOPMENT]],Data[],52,FALSE)</f>
        <v>FEDERAL</v>
      </c>
      <c r="E304" s="50">
        <f>VLOOKUP(Yards[[#This Row],[DEVELOPMENT]],Data[],8,FALSE)</f>
        <v>0</v>
      </c>
      <c r="F304" s="51" t="str">
        <f>VLOOKUP(Yards[[#This Row],[DEVELOPMENT]],all[[DEVELOPMENT]:[MRST Ext. Comp. Priority]],6,FALSE)</f>
        <v>None</v>
      </c>
      <c r="G304" s="51" t="str">
        <f>VLOOKUP(Yards[[#This Row],[DEVELOPMENT]],all[[DEVELOPMENT]:[MRST Ext. Comp. Priority]],13,FALSE)</f>
        <v>None</v>
      </c>
      <c r="H304" s="50">
        <f>IF(VLOOKUP(Yards[[#This Row],[DEVELOPMENT]],Data[],9,FALSE)=0,5,VLOOKUP(Yards[[#This Row],[DEVELOPMENT]],Data[],9,FALSE))</f>
        <v>5</v>
      </c>
      <c r="I304" s="51">
        <f>VLOOKUP(Yards[[#This Row],[DEVELOPMENT]],Data[],33,FALSE)</f>
        <v>1</v>
      </c>
      <c r="J304" s="51">
        <f>VLOOKUP(Yards[[#This Row],[DEVELOPMENT]],Data[],28,FALSE)</f>
        <v>0</v>
      </c>
      <c r="K304" s="51"/>
      <c r="L304" s="50"/>
      <c r="M304" s="51" t="str">
        <f ca="1">IFERROR(VLOOKUP(Yards[[#This Row],[DEVELOPMENT]],Data[],4,FALSE),"")</f>
        <v>2026+</v>
      </c>
      <c r="N304" s="51" t="str">
        <f ca="1">IF(Yards[[#This Row],[RAD/PACT]]="","",IF(OR(Yards[[#This Row],[RAD/PACT]]="2022-2025",Yards[[#This Row],[RAD/PACT]]=2019,Yards[[#This Row],[RAD/PACT]]="2020-2021"),"Yes",""))</f>
        <v/>
      </c>
      <c r="O304" s="51">
        <f ca="1">IFERROR(VLOOKUP(Yards[[#This Row],[DEVELOPMENT]],ExtComp[],8,FALSE),"")</f>
        <v>23</v>
      </c>
      <c r="P304" s="51"/>
      <c r="Q304" s="51"/>
      <c r="R304" s="51" t="str">
        <f>IF(ISBLANK(Yards[[#This Row],[DSGN CALENDAR YEAR]]),"",Yards[[#This Row],[DSGN CALENDAR YEAR]]+1)</f>
        <v/>
      </c>
      <c r="S304" s="51" t="str">
        <f>IF(ISBLANK(Yards[[#This Row],[DSGN FISCAL YEAR]]),"",Yards[[#This Row],[DSGN FISCAL YEAR]]+1)</f>
        <v/>
      </c>
      <c r="T304" s="51"/>
      <c r="U304" s="128">
        <f ca="1">Yards[[#This Row],[Estimate]]*0.1</f>
        <v>237692.26665100004</v>
      </c>
      <c r="V304" s="47">
        <f ca="1">Yards[[#This Row],[Estimate]]-Yards[[#This Row],[Design Est.]]</f>
        <v>2139230.3998590005</v>
      </c>
      <c r="W304" s="85">
        <f ca="1">(Yards[[#This Row],['# yards]]*INDEX(UnitCosts[],MATCH(Yards[[#This Row],[WORK TYPE]],UnitCosts[Work Type],0),2))*(1+((Yards[[#This Row],[est. CONS Year]]-YEAR(TODAY()))*$W$3))</f>
        <v>2376922.6665100004</v>
      </c>
      <c r="X304" s="142">
        <f ca="1">IF(ISNUMBER(SEARCH("LLC",Yards[[#This Row],[PROGRAM]])),0,IF(Yards[[#This Row],[RAD/PACT by 2025]]="yes",0,1))</f>
        <v>1</v>
      </c>
      <c r="Y304" s="1"/>
      <c r="Z304" s="1"/>
      <c r="AA304" s="51">
        <f ca="1">COUNTIF($X$5:Yards[[#This Row],['# yards]],"&gt;0")-10</f>
        <v>176</v>
      </c>
      <c r="AB304" s="1">
        <f ca="1">IF(ISBLANK(Yards[[#This Row],[DSGN CALENDAR YEAR]]),ROUNDDOWN(Yards[[#This Row],[Count]]/24,0)+$AB$1,Yards[[#This Row],[DSGN CALENDAR YEAR]])</f>
        <v>2028</v>
      </c>
      <c r="AC304" s="16">
        <f ca="1">Yards[[#This Row],[est. DSGN Year]]+1</f>
        <v>2029</v>
      </c>
    </row>
    <row r="305" spans="1:29">
      <c r="A305" s="13" t="s">
        <v>308</v>
      </c>
      <c r="B305" s="51" t="str">
        <f>VLOOKUP(Yards[[#This Row],[DEVELOPMENT]],Data[],2,FALSE)</f>
        <v>STATEN ISLAND</v>
      </c>
      <c r="C30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05" s="51" t="str">
        <f>VLOOKUP(Yards[[#This Row],[DEVELOPMENT]],Data[],52,FALSE)</f>
        <v>FEDERAL</v>
      </c>
      <c r="E305" s="50">
        <f>VLOOKUP(Yards[[#This Row],[DEVELOPMENT]],Data[],8,FALSE)</f>
        <v>0</v>
      </c>
      <c r="F305" s="51" t="str">
        <f>VLOOKUP(Yards[[#This Row],[DEVELOPMENT]],all[[DEVELOPMENT]:[MRST Ext. Comp. Priority]],6,FALSE)</f>
        <v>None</v>
      </c>
      <c r="G305" s="51" t="str">
        <f>VLOOKUP(Yards[[#This Row],[DEVELOPMENT]],all[[DEVELOPMENT]:[MRST Ext. Comp. Priority]],13,FALSE)</f>
        <v>None</v>
      </c>
      <c r="H305" s="50">
        <f>IF(VLOOKUP(Yards[[#This Row],[DEVELOPMENT]],Data[],9,FALSE)=0,5,VLOOKUP(Yards[[#This Row],[DEVELOPMENT]],Data[],9,FALSE))</f>
        <v>5</v>
      </c>
      <c r="I305" s="51">
        <f>VLOOKUP(Yards[[#This Row],[DEVELOPMENT]],Data[],33,FALSE)</f>
        <v>1</v>
      </c>
      <c r="J305" s="51">
        <f>VLOOKUP(Yards[[#This Row],[DEVELOPMENT]],Data[],28,FALSE)</f>
        <v>0</v>
      </c>
      <c r="K305" s="51"/>
      <c r="L305" s="50"/>
      <c r="M305" s="51" t="str">
        <f ca="1">IFERROR(VLOOKUP(Yards[[#This Row],[DEVELOPMENT]],Data[],4,FALSE),"")</f>
        <v/>
      </c>
      <c r="N305" s="51" t="str">
        <f ca="1">IF(Yards[[#This Row],[RAD/PACT]]="","",IF(OR(Yards[[#This Row],[RAD/PACT]]="2022-2025",Yards[[#This Row],[RAD/PACT]]=2019,Yards[[#This Row],[RAD/PACT]]="2020-2021"),"Yes",""))</f>
        <v/>
      </c>
      <c r="O305" s="51">
        <f ca="1">IFERROR(VLOOKUP(Yards[[#This Row],[DEVELOPMENT]],ExtComp[],8,FALSE),"")</f>
        <v>17</v>
      </c>
      <c r="P305" s="51"/>
      <c r="Q305" s="51"/>
      <c r="R305" s="51" t="str">
        <f>IF(ISBLANK(Yards[[#This Row],[DSGN CALENDAR YEAR]]),"",Yards[[#This Row],[DSGN CALENDAR YEAR]]+1)</f>
        <v/>
      </c>
      <c r="S305" s="51" t="str">
        <f>IF(ISBLANK(Yards[[#This Row],[DSGN FISCAL YEAR]]),"",Yards[[#This Row],[DSGN FISCAL YEAR]]+1)</f>
        <v/>
      </c>
      <c r="T305" s="51"/>
      <c r="U305" s="128">
        <f ca="1">Yards[[#This Row],[Estimate]]*0.1</f>
        <v>237692.26665100004</v>
      </c>
      <c r="V305" s="47">
        <f ca="1">Yards[[#This Row],[Estimate]]-Yards[[#This Row],[Design Est.]]</f>
        <v>2139230.3998590005</v>
      </c>
      <c r="W305" s="85">
        <f ca="1">(Yards[[#This Row],['# yards]]*INDEX(UnitCosts[],MATCH(Yards[[#This Row],[WORK TYPE]],UnitCosts[Work Type],0),2))*(1+((Yards[[#This Row],[est. CONS Year]]-YEAR(TODAY()))*$W$3))</f>
        <v>2376922.6665100004</v>
      </c>
      <c r="X305" s="142">
        <f ca="1">IF(ISNUMBER(SEARCH("LLC",Yards[[#This Row],[PROGRAM]])),0,IF(Yards[[#This Row],[RAD/PACT by 2025]]="yes",0,1))</f>
        <v>1</v>
      </c>
      <c r="Y305" s="1"/>
      <c r="Z305" s="1"/>
      <c r="AA305" s="51">
        <f ca="1">COUNTIF($X$5:Yards[[#This Row],['# yards]],"&gt;0")-10</f>
        <v>177</v>
      </c>
      <c r="AB305" s="1">
        <f ca="1">IF(ISBLANK(Yards[[#This Row],[DSGN CALENDAR YEAR]]),ROUNDDOWN(Yards[[#This Row],[Count]]/24,0)+$AB$1,Yards[[#This Row],[DSGN CALENDAR YEAR]])</f>
        <v>2028</v>
      </c>
      <c r="AC305" s="16">
        <f ca="1">Yards[[#This Row],[est. DSGN Year]]+1</f>
        <v>2029</v>
      </c>
    </row>
    <row r="306" spans="1:29">
      <c r="A306" s="13" t="s">
        <v>328</v>
      </c>
      <c r="B306" s="51" t="str">
        <f>VLOOKUP(Yards[[#This Row],[DEVELOPMENT]],Data[],2,FALSE)</f>
        <v>BRONX</v>
      </c>
      <c r="C306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306" s="51" t="str">
        <f>VLOOKUP(Yards[[#This Row],[DEVELOPMENT]],Data[],52,FALSE)</f>
        <v>FEDERAL</v>
      </c>
      <c r="E306" s="50">
        <f>VLOOKUP(Yards[[#This Row],[DEVELOPMENT]],Data[],8,FALSE)</f>
        <v>0</v>
      </c>
      <c r="F306" s="51" t="str">
        <f>VLOOKUP(Yards[[#This Row],[DEVELOPMENT]],all[[DEVELOPMENT]:[MRST Ext. Comp. Priority]],6,FALSE)</f>
        <v>None</v>
      </c>
      <c r="G306" s="51" t="str">
        <f>VLOOKUP(Yards[[#This Row],[DEVELOPMENT]],all[[DEVELOPMENT]:[MRST Ext. Comp. Priority]],13,FALSE)</f>
        <v>None</v>
      </c>
      <c r="H306" s="50">
        <f>IF(VLOOKUP(Yards[[#This Row],[DEVELOPMENT]],Data[],9,FALSE)=0,5,VLOOKUP(Yards[[#This Row],[DEVELOPMENT]],Data[],9,FALSE))</f>
        <v>5</v>
      </c>
      <c r="I306" s="51">
        <f>VLOOKUP(Yards[[#This Row],[DEVELOPMENT]],Data[],33,FALSE)</f>
        <v>2</v>
      </c>
      <c r="J306" s="51">
        <f>VLOOKUP(Yards[[#This Row],[DEVELOPMENT]],Data[],28,FALSE)</f>
        <v>0</v>
      </c>
      <c r="K306" s="51"/>
      <c r="L306" s="50"/>
      <c r="M306" s="51" t="str">
        <f ca="1">IFERROR(VLOOKUP(Yards[[#This Row],[DEVELOPMENT]],Data[],4,FALSE),"")</f>
        <v/>
      </c>
      <c r="N306" s="51" t="str">
        <f ca="1">IF(Yards[[#This Row],[RAD/PACT]]="","",IF(OR(Yards[[#This Row],[RAD/PACT]]="2022-2025",Yards[[#This Row],[RAD/PACT]]=2019,Yards[[#This Row],[RAD/PACT]]="2020-2021"),"Yes",""))</f>
        <v/>
      </c>
      <c r="O306" s="51">
        <f ca="1">IFERROR(VLOOKUP(Yards[[#This Row],[DEVELOPMENT]],ExtComp[],8,FALSE),"")</f>
        <v>11</v>
      </c>
      <c r="P306" s="51"/>
      <c r="Q306" s="51"/>
      <c r="R306" s="51" t="str">
        <f>IF(ISBLANK(Yards[[#This Row],[DSGN CALENDAR YEAR]]),"",Yards[[#This Row],[DSGN CALENDAR YEAR]]+1)</f>
        <v/>
      </c>
      <c r="S306" s="51" t="str">
        <f>IF(ISBLANK(Yards[[#This Row],[DSGN FISCAL YEAR]]),"",Yards[[#This Row],[DSGN FISCAL YEAR]]+1)</f>
        <v/>
      </c>
      <c r="T306" s="51"/>
      <c r="U306" s="128">
        <f ca="1">Yards[[#This Row],[Estimate]]*0.1</f>
        <v>265686.40251975006</v>
      </c>
      <c r="V306" s="47">
        <f ca="1">Yards[[#This Row],[Estimate]]-Yards[[#This Row],[Design Est.]]</f>
        <v>2391177.6226777504</v>
      </c>
      <c r="W306" s="85">
        <f ca="1">(Yards[[#This Row],['# yards]]*INDEX(UnitCosts[],MATCH(Yards[[#This Row],[WORK TYPE]],UnitCosts[Work Type],0),2))*(1+((Yards[[#This Row],[est. CONS Year]]-YEAR(TODAY()))*$W$3))</f>
        <v>2656864.0251975004</v>
      </c>
      <c r="X306" s="142">
        <f ca="1">IF(ISNUMBER(SEARCH("LLC",Yards[[#This Row],[PROGRAM]])),0,IF(Yards[[#This Row],[RAD/PACT by 2025]]="yes",0,1))</f>
        <v>1</v>
      </c>
      <c r="Y306" s="1"/>
      <c r="Z306" s="1"/>
      <c r="AA306" s="51">
        <f ca="1">COUNTIF($X$5:Yards[[#This Row],['# yards]],"&gt;0")-10</f>
        <v>178</v>
      </c>
      <c r="AB306" s="1">
        <f ca="1">IF(ISBLANK(Yards[[#This Row],[DSGN CALENDAR YEAR]]),ROUNDDOWN(Yards[[#This Row],[Count]]/24,0)+$AB$1,Yards[[#This Row],[DSGN CALENDAR YEAR]])</f>
        <v>2028</v>
      </c>
      <c r="AC306" s="16">
        <f ca="1">Yards[[#This Row],[est. DSGN Year]]+1</f>
        <v>2029</v>
      </c>
    </row>
    <row r="307" spans="1:29" hidden="1">
      <c r="A307" s="13" t="s">
        <v>379</v>
      </c>
      <c r="B307" s="51" t="str">
        <f>VLOOKUP(Yards[[#This Row],[DEVELOPMENT]],Data[],2,FALSE)</f>
        <v>MANHATTAN</v>
      </c>
      <c r="C307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07" s="51" t="str">
        <f>VLOOKUP(Yards[[#This Row],[DEVELOPMENT]],Data[],52,FALSE)</f>
        <v>FEDERAL</v>
      </c>
      <c r="E307" s="50">
        <f>VLOOKUP(Yards[[#This Row],[DEVELOPMENT]],Data[],8,FALSE)</f>
        <v>0</v>
      </c>
      <c r="F307" s="51" t="str">
        <f>VLOOKUP(Yards[[#This Row],[DEVELOPMENT]],all[[DEVELOPMENT]:[MRST Ext. Comp. Priority]],6,FALSE)</f>
        <v>None</v>
      </c>
      <c r="G307" s="51" t="str">
        <f>VLOOKUP(Yards[[#This Row],[DEVELOPMENT]],all[[DEVELOPMENT]:[MRST Ext. Comp. Priority]],13,FALSE)</f>
        <v>None</v>
      </c>
      <c r="H307" s="50">
        <f>IF(VLOOKUP(Yards[[#This Row],[DEVELOPMENT]],Data[],9,FALSE)=0,5,VLOOKUP(Yards[[#This Row],[DEVELOPMENT]],Data[],9,FALSE))</f>
        <v>5</v>
      </c>
      <c r="I307" s="51">
        <f>VLOOKUP(Yards[[#This Row],[DEVELOPMENT]],Data[],33,FALSE)</f>
        <v>0</v>
      </c>
      <c r="J307" s="51">
        <f>VLOOKUP(Yards[[#This Row],[DEVELOPMENT]],Data[],28,FALSE)</f>
        <v>0</v>
      </c>
      <c r="K307" s="51"/>
      <c r="L307" s="50"/>
      <c r="M307" s="51" t="str">
        <f ca="1">IFERROR(VLOOKUP(Yards[[#This Row],[DEVELOPMENT]],Data[],4,FALSE),"")</f>
        <v>2020-2021</v>
      </c>
      <c r="N307" s="51" t="str">
        <f ca="1">IF(Yards[[#This Row],[RAD/PACT]]="","",IF(OR(Yards[[#This Row],[RAD/PACT]]="2022-2025",Yards[[#This Row],[RAD/PACT]]=2019,Yards[[#This Row],[RAD/PACT]]="2020-2021"),"Yes",""))</f>
        <v>Yes</v>
      </c>
      <c r="O307" s="51" t="str">
        <f ca="1">IFERROR(VLOOKUP(Yards[[#This Row],[DEVELOPMENT]],ExtComp[],8,FALSE),"")</f>
        <v/>
      </c>
      <c r="P307" s="51"/>
      <c r="Q307" s="51"/>
      <c r="R307" s="51" t="str">
        <f>IF(ISBLANK(Yards[[#This Row],[DSGN CALENDAR YEAR]]),"",Yards[[#This Row],[DSGN CALENDAR YEAR]]+1)</f>
        <v/>
      </c>
      <c r="S307" s="51" t="str">
        <f>IF(ISBLANK(Yards[[#This Row],[DSGN FISCAL YEAR]]),"",Yards[[#This Row],[DSGN FISCAL YEAR]]+1)</f>
        <v/>
      </c>
      <c r="T307" s="51"/>
      <c r="U307" s="128">
        <f ca="1">Yards[[#This Row],[Estimate]]*0.1</f>
        <v>0</v>
      </c>
      <c r="V307" s="47">
        <f ca="1">Yards[[#This Row],[Estimate]]-Yards[[#This Row],[Design Est.]]</f>
        <v>0</v>
      </c>
      <c r="W307" s="85">
        <f ca="1">(Yards[[#This Row],['# yards]]*INDEX(UnitCosts[],MATCH(Yards[[#This Row],[WORK TYPE]],UnitCosts[Work Type],0),2))*(1+((Yards[[#This Row],[est. CONS Year]]-YEAR(TODAY()))*$W$3))</f>
        <v>0</v>
      </c>
      <c r="X307" s="142">
        <f ca="1">IF(ISNUMBER(SEARCH("LLC",Yards[[#This Row],[PROGRAM]])),0,IF(Yards[[#This Row],[RAD/PACT by 2025]]="yes",0,1))</f>
        <v>0</v>
      </c>
      <c r="Y307" s="1"/>
      <c r="Z307" s="1"/>
      <c r="AA307" s="51">
        <f ca="1">COUNTIF($X$5:Yards[[#This Row],['# yards]],"&gt;0")-10</f>
        <v>178</v>
      </c>
      <c r="AB307" s="1">
        <f ca="1">IF(ISBLANK(Yards[[#This Row],[DSGN CALENDAR YEAR]]),ROUNDDOWN(Yards[[#This Row],[Count]]/24,0)+$AB$1,Yards[[#This Row],[DSGN CALENDAR YEAR]])</f>
        <v>2028</v>
      </c>
      <c r="AC307" s="16">
        <f ca="1">Yards[[#This Row],[est. DSGN Year]]+1</f>
        <v>2029</v>
      </c>
    </row>
    <row r="308" spans="1:29">
      <c r="A308" s="13" t="s">
        <v>331</v>
      </c>
      <c r="B308" s="51" t="str">
        <f>VLOOKUP(Yards[[#This Row],[DEVELOPMENT]],Data[],2,FALSE)</f>
        <v>BRONX</v>
      </c>
      <c r="C308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08" s="51" t="str">
        <f>VLOOKUP(Yards[[#This Row],[DEVELOPMENT]],Data[],52,FALSE)</f>
        <v>FEDERAL</v>
      </c>
      <c r="E308" s="50">
        <f>VLOOKUP(Yards[[#This Row],[DEVELOPMENT]],Data[],8,FALSE)</f>
        <v>0</v>
      </c>
      <c r="F308" s="51" t="str">
        <f>VLOOKUP(Yards[[#This Row],[DEVELOPMENT]],all[[DEVELOPMENT]:[MRST Ext. Comp. Priority]],6,FALSE)</f>
        <v>None</v>
      </c>
      <c r="G308" s="51" t="str">
        <f>VLOOKUP(Yards[[#This Row],[DEVELOPMENT]],all[[DEVELOPMENT]:[MRST Ext. Comp. Priority]],13,FALSE)</f>
        <v>None</v>
      </c>
      <c r="H308" s="50">
        <f>IF(VLOOKUP(Yards[[#This Row],[DEVELOPMENT]],Data[],9,FALSE)=0,5,VLOOKUP(Yards[[#This Row],[DEVELOPMENT]],Data[],9,FALSE))</f>
        <v>5</v>
      </c>
      <c r="I308" s="51">
        <f>VLOOKUP(Yards[[#This Row],[DEVELOPMENT]],Data[],33,FALSE)</f>
        <v>0</v>
      </c>
      <c r="J308" s="51">
        <f>VLOOKUP(Yards[[#This Row],[DEVELOPMENT]],Data[],28,FALSE)</f>
        <v>0</v>
      </c>
      <c r="K308" s="51"/>
      <c r="L308" s="50"/>
      <c r="M308" s="51" t="str">
        <f ca="1">IFERROR(VLOOKUP(Yards[[#This Row],[DEVELOPMENT]],Data[],4,FALSE),"")</f>
        <v/>
      </c>
      <c r="N308" s="51" t="str">
        <f ca="1">IF(Yards[[#This Row],[RAD/PACT]]="","",IF(OR(Yards[[#This Row],[RAD/PACT]]="2022-2025",Yards[[#This Row],[RAD/PACT]]=2019,Yards[[#This Row],[RAD/PACT]]="2020-2021"),"Yes",""))</f>
        <v/>
      </c>
      <c r="O308" s="51" t="str">
        <f ca="1">IFERROR(VLOOKUP(Yards[[#This Row],[DEVELOPMENT]],ExtComp[],8,FALSE),"")</f>
        <v/>
      </c>
      <c r="P308" s="51"/>
      <c r="Q308" s="51"/>
      <c r="R308" s="51" t="str">
        <f>IF(ISBLANK(Yards[[#This Row],[DSGN CALENDAR YEAR]]),"",Yards[[#This Row],[DSGN CALENDAR YEAR]]+1)</f>
        <v/>
      </c>
      <c r="S308" s="51" t="str">
        <f>IF(ISBLANK(Yards[[#This Row],[DSGN FISCAL YEAR]]),"",Yards[[#This Row],[DSGN FISCAL YEAR]]+1)</f>
        <v/>
      </c>
      <c r="T308" s="51"/>
      <c r="U308" s="128">
        <f ca="1">Yards[[#This Row],[Estimate]]*0.1</f>
        <v>237692.26665100004</v>
      </c>
      <c r="V308" s="47">
        <f ca="1">Yards[[#This Row],[Estimate]]-Yards[[#This Row],[Design Est.]]</f>
        <v>2139230.3998590005</v>
      </c>
      <c r="W308" s="85">
        <f ca="1">(Yards[[#This Row],['# yards]]*INDEX(UnitCosts[],MATCH(Yards[[#This Row],[WORK TYPE]],UnitCosts[Work Type],0),2))*(1+((Yards[[#This Row],[est. CONS Year]]-YEAR(TODAY()))*$W$3))</f>
        <v>2376922.6665100004</v>
      </c>
      <c r="X308" s="142">
        <f ca="1">IF(ISNUMBER(SEARCH("LLC",Yards[[#This Row],[PROGRAM]])),0,IF(Yards[[#This Row],[RAD/PACT by 2025]]="yes",0,1))</f>
        <v>1</v>
      </c>
      <c r="Y308" s="1"/>
      <c r="Z308" s="1"/>
      <c r="AA308" s="51">
        <f ca="1">COUNTIF($X$5:Yards[[#This Row],['# yards]],"&gt;0")-10</f>
        <v>179</v>
      </c>
      <c r="AB308" s="1">
        <f ca="1">IF(ISBLANK(Yards[[#This Row],[DSGN CALENDAR YEAR]]),ROUNDDOWN(Yards[[#This Row],[Count]]/24,0)+$AB$1,Yards[[#This Row],[DSGN CALENDAR YEAR]])</f>
        <v>2028</v>
      </c>
      <c r="AC308" s="16">
        <f ca="1">Yards[[#This Row],[est. DSGN Year]]+1</f>
        <v>2029</v>
      </c>
    </row>
    <row r="309" spans="1:29">
      <c r="A309" s="13" t="s">
        <v>339</v>
      </c>
      <c r="B309" s="51" t="str">
        <f>VLOOKUP(Yards[[#This Row],[DEVELOPMENT]],Data[],2,FALSE)</f>
        <v>QUEENS</v>
      </c>
      <c r="C309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09" s="51" t="str">
        <f>VLOOKUP(Yards[[#This Row],[DEVELOPMENT]],Data[],52,FALSE)</f>
        <v>FEDERAL</v>
      </c>
      <c r="E309" s="50">
        <f>VLOOKUP(Yards[[#This Row],[DEVELOPMENT]],Data[],8,FALSE)</f>
        <v>0</v>
      </c>
      <c r="F309" s="51" t="str">
        <f>VLOOKUP(Yards[[#This Row],[DEVELOPMENT]],all[[DEVELOPMENT]:[MRST Ext. Comp. Priority]],6,FALSE)</f>
        <v>None</v>
      </c>
      <c r="G309" s="51" t="str">
        <f>VLOOKUP(Yards[[#This Row],[DEVELOPMENT]],all[[DEVELOPMENT]:[MRST Ext. Comp. Priority]],13,FALSE)</f>
        <v>None</v>
      </c>
      <c r="H309" s="50">
        <f>IF(VLOOKUP(Yards[[#This Row],[DEVELOPMENT]],Data[],9,FALSE)=0,5,VLOOKUP(Yards[[#This Row],[DEVELOPMENT]],Data[],9,FALSE))</f>
        <v>5</v>
      </c>
      <c r="I309" s="51">
        <f>VLOOKUP(Yards[[#This Row],[DEVELOPMENT]],Data[],33,FALSE)</f>
        <v>0</v>
      </c>
      <c r="J309" s="51">
        <f>VLOOKUP(Yards[[#This Row],[DEVELOPMENT]],Data[],28,FALSE)</f>
        <v>0</v>
      </c>
      <c r="K309" s="51"/>
      <c r="L309" s="50"/>
      <c r="M309" s="51" t="str">
        <f ca="1">IFERROR(VLOOKUP(Yards[[#This Row],[DEVELOPMENT]],Data[],4,FALSE),"")</f>
        <v/>
      </c>
      <c r="N309" s="51" t="str">
        <f ca="1">IF(Yards[[#This Row],[RAD/PACT]]="","",IF(OR(Yards[[#This Row],[RAD/PACT]]="2022-2025",Yards[[#This Row],[RAD/PACT]]=2019,Yards[[#This Row],[RAD/PACT]]="2020-2021"),"Yes",""))</f>
        <v/>
      </c>
      <c r="O309" s="51" t="str">
        <f ca="1">IFERROR(VLOOKUP(Yards[[#This Row],[DEVELOPMENT]],ExtComp[],8,FALSE),"")</f>
        <v/>
      </c>
      <c r="P309" s="51"/>
      <c r="Q309" s="51"/>
      <c r="R309" s="51" t="str">
        <f>IF(ISBLANK(Yards[[#This Row],[DSGN CALENDAR YEAR]]),"",Yards[[#This Row],[DSGN CALENDAR YEAR]]+1)</f>
        <v/>
      </c>
      <c r="S309" s="51" t="str">
        <f>IF(ISBLANK(Yards[[#This Row],[DSGN FISCAL YEAR]]),"",Yards[[#This Row],[DSGN FISCAL YEAR]]+1)</f>
        <v/>
      </c>
      <c r="T309" s="51"/>
      <c r="U309" s="128">
        <f ca="1">Yards[[#This Row],[Estimate]]*0.1</f>
        <v>237692.26665100004</v>
      </c>
      <c r="V309" s="47">
        <f ca="1">Yards[[#This Row],[Estimate]]-Yards[[#This Row],[Design Est.]]</f>
        <v>2139230.3998590005</v>
      </c>
      <c r="W309" s="85">
        <f ca="1">(Yards[[#This Row],['# yards]]*INDEX(UnitCosts[],MATCH(Yards[[#This Row],[WORK TYPE]],UnitCosts[Work Type],0),2))*(1+((Yards[[#This Row],[est. CONS Year]]-YEAR(TODAY()))*$W$3))</f>
        <v>2376922.6665100004</v>
      </c>
      <c r="X309" s="142">
        <f ca="1">IF(ISNUMBER(SEARCH("LLC",Yards[[#This Row],[PROGRAM]])),0,IF(Yards[[#This Row],[RAD/PACT by 2025]]="yes",0,1))</f>
        <v>1</v>
      </c>
      <c r="Y309" s="1"/>
      <c r="Z309" s="1"/>
      <c r="AA309" s="51">
        <f ca="1">COUNTIF($X$5:Yards[[#This Row],['# yards]],"&gt;0")-10</f>
        <v>180</v>
      </c>
      <c r="AB309" s="1">
        <f ca="1">IF(ISBLANK(Yards[[#This Row],[DSGN CALENDAR YEAR]]),ROUNDDOWN(Yards[[#This Row],[Count]]/24,0)+$AB$1,Yards[[#This Row],[DSGN CALENDAR YEAR]])</f>
        <v>2028</v>
      </c>
      <c r="AC309" s="16">
        <f ca="1">Yards[[#This Row],[est. DSGN Year]]+1</f>
        <v>2029</v>
      </c>
    </row>
    <row r="310" spans="1:29">
      <c r="A310" s="13" t="s">
        <v>346</v>
      </c>
      <c r="B310" s="51" t="str">
        <f>VLOOKUP(Yards[[#This Row],[DEVELOPMENT]],Data[],2,FALSE)</f>
        <v>BRONX</v>
      </c>
      <c r="C310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v3</v>
      </c>
      <c r="D310" s="51" t="str">
        <f>VLOOKUP(Yards[[#This Row],[DEVELOPMENT]],Data[],52,FALSE)</f>
        <v>FEDERAL</v>
      </c>
      <c r="E310" s="50">
        <f>VLOOKUP(Yards[[#This Row],[DEVELOPMENT]],Data[],8,FALSE)</f>
        <v>0</v>
      </c>
      <c r="F310" s="51" t="str">
        <f>VLOOKUP(Yards[[#This Row],[DEVELOPMENT]],all[[DEVELOPMENT]:[MRST Ext. Comp. Priority]],6,FALSE)</f>
        <v>None</v>
      </c>
      <c r="G310" s="51" t="str">
        <f>VLOOKUP(Yards[[#This Row],[DEVELOPMENT]],all[[DEVELOPMENT]:[MRST Ext. Comp. Priority]],13,FALSE)</f>
        <v>None</v>
      </c>
      <c r="H310" s="50">
        <f>IF(VLOOKUP(Yards[[#This Row],[DEVELOPMENT]],Data[],9,FALSE)=0,5,VLOOKUP(Yards[[#This Row],[DEVELOPMENT]],Data[],9,FALSE))</f>
        <v>5</v>
      </c>
      <c r="I310" s="51">
        <f>VLOOKUP(Yards[[#This Row],[DEVELOPMENT]],Data[],33,FALSE)</f>
        <v>2</v>
      </c>
      <c r="J310" s="51">
        <f>VLOOKUP(Yards[[#This Row],[DEVELOPMENT]],Data[],28,FALSE)</f>
        <v>0</v>
      </c>
      <c r="K310" s="51"/>
      <c r="L310" s="50"/>
      <c r="M310" s="51" t="str">
        <f ca="1">IFERROR(VLOOKUP(Yards[[#This Row],[DEVELOPMENT]],Data[],4,FALSE),"")</f>
        <v>2026+</v>
      </c>
      <c r="N310" s="51" t="str">
        <f ca="1">IF(Yards[[#This Row],[RAD/PACT]]="","",IF(OR(Yards[[#This Row],[RAD/PACT]]="2022-2025",Yards[[#This Row],[RAD/PACT]]=2019,Yards[[#This Row],[RAD/PACT]]="2020-2021"),"Yes",""))</f>
        <v/>
      </c>
      <c r="O310" s="51">
        <f ca="1">IFERROR(VLOOKUP(Yards[[#This Row],[DEVELOPMENT]],ExtComp[],8,FALSE),"")</f>
        <v>15</v>
      </c>
      <c r="P310" s="51"/>
      <c r="Q310" s="51"/>
      <c r="R310" s="51" t="str">
        <f>IF(ISBLANK(Yards[[#This Row],[DSGN CALENDAR YEAR]]),"",Yards[[#This Row],[DSGN CALENDAR YEAR]]+1)</f>
        <v/>
      </c>
      <c r="S310" s="51" t="str">
        <f>IF(ISBLANK(Yards[[#This Row],[DSGN FISCAL YEAR]]),"",Yards[[#This Row],[DSGN FISCAL YEAR]]+1)</f>
        <v/>
      </c>
      <c r="T310" s="51"/>
      <c r="U310" s="128">
        <f ca="1">Yards[[#This Row],[Estimate]]*0.1</f>
        <v>265686.40251975006</v>
      </c>
      <c r="V310" s="47">
        <f ca="1">Yards[[#This Row],[Estimate]]-Yards[[#This Row],[Design Est.]]</f>
        <v>2391177.6226777504</v>
      </c>
      <c r="W310" s="85">
        <f ca="1">(Yards[[#This Row],['# yards]]*INDEX(UnitCosts[],MATCH(Yards[[#This Row],[WORK TYPE]],UnitCosts[Work Type],0),2))*(1+((Yards[[#This Row],[est. CONS Year]]-YEAR(TODAY()))*$W$3))</f>
        <v>2656864.0251975004</v>
      </c>
      <c r="X310" s="142">
        <f ca="1">IF(ISNUMBER(SEARCH("LLC",Yards[[#This Row],[PROGRAM]])),0,IF(Yards[[#This Row],[RAD/PACT by 2025]]="yes",0,1))</f>
        <v>1</v>
      </c>
      <c r="Y310" s="1"/>
      <c r="Z310" s="1"/>
      <c r="AA310" s="51">
        <f ca="1">COUNTIF($X$5:Yards[[#This Row],['# yards]],"&gt;0")-10</f>
        <v>181</v>
      </c>
      <c r="AB310" s="1">
        <f ca="1">IF(ISBLANK(Yards[[#This Row],[DSGN CALENDAR YEAR]]),ROUNDDOWN(Yards[[#This Row],[Count]]/24,0)+$AB$1,Yards[[#This Row],[DSGN CALENDAR YEAR]])</f>
        <v>2028</v>
      </c>
      <c r="AC310" s="16">
        <f ca="1">Yards[[#This Row],[est. DSGN Year]]+1</f>
        <v>2029</v>
      </c>
    </row>
    <row r="311" spans="1:29" hidden="1">
      <c r="A311" s="13" t="s">
        <v>386</v>
      </c>
      <c r="B311" s="51" t="str">
        <f>VLOOKUP(Yards[[#This Row],[DEVELOPMENT]],Data[],2,FALSE)</f>
        <v>MANHATTAN</v>
      </c>
      <c r="C311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11" s="51" t="str">
        <f>VLOOKUP(Yards[[#This Row],[DEVELOPMENT]],Data[],52,FALSE)</f>
        <v>MIXED FINANCE/LLC2</v>
      </c>
      <c r="E311" s="50" t="str">
        <f>VLOOKUP(Yards[[#This Row],[DEVELOPMENT]],Data[],8,FALSE)</f>
        <v>Zone 4</v>
      </c>
      <c r="F311" s="51" t="str">
        <f>VLOOKUP(Yards[[#This Row],[DEVELOPMENT]],all[[DEVELOPMENT]:[MRST Ext. Comp. Priority]],6,FALSE)</f>
        <v>None</v>
      </c>
      <c r="G311" s="51">
        <f>VLOOKUP(Yards[[#This Row],[DEVELOPMENT]],all[[DEVELOPMENT]:[MRST Ext. Comp. Priority]],13,FALSE)</f>
        <v>3</v>
      </c>
      <c r="H311" s="50">
        <f>IF(VLOOKUP(Yards[[#This Row],[DEVELOPMENT]],Data[],9,FALSE)=0,5,VLOOKUP(Yards[[#This Row],[DEVELOPMENT]],Data[],9,FALSE))</f>
        <v>5</v>
      </c>
      <c r="I311" s="51">
        <f>VLOOKUP(Yards[[#This Row],[DEVELOPMENT]],Data[],33,FALSE)</f>
        <v>0</v>
      </c>
      <c r="J311" s="51">
        <f>VLOOKUP(Yards[[#This Row],[DEVELOPMENT]],Data[],28,FALSE)</f>
        <v>0</v>
      </c>
      <c r="K311" s="51"/>
      <c r="L311" s="50"/>
      <c r="M311" s="51" t="str">
        <f ca="1">IFERROR(VLOOKUP(Yards[[#This Row],[DEVELOPMENT]],Data[],4,FALSE),"")</f>
        <v>2020-2021</v>
      </c>
      <c r="N311" s="51" t="str">
        <f ca="1">IF(Yards[[#This Row],[RAD/PACT]]="","",IF(OR(Yards[[#This Row],[RAD/PACT]]="2022-2025",Yards[[#This Row],[RAD/PACT]]=2019,Yards[[#This Row],[RAD/PACT]]="2020-2021"),"Yes",""))</f>
        <v>Yes</v>
      </c>
      <c r="O311" s="51" t="str">
        <f ca="1">IFERROR(VLOOKUP(Yards[[#This Row],[DEVELOPMENT]],ExtComp[],8,FALSE),"")</f>
        <v/>
      </c>
      <c r="P311" s="51"/>
      <c r="Q311" s="51"/>
      <c r="R311" s="51" t="str">
        <f>IF(ISBLANK(Yards[[#This Row],[DSGN CALENDAR YEAR]]),"",Yards[[#This Row],[DSGN CALENDAR YEAR]]+1)</f>
        <v/>
      </c>
      <c r="S311" s="51" t="str">
        <f>IF(ISBLANK(Yards[[#This Row],[DSGN FISCAL YEAR]]),"",Yards[[#This Row],[DSGN FISCAL YEAR]]+1)</f>
        <v/>
      </c>
      <c r="T311" s="51"/>
      <c r="U311" s="128">
        <f ca="1">Yards[[#This Row],[Estimate]]*0.1</f>
        <v>0</v>
      </c>
      <c r="V311" s="47">
        <f ca="1">Yards[[#This Row],[Estimate]]-Yards[[#This Row],[Design Est.]]</f>
        <v>0</v>
      </c>
      <c r="W311" s="85">
        <f ca="1">(Yards[[#This Row],['# yards]]*INDEX(UnitCosts[],MATCH(Yards[[#This Row],[WORK TYPE]],UnitCosts[Work Type],0),2))*(1+((Yards[[#This Row],[est. CONS Year]]-YEAR(TODAY()))*$W$3))</f>
        <v>0</v>
      </c>
      <c r="X311" s="142">
        <f>IF(ISNUMBER(SEARCH("LLC",Yards[[#This Row],[PROGRAM]])),0,IF(Yards[[#This Row],[RAD/PACT by 2025]]="yes",0,1))</f>
        <v>0</v>
      </c>
      <c r="Y311" s="1"/>
      <c r="Z311" s="1"/>
      <c r="AA311" s="51">
        <f ca="1">COUNTIF($X$5:Yards[[#This Row],['# yards]],"&gt;0")-10</f>
        <v>181</v>
      </c>
      <c r="AB311" s="1">
        <f ca="1">IF(ISBLANK(Yards[[#This Row],[DSGN CALENDAR YEAR]]),ROUNDDOWN(Yards[[#This Row],[Count]]/24,0)+$AB$1,Yards[[#This Row],[DSGN CALENDAR YEAR]])</f>
        <v>2028</v>
      </c>
      <c r="AC311" s="16">
        <f ca="1">Yards[[#This Row],[est. DSGN Year]]+1</f>
        <v>2029</v>
      </c>
    </row>
    <row r="312" spans="1:29">
      <c r="A312" s="13" t="s">
        <v>357</v>
      </c>
      <c r="B312" s="51" t="str">
        <f>VLOOKUP(Yards[[#This Row],[DEVELOPMENT]],Data[],2,FALSE)</f>
        <v>STATEN ISLAND</v>
      </c>
      <c r="C312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v2</v>
      </c>
      <c r="D312" s="51" t="str">
        <f>VLOOKUP(Yards[[#This Row],[DEVELOPMENT]],Data[],52,FALSE)</f>
        <v>FEDERAL</v>
      </c>
      <c r="E312" s="50">
        <f>VLOOKUP(Yards[[#This Row],[DEVELOPMENT]],Data[],8,FALSE)</f>
        <v>0</v>
      </c>
      <c r="F312" s="51" t="str">
        <f>VLOOKUP(Yards[[#This Row],[DEVELOPMENT]],all[[DEVELOPMENT]:[MRST Ext. Comp. Priority]],6,FALSE)</f>
        <v>None</v>
      </c>
      <c r="G312" s="51" t="str">
        <f>VLOOKUP(Yards[[#This Row],[DEVELOPMENT]],all[[DEVELOPMENT]:[MRST Ext. Comp. Priority]],13,FALSE)</f>
        <v>None</v>
      </c>
      <c r="H312" s="50">
        <f>IF(VLOOKUP(Yards[[#This Row],[DEVELOPMENT]],Data[],9,FALSE)=0,5,VLOOKUP(Yards[[#This Row],[DEVELOPMENT]],Data[],9,FALSE))</f>
        <v>5</v>
      </c>
      <c r="I312" s="51">
        <f>VLOOKUP(Yards[[#This Row],[DEVELOPMENT]],Data[],33,FALSE)</f>
        <v>2</v>
      </c>
      <c r="J312" s="51">
        <f>VLOOKUP(Yards[[#This Row],[DEVELOPMENT]],Data[],28,FALSE)</f>
        <v>0</v>
      </c>
      <c r="K312" s="51"/>
      <c r="L312" s="50"/>
      <c r="M312" s="51" t="str">
        <f ca="1">IFERROR(VLOOKUP(Yards[[#This Row],[DEVELOPMENT]],Data[],4,FALSE),"")</f>
        <v/>
      </c>
      <c r="N312" s="51" t="str">
        <f ca="1">IF(Yards[[#This Row],[RAD/PACT]]="","",IF(OR(Yards[[#This Row],[RAD/PACT]]="2022-2025",Yards[[#This Row],[RAD/PACT]]=2019,Yards[[#This Row],[RAD/PACT]]="2020-2021"),"Yes",""))</f>
        <v/>
      </c>
      <c r="O312" s="51">
        <f ca="1">IFERROR(VLOOKUP(Yards[[#This Row],[DEVELOPMENT]],ExtComp[],8,FALSE),"")</f>
        <v>5</v>
      </c>
      <c r="P312" s="51"/>
      <c r="Q312" s="51"/>
      <c r="R312" s="51" t="str">
        <f>IF(ISBLANK(Yards[[#This Row],[DSGN CALENDAR YEAR]]),"",Yards[[#This Row],[DSGN CALENDAR YEAR]]+1)</f>
        <v/>
      </c>
      <c r="S312" s="51" t="str">
        <f>IF(ISBLANK(Yards[[#This Row],[DSGN FISCAL YEAR]]),"",Yards[[#This Row],[DSGN FISCAL YEAR]]+1)</f>
        <v/>
      </c>
      <c r="T312" s="51"/>
      <c r="U312" s="128">
        <f ca="1">Yards[[#This Row],[Estimate]]*0.1</f>
        <v>179137.69649855004</v>
      </c>
      <c r="V312" s="47">
        <f ca="1">Yards[[#This Row],[Estimate]]-Yards[[#This Row],[Design Est.]]</f>
        <v>1612239.2684869503</v>
      </c>
      <c r="W312" s="85">
        <f ca="1">(Yards[[#This Row],['# yards]]*INDEX(UnitCosts[],MATCH(Yards[[#This Row],[WORK TYPE]],UnitCosts[Work Type],0),2))*(1+((Yards[[#This Row],[est. CONS Year]]-YEAR(TODAY()))*$W$3))</f>
        <v>1791376.9649855003</v>
      </c>
      <c r="X312" s="142">
        <f ca="1">IF(ISNUMBER(SEARCH("LLC",Yards[[#This Row],[PROGRAM]])),0,IF(Yards[[#This Row],[RAD/PACT by 2025]]="yes",0,1))</f>
        <v>1</v>
      </c>
      <c r="Y312" s="1"/>
      <c r="Z312" s="1"/>
      <c r="AA312" s="51">
        <f ca="1">COUNTIF($X$5:Yards[[#This Row],['# yards]],"&gt;0")-10</f>
        <v>182</v>
      </c>
      <c r="AB312" s="1">
        <f ca="1">IF(ISBLANK(Yards[[#This Row],[DSGN CALENDAR YEAR]]),ROUNDDOWN(Yards[[#This Row],[Count]]/24,0)+$AB$1,Yards[[#This Row],[DSGN CALENDAR YEAR]])</f>
        <v>2028</v>
      </c>
      <c r="AC312" s="16">
        <f ca="1">Yards[[#This Row],[est. DSGN Year]]+1</f>
        <v>2029</v>
      </c>
    </row>
    <row r="313" spans="1:29" hidden="1">
      <c r="A313" s="13" t="s">
        <v>388</v>
      </c>
      <c r="B313" s="51" t="str">
        <f>VLOOKUP(Yards[[#This Row],[DEVELOPMENT]],Data[],2,FALSE)</f>
        <v>MANHATTAN</v>
      </c>
      <c r="C313" s="51" t="str">
        <f>IF(Yards[[#This Row],['# Ext. Compactors to Replace]]=0,"New Waste Yard v1",IF(Yards[[#This Row],[ext comp age?]]="new","New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13" s="51" t="str">
        <f>VLOOKUP(Yards[[#This Row],[DEVELOPMENT]],Data[],52,FALSE)</f>
        <v>FEDERAL</v>
      </c>
      <c r="E313" s="50" t="str">
        <f>VLOOKUP(Yards[[#This Row],[DEVELOPMENT]],Data[],8,FALSE)</f>
        <v>Zone 4</v>
      </c>
      <c r="F313" s="51" t="str">
        <f>VLOOKUP(Yards[[#This Row],[DEVELOPMENT]],all[[DEVELOPMENT]:[MRST Ext. Comp. Priority]],6,FALSE)</f>
        <v>None</v>
      </c>
      <c r="G313" s="51" t="str">
        <f>VLOOKUP(Yards[[#This Row],[DEVELOPMENT]],all[[DEVELOPMENT]:[MRST Ext. Comp. Priority]],13,FALSE)</f>
        <v>None</v>
      </c>
      <c r="H313" s="50">
        <f>IF(VLOOKUP(Yards[[#This Row],[DEVELOPMENT]],Data[],9,FALSE)=0,5,VLOOKUP(Yards[[#This Row],[DEVELOPMENT]],Data[],9,FALSE))</f>
        <v>5</v>
      </c>
      <c r="I313" s="51">
        <f>VLOOKUP(Yards[[#This Row],[DEVELOPMENT]],Data[],33,FALSE)</f>
        <v>0</v>
      </c>
      <c r="J313" s="51">
        <f>VLOOKUP(Yards[[#This Row],[DEVELOPMENT]],Data[],28,FALSE)</f>
        <v>0</v>
      </c>
      <c r="K313" s="51"/>
      <c r="L313" s="50"/>
      <c r="M313" s="51" t="str">
        <f ca="1">IFERROR(VLOOKUP(Yards[[#This Row],[DEVELOPMENT]],Data[],4,FALSE),"")</f>
        <v/>
      </c>
      <c r="N313" s="51" t="str">
        <f ca="1">IF(Yards[[#This Row],[RAD/PACT]]="","",IF(OR(Yards[[#This Row],[RAD/PACT]]="2022-2025",Yards[[#This Row],[RAD/PACT]]=2019,Yards[[#This Row],[RAD/PACT]]="2020-2021"),"Yes",""))</f>
        <v/>
      </c>
      <c r="O313" s="51" t="str">
        <f ca="1">IFERROR(VLOOKUP(Yards[[#This Row],[DEVELOPMENT]],ExtComp[],8,FALSE),"")</f>
        <v/>
      </c>
      <c r="P313" s="51"/>
      <c r="Q313" s="51"/>
      <c r="R313" s="51" t="str">
        <f>IF(ISBLANK(Yards[[#This Row],[DSGN CALENDAR YEAR]]),"",Yards[[#This Row],[DSGN CALENDAR YEAR]]+1)</f>
        <v/>
      </c>
      <c r="S313" s="51" t="str">
        <f>IF(ISBLANK(Yards[[#This Row],[DSGN FISCAL YEAR]]),"",Yards[[#This Row],[DSGN FISCAL YEAR]]+1)</f>
        <v/>
      </c>
      <c r="T313" s="51"/>
      <c r="U313" s="128">
        <f>Yards[[#This Row],[Estimate]]*0.1</f>
        <v>0</v>
      </c>
      <c r="V313" s="47">
        <f>Yards[[#This Row],[Estimate]]-Yards[[#This Row],[Design Est.]]</f>
        <v>0</v>
      </c>
      <c r="W313" s="85"/>
      <c r="X313" s="142"/>
      <c r="Y313" s="1"/>
      <c r="Z313" s="1"/>
      <c r="AA313" s="51">
        <f ca="1">COUNTIF($X$5:Yards[[#This Row],['# yards]],"&gt;0")-10</f>
        <v>182</v>
      </c>
      <c r="AB313" s="1">
        <f ca="1">IF(ISBLANK(Yards[[#This Row],[DSGN CALENDAR YEAR]]),ROUNDDOWN(Yards[[#This Row],[Count]]/24,0)+$AB$1,Yards[[#This Row],[DSGN CALENDAR YEAR]])</f>
        <v>2028</v>
      </c>
      <c r="AC313" s="16">
        <f ca="1">Yards[[#This Row],[est. DSGN Year]]+1</f>
        <v>2029</v>
      </c>
    </row>
    <row r="314" spans="1:29">
      <c r="A314" s="13" t="s">
        <v>378</v>
      </c>
      <c r="B314" s="51" t="str">
        <f>VLOOKUP(Yards[[#This Row],[DEVELOPMENT]],Data[],2,FALSE)</f>
        <v>MANHATTAN</v>
      </c>
      <c r="C314" s="51" t="str">
        <f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v1</v>
      </c>
      <c r="D314" s="51" t="str">
        <f>VLOOKUP(Yards[[#This Row],[DEVELOPMENT]],Data[],52,FALSE)</f>
        <v>FEDERAL</v>
      </c>
      <c r="E314" s="50">
        <f>VLOOKUP(Yards[[#This Row],[DEVELOPMENT]],Data[],8,FALSE)</f>
        <v>0</v>
      </c>
      <c r="F314" s="51" t="str">
        <f>VLOOKUP(Yards[[#This Row],[DEVELOPMENT]],all[[DEVELOPMENT]:[MRST Ext. Comp. Priority]],6,FALSE)</f>
        <v>None</v>
      </c>
      <c r="G314" s="51" t="str">
        <f>VLOOKUP(Yards[[#This Row],[DEVELOPMENT]],all[[DEVELOPMENT]:[MRST Ext. Comp. Priority]],13,FALSE)</f>
        <v>None</v>
      </c>
      <c r="H314" s="50">
        <f>IF(VLOOKUP(Yards[[#This Row],[DEVELOPMENT]],Data[],9,FALSE)=0,5,VLOOKUP(Yards[[#This Row],[DEVELOPMENT]],Data[],9,FALSE))</f>
        <v>5</v>
      </c>
      <c r="I314" s="51">
        <f>VLOOKUP(Yards[[#This Row],[DEVELOPMENT]],Data[],33,FALSE)</f>
        <v>0</v>
      </c>
      <c r="J314" s="51">
        <f>VLOOKUP(Yards[[#This Row],[DEVELOPMENT]],Data[],28,FALSE)</f>
        <v>0</v>
      </c>
      <c r="K314" s="51"/>
      <c r="L314" s="50"/>
      <c r="M314" s="51" t="str">
        <f ca="1">IFERROR(VLOOKUP(Yards[[#This Row],[DEVELOPMENT]],Data[],4,FALSE),"")</f>
        <v/>
      </c>
      <c r="N314" s="51" t="str">
        <f ca="1">IF(Yards[[#This Row],[RAD/PACT]]="","",IF(OR(Yards[[#This Row],[RAD/PACT]]="2022-2025",Yards[[#This Row],[RAD/PACT]]=2019,Yards[[#This Row],[RAD/PACT]]="2020-2021"),"Yes",""))</f>
        <v/>
      </c>
      <c r="O314" s="51" t="str">
        <f ca="1">IFERROR(VLOOKUP(Yards[[#This Row],[DEVELOPMENT]],ExtComp[],8,FALSE),"")</f>
        <v/>
      </c>
      <c r="P314" s="51"/>
      <c r="Q314" s="51"/>
      <c r="R314" s="51" t="str">
        <f>IF(ISBLANK(Yards[[#This Row],[DSGN CALENDAR YEAR]]),"",Yards[[#This Row],[DSGN CALENDAR YEAR]]+1)</f>
        <v/>
      </c>
      <c r="S314" s="51" t="str">
        <f>IF(ISBLANK(Yards[[#This Row],[DSGN FISCAL YEAR]]),"",Yards[[#This Row],[DSGN FISCAL YEAR]]+1)</f>
        <v/>
      </c>
      <c r="T314" s="51"/>
      <c r="U314" s="128">
        <f ca="1">Yards[[#This Row],[Estimate]]*0.1</f>
        <v>237692.26665100004</v>
      </c>
      <c r="V314" s="47">
        <f ca="1">Yards[[#This Row],[Estimate]]-Yards[[#This Row],[Design Est.]]</f>
        <v>2139230.3998590005</v>
      </c>
      <c r="W314" s="85">
        <f ca="1">(Yards[[#This Row],['# yards]]*INDEX(UnitCosts[],MATCH(Yards[[#This Row],[WORK TYPE]],UnitCosts[Work Type],0),2))*(1+((Yards[[#This Row],[est. CONS Year]]-YEAR(TODAY()))*$W$3))</f>
        <v>2376922.6665100004</v>
      </c>
      <c r="X314" s="142">
        <f ca="1">IF(ISNUMBER(SEARCH("LLC",Yards[[#This Row],[PROGRAM]])),0,IF(Yards[[#This Row],[RAD/PACT by 2025]]="yes",0,1))</f>
        <v>1</v>
      </c>
      <c r="Y314" s="1"/>
      <c r="Z314" s="1"/>
      <c r="AA314" s="51">
        <f ca="1">COUNTIF($X$5:Yards[[#This Row],['# yards]],"&gt;0")-10</f>
        <v>183</v>
      </c>
      <c r="AB314" s="1">
        <f ca="1">IF(ISBLANK(Yards[[#This Row],[DSGN CALENDAR YEAR]]),ROUNDDOWN(Yards[[#This Row],[Count]]/24,0)+$AB$1,Yards[[#This Row],[DSGN CALENDAR YEAR]])</f>
        <v>2028</v>
      </c>
      <c r="AC314" s="16">
        <f ca="1">Yards[[#This Row],[est. DSGN Year]]+1</f>
        <v>2029</v>
      </c>
    </row>
    <row r="315" spans="1:29">
      <c r="A315" s="13" t="s">
        <v>383</v>
      </c>
      <c r="B315" s="51" t="str">
        <f>VLOOKUP(Yards[[#This Row],[DEVELOPMENT]],Data[],2,FALSE)</f>
        <v>BROOKLYN</v>
      </c>
      <c r="C315" s="51" t="str">
        <f ca="1">IF(Yards[[#This Row],['# Ext. Compactors to Replace]]=0,"New Waste Yard v1",IF(Yards[[#This Row],[ext comp age?]]&lt;=10,"New Waste Yard v2",IF(Yards[[#This Row],['# Ext. Compactors to Replace]]=1,"New Waste Yard v1",IF(Yards[[#This Row],['# Ext. Compactors to Replace]]=2,"New Waste Yard v3",IF(Yards[[#This Row],['# Ext. Compactors to Replace]]=3,"New Waste Yard v4",IF(Yards[[#This Row],['# Ext. Compactors to Replace]]=4,"New Waste Yard v5",IF(Yards[[#This Row],['# Ext. Compactors to Replace]]=5,"New Waste Yard v6",IF(Yards[[#This Row],['# Ext. Compactors to Replace]]=6,"New Waste Yard v7","Error"))))))))</f>
        <v>New Waste Yard v4</v>
      </c>
      <c r="D315" s="51" t="str">
        <f>VLOOKUP(Yards[[#This Row],[DEVELOPMENT]],Data[],52,FALSE)</f>
        <v>FEDERAL</v>
      </c>
      <c r="E315" s="50">
        <f>VLOOKUP(Yards[[#This Row],[DEVELOPMENT]],Data[],8,FALSE)</f>
        <v>0</v>
      </c>
      <c r="F315" s="51" t="str">
        <f>VLOOKUP(Yards[[#This Row],[DEVELOPMENT]],all[[DEVELOPMENT]:[MRST Ext. Comp. Priority]],6,FALSE)</f>
        <v>None</v>
      </c>
      <c r="G315" s="51" t="str">
        <f>VLOOKUP(Yards[[#This Row],[DEVELOPMENT]],all[[DEVELOPMENT]:[MRST Ext. Comp. Priority]],13,FALSE)</f>
        <v>None</v>
      </c>
      <c r="H315" s="50">
        <f>IF(VLOOKUP(Yards[[#This Row],[DEVELOPMENT]],Data[],9,FALSE)=0,5,VLOOKUP(Yards[[#This Row],[DEVELOPMENT]],Data[],9,FALSE))</f>
        <v>5</v>
      </c>
      <c r="I315" s="51">
        <f>VLOOKUP(Yards[[#This Row],[DEVELOPMENT]],Data[],33,FALSE)</f>
        <v>3</v>
      </c>
      <c r="J315" s="51">
        <f>VLOOKUP(Yards[[#This Row],[DEVELOPMENT]],Data[],28,FALSE)</f>
        <v>0</v>
      </c>
      <c r="K315" s="51"/>
      <c r="L315" s="50"/>
      <c r="M315" s="51" t="str">
        <f ca="1">IFERROR(VLOOKUP(Yards[[#This Row],[DEVELOPMENT]],Data[],4,FALSE),"")</f>
        <v/>
      </c>
      <c r="N315" s="51" t="str">
        <f ca="1">IF(Yards[[#This Row],[RAD/PACT]]="","",IF(OR(Yards[[#This Row],[RAD/PACT]]="2022-2025",Yards[[#This Row],[RAD/PACT]]=2019,Yards[[#This Row],[RAD/PACT]]="2020-2021"),"Yes",""))</f>
        <v/>
      </c>
      <c r="O315" s="51">
        <f ca="1">IFERROR(VLOOKUP(Yards[[#This Row],[DEVELOPMENT]],ExtComp[],8,FALSE),"")</f>
        <v>11</v>
      </c>
      <c r="P315" s="51"/>
      <c r="Q315" s="51"/>
      <c r="R315" s="51" t="str">
        <f>IF(ISBLANK(Yards[[#This Row],[DSGN CALENDAR YEAR]]),"",Yards[[#This Row],[DSGN CALENDAR YEAR]]+1)</f>
        <v/>
      </c>
      <c r="S315" s="51" t="str">
        <f>IF(ISBLANK(Yards[[#This Row],[DSGN FISCAL YEAR]]),"",Yards[[#This Row],[DSGN FISCAL YEAR]]+1)</f>
        <v/>
      </c>
      <c r="T315" s="51"/>
      <c r="U315" s="128">
        <f ca="1">Yards[[#This Row],[Estimate]]*0.1</f>
        <v>308960.75553035003</v>
      </c>
      <c r="V315" s="47">
        <f ca="1">Yards[[#This Row],[Estimate]]-Yards[[#This Row],[Design Est.]]</f>
        <v>2780646.7997731501</v>
      </c>
      <c r="W315" s="85">
        <f ca="1">(Yards[[#This Row],['# yards]]*INDEX(UnitCosts[],MATCH(Yards[[#This Row],[WORK TYPE]],UnitCosts[Work Type],0),2))*(1+((Yards[[#This Row],[est. CONS Year]]-YEAR(TODAY()))*$W$3))</f>
        <v>3089607.5553035</v>
      </c>
      <c r="X315" s="142">
        <f ca="1">IF(ISNUMBER(SEARCH("LLC",Yards[[#This Row],[PROGRAM]])),0,IF(Yards[[#This Row],[RAD/PACT by 2025]]="yes",0,1))</f>
        <v>1</v>
      </c>
      <c r="Y315" s="1"/>
      <c r="Z315" s="1"/>
      <c r="AA315" s="51">
        <f ca="1">COUNTIF($X$5:Yards[[#This Row],['# yards]],"&gt;0")-10</f>
        <v>184</v>
      </c>
      <c r="AB315" s="1">
        <f ca="1">IF(ISBLANK(Yards[[#This Row],[DSGN CALENDAR YEAR]]),ROUNDDOWN(Yards[[#This Row],[Count]]/24,0)+$AB$1,Yards[[#This Row],[DSGN CALENDAR YEAR]])</f>
        <v>2028</v>
      </c>
      <c r="AC315" s="16">
        <f ca="1">Yards[[#This Row],[est. DSGN Year]]+1</f>
        <v>2029</v>
      </c>
    </row>
    <row r="316" spans="1:29">
      <c r="Y316"/>
      <c r="Z316" s="20"/>
    </row>
    <row r="317" spans="1:29">
      <c r="Y317"/>
      <c r="Z317" s="20"/>
    </row>
    <row r="318" spans="1:29">
      <c r="Y318"/>
      <c r="Z318" s="20"/>
    </row>
    <row r="319" spans="1:29">
      <c r="Y319"/>
      <c r="Z319" s="20"/>
    </row>
    <row r="320" spans="1:29">
      <c r="Y320"/>
      <c r="Z320" s="20"/>
    </row>
    <row r="321" spans="25:26">
      <c r="Y321"/>
      <c r="Z321" s="20"/>
    </row>
    <row r="322" spans="25:26">
      <c r="Y322"/>
      <c r="Z322" s="20"/>
    </row>
    <row r="323" spans="25:26">
      <c r="Y323"/>
      <c r="Z323" s="20"/>
    </row>
    <row r="324" spans="25:26">
      <c r="Y324"/>
      <c r="Z324" s="20"/>
    </row>
    <row r="325" spans="25:26">
      <c r="Y325"/>
      <c r="Z325" s="20"/>
    </row>
    <row r="326" spans="25:26">
      <c r="Y326"/>
      <c r="Z326" s="20"/>
    </row>
    <row r="327" spans="25:26">
      <c r="Y327"/>
      <c r="Z327" s="20"/>
    </row>
    <row r="328" spans="25:26">
      <c r="Y328"/>
      <c r="Z328" s="20"/>
    </row>
    <row r="329" spans="25:26">
      <c r="Y329"/>
      <c r="Z329" s="20"/>
    </row>
    <row r="330" spans="25:26">
      <c r="Y330"/>
      <c r="Z330" s="20"/>
    </row>
    <row r="331" spans="25:26">
      <c r="Y331"/>
      <c r="Z331" s="20"/>
    </row>
    <row r="332" spans="25:26">
      <c r="Y332"/>
      <c r="Z332" s="20"/>
    </row>
    <row r="333" spans="25:26">
      <c r="Y333"/>
      <c r="Z333" s="20"/>
    </row>
    <row r="334" spans="25:26">
      <c r="Y334"/>
      <c r="Z334" s="20"/>
    </row>
    <row r="335" spans="25:26">
      <c r="Y335"/>
      <c r="Z335" s="20"/>
    </row>
    <row r="336" spans="25:26">
      <c r="Y336"/>
      <c r="Z336" s="20"/>
    </row>
    <row r="337" spans="25:26">
      <c r="Y337"/>
      <c r="Z337" s="20"/>
    </row>
    <row r="338" spans="25:26">
      <c r="Y338"/>
      <c r="Z338" s="20"/>
    </row>
    <row r="339" spans="25:26">
      <c r="Y339"/>
      <c r="Z339" s="20"/>
    </row>
    <row r="340" spans="25:26">
      <c r="Y340"/>
      <c r="Z340" s="20"/>
    </row>
    <row r="341" spans="25:26">
      <c r="Y341"/>
      <c r="Z341" s="20"/>
    </row>
    <row r="342" spans="25:26">
      <c r="Y342"/>
      <c r="Z342" s="20"/>
    </row>
    <row r="343" spans="25:26">
      <c r="Y343"/>
      <c r="Z343" s="20"/>
    </row>
    <row r="344" spans="25:26">
      <c r="Y344"/>
      <c r="Z344" s="20"/>
    </row>
    <row r="345" spans="25:26">
      <c r="Y345"/>
      <c r="Z345" s="20"/>
    </row>
    <row r="346" spans="25:26">
      <c r="Y346"/>
      <c r="Z346" s="20"/>
    </row>
    <row r="347" spans="25:26">
      <c r="Y347"/>
      <c r="Z347" s="20"/>
    </row>
    <row r="348" spans="25:26">
      <c r="Y348"/>
      <c r="Z348" s="20"/>
    </row>
    <row r="349" spans="25:26">
      <c r="Y349"/>
      <c r="Z349" s="20"/>
    </row>
    <row r="350" spans="25:26">
      <c r="Y350"/>
      <c r="Z350" s="20"/>
    </row>
    <row r="351" spans="25:26">
      <c r="Y351"/>
      <c r="Z351" s="20"/>
    </row>
    <row r="352" spans="25:26">
      <c r="Y352"/>
      <c r="Z352" s="20"/>
    </row>
    <row r="353" spans="25:26">
      <c r="Y353"/>
      <c r="Z353" s="20"/>
    </row>
    <row r="354" spans="25:26">
      <c r="Y354"/>
      <c r="Z354" s="20"/>
    </row>
    <row r="355" spans="25:26">
      <c r="Y355"/>
      <c r="Z355" s="20"/>
    </row>
    <row r="356" spans="25:26">
      <c r="Y356"/>
      <c r="Z356" s="20"/>
    </row>
    <row r="357" spans="25:26">
      <c r="Y357"/>
      <c r="Z357" s="20"/>
    </row>
    <row r="358" spans="25:26">
      <c r="Y358"/>
      <c r="Z358" s="20"/>
    </row>
    <row r="359" spans="25:26">
      <c r="Y359"/>
      <c r="Z359" s="20"/>
    </row>
    <row r="360" spans="25:26">
      <c r="Y360"/>
      <c r="Z360" s="20"/>
    </row>
    <row r="361" spans="25:26">
      <c r="Y361"/>
      <c r="Z361" s="20"/>
    </row>
    <row r="362" spans="25:26">
      <c r="Y362"/>
      <c r="Z362" s="20"/>
    </row>
    <row r="363" spans="25:26">
      <c r="Y363"/>
      <c r="Z363" s="20"/>
    </row>
    <row r="364" spans="25:26">
      <c r="Y364"/>
      <c r="Z364" s="20"/>
    </row>
    <row r="365" spans="25:26">
      <c r="Y365"/>
      <c r="Z365" s="20"/>
    </row>
    <row r="366" spans="25:26">
      <c r="Y366"/>
      <c r="Z366" s="20"/>
    </row>
    <row r="367" spans="25:26">
      <c r="Y367"/>
      <c r="Z367" s="20"/>
    </row>
    <row r="368" spans="25:26">
      <c r="Y368"/>
      <c r="Z368" s="20"/>
    </row>
    <row r="369" spans="25:26">
      <c r="Y369"/>
      <c r="Z369" s="20"/>
    </row>
    <row r="370" spans="25:26">
      <c r="Y370"/>
      <c r="Z370" s="20"/>
    </row>
    <row r="371" spans="25:26">
      <c r="Y371"/>
      <c r="Z371" s="20"/>
    </row>
    <row r="372" spans="25:26">
      <c r="Y372"/>
      <c r="Z372" s="20"/>
    </row>
    <row r="373" spans="25:26">
      <c r="Y373"/>
      <c r="Z373" s="20"/>
    </row>
    <row r="374" spans="25:26">
      <c r="Y374"/>
      <c r="Z374" s="20"/>
    </row>
    <row r="375" spans="25:26">
      <c r="Y375"/>
      <c r="Z375" s="20"/>
    </row>
    <row r="376" spans="25:26">
      <c r="Y376"/>
      <c r="Z376" s="20"/>
    </row>
    <row r="377" spans="25:26">
      <c r="Y377"/>
      <c r="Z377" s="20"/>
    </row>
    <row r="378" spans="25:26">
      <c r="Y378"/>
      <c r="Z378" s="20"/>
    </row>
    <row r="379" spans="25:26">
      <c r="Y379"/>
      <c r="Z379" s="20"/>
    </row>
    <row r="380" spans="25:26">
      <c r="Y380"/>
      <c r="Z380" s="20"/>
    </row>
    <row r="381" spans="25:26">
      <c r="Y381"/>
      <c r="Z381" s="20"/>
    </row>
    <row r="382" spans="25:26">
      <c r="Y382"/>
      <c r="Z382" s="20"/>
    </row>
    <row r="383" spans="25:26">
      <c r="Y383"/>
      <c r="Z383" s="20"/>
    </row>
    <row r="384" spans="25:26">
      <c r="Y384"/>
      <c r="Z384" s="20"/>
    </row>
    <row r="385" spans="25:26">
      <c r="Y385"/>
      <c r="Z385" s="20"/>
    </row>
    <row r="386" spans="25:26">
      <c r="Y386"/>
      <c r="Z386" s="20"/>
    </row>
    <row r="387" spans="25:26">
      <c r="Y387"/>
      <c r="Z387" s="20"/>
    </row>
    <row r="388" spans="25:26">
      <c r="Y388"/>
      <c r="Z388" s="20"/>
    </row>
    <row r="389" spans="25:26">
      <c r="Y389"/>
      <c r="Z389" s="20"/>
    </row>
    <row r="390" spans="25:26">
      <c r="Y390"/>
      <c r="Z390" s="20"/>
    </row>
    <row r="391" spans="25:26">
      <c r="Y391"/>
      <c r="Z391" s="20"/>
    </row>
    <row r="392" spans="25:26">
      <c r="Y392"/>
      <c r="Z392" s="20"/>
    </row>
    <row r="393" spans="25:26">
      <c r="Y393"/>
      <c r="Z393" s="20"/>
    </row>
    <row r="394" spans="25:26">
      <c r="Y394"/>
      <c r="Z394" s="20"/>
    </row>
    <row r="395" spans="25:26">
      <c r="Y395"/>
      <c r="Z395" s="20"/>
    </row>
    <row r="396" spans="25:26">
      <c r="Y396"/>
      <c r="Z396" s="20"/>
    </row>
    <row r="397" spans="25:26">
      <c r="Y397"/>
      <c r="Z397" s="20"/>
    </row>
    <row r="398" spans="25:26">
      <c r="Y398"/>
      <c r="Z398" s="20"/>
    </row>
    <row r="399" spans="25:26">
      <c r="Y399"/>
      <c r="Z399" s="20"/>
    </row>
    <row r="400" spans="25:26">
      <c r="Y400"/>
      <c r="Z400" s="20"/>
    </row>
    <row r="401" spans="25:26">
      <c r="Y401"/>
      <c r="Z401" s="20"/>
    </row>
    <row r="402" spans="25:26">
      <c r="Y402"/>
      <c r="Z402" s="20"/>
    </row>
    <row r="403" spans="25:26">
      <c r="Y403"/>
      <c r="Z403" s="20"/>
    </row>
    <row r="404" spans="25:26">
      <c r="Y404"/>
      <c r="Z404" s="20"/>
    </row>
    <row r="405" spans="25:26">
      <c r="Y405"/>
      <c r="Z405" s="20"/>
    </row>
    <row r="406" spans="25:26">
      <c r="Y406"/>
      <c r="Z406" s="20"/>
    </row>
    <row r="407" spans="25:26">
      <c r="Y407"/>
      <c r="Z407" s="20"/>
    </row>
    <row r="408" spans="25:26">
      <c r="Y408"/>
      <c r="Z408" s="20"/>
    </row>
    <row r="409" spans="25:26">
      <c r="Y409"/>
      <c r="Z409" s="20"/>
    </row>
    <row r="410" spans="25:26">
      <c r="Y410"/>
      <c r="Z410" s="20"/>
    </row>
    <row r="411" spans="25:26">
      <c r="Y411"/>
      <c r="Z411" s="20"/>
    </row>
    <row r="412" spans="25:26">
      <c r="Y412"/>
      <c r="Z412" s="20"/>
    </row>
    <row r="413" spans="25:26">
      <c r="Y413"/>
      <c r="Z413" s="20"/>
    </row>
    <row r="414" spans="25:26">
      <c r="Y414"/>
      <c r="Z414" s="20"/>
    </row>
    <row r="415" spans="25:26">
      <c r="Y415"/>
      <c r="Z415" s="20"/>
    </row>
    <row r="416" spans="25:26">
      <c r="Y416"/>
      <c r="Z416" s="20"/>
    </row>
    <row r="417" spans="25:26">
      <c r="Y417"/>
      <c r="Z417" s="20"/>
    </row>
    <row r="418" spans="25:26">
      <c r="Y418"/>
      <c r="Z418" s="20"/>
    </row>
    <row r="419" spans="25:26">
      <c r="Y419"/>
      <c r="Z419" s="20"/>
    </row>
    <row r="420" spans="25:26">
      <c r="Y420"/>
      <c r="Z420" s="20"/>
    </row>
    <row r="421" spans="25:26">
      <c r="Y421"/>
      <c r="Z421" s="20"/>
    </row>
    <row r="422" spans="25:26">
      <c r="Y422"/>
      <c r="Z422" s="20"/>
    </row>
    <row r="423" spans="25:26">
      <c r="Y423"/>
      <c r="Z423" s="20"/>
    </row>
    <row r="424" spans="25:26">
      <c r="Y424"/>
      <c r="Z424" s="20"/>
    </row>
    <row r="425" spans="25:26">
      <c r="Y425"/>
      <c r="Z425" s="20"/>
    </row>
    <row r="426" spans="25:26">
      <c r="Y426"/>
      <c r="Z426" s="20"/>
    </row>
    <row r="427" spans="25:26">
      <c r="Y427"/>
      <c r="Z427" s="20"/>
    </row>
    <row r="428" spans="25:26">
      <c r="Y428"/>
      <c r="Z428" s="20"/>
    </row>
    <row r="429" spans="25:26">
      <c r="Y429"/>
      <c r="Z429" s="20"/>
    </row>
    <row r="430" spans="25:26">
      <c r="Y430"/>
      <c r="Z430" s="20"/>
    </row>
    <row r="431" spans="25:26">
      <c r="Y431"/>
      <c r="Z431" s="20"/>
    </row>
    <row r="432" spans="25:26">
      <c r="Y432"/>
      <c r="Z432" s="20"/>
    </row>
  </sheetData>
  <conditionalFormatting sqref="W4:Y4 E4:E315 L5:N315 L4:O4 H4:H315">
    <cfRule type="containsErrors" dxfId="251" priority="23">
      <formula>ISERROR(E4)</formula>
    </cfRule>
  </conditionalFormatting>
  <conditionalFormatting sqref="A4:K4 B5:K315">
    <cfRule type="containsErrors" dxfId="250" priority="21">
      <formula>ISERROR(A4)</formula>
    </cfRule>
  </conditionalFormatting>
  <conditionalFormatting sqref="Y4">
    <cfRule type="expression" dxfId="249" priority="37">
      <formula>Y4&gt;#REF!</formula>
    </cfRule>
  </conditionalFormatting>
  <conditionalFormatting sqref="A7">
    <cfRule type="containsErrors" dxfId="248" priority="20">
      <formula>ISERROR(A7)</formula>
    </cfRule>
  </conditionalFormatting>
  <conditionalFormatting sqref="A9">
    <cfRule type="containsErrors" dxfId="247" priority="17">
      <formula>ISERROR(A9)</formula>
    </cfRule>
  </conditionalFormatting>
  <conditionalFormatting sqref="A8">
    <cfRule type="containsErrors" dxfId="246" priority="18">
      <formula>ISERROR(A8)</formula>
    </cfRule>
  </conditionalFormatting>
  <conditionalFormatting sqref="A12">
    <cfRule type="containsErrors" dxfId="245" priority="16">
      <formula>ISERROR(A12)</formula>
    </cfRule>
  </conditionalFormatting>
  <conditionalFormatting sqref="A13">
    <cfRule type="containsErrors" dxfId="244" priority="15">
      <formula>ISERROR(A13)</formula>
    </cfRule>
  </conditionalFormatting>
  <conditionalFormatting sqref="A14">
    <cfRule type="containsErrors" dxfId="243" priority="14">
      <formula>ISERROR(A14)</formula>
    </cfRule>
  </conditionalFormatting>
  <conditionalFormatting sqref="A26">
    <cfRule type="containsErrors" dxfId="242" priority="4">
      <formula>ISERROR(A26)</formula>
    </cfRule>
  </conditionalFormatting>
  <conditionalFormatting sqref="A18">
    <cfRule type="containsErrors" dxfId="241" priority="12">
      <formula>ISERROR(A18)</formula>
    </cfRule>
  </conditionalFormatting>
  <conditionalFormatting sqref="A19">
    <cfRule type="containsErrors" dxfId="240" priority="11">
      <formula>ISERROR(A19)</formula>
    </cfRule>
  </conditionalFormatting>
  <conditionalFormatting sqref="A20">
    <cfRule type="containsErrors" dxfId="239" priority="10">
      <formula>ISERROR(A20)</formula>
    </cfRule>
  </conditionalFormatting>
  <conditionalFormatting sqref="A21">
    <cfRule type="containsErrors" dxfId="238" priority="9">
      <formula>ISERROR(A21)</formula>
    </cfRule>
  </conditionalFormatting>
  <conditionalFormatting sqref="A22">
    <cfRule type="containsErrors" dxfId="237" priority="8">
      <formula>ISERROR(A22)</formula>
    </cfRule>
  </conditionalFormatting>
  <conditionalFormatting sqref="A23">
    <cfRule type="containsErrors" dxfId="236" priority="7">
      <formula>ISERROR(A23)</formula>
    </cfRule>
  </conditionalFormatting>
  <conditionalFormatting sqref="A24">
    <cfRule type="containsErrors" dxfId="235" priority="6">
      <formula>ISERROR(A24)</formula>
    </cfRule>
  </conditionalFormatting>
  <conditionalFormatting sqref="A25">
    <cfRule type="containsErrors" dxfId="234" priority="5">
      <formula>ISERROR(A25)</formula>
    </cfRule>
  </conditionalFormatting>
  <conditionalFormatting sqref="P4:V4">
    <cfRule type="containsErrors" dxfId="233" priority="2">
      <formula>ISERROR(P4)</formula>
    </cfRule>
  </conditionalFormatting>
  <conditionalFormatting sqref="AB4:AC4">
    <cfRule type="containsErrors" dxfId="232" priority="1">
      <formula>ISERROR(AB4)</formula>
    </cfRule>
  </conditionalFormatting>
  <conditionalFormatting sqref="A5:A315">
    <cfRule type="duplicateValues" dxfId="231" priority="60"/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/>
  <dimension ref="A1:E279"/>
  <sheetViews>
    <sheetView workbookViewId="0">
      <selection activeCell="C11" sqref="C11"/>
    </sheetView>
  </sheetViews>
  <sheetFormatPr defaultColWidth="8.7109375" defaultRowHeight="14.45"/>
  <cols>
    <col min="1" max="1" width="44.28515625" bestFit="1" customWidth="1"/>
    <col min="2" max="2" width="7.28515625" bestFit="1" customWidth="1"/>
    <col min="3" max="3" width="21.140625" bestFit="1" customWidth="1"/>
    <col min="4" max="4" width="30.28515625" bestFit="1" customWidth="1"/>
    <col min="5" max="5" width="36.42578125" bestFit="1" customWidth="1"/>
  </cols>
  <sheetData>
    <row r="1" spans="1:5">
      <c r="A1" t="s">
        <v>2300</v>
      </c>
      <c r="B1" t="s">
        <v>2301</v>
      </c>
      <c r="C1" t="s">
        <v>2302</v>
      </c>
      <c r="D1" t="s">
        <v>2303</v>
      </c>
      <c r="E1" t="s">
        <v>2304</v>
      </c>
    </row>
    <row r="2" spans="1:5">
      <c r="A2" s="20" t="s">
        <v>2305</v>
      </c>
      <c r="B2" s="20" t="s">
        <v>2306</v>
      </c>
      <c r="C2" s="20"/>
      <c r="E2" s="27"/>
    </row>
    <row r="3" spans="1:5">
      <c r="A3" s="20" t="s">
        <v>292</v>
      </c>
      <c r="B3" s="20" t="s">
        <v>2307</v>
      </c>
      <c r="C3" s="20"/>
      <c r="E3" s="27"/>
    </row>
    <row r="4" spans="1:5">
      <c r="A4" s="20" t="s">
        <v>293</v>
      </c>
      <c r="B4" s="20" t="s">
        <v>2306</v>
      </c>
      <c r="C4" s="20"/>
      <c r="E4" s="27"/>
    </row>
    <row r="5" spans="1:5">
      <c r="A5" s="20" t="s">
        <v>2308</v>
      </c>
      <c r="B5" s="20"/>
      <c r="C5" s="20" t="s">
        <v>2309</v>
      </c>
      <c r="E5" s="27"/>
    </row>
    <row r="6" spans="1:5">
      <c r="A6" s="20" t="s">
        <v>67</v>
      </c>
      <c r="B6" s="20" t="s">
        <v>2310</v>
      </c>
      <c r="C6" s="20"/>
      <c r="E6" s="27"/>
    </row>
    <row r="7" spans="1:5">
      <c r="A7" s="20" t="s">
        <v>227</v>
      </c>
      <c r="B7" s="20" t="s">
        <v>2306</v>
      </c>
      <c r="C7" s="20"/>
      <c r="E7" s="27"/>
    </row>
    <row r="8" spans="1:5">
      <c r="A8" s="20" t="s">
        <v>118</v>
      </c>
      <c r="B8" s="20" t="s">
        <v>2307</v>
      </c>
      <c r="C8" s="20"/>
      <c r="D8">
        <v>1</v>
      </c>
      <c r="E8" s="27">
        <v>37897</v>
      </c>
    </row>
    <row r="9" spans="1:5">
      <c r="A9" s="20" t="s">
        <v>69</v>
      </c>
      <c r="B9" s="20" t="s">
        <v>2310</v>
      </c>
      <c r="C9" s="20"/>
      <c r="E9" s="27"/>
    </row>
    <row r="10" spans="1:5">
      <c r="A10" s="20" t="s">
        <v>2311</v>
      </c>
      <c r="B10" s="20" t="s">
        <v>2310</v>
      </c>
      <c r="C10" s="20"/>
      <c r="E10" s="27"/>
    </row>
    <row r="11" spans="1:5">
      <c r="A11" s="20" t="s">
        <v>57</v>
      </c>
      <c r="B11" s="20" t="s">
        <v>2310</v>
      </c>
      <c r="C11" s="20"/>
      <c r="E11" s="27"/>
    </row>
    <row r="12" spans="1:5">
      <c r="A12" s="20" t="s">
        <v>252</v>
      </c>
      <c r="B12" s="20" t="s">
        <v>2310</v>
      </c>
      <c r="C12" s="20"/>
      <c r="E12" s="27"/>
    </row>
    <row r="13" spans="1:5">
      <c r="A13" s="20" t="s">
        <v>294</v>
      </c>
      <c r="B13" s="20" t="s">
        <v>2307</v>
      </c>
      <c r="C13" s="20"/>
      <c r="E13" s="27"/>
    </row>
    <row r="14" spans="1:5">
      <c r="A14" s="20" t="s">
        <v>295</v>
      </c>
      <c r="B14" s="20" t="s">
        <v>2310</v>
      </c>
      <c r="C14" s="20"/>
      <c r="E14" s="27"/>
    </row>
    <row r="15" spans="1:5">
      <c r="A15" s="20" t="s">
        <v>278</v>
      </c>
      <c r="B15" s="20" t="s">
        <v>2306</v>
      </c>
      <c r="C15" s="20"/>
      <c r="D15">
        <v>2</v>
      </c>
      <c r="E15" s="27">
        <v>36628</v>
      </c>
    </row>
    <row r="16" spans="1:5">
      <c r="A16" s="20" t="s">
        <v>296</v>
      </c>
      <c r="B16" s="20" t="s">
        <v>2307</v>
      </c>
      <c r="C16" s="20"/>
      <c r="D16">
        <v>3</v>
      </c>
      <c r="E16" s="27">
        <v>38957</v>
      </c>
    </row>
    <row r="17" spans="1:5">
      <c r="A17" s="20" t="s">
        <v>297</v>
      </c>
      <c r="B17" s="20" t="s">
        <v>2307</v>
      </c>
      <c r="C17" s="20"/>
      <c r="E17" s="27"/>
    </row>
    <row r="18" spans="1:5">
      <c r="A18" s="20" t="s">
        <v>261</v>
      </c>
      <c r="B18" s="20" t="s">
        <v>2310</v>
      </c>
      <c r="C18" s="20"/>
      <c r="D18">
        <v>3</v>
      </c>
      <c r="E18" s="27">
        <v>39188</v>
      </c>
    </row>
    <row r="19" spans="1:5">
      <c r="A19" s="20" t="s">
        <v>262</v>
      </c>
      <c r="B19" s="20" t="s">
        <v>2310</v>
      </c>
      <c r="C19" s="20"/>
      <c r="E19" s="27"/>
    </row>
    <row r="20" spans="1:5">
      <c r="A20" s="20" t="s">
        <v>298</v>
      </c>
      <c r="B20" s="20" t="s">
        <v>2307</v>
      </c>
      <c r="C20" s="20"/>
      <c r="E20" s="27"/>
    </row>
    <row r="21" spans="1:5">
      <c r="A21" s="20" t="s">
        <v>230</v>
      </c>
      <c r="B21" s="20" t="s">
        <v>2307</v>
      </c>
      <c r="C21" s="20"/>
      <c r="E21" s="27"/>
    </row>
    <row r="22" spans="1:5">
      <c r="A22" s="20" t="s">
        <v>272</v>
      </c>
      <c r="B22" s="20" t="s">
        <v>2312</v>
      </c>
      <c r="C22" s="20"/>
      <c r="D22">
        <v>3</v>
      </c>
      <c r="E22" s="27">
        <v>37705</v>
      </c>
    </row>
    <row r="23" spans="1:5">
      <c r="A23" s="20" t="s">
        <v>299</v>
      </c>
      <c r="B23" s="20" t="s">
        <v>2307</v>
      </c>
      <c r="C23" s="20"/>
      <c r="D23">
        <v>1</v>
      </c>
      <c r="E23" s="27">
        <v>38395</v>
      </c>
    </row>
    <row r="24" spans="1:5">
      <c r="A24" s="20" t="s">
        <v>70</v>
      </c>
      <c r="B24" s="20" t="s">
        <v>2310</v>
      </c>
      <c r="C24" s="20"/>
      <c r="D24">
        <v>1</v>
      </c>
      <c r="E24" s="27">
        <v>36639</v>
      </c>
    </row>
    <row r="25" spans="1:5">
      <c r="A25" s="20" t="s">
        <v>273</v>
      </c>
      <c r="B25" s="20" t="s">
        <v>2306</v>
      </c>
      <c r="C25" s="20"/>
      <c r="D25">
        <v>1</v>
      </c>
      <c r="E25" s="27">
        <v>38070</v>
      </c>
    </row>
    <row r="26" spans="1:5">
      <c r="A26" s="20" t="s">
        <v>300</v>
      </c>
      <c r="B26" s="20" t="s">
        <v>2312</v>
      </c>
      <c r="C26" s="20"/>
      <c r="D26">
        <v>2</v>
      </c>
      <c r="E26" s="27">
        <v>36385</v>
      </c>
    </row>
    <row r="27" spans="1:5">
      <c r="A27" s="20" t="s">
        <v>58</v>
      </c>
      <c r="B27" s="20" t="s">
        <v>2310</v>
      </c>
      <c r="C27" s="20"/>
      <c r="D27">
        <v>4</v>
      </c>
      <c r="E27" s="27">
        <v>37088</v>
      </c>
    </row>
    <row r="28" spans="1:5">
      <c r="A28" s="20" t="s">
        <v>48</v>
      </c>
      <c r="B28" s="20" t="s">
        <v>2310</v>
      </c>
      <c r="C28" s="20"/>
      <c r="E28" s="27"/>
    </row>
    <row r="29" spans="1:5">
      <c r="A29" s="20" t="s">
        <v>231</v>
      </c>
      <c r="B29" s="20" t="s">
        <v>2307</v>
      </c>
      <c r="C29" s="20"/>
      <c r="D29">
        <v>4</v>
      </c>
      <c r="E29" s="27">
        <v>38051</v>
      </c>
    </row>
    <row r="30" spans="1:5">
      <c r="A30" s="20" t="s">
        <v>846</v>
      </c>
      <c r="B30" s="20" t="s">
        <v>2306</v>
      </c>
      <c r="C30" s="20" t="s">
        <v>2309</v>
      </c>
      <c r="D30">
        <v>2</v>
      </c>
      <c r="E30" s="27">
        <v>38146</v>
      </c>
    </row>
    <row r="31" spans="1:5">
      <c r="A31" s="20" t="s">
        <v>301</v>
      </c>
      <c r="B31" s="20" t="s">
        <v>2312</v>
      </c>
      <c r="C31" s="20"/>
      <c r="D31">
        <v>2</v>
      </c>
      <c r="E31" s="27">
        <v>41896</v>
      </c>
    </row>
    <row r="32" spans="1:5">
      <c r="A32" s="20" t="s">
        <v>142</v>
      </c>
      <c r="B32" s="20" t="s">
        <v>2307</v>
      </c>
      <c r="C32" s="20"/>
      <c r="E32" s="27"/>
    </row>
    <row r="33" spans="1:5">
      <c r="A33" s="20" t="s">
        <v>232</v>
      </c>
      <c r="B33" s="20" t="s">
        <v>2313</v>
      </c>
      <c r="C33" s="20"/>
      <c r="D33">
        <v>1</v>
      </c>
      <c r="E33" s="27">
        <v>37723</v>
      </c>
    </row>
    <row r="34" spans="1:5">
      <c r="A34" s="20" t="s">
        <v>303</v>
      </c>
      <c r="B34" s="20" t="s">
        <v>2307</v>
      </c>
      <c r="C34" s="20"/>
      <c r="D34">
        <v>1</v>
      </c>
      <c r="E34" s="27">
        <v>38540</v>
      </c>
    </row>
    <row r="35" spans="1:5">
      <c r="A35" s="20" t="s">
        <v>2314</v>
      </c>
      <c r="B35" s="20" t="s">
        <v>2306</v>
      </c>
      <c r="C35" s="20" t="s">
        <v>2309</v>
      </c>
      <c r="E35" s="27"/>
    </row>
    <row r="36" spans="1:5">
      <c r="A36" s="20" t="s">
        <v>2315</v>
      </c>
      <c r="B36" s="20" t="s">
        <v>2306</v>
      </c>
      <c r="C36" s="20" t="s">
        <v>2309</v>
      </c>
      <c r="D36">
        <v>1</v>
      </c>
      <c r="E36" s="27">
        <v>37662</v>
      </c>
    </row>
    <row r="37" spans="1:5">
      <c r="A37" s="20" t="s">
        <v>2316</v>
      </c>
      <c r="B37" s="20" t="s">
        <v>2306</v>
      </c>
      <c r="C37" s="20" t="s">
        <v>2309</v>
      </c>
      <c r="E37" s="27"/>
    </row>
    <row r="38" spans="1:5">
      <c r="A38" s="20" t="s">
        <v>2317</v>
      </c>
      <c r="B38" s="20" t="s">
        <v>2306</v>
      </c>
      <c r="C38" s="20" t="s">
        <v>2309</v>
      </c>
      <c r="E38" s="27"/>
    </row>
    <row r="39" spans="1:5">
      <c r="A39" s="20" t="s">
        <v>830</v>
      </c>
      <c r="B39" s="20" t="s">
        <v>2306</v>
      </c>
      <c r="C39" s="20" t="s">
        <v>2309</v>
      </c>
      <c r="D39">
        <v>1</v>
      </c>
      <c r="E39" s="27">
        <v>37863</v>
      </c>
    </row>
    <row r="40" spans="1:5">
      <c r="A40" s="20" t="s">
        <v>2318</v>
      </c>
      <c r="B40" s="20" t="s">
        <v>2306</v>
      </c>
      <c r="C40" s="20" t="s">
        <v>2309</v>
      </c>
      <c r="E40" s="27"/>
    </row>
    <row r="41" spans="1:5">
      <c r="A41" s="20" t="s">
        <v>71</v>
      </c>
      <c r="B41" s="20" t="s">
        <v>2310</v>
      </c>
      <c r="C41" s="20"/>
      <c r="D41">
        <v>1</v>
      </c>
      <c r="E41" s="27">
        <v>36526</v>
      </c>
    </row>
    <row r="42" spans="1:5">
      <c r="A42" s="20" t="s">
        <v>233</v>
      </c>
      <c r="B42" s="20" t="s">
        <v>2310</v>
      </c>
      <c r="C42" s="20"/>
      <c r="E42" s="27"/>
    </row>
    <row r="43" spans="1:5">
      <c r="A43" s="20" t="s">
        <v>119</v>
      </c>
      <c r="B43" s="20" t="s">
        <v>2307</v>
      </c>
      <c r="C43" s="20"/>
      <c r="D43">
        <v>2</v>
      </c>
      <c r="E43" s="27">
        <v>38530</v>
      </c>
    </row>
    <row r="44" spans="1:5">
      <c r="A44" s="20" t="s">
        <v>72</v>
      </c>
      <c r="B44" s="20" t="s">
        <v>2307</v>
      </c>
      <c r="C44" s="20"/>
      <c r="E44" s="27"/>
    </row>
    <row r="45" spans="1:5">
      <c r="A45" s="20" t="s">
        <v>234</v>
      </c>
      <c r="B45" s="20" t="s">
        <v>2306</v>
      </c>
      <c r="C45" s="20"/>
      <c r="E45" s="27"/>
    </row>
    <row r="46" spans="1:5">
      <c r="A46" s="20" t="s">
        <v>304</v>
      </c>
      <c r="B46" s="20" t="s">
        <v>2306</v>
      </c>
      <c r="C46" s="20"/>
      <c r="D46">
        <v>2</v>
      </c>
      <c r="E46" s="27">
        <v>36852</v>
      </c>
    </row>
    <row r="47" spans="1:5">
      <c r="A47" s="20" t="s">
        <v>226</v>
      </c>
      <c r="B47" s="20" t="s">
        <v>2307</v>
      </c>
      <c r="C47" s="20"/>
      <c r="E47" s="27"/>
    </row>
    <row r="48" spans="1:5">
      <c r="A48" s="20" t="s">
        <v>187</v>
      </c>
      <c r="B48" s="20" t="s">
        <v>2306</v>
      </c>
      <c r="C48" s="20"/>
      <c r="E48" s="27"/>
    </row>
    <row r="49" spans="1:5">
      <c r="A49" s="20" t="s">
        <v>59</v>
      </c>
      <c r="B49" s="20" t="s">
        <v>2310</v>
      </c>
      <c r="C49" s="20"/>
      <c r="E49" s="27"/>
    </row>
    <row r="50" spans="1:5">
      <c r="A50" s="20" t="s">
        <v>188</v>
      </c>
      <c r="B50" s="20" t="s">
        <v>2307</v>
      </c>
      <c r="C50" s="20"/>
      <c r="D50">
        <v>4</v>
      </c>
      <c r="E50" s="27">
        <v>37292</v>
      </c>
    </row>
    <row r="51" spans="1:5">
      <c r="A51" s="20" t="s">
        <v>199</v>
      </c>
      <c r="B51" s="20" t="s">
        <v>2307</v>
      </c>
      <c r="C51" s="20"/>
      <c r="D51">
        <v>2</v>
      </c>
      <c r="E51" s="27">
        <v>39043</v>
      </c>
    </row>
    <row r="52" spans="1:5">
      <c r="A52" s="20" t="s">
        <v>73</v>
      </c>
      <c r="B52" s="20" t="s">
        <v>2306</v>
      </c>
      <c r="C52" s="20"/>
      <c r="D52">
        <v>3</v>
      </c>
      <c r="E52" s="27">
        <v>36358</v>
      </c>
    </row>
    <row r="53" spans="1:5">
      <c r="A53" s="20" t="s">
        <v>189</v>
      </c>
      <c r="B53" s="20" t="s">
        <v>2306</v>
      </c>
      <c r="C53" s="20"/>
      <c r="E53" s="27"/>
    </row>
    <row r="54" spans="1:5">
      <c r="A54" s="20" t="s">
        <v>197</v>
      </c>
      <c r="B54" s="20" t="s">
        <v>2306</v>
      </c>
      <c r="C54" s="20"/>
      <c r="D54">
        <v>4</v>
      </c>
      <c r="E54" s="27">
        <v>37834</v>
      </c>
    </row>
    <row r="55" spans="1:5">
      <c r="A55" s="20" t="s">
        <v>305</v>
      </c>
      <c r="B55" s="20" t="s">
        <v>2307</v>
      </c>
      <c r="C55" s="20"/>
      <c r="E55" s="27"/>
    </row>
    <row r="56" spans="1:5">
      <c r="A56" s="20" t="s">
        <v>392</v>
      </c>
      <c r="B56" s="20" t="s">
        <v>2307</v>
      </c>
      <c r="C56" s="20"/>
      <c r="D56">
        <v>3</v>
      </c>
      <c r="E56" s="27">
        <v>38495</v>
      </c>
    </row>
    <row r="57" spans="1:5">
      <c r="A57" s="20" t="s">
        <v>26</v>
      </c>
      <c r="B57" s="20" t="s">
        <v>2307</v>
      </c>
      <c r="C57" s="20"/>
      <c r="D57">
        <v>2</v>
      </c>
      <c r="E57" s="27">
        <v>37933</v>
      </c>
    </row>
    <row r="58" spans="1:5">
      <c r="A58" s="20" t="s">
        <v>31</v>
      </c>
      <c r="B58" s="20" t="s">
        <v>2306</v>
      </c>
      <c r="C58" s="20"/>
      <c r="D58">
        <v>4</v>
      </c>
      <c r="E58" s="27">
        <v>43665</v>
      </c>
    </row>
    <row r="59" spans="1:5">
      <c r="A59" s="20" t="s">
        <v>60</v>
      </c>
      <c r="B59" s="20" t="s">
        <v>2310</v>
      </c>
      <c r="C59" s="20"/>
      <c r="E59" s="27"/>
    </row>
    <row r="60" spans="1:5">
      <c r="A60" s="20" t="s">
        <v>306</v>
      </c>
      <c r="B60" s="20" t="s">
        <v>2307</v>
      </c>
      <c r="C60" s="20"/>
      <c r="D60">
        <v>2</v>
      </c>
      <c r="E60" s="27">
        <v>36688</v>
      </c>
    </row>
    <row r="61" spans="1:5">
      <c r="A61" s="20" t="s">
        <v>307</v>
      </c>
      <c r="B61" s="20" t="s">
        <v>2312</v>
      </c>
      <c r="C61" s="20"/>
      <c r="D61">
        <v>1</v>
      </c>
      <c r="E61" s="27">
        <v>35502</v>
      </c>
    </row>
    <row r="62" spans="1:5">
      <c r="A62" s="20" t="s">
        <v>120</v>
      </c>
      <c r="B62" s="20" t="s">
        <v>2310</v>
      </c>
      <c r="C62" s="20"/>
      <c r="D62">
        <v>3</v>
      </c>
      <c r="E62" s="27">
        <v>38558</v>
      </c>
    </row>
    <row r="63" spans="1:5">
      <c r="A63" s="20" t="s">
        <v>308</v>
      </c>
      <c r="B63" s="20" t="s">
        <v>882</v>
      </c>
      <c r="C63" s="20"/>
      <c r="D63">
        <v>1</v>
      </c>
      <c r="E63" s="27">
        <v>37449</v>
      </c>
    </row>
    <row r="64" spans="1:5">
      <c r="A64" s="20" t="s">
        <v>200</v>
      </c>
      <c r="B64" s="20" t="s">
        <v>2306</v>
      </c>
      <c r="C64" s="20"/>
      <c r="D64">
        <v>4</v>
      </c>
      <c r="E64" s="27">
        <v>43040</v>
      </c>
    </row>
    <row r="65" spans="1:5">
      <c r="A65" s="20" t="s">
        <v>309</v>
      </c>
      <c r="B65" s="20" t="s">
        <v>2310</v>
      </c>
      <c r="C65" s="20"/>
      <c r="D65">
        <v>2</v>
      </c>
      <c r="E65" s="27">
        <v>40179</v>
      </c>
    </row>
    <row r="66" spans="1:5">
      <c r="A66" s="20" t="s">
        <v>274</v>
      </c>
      <c r="B66" s="20" t="s">
        <v>2310</v>
      </c>
      <c r="C66" s="20"/>
      <c r="E66" s="27"/>
    </row>
    <row r="67" spans="1:5">
      <c r="A67" s="20" t="s">
        <v>124</v>
      </c>
      <c r="B67" s="20" t="s">
        <v>2306</v>
      </c>
      <c r="C67" s="20"/>
      <c r="D67">
        <v>1</v>
      </c>
      <c r="E67" s="27">
        <v>39325</v>
      </c>
    </row>
    <row r="68" spans="1:5">
      <c r="A68" s="20" t="s">
        <v>143</v>
      </c>
      <c r="B68" s="20" t="s">
        <v>2306</v>
      </c>
      <c r="C68" s="20"/>
      <c r="D68">
        <v>2</v>
      </c>
      <c r="E68" s="27">
        <v>39141</v>
      </c>
    </row>
    <row r="69" spans="1:5">
      <c r="A69" s="20" t="s">
        <v>32</v>
      </c>
      <c r="B69" s="20" t="s">
        <v>2306</v>
      </c>
      <c r="C69" s="20"/>
      <c r="E69" s="27"/>
    </row>
    <row r="70" spans="1:5">
      <c r="A70" s="20" t="s">
        <v>34</v>
      </c>
      <c r="B70" s="20" t="s">
        <v>2306</v>
      </c>
      <c r="C70" s="20"/>
      <c r="E70" s="27"/>
    </row>
    <row r="71" spans="1:5">
      <c r="A71" s="20" t="s">
        <v>144</v>
      </c>
      <c r="B71" s="20" t="s">
        <v>2306</v>
      </c>
      <c r="C71" s="20"/>
      <c r="E71" s="27"/>
    </row>
    <row r="72" spans="1:5">
      <c r="A72" s="20" t="s">
        <v>129</v>
      </c>
      <c r="B72" s="20" t="s">
        <v>2310</v>
      </c>
      <c r="C72" s="20"/>
      <c r="D72">
        <v>2</v>
      </c>
      <c r="E72" s="27">
        <v>41883</v>
      </c>
    </row>
    <row r="73" spans="1:5">
      <c r="A73" s="20" t="s">
        <v>145</v>
      </c>
      <c r="B73" s="20" t="s">
        <v>2306</v>
      </c>
      <c r="C73" s="20"/>
      <c r="E73" s="27"/>
    </row>
    <row r="74" spans="1:5">
      <c r="A74" s="20" t="s">
        <v>235</v>
      </c>
      <c r="B74" s="20" t="s">
        <v>2307</v>
      </c>
      <c r="C74" s="20"/>
      <c r="E74" s="27"/>
    </row>
    <row r="75" spans="1:5">
      <c r="A75" s="20" t="s">
        <v>311</v>
      </c>
      <c r="B75" s="20" t="s">
        <v>2307</v>
      </c>
      <c r="C75" s="20"/>
      <c r="E75" s="27"/>
    </row>
    <row r="76" spans="1:5">
      <c r="A76" s="20" t="s">
        <v>312</v>
      </c>
      <c r="B76" s="20" t="s">
        <v>2307</v>
      </c>
      <c r="C76" s="20"/>
      <c r="E76" s="27"/>
    </row>
    <row r="77" spans="1:5">
      <c r="A77" s="20" t="s">
        <v>236</v>
      </c>
      <c r="B77" s="20" t="s">
        <v>2307</v>
      </c>
      <c r="C77" s="20"/>
      <c r="E77" s="27"/>
    </row>
    <row r="78" spans="1:5">
      <c r="A78" s="20" t="s">
        <v>313</v>
      </c>
      <c r="B78" s="20" t="s">
        <v>2312</v>
      </c>
      <c r="C78" s="20"/>
      <c r="D78">
        <v>1</v>
      </c>
      <c r="E78" s="27">
        <v>38421</v>
      </c>
    </row>
    <row r="79" spans="1:5">
      <c r="A79" s="20" t="s">
        <v>190</v>
      </c>
      <c r="B79" s="20" t="s">
        <v>2307</v>
      </c>
      <c r="C79" s="20"/>
      <c r="D79">
        <v>2</v>
      </c>
      <c r="E79" s="27">
        <v>37597</v>
      </c>
    </row>
    <row r="80" spans="1:5">
      <c r="A80" s="20" t="s">
        <v>74</v>
      </c>
      <c r="B80" s="20" t="s">
        <v>2310</v>
      </c>
      <c r="C80" s="20"/>
      <c r="E80" s="27"/>
    </row>
    <row r="81" spans="1:5">
      <c r="A81" s="20" t="s">
        <v>314</v>
      </c>
      <c r="B81" s="20" t="s">
        <v>2307</v>
      </c>
      <c r="C81" s="20"/>
      <c r="E81" s="27"/>
    </row>
    <row r="82" spans="1:5">
      <c r="A82" s="20" t="s">
        <v>315</v>
      </c>
      <c r="B82" s="20" t="s">
        <v>2307</v>
      </c>
      <c r="C82" s="20"/>
      <c r="D82">
        <v>3</v>
      </c>
      <c r="E82" s="27">
        <v>42579</v>
      </c>
    </row>
    <row r="83" spans="1:5">
      <c r="A83" s="20" t="s">
        <v>105</v>
      </c>
      <c r="B83" s="20" t="s">
        <v>2306</v>
      </c>
      <c r="C83" s="20"/>
      <c r="D83">
        <v>1</v>
      </c>
      <c r="E83" s="27">
        <v>38519</v>
      </c>
    </row>
    <row r="84" spans="1:5">
      <c r="A84" s="20" t="s">
        <v>263</v>
      </c>
      <c r="B84" s="20" t="s">
        <v>2310</v>
      </c>
      <c r="C84" s="20"/>
      <c r="E84" s="27"/>
    </row>
    <row r="85" spans="1:5">
      <c r="A85" s="20" t="s">
        <v>75</v>
      </c>
      <c r="B85" s="20" t="s">
        <v>2310</v>
      </c>
      <c r="C85" s="20"/>
      <c r="E85" s="27"/>
    </row>
    <row r="86" spans="1:5">
      <c r="A86" s="20" t="s">
        <v>130</v>
      </c>
      <c r="B86" s="20" t="s">
        <v>2310</v>
      </c>
      <c r="C86" s="20"/>
      <c r="D86">
        <v>3</v>
      </c>
      <c r="E86" s="27">
        <v>41787</v>
      </c>
    </row>
    <row r="87" spans="1:5">
      <c r="A87" s="20" t="s">
        <v>76</v>
      </c>
      <c r="B87" s="20" t="s">
        <v>2310</v>
      </c>
      <c r="C87" s="20"/>
      <c r="E87" s="27"/>
    </row>
    <row r="88" spans="1:5">
      <c r="A88" s="20" t="s">
        <v>77</v>
      </c>
      <c r="B88" s="20" t="s">
        <v>2310</v>
      </c>
      <c r="C88" s="20"/>
      <c r="D88">
        <v>2</v>
      </c>
      <c r="E88" s="27">
        <v>36598</v>
      </c>
    </row>
    <row r="89" spans="1:5">
      <c r="A89" s="20" t="s">
        <v>279</v>
      </c>
      <c r="B89" s="20" t="s">
        <v>2310</v>
      </c>
      <c r="C89" s="20"/>
      <c r="D89">
        <v>2</v>
      </c>
      <c r="E89" s="27">
        <v>41955</v>
      </c>
    </row>
    <row r="90" spans="1:5">
      <c r="A90" s="20" t="s">
        <v>264</v>
      </c>
      <c r="B90" s="20" t="s">
        <v>2306</v>
      </c>
      <c r="C90" s="20"/>
      <c r="E90" s="27"/>
    </row>
    <row r="91" spans="1:5">
      <c r="A91" s="20" t="s">
        <v>275</v>
      </c>
      <c r="B91" s="20" t="s">
        <v>2306</v>
      </c>
      <c r="C91" s="20"/>
      <c r="D91">
        <v>1</v>
      </c>
      <c r="E91" s="27">
        <v>38377</v>
      </c>
    </row>
    <row r="92" spans="1:5">
      <c r="A92" s="20" t="s">
        <v>121</v>
      </c>
      <c r="B92" s="20" t="s">
        <v>2306</v>
      </c>
      <c r="C92" s="20"/>
      <c r="D92">
        <v>1</v>
      </c>
      <c r="E92" s="27">
        <v>38275</v>
      </c>
    </row>
    <row r="93" spans="1:5">
      <c r="A93" s="20" t="s">
        <v>2319</v>
      </c>
      <c r="B93" s="20" t="s">
        <v>2310</v>
      </c>
      <c r="C93" s="20" t="s">
        <v>2309</v>
      </c>
      <c r="E93" s="27"/>
    </row>
    <row r="94" spans="1:5">
      <c r="A94" s="20" t="s">
        <v>78</v>
      </c>
      <c r="B94" s="20" t="s">
        <v>2310</v>
      </c>
      <c r="C94" s="20"/>
      <c r="D94">
        <v>2</v>
      </c>
      <c r="E94" s="27">
        <v>36186</v>
      </c>
    </row>
    <row r="95" spans="1:5">
      <c r="A95" s="20" t="s">
        <v>317</v>
      </c>
      <c r="B95" s="20" t="s">
        <v>2306</v>
      </c>
      <c r="C95" s="20"/>
      <c r="D95">
        <v>2</v>
      </c>
      <c r="E95" s="27">
        <v>38097</v>
      </c>
    </row>
    <row r="96" spans="1:5">
      <c r="A96" s="20" t="s">
        <v>201</v>
      </c>
      <c r="B96" s="20" t="s">
        <v>2306</v>
      </c>
      <c r="C96" s="20"/>
      <c r="D96">
        <v>5</v>
      </c>
      <c r="E96" s="27">
        <v>41852</v>
      </c>
    </row>
    <row r="97" spans="1:5">
      <c r="A97" s="20" t="s">
        <v>221</v>
      </c>
      <c r="B97" s="20" t="s">
        <v>2310</v>
      </c>
      <c r="C97" s="20"/>
      <c r="E97" s="27"/>
    </row>
    <row r="98" spans="1:5">
      <c r="A98" s="20" t="s">
        <v>202</v>
      </c>
      <c r="B98" s="20" t="s">
        <v>2307</v>
      </c>
      <c r="C98" s="20"/>
      <c r="D98">
        <v>3</v>
      </c>
      <c r="E98" s="27">
        <v>38238</v>
      </c>
    </row>
    <row r="99" spans="1:5">
      <c r="A99" s="20" t="s">
        <v>203</v>
      </c>
      <c r="B99" s="20" t="s">
        <v>2307</v>
      </c>
      <c r="C99" s="20"/>
      <c r="E99" s="27"/>
    </row>
    <row r="100" spans="1:5">
      <c r="A100" s="20" t="s">
        <v>242</v>
      </c>
      <c r="B100" s="20" t="s">
        <v>2310</v>
      </c>
      <c r="C100" s="20"/>
      <c r="E100" s="27"/>
    </row>
    <row r="101" spans="1:5">
      <c r="A101" s="20" t="s">
        <v>204</v>
      </c>
      <c r="B101" s="20" t="s">
        <v>2306</v>
      </c>
      <c r="C101" s="20"/>
      <c r="D101">
        <v>3</v>
      </c>
      <c r="E101" s="27">
        <v>36515</v>
      </c>
    </row>
    <row r="102" spans="1:5">
      <c r="A102" s="20" t="s">
        <v>276</v>
      </c>
      <c r="B102" s="20" t="s">
        <v>2306</v>
      </c>
      <c r="C102" s="20"/>
      <c r="D102">
        <v>1</v>
      </c>
      <c r="E102" s="27">
        <v>36515</v>
      </c>
    </row>
    <row r="103" spans="1:5">
      <c r="A103" s="20" t="s">
        <v>79</v>
      </c>
      <c r="B103" s="20" t="s">
        <v>2310</v>
      </c>
      <c r="C103" s="20"/>
      <c r="E103" s="27"/>
    </row>
    <row r="104" spans="1:5">
      <c r="A104" s="20" t="s">
        <v>111</v>
      </c>
      <c r="B104" s="20" t="s">
        <v>2310</v>
      </c>
      <c r="C104" s="20"/>
      <c r="D104">
        <v>2</v>
      </c>
      <c r="E104" s="27">
        <v>37368</v>
      </c>
    </row>
    <row r="105" spans="1:5">
      <c r="A105" s="20" t="s">
        <v>324</v>
      </c>
      <c r="B105" s="20" t="s">
        <v>2307</v>
      </c>
      <c r="C105" s="20"/>
      <c r="E105" s="27"/>
    </row>
    <row r="106" spans="1:5">
      <c r="A106" s="20" t="s">
        <v>243</v>
      </c>
      <c r="B106" s="20" t="s">
        <v>2306</v>
      </c>
      <c r="C106" s="20"/>
      <c r="E106" s="27"/>
    </row>
    <row r="107" spans="1:5">
      <c r="A107" s="20" t="s">
        <v>205</v>
      </c>
      <c r="B107" s="20" t="s">
        <v>2307</v>
      </c>
      <c r="C107" s="20"/>
      <c r="E107" s="27"/>
    </row>
    <row r="108" spans="1:5">
      <c r="A108" s="20" t="s">
        <v>325</v>
      </c>
      <c r="B108" s="20" t="s">
        <v>2307</v>
      </c>
      <c r="C108" s="20"/>
      <c r="D108">
        <v>3</v>
      </c>
      <c r="E108" s="27">
        <v>43040</v>
      </c>
    </row>
    <row r="109" spans="1:5">
      <c r="A109" s="20" t="s">
        <v>61</v>
      </c>
      <c r="B109" s="20" t="s">
        <v>2310</v>
      </c>
      <c r="C109" s="20"/>
      <c r="D109">
        <v>1</v>
      </c>
      <c r="E109" s="27">
        <v>36752</v>
      </c>
    </row>
    <row r="110" spans="1:5">
      <c r="A110" s="20" t="s">
        <v>326</v>
      </c>
      <c r="B110" s="20" t="s">
        <v>2307</v>
      </c>
      <c r="C110" s="20"/>
      <c r="D110">
        <v>3</v>
      </c>
      <c r="E110" s="27">
        <v>37431</v>
      </c>
    </row>
    <row r="111" spans="1:5">
      <c r="A111" s="20" t="s">
        <v>80</v>
      </c>
      <c r="B111" s="20" t="s">
        <v>2310</v>
      </c>
      <c r="C111" s="20"/>
      <c r="E111" s="27"/>
    </row>
    <row r="112" spans="1:5">
      <c r="A112" s="20" t="s">
        <v>81</v>
      </c>
      <c r="B112" s="20" t="s">
        <v>2310</v>
      </c>
      <c r="C112" s="20"/>
      <c r="D112">
        <v>4</v>
      </c>
      <c r="E112" s="27">
        <v>36418</v>
      </c>
    </row>
    <row r="113" spans="1:5">
      <c r="A113" s="20" t="s">
        <v>327</v>
      </c>
      <c r="B113" s="20" t="s">
        <v>2307</v>
      </c>
      <c r="C113" s="20"/>
      <c r="E113" s="27"/>
    </row>
    <row r="114" spans="1:5">
      <c r="A114" s="20" t="s">
        <v>328</v>
      </c>
      <c r="B114" s="20" t="s">
        <v>2306</v>
      </c>
      <c r="C114" s="20"/>
      <c r="D114">
        <v>2</v>
      </c>
      <c r="E114" s="27">
        <v>39981</v>
      </c>
    </row>
    <row r="115" spans="1:5">
      <c r="A115" s="20" t="s">
        <v>329</v>
      </c>
      <c r="B115" s="20" t="s">
        <v>2307</v>
      </c>
      <c r="C115" s="20"/>
      <c r="E115" s="27"/>
    </row>
    <row r="116" spans="1:5">
      <c r="A116" s="20" t="s">
        <v>244</v>
      </c>
      <c r="B116" s="20" t="s">
        <v>2312</v>
      </c>
      <c r="C116" s="20"/>
      <c r="D116">
        <v>2</v>
      </c>
      <c r="E116" s="27">
        <v>39052</v>
      </c>
    </row>
    <row r="117" spans="1:5">
      <c r="A117" s="20" t="s">
        <v>265</v>
      </c>
      <c r="B117" s="20" t="s">
        <v>2310</v>
      </c>
      <c r="C117" s="20"/>
      <c r="D117">
        <v>1</v>
      </c>
      <c r="E117" s="27">
        <v>37749</v>
      </c>
    </row>
    <row r="118" spans="1:5">
      <c r="A118" s="20" t="s">
        <v>117</v>
      </c>
      <c r="B118" s="20" t="s">
        <v>2310</v>
      </c>
      <c r="C118" s="20"/>
      <c r="D118">
        <v>2</v>
      </c>
      <c r="E118" s="27">
        <v>40009</v>
      </c>
    </row>
    <row r="119" spans="1:5">
      <c r="A119" s="20" t="s">
        <v>82</v>
      </c>
      <c r="B119" s="20" t="s">
        <v>2310</v>
      </c>
      <c r="C119" s="20"/>
      <c r="E119" s="27"/>
    </row>
    <row r="120" spans="1:5">
      <c r="A120" s="20" t="s">
        <v>266</v>
      </c>
      <c r="B120" s="20" t="s">
        <v>2310</v>
      </c>
      <c r="C120" s="20"/>
      <c r="E120" s="27"/>
    </row>
    <row r="121" spans="1:5">
      <c r="A121" s="20" t="s">
        <v>332</v>
      </c>
      <c r="B121" s="20" t="s">
        <v>2306</v>
      </c>
      <c r="C121" s="20"/>
      <c r="D121">
        <v>2</v>
      </c>
      <c r="E121" s="27">
        <v>36759</v>
      </c>
    </row>
    <row r="122" spans="1:5">
      <c r="A122" s="20" t="s">
        <v>333</v>
      </c>
      <c r="B122" s="20" t="s">
        <v>2310</v>
      </c>
      <c r="C122" s="20"/>
      <c r="E122" s="27"/>
    </row>
    <row r="123" spans="1:5">
      <c r="A123" s="20" t="s">
        <v>857</v>
      </c>
      <c r="B123" s="20" t="s">
        <v>2307</v>
      </c>
      <c r="C123" s="20" t="s">
        <v>2309</v>
      </c>
      <c r="D123">
        <v>4</v>
      </c>
      <c r="E123" s="27">
        <v>38542</v>
      </c>
    </row>
    <row r="124" spans="1:5">
      <c r="A124" s="20" t="s">
        <v>206</v>
      </c>
      <c r="B124" s="20" t="s">
        <v>2307</v>
      </c>
      <c r="C124" s="20"/>
      <c r="D124">
        <v>2</v>
      </c>
      <c r="E124" s="27">
        <v>37534</v>
      </c>
    </row>
    <row r="125" spans="1:5">
      <c r="A125" s="20" t="s">
        <v>334</v>
      </c>
      <c r="B125" s="20" t="s">
        <v>2307</v>
      </c>
      <c r="C125" s="20"/>
      <c r="D125">
        <v>1</v>
      </c>
      <c r="E125" s="27">
        <v>39506</v>
      </c>
    </row>
    <row r="126" spans="1:5">
      <c r="A126" s="20" t="s">
        <v>139</v>
      </c>
      <c r="B126" s="20" t="s">
        <v>2307</v>
      </c>
      <c r="C126" s="20"/>
      <c r="E126" s="27"/>
    </row>
    <row r="127" spans="1:5">
      <c r="A127" s="20" t="s">
        <v>335</v>
      </c>
      <c r="B127" s="20" t="s">
        <v>2306</v>
      </c>
      <c r="C127" s="20"/>
      <c r="E127" s="27"/>
    </row>
    <row r="128" spans="1:5">
      <c r="A128" s="20" t="s">
        <v>207</v>
      </c>
      <c r="B128" s="20" t="s">
        <v>2307</v>
      </c>
      <c r="C128" s="20"/>
      <c r="D128">
        <v>3</v>
      </c>
      <c r="E128" s="27">
        <v>39687</v>
      </c>
    </row>
    <row r="129" spans="1:5">
      <c r="A129" s="20" t="s">
        <v>336</v>
      </c>
      <c r="B129" s="20" t="s">
        <v>2312</v>
      </c>
      <c r="C129" s="20"/>
      <c r="E129" s="27"/>
    </row>
    <row r="130" spans="1:5">
      <c r="A130" s="20" t="s">
        <v>337</v>
      </c>
      <c r="B130" s="20" t="s">
        <v>2310</v>
      </c>
      <c r="C130" s="20"/>
      <c r="D130">
        <v>1</v>
      </c>
      <c r="E130" s="27">
        <v>41953</v>
      </c>
    </row>
    <row r="131" spans="1:5">
      <c r="A131" s="20" t="s">
        <v>35</v>
      </c>
      <c r="B131" s="20" t="s">
        <v>2306</v>
      </c>
      <c r="C131" s="20"/>
      <c r="D131">
        <v>2</v>
      </c>
      <c r="E131" s="27">
        <v>36622</v>
      </c>
    </row>
    <row r="132" spans="1:5">
      <c r="A132" s="20" t="s">
        <v>112</v>
      </c>
      <c r="B132" s="20" t="s">
        <v>2310</v>
      </c>
      <c r="C132" s="20"/>
      <c r="D132">
        <v>3</v>
      </c>
      <c r="E132" s="27">
        <v>37601</v>
      </c>
    </row>
    <row r="133" spans="1:5">
      <c r="A133" s="20" t="s">
        <v>83</v>
      </c>
      <c r="B133" s="20" t="s">
        <v>2310</v>
      </c>
      <c r="C133" s="20"/>
      <c r="D133">
        <v>2</v>
      </c>
      <c r="E133" s="27">
        <v>36759</v>
      </c>
    </row>
    <row r="134" spans="1:5">
      <c r="A134" s="20" t="s">
        <v>131</v>
      </c>
      <c r="B134" s="20" t="s">
        <v>2310</v>
      </c>
      <c r="C134" s="20"/>
      <c r="D134">
        <v>2</v>
      </c>
      <c r="E134" s="27">
        <v>41953</v>
      </c>
    </row>
    <row r="135" spans="1:5">
      <c r="A135" s="20" t="s">
        <v>84</v>
      </c>
      <c r="B135" s="20" t="s">
        <v>2307</v>
      </c>
      <c r="C135" s="20"/>
      <c r="E135" s="27"/>
    </row>
    <row r="136" spans="1:5">
      <c r="A136" s="20" t="s">
        <v>191</v>
      </c>
      <c r="B136" s="20" t="s">
        <v>2307</v>
      </c>
      <c r="C136" s="20"/>
      <c r="E136" s="27"/>
    </row>
    <row r="137" spans="1:5">
      <c r="A137" s="20" t="s">
        <v>36</v>
      </c>
      <c r="B137" s="20" t="s">
        <v>2310</v>
      </c>
      <c r="C137" s="20"/>
      <c r="D137">
        <v>2</v>
      </c>
      <c r="E137" s="27">
        <v>38106</v>
      </c>
    </row>
    <row r="138" spans="1:5">
      <c r="A138" s="20" t="s">
        <v>103</v>
      </c>
      <c r="B138" s="20" t="s">
        <v>2310</v>
      </c>
      <c r="C138" s="20"/>
      <c r="E138" s="27"/>
    </row>
    <row r="139" spans="1:5">
      <c r="A139" s="20" t="s">
        <v>37</v>
      </c>
      <c r="B139" s="20" t="s">
        <v>2307</v>
      </c>
      <c r="C139" s="20"/>
      <c r="D139">
        <v>2</v>
      </c>
      <c r="E139" s="27">
        <v>43677</v>
      </c>
    </row>
    <row r="140" spans="1:5">
      <c r="A140" s="20" t="s">
        <v>338</v>
      </c>
      <c r="B140" s="20" t="s">
        <v>2312</v>
      </c>
      <c r="C140" s="20"/>
      <c r="D140">
        <v>1</v>
      </c>
      <c r="E140" s="27">
        <v>39156</v>
      </c>
    </row>
    <row r="141" spans="1:5">
      <c r="A141" s="20" t="s">
        <v>339</v>
      </c>
      <c r="B141" s="20" t="s">
        <v>2312</v>
      </c>
      <c r="C141" s="20"/>
      <c r="E141" s="27"/>
    </row>
    <row r="142" spans="1:5">
      <c r="A142" s="20" t="s">
        <v>146</v>
      </c>
      <c r="B142" s="20" t="s">
        <v>2310</v>
      </c>
      <c r="C142" s="20"/>
      <c r="D142">
        <v>2</v>
      </c>
      <c r="E142" s="27">
        <v>41883</v>
      </c>
    </row>
    <row r="143" spans="1:5">
      <c r="A143" s="20" t="s">
        <v>340</v>
      </c>
      <c r="B143" s="20" t="s">
        <v>2307</v>
      </c>
      <c r="C143" s="20"/>
      <c r="E143" s="27"/>
    </row>
    <row r="144" spans="1:5">
      <c r="A144" s="20" t="s">
        <v>125</v>
      </c>
      <c r="B144" s="20" t="s">
        <v>2310</v>
      </c>
      <c r="C144" s="20"/>
      <c r="D144">
        <v>1</v>
      </c>
      <c r="E144" s="27">
        <v>39241</v>
      </c>
    </row>
    <row r="145" spans="1:5">
      <c r="A145" s="20" t="s">
        <v>113</v>
      </c>
      <c r="B145" s="20" t="s">
        <v>2310</v>
      </c>
      <c r="C145" s="20"/>
      <c r="D145">
        <v>2</v>
      </c>
      <c r="E145" s="27">
        <v>37783</v>
      </c>
    </row>
    <row r="146" spans="1:5">
      <c r="A146" s="20" t="s">
        <v>341</v>
      </c>
      <c r="B146" s="20" t="s">
        <v>2307</v>
      </c>
      <c r="C146" s="20"/>
      <c r="D146">
        <v>3</v>
      </c>
      <c r="E146" s="27">
        <v>39059</v>
      </c>
    </row>
    <row r="147" spans="1:5">
      <c r="A147" s="20" t="s">
        <v>208</v>
      </c>
      <c r="B147" s="20" t="s">
        <v>2307</v>
      </c>
      <c r="C147" s="20"/>
      <c r="E147" s="27"/>
    </row>
    <row r="148" spans="1:5">
      <c r="A148" s="20" t="s">
        <v>192</v>
      </c>
      <c r="B148" s="20" t="s">
        <v>2306</v>
      </c>
      <c r="C148" s="20"/>
      <c r="E148" s="27"/>
    </row>
    <row r="149" spans="1:5">
      <c r="A149" s="20" t="s">
        <v>62</v>
      </c>
      <c r="B149" s="20" t="s">
        <v>2310</v>
      </c>
      <c r="C149" s="20"/>
      <c r="E149" s="27"/>
    </row>
    <row r="150" spans="1:5">
      <c r="A150" s="20" t="s">
        <v>63</v>
      </c>
      <c r="B150" s="20" t="s">
        <v>2310</v>
      </c>
      <c r="C150" s="20"/>
      <c r="E150" s="27"/>
    </row>
    <row r="151" spans="1:5">
      <c r="A151" s="20" t="s">
        <v>64</v>
      </c>
      <c r="B151" s="20" t="s">
        <v>2310</v>
      </c>
      <c r="C151" s="20"/>
      <c r="E151" s="27"/>
    </row>
    <row r="152" spans="1:5">
      <c r="A152" s="20" t="s">
        <v>122</v>
      </c>
      <c r="B152" s="20" t="s">
        <v>2310</v>
      </c>
      <c r="C152" s="20"/>
      <c r="D152">
        <v>3</v>
      </c>
      <c r="E152" s="27">
        <v>38408</v>
      </c>
    </row>
    <row r="153" spans="1:5">
      <c r="A153" s="20" t="s">
        <v>87</v>
      </c>
      <c r="B153" s="20" t="s">
        <v>2310</v>
      </c>
      <c r="C153" s="20"/>
      <c r="E153" s="27"/>
    </row>
    <row r="154" spans="1:5">
      <c r="A154" s="20" t="s">
        <v>88</v>
      </c>
      <c r="B154" s="20" t="s">
        <v>2310</v>
      </c>
      <c r="C154" s="20"/>
      <c r="E154" s="27"/>
    </row>
    <row r="155" spans="1:5">
      <c r="A155" s="20" t="s">
        <v>342</v>
      </c>
      <c r="B155" s="20" t="s">
        <v>2306</v>
      </c>
      <c r="C155" s="20"/>
      <c r="D155">
        <v>3</v>
      </c>
      <c r="E155" s="27">
        <v>38154</v>
      </c>
    </row>
    <row r="156" spans="1:5">
      <c r="A156" s="20" t="s">
        <v>38</v>
      </c>
      <c r="B156" s="20" t="s">
        <v>2307</v>
      </c>
      <c r="C156" s="20"/>
      <c r="D156">
        <v>3</v>
      </c>
      <c r="E156" s="27">
        <v>43586</v>
      </c>
    </row>
    <row r="157" spans="1:5">
      <c r="A157" s="20" t="s">
        <v>344</v>
      </c>
      <c r="B157" s="20" t="s">
        <v>2313</v>
      </c>
      <c r="C157" s="20"/>
      <c r="D157">
        <v>2</v>
      </c>
      <c r="E157" s="27">
        <v>41897</v>
      </c>
    </row>
    <row r="158" spans="1:5">
      <c r="A158" s="20" t="s">
        <v>193</v>
      </c>
      <c r="B158" s="20" t="s">
        <v>2307</v>
      </c>
      <c r="C158" s="20"/>
      <c r="D158">
        <v>4</v>
      </c>
      <c r="E158" s="27">
        <v>39077</v>
      </c>
    </row>
    <row r="159" spans="1:5">
      <c r="A159" s="20" t="s">
        <v>89</v>
      </c>
      <c r="B159" s="20" t="s">
        <v>2310</v>
      </c>
      <c r="C159" s="20"/>
      <c r="E159" s="27"/>
    </row>
    <row r="160" spans="1:5">
      <c r="A160" s="20" t="s">
        <v>222</v>
      </c>
      <c r="B160" s="20" t="s">
        <v>2306</v>
      </c>
      <c r="C160" s="20"/>
      <c r="D160">
        <v>2</v>
      </c>
      <c r="E160" s="27">
        <v>36626</v>
      </c>
    </row>
    <row r="161" spans="1:5">
      <c r="A161" s="20" t="s">
        <v>39</v>
      </c>
      <c r="B161" s="20" t="s">
        <v>2306</v>
      </c>
      <c r="C161" s="20"/>
      <c r="D161">
        <v>3</v>
      </c>
      <c r="E161" s="27">
        <v>36850</v>
      </c>
    </row>
    <row r="162" spans="1:5">
      <c r="A162" s="20" t="s">
        <v>50</v>
      </c>
      <c r="B162" s="20" t="s">
        <v>2310</v>
      </c>
      <c r="C162" s="20"/>
      <c r="E162" s="27"/>
    </row>
    <row r="163" spans="1:5">
      <c r="A163" s="20" t="s">
        <v>90</v>
      </c>
      <c r="B163" s="20" t="s">
        <v>2310</v>
      </c>
      <c r="C163" s="20"/>
      <c r="E163" s="27"/>
    </row>
    <row r="164" spans="1:5">
      <c r="A164" s="20" t="s">
        <v>345</v>
      </c>
      <c r="B164" s="20" t="s">
        <v>2306</v>
      </c>
      <c r="C164" s="20"/>
      <c r="E164" s="27"/>
    </row>
    <row r="165" spans="1:5">
      <c r="A165" s="20" t="s">
        <v>267</v>
      </c>
      <c r="B165" s="20" t="s">
        <v>2306</v>
      </c>
      <c r="C165" s="20"/>
      <c r="D165">
        <v>3</v>
      </c>
      <c r="E165" s="27">
        <v>40909</v>
      </c>
    </row>
    <row r="166" spans="1:5">
      <c r="A166" s="20" t="s">
        <v>277</v>
      </c>
      <c r="B166" s="20" t="s">
        <v>2306</v>
      </c>
      <c r="C166" s="20"/>
      <c r="E166" s="27"/>
    </row>
    <row r="167" spans="1:5">
      <c r="A167" s="20" t="s">
        <v>223</v>
      </c>
      <c r="B167" s="20" t="s">
        <v>2306</v>
      </c>
      <c r="C167" s="20"/>
      <c r="D167">
        <v>4</v>
      </c>
      <c r="E167" s="27">
        <v>37845</v>
      </c>
    </row>
    <row r="168" spans="1:5">
      <c r="A168" s="20" t="s">
        <v>114</v>
      </c>
      <c r="B168" s="20" t="s">
        <v>2306</v>
      </c>
      <c r="C168" s="20"/>
      <c r="D168">
        <v>2</v>
      </c>
      <c r="E168" s="27">
        <v>36829</v>
      </c>
    </row>
    <row r="169" spans="1:5">
      <c r="A169" s="20" t="s">
        <v>91</v>
      </c>
      <c r="B169" s="20" t="s">
        <v>2306</v>
      </c>
      <c r="C169" s="20"/>
      <c r="D169">
        <v>1</v>
      </c>
      <c r="E169" s="27">
        <v>37042</v>
      </c>
    </row>
    <row r="170" spans="1:5">
      <c r="A170" s="20" t="s">
        <v>40</v>
      </c>
      <c r="B170" s="20" t="s">
        <v>2306</v>
      </c>
      <c r="C170" s="20"/>
      <c r="D170">
        <v>5</v>
      </c>
      <c r="E170" s="27">
        <v>43696</v>
      </c>
    </row>
    <row r="171" spans="1:5">
      <c r="A171" s="20" t="s">
        <v>140</v>
      </c>
      <c r="B171" s="20" t="s">
        <v>2306</v>
      </c>
      <c r="C171" s="20"/>
      <c r="E171" s="27"/>
    </row>
    <row r="172" spans="1:5">
      <c r="A172" s="20" t="s">
        <v>92</v>
      </c>
      <c r="B172" s="20" t="s">
        <v>2306</v>
      </c>
      <c r="C172" s="20"/>
      <c r="E172" s="27"/>
    </row>
    <row r="173" spans="1:5">
      <c r="A173" s="20" t="s">
        <v>147</v>
      </c>
      <c r="B173" s="20" t="s">
        <v>2306</v>
      </c>
      <c r="C173" s="20"/>
      <c r="E173" s="27"/>
    </row>
    <row r="174" spans="1:5">
      <c r="A174" s="20" t="s">
        <v>41</v>
      </c>
      <c r="B174" s="20" t="s">
        <v>2306</v>
      </c>
      <c r="C174" s="20"/>
      <c r="D174">
        <v>2</v>
      </c>
      <c r="E174" s="27">
        <v>42278</v>
      </c>
    </row>
    <row r="175" spans="1:5">
      <c r="A175" s="20" t="s">
        <v>346</v>
      </c>
      <c r="B175" s="20" t="s">
        <v>2306</v>
      </c>
      <c r="C175" s="20"/>
      <c r="D175">
        <v>2</v>
      </c>
      <c r="E175" s="27">
        <v>38244</v>
      </c>
    </row>
    <row r="176" spans="1:5">
      <c r="A176" s="20" t="s">
        <v>2320</v>
      </c>
      <c r="B176" s="20" t="s">
        <v>2306</v>
      </c>
      <c r="C176" s="20" t="s">
        <v>2309</v>
      </c>
      <c r="D176">
        <v>2</v>
      </c>
      <c r="E176" s="27">
        <v>38166</v>
      </c>
    </row>
    <row r="177" spans="1:5">
      <c r="A177" s="20" t="s">
        <v>347</v>
      </c>
      <c r="B177" s="20" t="s">
        <v>2313</v>
      </c>
      <c r="C177" s="20"/>
      <c r="E177" s="27"/>
    </row>
    <row r="178" spans="1:5">
      <c r="A178" s="20" t="s">
        <v>209</v>
      </c>
      <c r="B178" s="20" t="s">
        <v>2307</v>
      </c>
      <c r="C178" s="20"/>
      <c r="D178">
        <v>1</v>
      </c>
      <c r="E178" s="27">
        <v>39478</v>
      </c>
    </row>
    <row r="179" spans="1:5">
      <c r="A179" s="20" t="s">
        <v>348</v>
      </c>
      <c r="B179" s="20" t="s">
        <v>2312</v>
      </c>
      <c r="C179" s="20"/>
      <c r="E179" s="27"/>
    </row>
    <row r="180" spans="1:5">
      <c r="A180" s="20" t="s">
        <v>349</v>
      </c>
      <c r="B180" s="20" t="s">
        <v>2307</v>
      </c>
      <c r="C180" s="20"/>
      <c r="E180" s="27"/>
    </row>
    <row r="181" spans="1:5">
      <c r="A181" s="20" t="s">
        <v>350</v>
      </c>
      <c r="B181" s="20" t="s">
        <v>2307</v>
      </c>
      <c r="C181" s="20"/>
      <c r="E181" s="27"/>
    </row>
    <row r="182" spans="1:5">
      <c r="A182" s="20" t="s">
        <v>351</v>
      </c>
      <c r="B182" s="20" t="s">
        <v>2307</v>
      </c>
      <c r="C182" s="20"/>
      <c r="E182" s="27"/>
    </row>
    <row r="183" spans="1:5">
      <c r="A183" s="20" t="s">
        <v>1780</v>
      </c>
      <c r="B183" s="20" t="s">
        <v>2307</v>
      </c>
      <c r="C183" s="20" t="s">
        <v>2309</v>
      </c>
      <c r="E183" s="27"/>
    </row>
    <row r="184" spans="1:5">
      <c r="A184" s="20" t="s">
        <v>93</v>
      </c>
      <c r="B184" s="20" t="s">
        <v>2310</v>
      </c>
      <c r="C184" s="20"/>
      <c r="E184" s="27"/>
    </row>
    <row r="185" spans="1:5">
      <c r="A185" s="20" t="s">
        <v>352</v>
      </c>
      <c r="B185" s="20" t="s">
        <v>2307</v>
      </c>
      <c r="C185" s="20"/>
      <c r="E185" s="27"/>
    </row>
    <row r="186" spans="1:5">
      <c r="A186" s="20" t="s">
        <v>353</v>
      </c>
      <c r="B186" s="20" t="s">
        <v>2306</v>
      </c>
      <c r="C186" s="20"/>
      <c r="D186">
        <v>2</v>
      </c>
      <c r="E186" s="27">
        <v>37145</v>
      </c>
    </row>
    <row r="187" spans="1:5">
      <c r="A187" s="20" t="s">
        <v>132</v>
      </c>
      <c r="B187" s="20" t="s">
        <v>2306</v>
      </c>
      <c r="C187" s="20"/>
      <c r="D187">
        <v>3</v>
      </c>
      <c r="E187" s="27">
        <v>41214</v>
      </c>
    </row>
    <row r="188" spans="1:5">
      <c r="A188" s="20" t="s">
        <v>210</v>
      </c>
      <c r="B188" s="20" t="s">
        <v>2306</v>
      </c>
      <c r="C188" s="20"/>
      <c r="D188">
        <v>3</v>
      </c>
      <c r="E188" s="27">
        <v>36871</v>
      </c>
    </row>
    <row r="189" spans="1:5">
      <c r="A189" s="20" t="s">
        <v>354</v>
      </c>
      <c r="B189" s="20" t="s">
        <v>2307</v>
      </c>
      <c r="C189" s="20"/>
      <c r="D189">
        <v>1</v>
      </c>
      <c r="E189" s="27">
        <v>37569</v>
      </c>
    </row>
    <row r="190" spans="1:5">
      <c r="A190" s="20" t="s">
        <v>249</v>
      </c>
      <c r="B190" s="20" t="s">
        <v>2307</v>
      </c>
      <c r="C190" s="20"/>
      <c r="D190">
        <v>3</v>
      </c>
      <c r="E190" s="27">
        <v>40634</v>
      </c>
    </row>
    <row r="191" spans="1:5">
      <c r="A191" s="20" t="s">
        <v>133</v>
      </c>
      <c r="B191" s="20" t="s">
        <v>2310</v>
      </c>
      <c r="C191" s="20"/>
      <c r="D191">
        <v>3</v>
      </c>
      <c r="E191" s="27">
        <v>41593</v>
      </c>
    </row>
    <row r="192" spans="1:5">
      <c r="A192" s="20" t="s">
        <v>211</v>
      </c>
      <c r="B192" s="20" t="s">
        <v>2312</v>
      </c>
      <c r="C192" s="20"/>
      <c r="D192">
        <v>5</v>
      </c>
      <c r="E192" s="27">
        <v>39569</v>
      </c>
    </row>
    <row r="193" spans="1:5">
      <c r="A193" s="20" t="s">
        <v>94</v>
      </c>
      <c r="B193" s="20" t="s">
        <v>2310</v>
      </c>
      <c r="C193" s="20"/>
      <c r="E193" s="27"/>
    </row>
    <row r="194" spans="1:5">
      <c r="A194" s="20" t="s">
        <v>134</v>
      </c>
      <c r="B194" s="20" t="s">
        <v>2312</v>
      </c>
      <c r="C194" s="20"/>
      <c r="D194">
        <v>3</v>
      </c>
      <c r="E194" s="27">
        <v>40194</v>
      </c>
    </row>
    <row r="195" spans="1:5">
      <c r="A195" s="20" t="s">
        <v>135</v>
      </c>
      <c r="B195" s="20" t="s">
        <v>2312</v>
      </c>
      <c r="C195" s="20"/>
      <c r="D195">
        <v>3</v>
      </c>
      <c r="E195" s="27">
        <v>40194</v>
      </c>
    </row>
    <row r="196" spans="1:5">
      <c r="A196" s="20" t="s">
        <v>355</v>
      </c>
      <c r="B196" s="20" t="s">
        <v>2307</v>
      </c>
      <c r="C196" s="20"/>
      <c r="D196">
        <v>2</v>
      </c>
      <c r="E196" s="27">
        <v>36829</v>
      </c>
    </row>
    <row r="197" spans="1:5">
      <c r="A197" s="20" t="s">
        <v>268</v>
      </c>
      <c r="B197" s="20" t="s">
        <v>2306</v>
      </c>
      <c r="C197" s="20"/>
      <c r="E197" s="27"/>
    </row>
    <row r="198" spans="1:5">
      <c r="A198" s="20" t="s">
        <v>115</v>
      </c>
      <c r="B198" s="20" t="s">
        <v>2310</v>
      </c>
      <c r="C198" s="20"/>
      <c r="D198">
        <v>3</v>
      </c>
      <c r="E198" s="27">
        <v>37658</v>
      </c>
    </row>
    <row r="199" spans="1:5">
      <c r="A199" s="20" t="s">
        <v>212</v>
      </c>
      <c r="B199" s="20" t="s">
        <v>2312</v>
      </c>
      <c r="C199" s="20"/>
      <c r="D199">
        <v>4</v>
      </c>
      <c r="E199" s="27">
        <v>37727</v>
      </c>
    </row>
    <row r="200" spans="1:5">
      <c r="A200" s="20" t="s">
        <v>213</v>
      </c>
      <c r="B200" s="20" t="s">
        <v>2307</v>
      </c>
      <c r="C200" s="20"/>
      <c r="D200">
        <v>2</v>
      </c>
      <c r="E200" s="27">
        <v>43040</v>
      </c>
    </row>
    <row r="201" spans="1:5">
      <c r="A201" s="20" t="s">
        <v>214</v>
      </c>
      <c r="B201" s="20" t="s">
        <v>2307</v>
      </c>
      <c r="C201" s="20"/>
      <c r="D201">
        <v>2</v>
      </c>
      <c r="E201" s="27">
        <v>36342</v>
      </c>
    </row>
    <row r="202" spans="1:5">
      <c r="A202" s="20" t="s">
        <v>194</v>
      </c>
      <c r="B202" s="20" t="s">
        <v>2312</v>
      </c>
      <c r="C202" s="20"/>
      <c r="D202">
        <v>2</v>
      </c>
      <c r="E202" s="27">
        <v>38356</v>
      </c>
    </row>
    <row r="203" spans="1:5">
      <c r="A203" s="20" t="s">
        <v>250</v>
      </c>
      <c r="B203" s="20" t="s">
        <v>2310</v>
      </c>
      <c r="C203" s="20"/>
      <c r="E203" s="27"/>
    </row>
    <row r="204" spans="1:5">
      <c r="A204" s="20" t="s">
        <v>356</v>
      </c>
      <c r="B204" s="20" t="s">
        <v>2307</v>
      </c>
      <c r="C204" s="20"/>
      <c r="E204" s="27"/>
    </row>
    <row r="205" spans="1:5">
      <c r="A205" s="20" t="s">
        <v>357</v>
      </c>
      <c r="B205" s="20" t="s">
        <v>2313</v>
      </c>
      <c r="C205" s="20"/>
      <c r="D205">
        <v>2</v>
      </c>
      <c r="E205" s="27">
        <v>41922</v>
      </c>
    </row>
    <row r="206" spans="1:5">
      <c r="A206" s="20" t="s">
        <v>55</v>
      </c>
      <c r="B206" s="20" t="s">
        <v>2310</v>
      </c>
      <c r="C206" s="20"/>
      <c r="D206">
        <v>3</v>
      </c>
      <c r="E206" s="27">
        <v>43727</v>
      </c>
    </row>
    <row r="207" spans="1:5">
      <c r="A207" s="20" t="s">
        <v>104</v>
      </c>
      <c r="B207" s="20" t="s">
        <v>2310</v>
      </c>
      <c r="C207" s="20"/>
      <c r="E207" s="27"/>
    </row>
    <row r="208" spans="1:5">
      <c r="A208" s="20" t="s">
        <v>195</v>
      </c>
      <c r="B208" s="20" t="s">
        <v>2310</v>
      </c>
      <c r="C208" s="20"/>
      <c r="E208" s="27"/>
    </row>
    <row r="209" spans="1:5">
      <c r="A209" s="20" t="s">
        <v>107</v>
      </c>
      <c r="B209" s="20" t="s">
        <v>2310</v>
      </c>
      <c r="C209" s="20"/>
      <c r="D209">
        <v>2</v>
      </c>
      <c r="E209" s="27">
        <v>39209</v>
      </c>
    </row>
    <row r="210" spans="1:5">
      <c r="A210" s="20" t="s">
        <v>42</v>
      </c>
      <c r="B210" s="20" t="s">
        <v>2307</v>
      </c>
      <c r="C210" s="20"/>
      <c r="D210">
        <v>2</v>
      </c>
      <c r="E210" s="27">
        <v>43647</v>
      </c>
    </row>
    <row r="211" spans="1:5">
      <c r="A211" s="20" t="s">
        <v>148</v>
      </c>
      <c r="B211" s="20" t="s">
        <v>2307</v>
      </c>
      <c r="C211" s="20"/>
      <c r="E211" s="27"/>
    </row>
    <row r="212" spans="1:5">
      <c r="A212" s="20" t="s">
        <v>43</v>
      </c>
      <c r="B212" s="20" t="s">
        <v>2310</v>
      </c>
      <c r="C212" s="20"/>
      <c r="D212">
        <v>1</v>
      </c>
      <c r="E212" s="27">
        <v>38639</v>
      </c>
    </row>
    <row r="213" spans="1:5">
      <c r="A213" s="20" t="s">
        <v>216</v>
      </c>
      <c r="B213" s="20" t="s">
        <v>2307</v>
      </c>
      <c r="C213" s="20"/>
      <c r="E213" s="27"/>
    </row>
    <row r="214" spans="1:5">
      <c r="A214" s="20" t="s">
        <v>253</v>
      </c>
      <c r="B214" s="20" t="s">
        <v>2307</v>
      </c>
      <c r="C214" s="20"/>
      <c r="E214" s="27"/>
    </row>
    <row r="215" spans="1:5">
      <c r="A215" s="20" t="s">
        <v>123</v>
      </c>
      <c r="B215" s="20" t="s">
        <v>2306</v>
      </c>
      <c r="C215" s="20"/>
      <c r="D215">
        <v>2</v>
      </c>
      <c r="E215" s="27">
        <v>38668</v>
      </c>
    </row>
    <row r="216" spans="1:5">
      <c r="A216" s="20" t="s">
        <v>136</v>
      </c>
      <c r="B216" s="20" t="s">
        <v>2310</v>
      </c>
      <c r="C216" s="20"/>
      <c r="D216">
        <v>3</v>
      </c>
      <c r="E216" s="27">
        <v>43040</v>
      </c>
    </row>
    <row r="217" spans="1:5">
      <c r="A217" s="20" t="s">
        <v>95</v>
      </c>
      <c r="B217" s="20" t="s">
        <v>2310</v>
      </c>
      <c r="C217" s="20"/>
      <c r="E217" s="27"/>
    </row>
    <row r="218" spans="1:5">
      <c r="A218" s="20" t="s">
        <v>2321</v>
      </c>
      <c r="B218" s="20" t="s">
        <v>2310</v>
      </c>
      <c r="C218" s="20"/>
      <c r="E218" s="27"/>
    </row>
    <row r="219" spans="1:5">
      <c r="A219" s="20" t="s">
        <v>2322</v>
      </c>
      <c r="B219" s="20" t="s">
        <v>2307</v>
      </c>
      <c r="C219" s="20"/>
      <c r="D219" t="s">
        <v>2323</v>
      </c>
      <c r="E219" s="27"/>
    </row>
    <row r="220" spans="1:5">
      <c r="A220" s="20" t="s">
        <v>254</v>
      </c>
      <c r="B220" s="20" t="s">
        <v>2307</v>
      </c>
      <c r="C220" s="20"/>
      <c r="E220" s="27"/>
    </row>
    <row r="221" spans="1:5">
      <c r="A221" s="20" t="s">
        <v>361</v>
      </c>
      <c r="B221" s="20" t="s">
        <v>2306</v>
      </c>
      <c r="C221" s="20"/>
      <c r="D221">
        <v>2</v>
      </c>
      <c r="E221" s="27">
        <v>36995</v>
      </c>
    </row>
    <row r="222" spans="1:5">
      <c r="A222" s="20" t="s">
        <v>65</v>
      </c>
      <c r="B222" s="20" t="s">
        <v>2310</v>
      </c>
      <c r="C222" s="20"/>
      <c r="E222" s="27"/>
    </row>
    <row r="223" spans="1:5">
      <c r="A223" s="20" t="s">
        <v>196</v>
      </c>
      <c r="B223" s="20" t="s">
        <v>2307</v>
      </c>
      <c r="C223" s="20"/>
      <c r="D223">
        <v>4</v>
      </c>
      <c r="E223" s="27">
        <v>37286</v>
      </c>
    </row>
    <row r="224" spans="1:5">
      <c r="A224" s="20" t="s">
        <v>362</v>
      </c>
      <c r="B224" s="20" t="s">
        <v>2312</v>
      </c>
      <c r="C224" s="20"/>
      <c r="E224" s="27"/>
    </row>
    <row r="225" spans="1:5">
      <c r="A225" s="20" t="s">
        <v>44</v>
      </c>
      <c r="B225" s="20" t="s">
        <v>2310</v>
      </c>
      <c r="C225" s="20"/>
      <c r="D225">
        <v>4</v>
      </c>
      <c r="E225" s="27">
        <v>37979</v>
      </c>
    </row>
    <row r="226" spans="1:5">
      <c r="A226" s="20" t="s">
        <v>363</v>
      </c>
      <c r="B226" s="20" t="s">
        <v>2306</v>
      </c>
      <c r="C226" s="20"/>
      <c r="D226">
        <v>4</v>
      </c>
      <c r="E226" s="27">
        <v>38275</v>
      </c>
    </row>
    <row r="227" spans="1:5">
      <c r="A227" s="20" t="s">
        <v>255</v>
      </c>
      <c r="B227" s="20" t="s">
        <v>2313</v>
      </c>
      <c r="C227" s="20"/>
      <c r="D227">
        <v>1</v>
      </c>
      <c r="E227" s="27">
        <v>39210</v>
      </c>
    </row>
    <row r="228" spans="1:5">
      <c r="A228" s="20" t="s">
        <v>224</v>
      </c>
      <c r="B228" s="20" t="s">
        <v>2312</v>
      </c>
      <c r="C228" s="20"/>
      <c r="D228">
        <v>4</v>
      </c>
      <c r="E228" s="27">
        <v>43040</v>
      </c>
    </row>
    <row r="229" spans="1:5">
      <c r="A229" s="20" t="s">
        <v>269</v>
      </c>
      <c r="B229" s="20" t="s">
        <v>2312</v>
      </c>
      <c r="C229" s="20"/>
      <c r="E229" s="27"/>
    </row>
    <row r="230" spans="1:5">
      <c r="A230" s="20" t="s">
        <v>365</v>
      </c>
      <c r="B230" s="20" t="s">
        <v>882</v>
      </c>
      <c r="C230" s="20"/>
      <c r="D230">
        <v>2</v>
      </c>
      <c r="E230" s="27">
        <v>37326</v>
      </c>
    </row>
    <row r="231" spans="1:5">
      <c r="A231" s="20" t="s">
        <v>366</v>
      </c>
      <c r="B231" s="20" t="s">
        <v>2307</v>
      </c>
      <c r="C231" s="20"/>
      <c r="E231" s="27"/>
    </row>
    <row r="232" spans="1:5">
      <c r="A232" s="20" t="s">
        <v>256</v>
      </c>
      <c r="B232" s="20" t="s">
        <v>2307</v>
      </c>
      <c r="C232" s="20"/>
      <c r="E232" s="27"/>
    </row>
    <row r="233" spans="1:5">
      <c r="A233" s="20" t="s">
        <v>198</v>
      </c>
      <c r="B233" s="20" t="s">
        <v>2310</v>
      </c>
      <c r="C233" s="20"/>
      <c r="E233" s="27"/>
    </row>
    <row r="234" spans="1:5">
      <c r="A234" s="20" t="s">
        <v>257</v>
      </c>
      <c r="B234" s="20" t="s">
        <v>2307</v>
      </c>
      <c r="C234" s="20"/>
      <c r="D234">
        <v>1</v>
      </c>
      <c r="E234" s="27">
        <v>39427</v>
      </c>
    </row>
    <row r="235" spans="1:5">
      <c r="A235" s="20" t="s">
        <v>258</v>
      </c>
      <c r="B235" s="20" t="s">
        <v>2307</v>
      </c>
      <c r="C235" s="20"/>
      <c r="E235" s="27"/>
    </row>
    <row r="236" spans="1:5">
      <c r="A236" s="20" t="s">
        <v>2324</v>
      </c>
      <c r="B236" s="20" t="s">
        <v>2307</v>
      </c>
      <c r="C236" s="20"/>
      <c r="D236">
        <v>3</v>
      </c>
      <c r="E236" s="27">
        <v>43619</v>
      </c>
    </row>
    <row r="237" spans="1:5">
      <c r="A237" s="20" t="s">
        <v>367</v>
      </c>
      <c r="B237" s="20" t="s">
        <v>2307</v>
      </c>
      <c r="C237" s="20"/>
      <c r="D237">
        <v>2</v>
      </c>
      <c r="E237" s="27">
        <v>39563</v>
      </c>
    </row>
    <row r="238" spans="1:5">
      <c r="A238" s="20" t="s">
        <v>368</v>
      </c>
      <c r="B238" s="20" t="s">
        <v>2307</v>
      </c>
      <c r="C238" s="20"/>
      <c r="E238" s="27"/>
    </row>
    <row r="239" spans="1:5">
      <c r="A239" s="20" t="s">
        <v>128</v>
      </c>
      <c r="B239" s="20" t="s">
        <v>2310</v>
      </c>
      <c r="C239" s="20"/>
      <c r="D239">
        <v>4</v>
      </c>
      <c r="E239" s="27">
        <v>43040</v>
      </c>
    </row>
    <row r="240" spans="1:5">
      <c r="A240" s="20" t="s">
        <v>369</v>
      </c>
      <c r="B240" s="20" t="s">
        <v>2307</v>
      </c>
      <c r="C240" s="20"/>
      <c r="E240" s="27"/>
    </row>
    <row r="241" spans="1:5">
      <c r="A241" s="20" t="s">
        <v>370</v>
      </c>
      <c r="B241" s="20" t="s">
        <v>2307</v>
      </c>
      <c r="C241" s="20"/>
      <c r="D241">
        <v>2</v>
      </c>
      <c r="E241" s="27">
        <v>36518</v>
      </c>
    </row>
    <row r="242" spans="1:5">
      <c r="A242" s="20" t="s">
        <v>149</v>
      </c>
      <c r="B242" s="20" t="s">
        <v>2306</v>
      </c>
      <c r="C242" s="20"/>
      <c r="E242" s="27"/>
    </row>
    <row r="243" spans="1:5">
      <c r="A243" s="20" t="s">
        <v>217</v>
      </c>
      <c r="B243" s="20" t="s">
        <v>2306</v>
      </c>
      <c r="C243" s="20"/>
      <c r="D243">
        <v>6</v>
      </c>
      <c r="E243" s="27">
        <v>43040</v>
      </c>
    </row>
    <row r="244" spans="1:5">
      <c r="A244" s="20" t="s">
        <v>225</v>
      </c>
      <c r="B244" s="20" t="s">
        <v>2306</v>
      </c>
      <c r="C244" s="20"/>
      <c r="E244" s="27"/>
    </row>
    <row r="245" spans="1:5">
      <c r="A245" s="20" t="s">
        <v>270</v>
      </c>
      <c r="B245" s="20" t="s">
        <v>2307</v>
      </c>
      <c r="C245" s="20"/>
      <c r="D245">
        <v>2</v>
      </c>
      <c r="E245" s="27">
        <v>39422</v>
      </c>
    </row>
    <row r="246" spans="1:5">
      <c r="A246" s="20" t="s">
        <v>288</v>
      </c>
      <c r="B246" s="20" t="s">
        <v>882</v>
      </c>
      <c r="C246" s="20"/>
      <c r="E246" s="27"/>
    </row>
    <row r="247" spans="1:5">
      <c r="A247" s="20" t="s">
        <v>46</v>
      </c>
      <c r="B247" s="20" t="s">
        <v>2307</v>
      </c>
      <c r="C247" s="20"/>
      <c r="D247">
        <v>2</v>
      </c>
      <c r="E247" s="27">
        <v>43586</v>
      </c>
    </row>
    <row r="248" spans="1:5">
      <c r="A248" s="20" t="s">
        <v>2325</v>
      </c>
      <c r="B248" s="20" t="s">
        <v>2306</v>
      </c>
      <c r="C248" s="20" t="s">
        <v>2309</v>
      </c>
      <c r="D248">
        <v>2</v>
      </c>
      <c r="E248" s="27">
        <v>41913</v>
      </c>
    </row>
    <row r="249" spans="1:5">
      <c r="A249" s="20" t="s">
        <v>138</v>
      </c>
      <c r="B249" s="20" t="s">
        <v>2306</v>
      </c>
      <c r="C249" s="20"/>
      <c r="E249" s="27"/>
    </row>
    <row r="250" spans="1:5">
      <c r="A250" s="20" t="s">
        <v>51</v>
      </c>
      <c r="B250" s="20" t="s">
        <v>2310</v>
      </c>
      <c r="C250" s="20"/>
      <c r="E250" s="27"/>
    </row>
    <row r="251" spans="1:5">
      <c r="A251" s="20" t="s">
        <v>98</v>
      </c>
      <c r="B251" s="20" t="s">
        <v>2306</v>
      </c>
      <c r="C251" s="20"/>
      <c r="E251" s="27"/>
    </row>
    <row r="252" spans="1:5">
      <c r="A252" s="20" t="s">
        <v>218</v>
      </c>
      <c r="B252" s="20" t="s">
        <v>2307</v>
      </c>
      <c r="C252" s="20"/>
      <c r="E252" s="27"/>
    </row>
    <row r="253" spans="1:5">
      <c r="A253" s="20" t="s">
        <v>219</v>
      </c>
      <c r="B253" s="20" t="s">
        <v>2307</v>
      </c>
      <c r="C253" s="20"/>
      <c r="E253" s="27"/>
    </row>
    <row r="254" spans="1:5">
      <c r="A254" s="20" t="s">
        <v>126</v>
      </c>
      <c r="B254" s="20" t="s">
        <v>2310</v>
      </c>
      <c r="C254" s="20"/>
      <c r="D254">
        <v>2</v>
      </c>
      <c r="E254" s="27">
        <v>39209</v>
      </c>
    </row>
    <row r="255" spans="1:5">
      <c r="A255" s="20" t="s">
        <v>100</v>
      </c>
      <c r="B255" s="20" t="s">
        <v>2310</v>
      </c>
      <c r="C255" s="20"/>
      <c r="E255" s="27"/>
    </row>
    <row r="256" spans="1:5">
      <c r="A256" s="20" t="s">
        <v>373</v>
      </c>
      <c r="B256" s="20" t="s">
        <v>2307</v>
      </c>
      <c r="C256" s="20"/>
      <c r="D256">
        <v>3</v>
      </c>
      <c r="E256" s="27">
        <v>43586</v>
      </c>
    </row>
    <row r="257" spans="1:5">
      <c r="A257" s="20" t="s">
        <v>374</v>
      </c>
      <c r="B257" s="20" t="s">
        <v>2307</v>
      </c>
      <c r="C257" s="20"/>
      <c r="E257" s="27"/>
    </row>
    <row r="258" spans="1:5">
      <c r="A258" s="20" t="s">
        <v>375</v>
      </c>
      <c r="B258" s="20" t="s">
        <v>2307</v>
      </c>
      <c r="C258" s="20"/>
      <c r="E258" s="27"/>
    </row>
    <row r="259" spans="1:5">
      <c r="A259" s="20" t="s">
        <v>56</v>
      </c>
      <c r="B259" s="20" t="s">
        <v>2310</v>
      </c>
      <c r="C259" s="20"/>
      <c r="E259" s="27"/>
    </row>
    <row r="260" spans="1:5">
      <c r="A260" s="20" t="s">
        <v>108</v>
      </c>
      <c r="B260" s="20" t="s">
        <v>2310</v>
      </c>
      <c r="C260" s="20"/>
      <c r="E260" s="27"/>
    </row>
    <row r="261" spans="1:5">
      <c r="A261" s="20" t="s">
        <v>127</v>
      </c>
      <c r="B261" s="20" t="s">
        <v>2310</v>
      </c>
      <c r="C261" s="20"/>
      <c r="D261">
        <v>5</v>
      </c>
      <c r="E261" s="27">
        <v>39112</v>
      </c>
    </row>
    <row r="262" spans="1:5">
      <c r="A262" s="20" t="s">
        <v>66</v>
      </c>
      <c r="B262" s="20" t="s">
        <v>2310</v>
      </c>
      <c r="C262" s="20"/>
      <c r="D262">
        <v>3</v>
      </c>
      <c r="E262" s="27">
        <v>37492</v>
      </c>
    </row>
    <row r="263" spans="1:5">
      <c r="A263" s="20" t="s">
        <v>137</v>
      </c>
      <c r="B263" s="20" t="s">
        <v>2310</v>
      </c>
      <c r="C263" s="20"/>
      <c r="D263">
        <v>4</v>
      </c>
      <c r="E263" s="27">
        <v>40909</v>
      </c>
    </row>
    <row r="264" spans="1:5">
      <c r="A264" s="20" t="s">
        <v>376</v>
      </c>
      <c r="B264" s="20" t="s">
        <v>2310</v>
      </c>
      <c r="C264" s="20"/>
      <c r="E264" s="27"/>
    </row>
    <row r="265" spans="1:5">
      <c r="A265" s="20" t="s">
        <v>47</v>
      </c>
      <c r="B265" s="20" t="s">
        <v>2306</v>
      </c>
      <c r="C265" s="20"/>
      <c r="D265">
        <v>2</v>
      </c>
      <c r="E265" s="27">
        <v>39380</v>
      </c>
    </row>
    <row r="266" spans="1:5">
      <c r="A266" s="20" t="s">
        <v>380</v>
      </c>
      <c r="B266" s="20" t="s">
        <v>2313</v>
      </c>
      <c r="C266" s="20"/>
      <c r="D266">
        <v>2</v>
      </c>
      <c r="E266" s="27">
        <v>36695</v>
      </c>
    </row>
    <row r="267" spans="1:5">
      <c r="A267" s="20" t="s">
        <v>382</v>
      </c>
      <c r="B267" s="20" t="s">
        <v>2306</v>
      </c>
      <c r="C267" s="20"/>
      <c r="E267" s="27"/>
    </row>
    <row r="268" spans="1:5">
      <c r="A268" s="20" t="s">
        <v>102</v>
      </c>
      <c r="B268" s="20" t="s">
        <v>2310</v>
      </c>
      <c r="C268" s="20"/>
      <c r="E268" s="27"/>
    </row>
    <row r="269" spans="1:5">
      <c r="A269" s="20" t="s">
        <v>383</v>
      </c>
      <c r="B269" s="20" t="s">
        <v>2307</v>
      </c>
      <c r="C269" s="20"/>
      <c r="D269">
        <v>3</v>
      </c>
      <c r="E269" s="27">
        <v>39651</v>
      </c>
    </row>
    <row r="270" spans="1:5">
      <c r="A270" s="20" t="s">
        <v>384</v>
      </c>
      <c r="B270" s="20" t="s">
        <v>2307</v>
      </c>
      <c r="C270" s="20"/>
      <c r="D270">
        <v>1</v>
      </c>
      <c r="E270" s="27">
        <v>39833</v>
      </c>
    </row>
    <row r="271" spans="1:5">
      <c r="A271" s="20" t="s">
        <v>385</v>
      </c>
      <c r="B271" s="20" t="s">
        <v>2307</v>
      </c>
      <c r="C271" s="20"/>
      <c r="E271" s="27">
        <v>39833</v>
      </c>
    </row>
    <row r="272" spans="1:5">
      <c r="A272" s="20" t="s">
        <v>116</v>
      </c>
      <c r="B272" s="20" t="s">
        <v>2310</v>
      </c>
      <c r="C272" s="20"/>
      <c r="D272">
        <v>2</v>
      </c>
      <c r="E272" s="27">
        <v>37683</v>
      </c>
    </row>
    <row r="273" spans="1:5">
      <c r="A273" s="20" t="s">
        <v>386</v>
      </c>
      <c r="B273" s="20" t="s">
        <v>2310</v>
      </c>
      <c r="C273" s="20"/>
      <c r="E273" s="27"/>
    </row>
    <row r="274" spans="1:5">
      <c r="A274" s="20" t="s">
        <v>271</v>
      </c>
      <c r="B274" s="20" t="s">
        <v>2312</v>
      </c>
      <c r="C274" s="20"/>
      <c r="D274">
        <v>3</v>
      </c>
      <c r="E274" s="27">
        <v>39499</v>
      </c>
    </row>
    <row r="275" spans="1:5">
      <c r="A275" s="20" t="s">
        <v>387</v>
      </c>
      <c r="B275" s="20" t="s">
        <v>2307</v>
      </c>
      <c r="C275" s="20"/>
      <c r="D275">
        <v>1</v>
      </c>
      <c r="E275" s="27">
        <v>43586</v>
      </c>
    </row>
    <row r="276" spans="1:5">
      <c r="A276" s="20" t="s">
        <v>389</v>
      </c>
      <c r="B276" s="20" t="s">
        <v>2310</v>
      </c>
      <c r="C276" s="20"/>
      <c r="E276" s="27"/>
    </row>
    <row r="277" spans="1:5">
      <c r="A277" s="20" t="s">
        <v>390</v>
      </c>
      <c r="B277" s="20" t="s">
        <v>2310</v>
      </c>
      <c r="C277" s="20"/>
      <c r="E277" s="27"/>
    </row>
    <row r="278" spans="1:5">
      <c r="A278" s="20" t="s">
        <v>391</v>
      </c>
      <c r="B278" s="20" t="s">
        <v>2310</v>
      </c>
      <c r="C278" s="20"/>
      <c r="E278" s="27"/>
    </row>
    <row r="279" spans="1:5">
      <c r="A279" s="20" t="s">
        <v>260</v>
      </c>
      <c r="B279" s="20" t="s">
        <v>2307</v>
      </c>
      <c r="C279" s="20"/>
      <c r="D279">
        <v>2</v>
      </c>
      <c r="E279" s="27">
        <v>37266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:E279"/>
  <sheetViews>
    <sheetView topLeftCell="A258" workbookViewId="0">
      <selection sqref="A1:J279"/>
    </sheetView>
  </sheetViews>
  <sheetFormatPr defaultColWidth="8.7109375" defaultRowHeight="14.45"/>
  <cols>
    <col min="1" max="1" width="44.28515625" bestFit="1" customWidth="1"/>
    <col min="2" max="2" width="7.28515625" bestFit="1" customWidth="1"/>
    <col min="3" max="3" width="21.140625" bestFit="1" customWidth="1"/>
    <col min="4" max="4" width="35.140625" bestFit="1" customWidth="1"/>
    <col min="5" max="5" width="36.28515625" bestFit="1" customWidth="1"/>
    <col min="6" max="6" width="23.140625" bestFit="1" customWidth="1"/>
    <col min="7" max="7" width="31.7109375" bestFit="1" customWidth="1"/>
    <col min="8" max="8" width="38.42578125" bestFit="1" customWidth="1"/>
    <col min="9" max="9" width="22.7109375" bestFit="1" customWidth="1"/>
    <col min="10" max="10" width="36.28515625" bestFit="1" customWidth="1"/>
  </cols>
  <sheetData>
    <row r="1" spans="1:5">
      <c r="A1" t="s">
        <v>2300</v>
      </c>
      <c r="B1" t="s">
        <v>2301</v>
      </c>
      <c r="C1" t="s">
        <v>2302</v>
      </c>
      <c r="D1" t="s">
        <v>2326</v>
      </c>
      <c r="E1" t="s">
        <v>2327</v>
      </c>
    </row>
    <row r="2" spans="1:5">
      <c r="A2" s="20" t="s">
        <v>2305</v>
      </c>
      <c r="B2" s="20" t="s">
        <v>2306</v>
      </c>
      <c r="C2" s="20"/>
      <c r="D2">
        <v>1</v>
      </c>
      <c r="E2" s="27">
        <v>35796</v>
      </c>
    </row>
    <row r="3" spans="1:5">
      <c r="A3" s="20" t="s">
        <v>292</v>
      </c>
      <c r="B3" s="20" t="s">
        <v>2307</v>
      </c>
      <c r="C3" s="20"/>
      <c r="D3">
        <v>1</v>
      </c>
      <c r="E3" s="27">
        <v>35400</v>
      </c>
    </row>
    <row r="4" spans="1:5">
      <c r="A4" s="20" t="s">
        <v>293</v>
      </c>
      <c r="B4" s="20" t="s">
        <v>2306</v>
      </c>
      <c r="C4" s="20"/>
      <c r="D4">
        <v>1</v>
      </c>
      <c r="E4" s="27">
        <v>30682</v>
      </c>
    </row>
    <row r="5" spans="1:5">
      <c r="A5" s="20" t="s">
        <v>2308</v>
      </c>
      <c r="B5" s="20"/>
      <c r="C5" s="20" t="s">
        <v>2309</v>
      </c>
      <c r="D5">
        <v>3</v>
      </c>
      <c r="E5" s="27">
        <v>35796</v>
      </c>
    </row>
    <row r="6" spans="1:5">
      <c r="A6" s="20" t="s">
        <v>67</v>
      </c>
      <c r="B6" s="20" t="s">
        <v>2310</v>
      </c>
      <c r="C6" s="20"/>
      <c r="D6">
        <v>1</v>
      </c>
      <c r="E6" s="27">
        <v>35004</v>
      </c>
    </row>
    <row r="7" spans="1:5">
      <c r="A7" s="20" t="s">
        <v>227</v>
      </c>
      <c r="B7" s="20" t="s">
        <v>2306</v>
      </c>
      <c r="C7" s="20"/>
      <c r="D7">
        <v>2</v>
      </c>
      <c r="E7" s="27">
        <v>35217</v>
      </c>
    </row>
    <row r="8" spans="1:5">
      <c r="A8" s="20" t="s">
        <v>118</v>
      </c>
      <c r="B8" s="20" t="s">
        <v>2307</v>
      </c>
      <c r="C8" s="20"/>
      <c r="D8">
        <v>1</v>
      </c>
      <c r="E8" s="27">
        <v>37681</v>
      </c>
    </row>
    <row r="9" spans="1:5">
      <c r="A9" s="20" t="s">
        <v>69</v>
      </c>
      <c r="B9" s="20" t="s">
        <v>2310</v>
      </c>
      <c r="C9" s="20"/>
      <c r="D9">
        <v>1</v>
      </c>
      <c r="E9" s="27">
        <v>34912</v>
      </c>
    </row>
    <row r="10" spans="1:5">
      <c r="A10" s="20" t="s">
        <v>2311</v>
      </c>
      <c r="B10" s="20" t="s">
        <v>2310</v>
      </c>
      <c r="C10" s="20"/>
      <c r="D10">
        <v>1</v>
      </c>
      <c r="E10" s="27">
        <v>34973</v>
      </c>
    </row>
    <row r="11" spans="1:5">
      <c r="A11" s="20" t="s">
        <v>57</v>
      </c>
      <c r="B11" s="20" t="s">
        <v>2310</v>
      </c>
      <c r="C11" s="20"/>
      <c r="D11">
        <v>1</v>
      </c>
      <c r="E11" s="27">
        <v>36586</v>
      </c>
    </row>
    <row r="12" spans="1:5">
      <c r="A12" s="20" t="s">
        <v>252</v>
      </c>
      <c r="B12" s="20" t="s">
        <v>2310</v>
      </c>
      <c r="C12" s="20"/>
      <c r="D12">
        <v>1</v>
      </c>
      <c r="E12" s="27">
        <v>37836</v>
      </c>
    </row>
    <row r="13" spans="1:5">
      <c r="A13" s="20" t="s">
        <v>294</v>
      </c>
      <c r="B13" s="20" t="s">
        <v>2307</v>
      </c>
      <c r="C13" s="20"/>
      <c r="D13">
        <v>2</v>
      </c>
      <c r="E13" s="27">
        <v>34425</v>
      </c>
    </row>
    <row r="14" spans="1:5">
      <c r="A14" s="20" t="s">
        <v>295</v>
      </c>
      <c r="B14" s="20" t="s">
        <v>2310</v>
      </c>
      <c r="C14" s="20"/>
      <c r="D14">
        <v>1</v>
      </c>
      <c r="E14" s="27">
        <v>35004</v>
      </c>
    </row>
    <row r="15" spans="1:5">
      <c r="A15" s="20" t="s">
        <v>278</v>
      </c>
      <c r="B15" s="20" t="s">
        <v>2306</v>
      </c>
      <c r="C15" s="20"/>
      <c r="D15">
        <v>7</v>
      </c>
      <c r="E15" s="27">
        <v>37438</v>
      </c>
    </row>
    <row r="16" spans="1:5">
      <c r="A16" s="20" t="s">
        <v>296</v>
      </c>
      <c r="B16" s="20" t="s">
        <v>2307</v>
      </c>
      <c r="C16" s="20"/>
      <c r="D16">
        <v>6</v>
      </c>
      <c r="E16" s="27">
        <v>37773</v>
      </c>
    </row>
    <row r="17" spans="1:5">
      <c r="A17" s="20" t="s">
        <v>297</v>
      </c>
      <c r="B17" s="20" t="s">
        <v>2307</v>
      </c>
      <c r="C17" s="20"/>
      <c r="D17">
        <v>3</v>
      </c>
      <c r="E17" s="27">
        <v>37773</v>
      </c>
    </row>
    <row r="18" spans="1:5">
      <c r="A18" s="20" t="s">
        <v>261</v>
      </c>
      <c r="B18" s="20" t="s">
        <v>2310</v>
      </c>
      <c r="C18" s="20"/>
      <c r="D18">
        <v>24</v>
      </c>
      <c r="E18" s="27">
        <v>36495</v>
      </c>
    </row>
    <row r="19" spans="1:5">
      <c r="A19" s="20" t="s">
        <v>262</v>
      </c>
      <c r="B19" s="20" t="s">
        <v>2310</v>
      </c>
      <c r="C19" s="20"/>
      <c r="D19">
        <v>1</v>
      </c>
      <c r="E19" s="27">
        <v>36465</v>
      </c>
    </row>
    <row r="20" spans="1:5">
      <c r="A20" s="20" t="s">
        <v>298</v>
      </c>
      <c r="B20" s="20" t="s">
        <v>2307</v>
      </c>
      <c r="C20" s="20"/>
      <c r="D20">
        <v>7</v>
      </c>
      <c r="E20" s="27">
        <v>36251</v>
      </c>
    </row>
    <row r="21" spans="1:5">
      <c r="A21" s="20" t="s">
        <v>230</v>
      </c>
      <c r="B21" s="20" t="s">
        <v>2307</v>
      </c>
      <c r="C21" s="20"/>
      <c r="D21">
        <v>9</v>
      </c>
      <c r="E21" s="27">
        <v>38077</v>
      </c>
    </row>
    <row r="22" spans="1:5">
      <c r="A22" s="20" t="s">
        <v>272</v>
      </c>
      <c r="B22" s="20" t="s">
        <v>2312</v>
      </c>
      <c r="C22" s="20"/>
      <c r="D22">
        <v>22</v>
      </c>
      <c r="E22" s="27">
        <v>37257</v>
      </c>
    </row>
    <row r="23" spans="1:5">
      <c r="A23" s="20" t="s">
        <v>299</v>
      </c>
      <c r="B23" s="20" t="s">
        <v>2307</v>
      </c>
      <c r="C23" s="20"/>
      <c r="D23">
        <v>1</v>
      </c>
      <c r="E23" s="27">
        <v>37987</v>
      </c>
    </row>
    <row r="24" spans="1:5">
      <c r="A24" s="20" t="s">
        <v>70</v>
      </c>
      <c r="B24" s="20" t="s">
        <v>2310</v>
      </c>
      <c r="C24" s="20"/>
      <c r="D24">
        <v>1</v>
      </c>
      <c r="E24" s="27">
        <v>40878</v>
      </c>
    </row>
    <row r="25" spans="1:5">
      <c r="A25" s="20" t="s">
        <v>273</v>
      </c>
      <c r="B25" s="20" t="s">
        <v>2306</v>
      </c>
      <c r="C25" s="20"/>
      <c r="D25">
        <v>1</v>
      </c>
      <c r="E25" s="27">
        <v>37800</v>
      </c>
    </row>
    <row r="26" spans="1:5">
      <c r="A26" s="20" t="s">
        <v>300</v>
      </c>
      <c r="B26" s="20" t="s">
        <v>2312</v>
      </c>
      <c r="C26" s="20"/>
      <c r="D26">
        <v>5</v>
      </c>
      <c r="E26" s="27">
        <v>38626</v>
      </c>
    </row>
    <row r="27" spans="1:5">
      <c r="A27" s="20" t="s">
        <v>58</v>
      </c>
      <c r="B27" s="20" t="s">
        <v>2310</v>
      </c>
      <c r="C27" s="20"/>
      <c r="D27">
        <v>17</v>
      </c>
      <c r="E27" s="27">
        <v>40182</v>
      </c>
    </row>
    <row r="28" spans="1:5">
      <c r="A28" s="20" t="s">
        <v>48</v>
      </c>
      <c r="B28" s="20" t="s">
        <v>2310</v>
      </c>
      <c r="C28" s="20"/>
      <c r="D28">
        <v>1</v>
      </c>
      <c r="E28" s="27">
        <v>40182</v>
      </c>
    </row>
    <row r="29" spans="1:5">
      <c r="A29" s="20" t="s">
        <v>231</v>
      </c>
      <c r="B29" s="20" t="s">
        <v>2307</v>
      </c>
      <c r="C29" s="20"/>
      <c r="D29">
        <v>23</v>
      </c>
      <c r="E29" s="27">
        <v>37347</v>
      </c>
    </row>
    <row r="30" spans="1:5">
      <c r="A30" s="20" t="s">
        <v>846</v>
      </c>
      <c r="B30" s="20" t="s">
        <v>2306</v>
      </c>
      <c r="C30" s="20" t="s">
        <v>2309</v>
      </c>
      <c r="D30">
        <v>11</v>
      </c>
      <c r="E30" s="27">
        <v>36525</v>
      </c>
    </row>
    <row r="31" spans="1:5">
      <c r="A31" s="20" t="s">
        <v>301</v>
      </c>
      <c r="B31" s="20" t="s">
        <v>2312</v>
      </c>
      <c r="C31" s="20"/>
      <c r="D31">
        <v>6</v>
      </c>
      <c r="E31" s="27">
        <v>37641</v>
      </c>
    </row>
    <row r="32" spans="1:5">
      <c r="A32" s="20" t="s">
        <v>142</v>
      </c>
      <c r="B32" s="20" t="s">
        <v>2307</v>
      </c>
      <c r="C32" s="20"/>
      <c r="D32">
        <v>5</v>
      </c>
      <c r="E32" s="27">
        <v>30317</v>
      </c>
    </row>
    <row r="33" spans="1:5">
      <c r="A33" s="20" t="s">
        <v>232</v>
      </c>
      <c r="B33" s="20" t="s">
        <v>2313</v>
      </c>
      <c r="C33" s="20"/>
      <c r="D33">
        <v>16</v>
      </c>
      <c r="E33" s="27">
        <v>38200</v>
      </c>
    </row>
    <row r="34" spans="1:5">
      <c r="A34" s="20" t="s">
        <v>303</v>
      </c>
      <c r="B34" s="20" t="s">
        <v>2307</v>
      </c>
      <c r="C34" s="20"/>
      <c r="D34">
        <v>1</v>
      </c>
      <c r="E34" s="27">
        <v>32874</v>
      </c>
    </row>
    <row r="35" spans="1:5">
      <c r="A35" s="20" t="s">
        <v>2314</v>
      </c>
      <c r="B35" s="20" t="s">
        <v>2306</v>
      </c>
      <c r="C35" s="20" t="s">
        <v>2309</v>
      </c>
      <c r="D35">
        <v>5</v>
      </c>
      <c r="E35" s="27">
        <v>35004</v>
      </c>
    </row>
    <row r="36" spans="1:5">
      <c r="A36" s="20" t="s">
        <v>2315</v>
      </c>
      <c r="B36" s="20" t="s">
        <v>2306</v>
      </c>
      <c r="C36" s="20" t="s">
        <v>2309</v>
      </c>
      <c r="D36">
        <v>5</v>
      </c>
      <c r="E36" s="27">
        <v>34879</v>
      </c>
    </row>
    <row r="37" spans="1:5">
      <c r="A37" s="20" t="s">
        <v>2316</v>
      </c>
      <c r="B37" s="20" t="s">
        <v>2306</v>
      </c>
      <c r="C37" s="20" t="s">
        <v>2309</v>
      </c>
      <c r="D37">
        <v>5</v>
      </c>
      <c r="E37" s="27">
        <v>34879</v>
      </c>
    </row>
    <row r="38" spans="1:5">
      <c r="A38" s="20" t="s">
        <v>2317</v>
      </c>
      <c r="B38" s="20" t="s">
        <v>2306</v>
      </c>
      <c r="C38" s="20" t="s">
        <v>2309</v>
      </c>
      <c r="D38">
        <v>6</v>
      </c>
      <c r="E38" s="27">
        <v>34872</v>
      </c>
    </row>
    <row r="39" spans="1:5">
      <c r="A39" s="20" t="s">
        <v>830</v>
      </c>
      <c r="B39" s="20" t="s">
        <v>2306</v>
      </c>
      <c r="C39" s="20" t="s">
        <v>2309</v>
      </c>
      <c r="D39">
        <v>9</v>
      </c>
      <c r="E39" s="27">
        <v>34877</v>
      </c>
    </row>
    <row r="40" spans="1:5">
      <c r="A40" s="20" t="s">
        <v>2318</v>
      </c>
      <c r="B40" s="20" t="s">
        <v>2306</v>
      </c>
      <c r="C40" s="20" t="s">
        <v>2309</v>
      </c>
      <c r="D40">
        <v>3</v>
      </c>
      <c r="E40" s="27">
        <v>42339</v>
      </c>
    </row>
    <row r="41" spans="1:5">
      <c r="A41" s="20" t="s">
        <v>71</v>
      </c>
      <c r="B41" s="20" t="s">
        <v>2310</v>
      </c>
      <c r="C41" s="20"/>
      <c r="D41">
        <v>1</v>
      </c>
      <c r="E41" s="27">
        <v>36830</v>
      </c>
    </row>
    <row r="42" spans="1:5">
      <c r="A42" s="20" t="s">
        <v>233</v>
      </c>
      <c r="B42" s="20" t="s">
        <v>2310</v>
      </c>
      <c r="C42" s="20"/>
      <c r="D42">
        <v>5</v>
      </c>
      <c r="E42" s="27">
        <v>36755</v>
      </c>
    </row>
    <row r="43" spans="1:5">
      <c r="A43" s="20" t="s">
        <v>119</v>
      </c>
      <c r="B43" s="20" t="s">
        <v>2307</v>
      </c>
      <c r="C43" s="20"/>
      <c r="D43">
        <v>8</v>
      </c>
      <c r="E43" s="27">
        <v>40909</v>
      </c>
    </row>
    <row r="44" spans="1:5">
      <c r="A44" s="20" t="s">
        <v>72</v>
      </c>
      <c r="B44" s="20" t="s">
        <v>2307</v>
      </c>
      <c r="C44" s="20"/>
      <c r="D44">
        <v>7</v>
      </c>
      <c r="E44" s="27">
        <v>40909</v>
      </c>
    </row>
    <row r="45" spans="1:5">
      <c r="A45" s="20" t="s">
        <v>234</v>
      </c>
      <c r="B45" s="20" t="s">
        <v>2306</v>
      </c>
      <c r="C45" s="20"/>
      <c r="D45">
        <v>1</v>
      </c>
      <c r="E45" s="27">
        <v>37803</v>
      </c>
    </row>
    <row r="46" spans="1:5">
      <c r="A46" s="20" t="s">
        <v>304</v>
      </c>
      <c r="B46" s="20" t="s">
        <v>2306</v>
      </c>
      <c r="C46" s="20"/>
      <c r="D46">
        <v>4</v>
      </c>
      <c r="E46" s="27">
        <v>37803</v>
      </c>
    </row>
    <row r="47" spans="1:5">
      <c r="A47" s="20" t="s">
        <v>226</v>
      </c>
      <c r="B47" s="20" t="s">
        <v>2307</v>
      </c>
      <c r="C47" s="20"/>
      <c r="D47">
        <v>30</v>
      </c>
      <c r="E47" s="27">
        <v>41609</v>
      </c>
    </row>
    <row r="48" spans="1:5">
      <c r="A48" s="20" t="s">
        <v>187</v>
      </c>
      <c r="B48" s="20" t="s">
        <v>2306</v>
      </c>
      <c r="C48" s="20"/>
      <c r="D48">
        <v>3</v>
      </c>
      <c r="E48" s="27">
        <v>31048</v>
      </c>
    </row>
    <row r="49" spans="1:5">
      <c r="A49" s="20" t="s">
        <v>59</v>
      </c>
      <c r="B49" s="20" t="s">
        <v>2310</v>
      </c>
      <c r="C49" s="20"/>
      <c r="D49">
        <v>2</v>
      </c>
      <c r="E49" s="27">
        <v>36251</v>
      </c>
    </row>
    <row r="50" spans="1:5">
      <c r="A50" s="20" t="s">
        <v>188</v>
      </c>
      <c r="B50" s="20" t="s">
        <v>2307</v>
      </c>
      <c r="C50" s="20"/>
      <c r="D50">
        <v>94</v>
      </c>
      <c r="E50" s="27">
        <v>38139</v>
      </c>
    </row>
    <row r="51" spans="1:5">
      <c r="A51" s="20" t="s">
        <v>199</v>
      </c>
      <c r="B51" s="20" t="s">
        <v>2307</v>
      </c>
      <c r="C51" s="20"/>
      <c r="D51">
        <v>26</v>
      </c>
      <c r="E51" s="27">
        <v>34608</v>
      </c>
    </row>
    <row r="52" spans="1:5">
      <c r="A52" s="20" t="s">
        <v>73</v>
      </c>
      <c r="B52" s="20" t="s">
        <v>2306</v>
      </c>
      <c r="C52" s="20"/>
      <c r="D52">
        <v>9</v>
      </c>
      <c r="E52" s="27">
        <v>37712</v>
      </c>
    </row>
    <row r="53" spans="1:5">
      <c r="A53" s="20" t="s">
        <v>189</v>
      </c>
      <c r="B53" s="20" t="s">
        <v>2306</v>
      </c>
      <c r="C53" s="20"/>
      <c r="D53">
        <v>2</v>
      </c>
      <c r="E53" s="27">
        <v>37713</v>
      </c>
    </row>
    <row r="54" spans="1:5">
      <c r="A54" s="20" t="s">
        <v>197</v>
      </c>
      <c r="B54" s="20" t="s">
        <v>2306</v>
      </c>
      <c r="C54" s="20"/>
      <c r="D54">
        <v>28</v>
      </c>
      <c r="E54" s="27">
        <v>34912</v>
      </c>
    </row>
    <row r="55" spans="1:5">
      <c r="A55" s="20" t="s">
        <v>305</v>
      </c>
      <c r="B55" s="20" t="s">
        <v>2307</v>
      </c>
      <c r="C55" s="20"/>
      <c r="D55">
        <v>2</v>
      </c>
      <c r="E55" s="27">
        <v>31048</v>
      </c>
    </row>
    <row r="56" spans="1:5">
      <c r="A56" s="20" t="s">
        <v>392</v>
      </c>
      <c r="B56" s="20" t="s">
        <v>2307</v>
      </c>
      <c r="C56" s="20"/>
      <c r="D56">
        <v>46</v>
      </c>
      <c r="E56" s="27">
        <v>37257</v>
      </c>
    </row>
    <row r="57" spans="1:5">
      <c r="A57" s="20" t="s">
        <v>26</v>
      </c>
      <c r="B57" s="20" t="s">
        <v>2307</v>
      </c>
      <c r="C57" s="20"/>
      <c r="D57">
        <v>8</v>
      </c>
      <c r="E57" s="27">
        <v>36495</v>
      </c>
    </row>
    <row r="58" spans="1:5">
      <c r="A58" s="20" t="s">
        <v>31</v>
      </c>
      <c r="B58" s="20" t="s">
        <v>2306</v>
      </c>
      <c r="C58" s="20"/>
      <c r="D58">
        <v>6</v>
      </c>
      <c r="E58" s="27">
        <v>36312</v>
      </c>
    </row>
    <row r="59" spans="1:5">
      <c r="A59" s="20" t="s">
        <v>60</v>
      </c>
      <c r="B59" s="20" t="s">
        <v>2310</v>
      </c>
      <c r="C59" s="20"/>
      <c r="D59">
        <v>3</v>
      </c>
      <c r="E59" s="27">
        <v>43009</v>
      </c>
    </row>
    <row r="60" spans="1:5">
      <c r="A60" s="20" t="s">
        <v>306</v>
      </c>
      <c r="B60" s="20" t="s">
        <v>2307</v>
      </c>
      <c r="C60" s="20"/>
      <c r="D60">
        <v>3</v>
      </c>
      <c r="E60" s="27">
        <v>37500</v>
      </c>
    </row>
    <row r="61" spans="1:5">
      <c r="A61" s="20" t="s">
        <v>307</v>
      </c>
      <c r="B61" s="20" t="s">
        <v>2312</v>
      </c>
      <c r="C61" s="20"/>
      <c r="D61">
        <v>1</v>
      </c>
      <c r="E61" s="27">
        <v>35247</v>
      </c>
    </row>
    <row r="62" spans="1:5">
      <c r="A62" s="20" t="s">
        <v>120</v>
      </c>
      <c r="B62" s="20" t="s">
        <v>2310</v>
      </c>
      <c r="C62" s="20"/>
      <c r="D62">
        <v>13</v>
      </c>
      <c r="E62" s="27">
        <v>36892</v>
      </c>
    </row>
    <row r="63" spans="1:5">
      <c r="A63" s="20" t="s">
        <v>308</v>
      </c>
      <c r="B63" s="20" t="s">
        <v>882</v>
      </c>
      <c r="C63" s="20"/>
      <c r="D63">
        <v>4</v>
      </c>
      <c r="E63" s="27">
        <v>40909</v>
      </c>
    </row>
    <row r="64" spans="1:5">
      <c r="A64" s="20" t="s">
        <v>200</v>
      </c>
      <c r="B64" s="20" t="s">
        <v>2306</v>
      </c>
      <c r="C64" s="20"/>
      <c r="D64">
        <v>14</v>
      </c>
      <c r="E64" s="27">
        <v>37712</v>
      </c>
    </row>
    <row r="65" spans="1:5">
      <c r="A65" s="20" t="s">
        <v>309</v>
      </c>
      <c r="B65" s="20" t="s">
        <v>2310</v>
      </c>
      <c r="C65" s="20"/>
      <c r="D65">
        <v>4</v>
      </c>
      <c r="E65" s="27">
        <v>36434</v>
      </c>
    </row>
    <row r="66" spans="1:5">
      <c r="A66" s="20" t="s">
        <v>274</v>
      </c>
      <c r="B66" s="20" t="s">
        <v>2310</v>
      </c>
      <c r="C66" s="20"/>
      <c r="D66">
        <v>1</v>
      </c>
      <c r="E66" s="27">
        <v>37469</v>
      </c>
    </row>
    <row r="67" spans="1:5">
      <c r="A67" s="20" t="s">
        <v>124</v>
      </c>
      <c r="B67" s="20" t="s">
        <v>2306</v>
      </c>
      <c r="C67" s="20"/>
      <c r="D67">
        <v>3</v>
      </c>
      <c r="E67" s="27">
        <v>35217</v>
      </c>
    </row>
    <row r="68" spans="1:5">
      <c r="A68" s="20" t="s">
        <v>143</v>
      </c>
      <c r="B68" s="20" t="s">
        <v>2306</v>
      </c>
      <c r="C68" s="20"/>
      <c r="D68">
        <v>4</v>
      </c>
      <c r="E68" s="27">
        <v>43420</v>
      </c>
    </row>
    <row r="69" spans="1:5">
      <c r="A69" s="20" t="s">
        <v>32</v>
      </c>
      <c r="B69" s="20" t="s">
        <v>2306</v>
      </c>
      <c r="C69" s="20"/>
      <c r="D69">
        <v>8</v>
      </c>
      <c r="E69" s="27">
        <v>35431</v>
      </c>
    </row>
    <row r="70" spans="1:5">
      <c r="A70" s="20" t="s">
        <v>34</v>
      </c>
      <c r="B70" s="20" t="s">
        <v>2306</v>
      </c>
      <c r="C70" s="20"/>
      <c r="D70">
        <v>9</v>
      </c>
      <c r="E70" s="27">
        <v>35217</v>
      </c>
    </row>
    <row r="71" spans="1:5">
      <c r="A71" s="20" t="s">
        <v>144</v>
      </c>
      <c r="B71" s="20" t="s">
        <v>2306</v>
      </c>
      <c r="C71" s="20"/>
      <c r="D71">
        <v>3</v>
      </c>
      <c r="E71" s="27">
        <v>35217</v>
      </c>
    </row>
    <row r="72" spans="1:5">
      <c r="A72" s="20" t="s">
        <v>129</v>
      </c>
      <c r="B72" s="20" t="s">
        <v>2310</v>
      </c>
      <c r="C72" s="20"/>
      <c r="D72">
        <v>6</v>
      </c>
      <c r="E72" s="27">
        <v>36617</v>
      </c>
    </row>
    <row r="73" spans="1:5">
      <c r="A73" s="20" t="s">
        <v>145</v>
      </c>
      <c r="B73" s="20" t="s">
        <v>2306</v>
      </c>
      <c r="C73" s="20"/>
      <c r="D73">
        <v>1</v>
      </c>
      <c r="E73" s="27">
        <v>33604</v>
      </c>
    </row>
    <row r="74" spans="1:5">
      <c r="A74" s="20" t="s">
        <v>235</v>
      </c>
      <c r="B74" s="20" t="s">
        <v>2307</v>
      </c>
      <c r="C74" s="20"/>
      <c r="D74">
        <v>5</v>
      </c>
      <c r="E74" s="27">
        <v>40969</v>
      </c>
    </row>
    <row r="75" spans="1:5">
      <c r="A75" s="20" t="s">
        <v>311</v>
      </c>
      <c r="B75" s="20" t="s">
        <v>2307</v>
      </c>
      <c r="C75" s="20"/>
      <c r="D75">
        <v>1</v>
      </c>
      <c r="E75" s="27">
        <v>43101</v>
      </c>
    </row>
    <row r="76" spans="1:5">
      <c r="A76" s="20" t="s">
        <v>312</v>
      </c>
      <c r="B76" s="20" t="s">
        <v>2307</v>
      </c>
      <c r="C76" s="20"/>
      <c r="D76">
        <v>3</v>
      </c>
      <c r="E76" s="27">
        <v>43070</v>
      </c>
    </row>
    <row r="77" spans="1:5">
      <c r="A77" s="20" t="s">
        <v>236</v>
      </c>
      <c r="B77" s="20" t="s">
        <v>2307</v>
      </c>
      <c r="C77" s="20"/>
      <c r="D77">
        <v>1</v>
      </c>
      <c r="E77" s="27">
        <v>35339</v>
      </c>
    </row>
    <row r="78" spans="1:5">
      <c r="A78" s="20" t="s">
        <v>313</v>
      </c>
      <c r="B78" s="20" t="s">
        <v>2312</v>
      </c>
      <c r="C78" s="20"/>
      <c r="D78">
        <v>1</v>
      </c>
      <c r="E78" s="27">
        <v>39263</v>
      </c>
    </row>
    <row r="79" spans="1:5">
      <c r="A79" s="20" t="s">
        <v>190</v>
      </c>
      <c r="B79" s="20" t="s">
        <v>2307</v>
      </c>
      <c r="C79" s="20"/>
      <c r="D79">
        <v>13</v>
      </c>
      <c r="E79" s="27">
        <v>36008</v>
      </c>
    </row>
    <row r="80" spans="1:5">
      <c r="A80" s="20" t="s">
        <v>74</v>
      </c>
      <c r="B80" s="20" t="s">
        <v>2310</v>
      </c>
      <c r="C80" s="20"/>
      <c r="D80">
        <v>1</v>
      </c>
      <c r="E80" s="27">
        <v>34912</v>
      </c>
    </row>
    <row r="81" spans="1:5">
      <c r="A81" s="20" t="s">
        <v>314</v>
      </c>
      <c r="B81" s="20" t="s">
        <v>2307</v>
      </c>
      <c r="C81" s="20"/>
      <c r="D81">
        <v>8</v>
      </c>
      <c r="E81" s="27">
        <v>31413</v>
      </c>
    </row>
    <row r="82" spans="1:5">
      <c r="A82" s="20" t="s">
        <v>315</v>
      </c>
      <c r="B82" s="20" t="s">
        <v>2307</v>
      </c>
      <c r="C82" s="20"/>
      <c r="D82">
        <v>30</v>
      </c>
      <c r="E82" s="27">
        <v>35034</v>
      </c>
    </row>
    <row r="83" spans="1:5">
      <c r="A83" s="20" t="s">
        <v>105</v>
      </c>
      <c r="B83" s="20" t="s">
        <v>2306</v>
      </c>
      <c r="C83" s="20"/>
      <c r="D83">
        <v>1</v>
      </c>
      <c r="E83" s="27">
        <v>32874</v>
      </c>
    </row>
    <row r="84" spans="1:5">
      <c r="A84" s="20" t="s">
        <v>263</v>
      </c>
      <c r="B84" s="20" t="s">
        <v>2310</v>
      </c>
      <c r="C84" s="20"/>
      <c r="D84">
        <v>1</v>
      </c>
      <c r="E84" s="27">
        <v>35004</v>
      </c>
    </row>
    <row r="85" spans="1:5">
      <c r="A85" s="20" t="s">
        <v>75</v>
      </c>
      <c r="B85" s="20" t="s">
        <v>2310</v>
      </c>
      <c r="C85" s="20"/>
      <c r="D85">
        <v>1</v>
      </c>
      <c r="E85" s="27">
        <v>36800</v>
      </c>
    </row>
    <row r="86" spans="1:5">
      <c r="A86" s="20" t="s">
        <v>130</v>
      </c>
      <c r="B86" s="20" t="s">
        <v>2310</v>
      </c>
      <c r="C86" s="20"/>
      <c r="D86">
        <v>11</v>
      </c>
      <c r="E86" s="27">
        <v>36800</v>
      </c>
    </row>
    <row r="87" spans="1:5">
      <c r="A87" s="20" t="s">
        <v>76</v>
      </c>
      <c r="B87" s="20" t="s">
        <v>2310</v>
      </c>
      <c r="C87" s="20"/>
      <c r="D87">
        <v>6</v>
      </c>
      <c r="E87" s="27">
        <v>36800</v>
      </c>
    </row>
    <row r="88" spans="1:5">
      <c r="A88" s="20" t="s">
        <v>77</v>
      </c>
      <c r="B88" s="20" t="s">
        <v>2310</v>
      </c>
      <c r="C88" s="20"/>
      <c r="D88">
        <v>5</v>
      </c>
      <c r="E88" s="27">
        <v>37469</v>
      </c>
    </row>
    <row r="89" spans="1:5">
      <c r="A89" s="20" t="s">
        <v>279</v>
      </c>
      <c r="B89" s="20" t="s">
        <v>2310</v>
      </c>
      <c r="C89" s="20"/>
      <c r="D89">
        <v>7</v>
      </c>
      <c r="E89" s="27">
        <v>36557</v>
      </c>
    </row>
    <row r="90" spans="1:5">
      <c r="A90" s="20" t="s">
        <v>264</v>
      </c>
      <c r="B90" s="20" t="s">
        <v>2306</v>
      </c>
      <c r="C90" s="20"/>
      <c r="D90">
        <v>1</v>
      </c>
      <c r="E90" s="27">
        <v>35065</v>
      </c>
    </row>
    <row r="91" spans="1:5">
      <c r="A91" s="20" t="s">
        <v>275</v>
      </c>
      <c r="B91" s="20" t="s">
        <v>2306</v>
      </c>
      <c r="C91" s="20"/>
      <c r="D91">
        <v>2</v>
      </c>
      <c r="E91" s="27">
        <v>35217</v>
      </c>
    </row>
    <row r="92" spans="1:5">
      <c r="A92" s="20" t="s">
        <v>121</v>
      </c>
      <c r="B92" s="20" t="s">
        <v>2306</v>
      </c>
      <c r="C92" s="20"/>
      <c r="D92">
        <v>2</v>
      </c>
      <c r="E92" s="27">
        <v>35796</v>
      </c>
    </row>
    <row r="93" spans="1:5">
      <c r="A93" s="20" t="s">
        <v>2319</v>
      </c>
      <c r="B93" s="20" t="s">
        <v>2310</v>
      </c>
      <c r="C93" s="20" t="s">
        <v>2309</v>
      </c>
      <c r="D93">
        <v>2</v>
      </c>
      <c r="E93" s="27">
        <v>35156</v>
      </c>
    </row>
    <row r="94" spans="1:5">
      <c r="A94" s="20" t="s">
        <v>78</v>
      </c>
      <c r="B94" s="20" t="s">
        <v>2310</v>
      </c>
      <c r="C94" s="20"/>
      <c r="D94">
        <v>29</v>
      </c>
      <c r="E94" s="27">
        <v>42948</v>
      </c>
    </row>
    <row r="95" spans="1:5">
      <c r="A95" s="20" t="s">
        <v>317</v>
      </c>
      <c r="B95" s="20" t="s">
        <v>2306</v>
      </c>
      <c r="C95" s="20"/>
      <c r="D95">
        <v>15</v>
      </c>
      <c r="E95" s="27">
        <v>36251</v>
      </c>
    </row>
    <row r="96" spans="1:5">
      <c r="A96" s="20" t="s">
        <v>201</v>
      </c>
      <c r="B96" s="20" t="s">
        <v>2306</v>
      </c>
      <c r="C96" s="20"/>
      <c r="D96">
        <v>71</v>
      </c>
      <c r="E96" s="27">
        <v>40148</v>
      </c>
    </row>
    <row r="97" spans="1:5">
      <c r="A97" s="20" t="s">
        <v>221</v>
      </c>
      <c r="B97" s="20" t="s">
        <v>2310</v>
      </c>
      <c r="C97" s="20"/>
      <c r="D97">
        <v>8</v>
      </c>
      <c r="E97" s="27">
        <v>36647</v>
      </c>
    </row>
    <row r="98" spans="1:5">
      <c r="A98" s="20" t="s">
        <v>202</v>
      </c>
      <c r="B98" s="20" t="s">
        <v>2307</v>
      </c>
      <c r="C98" s="20"/>
      <c r="D98">
        <v>10</v>
      </c>
      <c r="E98" s="27">
        <v>34820</v>
      </c>
    </row>
    <row r="99" spans="1:5">
      <c r="A99" s="20" t="s">
        <v>203</v>
      </c>
      <c r="B99" s="20" t="s">
        <v>2307</v>
      </c>
      <c r="C99" s="20"/>
      <c r="D99">
        <v>10</v>
      </c>
      <c r="E99" s="27">
        <v>30682</v>
      </c>
    </row>
    <row r="100" spans="1:5">
      <c r="A100" s="20" t="s">
        <v>242</v>
      </c>
      <c r="B100" s="20" t="s">
        <v>2310</v>
      </c>
      <c r="C100" s="20"/>
      <c r="D100">
        <v>8</v>
      </c>
      <c r="E100" s="27">
        <v>39239</v>
      </c>
    </row>
    <row r="101" spans="1:5">
      <c r="A101" s="20" t="s">
        <v>204</v>
      </c>
      <c r="B101" s="20" t="s">
        <v>2306</v>
      </c>
      <c r="C101" s="20"/>
      <c r="D101">
        <v>15</v>
      </c>
      <c r="E101" s="27">
        <v>38718</v>
      </c>
    </row>
    <row r="102" spans="1:5">
      <c r="A102" s="20" t="s">
        <v>276</v>
      </c>
      <c r="B102" s="20" t="s">
        <v>2306</v>
      </c>
      <c r="C102" s="20"/>
      <c r="D102">
        <v>2</v>
      </c>
      <c r="E102" s="27">
        <v>38838</v>
      </c>
    </row>
    <row r="103" spans="1:5">
      <c r="A103" s="20" t="s">
        <v>79</v>
      </c>
      <c r="B103" s="20" t="s">
        <v>2310</v>
      </c>
      <c r="C103" s="20"/>
      <c r="D103">
        <v>1</v>
      </c>
      <c r="E103" s="27">
        <v>40812</v>
      </c>
    </row>
    <row r="104" spans="1:5">
      <c r="A104" s="20" t="s">
        <v>111</v>
      </c>
      <c r="B104" s="20" t="s">
        <v>2310</v>
      </c>
      <c r="C104" s="20"/>
      <c r="D104">
        <v>19</v>
      </c>
      <c r="E104" s="27">
        <v>37408</v>
      </c>
    </row>
    <row r="105" spans="1:5">
      <c r="A105" s="20" t="s">
        <v>324</v>
      </c>
      <c r="B105" s="20" t="s">
        <v>2307</v>
      </c>
      <c r="C105" s="20"/>
      <c r="D105">
        <v>5</v>
      </c>
      <c r="E105" s="27">
        <v>35856</v>
      </c>
    </row>
    <row r="106" spans="1:5">
      <c r="A106" s="20" t="s">
        <v>243</v>
      </c>
      <c r="B106" s="20" t="s">
        <v>2306</v>
      </c>
      <c r="C106" s="20"/>
      <c r="D106">
        <v>1</v>
      </c>
      <c r="E106" s="27">
        <v>34912</v>
      </c>
    </row>
    <row r="107" spans="1:5">
      <c r="A107" s="20" t="s">
        <v>205</v>
      </c>
      <c r="B107" s="20" t="s">
        <v>2307</v>
      </c>
      <c r="C107" s="20"/>
      <c r="D107">
        <v>5</v>
      </c>
      <c r="E107" s="27">
        <v>38006</v>
      </c>
    </row>
    <row r="108" spans="1:5">
      <c r="A108" s="20" t="s">
        <v>325</v>
      </c>
      <c r="B108" s="20" t="s">
        <v>2307</v>
      </c>
      <c r="C108" s="20"/>
      <c r="D108">
        <v>40</v>
      </c>
      <c r="E108" s="27">
        <v>37865</v>
      </c>
    </row>
    <row r="109" spans="1:5">
      <c r="A109" s="20" t="s">
        <v>61</v>
      </c>
      <c r="B109" s="20" t="s">
        <v>2310</v>
      </c>
      <c r="C109" s="20"/>
      <c r="D109">
        <v>4</v>
      </c>
      <c r="E109" s="27">
        <v>37135</v>
      </c>
    </row>
    <row r="110" spans="1:5">
      <c r="A110" s="20" t="s">
        <v>326</v>
      </c>
      <c r="B110" s="20" t="s">
        <v>2307</v>
      </c>
      <c r="C110" s="20"/>
      <c r="D110">
        <v>24</v>
      </c>
      <c r="E110" s="27">
        <v>38353</v>
      </c>
    </row>
    <row r="111" spans="1:5">
      <c r="A111" s="20" t="s">
        <v>80</v>
      </c>
      <c r="B111" s="20" t="s">
        <v>2310</v>
      </c>
      <c r="C111" s="20"/>
      <c r="D111">
        <v>1</v>
      </c>
      <c r="E111" s="27">
        <v>34151</v>
      </c>
    </row>
    <row r="112" spans="1:5">
      <c r="A112" s="20" t="s">
        <v>81</v>
      </c>
      <c r="B112" s="20" t="s">
        <v>2310</v>
      </c>
      <c r="C112" s="20"/>
      <c r="D112">
        <v>9</v>
      </c>
      <c r="E112" s="27">
        <v>42767</v>
      </c>
    </row>
    <row r="113" spans="1:5">
      <c r="A113" s="20" t="s">
        <v>327</v>
      </c>
      <c r="B113" s="20" t="s">
        <v>2307</v>
      </c>
      <c r="C113" s="20"/>
      <c r="D113">
        <v>15</v>
      </c>
      <c r="E113" s="27">
        <v>37834</v>
      </c>
    </row>
    <row r="114" spans="1:5">
      <c r="A114" s="20" t="s">
        <v>328</v>
      </c>
      <c r="B114" s="20" t="s">
        <v>2306</v>
      </c>
      <c r="C114" s="20"/>
      <c r="D114">
        <v>6</v>
      </c>
      <c r="E114" s="27">
        <v>37210</v>
      </c>
    </row>
    <row r="115" spans="1:5">
      <c r="A115" s="20" t="s">
        <v>329</v>
      </c>
      <c r="B115" s="20" t="s">
        <v>2307</v>
      </c>
      <c r="C115" s="20"/>
      <c r="D115">
        <v>3</v>
      </c>
      <c r="E115" s="27">
        <v>38018</v>
      </c>
    </row>
    <row r="116" spans="1:5">
      <c r="A116" s="20" t="s">
        <v>244</v>
      </c>
      <c r="B116" s="20" t="s">
        <v>2312</v>
      </c>
      <c r="C116" s="20"/>
      <c r="D116">
        <v>14</v>
      </c>
      <c r="E116" s="27">
        <v>33970</v>
      </c>
    </row>
    <row r="117" spans="1:5">
      <c r="A117" s="20" t="s">
        <v>265</v>
      </c>
      <c r="B117" s="20" t="s">
        <v>2310</v>
      </c>
      <c r="C117" s="20"/>
      <c r="D117">
        <v>2</v>
      </c>
      <c r="E117" s="27">
        <v>30682</v>
      </c>
    </row>
    <row r="118" spans="1:5">
      <c r="A118" s="20" t="s">
        <v>117</v>
      </c>
      <c r="B118" s="20" t="s">
        <v>2310</v>
      </c>
      <c r="C118" s="20"/>
      <c r="D118">
        <v>47</v>
      </c>
      <c r="E118" s="27">
        <v>34700</v>
      </c>
    </row>
    <row r="119" spans="1:5">
      <c r="A119" s="20" t="s">
        <v>82</v>
      </c>
      <c r="B119" s="20" t="s">
        <v>2310</v>
      </c>
      <c r="C119" s="20"/>
      <c r="D119">
        <v>1</v>
      </c>
      <c r="E119" s="27">
        <v>35278</v>
      </c>
    </row>
    <row r="120" spans="1:5">
      <c r="A120" s="20" t="s">
        <v>266</v>
      </c>
      <c r="B120" s="20" t="s">
        <v>2310</v>
      </c>
      <c r="C120" s="20"/>
      <c r="D120">
        <v>1</v>
      </c>
      <c r="E120" s="27"/>
    </row>
    <row r="121" spans="1:5">
      <c r="A121" s="20" t="s">
        <v>332</v>
      </c>
      <c r="B121" s="20" t="s">
        <v>2306</v>
      </c>
      <c r="C121" s="20"/>
      <c r="D121">
        <v>6</v>
      </c>
      <c r="E121" s="27">
        <v>43404</v>
      </c>
    </row>
    <row r="122" spans="1:5">
      <c r="A122" s="20" t="s">
        <v>333</v>
      </c>
      <c r="B122" s="20" t="s">
        <v>2310</v>
      </c>
      <c r="C122" s="20"/>
      <c r="D122">
        <v>2</v>
      </c>
      <c r="E122" s="27">
        <v>37410</v>
      </c>
    </row>
    <row r="123" spans="1:5">
      <c r="A123" s="20" t="s">
        <v>857</v>
      </c>
      <c r="B123" s="20" t="s">
        <v>2307</v>
      </c>
      <c r="C123" s="20" t="s">
        <v>2309</v>
      </c>
      <c r="D123">
        <v>4</v>
      </c>
      <c r="E123" s="27">
        <v>35309</v>
      </c>
    </row>
    <row r="124" spans="1:5">
      <c r="A124" s="20" t="s">
        <v>206</v>
      </c>
      <c r="B124" s="20" t="s">
        <v>2307</v>
      </c>
      <c r="C124" s="20"/>
      <c r="D124">
        <v>16</v>
      </c>
      <c r="E124" s="27">
        <v>36220</v>
      </c>
    </row>
    <row r="125" spans="1:5">
      <c r="A125" s="20" t="s">
        <v>334</v>
      </c>
      <c r="B125" s="20" t="s">
        <v>2307</v>
      </c>
      <c r="C125" s="20"/>
      <c r="D125">
        <v>3</v>
      </c>
      <c r="E125" s="27">
        <v>37502</v>
      </c>
    </row>
    <row r="126" spans="1:5">
      <c r="A126" s="20" t="s">
        <v>139</v>
      </c>
      <c r="B126" s="20" t="s">
        <v>2307</v>
      </c>
      <c r="C126" s="20"/>
      <c r="D126">
        <v>1</v>
      </c>
      <c r="E126" s="27">
        <v>36465</v>
      </c>
    </row>
    <row r="127" spans="1:5">
      <c r="A127" s="20" t="s">
        <v>335</v>
      </c>
      <c r="B127" s="20" t="s">
        <v>2306</v>
      </c>
      <c r="C127" s="20"/>
      <c r="D127">
        <v>6</v>
      </c>
      <c r="E127" s="27">
        <v>41275</v>
      </c>
    </row>
    <row r="128" spans="1:5">
      <c r="A128" s="20" t="s">
        <v>207</v>
      </c>
      <c r="B128" s="20" t="s">
        <v>2307</v>
      </c>
      <c r="C128" s="20"/>
      <c r="D128">
        <v>45</v>
      </c>
      <c r="E128" s="27">
        <v>36161</v>
      </c>
    </row>
    <row r="129" spans="1:5">
      <c r="A129" s="20" t="s">
        <v>336</v>
      </c>
      <c r="B129" s="20" t="s">
        <v>2312</v>
      </c>
      <c r="C129" s="20"/>
      <c r="D129">
        <v>1</v>
      </c>
      <c r="E129" s="27">
        <v>35156</v>
      </c>
    </row>
    <row r="130" spans="1:5">
      <c r="A130" s="20" t="s">
        <v>337</v>
      </c>
      <c r="B130" s="20" t="s">
        <v>2310</v>
      </c>
      <c r="C130" s="20"/>
      <c r="D130">
        <v>3</v>
      </c>
      <c r="E130" s="27">
        <v>37410</v>
      </c>
    </row>
    <row r="131" spans="1:5">
      <c r="A131" s="20" t="s">
        <v>35</v>
      </c>
      <c r="B131" s="20" t="s">
        <v>2306</v>
      </c>
      <c r="C131" s="20"/>
      <c r="D131">
        <v>7</v>
      </c>
      <c r="E131" s="27">
        <v>38671</v>
      </c>
    </row>
    <row r="132" spans="1:5">
      <c r="A132" s="20" t="s">
        <v>112</v>
      </c>
      <c r="B132" s="20" t="s">
        <v>2310</v>
      </c>
      <c r="C132" s="20"/>
      <c r="D132">
        <v>34</v>
      </c>
      <c r="E132" s="27">
        <v>36445</v>
      </c>
    </row>
    <row r="133" spans="1:5">
      <c r="A133" s="20" t="s">
        <v>83</v>
      </c>
      <c r="B133" s="20" t="s">
        <v>2310</v>
      </c>
      <c r="C133" s="20"/>
      <c r="D133">
        <v>17</v>
      </c>
      <c r="E133" s="27">
        <v>36373</v>
      </c>
    </row>
    <row r="134" spans="1:5">
      <c r="A134" s="20" t="s">
        <v>131</v>
      </c>
      <c r="B134" s="20" t="s">
        <v>2310</v>
      </c>
      <c r="C134" s="20"/>
      <c r="D134">
        <v>10</v>
      </c>
      <c r="E134" s="27">
        <v>36678</v>
      </c>
    </row>
    <row r="135" spans="1:5">
      <c r="A135" s="20" t="s">
        <v>84</v>
      </c>
      <c r="B135" s="20" t="s">
        <v>2307</v>
      </c>
      <c r="C135" s="20"/>
      <c r="D135">
        <v>35</v>
      </c>
      <c r="E135" s="27">
        <v>36008</v>
      </c>
    </row>
    <row r="136" spans="1:5">
      <c r="A136" s="20" t="s">
        <v>191</v>
      </c>
      <c r="B136" s="20" t="s">
        <v>2307</v>
      </c>
      <c r="C136" s="20"/>
      <c r="D136">
        <v>1</v>
      </c>
      <c r="E136" s="27">
        <v>37956</v>
      </c>
    </row>
    <row r="137" spans="1:5">
      <c r="A137" s="20" t="s">
        <v>36</v>
      </c>
      <c r="B137" s="20" t="s">
        <v>2310</v>
      </c>
      <c r="C137" s="20"/>
      <c r="D137">
        <v>9</v>
      </c>
      <c r="E137" s="27">
        <v>38922</v>
      </c>
    </row>
    <row r="138" spans="1:5">
      <c r="A138" s="20" t="s">
        <v>103</v>
      </c>
      <c r="B138" s="20" t="s">
        <v>2310</v>
      </c>
      <c r="C138" s="20"/>
      <c r="D138">
        <v>1</v>
      </c>
      <c r="E138" s="27">
        <v>36008</v>
      </c>
    </row>
    <row r="139" spans="1:5">
      <c r="A139" s="20" t="s">
        <v>37</v>
      </c>
      <c r="B139" s="20" t="s">
        <v>2307</v>
      </c>
      <c r="C139" s="20"/>
      <c r="D139">
        <v>7</v>
      </c>
      <c r="E139" s="27">
        <v>38261</v>
      </c>
    </row>
    <row r="140" spans="1:5">
      <c r="A140" s="20" t="s">
        <v>338</v>
      </c>
      <c r="B140" s="20" t="s">
        <v>2312</v>
      </c>
      <c r="C140" s="20"/>
      <c r="D140">
        <v>4</v>
      </c>
      <c r="E140" s="27">
        <v>38723</v>
      </c>
    </row>
    <row r="141" spans="1:5">
      <c r="A141" s="20" t="s">
        <v>339</v>
      </c>
      <c r="B141" s="20" t="s">
        <v>2312</v>
      </c>
      <c r="C141" s="20"/>
      <c r="D141">
        <v>1</v>
      </c>
      <c r="E141" s="27">
        <v>39448</v>
      </c>
    </row>
    <row r="142" spans="1:5">
      <c r="A142" s="20" t="s">
        <v>146</v>
      </c>
      <c r="B142" s="20" t="s">
        <v>2310</v>
      </c>
      <c r="C142" s="20"/>
      <c r="D142">
        <v>4</v>
      </c>
      <c r="E142" s="27">
        <v>40231</v>
      </c>
    </row>
    <row r="143" spans="1:5">
      <c r="A143" s="20" t="s">
        <v>340</v>
      </c>
      <c r="B143" s="20" t="s">
        <v>2307</v>
      </c>
      <c r="C143" s="20"/>
      <c r="D143">
        <v>3</v>
      </c>
      <c r="E143" s="27">
        <v>31321</v>
      </c>
    </row>
    <row r="144" spans="1:5">
      <c r="A144" s="20" t="s">
        <v>125</v>
      </c>
      <c r="B144" s="20" t="s">
        <v>2310</v>
      </c>
      <c r="C144" s="20"/>
      <c r="D144">
        <v>4</v>
      </c>
      <c r="E144" s="27">
        <v>40198</v>
      </c>
    </row>
    <row r="145" spans="1:5">
      <c r="A145" s="20" t="s">
        <v>113</v>
      </c>
      <c r="B145" s="20" t="s">
        <v>2310</v>
      </c>
      <c r="C145" s="20"/>
      <c r="D145">
        <v>20</v>
      </c>
      <c r="E145" s="27">
        <v>36678</v>
      </c>
    </row>
    <row r="146" spans="1:5">
      <c r="A146" s="20" t="s">
        <v>341</v>
      </c>
      <c r="B146" s="20" t="s">
        <v>2307</v>
      </c>
      <c r="C146" s="20"/>
      <c r="D146">
        <v>19</v>
      </c>
      <c r="E146" s="27">
        <v>36342</v>
      </c>
    </row>
    <row r="147" spans="1:5">
      <c r="A147" s="20" t="s">
        <v>208</v>
      </c>
      <c r="B147" s="20" t="s">
        <v>2307</v>
      </c>
      <c r="C147" s="20"/>
      <c r="D147">
        <v>4</v>
      </c>
      <c r="E147" s="27">
        <v>35247</v>
      </c>
    </row>
    <row r="148" spans="1:5">
      <c r="A148" s="20" t="s">
        <v>192</v>
      </c>
      <c r="B148" s="20" t="s">
        <v>2306</v>
      </c>
      <c r="C148" s="20"/>
      <c r="D148">
        <v>4</v>
      </c>
      <c r="E148" s="27">
        <v>37502</v>
      </c>
    </row>
    <row r="149" spans="1:5">
      <c r="A149" s="20" t="s">
        <v>62</v>
      </c>
      <c r="B149" s="20" t="s">
        <v>2310</v>
      </c>
      <c r="C149" s="20"/>
      <c r="D149">
        <v>1</v>
      </c>
      <c r="E149" s="27">
        <v>31413</v>
      </c>
    </row>
    <row r="150" spans="1:5">
      <c r="A150" s="20" t="s">
        <v>63</v>
      </c>
      <c r="B150" s="20" t="s">
        <v>2310</v>
      </c>
      <c r="C150" s="20"/>
      <c r="D150">
        <v>1</v>
      </c>
      <c r="E150" s="27">
        <v>30317</v>
      </c>
    </row>
    <row r="151" spans="1:5">
      <c r="A151" s="20" t="s">
        <v>64</v>
      </c>
      <c r="B151" s="20" t="s">
        <v>2310</v>
      </c>
      <c r="C151" s="20"/>
      <c r="D151">
        <v>3</v>
      </c>
      <c r="E151" s="27">
        <v>31413</v>
      </c>
    </row>
    <row r="152" spans="1:5">
      <c r="A152" s="20" t="s">
        <v>122</v>
      </c>
      <c r="B152" s="20" t="s">
        <v>2310</v>
      </c>
      <c r="C152" s="20"/>
      <c r="D152">
        <v>6</v>
      </c>
      <c r="E152" s="27">
        <v>40198</v>
      </c>
    </row>
    <row r="153" spans="1:5">
      <c r="A153" s="20" t="s">
        <v>87</v>
      </c>
      <c r="B153" s="20" t="s">
        <v>2310</v>
      </c>
      <c r="C153" s="20"/>
      <c r="D153">
        <v>1</v>
      </c>
      <c r="E153" s="27">
        <v>38899</v>
      </c>
    </row>
    <row r="154" spans="1:5">
      <c r="A154" s="20" t="s">
        <v>88</v>
      </c>
      <c r="B154" s="20" t="s">
        <v>2310</v>
      </c>
      <c r="C154" s="20"/>
      <c r="D154">
        <v>1</v>
      </c>
      <c r="E154" s="27">
        <v>38899</v>
      </c>
    </row>
    <row r="155" spans="1:5">
      <c r="A155" s="20" t="s">
        <v>342</v>
      </c>
      <c r="B155" s="20" t="s">
        <v>2306</v>
      </c>
      <c r="C155" s="20"/>
      <c r="D155">
        <v>11</v>
      </c>
      <c r="E155" s="27">
        <v>36434</v>
      </c>
    </row>
    <row r="156" spans="1:5">
      <c r="A156" s="20" t="s">
        <v>38</v>
      </c>
      <c r="B156" s="20" t="s">
        <v>2307</v>
      </c>
      <c r="C156" s="20"/>
      <c r="D156">
        <v>70</v>
      </c>
      <c r="E156" s="27">
        <v>40028</v>
      </c>
    </row>
    <row r="157" spans="1:5">
      <c r="A157" s="20" t="s">
        <v>344</v>
      </c>
      <c r="B157" s="20" t="s">
        <v>2313</v>
      </c>
      <c r="C157" s="20"/>
      <c r="D157">
        <v>32</v>
      </c>
      <c r="E157" s="27">
        <v>37530</v>
      </c>
    </row>
    <row r="158" spans="1:5">
      <c r="A158" s="20" t="s">
        <v>193</v>
      </c>
      <c r="B158" s="20" t="s">
        <v>2307</v>
      </c>
      <c r="C158" s="20"/>
      <c r="D158">
        <v>28</v>
      </c>
      <c r="E158" s="27">
        <v>36770</v>
      </c>
    </row>
    <row r="159" spans="1:5">
      <c r="A159" s="20" t="s">
        <v>89</v>
      </c>
      <c r="B159" s="20" t="s">
        <v>2310</v>
      </c>
      <c r="C159" s="20"/>
      <c r="D159">
        <v>1</v>
      </c>
      <c r="E159" s="27">
        <v>40813</v>
      </c>
    </row>
    <row r="160" spans="1:5">
      <c r="A160" s="20" t="s">
        <v>222</v>
      </c>
      <c r="B160" s="20" t="s">
        <v>2306</v>
      </c>
      <c r="C160" s="20"/>
      <c r="D160">
        <v>5</v>
      </c>
      <c r="E160" s="27">
        <v>38838</v>
      </c>
    </row>
    <row r="161" spans="1:5">
      <c r="A161" s="20" t="s">
        <v>39</v>
      </c>
      <c r="B161" s="20" t="s">
        <v>2306</v>
      </c>
      <c r="C161" s="20"/>
      <c r="D161">
        <v>8</v>
      </c>
      <c r="E161" s="27">
        <v>38718</v>
      </c>
    </row>
    <row r="162" spans="1:5">
      <c r="A162" s="20" t="s">
        <v>50</v>
      </c>
      <c r="B162" s="20" t="s">
        <v>2310</v>
      </c>
      <c r="C162" s="20"/>
      <c r="D162">
        <v>1</v>
      </c>
      <c r="E162" s="27">
        <v>29221</v>
      </c>
    </row>
    <row r="163" spans="1:5">
      <c r="A163" s="20" t="s">
        <v>90</v>
      </c>
      <c r="B163" s="20" t="s">
        <v>2310</v>
      </c>
      <c r="C163" s="20"/>
      <c r="D163">
        <v>3</v>
      </c>
      <c r="E163" s="27">
        <v>36526</v>
      </c>
    </row>
    <row r="164" spans="1:5">
      <c r="A164" s="20" t="s">
        <v>345</v>
      </c>
      <c r="B164" s="20" t="s">
        <v>2306</v>
      </c>
      <c r="C164" s="20"/>
      <c r="D164">
        <v>1</v>
      </c>
      <c r="E164" s="27">
        <v>30682</v>
      </c>
    </row>
    <row r="165" spans="1:5">
      <c r="A165" s="20" t="s">
        <v>267</v>
      </c>
      <c r="B165" s="20" t="s">
        <v>2306</v>
      </c>
      <c r="C165" s="20"/>
      <c r="D165">
        <v>12</v>
      </c>
      <c r="E165" s="27">
        <v>37987</v>
      </c>
    </row>
    <row r="166" spans="1:5">
      <c r="A166" s="20" t="s">
        <v>277</v>
      </c>
      <c r="B166" s="20" t="s">
        <v>2306</v>
      </c>
      <c r="C166" s="20"/>
      <c r="D166">
        <v>1</v>
      </c>
      <c r="E166" s="27">
        <v>37987</v>
      </c>
    </row>
    <row r="167" spans="1:5">
      <c r="A167" s="20" t="s">
        <v>223</v>
      </c>
      <c r="B167" s="20" t="s">
        <v>2306</v>
      </c>
      <c r="C167" s="20"/>
      <c r="D167">
        <v>10</v>
      </c>
      <c r="E167" s="27">
        <v>37257</v>
      </c>
    </row>
    <row r="168" spans="1:5">
      <c r="A168" s="20" t="s">
        <v>114</v>
      </c>
      <c r="B168" s="20" t="s">
        <v>2306</v>
      </c>
      <c r="C168" s="20"/>
      <c r="D168">
        <v>18</v>
      </c>
      <c r="E168" s="27">
        <v>36526</v>
      </c>
    </row>
    <row r="169" spans="1:5">
      <c r="A169" s="20" t="s">
        <v>91</v>
      </c>
      <c r="B169" s="20" t="s">
        <v>2306</v>
      </c>
      <c r="C169" s="20"/>
      <c r="D169">
        <v>4</v>
      </c>
      <c r="E169" s="27">
        <v>36831</v>
      </c>
    </row>
    <row r="170" spans="1:5">
      <c r="A170" s="20" t="s">
        <v>40</v>
      </c>
      <c r="B170" s="20" t="s">
        <v>2306</v>
      </c>
      <c r="C170" s="20"/>
      <c r="D170">
        <v>9</v>
      </c>
      <c r="E170" s="27">
        <v>43466</v>
      </c>
    </row>
    <row r="171" spans="1:5">
      <c r="A171" s="20" t="s">
        <v>140</v>
      </c>
      <c r="B171" s="20" t="s">
        <v>2306</v>
      </c>
      <c r="C171" s="20"/>
      <c r="D171">
        <v>8</v>
      </c>
      <c r="E171" s="27"/>
    </row>
    <row r="172" spans="1:5">
      <c r="A172" s="20" t="s">
        <v>92</v>
      </c>
      <c r="B172" s="20" t="s">
        <v>2306</v>
      </c>
      <c r="C172" s="20"/>
      <c r="D172">
        <v>1</v>
      </c>
      <c r="E172" s="27">
        <v>36526</v>
      </c>
    </row>
    <row r="173" spans="1:5">
      <c r="A173" s="20" t="s">
        <v>147</v>
      </c>
      <c r="B173" s="20" t="s">
        <v>2306</v>
      </c>
      <c r="C173" s="20"/>
      <c r="D173">
        <v>2</v>
      </c>
      <c r="E173" s="27">
        <v>38353</v>
      </c>
    </row>
    <row r="174" spans="1:5">
      <c r="A174" s="20" t="s">
        <v>41</v>
      </c>
      <c r="B174" s="20" t="s">
        <v>2306</v>
      </c>
      <c r="C174" s="20"/>
      <c r="D174">
        <v>5</v>
      </c>
      <c r="E174" s="27">
        <v>38353</v>
      </c>
    </row>
    <row r="175" spans="1:5">
      <c r="A175" s="20" t="s">
        <v>346</v>
      </c>
      <c r="B175" s="20" t="s">
        <v>2306</v>
      </c>
      <c r="C175" s="20"/>
      <c r="D175">
        <v>8</v>
      </c>
      <c r="E175" s="27">
        <v>36192</v>
      </c>
    </row>
    <row r="176" spans="1:5">
      <c r="A176" s="20" t="s">
        <v>2320</v>
      </c>
      <c r="B176" s="20" t="s">
        <v>2306</v>
      </c>
      <c r="C176" s="20" t="s">
        <v>2309</v>
      </c>
      <c r="D176">
        <v>2</v>
      </c>
      <c r="E176" s="27">
        <v>36770</v>
      </c>
    </row>
    <row r="177" spans="1:5">
      <c r="A177" s="20" t="s">
        <v>347</v>
      </c>
      <c r="B177" s="20" t="s">
        <v>2313</v>
      </c>
      <c r="C177" s="20"/>
      <c r="D177">
        <v>1</v>
      </c>
      <c r="E177" s="27">
        <v>35309</v>
      </c>
    </row>
    <row r="178" spans="1:5">
      <c r="A178" s="20" t="s">
        <v>209</v>
      </c>
      <c r="B178" s="20" t="s">
        <v>2307</v>
      </c>
      <c r="C178" s="20"/>
      <c r="D178">
        <v>32</v>
      </c>
      <c r="E178" s="27">
        <v>37956</v>
      </c>
    </row>
    <row r="179" spans="1:5">
      <c r="A179" s="20" t="s">
        <v>348</v>
      </c>
      <c r="B179" s="20" t="s">
        <v>2312</v>
      </c>
      <c r="C179" s="20"/>
      <c r="D179">
        <v>14</v>
      </c>
      <c r="E179" s="27">
        <v>36892</v>
      </c>
    </row>
    <row r="180" spans="1:5">
      <c r="A180" s="20" t="s">
        <v>349</v>
      </c>
      <c r="B180" s="20" t="s">
        <v>2307</v>
      </c>
      <c r="C180" s="20"/>
      <c r="D180">
        <v>3</v>
      </c>
      <c r="E180" s="27">
        <v>36342</v>
      </c>
    </row>
    <row r="181" spans="1:5">
      <c r="A181" s="20" t="s">
        <v>350</v>
      </c>
      <c r="B181" s="20" t="s">
        <v>2307</v>
      </c>
      <c r="C181" s="20"/>
      <c r="D181">
        <v>6</v>
      </c>
      <c r="E181" s="27">
        <v>31413</v>
      </c>
    </row>
    <row r="182" spans="1:5">
      <c r="A182" s="20" t="s">
        <v>351</v>
      </c>
      <c r="B182" s="20" t="s">
        <v>2307</v>
      </c>
      <c r="C182" s="20"/>
      <c r="D182">
        <v>6</v>
      </c>
      <c r="E182" s="27">
        <v>40960</v>
      </c>
    </row>
    <row r="183" spans="1:5">
      <c r="A183" s="20" t="s">
        <v>1780</v>
      </c>
      <c r="B183" s="20" t="s">
        <v>2307</v>
      </c>
      <c r="C183" s="20" t="s">
        <v>2309</v>
      </c>
      <c r="D183">
        <v>1</v>
      </c>
      <c r="E183" s="27">
        <v>35309</v>
      </c>
    </row>
    <row r="184" spans="1:5">
      <c r="A184" s="20" t="s">
        <v>93</v>
      </c>
      <c r="B184" s="20" t="s">
        <v>2310</v>
      </c>
      <c r="C184" s="20"/>
      <c r="D184">
        <v>2</v>
      </c>
      <c r="E184" s="27">
        <v>29221</v>
      </c>
    </row>
    <row r="185" spans="1:5">
      <c r="A185" s="20" t="s">
        <v>352</v>
      </c>
      <c r="B185" s="20" t="s">
        <v>2307</v>
      </c>
      <c r="C185" s="20"/>
      <c r="D185">
        <v>7</v>
      </c>
      <c r="E185" s="27">
        <v>31048</v>
      </c>
    </row>
    <row r="186" spans="1:5">
      <c r="A186" s="20" t="s">
        <v>353</v>
      </c>
      <c r="B186" s="20" t="s">
        <v>2306</v>
      </c>
      <c r="C186" s="20"/>
      <c r="D186">
        <v>20</v>
      </c>
      <c r="E186" s="27">
        <v>34425</v>
      </c>
    </row>
    <row r="187" spans="1:5">
      <c r="A187" s="20" t="s">
        <v>132</v>
      </c>
      <c r="B187" s="20" t="s">
        <v>2306</v>
      </c>
      <c r="C187" s="20"/>
      <c r="D187">
        <v>25</v>
      </c>
      <c r="E187" s="27">
        <v>42283</v>
      </c>
    </row>
    <row r="188" spans="1:5">
      <c r="A188" s="20" t="s">
        <v>210</v>
      </c>
      <c r="B188" s="20" t="s">
        <v>2306</v>
      </c>
      <c r="C188" s="20"/>
      <c r="D188">
        <v>38</v>
      </c>
      <c r="E188" s="27">
        <v>37395</v>
      </c>
    </row>
    <row r="189" spans="1:5">
      <c r="A189" s="20" t="s">
        <v>354</v>
      </c>
      <c r="B189" s="20" t="s">
        <v>2307</v>
      </c>
      <c r="C189" s="20"/>
      <c r="D189">
        <v>3</v>
      </c>
      <c r="E189" s="27">
        <v>33239</v>
      </c>
    </row>
    <row r="190" spans="1:5">
      <c r="A190" s="20" t="s">
        <v>249</v>
      </c>
      <c r="B190" s="20" t="s">
        <v>2307</v>
      </c>
      <c r="C190" s="20"/>
      <c r="D190">
        <v>22</v>
      </c>
      <c r="E190" s="27">
        <v>32509</v>
      </c>
    </row>
    <row r="191" spans="1:5">
      <c r="A191" s="20" t="s">
        <v>133</v>
      </c>
      <c r="B191" s="20" t="s">
        <v>2310</v>
      </c>
      <c r="C191" s="20"/>
      <c r="D191">
        <v>8</v>
      </c>
      <c r="E191" s="27">
        <v>39561</v>
      </c>
    </row>
    <row r="192" spans="1:5">
      <c r="A192" s="20" t="s">
        <v>211</v>
      </c>
      <c r="B192" s="20" t="s">
        <v>2312</v>
      </c>
      <c r="C192" s="20"/>
      <c r="D192">
        <v>121</v>
      </c>
      <c r="E192" s="27">
        <v>36526</v>
      </c>
    </row>
    <row r="193" spans="1:5">
      <c r="A193" s="20" t="s">
        <v>94</v>
      </c>
      <c r="B193" s="20" t="s">
        <v>2310</v>
      </c>
      <c r="C193" s="20"/>
      <c r="D193">
        <v>1</v>
      </c>
      <c r="E193" s="27">
        <v>32874</v>
      </c>
    </row>
    <row r="194" spans="1:5">
      <c r="A194" s="20" t="s">
        <v>134</v>
      </c>
      <c r="B194" s="20" t="s">
        <v>2312</v>
      </c>
      <c r="C194" s="20"/>
      <c r="D194">
        <v>47</v>
      </c>
      <c r="E194" s="27">
        <v>37653</v>
      </c>
    </row>
    <row r="195" spans="1:5">
      <c r="A195" s="20" t="s">
        <v>135</v>
      </c>
      <c r="B195" s="20" t="s">
        <v>2312</v>
      </c>
      <c r="C195" s="20"/>
      <c r="D195">
        <v>49</v>
      </c>
      <c r="E195" s="27">
        <v>37712</v>
      </c>
    </row>
    <row r="196" spans="1:5">
      <c r="A196" s="20" t="s">
        <v>355</v>
      </c>
      <c r="B196" s="20" t="s">
        <v>2307</v>
      </c>
      <c r="C196" s="20"/>
      <c r="D196">
        <v>5</v>
      </c>
      <c r="E196" s="27">
        <v>33147</v>
      </c>
    </row>
    <row r="197" spans="1:5">
      <c r="A197" s="20" t="s">
        <v>268</v>
      </c>
      <c r="B197" s="20" t="s">
        <v>2306</v>
      </c>
      <c r="C197" s="20"/>
      <c r="D197">
        <v>3</v>
      </c>
      <c r="E197" s="27">
        <v>34838</v>
      </c>
    </row>
    <row r="198" spans="1:5">
      <c r="A198" s="20" t="s">
        <v>115</v>
      </c>
      <c r="B198" s="20" t="s">
        <v>2310</v>
      </c>
      <c r="C198" s="20"/>
      <c r="D198">
        <v>9</v>
      </c>
      <c r="E198" s="27">
        <v>35309</v>
      </c>
    </row>
    <row r="199" spans="1:5">
      <c r="A199" s="20" t="s">
        <v>212</v>
      </c>
      <c r="B199" s="20" t="s">
        <v>2312</v>
      </c>
      <c r="C199" s="20"/>
      <c r="D199">
        <v>45</v>
      </c>
      <c r="E199" s="27">
        <v>36373</v>
      </c>
    </row>
    <row r="200" spans="1:5">
      <c r="A200" s="20" t="s">
        <v>213</v>
      </c>
      <c r="B200" s="20" t="s">
        <v>2307</v>
      </c>
      <c r="C200" s="20"/>
      <c r="D200">
        <v>47</v>
      </c>
      <c r="E200" s="27">
        <v>37622</v>
      </c>
    </row>
    <row r="201" spans="1:5">
      <c r="A201" s="20" t="s">
        <v>214</v>
      </c>
      <c r="B201" s="20" t="s">
        <v>2307</v>
      </c>
      <c r="C201" s="20"/>
      <c r="D201">
        <v>49</v>
      </c>
      <c r="E201" s="27">
        <v>37681</v>
      </c>
    </row>
    <row r="202" spans="1:5">
      <c r="A202" s="20" t="s">
        <v>194</v>
      </c>
      <c r="B202" s="20" t="s">
        <v>2312</v>
      </c>
      <c r="C202" s="20"/>
      <c r="D202">
        <v>16</v>
      </c>
      <c r="E202" s="27">
        <v>35004</v>
      </c>
    </row>
    <row r="203" spans="1:5">
      <c r="A203" s="20" t="s">
        <v>250</v>
      </c>
      <c r="B203" s="20" t="s">
        <v>2310</v>
      </c>
      <c r="C203" s="20"/>
      <c r="D203">
        <v>1</v>
      </c>
      <c r="E203" s="27">
        <v>31048</v>
      </c>
    </row>
    <row r="204" spans="1:5">
      <c r="A204" s="20" t="s">
        <v>356</v>
      </c>
      <c r="B204" s="20" t="s">
        <v>2307</v>
      </c>
      <c r="C204" s="20"/>
      <c r="D204">
        <v>1</v>
      </c>
      <c r="E204" s="27">
        <v>42979</v>
      </c>
    </row>
    <row r="205" spans="1:5">
      <c r="A205" s="20" t="s">
        <v>357</v>
      </c>
      <c r="B205" s="20" t="s">
        <v>2313</v>
      </c>
      <c r="C205" s="20"/>
      <c r="D205">
        <v>6</v>
      </c>
      <c r="E205" s="27">
        <v>37834</v>
      </c>
    </row>
    <row r="206" spans="1:5">
      <c r="A206" s="20" t="s">
        <v>55</v>
      </c>
      <c r="B206" s="20" t="s">
        <v>2310</v>
      </c>
      <c r="C206" s="20"/>
      <c r="D206">
        <v>18</v>
      </c>
      <c r="E206" s="27">
        <v>40173</v>
      </c>
    </row>
    <row r="207" spans="1:5">
      <c r="A207" s="20" t="s">
        <v>104</v>
      </c>
      <c r="B207" s="20" t="s">
        <v>2310</v>
      </c>
      <c r="C207" s="20"/>
      <c r="D207">
        <v>8</v>
      </c>
      <c r="E207" s="27"/>
    </row>
    <row r="208" spans="1:5">
      <c r="A208" s="20" t="s">
        <v>195</v>
      </c>
      <c r="B208" s="20" t="s">
        <v>2310</v>
      </c>
      <c r="C208" s="20"/>
      <c r="D208">
        <v>1</v>
      </c>
      <c r="E208" s="27">
        <v>36586</v>
      </c>
    </row>
    <row r="209" spans="1:5">
      <c r="A209" s="20" t="s">
        <v>107</v>
      </c>
      <c r="B209" s="20" t="s">
        <v>2310</v>
      </c>
      <c r="C209" s="20"/>
      <c r="D209">
        <v>2</v>
      </c>
      <c r="E209" s="27">
        <v>29221</v>
      </c>
    </row>
    <row r="210" spans="1:5">
      <c r="A210" s="20" t="s">
        <v>42</v>
      </c>
      <c r="B210" s="20" t="s">
        <v>2307</v>
      </c>
      <c r="C210" s="20"/>
      <c r="D210">
        <v>6</v>
      </c>
      <c r="E210" s="27">
        <v>36008</v>
      </c>
    </row>
    <row r="211" spans="1:5">
      <c r="A211" s="20" t="s">
        <v>148</v>
      </c>
      <c r="B211" s="20" t="s">
        <v>2307</v>
      </c>
      <c r="C211" s="20"/>
      <c r="D211">
        <v>3</v>
      </c>
      <c r="E211" s="27">
        <v>36008</v>
      </c>
    </row>
    <row r="212" spans="1:5">
      <c r="A212" s="20" t="s">
        <v>43</v>
      </c>
      <c r="B212" s="20" t="s">
        <v>2310</v>
      </c>
      <c r="C212" s="20"/>
      <c r="D212">
        <v>5</v>
      </c>
      <c r="E212" s="27">
        <v>37561</v>
      </c>
    </row>
    <row r="213" spans="1:5">
      <c r="A213" s="20" t="s">
        <v>216</v>
      </c>
      <c r="B213" s="20" t="s">
        <v>2307</v>
      </c>
      <c r="C213" s="20"/>
      <c r="D213">
        <v>1</v>
      </c>
      <c r="E213" s="27">
        <v>35217</v>
      </c>
    </row>
    <row r="214" spans="1:5">
      <c r="A214" s="20" t="s">
        <v>253</v>
      </c>
      <c r="B214" s="20" t="s">
        <v>2307</v>
      </c>
      <c r="C214" s="20"/>
      <c r="D214">
        <v>7</v>
      </c>
      <c r="E214" s="27">
        <v>37257</v>
      </c>
    </row>
    <row r="215" spans="1:5">
      <c r="A215" s="20" t="s">
        <v>123</v>
      </c>
      <c r="B215" s="20" t="s">
        <v>2306</v>
      </c>
      <c r="C215" s="20"/>
      <c r="D215">
        <v>6</v>
      </c>
      <c r="E215" s="27">
        <v>36404</v>
      </c>
    </row>
    <row r="216" spans="1:5">
      <c r="A216" s="20" t="s">
        <v>136</v>
      </c>
      <c r="B216" s="20" t="s">
        <v>2310</v>
      </c>
      <c r="C216" s="20"/>
      <c r="D216">
        <v>14</v>
      </c>
      <c r="E216" s="27">
        <v>36678</v>
      </c>
    </row>
    <row r="217" spans="1:5">
      <c r="A217" s="20" t="s">
        <v>95</v>
      </c>
      <c r="B217" s="20" t="s">
        <v>2310</v>
      </c>
      <c r="C217" s="20"/>
      <c r="D217">
        <v>40</v>
      </c>
      <c r="E217" s="27">
        <v>36526</v>
      </c>
    </row>
    <row r="218" spans="1:5">
      <c r="A218" s="20" t="s">
        <v>2321</v>
      </c>
      <c r="B218" s="20" t="s">
        <v>2310</v>
      </c>
      <c r="C218" s="20"/>
      <c r="D218">
        <v>1</v>
      </c>
      <c r="E218" s="27">
        <v>32874</v>
      </c>
    </row>
    <row r="219" spans="1:5">
      <c r="A219" s="20" t="s">
        <v>2322</v>
      </c>
      <c r="B219" s="20" t="s">
        <v>2307</v>
      </c>
      <c r="C219" s="20"/>
      <c r="D219">
        <v>2</v>
      </c>
      <c r="E219" s="27">
        <v>35855</v>
      </c>
    </row>
    <row r="220" spans="1:5">
      <c r="A220" s="20" t="s">
        <v>254</v>
      </c>
      <c r="B220" s="20" t="s">
        <v>2307</v>
      </c>
      <c r="C220" s="20"/>
      <c r="D220">
        <v>1</v>
      </c>
      <c r="E220" s="27">
        <v>39203</v>
      </c>
    </row>
    <row r="221" spans="1:5">
      <c r="A221" s="20" t="s">
        <v>361</v>
      </c>
      <c r="B221" s="20" t="s">
        <v>2306</v>
      </c>
      <c r="C221" s="20"/>
      <c r="D221">
        <v>7</v>
      </c>
      <c r="E221" s="27">
        <v>37485</v>
      </c>
    </row>
    <row r="222" spans="1:5">
      <c r="A222" s="20" t="s">
        <v>65</v>
      </c>
      <c r="B222" s="20" t="s">
        <v>2310</v>
      </c>
      <c r="C222" s="20"/>
      <c r="D222">
        <v>2</v>
      </c>
      <c r="E222" s="27">
        <v>43009</v>
      </c>
    </row>
    <row r="223" spans="1:5">
      <c r="A223" s="20" t="s">
        <v>196</v>
      </c>
      <c r="B223" s="20" t="s">
        <v>2307</v>
      </c>
      <c r="C223" s="20"/>
      <c r="D223">
        <v>36</v>
      </c>
      <c r="E223" s="27">
        <v>37956</v>
      </c>
    </row>
    <row r="224" spans="1:5">
      <c r="A224" s="20" t="s">
        <v>362</v>
      </c>
      <c r="B224" s="20" t="s">
        <v>2312</v>
      </c>
      <c r="C224" s="20"/>
      <c r="D224">
        <v>1</v>
      </c>
      <c r="E224" s="27">
        <v>38353</v>
      </c>
    </row>
    <row r="225" spans="1:5">
      <c r="A225" s="20" t="s">
        <v>44</v>
      </c>
      <c r="B225" s="20" t="s">
        <v>2310</v>
      </c>
      <c r="C225" s="20"/>
      <c r="D225">
        <v>12</v>
      </c>
      <c r="E225" s="27">
        <v>43555</v>
      </c>
    </row>
    <row r="226" spans="1:5">
      <c r="A226" s="20" t="s">
        <v>363</v>
      </c>
      <c r="B226" s="20" t="s">
        <v>2306</v>
      </c>
      <c r="C226" s="20"/>
      <c r="D226">
        <v>26</v>
      </c>
      <c r="E226" s="27">
        <v>36392</v>
      </c>
    </row>
    <row r="227" spans="1:5">
      <c r="A227" s="20" t="s">
        <v>255</v>
      </c>
      <c r="B227" s="20" t="s">
        <v>2313</v>
      </c>
      <c r="C227" s="20"/>
      <c r="D227">
        <v>15</v>
      </c>
      <c r="E227" s="27">
        <v>38200</v>
      </c>
    </row>
    <row r="228" spans="1:5">
      <c r="A228" s="20" t="s">
        <v>224</v>
      </c>
      <c r="B228" s="20" t="s">
        <v>2312</v>
      </c>
      <c r="C228" s="20"/>
      <c r="D228">
        <v>33</v>
      </c>
      <c r="E228" s="27">
        <v>37712</v>
      </c>
    </row>
    <row r="229" spans="1:5">
      <c r="A229" s="20" t="s">
        <v>269</v>
      </c>
      <c r="B229" s="20" t="s">
        <v>2312</v>
      </c>
      <c r="C229" s="20"/>
      <c r="D229">
        <v>27</v>
      </c>
      <c r="E229" s="27">
        <v>37712</v>
      </c>
    </row>
    <row r="230" spans="1:5">
      <c r="A230" s="20" t="s">
        <v>365</v>
      </c>
      <c r="B230" s="20" t="s">
        <v>882</v>
      </c>
      <c r="C230" s="20"/>
      <c r="D230">
        <v>12</v>
      </c>
      <c r="E230" s="27">
        <v>38353</v>
      </c>
    </row>
    <row r="231" spans="1:5">
      <c r="A231" s="20" t="s">
        <v>366</v>
      </c>
      <c r="B231" s="20" t="s">
        <v>2307</v>
      </c>
      <c r="C231" s="20"/>
      <c r="D231">
        <v>5</v>
      </c>
      <c r="E231" s="27">
        <v>33031</v>
      </c>
    </row>
    <row r="232" spans="1:5">
      <c r="A232" s="20" t="s">
        <v>256</v>
      </c>
      <c r="B232" s="20" t="s">
        <v>2307</v>
      </c>
      <c r="C232" s="20"/>
      <c r="D232">
        <v>7</v>
      </c>
      <c r="E232" s="27">
        <v>33031</v>
      </c>
    </row>
    <row r="233" spans="1:5">
      <c r="A233" s="20" t="s">
        <v>198</v>
      </c>
      <c r="B233" s="20" t="s">
        <v>2310</v>
      </c>
      <c r="C233" s="20"/>
      <c r="D233">
        <v>2</v>
      </c>
      <c r="E233" s="27">
        <v>38718</v>
      </c>
    </row>
    <row r="234" spans="1:5">
      <c r="A234" s="20" t="s">
        <v>257</v>
      </c>
      <c r="B234" s="20" t="s">
        <v>2307</v>
      </c>
      <c r="C234" s="20"/>
      <c r="D234">
        <v>11</v>
      </c>
      <c r="E234" s="27">
        <v>32874</v>
      </c>
    </row>
    <row r="235" spans="1:5">
      <c r="A235" s="20" t="s">
        <v>258</v>
      </c>
      <c r="B235" s="20" t="s">
        <v>2307</v>
      </c>
      <c r="C235" s="20"/>
      <c r="D235">
        <v>1</v>
      </c>
      <c r="E235" s="27">
        <v>31048</v>
      </c>
    </row>
    <row r="236" spans="1:5">
      <c r="A236" s="20" t="s">
        <v>2324</v>
      </c>
      <c r="B236" s="20" t="s">
        <v>2307</v>
      </c>
      <c r="C236" s="20"/>
      <c r="D236">
        <v>24</v>
      </c>
      <c r="E236" s="27">
        <v>43585</v>
      </c>
    </row>
    <row r="237" spans="1:5">
      <c r="A237" s="20" t="s">
        <v>367</v>
      </c>
      <c r="B237" s="20" t="s">
        <v>2307</v>
      </c>
      <c r="C237" s="20"/>
      <c r="D237">
        <v>5</v>
      </c>
      <c r="E237" s="27">
        <v>40909</v>
      </c>
    </row>
    <row r="238" spans="1:5">
      <c r="A238" s="20" t="s">
        <v>368</v>
      </c>
      <c r="B238" s="20" t="s">
        <v>2307</v>
      </c>
      <c r="C238" s="20"/>
      <c r="D238">
        <v>6</v>
      </c>
      <c r="E238" s="27">
        <v>34335</v>
      </c>
    </row>
    <row r="239" spans="1:5">
      <c r="A239" s="20" t="s">
        <v>128</v>
      </c>
      <c r="B239" s="20" t="s">
        <v>2310</v>
      </c>
      <c r="C239" s="20"/>
      <c r="D239">
        <v>18</v>
      </c>
      <c r="E239" s="27">
        <v>36192</v>
      </c>
    </row>
    <row r="240" spans="1:5">
      <c r="A240" s="20" t="s">
        <v>369</v>
      </c>
      <c r="B240" s="20" t="s">
        <v>2307</v>
      </c>
      <c r="C240" s="20"/>
      <c r="D240">
        <v>8</v>
      </c>
      <c r="E240" s="27">
        <v>31048</v>
      </c>
    </row>
    <row r="241" spans="1:5">
      <c r="A241" s="20" t="s">
        <v>370</v>
      </c>
      <c r="B241" s="20" t="s">
        <v>2307</v>
      </c>
      <c r="C241" s="20"/>
      <c r="D241">
        <v>5</v>
      </c>
      <c r="E241" s="27">
        <v>36251</v>
      </c>
    </row>
    <row r="242" spans="1:5">
      <c r="A242" s="20" t="s">
        <v>149</v>
      </c>
      <c r="B242" s="20" t="s">
        <v>2306</v>
      </c>
      <c r="C242" s="20"/>
      <c r="D242">
        <v>2</v>
      </c>
      <c r="E242" s="27">
        <v>35217</v>
      </c>
    </row>
    <row r="243" spans="1:5">
      <c r="A243" s="20" t="s">
        <v>217</v>
      </c>
      <c r="B243" s="20" t="s">
        <v>2306</v>
      </c>
      <c r="C243" s="20"/>
      <c r="D243">
        <v>62</v>
      </c>
      <c r="E243" s="27">
        <v>37774</v>
      </c>
    </row>
    <row r="244" spans="1:5">
      <c r="A244" s="20" t="s">
        <v>225</v>
      </c>
      <c r="B244" s="20" t="s">
        <v>2306</v>
      </c>
      <c r="C244" s="20"/>
      <c r="D244">
        <v>4</v>
      </c>
      <c r="E244" s="27">
        <v>34455</v>
      </c>
    </row>
    <row r="245" spans="1:5">
      <c r="A245" s="20" t="s">
        <v>270</v>
      </c>
      <c r="B245" s="20" t="s">
        <v>2307</v>
      </c>
      <c r="C245" s="20"/>
      <c r="D245">
        <v>8</v>
      </c>
      <c r="E245" s="27">
        <v>37987</v>
      </c>
    </row>
    <row r="246" spans="1:5">
      <c r="A246" s="20" t="s">
        <v>288</v>
      </c>
      <c r="B246" s="20" t="s">
        <v>882</v>
      </c>
      <c r="C246" s="20"/>
      <c r="D246">
        <v>14</v>
      </c>
      <c r="E246" s="27">
        <v>37316</v>
      </c>
    </row>
    <row r="247" spans="1:5">
      <c r="A247" s="20" t="s">
        <v>46</v>
      </c>
      <c r="B247" s="20" t="s">
        <v>2307</v>
      </c>
      <c r="C247" s="20"/>
      <c r="D247">
        <v>12</v>
      </c>
      <c r="E247" s="27">
        <v>37622</v>
      </c>
    </row>
    <row r="248" spans="1:5">
      <c r="A248" s="20" t="s">
        <v>2325</v>
      </c>
      <c r="B248" s="20" t="s">
        <v>2306</v>
      </c>
      <c r="C248" s="20" t="s">
        <v>2309</v>
      </c>
      <c r="D248">
        <v>2</v>
      </c>
      <c r="E248" s="27">
        <v>34881</v>
      </c>
    </row>
    <row r="249" spans="1:5">
      <c r="A249" s="20" t="s">
        <v>138</v>
      </c>
      <c r="B249" s="20" t="s">
        <v>2306</v>
      </c>
      <c r="C249" s="20"/>
      <c r="D249">
        <v>1</v>
      </c>
      <c r="E249" s="27">
        <v>38670</v>
      </c>
    </row>
    <row r="250" spans="1:5">
      <c r="A250" s="20" t="s">
        <v>51</v>
      </c>
      <c r="B250" s="20" t="s">
        <v>2310</v>
      </c>
      <c r="C250" s="20"/>
      <c r="D250">
        <v>1</v>
      </c>
      <c r="E250" s="27">
        <v>38718</v>
      </c>
    </row>
    <row r="251" spans="1:5">
      <c r="A251" s="20" t="s">
        <v>98</v>
      </c>
      <c r="B251" s="20" t="s">
        <v>2306</v>
      </c>
      <c r="C251" s="20"/>
      <c r="D251">
        <v>1</v>
      </c>
      <c r="E251" s="27">
        <v>37227</v>
      </c>
    </row>
    <row r="252" spans="1:5">
      <c r="A252" s="20" t="s">
        <v>218</v>
      </c>
      <c r="B252" s="20" t="s">
        <v>2307</v>
      </c>
      <c r="C252" s="20"/>
      <c r="D252">
        <v>4</v>
      </c>
      <c r="E252" s="27">
        <v>39448</v>
      </c>
    </row>
    <row r="253" spans="1:5">
      <c r="A253" s="20" t="s">
        <v>219</v>
      </c>
      <c r="B253" s="20" t="s">
        <v>2307</v>
      </c>
      <c r="C253" s="20"/>
      <c r="D253">
        <v>13</v>
      </c>
      <c r="E253" s="27">
        <v>39448</v>
      </c>
    </row>
    <row r="254" spans="1:5">
      <c r="A254" s="20" t="s">
        <v>126</v>
      </c>
      <c r="B254" s="20" t="s">
        <v>2310</v>
      </c>
      <c r="C254" s="20"/>
      <c r="D254">
        <v>1</v>
      </c>
      <c r="E254" s="27">
        <v>39600</v>
      </c>
    </row>
    <row r="255" spans="1:5">
      <c r="A255" s="20" t="s">
        <v>100</v>
      </c>
      <c r="B255" s="20" t="s">
        <v>2310</v>
      </c>
      <c r="C255" s="20"/>
      <c r="D255">
        <v>1</v>
      </c>
      <c r="E255" s="27">
        <v>39600</v>
      </c>
    </row>
    <row r="256" spans="1:5">
      <c r="A256" s="20" t="s">
        <v>373</v>
      </c>
      <c r="B256" s="20" t="s">
        <v>2307</v>
      </c>
      <c r="C256" s="20"/>
      <c r="D256">
        <v>31</v>
      </c>
      <c r="E256" s="27">
        <v>35886</v>
      </c>
    </row>
    <row r="257" spans="1:5">
      <c r="A257" s="20" t="s">
        <v>374</v>
      </c>
      <c r="B257" s="20" t="s">
        <v>2307</v>
      </c>
      <c r="C257" s="20"/>
      <c r="D257">
        <v>1</v>
      </c>
      <c r="E257" s="27">
        <v>37346</v>
      </c>
    </row>
    <row r="258" spans="1:5">
      <c r="A258" s="20" t="s">
        <v>375</v>
      </c>
      <c r="B258" s="20" t="s">
        <v>2307</v>
      </c>
      <c r="C258" s="20"/>
      <c r="D258">
        <v>2</v>
      </c>
      <c r="E258" s="27">
        <v>36495</v>
      </c>
    </row>
    <row r="259" spans="1:5">
      <c r="A259" s="20" t="s">
        <v>56</v>
      </c>
      <c r="B259" s="20" t="s">
        <v>2310</v>
      </c>
      <c r="C259" s="20"/>
      <c r="D259">
        <v>46</v>
      </c>
      <c r="E259" s="27">
        <v>36800</v>
      </c>
    </row>
    <row r="260" spans="1:5">
      <c r="A260" s="20" t="s">
        <v>108</v>
      </c>
      <c r="B260" s="20" t="s">
        <v>2310</v>
      </c>
      <c r="C260" s="20"/>
      <c r="D260">
        <v>8</v>
      </c>
      <c r="E260" s="27">
        <v>36800</v>
      </c>
    </row>
    <row r="261" spans="1:5">
      <c r="A261" s="20" t="s">
        <v>127</v>
      </c>
      <c r="B261" s="20" t="s">
        <v>2310</v>
      </c>
      <c r="C261" s="20"/>
      <c r="D261">
        <v>22</v>
      </c>
      <c r="E261" s="27">
        <v>36281</v>
      </c>
    </row>
    <row r="262" spans="1:5">
      <c r="A262" s="20" t="s">
        <v>66</v>
      </c>
      <c r="B262" s="20" t="s">
        <v>2310</v>
      </c>
      <c r="C262" s="20"/>
      <c r="D262">
        <v>16</v>
      </c>
      <c r="E262" s="27">
        <v>43647</v>
      </c>
    </row>
    <row r="263" spans="1:5">
      <c r="A263" s="20" t="s">
        <v>137</v>
      </c>
      <c r="B263" s="20" t="s">
        <v>2310</v>
      </c>
      <c r="C263" s="20"/>
      <c r="D263">
        <v>14</v>
      </c>
      <c r="E263" s="27">
        <v>40198</v>
      </c>
    </row>
    <row r="264" spans="1:5">
      <c r="A264" s="20" t="s">
        <v>376</v>
      </c>
      <c r="B264" s="20" t="s">
        <v>2310</v>
      </c>
      <c r="C264" s="20"/>
      <c r="D264">
        <v>7</v>
      </c>
      <c r="E264" s="27">
        <v>40813</v>
      </c>
    </row>
    <row r="265" spans="1:5">
      <c r="A265" s="20" t="s">
        <v>47</v>
      </c>
      <c r="B265" s="20" t="s">
        <v>2306</v>
      </c>
      <c r="C265" s="20"/>
      <c r="D265">
        <v>5</v>
      </c>
      <c r="E265" s="27">
        <v>42156</v>
      </c>
    </row>
    <row r="266" spans="1:5">
      <c r="A266" s="20" t="s">
        <v>380</v>
      </c>
      <c r="B266" s="20" t="s">
        <v>2313</v>
      </c>
      <c r="C266" s="20"/>
      <c r="D266">
        <v>8</v>
      </c>
      <c r="E266" s="27">
        <v>36008</v>
      </c>
    </row>
    <row r="267" spans="1:5">
      <c r="A267" s="20" t="s">
        <v>382</v>
      </c>
      <c r="B267" s="20" t="s">
        <v>2306</v>
      </c>
      <c r="C267" s="20"/>
      <c r="D267">
        <v>1</v>
      </c>
      <c r="E267" s="27">
        <v>29952</v>
      </c>
    </row>
    <row r="268" spans="1:5">
      <c r="A268" s="20" t="s">
        <v>102</v>
      </c>
      <c r="B268" s="20" t="s">
        <v>2310</v>
      </c>
      <c r="C268" s="20"/>
      <c r="D268">
        <v>1</v>
      </c>
      <c r="E268" s="27">
        <v>35004</v>
      </c>
    </row>
    <row r="269" spans="1:5">
      <c r="A269" s="20" t="s">
        <v>383</v>
      </c>
      <c r="B269" s="20" t="s">
        <v>2307</v>
      </c>
      <c r="C269" s="20"/>
      <c r="D269">
        <v>32</v>
      </c>
      <c r="E269" s="27">
        <v>35855</v>
      </c>
    </row>
    <row r="270" spans="1:5">
      <c r="A270" s="20" t="s">
        <v>384</v>
      </c>
      <c r="B270" s="20" t="s">
        <v>2307</v>
      </c>
      <c r="C270" s="20"/>
      <c r="D270">
        <v>5</v>
      </c>
      <c r="E270" s="27">
        <v>38353</v>
      </c>
    </row>
    <row r="271" spans="1:5">
      <c r="A271" s="20" t="s">
        <v>385</v>
      </c>
      <c r="B271" s="20" t="s">
        <v>2307</v>
      </c>
      <c r="C271" s="20"/>
      <c r="D271">
        <v>136</v>
      </c>
      <c r="E271" s="27">
        <v>36586</v>
      </c>
    </row>
    <row r="272" spans="1:5">
      <c r="A272" s="20" t="s">
        <v>116</v>
      </c>
      <c r="B272" s="20" t="s">
        <v>2310</v>
      </c>
      <c r="C272" s="20"/>
      <c r="D272">
        <v>3</v>
      </c>
      <c r="E272" s="27">
        <v>38483</v>
      </c>
    </row>
    <row r="273" spans="1:5">
      <c r="A273" s="20" t="s">
        <v>386</v>
      </c>
      <c r="B273" s="20" t="s">
        <v>2310</v>
      </c>
      <c r="C273" s="20"/>
      <c r="D273">
        <v>4</v>
      </c>
      <c r="E273" s="27">
        <v>37622</v>
      </c>
    </row>
    <row r="274" spans="1:5">
      <c r="A274" s="20" t="s">
        <v>271</v>
      </c>
      <c r="B274" s="20" t="s">
        <v>2312</v>
      </c>
      <c r="C274" s="20"/>
      <c r="D274">
        <v>55</v>
      </c>
      <c r="E274" s="27">
        <v>37622</v>
      </c>
    </row>
    <row r="275" spans="1:5">
      <c r="A275" s="20" t="s">
        <v>387</v>
      </c>
      <c r="B275" s="20" t="s">
        <v>2307</v>
      </c>
      <c r="C275" s="20"/>
      <c r="D275">
        <v>3</v>
      </c>
      <c r="E275" s="27">
        <v>37622</v>
      </c>
    </row>
    <row r="276" spans="1:5">
      <c r="A276" s="20" t="s">
        <v>389</v>
      </c>
      <c r="B276" s="20" t="s">
        <v>2310</v>
      </c>
      <c r="C276" s="20"/>
      <c r="D276">
        <v>1</v>
      </c>
      <c r="E276" s="27">
        <v>35004</v>
      </c>
    </row>
    <row r="277" spans="1:5">
      <c r="A277" s="20" t="s">
        <v>390</v>
      </c>
      <c r="B277" s="20" t="s">
        <v>2310</v>
      </c>
      <c r="C277" s="20"/>
      <c r="D277">
        <v>1</v>
      </c>
      <c r="E277" s="27">
        <v>35004</v>
      </c>
    </row>
    <row r="278" spans="1:5">
      <c r="A278" s="20" t="s">
        <v>391</v>
      </c>
      <c r="B278" s="20" t="s">
        <v>2310</v>
      </c>
      <c r="C278" s="20"/>
      <c r="D278">
        <v>1</v>
      </c>
      <c r="E278" s="27">
        <v>35004</v>
      </c>
    </row>
    <row r="279" spans="1:5">
      <c r="A279" s="20" t="s">
        <v>260</v>
      </c>
      <c r="B279" s="20" t="s">
        <v>2307</v>
      </c>
      <c r="C279" s="20"/>
      <c r="D279">
        <v>3</v>
      </c>
      <c r="E279" s="27">
        <v>36039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O301"/>
  <sheetViews>
    <sheetView workbookViewId="0">
      <selection activeCell="F2" sqref="F2"/>
    </sheetView>
  </sheetViews>
  <sheetFormatPr defaultColWidth="8.7109375" defaultRowHeight="14.45"/>
  <cols>
    <col min="1" max="1" width="6.42578125" bestFit="1" customWidth="1"/>
    <col min="2" max="2" width="7.5703125" bestFit="1" customWidth="1"/>
    <col min="3" max="3" width="9.7109375" bestFit="1" customWidth="1"/>
    <col min="4" max="4" width="10.7109375" bestFit="1" customWidth="1"/>
    <col min="5" max="5" width="11.7109375" bestFit="1" customWidth="1"/>
    <col min="6" max="13" width="4.28515625" bestFit="1" customWidth="1"/>
    <col min="14" max="15" width="5.28515625" bestFit="1" customWidth="1"/>
    <col min="16" max="16" width="12.140625" bestFit="1" customWidth="1"/>
    <col min="17" max="17" width="13.42578125" bestFit="1" customWidth="1"/>
    <col min="18" max="18" width="11.140625" bestFit="1" customWidth="1"/>
    <col min="19" max="20" width="12" bestFit="1" customWidth="1"/>
    <col min="21" max="21" width="11.140625" bestFit="1" customWidth="1"/>
    <col min="22" max="22" width="37.42578125" bestFit="1" customWidth="1"/>
    <col min="23" max="25" width="12" bestFit="1" customWidth="1"/>
    <col min="26" max="33" width="12.140625" bestFit="1" customWidth="1"/>
  </cols>
  <sheetData>
    <row r="1" spans="1:15">
      <c r="A1" t="s">
        <v>155</v>
      </c>
      <c r="B1" t="s">
        <v>2144</v>
      </c>
      <c r="C1" t="s">
        <v>2328</v>
      </c>
      <c r="D1" t="s">
        <v>2329</v>
      </c>
      <c r="E1" t="s">
        <v>2330</v>
      </c>
      <c r="F1" t="s">
        <v>2331</v>
      </c>
      <c r="G1" t="s">
        <v>2332</v>
      </c>
      <c r="H1" t="s">
        <v>2333</v>
      </c>
      <c r="I1" t="s">
        <v>2334</v>
      </c>
      <c r="J1" t="s">
        <v>2335</v>
      </c>
      <c r="K1" t="s">
        <v>2336</v>
      </c>
      <c r="L1" t="s">
        <v>2337</v>
      </c>
      <c r="M1" t="s">
        <v>2338</v>
      </c>
      <c r="N1" t="s">
        <v>2339</v>
      </c>
      <c r="O1" t="s">
        <v>2340</v>
      </c>
    </row>
    <row r="2" spans="1:15">
      <c r="A2" s="82">
        <v>1</v>
      </c>
      <c r="B2">
        <v>8</v>
      </c>
      <c r="C2">
        <v>8</v>
      </c>
      <c r="D2">
        <v>0</v>
      </c>
      <c r="E2">
        <v>0</v>
      </c>
      <c r="I2">
        <v>8</v>
      </c>
    </row>
    <row r="3" spans="1:15">
      <c r="A3" s="82">
        <v>2</v>
      </c>
      <c r="B3">
        <v>134</v>
      </c>
      <c r="C3">
        <v>0</v>
      </c>
      <c r="D3">
        <v>0</v>
      </c>
      <c r="E3">
        <v>0</v>
      </c>
      <c r="F3">
        <v>134</v>
      </c>
    </row>
    <row r="4" spans="1:15">
      <c r="A4" s="82">
        <v>3</v>
      </c>
      <c r="B4">
        <v>43</v>
      </c>
      <c r="C4">
        <v>0</v>
      </c>
      <c r="D4">
        <v>0</v>
      </c>
      <c r="E4">
        <v>0</v>
      </c>
      <c r="F4">
        <v>43</v>
      </c>
    </row>
    <row r="5" spans="1:15">
      <c r="A5" s="82">
        <v>4</v>
      </c>
      <c r="B5">
        <v>47</v>
      </c>
      <c r="C5">
        <v>0</v>
      </c>
      <c r="D5">
        <v>0</v>
      </c>
      <c r="E5">
        <v>0</v>
      </c>
      <c r="F5">
        <v>47</v>
      </c>
    </row>
    <row r="6" spans="1:15">
      <c r="A6" s="82">
        <v>5</v>
      </c>
      <c r="B6">
        <v>49</v>
      </c>
      <c r="C6">
        <v>0</v>
      </c>
      <c r="D6">
        <v>0</v>
      </c>
      <c r="E6">
        <v>0</v>
      </c>
      <c r="F6">
        <v>49</v>
      </c>
    </row>
    <row r="7" spans="1:15">
      <c r="A7" s="82">
        <v>6</v>
      </c>
      <c r="B7">
        <v>45</v>
      </c>
      <c r="C7">
        <v>0</v>
      </c>
      <c r="D7">
        <v>43</v>
      </c>
      <c r="E7">
        <v>0</v>
      </c>
      <c r="F7">
        <v>2</v>
      </c>
      <c r="K7">
        <v>43</v>
      </c>
    </row>
    <row r="8" spans="1:15">
      <c r="A8" s="82">
        <v>7</v>
      </c>
      <c r="B8">
        <v>7</v>
      </c>
      <c r="C8">
        <v>0</v>
      </c>
      <c r="D8">
        <v>0</v>
      </c>
      <c r="E8">
        <v>0</v>
      </c>
      <c r="F8">
        <v>7</v>
      </c>
    </row>
    <row r="9" spans="1:15">
      <c r="A9" s="82">
        <v>8</v>
      </c>
      <c r="B9">
        <v>33</v>
      </c>
      <c r="C9">
        <v>33</v>
      </c>
      <c r="D9">
        <v>0</v>
      </c>
      <c r="E9">
        <v>0</v>
      </c>
      <c r="I9">
        <v>33</v>
      </c>
    </row>
    <row r="10" spans="1:15">
      <c r="A10" s="82">
        <v>9</v>
      </c>
      <c r="B10">
        <v>29</v>
      </c>
      <c r="C10">
        <v>27</v>
      </c>
      <c r="D10">
        <v>0</v>
      </c>
      <c r="E10">
        <v>0</v>
      </c>
      <c r="F10">
        <v>2</v>
      </c>
      <c r="I10">
        <v>27</v>
      </c>
    </row>
    <row r="11" spans="1:15">
      <c r="A11" s="82">
        <v>10</v>
      </c>
      <c r="B11">
        <v>35</v>
      </c>
      <c r="C11">
        <v>0</v>
      </c>
      <c r="D11">
        <v>0</v>
      </c>
      <c r="E11">
        <v>0</v>
      </c>
      <c r="F11">
        <v>35</v>
      </c>
    </row>
    <row r="12" spans="1:15">
      <c r="A12" s="82">
        <v>14</v>
      </c>
      <c r="B12">
        <v>44</v>
      </c>
      <c r="C12">
        <v>0</v>
      </c>
      <c r="D12">
        <v>0</v>
      </c>
      <c r="E12">
        <v>0</v>
      </c>
      <c r="F12">
        <v>44</v>
      </c>
    </row>
    <row r="13" spans="1:15">
      <c r="A13" s="82">
        <v>15</v>
      </c>
      <c r="B13">
        <v>8</v>
      </c>
      <c r="C13">
        <v>0</v>
      </c>
      <c r="D13">
        <v>0</v>
      </c>
      <c r="E13">
        <v>0</v>
      </c>
      <c r="F13">
        <v>8</v>
      </c>
    </row>
    <row r="14" spans="1:15">
      <c r="A14" s="82">
        <v>16</v>
      </c>
      <c r="B14">
        <v>46</v>
      </c>
      <c r="C14">
        <v>0</v>
      </c>
      <c r="D14">
        <v>0</v>
      </c>
      <c r="E14">
        <v>0</v>
      </c>
      <c r="F14">
        <v>46</v>
      </c>
    </row>
    <row r="15" spans="1:15">
      <c r="A15" s="82">
        <v>17</v>
      </c>
      <c r="B15">
        <v>17</v>
      </c>
      <c r="C15">
        <v>13</v>
      </c>
      <c r="D15">
        <v>0</v>
      </c>
      <c r="E15">
        <v>0</v>
      </c>
      <c r="F15">
        <v>4</v>
      </c>
      <c r="I15">
        <v>13</v>
      </c>
    </row>
    <row r="16" spans="1:15">
      <c r="A16" s="82">
        <v>18</v>
      </c>
      <c r="B16">
        <v>15</v>
      </c>
      <c r="C16">
        <v>0</v>
      </c>
      <c r="D16">
        <v>0</v>
      </c>
      <c r="E16">
        <v>0</v>
      </c>
      <c r="F16">
        <v>15</v>
      </c>
    </row>
    <row r="17" spans="1:15">
      <c r="A17" s="82">
        <v>19</v>
      </c>
      <c r="B17">
        <v>7</v>
      </c>
      <c r="C17">
        <v>0</v>
      </c>
      <c r="D17">
        <v>0</v>
      </c>
      <c r="E17">
        <v>0</v>
      </c>
      <c r="F17">
        <v>7</v>
      </c>
    </row>
    <row r="18" spans="1:15">
      <c r="A18" s="82">
        <v>20</v>
      </c>
      <c r="B18">
        <v>20</v>
      </c>
      <c r="C18">
        <v>18</v>
      </c>
      <c r="D18">
        <v>0</v>
      </c>
      <c r="E18">
        <v>0</v>
      </c>
      <c r="F18">
        <v>2</v>
      </c>
      <c r="I18">
        <v>18</v>
      </c>
    </row>
    <row r="19" spans="1:15">
      <c r="A19" s="82">
        <v>21</v>
      </c>
      <c r="B19">
        <v>69</v>
      </c>
      <c r="C19">
        <v>5</v>
      </c>
      <c r="D19">
        <v>0</v>
      </c>
      <c r="E19">
        <v>0</v>
      </c>
      <c r="F19">
        <v>64</v>
      </c>
      <c r="I19">
        <v>5</v>
      </c>
    </row>
    <row r="20" spans="1:15">
      <c r="A20" s="82">
        <v>22</v>
      </c>
      <c r="B20">
        <v>24</v>
      </c>
      <c r="C20">
        <v>0</v>
      </c>
      <c r="D20">
        <v>0</v>
      </c>
      <c r="E20">
        <v>0</v>
      </c>
      <c r="F20">
        <v>24</v>
      </c>
    </row>
    <row r="21" spans="1:15">
      <c r="A21" s="82">
        <v>23</v>
      </c>
      <c r="B21">
        <v>17</v>
      </c>
      <c r="C21">
        <v>0</v>
      </c>
      <c r="D21">
        <v>0</v>
      </c>
      <c r="E21">
        <v>0</v>
      </c>
      <c r="F21">
        <v>17</v>
      </c>
    </row>
    <row r="22" spans="1:15">
      <c r="A22" s="82">
        <v>24</v>
      </c>
      <c r="B22">
        <v>25</v>
      </c>
      <c r="C22">
        <v>0</v>
      </c>
      <c r="D22">
        <v>0</v>
      </c>
      <c r="E22">
        <v>25</v>
      </c>
      <c r="O22">
        <v>25</v>
      </c>
    </row>
    <row r="23" spans="1:15">
      <c r="A23" s="82">
        <v>25</v>
      </c>
      <c r="B23">
        <v>24</v>
      </c>
      <c r="C23">
        <v>0</v>
      </c>
      <c r="D23">
        <v>0</v>
      </c>
      <c r="E23">
        <v>0</v>
      </c>
      <c r="F23">
        <v>24</v>
      </c>
    </row>
    <row r="24" spans="1:15">
      <c r="A24" s="82">
        <v>26</v>
      </c>
      <c r="B24">
        <v>22</v>
      </c>
      <c r="C24">
        <v>1</v>
      </c>
      <c r="D24">
        <v>0</v>
      </c>
      <c r="E24">
        <v>0</v>
      </c>
      <c r="F24">
        <v>21</v>
      </c>
      <c r="I24">
        <v>1</v>
      </c>
    </row>
    <row r="25" spans="1:15">
      <c r="A25" s="82">
        <v>27</v>
      </c>
      <c r="B25">
        <v>13</v>
      </c>
      <c r="C25">
        <v>0</v>
      </c>
      <c r="D25">
        <v>1</v>
      </c>
      <c r="E25">
        <v>0</v>
      </c>
      <c r="F25">
        <v>12</v>
      </c>
      <c r="L25">
        <v>1</v>
      </c>
    </row>
    <row r="26" spans="1:15">
      <c r="A26" s="82">
        <v>28</v>
      </c>
      <c r="B26">
        <v>8</v>
      </c>
      <c r="C26">
        <v>8</v>
      </c>
      <c r="D26">
        <v>0</v>
      </c>
      <c r="E26">
        <v>0</v>
      </c>
      <c r="I26">
        <v>8</v>
      </c>
    </row>
    <row r="27" spans="1:15">
      <c r="A27" s="82">
        <v>29</v>
      </c>
      <c r="B27">
        <v>10</v>
      </c>
      <c r="C27">
        <v>0</v>
      </c>
      <c r="D27">
        <v>0</v>
      </c>
      <c r="E27">
        <v>0</v>
      </c>
      <c r="F27">
        <v>10</v>
      </c>
    </row>
    <row r="28" spans="1:15">
      <c r="A28" s="82">
        <v>30</v>
      </c>
      <c r="B28">
        <v>10</v>
      </c>
      <c r="C28">
        <v>9</v>
      </c>
      <c r="D28">
        <v>0</v>
      </c>
      <c r="E28">
        <v>0</v>
      </c>
      <c r="F28">
        <v>1</v>
      </c>
      <c r="I28">
        <v>9</v>
      </c>
    </row>
    <row r="29" spans="1:15">
      <c r="A29" s="82">
        <v>31</v>
      </c>
      <c r="B29">
        <v>6</v>
      </c>
      <c r="C29">
        <v>0</v>
      </c>
      <c r="D29">
        <v>0</v>
      </c>
      <c r="E29">
        <v>0</v>
      </c>
      <c r="F29">
        <v>6</v>
      </c>
    </row>
    <row r="30" spans="1:15">
      <c r="A30" s="82">
        <v>32</v>
      </c>
      <c r="B30">
        <v>9</v>
      </c>
      <c r="C30">
        <v>0</v>
      </c>
      <c r="D30">
        <v>0</v>
      </c>
      <c r="E30">
        <v>0</v>
      </c>
      <c r="F30">
        <v>9</v>
      </c>
    </row>
    <row r="31" spans="1:15">
      <c r="A31" s="82">
        <v>33</v>
      </c>
      <c r="B31">
        <v>56</v>
      </c>
      <c r="C31">
        <v>0</v>
      </c>
      <c r="D31">
        <v>0</v>
      </c>
      <c r="E31">
        <v>0</v>
      </c>
      <c r="F31">
        <v>56</v>
      </c>
    </row>
    <row r="32" spans="1:15">
      <c r="A32" s="82">
        <v>34</v>
      </c>
      <c r="B32">
        <v>15</v>
      </c>
      <c r="C32">
        <v>0</v>
      </c>
      <c r="D32">
        <v>0</v>
      </c>
      <c r="E32">
        <v>0</v>
      </c>
      <c r="F32">
        <v>15</v>
      </c>
    </row>
    <row r="33" spans="1:9">
      <c r="A33" s="82">
        <v>35</v>
      </c>
      <c r="B33">
        <v>15</v>
      </c>
      <c r="C33">
        <v>0</v>
      </c>
      <c r="D33">
        <v>0</v>
      </c>
      <c r="E33">
        <v>0</v>
      </c>
      <c r="F33">
        <v>15</v>
      </c>
    </row>
    <row r="34" spans="1:9">
      <c r="A34" s="82">
        <v>36</v>
      </c>
      <c r="B34">
        <v>35</v>
      </c>
      <c r="C34">
        <v>0</v>
      </c>
      <c r="D34">
        <v>0</v>
      </c>
      <c r="E34">
        <v>0</v>
      </c>
      <c r="F34">
        <v>35</v>
      </c>
    </row>
    <row r="35" spans="1:9">
      <c r="A35" s="82">
        <v>37</v>
      </c>
      <c r="B35">
        <v>10</v>
      </c>
      <c r="C35">
        <v>0</v>
      </c>
      <c r="D35">
        <v>0</v>
      </c>
      <c r="E35">
        <v>0</v>
      </c>
      <c r="F35">
        <v>10</v>
      </c>
    </row>
    <row r="36" spans="1:9">
      <c r="A36" s="82">
        <v>38</v>
      </c>
      <c r="B36">
        <v>14</v>
      </c>
      <c r="C36">
        <v>14</v>
      </c>
      <c r="D36">
        <v>0</v>
      </c>
      <c r="E36">
        <v>0</v>
      </c>
      <c r="I36">
        <v>14</v>
      </c>
    </row>
    <row r="37" spans="1:9">
      <c r="A37" s="82">
        <v>39</v>
      </c>
      <c r="B37">
        <v>38</v>
      </c>
      <c r="C37">
        <v>0</v>
      </c>
      <c r="D37">
        <v>0</v>
      </c>
      <c r="E37">
        <v>0</v>
      </c>
      <c r="F37">
        <v>38</v>
      </c>
    </row>
    <row r="38" spans="1:9">
      <c r="A38" s="82">
        <v>40</v>
      </c>
      <c r="B38">
        <v>6</v>
      </c>
      <c r="C38">
        <v>0</v>
      </c>
      <c r="D38">
        <v>0</v>
      </c>
      <c r="E38">
        <v>0</v>
      </c>
      <c r="F38">
        <v>6</v>
      </c>
    </row>
    <row r="39" spans="1:9">
      <c r="A39" s="82">
        <v>41</v>
      </c>
      <c r="B39">
        <v>14</v>
      </c>
      <c r="C39">
        <v>0</v>
      </c>
      <c r="D39">
        <v>0</v>
      </c>
      <c r="E39">
        <v>0</v>
      </c>
      <c r="F39">
        <v>14</v>
      </c>
    </row>
    <row r="40" spans="1:9">
      <c r="A40" s="82">
        <v>42</v>
      </c>
      <c r="B40">
        <v>13</v>
      </c>
      <c r="C40">
        <v>0</v>
      </c>
      <c r="D40">
        <v>0</v>
      </c>
      <c r="E40">
        <v>0</v>
      </c>
      <c r="F40">
        <v>13</v>
      </c>
    </row>
    <row r="41" spans="1:9">
      <c r="A41" s="82">
        <v>43</v>
      </c>
      <c r="B41">
        <v>32</v>
      </c>
      <c r="C41">
        <v>0</v>
      </c>
      <c r="D41">
        <v>0</v>
      </c>
      <c r="E41">
        <v>0</v>
      </c>
      <c r="F41">
        <v>32</v>
      </c>
    </row>
    <row r="42" spans="1:9">
      <c r="A42" s="82">
        <v>44</v>
      </c>
      <c r="B42">
        <v>40</v>
      </c>
      <c r="C42">
        <v>0</v>
      </c>
      <c r="D42">
        <v>0</v>
      </c>
      <c r="E42">
        <v>0</v>
      </c>
      <c r="F42">
        <v>40</v>
      </c>
    </row>
    <row r="43" spans="1:9">
      <c r="A43" s="82">
        <v>45</v>
      </c>
      <c r="B43">
        <v>7</v>
      </c>
      <c r="C43">
        <v>0</v>
      </c>
      <c r="D43">
        <v>0</v>
      </c>
      <c r="E43">
        <v>0</v>
      </c>
      <c r="F43">
        <v>7</v>
      </c>
    </row>
    <row r="44" spans="1:9">
      <c r="A44" s="82">
        <v>46</v>
      </c>
      <c r="B44">
        <v>29</v>
      </c>
      <c r="C44">
        <v>0</v>
      </c>
      <c r="D44">
        <v>0</v>
      </c>
      <c r="E44">
        <v>0</v>
      </c>
      <c r="F44">
        <v>29</v>
      </c>
    </row>
    <row r="45" spans="1:9">
      <c r="A45" s="82">
        <v>47</v>
      </c>
      <c r="B45">
        <v>21</v>
      </c>
      <c r="C45">
        <v>0</v>
      </c>
      <c r="D45">
        <v>0</v>
      </c>
      <c r="E45">
        <v>0</v>
      </c>
      <c r="F45">
        <v>21</v>
      </c>
    </row>
    <row r="46" spans="1:9">
      <c r="A46" s="82">
        <v>48</v>
      </c>
      <c r="B46">
        <v>39</v>
      </c>
      <c r="C46">
        <v>0</v>
      </c>
      <c r="D46">
        <v>0</v>
      </c>
      <c r="E46">
        <v>0</v>
      </c>
      <c r="F46">
        <v>39</v>
      </c>
    </row>
    <row r="47" spans="1:9">
      <c r="A47" s="82">
        <v>49</v>
      </c>
      <c r="B47">
        <v>11</v>
      </c>
      <c r="C47">
        <v>0</v>
      </c>
      <c r="D47">
        <v>0</v>
      </c>
      <c r="E47">
        <v>0</v>
      </c>
      <c r="F47">
        <v>11</v>
      </c>
    </row>
    <row r="48" spans="1:9">
      <c r="A48" s="82">
        <v>50</v>
      </c>
      <c r="B48">
        <v>4</v>
      </c>
      <c r="C48">
        <v>4</v>
      </c>
      <c r="D48">
        <v>0</v>
      </c>
      <c r="E48">
        <v>0</v>
      </c>
      <c r="I48">
        <v>4</v>
      </c>
    </row>
    <row r="49" spans="1:12">
      <c r="A49" s="82">
        <v>51</v>
      </c>
      <c r="B49">
        <v>13</v>
      </c>
      <c r="C49">
        <v>0</v>
      </c>
      <c r="D49">
        <v>0</v>
      </c>
      <c r="E49">
        <v>0</v>
      </c>
      <c r="F49">
        <v>13</v>
      </c>
    </row>
    <row r="50" spans="1:12">
      <c r="A50" s="82">
        <v>52</v>
      </c>
      <c r="B50">
        <v>15</v>
      </c>
      <c r="C50">
        <v>0</v>
      </c>
      <c r="D50">
        <v>0</v>
      </c>
      <c r="E50">
        <v>0</v>
      </c>
      <c r="F50">
        <v>15</v>
      </c>
    </row>
    <row r="51" spans="1:12">
      <c r="A51" s="82">
        <v>53</v>
      </c>
      <c r="B51">
        <v>121</v>
      </c>
      <c r="C51">
        <v>0</v>
      </c>
      <c r="D51">
        <v>0</v>
      </c>
      <c r="E51">
        <v>0</v>
      </c>
      <c r="F51">
        <v>121</v>
      </c>
    </row>
    <row r="52" spans="1:12">
      <c r="A52" s="82">
        <v>54</v>
      </c>
      <c r="B52">
        <v>5</v>
      </c>
      <c r="C52">
        <v>0</v>
      </c>
      <c r="D52">
        <v>0</v>
      </c>
      <c r="E52">
        <v>0</v>
      </c>
      <c r="F52">
        <v>5</v>
      </c>
    </row>
    <row r="53" spans="1:12">
      <c r="A53" s="82">
        <v>55</v>
      </c>
      <c r="B53">
        <v>16</v>
      </c>
      <c r="C53">
        <v>16</v>
      </c>
      <c r="D53">
        <v>0</v>
      </c>
      <c r="E53">
        <v>0</v>
      </c>
      <c r="I53">
        <v>16</v>
      </c>
    </row>
    <row r="54" spans="1:12">
      <c r="A54" s="82">
        <v>56</v>
      </c>
      <c r="B54">
        <v>89</v>
      </c>
      <c r="C54">
        <v>0</v>
      </c>
      <c r="D54">
        <v>0</v>
      </c>
      <c r="E54">
        <v>0</v>
      </c>
      <c r="F54">
        <v>89</v>
      </c>
    </row>
    <row r="55" spans="1:12">
      <c r="A55" s="82">
        <v>57</v>
      </c>
      <c r="B55">
        <v>62</v>
      </c>
      <c r="C55">
        <v>0</v>
      </c>
      <c r="D55">
        <v>59</v>
      </c>
      <c r="E55">
        <v>0</v>
      </c>
      <c r="F55">
        <v>3</v>
      </c>
      <c r="L55">
        <v>59</v>
      </c>
    </row>
    <row r="56" spans="1:12">
      <c r="A56" s="82">
        <v>58</v>
      </c>
      <c r="B56">
        <v>13</v>
      </c>
      <c r="C56">
        <v>13</v>
      </c>
      <c r="D56">
        <v>0</v>
      </c>
      <c r="E56">
        <v>0</v>
      </c>
      <c r="I56">
        <v>13</v>
      </c>
    </row>
    <row r="57" spans="1:12">
      <c r="A57" s="82">
        <v>59</v>
      </c>
      <c r="B57">
        <v>15</v>
      </c>
      <c r="C57">
        <v>15</v>
      </c>
      <c r="D57">
        <v>0</v>
      </c>
      <c r="E57">
        <v>0</v>
      </c>
      <c r="I57">
        <v>15</v>
      </c>
    </row>
    <row r="58" spans="1:12">
      <c r="A58" s="82">
        <v>60</v>
      </c>
      <c r="B58">
        <v>17</v>
      </c>
      <c r="C58">
        <v>0</v>
      </c>
      <c r="D58">
        <v>17</v>
      </c>
      <c r="E58">
        <v>0</v>
      </c>
      <c r="K58">
        <v>17</v>
      </c>
    </row>
    <row r="59" spans="1:12">
      <c r="A59" s="82">
        <v>61</v>
      </c>
      <c r="B59">
        <v>31</v>
      </c>
      <c r="C59">
        <v>1</v>
      </c>
      <c r="D59">
        <v>0</v>
      </c>
      <c r="E59">
        <v>0</v>
      </c>
      <c r="F59">
        <v>30</v>
      </c>
      <c r="I59">
        <v>1</v>
      </c>
    </row>
    <row r="60" spans="1:12">
      <c r="A60" s="82">
        <v>62</v>
      </c>
      <c r="B60">
        <v>14</v>
      </c>
      <c r="C60">
        <v>14</v>
      </c>
      <c r="D60">
        <v>0</v>
      </c>
      <c r="E60">
        <v>0</v>
      </c>
      <c r="J60">
        <v>14</v>
      </c>
    </row>
    <row r="61" spans="1:12">
      <c r="A61" s="82">
        <v>63</v>
      </c>
      <c r="B61">
        <v>60</v>
      </c>
      <c r="C61">
        <v>0</v>
      </c>
      <c r="D61">
        <v>0</v>
      </c>
      <c r="E61">
        <v>0</v>
      </c>
      <c r="F61">
        <v>60</v>
      </c>
    </row>
    <row r="62" spans="1:12">
      <c r="A62" s="82">
        <v>64</v>
      </c>
      <c r="B62">
        <v>34</v>
      </c>
      <c r="C62">
        <v>0</v>
      </c>
      <c r="D62">
        <v>0</v>
      </c>
      <c r="E62">
        <v>0</v>
      </c>
      <c r="F62">
        <v>34</v>
      </c>
    </row>
    <row r="63" spans="1:12">
      <c r="A63" s="82">
        <v>65</v>
      </c>
      <c r="B63">
        <v>26</v>
      </c>
      <c r="C63">
        <v>0</v>
      </c>
      <c r="D63">
        <v>0</v>
      </c>
      <c r="E63">
        <v>0</v>
      </c>
      <c r="F63">
        <v>26</v>
      </c>
    </row>
    <row r="64" spans="1:12">
      <c r="A64" s="82">
        <v>66</v>
      </c>
      <c r="B64">
        <v>27</v>
      </c>
      <c r="C64">
        <v>27</v>
      </c>
      <c r="D64">
        <v>0</v>
      </c>
      <c r="E64">
        <v>0</v>
      </c>
      <c r="I64">
        <v>27</v>
      </c>
    </row>
    <row r="65" spans="1:15">
      <c r="A65" s="82">
        <v>67</v>
      </c>
      <c r="B65">
        <v>28</v>
      </c>
      <c r="C65">
        <v>0</v>
      </c>
      <c r="D65">
        <v>0</v>
      </c>
      <c r="E65">
        <v>28</v>
      </c>
      <c r="O65">
        <v>28</v>
      </c>
    </row>
    <row r="66" spans="1:15">
      <c r="A66" s="82">
        <v>68</v>
      </c>
      <c r="B66">
        <v>15</v>
      </c>
      <c r="C66">
        <v>0</v>
      </c>
      <c r="D66">
        <v>13</v>
      </c>
      <c r="E66">
        <v>0</v>
      </c>
      <c r="F66">
        <v>2</v>
      </c>
      <c r="M66">
        <v>13</v>
      </c>
    </row>
    <row r="67" spans="1:15">
      <c r="A67" s="82">
        <v>69</v>
      </c>
      <c r="B67">
        <v>13</v>
      </c>
      <c r="C67">
        <v>0</v>
      </c>
      <c r="D67">
        <v>0</v>
      </c>
      <c r="E67">
        <v>0</v>
      </c>
      <c r="F67">
        <v>13</v>
      </c>
    </row>
    <row r="68" spans="1:15">
      <c r="A68" s="82">
        <v>70</v>
      </c>
      <c r="B68">
        <v>29</v>
      </c>
      <c r="C68">
        <v>0</v>
      </c>
      <c r="D68">
        <v>0</v>
      </c>
      <c r="E68">
        <v>0</v>
      </c>
      <c r="F68">
        <v>29</v>
      </c>
    </row>
    <row r="69" spans="1:15">
      <c r="A69" s="82">
        <v>71</v>
      </c>
      <c r="B69">
        <v>22</v>
      </c>
      <c r="C69">
        <v>0</v>
      </c>
      <c r="D69">
        <v>0</v>
      </c>
      <c r="E69">
        <v>0</v>
      </c>
      <c r="F69">
        <v>22</v>
      </c>
    </row>
    <row r="70" spans="1:15">
      <c r="A70" s="82">
        <v>72</v>
      </c>
      <c r="B70">
        <v>16</v>
      </c>
      <c r="C70">
        <v>0</v>
      </c>
      <c r="D70">
        <v>0</v>
      </c>
      <c r="E70">
        <v>0</v>
      </c>
      <c r="F70">
        <v>16</v>
      </c>
    </row>
    <row r="71" spans="1:15">
      <c r="A71" s="82">
        <v>73</v>
      </c>
      <c r="B71">
        <v>24</v>
      </c>
      <c r="C71">
        <v>2</v>
      </c>
      <c r="D71">
        <v>0</v>
      </c>
      <c r="E71">
        <v>0</v>
      </c>
      <c r="F71">
        <v>22</v>
      </c>
      <c r="I71">
        <v>2</v>
      </c>
    </row>
    <row r="72" spans="1:15">
      <c r="A72" s="82">
        <v>74</v>
      </c>
      <c r="B72">
        <v>22</v>
      </c>
      <c r="C72">
        <v>0</v>
      </c>
      <c r="D72">
        <v>0</v>
      </c>
      <c r="E72">
        <v>0</v>
      </c>
      <c r="F72">
        <v>22</v>
      </c>
    </row>
    <row r="73" spans="1:15">
      <c r="A73" s="82">
        <v>75</v>
      </c>
      <c r="B73">
        <v>14</v>
      </c>
      <c r="C73">
        <v>0</v>
      </c>
      <c r="D73">
        <v>0</v>
      </c>
      <c r="E73">
        <v>0</v>
      </c>
      <c r="F73">
        <v>14</v>
      </c>
    </row>
    <row r="74" spans="1:15">
      <c r="A74" s="82">
        <v>76</v>
      </c>
      <c r="B74">
        <v>9</v>
      </c>
      <c r="C74">
        <v>0</v>
      </c>
      <c r="D74">
        <v>0</v>
      </c>
      <c r="E74">
        <v>0</v>
      </c>
      <c r="F74">
        <v>9</v>
      </c>
    </row>
    <row r="75" spans="1:15">
      <c r="A75" s="82">
        <v>77</v>
      </c>
      <c r="B75">
        <v>27</v>
      </c>
      <c r="C75">
        <v>0</v>
      </c>
      <c r="D75">
        <v>0</v>
      </c>
      <c r="E75">
        <v>0</v>
      </c>
      <c r="F75">
        <v>27</v>
      </c>
    </row>
    <row r="76" spans="1:15">
      <c r="A76" s="82">
        <v>78</v>
      </c>
      <c r="B76">
        <v>6</v>
      </c>
      <c r="C76">
        <v>0</v>
      </c>
      <c r="D76">
        <v>0</v>
      </c>
      <c r="E76">
        <v>0</v>
      </c>
      <c r="F76">
        <v>6</v>
      </c>
    </row>
    <row r="77" spans="1:15">
      <c r="A77" s="82">
        <v>79</v>
      </c>
      <c r="B77">
        <v>43</v>
      </c>
      <c r="C77">
        <v>0</v>
      </c>
      <c r="D77">
        <v>0</v>
      </c>
      <c r="E77">
        <v>0</v>
      </c>
      <c r="F77">
        <v>43</v>
      </c>
    </row>
    <row r="78" spans="1:15">
      <c r="A78" s="82">
        <v>80</v>
      </c>
      <c r="B78">
        <v>14</v>
      </c>
      <c r="C78">
        <v>0</v>
      </c>
      <c r="D78">
        <v>0</v>
      </c>
      <c r="E78">
        <v>0</v>
      </c>
      <c r="F78">
        <v>14</v>
      </c>
    </row>
    <row r="79" spans="1:15">
      <c r="A79" s="82">
        <v>81</v>
      </c>
      <c r="B79">
        <v>6</v>
      </c>
      <c r="C79">
        <v>5</v>
      </c>
      <c r="D79">
        <v>0</v>
      </c>
      <c r="E79">
        <v>0</v>
      </c>
      <c r="F79">
        <v>1</v>
      </c>
      <c r="I79">
        <v>5</v>
      </c>
    </row>
    <row r="80" spans="1:15">
      <c r="A80" s="82">
        <v>82</v>
      </c>
      <c r="B80">
        <v>11</v>
      </c>
      <c r="C80">
        <v>0</v>
      </c>
      <c r="D80">
        <v>0</v>
      </c>
      <c r="E80">
        <v>0</v>
      </c>
      <c r="F80">
        <v>11</v>
      </c>
    </row>
    <row r="81" spans="1:9">
      <c r="A81" s="82">
        <v>83</v>
      </c>
      <c r="B81">
        <v>28</v>
      </c>
      <c r="C81">
        <v>0</v>
      </c>
      <c r="D81">
        <v>0</v>
      </c>
      <c r="E81">
        <v>0</v>
      </c>
      <c r="F81">
        <v>28</v>
      </c>
    </row>
    <row r="82" spans="1:9">
      <c r="A82" s="82">
        <v>84</v>
      </c>
      <c r="B82">
        <v>9</v>
      </c>
      <c r="C82">
        <v>0</v>
      </c>
      <c r="D82">
        <v>0</v>
      </c>
      <c r="E82">
        <v>0</v>
      </c>
      <c r="F82">
        <v>9</v>
      </c>
    </row>
    <row r="83" spans="1:9">
      <c r="A83" s="82">
        <v>85</v>
      </c>
      <c r="B83">
        <v>3</v>
      </c>
      <c r="C83">
        <v>0</v>
      </c>
      <c r="D83">
        <v>0</v>
      </c>
      <c r="E83">
        <v>0</v>
      </c>
      <c r="F83">
        <v>3</v>
      </c>
    </row>
    <row r="84" spans="1:9">
      <c r="A84" s="82">
        <v>86</v>
      </c>
      <c r="B84">
        <v>8</v>
      </c>
      <c r="C84">
        <v>0</v>
      </c>
      <c r="D84">
        <v>0</v>
      </c>
      <c r="E84">
        <v>0</v>
      </c>
      <c r="F84">
        <v>8</v>
      </c>
    </row>
    <row r="85" spans="1:9">
      <c r="A85" s="82">
        <v>87</v>
      </c>
      <c r="B85">
        <v>16</v>
      </c>
      <c r="C85">
        <v>0</v>
      </c>
      <c r="D85">
        <v>0</v>
      </c>
      <c r="E85">
        <v>0</v>
      </c>
      <c r="F85">
        <v>16</v>
      </c>
    </row>
    <row r="86" spans="1:9">
      <c r="A86" s="82">
        <v>88</v>
      </c>
      <c r="B86">
        <v>18</v>
      </c>
      <c r="C86">
        <v>0</v>
      </c>
      <c r="D86">
        <v>0</v>
      </c>
      <c r="E86">
        <v>0</v>
      </c>
      <c r="F86">
        <v>18</v>
      </c>
    </row>
    <row r="87" spans="1:9">
      <c r="A87" s="82">
        <v>89</v>
      </c>
      <c r="B87">
        <v>22</v>
      </c>
      <c r="C87">
        <v>0</v>
      </c>
      <c r="D87">
        <v>0</v>
      </c>
      <c r="E87">
        <v>0</v>
      </c>
      <c r="F87">
        <v>22</v>
      </c>
    </row>
    <row r="88" spans="1:9">
      <c r="A88" s="82">
        <v>91</v>
      </c>
      <c r="B88">
        <v>5</v>
      </c>
      <c r="C88">
        <v>0</v>
      </c>
      <c r="D88">
        <v>0</v>
      </c>
      <c r="E88">
        <v>0</v>
      </c>
      <c r="F88">
        <v>5</v>
      </c>
    </row>
    <row r="89" spans="1:9">
      <c r="A89" s="82">
        <v>92</v>
      </c>
      <c r="B89">
        <v>23</v>
      </c>
      <c r="C89">
        <v>0</v>
      </c>
      <c r="D89">
        <v>0</v>
      </c>
      <c r="E89">
        <v>0</v>
      </c>
      <c r="F89">
        <v>23</v>
      </c>
    </row>
    <row r="90" spans="1:9">
      <c r="A90" s="82">
        <v>93</v>
      </c>
      <c r="B90">
        <v>6</v>
      </c>
      <c r="C90">
        <v>0</v>
      </c>
      <c r="D90">
        <v>0</v>
      </c>
      <c r="E90">
        <v>0</v>
      </c>
      <c r="F90">
        <v>6</v>
      </c>
    </row>
    <row r="91" spans="1:9">
      <c r="A91" s="82">
        <v>94</v>
      </c>
      <c r="B91">
        <v>5</v>
      </c>
      <c r="C91">
        <v>0</v>
      </c>
      <c r="D91">
        <v>0</v>
      </c>
      <c r="E91">
        <v>0</v>
      </c>
      <c r="F91">
        <v>5</v>
      </c>
    </row>
    <row r="92" spans="1:9">
      <c r="A92" s="82">
        <v>95</v>
      </c>
      <c r="B92">
        <v>19</v>
      </c>
      <c r="C92">
        <v>0</v>
      </c>
      <c r="D92">
        <v>0</v>
      </c>
      <c r="E92">
        <v>0</v>
      </c>
      <c r="F92">
        <v>19</v>
      </c>
    </row>
    <row r="93" spans="1:9">
      <c r="A93" s="82">
        <v>96</v>
      </c>
      <c r="B93">
        <v>8</v>
      </c>
      <c r="C93">
        <v>0</v>
      </c>
      <c r="D93">
        <v>0</v>
      </c>
      <c r="E93">
        <v>0</v>
      </c>
      <c r="F93">
        <v>8</v>
      </c>
    </row>
    <row r="94" spans="1:9">
      <c r="A94" s="82">
        <v>97</v>
      </c>
      <c r="B94">
        <v>11</v>
      </c>
      <c r="C94">
        <v>1</v>
      </c>
      <c r="D94">
        <v>0</v>
      </c>
      <c r="E94">
        <v>0</v>
      </c>
      <c r="F94">
        <v>10</v>
      </c>
      <c r="I94">
        <v>1</v>
      </c>
    </row>
    <row r="95" spans="1:9">
      <c r="A95" s="82">
        <v>99</v>
      </c>
      <c r="B95">
        <v>5</v>
      </c>
      <c r="C95">
        <v>0</v>
      </c>
      <c r="D95">
        <v>0</v>
      </c>
      <c r="E95">
        <v>0</v>
      </c>
      <c r="F95">
        <v>5</v>
      </c>
    </row>
    <row r="96" spans="1:9">
      <c r="A96" s="82">
        <v>100</v>
      </c>
      <c r="B96">
        <v>4</v>
      </c>
      <c r="C96">
        <v>0</v>
      </c>
      <c r="D96">
        <v>0</v>
      </c>
      <c r="E96">
        <v>0</v>
      </c>
      <c r="F96">
        <v>4</v>
      </c>
    </row>
    <row r="97" spans="1:9">
      <c r="A97" s="82">
        <v>101</v>
      </c>
      <c r="B97">
        <v>4</v>
      </c>
      <c r="C97">
        <v>0</v>
      </c>
      <c r="D97">
        <v>0</v>
      </c>
      <c r="E97">
        <v>0</v>
      </c>
      <c r="F97">
        <v>4</v>
      </c>
    </row>
    <row r="98" spans="1:9">
      <c r="A98" s="82">
        <v>102</v>
      </c>
      <c r="B98">
        <v>10</v>
      </c>
      <c r="C98">
        <v>10</v>
      </c>
      <c r="D98">
        <v>0</v>
      </c>
      <c r="E98">
        <v>0</v>
      </c>
      <c r="I98">
        <v>10</v>
      </c>
    </row>
    <row r="99" spans="1:9">
      <c r="A99" s="82">
        <v>103</v>
      </c>
      <c r="B99">
        <v>5</v>
      </c>
      <c r="C99">
        <v>0</v>
      </c>
      <c r="D99">
        <v>0</v>
      </c>
      <c r="E99">
        <v>0</v>
      </c>
      <c r="F99">
        <v>5</v>
      </c>
    </row>
    <row r="100" spans="1:9">
      <c r="A100" s="82">
        <v>109</v>
      </c>
      <c r="B100">
        <v>1</v>
      </c>
      <c r="C100">
        <v>0</v>
      </c>
      <c r="D100">
        <v>0</v>
      </c>
      <c r="E100">
        <v>0</v>
      </c>
      <c r="F100">
        <v>1</v>
      </c>
    </row>
    <row r="101" spans="1:9">
      <c r="A101" s="82">
        <v>111</v>
      </c>
      <c r="B101">
        <v>5</v>
      </c>
      <c r="C101">
        <v>0</v>
      </c>
      <c r="D101">
        <v>0</v>
      </c>
      <c r="E101">
        <v>0</v>
      </c>
      <c r="F101">
        <v>5</v>
      </c>
    </row>
    <row r="102" spans="1:9">
      <c r="A102" s="82">
        <v>112</v>
      </c>
      <c r="B102">
        <v>5</v>
      </c>
      <c r="C102">
        <v>0</v>
      </c>
      <c r="D102">
        <v>0</v>
      </c>
      <c r="E102">
        <v>0</v>
      </c>
      <c r="F102">
        <v>5</v>
      </c>
    </row>
    <row r="103" spans="1:9">
      <c r="A103" s="82">
        <v>113</v>
      </c>
      <c r="B103">
        <v>12</v>
      </c>
      <c r="C103">
        <v>0</v>
      </c>
      <c r="D103">
        <v>0</v>
      </c>
      <c r="E103">
        <v>0</v>
      </c>
      <c r="F103">
        <v>12</v>
      </c>
    </row>
    <row r="104" spans="1:9">
      <c r="A104" s="82">
        <v>114</v>
      </c>
      <c r="B104">
        <v>12</v>
      </c>
      <c r="C104">
        <v>0</v>
      </c>
      <c r="D104">
        <v>0</v>
      </c>
      <c r="E104">
        <v>0</v>
      </c>
      <c r="F104">
        <v>12</v>
      </c>
    </row>
    <row r="105" spans="1:9">
      <c r="A105" s="82">
        <v>116</v>
      </c>
      <c r="B105">
        <v>8</v>
      </c>
      <c r="C105">
        <v>0</v>
      </c>
      <c r="D105">
        <v>0</v>
      </c>
      <c r="E105">
        <v>0</v>
      </c>
      <c r="F105">
        <v>8</v>
      </c>
    </row>
    <row r="106" spans="1:9">
      <c r="A106" s="82">
        <v>117</v>
      </c>
      <c r="B106">
        <v>6</v>
      </c>
      <c r="C106">
        <v>0</v>
      </c>
      <c r="D106">
        <v>0</v>
      </c>
      <c r="E106">
        <v>0</v>
      </c>
      <c r="F106">
        <v>6</v>
      </c>
    </row>
    <row r="107" spans="1:9">
      <c r="A107" s="82">
        <v>118</v>
      </c>
      <c r="B107">
        <v>7</v>
      </c>
      <c r="C107">
        <v>0</v>
      </c>
      <c r="D107">
        <v>0</v>
      </c>
      <c r="E107">
        <v>0</v>
      </c>
      <c r="F107">
        <v>7</v>
      </c>
    </row>
    <row r="108" spans="1:9">
      <c r="A108" s="82">
        <v>120</v>
      </c>
      <c r="B108">
        <v>7</v>
      </c>
      <c r="C108">
        <v>0</v>
      </c>
      <c r="D108">
        <v>0</v>
      </c>
      <c r="E108">
        <v>0</v>
      </c>
      <c r="F108">
        <v>7</v>
      </c>
    </row>
    <row r="109" spans="1:9">
      <c r="A109" s="82">
        <v>121</v>
      </c>
      <c r="B109">
        <v>8</v>
      </c>
      <c r="C109">
        <v>8</v>
      </c>
      <c r="D109">
        <v>0</v>
      </c>
      <c r="E109">
        <v>0</v>
      </c>
      <c r="I109">
        <v>8</v>
      </c>
    </row>
    <row r="110" spans="1:9">
      <c r="A110" s="82">
        <v>122</v>
      </c>
      <c r="B110">
        <v>7</v>
      </c>
      <c r="C110">
        <v>0</v>
      </c>
      <c r="D110">
        <v>0</v>
      </c>
      <c r="E110">
        <v>0</v>
      </c>
      <c r="F110">
        <v>7</v>
      </c>
    </row>
    <row r="111" spans="1:9">
      <c r="A111" s="82">
        <v>123</v>
      </c>
      <c r="B111">
        <v>6</v>
      </c>
      <c r="C111">
        <v>0</v>
      </c>
      <c r="D111">
        <v>0</v>
      </c>
      <c r="E111">
        <v>0</v>
      </c>
      <c r="F111">
        <v>6</v>
      </c>
    </row>
    <row r="112" spans="1:9">
      <c r="A112" s="82">
        <v>124</v>
      </c>
      <c r="B112">
        <v>2</v>
      </c>
      <c r="C112">
        <v>0</v>
      </c>
      <c r="D112">
        <v>0</v>
      </c>
      <c r="E112">
        <v>0</v>
      </c>
      <c r="F112">
        <v>2</v>
      </c>
    </row>
    <row r="113" spans="1:13">
      <c r="A113" s="82">
        <v>125</v>
      </c>
      <c r="B113">
        <v>2</v>
      </c>
      <c r="C113">
        <v>0</v>
      </c>
      <c r="D113">
        <v>0</v>
      </c>
      <c r="E113">
        <v>0</v>
      </c>
      <c r="F113">
        <v>2</v>
      </c>
    </row>
    <row r="114" spans="1:13">
      <c r="A114" s="82">
        <v>126</v>
      </c>
      <c r="B114">
        <v>11</v>
      </c>
      <c r="C114">
        <v>0</v>
      </c>
      <c r="D114">
        <v>0</v>
      </c>
      <c r="E114">
        <v>0</v>
      </c>
      <c r="F114">
        <v>11</v>
      </c>
    </row>
    <row r="115" spans="1:13">
      <c r="A115" s="82">
        <v>127</v>
      </c>
      <c r="B115">
        <v>4</v>
      </c>
      <c r="C115">
        <v>2</v>
      </c>
      <c r="D115">
        <v>0</v>
      </c>
      <c r="E115">
        <v>0</v>
      </c>
      <c r="F115">
        <v>2</v>
      </c>
      <c r="I115">
        <v>2</v>
      </c>
    </row>
    <row r="116" spans="1:13">
      <c r="A116" s="82">
        <v>128</v>
      </c>
      <c r="B116">
        <v>5</v>
      </c>
      <c r="C116">
        <v>5</v>
      </c>
      <c r="D116">
        <v>0</v>
      </c>
      <c r="E116">
        <v>0</v>
      </c>
      <c r="G116">
        <v>5</v>
      </c>
    </row>
    <row r="117" spans="1:13">
      <c r="A117" s="82">
        <v>129</v>
      </c>
      <c r="B117">
        <v>4</v>
      </c>
      <c r="C117">
        <v>0</v>
      </c>
      <c r="D117">
        <v>0</v>
      </c>
      <c r="E117">
        <v>0</v>
      </c>
      <c r="F117">
        <v>4</v>
      </c>
    </row>
    <row r="118" spans="1:13">
      <c r="A118" s="82">
        <v>130</v>
      </c>
      <c r="B118">
        <v>2</v>
      </c>
      <c r="C118">
        <v>0</v>
      </c>
      <c r="D118">
        <v>0</v>
      </c>
      <c r="E118">
        <v>0</v>
      </c>
      <c r="F118">
        <v>2</v>
      </c>
    </row>
    <row r="119" spans="1:13">
      <c r="A119" s="82">
        <v>131</v>
      </c>
      <c r="B119">
        <v>12</v>
      </c>
      <c r="C119">
        <v>0</v>
      </c>
      <c r="D119">
        <v>1</v>
      </c>
      <c r="E119">
        <v>0</v>
      </c>
      <c r="F119">
        <v>11</v>
      </c>
      <c r="M119">
        <v>1</v>
      </c>
    </row>
    <row r="120" spans="1:13">
      <c r="A120" s="82">
        <v>132</v>
      </c>
      <c r="B120">
        <v>1</v>
      </c>
      <c r="C120">
        <v>0</v>
      </c>
      <c r="D120">
        <v>0</v>
      </c>
      <c r="E120">
        <v>0</v>
      </c>
      <c r="F120">
        <v>1</v>
      </c>
    </row>
    <row r="121" spans="1:13">
      <c r="A121" s="82">
        <v>133</v>
      </c>
      <c r="B121">
        <v>2</v>
      </c>
      <c r="C121">
        <v>0</v>
      </c>
      <c r="D121">
        <v>0</v>
      </c>
      <c r="E121">
        <v>0</v>
      </c>
      <c r="F121">
        <v>2</v>
      </c>
    </row>
    <row r="122" spans="1:13">
      <c r="A122" s="82">
        <v>134</v>
      </c>
      <c r="B122">
        <v>4</v>
      </c>
      <c r="C122">
        <v>0</v>
      </c>
      <c r="D122">
        <v>0</v>
      </c>
      <c r="E122">
        <v>0</v>
      </c>
      <c r="F122">
        <v>4</v>
      </c>
    </row>
    <row r="123" spans="1:13">
      <c r="A123" s="82">
        <v>135</v>
      </c>
      <c r="B123">
        <v>6</v>
      </c>
      <c r="C123">
        <v>0</v>
      </c>
      <c r="D123">
        <v>0</v>
      </c>
      <c r="E123">
        <v>0</v>
      </c>
      <c r="F123">
        <v>6</v>
      </c>
    </row>
    <row r="124" spans="1:13">
      <c r="A124" s="82">
        <v>136</v>
      </c>
      <c r="B124">
        <v>19</v>
      </c>
      <c r="C124">
        <v>0</v>
      </c>
      <c r="D124">
        <v>0</v>
      </c>
      <c r="E124">
        <v>0</v>
      </c>
      <c r="F124">
        <v>19</v>
      </c>
    </row>
    <row r="125" spans="1:13">
      <c r="A125" s="82">
        <v>138</v>
      </c>
      <c r="B125">
        <v>4</v>
      </c>
      <c r="C125">
        <v>0</v>
      </c>
      <c r="D125">
        <v>0</v>
      </c>
      <c r="E125">
        <v>0</v>
      </c>
      <c r="F125">
        <v>4</v>
      </c>
    </row>
    <row r="126" spans="1:13">
      <c r="A126" s="82">
        <v>139</v>
      </c>
      <c r="B126">
        <v>6</v>
      </c>
      <c r="C126">
        <v>0</v>
      </c>
      <c r="D126">
        <v>0</v>
      </c>
      <c r="E126">
        <v>0</v>
      </c>
      <c r="F126">
        <v>6</v>
      </c>
    </row>
    <row r="127" spans="1:13">
      <c r="A127" s="82">
        <v>140</v>
      </c>
      <c r="B127">
        <v>6</v>
      </c>
      <c r="C127">
        <v>0</v>
      </c>
      <c r="D127">
        <v>0</v>
      </c>
      <c r="E127">
        <v>0</v>
      </c>
      <c r="F127">
        <v>6</v>
      </c>
    </row>
    <row r="128" spans="1:13">
      <c r="A128" s="82">
        <v>141</v>
      </c>
      <c r="B128">
        <v>5</v>
      </c>
      <c r="C128">
        <v>0</v>
      </c>
      <c r="D128">
        <v>0</v>
      </c>
      <c r="E128">
        <v>0</v>
      </c>
      <c r="F128">
        <v>5</v>
      </c>
    </row>
    <row r="129" spans="1:10">
      <c r="A129" s="82">
        <v>142</v>
      </c>
      <c r="B129">
        <v>3</v>
      </c>
      <c r="C129">
        <v>0</v>
      </c>
      <c r="D129">
        <v>0</v>
      </c>
      <c r="E129">
        <v>0</v>
      </c>
      <c r="F129">
        <v>3</v>
      </c>
    </row>
    <row r="130" spans="1:10">
      <c r="A130" s="82">
        <v>145</v>
      </c>
      <c r="B130">
        <v>20</v>
      </c>
      <c r="C130">
        <v>20</v>
      </c>
      <c r="D130">
        <v>0</v>
      </c>
      <c r="E130">
        <v>0</v>
      </c>
      <c r="I130">
        <v>18</v>
      </c>
      <c r="J130">
        <v>2</v>
      </c>
    </row>
    <row r="131" spans="1:10">
      <c r="A131" s="82">
        <v>146</v>
      </c>
      <c r="B131">
        <v>1</v>
      </c>
      <c r="C131">
        <v>0</v>
      </c>
      <c r="D131">
        <v>0</v>
      </c>
      <c r="E131">
        <v>0</v>
      </c>
      <c r="F131">
        <v>1</v>
      </c>
    </row>
    <row r="132" spans="1:10">
      <c r="A132" s="82">
        <v>147</v>
      </c>
      <c r="B132">
        <v>1</v>
      </c>
      <c r="C132">
        <v>0</v>
      </c>
      <c r="D132">
        <v>0</v>
      </c>
      <c r="E132">
        <v>0</v>
      </c>
      <c r="F132">
        <v>1</v>
      </c>
    </row>
    <row r="133" spans="1:10">
      <c r="A133" s="82">
        <v>148</v>
      </c>
      <c r="B133">
        <v>1</v>
      </c>
      <c r="C133">
        <v>0</v>
      </c>
      <c r="D133">
        <v>0</v>
      </c>
      <c r="E133">
        <v>0</v>
      </c>
      <c r="F133">
        <v>1</v>
      </c>
    </row>
    <row r="134" spans="1:10">
      <c r="A134" s="82">
        <v>149</v>
      </c>
      <c r="B134">
        <v>9</v>
      </c>
      <c r="C134">
        <v>1</v>
      </c>
      <c r="D134">
        <v>0</v>
      </c>
      <c r="E134">
        <v>0</v>
      </c>
      <c r="F134">
        <v>8</v>
      </c>
      <c r="I134">
        <v>1</v>
      </c>
    </row>
    <row r="135" spans="1:10">
      <c r="A135" s="82">
        <v>150</v>
      </c>
      <c r="B135">
        <v>2</v>
      </c>
      <c r="C135">
        <v>0</v>
      </c>
      <c r="D135">
        <v>0</v>
      </c>
      <c r="E135">
        <v>0</v>
      </c>
      <c r="F135">
        <v>2</v>
      </c>
    </row>
    <row r="136" spans="1:10">
      <c r="A136" s="82">
        <v>151</v>
      </c>
      <c r="B136">
        <v>1</v>
      </c>
      <c r="C136">
        <v>0</v>
      </c>
      <c r="D136">
        <v>0</v>
      </c>
      <c r="E136">
        <v>0</v>
      </c>
      <c r="F136">
        <v>1</v>
      </c>
    </row>
    <row r="137" spans="1:10">
      <c r="A137" s="82">
        <v>152</v>
      </c>
      <c r="B137">
        <v>1</v>
      </c>
      <c r="C137">
        <v>0</v>
      </c>
      <c r="D137">
        <v>0</v>
      </c>
      <c r="E137">
        <v>0</v>
      </c>
      <c r="F137">
        <v>1</v>
      </c>
    </row>
    <row r="138" spans="1:10">
      <c r="A138" s="82">
        <v>153</v>
      </c>
      <c r="B138">
        <v>2</v>
      </c>
      <c r="C138">
        <v>0</v>
      </c>
      <c r="D138">
        <v>0</v>
      </c>
      <c r="E138">
        <v>0</v>
      </c>
      <c r="F138">
        <v>2</v>
      </c>
    </row>
    <row r="139" spans="1:10">
      <c r="A139" s="82">
        <v>154</v>
      </c>
      <c r="B139">
        <v>1</v>
      </c>
      <c r="C139">
        <v>0</v>
      </c>
      <c r="D139">
        <v>0</v>
      </c>
      <c r="E139">
        <v>0</v>
      </c>
      <c r="F139">
        <v>1</v>
      </c>
    </row>
    <row r="140" spans="1:10">
      <c r="A140" s="82">
        <v>155</v>
      </c>
      <c r="B140">
        <v>2</v>
      </c>
      <c r="C140">
        <v>0</v>
      </c>
      <c r="D140">
        <v>0</v>
      </c>
      <c r="E140">
        <v>0</v>
      </c>
      <c r="F140">
        <v>2</v>
      </c>
    </row>
    <row r="141" spans="1:10">
      <c r="A141" s="82">
        <v>156</v>
      </c>
      <c r="B141">
        <v>2</v>
      </c>
      <c r="C141">
        <v>0</v>
      </c>
      <c r="D141">
        <v>0</v>
      </c>
      <c r="E141">
        <v>0</v>
      </c>
      <c r="F141">
        <v>2</v>
      </c>
    </row>
    <row r="142" spans="1:10">
      <c r="A142" s="82">
        <v>157</v>
      </c>
      <c r="B142">
        <v>2</v>
      </c>
      <c r="C142">
        <v>0</v>
      </c>
      <c r="D142">
        <v>0</v>
      </c>
      <c r="E142">
        <v>0</v>
      </c>
      <c r="F142">
        <v>2</v>
      </c>
    </row>
    <row r="143" spans="1:10">
      <c r="A143" s="82">
        <v>158</v>
      </c>
      <c r="B143">
        <v>1</v>
      </c>
      <c r="C143">
        <v>0</v>
      </c>
      <c r="D143">
        <v>0</v>
      </c>
      <c r="E143">
        <v>0</v>
      </c>
      <c r="F143">
        <v>1</v>
      </c>
    </row>
    <row r="144" spans="1:10">
      <c r="A144" s="82">
        <v>159</v>
      </c>
      <c r="B144">
        <v>2</v>
      </c>
      <c r="C144">
        <v>0</v>
      </c>
      <c r="D144">
        <v>0</v>
      </c>
      <c r="E144">
        <v>0</v>
      </c>
      <c r="F144">
        <v>2</v>
      </c>
    </row>
    <row r="145" spans="1:9">
      <c r="A145" s="82">
        <v>160</v>
      </c>
      <c r="B145">
        <v>1</v>
      </c>
      <c r="C145">
        <v>0</v>
      </c>
      <c r="D145">
        <v>0</v>
      </c>
      <c r="E145">
        <v>0</v>
      </c>
      <c r="F145">
        <v>1</v>
      </c>
    </row>
    <row r="146" spans="1:9">
      <c r="A146" s="82">
        <v>161</v>
      </c>
      <c r="B146">
        <v>2</v>
      </c>
      <c r="C146">
        <v>0</v>
      </c>
      <c r="D146">
        <v>0</v>
      </c>
      <c r="E146">
        <v>0</v>
      </c>
      <c r="F146">
        <v>2</v>
      </c>
    </row>
    <row r="147" spans="1:9">
      <c r="A147" s="82">
        <v>162</v>
      </c>
      <c r="B147">
        <v>3</v>
      </c>
      <c r="C147">
        <v>0</v>
      </c>
      <c r="D147">
        <v>0</v>
      </c>
      <c r="E147">
        <v>0</v>
      </c>
      <c r="F147">
        <v>3</v>
      </c>
    </row>
    <row r="148" spans="1:9">
      <c r="A148" s="82">
        <v>163</v>
      </c>
      <c r="B148">
        <v>6</v>
      </c>
      <c r="C148">
        <v>0</v>
      </c>
      <c r="D148">
        <v>0</v>
      </c>
      <c r="E148">
        <v>0</v>
      </c>
      <c r="F148">
        <v>6</v>
      </c>
    </row>
    <row r="149" spans="1:9">
      <c r="A149" s="82">
        <v>164</v>
      </c>
      <c r="B149">
        <v>1</v>
      </c>
      <c r="C149">
        <v>0</v>
      </c>
      <c r="D149">
        <v>0</v>
      </c>
      <c r="E149">
        <v>0</v>
      </c>
      <c r="F149">
        <v>1</v>
      </c>
    </row>
    <row r="150" spans="1:9">
      <c r="A150" s="82">
        <v>165</v>
      </c>
      <c r="B150">
        <v>6</v>
      </c>
      <c r="C150">
        <v>6</v>
      </c>
      <c r="D150">
        <v>0</v>
      </c>
      <c r="E150">
        <v>0</v>
      </c>
      <c r="I150">
        <v>6</v>
      </c>
    </row>
    <row r="151" spans="1:9">
      <c r="A151" s="82">
        <v>166</v>
      </c>
      <c r="B151">
        <v>3</v>
      </c>
      <c r="C151">
        <v>0</v>
      </c>
      <c r="D151">
        <v>0</v>
      </c>
      <c r="E151">
        <v>0</v>
      </c>
      <c r="F151">
        <v>3</v>
      </c>
    </row>
    <row r="152" spans="1:9">
      <c r="A152" s="82">
        <v>167</v>
      </c>
      <c r="B152">
        <v>1</v>
      </c>
      <c r="C152">
        <v>0</v>
      </c>
      <c r="D152">
        <v>0</v>
      </c>
      <c r="E152">
        <v>0</v>
      </c>
      <c r="F152">
        <v>1</v>
      </c>
    </row>
    <row r="153" spans="1:9">
      <c r="A153" s="82">
        <v>168</v>
      </c>
      <c r="B153">
        <v>3</v>
      </c>
      <c r="C153">
        <v>0</v>
      </c>
      <c r="D153">
        <v>0</v>
      </c>
      <c r="E153">
        <v>0</v>
      </c>
      <c r="F153">
        <v>3</v>
      </c>
    </row>
    <row r="154" spans="1:9">
      <c r="A154" s="82">
        <v>169</v>
      </c>
      <c r="B154">
        <v>3</v>
      </c>
      <c r="C154">
        <v>0</v>
      </c>
      <c r="D154">
        <v>0</v>
      </c>
      <c r="E154">
        <v>0</v>
      </c>
      <c r="F154">
        <v>3</v>
      </c>
    </row>
    <row r="155" spans="1:9">
      <c r="A155" s="82">
        <v>170</v>
      </c>
      <c r="B155">
        <v>5</v>
      </c>
      <c r="C155">
        <v>5</v>
      </c>
      <c r="D155">
        <v>0</v>
      </c>
      <c r="E155">
        <v>0</v>
      </c>
      <c r="I155">
        <v>5</v>
      </c>
    </row>
    <row r="156" spans="1:9">
      <c r="A156" s="82">
        <v>171</v>
      </c>
      <c r="B156">
        <v>4</v>
      </c>
      <c r="C156">
        <v>0</v>
      </c>
      <c r="D156">
        <v>0</v>
      </c>
      <c r="E156">
        <v>0</v>
      </c>
      <c r="F156">
        <v>4</v>
      </c>
    </row>
    <row r="157" spans="1:9">
      <c r="A157" s="82">
        <v>172</v>
      </c>
      <c r="B157">
        <v>6</v>
      </c>
      <c r="C157">
        <v>0</v>
      </c>
      <c r="D157">
        <v>0</v>
      </c>
      <c r="E157">
        <v>0</v>
      </c>
      <c r="F157">
        <v>6</v>
      </c>
    </row>
    <row r="158" spans="1:9">
      <c r="A158" s="82">
        <v>173</v>
      </c>
      <c r="B158">
        <v>2</v>
      </c>
      <c r="C158">
        <v>0</v>
      </c>
      <c r="D158">
        <v>0</v>
      </c>
      <c r="E158">
        <v>0</v>
      </c>
      <c r="F158">
        <v>2</v>
      </c>
    </row>
    <row r="159" spans="1:9">
      <c r="A159" s="82">
        <v>174</v>
      </c>
      <c r="B159">
        <v>2</v>
      </c>
      <c r="C159">
        <v>0</v>
      </c>
      <c r="D159">
        <v>0</v>
      </c>
      <c r="E159">
        <v>0</v>
      </c>
      <c r="F159">
        <v>2</v>
      </c>
    </row>
    <row r="160" spans="1:9">
      <c r="A160" s="82">
        <v>176</v>
      </c>
      <c r="B160">
        <v>1</v>
      </c>
      <c r="C160">
        <v>0</v>
      </c>
      <c r="D160">
        <v>0</v>
      </c>
      <c r="E160">
        <v>0</v>
      </c>
      <c r="F160">
        <v>1</v>
      </c>
    </row>
    <row r="161" spans="1:9">
      <c r="A161" s="82">
        <v>177</v>
      </c>
      <c r="B161">
        <v>3</v>
      </c>
      <c r="C161">
        <v>0</v>
      </c>
      <c r="D161">
        <v>0</v>
      </c>
      <c r="E161">
        <v>0</v>
      </c>
      <c r="F161">
        <v>3</v>
      </c>
    </row>
    <row r="162" spans="1:9">
      <c r="A162" s="82">
        <v>180</v>
      </c>
      <c r="B162">
        <v>1</v>
      </c>
      <c r="C162">
        <v>0</v>
      </c>
      <c r="D162">
        <v>0</v>
      </c>
      <c r="E162">
        <v>0</v>
      </c>
      <c r="F162">
        <v>1</v>
      </c>
    </row>
    <row r="163" spans="1:9">
      <c r="A163" s="82">
        <v>181</v>
      </c>
      <c r="B163">
        <v>3</v>
      </c>
      <c r="C163">
        <v>0</v>
      </c>
      <c r="D163">
        <v>0</v>
      </c>
      <c r="E163">
        <v>0</v>
      </c>
      <c r="F163">
        <v>3</v>
      </c>
    </row>
    <row r="164" spans="1:9">
      <c r="A164" s="82">
        <v>182</v>
      </c>
      <c r="B164">
        <v>2</v>
      </c>
      <c r="C164">
        <v>0</v>
      </c>
      <c r="D164">
        <v>0</v>
      </c>
      <c r="E164">
        <v>0</v>
      </c>
      <c r="F164">
        <v>2</v>
      </c>
    </row>
    <row r="165" spans="1:9">
      <c r="A165" s="82">
        <v>183</v>
      </c>
      <c r="B165">
        <v>1</v>
      </c>
      <c r="C165">
        <v>0</v>
      </c>
      <c r="D165">
        <v>0</v>
      </c>
      <c r="E165">
        <v>0</v>
      </c>
      <c r="F165">
        <v>1</v>
      </c>
    </row>
    <row r="166" spans="1:9">
      <c r="A166" s="82">
        <v>184</v>
      </c>
      <c r="B166">
        <v>1</v>
      </c>
      <c r="C166">
        <v>0</v>
      </c>
      <c r="D166">
        <v>0</v>
      </c>
      <c r="E166">
        <v>0</v>
      </c>
      <c r="F166">
        <v>1</v>
      </c>
    </row>
    <row r="167" spans="1:9">
      <c r="A167" s="82">
        <v>185</v>
      </c>
      <c r="B167">
        <v>1</v>
      </c>
      <c r="C167">
        <v>0</v>
      </c>
      <c r="D167">
        <v>0</v>
      </c>
      <c r="E167">
        <v>0</v>
      </c>
      <c r="F167">
        <v>1</v>
      </c>
    </row>
    <row r="168" spans="1:9">
      <c r="A168" s="82">
        <v>186</v>
      </c>
      <c r="B168">
        <v>4</v>
      </c>
      <c r="C168">
        <v>0</v>
      </c>
      <c r="D168">
        <v>0</v>
      </c>
      <c r="E168">
        <v>0</v>
      </c>
      <c r="F168">
        <v>4</v>
      </c>
    </row>
    <row r="169" spans="1:9">
      <c r="A169" s="82">
        <v>187</v>
      </c>
      <c r="B169">
        <v>2</v>
      </c>
      <c r="C169">
        <v>0</v>
      </c>
      <c r="D169">
        <v>0</v>
      </c>
      <c r="E169">
        <v>0</v>
      </c>
      <c r="F169">
        <v>2</v>
      </c>
    </row>
    <row r="170" spans="1:9">
      <c r="A170" s="82">
        <v>189</v>
      </c>
      <c r="B170">
        <v>1</v>
      </c>
      <c r="C170">
        <v>0</v>
      </c>
      <c r="D170">
        <v>0</v>
      </c>
      <c r="E170">
        <v>0</v>
      </c>
      <c r="F170">
        <v>1</v>
      </c>
    </row>
    <row r="171" spans="1:9">
      <c r="A171" s="82">
        <v>190</v>
      </c>
      <c r="B171">
        <v>1</v>
      </c>
      <c r="C171">
        <v>0</v>
      </c>
      <c r="D171">
        <v>0</v>
      </c>
      <c r="E171">
        <v>0</v>
      </c>
      <c r="F171">
        <v>1</v>
      </c>
    </row>
    <row r="172" spans="1:9">
      <c r="A172" s="82">
        <v>191</v>
      </c>
      <c r="B172">
        <v>1</v>
      </c>
      <c r="C172">
        <v>0</v>
      </c>
      <c r="D172">
        <v>0</v>
      </c>
      <c r="E172">
        <v>0</v>
      </c>
      <c r="F172">
        <v>1</v>
      </c>
    </row>
    <row r="173" spans="1:9">
      <c r="A173" s="82">
        <v>192</v>
      </c>
      <c r="B173">
        <v>2</v>
      </c>
      <c r="C173">
        <v>0</v>
      </c>
      <c r="D173">
        <v>0</v>
      </c>
      <c r="E173">
        <v>0</v>
      </c>
      <c r="F173">
        <v>2</v>
      </c>
    </row>
    <row r="174" spans="1:9">
      <c r="A174" s="82">
        <v>193</v>
      </c>
      <c r="B174">
        <v>4</v>
      </c>
      <c r="C174">
        <v>1</v>
      </c>
      <c r="D174">
        <v>0</v>
      </c>
      <c r="E174">
        <v>0</v>
      </c>
      <c r="F174">
        <v>3</v>
      </c>
      <c r="I174">
        <v>1</v>
      </c>
    </row>
    <row r="175" spans="1:9">
      <c r="A175" s="82">
        <v>194</v>
      </c>
      <c r="B175">
        <v>3</v>
      </c>
      <c r="C175">
        <v>0</v>
      </c>
      <c r="D175">
        <v>0</v>
      </c>
      <c r="E175">
        <v>0</v>
      </c>
      <c r="F175">
        <v>3</v>
      </c>
    </row>
    <row r="176" spans="1:9">
      <c r="A176" s="82">
        <v>195</v>
      </c>
      <c r="B176">
        <v>1</v>
      </c>
      <c r="C176">
        <v>0</v>
      </c>
      <c r="D176">
        <v>0</v>
      </c>
      <c r="E176">
        <v>0</v>
      </c>
      <c r="F176">
        <v>1</v>
      </c>
    </row>
    <row r="177" spans="1:14">
      <c r="A177" s="82">
        <v>196</v>
      </c>
      <c r="B177">
        <v>2</v>
      </c>
      <c r="C177">
        <v>0</v>
      </c>
      <c r="D177">
        <v>0</v>
      </c>
      <c r="E177">
        <v>0</v>
      </c>
      <c r="F177">
        <v>2</v>
      </c>
    </row>
    <row r="178" spans="1:14">
      <c r="A178" s="82">
        <v>197</v>
      </c>
      <c r="B178">
        <v>2</v>
      </c>
      <c r="C178">
        <v>0</v>
      </c>
      <c r="D178">
        <v>0</v>
      </c>
      <c r="E178">
        <v>0</v>
      </c>
      <c r="F178">
        <v>2</v>
      </c>
    </row>
    <row r="179" spans="1:14">
      <c r="A179" s="82">
        <v>198</v>
      </c>
      <c r="B179">
        <v>1</v>
      </c>
      <c r="C179">
        <v>0</v>
      </c>
      <c r="D179">
        <v>1</v>
      </c>
      <c r="E179">
        <v>0</v>
      </c>
      <c r="K179">
        <v>1</v>
      </c>
    </row>
    <row r="180" spans="1:14">
      <c r="A180" s="82">
        <v>199</v>
      </c>
      <c r="B180">
        <v>1</v>
      </c>
      <c r="C180">
        <v>0</v>
      </c>
      <c r="D180">
        <v>0</v>
      </c>
      <c r="E180">
        <v>0</v>
      </c>
      <c r="F180">
        <v>1</v>
      </c>
    </row>
    <row r="181" spans="1:14">
      <c r="A181" s="82">
        <v>200</v>
      </c>
      <c r="B181">
        <v>3</v>
      </c>
      <c r="C181">
        <v>0</v>
      </c>
      <c r="D181">
        <v>0</v>
      </c>
      <c r="E181">
        <v>0</v>
      </c>
      <c r="F181">
        <v>3</v>
      </c>
    </row>
    <row r="182" spans="1:14">
      <c r="A182" s="82">
        <v>201</v>
      </c>
      <c r="B182">
        <v>1</v>
      </c>
      <c r="C182">
        <v>0</v>
      </c>
      <c r="D182">
        <v>0</v>
      </c>
      <c r="E182">
        <v>0</v>
      </c>
      <c r="F182">
        <v>1</v>
      </c>
    </row>
    <row r="183" spans="1:14">
      <c r="A183" s="82">
        <v>202</v>
      </c>
      <c r="B183">
        <v>1</v>
      </c>
      <c r="C183">
        <v>0</v>
      </c>
      <c r="D183">
        <v>0</v>
      </c>
      <c r="E183">
        <v>0</v>
      </c>
      <c r="F183">
        <v>1</v>
      </c>
    </row>
    <row r="184" spans="1:14">
      <c r="A184" s="82">
        <v>203</v>
      </c>
      <c r="B184">
        <v>1</v>
      </c>
      <c r="C184">
        <v>0</v>
      </c>
      <c r="D184">
        <v>0</v>
      </c>
      <c r="E184">
        <v>0</v>
      </c>
      <c r="F184">
        <v>1</v>
      </c>
    </row>
    <row r="185" spans="1:14">
      <c r="A185" s="82">
        <v>204</v>
      </c>
      <c r="B185">
        <v>2</v>
      </c>
      <c r="C185">
        <v>0</v>
      </c>
      <c r="D185">
        <v>0</v>
      </c>
      <c r="E185">
        <v>0</v>
      </c>
      <c r="F185">
        <v>2</v>
      </c>
    </row>
    <row r="186" spans="1:14">
      <c r="A186" s="82">
        <v>206</v>
      </c>
      <c r="B186">
        <v>4</v>
      </c>
      <c r="C186">
        <v>0</v>
      </c>
      <c r="D186">
        <v>0</v>
      </c>
      <c r="E186">
        <v>0</v>
      </c>
      <c r="F186">
        <v>4</v>
      </c>
    </row>
    <row r="187" spans="1:14">
      <c r="A187" s="82">
        <v>207</v>
      </c>
      <c r="B187">
        <v>3</v>
      </c>
      <c r="C187">
        <v>0</v>
      </c>
      <c r="D187">
        <v>0</v>
      </c>
      <c r="E187">
        <v>0</v>
      </c>
      <c r="F187">
        <v>3</v>
      </c>
    </row>
    <row r="188" spans="1:14">
      <c r="A188" s="82">
        <v>208</v>
      </c>
      <c r="B188">
        <v>2</v>
      </c>
      <c r="C188">
        <v>0</v>
      </c>
      <c r="D188">
        <v>0</v>
      </c>
      <c r="E188">
        <v>0</v>
      </c>
      <c r="F188">
        <v>2</v>
      </c>
    </row>
    <row r="189" spans="1:14">
      <c r="A189" s="82">
        <v>210</v>
      </c>
      <c r="B189">
        <v>6</v>
      </c>
      <c r="C189">
        <v>0</v>
      </c>
      <c r="D189">
        <v>0</v>
      </c>
      <c r="E189">
        <v>0</v>
      </c>
      <c r="F189">
        <v>6</v>
      </c>
    </row>
    <row r="190" spans="1:14">
      <c r="A190" s="82">
        <v>211</v>
      </c>
      <c r="B190">
        <v>2</v>
      </c>
      <c r="C190">
        <v>0</v>
      </c>
      <c r="D190">
        <v>0</v>
      </c>
      <c r="E190">
        <v>2</v>
      </c>
      <c r="N190">
        <v>2</v>
      </c>
    </row>
    <row r="191" spans="1:14">
      <c r="A191" s="82">
        <v>214</v>
      </c>
      <c r="B191">
        <v>2</v>
      </c>
      <c r="C191">
        <v>0</v>
      </c>
      <c r="D191">
        <v>0</v>
      </c>
      <c r="E191">
        <v>0</v>
      </c>
      <c r="F191">
        <v>2</v>
      </c>
    </row>
    <row r="192" spans="1:14">
      <c r="A192" s="82">
        <v>215</v>
      </c>
      <c r="B192">
        <v>1</v>
      </c>
      <c r="C192">
        <v>0</v>
      </c>
      <c r="D192">
        <v>0</v>
      </c>
      <c r="E192">
        <v>0</v>
      </c>
      <c r="F192">
        <v>1</v>
      </c>
    </row>
    <row r="193" spans="1:14">
      <c r="A193" s="82">
        <v>216</v>
      </c>
      <c r="B193">
        <v>3</v>
      </c>
      <c r="C193">
        <v>0</v>
      </c>
      <c r="D193">
        <v>0</v>
      </c>
      <c r="E193">
        <v>0</v>
      </c>
      <c r="F193">
        <v>3</v>
      </c>
    </row>
    <row r="194" spans="1:14">
      <c r="A194" s="82">
        <v>218</v>
      </c>
      <c r="B194">
        <v>1</v>
      </c>
      <c r="C194">
        <v>0</v>
      </c>
      <c r="D194">
        <v>0</v>
      </c>
      <c r="E194">
        <v>0</v>
      </c>
      <c r="F194">
        <v>1</v>
      </c>
    </row>
    <row r="195" spans="1:14">
      <c r="A195" s="82">
        <v>220</v>
      </c>
      <c r="B195">
        <v>3</v>
      </c>
      <c r="C195">
        <v>0</v>
      </c>
      <c r="D195">
        <v>0</v>
      </c>
      <c r="E195">
        <v>0</v>
      </c>
      <c r="F195">
        <v>3</v>
      </c>
    </row>
    <row r="196" spans="1:14">
      <c r="A196" s="82">
        <v>221</v>
      </c>
      <c r="B196">
        <v>11</v>
      </c>
      <c r="C196">
        <v>0</v>
      </c>
      <c r="D196">
        <v>0</v>
      </c>
      <c r="E196">
        <v>0</v>
      </c>
      <c r="F196">
        <v>11</v>
      </c>
    </row>
    <row r="197" spans="1:14">
      <c r="A197" s="82">
        <v>222</v>
      </c>
      <c r="B197">
        <v>2</v>
      </c>
      <c r="C197">
        <v>0</v>
      </c>
      <c r="D197">
        <v>0</v>
      </c>
      <c r="E197">
        <v>0</v>
      </c>
      <c r="F197">
        <v>2</v>
      </c>
    </row>
    <row r="198" spans="1:14">
      <c r="A198" s="82">
        <v>223</v>
      </c>
      <c r="B198">
        <v>2</v>
      </c>
      <c r="C198">
        <v>0</v>
      </c>
      <c r="D198">
        <v>0</v>
      </c>
      <c r="E198">
        <v>0</v>
      </c>
      <c r="F198">
        <v>2</v>
      </c>
    </row>
    <row r="199" spans="1:14">
      <c r="A199" s="82">
        <v>224</v>
      </c>
      <c r="B199">
        <v>1</v>
      </c>
      <c r="C199">
        <v>0</v>
      </c>
      <c r="D199">
        <v>0</v>
      </c>
      <c r="E199">
        <v>0</v>
      </c>
      <c r="F199">
        <v>1</v>
      </c>
    </row>
    <row r="200" spans="1:14">
      <c r="A200" s="82">
        <v>225</v>
      </c>
      <c r="B200">
        <v>2</v>
      </c>
      <c r="C200">
        <v>0</v>
      </c>
      <c r="D200">
        <v>0</v>
      </c>
      <c r="E200">
        <v>0</v>
      </c>
      <c r="F200">
        <v>2</v>
      </c>
    </row>
    <row r="201" spans="1:14">
      <c r="A201" s="82">
        <v>227</v>
      </c>
      <c r="B201">
        <v>2</v>
      </c>
      <c r="C201">
        <v>0</v>
      </c>
      <c r="D201">
        <v>0</v>
      </c>
      <c r="E201">
        <v>0</v>
      </c>
      <c r="F201">
        <v>2</v>
      </c>
    </row>
    <row r="202" spans="1:14">
      <c r="A202" s="82">
        <v>228</v>
      </c>
      <c r="B202">
        <v>10</v>
      </c>
      <c r="C202">
        <v>0</v>
      </c>
      <c r="D202">
        <v>0</v>
      </c>
      <c r="E202">
        <v>0</v>
      </c>
      <c r="F202">
        <v>10</v>
      </c>
    </row>
    <row r="203" spans="1:14">
      <c r="A203" s="82">
        <v>230</v>
      </c>
      <c r="B203">
        <v>5</v>
      </c>
      <c r="C203">
        <v>0</v>
      </c>
      <c r="D203">
        <v>0</v>
      </c>
      <c r="E203">
        <v>5</v>
      </c>
      <c r="N203">
        <v>5</v>
      </c>
    </row>
    <row r="204" spans="1:14">
      <c r="A204" s="82">
        <v>231</v>
      </c>
      <c r="B204">
        <v>6</v>
      </c>
      <c r="C204">
        <v>2</v>
      </c>
      <c r="D204">
        <v>0</v>
      </c>
      <c r="E204">
        <v>0</v>
      </c>
      <c r="F204">
        <v>4</v>
      </c>
      <c r="I204">
        <v>2</v>
      </c>
    </row>
    <row r="205" spans="1:14">
      <c r="A205" s="82">
        <v>232</v>
      </c>
      <c r="B205">
        <v>1</v>
      </c>
      <c r="C205">
        <v>0</v>
      </c>
      <c r="D205">
        <v>0</v>
      </c>
      <c r="E205">
        <v>0</v>
      </c>
      <c r="F205">
        <v>1</v>
      </c>
    </row>
    <row r="206" spans="1:14">
      <c r="A206" s="82">
        <v>233</v>
      </c>
      <c r="B206">
        <v>1</v>
      </c>
      <c r="C206">
        <v>0</v>
      </c>
      <c r="D206">
        <v>0</v>
      </c>
      <c r="E206">
        <v>0</v>
      </c>
      <c r="F206">
        <v>1</v>
      </c>
    </row>
    <row r="207" spans="1:14">
      <c r="A207" s="82">
        <v>234</v>
      </c>
      <c r="B207">
        <v>6</v>
      </c>
      <c r="C207">
        <v>0</v>
      </c>
      <c r="D207">
        <v>5</v>
      </c>
      <c r="E207">
        <v>0</v>
      </c>
      <c r="F207">
        <v>1</v>
      </c>
      <c r="M207">
        <v>5</v>
      </c>
    </row>
    <row r="208" spans="1:14">
      <c r="A208" s="82">
        <v>235</v>
      </c>
      <c r="B208">
        <v>1</v>
      </c>
      <c r="C208">
        <v>0</v>
      </c>
      <c r="D208">
        <v>0</v>
      </c>
      <c r="E208">
        <v>0</v>
      </c>
      <c r="F208">
        <v>1</v>
      </c>
    </row>
    <row r="209" spans="1:10">
      <c r="A209" s="82">
        <v>236</v>
      </c>
      <c r="B209">
        <v>1</v>
      </c>
      <c r="C209">
        <v>0</v>
      </c>
      <c r="D209">
        <v>0</v>
      </c>
      <c r="E209">
        <v>0</v>
      </c>
      <c r="F209">
        <v>1</v>
      </c>
    </row>
    <row r="210" spans="1:10">
      <c r="A210" s="82">
        <v>237</v>
      </c>
      <c r="B210">
        <v>2</v>
      </c>
      <c r="C210">
        <v>0</v>
      </c>
      <c r="D210">
        <v>0</v>
      </c>
      <c r="E210">
        <v>0</v>
      </c>
      <c r="F210">
        <v>2</v>
      </c>
    </row>
    <row r="211" spans="1:10">
      <c r="A211" s="82">
        <v>238</v>
      </c>
      <c r="B211">
        <v>1</v>
      </c>
      <c r="C211">
        <v>0</v>
      </c>
      <c r="D211">
        <v>0</v>
      </c>
      <c r="E211">
        <v>0</v>
      </c>
      <c r="F211">
        <v>1</v>
      </c>
    </row>
    <row r="212" spans="1:10">
      <c r="A212" s="82">
        <v>239</v>
      </c>
      <c r="B212">
        <v>1</v>
      </c>
      <c r="C212">
        <v>0</v>
      </c>
      <c r="D212">
        <v>0</v>
      </c>
      <c r="E212">
        <v>0</v>
      </c>
      <c r="F212">
        <v>1</v>
      </c>
    </row>
    <row r="213" spans="1:10">
      <c r="A213" s="82">
        <v>240</v>
      </c>
      <c r="B213">
        <v>3</v>
      </c>
      <c r="C213">
        <v>3</v>
      </c>
      <c r="D213">
        <v>0</v>
      </c>
      <c r="E213">
        <v>0</v>
      </c>
      <c r="I213">
        <v>3</v>
      </c>
    </row>
    <row r="214" spans="1:10">
      <c r="A214" s="82">
        <v>241</v>
      </c>
      <c r="B214">
        <v>2</v>
      </c>
      <c r="C214">
        <v>0</v>
      </c>
      <c r="D214">
        <v>0</v>
      </c>
      <c r="E214">
        <v>0</v>
      </c>
      <c r="F214">
        <v>2</v>
      </c>
    </row>
    <row r="215" spans="1:10">
      <c r="A215" s="82">
        <v>242</v>
      </c>
      <c r="B215">
        <v>2</v>
      </c>
      <c r="C215">
        <v>0</v>
      </c>
      <c r="D215">
        <v>0</v>
      </c>
      <c r="E215">
        <v>0</v>
      </c>
      <c r="F215">
        <v>2</v>
      </c>
    </row>
    <row r="216" spans="1:10">
      <c r="A216" s="82">
        <v>243</v>
      </c>
      <c r="B216">
        <v>8</v>
      </c>
      <c r="C216">
        <v>0</v>
      </c>
      <c r="D216">
        <v>0</v>
      </c>
      <c r="E216">
        <v>0</v>
      </c>
      <c r="F216">
        <v>8</v>
      </c>
    </row>
    <row r="217" spans="1:10">
      <c r="A217" s="82">
        <v>245</v>
      </c>
      <c r="B217">
        <v>3</v>
      </c>
      <c r="C217">
        <v>0</v>
      </c>
      <c r="D217">
        <v>0</v>
      </c>
      <c r="E217">
        <v>0</v>
      </c>
      <c r="F217">
        <v>3</v>
      </c>
    </row>
    <row r="218" spans="1:10">
      <c r="A218" s="82">
        <v>246</v>
      </c>
      <c r="B218">
        <v>1</v>
      </c>
      <c r="C218">
        <v>0</v>
      </c>
      <c r="D218">
        <v>0</v>
      </c>
      <c r="E218">
        <v>0</v>
      </c>
      <c r="F218">
        <v>1</v>
      </c>
    </row>
    <row r="219" spans="1:10">
      <c r="A219" s="82">
        <v>247</v>
      </c>
      <c r="B219">
        <v>4</v>
      </c>
      <c r="C219">
        <v>0</v>
      </c>
      <c r="D219">
        <v>0</v>
      </c>
      <c r="E219">
        <v>0</v>
      </c>
      <c r="F219">
        <v>4</v>
      </c>
    </row>
    <row r="220" spans="1:10">
      <c r="A220" s="82">
        <v>252</v>
      </c>
      <c r="B220">
        <v>5</v>
      </c>
      <c r="C220">
        <v>0</v>
      </c>
      <c r="D220">
        <v>0</v>
      </c>
      <c r="E220">
        <v>0</v>
      </c>
      <c r="F220">
        <v>5</v>
      </c>
    </row>
    <row r="221" spans="1:10">
      <c r="A221" s="82">
        <v>256</v>
      </c>
      <c r="B221">
        <v>2</v>
      </c>
      <c r="C221">
        <v>0</v>
      </c>
      <c r="D221">
        <v>0</v>
      </c>
      <c r="E221">
        <v>0</v>
      </c>
      <c r="F221">
        <v>2</v>
      </c>
    </row>
    <row r="222" spans="1:10">
      <c r="A222" s="82">
        <v>261</v>
      </c>
      <c r="B222">
        <v>12</v>
      </c>
      <c r="C222">
        <v>9</v>
      </c>
      <c r="D222">
        <v>0</v>
      </c>
      <c r="E222">
        <v>0</v>
      </c>
      <c r="F222">
        <v>3</v>
      </c>
      <c r="I222">
        <v>4</v>
      </c>
      <c r="J222">
        <v>5</v>
      </c>
    </row>
    <row r="223" spans="1:10">
      <c r="A223" s="82">
        <v>262</v>
      </c>
      <c r="B223">
        <v>2</v>
      </c>
      <c r="C223">
        <v>0</v>
      </c>
      <c r="D223">
        <v>0</v>
      </c>
      <c r="E223">
        <v>0</v>
      </c>
      <c r="F223">
        <v>2</v>
      </c>
    </row>
    <row r="224" spans="1:10">
      <c r="A224" s="82">
        <v>264</v>
      </c>
      <c r="B224">
        <v>2</v>
      </c>
      <c r="C224">
        <v>0</v>
      </c>
      <c r="D224">
        <v>0</v>
      </c>
      <c r="E224">
        <v>0</v>
      </c>
      <c r="F224">
        <v>2</v>
      </c>
    </row>
    <row r="225" spans="1:9">
      <c r="A225" s="82">
        <v>265</v>
      </c>
      <c r="B225">
        <v>1</v>
      </c>
      <c r="C225">
        <v>0</v>
      </c>
      <c r="D225">
        <v>0</v>
      </c>
      <c r="E225">
        <v>0</v>
      </c>
      <c r="F225">
        <v>1</v>
      </c>
    </row>
    <row r="226" spans="1:9">
      <c r="A226" s="82">
        <v>266</v>
      </c>
      <c r="B226">
        <v>1</v>
      </c>
      <c r="C226">
        <v>0</v>
      </c>
      <c r="D226">
        <v>0</v>
      </c>
      <c r="E226">
        <v>0</v>
      </c>
      <c r="F226">
        <v>1</v>
      </c>
    </row>
    <row r="227" spans="1:9">
      <c r="A227" s="82">
        <v>267</v>
      </c>
      <c r="B227">
        <v>5</v>
      </c>
      <c r="C227">
        <v>0</v>
      </c>
      <c r="D227">
        <v>0</v>
      </c>
      <c r="E227">
        <v>0</v>
      </c>
      <c r="F227">
        <v>5</v>
      </c>
    </row>
    <row r="228" spans="1:9">
      <c r="A228" s="82">
        <v>268</v>
      </c>
      <c r="B228">
        <v>1</v>
      </c>
      <c r="C228">
        <v>0</v>
      </c>
      <c r="D228">
        <v>0</v>
      </c>
      <c r="E228">
        <v>0</v>
      </c>
      <c r="F228">
        <v>1</v>
      </c>
    </row>
    <row r="229" spans="1:9">
      <c r="A229" s="82">
        <v>271</v>
      </c>
      <c r="B229">
        <v>7</v>
      </c>
      <c r="C229">
        <v>0</v>
      </c>
      <c r="D229">
        <v>0</v>
      </c>
      <c r="E229">
        <v>0</v>
      </c>
      <c r="F229">
        <v>7</v>
      </c>
    </row>
    <row r="230" spans="1:9">
      <c r="A230" s="82">
        <v>276</v>
      </c>
      <c r="B230">
        <v>4</v>
      </c>
      <c r="C230">
        <v>4</v>
      </c>
      <c r="D230">
        <v>0</v>
      </c>
      <c r="E230">
        <v>0</v>
      </c>
      <c r="H230">
        <v>4</v>
      </c>
    </row>
    <row r="231" spans="1:9">
      <c r="A231" s="82">
        <v>277</v>
      </c>
      <c r="B231">
        <v>1</v>
      </c>
      <c r="C231">
        <v>0</v>
      </c>
      <c r="D231">
        <v>0</v>
      </c>
      <c r="E231">
        <v>0</v>
      </c>
      <c r="F231">
        <v>1</v>
      </c>
    </row>
    <row r="232" spans="1:9">
      <c r="A232" s="82">
        <v>279</v>
      </c>
      <c r="B232">
        <v>1</v>
      </c>
      <c r="C232">
        <v>0</v>
      </c>
      <c r="D232">
        <v>0</v>
      </c>
      <c r="E232">
        <v>0</v>
      </c>
      <c r="F232">
        <v>1</v>
      </c>
    </row>
    <row r="233" spans="1:9">
      <c r="A233" s="82">
        <v>280</v>
      </c>
      <c r="B233">
        <v>7</v>
      </c>
      <c r="C233">
        <v>0</v>
      </c>
      <c r="D233">
        <v>0</v>
      </c>
      <c r="E233">
        <v>0</v>
      </c>
      <c r="F233">
        <v>7</v>
      </c>
    </row>
    <row r="234" spans="1:9">
      <c r="A234" s="82">
        <v>281</v>
      </c>
      <c r="B234">
        <v>1</v>
      </c>
      <c r="C234">
        <v>0</v>
      </c>
      <c r="D234">
        <v>0</v>
      </c>
      <c r="E234">
        <v>0</v>
      </c>
      <c r="F234">
        <v>1</v>
      </c>
    </row>
    <row r="235" spans="1:9">
      <c r="A235" s="82">
        <v>282</v>
      </c>
      <c r="B235">
        <v>1</v>
      </c>
      <c r="C235">
        <v>0</v>
      </c>
      <c r="D235">
        <v>0</v>
      </c>
      <c r="E235">
        <v>0</v>
      </c>
      <c r="F235">
        <v>1</v>
      </c>
    </row>
    <row r="236" spans="1:9">
      <c r="A236" s="82">
        <v>285</v>
      </c>
      <c r="B236">
        <v>3</v>
      </c>
      <c r="C236">
        <v>0</v>
      </c>
      <c r="D236">
        <v>0</v>
      </c>
      <c r="E236">
        <v>0</v>
      </c>
      <c r="F236">
        <v>3</v>
      </c>
    </row>
    <row r="237" spans="1:9">
      <c r="A237" s="82">
        <v>286</v>
      </c>
      <c r="B237">
        <v>3</v>
      </c>
      <c r="C237">
        <v>0</v>
      </c>
      <c r="D237">
        <v>0</v>
      </c>
      <c r="E237">
        <v>0</v>
      </c>
      <c r="F237">
        <v>3</v>
      </c>
    </row>
    <row r="238" spans="1:9">
      <c r="A238" s="82">
        <v>287</v>
      </c>
      <c r="B238">
        <v>1</v>
      </c>
      <c r="C238">
        <v>0</v>
      </c>
      <c r="D238">
        <v>0</v>
      </c>
      <c r="E238">
        <v>0</v>
      </c>
      <c r="F238">
        <v>1</v>
      </c>
    </row>
    <row r="239" spans="1:9">
      <c r="A239" s="82">
        <v>292</v>
      </c>
      <c r="B239">
        <v>2</v>
      </c>
      <c r="C239">
        <v>0</v>
      </c>
      <c r="D239">
        <v>0</v>
      </c>
      <c r="E239">
        <v>0</v>
      </c>
      <c r="F239">
        <v>2</v>
      </c>
    </row>
    <row r="240" spans="1:9">
      <c r="A240" s="82">
        <v>293</v>
      </c>
      <c r="B240">
        <v>6</v>
      </c>
      <c r="C240">
        <v>6</v>
      </c>
      <c r="D240">
        <v>0</v>
      </c>
      <c r="E240">
        <v>0</v>
      </c>
      <c r="I240">
        <v>6</v>
      </c>
    </row>
    <row r="241" spans="1:12">
      <c r="A241" s="82">
        <v>296</v>
      </c>
      <c r="B241">
        <v>3</v>
      </c>
      <c r="C241">
        <v>2</v>
      </c>
      <c r="D241">
        <v>1</v>
      </c>
      <c r="E241">
        <v>0</v>
      </c>
      <c r="I241">
        <v>2</v>
      </c>
      <c r="L241">
        <v>1</v>
      </c>
    </row>
    <row r="242" spans="1:12">
      <c r="A242" s="82">
        <v>297</v>
      </c>
      <c r="B242">
        <v>2</v>
      </c>
      <c r="C242">
        <v>0</v>
      </c>
      <c r="D242">
        <v>0</v>
      </c>
      <c r="E242">
        <v>0</v>
      </c>
      <c r="F242">
        <v>2</v>
      </c>
    </row>
    <row r="243" spans="1:12">
      <c r="A243" s="82">
        <v>302</v>
      </c>
      <c r="B243">
        <v>25</v>
      </c>
      <c r="C243">
        <v>0</v>
      </c>
      <c r="D243">
        <v>0</v>
      </c>
      <c r="E243">
        <v>0</v>
      </c>
      <c r="F243">
        <v>25</v>
      </c>
    </row>
    <row r="244" spans="1:12">
      <c r="A244" s="82">
        <v>303</v>
      </c>
      <c r="B244">
        <v>25</v>
      </c>
      <c r="C244">
        <v>0</v>
      </c>
      <c r="D244">
        <v>0</v>
      </c>
      <c r="E244">
        <v>0</v>
      </c>
      <c r="F244">
        <v>25</v>
      </c>
    </row>
    <row r="245" spans="1:12">
      <c r="A245" s="82">
        <v>307</v>
      </c>
      <c r="B245">
        <v>5</v>
      </c>
      <c r="C245">
        <v>0</v>
      </c>
      <c r="D245">
        <v>0</v>
      </c>
      <c r="E245">
        <v>0</v>
      </c>
      <c r="F245">
        <v>5</v>
      </c>
    </row>
    <row r="246" spans="1:12">
      <c r="A246" s="82">
        <v>308</v>
      </c>
      <c r="B246">
        <v>4</v>
      </c>
      <c r="C246">
        <v>0</v>
      </c>
      <c r="D246">
        <v>0</v>
      </c>
      <c r="E246">
        <v>0</v>
      </c>
      <c r="F246">
        <v>4</v>
      </c>
    </row>
    <row r="247" spans="1:12">
      <c r="A247" s="82">
        <v>309</v>
      </c>
      <c r="B247">
        <v>2</v>
      </c>
      <c r="C247">
        <v>2</v>
      </c>
      <c r="D247">
        <v>0</v>
      </c>
      <c r="E247">
        <v>0</v>
      </c>
      <c r="I247">
        <v>2</v>
      </c>
    </row>
    <row r="248" spans="1:12">
      <c r="A248" s="82">
        <v>311</v>
      </c>
      <c r="B248">
        <v>5</v>
      </c>
      <c r="C248">
        <v>0</v>
      </c>
      <c r="D248">
        <v>0</v>
      </c>
      <c r="E248">
        <v>0</v>
      </c>
      <c r="F248">
        <v>5</v>
      </c>
    </row>
    <row r="249" spans="1:12">
      <c r="A249" s="82">
        <v>312</v>
      </c>
      <c r="B249">
        <v>8</v>
      </c>
      <c r="C249">
        <v>0</v>
      </c>
      <c r="D249">
        <v>0</v>
      </c>
      <c r="E249">
        <v>0</v>
      </c>
      <c r="F249">
        <v>8</v>
      </c>
    </row>
    <row r="250" spans="1:12">
      <c r="A250" s="82">
        <v>313</v>
      </c>
      <c r="B250">
        <v>6</v>
      </c>
      <c r="C250">
        <v>0</v>
      </c>
      <c r="D250">
        <v>0</v>
      </c>
      <c r="E250">
        <v>0</v>
      </c>
      <c r="F250">
        <v>6</v>
      </c>
    </row>
    <row r="251" spans="1:12">
      <c r="A251" s="82">
        <v>314</v>
      </c>
      <c r="B251">
        <v>2</v>
      </c>
      <c r="C251">
        <v>0</v>
      </c>
      <c r="D251">
        <v>0</v>
      </c>
      <c r="E251">
        <v>0</v>
      </c>
      <c r="F251">
        <v>2</v>
      </c>
    </row>
    <row r="252" spans="1:12">
      <c r="A252" s="82">
        <v>315</v>
      </c>
      <c r="B252">
        <v>2</v>
      </c>
      <c r="C252">
        <v>0</v>
      </c>
      <c r="D252">
        <v>0</v>
      </c>
      <c r="E252">
        <v>0</v>
      </c>
      <c r="F252">
        <v>2</v>
      </c>
    </row>
    <row r="253" spans="1:12">
      <c r="A253" s="82">
        <v>316</v>
      </c>
      <c r="B253">
        <v>2</v>
      </c>
      <c r="C253">
        <v>0</v>
      </c>
      <c r="D253">
        <v>0</v>
      </c>
      <c r="E253">
        <v>0</v>
      </c>
      <c r="F253">
        <v>2</v>
      </c>
    </row>
    <row r="254" spans="1:12">
      <c r="A254" s="82">
        <v>325</v>
      </c>
      <c r="B254">
        <v>2</v>
      </c>
      <c r="C254">
        <v>0</v>
      </c>
      <c r="D254">
        <v>0</v>
      </c>
      <c r="E254">
        <v>0</v>
      </c>
      <c r="F254">
        <v>2</v>
      </c>
    </row>
    <row r="255" spans="1:12">
      <c r="A255" s="82">
        <v>329</v>
      </c>
      <c r="B255">
        <v>1</v>
      </c>
      <c r="C255">
        <v>1</v>
      </c>
      <c r="D255">
        <v>0</v>
      </c>
      <c r="E255">
        <v>0</v>
      </c>
      <c r="I255">
        <v>1</v>
      </c>
    </row>
    <row r="256" spans="1:12">
      <c r="A256" s="82">
        <v>330</v>
      </c>
      <c r="B256">
        <v>2</v>
      </c>
      <c r="C256">
        <v>2</v>
      </c>
      <c r="D256">
        <v>0</v>
      </c>
      <c r="E256">
        <v>0</v>
      </c>
      <c r="I256">
        <v>2</v>
      </c>
    </row>
    <row r="257" spans="1:9">
      <c r="A257" s="82">
        <v>331</v>
      </c>
      <c r="B257">
        <v>2</v>
      </c>
      <c r="C257">
        <v>2</v>
      </c>
      <c r="D257">
        <v>0</v>
      </c>
      <c r="E257">
        <v>0</v>
      </c>
      <c r="I257">
        <v>2</v>
      </c>
    </row>
    <row r="258" spans="1:9">
      <c r="A258" s="82">
        <v>333</v>
      </c>
      <c r="B258">
        <v>1</v>
      </c>
      <c r="C258">
        <v>0</v>
      </c>
      <c r="D258">
        <v>0</v>
      </c>
      <c r="E258">
        <v>0</v>
      </c>
      <c r="F258">
        <v>1</v>
      </c>
    </row>
    <row r="259" spans="1:9">
      <c r="A259" s="82">
        <v>334</v>
      </c>
      <c r="B259">
        <v>1</v>
      </c>
      <c r="C259">
        <v>0</v>
      </c>
      <c r="D259">
        <v>0</v>
      </c>
      <c r="E259">
        <v>0</v>
      </c>
      <c r="F259">
        <v>1</v>
      </c>
    </row>
    <row r="260" spans="1:9">
      <c r="A260" s="82">
        <v>335</v>
      </c>
      <c r="B260">
        <v>9</v>
      </c>
      <c r="C260">
        <v>0</v>
      </c>
      <c r="D260">
        <v>0</v>
      </c>
      <c r="E260">
        <v>0</v>
      </c>
      <c r="F260">
        <v>9</v>
      </c>
    </row>
    <row r="261" spans="1:9">
      <c r="A261" s="82">
        <v>336</v>
      </c>
      <c r="B261">
        <v>4</v>
      </c>
      <c r="C261">
        <v>0</v>
      </c>
      <c r="D261">
        <v>0</v>
      </c>
      <c r="E261">
        <v>0</v>
      </c>
      <c r="F261">
        <v>4</v>
      </c>
    </row>
    <row r="262" spans="1:9">
      <c r="A262" s="82">
        <v>340</v>
      </c>
      <c r="B262">
        <v>1</v>
      </c>
      <c r="C262">
        <v>0</v>
      </c>
      <c r="D262">
        <v>0</v>
      </c>
      <c r="E262">
        <v>0</v>
      </c>
      <c r="F262">
        <v>1</v>
      </c>
    </row>
    <row r="263" spans="1:9">
      <c r="A263" s="82">
        <v>341</v>
      </c>
      <c r="B263">
        <v>5</v>
      </c>
      <c r="C263">
        <v>0</v>
      </c>
      <c r="D263">
        <v>0</v>
      </c>
      <c r="E263">
        <v>0</v>
      </c>
      <c r="F263">
        <v>5</v>
      </c>
    </row>
    <row r="264" spans="1:9">
      <c r="A264" s="82">
        <v>342</v>
      </c>
      <c r="B264">
        <v>1</v>
      </c>
      <c r="C264">
        <v>0</v>
      </c>
      <c r="D264">
        <v>0</v>
      </c>
      <c r="E264">
        <v>0</v>
      </c>
      <c r="F264">
        <v>1</v>
      </c>
    </row>
    <row r="265" spans="1:9">
      <c r="A265" s="82">
        <v>343</v>
      </c>
      <c r="B265">
        <v>1</v>
      </c>
      <c r="C265">
        <v>0</v>
      </c>
      <c r="D265">
        <v>0</v>
      </c>
      <c r="E265">
        <v>0</v>
      </c>
      <c r="F265">
        <v>1</v>
      </c>
    </row>
    <row r="266" spans="1:9">
      <c r="A266" s="82">
        <v>344</v>
      </c>
      <c r="B266">
        <v>1</v>
      </c>
      <c r="C266">
        <v>0</v>
      </c>
      <c r="D266">
        <v>0</v>
      </c>
      <c r="E266">
        <v>0</v>
      </c>
      <c r="F266">
        <v>1</v>
      </c>
    </row>
    <row r="267" spans="1:9">
      <c r="A267" s="82">
        <v>346</v>
      </c>
      <c r="B267">
        <v>3</v>
      </c>
      <c r="C267">
        <v>0</v>
      </c>
      <c r="D267">
        <v>0</v>
      </c>
      <c r="E267">
        <v>0</v>
      </c>
      <c r="F267">
        <v>3</v>
      </c>
    </row>
    <row r="268" spans="1:9">
      <c r="A268" s="82">
        <v>347</v>
      </c>
      <c r="B268">
        <v>1</v>
      </c>
      <c r="C268">
        <v>0</v>
      </c>
      <c r="D268">
        <v>0</v>
      </c>
      <c r="E268">
        <v>0</v>
      </c>
      <c r="F268">
        <v>1</v>
      </c>
    </row>
    <row r="269" spans="1:9">
      <c r="A269" s="82">
        <v>348</v>
      </c>
      <c r="B269">
        <v>5</v>
      </c>
      <c r="C269">
        <v>0</v>
      </c>
      <c r="D269">
        <v>0</v>
      </c>
      <c r="E269">
        <v>0</v>
      </c>
      <c r="F269">
        <v>5</v>
      </c>
    </row>
    <row r="270" spans="1:9">
      <c r="A270" s="82">
        <v>351</v>
      </c>
      <c r="B270">
        <v>6</v>
      </c>
      <c r="C270">
        <v>0</v>
      </c>
      <c r="D270">
        <v>0</v>
      </c>
      <c r="E270">
        <v>0</v>
      </c>
      <c r="F270">
        <v>6</v>
      </c>
    </row>
    <row r="271" spans="1:9">
      <c r="A271" s="82">
        <v>352</v>
      </c>
      <c r="B271">
        <v>9</v>
      </c>
      <c r="C271">
        <v>0</v>
      </c>
      <c r="D271">
        <v>0</v>
      </c>
      <c r="E271">
        <v>0</v>
      </c>
      <c r="F271">
        <v>9</v>
      </c>
    </row>
    <row r="272" spans="1:9">
      <c r="A272" s="82">
        <v>354</v>
      </c>
      <c r="B272">
        <v>9</v>
      </c>
      <c r="C272">
        <v>0</v>
      </c>
      <c r="D272">
        <v>0</v>
      </c>
      <c r="E272">
        <v>0</v>
      </c>
      <c r="F272">
        <v>9</v>
      </c>
    </row>
    <row r="273" spans="1:9">
      <c r="A273" s="82">
        <v>355</v>
      </c>
      <c r="B273">
        <v>1</v>
      </c>
      <c r="C273">
        <v>0</v>
      </c>
      <c r="D273">
        <v>0</v>
      </c>
      <c r="E273">
        <v>0</v>
      </c>
      <c r="F273">
        <v>1</v>
      </c>
    </row>
    <row r="274" spans="1:9">
      <c r="A274" s="82">
        <v>357</v>
      </c>
      <c r="B274">
        <v>1</v>
      </c>
      <c r="C274">
        <v>0</v>
      </c>
      <c r="D274">
        <v>0</v>
      </c>
      <c r="E274">
        <v>0</v>
      </c>
      <c r="F274">
        <v>1</v>
      </c>
    </row>
    <row r="275" spans="1:9">
      <c r="A275" s="82">
        <v>359</v>
      </c>
      <c r="B275">
        <v>1</v>
      </c>
      <c r="C275">
        <v>0</v>
      </c>
      <c r="D275">
        <v>0</v>
      </c>
      <c r="E275">
        <v>0</v>
      </c>
      <c r="F275">
        <v>1</v>
      </c>
    </row>
    <row r="276" spans="1:9">
      <c r="A276" s="82">
        <v>360</v>
      </c>
      <c r="B276">
        <v>7</v>
      </c>
      <c r="C276">
        <v>0</v>
      </c>
      <c r="D276">
        <v>0</v>
      </c>
      <c r="E276">
        <v>0</v>
      </c>
      <c r="F276">
        <v>7</v>
      </c>
    </row>
    <row r="277" spans="1:9">
      <c r="A277" s="82">
        <v>362</v>
      </c>
      <c r="B277">
        <v>5</v>
      </c>
      <c r="C277">
        <v>0</v>
      </c>
      <c r="D277">
        <v>0</v>
      </c>
      <c r="E277">
        <v>0</v>
      </c>
      <c r="F277">
        <v>5</v>
      </c>
    </row>
    <row r="278" spans="1:9">
      <c r="A278" s="82">
        <v>366</v>
      </c>
      <c r="B278">
        <v>5</v>
      </c>
      <c r="C278">
        <v>2</v>
      </c>
      <c r="D278">
        <v>0</v>
      </c>
      <c r="E278">
        <v>0</v>
      </c>
      <c r="F278">
        <v>3</v>
      </c>
      <c r="I278">
        <v>2</v>
      </c>
    </row>
    <row r="279" spans="1:9">
      <c r="A279" s="82">
        <v>367</v>
      </c>
      <c r="B279">
        <v>1</v>
      </c>
      <c r="C279">
        <v>0</v>
      </c>
      <c r="D279">
        <v>0</v>
      </c>
      <c r="E279">
        <v>0</v>
      </c>
      <c r="F279">
        <v>1</v>
      </c>
    </row>
    <row r="280" spans="1:9">
      <c r="A280" s="82">
        <v>368</v>
      </c>
      <c r="B280">
        <v>7</v>
      </c>
      <c r="C280">
        <v>0</v>
      </c>
      <c r="D280">
        <v>0</v>
      </c>
      <c r="E280">
        <v>0</v>
      </c>
      <c r="F280">
        <v>7</v>
      </c>
    </row>
    <row r="281" spans="1:9">
      <c r="A281" s="82">
        <v>369</v>
      </c>
      <c r="B281">
        <v>5</v>
      </c>
      <c r="C281">
        <v>0</v>
      </c>
      <c r="D281">
        <v>0</v>
      </c>
      <c r="E281">
        <v>0</v>
      </c>
      <c r="F281">
        <v>5</v>
      </c>
    </row>
    <row r="282" spans="1:9">
      <c r="A282" s="82">
        <v>370</v>
      </c>
      <c r="B282">
        <v>7</v>
      </c>
      <c r="C282">
        <v>0</v>
      </c>
      <c r="D282">
        <v>0</v>
      </c>
      <c r="E282">
        <v>0</v>
      </c>
      <c r="F282">
        <v>7</v>
      </c>
    </row>
    <row r="283" spans="1:9">
      <c r="A283" s="82">
        <v>371</v>
      </c>
      <c r="B283">
        <v>3</v>
      </c>
      <c r="C283">
        <v>0</v>
      </c>
      <c r="D283">
        <v>0</v>
      </c>
      <c r="E283">
        <v>0</v>
      </c>
      <c r="F283">
        <v>3</v>
      </c>
    </row>
    <row r="284" spans="1:9">
      <c r="A284" s="82">
        <v>377</v>
      </c>
      <c r="B284">
        <v>40</v>
      </c>
      <c r="C284">
        <v>0</v>
      </c>
      <c r="D284">
        <v>0</v>
      </c>
      <c r="E284">
        <v>0</v>
      </c>
      <c r="F284">
        <v>40</v>
      </c>
    </row>
    <row r="285" spans="1:9">
      <c r="A285" s="82">
        <v>389</v>
      </c>
      <c r="B285">
        <v>1</v>
      </c>
      <c r="C285">
        <v>0</v>
      </c>
      <c r="D285">
        <v>0</v>
      </c>
      <c r="E285">
        <v>0</v>
      </c>
      <c r="F285">
        <v>1</v>
      </c>
    </row>
    <row r="286" spans="1:9">
      <c r="A286" s="82">
        <v>399</v>
      </c>
      <c r="B286">
        <v>1</v>
      </c>
      <c r="C286">
        <v>0</v>
      </c>
      <c r="D286">
        <v>0</v>
      </c>
      <c r="E286">
        <v>0</v>
      </c>
      <c r="F286">
        <v>1</v>
      </c>
    </row>
    <row r="287" spans="1:9">
      <c r="A287" s="82">
        <v>502</v>
      </c>
      <c r="B287">
        <v>7</v>
      </c>
      <c r="C287">
        <v>7</v>
      </c>
      <c r="D287">
        <v>0</v>
      </c>
      <c r="E287">
        <v>0</v>
      </c>
      <c r="I287">
        <v>7</v>
      </c>
    </row>
    <row r="288" spans="1:9">
      <c r="A288" s="82">
        <v>505</v>
      </c>
      <c r="B288">
        <v>47</v>
      </c>
      <c r="C288">
        <v>0</v>
      </c>
      <c r="D288">
        <v>0</v>
      </c>
      <c r="E288">
        <v>0</v>
      </c>
      <c r="F288">
        <v>47</v>
      </c>
    </row>
    <row r="289" spans="1:9">
      <c r="A289" s="82">
        <v>514</v>
      </c>
      <c r="B289">
        <v>32</v>
      </c>
      <c r="C289">
        <v>0</v>
      </c>
      <c r="D289">
        <v>0</v>
      </c>
      <c r="E289">
        <v>0</v>
      </c>
      <c r="F289">
        <v>32</v>
      </c>
    </row>
    <row r="290" spans="1:9">
      <c r="A290" s="82">
        <v>515</v>
      </c>
      <c r="B290">
        <v>3</v>
      </c>
      <c r="C290">
        <v>3</v>
      </c>
      <c r="D290">
        <v>0</v>
      </c>
      <c r="E290">
        <v>0</v>
      </c>
      <c r="I290">
        <v>3</v>
      </c>
    </row>
    <row r="291" spans="1:9">
      <c r="A291" s="82">
        <v>516</v>
      </c>
      <c r="B291">
        <v>4</v>
      </c>
      <c r="C291">
        <v>0</v>
      </c>
      <c r="D291">
        <v>0</v>
      </c>
      <c r="E291">
        <v>0</v>
      </c>
      <c r="F291">
        <v>4</v>
      </c>
    </row>
    <row r="292" spans="1:9">
      <c r="A292" s="82">
        <v>517</v>
      </c>
      <c r="B292">
        <v>1</v>
      </c>
      <c r="C292">
        <v>0</v>
      </c>
      <c r="D292">
        <v>0</v>
      </c>
      <c r="E292">
        <v>0</v>
      </c>
      <c r="F292">
        <v>1</v>
      </c>
    </row>
    <row r="293" spans="1:9">
      <c r="A293" s="82">
        <v>518</v>
      </c>
      <c r="B293">
        <v>1</v>
      </c>
      <c r="C293">
        <v>0</v>
      </c>
      <c r="D293">
        <v>0</v>
      </c>
      <c r="E293">
        <v>0</v>
      </c>
      <c r="F293">
        <v>1</v>
      </c>
    </row>
    <row r="294" spans="1:9">
      <c r="A294" s="82">
        <v>519</v>
      </c>
      <c r="B294">
        <v>1</v>
      </c>
      <c r="C294">
        <v>0</v>
      </c>
      <c r="D294">
        <v>0</v>
      </c>
      <c r="E294">
        <v>0</v>
      </c>
      <c r="F294">
        <v>1</v>
      </c>
    </row>
    <row r="295" spans="1:9">
      <c r="A295" s="82">
        <v>520</v>
      </c>
      <c r="B295">
        <v>2</v>
      </c>
      <c r="C295">
        <v>0</v>
      </c>
      <c r="D295">
        <v>0</v>
      </c>
      <c r="E295">
        <v>0</v>
      </c>
      <c r="F295">
        <v>2</v>
      </c>
    </row>
    <row r="296" spans="1:9">
      <c r="A296" s="82">
        <v>521</v>
      </c>
      <c r="B296">
        <v>1</v>
      </c>
      <c r="C296">
        <v>0</v>
      </c>
      <c r="D296">
        <v>0</v>
      </c>
      <c r="E296">
        <v>0</v>
      </c>
      <c r="F296">
        <v>1</v>
      </c>
    </row>
    <row r="297" spans="1:9">
      <c r="A297" s="82">
        <v>523</v>
      </c>
      <c r="B297">
        <v>3</v>
      </c>
      <c r="C297">
        <v>1</v>
      </c>
      <c r="D297">
        <v>0</v>
      </c>
      <c r="E297">
        <v>0</v>
      </c>
      <c r="F297">
        <v>2</v>
      </c>
      <c r="H297">
        <v>1</v>
      </c>
    </row>
    <row r="298" spans="1:9">
      <c r="A298" s="82">
        <v>526</v>
      </c>
      <c r="B298">
        <v>1</v>
      </c>
      <c r="C298">
        <v>0</v>
      </c>
      <c r="D298">
        <v>0</v>
      </c>
      <c r="E298">
        <v>0</v>
      </c>
      <c r="F298">
        <v>1</v>
      </c>
    </row>
    <row r="299" spans="1:9">
      <c r="A299" s="82">
        <v>547</v>
      </c>
      <c r="B299">
        <v>4</v>
      </c>
      <c r="C299">
        <v>0</v>
      </c>
      <c r="D299">
        <v>0</v>
      </c>
      <c r="E299">
        <v>0</v>
      </c>
      <c r="F299">
        <v>4</v>
      </c>
    </row>
    <row r="300" spans="1:9">
      <c r="A300" s="82">
        <v>559</v>
      </c>
      <c r="B300">
        <v>1</v>
      </c>
      <c r="C300">
        <v>0</v>
      </c>
      <c r="D300">
        <v>0</v>
      </c>
      <c r="E300">
        <v>0</v>
      </c>
      <c r="F300">
        <v>1</v>
      </c>
    </row>
    <row r="301" spans="1:9">
      <c r="A301" s="82">
        <v>582</v>
      </c>
      <c r="B301">
        <v>6</v>
      </c>
      <c r="C301">
        <v>0</v>
      </c>
      <c r="D301">
        <v>0</v>
      </c>
      <c r="E301">
        <v>0</v>
      </c>
      <c r="F301">
        <v>6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P117"/>
  <sheetViews>
    <sheetView workbookViewId="0">
      <selection activeCell="C2" sqref="C2"/>
    </sheetView>
  </sheetViews>
  <sheetFormatPr defaultColWidth="8.7109375" defaultRowHeight="14.45"/>
  <cols>
    <col min="1" max="1" width="14.5703125" style="82" bestFit="1" customWidth="1"/>
    <col min="2" max="2" width="7.5703125" bestFit="1" customWidth="1"/>
    <col min="3" max="3" width="9.7109375" bestFit="1" customWidth="1"/>
    <col min="4" max="4" width="10.7109375" bestFit="1" customWidth="1"/>
    <col min="5" max="5" width="11.7109375" bestFit="1" customWidth="1"/>
    <col min="6" max="13" width="4.28515625" bestFit="1" customWidth="1"/>
    <col min="14" max="16" width="5.28515625" bestFit="1" customWidth="1"/>
    <col min="17" max="17" width="43.42578125" bestFit="1" customWidth="1"/>
    <col min="18" max="18" width="11.140625" bestFit="1" customWidth="1"/>
    <col min="19" max="21" width="12" bestFit="1" customWidth="1"/>
    <col min="22" max="22" width="37.42578125" bestFit="1" customWidth="1"/>
    <col min="23" max="25" width="12" bestFit="1" customWidth="1"/>
    <col min="26" max="32" width="12.140625" bestFit="1" customWidth="1"/>
  </cols>
  <sheetData>
    <row r="1" spans="1:16">
      <c r="A1" s="82" t="s">
        <v>497</v>
      </c>
      <c r="B1" t="s">
        <v>2144</v>
      </c>
      <c r="C1" t="s">
        <v>2328</v>
      </c>
      <c r="D1" t="s">
        <v>2329</v>
      </c>
      <c r="E1" t="s">
        <v>2330</v>
      </c>
      <c r="F1" t="s">
        <v>2331</v>
      </c>
      <c r="G1" t="s">
        <v>2332</v>
      </c>
      <c r="H1" t="s">
        <v>2333</v>
      </c>
      <c r="I1" t="s">
        <v>2334</v>
      </c>
      <c r="J1" t="s">
        <v>2341</v>
      </c>
      <c r="K1" t="s">
        <v>2335</v>
      </c>
      <c r="L1" t="s">
        <v>2337</v>
      </c>
      <c r="M1" t="s">
        <v>2338</v>
      </c>
      <c r="N1" t="s">
        <v>2339</v>
      </c>
      <c r="O1" t="s">
        <v>2340</v>
      </c>
      <c r="P1" t="s">
        <v>2342</v>
      </c>
    </row>
    <row r="2" spans="1:16">
      <c r="A2" s="82">
        <v>5</v>
      </c>
      <c r="B2">
        <v>12</v>
      </c>
      <c r="C2">
        <v>0</v>
      </c>
      <c r="D2">
        <v>6</v>
      </c>
      <c r="E2">
        <v>0</v>
      </c>
      <c r="F2">
        <v>6</v>
      </c>
      <c r="L2">
        <v>6</v>
      </c>
    </row>
    <row r="3" spans="1:16">
      <c r="A3" s="82">
        <v>9</v>
      </c>
      <c r="B3">
        <v>2</v>
      </c>
      <c r="C3">
        <v>2</v>
      </c>
      <c r="D3">
        <v>0</v>
      </c>
      <c r="E3">
        <v>0</v>
      </c>
      <c r="I3">
        <v>2</v>
      </c>
    </row>
    <row r="4" spans="1:16">
      <c r="A4" s="82">
        <v>14</v>
      </c>
      <c r="B4">
        <v>2</v>
      </c>
      <c r="C4">
        <v>0</v>
      </c>
      <c r="D4">
        <v>0</v>
      </c>
      <c r="E4">
        <v>0</v>
      </c>
      <c r="F4">
        <v>2</v>
      </c>
    </row>
    <row r="5" spans="1:16">
      <c r="A5" s="82">
        <v>15</v>
      </c>
      <c r="B5">
        <v>2</v>
      </c>
      <c r="C5">
        <v>0</v>
      </c>
      <c r="D5">
        <v>2</v>
      </c>
      <c r="E5">
        <v>0</v>
      </c>
      <c r="L5">
        <v>2</v>
      </c>
    </row>
    <row r="6" spans="1:16">
      <c r="A6" s="82">
        <v>16</v>
      </c>
      <c r="B6">
        <v>3</v>
      </c>
      <c r="C6">
        <v>0</v>
      </c>
      <c r="D6">
        <v>0</v>
      </c>
      <c r="E6">
        <v>0</v>
      </c>
      <c r="F6">
        <v>3</v>
      </c>
    </row>
    <row r="7" spans="1:16">
      <c r="A7" s="82">
        <v>17</v>
      </c>
      <c r="B7">
        <v>2</v>
      </c>
      <c r="C7">
        <v>0</v>
      </c>
      <c r="D7">
        <v>2</v>
      </c>
      <c r="E7">
        <v>0</v>
      </c>
      <c r="M7">
        <v>2</v>
      </c>
    </row>
    <row r="8" spans="1:16">
      <c r="A8" s="82">
        <v>18</v>
      </c>
      <c r="B8">
        <v>2</v>
      </c>
      <c r="C8">
        <v>0</v>
      </c>
      <c r="D8">
        <v>0</v>
      </c>
      <c r="E8">
        <v>0</v>
      </c>
      <c r="F8">
        <v>2</v>
      </c>
    </row>
    <row r="9" spans="1:16">
      <c r="A9" s="82">
        <v>19</v>
      </c>
      <c r="B9">
        <v>1</v>
      </c>
      <c r="C9">
        <v>0</v>
      </c>
      <c r="D9">
        <v>0</v>
      </c>
      <c r="E9">
        <v>0</v>
      </c>
      <c r="F9">
        <v>1</v>
      </c>
    </row>
    <row r="10" spans="1:16">
      <c r="A10" s="82">
        <v>20</v>
      </c>
      <c r="B10">
        <v>2</v>
      </c>
      <c r="C10">
        <v>2</v>
      </c>
      <c r="D10">
        <v>0</v>
      </c>
      <c r="E10">
        <v>0</v>
      </c>
      <c r="I10">
        <v>2</v>
      </c>
    </row>
    <row r="11" spans="1:16">
      <c r="A11" s="82">
        <v>21</v>
      </c>
      <c r="B11">
        <v>3</v>
      </c>
      <c r="C11">
        <v>0</v>
      </c>
      <c r="D11">
        <v>0</v>
      </c>
      <c r="E11">
        <v>0</v>
      </c>
      <c r="F11">
        <v>3</v>
      </c>
    </row>
    <row r="12" spans="1:16">
      <c r="A12" s="82">
        <v>22</v>
      </c>
      <c r="B12">
        <v>3</v>
      </c>
      <c r="C12">
        <v>3</v>
      </c>
      <c r="D12">
        <v>0</v>
      </c>
      <c r="E12">
        <v>0</v>
      </c>
      <c r="J12">
        <v>3</v>
      </c>
    </row>
    <row r="13" spans="1:16">
      <c r="A13" s="82">
        <v>23</v>
      </c>
      <c r="B13">
        <v>3</v>
      </c>
      <c r="C13">
        <v>0</v>
      </c>
      <c r="D13">
        <v>0</v>
      </c>
      <c r="E13">
        <v>0</v>
      </c>
      <c r="F13">
        <v>3</v>
      </c>
    </row>
    <row r="14" spans="1:16">
      <c r="A14" s="82">
        <v>24</v>
      </c>
      <c r="B14">
        <v>4</v>
      </c>
      <c r="C14">
        <v>0</v>
      </c>
      <c r="D14">
        <v>4</v>
      </c>
      <c r="E14">
        <v>0</v>
      </c>
      <c r="M14">
        <v>4</v>
      </c>
    </row>
    <row r="15" spans="1:16">
      <c r="A15" s="82">
        <v>25</v>
      </c>
      <c r="B15">
        <v>3</v>
      </c>
      <c r="C15">
        <v>0</v>
      </c>
      <c r="D15">
        <v>0</v>
      </c>
      <c r="E15">
        <v>0</v>
      </c>
      <c r="F15">
        <v>3</v>
      </c>
    </row>
    <row r="16" spans="1:16">
      <c r="A16" s="82">
        <v>26</v>
      </c>
      <c r="B16">
        <v>3</v>
      </c>
      <c r="C16">
        <v>3</v>
      </c>
      <c r="D16">
        <v>0</v>
      </c>
      <c r="E16">
        <v>0</v>
      </c>
      <c r="I16">
        <v>3</v>
      </c>
    </row>
    <row r="17" spans="1:15">
      <c r="A17" s="82">
        <v>27</v>
      </c>
      <c r="B17">
        <v>4</v>
      </c>
      <c r="C17">
        <v>0</v>
      </c>
      <c r="D17">
        <v>0</v>
      </c>
      <c r="E17">
        <v>0</v>
      </c>
      <c r="F17">
        <v>4</v>
      </c>
    </row>
    <row r="18" spans="1:15">
      <c r="A18" s="82">
        <v>28</v>
      </c>
      <c r="B18">
        <v>2</v>
      </c>
      <c r="C18">
        <v>0</v>
      </c>
      <c r="D18">
        <v>0</v>
      </c>
      <c r="E18">
        <v>0</v>
      </c>
      <c r="F18">
        <v>2</v>
      </c>
    </row>
    <row r="19" spans="1:15">
      <c r="A19" s="82">
        <v>29</v>
      </c>
      <c r="B19">
        <v>1</v>
      </c>
      <c r="C19">
        <v>0</v>
      </c>
      <c r="D19">
        <v>0</v>
      </c>
      <c r="E19">
        <v>0</v>
      </c>
      <c r="F19">
        <v>1</v>
      </c>
    </row>
    <row r="20" spans="1:15">
      <c r="A20" s="82">
        <v>30</v>
      </c>
      <c r="B20">
        <v>2</v>
      </c>
      <c r="C20">
        <v>0</v>
      </c>
      <c r="D20">
        <v>0</v>
      </c>
      <c r="E20">
        <v>2</v>
      </c>
      <c r="O20">
        <v>2</v>
      </c>
    </row>
    <row r="21" spans="1:15">
      <c r="A21" s="82">
        <v>32</v>
      </c>
      <c r="B21">
        <v>3</v>
      </c>
      <c r="C21">
        <v>3</v>
      </c>
      <c r="D21">
        <v>0</v>
      </c>
      <c r="E21">
        <v>0</v>
      </c>
      <c r="H21">
        <v>3</v>
      </c>
    </row>
    <row r="22" spans="1:15">
      <c r="A22" s="82">
        <v>33</v>
      </c>
      <c r="B22">
        <v>3</v>
      </c>
      <c r="C22">
        <v>3</v>
      </c>
      <c r="D22">
        <v>0</v>
      </c>
      <c r="E22">
        <v>0</v>
      </c>
      <c r="H22">
        <v>3</v>
      </c>
    </row>
    <row r="23" spans="1:15">
      <c r="A23" s="82">
        <v>34</v>
      </c>
      <c r="B23">
        <v>2</v>
      </c>
      <c r="C23">
        <v>0</v>
      </c>
      <c r="D23">
        <v>0</v>
      </c>
      <c r="E23">
        <v>0</v>
      </c>
      <c r="F23">
        <v>2</v>
      </c>
    </row>
    <row r="24" spans="1:15">
      <c r="A24" s="82">
        <v>35</v>
      </c>
      <c r="B24">
        <v>1</v>
      </c>
      <c r="C24">
        <v>1</v>
      </c>
      <c r="D24">
        <v>0</v>
      </c>
      <c r="E24">
        <v>0</v>
      </c>
      <c r="J24">
        <v>1</v>
      </c>
    </row>
    <row r="25" spans="1:15">
      <c r="A25" s="82">
        <v>36</v>
      </c>
      <c r="B25">
        <v>6</v>
      </c>
      <c r="C25">
        <v>0</v>
      </c>
      <c r="D25">
        <v>0</v>
      </c>
      <c r="E25">
        <v>0</v>
      </c>
      <c r="F25">
        <v>6</v>
      </c>
    </row>
    <row r="26" spans="1:15">
      <c r="A26" s="82">
        <v>37</v>
      </c>
      <c r="B26">
        <v>3</v>
      </c>
      <c r="C26">
        <v>0</v>
      </c>
      <c r="D26">
        <v>0</v>
      </c>
      <c r="E26">
        <v>0</v>
      </c>
      <c r="F26">
        <v>3</v>
      </c>
    </row>
    <row r="27" spans="1:15">
      <c r="A27" s="82">
        <v>38</v>
      </c>
      <c r="B27">
        <v>3</v>
      </c>
      <c r="C27">
        <v>3</v>
      </c>
      <c r="D27">
        <v>0</v>
      </c>
      <c r="E27">
        <v>0</v>
      </c>
      <c r="I27">
        <v>3</v>
      </c>
    </row>
    <row r="28" spans="1:15">
      <c r="A28" s="82">
        <v>39</v>
      </c>
      <c r="B28">
        <v>3</v>
      </c>
      <c r="C28">
        <v>0</v>
      </c>
      <c r="D28">
        <v>0</v>
      </c>
      <c r="E28">
        <v>0</v>
      </c>
      <c r="F28">
        <v>3</v>
      </c>
    </row>
    <row r="29" spans="1:15">
      <c r="A29" s="82">
        <v>40</v>
      </c>
      <c r="B29">
        <v>2</v>
      </c>
      <c r="C29">
        <v>2</v>
      </c>
      <c r="D29">
        <v>0</v>
      </c>
      <c r="E29">
        <v>0</v>
      </c>
      <c r="K29">
        <v>2</v>
      </c>
    </row>
    <row r="30" spans="1:15">
      <c r="A30" s="82">
        <v>41</v>
      </c>
      <c r="B30">
        <v>2</v>
      </c>
      <c r="C30">
        <v>0</v>
      </c>
      <c r="D30">
        <v>2</v>
      </c>
      <c r="E30">
        <v>0</v>
      </c>
      <c r="L30">
        <v>2</v>
      </c>
    </row>
    <row r="31" spans="1:15">
      <c r="A31" s="82">
        <v>45</v>
      </c>
      <c r="B31">
        <v>2</v>
      </c>
      <c r="C31">
        <v>0</v>
      </c>
      <c r="D31">
        <v>0</v>
      </c>
      <c r="E31">
        <v>0</v>
      </c>
      <c r="F31">
        <v>2</v>
      </c>
    </row>
    <row r="32" spans="1:15">
      <c r="A32" s="82">
        <v>47</v>
      </c>
      <c r="B32">
        <v>2</v>
      </c>
      <c r="C32">
        <v>0</v>
      </c>
      <c r="D32">
        <v>0</v>
      </c>
      <c r="E32">
        <v>0</v>
      </c>
      <c r="F32">
        <v>2</v>
      </c>
    </row>
    <row r="33" spans="1:16">
      <c r="A33" s="82">
        <v>49</v>
      </c>
      <c r="B33">
        <v>3</v>
      </c>
      <c r="C33">
        <v>0</v>
      </c>
      <c r="D33">
        <v>0</v>
      </c>
      <c r="E33">
        <v>0</v>
      </c>
      <c r="F33">
        <v>3</v>
      </c>
    </row>
    <row r="34" spans="1:16">
      <c r="A34" s="82">
        <v>50</v>
      </c>
      <c r="B34">
        <v>1</v>
      </c>
      <c r="C34">
        <v>1</v>
      </c>
      <c r="D34">
        <v>0</v>
      </c>
      <c r="E34">
        <v>0</v>
      </c>
      <c r="I34">
        <v>1</v>
      </c>
    </row>
    <row r="35" spans="1:16">
      <c r="A35" s="82">
        <v>52</v>
      </c>
      <c r="B35">
        <v>1</v>
      </c>
      <c r="C35">
        <v>0</v>
      </c>
      <c r="D35">
        <v>0</v>
      </c>
      <c r="E35">
        <v>0</v>
      </c>
      <c r="F35">
        <v>1</v>
      </c>
    </row>
    <row r="36" spans="1:16">
      <c r="A36" s="82">
        <v>53</v>
      </c>
      <c r="B36">
        <v>5</v>
      </c>
      <c r="C36">
        <v>0</v>
      </c>
      <c r="D36">
        <v>0</v>
      </c>
      <c r="E36">
        <v>0</v>
      </c>
      <c r="F36">
        <v>5</v>
      </c>
    </row>
    <row r="37" spans="1:16">
      <c r="A37" s="82">
        <v>56</v>
      </c>
      <c r="B37">
        <v>4</v>
      </c>
      <c r="C37">
        <v>0</v>
      </c>
      <c r="D37">
        <v>0</v>
      </c>
      <c r="E37">
        <v>0</v>
      </c>
      <c r="F37">
        <v>4</v>
      </c>
    </row>
    <row r="38" spans="1:16">
      <c r="A38" s="82">
        <v>57</v>
      </c>
      <c r="B38">
        <v>5</v>
      </c>
      <c r="C38">
        <v>0</v>
      </c>
      <c r="D38">
        <v>5</v>
      </c>
      <c r="E38">
        <v>0</v>
      </c>
      <c r="M38">
        <v>5</v>
      </c>
    </row>
    <row r="39" spans="1:16">
      <c r="A39" s="82">
        <v>58</v>
      </c>
      <c r="B39">
        <v>3</v>
      </c>
      <c r="C39">
        <v>3</v>
      </c>
      <c r="D39">
        <v>0</v>
      </c>
      <c r="E39">
        <v>0</v>
      </c>
      <c r="I39">
        <v>3</v>
      </c>
    </row>
    <row r="40" spans="1:16">
      <c r="A40" s="82">
        <v>59</v>
      </c>
      <c r="B40">
        <v>3</v>
      </c>
      <c r="C40">
        <v>0</v>
      </c>
      <c r="D40">
        <v>0</v>
      </c>
      <c r="E40">
        <v>0</v>
      </c>
      <c r="F40">
        <v>3</v>
      </c>
    </row>
    <row r="41" spans="1:16">
      <c r="A41" s="82">
        <v>62</v>
      </c>
      <c r="B41">
        <v>1</v>
      </c>
      <c r="C41">
        <v>1</v>
      </c>
      <c r="D41">
        <v>0</v>
      </c>
      <c r="E41">
        <v>0</v>
      </c>
      <c r="K41">
        <v>1</v>
      </c>
    </row>
    <row r="42" spans="1:16">
      <c r="A42" s="82">
        <v>63</v>
      </c>
      <c r="B42">
        <v>6</v>
      </c>
      <c r="C42">
        <v>0</v>
      </c>
      <c r="D42">
        <v>0</v>
      </c>
      <c r="E42">
        <v>0</v>
      </c>
      <c r="F42">
        <v>6</v>
      </c>
    </row>
    <row r="43" spans="1:16">
      <c r="A43" s="82">
        <v>64</v>
      </c>
      <c r="B43">
        <v>4</v>
      </c>
      <c r="C43">
        <v>0</v>
      </c>
      <c r="D43">
        <v>0</v>
      </c>
      <c r="E43">
        <v>0</v>
      </c>
      <c r="F43">
        <v>4</v>
      </c>
    </row>
    <row r="44" spans="1:16">
      <c r="A44" s="82">
        <v>65</v>
      </c>
      <c r="B44">
        <v>2</v>
      </c>
      <c r="C44">
        <v>0</v>
      </c>
      <c r="D44">
        <v>0</v>
      </c>
      <c r="E44">
        <v>0</v>
      </c>
      <c r="F44">
        <v>2</v>
      </c>
    </row>
    <row r="45" spans="1:16">
      <c r="A45" s="82">
        <v>66</v>
      </c>
      <c r="B45">
        <v>4</v>
      </c>
      <c r="C45">
        <v>0</v>
      </c>
      <c r="D45">
        <v>0</v>
      </c>
      <c r="E45">
        <v>0</v>
      </c>
      <c r="F45">
        <v>4</v>
      </c>
    </row>
    <row r="46" spans="1:16">
      <c r="A46" s="82">
        <v>67</v>
      </c>
      <c r="B46">
        <v>3</v>
      </c>
      <c r="C46">
        <v>0</v>
      </c>
      <c r="D46">
        <v>0</v>
      </c>
      <c r="E46">
        <v>0</v>
      </c>
      <c r="F46">
        <v>3</v>
      </c>
    </row>
    <row r="47" spans="1:16">
      <c r="A47" s="82">
        <v>69</v>
      </c>
      <c r="B47">
        <v>2</v>
      </c>
      <c r="C47">
        <v>0</v>
      </c>
      <c r="D47">
        <v>0</v>
      </c>
      <c r="E47">
        <v>0</v>
      </c>
      <c r="F47">
        <v>2</v>
      </c>
    </row>
    <row r="48" spans="1:16">
      <c r="A48" s="82">
        <v>70</v>
      </c>
      <c r="B48">
        <v>3</v>
      </c>
      <c r="C48">
        <v>0</v>
      </c>
      <c r="D48">
        <v>0</v>
      </c>
      <c r="E48">
        <v>3</v>
      </c>
      <c r="P48">
        <v>3</v>
      </c>
    </row>
    <row r="49" spans="1:14">
      <c r="A49" s="82">
        <v>71</v>
      </c>
      <c r="B49">
        <v>4</v>
      </c>
      <c r="C49">
        <v>0</v>
      </c>
      <c r="D49">
        <v>0</v>
      </c>
      <c r="E49">
        <v>0</v>
      </c>
      <c r="F49">
        <v>4</v>
      </c>
    </row>
    <row r="50" spans="1:14">
      <c r="A50" s="82">
        <v>73</v>
      </c>
      <c r="B50">
        <v>2</v>
      </c>
      <c r="C50">
        <v>0</v>
      </c>
      <c r="D50">
        <v>0</v>
      </c>
      <c r="E50">
        <v>0</v>
      </c>
      <c r="F50">
        <v>2</v>
      </c>
    </row>
    <row r="51" spans="1:14">
      <c r="A51" s="82">
        <v>74</v>
      </c>
      <c r="B51">
        <v>4</v>
      </c>
      <c r="C51">
        <v>0</v>
      </c>
      <c r="D51">
        <v>0</v>
      </c>
      <c r="E51">
        <v>0</v>
      </c>
      <c r="F51">
        <v>4</v>
      </c>
    </row>
    <row r="52" spans="1:14">
      <c r="A52" s="82">
        <v>75</v>
      </c>
      <c r="B52">
        <v>2</v>
      </c>
      <c r="C52">
        <v>0</v>
      </c>
      <c r="D52">
        <v>0</v>
      </c>
      <c r="E52">
        <v>0</v>
      </c>
      <c r="F52">
        <v>2</v>
      </c>
    </row>
    <row r="53" spans="1:14">
      <c r="A53" s="82">
        <v>76</v>
      </c>
      <c r="B53">
        <v>2</v>
      </c>
      <c r="C53">
        <v>0</v>
      </c>
      <c r="D53">
        <v>0</v>
      </c>
      <c r="E53">
        <v>0</v>
      </c>
      <c r="F53">
        <v>2</v>
      </c>
    </row>
    <row r="54" spans="1:14">
      <c r="A54" s="82">
        <v>77</v>
      </c>
      <c r="B54">
        <v>2</v>
      </c>
      <c r="C54">
        <v>0</v>
      </c>
      <c r="D54">
        <v>0</v>
      </c>
      <c r="E54">
        <v>2</v>
      </c>
      <c r="N54">
        <v>2</v>
      </c>
    </row>
    <row r="55" spans="1:14">
      <c r="A55" s="82">
        <v>78</v>
      </c>
      <c r="B55">
        <v>2</v>
      </c>
      <c r="C55">
        <v>0</v>
      </c>
      <c r="D55">
        <v>0</v>
      </c>
      <c r="E55">
        <v>0</v>
      </c>
      <c r="F55">
        <v>2</v>
      </c>
    </row>
    <row r="56" spans="1:14">
      <c r="A56" s="82">
        <v>79</v>
      </c>
      <c r="B56">
        <v>2</v>
      </c>
      <c r="C56">
        <v>0</v>
      </c>
      <c r="D56">
        <v>0</v>
      </c>
      <c r="E56">
        <v>0</v>
      </c>
      <c r="F56">
        <v>2</v>
      </c>
    </row>
    <row r="57" spans="1:14">
      <c r="A57" s="82">
        <v>80</v>
      </c>
      <c r="B57">
        <v>4</v>
      </c>
      <c r="C57">
        <v>0</v>
      </c>
      <c r="D57">
        <v>0</v>
      </c>
      <c r="E57">
        <v>0</v>
      </c>
      <c r="F57">
        <v>4</v>
      </c>
    </row>
    <row r="58" spans="1:14">
      <c r="A58" s="82">
        <v>81</v>
      </c>
      <c r="B58">
        <v>3</v>
      </c>
      <c r="C58">
        <v>0</v>
      </c>
      <c r="D58">
        <v>0</v>
      </c>
      <c r="E58">
        <v>0</v>
      </c>
      <c r="F58">
        <v>3</v>
      </c>
    </row>
    <row r="59" spans="1:14">
      <c r="A59" s="82">
        <v>84</v>
      </c>
      <c r="B59">
        <v>3</v>
      </c>
      <c r="C59">
        <v>0</v>
      </c>
      <c r="D59">
        <v>0</v>
      </c>
      <c r="E59">
        <v>0</v>
      </c>
      <c r="F59">
        <v>3</v>
      </c>
    </row>
    <row r="60" spans="1:14">
      <c r="A60" s="82">
        <v>85</v>
      </c>
      <c r="B60">
        <v>3</v>
      </c>
      <c r="C60">
        <v>0</v>
      </c>
      <c r="D60">
        <v>0</v>
      </c>
      <c r="E60">
        <v>0</v>
      </c>
      <c r="F60">
        <v>3</v>
      </c>
    </row>
    <row r="61" spans="1:14">
      <c r="A61" s="82">
        <v>86</v>
      </c>
      <c r="B61">
        <v>2</v>
      </c>
      <c r="C61">
        <v>0</v>
      </c>
      <c r="D61">
        <v>0</v>
      </c>
      <c r="E61">
        <v>0</v>
      </c>
      <c r="F61">
        <v>2</v>
      </c>
    </row>
    <row r="62" spans="1:14">
      <c r="A62" s="82">
        <v>87</v>
      </c>
      <c r="B62">
        <v>2</v>
      </c>
      <c r="C62">
        <v>0</v>
      </c>
      <c r="D62">
        <v>0</v>
      </c>
      <c r="E62">
        <v>0</v>
      </c>
      <c r="F62">
        <v>2</v>
      </c>
    </row>
    <row r="63" spans="1:14">
      <c r="A63" s="82">
        <v>88</v>
      </c>
      <c r="B63">
        <v>2</v>
      </c>
      <c r="C63">
        <v>0</v>
      </c>
      <c r="D63">
        <v>0</v>
      </c>
      <c r="E63">
        <v>0</v>
      </c>
      <c r="F63">
        <v>2</v>
      </c>
    </row>
    <row r="64" spans="1:14">
      <c r="A64" s="82">
        <v>92</v>
      </c>
      <c r="B64">
        <v>4</v>
      </c>
      <c r="C64">
        <v>0</v>
      </c>
      <c r="D64">
        <v>0</v>
      </c>
      <c r="E64">
        <v>0</v>
      </c>
      <c r="F64">
        <v>4</v>
      </c>
    </row>
    <row r="65" spans="1:14">
      <c r="A65" s="82">
        <v>93</v>
      </c>
      <c r="B65">
        <v>2</v>
      </c>
      <c r="C65">
        <v>0</v>
      </c>
      <c r="D65">
        <v>0</v>
      </c>
      <c r="E65">
        <v>0</v>
      </c>
      <c r="F65">
        <v>2</v>
      </c>
    </row>
    <row r="66" spans="1:14">
      <c r="A66" s="82">
        <v>96</v>
      </c>
      <c r="B66">
        <v>2</v>
      </c>
      <c r="C66">
        <v>2</v>
      </c>
      <c r="D66">
        <v>0</v>
      </c>
      <c r="E66">
        <v>0</v>
      </c>
      <c r="I66">
        <v>2</v>
      </c>
    </row>
    <row r="67" spans="1:14">
      <c r="A67" s="82">
        <v>97</v>
      </c>
      <c r="B67">
        <v>4</v>
      </c>
      <c r="C67">
        <v>0</v>
      </c>
      <c r="D67">
        <v>0</v>
      </c>
      <c r="E67">
        <v>0</v>
      </c>
      <c r="F67">
        <v>4</v>
      </c>
    </row>
    <row r="68" spans="1:14">
      <c r="A68" s="82">
        <v>99</v>
      </c>
      <c r="B68">
        <v>1</v>
      </c>
      <c r="C68">
        <v>1</v>
      </c>
      <c r="D68">
        <v>0</v>
      </c>
      <c r="E68">
        <v>0</v>
      </c>
      <c r="H68">
        <v>1</v>
      </c>
    </row>
    <row r="69" spans="1:14">
      <c r="A69" s="82">
        <v>100</v>
      </c>
      <c r="B69">
        <v>1</v>
      </c>
      <c r="C69">
        <v>0</v>
      </c>
      <c r="D69">
        <v>0</v>
      </c>
      <c r="E69">
        <v>0</v>
      </c>
      <c r="F69">
        <v>1</v>
      </c>
    </row>
    <row r="70" spans="1:14">
      <c r="A70" s="82">
        <v>101</v>
      </c>
      <c r="B70">
        <v>2</v>
      </c>
      <c r="C70">
        <v>2</v>
      </c>
      <c r="D70">
        <v>0</v>
      </c>
      <c r="E70">
        <v>0</v>
      </c>
      <c r="H70">
        <v>2</v>
      </c>
    </row>
    <row r="71" spans="1:14">
      <c r="A71" s="82">
        <v>102</v>
      </c>
      <c r="B71">
        <v>3</v>
      </c>
      <c r="C71">
        <v>0</v>
      </c>
      <c r="D71">
        <v>0</v>
      </c>
      <c r="E71">
        <v>0</v>
      </c>
      <c r="F71">
        <v>3</v>
      </c>
    </row>
    <row r="72" spans="1:14">
      <c r="A72" s="82">
        <v>103</v>
      </c>
      <c r="B72">
        <v>2</v>
      </c>
      <c r="C72">
        <v>0</v>
      </c>
      <c r="D72">
        <v>0</v>
      </c>
      <c r="E72">
        <v>0</v>
      </c>
      <c r="F72">
        <v>2</v>
      </c>
    </row>
    <row r="73" spans="1:14">
      <c r="A73" s="82">
        <v>111</v>
      </c>
      <c r="B73">
        <v>2</v>
      </c>
      <c r="C73">
        <v>0</v>
      </c>
      <c r="D73">
        <v>0</v>
      </c>
      <c r="E73">
        <v>0</v>
      </c>
      <c r="F73">
        <v>2</v>
      </c>
    </row>
    <row r="74" spans="1:14">
      <c r="A74" s="82">
        <v>112</v>
      </c>
      <c r="B74">
        <v>2</v>
      </c>
      <c r="C74">
        <v>0</v>
      </c>
      <c r="D74">
        <v>0</v>
      </c>
      <c r="E74">
        <v>0</v>
      </c>
      <c r="F74">
        <v>2</v>
      </c>
    </row>
    <row r="75" spans="1:14">
      <c r="A75" s="82">
        <v>113</v>
      </c>
      <c r="B75">
        <v>2</v>
      </c>
      <c r="C75">
        <v>0</v>
      </c>
      <c r="D75">
        <v>0</v>
      </c>
      <c r="E75">
        <v>0</v>
      </c>
      <c r="F75">
        <v>2</v>
      </c>
    </row>
    <row r="76" spans="1:14">
      <c r="A76" s="82">
        <v>114</v>
      </c>
      <c r="B76">
        <v>2</v>
      </c>
      <c r="C76">
        <v>0</v>
      </c>
      <c r="D76">
        <v>0</v>
      </c>
      <c r="E76">
        <v>0</v>
      </c>
      <c r="F76">
        <v>2</v>
      </c>
    </row>
    <row r="77" spans="1:14">
      <c r="A77" s="82">
        <v>116</v>
      </c>
      <c r="B77">
        <v>2</v>
      </c>
      <c r="C77">
        <v>0</v>
      </c>
      <c r="D77">
        <v>0</v>
      </c>
      <c r="E77">
        <v>0</v>
      </c>
      <c r="F77">
        <v>2</v>
      </c>
    </row>
    <row r="78" spans="1:14">
      <c r="A78" s="82">
        <v>117</v>
      </c>
      <c r="B78">
        <v>2</v>
      </c>
      <c r="C78">
        <v>0</v>
      </c>
      <c r="D78">
        <v>0</v>
      </c>
      <c r="E78">
        <v>2</v>
      </c>
      <c r="N78">
        <v>2</v>
      </c>
    </row>
    <row r="79" spans="1:14">
      <c r="A79" s="82">
        <v>118</v>
      </c>
      <c r="B79">
        <v>2</v>
      </c>
      <c r="C79">
        <v>0</v>
      </c>
      <c r="D79">
        <v>0</v>
      </c>
      <c r="E79">
        <v>0</v>
      </c>
      <c r="F79">
        <v>2</v>
      </c>
    </row>
    <row r="80" spans="1:14">
      <c r="A80" s="82">
        <v>120</v>
      </c>
      <c r="B80">
        <v>2</v>
      </c>
      <c r="C80">
        <v>0</v>
      </c>
      <c r="D80">
        <v>0</v>
      </c>
      <c r="E80">
        <v>0</v>
      </c>
      <c r="F80">
        <v>2</v>
      </c>
    </row>
    <row r="81" spans="1:10">
      <c r="A81" s="82">
        <v>121</v>
      </c>
      <c r="B81">
        <v>2</v>
      </c>
      <c r="C81">
        <v>0</v>
      </c>
      <c r="D81">
        <v>0</v>
      </c>
      <c r="E81">
        <v>0</v>
      </c>
      <c r="F81">
        <v>2</v>
      </c>
    </row>
    <row r="82" spans="1:10">
      <c r="A82" s="82">
        <v>122</v>
      </c>
      <c r="B82">
        <v>2</v>
      </c>
      <c r="C82">
        <v>0</v>
      </c>
      <c r="D82">
        <v>0</v>
      </c>
      <c r="E82">
        <v>0</v>
      </c>
      <c r="F82">
        <v>2</v>
      </c>
    </row>
    <row r="83" spans="1:10">
      <c r="A83" s="82">
        <v>123</v>
      </c>
      <c r="B83">
        <v>1</v>
      </c>
      <c r="C83">
        <v>1</v>
      </c>
      <c r="D83">
        <v>0</v>
      </c>
      <c r="E83">
        <v>0</v>
      </c>
      <c r="I83">
        <v>1</v>
      </c>
    </row>
    <row r="84" spans="1:10">
      <c r="A84" s="82">
        <v>126</v>
      </c>
      <c r="B84">
        <v>2</v>
      </c>
      <c r="C84">
        <v>2</v>
      </c>
      <c r="D84">
        <v>0</v>
      </c>
      <c r="E84">
        <v>0</v>
      </c>
      <c r="G84">
        <v>2</v>
      </c>
    </row>
    <row r="85" spans="1:10">
      <c r="A85" s="82">
        <v>129</v>
      </c>
      <c r="B85">
        <v>1</v>
      </c>
      <c r="C85">
        <v>0</v>
      </c>
      <c r="D85">
        <v>0</v>
      </c>
      <c r="E85">
        <v>0</v>
      </c>
      <c r="F85">
        <v>1</v>
      </c>
    </row>
    <row r="86" spans="1:10">
      <c r="A86" s="82">
        <v>133</v>
      </c>
      <c r="B86">
        <v>2</v>
      </c>
      <c r="C86">
        <v>0</v>
      </c>
      <c r="D86">
        <v>0</v>
      </c>
      <c r="E86">
        <v>0</v>
      </c>
      <c r="F86">
        <v>2</v>
      </c>
    </row>
    <row r="87" spans="1:10">
      <c r="A87" s="82">
        <v>136</v>
      </c>
      <c r="B87">
        <v>2</v>
      </c>
      <c r="C87">
        <v>0</v>
      </c>
      <c r="D87">
        <v>0</v>
      </c>
      <c r="E87">
        <v>0</v>
      </c>
      <c r="F87">
        <v>2</v>
      </c>
    </row>
    <row r="88" spans="1:10">
      <c r="A88" s="82">
        <v>138</v>
      </c>
      <c r="B88">
        <v>2</v>
      </c>
      <c r="C88">
        <v>0</v>
      </c>
      <c r="D88">
        <v>0</v>
      </c>
      <c r="E88">
        <v>0</v>
      </c>
      <c r="F88">
        <v>2</v>
      </c>
    </row>
    <row r="89" spans="1:10">
      <c r="A89" s="82">
        <v>140</v>
      </c>
      <c r="B89">
        <v>2</v>
      </c>
      <c r="C89">
        <v>2</v>
      </c>
      <c r="D89">
        <v>0</v>
      </c>
      <c r="E89">
        <v>0</v>
      </c>
      <c r="G89">
        <v>2</v>
      </c>
    </row>
    <row r="90" spans="1:10">
      <c r="A90" s="82">
        <v>141</v>
      </c>
      <c r="B90">
        <v>2</v>
      </c>
      <c r="C90">
        <v>0</v>
      </c>
      <c r="D90">
        <v>0</v>
      </c>
      <c r="E90">
        <v>0</v>
      </c>
      <c r="F90">
        <v>2</v>
      </c>
    </row>
    <row r="91" spans="1:10">
      <c r="A91" s="82">
        <v>145</v>
      </c>
      <c r="B91">
        <v>4</v>
      </c>
      <c r="C91">
        <v>0</v>
      </c>
      <c r="D91">
        <v>0</v>
      </c>
      <c r="E91">
        <v>0</v>
      </c>
      <c r="F91">
        <v>4</v>
      </c>
    </row>
    <row r="92" spans="1:10">
      <c r="A92" s="82">
        <v>149</v>
      </c>
      <c r="B92">
        <v>3</v>
      </c>
      <c r="C92">
        <v>3</v>
      </c>
      <c r="D92">
        <v>0</v>
      </c>
      <c r="E92">
        <v>0</v>
      </c>
      <c r="I92">
        <v>3</v>
      </c>
    </row>
    <row r="93" spans="1:10">
      <c r="A93" s="82">
        <v>160</v>
      </c>
      <c r="B93">
        <v>1</v>
      </c>
      <c r="C93">
        <v>0</v>
      </c>
      <c r="D93">
        <v>0</v>
      </c>
      <c r="E93">
        <v>0</v>
      </c>
      <c r="F93">
        <v>1</v>
      </c>
    </row>
    <row r="94" spans="1:10">
      <c r="A94" s="82">
        <v>165</v>
      </c>
      <c r="B94">
        <v>1</v>
      </c>
      <c r="C94">
        <v>1</v>
      </c>
      <c r="D94">
        <v>0</v>
      </c>
      <c r="E94">
        <v>0</v>
      </c>
      <c r="I94">
        <v>1</v>
      </c>
    </row>
    <row r="95" spans="1:10">
      <c r="A95" s="82">
        <v>166</v>
      </c>
      <c r="B95">
        <v>2</v>
      </c>
      <c r="C95">
        <v>2</v>
      </c>
      <c r="D95">
        <v>0</v>
      </c>
      <c r="E95">
        <v>0</v>
      </c>
      <c r="J95">
        <v>2</v>
      </c>
    </row>
    <row r="96" spans="1:10">
      <c r="A96" s="82">
        <v>168</v>
      </c>
      <c r="B96">
        <v>1</v>
      </c>
      <c r="C96">
        <v>0</v>
      </c>
      <c r="D96">
        <v>0</v>
      </c>
      <c r="E96">
        <v>0</v>
      </c>
      <c r="F96">
        <v>1</v>
      </c>
    </row>
    <row r="97" spans="1:12">
      <c r="A97" s="82">
        <v>170</v>
      </c>
      <c r="B97">
        <v>1</v>
      </c>
      <c r="C97">
        <v>0</v>
      </c>
      <c r="D97">
        <v>0</v>
      </c>
      <c r="E97">
        <v>0</v>
      </c>
      <c r="F97">
        <v>1</v>
      </c>
    </row>
    <row r="98" spans="1:12">
      <c r="A98" s="82">
        <v>186</v>
      </c>
      <c r="B98">
        <v>1</v>
      </c>
      <c r="C98">
        <v>1</v>
      </c>
      <c r="D98">
        <v>0</v>
      </c>
      <c r="E98">
        <v>0</v>
      </c>
      <c r="I98">
        <v>1</v>
      </c>
    </row>
    <row r="99" spans="1:12">
      <c r="A99" s="82">
        <v>197</v>
      </c>
      <c r="B99">
        <v>1</v>
      </c>
      <c r="C99">
        <v>0</v>
      </c>
      <c r="D99">
        <v>0</v>
      </c>
      <c r="E99">
        <v>0</v>
      </c>
      <c r="F99">
        <v>1</v>
      </c>
    </row>
    <row r="100" spans="1:12">
      <c r="A100" s="82">
        <v>202</v>
      </c>
      <c r="B100">
        <v>1</v>
      </c>
      <c r="C100">
        <v>0</v>
      </c>
      <c r="D100">
        <v>0</v>
      </c>
      <c r="E100">
        <v>0</v>
      </c>
      <c r="F100">
        <v>1</v>
      </c>
    </row>
    <row r="101" spans="1:12">
      <c r="A101" s="82">
        <v>206</v>
      </c>
      <c r="B101">
        <v>1</v>
      </c>
      <c r="C101">
        <v>0</v>
      </c>
      <c r="D101">
        <v>0</v>
      </c>
      <c r="E101">
        <v>0</v>
      </c>
      <c r="F101">
        <v>1</v>
      </c>
    </row>
    <row r="102" spans="1:12">
      <c r="A102" s="82">
        <v>208</v>
      </c>
      <c r="B102">
        <v>1</v>
      </c>
      <c r="C102">
        <v>0</v>
      </c>
      <c r="D102">
        <v>0</v>
      </c>
      <c r="E102">
        <v>0</v>
      </c>
      <c r="F102">
        <v>1</v>
      </c>
    </row>
    <row r="103" spans="1:12">
      <c r="A103" s="82">
        <v>211</v>
      </c>
      <c r="B103">
        <v>1</v>
      </c>
      <c r="C103">
        <v>1</v>
      </c>
      <c r="D103">
        <v>0</v>
      </c>
      <c r="E103">
        <v>0</v>
      </c>
      <c r="I103">
        <v>1</v>
      </c>
    </row>
    <row r="104" spans="1:12">
      <c r="A104" s="82">
        <v>216</v>
      </c>
      <c r="B104">
        <v>1</v>
      </c>
      <c r="C104">
        <v>0</v>
      </c>
      <c r="D104">
        <v>0</v>
      </c>
      <c r="E104">
        <v>0</v>
      </c>
      <c r="F104">
        <v>1</v>
      </c>
    </row>
    <row r="105" spans="1:12">
      <c r="A105" s="82">
        <v>227</v>
      </c>
      <c r="B105">
        <v>2</v>
      </c>
      <c r="C105">
        <v>0</v>
      </c>
      <c r="D105">
        <v>2</v>
      </c>
      <c r="E105">
        <v>0</v>
      </c>
      <c r="L105">
        <v>2</v>
      </c>
    </row>
    <row r="106" spans="1:12">
      <c r="A106" s="82">
        <v>230</v>
      </c>
      <c r="B106">
        <v>1</v>
      </c>
      <c r="C106">
        <v>1</v>
      </c>
      <c r="D106">
        <v>0</v>
      </c>
      <c r="E106">
        <v>0</v>
      </c>
      <c r="I106">
        <v>1</v>
      </c>
    </row>
    <row r="107" spans="1:12">
      <c r="A107" s="82">
        <v>232</v>
      </c>
      <c r="B107">
        <v>2</v>
      </c>
      <c r="C107">
        <v>0</v>
      </c>
      <c r="D107">
        <v>0</v>
      </c>
      <c r="E107">
        <v>0</v>
      </c>
      <c r="F107">
        <v>2</v>
      </c>
    </row>
    <row r="108" spans="1:12">
      <c r="A108" s="82">
        <v>237</v>
      </c>
      <c r="B108">
        <v>1</v>
      </c>
      <c r="C108">
        <v>0</v>
      </c>
      <c r="D108">
        <v>0</v>
      </c>
      <c r="E108">
        <v>0</v>
      </c>
      <c r="F108">
        <v>1</v>
      </c>
    </row>
    <row r="109" spans="1:12">
      <c r="A109" s="82">
        <v>243</v>
      </c>
      <c r="B109">
        <v>2</v>
      </c>
      <c r="C109">
        <v>0</v>
      </c>
      <c r="D109">
        <v>0</v>
      </c>
      <c r="E109">
        <v>0</v>
      </c>
      <c r="F109">
        <v>2</v>
      </c>
    </row>
    <row r="110" spans="1:12">
      <c r="A110" s="82">
        <v>256</v>
      </c>
      <c r="B110">
        <v>1</v>
      </c>
      <c r="C110">
        <v>0</v>
      </c>
      <c r="D110">
        <v>0</v>
      </c>
      <c r="E110">
        <v>0</v>
      </c>
      <c r="F110">
        <v>1</v>
      </c>
    </row>
    <row r="111" spans="1:12">
      <c r="A111" s="82">
        <v>262</v>
      </c>
      <c r="B111">
        <v>1</v>
      </c>
      <c r="C111">
        <v>0</v>
      </c>
      <c r="D111">
        <v>0</v>
      </c>
      <c r="E111">
        <v>0</v>
      </c>
      <c r="F111">
        <v>1</v>
      </c>
    </row>
    <row r="112" spans="1:12">
      <c r="A112" s="82">
        <v>285</v>
      </c>
      <c r="B112">
        <v>1</v>
      </c>
      <c r="C112">
        <v>0</v>
      </c>
      <c r="D112">
        <v>0</v>
      </c>
      <c r="E112">
        <v>0</v>
      </c>
      <c r="F112">
        <v>1</v>
      </c>
    </row>
    <row r="113" spans="1:9">
      <c r="A113" s="82">
        <v>334</v>
      </c>
      <c r="B113">
        <v>1</v>
      </c>
      <c r="C113">
        <v>0</v>
      </c>
      <c r="D113">
        <v>0</v>
      </c>
      <c r="E113">
        <v>0</v>
      </c>
      <c r="F113">
        <v>1</v>
      </c>
    </row>
    <row r="114" spans="1:9">
      <c r="A114" s="82">
        <v>356</v>
      </c>
      <c r="B114">
        <v>1</v>
      </c>
      <c r="C114">
        <v>1</v>
      </c>
      <c r="D114">
        <v>0</v>
      </c>
      <c r="E114">
        <v>0</v>
      </c>
      <c r="I114">
        <v>1</v>
      </c>
    </row>
    <row r="115" spans="1:9">
      <c r="A115" s="82">
        <v>357</v>
      </c>
      <c r="B115">
        <v>1</v>
      </c>
      <c r="C115">
        <v>0</v>
      </c>
      <c r="D115">
        <v>0</v>
      </c>
      <c r="E115">
        <v>0</v>
      </c>
      <c r="F115">
        <v>1</v>
      </c>
    </row>
    <row r="116" spans="1:9">
      <c r="A116" s="82">
        <v>502</v>
      </c>
      <c r="B116">
        <v>2</v>
      </c>
      <c r="C116">
        <v>0</v>
      </c>
      <c r="D116">
        <v>0</v>
      </c>
      <c r="E116">
        <v>0</v>
      </c>
      <c r="F116">
        <v>2</v>
      </c>
    </row>
    <row r="117" spans="1:9">
      <c r="A117" s="82">
        <v>514</v>
      </c>
      <c r="B117">
        <v>3</v>
      </c>
      <c r="C117">
        <v>0</v>
      </c>
      <c r="D117">
        <v>0</v>
      </c>
      <c r="E117">
        <v>0</v>
      </c>
      <c r="F117">
        <v>3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I160"/>
  <sheetViews>
    <sheetView workbookViewId="0">
      <selection activeCell="D4" sqref="D4"/>
    </sheetView>
  </sheetViews>
  <sheetFormatPr defaultColWidth="8.7109375" defaultRowHeight="14.45"/>
  <cols>
    <col min="1" max="1" width="10.7109375" bestFit="1" customWidth="1"/>
    <col min="2" max="2" width="6.42578125" bestFit="1" customWidth="1"/>
    <col min="3" max="3" width="29.5703125" bestFit="1" customWidth="1"/>
    <col min="4" max="4" width="43.28515625" bestFit="1" customWidth="1"/>
    <col min="5" max="5" width="7.5703125" bestFit="1" customWidth="1"/>
    <col min="6" max="6" width="26.7109375" bestFit="1" customWidth="1"/>
    <col min="7" max="8" width="7" bestFit="1" customWidth="1"/>
    <col min="9" max="9" width="8" bestFit="1" customWidth="1"/>
    <col min="10" max="10" width="46.7109375" bestFit="1" customWidth="1"/>
    <col min="11" max="11" width="11.140625" bestFit="1" customWidth="1"/>
    <col min="12" max="12" width="7.7109375" bestFit="1" customWidth="1"/>
    <col min="13" max="13" width="18.42578125" bestFit="1" customWidth="1"/>
    <col min="14" max="14" width="39.140625" bestFit="1" customWidth="1"/>
    <col min="15" max="15" width="73.42578125" bestFit="1" customWidth="1"/>
    <col min="16" max="16" width="54.28515625" bestFit="1" customWidth="1"/>
    <col min="17" max="17" width="51.7109375" bestFit="1" customWidth="1"/>
    <col min="18" max="18" width="17.140625" bestFit="1" customWidth="1"/>
    <col min="19" max="19" width="23.7109375" bestFit="1" customWidth="1"/>
    <col min="20" max="20" width="37.28515625" bestFit="1" customWidth="1"/>
    <col min="21" max="21" width="38" bestFit="1" customWidth="1"/>
    <col min="22" max="22" width="41" bestFit="1" customWidth="1"/>
    <col min="23" max="23" width="32.140625" bestFit="1" customWidth="1"/>
    <col min="24" max="24" width="18.42578125" bestFit="1" customWidth="1"/>
    <col min="25" max="25" width="22.42578125" bestFit="1" customWidth="1"/>
    <col min="26" max="26" width="54.7109375" bestFit="1" customWidth="1"/>
    <col min="27" max="27" width="14" bestFit="1" customWidth="1"/>
    <col min="28" max="28" width="23.42578125" bestFit="1" customWidth="1"/>
    <col min="29" max="29" width="54.7109375" bestFit="1" customWidth="1"/>
    <col min="30" max="34" width="12.140625" bestFit="1" customWidth="1"/>
  </cols>
  <sheetData>
    <row r="1" spans="1:9">
      <c r="A1" t="s">
        <v>2343</v>
      </c>
      <c r="B1" t="s">
        <v>155</v>
      </c>
      <c r="C1" t="s">
        <v>2344</v>
      </c>
      <c r="D1" t="s">
        <v>2142</v>
      </c>
      <c r="E1" t="s">
        <v>2144</v>
      </c>
      <c r="F1" t="s">
        <v>2345</v>
      </c>
      <c r="G1" t="s">
        <v>2346</v>
      </c>
      <c r="H1" t="s">
        <v>2347</v>
      </c>
      <c r="I1" t="s">
        <v>2348</v>
      </c>
    </row>
    <row r="2" spans="1:9">
      <c r="A2">
        <v>1</v>
      </c>
      <c r="B2">
        <v>195</v>
      </c>
      <c r="C2" s="20" t="s">
        <v>857</v>
      </c>
      <c r="D2" s="20" t="s">
        <v>1780</v>
      </c>
      <c r="E2">
        <v>115</v>
      </c>
      <c r="F2">
        <v>2019</v>
      </c>
      <c r="G2">
        <v>2019</v>
      </c>
      <c r="H2">
        <v>2019</v>
      </c>
      <c r="I2">
        <v>2019</v>
      </c>
    </row>
    <row r="3" spans="1:9">
      <c r="A3">
        <v>2</v>
      </c>
      <c r="B3">
        <v>324</v>
      </c>
      <c r="C3" s="20" t="s">
        <v>857</v>
      </c>
      <c r="D3" s="20" t="s">
        <v>1210</v>
      </c>
      <c r="E3">
        <v>276</v>
      </c>
      <c r="F3">
        <v>2019</v>
      </c>
      <c r="G3">
        <v>2019</v>
      </c>
      <c r="H3">
        <v>2019</v>
      </c>
      <c r="I3">
        <v>2019</v>
      </c>
    </row>
    <row r="4" spans="1:9">
      <c r="A4">
        <v>3</v>
      </c>
      <c r="B4">
        <v>302</v>
      </c>
      <c r="C4" s="20" t="s">
        <v>857</v>
      </c>
      <c r="D4" s="20" t="s">
        <v>1196</v>
      </c>
      <c r="E4">
        <v>300</v>
      </c>
      <c r="F4">
        <v>2019</v>
      </c>
      <c r="G4">
        <v>2019</v>
      </c>
      <c r="H4">
        <v>2019</v>
      </c>
      <c r="I4">
        <v>2019</v>
      </c>
    </row>
    <row r="5" spans="1:9">
      <c r="A5">
        <v>4</v>
      </c>
      <c r="B5">
        <v>303</v>
      </c>
      <c r="C5" s="20" t="s">
        <v>857</v>
      </c>
      <c r="D5" s="20" t="s">
        <v>1206</v>
      </c>
      <c r="E5">
        <v>300</v>
      </c>
      <c r="F5">
        <v>2019</v>
      </c>
      <c r="G5">
        <v>2019</v>
      </c>
      <c r="H5">
        <v>2019</v>
      </c>
      <c r="I5">
        <v>2019</v>
      </c>
    </row>
    <row r="6" spans="1:9">
      <c r="A6">
        <v>5</v>
      </c>
      <c r="B6">
        <v>247</v>
      </c>
      <c r="C6" s="20" t="s">
        <v>857</v>
      </c>
      <c r="D6" s="20" t="s">
        <v>857</v>
      </c>
      <c r="E6">
        <v>324</v>
      </c>
      <c r="F6">
        <v>2019</v>
      </c>
      <c r="G6">
        <v>2019</v>
      </c>
      <c r="H6">
        <v>2019</v>
      </c>
      <c r="I6">
        <v>2019</v>
      </c>
    </row>
    <row r="7" spans="1:9">
      <c r="A7">
        <v>6</v>
      </c>
      <c r="B7">
        <v>210</v>
      </c>
      <c r="C7" s="20" t="s">
        <v>2148</v>
      </c>
      <c r="D7" s="20" t="s">
        <v>298</v>
      </c>
      <c r="E7">
        <v>371</v>
      </c>
      <c r="F7">
        <v>2019</v>
      </c>
      <c r="G7">
        <v>2019</v>
      </c>
      <c r="H7">
        <v>2019</v>
      </c>
      <c r="I7">
        <v>2019</v>
      </c>
    </row>
    <row r="8" spans="1:9">
      <c r="A8">
        <v>7</v>
      </c>
      <c r="B8">
        <v>228</v>
      </c>
      <c r="C8" s="20" t="s">
        <v>2148</v>
      </c>
      <c r="D8" s="20" t="s">
        <v>230</v>
      </c>
      <c r="E8">
        <v>248</v>
      </c>
      <c r="F8">
        <v>2019</v>
      </c>
      <c r="G8">
        <v>2019</v>
      </c>
      <c r="H8">
        <v>2019</v>
      </c>
      <c r="I8">
        <v>2019</v>
      </c>
    </row>
    <row r="9" spans="1:9">
      <c r="A9">
        <v>8</v>
      </c>
      <c r="B9">
        <v>196</v>
      </c>
      <c r="C9" s="20" t="s">
        <v>2148</v>
      </c>
      <c r="D9" s="20" t="s">
        <v>294</v>
      </c>
      <c r="E9">
        <v>200</v>
      </c>
      <c r="F9">
        <v>2019</v>
      </c>
      <c r="G9">
        <v>2019</v>
      </c>
      <c r="H9">
        <v>2019</v>
      </c>
      <c r="I9">
        <v>2019</v>
      </c>
    </row>
    <row r="10" spans="1:9">
      <c r="A10">
        <v>9</v>
      </c>
      <c r="B10">
        <v>357</v>
      </c>
      <c r="C10" s="20" t="s">
        <v>2148</v>
      </c>
      <c r="D10" s="20" t="s">
        <v>303</v>
      </c>
      <c r="E10">
        <v>150</v>
      </c>
      <c r="F10">
        <v>2019</v>
      </c>
      <c r="G10">
        <v>2019</v>
      </c>
      <c r="H10">
        <v>2019</v>
      </c>
      <c r="I10">
        <v>2019</v>
      </c>
    </row>
    <row r="11" spans="1:9">
      <c r="A11">
        <v>10</v>
      </c>
      <c r="B11">
        <v>363</v>
      </c>
      <c r="C11" s="20" t="s">
        <v>2148</v>
      </c>
      <c r="D11" s="20" t="s">
        <v>343</v>
      </c>
      <c r="E11">
        <v>48</v>
      </c>
      <c r="F11">
        <v>2019</v>
      </c>
      <c r="G11">
        <v>2019</v>
      </c>
      <c r="H11">
        <v>2019</v>
      </c>
      <c r="I11">
        <v>2019</v>
      </c>
    </row>
    <row r="12" spans="1:9">
      <c r="A12">
        <v>11</v>
      </c>
      <c r="B12">
        <v>358</v>
      </c>
      <c r="C12" s="20" t="s">
        <v>2148</v>
      </c>
      <c r="D12" s="20" t="s">
        <v>248</v>
      </c>
      <c r="E12">
        <v>30</v>
      </c>
      <c r="F12">
        <v>2019</v>
      </c>
      <c r="G12">
        <v>2019</v>
      </c>
      <c r="H12">
        <v>2019</v>
      </c>
      <c r="I12">
        <v>2019</v>
      </c>
    </row>
    <row r="13" spans="1:9">
      <c r="A13">
        <v>12</v>
      </c>
      <c r="B13">
        <v>229</v>
      </c>
      <c r="C13" s="20" t="s">
        <v>2148</v>
      </c>
      <c r="D13" s="20" t="s">
        <v>220</v>
      </c>
      <c r="E13">
        <v>257</v>
      </c>
      <c r="F13">
        <v>2019</v>
      </c>
      <c r="G13">
        <v>2019</v>
      </c>
      <c r="H13">
        <v>2019</v>
      </c>
      <c r="I13">
        <v>2019</v>
      </c>
    </row>
    <row r="14" spans="1:9">
      <c r="A14">
        <v>13</v>
      </c>
      <c r="B14">
        <v>140</v>
      </c>
      <c r="C14" s="20" t="s">
        <v>2148</v>
      </c>
      <c r="D14" s="20" t="s">
        <v>335</v>
      </c>
      <c r="E14">
        <v>744</v>
      </c>
      <c r="F14">
        <v>2019</v>
      </c>
      <c r="G14">
        <v>2019</v>
      </c>
      <c r="H14">
        <v>2019</v>
      </c>
      <c r="I14">
        <v>2019</v>
      </c>
    </row>
    <row r="15" spans="1:9">
      <c r="A15">
        <v>14</v>
      </c>
      <c r="B15">
        <v>128</v>
      </c>
      <c r="C15" s="20" t="s">
        <v>2148</v>
      </c>
      <c r="D15" s="20" t="s">
        <v>384</v>
      </c>
      <c r="E15">
        <v>577</v>
      </c>
      <c r="F15">
        <v>2019</v>
      </c>
      <c r="G15">
        <v>2019</v>
      </c>
      <c r="H15">
        <v>2019</v>
      </c>
      <c r="I15">
        <v>2019</v>
      </c>
    </row>
    <row r="16" spans="1:9">
      <c r="A16">
        <v>15</v>
      </c>
      <c r="B16">
        <v>203</v>
      </c>
      <c r="C16" s="20" t="s">
        <v>2149</v>
      </c>
      <c r="D16" s="20" t="s">
        <v>69</v>
      </c>
      <c r="E16">
        <v>66</v>
      </c>
      <c r="F16">
        <v>2019</v>
      </c>
      <c r="G16">
        <v>2019</v>
      </c>
      <c r="H16">
        <v>2019</v>
      </c>
      <c r="I16">
        <v>2019</v>
      </c>
    </row>
    <row r="17" spans="1:9">
      <c r="A17">
        <v>16</v>
      </c>
      <c r="B17">
        <v>185</v>
      </c>
      <c r="C17" s="20" t="s">
        <v>2149</v>
      </c>
      <c r="D17" s="20" t="s">
        <v>282</v>
      </c>
      <c r="E17">
        <v>225</v>
      </c>
      <c r="F17">
        <v>2019</v>
      </c>
      <c r="G17">
        <v>2019</v>
      </c>
      <c r="H17">
        <v>2019</v>
      </c>
      <c r="I17">
        <v>2019</v>
      </c>
    </row>
    <row r="18" spans="1:9">
      <c r="A18">
        <v>17</v>
      </c>
      <c r="B18">
        <v>309</v>
      </c>
      <c r="C18" s="20" t="s">
        <v>2149</v>
      </c>
      <c r="D18" s="20" t="s">
        <v>79</v>
      </c>
      <c r="E18">
        <v>226</v>
      </c>
      <c r="F18">
        <v>2019</v>
      </c>
      <c r="G18">
        <v>2019</v>
      </c>
      <c r="H18">
        <v>2019</v>
      </c>
      <c r="I18">
        <v>2019</v>
      </c>
    </row>
    <row r="19" spans="1:9">
      <c r="A19">
        <v>18</v>
      </c>
      <c r="B19">
        <v>281</v>
      </c>
      <c r="C19" s="20" t="s">
        <v>2149</v>
      </c>
      <c r="D19" s="20" t="s">
        <v>80</v>
      </c>
      <c r="E19">
        <v>35</v>
      </c>
      <c r="F19">
        <v>2019</v>
      </c>
      <c r="G19">
        <v>2019</v>
      </c>
      <c r="H19">
        <v>2019</v>
      </c>
      <c r="I19">
        <v>2019</v>
      </c>
    </row>
    <row r="20" spans="1:9">
      <c r="A20">
        <v>19</v>
      </c>
      <c r="B20">
        <v>296</v>
      </c>
      <c r="C20" s="20" t="s">
        <v>2149</v>
      </c>
      <c r="D20" s="20" t="s">
        <v>87</v>
      </c>
      <c r="E20">
        <v>46</v>
      </c>
      <c r="F20">
        <v>2019</v>
      </c>
      <c r="G20">
        <v>2019</v>
      </c>
      <c r="H20">
        <v>2019</v>
      </c>
      <c r="I20">
        <v>2019</v>
      </c>
    </row>
    <row r="21" spans="1:9">
      <c r="A21">
        <v>20</v>
      </c>
      <c r="B21">
        <v>297</v>
      </c>
      <c r="C21" s="20" t="s">
        <v>2149</v>
      </c>
      <c r="D21" s="20" t="s">
        <v>88</v>
      </c>
      <c r="E21">
        <v>51</v>
      </c>
      <c r="F21">
        <v>2019</v>
      </c>
      <c r="G21">
        <v>2019</v>
      </c>
      <c r="H21">
        <v>2019</v>
      </c>
      <c r="I21">
        <v>2019</v>
      </c>
    </row>
    <row r="22" spans="1:9">
      <c r="A22">
        <v>21</v>
      </c>
      <c r="B22">
        <v>204</v>
      </c>
      <c r="C22" s="20" t="s">
        <v>2149</v>
      </c>
      <c r="D22" s="20" t="s">
        <v>93</v>
      </c>
      <c r="E22">
        <v>90</v>
      </c>
      <c r="F22">
        <v>2019</v>
      </c>
      <c r="G22">
        <v>2019</v>
      </c>
      <c r="H22">
        <v>2019</v>
      </c>
      <c r="I22">
        <v>2019</v>
      </c>
    </row>
    <row r="23" spans="1:9">
      <c r="A23">
        <v>22</v>
      </c>
      <c r="B23">
        <v>340</v>
      </c>
      <c r="C23" s="20" t="s">
        <v>2149</v>
      </c>
      <c r="D23" s="20" t="s">
        <v>94</v>
      </c>
      <c r="E23">
        <v>125</v>
      </c>
      <c r="F23">
        <v>2019</v>
      </c>
      <c r="G23">
        <v>2019</v>
      </c>
      <c r="H23">
        <v>2019</v>
      </c>
      <c r="I23">
        <v>2019</v>
      </c>
    </row>
    <row r="24" spans="1:9">
      <c r="A24">
        <v>23</v>
      </c>
      <c r="B24">
        <v>389</v>
      </c>
      <c r="C24" s="20" t="s">
        <v>2149</v>
      </c>
      <c r="D24" s="20" t="s">
        <v>358</v>
      </c>
      <c r="E24">
        <v>53</v>
      </c>
      <c r="F24">
        <v>2019</v>
      </c>
      <c r="G24">
        <v>2019</v>
      </c>
      <c r="H24">
        <v>2019</v>
      </c>
      <c r="I24">
        <v>2019</v>
      </c>
    </row>
    <row r="25" spans="1:9">
      <c r="A25">
        <v>24</v>
      </c>
      <c r="B25">
        <v>398</v>
      </c>
      <c r="C25" s="20" t="s">
        <v>2149</v>
      </c>
      <c r="D25" s="20" t="s">
        <v>359</v>
      </c>
      <c r="E25">
        <v>10</v>
      </c>
      <c r="F25">
        <v>2019</v>
      </c>
      <c r="G25">
        <v>2019</v>
      </c>
      <c r="H25">
        <v>2019</v>
      </c>
      <c r="I25">
        <v>2019</v>
      </c>
    </row>
    <row r="26" spans="1:9">
      <c r="A26">
        <v>25</v>
      </c>
      <c r="B26">
        <v>399</v>
      </c>
      <c r="C26" s="20" t="s">
        <v>2149</v>
      </c>
      <c r="D26" s="20" t="s">
        <v>360</v>
      </c>
      <c r="E26">
        <v>10</v>
      </c>
      <c r="F26">
        <v>2019</v>
      </c>
      <c r="G26">
        <v>2019</v>
      </c>
      <c r="H26">
        <v>2019</v>
      </c>
      <c r="I26">
        <v>2019</v>
      </c>
    </row>
    <row r="27" spans="1:9">
      <c r="A27">
        <v>26</v>
      </c>
      <c r="B27">
        <v>293</v>
      </c>
      <c r="C27" s="20" t="s">
        <v>2149</v>
      </c>
      <c r="D27" s="20" t="s">
        <v>376</v>
      </c>
      <c r="E27">
        <v>216</v>
      </c>
      <c r="F27">
        <v>2019</v>
      </c>
      <c r="G27">
        <v>2019</v>
      </c>
      <c r="H27">
        <v>2019</v>
      </c>
      <c r="I27">
        <v>2019</v>
      </c>
    </row>
    <row r="28" spans="1:9">
      <c r="A28">
        <v>27</v>
      </c>
      <c r="B28">
        <v>523</v>
      </c>
      <c r="C28" s="20" t="s">
        <v>2149</v>
      </c>
      <c r="D28" s="20" t="s">
        <v>101</v>
      </c>
      <c r="E28">
        <v>102</v>
      </c>
      <c r="F28">
        <v>2019</v>
      </c>
      <c r="G28">
        <v>2019</v>
      </c>
      <c r="H28">
        <v>2019</v>
      </c>
      <c r="I28">
        <v>2019</v>
      </c>
    </row>
    <row r="29" spans="1:9">
      <c r="A29">
        <v>28</v>
      </c>
      <c r="B29">
        <v>330</v>
      </c>
      <c r="C29" s="20" t="s">
        <v>2149</v>
      </c>
      <c r="D29" s="20" t="s">
        <v>259</v>
      </c>
      <c r="E29">
        <v>32</v>
      </c>
      <c r="F29">
        <v>2019</v>
      </c>
      <c r="G29">
        <v>2019</v>
      </c>
      <c r="H29">
        <v>2019</v>
      </c>
      <c r="I29">
        <v>2019</v>
      </c>
    </row>
    <row r="30" spans="1:9">
      <c r="A30">
        <v>29</v>
      </c>
      <c r="B30">
        <v>331</v>
      </c>
      <c r="C30" s="20" t="s">
        <v>2149</v>
      </c>
      <c r="D30" s="20" t="s">
        <v>379</v>
      </c>
      <c r="E30">
        <v>32</v>
      </c>
      <c r="F30">
        <v>2019</v>
      </c>
      <c r="G30">
        <v>2019</v>
      </c>
      <c r="H30">
        <v>2019</v>
      </c>
      <c r="I30">
        <v>2019</v>
      </c>
    </row>
    <row r="31" spans="1:9">
      <c r="A31">
        <v>30</v>
      </c>
      <c r="B31">
        <v>127</v>
      </c>
      <c r="C31" s="20" t="s">
        <v>2149</v>
      </c>
      <c r="D31" s="20" t="s">
        <v>386</v>
      </c>
      <c r="E31">
        <v>399</v>
      </c>
      <c r="F31">
        <v>2019</v>
      </c>
      <c r="G31">
        <v>2019</v>
      </c>
      <c r="H31">
        <v>2019</v>
      </c>
      <c r="I31">
        <v>2019</v>
      </c>
    </row>
    <row r="32" spans="1:9">
      <c r="A32">
        <v>31</v>
      </c>
      <c r="B32">
        <v>2</v>
      </c>
      <c r="C32" s="20" t="s">
        <v>385</v>
      </c>
      <c r="D32" s="20" t="s">
        <v>385</v>
      </c>
      <c r="E32">
        <v>1630</v>
      </c>
      <c r="F32">
        <v>2020</v>
      </c>
      <c r="G32">
        <v>2020</v>
      </c>
      <c r="H32">
        <v>2020</v>
      </c>
      <c r="I32">
        <v>2020</v>
      </c>
    </row>
    <row r="33" spans="1:9">
      <c r="A33">
        <v>32</v>
      </c>
      <c r="B33">
        <v>3</v>
      </c>
      <c r="C33" s="20" t="s">
        <v>2150</v>
      </c>
      <c r="D33" s="20" t="s">
        <v>117</v>
      </c>
      <c r="E33">
        <v>577</v>
      </c>
      <c r="F33">
        <v>2020</v>
      </c>
      <c r="G33">
        <v>2020</v>
      </c>
      <c r="H33">
        <v>2020</v>
      </c>
      <c r="I33">
        <v>2020</v>
      </c>
    </row>
    <row r="34" spans="1:9">
      <c r="A34">
        <v>33</v>
      </c>
      <c r="B34">
        <v>147</v>
      </c>
      <c r="C34" s="20" t="s">
        <v>2150</v>
      </c>
      <c r="D34" s="20" t="s">
        <v>82</v>
      </c>
      <c r="E34">
        <v>116</v>
      </c>
      <c r="F34">
        <v>2020</v>
      </c>
      <c r="G34">
        <v>2020</v>
      </c>
      <c r="H34">
        <v>2020</v>
      </c>
      <c r="I34">
        <v>2020</v>
      </c>
    </row>
    <row r="35" spans="1:9">
      <c r="A35">
        <v>34</v>
      </c>
      <c r="B35">
        <v>125</v>
      </c>
      <c r="C35" s="20" t="s">
        <v>2151</v>
      </c>
      <c r="D35" s="20" t="s">
        <v>70</v>
      </c>
      <c r="E35">
        <v>168</v>
      </c>
      <c r="F35">
        <v>2020</v>
      </c>
      <c r="G35">
        <v>2020</v>
      </c>
      <c r="H35">
        <v>2020</v>
      </c>
      <c r="I35">
        <v>2020</v>
      </c>
    </row>
    <row r="36" spans="1:9">
      <c r="A36">
        <v>35</v>
      </c>
      <c r="B36">
        <v>160</v>
      </c>
      <c r="C36" s="20" t="s">
        <v>2151</v>
      </c>
      <c r="D36" s="20" t="s">
        <v>71</v>
      </c>
      <c r="E36">
        <v>210</v>
      </c>
      <c r="F36">
        <v>2020</v>
      </c>
      <c r="G36">
        <v>2020</v>
      </c>
      <c r="H36">
        <v>2020</v>
      </c>
      <c r="I36">
        <v>2020</v>
      </c>
    </row>
    <row r="37" spans="1:9">
      <c r="A37">
        <v>36</v>
      </c>
      <c r="B37">
        <v>344</v>
      </c>
      <c r="C37" s="20" t="s">
        <v>2151</v>
      </c>
      <c r="D37" s="20" t="s">
        <v>89</v>
      </c>
      <c r="E37">
        <v>180</v>
      </c>
      <c r="F37">
        <v>2020</v>
      </c>
      <c r="G37">
        <v>2020</v>
      </c>
      <c r="H37">
        <v>2020</v>
      </c>
      <c r="I37">
        <v>2020</v>
      </c>
    </row>
    <row r="38" spans="1:9">
      <c r="A38">
        <v>37</v>
      </c>
      <c r="B38">
        <v>95</v>
      </c>
      <c r="C38" s="20" t="s">
        <v>341</v>
      </c>
      <c r="D38" s="20" t="s">
        <v>341</v>
      </c>
      <c r="E38">
        <v>1586</v>
      </c>
      <c r="F38">
        <v>2020</v>
      </c>
      <c r="G38">
        <v>2020</v>
      </c>
      <c r="H38">
        <v>2020</v>
      </c>
      <c r="I38">
        <v>2020</v>
      </c>
    </row>
    <row r="39" spans="1:9">
      <c r="A39">
        <v>38</v>
      </c>
      <c r="B39">
        <v>46</v>
      </c>
      <c r="C39" s="20" t="s">
        <v>226</v>
      </c>
      <c r="D39" s="20" t="s">
        <v>226</v>
      </c>
      <c r="E39">
        <v>1441</v>
      </c>
      <c r="F39">
        <v>2020</v>
      </c>
      <c r="G39">
        <v>2020</v>
      </c>
      <c r="H39">
        <v>2020</v>
      </c>
      <c r="I39">
        <v>2020</v>
      </c>
    </row>
    <row r="40" spans="1:9">
      <c r="A40">
        <v>39</v>
      </c>
      <c r="B40">
        <v>214</v>
      </c>
      <c r="C40" s="20" t="s">
        <v>2166</v>
      </c>
      <c r="D40" s="20" t="s">
        <v>227</v>
      </c>
      <c r="E40">
        <v>96</v>
      </c>
      <c r="F40">
        <v>2021</v>
      </c>
      <c r="G40">
        <v>2021</v>
      </c>
      <c r="H40">
        <v>2020</v>
      </c>
      <c r="I40">
        <v>2020</v>
      </c>
    </row>
    <row r="41" spans="1:9">
      <c r="A41">
        <v>40</v>
      </c>
      <c r="B41">
        <v>225</v>
      </c>
      <c r="C41" s="20" t="s">
        <v>2166</v>
      </c>
      <c r="D41" s="20" t="s">
        <v>243</v>
      </c>
      <c r="E41">
        <v>132</v>
      </c>
      <c r="F41">
        <v>2021</v>
      </c>
      <c r="G41">
        <v>2021</v>
      </c>
      <c r="H41">
        <v>2020</v>
      </c>
      <c r="I41">
        <v>2020</v>
      </c>
    </row>
    <row r="42" spans="1:9">
      <c r="A42">
        <v>41</v>
      </c>
      <c r="B42">
        <v>67</v>
      </c>
      <c r="C42" s="20" t="s">
        <v>2166</v>
      </c>
      <c r="D42" s="20" t="s">
        <v>197</v>
      </c>
      <c r="E42">
        <v>1497</v>
      </c>
      <c r="F42">
        <v>2021</v>
      </c>
      <c r="G42">
        <v>2021</v>
      </c>
      <c r="H42">
        <v>2020</v>
      </c>
      <c r="I42">
        <v>2020</v>
      </c>
    </row>
    <row r="43" spans="1:9">
      <c r="A43">
        <v>42</v>
      </c>
      <c r="B43">
        <v>8</v>
      </c>
      <c r="C43" s="20" t="s">
        <v>2168</v>
      </c>
      <c r="D43" s="20" t="s">
        <v>224</v>
      </c>
      <c r="E43">
        <v>448</v>
      </c>
      <c r="F43">
        <v>2020</v>
      </c>
      <c r="G43">
        <v>2021</v>
      </c>
      <c r="H43">
        <v>2020</v>
      </c>
      <c r="I43">
        <v>2020</v>
      </c>
    </row>
    <row r="44" spans="1:9">
      <c r="A44">
        <v>43</v>
      </c>
      <c r="B44">
        <v>66</v>
      </c>
      <c r="C44" s="20" t="s">
        <v>2168</v>
      </c>
      <c r="D44" s="20" t="s">
        <v>269</v>
      </c>
      <c r="E44">
        <v>600</v>
      </c>
      <c r="F44">
        <v>2020</v>
      </c>
      <c r="G44">
        <v>2021</v>
      </c>
      <c r="H44">
        <v>2020</v>
      </c>
      <c r="I44">
        <v>2020</v>
      </c>
    </row>
    <row r="45" spans="1:9">
      <c r="A45">
        <v>44</v>
      </c>
      <c r="B45">
        <v>242</v>
      </c>
      <c r="C45" s="20" t="s">
        <v>356</v>
      </c>
      <c r="D45" s="20" t="s">
        <v>292</v>
      </c>
      <c r="E45">
        <v>30</v>
      </c>
      <c r="F45">
        <v>2020</v>
      </c>
      <c r="G45">
        <v>2021</v>
      </c>
      <c r="H45">
        <v>2021</v>
      </c>
      <c r="I45">
        <v>2020</v>
      </c>
    </row>
    <row r="46" spans="1:9">
      <c r="A46">
        <v>45</v>
      </c>
      <c r="B46">
        <v>205</v>
      </c>
      <c r="C46" s="20" t="s">
        <v>356</v>
      </c>
      <c r="D46" s="20" t="s">
        <v>318</v>
      </c>
      <c r="E46">
        <v>36</v>
      </c>
      <c r="F46">
        <v>2020</v>
      </c>
      <c r="G46">
        <v>2021</v>
      </c>
      <c r="H46">
        <v>2021</v>
      </c>
      <c r="I46">
        <v>2020</v>
      </c>
    </row>
    <row r="47" spans="1:9">
      <c r="A47">
        <v>46</v>
      </c>
      <c r="B47">
        <v>348</v>
      </c>
      <c r="C47" s="20" t="s">
        <v>356</v>
      </c>
      <c r="D47" s="20" t="s">
        <v>340</v>
      </c>
      <c r="E47">
        <v>74</v>
      </c>
      <c r="F47">
        <v>2020</v>
      </c>
      <c r="G47">
        <v>2021</v>
      </c>
      <c r="H47">
        <v>2021</v>
      </c>
      <c r="I47">
        <v>2020</v>
      </c>
    </row>
    <row r="48" spans="1:9">
      <c r="A48">
        <v>47</v>
      </c>
      <c r="B48">
        <v>352</v>
      </c>
      <c r="C48" s="20" t="s">
        <v>356</v>
      </c>
      <c r="D48" s="20" t="s">
        <v>355</v>
      </c>
      <c r="E48">
        <v>118</v>
      </c>
      <c r="F48">
        <v>2020</v>
      </c>
      <c r="G48">
        <v>2021</v>
      </c>
      <c r="H48">
        <v>2021</v>
      </c>
      <c r="I48">
        <v>2020</v>
      </c>
    </row>
    <row r="49" spans="1:9">
      <c r="A49">
        <v>48</v>
      </c>
      <c r="B49">
        <v>167</v>
      </c>
      <c r="C49" s="20" t="s">
        <v>356</v>
      </c>
      <c r="D49" s="20" t="s">
        <v>356</v>
      </c>
      <c r="E49">
        <v>230</v>
      </c>
      <c r="F49">
        <v>2020</v>
      </c>
      <c r="G49">
        <v>2021</v>
      </c>
      <c r="H49">
        <v>2021</v>
      </c>
      <c r="I49">
        <v>2020</v>
      </c>
    </row>
    <row r="50" spans="1:9">
      <c r="A50">
        <v>49</v>
      </c>
      <c r="B50">
        <v>282</v>
      </c>
      <c r="C50" s="20" t="s">
        <v>356</v>
      </c>
      <c r="D50" s="20" t="s">
        <v>216</v>
      </c>
      <c r="E50">
        <v>61</v>
      </c>
      <c r="F50">
        <v>2020</v>
      </c>
      <c r="G50">
        <v>2021</v>
      </c>
      <c r="H50">
        <v>2021</v>
      </c>
      <c r="I50">
        <v>2020</v>
      </c>
    </row>
    <row r="51" spans="1:9">
      <c r="A51">
        <v>50</v>
      </c>
      <c r="B51">
        <v>369</v>
      </c>
      <c r="C51" s="20" t="s">
        <v>356</v>
      </c>
      <c r="D51" s="20" t="s">
        <v>368</v>
      </c>
      <c r="E51">
        <v>100</v>
      </c>
      <c r="F51">
        <v>2020</v>
      </c>
      <c r="G51">
        <v>2021</v>
      </c>
      <c r="H51">
        <v>2021</v>
      </c>
      <c r="I51">
        <v>2020</v>
      </c>
    </row>
    <row r="52" spans="1:9">
      <c r="A52">
        <v>51</v>
      </c>
      <c r="B52">
        <v>354</v>
      </c>
      <c r="C52" s="20" t="s">
        <v>356</v>
      </c>
      <c r="D52" s="20" t="s">
        <v>369</v>
      </c>
      <c r="E52">
        <v>155</v>
      </c>
      <c r="F52">
        <v>2020</v>
      </c>
      <c r="G52">
        <v>2021</v>
      </c>
      <c r="H52">
        <v>2021</v>
      </c>
      <c r="I52">
        <v>2020</v>
      </c>
    </row>
    <row r="53" spans="1:9">
      <c r="A53">
        <v>52</v>
      </c>
      <c r="B53">
        <v>56</v>
      </c>
      <c r="C53" s="20" t="s">
        <v>188</v>
      </c>
      <c r="D53" s="20" t="s">
        <v>188</v>
      </c>
      <c r="E53">
        <v>1595</v>
      </c>
      <c r="F53">
        <v>2021</v>
      </c>
      <c r="G53">
        <v>2021</v>
      </c>
      <c r="H53">
        <v>2021</v>
      </c>
      <c r="I53">
        <v>2021</v>
      </c>
    </row>
    <row r="54" spans="1:9">
      <c r="A54">
        <v>53</v>
      </c>
      <c r="B54">
        <v>245</v>
      </c>
      <c r="C54" s="20" t="s">
        <v>217</v>
      </c>
      <c r="D54" s="20" t="s">
        <v>268</v>
      </c>
      <c r="E54">
        <v>252</v>
      </c>
      <c r="F54">
        <v>2021</v>
      </c>
      <c r="G54">
        <v>2022</v>
      </c>
      <c r="H54">
        <v>2021</v>
      </c>
      <c r="I54">
        <v>2021</v>
      </c>
    </row>
    <row r="55" spans="1:9">
      <c r="A55">
        <v>54</v>
      </c>
      <c r="B55">
        <v>63</v>
      </c>
      <c r="C55" s="20" t="s">
        <v>217</v>
      </c>
      <c r="D55" s="20" t="s">
        <v>217</v>
      </c>
      <c r="E55">
        <v>1185</v>
      </c>
      <c r="F55">
        <v>2021</v>
      </c>
      <c r="G55">
        <v>2022</v>
      </c>
      <c r="H55">
        <v>2021</v>
      </c>
      <c r="I55">
        <v>2021</v>
      </c>
    </row>
    <row r="56" spans="1:9">
      <c r="A56">
        <v>55</v>
      </c>
      <c r="B56">
        <v>193</v>
      </c>
      <c r="C56" s="20" t="s">
        <v>217</v>
      </c>
      <c r="D56" s="20" t="s">
        <v>225</v>
      </c>
      <c r="E56">
        <v>287</v>
      </c>
      <c r="F56">
        <v>2021</v>
      </c>
      <c r="G56">
        <v>2022</v>
      </c>
      <c r="H56">
        <v>2021</v>
      </c>
      <c r="I56">
        <v>2021</v>
      </c>
    </row>
    <row r="57" spans="1:9">
      <c r="A57">
        <v>56</v>
      </c>
      <c r="B57">
        <v>189</v>
      </c>
      <c r="C57" s="20" t="s">
        <v>210</v>
      </c>
      <c r="D57" s="20" t="s">
        <v>234</v>
      </c>
      <c r="E57">
        <v>235</v>
      </c>
      <c r="F57">
        <v>2021</v>
      </c>
      <c r="G57">
        <v>2022</v>
      </c>
      <c r="H57">
        <v>2021</v>
      </c>
      <c r="I57">
        <v>2021</v>
      </c>
    </row>
    <row r="58" spans="1:9">
      <c r="A58">
        <v>57</v>
      </c>
      <c r="B58">
        <v>39</v>
      </c>
      <c r="C58" s="20" t="s">
        <v>210</v>
      </c>
      <c r="D58" s="20" t="s">
        <v>210</v>
      </c>
      <c r="E58">
        <v>1266</v>
      </c>
      <c r="F58">
        <v>2021</v>
      </c>
      <c r="G58">
        <v>2022</v>
      </c>
      <c r="H58">
        <v>2021</v>
      </c>
      <c r="I58">
        <v>2021</v>
      </c>
    </row>
    <row r="59" spans="1:9">
      <c r="A59">
        <v>58</v>
      </c>
      <c r="B59">
        <v>57</v>
      </c>
      <c r="C59" s="20" t="s">
        <v>201</v>
      </c>
      <c r="D59" s="20" t="s">
        <v>201</v>
      </c>
      <c r="E59">
        <v>2039</v>
      </c>
      <c r="F59">
        <v>2022</v>
      </c>
      <c r="G59">
        <v>2022</v>
      </c>
      <c r="H59">
        <v>2021</v>
      </c>
      <c r="I59">
        <v>2021</v>
      </c>
    </row>
    <row r="60" spans="1:9">
      <c r="A60">
        <v>59</v>
      </c>
      <c r="B60">
        <v>55</v>
      </c>
      <c r="C60" s="20" t="s">
        <v>194</v>
      </c>
      <c r="D60" s="20" t="s">
        <v>194</v>
      </c>
      <c r="E60">
        <v>604</v>
      </c>
      <c r="F60">
        <v>2022</v>
      </c>
      <c r="G60">
        <v>2022</v>
      </c>
      <c r="H60">
        <v>2021</v>
      </c>
      <c r="I60">
        <v>2021</v>
      </c>
    </row>
    <row r="61" spans="1:9">
      <c r="A61">
        <v>60</v>
      </c>
      <c r="B61">
        <v>71</v>
      </c>
      <c r="C61" s="20" t="s">
        <v>363</v>
      </c>
      <c r="D61" s="20" t="s">
        <v>363</v>
      </c>
      <c r="E61">
        <v>1259</v>
      </c>
      <c r="F61">
        <v>2022</v>
      </c>
      <c r="G61">
        <v>2023</v>
      </c>
      <c r="H61">
        <v>2022</v>
      </c>
      <c r="I61">
        <v>2021</v>
      </c>
    </row>
    <row r="62" spans="1:9">
      <c r="A62">
        <v>61</v>
      </c>
      <c r="B62">
        <v>62</v>
      </c>
      <c r="C62" s="20" t="s">
        <v>137</v>
      </c>
      <c r="D62" s="20" t="s">
        <v>137</v>
      </c>
      <c r="E62">
        <v>1515</v>
      </c>
      <c r="F62">
        <v>2022</v>
      </c>
      <c r="G62">
        <v>2023</v>
      </c>
      <c r="H62">
        <v>2022</v>
      </c>
      <c r="I62">
        <v>2021</v>
      </c>
    </row>
    <row r="63" spans="1:9">
      <c r="A63">
        <v>62</v>
      </c>
      <c r="B63">
        <v>50</v>
      </c>
      <c r="C63" s="20" t="s">
        <v>137</v>
      </c>
      <c r="D63" s="20" t="s">
        <v>125</v>
      </c>
      <c r="E63">
        <v>448</v>
      </c>
      <c r="F63">
        <v>2022</v>
      </c>
      <c r="G63">
        <v>2023</v>
      </c>
      <c r="H63">
        <v>2022</v>
      </c>
      <c r="I63">
        <v>2021</v>
      </c>
    </row>
    <row r="64" spans="1:9">
      <c r="A64">
        <v>63</v>
      </c>
      <c r="B64">
        <v>70</v>
      </c>
      <c r="C64" s="20" t="s">
        <v>315</v>
      </c>
      <c r="D64" s="20" t="s">
        <v>315</v>
      </c>
      <c r="E64">
        <v>1444</v>
      </c>
      <c r="F64">
        <v>2023</v>
      </c>
      <c r="G64">
        <v>2023</v>
      </c>
      <c r="H64">
        <v>2022</v>
      </c>
      <c r="I64">
        <v>2022</v>
      </c>
    </row>
    <row r="65" spans="1:9">
      <c r="A65">
        <v>64</v>
      </c>
      <c r="B65">
        <v>263</v>
      </c>
      <c r="C65" s="20" t="s">
        <v>315</v>
      </c>
      <c r="D65" s="20" t="s">
        <v>316</v>
      </c>
      <c r="E65">
        <v>66</v>
      </c>
      <c r="F65">
        <v>2023</v>
      </c>
      <c r="G65">
        <v>2023</v>
      </c>
      <c r="H65">
        <v>2022</v>
      </c>
      <c r="I65">
        <v>2022</v>
      </c>
    </row>
    <row r="66" spans="1:9">
      <c r="A66">
        <v>65</v>
      </c>
      <c r="B66">
        <v>237</v>
      </c>
      <c r="C66" s="20" t="s">
        <v>39</v>
      </c>
      <c r="D66" s="20" t="s">
        <v>275</v>
      </c>
      <c r="E66">
        <v>221</v>
      </c>
      <c r="F66">
        <v>2023</v>
      </c>
      <c r="G66">
        <v>2023</v>
      </c>
      <c r="H66">
        <v>2022</v>
      </c>
      <c r="I66">
        <v>2022</v>
      </c>
    </row>
    <row r="67" spans="1:9">
      <c r="A67">
        <v>66</v>
      </c>
      <c r="B67">
        <v>28</v>
      </c>
      <c r="C67" s="20" t="s">
        <v>39</v>
      </c>
      <c r="D67" s="20" t="s">
        <v>39</v>
      </c>
      <c r="E67">
        <v>1023</v>
      </c>
      <c r="F67">
        <v>2023</v>
      </c>
      <c r="G67">
        <v>2023</v>
      </c>
      <c r="H67">
        <v>2022</v>
      </c>
      <c r="I67">
        <v>2022</v>
      </c>
    </row>
    <row r="68" spans="1:9">
      <c r="A68">
        <v>67</v>
      </c>
      <c r="B68">
        <v>61</v>
      </c>
      <c r="C68" s="20" t="s">
        <v>373</v>
      </c>
      <c r="D68" s="20" t="s">
        <v>373</v>
      </c>
      <c r="E68">
        <v>1603</v>
      </c>
      <c r="F68">
        <v>2023</v>
      </c>
      <c r="G68">
        <v>2024</v>
      </c>
      <c r="H68">
        <v>2022</v>
      </c>
      <c r="I68">
        <v>2022</v>
      </c>
    </row>
    <row r="69" spans="1:9">
      <c r="A69">
        <v>68</v>
      </c>
      <c r="B69">
        <v>26</v>
      </c>
      <c r="C69" s="20" t="s">
        <v>272</v>
      </c>
      <c r="D69" s="20" t="s">
        <v>272</v>
      </c>
      <c r="E69">
        <v>1104</v>
      </c>
      <c r="F69">
        <v>2023</v>
      </c>
      <c r="G69">
        <v>2024</v>
      </c>
      <c r="H69">
        <v>2023</v>
      </c>
      <c r="I69">
        <v>2022</v>
      </c>
    </row>
    <row r="70" spans="1:9">
      <c r="A70">
        <v>69</v>
      </c>
      <c r="B70">
        <v>280</v>
      </c>
      <c r="C70" s="20" t="s">
        <v>253</v>
      </c>
      <c r="D70" s="20" t="s">
        <v>253</v>
      </c>
      <c r="E70">
        <v>413</v>
      </c>
      <c r="F70">
        <v>2023</v>
      </c>
      <c r="G70">
        <v>2024</v>
      </c>
      <c r="H70">
        <v>2023</v>
      </c>
      <c r="I70">
        <v>2022</v>
      </c>
    </row>
    <row r="71" spans="1:9">
      <c r="A71">
        <v>70</v>
      </c>
      <c r="B71">
        <v>11</v>
      </c>
      <c r="C71" s="20" t="s">
        <v>253</v>
      </c>
      <c r="D71" s="20" t="s">
        <v>310</v>
      </c>
      <c r="E71">
        <v>401</v>
      </c>
      <c r="F71">
        <v>2023</v>
      </c>
      <c r="G71">
        <v>2024</v>
      </c>
      <c r="H71">
        <v>2023</v>
      </c>
      <c r="I71">
        <v>2022</v>
      </c>
    </row>
    <row r="72" spans="1:9">
      <c r="A72">
        <v>71</v>
      </c>
      <c r="B72">
        <v>9</v>
      </c>
      <c r="C72" s="20" t="s">
        <v>78</v>
      </c>
      <c r="D72" s="20" t="s">
        <v>78</v>
      </c>
      <c r="E72">
        <v>1170</v>
      </c>
      <c r="F72">
        <v>2024</v>
      </c>
      <c r="G72">
        <v>2024</v>
      </c>
      <c r="H72">
        <v>2023</v>
      </c>
      <c r="I72">
        <v>2022</v>
      </c>
    </row>
    <row r="73" spans="1:9">
      <c r="A73">
        <v>72</v>
      </c>
      <c r="B73">
        <v>4</v>
      </c>
      <c r="C73" s="20" t="s">
        <v>213</v>
      </c>
      <c r="D73" s="20" t="s">
        <v>213</v>
      </c>
      <c r="E73">
        <v>1411</v>
      </c>
      <c r="F73">
        <v>2024</v>
      </c>
      <c r="G73">
        <v>2024</v>
      </c>
      <c r="H73">
        <v>2023</v>
      </c>
      <c r="I73">
        <v>2022</v>
      </c>
    </row>
    <row r="74" spans="1:9">
      <c r="A74">
        <v>73</v>
      </c>
      <c r="B74">
        <v>79</v>
      </c>
      <c r="C74" s="20" t="s">
        <v>214</v>
      </c>
      <c r="D74" s="20" t="s">
        <v>214</v>
      </c>
      <c r="E74">
        <v>1480</v>
      </c>
      <c r="F74">
        <v>2024</v>
      </c>
      <c r="G74">
        <v>2025</v>
      </c>
      <c r="H74">
        <v>2023</v>
      </c>
      <c r="I74">
        <v>2022</v>
      </c>
    </row>
    <row r="75" spans="1:9">
      <c r="A75">
        <v>74</v>
      </c>
      <c r="B75">
        <v>31</v>
      </c>
      <c r="C75" s="20" t="s">
        <v>296</v>
      </c>
      <c r="D75" s="20" t="s">
        <v>296</v>
      </c>
      <c r="E75">
        <v>829</v>
      </c>
      <c r="F75">
        <v>2024</v>
      </c>
      <c r="G75">
        <v>2025</v>
      </c>
      <c r="H75">
        <v>2023</v>
      </c>
      <c r="I75">
        <v>2023</v>
      </c>
    </row>
    <row r="76" spans="1:9">
      <c r="A76">
        <v>75</v>
      </c>
      <c r="B76">
        <v>85</v>
      </c>
      <c r="C76" s="20" t="s">
        <v>296</v>
      </c>
      <c r="D76" s="20" t="s">
        <v>297</v>
      </c>
      <c r="E76">
        <v>400</v>
      </c>
      <c r="F76">
        <v>2024</v>
      </c>
      <c r="G76">
        <v>2025</v>
      </c>
      <c r="H76">
        <v>2023</v>
      </c>
      <c r="I76">
        <v>2023</v>
      </c>
    </row>
    <row r="77" spans="1:9">
      <c r="A77">
        <v>76</v>
      </c>
      <c r="B77">
        <v>24</v>
      </c>
      <c r="C77" s="20" t="s">
        <v>132</v>
      </c>
      <c r="D77" s="20" t="s">
        <v>132</v>
      </c>
      <c r="E77">
        <v>1791</v>
      </c>
      <c r="F77">
        <v>2024</v>
      </c>
      <c r="G77">
        <v>2025</v>
      </c>
      <c r="H77">
        <v>2024</v>
      </c>
      <c r="I77">
        <v>2023</v>
      </c>
    </row>
    <row r="78" spans="1:9">
      <c r="A78">
        <v>77</v>
      </c>
      <c r="B78">
        <v>233</v>
      </c>
      <c r="C78" s="20" t="s">
        <v>834</v>
      </c>
      <c r="D78" s="20" t="s">
        <v>293</v>
      </c>
      <c r="E78">
        <v>66</v>
      </c>
      <c r="F78">
        <v>2025</v>
      </c>
      <c r="G78">
        <v>2025</v>
      </c>
      <c r="H78">
        <v>2024</v>
      </c>
      <c r="I78">
        <v>2023</v>
      </c>
    </row>
    <row r="79" spans="1:9">
      <c r="A79">
        <v>78</v>
      </c>
      <c r="B79">
        <v>307</v>
      </c>
      <c r="C79" s="20" t="s">
        <v>834</v>
      </c>
      <c r="D79" s="20" t="s">
        <v>143</v>
      </c>
      <c r="E79">
        <v>107</v>
      </c>
      <c r="F79">
        <v>2025</v>
      </c>
      <c r="G79">
        <v>2025</v>
      </c>
      <c r="H79">
        <v>2024</v>
      </c>
      <c r="I79">
        <v>2023</v>
      </c>
    </row>
    <row r="80" spans="1:9">
      <c r="A80">
        <v>79</v>
      </c>
      <c r="B80">
        <v>308</v>
      </c>
      <c r="C80" s="20" t="s">
        <v>834</v>
      </c>
      <c r="D80" s="20" t="s">
        <v>32</v>
      </c>
      <c r="E80">
        <v>115</v>
      </c>
      <c r="F80">
        <v>2025</v>
      </c>
      <c r="G80">
        <v>2025</v>
      </c>
      <c r="H80">
        <v>2024</v>
      </c>
      <c r="I80">
        <v>2023</v>
      </c>
    </row>
    <row r="81" spans="1:9">
      <c r="A81">
        <v>80</v>
      </c>
      <c r="B81">
        <v>335</v>
      </c>
      <c r="C81" s="20" t="s">
        <v>834</v>
      </c>
      <c r="D81" s="20" t="s">
        <v>34</v>
      </c>
      <c r="E81">
        <v>150</v>
      </c>
      <c r="F81">
        <v>2025</v>
      </c>
      <c r="G81">
        <v>2025</v>
      </c>
      <c r="H81">
        <v>2024</v>
      </c>
      <c r="I81">
        <v>2023</v>
      </c>
    </row>
    <row r="82" spans="1:9">
      <c r="A82">
        <v>81</v>
      </c>
      <c r="B82">
        <v>336</v>
      </c>
      <c r="C82" s="20" t="s">
        <v>834</v>
      </c>
      <c r="D82" s="20" t="s">
        <v>144</v>
      </c>
      <c r="E82">
        <v>135</v>
      </c>
      <c r="F82">
        <v>2025</v>
      </c>
      <c r="G82">
        <v>2025</v>
      </c>
      <c r="H82">
        <v>2024</v>
      </c>
      <c r="I82">
        <v>2023</v>
      </c>
    </row>
    <row r="83" spans="1:9">
      <c r="A83">
        <v>82</v>
      </c>
      <c r="B83">
        <v>236</v>
      </c>
      <c r="C83" s="20" t="s">
        <v>834</v>
      </c>
      <c r="D83" s="20" t="s">
        <v>145</v>
      </c>
      <c r="E83">
        <v>95</v>
      </c>
      <c r="F83">
        <v>2025</v>
      </c>
      <c r="G83">
        <v>2025</v>
      </c>
      <c r="H83">
        <v>2024</v>
      </c>
      <c r="I83">
        <v>2023</v>
      </c>
    </row>
    <row r="84" spans="1:9">
      <c r="A84">
        <v>83</v>
      </c>
      <c r="B84">
        <v>223</v>
      </c>
      <c r="C84" s="20" t="s">
        <v>834</v>
      </c>
      <c r="D84" s="20" t="s">
        <v>149</v>
      </c>
      <c r="E84">
        <v>90</v>
      </c>
      <c r="F84">
        <v>2025</v>
      </c>
      <c r="G84">
        <v>2025</v>
      </c>
      <c r="H84">
        <v>2024</v>
      </c>
      <c r="I84">
        <v>2023</v>
      </c>
    </row>
    <row r="85" spans="1:9">
      <c r="A85">
        <v>84</v>
      </c>
      <c r="B85">
        <v>312</v>
      </c>
      <c r="C85" s="20" t="s">
        <v>2158</v>
      </c>
      <c r="D85" s="20" t="s">
        <v>314</v>
      </c>
      <c r="E85">
        <v>121</v>
      </c>
      <c r="F85">
        <v>2025</v>
      </c>
      <c r="G85">
        <v>2025</v>
      </c>
      <c r="H85">
        <v>2024</v>
      </c>
      <c r="I85">
        <v>2023</v>
      </c>
    </row>
    <row r="86" spans="1:9">
      <c r="A86">
        <v>85</v>
      </c>
      <c r="B86">
        <v>339</v>
      </c>
      <c r="C86" s="20" t="s">
        <v>2158</v>
      </c>
      <c r="D86" s="20" t="s">
        <v>245</v>
      </c>
      <c r="E86">
        <v>150</v>
      </c>
      <c r="F86">
        <v>2025</v>
      </c>
      <c r="G86">
        <v>2025</v>
      </c>
      <c r="H86">
        <v>2024</v>
      </c>
      <c r="I86">
        <v>2023</v>
      </c>
    </row>
    <row r="87" spans="1:9">
      <c r="A87">
        <v>86</v>
      </c>
      <c r="B87">
        <v>365</v>
      </c>
      <c r="C87" s="20" t="s">
        <v>2158</v>
      </c>
      <c r="D87" s="20" t="s">
        <v>246</v>
      </c>
      <c r="E87">
        <v>156</v>
      </c>
      <c r="F87">
        <v>2025</v>
      </c>
      <c r="G87">
        <v>2025</v>
      </c>
      <c r="H87">
        <v>2024</v>
      </c>
      <c r="I87">
        <v>2023</v>
      </c>
    </row>
    <row r="88" spans="1:9">
      <c r="A88">
        <v>87</v>
      </c>
      <c r="B88">
        <v>313</v>
      </c>
      <c r="C88" s="20" t="s">
        <v>2158</v>
      </c>
      <c r="D88" s="20" t="s">
        <v>350</v>
      </c>
      <c r="E88">
        <v>125</v>
      </c>
      <c r="F88">
        <v>2025</v>
      </c>
      <c r="G88">
        <v>2025</v>
      </c>
      <c r="H88">
        <v>2024</v>
      </c>
      <c r="I88">
        <v>2023</v>
      </c>
    </row>
    <row r="89" spans="1:9">
      <c r="A89">
        <v>88</v>
      </c>
      <c r="B89">
        <v>351</v>
      </c>
      <c r="C89" s="20" t="s">
        <v>2158</v>
      </c>
      <c r="D89" s="20" t="s">
        <v>352</v>
      </c>
      <c r="E89">
        <v>134</v>
      </c>
      <c r="F89">
        <v>2025</v>
      </c>
      <c r="G89">
        <v>2025</v>
      </c>
      <c r="H89">
        <v>2024</v>
      </c>
      <c r="I89">
        <v>2023</v>
      </c>
    </row>
    <row r="90" spans="1:9">
      <c r="A90">
        <v>89</v>
      </c>
      <c r="B90">
        <v>366</v>
      </c>
      <c r="C90" s="20" t="s">
        <v>2158</v>
      </c>
      <c r="D90" s="20" t="s">
        <v>366</v>
      </c>
      <c r="E90">
        <v>83</v>
      </c>
      <c r="F90">
        <v>2025</v>
      </c>
      <c r="G90">
        <v>2025</v>
      </c>
      <c r="H90">
        <v>2024</v>
      </c>
      <c r="I90">
        <v>2023</v>
      </c>
    </row>
    <row r="91" spans="1:9">
      <c r="A91">
        <v>90</v>
      </c>
      <c r="B91">
        <v>368</v>
      </c>
      <c r="C91" s="20" t="s">
        <v>2158</v>
      </c>
      <c r="D91" s="20" t="s">
        <v>256</v>
      </c>
      <c r="E91">
        <v>125</v>
      </c>
      <c r="F91">
        <v>2025</v>
      </c>
      <c r="G91">
        <v>2025</v>
      </c>
      <c r="H91">
        <v>2024</v>
      </c>
      <c r="I91">
        <v>2023</v>
      </c>
    </row>
    <row r="92" spans="1:9">
      <c r="A92">
        <v>91</v>
      </c>
      <c r="B92">
        <v>264</v>
      </c>
      <c r="C92" s="20" t="s">
        <v>2160</v>
      </c>
      <c r="D92" s="20" t="s">
        <v>59</v>
      </c>
      <c r="E92">
        <v>108</v>
      </c>
      <c r="F92">
        <v>2025</v>
      </c>
      <c r="G92">
        <v>2026</v>
      </c>
      <c r="H92">
        <v>2024</v>
      </c>
      <c r="I92">
        <v>2023</v>
      </c>
    </row>
    <row r="93" spans="1:9">
      <c r="A93">
        <v>92</v>
      </c>
      <c r="B93">
        <v>286</v>
      </c>
      <c r="C93" s="20" t="s">
        <v>2160</v>
      </c>
      <c r="D93" s="20" t="s">
        <v>60</v>
      </c>
      <c r="E93">
        <v>224</v>
      </c>
      <c r="F93">
        <v>2025</v>
      </c>
      <c r="G93">
        <v>2026</v>
      </c>
      <c r="H93">
        <v>2024</v>
      </c>
      <c r="I93">
        <v>2023</v>
      </c>
    </row>
    <row r="94" spans="1:9">
      <c r="A94">
        <v>93</v>
      </c>
      <c r="B94">
        <v>1</v>
      </c>
      <c r="C94" s="20" t="s">
        <v>2160</v>
      </c>
      <c r="D94" s="20" t="s">
        <v>242</v>
      </c>
      <c r="E94">
        <v>126</v>
      </c>
      <c r="F94">
        <v>2025</v>
      </c>
      <c r="G94">
        <v>2026</v>
      </c>
      <c r="H94">
        <v>2024</v>
      </c>
      <c r="I94">
        <v>2023</v>
      </c>
    </row>
    <row r="95" spans="1:9">
      <c r="A95">
        <v>94</v>
      </c>
      <c r="B95">
        <v>337</v>
      </c>
      <c r="C95" s="20" t="s">
        <v>2160</v>
      </c>
      <c r="D95" s="20" t="s">
        <v>63</v>
      </c>
      <c r="E95">
        <v>188</v>
      </c>
      <c r="F95">
        <v>2025</v>
      </c>
      <c r="G95">
        <v>2026</v>
      </c>
      <c r="H95">
        <v>2024</v>
      </c>
      <c r="I95">
        <v>2023</v>
      </c>
    </row>
    <row r="96" spans="1:9">
      <c r="A96">
        <v>95</v>
      </c>
      <c r="B96">
        <v>292</v>
      </c>
      <c r="C96" s="20" t="s">
        <v>2160</v>
      </c>
      <c r="D96" s="20" t="s">
        <v>64</v>
      </c>
      <c r="E96">
        <v>55</v>
      </c>
      <c r="F96">
        <v>2025</v>
      </c>
      <c r="G96">
        <v>2026</v>
      </c>
      <c r="H96">
        <v>2024</v>
      </c>
      <c r="I96">
        <v>2023</v>
      </c>
    </row>
    <row r="97" spans="1:9">
      <c r="A97">
        <v>96</v>
      </c>
      <c r="B97">
        <v>377</v>
      </c>
      <c r="C97" s="20" t="s">
        <v>2153</v>
      </c>
      <c r="D97" s="20" t="s">
        <v>95</v>
      </c>
      <c r="E97">
        <v>664</v>
      </c>
      <c r="F97">
        <v>2025</v>
      </c>
      <c r="G97">
        <v>2026</v>
      </c>
      <c r="H97">
        <v>2024</v>
      </c>
      <c r="I97">
        <v>2023</v>
      </c>
    </row>
    <row r="98" spans="1:9">
      <c r="A98">
        <v>97</v>
      </c>
      <c r="B98">
        <v>207</v>
      </c>
      <c r="C98" s="20" t="s">
        <v>2161</v>
      </c>
      <c r="D98" s="20" t="s">
        <v>203</v>
      </c>
      <c r="E98">
        <v>160</v>
      </c>
      <c r="F98">
        <v>2025</v>
      </c>
      <c r="G98">
        <v>2026</v>
      </c>
      <c r="H98">
        <v>2024</v>
      </c>
      <c r="I98">
        <v>2023</v>
      </c>
    </row>
    <row r="99" spans="1:9">
      <c r="A99">
        <v>98</v>
      </c>
      <c r="B99">
        <v>276</v>
      </c>
      <c r="C99" s="20" t="s">
        <v>2161</v>
      </c>
      <c r="D99" s="20" t="s">
        <v>208</v>
      </c>
      <c r="E99">
        <v>232</v>
      </c>
      <c r="F99">
        <v>2025</v>
      </c>
      <c r="G99">
        <v>2026</v>
      </c>
      <c r="H99">
        <v>2024</v>
      </c>
      <c r="I99">
        <v>2023</v>
      </c>
    </row>
    <row r="100" spans="1:9">
      <c r="A100">
        <v>99</v>
      </c>
      <c r="B100">
        <v>240</v>
      </c>
      <c r="C100" s="20" t="s">
        <v>2161</v>
      </c>
      <c r="D100" s="20" t="s">
        <v>218</v>
      </c>
      <c r="E100">
        <v>167</v>
      </c>
      <c r="F100">
        <v>2025</v>
      </c>
      <c r="G100">
        <v>2026</v>
      </c>
      <c r="H100">
        <v>2024</v>
      </c>
      <c r="I100">
        <v>2023</v>
      </c>
    </row>
    <row r="101" spans="1:9">
      <c r="A101">
        <v>100</v>
      </c>
      <c r="B101">
        <v>261</v>
      </c>
      <c r="C101" s="20" t="s">
        <v>2161</v>
      </c>
      <c r="D101" s="20" t="s">
        <v>219</v>
      </c>
      <c r="E101">
        <v>462</v>
      </c>
      <c r="F101">
        <v>2025</v>
      </c>
      <c r="G101">
        <v>2026</v>
      </c>
      <c r="H101">
        <v>2024</v>
      </c>
      <c r="I101">
        <v>2023</v>
      </c>
    </row>
    <row r="102" spans="1:9">
      <c r="A102">
        <v>101</v>
      </c>
      <c r="B102">
        <v>199</v>
      </c>
      <c r="C102" s="20" t="s">
        <v>112</v>
      </c>
      <c r="D102" s="20" t="s">
        <v>74</v>
      </c>
      <c r="E102">
        <v>171</v>
      </c>
      <c r="F102">
        <v>2026</v>
      </c>
      <c r="G102">
        <v>2026</v>
      </c>
      <c r="H102">
        <v>2024</v>
      </c>
      <c r="I102">
        <v>2023</v>
      </c>
    </row>
    <row r="103" spans="1:9">
      <c r="A103">
        <v>102</v>
      </c>
      <c r="B103">
        <v>64</v>
      </c>
      <c r="C103" s="20" t="s">
        <v>112</v>
      </c>
      <c r="D103" s="20" t="s">
        <v>112</v>
      </c>
      <c r="E103">
        <v>1493</v>
      </c>
      <c r="F103">
        <v>2026</v>
      </c>
      <c r="G103">
        <v>2026</v>
      </c>
      <c r="H103">
        <v>2024</v>
      </c>
      <c r="I103">
        <v>2023</v>
      </c>
    </row>
    <row r="104" spans="1:9">
      <c r="A104">
        <v>103</v>
      </c>
      <c r="B104">
        <v>34</v>
      </c>
      <c r="C104" s="20" t="s">
        <v>317</v>
      </c>
      <c r="D104" s="20" t="s">
        <v>317</v>
      </c>
      <c r="E104">
        <v>877</v>
      </c>
      <c r="F104">
        <v>2026</v>
      </c>
      <c r="G104">
        <v>2026</v>
      </c>
      <c r="H104">
        <v>2025</v>
      </c>
      <c r="I104">
        <v>2023</v>
      </c>
    </row>
    <row r="105" spans="1:9">
      <c r="A105">
        <v>104</v>
      </c>
      <c r="B105">
        <v>191</v>
      </c>
      <c r="C105" s="20" t="s">
        <v>317</v>
      </c>
      <c r="D105" s="20" t="s">
        <v>345</v>
      </c>
      <c r="E105">
        <v>179</v>
      </c>
      <c r="F105">
        <v>2026</v>
      </c>
      <c r="G105">
        <v>2026</v>
      </c>
      <c r="H105">
        <v>2025</v>
      </c>
      <c r="I105">
        <v>2023</v>
      </c>
    </row>
    <row r="106" spans="1:9">
      <c r="A106">
        <v>105</v>
      </c>
      <c r="B106">
        <v>334</v>
      </c>
      <c r="C106" s="20" t="s">
        <v>2162</v>
      </c>
      <c r="D106" s="20" t="s">
        <v>124</v>
      </c>
      <c r="E106">
        <v>188</v>
      </c>
      <c r="F106">
        <v>2026</v>
      </c>
      <c r="G106">
        <v>2026</v>
      </c>
      <c r="H106">
        <v>2025</v>
      </c>
      <c r="I106">
        <v>2024</v>
      </c>
    </row>
    <row r="107" spans="1:9">
      <c r="A107">
        <v>106</v>
      </c>
      <c r="B107">
        <v>190</v>
      </c>
      <c r="C107" s="20" t="s">
        <v>2162</v>
      </c>
      <c r="D107" s="20" t="s">
        <v>105</v>
      </c>
      <c r="E107">
        <v>175</v>
      </c>
      <c r="F107">
        <v>2026</v>
      </c>
      <c r="G107">
        <v>2026</v>
      </c>
      <c r="H107">
        <v>2025</v>
      </c>
      <c r="I107">
        <v>2024</v>
      </c>
    </row>
    <row r="108" spans="1:9">
      <c r="A108">
        <v>107</v>
      </c>
      <c r="B108">
        <v>305</v>
      </c>
      <c r="C108" s="20" t="s">
        <v>2162</v>
      </c>
      <c r="D108" s="20" t="s">
        <v>96</v>
      </c>
      <c r="E108">
        <v>114</v>
      </c>
      <c r="F108">
        <v>2026</v>
      </c>
      <c r="G108">
        <v>2026</v>
      </c>
      <c r="H108">
        <v>2025</v>
      </c>
      <c r="I108">
        <v>2024</v>
      </c>
    </row>
    <row r="109" spans="1:9">
      <c r="A109">
        <v>108</v>
      </c>
      <c r="B109">
        <v>353</v>
      </c>
      <c r="C109" s="20" t="s">
        <v>2162</v>
      </c>
      <c r="D109" s="20" t="s">
        <v>97</v>
      </c>
      <c r="E109">
        <v>120</v>
      </c>
      <c r="F109">
        <v>2026</v>
      </c>
      <c r="G109">
        <v>2026</v>
      </c>
      <c r="H109">
        <v>2025</v>
      </c>
      <c r="I109">
        <v>2024</v>
      </c>
    </row>
    <row r="110" spans="1:9">
      <c r="A110">
        <v>109</v>
      </c>
      <c r="B110">
        <v>342</v>
      </c>
      <c r="C110" s="20" t="s">
        <v>2162</v>
      </c>
      <c r="D110" s="20" t="s">
        <v>98</v>
      </c>
      <c r="E110">
        <v>200</v>
      </c>
      <c r="F110">
        <v>2026</v>
      </c>
      <c r="G110">
        <v>2026</v>
      </c>
      <c r="H110">
        <v>2025</v>
      </c>
      <c r="I110">
        <v>2024</v>
      </c>
    </row>
    <row r="111" spans="1:9">
      <c r="A111">
        <v>110</v>
      </c>
      <c r="B111">
        <v>356</v>
      </c>
      <c r="C111" s="20" t="s">
        <v>2162</v>
      </c>
      <c r="D111" s="20" t="s">
        <v>99</v>
      </c>
      <c r="E111">
        <v>120</v>
      </c>
      <c r="F111">
        <v>2026</v>
      </c>
      <c r="G111">
        <v>2026</v>
      </c>
      <c r="H111">
        <v>2025</v>
      </c>
      <c r="I111">
        <v>2024</v>
      </c>
    </row>
    <row r="112" spans="1:9">
      <c r="A112">
        <v>111</v>
      </c>
      <c r="B112">
        <v>29</v>
      </c>
      <c r="C112" s="20" t="s">
        <v>202</v>
      </c>
      <c r="D112" s="20" t="s">
        <v>202</v>
      </c>
      <c r="E112">
        <v>1390</v>
      </c>
      <c r="F112">
        <v>2026</v>
      </c>
      <c r="G112">
        <v>2027</v>
      </c>
      <c r="H112">
        <v>2025</v>
      </c>
      <c r="I112">
        <v>2024</v>
      </c>
    </row>
    <row r="113" spans="1:9">
      <c r="A113">
        <v>112</v>
      </c>
      <c r="B113">
        <v>21</v>
      </c>
      <c r="C113" s="20" t="s">
        <v>38</v>
      </c>
      <c r="D113" s="20" t="s">
        <v>38</v>
      </c>
      <c r="E113">
        <v>1717</v>
      </c>
      <c r="F113">
        <v>2026</v>
      </c>
      <c r="G113">
        <v>2027</v>
      </c>
      <c r="H113">
        <v>2025</v>
      </c>
      <c r="I113">
        <v>2024</v>
      </c>
    </row>
    <row r="114" spans="1:9">
      <c r="A114">
        <v>113</v>
      </c>
      <c r="B114">
        <v>53</v>
      </c>
      <c r="C114" s="20" t="s">
        <v>211</v>
      </c>
      <c r="D114" s="20" t="s">
        <v>211</v>
      </c>
      <c r="E114">
        <v>2071</v>
      </c>
      <c r="F114">
        <v>2027</v>
      </c>
      <c r="G114">
        <v>2027</v>
      </c>
      <c r="H114">
        <v>2025</v>
      </c>
      <c r="I114">
        <v>2024</v>
      </c>
    </row>
    <row r="115" spans="1:9">
      <c r="A115">
        <v>114</v>
      </c>
      <c r="B115">
        <v>43</v>
      </c>
      <c r="C115" s="20" t="s">
        <v>196</v>
      </c>
      <c r="D115" s="20" t="s">
        <v>209</v>
      </c>
      <c r="E115">
        <v>1148</v>
      </c>
      <c r="F115">
        <v>2027</v>
      </c>
      <c r="G115">
        <v>2028</v>
      </c>
      <c r="H115">
        <v>2026</v>
      </c>
      <c r="I115">
        <v>2024</v>
      </c>
    </row>
    <row r="116" spans="1:9">
      <c r="A116">
        <v>115</v>
      </c>
      <c r="B116">
        <v>36</v>
      </c>
      <c r="C116" s="20" t="s">
        <v>196</v>
      </c>
      <c r="D116" s="20" t="s">
        <v>196</v>
      </c>
      <c r="E116">
        <v>1056</v>
      </c>
      <c r="F116">
        <v>2027</v>
      </c>
      <c r="G116">
        <v>2028</v>
      </c>
      <c r="H116">
        <v>2026</v>
      </c>
      <c r="I116">
        <v>2024</v>
      </c>
    </row>
    <row r="117" spans="1:9">
      <c r="A117">
        <v>116</v>
      </c>
      <c r="B117">
        <v>44</v>
      </c>
      <c r="C117" s="20" t="s">
        <v>325</v>
      </c>
      <c r="D117" s="20" t="s">
        <v>325</v>
      </c>
      <c r="E117">
        <v>1188</v>
      </c>
      <c r="F117">
        <v>2028</v>
      </c>
      <c r="G117">
        <v>2028</v>
      </c>
      <c r="H117">
        <v>2026</v>
      </c>
      <c r="I117">
        <v>2024</v>
      </c>
    </row>
    <row r="118" spans="1:9">
      <c r="A118">
        <v>117</v>
      </c>
      <c r="B118">
        <v>81</v>
      </c>
      <c r="C118" s="20" t="s">
        <v>122</v>
      </c>
      <c r="D118" s="20" t="s">
        <v>122</v>
      </c>
      <c r="E118">
        <v>1272</v>
      </c>
      <c r="F118">
        <v>2028</v>
      </c>
      <c r="G118">
        <v>2028</v>
      </c>
      <c r="H118">
        <v>2026</v>
      </c>
      <c r="I118">
        <v>2025</v>
      </c>
    </row>
    <row r="119" spans="1:9">
      <c r="A119">
        <v>118</v>
      </c>
      <c r="B119">
        <v>77</v>
      </c>
      <c r="C119" s="20" t="s">
        <v>344</v>
      </c>
      <c r="D119" s="20" t="s">
        <v>344</v>
      </c>
      <c r="E119">
        <v>607</v>
      </c>
      <c r="F119">
        <v>2028</v>
      </c>
      <c r="G119">
        <v>2028</v>
      </c>
      <c r="H119">
        <v>2026</v>
      </c>
      <c r="I119">
        <v>2025</v>
      </c>
    </row>
    <row r="120" spans="1:9">
      <c r="A120">
        <v>119</v>
      </c>
      <c r="B120">
        <v>17</v>
      </c>
      <c r="C120" s="20" t="s">
        <v>83</v>
      </c>
      <c r="D120" s="20" t="s">
        <v>83</v>
      </c>
      <c r="E120">
        <v>1310</v>
      </c>
      <c r="F120">
        <v>2028</v>
      </c>
      <c r="G120">
        <v>2028</v>
      </c>
      <c r="H120">
        <v>2026</v>
      </c>
      <c r="I120">
        <v>2025</v>
      </c>
    </row>
    <row r="121" spans="1:9">
      <c r="A121">
        <v>120</v>
      </c>
      <c r="B121">
        <v>20</v>
      </c>
      <c r="C121" s="20" t="s">
        <v>113</v>
      </c>
      <c r="D121" s="20" t="s">
        <v>113</v>
      </c>
      <c r="E121">
        <v>1286</v>
      </c>
      <c r="H121">
        <v>2026</v>
      </c>
      <c r="I121">
        <v>2025</v>
      </c>
    </row>
    <row r="122" spans="1:9">
      <c r="A122">
        <v>121</v>
      </c>
      <c r="B122">
        <v>92</v>
      </c>
      <c r="C122" s="20" t="s">
        <v>231</v>
      </c>
      <c r="D122" s="20" t="s">
        <v>231</v>
      </c>
      <c r="E122">
        <v>1610</v>
      </c>
      <c r="H122">
        <v>2027</v>
      </c>
      <c r="I122">
        <v>2025</v>
      </c>
    </row>
    <row r="123" spans="1:9">
      <c r="A123">
        <v>122</v>
      </c>
      <c r="B123">
        <v>16</v>
      </c>
      <c r="C123" s="20" t="s">
        <v>392</v>
      </c>
      <c r="D123" s="20" t="s">
        <v>392</v>
      </c>
      <c r="E123">
        <v>1338</v>
      </c>
      <c r="H123">
        <v>2027</v>
      </c>
      <c r="I123">
        <v>2025</v>
      </c>
    </row>
    <row r="124" spans="1:9">
      <c r="A124">
        <v>123</v>
      </c>
      <c r="B124">
        <v>72</v>
      </c>
      <c r="C124" s="20" t="s">
        <v>206</v>
      </c>
      <c r="D124" s="20" t="s">
        <v>206</v>
      </c>
      <c r="E124">
        <v>815</v>
      </c>
      <c r="H124">
        <v>2027</v>
      </c>
      <c r="I124">
        <v>2025</v>
      </c>
    </row>
    <row r="125" spans="1:9">
      <c r="A125">
        <v>124</v>
      </c>
      <c r="B125">
        <v>87</v>
      </c>
      <c r="C125" s="20" t="s">
        <v>81</v>
      </c>
      <c r="D125" s="20" t="s">
        <v>81</v>
      </c>
      <c r="E125">
        <v>1940</v>
      </c>
      <c r="H125">
        <v>2027</v>
      </c>
      <c r="I125">
        <v>2025</v>
      </c>
    </row>
    <row r="126" spans="1:9">
      <c r="A126">
        <v>125</v>
      </c>
      <c r="B126">
        <v>224</v>
      </c>
      <c r="C126" s="20" t="s">
        <v>204</v>
      </c>
      <c r="D126" s="20" t="s">
        <v>264</v>
      </c>
      <c r="E126">
        <v>66</v>
      </c>
      <c r="H126">
        <v>2027</v>
      </c>
      <c r="I126">
        <v>2026</v>
      </c>
    </row>
    <row r="127" spans="1:9">
      <c r="A127">
        <v>126</v>
      </c>
      <c r="B127">
        <v>59</v>
      </c>
      <c r="C127" s="20" t="s">
        <v>204</v>
      </c>
      <c r="D127" s="20" t="s">
        <v>204</v>
      </c>
      <c r="E127">
        <v>1350</v>
      </c>
      <c r="H127">
        <v>2027</v>
      </c>
      <c r="I127">
        <v>2026</v>
      </c>
    </row>
    <row r="128" spans="1:9">
      <c r="A128">
        <v>127</v>
      </c>
      <c r="B128">
        <v>103</v>
      </c>
      <c r="C128" s="20" t="s">
        <v>204</v>
      </c>
      <c r="D128" s="20" t="s">
        <v>222</v>
      </c>
      <c r="E128">
        <v>619</v>
      </c>
      <c r="H128">
        <v>2027</v>
      </c>
      <c r="I128">
        <v>2026</v>
      </c>
    </row>
    <row r="129" spans="1:9">
      <c r="A129">
        <v>128</v>
      </c>
      <c r="B129">
        <v>129</v>
      </c>
      <c r="C129" s="20" t="s">
        <v>123</v>
      </c>
      <c r="D129" s="20" t="s">
        <v>91</v>
      </c>
      <c r="E129">
        <v>463</v>
      </c>
      <c r="H129">
        <v>2028</v>
      </c>
      <c r="I129">
        <v>2026</v>
      </c>
    </row>
    <row r="130" spans="1:9">
      <c r="A130">
        <v>129</v>
      </c>
      <c r="B130">
        <v>93</v>
      </c>
      <c r="C130" s="20" t="s">
        <v>123</v>
      </c>
      <c r="D130" s="20" t="s">
        <v>123</v>
      </c>
      <c r="E130">
        <v>1007</v>
      </c>
      <c r="H130">
        <v>2028</v>
      </c>
      <c r="I130">
        <v>2026</v>
      </c>
    </row>
    <row r="131" spans="1:9">
      <c r="A131">
        <v>130</v>
      </c>
      <c r="B131">
        <v>181</v>
      </c>
      <c r="C131" s="20" t="s">
        <v>116</v>
      </c>
      <c r="D131" s="20" t="s">
        <v>90</v>
      </c>
      <c r="E131">
        <v>275</v>
      </c>
      <c r="H131">
        <v>2028</v>
      </c>
      <c r="I131">
        <v>2026</v>
      </c>
    </row>
    <row r="132" spans="1:9">
      <c r="A132">
        <v>131</v>
      </c>
      <c r="B132">
        <v>124</v>
      </c>
      <c r="C132" s="20" t="s">
        <v>116</v>
      </c>
      <c r="D132" s="20" t="s">
        <v>102</v>
      </c>
      <c r="E132">
        <v>248</v>
      </c>
      <c r="H132">
        <v>2028</v>
      </c>
      <c r="I132">
        <v>2026</v>
      </c>
    </row>
    <row r="133" spans="1:9">
      <c r="A133">
        <v>132</v>
      </c>
      <c r="B133">
        <v>112</v>
      </c>
      <c r="C133" s="20" t="s">
        <v>116</v>
      </c>
      <c r="D133" s="20" t="s">
        <v>116</v>
      </c>
      <c r="E133">
        <v>398</v>
      </c>
      <c r="H133">
        <v>2028</v>
      </c>
      <c r="I133">
        <v>2026</v>
      </c>
    </row>
    <row r="134" spans="1:9">
      <c r="A134">
        <v>133</v>
      </c>
      <c r="B134">
        <v>74</v>
      </c>
      <c r="C134" s="20" t="s">
        <v>127</v>
      </c>
      <c r="D134" s="20" t="s">
        <v>127</v>
      </c>
      <c r="E134">
        <v>2162</v>
      </c>
      <c r="H134">
        <v>2028</v>
      </c>
      <c r="I134">
        <v>2026</v>
      </c>
    </row>
    <row r="135" spans="1:9">
      <c r="A135">
        <v>134</v>
      </c>
      <c r="B135">
        <v>38</v>
      </c>
      <c r="C135" s="20" t="s">
        <v>136</v>
      </c>
      <c r="D135" s="20" t="s">
        <v>136</v>
      </c>
      <c r="E135">
        <v>1526</v>
      </c>
      <c r="H135">
        <v>2028</v>
      </c>
      <c r="I135">
        <v>2026</v>
      </c>
    </row>
    <row r="136" spans="1:9">
      <c r="A136">
        <v>135</v>
      </c>
      <c r="B136">
        <v>154</v>
      </c>
      <c r="C136" s="20" t="s">
        <v>128</v>
      </c>
      <c r="D136" s="20" t="s">
        <v>67</v>
      </c>
      <c r="E136">
        <v>100</v>
      </c>
      <c r="H136">
        <v>2028</v>
      </c>
      <c r="I136">
        <v>2026</v>
      </c>
    </row>
    <row r="137" spans="1:9">
      <c r="A137">
        <v>136</v>
      </c>
      <c r="B137">
        <v>97</v>
      </c>
      <c r="C137" s="20" t="s">
        <v>128</v>
      </c>
      <c r="D137" s="20" t="s">
        <v>128</v>
      </c>
      <c r="E137">
        <v>1470</v>
      </c>
      <c r="H137">
        <v>2028</v>
      </c>
      <c r="I137">
        <v>2026</v>
      </c>
    </row>
    <row r="138" spans="1:9">
      <c r="A138">
        <v>137</v>
      </c>
      <c r="B138">
        <v>5</v>
      </c>
      <c r="C138" s="20" t="s">
        <v>135</v>
      </c>
      <c r="D138" s="20" t="s">
        <v>135</v>
      </c>
      <c r="E138">
        <v>1604</v>
      </c>
      <c r="I138">
        <v>2027</v>
      </c>
    </row>
    <row r="139" spans="1:9">
      <c r="A139">
        <v>138</v>
      </c>
      <c r="B139">
        <v>505</v>
      </c>
      <c r="C139" s="20" t="s">
        <v>134</v>
      </c>
      <c r="D139" s="20" t="s">
        <v>134</v>
      </c>
      <c r="E139">
        <v>1543</v>
      </c>
      <c r="I139">
        <v>2027</v>
      </c>
    </row>
    <row r="140" spans="1:9">
      <c r="A140">
        <v>139</v>
      </c>
      <c r="B140">
        <v>47</v>
      </c>
      <c r="C140" s="20" t="s">
        <v>353</v>
      </c>
      <c r="D140" s="20" t="s">
        <v>353</v>
      </c>
      <c r="E140">
        <v>879</v>
      </c>
      <c r="I140">
        <v>2027</v>
      </c>
    </row>
    <row r="141" spans="1:9">
      <c r="A141">
        <v>140</v>
      </c>
      <c r="B141">
        <v>131</v>
      </c>
      <c r="C141" s="20" t="s">
        <v>46</v>
      </c>
      <c r="D141" s="20" t="s">
        <v>46</v>
      </c>
      <c r="E141">
        <v>1046</v>
      </c>
      <c r="I141">
        <v>2027</v>
      </c>
    </row>
    <row r="142" spans="1:9">
      <c r="A142">
        <v>141</v>
      </c>
      <c r="B142">
        <v>164</v>
      </c>
      <c r="C142" s="20" t="s">
        <v>244</v>
      </c>
      <c r="D142" s="20" t="s">
        <v>307</v>
      </c>
      <c r="E142">
        <v>174</v>
      </c>
      <c r="I142">
        <v>2027</v>
      </c>
    </row>
    <row r="143" spans="1:9">
      <c r="A143">
        <v>142</v>
      </c>
      <c r="B143">
        <v>75</v>
      </c>
      <c r="C143" s="20" t="s">
        <v>244</v>
      </c>
      <c r="D143" s="20" t="s">
        <v>244</v>
      </c>
      <c r="E143">
        <v>712</v>
      </c>
      <c r="I143">
        <v>2027</v>
      </c>
    </row>
    <row r="144" spans="1:9">
      <c r="A144">
        <v>143</v>
      </c>
      <c r="B144">
        <v>243</v>
      </c>
      <c r="C144" s="20" t="s">
        <v>2170</v>
      </c>
      <c r="D144" s="20" t="s">
        <v>119</v>
      </c>
      <c r="E144">
        <v>509</v>
      </c>
      <c r="I144">
        <v>2027</v>
      </c>
    </row>
    <row r="145" spans="1:9">
      <c r="A145">
        <v>144</v>
      </c>
      <c r="B145">
        <v>271</v>
      </c>
      <c r="C145" s="20" t="s">
        <v>2170</v>
      </c>
      <c r="D145" s="20" t="s">
        <v>72</v>
      </c>
      <c r="E145">
        <v>425</v>
      </c>
      <c r="I145">
        <v>2027</v>
      </c>
    </row>
    <row r="146" spans="1:9">
      <c r="A146">
        <v>145</v>
      </c>
      <c r="B146">
        <v>121</v>
      </c>
      <c r="C146" s="20" t="s">
        <v>346</v>
      </c>
      <c r="D146" s="20" t="s">
        <v>346</v>
      </c>
      <c r="E146">
        <v>993</v>
      </c>
      <c r="I146">
        <v>2027</v>
      </c>
    </row>
    <row r="147" spans="1:9">
      <c r="A147">
        <v>146</v>
      </c>
      <c r="B147">
        <v>221</v>
      </c>
      <c r="C147" s="20" t="s">
        <v>2171</v>
      </c>
      <c r="D147" s="20" t="s">
        <v>257</v>
      </c>
      <c r="E147">
        <v>331</v>
      </c>
      <c r="I147">
        <v>2027</v>
      </c>
    </row>
    <row r="148" spans="1:9">
      <c r="A148">
        <v>147</v>
      </c>
      <c r="B148">
        <v>333</v>
      </c>
      <c r="C148" s="20" t="s">
        <v>2171</v>
      </c>
      <c r="D148" s="20" t="s">
        <v>258</v>
      </c>
      <c r="E148">
        <v>150</v>
      </c>
      <c r="I148">
        <v>2027</v>
      </c>
    </row>
    <row r="149" spans="1:9">
      <c r="A149">
        <v>148</v>
      </c>
      <c r="B149">
        <v>25</v>
      </c>
      <c r="C149" s="20" t="s">
        <v>326</v>
      </c>
      <c r="D149" s="20" t="s">
        <v>326</v>
      </c>
      <c r="E149">
        <v>1139</v>
      </c>
      <c r="I149">
        <v>2027</v>
      </c>
    </row>
    <row r="150" spans="1:9">
      <c r="A150">
        <v>149</v>
      </c>
      <c r="B150">
        <v>238</v>
      </c>
      <c r="C150" s="20" t="s">
        <v>351</v>
      </c>
      <c r="D150" s="20" t="s">
        <v>236</v>
      </c>
      <c r="E150">
        <v>125</v>
      </c>
      <c r="I150">
        <v>2028</v>
      </c>
    </row>
    <row r="151" spans="1:9">
      <c r="A151">
        <v>150</v>
      </c>
      <c r="B151">
        <v>68</v>
      </c>
      <c r="C151" s="20" t="s">
        <v>351</v>
      </c>
      <c r="D151" s="20" t="s">
        <v>327</v>
      </c>
      <c r="E151">
        <v>634</v>
      </c>
      <c r="I151">
        <v>2028</v>
      </c>
    </row>
    <row r="152" spans="1:9">
      <c r="A152">
        <v>151</v>
      </c>
      <c r="B152">
        <v>172</v>
      </c>
      <c r="C152" s="20" t="s">
        <v>351</v>
      </c>
      <c r="D152" s="20" t="s">
        <v>351</v>
      </c>
      <c r="E152">
        <v>573</v>
      </c>
      <c r="I152">
        <v>2028</v>
      </c>
    </row>
    <row r="153" spans="1:9">
      <c r="A153">
        <v>152</v>
      </c>
      <c r="B153">
        <v>145</v>
      </c>
      <c r="C153" s="20" t="s">
        <v>223</v>
      </c>
      <c r="D153" s="20" t="s">
        <v>223</v>
      </c>
      <c r="E153">
        <v>1732</v>
      </c>
      <c r="I153">
        <v>2028</v>
      </c>
    </row>
    <row r="154" spans="1:9">
      <c r="A154">
        <v>153</v>
      </c>
      <c r="B154">
        <v>58</v>
      </c>
      <c r="C154" s="20" t="s">
        <v>120</v>
      </c>
      <c r="D154" s="20" t="s">
        <v>120</v>
      </c>
      <c r="E154">
        <v>1246</v>
      </c>
      <c r="I154">
        <v>2028</v>
      </c>
    </row>
    <row r="155" spans="1:9">
      <c r="A155">
        <v>154</v>
      </c>
      <c r="B155">
        <v>88</v>
      </c>
      <c r="C155" s="20" t="s">
        <v>114</v>
      </c>
      <c r="D155" s="20" t="s">
        <v>114</v>
      </c>
      <c r="E155">
        <v>1102</v>
      </c>
      <c r="I155">
        <v>2028</v>
      </c>
    </row>
    <row r="156" spans="1:9">
      <c r="A156">
        <v>155</v>
      </c>
      <c r="B156">
        <v>83</v>
      </c>
      <c r="C156" s="20" t="s">
        <v>193</v>
      </c>
      <c r="D156" s="20" t="s">
        <v>193</v>
      </c>
      <c r="E156">
        <v>1765</v>
      </c>
      <c r="I156">
        <v>2028</v>
      </c>
    </row>
    <row r="157" spans="1:9">
      <c r="A157">
        <v>156</v>
      </c>
      <c r="B157">
        <v>69</v>
      </c>
      <c r="C157" s="20" t="s">
        <v>190</v>
      </c>
      <c r="D157" s="20" t="s">
        <v>190</v>
      </c>
      <c r="E157">
        <v>700</v>
      </c>
      <c r="I157">
        <v>2028</v>
      </c>
    </row>
    <row r="158" spans="1:9">
      <c r="A158">
        <v>157</v>
      </c>
      <c r="B158">
        <v>165</v>
      </c>
      <c r="C158" s="20" t="s">
        <v>2172</v>
      </c>
      <c r="D158" s="20" t="s">
        <v>301</v>
      </c>
      <c r="E158">
        <v>712</v>
      </c>
      <c r="I158">
        <v>2028</v>
      </c>
    </row>
    <row r="159" spans="1:9">
      <c r="A159">
        <v>158</v>
      </c>
      <c r="B159">
        <v>51</v>
      </c>
      <c r="C159" s="20" t="s">
        <v>2172</v>
      </c>
      <c r="D159" s="20" t="s">
        <v>348</v>
      </c>
      <c r="E159">
        <v>418</v>
      </c>
      <c r="I159">
        <v>2028</v>
      </c>
    </row>
    <row r="160" spans="1:9">
      <c r="A160">
        <v>159</v>
      </c>
      <c r="B160">
        <v>65</v>
      </c>
      <c r="C160" s="20" t="s">
        <v>199</v>
      </c>
      <c r="D160" s="20" t="s">
        <v>199</v>
      </c>
      <c r="E160">
        <v>896</v>
      </c>
      <c r="I160">
        <v>2028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/>
  <dimension ref="A1:O324"/>
  <sheetViews>
    <sheetView topLeftCell="A76" workbookViewId="0">
      <selection activeCell="C81" sqref="C81"/>
    </sheetView>
  </sheetViews>
  <sheetFormatPr defaultColWidth="8.7109375" defaultRowHeight="14.45"/>
  <cols>
    <col min="1" max="1" width="39.42578125" bestFit="1" customWidth="1"/>
    <col min="2" max="2" width="12.7109375" bestFit="1" customWidth="1"/>
    <col min="3" max="3" width="19.140625" bestFit="1" customWidth="1"/>
    <col min="4" max="4" width="7" bestFit="1" customWidth="1"/>
    <col min="5" max="5" width="15" bestFit="1" customWidth="1"/>
    <col min="6" max="6" width="12.42578125" bestFit="1" customWidth="1"/>
    <col min="7" max="7" width="22.28515625" bestFit="1" customWidth="1"/>
    <col min="8" max="8" width="16" bestFit="1" customWidth="1"/>
    <col min="9" max="9" width="14" bestFit="1" customWidth="1"/>
    <col min="10" max="10" width="23.42578125" bestFit="1" customWidth="1"/>
    <col min="11" max="11" width="8.42578125" bestFit="1" customWidth="1"/>
    <col min="12" max="12" width="11" bestFit="1" customWidth="1"/>
    <col min="13" max="13" width="19.140625" bestFit="1" customWidth="1"/>
    <col min="14" max="14" width="19.140625" customWidth="1"/>
    <col min="15" max="15" width="59.42578125" style="5" bestFit="1" customWidth="1"/>
  </cols>
  <sheetData>
    <row r="1" spans="1:15">
      <c r="J1" t="s">
        <v>2349</v>
      </c>
      <c r="L1">
        <v>2020</v>
      </c>
      <c r="M1" s="5"/>
      <c r="N1" s="5"/>
      <c r="O1"/>
    </row>
    <row r="2" spans="1:15">
      <c r="J2" s="61">
        <v>3.5000000000000003E-2</v>
      </c>
      <c r="M2" s="5"/>
      <c r="N2" s="5"/>
      <c r="O2"/>
    </row>
    <row r="3" spans="1:15" s="44" customFormat="1">
      <c r="A3" s="45" t="s">
        <v>7</v>
      </c>
      <c r="B3" s="46" t="s">
        <v>5</v>
      </c>
      <c r="C3" s="46" t="s">
        <v>11</v>
      </c>
      <c r="D3" s="46" t="s">
        <v>8</v>
      </c>
      <c r="E3" s="46" t="s">
        <v>9</v>
      </c>
      <c r="F3" s="46" t="s">
        <v>10</v>
      </c>
      <c r="G3" s="46" t="s">
        <v>2219</v>
      </c>
      <c r="H3" s="46" t="s">
        <v>2220</v>
      </c>
      <c r="I3" s="46" t="s">
        <v>2350</v>
      </c>
      <c r="J3" s="46" t="s">
        <v>2351</v>
      </c>
      <c r="K3" s="46" t="s">
        <v>3</v>
      </c>
      <c r="L3" s="46" t="s">
        <v>445</v>
      </c>
      <c r="M3" s="63" t="s">
        <v>443</v>
      </c>
      <c r="N3" s="63" t="s">
        <v>2352</v>
      </c>
      <c r="O3" s="46" t="s">
        <v>2353</v>
      </c>
    </row>
    <row r="4" spans="1:15">
      <c r="A4" s="13" t="s">
        <v>260</v>
      </c>
      <c r="B4" s="9" t="str">
        <f>VLOOKUP(A4,Data[],2,FALSE)</f>
        <v>BROOKLYN</v>
      </c>
      <c r="C4" s="9" t="s">
        <v>68</v>
      </c>
      <c r="D4" s="50">
        <f>VLOOKUP(ExtComp[[#This Row],[DEVELOPMENT]],Data[],8,FALSE)</f>
        <v>0</v>
      </c>
      <c r="E4" s="50">
        <f>VLOOKUP(ExtComp[[#This Row],[DEVELOPMENT]],Data[],9,FALSE)</f>
        <v>0</v>
      </c>
      <c r="F4" s="50" t="str">
        <f ca="1">IFERROR(VLOOKUP(ExtComp[[#This Row],[DEVELOPMENT]],Data[],4,FALSE),"")</f>
        <v/>
      </c>
      <c r="G4" s="50" t="str">
        <f ca="1">IF(ExtComp[[#This Row],[RAD/PACT]]="","",IF(ExtComp[[#This Row],[RAD/PACT]]&lt;=2025,"Yes",""))</f>
        <v/>
      </c>
      <c r="H4" s="51">
        <f ca="1">IF(VLOOKUP(ExtComp[[#This Row],[DEVELOPMENT]],Data[],11,FALSE)=0,"",DATEDIF(VLOOKUP(ExtComp[[#This Row],[DEVELOPMENT]],Data[],13,FALSE),TODAY(),"Y"))</f>
        <v>18</v>
      </c>
      <c r="I4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4" s="47">
        <f ca="1">(ExtComp[[#This Row],['# to Replace]]*'Unit Cost Summary'!$B$6)*(1+((ExtComp[[#This Row],[est. Year]]-YEAR(TODAY()))*$J$2))</f>
        <v>377598</v>
      </c>
      <c r="K4" s="51">
        <f ca="1">SUM(INDEX(ExtComp['# to Replace],1):ExtComp[[#This Row],['# to Replace]])</f>
        <v>2</v>
      </c>
      <c r="L4" s="51">
        <f ca="1">ROUNDDOWN(ExtComp[[#This Row],[Count]]/50,0)+$L$1</f>
        <v>2020</v>
      </c>
      <c r="M4" s="64">
        <f t="shared" ref="M4:M67" ca="1" si="0">IF(L4=L3,J4+M3,J4)</f>
        <v>377598</v>
      </c>
      <c r="N4" s="72" t="str">
        <f>IFERROR(VLOOKUP(ExtComp[[#This Row],[DEVELOPMENT]],Data[],22,FALSE),"")</f>
        <v/>
      </c>
      <c r="O4" s="98" t="str">
        <f>IFERROR(VLOOKUP(ExtComp[[#This Row],[DEVELOPMENT]],Data[],23,FALSE),"")</f>
        <v/>
      </c>
    </row>
    <row r="5" spans="1:15">
      <c r="A5" s="13" t="s">
        <v>391</v>
      </c>
      <c r="B5" s="9" t="str">
        <f>VLOOKUP(A5,Data[],2,FALSE)</f>
        <v>MANHATTAN</v>
      </c>
      <c r="C5" s="9" t="s">
        <v>68</v>
      </c>
      <c r="D5" s="50">
        <f>VLOOKUP(ExtComp[[#This Row],[DEVELOPMENT]],Data[],8,FALSE)</f>
        <v>0</v>
      </c>
      <c r="E5" s="50">
        <f>VLOOKUP(ExtComp[[#This Row],[DEVELOPMENT]],Data[],9,FALSE)</f>
        <v>0</v>
      </c>
      <c r="F5" s="50" t="str">
        <f ca="1">IFERROR(VLOOKUP(ExtComp[[#This Row],[DEVELOPMENT]],Data[],4,FALSE),"")</f>
        <v/>
      </c>
      <c r="G5" s="50" t="str">
        <f ca="1">IF(ExtComp[[#This Row],[RAD/PACT]]="","",IF(ExtComp[[#This Row],[RAD/PACT]]&lt;=2025,"Yes",""))</f>
        <v/>
      </c>
      <c r="H5" s="51" t="str">
        <f ca="1">IF(VLOOKUP(ExtComp[[#This Row],[DEVELOPMENT]],Data[],11,FALSE)=0,"",DATEDIF(VLOOKUP(ExtComp[[#This Row],[DEVELOPMENT]],Data[],13,FALSE),TODAY(),"Y"))</f>
        <v/>
      </c>
      <c r="I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5" s="47">
        <f ca="1">(ExtComp[[#This Row],['# to Replace]]*'Unit Cost Summary'!$B$6)*(1+((ExtComp[[#This Row],[est. Year]]-YEAR(TODAY()))*$J$2))</f>
        <v>0</v>
      </c>
      <c r="K5" s="51">
        <f ca="1">SUM(INDEX(ExtComp['# to Replace],1):ExtComp[[#This Row],['# to Replace]])</f>
        <v>2</v>
      </c>
      <c r="L5" s="51">
        <f ca="1">ROUNDDOWN(ExtComp[[#This Row],[Count]]/50,0)+$L$1</f>
        <v>2020</v>
      </c>
      <c r="M5" s="64">
        <f t="shared" ca="1" si="0"/>
        <v>377598</v>
      </c>
      <c r="N5" s="64" t="str">
        <f>IFERROR(VLOOKUP(ExtComp[[#This Row],[DEVELOPMENT]],Data[],22,FALSE),"")</f>
        <v/>
      </c>
      <c r="O5" s="71" t="str">
        <f>IFERROR(VLOOKUP(ExtComp[[#This Row],[DEVELOPMENT]],Data[],23,FALSE),"")</f>
        <v/>
      </c>
    </row>
    <row r="6" spans="1:15">
      <c r="A6" s="13" t="s">
        <v>390</v>
      </c>
      <c r="B6" s="9" t="str">
        <f>VLOOKUP(A6,Data[],2,FALSE)</f>
        <v>MANHATTAN</v>
      </c>
      <c r="C6" s="9" t="s">
        <v>68</v>
      </c>
      <c r="D6" s="50" t="str">
        <f>VLOOKUP(ExtComp[[#This Row],[DEVELOPMENT]],Data[],8,FALSE)</f>
        <v>Zone 4</v>
      </c>
      <c r="E6" s="50">
        <f>VLOOKUP(ExtComp[[#This Row],[DEVELOPMENT]],Data[],9,FALSE)</f>
        <v>0</v>
      </c>
      <c r="F6" s="50" t="str">
        <f ca="1">IFERROR(VLOOKUP(ExtComp[[#This Row],[DEVELOPMENT]],Data[],4,FALSE),"")</f>
        <v/>
      </c>
      <c r="G6" s="50" t="str">
        <f ca="1">IF(ExtComp[[#This Row],[RAD/PACT]]="","",IF(ExtComp[[#This Row],[RAD/PACT]]&lt;=2025,"Yes",""))</f>
        <v/>
      </c>
      <c r="H6" s="51" t="str">
        <f ca="1">IF(VLOOKUP(ExtComp[[#This Row],[DEVELOPMENT]],Data[],11,FALSE)=0,"",DATEDIF(VLOOKUP(ExtComp[[#This Row],[DEVELOPMENT]],Data[],13,FALSE),TODAY(),"Y"))</f>
        <v/>
      </c>
      <c r="I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6" s="47">
        <f ca="1">(ExtComp[[#This Row],['# to Replace]]*'Unit Cost Summary'!$B$6)*(1+((ExtComp[[#This Row],[est. Year]]-YEAR(TODAY()))*$J$2))</f>
        <v>0</v>
      </c>
      <c r="K6" s="51">
        <f ca="1">SUM(INDEX(ExtComp['# to Replace],1):ExtComp[[#This Row],['# to Replace]])</f>
        <v>2</v>
      </c>
      <c r="L6" s="51">
        <f ca="1">ROUNDDOWN(ExtComp[[#This Row],[Count]]/50,0)+$L$1</f>
        <v>2020</v>
      </c>
      <c r="M6" s="64">
        <f t="shared" ca="1" si="0"/>
        <v>377598</v>
      </c>
      <c r="N6" s="64" t="str">
        <f>IFERROR(VLOOKUP(ExtComp[[#This Row],[DEVELOPMENT]],Data[],22,FALSE),"")</f>
        <v/>
      </c>
      <c r="O6" s="71" t="str">
        <f>IFERROR(VLOOKUP(ExtComp[[#This Row],[DEVELOPMENT]],Data[],23,FALSE),"")</f>
        <v/>
      </c>
    </row>
    <row r="7" spans="1:15">
      <c r="A7" s="13" t="s">
        <v>389</v>
      </c>
      <c r="B7" s="9" t="str">
        <f>VLOOKUP(A7,Data[],2,FALSE)</f>
        <v>MANHATTAN</v>
      </c>
      <c r="C7" s="9" t="s">
        <v>68</v>
      </c>
      <c r="D7" s="50" t="str">
        <f>VLOOKUP(ExtComp[[#This Row],[DEVELOPMENT]],Data[],8,FALSE)</f>
        <v>Zone 4</v>
      </c>
      <c r="E7" s="50">
        <f>VLOOKUP(ExtComp[[#This Row],[DEVELOPMENT]],Data[],9,FALSE)</f>
        <v>0</v>
      </c>
      <c r="F7" s="50" t="str">
        <f ca="1">IFERROR(VLOOKUP(ExtComp[[#This Row],[DEVELOPMENT]],Data[],4,FALSE),"")</f>
        <v/>
      </c>
      <c r="G7" s="50" t="str">
        <f ca="1">IF(ExtComp[[#This Row],[RAD/PACT]]="","",IF(ExtComp[[#This Row],[RAD/PACT]]&lt;=2025,"Yes",""))</f>
        <v/>
      </c>
      <c r="H7" s="51" t="str">
        <f ca="1">IF(VLOOKUP(ExtComp[[#This Row],[DEVELOPMENT]],Data[],11,FALSE)=0,"",DATEDIF(VLOOKUP(ExtComp[[#This Row],[DEVELOPMENT]],Data[],13,FALSE),TODAY(),"Y"))</f>
        <v/>
      </c>
      <c r="I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7" s="47">
        <f ca="1">(ExtComp[[#This Row],['# to Replace]]*'Unit Cost Summary'!$B$6)*(1+((ExtComp[[#This Row],[est. Year]]-YEAR(TODAY()))*$J$2))</f>
        <v>0</v>
      </c>
      <c r="K7" s="51">
        <f ca="1">SUM(INDEX(ExtComp['# to Replace],1):ExtComp[[#This Row],['# to Replace]])</f>
        <v>2</v>
      </c>
      <c r="L7" s="51">
        <f ca="1">ROUNDDOWN(ExtComp[[#This Row],[Count]]/50,0)+$L$1</f>
        <v>2020</v>
      </c>
      <c r="M7" s="64">
        <f t="shared" ca="1" si="0"/>
        <v>377598</v>
      </c>
      <c r="N7" s="64" t="str">
        <f>IFERROR(VLOOKUP(ExtComp[[#This Row],[DEVELOPMENT]],Data[],22,FALSE),"")</f>
        <v/>
      </c>
      <c r="O7" s="71" t="str">
        <f>IFERROR(VLOOKUP(ExtComp[[#This Row],[DEVELOPMENT]],Data[],23,FALSE),"")</f>
        <v/>
      </c>
    </row>
    <row r="8" spans="1:15">
      <c r="A8" s="13" t="s">
        <v>388</v>
      </c>
      <c r="B8" s="9" t="str">
        <f>VLOOKUP(A8,Data[],2,FALSE)</f>
        <v>MANHATTAN</v>
      </c>
      <c r="C8" s="9" t="s">
        <v>68</v>
      </c>
      <c r="D8" s="50" t="str">
        <f>VLOOKUP(ExtComp[[#This Row],[DEVELOPMENT]],Data[],8,FALSE)</f>
        <v>Zone 4</v>
      </c>
      <c r="E8" s="50">
        <f>VLOOKUP(ExtComp[[#This Row],[DEVELOPMENT]],Data[],9,FALSE)</f>
        <v>0</v>
      </c>
      <c r="F8" s="50" t="str">
        <f ca="1">IFERROR(VLOOKUP(ExtComp[[#This Row],[DEVELOPMENT]],Data[],4,FALSE),"")</f>
        <v/>
      </c>
      <c r="G8" s="50" t="str">
        <f ca="1">IF(ExtComp[[#This Row],[RAD/PACT]]="","",IF(ExtComp[[#This Row],[RAD/PACT]]&lt;=2025,"Yes",""))</f>
        <v/>
      </c>
      <c r="H8" s="51" t="str">
        <f ca="1">IF(VLOOKUP(ExtComp[[#This Row],[DEVELOPMENT]],Data[],11,FALSE)=0,"",DATEDIF(VLOOKUP(ExtComp[[#This Row],[DEVELOPMENT]],Data[],13,FALSE),TODAY(),"Y"))</f>
        <v/>
      </c>
      <c r="I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8" s="47">
        <f ca="1">(ExtComp[[#This Row],['# to Replace]]*'Unit Cost Summary'!$B$6)*(1+((ExtComp[[#This Row],[est. Year]]-YEAR(TODAY()))*$J$2))</f>
        <v>0</v>
      </c>
      <c r="K8" s="51">
        <f ca="1">SUM(INDEX(ExtComp['# to Replace],1):ExtComp[[#This Row],['# to Replace]])</f>
        <v>2</v>
      </c>
      <c r="L8" s="51">
        <f ca="1">ROUNDDOWN(ExtComp[[#This Row],[Count]]/50,0)+$L$1</f>
        <v>2020</v>
      </c>
      <c r="M8" s="64">
        <f t="shared" ca="1" si="0"/>
        <v>377598</v>
      </c>
      <c r="N8" s="64" t="str">
        <f>IFERROR(VLOOKUP(ExtComp[[#This Row],[DEVELOPMENT]],Data[],22,FALSE),"")</f>
        <v/>
      </c>
      <c r="O8" s="71" t="str">
        <f>IFERROR(VLOOKUP(ExtComp[[#This Row],[DEVELOPMENT]],Data[],23,FALSE),"")</f>
        <v/>
      </c>
    </row>
    <row r="9" spans="1:15">
      <c r="A9" s="13" t="s">
        <v>387</v>
      </c>
      <c r="B9" s="9" t="str">
        <f>VLOOKUP(A9,Data[],2,FALSE)</f>
        <v>BROOKLYN</v>
      </c>
      <c r="C9" s="9" t="s">
        <v>68</v>
      </c>
      <c r="D9" s="50">
        <f>VLOOKUP(ExtComp[[#This Row],[DEVELOPMENT]],Data[],8,FALSE)</f>
        <v>0</v>
      </c>
      <c r="E9" s="50">
        <f>VLOOKUP(ExtComp[[#This Row],[DEVELOPMENT]],Data[],9,FALSE)</f>
        <v>0</v>
      </c>
      <c r="F9" s="50" t="str">
        <f ca="1">IFERROR(VLOOKUP(ExtComp[[#This Row],[DEVELOPMENT]],Data[],4,FALSE),"")</f>
        <v/>
      </c>
      <c r="G9" s="50" t="str">
        <f ca="1">IF(ExtComp[[#This Row],[RAD/PACT]]="","",IF(ExtComp[[#This Row],[RAD/PACT]]&lt;=2025,"Yes",""))</f>
        <v/>
      </c>
      <c r="H9" s="51">
        <f ca="1">IF(VLOOKUP(ExtComp[[#This Row],[DEVELOPMENT]],Data[],11,FALSE)=0,"",DATEDIF(VLOOKUP(ExtComp[[#This Row],[DEVELOPMENT]],Data[],13,FALSE),TODAY(),"Y"))</f>
        <v>1</v>
      </c>
      <c r="I9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9" s="47">
        <f ca="1">(ExtComp[[#This Row],['# to Replace]]*'Unit Cost Summary'!$B$6)*(1+((ExtComp[[#This Row],[est. Year]]-YEAR(TODAY()))*$J$2))</f>
        <v>188799</v>
      </c>
      <c r="K9" s="51">
        <f ca="1">SUM(INDEX(ExtComp['# to Replace],1):ExtComp[[#This Row],['# to Replace]])</f>
        <v>3</v>
      </c>
      <c r="L9" s="51">
        <f ca="1">ROUNDDOWN(ExtComp[[#This Row],[Count]]/50,0)+$L$1</f>
        <v>2020</v>
      </c>
      <c r="M9" s="64">
        <f t="shared" ca="1" si="0"/>
        <v>566397</v>
      </c>
      <c r="N9" s="64" t="str">
        <f>IFERROR(VLOOKUP(ExtComp[[#This Row],[DEVELOPMENT]],Data[],22,FALSE),"")</f>
        <v/>
      </c>
      <c r="O9" s="71" t="str">
        <f>IFERROR(VLOOKUP(ExtComp[[#This Row],[DEVELOPMENT]],Data[],23,FALSE),"")</f>
        <v/>
      </c>
    </row>
    <row r="10" spans="1:15">
      <c r="A10" s="13" t="s">
        <v>271</v>
      </c>
      <c r="B10" s="9" t="str">
        <f>VLOOKUP(A10,Data[],2,FALSE)</f>
        <v>QUEENS</v>
      </c>
      <c r="C10" s="9" t="s">
        <v>68</v>
      </c>
      <c r="D10" s="50">
        <f>VLOOKUP(ExtComp[[#This Row],[DEVELOPMENT]],Data[],8,FALSE)</f>
        <v>0</v>
      </c>
      <c r="E10" s="50">
        <f>VLOOKUP(ExtComp[[#This Row],[DEVELOPMENT]],Data[],9,FALSE)</f>
        <v>0</v>
      </c>
      <c r="F10" s="50" t="str">
        <f ca="1">IFERROR(VLOOKUP(ExtComp[[#This Row],[DEVELOPMENT]],Data[],4,FALSE),"")</f>
        <v/>
      </c>
      <c r="G10" s="50" t="str">
        <f ca="1">IF(ExtComp[[#This Row],[RAD/PACT]]="","",IF(ExtComp[[#This Row],[RAD/PACT]]&lt;=2025,"Yes",""))</f>
        <v/>
      </c>
      <c r="H10" s="51">
        <f ca="1">IF(VLOOKUP(ExtComp[[#This Row],[DEVELOPMENT]],Data[],11,FALSE)=0,"",DATEDIF(VLOOKUP(ExtComp[[#This Row],[DEVELOPMENT]],Data[],13,FALSE),TODAY(),"Y"))</f>
        <v>12</v>
      </c>
      <c r="I10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10" s="47">
        <f ca="1">(ExtComp[[#This Row],['# to Replace]]*'Unit Cost Summary'!$B$6)*(1+((ExtComp[[#This Row],[est. Year]]-YEAR(TODAY()))*$J$2))</f>
        <v>566397</v>
      </c>
      <c r="K10" s="51">
        <f ca="1">SUM(INDEX(ExtComp['# to Replace],1):ExtComp[[#This Row],['# to Replace]])</f>
        <v>6</v>
      </c>
      <c r="L10" s="51">
        <f ca="1">ROUNDDOWN(ExtComp[[#This Row],[Count]]/50,0)+$L$1</f>
        <v>2020</v>
      </c>
      <c r="M10" s="64">
        <f t="shared" ca="1" si="0"/>
        <v>1132794</v>
      </c>
      <c r="N10" s="64" t="str">
        <f>IFERROR(VLOOKUP(ExtComp[[#This Row],[DEVELOPMENT]],Data[],22,FALSE),"")</f>
        <v/>
      </c>
      <c r="O10" s="71" t="str">
        <f>IFERROR(VLOOKUP(ExtComp[[#This Row],[DEVELOPMENT]],Data[],23,FALSE),"")</f>
        <v/>
      </c>
    </row>
    <row r="11" spans="1:15">
      <c r="A11" s="13" t="s">
        <v>386</v>
      </c>
      <c r="B11" s="9" t="str">
        <f>VLOOKUP(A11,Data[],2,FALSE)</f>
        <v>MANHATTAN</v>
      </c>
      <c r="C11" s="9"/>
      <c r="D11" s="50" t="str">
        <f>VLOOKUP(ExtComp[[#This Row],[DEVELOPMENT]],Data[],8,FALSE)</f>
        <v>Zone 4</v>
      </c>
      <c r="E11" s="50">
        <f>VLOOKUP(ExtComp[[#This Row],[DEVELOPMENT]],Data[],9,FALSE)</f>
        <v>0</v>
      </c>
      <c r="F11" s="50" t="str">
        <f ca="1">IFERROR(VLOOKUP(ExtComp[[#This Row],[DEVELOPMENT]],Data[],4,FALSE),"")</f>
        <v>2020-2021</v>
      </c>
      <c r="G11" s="50" t="str">
        <f ca="1">IF(ExtComp[[#This Row],[RAD/PACT]]="","",IF(ExtComp[[#This Row],[RAD/PACT]]&lt;=2025,"Yes",""))</f>
        <v/>
      </c>
      <c r="H11" s="51" t="str">
        <f ca="1">IF(VLOOKUP(ExtComp[[#This Row],[DEVELOPMENT]],Data[],11,FALSE)=0,"",DATEDIF(VLOOKUP(ExtComp[[#This Row],[DEVELOPMENT]],Data[],13,FALSE),TODAY(),"Y"))</f>
        <v/>
      </c>
      <c r="I11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1" s="47">
        <f ca="1">(ExtComp[[#This Row],['# to Replace]]*'Unit Cost Summary'!$B$6)*(1+((ExtComp[[#This Row],[est. Year]]-YEAR(TODAY()))*$J$2))</f>
        <v>0</v>
      </c>
      <c r="K11" s="51">
        <f ca="1">SUM(INDEX(ExtComp['# to Replace],1):ExtComp[[#This Row],['# to Replace]])</f>
        <v>6</v>
      </c>
      <c r="L11" s="51">
        <f ca="1">ROUNDDOWN(ExtComp[[#This Row],[Count]]/50,0)+$L$1</f>
        <v>2020</v>
      </c>
      <c r="M11" s="64">
        <f t="shared" ca="1" si="0"/>
        <v>1132794</v>
      </c>
      <c r="N11" s="64" t="str">
        <f>IFERROR(VLOOKUP(ExtComp[[#This Row],[DEVELOPMENT]],Data[],22,FALSE),"")</f>
        <v/>
      </c>
      <c r="O11" s="71" t="str">
        <f>IFERROR(VLOOKUP(ExtComp[[#This Row],[DEVELOPMENT]],Data[],23,FALSE),"")</f>
        <v/>
      </c>
    </row>
    <row r="12" spans="1:15">
      <c r="A12" s="13" t="s">
        <v>116</v>
      </c>
      <c r="B12" s="1" t="str">
        <f>VLOOKUP(A12,Data[],2,FALSE)</f>
        <v>MANHATTAN</v>
      </c>
      <c r="C12" s="9" t="s">
        <v>68</v>
      </c>
      <c r="D12" s="9" t="str">
        <f>VLOOKUP(ExtComp[[#This Row],[DEVELOPMENT]],Data[],8,FALSE)</f>
        <v>Zone 2</v>
      </c>
      <c r="E12" s="9">
        <f>VLOOKUP(ExtComp[[#This Row],[DEVELOPMENT]],Data[],9,FALSE)</f>
        <v>4</v>
      </c>
      <c r="F12" s="9" t="str">
        <f ca="1">IFERROR(VLOOKUP(ExtComp[[#This Row],[DEVELOPMENT]],Data[],4,FALSE),"")</f>
        <v>2026+</v>
      </c>
      <c r="G12" s="9" t="str">
        <f ca="1">IF(ExtComp[[#This Row],[RAD/PACT]]="","",IF(ExtComp[[#This Row],[RAD/PACT]]&lt;=2025,"Yes",""))</f>
        <v/>
      </c>
      <c r="H12" s="1">
        <f ca="1">IF(VLOOKUP(ExtComp[[#This Row],[DEVELOPMENT]],Data[],11,FALSE)=0,"",DATEDIF(VLOOKUP(ExtComp[[#This Row],[DEVELOPMENT]],Data[],13,FALSE),TODAY(),"Y"))</f>
        <v>17</v>
      </c>
      <c r="I12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12" s="47">
        <f ca="1">(ExtComp[[#This Row],['# to Replace]]*'Unit Cost Summary'!$B$6)*(1+((ExtComp[[#This Row],[est. Year]]-YEAR(TODAY()))*$J$2))</f>
        <v>377598</v>
      </c>
      <c r="K12" s="1">
        <f ca="1">SUM(INDEX(ExtComp['# to Replace],1):ExtComp[[#This Row],['# to Replace]])</f>
        <v>8</v>
      </c>
      <c r="L12" s="1">
        <f ca="1">ROUNDDOWN(ExtComp[[#This Row],[Count]]/50,0)+$L$1</f>
        <v>2020</v>
      </c>
      <c r="M12" s="64">
        <f t="shared" ca="1" si="0"/>
        <v>1510392</v>
      </c>
      <c r="N12" s="64" t="str">
        <f>IFERROR(VLOOKUP(ExtComp[[#This Row],[DEVELOPMENT]],Data[],22,FALSE),"")</f>
        <v/>
      </c>
      <c r="O12" s="71" t="str">
        <f>IFERROR(VLOOKUP(ExtComp[[#This Row],[DEVELOPMENT]],Data[],23,FALSE),"")</f>
        <v/>
      </c>
    </row>
    <row r="13" spans="1:15">
      <c r="A13" s="13" t="s">
        <v>385</v>
      </c>
      <c r="B13" s="9" t="str">
        <f>VLOOKUP(A13,Data[],2,FALSE)</f>
        <v>BROOKLYN</v>
      </c>
      <c r="C13" s="9"/>
      <c r="D13" s="50">
        <f>VLOOKUP(ExtComp[[#This Row],[DEVELOPMENT]],Data[],8,FALSE)</f>
        <v>0</v>
      </c>
      <c r="E13" s="50">
        <f>VLOOKUP(ExtComp[[#This Row],[DEVELOPMENT]],Data[],9,FALSE)</f>
        <v>0</v>
      </c>
      <c r="F13" s="50" t="str">
        <f ca="1">IFERROR(VLOOKUP(ExtComp[[#This Row],[DEVELOPMENT]],Data[],4,FALSE),"")</f>
        <v>2020-2021</v>
      </c>
      <c r="G13" s="50" t="str">
        <f ca="1">IF(ExtComp[[#This Row],[RAD/PACT]]="","",IF(ExtComp[[#This Row],[RAD/PACT]]&lt;=2025,"Yes",""))</f>
        <v/>
      </c>
      <c r="H13" s="51" t="str">
        <f ca="1">IF(VLOOKUP(ExtComp[[#This Row],[DEVELOPMENT]],Data[],11,FALSE)=0,"",DATEDIF(VLOOKUP(ExtComp[[#This Row],[DEVELOPMENT]],Data[],13,FALSE),TODAY(),"Y"))</f>
        <v/>
      </c>
      <c r="I1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3" s="47">
        <f ca="1">(ExtComp[[#This Row],['# to Replace]]*'Unit Cost Summary'!$B$6)*(1+((ExtComp[[#This Row],[est. Year]]-YEAR(TODAY()))*$J$2))</f>
        <v>0</v>
      </c>
      <c r="K13" s="51">
        <f ca="1">SUM(INDEX(ExtComp['# to Replace],1):ExtComp[[#This Row],['# to Replace]])</f>
        <v>8</v>
      </c>
      <c r="L13" s="51">
        <f ca="1">ROUNDDOWN(ExtComp[[#This Row],[Count]]/50,0)+$L$1</f>
        <v>2020</v>
      </c>
      <c r="M13" s="64">
        <f t="shared" ca="1" si="0"/>
        <v>1510392</v>
      </c>
      <c r="N13" s="64" t="str">
        <f>IFERROR(VLOOKUP(ExtComp[[#This Row],[DEVELOPMENT]],Data[],22,FALSE),"")</f>
        <v/>
      </c>
      <c r="O13" s="71" t="str">
        <f>IFERROR(VLOOKUP(ExtComp[[#This Row],[DEVELOPMENT]],Data[],23,FALSE),"")</f>
        <v/>
      </c>
    </row>
    <row r="14" spans="1:15">
      <c r="A14" s="13" t="s">
        <v>384</v>
      </c>
      <c r="B14" s="9" t="str">
        <f>VLOOKUP(A14,Data[],2,FALSE)</f>
        <v>BROOKLYN</v>
      </c>
      <c r="C14" s="9"/>
      <c r="D14" s="50">
        <f>VLOOKUP(ExtComp[[#This Row],[DEVELOPMENT]],Data[],8,FALSE)</f>
        <v>0</v>
      </c>
      <c r="E14" s="50">
        <f>VLOOKUP(ExtComp[[#This Row],[DEVELOPMENT]],Data[],9,FALSE)</f>
        <v>0</v>
      </c>
      <c r="F14" s="50">
        <f ca="1">IFERROR(VLOOKUP(ExtComp[[#This Row],[DEVELOPMENT]],Data[],4,FALSE),"")</f>
        <v>2019</v>
      </c>
      <c r="G14" s="50" t="str">
        <f ca="1">IF(ExtComp[[#This Row],[RAD/PACT]]="","",IF(ExtComp[[#This Row],[RAD/PACT]]&lt;=2025,"Yes",""))</f>
        <v>Yes</v>
      </c>
      <c r="H14" s="51">
        <f ca="1">IF(VLOOKUP(ExtComp[[#This Row],[DEVELOPMENT]],Data[],11,FALSE)=0,"",DATEDIF(VLOOKUP(ExtComp[[#This Row],[DEVELOPMENT]],Data[],13,FALSE),TODAY(),"Y"))</f>
        <v>11</v>
      </c>
      <c r="I1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4" s="47">
        <f ca="1">(ExtComp[[#This Row],['# to Replace]]*'Unit Cost Summary'!$B$6)*(1+((ExtComp[[#This Row],[est. Year]]-YEAR(TODAY()))*$J$2))</f>
        <v>0</v>
      </c>
      <c r="K14" s="51">
        <f ca="1">SUM(INDEX(ExtComp['# to Replace],1):ExtComp[[#This Row],['# to Replace]])</f>
        <v>8</v>
      </c>
      <c r="L14" s="51">
        <f ca="1">ROUNDDOWN(ExtComp[[#This Row],[Count]]/50,0)+$L$1</f>
        <v>2020</v>
      </c>
      <c r="M14" s="64">
        <f t="shared" ca="1" si="0"/>
        <v>1510392</v>
      </c>
      <c r="N14" s="64" t="str">
        <f>IFERROR(VLOOKUP(ExtComp[[#This Row],[DEVELOPMENT]],Data[],22,FALSE),"")</f>
        <v/>
      </c>
      <c r="O14" s="71" t="str">
        <f>IFERROR(VLOOKUP(ExtComp[[#This Row],[DEVELOPMENT]],Data[],23,FALSE),"")</f>
        <v/>
      </c>
    </row>
    <row r="15" spans="1:15">
      <c r="A15" s="13" t="s">
        <v>383</v>
      </c>
      <c r="B15" s="9" t="str">
        <f>VLOOKUP(A15,Data[],2,FALSE)</f>
        <v>BROOKLYN</v>
      </c>
      <c r="C15" s="9" t="s">
        <v>68</v>
      </c>
      <c r="D15" s="50">
        <f>VLOOKUP(ExtComp[[#This Row],[DEVELOPMENT]],Data[],8,FALSE)</f>
        <v>0</v>
      </c>
      <c r="E15" s="50">
        <f>VLOOKUP(ExtComp[[#This Row],[DEVELOPMENT]],Data[],9,FALSE)</f>
        <v>0</v>
      </c>
      <c r="F15" s="50" t="str">
        <f ca="1">IFERROR(VLOOKUP(ExtComp[[#This Row],[DEVELOPMENT]],Data[],4,FALSE),"")</f>
        <v/>
      </c>
      <c r="G15" s="50" t="str">
        <f ca="1">IF(ExtComp[[#This Row],[RAD/PACT]]="","",IF(ExtComp[[#This Row],[RAD/PACT]]&lt;=2025,"Yes",""))</f>
        <v/>
      </c>
      <c r="H15" s="51">
        <f ca="1">IF(VLOOKUP(ExtComp[[#This Row],[DEVELOPMENT]],Data[],11,FALSE)=0,"",DATEDIF(VLOOKUP(ExtComp[[#This Row],[DEVELOPMENT]],Data[],13,FALSE),TODAY(),"Y"))</f>
        <v>11</v>
      </c>
      <c r="I15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15" s="47">
        <f ca="1">(ExtComp[[#This Row],['# to Replace]]*'Unit Cost Summary'!$B$6)*(1+((ExtComp[[#This Row],[est. Year]]-YEAR(TODAY()))*$J$2))</f>
        <v>566397</v>
      </c>
      <c r="K15" s="51">
        <f ca="1">SUM(INDEX(ExtComp['# to Replace],1):ExtComp[[#This Row],['# to Replace]])</f>
        <v>11</v>
      </c>
      <c r="L15" s="51">
        <f ca="1">ROUNDDOWN(ExtComp[[#This Row],[Count]]/50,0)+$L$1</f>
        <v>2020</v>
      </c>
      <c r="M15" s="64">
        <f t="shared" ca="1" si="0"/>
        <v>2076789</v>
      </c>
      <c r="N15" s="64" t="str">
        <f>IFERROR(VLOOKUP(ExtComp[[#This Row],[DEVELOPMENT]],Data[],22,FALSE),"")</f>
        <v/>
      </c>
      <c r="O15" s="71" t="str">
        <f>IFERROR(VLOOKUP(ExtComp[[#This Row],[DEVELOPMENT]],Data[],23,FALSE),"")</f>
        <v/>
      </c>
    </row>
    <row r="16" spans="1:15">
      <c r="A16" s="13" t="s">
        <v>102</v>
      </c>
      <c r="B16" s="1" t="str">
        <f>VLOOKUP(A16,Data[],2,FALSE)</f>
        <v>MANHATTAN</v>
      </c>
      <c r="C16" s="9" t="s">
        <v>68</v>
      </c>
      <c r="D16" s="9" t="str">
        <f>VLOOKUP(ExtComp[[#This Row],[DEVELOPMENT]],Data[],8,FALSE)</f>
        <v>Zone 2</v>
      </c>
      <c r="E16" s="9">
        <f>VLOOKUP(ExtComp[[#This Row],[DEVELOPMENT]],Data[],9,FALSE)</f>
        <v>4</v>
      </c>
      <c r="F16" s="9" t="str">
        <f ca="1">IFERROR(VLOOKUP(ExtComp[[#This Row],[DEVELOPMENT]],Data[],4,FALSE),"")</f>
        <v>2026+</v>
      </c>
      <c r="G16" s="9" t="str">
        <f ca="1">IF(ExtComp[[#This Row],[RAD/PACT]]="","",IF(ExtComp[[#This Row],[RAD/PACT]]&lt;=2025,"Yes",""))</f>
        <v/>
      </c>
      <c r="H16" s="1" t="str">
        <f ca="1">IF(VLOOKUP(ExtComp[[#This Row],[DEVELOPMENT]],Data[],11,FALSE)=0,"",DATEDIF(VLOOKUP(ExtComp[[#This Row],[DEVELOPMENT]],Data[],13,FALSE),TODAY(),"Y"))</f>
        <v/>
      </c>
      <c r="I16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6" s="47">
        <f ca="1">(ExtComp[[#This Row],['# to Replace]]*'Unit Cost Summary'!$B$6)*(1+((ExtComp[[#This Row],[est. Year]]-YEAR(TODAY()))*$J$2))</f>
        <v>0</v>
      </c>
      <c r="K16" s="1">
        <f ca="1">SUM(INDEX(ExtComp['# to Replace],1):ExtComp[[#This Row],['# to Replace]])</f>
        <v>11</v>
      </c>
      <c r="L16" s="1">
        <f ca="1">ROUNDDOWN(ExtComp[[#This Row],[Count]]/50,0)+$L$1</f>
        <v>2020</v>
      </c>
      <c r="M16" s="64">
        <f t="shared" ca="1" si="0"/>
        <v>2076789</v>
      </c>
      <c r="N16" s="64" t="str">
        <f>IFERROR(VLOOKUP(ExtComp[[#This Row],[DEVELOPMENT]],Data[],22,FALSE),"")</f>
        <v/>
      </c>
      <c r="O16" s="51" t="str">
        <f>IFERROR(VLOOKUP(ExtComp[[#This Row],[DEVELOPMENT]],Data[],23,FALSE),"")</f>
        <v/>
      </c>
    </row>
    <row r="17" spans="1:15">
      <c r="A17" s="13" t="s">
        <v>382</v>
      </c>
      <c r="B17" s="9" t="str">
        <f>VLOOKUP(A17,Data[],2,FALSE)</f>
        <v>BRONX</v>
      </c>
      <c r="C17" s="9" t="s">
        <v>68</v>
      </c>
      <c r="D17" s="50" t="str">
        <f>VLOOKUP(ExtComp[[#This Row],[DEVELOPMENT]],Data[],8,FALSE)</f>
        <v>Zone 4</v>
      </c>
      <c r="E17" s="50">
        <f>VLOOKUP(ExtComp[[#This Row],[DEVELOPMENT]],Data[],9,FALSE)</f>
        <v>0</v>
      </c>
      <c r="F17" s="50" t="str">
        <f ca="1">IFERROR(VLOOKUP(ExtComp[[#This Row],[DEVELOPMENT]],Data[],4,FALSE),"")</f>
        <v/>
      </c>
      <c r="G17" s="50" t="str">
        <f ca="1">IF(ExtComp[[#This Row],[RAD/PACT]]="","",IF(ExtComp[[#This Row],[RAD/PACT]]&lt;=2025,"Yes",""))</f>
        <v/>
      </c>
      <c r="H17" s="51" t="str">
        <f ca="1">IF(VLOOKUP(ExtComp[[#This Row],[DEVELOPMENT]],Data[],11,FALSE)=0,"",DATEDIF(VLOOKUP(ExtComp[[#This Row],[DEVELOPMENT]],Data[],13,FALSE),TODAY(),"Y"))</f>
        <v/>
      </c>
      <c r="I1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7" s="47">
        <f ca="1">(ExtComp[[#This Row],['# to Replace]]*'Unit Cost Summary'!$B$6)*(1+((ExtComp[[#This Row],[est. Year]]-YEAR(TODAY()))*$J$2))</f>
        <v>0</v>
      </c>
      <c r="K17" s="51">
        <f ca="1">SUM(INDEX(ExtComp['# to Replace],1):ExtComp[[#This Row],['# to Replace]])</f>
        <v>11</v>
      </c>
      <c r="L17" s="51">
        <f ca="1">ROUNDDOWN(ExtComp[[#This Row],[Count]]/50,0)+$L$1</f>
        <v>2020</v>
      </c>
      <c r="M17" s="64">
        <f t="shared" ca="1" si="0"/>
        <v>2076789</v>
      </c>
      <c r="N17" s="64" t="str">
        <f>IFERROR(VLOOKUP(ExtComp[[#This Row],[DEVELOPMENT]],Data[],22,FALSE),"")</f>
        <v/>
      </c>
      <c r="O17" s="71" t="str">
        <f>IFERROR(VLOOKUP(ExtComp[[#This Row],[DEVELOPMENT]],Data[],23,FALSE),"")</f>
        <v/>
      </c>
    </row>
    <row r="18" spans="1:15">
      <c r="A18" s="13" t="s">
        <v>290</v>
      </c>
      <c r="B18" s="9" t="str">
        <f>VLOOKUP(A18,Data[],2,FALSE)</f>
        <v>BRONX</v>
      </c>
      <c r="C18" s="9" t="s">
        <v>68</v>
      </c>
      <c r="D18" s="50">
        <f>VLOOKUP(ExtComp[[#This Row],[DEVELOPMENT]],Data[],8,FALSE)</f>
        <v>0</v>
      </c>
      <c r="E18" s="50">
        <f>VLOOKUP(ExtComp[[#This Row],[DEVELOPMENT]],Data[],9,FALSE)</f>
        <v>0</v>
      </c>
      <c r="F18" s="50" t="str">
        <f ca="1">IFERROR(VLOOKUP(ExtComp[[#This Row],[DEVELOPMENT]],Data[],4,FALSE),"")</f>
        <v/>
      </c>
      <c r="G18" s="50" t="str">
        <f ca="1">IF(ExtComp[[#This Row],[RAD/PACT]]="","",IF(ExtComp[[#This Row],[RAD/PACT]]&lt;=2025,"Yes",""))</f>
        <v/>
      </c>
      <c r="H18" s="51" t="str">
        <f ca="1">IF(VLOOKUP(ExtComp[[#This Row],[DEVELOPMENT]],Data[],11,FALSE)=0,"",DATEDIF(VLOOKUP(ExtComp[[#This Row],[DEVELOPMENT]],Data[],13,FALSE),TODAY(),"Y"))</f>
        <v/>
      </c>
      <c r="I1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8" s="47">
        <f ca="1">(ExtComp[[#This Row],['# to Replace]]*'Unit Cost Summary'!$B$6)*(1+((ExtComp[[#This Row],[est. Year]]-YEAR(TODAY()))*$J$2))</f>
        <v>0</v>
      </c>
      <c r="K18" s="51">
        <f ca="1">SUM(INDEX(ExtComp['# to Replace],1):ExtComp[[#This Row],['# to Replace]])</f>
        <v>11</v>
      </c>
      <c r="L18" s="51">
        <f ca="1">ROUNDDOWN(ExtComp[[#This Row],[Count]]/50,0)+$L$1</f>
        <v>2020</v>
      </c>
      <c r="M18" s="64">
        <f t="shared" ca="1" si="0"/>
        <v>2076789</v>
      </c>
      <c r="N18" s="64" t="str">
        <f>IFERROR(VLOOKUP(ExtComp[[#This Row],[DEVELOPMENT]],Data[],22,FALSE),"")</f>
        <v/>
      </c>
      <c r="O18" s="71" t="str">
        <f>IFERROR(VLOOKUP(ExtComp[[#This Row],[DEVELOPMENT]],Data[],23,FALSE),"")</f>
        <v/>
      </c>
    </row>
    <row r="19" spans="1:15">
      <c r="A19" s="13" t="s">
        <v>289</v>
      </c>
      <c r="B19" s="9" t="str">
        <f>VLOOKUP(A19,Data[],2,FALSE)</f>
        <v>BRONX</v>
      </c>
      <c r="C19" s="9" t="s">
        <v>68</v>
      </c>
      <c r="D19" s="50">
        <f>VLOOKUP(ExtComp[[#This Row],[DEVELOPMENT]],Data[],8,FALSE)</f>
        <v>0</v>
      </c>
      <c r="E19" s="50">
        <f>VLOOKUP(ExtComp[[#This Row],[DEVELOPMENT]],Data[],9,FALSE)</f>
        <v>0</v>
      </c>
      <c r="F19" s="50" t="str">
        <f ca="1">IFERROR(VLOOKUP(ExtComp[[#This Row],[DEVELOPMENT]],Data[],4,FALSE),"")</f>
        <v/>
      </c>
      <c r="G19" s="50" t="str">
        <f ca="1">IF(ExtComp[[#This Row],[RAD/PACT]]="","",IF(ExtComp[[#This Row],[RAD/PACT]]&lt;=2025,"Yes",""))</f>
        <v/>
      </c>
      <c r="H19" s="51" t="str">
        <f ca="1">IF(VLOOKUP(ExtComp[[#This Row],[DEVELOPMENT]],Data[],11,FALSE)=0,"",DATEDIF(VLOOKUP(ExtComp[[#This Row],[DEVELOPMENT]],Data[],13,FALSE),TODAY(),"Y"))</f>
        <v/>
      </c>
      <c r="I1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9" s="47">
        <f ca="1">(ExtComp[[#This Row],['# to Replace]]*'Unit Cost Summary'!$B$6)*(1+((ExtComp[[#This Row],[est. Year]]-YEAR(TODAY()))*$J$2))</f>
        <v>0</v>
      </c>
      <c r="K19" s="51">
        <f ca="1">SUM(INDEX(ExtComp['# to Replace],1):ExtComp[[#This Row],['# to Replace]])</f>
        <v>11</v>
      </c>
      <c r="L19" s="51">
        <f ca="1">ROUNDDOWN(ExtComp[[#This Row],[Count]]/50,0)+$L$1</f>
        <v>2020</v>
      </c>
      <c r="M19" s="64">
        <f t="shared" ca="1" si="0"/>
        <v>2076789</v>
      </c>
      <c r="N19" s="64" t="str">
        <f>IFERROR(VLOOKUP(ExtComp[[#This Row],[DEVELOPMENT]],Data[],22,FALSE),"")</f>
        <v/>
      </c>
      <c r="O19" s="71" t="str">
        <f>IFERROR(VLOOKUP(ExtComp[[#This Row],[DEVELOPMENT]],Data[],23,FALSE),"")</f>
        <v/>
      </c>
    </row>
    <row r="20" spans="1:15">
      <c r="A20" s="13" t="s">
        <v>381</v>
      </c>
      <c r="B20" s="9" t="str">
        <f>VLOOKUP(A20,Data[],2,FALSE)</f>
        <v>STATEN ISLAND</v>
      </c>
      <c r="C20" s="9" t="s">
        <v>68</v>
      </c>
      <c r="D20" s="50">
        <f>VLOOKUP(ExtComp[[#This Row],[DEVELOPMENT]],Data[],8,FALSE)</f>
        <v>0</v>
      </c>
      <c r="E20" s="50">
        <f>VLOOKUP(ExtComp[[#This Row],[DEVELOPMENT]],Data[],9,FALSE)</f>
        <v>0</v>
      </c>
      <c r="F20" s="50" t="str">
        <f ca="1">IFERROR(VLOOKUP(ExtComp[[#This Row],[DEVELOPMENT]],Data[],4,FALSE),"")</f>
        <v/>
      </c>
      <c r="G20" s="50" t="str">
        <f ca="1">IF(ExtComp[[#This Row],[RAD/PACT]]="","",IF(ExtComp[[#This Row],[RAD/PACT]]&lt;=2025,"Yes",""))</f>
        <v/>
      </c>
      <c r="H20" s="51" t="str">
        <f ca="1">IF(VLOOKUP(ExtComp[[#This Row],[DEVELOPMENT]],Data[],11,FALSE)=0,"",DATEDIF(VLOOKUP(ExtComp[[#This Row],[DEVELOPMENT]],Data[],13,FALSE),TODAY(),"Y"))</f>
        <v/>
      </c>
      <c r="I2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0" s="47">
        <f ca="1">(ExtComp[[#This Row],['# to Replace]]*'Unit Cost Summary'!$B$6)*(1+((ExtComp[[#This Row],[est. Year]]-YEAR(TODAY()))*$J$2))</f>
        <v>0</v>
      </c>
      <c r="K20" s="51">
        <f ca="1">SUM(INDEX(ExtComp['# to Replace],1):ExtComp[[#This Row],['# to Replace]])</f>
        <v>11</v>
      </c>
      <c r="L20" s="51">
        <f ca="1">ROUNDDOWN(ExtComp[[#This Row],[Count]]/50,0)+$L$1</f>
        <v>2020</v>
      </c>
      <c r="M20" s="64">
        <f t="shared" ca="1" si="0"/>
        <v>2076789</v>
      </c>
      <c r="N20" s="64" t="str">
        <f>IFERROR(VLOOKUP(ExtComp[[#This Row],[DEVELOPMENT]],Data[],22,FALSE),"")</f>
        <v/>
      </c>
      <c r="O20" s="71" t="str">
        <f>IFERROR(VLOOKUP(ExtComp[[#This Row],[DEVELOPMENT]],Data[],23,FALSE),"")</f>
        <v/>
      </c>
    </row>
    <row r="21" spans="1:15">
      <c r="A21" s="13" t="s">
        <v>380</v>
      </c>
      <c r="B21" s="9" t="str">
        <f>VLOOKUP(A21,Data[],2,FALSE)</f>
        <v>STATEN ISLAND</v>
      </c>
      <c r="C21" s="9" t="s">
        <v>68</v>
      </c>
      <c r="D21" s="50">
        <f>VLOOKUP(ExtComp[[#This Row],[DEVELOPMENT]],Data[],8,FALSE)</f>
        <v>0</v>
      </c>
      <c r="E21" s="50">
        <f>VLOOKUP(ExtComp[[#This Row],[DEVELOPMENT]],Data[],9,FALSE)</f>
        <v>0</v>
      </c>
      <c r="F21" s="50" t="str">
        <f ca="1">IFERROR(VLOOKUP(ExtComp[[#This Row],[DEVELOPMENT]],Data[],4,FALSE),"")</f>
        <v/>
      </c>
      <c r="G21" s="50" t="str">
        <f ca="1">IF(ExtComp[[#This Row],[RAD/PACT]]="","",IF(ExtComp[[#This Row],[RAD/PACT]]&lt;=2025,"Yes",""))</f>
        <v/>
      </c>
      <c r="H21" s="51">
        <f ca="1">IF(VLOOKUP(ExtComp[[#This Row],[DEVELOPMENT]],Data[],11,FALSE)=0,"",DATEDIF(VLOOKUP(ExtComp[[#This Row],[DEVELOPMENT]],Data[],13,FALSE),TODAY(),"Y"))</f>
        <v>20</v>
      </c>
      <c r="I21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21" s="47">
        <f ca="1">(ExtComp[[#This Row],['# to Replace]]*'Unit Cost Summary'!$B$6)*(1+((ExtComp[[#This Row],[est. Year]]-YEAR(TODAY()))*$J$2))</f>
        <v>377598</v>
      </c>
      <c r="K21" s="51">
        <f ca="1">SUM(INDEX(ExtComp['# to Replace],1):ExtComp[[#This Row],['# to Replace]])</f>
        <v>13</v>
      </c>
      <c r="L21" s="51">
        <f ca="1">ROUNDDOWN(ExtComp[[#This Row],[Count]]/50,0)+$L$1</f>
        <v>2020</v>
      </c>
      <c r="M21" s="64">
        <f t="shared" ca="1" si="0"/>
        <v>2454387</v>
      </c>
      <c r="N21" s="64" t="str">
        <f>IFERROR(VLOOKUP(ExtComp[[#This Row],[DEVELOPMENT]],Data[],22,FALSE),"")</f>
        <v/>
      </c>
      <c r="O21" s="71" t="str">
        <f>IFERROR(VLOOKUP(ExtComp[[#This Row],[DEVELOPMENT]],Data[],23,FALSE),"")</f>
        <v/>
      </c>
    </row>
    <row r="22" spans="1:15">
      <c r="A22" s="13" t="s">
        <v>220</v>
      </c>
      <c r="B22" s="9" t="str">
        <f>VLOOKUP(A22,Data[],2,FALSE)</f>
        <v>BROOKLYN</v>
      </c>
      <c r="C22" s="9"/>
      <c r="D22" s="50">
        <f>VLOOKUP(ExtComp[[#This Row],[DEVELOPMENT]],Data[],8,FALSE)</f>
        <v>0</v>
      </c>
      <c r="E22" s="50">
        <f>VLOOKUP(ExtComp[[#This Row],[DEVELOPMENT]],Data[],9,FALSE)</f>
        <v>0</v>
      </c>
      <c r="F22" s="50">
        <f ca="1">IFERROR(VLOOKUP(ExtComp[[#This Row],[DEVELOPMENT]],Data[],4,FALSE),"")</f>
        <v>2019</v>
      </c>
      <c r="G22" s="50" t="str">
        <f ca="1">IF(ExtComp[[#This Row],[RAD/PACT]]="","",IF(ExtComp[[#This Row],[RAD/PACT]]&lt;=2025,"Yes",""))</f>
        <v>Yes</v>
      </c>
      <c r="H22" s="51" t="str">
        <f ca="1">IF(VLOOKUP(ExtComp[[#This Row],[DEVELOPMENT]],Data[],11,FALSE)=0,"",DATEDIF(VLOOKUP(ExtComp[[#This Row],[DEVELOPMENT]],Data[],13,FALSE),TODAY(),"Y"))</f>
        <v/>
      </c>
      <c r="I2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2" s="47">
        <f ca="1">(ExtComp[[#This Row],['# to Replace]]*'Unit Cost Summary'!$B$6)*(1+((ExtComp[[#This Row],[est. Year]]-YEAR(TODAY()))*$J$2))</f>
        <v>0</v>
      </c>
      <c r="K22" s="51">
        <f ca="1">SUM(INDEX(ExtComp['# to Replace],1):ExtComp[[#This Row],['# to Replace]])</f>
        <v>13</v>
      </c>
      <c r="L22" s="51">
        <f ca="1">ROUNDDOWN(ExtComp[[#This Row],[Count]]/50,0)+$L$1</f>
        <v>2020</v>
      </c>
      <c r="M22" s="64">
        <f t="shared" ca="1" si="0"/>
        <v>2454387</v>
      </c>
      <c r="N22" s="64" t="str">
        <f>IFERROR(VLOOKUP(ExtComp[[#This Row],[DEVELOPMENT]],Data[],22,FALSE),"")</f>
        <v/>
      </c>
      <c r="O22" s="71" t="str">
        <f>IFERROR(VLOOKUP(ExtComp[[#This Row],[DEVELOPMENT]],Data[],23,FALSE),"")</f>
        <v/>
      </c>
    </row>
    <row r="23" spans="1:15">
      <c r="A23" s="13" t="s">
        <v>47</v>
      </c>
      <c r="B23" s="1" t="str">
        <f>VLOOKUP(A23,Data[],2,FALSE)</f>
        <v>BRONX</v>
      </c>
      <c r="C23" s="9" t="s">
        <v>68</v>
      </c>
      <c r="D23" s="9" t="str">
        <f>VLOOKUP(ExtComp[[#This Row],[DEVELOPMENT]],Data[],8,FALSE)</f>
        <v>Zone 1</v>
      </c>
      <c r="E23" s="9">
        <f>VLOOKUP(ExtComp[[#This Row],[DEVELOPMENT]],Data[],9,FALSE)</f>
        <v>4</v>
      </c>
      <c r="F23" s="9" t="str">
        <f ca="1">IFERROR(VLOOKUP(ExtComp[[#This Row],[DEVELOPMENT]],Data[],4,FALSE),"")</f>
        <v/>
      </c>
      <c r="G23" s="9" t="str">
        <f ca="1">IF(ExtComp[[#This Row],[RAD/PACT]]="","",IF(ExtComp[[#This Row],[RAD/PACT]]&lt;=2025,"Yes",""))</f>
        <v/>
      </c>
      <c r="H23" s="1">
        <f ca="1">IF(VLOOKUP(ExtComp[[#This Row],[DEVELOPMENT]],Data[],11,FALSE)=0,"",DATEDIF(VLOOKUP(ExtComp[[#This Row],[DEVELOPMENT]],Data[],13,FALSE),TODAY(),"Y"))</f>
        <v>12</v>
      </c>
      <c r="I23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23" s="47">
        <f ca="1">(ExtComp[[#This Row],['# to Replace]]*'Unit Cost Summary'!$B$6)*(1+((ExtComp[[#This Row],[est. Year]]-YEAR(TODAY()))*$J$2))</f>
        <v>377598</v>
      </c>
      <c r="K23" s="1">
        <f ca="1">SUM(INDEX(ExtComp['# to Replace],1):ExtComp[[#This Row],['# to Replace]])</f>
        <v>15</v>
      </c>
      <c r="L23" s="1">
        <f ca="1">ROUNDDOWN(ExtComp[[#This Row],[Count]]/50,0)+$L$1</f>
        <v>2020</v>
      </c>
      <c r="M23" s="64">
        <f t="shared" ca="1" si="0"/>
        <v>2831985</v>
      </c>
      <c r="N23" s="64" t="str">
        <f>IFERROR(VLOOKUP(ExtComp[[#This Row],[DEVELOPMENT]],Data[],22,FALSE),"")</f>
        <v/>
      </c>
      <c r="O23" s="71" t="str">
        <f>IFERROR(VLOOKUP(ExtComp[[#This Row],[DEVELOPMENT]],Data[],23,FALSE),"")</f>
        <v/>
      </c>
    </row>
    <row r="24" spans="1:15">
      <c r="A24" s="13" t="s">
        <v>379</v>
      </c>
      <c r="B24" s="9" t="str">
        <f>VLOOKUP(A24,Data[],2,FALSE)</f>
        <v>MANHATTAN</v>
      </c>
      <c r="C24" s="9"/>
      <c r="D24" s="50">
        <f>VLOOKUP(ExtComp[[#This Row],[DEVELOPMENT]],Data[],8,FALSE)</f>
        <v>0</v>
      </c>
      <c r="E24" s="50">
        <f>VLOOKUP(ExtComp[[#This Row],[DEVELOPMENT]],Data[],9,FALSE)</f>
        <v>0</v>
      </c>
      <c r="F24" s="50" t="str">
        <f ca="1">IFERROR(VLOOKUP(ExtComp[[#This Row],[DEVELOPMENT]],Data[],4,FALSE),"")</f>
        <v>2020-2021</v>
      </c>
      <c r="G24" s="50" t="str">
        <f ca="1">IF(ExtComp[[#This Row],[RAD/PACT]]="","",IF(ExtComp[[#This Row],[RAD/PACT]]&lt;=2025,"Yes",""))</f>
        <v/>
      </c>
      <c r="H24" s="51" t="str">
        <f ca="1">IF(VLOOKUP(ExtComp[[#This Row],[DEVELOPMENT]],Data[],11,FALSE)=0,"",DATEDIF(VLOOKUP(ExtComp[[#This Row],[DEVELOPMENT]],Data[],13,FALSE),TODAY(),"Y"))</f>
        <v/>
      </c>
      <c r="I2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4" s="47">
        <f ca="1">(ExtComp[[#This Row],['# to Replace]]*'Unit Cost Summary'!$B$6)*(1+((ExtComp[[#This Row],[est. Year]]-YEAR(TODAY()))*$J$2))</f>
        <v>0</v>
      </c>
      <c r="K24" s="51">
        <f ca="1">SUM(INDEX(ExtComp['# to Replace],1):ExtComp[[#This Row],['# to Replace]])</f>
        <v>15</v>
      </c>
      <c r="L24" s="51">
        <f ca="1">ROUNDDOWN(ExtComp[[#This Row],[Count]]/50,0)+$L$1</f>
        <v>2020</v>
      </c>
      <c r="M24" s="64">
        <f t="shared" ca="1" si="0"/>
        <v>2831985</v>
      </c>
      <c r="N24" s="64" t="str">
        <f>IFERROR(VLOOKUP(ExtComp[[#This Row],[DEVELOPMENT]],Data[],22,FALSE),"")</f>
        <v/>
      </c>
      <c r="O24" s="71" t="str">
        <f>IFERROR(VLOOKUP(ExtComp[[#This Row],[DEVELOPMENT]],Data[],23,FALSE),"")</f>
        <v/>
      </c>
    </row>
    <row r="25" spans="1:15">
      <c r="A25" s="13" t="s">
        <v>259</v>
      </c>
      <c r="B25" s="9" t="str">
        <f>VLOOKUP(A25,Data[],2,FALSE)</f>
        <v>MANHATTAN</v>
      </c>
      <c r="C25" s="9"/>
      <c r="D25" s="50">
        <f>VLOOKUP(ExtComp[[#This Row],[DEVELOPMENT]],Data[],8,FALSE)</f>
        <v>0</v>
      </c>
      <c r="E25" s="50">
        <f>VLOOKUP(ExtComp[[#This Row],[DEVELOPMENT]],Data[],9,FALSE)</f>
        <v>0</v>
      </c>
      <c r="F25" s="50" t="str">
        <f ca="1">IFERROR(VLOOKUP(ExtComp[[#This Row],[DEVELOPMENT]],Data[],4,FALSE),"")</f>
        <v>2020-2021</v>
      </c>
      <c r="G25" s="50" t="str">
        <f ca="1">IF(ExtComp[[#This Row],[RAD/PACT]]="","",IF(ExtComp[[#This Row],[RAD/PACT]]&lt;=2025,"Yes",""))</f>
        <v/>
      </c>
      <c r="H25" s="51" t="str">
        <f ca="1">IF(VLOOKUP(ExtComp[[#This Row],[DEVELOPMENT]],Data[],11,FALSE)=0,"",DATEDIF(VLOOKUP(ExtComp[[#This Row],[DEVELOPMENT]],Data[],13,FALSE),TODAY(),"Y"))</f>
        <v/>
      </c>
      <c r="I2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5" s="47">
        <f ca="1">(ExtComp[[#This Row],['# to Replace]]*'Unit Cost Summary'!$B$6)*(1+((ExtComp[[#This Row],[est. Year]]-YEAR(TODAY()))*$J$2))</f>
        <v>0</v>
      </c>
      <c r="K25" s="51">
        <f ca="1">SUM(INDEX(ExtComp['# to Replace],1):ExtComp[[#This Row],['# to Replace]])</f>
        <v>15</v>
      </c>
      <c r="L25" s="51">
        <f ca="1">ROUNDDOWN(ExtComp[[#This Row],[Count]]/50,0)+$L$1</f>
        <v>2020</v>
      </c>
      <c r="M25" s="64">
        <f t="shared" ca="1" si="0"/>
        <v>2831985</v>
      </c>
      <c r="N25" s="64" t="str">
        <f>IFERROR(VLOOKUP(ExtComp[[#This Row],[DEVELOPMENT]],Data[],22,FALSE),"")</f>
        <v/>
      </c>
      <c r="O25" s="71" t="str">
        <f>IFERROR(VLOOKUP(ExtComp[[#This Row],[DEVELOPMENT]],Data[],23,FALSE),"")</f>
        <v/>
      </c>
    </row>
    <row r="26" spans="1:15">
      <c r="A26" s="13" t="s">
        <v>378</v>
      </c>
      <c r="B26" s="9" t="str">
        <f>VLOOKUP(A26,Data[],2,FALSE)</f>
        <v>MANHATTAN</v>
      </c>
      <c r="C26" s="9" t="s">
        <v>68</v>
      </c>
      <c r="D26" s="50">
        <f>VLOOKUP(ExtComp[[#This Row],[DEVELOPMENT]],Data[],8,FALSE)</f>
        <v>0</v>
      </c>
      <c r="E26" s="50">
        <f>VLOOKUP(ExtComp[[#This Row],[DEVELOPMENT]],Data[],9,FALSE)</f>
        <v>0</v>
      </c>
      <c r="F26" s="50" t="str">
        <f ca="1">IFERROR(VLOOKUP(ExtComp[[#This Row],[DEVELOPMENT]],Data[],4,FALSE),"")</f>
        <v/>
      </c>
      <c r="G26" s="50" t="str">
        <f ca="1">IF(ExtComp[[#This Row],[RAD/PACT]]="","",IF(ExtComp[[#This Row],[RAD/PACT]]&lt;=2025,"Yes",""))</f>
        <v/>
      </c>
      <c r="H26" s="51" t="str">
        <f ca="1">IF(VLOOKUP(ExtComp[[#This Row],[DEVELOPMENT]],Data[],11,FALSE)=0,"",DATEDIF(VLOOKUP(ExtComp[[#This Row],[DEVELOPMENT]],Data[],13,FALSE),TODAY(),"Y"))</f>
        <v/>
      </c>
      <c r="I2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6" s="47">
        <f ca="1">(ExtComp[[#This Row],['# to Replace]]*'Unit Cost Summary'!$B$6)*(1+((ExtComp[[#This Row],[est. Year]]-YEAR(TODAY()))*$J$2))</f>
        <v>0</v>
      </c>
      <c r="K26" s="51">
        <f ca="1">SUM(INDEX(ExtComp['# to Replace],1):ExtComp[[#This Row],['# to Replace]])</f>
        <v>15</v>
      </c>
      <c r="L26" s="51">
        <f ca="1">ROUNDDOWN(ExtComp[[#This Row],[Count]]/50,0)+$L$1</f>
        <v>2020</v>
      </c>
      <c r="M26" s="64">
        <f t="shared" ca="1" si="0"/>
        <v>2831985</v>
      </c>
      <c r="N26" s="64" t="str">
        <f>IFERROR(VLOOKUP(ExtComp[[#This Row],[DEVELOPMENT]],Data[],22,FALSE),"")</f>
        <v/>
      </c>
      <c r="O26" s="71" t="str">
        <f>IFERROR(VLOOKUP(ExtComp[[#This Row],[DEVELOPMENT]],Data[],23,FALSE),"")</f>
        <v/>
      </c>
    </row>
    <row r="27" spans="1:15">
      <c r="A27" s="13" t="s">
        <v>377</v>
      </c>
      <c r="B27" s="9" t="str">
        <f>VLOOKUP(A27,Data[],2,FALSE)</f>
        <v>MANHATTAN</v>
      </c>
      <c r="C27" s="9" t="s">
        <v>68</v>
      </c>
      <c r="D27" s="50">
        <f>VLOOKUP(ExtComp[[#This Row],[DEVELOPMENT]],Data[],8,FALSE)</f>
        <v>0</v>
      </c>
      <c r="E27" s="50">
        <f>VLOOKUP(ExtComp[[#This Row],[DEVELOPMENT]],Data[],9,FALSE)</f>
        <v>0</v>
      </c>
      <c r="F27" s="50" t="str">
        <f ca="1">IFERROR(VLOOKUP(ExtComp[[#This Row],[DEVELOPMENT]],Data[],4,FALSE),"")</f>
        <v/>
      </c>
      <c r="G27" s="50" t="str">
        <f ca="1">IF(ExtComp[[#This Row],[RAD/PACT]]="","",IF(ExtComp[[#This Row],[RAD/PACT]]&lt;=2025,"Yes",""))</f>
        <v/>
      </c>
      <c r="H27" s="51" t="str">
        <f ca="1">IF(VLOOKUP(ExtComp[[#This Row],[DEVELOPMENT]],Data[],11,FALSE)=0,"",DATEDIF(VLOOKUP(ExtComp[[#This Row],[DEVELOPMENT]],Data[],13,FALSE),TODAY(),"Y"))</f>
        <v/>
      </c>
      <c r="I2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7" s="47">
        <f ca="1">(ExtComp[[#This Row],['# to Replace]]*'Unit Cost Summary'!$B$6)*(1+((ExtComp[[#This Row],[est. Year]]-YEAR(TODAY()))*$J$2))</f>
        <v>0</v>
      </c>
      <c r="K27" s="51">
        <f ca="1">SUM(INDEX(ExtComp['# to Replace],1):ExtComp[[#This Row],['# to Replace]])</f>
        <v>15</v>
      </c>
      <c r="L27" s="51">
        <f ca="1">ROUNDDOWN(ExtComp[[#This Row],[Count]]/50,0)+$L$1</f>
        <v>2020</v>
      </c>
      <c r="M27" s="64">
        <f t="shared" ca="1" si="0"/>
        <v>2831985</v>
      </c>
      <c r="N27" s="64" t="str">
        <f>IFERROR(VLOOKUP(ExtComp[[#This Row],[DEVELOPMENT]],Data[],22,FALSE),"")</f>
        <v/>
      </c>
      <c r="O27" s="71" t="str">
        <f>IFERROR(VLOOKUP(ExtComp[[#This Row],[DEVELOPMENT]],Data[],23,FALSE),"")</f>
        <v/>
      </c>
    </row>
    <row r="28" spans="1:15">
      <c r="A28" s="13" t="s">
        <v>101</v>
      </c>
      <c r="B28" s="1" t="str">
        <f>VLOOKUP(A28,Data[],2,FALSE)</f>
        <v>MANHATTAN</v>
      </c>
      <c r="C28" s="9" t="s">
        <v>68</v>
      </c>
      <c r="D28" s="9" t="str">
        <f>VLOOKUP(ExtComp[[#This Row],[DEVELOPMENT]],Data[],8,FALSE)</f>
        <v>Zone 3</v>
      </c>
      <c r="E28" s="9">
        <f>VLOOKUP(ExtComp[[#This Row],[DEVELOPMENT]],Data[],9,FALSE)</f>
        <v>4</v>
      </c>
      <c r="F28" s="9" t="str">
        <f ca="1">IFERROR(VLOOKUP(ExtComp[[#This Row],[DEVELOPMENT]],Data[],4,FALSE),"")</f>
        <v>2020-2021</v>
      </c>
      <c r="G28" s="9" t="str">
        <f ca="1">IF(ExtComp[[#This Row],[RAD/PACT]]="","",IF(ExtComp[[#This Row],[RAD/PACT]]&lt;=2025,"Yes",""))</f>
        <v/>
      </c>
      <c r="H28" s="1" t="str">
        <f ca="1">IF(VLOOKUP(ExtComp[[#This Row],[DEVELOPMENT]],Data[],11,FALSE)=0,"",DATEDIF(VLOOKUP(ExtComp[[#This Row],[DEVELOPMENT]],Data[],13,FALSE),TODAY(),"Y"))</f>
        <v/>
      </c>
      <c r="I28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8" s="47">
        <f ca="1">(ExtComp[[#This Row],['# to Replace]]*'Unit Cost Summary'!$B$6)*(1+((ExtComp[[#This Row],[est. Year]]-YEAR(TODAY()))*$J$2))</f>
        <v>0</v>
      </c>
      <c r="K28" s="1">
        <f ca="1">SUM(INDEX(ExtComp['# to Replace],1):ExtComp[[#This Row],['# to Replace]])</f>
        <v>15</v>
      </c>
      <c r="L28" s="1">
        <f ca="1">ROUNDDOWN(ExtComp[[#This Row],[Count]]/50,0)+$L$1</f>
        <v>2020</v>
      </c>
      <c r="M28" s="64">
        <f t="shared" ca="1" si="0"/>
        <v>2831985</v>
      </c>
      <c r="N28" s="64" t="str">
        <f>IFERROR(VLOOKUP(ExtComp[[#This Row],[DEVELOPMENT]],Data[],22,FALSE),"")</f>
        <v/>
      </c>
      <c r="O28" s="51" t="str">
        <f>IFERROR(VLOOKUP(ExtComp[[#This Row],[DEVELOPMENT]],Data[],23,FALSE),"")</f>
        <v/>
      </c>
    </row>
    <row r="29" spans="1:15">
      <c r="A29" s="13" t="s">
        <v>376</v>
      </c>
      <c r="B29" s="9" t="str">
        <f>VLOOKUP(A29,Data[],2,FALSE)</f>
        <v>MANHATTAN</v>
      </c>
      <c r="C29" s="9"/>
      <c r="D29" s="50">
        <f>VLOOKUP(ExtComp[[#This Row],[DEVELOPMENT]],Data[],8,FALSE)</f>
        <v>0</v>
      </c>
      <c r="E29" s="50">
        <f>VLOOKUP(ExtComp[[#This Row],[DEVELOPMENT]],Data[],9,FALSE)</f>
        <v>0</v>
      </c>
      <c r="F29" s="50" t="str">
        <f ca="1">IFERROR(VLOOKUP(ExtComp[[#This Row],[DEVELOPMENT]],Data[],4,FALSE),"")</f>
        <v>2020-2021</v>
      </c>
      <c r="G29" s="50" t="str">
        <f ca="1">IF(ExtComp[[#This Row],[RAD/PACT]]="","",IF(ExtComp[[#This Row],[RAD/PACT]]&lt;=2025,"Yes",""))</f>
        <v/>
      </c>
      <c r="H29" s="51" t="str">
        <f ca="1">IF(VLOOKUP(ExtComp[[#This Row],[DEVELOPMENT]],Data[],11,FALSE)=0,"",DATEDIF(VLOOKUP(ExtComp[[#This Row],[DEVELOPMENT]],Data[],13,FALSE),TODAY(),"Y"))</f>
        <v/>
      </c>
      <c r="I2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9" s="47">
        <f ca="1">(ExtComp[[#This Row],['# to Replace]]*'Unit Cost Summary'!$B$6)*(1+((ExtComp[[#This Row],[est. Year]]-YEAR(TODAY()))*$J$2))</f>
        <v>0</v>
      </c>
      <c r="K29" s="51">
        <f ca="1">SUM(INDEX(ExtComp['# to Replace],1):ExtComp[[#This Row],['# to Replace]])</f>
        <v>15</v>
      </c>
      <c r="L29" s="51">
        <f ca="1">ROUNDDOWN(ExtComp[[#This Row],[Count]]/50,0)+$L$1</f>
        <v>2020</v>
      </c>
      <c r="M29" s="64">
        <f t="shared" ca="1" si="0"/>
        <v>2831985</v>
      </c>
      <c r="N29" s="64" t="str">
        <f>IFERROR(VLOOKUP(ExtComp[[#This Row],[DEVELOPMENT]],Data[],22,FALSE),"")</f>
        <v/>
      </c>
      <c r="O29" s="71" t="str">
        <f>IFERROR(VLOOKUP(ExtComp[[#This Row],[DEVELOPMENT]],Data[],23,FALSE),"")</f>
        <v/>
      </c>
    </row>
    <row r="30" spans="1:15">
      <c r="A30" s="13" t="s">
        <v>137</v>
      </c>
      <c r="B30" s="1" t="str">
        <f>VLOOKUP(A30,Data[],2,FALSE)</f>
        <v>MANHATTAN</v>
      </c>
      <c r="C30" s="9" t="s">
        <v>68</v>
      </c>
      <c r="D30" s="9" t="str">
        <f>VLOOKUP(ExtComp[[#This Row],[DEVELOPMENT]],Data[],8,FALSE)</f>
        <v>Zone 2</v>
      </c>
      <c r="E30" s="9">
        <f>VLOOKUP(ExtComp[[#This Row],[DEVELOPMENT]],Data[],9,FALSE)</f>
        <v>2</v>
      </c>
      <c r="F30" s="9" t="str">
        <f ca="1">IFERROR(VLOOKUP(ExtComp[[#This Row],[DEVELOPMENT]],Data[],4,FALSE),"")</f>
        <v>2022-2025</v>
      </c>
      <c r="G30" s="9" t="str">
        <f ca="1">IF(ExtComp[[#This Row],[RAD/PACT]]="","",IF(ExtComp[[#This Row],[RAD/PACT]]&lt;=2025,"Yes",""))</f>
        <v/>
      </c>
      <c r="H30" s="1">
        <f ca="1">IF(VLOOKUP(ExtComp[[#This Row],[DEVELOPMENT]],Data[],11,FALSE)=0,"",DATEDIF(VLOOKUP(ExtComp[[#This Row],[DEVELOPMENT]],Data[],13,FALSE),TODAY(),"Y"))</f>
        <v>8</v>
      </c>
      <c r="I30" s="1">
        <f ca="1">IF(ExtComp[[#This Row],[RAD/PACT]]="",VLOOKUP(ExtComp[[#This Row],[DEVELOPMENT]],Data[],11,FALSE),IF(ExtComp[[#This Row],[RAD/PACT by 2025]]="yes",0,VLOOKUP(ExtComp[[#This Row],[DEVELOPMENT]],Data[],11,FALSE)))</f>
        <v>4</v>
      </c>
      <c r="J30" s="47">
        <f ca="1">(ExtComp[[#This Row],['# to Replace]]*'Unit Cost Summary'!$B$6)*(1+((ExtComp[[#This Row],[est. Year]]-YEAR(TODAY()))*$J$2))</f>
        <v>755196</v>
      </c>
      <c r="K30" s="1">
        <f ca="1">SUM(INDEX(ExtComp['# to Replace],1):ExtComp[[#This Row],['# to Replace]])</f>
        <v>19</v>
      </c>
      <c r="L30" s="1">
        <f ca="1">ROUNDDOWN(ExtComp[[#This Row],[Count]]/50,0)+$L$1</f>
        <v>2020</v>
      </c>
      <c r="M30" s="64">
        <f t="shared" ca="1" si="0"/>
        <v>3587181</v>
      </c>
      <c r="N30" s="64" t="str">
        <f>IFERROR(VLOOKUP(ExtComp[[#This Row],[DEVELOPMENT]],Data[],22,FALSE),"")</f>
        <v/>
      </c>
      <c r="O30" s="71" t="str">
        <f>IFERROR(VLOOKUP(ExtComp[[#This Row],[DEVELOPMENT]],Data[],23,FALSE),"")</f>
        <v/>
      </c>
    </row>
    <row r="31" spans="1:15">
      <c r="A31" s="65" t="s">
        <v>66</v>
      </c>
      <c r="B31" s="1" t="str">
        <f>VLOOKUP(A31,Data[],2,FALSE)</f>
        <v>MANHATTAN</v>
      </c>
      <c r="C31" s="9" t="s">
        <v>68</v>
      </c>
      <c r="D31" s="9" t="str">
        <f>VLOOKUP(ExtComp[[#This Row],[DEVELOPMENT]],Data[],8,FALSE)</f>
        <v>Zone 1</v>
      </c>
      <c r="E31" s="9">
        <f>VLOOKUP(ExtComp[[#This Row],[DEVELOPMENT]],Data[],9,FALSE)</f>
        <v>4</v>
      </c>
      <c r="F31" s="9" t="str">
        <f ca="1">IFERROR(VLOOKUP(ExtComp[[#This Row],[DEVELOPMENT]],Data[],4,FALSE),"")</f>
        <v/>
      </c>
      <c r="G31" s="9" t="str">
        <f ca="1">IF(ExtComp[[#This Row],[RAD/PACT]]="","",IF(ExtComp[[#This Row],[RAD/PACT]]&lt;=2025,"Yes",""))</f>
        <v/>
      </c>
      <c r="H31" s="1">
        <f ca="1">IF(VLOOKUP(ExtComp[[#This Row],[DEVELOPMENT]],Data[],11,FALSE)=0,"",DATEDIF(VLOOKUP(ExtComp[[#This Row],[DEVELOPMENT]],Data[],13,FALSE),TODAY(),"Y"))</f>
        <v>17</v>
      </c>
      <c r="I31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31" s="47">
        <f ca="1">(ExtComp[[#This Row],['# to Replace]]*'Unit Cost Summary'!$B$6)*(1+((ExtComp[[#This Row],[est. Year]]-YEAR(TODAY()))*$J$2))</f>
        <v>566397</v>
      </c>
      <c r="K31" s="1">
        <f ca="1">SUM(INDEX(ExtComp['# to Replace],1):ExtComp[[#This Row],['# to Replace]])</f>
        <v>22</v>
      </c>
      <c r="L31" s="1">
        <f ca="1">ROUNDDOWN(ExtComp[[#This Row],[Count]]/50,0)+$L$1</f>
        <v>2020</v>
      </c>
      <c r="M31" s="64">
        <f t="shared" ca="1" si="0"/>
        <v>4153578</v>
      </c>
      <c r="N31" s="64" t="str">
        <f>IFERROR(VLOOKUP(ExtComp[[#This Row],[DEVELOPMENT]],Data[],22,FALSE),"")</f>
        <v/>
      </c>
      <c r="O31" s="71" t="str">
        <f>IFERROR(VLOOKUP(ExtComp[[#This Row],[DEVELOPMENT]],Data[],23,FALSE),"")</f>
        <v/>
      </c>
    </row>
    <row r="32" spans="1:15">
      <c r="A32" s="13" t="s">
        <v>127</v>
      </c>
      <c r="B32" s="1" t="str">
        <f>VLOOKUP(A32,Data[],2,FALSE)</f>
        <v>MANHATTAN</v>
      </c>
      <c r="C32" s="9" t="s">
        <v>68</v>
      </c>
      <c r="D32" s="9" t="str">
        <f>VLOOKUP(ExtComp[[#This Row],[DEVELOPMENT]],Data[],8,FALSE)</f>
        <v>Zone 2</v>
      </c>
      <c r="E32" s="9">
        <f>VLOOKUP(ExtComp[[#This Row],[DEVELOPMENT]],Data[],9,FALSE)</f>
        <v>4</v>
      </c>
      <c r="F32" s="9" t="str">
        <f ca="1">IFERROR(VLOOKUP(ExtComp[[#This Row],[DEVELOPMENT]],Data[],4,FALSE),"")</f>
        <v>2026+</v>
      </c>
      <c r="G32" s="9" t="str">
        <f ca="1">IF(ExtComp[[#This Row],[RAD/PACT]]="","",IF(ExtComp[[#This Row],[RAD/PACT]]&lt;=2025,"Yes",""))</f>
        <v/>
      </c>
      <c r="H32" s="1">
        <f ca="1">IF(VLOOKUP(ExtComp[[#This Row],[DEVELOPMENT]],Data[],11,FALSE)=0,"",DATEDIF(VLOOKUP(ExtComp[[#This Row],[DEVELOPMENT]],Data[],13,FALSE),TODAY(),"Y"))</f>
        <v>13</v>
      </c>
      <c r="I32" s="1">
        <f ca="1">IF(ExtComp[[#This Row],[RAD/PACT]]="",VLOOKUP(ExtComp[[#This Row],[DEVELOPMENT]],Data[],11,FALSE),IF(ExtComp[[#This Row],[RAD/PACT by 2025]]="yes",0,VLOOKUP(ExtComp[[#This Row],[DEVELOPMENT]],Data[],11,FALSE)))</f>
        <v>5</v>
      </c>
      <c r="J32" s="47">
        <f ca="1">(ExtComp[[#This Row],['# to Replace]]*'Unit Cost Summary'!$B$6)*(1+((ExtComp[[#This Row],[est. Year]]-YEAR(TODAY()))*$J$2))</f>
        <v>943995</v>
      </c>
      <c r="K32" s="1">
        <f ca="1">SUM(INDEX(ExtComp['# to Replace],1):ExtComp[[#This Row],['# to Replace]])</f>
        <v>27</v>
      </c>
      <c r="L32" s="1">
        <f ca="1">ROUNDDOWN(ExtComp[[#This Row],[Count]]/50,0)+$L$1</f>
        <v>2020</v>
      </c>
      <c r="M32" s="64">
        <f t="shared" ca="1" si="0"/>
        <v>5097573</v>
      </c>
      <c r="N32" s="64" t="str">
        <f>IFERROR(VLOOKUP(ExtComp[[#This Row],[DEVELOPMENT]],Data[],22,FALSE),"")</f>
        <v/>
      </c>
      <c r="O32" s="71" t="str">
        <f>IFERROR(VLOOKUP(ExtComp[[#This Row],[DEVELOPMENT]],Data[],23,FALSE),"")</f>
        <v/>
      </c>
    </row>
    <row r="33" spans="1:15">
      <c r="A33" s="13" t="s">
        <v>108</v>
      </c>
      <c r="B33" s="1" t="str">
        <f>VLOOKUP(A33,Data[],2,FALSE)</f>
        <v>MANHATTAN</v>
      </c>
      <c r="C33" s="9" t="s">
        <v>68</v>
      </c>
      <c r="D33" s="9" t="str">
        <f>VLOOKUP(ExtComp[[#This Row],[DEVELOPMENT]],Data[],8,FALSE)</f>
        <v>Zone 1</v>
      </c>
      <c r="E33" s="9">
        <f>VLOOKUP(ExtComp[[#This Row],[DEVELOPMENT]],Data[],9,FALSE)</f>
        <v>4</v>
      </c>
      <c r="F33" s="9" t="str">
        <f ca="1">IFERROR(VLOOKUP(ExtComp[[#This Row],[DEVELOPMENT]],Data[],4,FALSE),"")</f>
        <v/>
      </c>
      <c r="G33" s="9" t="str">
        <f ca="1">IF(ExtComp[[#This Row],[RAD/PACT]]="","",IF(ExtComp[[#This Row],[RAD/PACT]]&lt;=2025,"Yes",""))</f>
        <v/>
      </c>
      <c r="H33" s="1" t="str">
        <f ca="1">IF(VLOOKUP(ExtComp[[#This Row],[DEVELOPMENT]],Data[],11,FALSE)=0,"",DATEDIF(VLOOKUP(ExtComp[[#This Row],[DEVELOPMENT]],Data[],13,FALSE),TODAY(),"Y"))</f>
        <v/>
      </c>
      <c r="I33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33" s="47">
        <f ca="1">(ExtComp[[#This Row],['# to Replace]]*'Unit Cost Summary'!$B$6)*(1+((ExtComp[[#This Row],[est. Year]]-YEAR(TODAY()))*$J$2))</f>
        <v>0</v>
      </c>
      <c r="K33" s="1">
        <f ca="1">SUM(INDEX(ExtComp['# to Replace],1):ExtComp[[#This Row],['# to Replace]])</f>
        <v>27</v>
      </c>
      <c r="L33" s="1">
        <f ca="1">ROUNDDOWN(ExtComp[[#This Row],[Count]]/50,0)+$L$1</f>
        <v>2020</v>
      </c>
      <c r="M33" s="64">
        <f t="shared" ca="1" si="0"/>
        <v>5097573</v>
      </c>
      <c r="N33" s="64" t="str">
        <f>IFERROR(VLOOKUP(ExtComp[[#This Row],[DEVELOPMENT]],Data[],22,FALSE),"")</f>
        <v/>
      </c>
      <c r="O33" s="51" t="str">
        <f>IFERROR(VLOOKUP(ExtComp[[#This Row],[DEVELOPMENT]],Data[],23,FALSE),"")</f>
        <v/>
      </c>
    </row>
    <row r="34" spans="1:15">
      <c r="A34" s="65" t="s">
        <v>56</v>
      </c>
      <c r="B34" s="1" t="str">
        <f>VLOOKUP(A34,Data[],2,FALSE)</f>
        <v>MANHATTAN</v>
      </c>
      <c r="C34" s="9" t="s">
        <v>68</v>
      </c>
      <c r="D34" s="9" t="str">
        <f>VLOOKUP(ExtComp[[#This Row],[DEVELOPMENT]],Data[],8,FALSE)</f>
        <v>Zone 1</v>
      </c>
      <c r="E34" s="9">
        <f>VLOOKUP(ExtComp[[#This Row],[DEVELOPMENT]],Data[],9,FALSE)</f>
        <v>3</v>
      </c>
      <c r="F34" s="9" t="str">
        <f ca="1">IFERROR(VLOOKUP(ExtComp[[#This Row],[DEVELOPMENT]],Data[],4,FALSE),"")</f>
        <v/>
      </c>
      <c r="G34" s="9" t="str">
        <f ca="1">IF(ExtComp[[#This Row],[RAD/PACT]]="","",IF(ExtComp[[#This Row],[RAD/PACT]]&lt;=2025,"Yes",""))</f>
        <v/>
      </c>
      <c r="H34" s="1" t="str">
        <f ca="1">IF(VLOOKUP(ExtComp[[#This Row],[DEVELOPMENT]],Data[],11,FALSE)=0,"",DATEDIF(VLOOKUP(ExtComp[[#This Row],[DEVELOPMENT]],Data[],13,FALSE),TODAY(),"Y"))</f>
        <v/>
      </c>
      <c r="I34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34" s="47">
        <f ca="1">(ExtComp[[#This Row],['# to Replace]]*'Unit Cost Summary'!$B$6)*(1+((ExtComp[[#This Row],[est. Year]]-YEAR(TODAY()))*$J$2))</f>
        <v>0</v>
      </c>
      <c r="K34" s="1">
        <f ca="1">SUM(INDEX(ExtComp['# to Replace],1):ExtComp[[#This Row],['# to Replace]])</f>
        <v>27</v>
      </c>
      <c r="L34" s="1">
        <f ca="1">ROUNDDOWN(ExtComp[[#This Row],[Count]]/50,0)+$L$1</f>
        <v>2020</v>
      </c>
      <c r="M34" s="64">
        <f t="shared" ca="1" si="0"/>
        <v>5097573</v>
      </c>
      <c r="N34" s="64" t="str">
        <f>IFERROR(VLOOKUP(ExtComp[[#This Row],[DEVELOPMENT]],Data[],22,FALSE),"")</f>
        <v/>
      </c>
      <c r="O34" s="51" t="str">
        <f>IFERROR(VLOOKUP(ExtComp[[#This Row],[DEVELOPMENT]],Data[],23,FALSE),"")</f>
        <v/>
      </c>
    </row>
    <row r="35" spans="1:15">
      <c r="A35" s="13" t="s">
        <v>375</v>
      </c>
      <c r="B35" s="9" t="str">
        <f>VLOOKUP(A35,Data[],2,FALSE)</f>
        <v>BROOKLYN</v>
      </c>
      <c r="C35" s="9" t="s">
        <v>68</v>
      </c>
      <c r="D35" s="50">
        <f>VLOOKUP(ExtComp[[#This Row],[DEVELOPMENT]],Data[],8,FALSE)</f>
        <v>0</v>
      </c>
      <c r="E35" s="50">
        <f>VLOOKUP(ExtComp[[#This Row],[DEVELOPMENT]],Data[],9,FALSE)</f>
        <v>0</v>
      </c>
      <c r="F35" s="50" t="str">
        <f ca="1">IFERROR(VLOOKUP(ExtComp[[#This Row],[DEVELOPMENT]],Data[],4,FALSE),"")</f>
        <v/>
      </c>
      <c r="G35" s="50" t="str">
        <f ca="1">IF(ExtComp[[#This Row],[RAD/PACT]]="","",IF(ExtComp[[#This Row],[RAD/PACT]]&lt;=2025,"Yes",""))</f>
        <v/>
      </c>
      <c r="H35" s="51" t="str">
        <f ca="1">IF(VLOOKUP(ExtComp[[#This Row],[DEVELOPMENT]],Data[],11,FALSE)=0,"",DATEDIF(VLOOKUP(ExtComp[[#This Row],[DEVELOPMENT]],Data[],13,FALSE),TODAY(),"Y"))</f>
        <v/>
      </c>
      <c r="I3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5" s="47">
        <f ca="1">(ExtComp[[#This Row],['# to Replace]]*'Unit Cost Summary'!$B$6)*(1+((ExtComp[[#This Row],[est. Year]]-YEAR(TODAY()))*$J$2))</f>
        <v>0</v>
      </c>
      <c r="K35" s="51">
        <f ca="1">SUM(INDEX(ExtComp['# to Replace],1):ExtComp[[#This Row],['# to Replace]])</f>
        <v>27</v>
      </c>
      <c r="L35" s="51">
        <f ca="1">ROUNDDOWN(ExtComp[[#This Row],[Count]]/50,0)+$L$1</f>
        <v>2020</v>
      </c>
      <c r="M35" s="64">
        <f t="shared" ca="1" si="0"/>
        <v>5097573</v>
      </c>
      <c r="N35" s="64" t="str">
        <f>IFERROR(VLOOKUP(ExtComp[[#This Row],[DEVELOPMENT]],Data[],22,FALSE),"")</f>
        <v/>
      </c>
      <c r="O35" s="71" t="str">
        <f>IFERROR(VLOOKUP(ExtComp[[#This Row],[DEVELOPMENT]],Data[],23,FALSE),"")</f>
        <v/>
      </c>
    </row>
    <row r="36" spans="1:15">
      <c r="A36" s="13" t="s">
        <v>374</v>
      </c>
      <c r="B36" s="9" t="str">
        <f>VLOOKUP(A36,Data[],2,FALSE)</f>
        <v>BROOKLYN</v>
      </c>
      <c r="C36" s="9" t="s">
        <v>68</v>
      </c>
      <c r="D36" s="50">
        <f>VLOOKUP(ExtComp[[#This Row],[DEVELOPMENT]],Data[],8,FALSE)</f>
        <v>0</v>
      </c>
      <c r="E36" s="50">
        <f>VLOOKUP(ExtComp[[#This Row],[DEVELOPMENT]],Data[],9,FALSE)</f>
        <v>0</v>
      </c>
      <c r="F36" s="50" t="str">
        <f ca="1">IFERROR(VLOOKUP(ExtComp[[#This Row],[DEVELOPMENT]],Data[],4,FALSE),"")</f>
        <v/>
      </c>
      <c r="G36" s="50" t="str">
        <f ca="1">IF(ExtComp[[#This Row],[RAD/PACT]]="","",IF(ExtComp[[#This Row],[RAD/PACT]]&lt;=2025,"Yes",""))</f>
        <v/>
      </c>
      <c r="H36" s="51" t="str">
        <f ca="1">IF(VLOOKUP(ExtComp[[#This Row],[DEVELOPMENT]],Data[],11,FALSE)=0,"",DATEDIF(VLOOKUP(ExtComp[[#This Row],[DEVELOPMENT]],Data[],13,FALSE),TODAY(),"Y"))</f>
        <v/>
      </c>
      <c r="I3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6" s="47">
        <f ca="1">(ExtComp[[#This Row],['# to Replace]]*'Unit Cost Summary'!$B$6)*(1+((ExtComp[[#This Row],[est. Year]]-YEAR(TODAY()))*$J$2))</f>
        <v>0</v>
      </c>
      <c r="K36" s="51">
        <f ca="1">SUM(INDEX(ExtComp['# to Replace],1):ExtComp[[#This Row],['# to Replace]])</f>
        <v>27</v>
      </c>
      <c r="L36" s="51">
        <f ca="1">ROUNDDOWN(ExtComp[[#This Row],[Count]]/50,0)+$L$1</f>
        <v>2020</v>
      </c>
      <c r="M36" s="64">
        <f t="shared" ca="1" si="0"/>
        <v>5097573</v>
      </c>
      <c r="N36" s="64" t="str">
        <f>IFERROR(VLOOKUP(ExtComp[[#This Row],[DEVELOPMENT]],Data[],22,FALSE),"")</f>
        <v/>
      </c>
      <c r="O36" s="71" t="str">
        <f>IFERROR(VLOOKUP(ExtComp[[#This Row],[DEVELOPMENT]],Data[],23,FALSE),"")</f>
        <v/>
      </c>
    </row>
    <row r="37" spans="1:15">
      <c r="A37" s="13" t="s">
        <v>373</v>
      </c>
      <c r="B37" s="9" t="str">
        <f>VLOOKUP(A37,Data[],2,FALSE)</f>
        <v>BROOKLYN</v>
      </c>
      <c r="C37" s="9"/>
      <c r="D37" s="50">
        <f>VLOOKUP(ExtComp[[#This Row],[DEVELOPMENT]],Data[],8,FALSE)</f>
        <v>0</v>
      </c>
      <c r="E37" s="50">
        <f>VLOOKUP(ExtComp[[#This Row],[DEVELOPMENT]],Data[],9,FALSE)</f>
        <v>0</v>
      </c>
      <c r="F37" s="50" t="str">
        <f ca="1">IFERROR(VLOOKUP(ExtComp[[#This Row],[DEVELOPMENT]],Data[],4,FALSE),"")</f>
        <v>2022-2025</v>
      </c>
      <c r="G37" s="50" t="str">
        <f ca="1">IF(ExtComp[[#This Row],[RAD/PACT]]="","",IF(ExtComp[[#This Row],[RAD/PACT]]&lt;=2025,"Yes",""))</f>
        <v/>
      </c>
      <c r="H37" s="51">
        <f ca="1">IF(VLOOKUP(ExtComp[[#This Row],[DEVELOPMENT]],Data[],11,FALSE)=0,"",DATEDIF(VLOOKUP(ExtComp[[#This Row],[DEVELOPMENT]],Data[],13,FALSE),TODAY(),"Y"))</f>
        <v>1</v>
      </c>
      <c r="I37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37" s="47">
        <f ca="1">(ExtComp[[#This Row],['# to Replace]]*'Unit Cost Summary'!$B$6)*(1+((ExtComp[[#This Row],[est. Year]]-YEAR(TODAY()))*$J$2))</f>
        <v>566397</v>
      </c>
      <c r="K37" s="51">
        <f ca="1">SUM(INDEX(ExtComp['# to Replace],1):ExtComp[[#This Row],['# to Replace]])</f>
        <v>30</v>
      </c>
      <c r="L37" s="51">
        <f ca="1">ROUNDDOWN(ExtComp[[#This Row],[Count]]/50,0)+$L$1</f>
        <v>2020</v>
      </c>
      <c r="M37" s="64">
        <f t="shared" ca="1" si="0"/>
        <v>5663970</v>
      </c>
      <c r="N37" s="64" t="str">
        <f>IFERROR(VLOOKUP(ExtComp[[#This Row],[DEVELOPMENT]],Data[],22,FALSE),"")</f>
        <v/>
      </c>
      <c r="O37" s="71" t="str">
        <f>IFERROR(VLOOKUP(ExtComp[[#This Row],[DEVELOPMENT]],Data[],23,FALSE),"")</f>
        <v/>
      </c>
    </row>
    <row r="38" spans="1:15">
      <c r="A38" s="13" t="s">
        <v>100</v>
      </c>
      <c r="B38" s="1" t="str">
        <f>VLOOKUP(A38,Data[],2,FALSE)</f>
        <v>MANHATTAN</v>
      </c>
      <c r="C38" s="9" t="s">
        <v>68</v>
      </c>
      <c r="D38" s="9" t="str">
        <f>VLOOKUP(ExtComp[[#This Row],[DEVELOPMENT]],Data[],8,FALSE)</f>
        <v>Zone 2</v>
      </c>
      <c r="E38" s="9">
        <f>VLOOKUP(ExtComp[[#This Row],[DEVELOPMENT]],Data[],9,FALSE)</f>
        <v>4</v>
      </c>
      <c r="F38" s="9" t="str">
        <f ca="1">IFERROR(VLOOKUP(ExtComp[[#This Row],[DEVELOPMENT]],Data[],4,FALSE),"")</f>
        <v/>
      </c>
      <c r="G38" s="9" t="str">
        <f ca="1">IF(ExtComp[[#This Row],[RAD/PACT]]="","",IF(ExtComp[[#This Row],[RAD/PACT]]&lt;=2025,"Yes",""))</f>
        <v/>
      </c>
      <c r="H38" s="1" t="str">
        <f ca="1">IF(VLOOKUP(ExtComp[[#This Row],[DEVELOPMENT]],Data[],11,FALSE)=0,"",DATEDIF(VLOOKUP(ExtComp[[#This Row],[DEVELOPMENT]],Data[],13,FALSE),TODAY(),"Y"))</f>
        <v/>
      </c>
      <c r="I38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38" s="47">
        <f ca="1">(ExtComp[[#This Row],['# to Replace]]*'Unit Cost Summary'!$B$6)*(1+((ExtComp[[#This Row],[est. Year]]-YEAR(TODAY()))*$J$2))</f>
        <v>0</v>
      </c>
      <c r="K38" s="1">
        <f ca="1">SUM(INDEX(ExtComp['# to Replace],1):ExtComp[[#This Row],['# to Replace]])</f>
        <v>30</v>
      </c>
      <c r="L38" s="1">
        <f ca="1">ROUNDDOWN(ExtComp[[#This Row],[Count]]/50,0)+$L$1</f>
        <v>2020</v>
      </c>
      <c r="M38" s="64">
        <f t="shared" ca="1" si="0"/>
        <v>5663970</v>
      </c>
      <c r="N38" s="64" t="str">
        <f>IFERROR(VLOOKUP(ExtComp[[#This Row],[DEVELOPMENT]],Data[],22,FALSE),"")</f>
        <v/>
      </c>
      <c r="O38" s="51" t="str">
        <f>IFERROR(VLOOKUP(ExtComp[[#This Row],[DEVELOPMENT]],Data[],23,FALSE),"")</f>
        <v/>
      </c>
    </row>
    <row r="39" spans="1:15">
      <c r="A39" s="13" t="s">
        <v>126</v>
      </c>
      <c r="B39" s="1" t="str">
        <f>VLOOKUP(A39,Data[],2,FALSE)</f>
        <v>MANHATTAN</v>
      </c>
      <c r="C39" s="9" t="s">
        <v>68</v>
      </c>
      <c r="D39" s="9" t="str">
        <f>VLOOKUP(ExtComp[[#This Row],[DEVELOPMENT]],Data[],8,FALSE)</f>
        <v>Zone 2</v>
      </c>
      <c r="E39" s="9">
        <f>VLOOKUP(ExtComp[[#This Row],[DEVELOPMENT]],Data[],9,FALSE)</f>
        <v>4</v>
      </c>
      <c r="F39" s="9" t="str">
        <f ca="1">IFERROR(VLOOKUP(ExtComp[[#This Row],[DEVELOPMENT]],Data[],4,FALSE),"")</f>
        <v/>
      </c>
      <c r="G39" s="9" t="str">
        <f ca="1">IF(ExtComp[[#This Row],[RAD/PACT]]="","",IF(ExtComp[[#This Row],[RAD/PACT]]&lt;=2025,"Yes",""))</f>
        <v/>
      </c>
      <c r="H39" s="1">
        <f ca="1">IF(VLOOKUP(ExtComp[[#This Row],[DEVELOPMENT]],Data[],11,FALSE)=0,"",DATEDIF(VLOOKUP(ExtComp[[#This Row],[DEVELOPMENT]],Data[],13,FALSE),TODAY(),"Y"))</f>
        <v>13</v>
      </c>
      <c r="I39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39" s="47">
        <f ca="1">(ExtComp[[#This Row],['# to Replace]]*'Unit Cost Summary'!$B$6)*(1+((ExtComp[[#This Row],[est. Year]]-YEAR(TODAY()))*$J$2))</f>
        <v>377598</v>
      </c>
      <c r="K39" s="1">
        <f ca="1">SUM(INDEX(ExtComp['# to Replace],1):ExtComp[[#This Row],['# to Replace]])</f>
        <v>32</v>
      </c>
      <c r="L39" s="1">
        <f ca="1">ROUNDDOWN(ExtComp[[#This Row],[Count]]/50,0)+$L$1</f>
        <v>2020</v>
      </c>
      <c r="M39" s="64">
        <f t="shared" ca="1" si="0"/>
        <v>6041568</v>
      </c>
      <c r="N39" s="64" t="str">
        <f>IFERROR(VLOOKUP(ExtComp[[#This Row],[DEVELOPMENT]],Data[],22,FALSE),"")</f>
        <v/>
      </c>
      <c r="O39" s="71" t="str">
        <f>IFERROR(VLOOKUP(ExtComp[[#This Row],[DEVELOPMENT]],Data[],23,FALSE),"")</f>
        <v/>
      </c>
    </row>
    <row r="40" spans="1:15">
      <c r="A40" s="13" t="s">
        <v>372</v>
      </c>
      <c r="B40" s="9" t="str">
        <f>VLOOKUP(A40,Data[],2,FALSE)</f>
        <v>BRONX</v>
      </c>
      <c r="C40" s="9" t="s">
        <v>68</v>
      </c>
      <c r="D40" s="50">
        <f>VLOOKUP(ExtComp[[#This Row],[DEVELOPMENT]],Data[],8,FALSE)</f>
        <v>0</v>
      </c>
      <c r="E40" s="50">
        <f>VLOOKUP(ExtComp[[#This Row],[DEVELOPMENT]],Data[],9,FALSE)</f>
        <v>0</v>
      </c>
      <c r="F40" s="50" t="str">
        <f ca="1">IFERROR(VLOOKUP(ExtComp[[#This Row],[DEVELOPMENT]],Data[],4,FALSE),"")</f>
        <v/>
      </c>
      <c r="G40" s="50" t="str">
        <f ca="1">IF(ExtComp[[#This Row],[RAD/PACT]]="","",IF(ExtComp[[#This Row],[RAD/PACT]]&lt;=2025,"Yes",""))</f>
        <v/>
      </c>
      <c r="H40" s="51" t="str">
        <f ca="1">IF(VLOOKUP(ExtComp[[#This Row],[DEVELOPMENT]],Data[],11,FALSE)=0,"",DATEDIF(VLOOKUP(ExtComp[[#This Row],[DEVELOPMENT]],Data[],13,FALSE),TODAY(),"Y"))</f>
        <v/>
      </c>
      <c r="I4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40" s="47">
        <f ca="1">(ExtComp[[#This Row],['# to Replace]]*'Unit Cost Summary'!$B$6)*(1+((ExtComp[[#This Row],[est. Year]]-YEAR(TODAY()))*$J$2))</f>
        <v>0</v>
      </c>
      <c r="K40" s="51">
        <f ca="1">SUM(INDEX(ExtComp['# to Replace],1):ExtComp[[#This Row],['# to Replace]])</f>
        <v>32</v>
      </c>
      <c r="L40" s="51">
        <f ca="1">ROUNDDOWN(ExtComp[[#This Row],[Count]]/50,0)+$L$1</f>
        <v>2020</v>
      </c>
      <c r="M40" s="64">
        <f t="shared" ca="1" si="0"/>
        <v>6041568</v>
      </c>
      <c r="N40" s="64" t="str">
        <f>IFERROR(VLOOKUP(ExtComp[[#This Row],[DEVELOPMENT]],Data[],22,FALSE),"")</f>
        <v/>
      </c>
      <c r="O40" s="71" t="str">
        <f>IFERROR(VLOOKUP(ExtComp[[#This Row],[DEVELOPMENT]],Data[],23,FALSE),"")</f>
        <v/>
      </c>
    </row>
    <row r="41" spans="1:15">
      <c r="A41" s="13" t="s">
        <v>219</v>
      </c>
      <c r="B41" s="9" t="str">
        <f>VLOOKUP(A41,Data[],2,FALSE)</f>
        <v>BROOKLYN</v>
      </c>
      <c r="C41" s="9" t="s">
        <v>68</v>
      </c>
      <c r="D41" s="50">
        <f>VLOOKUP(ExtComp[[#This Row],[DEVELOPMENT]],Data[],8,FALSE)</f>
        <v>0</v>
      </c>
      <c r="E41" s="50">
        <f>VLOOKUP(ExtComp[[#This Row],[DEVELOPMENT]],Data[],9,FALSE)</f>
        <v>0</v>
      </c>
      <c r="F41" s="50" t="str">
        <f ca="1">IFERROR(VLOOKUP(ExtComp[[#This Row],[DEVELOPMENT]],Data[],4,FALSE),"")</f>
        <v>2026+</v>
      </c>
      <c r="G41" s="50" t="str">
        <f ca="1">IF(ExtComp[[#This Row],[RAD/PACT]]="","",IF(ExtComp[[#This Row],[RAD/PACT]]&lt;=2025,"Yes",""))</f>
        <v/>
      </c>
      <c r="H41" s="51" t="str">
        <f ca="1">IF(VLOOKUP(ExtComp[[#This Row],[DEVELOPMENT]],Data[],11,FALSE)=0,"",DATEDIF(VLOOKUP(ExtComp[[#This Row],[DEVELOPMENT]],Data[],13,FALSE),TODAY(),"Y"))</f>
        <v/>
      </c>
      <c r="I41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41" s="47">
        <f ca="1">(ExtComp[[#This Row],['# to Replace]]*'Unit Cost Summary'!$B$6)*(1+((ExtComp[[#This Row],[est. Year]]-YEAR(TODAY()))*$J$2))</f>
        <v>0</v>
      </c>
      <c r="K41" s="51">
        <f ca="1">SUM(INDEX(ExtComp['# to Replace],1):ExtComp[[#This Row],['# to Replace]])</f>
        <v>32</v>
      </c>
      <c r="L41" s="51">
        <f ca="1">ROUNDDOWN(ExtComp[[#This Row],[Count]]/50,0)+$L$1</f>
        <v>2020</v>
      </c>
      <c r="M41" s="64">
        <f t="shared" ca="1" si="0"/>
        <v>6041568</v>
      </c>
      <c r="N41" s="64" t="str">
        <f>IFERROR(VLOOKUP(ExtComp[[#This Row],[DEVELOPMENT]],Data[],22,FALSE),"")</f>
        <v/>
      </c>
      <c r="O41" s="71" t="str">
        <f>IFERROR(VLOOKUP(ExtComp[[#This Row],[DEVELOPMENT]],Data[],23,FALSE),"")</f>
        <v/>
      </c>
    </row>
    <row r="42" spans="1:15">
      <c r="A42" s="13" t="s">
        <v>218</v>
      </c>
      <c r="B42" s="9" t="str">
        <f>VLOOKUP(A42,Data[],2,FALSE)</f>
        <v>BROOKLYN</v>
      </c>
      <c r="C42" s="9" t="s">
        <v>68</v>
      </c>
      <c r="D42" s="50">
        <f>VLOOKUP(ExtComp[[#This Row],[DEVELOPMENT]],Data[],8,FALSE)</f>
        <v>0</v>
      </c>
      <c r="E42" s="50">
        <f>VLOOKUP(ExtComp[[#This Row],[DEVELOPMENT]],Data[],9,FALSE)</f>
        <v>0</v>
      </c>
      <c r="F42" s="50" t="str">
        <f ca="1">IFERROR(VLOOKUP(ExtComp[[#This Row],[DEVELOPMENT]],Data[],4,FALSE),"")</f>
        <v>2026+</v>
      </c>
      <c r="G42" s="50" t="str">
        <f ca="1">IF(ExtComp[[#This Row],[RAD/PACT]]="","",IF(ExtComp[[#This Row],[RAD/PACT]]&lt;=2025,"Yes",""))</f>
        <v/>
      </c>
      <c r="H42" s="51" t="str">
        <f ca="1">IF(VLOOKUP(ExtComp[[#This Row],[DEVELOPMENT]],Data[],11,FALSE)=0,"",DATEDIF(VLOOKUP(ExtComp[[#This Row],[DEVELOPMENT]],Data[],13,FALSE),TODAY(),"Y"))</f>
        <v/>
      </c>
      <c r="I4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42" s="47">
        <f ca="1">(ExtComp[[#This Row],['# to Replace]]*'Unit Cost Summary'!$B$6)*(1+((ExtComp[[#This Row],[est. Year]]-YEAR(TODAY()))*$J$2))</f>
        <v>0</v>
      </c>
      <c r="K42" s="51">
        <f ca="1">SUM(INDEX(ExtComp['# to Replace],1):ExtComp[[#This Row],['# to Replace]])</f>
        <v>32</v>
      </c>
      <c r="L42" s="51">
        <f ca="1">ROUNDDOWN(ExtComp[[#This Row],[Count]]/50,0)+$L$1</f>
        <v>2020</v>
      </c>
      <c r="M42" s="64">
        <f t="shared" ca="1" si="0"/>
        <v>6041568</v>
      </c>
      <c r="N42" s="64" t="str">
        <f>IFERROR(VLOOKUP(ExtComp[[#This Row],[DEVELOPMENT]],Data[],22,FALSE),"")</f>
        <v/>
      </c>
      <c r="O42" s="71" t="str">
        <f>IFERROR(VLOOKUP(ExtComp[[#This Row],[DEVELOPMENT]],Data[],23,FALSE),"")</f>
        <v/>
      </c>
    </row>
    <row r="43" spans="1:15">
      <c r="A43" s="13" t="s">
        <v>99</v>
      </c>
      <c r="B43" s="1" t="str">
        <f>VLOOKUP(A43,Data[],2,FALSE)</f>
        <v>BRONX</v>
      </c>
      <c r="C43" s="9" t="s">
        <v>68</v>
      </c>
      <c r="D43" s="9" t="str">
        <f>VLOOKUP(ExtComp[[#This Row],[DEVELOPMENT]],Data[],8,FALSE)</f>
        <v>Zone 3</v>
      </c>
      <c r="E43" s="9">
        <f>VLOOKUP(ExtComp[[#This Row],[DEVELOPMENT]],Data[],9,FALSE)</f>
        <v>4</v>
      </c>
      <c r="F43" s="9" t="str">
        <f ca="1">IFERROR(VLOOKUP(ExtComp[[#This Row],[DEVELOPMENT]],Data[],4,FALSE),"")</f>
        <v>2026+</v>
      </c>
      <c r="G43" s="9" t="str">
        <f ca="1">IF(ExtComp[[#This Row],[RAD/PACT]]="","",IF(ExtComp[[#This Row],[RAD/PACT]]&lt;=2025,"Yes",""))</f>
        <v/>
      </c>
      <c r="H43" s="1" t="str">
        <f ca="1">IF(VLOOKUP(ExtComp[[#This Row],[DEVELOPMENT]],Data[],11,FALSE)=0,"",DATEDIF(VLOOKUP(ExtComp[[#This Row],[DEVELOPMENT]],Data[],13,FALSE),TODAY(),"Y"))</f>
        <v/>
      </c>
      <c r="I43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43" s="47">
        <f ca="1">(ExtComp[[#This Row],['# to Replace]]*'Unit Cost Summary'!$B$6)*(1+((ExtComp[[#This Row],[est. Year]]-YEAR(TODAY()))*$J$2))</f>
        <v>0</v>
      </c>
      <c r="K43" s="1">
        <f ca="1">SUM(INDEX(ExtComp['# to Replace],1):ExtComp[[#This Row],['# to Replace]])</f>
        <v>32</v>
      </c>
      <c r="L43" s="1">
        <f ca="1">ROUNDDOWN(ExtComp[[#This Row],[Count]]/50,0)+$L$1</f>
        <v>2020</v>
      </c>
      <c r="M43" s="64">
        <f t="shared" ca="1" si="0"/>
        <v>6041568</v>
      </c>
      <c r="N43" s="64" t="str">
        <f>IFERROR(VLOOKUP(ExtComp[[#This Row],[DEVELOPMENT]],Data[],22,FALSE),"")</f>
        <v/>
      </c>
      <c r="O43" s="51" t="str">
        <f>IFERROR(VLOOKUP(ExtComp[[#This Row],[DEVELOPMENT]],Data[],23,FALSE),"")</f>
        <v/>
      </c>
    </row>
    <row r="44" spans="1:15">
      <c r="A44" s="13" t="s">
        <v>98</v>
      </c>
      <c r="B44" s="1" t="str">
        <f>VLOOKUP(A44,Data[],2,FALSE)</f>
        <v>BRONX</v>
      </c>
      <c r="C44" s="9" t="s">
        <v>68</v>
      </c>
      <c r="D44" s="9" t="str">
        <f>VLOOKUP(ExtComp[[#This Row],[DEVELOPMENT]],Data[],8,FALSE)</f>
        <v>Zone 3</v>
      </c>
      <c r="E44" s="9">
        <f>VLOOKUP(ExtComp[[#This Row],[DEVELOPMENT]],Data[],9,FALSE)</f>
        <v>4</v>
      </c>
      <c r="F44" s="9" t="str">
        <f ca="1">IFERROR(VLOOKUP(ExtComp[[#This Row],[DEVELOPMENT]],Data[],4,FALSE),"")</f>
        <v>2026+</v>
      </c>
      <c r="G44" s="9" t="str">
        <f ca="1">IF(ExtComp[[#This Row],[RAD/PACT]]="","",IF(ExtComp[[#This Row],[RAD/PACT]]&lt;=2025,"Yes",""))</f>
        <v/>
      </c>
      <c r="H44" s="1" t="str">
        <f ca="1">IF(VLOOKUP(ExtComp[[#This Row],[DEVELOPMENT]],Data[],11,FALSE)=0,"",DATEDIF(VLOOKUP(ExtComp[[#This Row],[DEVELOPMENT]],Data[],13,FALSE),TODAY(),"Y"))</f>
        <v/>
      </c>
      <c r="I44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44" s="47">
        <f ca="1">(ExtComp[[#This Row],['# to Replace]]*'Unit Cost Summary'!$B$6)*(1+((ExtComp[[#This Row],[est. Year]]-YEAR(TODAY()))*$J$2))</f>
        <v>0</v>
      </c>
      <c r="K44" s="1">
        <f ca="1">SUM(INDEX(ExtComp['# to Replace],1):ExtComp[[#This Row],['# to Replace]])</f>
        <v>32</v>
      </c>
      <c r="L44" s="1">
        <f ca="1">ROUNDDOWN(ExtComp[[#This Row],[Count]]/50,0)+$L$1</f>
        <v>2020</v>
      </c>
      <c r="M44" s="64">
        <f t="shared" ca="1" si="0"/>
        <v>6041568</v>
      </c>
      <c r="N44" s="64" t="str">
        <f>IFERROR(VLOOKUP(ExtComp[[#This Row],[DEVELOPMENT]],Data[],22,FALSE),"")</f>
        <v/>
      </c>
      <c r="O44" s="51" t="str">
        <f>IFERROR(VLOOKUP(ExtComp[[#This Row],[DEVELOPMENT]],Data[],23,FALSE),"")</f>
        <v/>
      </c>
    </row>
    <row r="45" spans="1:15">
      <c r="A45" s="65" t="s">
        <v>51</v>
      </c>
      <c r="B45" s="1" t="str">
        <f>VLOOKUP(A45,Data[],2,FALSE)</f>
        <v>MANHATTAN</v>
      </c>
      <c r="C45" s="9" t="s">
        <v>68</v>
      </c>
      <c r="D45" s="9" t="str">
        <f>VLOOKUP(ExtComp[[#This Row],[DEVELOPMENT]],Data[],8,FALSE)</f>
        <v>Zone 1</v>
      </c>
      <c r="E45" s="9">
        <f>VLOOKUP(ExtComp[[#This Row],[DEVELOPMENT]],Data[],9,FALSE)</f>
        <v>4</v>
      </c>
      <c r="F45" s="9" t="str">
        <f ca="1">IFERROR(VLOOKUP(ExtComp[[#This Row],[DEVELOPMENT]],Data[],4,FALSE),"")</f>
        <v/>
      </c>
      <c r="G45" s="9" t="str">
        <f ca="1">IF(ExtComp[[#This Row],[RAD/PACT]]="","",IF(ExtComp[[#This Row],[RAD/PACT]]&lt;=2025,"Yes",""))</f>
        <v/>
      </c>
      <c r="H45" s="1" t="str">
        <f ca="1">IF(VLOOKUP(ExtComp[[#This Row],[DEVELOPMENT]],Data[],11,FALSE)=0,"",DATEDIF(VLOOKUP(ExtComp[[#This Row],[DEVELOPMENT]],Data[],13,FALSE),TODAY(),"Y"))</f>
        <v/>
      </c>
      <c r="I45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45" s="47">
        <f ca="1">(ExtComp[[#This Row],['# to Replace]]*'Unit Cost Summary'!$B$6)*(1+((ExtComp[[#This Row],[est. Year]]-YEAR(TODAY()))*$J$2))</f>
        <v>0</v>
      </c>
      <c r="K45" s="1">
        <f ca="1">SUM(INDEX(ExtComp['# to Replace],1):ExtComp[[#This Row],['# to Replace]])</f>
        <v>32</v>
      </c>
      <c r="L45" s="1">
        <f ca="1">ROUNDDOWN(ExtComp[[#This Row],[Count]]/50,0)+$L$1</f>
        <v>2020</v>
      </c>
      <c r="M45" s="64">
        <f t="shared" ca="1" si="0"/>
        <v>6041568</v>
      </c>
      <c r="N45" s="64" t="str">
        <f>IFERROR(VLOOKUP(ExtComp[[#This Row],[DEVELOPMENT]],Data[],22,FALSE),"")</f>
        <v/>
      </c>
      <c r="O45" s="51" t="str">
        <f>IFERROR(VLOOKUP(ExtComp[[#This Row],[DEVELOPMENT]],Data[],23,FALSE),"")</f>
        <v/>
      </c>
    </row>
    <row r="46" spans="1:15">
      <c r="A46" s="65" t="s">
        <v>138</v>
      </c>
      <c r="B46" s="1" t="str">
        <f>VLOOKUP(A46,Data[],2,FALSE)</f>
        <v>BRONX</v>
      </c>
      <c r="C46" s="9" t="s">
        <v>68</v>
      </c>
      <c r="D46" s="9" t="str">
        <f>VLOOKUP(ExtComp[[#This Row],[DEVELOPMENT]],Data[],8,FALSE)</f>
        <v>Zone 1</v>
      </c>
      <c r="E46" s="9">
        <f>VLOOKUP(ExtComp[[#This Row],[DEVELOPMENT]],Data[],9,FALSE)</f>
        <v>4</v>
      </c>
      <c r="F46" s="9" t="str">
        <f ca="1">IFERROR(VLOOKUP(ExtComp[[#This Row],[DEVELOPMENT]],Data[],4,FALSE),"")</f>
        <v/>
      </c>
      <c r="G46" s="9" t="str">
        <f ca="1">IF(ExtComp[[#This Row],[RAD/PACT]]="","",IF(ExtComp[[#This Row],[RAD/PACT]]&lt;=2025,"Yes",""))</f>
        <v/>
      </c>
      <c r="H46" s="1" t="str">
        <f ca="1">IF(VLOOKUP(ExtComp[[#This Row],[DEVELOPMENT]],Data[],11,FALSE)=0,"",DATEDIF(VLOOKUP(ExtComp[[#This Row],[DEVELOPMENT]],Data[],13,FALSE),TODAY(),"Y"))</f>
        <v/>
      </c>
      <c r="I46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46" s="47">
        <f ca="1">(ExtComp[[#This Row],['# to Replace]]*'Unit Cost Summary'!$B$6)*(1+((ExtComp[[#This Row],[est. Year]]-YEAR(TODAY()))*$J$2))</f>
        <v>0</v>
      </c>
      <c r="K46" s="1">
        <f ca="1">SUM(INDEX(ExtComp['# to Replace],1):ExtComp[[#This Row],['# to Replace]])</f>
        <v>32</v>
      </c>
      <c r="L46" s="1">
        <f ca="1">ROUNDDOWN(ExtComp[[#This Row],[Count]]/50,0)+$L$1</f>
        <v>2020</v>
      </c>
      <c r="M46" s="64">
        <f t="shared" ca="1" si="0"/>
        <v>6041568</v>
      </c>
      <c r="N46" s="64" t="str">
        <f>IFERROR(VLOOKUP(ExtComp[[#This Row],[DEVELOPMENT]],Data[],22,FALSE),"")</f>
        <v/>
      </c>
      <c r="O46" s="51" t="str">
        <f>IFERROR(VLOOKUP(ExtComp[[#This Row],[DEVELOPMENT]],Data[],23,FALSE),"")</f>
        <v/>
      </c>
    </row>
    <row r="47" spans="1:15">
      <c r="A47" s="65" t="s">
        <v>46</v>
      </c>
      <c r="B47" s="1" t="str">
        <f>VLOOKUP(A47,Data[],2,FALSE)</f>
        <v>BROOKLYN</v>
      </c>
      <c r="C47" s="9" t="s">
        <v>68</v>
      </c>
      <c r="D47" s="9" t="str">
        <f>VLOOKUP(ExtComp[[#This Row],[DEVELOPMENT]],Data[],8,FALSE)</f>
        <v>Zone 1</v>
      </c>
      <c r="E47" s="9">
        <f>VLOOKUP(ExtComp[[#This Row],[DEVELOPMENT]],Data[],9,FALSE)</f>
        <v>4</v>
      </c>
      <c r="F47" s="9" t="str">
        <f ca="1">IFERROR(VLOOKUP(ExtComp[[#This Row],[DEVELOPMENT]],Data[],4,FALSE),"")</f>
        <v>2026+</v>
      </c>
      <c r="G47" s="9" t="str">
        <f ca="1">IF(ExtComp[[#This Row],[RAD/PACT]]="","",IF(ExtComp[[#This Row],[RAD/PACT]]&lt;=2025,"Yes",""))</f>
        <v/>
      </c>
      <c r="H47" s="1">
        <f ca="1">IF(VLOOKUP(ExtComp[[#This Row],[DEVELOPMENT]],Data[],11,FALSE)=0,"",DATEDIF(VLOOKUP(ExtComp[[#This Row],[DEVELOPMENT]],Data[],13,FALSE),TODAY(),"Y"))</f>
        <v>1</v>
      </c>
      <c r="I47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47" s="47">
        <f ca="1">(ExtComp[[#This Row],['# to Replace]]*'Unit Cost Summary'!$B$6)*(1+((ExtComp[[#This Row],[est. Year]]-YEAR(TODAY()))*$J$2))</f>
        <v>377598</v>
      </c>
      <c r="K47" s="1">
        <f ca="1">SUM(INDEX(ExtComp['# to Replace],1):ExtComp[[#This Row],['# to Replace]])</f>
        <v>34</v>
      </c>
      <c r="L47" s="1">
        <f ca="1">ROUNDDOWN(ExtComp[[#This Row],[Count]]/50,0)+$L$1</f>
        <v>2020</v>
      </c>
      <c r="M47" s="64">
        <f t="shared" ca="1" si="0"/>
        <v>6419166</v>
      </c>
      <c r="N47" s="64" t="str">
        <f>IFERROR(VLOOKUP(ExtComp[[#This Row],[DEVELOPMENT]],Data[],22,FALSE),"")</f>
        <v/>
      </c>
      <c r="O47" s="71" t="str">
        <f>IFERROR(VLOOKUP(ExtComp[[#This Row],[DEVELOPMENT]],Data[],23,FALSE),"")</f>
        <v/>
      </c>
    </row>
    <row r="48" spans="1:15">
      <c r="A48" s="13" t="s">
        <v>288</v>
      </c>
      <c r="B48" s="9" t="str">
        <f>VLOOKUP(A48,Data[],2,FALSE)</f>
        <v>STATEN ISLAND</v>
      </c>
      <c r="C48" s="9" t="s">
        <v>68</v>
      </c>
      <c r="D48" s="50">
        <f>VLOOKUP(ExtComp[[#This Row],[DEVELOPMENT]],Data[],8,FALSE)</f>
        <v>0</v>
      </c>
      <c r="E48" s="50">
        <f>VLOOKUP(ExtComp[[#This Row],[DEVELOPMENT]],Data[],9,FALSE)</f>
        <v>0</v>
      </c>
      <c r="F48" s="50" t="str">
        <f ca="1">IFERROR(VLOOKUP(ExtComp[[#This Row],[DEVELOPMENT]],Data[],4,FALSE),"")</f>
        <v/>
      </c>
      <c r="G48" s="50" t="str">
        <f ca="1">IF(ExtComp[[#This Row],[RAD/PACT]]="","",IF(ExtComp[[#This Row],[RAD/PACT]]&lt;=2025,"Yes",""))</f>
        <v/>
      </c>
      <c r="H48" s="51" t="str">
        <f ca="1">IF(VLOOKUP(ExtComp[[#This Row],[DEVELOPMENT]],Data[],11,FALSE)=0,"",DATEDIF(VLOOKUP(ExtComp[[#This Row],[DEVELOPMENT]],Data[],13,FALSE),TODAY(),"Y"))</f>
        <v/>
      </c>
      <c r="I4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48" s="47">
        <f ca="1">(ExtComp[[#This Row],['# to Replace]]*'Unit Cost Summary'!$B$6)*(1+((ExtComp[[#This Row],[est. Year]]-YEAR(TODAY()))*$J$2))</f>
        <v>0</v>
      </c>
      <c r="K48" s="51">
        <f ca="1">SUM(INDEX(ExtComp['# to Replace],1):ExtComp[[#This Row],['# to Replace]])</f>
        <v>34</v>
      </c>
      <c r="L48" s="51">
        <f ca="1">ROUNDDOWN(ExtComp[[#This Row],[Count]]/50,0)+$L$1</f>
        <v>2020</v>
      </c>
      <c r="M48" s="64">
        <f t="shared" ca="1" si="0"/>
        <v>6419166</v>
      </c>
      <c r="N48" s="64" t="str">
        <f>IFERROR(VLOOKUP(ExtComp[[#This Row],[DEVELOPMENT]],Data[],22,FALSE),"")</f>
        <v/>
      </c>
      <c r="O48" s="71" t="str">
        <f>IFERROR(VLOOKUP(ExtComp[[#This Row],[DEVELOPMENT]],Data[],23,FALSE),"")</f>
        <v/>
      </c>
    </row>
    <row r="49" spans="1:15">
      <c r="A49" s="13" t="s">
        <v>270</v>
      </c>
      <c r="B49" s="9" t="str">
        <f>VLOOKUP(A49,Data[],2,FALSE)</f>
        <v>BROOKLYN</v>
      </c>
      <c r="C49" s="9" t="s">
        <v>68</v>
      </c>
      <c r="D49" s="50">
        <f>VLOOKUP(ExtComp[[#This Row],[DEVELOPMENT]],Data[],8,FALSE)</f>
        <v>0</v>
      </c>
      <c r="E49" s="50">
        <f>VLOOKUP(ExtComp[[#This Row],[DEVELOPMENT]],Data[],9,FALSE)</f>
        <v>0</v>
      </c>
      <c r="F49" s="50" t="str">
        <f ca="1">IFERROR(VLOOKUP(ExtComp[[#This Row],[DEVELOPMENT]],Data[],4,FALSE),"")</f>
        <v/>
      </c>
      <c r="G49" s="50" t="str">
        <f ca="1">IF(ExtComp[[#This Row],[RAD/PACT]]="","",IF(ExtComp[[#This Row],[RAD/PACT]]&lt;=2025,"Yes",""))</f>
        <v/>
      </c>
      <c r="H49" s="51">
        <f ca="1">IF(VLOOKUP(ExtComp[[#This Row],[DEVELOPMENT]],Data[],11,FALSE)=0,"",DATEDIF(VLOOKUP(ExtComp[[#This Row],[DEVELOPMENT]],Data[],13,FALSE),TODAY(),"Y"))</f>
        <v>12</v>
      </c>
      <c r="I49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49" s="47">
        <f ca="1">(ExtComp[[#This Row],['# to Replace]]*'Unit Cost Summary'!$B$6)*(1+((ExtComp[[#This Row],[est. Year]]-YEAR(TODAY()))*$J$2))</f>
        <v>377598</v>
      </c>
      <c r="K49" s="51">
        <f ca="1">SUM(INDEX(ExtComp['# to Replace],1):ExtComp[[#This Row],['# to Replace]])</f>
        <v>36</v>
      </c>
      <c r="L49" s="51">
        <f ca="1">ROUNDDOWN(ExtComp[[#This Row],[Count]]/50,0)+$L$1</f>
        <v>2020</v>
      </c>
      <c r="M49" s="64">
        <f t="shared" ca="1" si="0"/>
        <v>6796764</v>
      </c>
      <c r="N49" s="64" t="str">
        <f>IFERROR(VLOOKUP(ExtComp[[#This Row],[DEVELOPMENT]],Data[],22,FALSE),"")</f>
        <v/>
      </c>
      <c r="O49" s="71" t="str">
        <f>IFERROR(VLOOKUP(ExtComp[[#This Row],[DEVELOPMENT]],Data[],23,FALSE),"")</f>
        <v/>
      </c>
    </row>
    <row r="50" spans="1:15">
      <c r="A50" s="13" t="s">
        <v>225</v>
      </c>
      <c r="B50" s="9" t="str">
        <f>VLOOKUP(A50,Data[],2,FALSE)</f>
        <v>BRONX</v>
      </c>
      <c r="C50" s="9"/>
      <c r="D50" s="50">
        <f>VLOOKUP(ExtComp[[#This Row],[DEVELOPMENT]],Data[],8,FALSE)</f>
        <v>0</v>
      </c>
      <c r="E50" s="50">
        <f>VLOOKUP(ExtComp[[#This Row],[DEVELOPMENT]],Data[],9,FALSE)</f>
        <v>0</v>
      </c>
      <c r="F50" s="50" t="str">
        <f ca="1">IFERROR(VLOOKUP(ExtComp[[#This Row],[DEVELOPMENT]],Data[],4,FALSE),"")</f>
        <v>2020-2021</v>
      </c>
      <c r="G50" s="50" t="str">
        <f ca="1">IF(ExtComp[[#This Row],[RAD/PACT]]="","",IF(ExtComp[[#This Row],[RAD/PACT]]&lt;=2025,"Yes",""))</f>
        <v/>
      </c>
      <c r="H50" s="51" t="str">
        <f ca="1">IF(VLOOKUP(ExtComp[[#This Row],[DEVELOPMENT]],Data[],11,FALSE)=0,"",DATEDIF(VLOOKUP(ExtComp[[#This Row],[DEVELOPMENT]],Data[],13,FALSE),TODAY(),"Y"))</f>
        <v/>
      </c>
      <c r="I5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50" s="47">
        <f ca="1">(ExtComp[[#This Row],['# to Replace]]*'Unit Cost Summary'!$B$6)*(1+((ExtComp[[#This Row],[est. Year]]-YEAR(TODAY()))*$J$2))</f>
        <v>0</v>
      </c>
      <c r="K50" s="51">
        <f ca="1">SUM(INDEX(ExtComp['# to Replace],1):ExtComp[[#This Row],['# to Replace]])</f>
        <v>36</v>
      </c>
      <c r="L50" s="51">
        <f ca="1">ROUNDDOWN(ExtComp[[#This Row],[Count]]/50,0)+$L$1</f>
        <v>2020</v>
      </c>
      <c r="M50" s="64">
        <f t="shared" ca="1" si="0"/>
        <v>6796764</v>
      </c>
      <c r="N50" s="64" t="str">
        <f>IFERROR(VLOOKUP(ExtComp[[#This Row],[DEVELOPMENT]],Data[],22,FALSE),"")</f>
        <v/>
      </c>
      <c r="O50" s="71" t="str">
        <f>IFERROR(VLOOKUP(ExtComp[[#This Row],[DEVELOPMENT]],Data[],23,FALSE),"")</f>
        <v/>
      </c>
    </row>
    <row r="51" spans="1:15">
      <c r="A51" s="13" t="s">
        <v>217</v>
      </c>
      <c r="B51" s="9" t="str">
        <f>VLOOKUP(A51,Data[],2,FALSE)</f>
        <v>BRONX</v>
      </c>
      <c r="C51" s="9"/>
      <c r="D51" s="50">
        <f>VLOOKUP(ExtComp[[#This Row],[DEVELOPMENT]],Data[],8,FALSE)</f>
        <v>0</v>
      </c>
      <c r="E51" s="50">
        <f>VLOOKUP(ExtComp[[#This Row],[DEVELOPMENT]],Data[],9,FALSE)</f>
        <v>0</v>
      </c>
      <c r="F51" s="50" t="str">
        <f ca="1">IFERROR(VLOOKUP(ExtComp[[#This Row],[DEVELOPMENT]],Data[],4,FALSE),"")</f>
        <v>2020-2021</v>
      </c>
      <c r="G51" s="50" t="str">
        <f ca="1">IF(ExtComp[[#This Row],[RAD/PACT]]="","",IF(ExtComp[[#This Row],[RAD/PACT]]&lt;=2025,"Yes",""))</f>
        <v/>
      </c>
      <c r="H51" s="51">
        <f ca="1">IF(VLOOKUP(ExtComp[[#This Row],[DEVELOPMENT]],Data[],11,FALSE)=0,"",DATEDIF(VLOOKUP(ExtComp[[#This Row],[DEVELOPMENT]],Data[],13,FALSE),TODAY(),"Y"))</f>
        <v>2</v>
      </c>
      <c r="I51" s="51">
        <f ca="1">IF(ExtComp[[#This Row],[RAD/PACT]]="",VLOOKUP(ExtComp[[#This Row],[DEVELOPMENT]],Data[],11,FALSE),IF(ExtComp[[#This Row],[RAD/PACT by 2025]]="yes",0,VLOOKUP(ExtComp[[#This Row],[DEVELOPMENT]],Data[],11,FALSE)))</f>
        <v>6</v>
      </c>
      <c r="J51" s="47">
        <f ca="1">(ExtComp[[#This Row],['# to Replace]]*'Unit Cost Summary'!$B$6)*(1+((ExtComp[[#This Row],[est. Year]]-YEAR(TODAY()))*$J$2))</f>
        <v>1132794</v>
      </c>
      <c r="K51" s="51">
        <f ca="1">SUM(INDEX(ExtComp['# to Replace],1):ExtComp[[#This Row],['# to Replace]])</f>
        <v>42</v>
      </c>
      <c r="L51" s="51">
        <f ca="1">ROUNDDOWN(ExtComp[[#This Row],[Count]]/50,0)+$L$1</f>
        <v>2020</v>
      </c>
      <c r="M51" s="64">
        <f t="shared" ca="1" si="0"/>
        <v>7929558</v>
      </c>
      <c r="N51" s="64" t="str">
        <f>IFERROR(VLOOKUP(ExtComp[[#This Row],[DEVELOPMENT]],Data[],22,FALSE),"")</f>
        <v/>
      </c>
      <c r="O51" s="71" t="str">
        <f>IFERROR(VLOOKUP(ExtComp[[#This Row],[DEVELOPMENT]],Data[],23,FALSE),"")</f>
        <v/>
      </c>
    </row>
    <row r="52" spans="1:15">
      <c r="A52" s="13" t="s">
        <v>371</v>
      </c>
      <c r="B52" s="9" t="str">
        <f>VLOOKUP(A52,Data[],2,FALSE)</f>
        <v>MANHATTAN</v>
      </c>
      <c r="C52" s="9" t="s">
        <v>68</v>
      </c>
      <c r="D52" s="50" t="str">
        <f>VLOOKUP(ExtComp[[#This Row],[DEVELOPMENT]],Data[],8,FALSE)</f>
        <v>Zone 4</v>
      </c>
      <c r="E52" s="50">
        <f>VLOOKUP(ExtComp[[#This Row],[DEVELOPMENT]],Data[],9,FALSE)</f>
        <v>0</v>
      </c>
      <c r="F52" s="50" t="str">
        <f ca="1">IFERROR(VLOOKUP(ExtComp[[#This Row],[DEVELOPMENT]],Data[],4,FALSE),"")</f>
        <v/>
      </c>
      <c r="G52" s="50" t="str">
        <f ca="1">IF(ExtComp[[#This Row],[RAD/PACT]]="","",IF(ExtComp[[#This Row],[RAD/PACT]]&lt;=2025,"Yes",""))</f>
        <v/>
      </c>
      <c r="H52" s="51" t="str">
        <f ca="1">IF(VLOOKUP(ExtComp[[#This Row],[DEVELOPMENT]],Data[],11,FALSE)=0,"",DATEDIF(VLOOKUP(ExtComp[[#This Row],[DEVELOPMENT]],Data[],13,FALSE),TODAY(),"Y"))</f>
        <v/>
      </c>
      <c r="I5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52" s="47">
        <f ca="1">(ExtComp[[#This Row],['# to Replace]]*'Unit Cost Summary'!$B$6)*(1+((ExtComp[[#This Row],[est. Year]]-YEAR(TODAY()))*$J$2))</f>
        <v>0</v>
      </c>
      <c r="K52" s="51">
        <f ca="1">SUM(INDEX(ExtComp['# to Replace],1):ExtComp[[#This Row],['# to Replace]])</f>
        <v>42</v>
      </c>
      <c r="L52" s="51">
        <f ca="1">ROUNDDOWN(ExtComp[[#This Row],[Count]]/50,0)+$L$1</f>
        <v>2020</v>
      </c>
      <c r="M52" s="64">
        <f t="shared" ca="1" si="0"/>
        <v>7929558</v>
      </c>
      <c r="N52" s="64" t="str">
        <f>IFERROR(VLOOKUP(ExtComp[[#This Row],[DEVELOPMENT]],Data[],22,FALSE),"")</f>
        <v/>
      </c>
      <c r="O52" s="71" t="str">
        <f>IFERROR(VLOOKUP(ExtComp[[#This Row],[DEVELOPMENT]],Data[],23,FALSE),"")</f>
        <v/>
      </c>
    </row>
    <row r="53" spans="1:15">
      <c r="A53" s="65" t="s">
        <v>149</v>
      </c>
      <c r="B53" s="1" t="str">
        <f>VLOOKUP(A53,Data[],2,FALSE)</f>
        <v>BRONX</v>
      </c>
      <c r="C53" s="9" t="s">
        <v>68</v>
      </c>
      <c r="D53" s="9" t="str">
        <f>VLOOKUP(ExtComp[[#This Row],[DEVELOPMENT]],Data[],8,FALSE)</f>
        <v>Zone 1</v>
      </c>
      <c r="E53" s="9">
        <f>VLOOKUP(ExtComp[[#This Row],[DEVELOPMENT]],Data[],9,FALSE)</f>
        <v>4</v>
      </c>
      <c r="F53" s="9" t="str">
        <f ca="1">IFERROR(VLOOKUP(ExtComp[[#This Row],[DEVELOPMENT]],Data[],4,FALSE),"")</f>
        <v>2022-2025</v>
      </c>
      <c r="G53" s="9" t="str">
        <f ca="1">IF(ExtComp[[#This Row],[RAD/PACT]]="","",IF(ExtComp[[#This Row],[RAD/PACT]]&lt;=2025,"Yes",""))</f>
        <v/>
      </c>
      <c r="H53" s="1" t="str">
        <f ca="1">IF(VLOOKUP(ExtComp[[#This Row],[DEVELOPMENT]],Data[],11,FALSE)=0,"",DATEDIF(VLOOKUP(ExtComp[[#This Row],[DEVELOPMENT]],Data[],13,FALSE),TODAY(),"Y"))</f>
        <v/>
      </c>
      <c r="I53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53" s="47">
        <f ca="1">(ExtComp[[#This Row],['# to Replace]]*'Unit Cost Summary'!$B$6)*(1+((ExtComp[[#This Row],[est. Year]]-YEAR(TODAY()))*$J$2))</f>
        <v>0</v>
      </c>
      <c r="K53" s="1">
        <f ca="1">SUM(INDEX(ExtComp['# to Replace],1):ExtComp[[#This Row],['# to Replace]])</f>
        <v>42</v>
      </c>
      <c r="L53" s="1">
        <f ca="1">ROUNDDOWN(ExtComp[[#This Row],[Count]]/50,0)+$L$1</f>
        <v>2020</v>
      </c>
      <c r="M53" s="64">
        <f t="shared" ca="1" si="0"/>
        <v>7929558</v>
      </c>
      <c r="N53" s="64" t="str">
        <f>IFERROR(VLOOKUP(ExtComp[[#This Row],[DEVELOPMENT]],Data[],22,FALSE),"")</f>
        <v/>
      </c>
      <c r="O53" s="51" t="str">
        <f>IFERROR(VLOOKUP(ExtComp[[#This Row],[DEVELOPMENT]],Data[],23,FALSE),"")</f>
        <v/>
      </c>
    </row>
    <row r="54" spans="1:15">
      <c r="A54" s="13" t="s">
        <v>370</v>
      </c>
      <c r="B54" s="9" t="str">
        <f>VLOOKUP(A54,Data[],2,FALSE)</f>
        <v>BROOKLYN</v>
      </c>
      <c r="C54" s="9" t="s">
        <v>68</v>
      </c>
      <c r="D54" s="50">
        <f>VLOOKUP(ExtComp[[#This Row],[DEVELOPMENT]],Data[],8,FALSE)</f>
        <v>0</v>
      </c>
      <c r="E54" s="50">
        <f>VLOOKUP(ExtComp[[#This Row],[DEVELOPMENT]],Data[],9,FALSE)</f>
        <v>0</v>
      </c>
      <c r="F54" s="50" t="str">
        <f ca="1">IFERROR(VLOOKUP(ExtComp[[#This Row],[DEVELOPMENT]],Data[],4,FALSE),"")</f>
        <v/>
      </c>
      <c r="G54" s="50" t="str">
        <f ca="1">IF(ExtComp[[#This Row],[RAD/PACT]]="","",IF(ExtComp[[#This Row],[RAD/PACT]]&lt;=2025,"Yes",""))</f>
        <v/>
      </c>
      <c r="H54" s="51">
        <f ca="1">IF(VLOOKUP(ExtComp[[#This Row],[DEVELOPMENT]],Data[],11,FALSE)=0,"",DATEDIF(VLOOKUP(ExtComp[[#This Row],[DEVELOPMENT]],Data[],13,FALSE),TODAY(),"Y"))</f>
        <v>20</v>
      </c>
      <c r="I54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54" s="47">
        <f ca="1">(ExtComp[[#This Row],['# to Replace]]*'Unit Cost Summary'!$B$6)*(1+((ExtComp[[#This Row],[est. Year]]-YEAR(TODAY()))*$J$2))</f>
        <v>377598</v>
      </c>
      <c r="K54" s="51">
        <f ca="1">SUM(INDEX(ExtComp['# to Replace],1):ExtComp[[#This Row],['# to Replace]])</f>
        <v>44</v>
      </c>
      <c r="L54" s="51">
        <f ca="1">ROUNDDOWN(ExtComp[[#This Row],[Count]]/50,0)+$L$1</f>
        <v>2020</v>
      </c>
      <c r="M54" s="64">
        <f t="shared" ca="1" si="0"/>
        <v>8307156</v>
      </c>
      <c r="N54" s="64" t="str">
        <f>IFERROR(VLOOKUP(ExtComp[[#This Row],[DEVELOPMENT]],Data[],22,FALSE),"")</f>
        <v/>
      </c>
      <c r="O54" s="71" t="str">
        <f>IFERROR(VLOOKUP(ExtComp[[#This Row],[DEVELOPMENT]],Data[],23,FALSE),"")</f>
        <v/>
      </c>
    </row>
    <row r="55" spans="1:15">
      <c r="A55" s="13" t="s">
        <v>369</v>
      </c>
      <c r="B55" s="9" t="str">
        <f>VLOOKUP(A55,Data[],2,FALSE)</f>
        <v>BROOKLYN</v>
      </c>
      <c r="C55" s="9"/>
      <c r="D55" s="50">
        <f>VLOOKUP(ExtComp[[#This Row],[DEVELOPMENT]],Data[],8,FALSE)</f>
        <v>0</v>
      </c>
      <c r="E55" s="50">
        <f>VLOOKUP(ExtComp[[#This Row],[DEVELOPMENT]],Data[],9,FALSE)</f>
        <v>0</v>
      </c>
      <c r="F55" s="50" t="str">
        <f ca="1">IFERROR(VLOOKUP(ExtComp[[#This Row],[DEVELOPMENT]],Data[],4,FALSE),"")</f>
        <v>2020-2021</v>
      </c>
      <c r="G55" s="50" t="str">
        <f ca="1">IF(ExtComp[[#This Row],[RAD/PACT]]="","",IF(ExtComp[[#This Row],[RAD/PACT]]&lt;=2025,"Yes",""))</f>
        <v/>
      </c>
      <c r="H55" s="51" t="str">
        <f ca="1">IF(VLOOKUP(ExtComp[[#This Row],[DEVELOPMENT]],Data[],11,FALSE)=0,"",DATEDIF(VLOOKUP(ExtComp[[#This Row],[DEVELOPMENT]],Data[],13,FALSE),TODAY(),"Y"))</f>
        <v/>
      </c>
      <c r="I5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55" s="47">
        <f ca="1">(ExtComp[[#This Row],['# to Replace]]*'Unit Cost Summary'!$B$6)*(1+((ExtComp[[#This Row],[est. Year]]-YEAR(TODAY()))*$J$2))</f>
        <v>0</v>
      </c>
      <c r="K55" s="51">
        <f ca="1">SUM(INDEX(ExtComp['# to Replace],1):ExtComp[[#This Row],['# to Replace]])</f>
        <v>44</v>
      </c>
      <c r="L55" s="51">
        <f ca="1">ROUNDDOWN(ExtComp[[#This Row],[Count]]/50,0)+$L$1</f>
        <v>2020</v>
      </c>
      <c r="M55" s="64">
        <f t="shared" ca="1" si="0"/>
        <v>8307156</v>
      </c>
      <c r="N55" s="64" t="str">
        <f>IFERROR(VLOOKUP(ExtComp[[#This Row],[DEVELOPMENT]],Data[],22,FALSE),"")</f>
        <v/>
      </c>
      <c r="O55" s="71" t="str">
        <f>IFERROR(VLOOKUP(ExtComp[[#This Row],[DEVELOPMENT]],Data[],23,FALSE),"")</f>
        <v/>
      </c>
    </row>
    <row r="56" spans="1:15">
      <c r="A56" s="13" t="s">
        <v>128</v>
      </c>
      <c r="B56" s="1" t="str">
        <f>VLOOKUP(A56,Data[],2,FALSE)</f>
        <v>MANHATTAN</v>
      </c>
      <c r="C56" s="9" t="s">
        <v>68</v>
      </c>
      <c r="D56" s="9" t="str">
        <f>VLOOKUP(ExtComp[[#This Row],[DEVELOPMENT]],Data[],8,FALSE)</f>
        <v>Zone 2</v>
      </c>
      <c r="E56" s="9">
        <f>VLOOKUP(ExtComp[[#This Row],[DEVELOPMENT]],Data[],9,FALSE)</f>
        <v>2</v>
      </c>
      <c r="F56" s="9" t="str">
        <f ca="1">IFERROR(VLOOKUP(ExtComp[[#This Row],[DEVELOPMENT]],Data[],4,FALSE),"")</f>
        <v>2026+</v>
      </c>
      <c r="G56" s="9" t="str">
        <f ca="1">IF(ExtComp[[#This Row],[RAD/PACT]]="","",IF(ExtComp[[#This Row],[RAD/PACT]]&lt;=2025,"Yes",""))</f>
        <v/>
      </c>
      <c r="H56" s="1">
        <f ca="1">IF(VLOOKUP(ExtComp[[#This Row],[DEVELOPMENT]],Data[],11,FALSE)=0,"",DATEDIF(VLOOKUP(ExtComp[[#This Row],[DEVELOPMENT]],Data[],13,FALSE),TODAY(),"Y"))</f>
        <v>2</v>
      </c>
      <c r="I56" s="1">
        <f ca="1">IF(ExtComp[[#This Row],[RAD/PACT]]="",VLOOKUP(ExtComp[[#This Row],[DEVELOPMENT]],Data[],11,FALSE),IF(ExtComp[[#This Row],[RAD/PACT by 2025]]="yes",0,VLOOKUP(ExtComp[[#This Row],[DEVELOPMENT]],Data[],11,FALSE)))</f>
        <v>4</v>
      </c>
      <c r="J56" s="47">
        <f ca="1">(ExtComp[[#This Row],['# to Replace]]*'Unit Cost Summary'!$B$6)*(1+((ExtComp[[#This Row],[est. Year]]-YEAR(TODAY()))*$J$2))</f>
        <v>755196</v>
      </c>
      <c r="K56" s="1">
        <f ca="1">SUM(INDEX(ExtComp['# to Replace],1):ExtComp[[#This Row],['# to Replace]])</f>
        <v>48</v>
      </c>
      <c r="L56" s="1">
        <f ca="1">ROUNDDOWN(ExtComp[[#This Row],[Count]]/50,0)+$L$1</f>
        <v>2020</v>
      </c>
      <c r="M56" s="64">
        <f t="shared" ca="1" si="0"/>
        <v>9062352</v>
      </c>
      <c r="N56" s="64" t="str">
        <f>IFERROR(VLOOKUP(ExtComp[[#This Row],[DEVELOPMENT]],Data[],22,FALSE),"")</f>
        <v/>
      </c>
      <c r="O56" s="71" t="str">
        <f>IFERROR(VLOOKUP(ExtComp[[#This Row],[DEVELOPMENT]],Data[],23,FALSE),"")</f>
        <v/>
      </c>
    </row>
    <row r="57" spans="1:15">
      <c r="A57" s="13" t="s">
        <v>368</v>
      </c>
      <c r="B57" s="9" t="str">
        <f>VLOOKUP(A57,Data[],2,FALSE)</f>
        <v>BROOKLYN</v>
      </c>
      <c r="C57" s="9"/>
      <c r="D57" s="50">
        <f>VLOOKUP(ExtComp[[#This Row],[DEVELOPMENT]],Data[],8,FALSE)</f>
        <v>0</v>
      </c>
      <c r="E57" s="50">
        <f>VLOOKUP(ExtComp[[#This Row],[DEVELOPMENT]],Data[],9,FALSE)</f>
        <v>0</v>
      </c>
      <c r="F57" s="50" t="str">
        <f ca="1">IFERROR(VLOOKUP(ExtComp[[#This Row],[DEVELOPMENT]],Data[],4,FALSE),"")</f>
        <v>2020-2021</v>
      </c>
      <c r="G57" s="50" t="str">
        <f ca="1">IF(ExtComp[[#This Row],[RAD/PACT]]="","",IF(ExtComp[[#This Row],[RAD/PACT]]&lt;=2025,"Yes",""))</f>
        <v/>
      </c>
      <c r="H57" s="51" t="str">
        <f ca="1">IF(VLOOKUP(ExtComp[[#This Row],[DEVELOPMENT]],Data[],11,FALSE)=0,"",DATEDIF(VLOOKUP(ExtComp[[#This Row],[DEVELOPMENT]],Data[],13,FALSE),TODAY(),"Y"))</f>
        <v/>
      </c>
      <c r="I5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57" s="47">
        <f ca="1">(ExtComp[[#This Row],['# to Replace]]*'Unit Cost Summary'!$B$6)*(1+((ExtComp[[#This Row],[est. Year]]-YEAR(TODAY()))*$J$2))</f>
        <v>0</v>
      </c>
      <c r="K57" s="51">
        <f ca="1">SUM(INDEX(ExtComp['# to Replace],1):ExtComp[[#This Row],['# to Replace]])</f>
        <v>48</v>
      </c>
      <c r="L57" s="51">
        <f ca="1">ROUNDDOWN(ExtComp[[#This Row],[Count]]/50,0)+$L$1</f>
        <v>2020</v>
      </c>
      <c r="M57" s="64">
        <f t="shared" ca="1" si="0"/>
        <v>9062352</v>
      </c>
      <c r="N57" s="64" t="str">
        <f>IFERROR(VLOOKUP(ExtComp[[#This Row],[DEVELOPMENT]],Data[],22,FALSE),"")</f>
        <v/>
      </c>
      <c r="O57" s="71" t="str">
        <f>IFERROR(VLOOKUP(ExtComp[[#This Row],[DEVELOPMENT]],Data[],23,FALSE),"")</f>
        <v/>
      </c>
    </row>
    <row r="58" spans="1:15">
      <c r="A58" s="13" t="s">
        <v>367</v>
      </c>
      <c r="B58" s="9" t="str">
        <f>VLOOKUP(A58,Data[],2,FALSE)</f>
        <v>BROOKLYN</v>
      </c>
      <c r="C58" s="9" t="s">
        <v>68</v>
      </c>
      <c r="D58" s="50">
        <f>VLOOKUP(ExtComp[[#This Row],[DEVELOPMENT]],Data[],8,FALSE)</f>
        <v>0</v>
      </c>
      <c r="E58" s="50">
        <f>VLOOKUP(ExtComp[[#This Row],[DEVELOPMENT]],Data[],9,FALSE)</f>
        <v>0</v>
      </c>
      <c r="F58" s="50" t="str">
        <f ca="1">IFERROR(VLOOKUP(ExtComp[[#This Row],[DEVELOPMENT]],Data[],4,FALSE),"")</f>
        <v/>
      </c>
      <c r="G58" s="50" t="str">
        <f ca="1">IF(ExtComp[[#This Row],[RAD/PACT]]="","",IF(ExtComp[[#This Row],[RAD/PACT]]&lt;=2025,"Yes",""))</f>
        <v/>
      </c>
      <c r="H58" s="51">
        <f ca="1">IF(VLOOKUP(ExtComp[[#This Row],[DEVELOPMENT]],Data[],11,FALSE)=0,"",DATEDIF(VLOOKUP(ExtComp[[#This Row],[DEVELOPMENT]],Data[],13,FALSE),TODAY(),"Y"))</f>
        <v>12</v>
      </c>
      <c r="I58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58" s="47">
        <f ca="1">(ExtComp[[#This Row],['# to Replace]]*'Unit Cost Summary'!$B$6)*(1+((ExtComp[[#This Row],[est. Year]]-YEAR(TODAY()))*$J$2))</f>
        <v>390813.93</v>
      </c>
      <c r="K58" s="51">
        <f ca="1">SUM(INDEX(ExtComp['# to Replace],1):ExtComp[[#This Row],['# to Replace]])</f>
        <v>50</v>
      </c>
      <c r="L58" s="51">
        <f ca="1">ROUNDDOWN(ExtComp[[#This Row],[Count]]/50,0)+$L$1</f>
        <v>2021</v>
      </c>
      <c r="M58" s="64">
        <f t="shared" ca="1" si="0"/>
        <v>390813.93</v>
      </c>
      <c r="N58" s="64" t="str">
        <f>IFERROR(VLOOKUP(ExtComp[[#This Row],[DEVELOPMENT]],Data[],22,FALSE),"")</f>
        <v/>
      </c>
      <c r="O58" s="51" t="str">
        <f>IFERROR(VLOOKUP(ExtComp[[#This Row],[DEVELOPMENT]],Data[],23,FALSE),"")</f>
        <v/>
      </c>
    </row>
    <row r="59" spans="1:15">
      <c r="A59" s="65" t="s">
        <v>45</v>
      </c>
      <c r="B59" s="1" t="str">
        <f>VLOOKUP(A59,Data[],2,FALSE)</f>
        <v>BROOKLYN</v>
      </c>
      <c r="C59" s="9" t="s">
        <v>68</v>
      </c>
      <c r="D59" s="9" t="str">
        <f>VLOOKUP(ExtComp[[#This Row],[DEVELOPMENT]],Data[],8,FALSE)</f>
        <v>Zone 1</v>
      </c>
      <c r="E59" s="9">
        <f>VLOOKUP(ExtComp[[#This Row],[DEVELOPMENT]],Data[],9,FALSE)</f>
        <v>4</v>
      </c>
      <c r="F59" s="9" t="str">
        <f ca="1">IFERROR(VLOOKUP(ExtComp[[#This Row],[DEVELOPMENT]],Data[],4,FALSE),"")</f>
        <v/>
      </c>
      <c r="G59" s="9" t="str">
        <f ca="1">IF(ExtComp[[#This Row],[RAD/PACT]]="","",IF(ExtComp[[#This Row],[RAD/PACT]]&lt;=2025,"Yes",""))</f>
        <v/>
      </c>
      <c r="H59" s="1">
        <f ca="1">IF(VLOOKUP(ExtComp[[#This Row],[DEVELOPMENT]],Data[],11,FALSE)=0,"",DATEDIF(VLOOKUP(ExtComp[[#This Row],[DEVELOPMENT]],Data[],13,FALSE),TODAY(),"Y"))</f>
        <v>1</v>
      </c>
      <c r="I59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59" s="47">
        <f ca="1">(ExtComp[[#This Row],['# to Replace]]*'Unit Cost Summary'!$B$6)*(1+((ExtComp[[#This Row],[est. Year]]-YEAR(TODAY()))*$J$2))</f>
        <v>586220.8949999999</v>
      </c>
      <c r="K59" s="1">
        <f ca="1">SUM(INDEX(ExtComp['# to Replace],1):ExtComp[[#This Row],['# to Replace]])</f>
        <v>53</v>
      </c>
      <c r="L59" s="1">
        <f ca="1">ROUNDDOWN(ExtComp[[#This Row],[Count]]/50,0)+$L$1</f>
        <v>2021</v>
      </c>
      <c r="M59" s="64">
        <f t="shared" ca="1" si="0"/>
        <v>977034.82499999995</v>
      </c>
      <c r="N59" s="64" t="str">
        <f>IFERROR(VLOOKUP(ExtComp[[#This Row],[DEVELOPMENT]],Data[],22,FALSE),"")</f>
        <v/>
      </c>
      <c r="O59" s="71" t="str">
        <f>IFERROR(VLOOKUP(ExtComp[[#This Row],[DEVELOPMENT]],Data[],23,FALSE),"")</f>
        <v/>
      </c>
    </row>
    <row r="60" spans="1:15">
      <c r="A60" s="13" t="s">
        <v>258</v>
      </c>
      <c r="B60" s="9" t="str">
        <f>VLOOKUP(A60,Data[],2,FALSE)</f>
        <v>BROOKLYN</v>
      </c>
      <c r="C60" s="9" t="s">
        <v>68</v>
      </c>
      <c r="D60" s="50">
        <f>VLOOKUP(ExtComp[[#This Row],[DEVELOPMENT]],Data[],8,FALSE)</f>
        <v>0</v>
      </c>
      <c r="E60" s="50">
        <f>VLOOKUP(ExtComp[[#This Row],[DEVELOPMENT]],Data[],9,FALSE)</f>
        <v>0</v>
      </c>
      <c r="F60" s="50" t="str">
        <f ca="1">IFERROR(VLOOKUP(ExtComp[[#This Row],[DEVELOPMENT]],Data[],4,FALSE),"")</f>
        <v>2026+</v>
      </c>
      <c r="G60" s="50" t="str">
        <f ca="1">IF(ExtComp[[#This Row],[RAD/PACT]]="","",IF(ExtComp[[#This Row],[RAD/PACT]]&lt;=2025,"Yes",""))</f>
        <v/>
      </c>
      <c r="H60" s="51" t="str">
        <f ca="1">IF(VLOOKUP(ExtComp[[#This Row],[DEVELOPMENT]],Data[],11,FALSE)=0,"",DATEDIF(VLOOKUP(ExtComp[[#This Row],[DEVELOPMENT]],Data[],13,FALSE),TODAY(),"Y"))</f>
        <v/>
      </c>
      <c r="I6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60" s="47">
        <f ca="1">(ExtComp[[#This Row],['# to Replace]]*'Unit Cost Summary'!$B$6)*(1+((ExtComp[[#This Row],[est. Year]]-YEAR(TODAY()))*$J$2))</f>
        <v>0</v>
      </c>
      <c r="K60" s="51">
        <f ca="1">SUM(INDEX(ExtComp['# to Replace],1):ExtComp[[#This Row],['# to Replace]])</f>
        <v>53</v>
      </c>
      <c r="L60" s="51">
        <f ca="1">ROUNDDOWN(ExtComp[[#This Row],[Count]]/50,0)+$L$1</f>
        <v>2021</v>
      </c>
      <c r="M60" s="64">
        <f t="shared" ca="1" si="0"/>
        <v>977034.82499999995</v>
      </c>
      <c r="N60" s="64" t="str">
        <f>IFERROR(VLOOKUP(ExtComp[[#This Row],[DEVELOPMENT]],Data[],22,FALSE),"")</f>
        <v/>
      </c>
      <c r="O60" s="71" t="str">
        <f>IFERROR(VLOOKUP(ExtComp[[#This Row],[DEVELOPMENT]],Data[],23,FALSE),"")</f>
        <v/>
      </c>
    </row>
    <row r="61" spans="1:15">
      <c r="A61" s="13" t="s">
        <v>257</v>
      </c>
      <c r="B61" s="9" t="str">
        <f>VLOOKUP(A61,Data[],2,FALSE)</f>
        <v>BROOKLYN</v>
      </c>
      <c r="C61" s="9" t="s">
        <v>68</v>
      </c>
      <c r="D61" s="50">
        <f>VLOOKUP(ExtComp[[#This Row],[DEVELOPMENT]],Data[],8,FALSE)</f>
        <v>0</v>
      </c>
      <c r="E61" s="50">
        <f>VLOOKUP(ExtComp[[#This Row],[DEVELOPMENT]],Data[],9,FALSE)</f>
        <v>0</v>
      </c>
      <c r="F61" s="50" t="str">
        <f ca="1">IFERROR(VLOOKUP(ExtComp[[#This Row],[DEVELOPMENT]],Data[],4,FALSE),"")</f>
        <v>2026+</v>
      </c>
      <c r="G61" s="50" t="str">
        <f ca="1">IF(ExtComp[[#This Row],[RAD/PACT]]="","",IF(ExtComp[[#This Row],[RAD/PACT]]&lt;=2025,"Yes",""))</f>
        <v/>
      </c>
      <c r="H61" s="51">
        <f ca="1">IF(VLOOKUP(ExtComp[[#This Row],[DEVELOPMENT]],Data[],11,FALSE)=0,"",DATEDIF(VLOOKUP(ExtComp[[#This Row],[DEVELOPMENT]],Data[],13,FALSE),TODAY(),"Y"))</f>
        <v>12</v>
      </c>
      <c r="I61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61" s="47">
        <f ca="1">(ExtComp[[#This Row],['# to Replace]]*'Unit Cost Summary'!$B$6)*(1+((ExtComp[[#This Row],[est. Year]]-YEAR(TODAY()))*$J$2))</f>
        <v>195406.965</v>
      </c>
      <c r="K61" s="51">
        <f ca="1">SUM(INDEX(ExtComp['# to Replace],1):ExtComp[[#This Row],['# to Replace]])</f>
        <v>54</v>
      </c>
      <c r="L61" s="51">
        <f ca="1">ROUNDDOWN(ExtComp[[#This Row],[Count]]/50,0)+$L$1</f>
        <v>2021</v>
      </c>
      <c r="M61" s="64">
        <f t="shared" ca="1" si="0"/>
        <v>1172441.79</v>
      </c>
      <c r="N61" s="64" t="str">
        <f>IFERROR(VLOOKUP(ExtComp[[#This Row],[DEVELOPMENT]],Data[],22,FALSE),"")</f>
        <v/>
      </c>
      <c r="O61" s="71" t="str">
        <f>IFERROR(VLOOKUP(ExtComp[[#This Row],[DEVELOPMENT]],Data[],23,FALSE),"")</f>
        <v/>
      </c>
    </row>
    <row r="62" spans="1:15">
      <c r="A62" s="13" t="s">
        <v>198</v>
      </c>
      <c r="B62" s="9" t="str">
        <f>VLOOKUP(A62,Data[],2,FALSE)</f>
        <v>MANHATTAN</v>
      </c>
      <c r="C62" s="9" t="s">
        <v>68</v>
      </c>
      <c r="D62" s="50">
        <f>VLOOKUP(ExtComp[[#This Row],[DEVELOPMENT]],Data[],8,FALSE)</f>
        <v>0</v>
      </c>
      <c r="E62" s="50">
        <f>VLOOKUP(ExtComp[[#This Row],[DEVELOPMENT]],Data[],9,FALSE)</f>
        <v>0</v>
      </c>
      <c r="F62" s="50" t="str">
        <f ca="1">IFERROR(VLOOKUP(ExtComp[[#This Row],[DEVELOPMENT]],Data[],4,FALSE),"")</f>
        <v/>
      </c>
      <c r="G62" s="50" t="str">
        <f ca="1">IF(ExtComp[[#This Row],[RAD/PACT]]="","",IF(ExtComp[[#This Row],[RAD/PACT]]&lt;=2025,"Yes",""))</f>
        <v/>
      </c>
      <c r="H62" s="51" t="str">
        <f ca="1">IF(VLOOKUP(ExtComp[[#This Row],[DEVELOPMENT]],Data[],11,FALSE)=0,"",DATEDIF(VLOOKUP(ExtComp[[#This Row],[DEVELOPMENT]],Data[],13,FALSE),TODAY(),"Y"))</f>
        <v/>
      </c>
      <c r="I6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62" s="47">
        <f ca="1">(ExtComp[[#This Row],['# to Replace]]*'Unit Cost Summary'!$B$6)*(1+((ExtComp[[#This Row],[est. Year]]-YEAR(TODAY()))*$J$2))</f>
        <v>0</v>
      </c>
      <c r="K62" s="51">
        <f ca="1">SUM(INDEX(ExtComp['# to Replace],1):ExtComp[[#This Row],['# to Replace]])</f>
        <v>54</v>
      </c>
      <c r="L62" s="51">
        <f ca="1">ROUNDDOWN(ExtComp[[#This Row],[Count]]/50,0)+$L$1</f>
        <v>2021</v>
      </c>
      <c r="M62" s="64">
        <f t="shared" ca="1" si="0"/>
        <v>1172441.79</v>
      </c>
      <c r="N62" s="64" t="str">
        <f>IFERROR(VLOOKUP(ExtComp[[#This Row],[DEVELOPMENT]],Data[],22,FALSE),"")</f>
        <v/>
      </c>
      <c r="O62" s="71" t="str">
        <f>IFERROR(VLOOKUP(ExtComp[[#This Row],[DEVELOPMENT]],Data[],23,FALSE),"")</f>
        <v/>
      </c>
    </row>
    <row r="63" spans="1:15">
      <c r="A63" s="13" t="s">
        <v>256</v>
      </c>
      <c r="B63" s="9" t="str">
        <f>VLOOKUP(A63,Data[],2,FALSE)</f>
        <v>BROOKLYN</v>
      </c>
      <c r="C63" s="9" t="s">
        <v>68</v>
      </c>
      <c r="D63" s="50">
        <f>VLOOKUP(ExtComp[[#This Row],[DEVELOPMENT]],Data[],8,FALSE)</f>
        <v>0</v>
      </c>
      <c r="E63" s="50">
        <f>VLOOKUP(ExtComp[[#This Row],[DEVELOPMENT]],Data[],9,FALSE)</f>
        <v>0</v>
      </c>
      <c r="F63" s="50" t="str">
        <f ca="1">IFERROR(VLOOKUP(ExtComp[[#This Row],[DEVELOPMENT]],Data[],4,FALSE),"")</f>
        <v>2022-2025</v>
      </c>
      <c r="G63" s="50" t="str">
        <f ca="1">IF(ExtComp[[#This Row],[RAD/PACT]]="","",IF(ExtComp[[#This Row],[RAD/PACT]]&lt;=2025,"Yes",""))</f>
        <v/>
      </c>
      <c r="H63" s="51" t="str">
        <f ca="1">IF(VLOOKUP(ExtComp[[#This Row],[DEVELOPMENT]],Data[],11,FALSE)=0,"",DATEDIF(VLOOKUP(ExtComp[[#This Row],[DEVELOPMENT]],Data[],13,FALSE),TODAY(),"Y"))</f>
        <v/>
      </c>
      <c r="I6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63" s="47">
        <f ca="1">(ExtComp[[#This Row],['# to Replace]]*'Unit Cost Summary'!$B$6)*(1+((ExtComp[[#This Row],[est. Year]]-YEAR(TODAY()))*$J$2))</f>
        <v>0</v>
      </c>
      <c r="K63" s="51">
        <f ca="1">SUM(INDEX(ExtComp['# to Replace],1):ExtComp[[#This Row],['# to Replace]])</f>
        <v>54</v>
      </c>
      <c r="L63" s="51">
        <f ca="1">ROUNDDOWN(ExtComp[[#This Row],[Count]]/50,0)+$L$1</f>
        <v>2021</v>
      </c>
      <c r="M63" s="64">
        <f t="shared" ca="1" si="0"/>
        <v>1172441.79</v>
      </c>
      <c r="N63" s="64" t="str">
        <f>IFERROR(VLOOKUP(ExtComp[[#This Row],[DEVELOPMENT]],Data[],22,FALSE),"")</f>
        <v/>
      </c>
      <c r="O63" s="71" t="str">
        <f>IFERROR(VLOOKUP(ExtComp[[#This Row],[DEVELOPMENT]],Data[],23,FALSE),"")</f>
        <v/>
      </c>
    </row>
    <row r="64" spans="1:15">
      <c r="A64" s="13" t="s">
        <v>366</v>
      </c>
      <c r="B64" s="9" t="str">
        <f>VLOOKUP(A64,Data[],2,FALSE)</f>
        <v>BROOKLYN</v>
      </c>
      <c r="C64" s="9" t="s">
        <v>68</v>
      </c>
      <c r="D64" s="50">
        <f>VLOOKUP(ExtComp[[#This Row],[DEVELOPMENT]],Data[],8,FALSE)</f>
        <v>0</v>
      </c>
      <c r="E64" s="50">
        <f>VLOOKUP(ExtComp[[#This Row],[DEVELOPMENT]],Data[],9,FALSE)</f>
        <v>0</v>
      </c>
      <c r="F64" s="50" t="str">
        <f ca="1">IFERROR(VLOOKUP(ExtComp[[#This Row],[DEVELOPMENT]],Data[],4,FALSE),"")</f>
        <v>2022-2025</v>
      </c>
      <c r="G64" s="50" t="str">
        <f ca="1">IF(ExtComp[[#This Row],[RAD/PACT]]="","",IF(ExtComp[[#This Row],[RAD/PACT]]&lt;=2025,"Yes",""))</f>
        <v/>
      </c>
      <c r="H64" s="51" t="str">
        <f ca="1">IF(VLOOKUP(ExtComp[[#This Row],[DEVELOPMENT]],Data[],11,FALSE)=0,"",DATEDIF(VLOOKUP(ExtComp[[#This Row],[DEVELOPMENT]],Data[],13,FALSE),TODAY(),"Y"))</f>
        <v/>
      </c>
      <c r="I6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64" s="47">
        <f ca="1">(ExtComp[[#This Row],['# to Replace]]*'Unit Cost Summary'!$B$6)*(1+((ExtComp[[#This Row],[est. Year]]-YEAR(TODAY()))*$J$2))</f>
        <v>0</v>
      </c>
      <c r="K64" s="51">
        <f ca="1">SUM(INDEX(ExtComp['# to Replace],1):ExtComp[[#This Row],['# to Replace]])</f>
        <v>54</v>
      </c>
      <c r="L64" s="51">
        <f ca="1">ROUNDDOWN(ExtComp[[#This Row],[Count]]/50,0)+$L$1</f>
        <v>2021</v>
      </c>
      <c r="M64" s="64">
        <f t="shared" ca="1" si="0"/>
        <v>1172441.79</v>
      </c>
      <c r="N64" s="64" t="str">
        <f>IFERROR(VLOOKUP(ExtComp[[#This Row],[DEVELOPMENT]],Data[],22,FALSE),"")</f>
        <v/>
      </c>
      <c r="O64" s="71" t="str">
        <f>IFERROR(VLOOKUP(ExtComp[[#This Row],[DEVELOPMENT]],Data[],23,FALSE),"")</f>
        <v/>
      </c>
    </row>
    <row r="65" spans="1:15">
      <c r="A65" s="13" t="s">
        <v>97</v>
      </c>
      <c r="B65" s="1" t="str">
        <f>VLOOKUP(A65,Data[],2,FALSE)</f>
        <v>BRONX</v>
      </c>
      <c r="C65" s="9" t="s">
        <v>68</v>
      </c>
      <c r="D65" s="9" t="str">
        <f>VLOOKUP(ExtComp[[#This Row],[DEVELOPMENT]],Data[],8,FALSE)</f>
        <v>Zone 3</v>
      </c>
      <c r="E65" s="9">
        <f>VLOOKUP(ExtComp[[#This Row],[DEVELOPMENT]],Data[],9,FALSE)</f>
        <v>2</v>
      </c>
      <c r="F65" s="9" t="str">
        <f ca="1">IFERROR(VLOOKUP(ExtComp[[#This Row],[DEVELOPMENT]],Data[],4,FALSE),"")</f>
        <v>2026+</v>
      </c>
      <c r="G65" s="9" t="str">
        <f ca="1">IF(ExtComp[[#This Row],[RAD/PACT]]="","",IF(ExtComp[[#This Row],[RAD/PACT]]&lt;=2025,"Yes",""))</f>
        <v/>
      </c>
      <c r="H65" s="1" t="str">
        <f ca="1">IF(VLOOKUP(ExtComp[[#This Row],[DEVELOPMENT]],Data[],11,FALSE)=0,"",DATEDIF(VLOOKUP(ExtComp[[#This Row],[DEVELOPMENT]],Data[],13,FALSE),TODAY(),"Y"))</f>
        <v/>
      </c>
      <c r="I65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65" s="47">
        <f ca="1">(ExtComp[[#This Row],['# to Replace]]*'Unit Cost Summary'!$B$6)*(1+((ExtComp[[#This Row],[est. Year]]-YEAR(TODAY()))*$J$2))</f>
        <v>0</v>
      </c>
      <c r="K65" s="1">
        <f ca="1">SUM(INDEX(ExtComp['# to Replace],1):ExtComp[[#This Row],['# to Replace]])</f>
        <v>54</v>
      </c>
      <c r="L65" s="1">
        <f ca="1">ROUNDDOWN(ExtComp[[#This Row],[Count]]/50,0)+$L$1</f>
        <v>2021</v>
      </c>
      <c r="M65" s="64">
        <f t="shared" ca="1" si="0"/>
        <v>1172441.79</v>
      </c>
      <c r="N65" s="64" t="str">
        <f>IFERROR(VLOOKUP(ExtComp[[#This Row],[DEVELOPMENT]],Data[],22,FALSE),"")</f>
        <v/>
      </c>
      <c r="O65" s="51" t="str">
        <f>IFERROR(VLOOKUP(ExtComp[[#This Row],[DEVELOPMENT]],Data[],23,FALSE),"")</f>
        <v/>
      </c>
    </row>
    <row r="66" spans="1:15">
      <c r="A66" s="13" t="s">
        <v>365</v>
      </c>
      <c r="B66" s="9" t="str">
        <f>VLOOKUP(A66,Data[],2,FALSE)</f>
        <v>STATEN ISLAND</v>
      </c>
      <c r="C66" s="9" t="s">
        <v>68</v>
      </c>
      <c r="D66" s="50">
        <f>VLOOKUP(ExtComp[[#This Row],[DEVELOPMENT]],Data[],8,FALSE)</f>
        <v>0</v>
      </c>
      <c r="E66" s="50">
        <f>VLOOKUP(ExtComp[[#This Row],[DEVELOPMENT]],Data[],9,FALSE)</f>
        <v>0</v>
      </c>
      <c r="F66" s="50" t="str">
        <f ca="1">IFERROR(VLOOKUP(ExtComp[[#This Row],[DEVELOPMENT]],Data[],4,FALSE),"")</f>
        <v/>
      </c>
      <c r="G66" s="50" t="str">
        <f ca="1">IF(ExtComp[[#This Row],[RAD/PACT]]="","",IF(ExtComp[[#This Row],[RAD/PACT]]&lt;=2025,"Yes",""))</f>
        <v/>
      </c>
      <c r="H66" s="51">
        <f ca="1">IF(VLOOKUP(ExtComp[[#This Row],[DEVELOPMENT]],Data[],11,FALSE)=0,"",DATEDIF(VLOOKUP(ExtComp[[#This Row],[DEVELOPMENT]],Data[],13,FALSE),TODAY(),"Y"))</f>
        <v>18</v>
      </c>
      <c r="I66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66" s="47">
        <f ca="1">(ExtComp[[#This Row],['# to Replace]]*'Unit Cost Summary'!$B$6)*(1+((ExtComp[[#This Row],[est. Year]]-YEAR(TODAY()))*$J$2))</f>
        <v>390813.93</v>
      </c>
      <c r="K66" s="51">
        <f ca="1">SUM(INDEX(ExtComp['# to Replace],1):ExtComp[[#This Row],['# to Replace]])</f>
        <v>56</v>
      </c>
      <c r="L66" s="51">
        <f ca="1">ROUNDDOWN(ExtComp[[#This Row],[Count]]/50,0)+$L$1</f>
        <v>2021</v>
      </c>
      <c r="M66" s="64">
        <f t="shared" ca="1" si="0"/>
        <v>1563255.72</v>
      </c>
      <c r="N66" s="64" t="str">
        <f>IFERROR(VLOOKUP(ExtComp[[#This Row],[DEVELOPMENT]],Data[],22,FALSE),"")</f>
        <v/>
      </c>
      <c r="O66" s="71" t="str">
        <f>IFERROR(VLOOKUP(ExtComp[[#This Row],[DEVELOPMENT]],Data[],23,FALSE),"")</f>
        <v/>
      </c>
    </row>
    <row r="67" spans="1:15">
      <c r="A67" s="13" t="s">
        <v>364</v>
      </c>
      <c r="B67" s="9" t="str">
        <f>VLOOKUP(A67,Data[],2,FALSE)</f>
        <v>MANHATTAN</v>
      </c>
      <c r="C67" s="9" t="s">
        <v>68</v>
      </c>
      <c r="D67" s="50">
        <f>VLOOKUP(ExtComp[[#This Row],[DEVELOPMENT]],Data[],8,FALSE)</f>
        <v>0</v>
      </c>
      <c r="E67" s="50">
        <f>VLOOKUP(ExtComp[[#This Row],[DEVELOPMENT]],Data[],9,FALSE)</f>
        <v>0</v>
      </c>
      <c r="F67" s="50" t="str">
        <f ca="1">IFERROR(VLOOKUP(ExtComp[[#This Row],[DEVELOPMENT]],Data[],4,FALSE),"")</f>
        <v/>
      </c>
      <c r="G67" s="50" t="str">
        <f ca="1">IF(ExtComp[[#This Row],[RAD/PACT]]="","",IF(ExtComp[[#This Row],[RAD/PACT]]&lt;=2025,"Yes",""))</f>
        <v/>
      </c>
      <c r="H67" s="51" t="str">
        <f ca="1">IF(VLOOKUP(ExtComp[[#This Row],[DEVELOPMENT]],Data[],11,FALSE)=0,"",DATEDIF(VLOOKUP(ExtComp[[#This Row],[DEVELOPMENT]],Data[],13,FALSE),TODAY(),"Y"))</f>
        <v/>
      </c>
      <c r="I6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67" s="47">
        <f ca="1">(ExtComp[[#This Row],['# to Replace]]*'Unit Cost Summary'!$B$6)*(1+((ExtComp[[#This Row],[est. Year]]-YEAR(TODAY()))*$J$2))</f>
        <v>0</v>
      </c>
      <c r="K67" s="51">
        <f ca="1">SUM(INDEX(ExtComp['# to Replace],1):ExtComp[[#This Row],['# to Replace]])</f>
        <v>56</v>
      </c>
      <c r="L67" s="51">
        <f ca="1">ROUNDDOWN(ExtComp[[#This Row],[Count]]/50,0)+$L$1</f>
        <v>2021</v>
      </c>
      <c r="M67" s="64">
        <f t="shared" ca="1" si="0"/>
        <v>1563255.72</v>
      </c>
      <c r="N67" s="64" t="str">
        <f>IFERROR(VLOOKUP(ExtComp[[#This Row],[DEVELOPMENT]],Data[],22,FALSE),"")</f>
        <v/>
      </c>
      <c r="O67" s="71" t="str">
        <f>IFERROR(VLOOKUP(ExtComp[[#This Row],[DEVELOPMENT]],Data[],23,FALSE),"")</f>
        <v/>
      </c>
    </row>
    <row r="68" spans="1:15">
      <c r="A68" s="13" t="s">
        <v>269</v>
      </c>
      <c r="B68" s="9" t="str">
        <f>VLOOKUP(A68,Data[],2,FALSE)</f>
        <v>QUEENS</v>
      </c>
      <c r="C68" s="9"/>
      <c r="D68" s="50">
        <f>VLOOKUP(ExtComp[[#This Row],[DEVELOPMENT]],Data[],8,FALSE)</f>
        <v>0</v>
      </c>
      <c r="E68" s="50">
        <f>VLOOKUP(ExtComp[[#This Row],[DEVELOPMENT]],Data[],9,FALSE)</f>
        <v>0</v>
      </c>
      <c r="F68" s="50" t="str">
        <f ca="1">IFERROR(VLOOKUP(ExtComp[[#This Row],[DEVELOPMENT]],Data[],4,FALSE),"")</f>
        <v>2026+</v>
      </c>
      <c r="G68" s="50" t="str">
        <f ca="1">IF(ExtComp[[#This Row],[RAD/PACT]]="","",IF(ExtComp[[#This Row],[RAD/PACT]]&lt;=2025,"Yes",""))</f>
        <v/>
      </c>
      <c r="H68" s="51" t="str">
        <f ca="1">IF(VLOOKUP(ExtComp[[#This Row],[DEVELOPMENT]],Data[],11,FALSE)=0,"",DATEDIF(VLOOKUP(ExtComp[[#This Row],[DEVELOPMENT]],Data[],13,FALSE),TODAY(),"Y"))</f>
        <v/>
      </c>
      <c r="I6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68" s="47">
        <f ca="1">(ExtComp[[#This Row],['# to Replace]]*'Unit Cost Summary'!$B$6)*(1+((ExtComp[[#This Row],[est. Year]]-YEAR(TODAY()))*$J$2))</f>
        <v>0</v>
      </c>
      <c r="K68" s="51">
        <f ca="1">SUM(INDEX(ExtComp['# to Replace],1):ExtComp[[#This Row],['# to Replace]])</f>
        <v>56</v>
      </c>
      <c r="L68" s="51">
        <f ca="1">ROUNDDOWN(ExtComp[[#This Row],[Count]]/50,0)+$L$1</f>
        <v>2021</v>
      </c>
      <c r="M68" s="64">
        <f t="shared" ref="M68:M131" ca="1" si="1">IF(L68=L67,J68+M67,J68)</f>
        <v>1563255.72</v>
      </c>
      <c r="N68" s="64" t="str">
        <f>IFERROR(VLOOKUP(ExtComp[[#This Row],[DEVELOPMENT]],Data[],22,FALSE),"")</f>
        <v/>
      </c>
      <c r="O68" s="71" t="str">
        <f>IFERROR(VLOOKUP(ExtComp[[#This Row],[DEVELOPMENT]],Data[],23,FALSE),"")</f>
        <v/>
      </c>
    </row>
    <row r="69" spans="1:15">
      <c r="A69" s="13" t="s">
        <v>224</v>
      </c>
      <c r="B69" s="9" t="str">
        <f>VLOOKUP(A69,Data[],2,FALSE)</f>
        <v>QUEENS</v>
      </c>
      <c r="C69" s="9"/>
      <c r="D69" s="50">
        <f>VLOOKUP(ExtComp[[#This Row],[DEVELOPMENT]],Data[],8,FALSE)</f>
        <v>0</v>
      </c>
      <c r="E69" s="50">
        <f>VLOOKUP(ExtComp[[#This Row],[DEVELOPMENT]],Data[],9,FALSE)</f>
        <v>0</v>
      </c>
      <c r="F69" s="50" t="str">
        <f ca="1">IFERROR(VLOOKUP(ExtComp[[#This Row],[DEVELOPMENT]],Data[],4,FALSE),"")</f>
        <v>2026+</v>
      </c>
      <c r="G69" s="50" t="str">
        <f ca="1">IF(ExtComp[[#This Row],[RAD/PACT]]="","",IF(ExtComp[[#This Row],[RAD/PACT]]&lt;=2025,"Yes",""))</f>
        <v/>
      </c>
      <c r="H69" s="51">
        <f ca="1">IF(VLOOKUP(ExtComp[[#This Row],[DEVELOPMENT]],Data[],11,FALSE)=0,"",DATEDIF(VLOOKUP(ExtComp[[#This Row],[DEVELOPMENT]],Data[],13,FALSE),TODAY(),"Y"))</f>
        <v>2</v>
      </c>
      <c r="I69" s="51">
        <f ca="1">IF(ExtComp[[#This Row],[RAD/PACT]]="",VLOOKUP(ExtComp[[#This Row],[DEVELOPMENT]],Data[],11,FALSE),IF(ExtComp[[#This Row],[RAD/PACT by 2025]]="yes",0,VLOOKUP(ExtComp[[#This Row],[DEVELOPMENT]],Data[],11,FALSE)))</f>
        <v>4</v>
      </c>
      <c r="J69" s="47">
        <f ca="1">(ExtComp[[#This Row],['# to Replace]]*'Unit Cost Summary'!$B$6)*(1+((ExtComp[[#This Row],[est. Year]]-YEAR(TODAY()))*$J$2))</f>
        <v>781627.86</v>
      </c>
      <c r="K69" s="51">
        <f ca="1">SUM(INDEX(ExtComp['# to Replace],1):ExtComp[[#This Row],['# to Replace]])</f>
        <v>60</v>
      </c>
      <c r="L69" s="51">
        <f ca="1">ROUNDDOWN(ExtComp[[#This Row],[Count]]/50,0)+$L$1</f>
        <v>2021</v>
      </c>
      <c r="M69" s="64">
        <f t="shared" ca="1" si="1"/>
        <v>2344883.58</v>
      </c>
      <c r="N69" s="64" t="str">
        <f>IFERROR(VLOOKUP(ExtComp[[#This Row],[DEVELOPMENT]],Data[],22,FALSE),"")</f>
        <v/>
      </c>
      <c r="O69" s="71" t="str">
        <f>IFERROR(VLOOKUP(ExtComp[[#This Row],[DEVELOPMENT]],Data[],23,FALSE),"")</f>
        <v/>
      </c>
    </row>
    <row r="70" spans="1:15">
      <c r="A70" s="13" t="s">
        <v>96</v>
      </c>
      <c r="B70" s="1" t="str">
        <f>VLOOKUP(A70,Data[],2,FALSE)</f>
        <v>BRONX</v>
      </c>
      <c r="C70" s="9" t="s">
        <v>68</v>
      </c>
      <c r="D70" s="9" t="str">
        <f>VLOOKUP(ExtComp[[#This Row],[DEVELOPMENT]],Data[],8,FALSE)</f>
        <v>Zone 3</v>
      </c>
      <c r="E70" s="9">
        <f>VLOOKUP(ExtComp[[#This Row],[DEVELOPMENT]],Data[],9,FALSE)</f>
        <v>3</v>
      </c>
      <c r="F70" s="9" t="str">
        <f ca="1">IFERROR(VLOOKUP(ExtComp[[#This Row],[DEVELOPMENT]],Data[],4,FALSE),"")</f>
        <v>2026+</v>
      </c>
      <c r="G70" s="9" t="str">
        <f ca="1">IF(ExtComp[[#This Row],[RAD/PACT]]="","",IF(ExtComp[[#This Row],[RAD/PACT]]&lt;=2025,"Yes",""))</f>
        <v/>
      </c>
      <c r="H70" s="1" t="str">
        <f ca="1">IF(VLOOKUP(ExtComp[[#This Row],[DEVELOPMENT]],Data[],11,FALSE)=0,"",DATEDIF(VLOOKUP(ExtComp[[#This Row],[DEVELOPMENT]],Data[],13,FALSE),TODAY(),"Y"))</f>
        <v/>
      </c>
      <c r="I70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70" s="47">
        <f ca="1">(ExtComp[[#This Row],['# to Replace]]*'Unit Cost Summary'!$B$6)*(1+((ExtComp[[#This Row],[est. Year]]-YEAR(TODAY()))*$J$2))</f>
        <v>0</v>
      </c>
      <c r="K70" s="1">
        <f ca="1">SUM(INDEX(ExtComp['# to Replace],1):ExtComp[[#This Row],['# to Replace]])</f>
        <v>60</v>
      </c>
      <c r="L70" s="1">
        <f ca="1">ROUNDDOWN(ExtComp[[#This Row],[Count]]/50,0)+$L$1</f>
        <v>2021</v>
      </c>
      <c r="M70" s="64">
        <f t="shared" ca="1" si="1"/>
        <v>2344883.58</v>
      </c>
      <c r="N70" s="64" t="str">
        <f>IFERROR(VLOOKUP(ExtComp[[#This Row],[DEVELOPMENT]],Data[],22,FALSE),"")</f>
        <v/>
      </c>
      <c r="O70" s="51" t="str">
        <f>IFERROR(VLOOKUP(ExtComp[[#This Row],[DEVELOPMENT]],Data[],23,FALSE),"")</f>
        <v/>
      </c>
    </row>
    <row r="71" spans="1:15">
      <c r="A71" s="13" t="s">
        <v>255</v>
      </c>
      <c r="B71" s="9" t="str">
        <f>VLOOKUP(A71,Data[],2,FALSE)</f>
        <v>STATEN ISLAND</v>
      </c>
      <c r="C71" s="9" t="s">
        <v>68</v>
      </c>
      <c r="D71" s="50">
        <f>VLOOKUP(ExtComp[[#This Row],[DEVELOPMENT]],Data[],8,FALSE)</f>
        <v>0</v>
      </c>
      <c r="E71" s="50">
        <f>VLOOKUP(ExtComp[[#This Row],[DEVELOPMENT]],Data[],9,FALSE)</f>
        <v>0</v>
      </c>
      <c r="F71" s="50" t="str">
        <f ca="1">IFERROR(VLOOKUP(ExtComp[[#This Row],[DEVELOPMENT]],Data[],4,FALSE),"")</f>
        <v/>
      </c>
      <c r="G71" s="50" t="str">
        <f ca="1">IF(ExtComp[[#This Row],[RAD/PACT]]="","",IF(ExtComp[[#This Row],[RAD/PACT]]&lt;=2025,"Yes",""))</f>
        <v/>
      </c>
      <c r="H71" s="51">
        <f ca="1">IF(VLOOKUP(ExtComp[[#This Row],[DEVELOPMENT]],Data[],11,FALSE)=0,"",DATEDIF(VLOOKUP(ExtComp[[#This Row],[DEVELOPMENT]],Data[],13,FALSE),TODAY(),"Y"))</f>
        <v>13</v>
      </c>
      <c r="I71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71" s="47">
        <f ca="1">(ExtComp[[#This Row],['# to Replace]]*'Unit Cost Summary'!$B$6)*(1+((ExtComp[[#This Row],[est. Year]]-YEAR(TODAY()))*$J$2))</f>
        <v>195406.965</v>
      </c>
      <c r="K71" s="51">
        <f ca="1">SUM(INDEX(ExtComp['# to Replace],1):ExtComp[[#This Row],['# to Replace]])</f>
        <v>61</v>
      </c>
      <c r="L71" s="51">
        <f ca="1">ROUNDDOWN(ExtComp[[#This Row],[Count]]/50,0)+$L$1</f>
        <v>2021</v>
      </c>
      <c r="M71" s="64">
        <f t="shared" ca="1" si="1"/>
        <v>2540290.5449999999</v>
      </c>
      <c r="N71" s="64" t="str">
        <f>IFERROR(VLOOKUP(ExtComp[[#This Row],[DEVELOPMENT]],Data[],22,FALSE),"")</f>
        <v/>
      </c>
      <c r="O71" s="71" t="str">
        <f>IFERROR(VLOOKUP(ExtComp[[#This Row],[DEVELOPMENT]],Data[],23,FALSE),"")</f>
        <v/>
      </c>
    </row>
    <row r="72" spans="1:15">
      <c r="A72" s="13" t="s">
        <v>363</v>
      </c>
      <c r="B72" s="9" t="str">
        <f>VLOOKUP(A72,Data[],2,FALSE)</f>
        <v>BRONX</v>
      </c>
      <c r="C72" s="9"/>
      <c r="D72" s="50">
        <f>VLOOKUP(ExtComp[[#This Row],[DEVELOPMENT]],Data[],8,FALSE)</f>
        <v>0</v>
      </c>
      <c r="E72" s="50">
        <f>VLOOKUP(ExtComp[[#This Row],[DEVELOPMENT]],Data[],9,FALSE)</f>
        <v>0</v>
      </c>
      <c r="F72" s="50" t="str">
        <f ca="1">IFERROR(VLOOKUP(ExtComp[[#This Row],[DEVELOPMENT]],Data[],4,FALSE),"")</f>
        <v>2022-2025</v>
      </c>
      <c r="G72" s="50" t="str">
        <f ca="1">IF(ExtComp[[#This Row],[RAD/PACT]]="","",IF(ExtComp[[#This Row],[RAD/PACT]]&lt;=2025,"Yes",""))</f>
        <v/>
      </c>
      <c r="H72" s="51">
        <f ca="1">IF(VLOOKUP(ExtComp[[#This Row],[DEVELOPMENT]],Data[],11,FALSE)=0,"",DATEDIF(VLOOKUP(ExtComp[[#This Row],[DEVELOPMENT]],Data[],13,FALSE),TODAY(),"Y"))</f>
        <v>15</v>
      </c>
      <c r="I72" s="51">
        <f ca="1">IF(ExtComp[[#This Row],[RAD/PACT]]="",VLOOKUP(ExtComp[[#This Row],[DEVELOPMENT]],Data[],11,FALSE),IF(ExtComp[[#This Row],[RAD/PACT by 2025]]="yes",0,VLOOKUP(ExtComp[[#This Row],[DEVELOPMENT]],Data[],11,FALSE)))</f>
        <v>4</v>
      </c>
      <c r="J72" s="47">
        <f ca="1">(ExtComp[[#This Row],['# to Replace]]*'Unit Cost Summary'!$B$6)*(1+((ExtComp[[#This Row],[est. Year]]-YEAR(TODAY()))*$J$2))</f>
        <v>781627.86</v>
      </c>
      <c r="K72" s="51">
        <f ca="1">SUM(INDEX(ExtComp['# to Replace],1):ExtComp[[#This Row],['# to Replace]])</f>
        <v>65</v>
      </c>
      <c r="L72" s="51">
        <f ca="1">ROUNDDOWN(ExtComp[[#This Row],[Count]]/50,0)+$L$1</f>
        <v>2021</v>
      </c>
      <c r="M72" s="64">
        <f t="shared" ca="1" si="1"/>
        <v>3321918.4049999998</v>
      </c>
      <c r="N72" s="64" t="str">
        <f>IFERROR(VLOOKUP(ExtComp[[#This Row],[DEVELOPMENT]],Data[],22,FALSE),"")</f>
        <v/>
      </c>
      <c r="O72" s="51" t="str">
        <f>IFERROR(VLOOKUP(ExtComp[[#This Row],[DEVELOPMENT]],Data[],23,FALSE),"")</f>
        <v/>
      </c>
    </row>
    <row r="73" spans="1:15">
      <c r="A73" s="13" t="s">
        <v>197</v>
      </c>
      <c r="B73" s="9" t="str">
        <f>VLOOKUP(A73,Data[],2,FALSE)</f>
        <v>BRONX</v>
      </c>
      <c r="C73" s="9" t="s">
        <v>68</v>
      </c>
      <c r="D73" s="50">
        <f>VLOOKUP(ExtComp[[#This Row],[DEVELOPMENT]],Data[],8,FALSE)</f>
        <v>0</v>
      </c>
      <c r="E73" s="50">
        <f>VLOOKUP(ExtComp[[#This Row],[DEVELOPMENT]],Data[],9,FALSE)</f>
        <v>0</v>
      </c>
      <c r="F73" s="50" t="str">
        <f ca="1">IFERROR(VLOOKUP(ExtComp[[#This Row],[DEVELOPMENT]],Data[],4,FALSE),"")</f>
        <v>2026+</v>
      </c>
      <c r="G73" s="50" t="str">
        <f ca="1">IF(ExtComp[[#This Row],[RAD/PACT]]="","",IF(ExtComp[[#This Row],[RAD/PACT]]&lt;=2025,"Yes",""))</f>
        <v/>
      </c>
      <c r="H73" s="51">
        <f ca="1">IF(VLOOKUP(ExtComp[[#This Row],[DEVELOPMENT]],Data[],11,FALSE)=0,"",DATEDIF(VLOOKUP(ExtComp[[#This Row],[DEVELOPMENT]],Data[],13,FALSE),TODAY(),"Y"))</f>
        <v>16</v>
      </c>
      <c r="I73" s="51">
        <f ca="1">IF(ExtComp[[#This Row],[RAD/PACT]]="",VLOOKUP(ExtComp[[#This Row],[DEVELOPMENT]],Data[],11,FALSE),IF(ExtComp[[#This Row],[RAD/PACT by 2025]]="yes",0,VLOOKUP(ExtComp[[#This Row],[DEVELOPMENT]],Data[],11,FALSE)))</f>
        <v>4</v>
      </c>
      <c r="J73" s="47">
        <f ca="1">(ExtComp[[#This Row],['# to Replace]]*'Unit Cost Summary'!$B$6)*(1+((ExtComp[[#This Row],[est. Year]]-YEAR(TODAY()))*$J$2))</f>
        <v>781627.86</v>
      </c>
      <c r="K73" s="51">
        <f ca="1">SUM(INDEX(ExtComp['# to Replace],1):ExtComp[[#This Row],['# to Replace]])</f>
        <v>69</v>
      </c>
      <c r="L73" s="51">
        <f ca="1">ROUNDDOWN(ExtComp[[#This Row],[Count]]/50,0)+$L$1</f>
        <v>2021</v>
      </c>
      <c r="M73" s="64">
        <f t="shared" ca="1" si="1"/>
        <v>4103546.2649999997</v>
      </c>
      <c r="N73" s="64" t="str">
        <f>IFERROR(VLOOKUP(ExtComp[[#This Row],[DEVELOPMENT]],Data[],22,FALSE),"")</f>
        <v/>
      </c>
      <c r="O73" s="71" t="str">
        <f>IFERROR(VLOOKUP(ExtComp[[#This Row],[DEVELOPMENT]],Data[],23,FALSE),"")</f>
        <v/>
      </c>
    </row>
    <row r="74" spans="1:15">
      <c r="A74" s="65" t="s">
        <v>44</v>
      </c>
      <c r="B74" s="1" t="str">
        <f>VLOOKUP(A74,Data[],2,FALSE)</f>
        <v>MANHATTAN</v>
      </c>
      <c r="C74" s="9" t="s">
        <v>68</v>
      </c>
      <c r="D74" s="9" t="str">
        <f>VLOOKUP(ExtComp[[#This Row],[DEVELOPMENT]],Data[],8,FALSE)</f>
        <v>Zone 1</v>
      </c>
      <c r="E74" s="9">
        <f>VLOOKUP(ExtComp[[#This Row],[DEVELOPMENT]],Data[],9,FALSE)</f>
        <v>4</v>
      </c>
      <c r="F74" s="9" t="str">
        <f ca="1">IFERROR(VLOOKUP(ExtComp[[#This Row],[DEVELOPMENT]],Data[],4,FALSE),"")</f>
        <v/>
      </c>
      <c r="G74" s="9" t="str">
        <f ca="1">IF(ExtComp[[#This Row],[RAD/PACT]]="","",IF(ExtComp[[#This Row],[RAD/PACT]]&lt;=2025,"Yes",""))</f>
        <v/>
      </c>
      <c r="H74" s="1">
        <f ca="1">IF(VLOOKUP(ExtComp[[#This Row],[DEVELOPMENT]],Data[],11,FALSE)=0,"",DATEDIF(VLOOKUP(ExtComp[[#This Row],[DEVELOPMENT]],Data[],13,FALSE),TODAY(),"Y"))</f>
        <v>16</v>
      </c>
      <c r="I74" s="1">
        <f ca="1">IF(ExtComp[[#This Row],[RAD/PACT]]="",VLOOKUP(ExtComp[[#This Row],[DEVELOPMENT]],Data[],11,FALSE),IF(ExtComp[[#This Row],[RAD/PACT by 2025]]="yes",0,VLOOKUP(ExtComp[[#This Row],[DEVELOPMENT]],Data[],11,FALSE)))</f>
        <v>4</v>
      </c>
      <c r="J74" s="47">
        <f ca="1">(ExtComp[[#This Row],['# to Replace]]*'Unit Cost Summary'!$B$6)*(1+((ExtComp[[#This Row],[est. Year]]-YEAR(TODAY()))*$J$2))</f>
        <v>781627.86</v>
      </c>
      <c r="K74" s="1">
        <f ca="1">SUM(INDEX(ExtComp['# to Replace],1):ExtComp[[#This Row],['# to Replace]])</f>
        <v>73</v>
      </c>
      <c r="L74" s="1">
        <f ca="1">ROUNDDOWN(ExtComp[[#This Row],[Count]]/50,0)+$L$1</f>
        <v>2021</v>
      </c>
      <c r="M74" s="64">
        <f t="shared" ca="1" si="1"/>
        <v>4885174.125</v>
      </c>
      <c r="N74" s="64" t="str">
        <f>IFERROR(VLOOKUP(ExtComp[[#This Row],[DEVELOPMENT]],Data[],22,FALSE),"")</f>
        <v/>
      </c>
      <c r="O74" s="71" t="str">
        <f>IFERROR(VLOOKUP(ExtComp[[#This Row],[DEVELOPMENT]],Data[],23,FALSE),"")</f>
        <v/>
      </c>
    </row>
    <row r="75" spans="1:15">
      <c r="A75" s="13" t="s">
        <v>362</v>
      </c>
      <c r="B75" s="9" t="str">
        <f>VLOOKUP(A75,Data[],2,FALSE)</f>
        <v>QUEENS</v>
      </c>
      <c r="C75" s="9" t="s">
        <v>68</v>
      </c>
      <c r="D75" s="50">
        <f>VLOOKUP(ExtComp[[#This Row],[DEVELOPMENT]],Data[],8,FALSE)</f>
        <v>0</v>
      </c>
      <c r="E75" s="50">
        <f>VLOOKUP(ExtComp[[#This Row],[DEVELOPMENT]],Data[],9,FALSE)</f>
        <v>0</v>
      </c>
      <c r="F75" s="50" t="str">
        <f ca="1">IFERROR(VLOOKUP(ExtComp[[#This Row],[DEVELOPMENT]],Data[],4,FALSE),"")</f>
        <v/>
      </c>
      <c r="G75" s="50" t="str">
        <f ca="1">IF(ExtComp[[#This Row],[RAD/PACT]]="","",IF(ExtComp[[#This Row],[RAD/PACT]]&lt;=2025,"Yes",""))</f>
        <v/>
      </c>
      <c r="H75" s="51" t="str">
        <f ca="1">IF(VLOOKUP(ExtComp[[#This Row],[DEVELOPMENT]],Data[],11,FALSE)=0,"",DATEDIF(VLOOKUP(ExtComp[[#This Row],[DEVELOPMENT]],Data[],13,FALSE),TODAY(),"Y"))</f>
        <v/>
      </c>
      <c r="I7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75" s="47">
        <f ca="1">(ExtComp[[#This Row],['# to Replace]]*'Unit Cost Summary'!$B$6)*(1+((ExtComp[[#This Row],[est. Year]]-YEAR(TODAY()))*$J$2))</f>
        <v>0</v>
      </c>
      <c r="K75" s="51">
        <f ca="1">SUM(INDEX(ExtComp['# to Replace],1):ExtComp[[#This Row],['# to Replace]])</f>
        <v>73</v>
      </c>
      <c r="L75" s="51">
        <f ca="1">ROUNDDOWN(ExtComp[[#This Row],[Count]]/50,0)+$L$1</f>
        <v>2021</v>
      </c>
      <c r="M75" s="64">
        <f t="shared" ca="1" si="1"/>
        <v>4885174.125</v>
      </c>
      <c r="N75" s="64" t="str">
        <f>IFERROR(VLOOKUP(ExtComp[[#This Row],[DEVELOPMENT]],Data[],22,FALSE),"")</f>
        <v/>
      </c>
      <c r="O75" s="71" t="str">
        <f>IFERROR(VLOOKUP(ExtComp[[#This Row],[DEVELOPMENT]],Data[],23,FALSE),"")</f>
        <v/>
      </c>
    </row>
    <row r="76" spans="1:15">
      <c r="A76" s="13" t="s">
        <v>196</v>
      </c>
      <c r="B76" s="9" t="str">
        <f>VLOOKUP(A76,Data[],2,FALSE)</f>
        <v>BROOKLYN</v>
      </c>
      <c r="C76" s="9" t="s">
        <v>68</v>
      </c>
      <c r="D76" s="50">
        <f>VLOOKUP(ExtComp[[#This Row],[DEVELOPMENT]],Data[],8,FALSE)</f>
        <v>0</v>
      </c>
      <c r="E76" s="50">
        <f>VLOOKUP(ExtComp[[#This Row],[DEVELOPMENT]],Data[],9,FALSE)</f>
        <v>0</v>
      </c>
      <c r="F76" s="50" t="str">
        <f ca="1">IFERROR(VLOOKUP(ExtComp[[#This Row],[DEVELOPMENT]],Data[],4,FALSE),"")</f>
        <v>2026+</v>
      </c>
      <c r="G76" s="50" t="str">
        <f ca="1">IF(ExtComp[[#This Row],[RAD/PACT]]="","",IF(ExtComp[[#This Row],[RAD/PACT]]&lt;=2025,"Yes",""))</f>
        <v/>
      </c>
      <c r="H76" s="51">
        <f ca="1">IF(VLOOKUP(ExtComp[[#This Row],[DEVELOPMENT]],Data[],11,FALSE)=0,"",DATEDIF(VLOOKUP(ExtComp[[#This Row],[DEVELOPMENT]],Data[],13,FALSE),TODAY(),"Y"))</f>
        <v>18</v>
      </c>
      <c r="I76" s="51">
        <f ca="1">IF(ExtComp[[#This Row],[RAD/PACT]]="",VLOOKUP(ExtComp[[#This Row],[DEVELOPMENT]],Data[],11,FALSE),IF(ExtComp[[#This Row],[RAD/PACT by 2025]]="yes",0,VLOOKUP(ExtComp[[#This Row],[DEVELOPMENT]],Data[],11,FALSE)))</f>
        <v>4</v>
      </c>
      <c r="J76" s="47">
        <f ca="1">(ExtComp[[#This Row],['# to Replace]]*'Unit Cost Summary'!$B$6)*(1+((ExtComp[[#This Row],[est. Year]]-YEAR(TODAY()))*$J$2))</f>
        <v>781627.86</v>
      </c>
      <c r="K76" s="51">
        <f ca="1">SUM(INDEX(ExtComp['# to Replace],1):ExtComp[[#This Row],['# to Replace]])</f>
        <v>77</v>
      </c>
      <c r="L76" s="51">
        <f ca="1">ROUNDDOWN(ExtComp[[#This Row],[Count]]/50,0)+$L$1</f>
        <v>2021</v>
      </c>
      <c r="M76" s="64">
        <f t="shared" ca="1" si="1"/>
        <v>5666801.9850000003</v>
      </c>
      <c r="N76" s="64" t="str">
        <f>IFERROR(VLOOKUP(ExtComp[[#This Row],[DEVELOPMENT]],Data[],22,FALSE),"")</f>
        <v/>
      </c>
      <c r="O76" s="71" t="str">
        <f>IFERROR(VLOOKUP(ExtComp[[#This Row],[DEVELOPMENT]],Data[],23,FALSE),"")</f>
        <v/>
      </c>
    </row>
    <row r="77" spans="1:15">
      <c r="A77" s="65" t="s">
        <v>65</v>
      </c>
      <c r="B77" s="1" t="str">
        <f>VLOOKUP(A77,Data[],2,FALSE)</f>
        <v>MANHATTAN</v>
      </c>
      <c r="C77" s="9" t="s">
        <v>68</v>
      </c>
      <c r="D77" s="9" t="str">
        <f>VLOOKUP(ExtComp[[#This Row],[DEVELOPMENT]],Data[],8,FALSE)</f>
        <v>Zone 1</v>
      </c>
      <c r="E77" s="9">
        <f>VLOOKUP(ExtComp[[#This Row],[DEVELOPMENT]],Data[],9,FALSE)</f>
        <v>4</v>
      </c>
      <c r="F77" s="9" t="str">
        <f ca="1">IFERROR(VLOOKUP(ExtComp[[#This Row],[DEVELOPMENT]],Data[],4,FALSE),"")</f>
        <v/>
      </c>
      <c r="G77" s="9" t="str">
        <f ca="1">IF(ExtComp[[#This Row],[RAD/PACT]]="","",IF(ExtComp[[#This Row],[RAD/PACT]]&lt;=2025,"Yes",""))</f>
        <v/>
      </c>
      <c r="H77" s="1" t="str">
        <f ca="1">IF(VLOOKUP(ExtComp[[#This Row],[DEVELOPMENT]],Data[],11,FALSE)=0,"",DATEDIF(VLOOKUP(ExtComp[[#This Row],[DEVELOPMENT]],Data[],13,FALSE),TODAY(),"Y"))</f>
        <v/>
      </c>
      <c r="I77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77" s="47">
        <f ca="1">(ExtComp[[#This Row],['# to Replace]]*'Unit Cost Summary'!$B$6)*(1+((ExtComp[[#This Row],[est. Year]]-YEAR(TODAY()))*$J$2))</f>
        <v>0</v>
      </c>
      <c r="K77" s="1">
        <f ca="1">SUM(INDEX(ExtComp['# to Replace],1):ExtComp[[#This Row],['# to Replace]])</f>
        <v>77</v>
      </c>
      <c r="L77" s="1">
        <f ca="1">ROUNDDOWN(ExtComp[[#This Row],[Count]]/50,0)+$L$1</f>
        <v>2021</v>
      </c>
      <c r="M77" s="64">
        <f t="shared" ca="1" si="1"/>
        <v>5666801.9850000003</v>
      </c>
      <c r="N77" s="64" t="str">
        <f>IFERROR(VLOOKUP(ExtComp[[#This Row],[DEVELOPMENT]],Data[],22,FALSE),"")</f>
        <v/>
      </c>
      <c r="O77" s="51" t="str">
        <f>IFERROR(VLOOKUP(ExtComp[[#This Row],[DEVELOPMENT]],Data[],23,FALSE),"")</f>
        <v/>
      </c>
    </row>
    <row r="78" spans="1:15">
      <c r="A78" s="13" t="s">
        <v>361</v>
      </c>
      <c r="B78" s="9" t="str">
        <f>VLOOKUP(A78,Data[],2,FALSE)</f>
        <v>BRONX</v>
      </c>
      <c r="C78" s="9" t="s">
        <v>68</v>
      </c>
      <c r="D78" s="50">
        <f>VLOOKUP(ExtComp[[#This Row],[DEVELOPMENT]],Data[],8,FALSE)</f>
        <v>0</v>
      </c>
      <c r="E78" s="50">
        <f>VLOOKUP(ExtComp[[#This Row],[DEVELOPMENT]],Data[],9,FALSE)</f>
        <v>0</v>
      </c>
      <c r="F78" s="50" t="str">
        <f ca="1">IFERROR(VLOOKUP(ExtComp[[#This Row],[DEVELOPMENT]],Data[],4,FALSE),"")</f>
        <v/>
      </c>
      <c r="G78" s="50" t="str">
        <f ca="1">IF(ExtComp[[#This Row],[RAD/PACT]]="","",IF(ExtComp[[#This Row],[RAD/PACT]]&lt;=2025,"Yes",""))</f>
        <v/>
      </c>
      <c r="H78" s="51">
        <f ca="1">IF(VLOOKUP(ExtComp[[#This Row],[DEVELOPMENT]],Data[],11,FALSE)=0,"",DATEDIF(VLOOKUP(ExtComp[[#This Row],[DEVELOPMENT]],Data[],13,FALSE),TODAY(),"Y"))</f>
        <v>19</v>
      </c>
      <c r="I78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78" s="47">
        <f ca="1">(ExtComp[[#This Row],['# to Replace]]*'Unit Cost Summary'!$B$6)*(1+((ExtComp[[#This Row],[est. Year]]-YEAR(TODAY()))*$J$2))</f>
        <v>390813.93</v>
      </c>
      <c r="K78" s="51">
        <f ca="1">SUM(INDEX(ExtComp['# to Replace],1):ExtComp[[#This Row],['# to Replace]])</f>
        <v>79</v>
      </c>
      <c r="L78" s="51">
        <f ca="1">ROUNDDOWN(ExtComp[[#This Row],[Count]]/50,0)+$L$1</f>
        <v>2021</v>
      </c>
      <c r="M78" s="64">
        <f t="shared" ca="1" si="1"/>
        <v>6057615.915</v>
      </c>
      <c r="N78" s="64" t="str">
        <f>IFERROR(VLOOKUP(ExtComp[[#This Row],[DEVELOPMENT]],Data[],22,FALSE),"")</f>
        <v/>
      </c>
      <c r="O78" s="71" t="str">
        <f>IFERROR(VLOOKUP(ExtComp[[#This Row],[DEVELOPMENT]],Data[],23,FALSE),"")</f>
        <v/>
      </c>
    </row>
    <row r="79" spans="1:15">
      <c r="A79" s="13" t="s">
        <v>254</v>
      </c>
      <c r="B79" s="9" t="str">
        <f>VLOOKUP(A79,Data[],2,FALSE)</f>
        <v>BROOKLYN</v>
      </c>
      <c r="C79" s="9" t="s">
        <v>68</v>
      </c>
      <c r="D79" s="50">
        <f>VLOOKUP(ExtComp[[#This Row],[DEVELOPMENT]],Data[],8,FALSE)</f>
        <v>0</v>
      </c>
      <c r="E79" s="50">
        <f>VLOOKUP(ExtComp[[#This Row],[DEVELOPMENT]],Data[],9,FALSE)</f>
        <v>0</v>
      </c>
      <c r="F79" s="50" t="str">
        <f ca="1">IFERROR(VLOOKUP(ExtComp[[#This Row],[DEVELOPMENT]],Data[],4,FALSE),"")</f>
        <v/>
      </c>
      <c r="G79" s="50" t="str">
        <f ca="1">IF(ExtComp[[#This Row],[RAD/PACT]]="","",IF(ExtComp[[#This Row],[RAD/PACT]]&lt;=2025,"Yes",""))</f>
        <v/>
      </c>
      <c r="H79" s="51" t="str">
        <f ca="1">IF(VLOOKUP(ExtComp[[#This Row],[DEVELOPMENT]],Data[],11,FALSE)=0,"",DATEDIF(VLOOKUP(ExtComp[[#This Row],[DEVELOPMENT]],Data[],13,FALSE),TODAY(),"Y"))</f>
        <v/>
      </c>
      <c r="I7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79" s="47">
        <f ca="1">(ExtComp[[#This Row],['# to Replace]]*'Unit Cost Summary'!$B$6)*(1+((ExtComp[[#This Row],[est. Year]]-YEAR(TODAY()))*$J$2))</f>
        <v>0</v>
      </c>
      <c r="K79" s="51">
        <f ca="1">SUM(INDEX(ExtComp['# to Replace],1):ExtComp[[#This Row],['# to Replace]])</f>
        <v>79</v>
      </c>
      <c r="L79" s="51">
        <f ca="1">ROUNDDOWN(ExtComp[[#This Row],[Count]]/50,0)+$L$1</f>
        <v>2021</v>
      </c>
      <c r="M79" s="64">
        <f t="shared" ca="1" si="1"/>
        <v>6057615.915</v>
      </c>
      <c r="N79" s="64" t="str">
        <f>IFERROR(VLOOKUP(ExtComp[[#This Row],[DEVELOPMENT]],Data[],22,FALSE),"")</f>
        <v/>
      </c>
      <c r="O79" s="71" t="str">
        <f>IFERROR(VLOOKUP(ExtComp[[#This Row],[DEVELOPMENT]],Data[],23,FALSE),"")</f>
        <v/>
      </c>
    </row>
    <row r="80" spans="1:15">
      <c r="A80" s="13" t="s">
        <v>360</v>
      </c>
      <c r="B80" s="9" t="str">
        <f>VLOOKUP(A80,Data[],2,FALSE)</f>
        <v>MANHATTAN</v>
      </c>
      <c r="C80" s="9"/>
      <c r="D80" s="50">
        <f>VLOOKUP(ExtComp[[#This Row],[DEVELOPMENT]],Data[],8,FALSE)</f>
        <v>0</v>
      </c>
      <c r="E80" s="50">
        <f>VLOOKUP(ExtComp[[#This Row],[DEVELOPMENT]],Data[],9,FALSE)</f>
        <v>0</v>
      </c>
      <c r="F80" s="50" t="str">
        <f ca="1">IFERROR(VLOOKUP(ExtComp[[#This Row],[DEVELOPMENT]],Data[],4,FALSE),"")</f>
        <v>2020-2021</v>
      </c>
      <c r="G80" s="50" t="str">
        <f ca="1">IF(ExtComp[[#This Row],[RAD/PACT]]="","",IF(ExtComp[[#This Row],[RAD/PACT]]&lt;=2025,"Yes",""))</f>
        <v/>
      </c>
      <c r="H80" s="51" t="str">
        <f ca="1">IF(VLOOKUP(ExtComp[[#This Row],[DEVELOPMENT]],Data[],11,FALSE)=0,"",DATEDIF(VLOOKUP(ExtComp[[#This Row],[DEVELOPMENT]],Data[],13,FALSE),TODAY(),"Y"))</f>
        <v/>
      </c>
      <c r="I8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80" s="47">
        <f ca="1">(ExtComp[[#This Row],['# to Replace]]*'Unit Cost Summary'!$B$6)*(1+((ExtComp[[#This Row],[est. Year]]-YEAR(TODAY()))*$J$2))</f>
        <v>0</v>
      </c>
      <c r="K80" s="51">
        <f ca="1">SUM(INDEX(ExtComp['# to Replace],1):ExtComp[[#This Row],['# to Replace]])</f>
        <v>79</v>
      </c>
      <c r="L80" s="51">
        <f ca="1">ROUNDDOWN(ExtComp[[#This Row],[Count]]/50,0)+$L$1</f>
        <v>2021</v>
      </c>
      <c r="M80" s="64">
        <f t="shared" ca="1" si="1"/>
        <v>6057615.915</v>
      </c>
      <c r="N80" s="64" t="str">
        <f>IFERROR(VLOOKUP(ExtComp[[#This Row],[DEVELOPMENT]],Data[],22,FALSE),"")</f>
        <v/>
      </c>
      <c r="O80" s="71" t="str">
        <f>IFERROR(VLOOKUP(ExtComp[[#This Row],[DEVELOPMENT]],Data[],23,FALSE),"")</f>
        <v/>
      </c>
    </row>
    <row r="81" spans="1:15">
      <c r="A81" s="13" t="s">
        <v>359</v>
      </c>
      <c r="B81" s="9" t="str">
        <f>VLOOKUP(A81,Data[],2,FALSE)</f>
        <v>MANHATTAN</v>
      </c>
      <c r="C81" s="9"/>
      <c r="D81" s="50">
        <f>VLOOKUP(ExtComp[[#This Row],[DEVELOPMENT]],Data[],8,FALSE)</f>
        <v>0</v>
      </c>
      <c r="E81" s="50">
        <f>VLOOKUP(ExtComp[[#This Row],[DEVELOPMENT]],Data[],9,FALSE)</f>
        <v>0</v>
      </c>
      <c r="F81" s="50" t="str">
        <f ca="1">IFERROR(VLOOKUP(ExtComp[[#This Row],[DEVELOPMENT]],Data[],4,FALSE),"")</f>
        <v>2020-2021</v>
      </c>
      <c r="G81" s="50" t="str">
        <f ca="1">IF(ExtComp[[#This Row],[RAD/PACT]]="","",IF(ExtComp[[#This Row],[RAD/PACT]]&lt;=2025,"Yes",""))</f>
        <v/>
      </c>
      <c r="H81" s="51" t="str">
        <f ca="1">IF(VLOOKUP(ExtComp[[#This Row],[DEVELOPMENT]],Data[],11,FALSE)=0,"",DATEDIF(VLOOKUP(ExtComp[[#This Row],[DEVELOPMENT]],Data[],13,FALSE),TODAY(),"Y"))</f>
        <v/>
      </c>
      <c r="I81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81" s="47">
        <f ca="1">(ExtComp[[#This Row],['# to Replace]]*'Unit Cost Summary'!$B$6)*(1+((ExtComp[[#This Row],[est. Year]]-YEAR(TODAY()))*$J$2))</f>
        <v>0</v>
      </c>
      <c r="K81" s="51">
        <f ca="1">SUM(INDEX(ExtComp['# to Replace],1):ExtComp[[#This Row],['# to Replace]])</f>
        <v>79</v>
      </c>
      <c r="L81" s="51">
        <f ca="1">ROUNDDOWN(ExtComp[[#This Row],[Count]]/50,0)+$L$1</f>
        <v>2021</v>
      </c>
      <c r="M81" s="64">
        <f t="shared" ca="1" si="1"/>
        <v>6057615.915</v>
      </c>
      <c r="N81" s="64" t="str">
        <f>IFERROR(VLOOKUP(ExtComp[[#This Row],[DEVELOPMENT]],Data[],22,FALSE),"")</f>
        <v/>
      </c>
      <c r="O81" s="71" t="str">
        <f>IFERROR(VLOOKUP(ExtComp[[#This Row],[DEVELOPMENT]],Data[],23,FALSE),"")</f>
        <v/>
      </c>
    </row>
    <row r="82" spans="1:15">
      <c r="A82" s="13" t="s">
        <v>358</v>
      </c>
      <c r="B82" s="9" t="str">
        <f>VLOOKUP(A82,Data[],2,FALSE)</f>
        <v>MANHATTAN</v>
      </c>
      <c r="C82" s="9"/>
      <c r="D82" s="50">
        <f>VLOOKUP(ExtComp[[#This Row],[DEVELOPMENT]],Data[],8,FALSE)</f>
        <v>0</v>
      </c>
      <c r="E82" s="50">
        <f>VLOOKUP(ExtComp[[#This Row],[DEVELOPMENT]],Data[],9,FALSE)</f>
        <v>0</v>
      </c>
      <c r="F82" s="50" t="str">
        <f ca="1">IFERROR(VLOOKUP(ExtComp[[#This Row],[DEVELOPMENT]],Data[],4,FALSE),"")</f>
        <v>2020-2021</v>
      </c>
      <c r="G82" s="50" t="str">
        <f ca="1">IF(ExtComp[[#This Row],[RAD/PACT]]="","",IF(ExtComp[[#This Row],[RAD/PACT]]&lt;=2025,"Yes",""))</f>
        <v/>
      </c>
      <c r="H82" s="51" t="str">
        <f ca="1">IF(VLOOKUP(ExtComp[[#This Row],[DEVELOPMENT]],Data[],11,FALSE)=0,"",DATEDIF(VLOOKUP(ExtComp[[#This Row],[DEVELOPMENT]],Data[],13,FALSE),TODAY(),"Y"))</f>
        <v/>
      </c>
      <c r="I8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82" s="47">
        <f ca="1">(ExtComp[[#This Row],['# to Replace]]*'Unit Cost Summary'!$B$6)*(1+((ExtComp[[#This Row],[est. Year]]-YEAR(TODAY()))*$J$2))</f>
        <v>0</v>
      </c>
      <c r="K82" s="51">
        <f ca="1">SUM(INDEX(ExtComp['# to Replace],1):ExtComp[[#This Row],['# to Replace]])</f>
        <v>79</v>
      </c>
      <c r="L82" s="51">
        <f ca="1">ROUNDDOWN(ExtComp[[#This Row],[Count]]/50,0)+$L$1</f>
        <v>2021</v>
      </c>
      <c r="M82" s="64">
        <f t="shared" ca="1" si="1"/>
        <v>6057615.915</v>
      </c>
      <c r="N82" s="64" t="str">
        <f>IFERROR(VLOOKUP(ExtComp[[#This Row],[DEVELOPMENT]],Data[],22,FALSE),"")</f>
        <v/>
      </c>
      <c r="O82" s="71" t="str">
        <f>IFERROR(VLOOKUP(ExtComp[[#This Row],[DEVELOPMENT]],Data[],23,FALSE),"")</f>
        <v/>
      </c>
    </row>
    <row r="83" spans="1:15">
      <c r="A83" s="13" t="s">
        <v>95</v>
      </c>
      <c r="B83" s="1" t="str">
        <f>VLOOKUP(A83,Data[],2,FALSE)</f>
        <v>MANHATTAN</v>
      </c>
      <c r="C83" s="9" t="s">
        <v>68</v>
      </c>
      <c r="D83" s="9" t="str">
        <f>VLOOKUP(ExtComp[[#This Row],[DEVELOPMENT]],Data[],8,FALSE)</f>
        <v>Zone 2</v>
      </c>
      <c r="E83" s="9">
        <f>VLOOKUP(ExtComp[[#This Row],[DEVELOPMENT]],Data[],9,FALSE)</f>
        <v>3</v>
      </c>
      <c r="F83" s="9" t="str">
        <f ca="1">IFERROR(VLOOKUP(ExtComp[[#This Row],[DEVELOPMENT]],Data[],4,FALSE),"")</f>
        <v>2020-2021</v>
      </c>
      <c r="G83" s="9" t="str">
        <f ca="1">IF(ExtComp[[#This Row],[RAD/PACT]]="","",IF(ExtComp[[#This Row],[RAD/PACT]]&lt;=2025,"Yes",""))</f>
        <v/>
      </c>
      <c r="H83" s="1" t="str">
        <f ca="1">IF(VLOOKUP(ExtComp[[#This Row],[DEVELOPMENT]],Data[],11,FALSE)=0,"",DATEDIF(VLOOKUP(ExtComp[[#This Row],[DEVELOPMENT]],Data[],13,FALSE),TODAY(),"Y"))</f>
        <v/>
      </c>
      <c r="I83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83" s="47">
        <f ca="1">(ExtComp[[#This Row],['# to Replace]]*'Unit Cost Summary'!$B$6)*(1+((ExtComp[[#This Row],[est. Year]]-YEAR(TODAY()))*$J$2))</f>
        <v>0</v>
      </c>
      <c r="K83" s="1">
        <f ca="1">SUM(INDEX(ExtComp['# to Replace],1):ExtComp[[#This Row],['# to Replace]])</f>
        <v>79</v>
      </c>
      <c r="L83" s="1">
        <f ca="1">ROUNDDOWN(ExtComp[[#This Row],[Count]]/50,0)+$L$1</f>
        <v>2021</v>
      </c>
      <c r="M83" s="64">
        <f t="shared" ca="1" si="1"/>
        <v>6057615.915</v>
      </c>
      <c r="N83" s="64" t="str">
        <f>IFERROR(VLOOKUP(ExtComp[[#This Row],[DEVELOPMENT]],Data[],22,FALSE),"")</f>
        <v/>
      </c>
      <c r="O83" s="51" t="str">
        <f>IFERROR(VLOOKUP(ExtComp[[#This Row],[DEVELOPMENT]],Data[],23,FALSE),"")</f>
        <v/>
      </c>
    </row>
    <row r="84" spans="1:15">
      <c r="A84" s="13" t="s">
        <v>136</v>
      </c>
      <c r="B84" s="1" t="str">
        <f>VLOOKUP(A84,Data[],2,FALSE)</f>
        <v>MANHATTAN</v>
      </c>
      <c r="C84" s="9" t="s">
        <v>68</v>
      </c>
      <c r="D84" s="9" t="str">
        <f>VLOOKUP(ExtComp[[#This Row],[DEVELOPMENT]],Data[],8,FALSE)</f>
        <v>Zone 2</v>
      </c>
      <c r="E84" s="9">
        <f>VLOOKUP(ExtComp[[#This Row],[DEVELOPMENT]],Data[],9,FALSE)</f>
        <v>4</v>
      </c>
      <c r="F84" s="9" t="str">
        <f ca="1">IFERROR(VLOOKUP(ExtComp[[#This Row],[DEVELOPMENT]],Data[],4,FALSE),"")</f>
        <v>2026+</v>
      </c>
      <c r="G84" s="9" t="str">
        <f ca="1">IF(ExtComp[[#This Row],[RAD/PACT]]="","",IF(ExtComp[[#This Row],[RAD/PACT]]&lt;=2025,"Yes",""))</f>
        <v/>
      </c>
      <c r="H84" s="1">
        <f ca="1">IF(VLOOKUP(ExtComp[[#This Row],[DEVELOPMENT]],Data[],11,FALSE)=0,"",DATEDIF(VLOOKUP(ExtComp[[#This Row],[DEVELOPMENT]],Data[],13,FALSE),TODAY(),"Y"))</f>
        <v>2</v>
      </c>
      <c r="I84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84" s="47">
        <f ca="1">(ExtComp[[#This Row],['# to Replace]]*'Unit Cost Summary'!$B$6)*(1+((ExtComp[[#This Row],[est. Year]]-YEAR(TODAY()))*$J$2))</f>
        <v>586220.8949999999</v>
      </c>
      <c r="K84" s="1">
        <f ca="1">SUM(INDEX(ExtComp['# to Replace],1):ExtComp[[#This Row],['# to Replace]])</f>
        <v>82</v>
      </c>
      <c r="L84" s="1">
        <f ca="1">ROUNDDOWN(ExtComp[[#This Row],[Count]]/50,0)+$L$1</f>
        <v>2021</v>
      </c>
      <c r="M84" s="64">
        <f t="shared" ca="1" si="1"/>
        <v>6643836.8099999996</v>
      </c>
      <c r="N84" s="64" t="str">
        <f>IFERROR(VLOOKUP(ExtComp[[#This Row],[DEVELOPMENT]],Data[],22,FALSE),"")</f>
        <v/>
      </c>
      <c r="O84" s="71" t="str">
        <f>IFERROR(VLOOKUP(ExtComp[[#This Row],[DEVELOPMENT]],Data[],23,FALSE),"")</f>
        <v/>
      </c>
    </row>
    <row r="85" spans="1:15">
      <c r="A85" s="13" t="s">
        <v>123</v>
      </c>
      <c r="B85" s="1" t="str">
        <f>VLOOKUP(A85,Data[],2,FALSE)</f>
        <v>BRONX</v>
      </c>
      <c r="C85" s="9" t="s">
        <v>68</v>
      </c>
      <c r="D85" s="9" t="str">
        <f>VLOOKUP(ExtComp[[#This Row],[DEVELOPMENT]],Data[],8,FALSE)</f>
        <v>Zone 3</v>
      </c>
      <c r="E85" s="9">
        <f>VLOOKUP(ExtComp[[#This Row],[DEVELOPMENT]],Data[],9,FALSE)</f>
        <v>4</v>
      </c>
      <c r="F85" s="9" t="str">
        <f ca="1">IFERROR(VLOOKUP(ExtComp[[#This Row],[DEVELOPMENT]],Data[],4,FALSE),"")</f>
        <v>2026+</v>
      </c>
      <c r="G85" s="9" t="str">
        <f ca="1">IF(ExtComp[[#This Row],[RAD/PACT]]="","",IF(ExtComp[[#This Row],[RAD/PACT]]&lt;=2025,"Yes",""))</f>
        <v/>
      </c>
      <c r="H85" s="1">
        <f ca="1">IF(VLOOKUP(ExtComp[[#This Row],[DEVELOPMENT]],Data[],11,FALSE)=0,"",DATEDIF(VLOOKUP(ExtComp[[#This Row],[DEVELOPMENT]],Data[],13,FALSE),TODAY(),"Y"))</f>
        <v>14</v>
      </c>
      <c r="I85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85" s="47">
        <f ca="1">(ExtComp[[#This Row],['# to Replace]]*'Unit Cost Summary'!$B$6)*(1+((ExtComp[[#This Row],[est. Year]]-YEAR(TODAY()))*$J$2))</f>
        <v>390813.93</v>
      </c>
      <c r="K85" s="1">
        <f ca="1">SUM(INDEX(ExtComp['# to Replace],1):ExtComp[[#This Row],['# to Replace]])</f>
        <v>84</v>
      </c>
      <c r="L85" s="1">
        <f ca="1">ROUNDDOWN(ExtComp[[#This Row],[Count]]/50,0)+$L$1</f>
        <v>2021</v>
      </c>
      <c r="M85" s="64">
        <f t="shared" ca="1" si="1"/>
        <v>7034650.7399999993</v>
      </c>
      <c r="N85" s="64" t="str">
        <f>IFERROR(VLOOKUP(ExtComp[[#This Row],[DEVELOPMENT]],Data[],22,FALSE),"")</f>
        <v/>
      </c>
      <c r="O85" s="71" t="str">
        <f>IFERROR(VLOOKUP(ExtComp[[#This Row],[DEVELOPMENT]],Data[],23,FALSE),"")</f>
        <v/>
      </c>
    </row>
    <row r="86" spans="1:15">
      <c r="A86" s="13" t="s">
        <v>253</v>
      </c>
      <c r="B86" s="9" t="str">
        <f>VLOOKUP(A86,Data[],2,FALSE)</f>
        <v>BRONX</v>
      </c>
      <c r="C86" s="9"/>
      <c r="D86" s="50">
        <f>VLOOKUP(ExtComp[[#This Row],[DEVELOPMENT]],Data[],8,FALSE)</f>
        <v>0</v>
      </c>
      <c r="E86" s="50">
        <f>VLOOKUP(ExtComp[[#This Row],[DEVELOPMENT]],Data[],9,FALSE)</f>
        <v>0</v>
      </c>
      <c r="F86" s="50" t="str">
        <f ca="1">IFERROR(VLOOKUP(ExtComp[[#This Row],[DEVELOPMENT]],Data[],4,FALSE),"")</f>
        <v>2022-2025</v>
      </c>
      <c r="G86" s="50" t="str">
        <f ca="1">IF(ExtComp[[#This Row],[RAD/PACT]]="","",IF(ExtComp[[#This Row],[RAD/PACT]]&lt;=2025,"Yes",""))</f>
        <v/>
      </c>
      <c r="H86" s="51" t="str">
        <f ca="1">IF(VLOOKUP(ExtComp[[#This Row],[DEVELOPMENT]],Data[],11,FALSE)=0,"",DATEDIF(VLOOKUP(ExtComp[[#This Row],[DEVELOPMENT]],Data[],13,FALSE),TODAY(),"Y"))</f>
        <v/>
      </c>
      <c r="I8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86" s="47">
        <f ca="1">(ExtComp[[#This Row],['# to Replace]]*'Unit Cost Summary'!$B$6)*(1+((ExtComp[[#This Row],[est. Year]]-YEAR(TODAY()))*$J$2))</f>
        <v>0</v>
      </c>
      <c r="K86" s="51">
        <f ca="1">SUM(INDEX(ExtComp['# to Replace],1):ExtComp[[#This Row],['# to Replace]])</f>
        <v>84</v>
      </c>
      <c r="L86" s="51">
        <f ca="1">ROUNDDOWN(ExtComp[[#This Row],[Count]]/50,0)+$L$1</f>
        <v>2021</v>
      </c>
      <c r="M86" s="64">
        <f t="shared" ca="1" si="1"/>
        <v>7034650.7399999993</v>
      </c>
      <c r="N86" s="64" t="str">
        <f>IFERROR(VLOOKUP(ExtComp[[#This Row],[DEVELOPMENT]],Data[],22,FALSE),"")</f>
        <v/>
      </c>
      <c r="O86" s="71" t="str">
        <f>IFERROR(VLOOKUP(ExtComp[[#This Row],[DEVELOPMENT]],Data[],23,FALSE),"")</f>
        <v/>
      </c>
    </row>
    <row r="87" spans="1:15">
      <c r="A87" s="13" t="s">
        <v>216</v>
      </c>
      <c r="B87" s="9" t="str">
        <f>VLOOKUP(A87,Data[],2,FALSE)</f>
        <v>BROOKLYN</v>
      </c>
      <c r="C87" s="9"/>
      <c r="D87" s="50">
        <f>VLOOKUP(ExtComp[[#This Row],[DEVELOPMENT]],Data[],8,FALSE)</f>
        <v>0</v>
      </c>
      <c r="E87" s="50">
        <f>VLOOKUP(ExtComp[[#This Row],[DEVELOPMENT]],Data[],9,FALSE)</f>
        <v>0</v>
      </c>
      <c r="F87" s="50" t="str">
        <f ca="1">IFERROR(VLOOKUP(ExtComp[[#This Row],[DEVELOPMENT]],Data[],4,FALSE),"")</f>
        <v>2020-2021</v>
      </c>
      <c r="G87" s="50" t="str">
        <f ca="1">IF(ExtComp[[#This Row],[RAD/PACT]]="","",IF(ExtComp[[#This Row],[RAD/PACT]]&lt;=2025,"Yes",""))</f>
        <v/>
      </c>
      <c r="H87" s="51" t="str">
        <f ca="1">IF(VLOOKUP(ExtComp[[#This Row],[DEVELOPMENT]],Data[],11,FALSE)=0,"",DATEDIF(VLOOKUP(ExtComp[[#This Row],[DEVELOPMENT]],Data[],13,FALSE),TODAY(),"Y"))</f>
        <v/>
      </c>
      <c r="I8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87" s="47">
        <f ca="1">(ExtComp[[#This Row],['# to Replace]]*'Unit Cost Summary'!$B$6)*(1+((ExtComp[[#This Row],[est. Year]]-YEAR(TODAY()))*$J$2))</f>
        <v>0</v>
      </c>
      <c r="K87" s="51">
        <f ca="1">SUM(INDEX(ExtComp['# to Replace],1):ExtComp[[#This Row],['# to Replace]])</f>
        <v>84</v>
      </c>
      <c r="L87" s="51">
        <f ca="1">ROUNDDOWN(ExtComp[[#This Row],[Count]]/50,0)+$L$1</f>
        <v>2021</v>
      </c>
      <c r="M87" s="64">
        <f t="shared" ca="1" si="1"/>
        <v>7034650.7399999993</v>
      </c>
      <c r="N87" s="64" t="str">
        <f>IFERROR(VLOOKUP(ExtComp[[#This Row],[DEVELOPMENT]],Data[],22,FALSE),"")</f>
        <v/>
      </c>
      <c r="O87" s="71" t="str">
        <f>IFERROR(VLOOKUP(ExtComp[[#This Row],[DEVELOPMENT]],Data[],23,FALSE),"")</f>
        <v/>
      </c>
    </row>
    <row r="88" spans="1:15">
      <c r="A88" s="65" t="s">
        <v>43</v>
      </c>
      <c r="B88" s="1" t="str">
        <f>VLOOKUP(A88,Data[],2,FALSE)</f>
        <v>MANHATTAN</v>
      </c>
      <c r="C88" s="9" t="s">
        <v>68</v>
      </c>
      <c r="D88" s="9" t="str">
        <f>VLOOKUP(ExtComp[[#This Row],[DEVELOPMENT]],Data[],8,FALSE)</f>
        <v>Zone 1</v>
      </c>
      <c r="E88" s="9">
        <f>VLOOKUP(ExtComp[[#This Row],[DEVELOPMENT]],Data[],9,FALSE)</f>
        <v>4</v>
      </c>
      <c r="F88" s="9" t="str">
        <f ca="1">IFERROR(VLOOKUP(ExtComp[[#This Row],[DEVELOPMENT]],Data[],4,FALSE),"")</f>
        <v/>
      </c>
      <c r="G88" s="9" t="str">
        <f ca="1">IF(ExtComp[[#This Row],[RAD/PACT]]="","",IF(ExtComp[[#This Row],[RAD/PACT]]&lt;=2025,"Yes",""))</f>
        <v/>
      </c>
      <c r="H88" s="1">
        <f ca="1">IF(VLOOKUP(ExtComp[[#This Row],[DEVELOPMENT]],Data[],11,FALSE)=0,"",DATEDIF(VLOOKUP(ExtComp[[#This Row],[DEVELOPMENT]],Data[],13,FALSE),TODAY(),"Y"))</f>
        <v>14</v>
      </c>
      <c r="I88" s="1">
        <f ca="1">IF(ExtComp[[#This Row],[RAD/PACT]]="",VLOOKUP(ExtComp[[#This Row],[DEVELOPMENT]],Data[],11,FALSE),IF(ExtComp[[#This Row],[RAD/PACT by 2025]]="yes",0,VLOOKUP(ExtComp[[#This Row],[DEVELOPMENT]],Data[],11,FALSE)))</f>
        <v>1</v>
      </c>
      <c r="J88" s="47">
        <f ca="1">(ExtComp[[#This Row],['# to Replace]]*'Unit Cost Summary'!$B$6)*(1+((ExtComp[[#This Row],[est. Year]]-YEAR(TODAY()))*$J$2))</f>
        <v>195406.965</v>
      </c>
      <c r="K88" s="1">
        <f ca="1">SUM(INDEX(ExtComp['# to Replace],1):ExtComp[[#This Row],['# to Replace]])</f>
        <v>85</v>
      </c>
      <c r="L88" s="1">
        <f ca="1">ROUNDDOWN(ExtComp[[#This Row],[Count]]/50,0)+$L$1</f>
        <v>2021</v>
      </c>
      <c r="M88" s="64">
        <f t="shared" ca="1" si="1"/>
        <v>7230057.7049999991</v>
      </c>
      <c r="N88" s="64" t="str">
        <f>IFERROR(VLOOKUP(ExtComp[[#This Row],[DEVELOPMENT]],Data[],22,FALSE),"")</f>
        <v/>
      </c>
      <c r="O88" s="71" t="str">
        <f>IFERROR(VLOOKUP(ExtComp[[#This Row],[DEVELOPMENT]],Data[],23,FALSE),"")</f>
        <v/>
      </c>
    </row>
    <row r="89" spans="1:15">
      <c r="A89" s="65" t="s">
        <v>148</v>
      </c>
      <c r="B89" s="1" t="str">
        <f>VLOOKUP(A89,Data[],2,FALSE)</f>
        <v>BROOKLYN</v>
      </c>
      <c r="C89" s="9" t="s">
        <v>68</v>
      </c>
      <c r="D89" s="9" t="str">
        <f>VLOOKUP(ExtComp[[#This Row],[DEVELOPMENT]],Data[],8,FALSE)</f>
        <v>Zone 1</v>
      </c>
      <c r="E89" s="9">
        <f>VLOOKUP(ExtComp[[#This Row],[DEVELOPMENT]],Data[],9,FALSE)</f>
        <v>4</v>
      </c>
      <c r="F89" s="9" t="str">
        <f ca="1">IFERROR(VLOOKUP(ExtComp[[#This Row],[DEVELOPMENT]],Data[],4,FALSE),"")</f>
        <v/>
      </c>
      <c r="G89" s="9" t="str">
        <f ca="1">IF(ExtComp[[#This Row],[RAD/PACT]]="","",IF(ExtComp[[#This Row],[RAD/PACT]]&lt;=2025,"Yes",""))</f>
        <v/>
      </c>
      <c r="H89" s="1" t="str">
        <f ca="1">IF(VLOOKUP(ExtComp[[#This Row],[DEVELOPMENT]],Data[],11,FALSE)=0,"",DATEDIF(VLOOKUP(ExtComp[[#This Row],[DEVELOPMENT]],Data[],13,FALSE),TODAY(),"Y"))</f>
        <v/>
      </c>
      <c r="I89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89" s="47">
        <f ca="1">(ExtComp[[#This Row],['# to Replace]]*'Unit Cost Summary'!$B$6)*(1+((ExtComp[[#This Row],[est. Year]]-YEAR(TODAY()))*$J$2))</f>
        <v>0</v>
      </c>
      <c r="K89" s="1">
        <f ca="1">SUM(INDEX(ExtComp['# to Replace],1):ExtComp[[#This Row],['# to Replace]])</f>
        <v>85</v>
      </c>
      <c r="L89" s="1">
        <f ca="1">ROUNDDOWN(ExtComp[[#This Row],[Count]]/50,0)+$L$1</f>
        <v>2021</v>
      </c>
      <c r="M89" s="64">
        <f t="shared" ca="1" si="1"/>
        <v>7230057.7049999991</v>
      </c>
      <c r="N89" s="64" t="str">
        <f>IFERROR(VLOOKUP(ExtComp[[#This Row],[DEVELOPMENT]],Data[],22,FALSE),"")</f>
        <v/>
      </c>
      <c r="O89" s="51" t="str">
        <f>IFERROR(VLOOKUP(ExtComp[[#This Row],[DEVELOPMENT]],Data[],23,FALSE),"")</f>
        <v/>
      </c>
    </row>
    <row r="90" spans="1:15">
      <c r="A90" s="65" t="s">
        <v>42</v>
      </c>
      <c r="B90" s="1" t="str">
        <f>VLOOKUP(A90,Data[],2,FALSE)</f>
        <v>BROOKLYN</v>
      </c>
      <c r="C90" s="9" t="s">
        <v>68</v>
      </c>
      <c r="D90" s="9" t="str">
        <f>VLOOKUP(ExtComp[[#This Row],[DEVELOPMENT]],Data[],8,FALSE)</f>
        <v>Zone 1</v>
      </c>
      <c r="E90" s="9">
        <f>VLOOKUP(ExtComp[[#This Row],[DEVELOPMENT]],Data[],9,FALSE)</f>
        <v>4</v>
      </c>
      <c r="F90" s="9" t="str">
        <f ca="1">IFERROR(VLOOKUP(ExtComp[[#This Row],[DEVELOPMENT]],Data[],4,FALSE),"")</f>
        <v/>
      </c>
      <c r="G90" s="9" t="str">
        <f ca="1">IF(ExtComp[[#This Row],[RAD/PACT]]="","",IF(ExtComp[[#This Row],[RAD/PACT]]&lt;=2025,"Yes",""))</f>
        <v/>
      </c>
      <c r="H90" s="1">
        <f ca="1">IF(VLOOKUP(ExtComp[[#This Row],[DEVELOPMENT]],Data[],11,FALSE)=0,"",DATEDIF(VLOOKUP(ExtComp[[#This Row],[DEVELOPMENT]],Data[],13,FALSE),TODAY(),"Y"))</f>
        <v>1</v>
      </c>
      <c r="I90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90" s="47">
        <f ca="1">(ExtComp[[#This Row],['# to Replace]]*'Unit Cost Summary'!$B$6)*(1+((ExtComp[[#This Row],[est. Year]]-YEAR(TODAY()))*$J$2))</f>
        <v>390813.93</v>
      </c>
      <c r="K90" s="1">
        <f ca="1">SUM(INDEX(ExtComp['# to Replace],1):ExtComp[[#This Row],['# to Replace]])</f>
        <v>87</v>
      </c>
      <c r="L90" s="1">
        <f ca="1">ROUNDDOWN(ExtComp[[#This Row],[Count]]/50,0)+$L$1</f>
        <v>2021</v>
      </c>
      <c r="M90" s="64">
        <f t="shared" ca="1" si="1"/>
        <v>7620871.6349999988</v>
      </c>
      <c r="N90" s="64" t="str">
        <f>IFERROR(VLOOKUP(ExtComp[[#This Row],[DEVELOPMENT]],Data[],22,FALSE),"")</f>
        <v/>
      </c>
      <c r="O90" s="71" t="str">
        <f>IFERROR(VLOOKUP(ExtComp[[#This Row],[DEVELOPMENT]],Data[],23,FALSE),"")</f>
        <v/>
      </c>
    </row>
    <row r="91" spans="1:15">
      <c r="A91" s="13" t="s">
        <v>107</v>
      </c>
      <c r="B91" s="1" t="str">
        <f>VLOOKUP(A91,Data[],2,FALSE)</f>
        <v>MANHATTAN</v>
      </c>
      <c r="C91" s="9" t="s">
        <v>68</v>
      </c>
      <c r="D91" s="9" t="str">
        <f>VLOOKUP(ExtComp[[#This Row],[DEVELOPMENT]],Data[],8,FALSE)</f>
        <v>Zone 2</v>
      </c>
      <c r="E91" s="9">
        <f>VLOOKUP(ExtComp[[#This Row],[DEVELOPMENT]],Data[],9,FALSE)</f>
        <v>3</v>
      </c>
      <c r="F91" s="9" t="str">
        <f ca="1">IFERROR(VLOOKUP(ExtComp[[#This Row],[DEVELOPMENT]],Data[],4,FALSE),"")</f>
        <v/>
      </c>
      <c r="G91" s="9" t="str">
        <f ca="1">IF(ExtComp[[#This Row],[RAD/PACT]]="","",IF(ExtComp[[#This Row],[RAD/PACT]]&lt;=2025,"Yes",""))</f>
        <v/>
      </c>
      <c r="H91" s="1">
        <f ca="1">IF(VLOOKUP(ExtComp[[#This Row],[DEVELOPMENT]],Data[],11,FALSE)=0,"",DATEDIF(VLOOKUP(ExtComp[[#This Row],[DEVELOPMENT]],Data[],13,FALSE),TODAY(),"Y"))</f>
        <v>13</v>
      </c>
      <c r="I91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91" s="47">
        <f ca="1">(ExtComp[[#This Row],['# to Replace]]*'Unit Cost Summary'!$B$6)*(1+((ExtComp[[#This Row],[est. Year]]-YEAR(TODAY()))*$J$2))</f>
        <v>390813.93</v>
      </c>
      <c r="K91" s="1">
        <f ca="1">SUM(INDEX(ExtComp['# to Replace],1):ExtComp[[#This Row],['# to Replace]])</f>
        <v>89</v>
      </c>
      <c r="L91" s="1">
        <f ca="1">ROUNDDOWN(ExtComp[[#This Row],[Count]]/50,0)+$L$1</f>
        <v>2021</v>
      </c>
      <c r="M91" s="64">
        <f t="shared" ca="1" si="1"/>
        <v>8011685.5649999985</v>
      </c>
      <c r="N91" s="64" t="str">
        <f>IFERROR(VLOOKUP(ExtComp[[#This Row],[DEVELOPMENT]],Data[],22,FALSE),"")</f>
        <v/>
      </c>
      <c r="O91" s="71" t="str">
        <f>IFERROR(VLOOKUP(ExtComp[[#This Row],[DEVELOPMENT]],Data[],23,FALSE),"")</f>
        <v/>
      </c>
    </row>
    <row r="92" spans="1:15">
      <c r="A92" s="13" t="s">
        <v>195</v>
      </c>
      <c r="B92" s="9" t="str">
        <f>VLOOKUP(A92,Data[],2,FALSE)</f>
        <v>MANHATTAN</v>
      </c>
      <c r="C92" s="9" t="s">
        <v>68</v>
      </c>
      <c r="D92" s="50">
        <f>VLOOKUP(ExtComp[[#This Row],[DEVELOPMENT]],Data[],8,FALSE)</f>
        <v>0</v>
      </c>
      <c r="E92" s="50">
        <f>VLOOKUP(ExtComp[[#This Row],[DEVELOPMENT]],Data[],9,FALSE)</f>
        <v>0</v>
      </c>
      <c r="F92" s="50" t="str">
        <f ca="1">IFERROR(VLOOKUP(ExtComp[[#This Row],[DEVELOPMENT]],Data[],4,FALSE),"")</f>
        <v/>
      </c>
      <c r="G92" s="50" t="str">
        <f ca="1">IF(ExtComp[[#This Row],[RAD/PACT]]="","",IF(ExtComp[[#This Row],[RAD/PACT]]&lt;=2025,"Yes",""))</f>
        <v/>
      </c>
      <c r="H92" s="51" t="str">
        <f ca="1">IF(VLOOKUP(ExtComp[[#This Row],[DEVELOPMENT]],Data[],11,FALSE)=0,"",DATEDIF(VLOOKUP(ExtComp[[#This Row],[DEVELOPMENT]],Data[],13,FALSE),TODAY(),"Y"))</f>
        <v/>
      </c>
      <c r="I9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92" s="47">
        <f ca="1">(ExtComp[[#This Row],['# to Replace]]*'Unit Cost Summary'!$B$6)*(1+((ExtComp[[#This Row],[est. Year]]-YEAR(TODAY()))*$J$2))</f>
        <v>0</v>
      </c>
      <c r="K92" s="51">
        <f ca="1">SUM(INDEX(ExtComp['# to Replace],1):ExtComp[[#This Row],['# to Replace]])</f>
        <v>89</v>
      </c>
      <c r="L92" s="51">
        <f ca="1">ROUNDDOWN(ExtComp[[#This Row],[Count]]/50,0)+$L$1</f>
        <v>2021</v>
      </c>
      <c r="M92" s="64">
        <f t="shared" ca="1" si="1"/>
        <v>8011685.5649999985</v>
      </c>
      <c r="N92" s="64" t="str">
        <f>IFERROR(VLOOKUP(ExtComp[[#This Row],[DEVELOPMENT]],Data[],22,FALSE),"")</f>
        <v/>
      </c>
      <c r="O92" s="71" t="str">
        <f>IFERROR(VLOOKUP(ExtComp[[#This Row],[DEVELOPMENT]],Data[],23,FALSE),"")</f>
        <v/>
      </c>
    </row>
    <row r="93" spans="1:15">
      <c r="A93" s="65" t="s">
        <v>104</v>
      </c>
      <c r="B93" s="1" t="str">
        <f>VLOOKUP(A93,Data[],2,FALSE)</f>
        <v>MANHATTAN</v>
      </c>
      <c r="C93" s="9" t="s">
        <v>68</v>
      </c>
      <c r="D93" s="9" t="str">
        <f>VLOOKUP(ExtComp[[#This Row],[DEVELOPMENT]],Data[],8,FALSE)</f>
        <v>Zone 1</v>
      </c>
      <c r="E93" s="9">
        <f>VLOOKUP(ExtComp[[#This Row],[DEVELOPMENT]],Data[],9,FALSE)</f>
        <v>3</v>
      </c>
      <c r="F93" s="9" t="str">
        <f ca="1">IFERROR(VLOOKUP(ExtComp[[#This Row],[DEVELOPMENT]],Data[],4,FALSE),"")</f>
        <v/>
      </c>
      <c r="G93" s="9" t="str">
        <f ca="1">IF(ExtComp[[#This Row],[RAD/PACT]]="","",IF(ExtComp[[#This Row],[RAD/PACT]]&lt;=2025,"Yes",""))</f>
        <v/>
      </c>
      <c r="H93" s="1" t="str">
        <f ca="1">IF(VLOOKUP(ExtComp[[#This Row],[DEVELOPMENT]],Data[],11,FALSE)=0,"",DATEDIF(VLOOKUP(ExtComp[[#This Row],[DEVELOPMENT]],Data[],13,FALSE),TODAY(),"Y"))</f>
        <v/>
      </c>
      <c r="I93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93" s="47">
        <f ca="1">(ExtComp[[#This Row],['# to Replace]]*'Unit Cost Summary'!$B$6)*(1+((ExtComp[[#This Row],[est. Year]]-YEAR(TODAY()))*$J$2))</f>
        <v>0</v>
      </c>
      <c r="K93" s="1">
        <f ca="1">SUM(INDEX(ExtComp['# to Replace],1):ExtComp[[#This Row],['# to Replace]])</f>
        <v>89</v>
      </c>
      <c r="L93" s="1">
        <f ca="1">ROUNDDOWN(ExtComp[[#This Row],[Count]]/50,0)+$L$1</f>
        <v>2021</v>
      </c>
      <c r="M93" s="64">
        <f t="shared" ca="1" si="1"/>
        <v>8011685.5649999985</v>
      </c>
      <c r="N93" s="64" t="str">
        <f>IFERROR(VLOOKUP(ExtComp[[#This Row],[DEVELOPMENT]],Data[],22,FALSE),"")</f>
        <v/>
      </c>
      <c r="O93" s="51" t="str">
        <f>IFERROR(VLOOKUP(ExtComp[[#This Row],[DEVELOPMENT]],Data[],23,FALSE),"")</f>
        <v/>
      </c>
    </row>
    <row r="94" spans="1:15">
      <c r="A94" s="13" t="s">
        <v>55</v>
      </c>
      <c r="B94" s="1" t="str">
        <f>VLOOKUP(A94,Data[],2,FALSE)</f>
        <v>MANHATTAN</v>
      </c>
      <c r="C94" s="9" t="s">
        <v>68</v>
      </c>
      <c r="D94" s="9" t="str">
        <f>VLOOKUP(ExtComp[[#This Row],[DEVELOPMENT]],Data[],8,FALSE)</f>
        <v>Zone 1</v>
      </c>
      <c r="E94" s="9">
        <f>VLOOKUP(ExtComp[[#This Row],[DEVELOPMENT]],Data[],9,FALSE)</f>
        <v>4</v>
      </c>
      <c r="F94" s="9" t="str">
        <f ca="1">IFERROR(VLOOKUP(ExtComp[[#This Row],[DEVELOPMENT]],Data[],4,FALSE),"")</f>
        <v/>
      </c>
      <c r="G94" s="9" t="str">
        <f ca="1">IF(ExtComp[[#This Row],[RAD/PACT]]="","",IF(ExtComp[[#This Row],[RAD/PACT]]&lt;=2025,"Yes",""))</f>
        <v/>
      </c>
      <c r="H94" s="1">
        <f ca="1">IF(VLOOKUP(ExtComp[[#This Row],[DEVELOPMENT]],Data[],11,FALSE)=0,"",DATEDIF(VLOOKUP(ExtComp[[#This Row],[DEVELOPMENT]],Data[],13,FALSE),TODAY(),"Y"))</f>
        <v>0</v>
      </c>
      <c r="I94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94" s="47">
        <f ca="1">(ExtComp[[#This Row],['# to Replace]]*'Unit Cost Summary'!$B$6)*(1+((ExtComp[[#This Row],[est. Year]]-YEAR(TODAY()))*$J$2))</f>
        <v>586220.8949999999</v>
      </c>
      <c r="K94" s="1">
        <f ca="1">SUM(INDEX(ExtComp['# to Replace],1):ExtComp[[#This Row],['# to Replace]])</f>
        <v>92</v>
      </c>
      <c r="L94" s="1">
        <f ca="1">ROUNDDOWN(ExtComp[[#This Row],[Count]]/50,0)+$L$1</f>
        <v>2021</v>
      </c>
      <c r="M94" s="64">
        <f t="shared" ca="1" si="1"/>
        <v>8597906.459999999</v>
      </c>
      <c r="N94" s="64" t="str">
        <f>IFERROR(VLOOKUP(ExtComp[[#This Row],[DEVELOPMENT]],Data[],22,FALSE),"")</f>
        <v/>
      </c>
      <c r="O94" s="71" t="str">
        <f>IFERROR(VLOOKUP(ExtComp[[#This Row],[DEVELOPMENT]],Data[],23,FALSE),"")</f>
        <v/>
      </c>
    </row>
    <row r="95" spans="1:15">
      <c r="A95" s="13" t="s">
        <v>357</v>
      </c>
      <c r="B95" s="9" t="str">
        <f>VLOOKUP(A95,Data[],2,FALSE)</f>
        <v>STATEN ISLAND</v>
      </c>
      <c r="C95" s="9" t="s">
        <v>68</v>
      </c>
      <c r="D95" s="50">
        <f>VLOOKUP(ExtComp[[#This Row],[DEVELOPMENT]],Data[],8,FALSE)</f>
        <v>0</v>
      </c>
      <c r="E95" s="50">
        <f>VLOOKUP(ExtComp[[#This Row],[DEVELOPMENT]],Data[],9,FALSE)</f>
        <v>0</v>
      </c>
      <c r="F95" s="50" t="str">
        <f ca="1">IFERROR(VLOOKUP(ExtComp[[#This Row],[DEVELOPMENT]],Data[],4,FALSE),"")</f>
        <v/>
      </c>
      <c r="G95" s="50" t="str">
        <f ca="1">IF(ExtComp[[#This Row],[RAD/PACT]]="","",IF(ExtComp[[#This Row],[RAD/PACT]]&lt;=2025,"Yes",""))</f>
        <v/>
      </c>
      <c r="H95" s="51">
        <f ca="1">IF(VLOOKUP(ExtComp[[#This Row],[DEVELOPMENT]],Data[],11,FALSE)=0,"",DATEDIF(VLOOKUP(ExtComp[[#This Row],[DEVELOPMENT]],Data[],13,FALSE),TODAY(),"Y"))</f>
        <v>5</v>
      </c>
      <c r="I95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95" s="47">
        <f ca="1">(ExtComp[[#This Row],['# to Replace]]*'Unit Cost Summary'!$B$6)*(1+((ExtComp[[#This Row],[est. Year]]-YEAR(TODAY()))*$J$2))</f>
        <v>390813.93</v>
      </c>
      <c r="K95" s="51">
        <f ca="1">SUM(INDEX(ExtComp['# to Replace],1):ExtComp[[#This Row],['# to Replace]])</f>
        <v>94</v>
      </c>
      <c r="L95" s="51">
        <f ca="1">ROUNDDOWN(ExtComp[[#This Row],[Count]]/50,0)+$L$1</f>
        <v>2021</v>
      </c>
      <c r="M95" s="64">
        <f t="shared" ca="1" si="1"/>
        <v>8988720.3899999987</v>
      </c>
      <c r="N95" s="64" t="str">
        <f>IFERROR(VLOOKUP(ExtComp[[#This Row],[DEVELOPMENT]],Data[],22,FALSE),"")</f>
        <v/>
      </c>
      <c r="O95" s="71" t="str">
        <f>IFERROR(VLOOKUP(ExtComp[[#This Row],[DEVELOPMENT]],Data[],23,FALSE),"")</f>
        <v/>
      </c>
    </row>
    <row r="96" spans="1:15">
      <c r="A96" s="13" t="s">
        <v>356</v>
      </c>
      <c r="B96" s="9" t="str">
        <f>VLOOKUP(A96,Data[],2,FALSE)</f>
        <v>BROOKLYN</v>
      </c>
      <c r="C96" s="9"/>
      <c r="D96" s="50">
        <f>VLOOKUP(ExtComp[[#This Row],[DEVELOPMENT]],Data[],8,FALSE)</f>
        <v>0</v>
      </c>
      <c r="E96" s="50">
        <f>VLOOKUP(ExtComp[[#This Row],[DEVELOPMENT]],Data[],9,FALSE)</f>
        <v>0</v>
      </c>
      <c r="F96" s="50" t="str">
        <f ca="1">IFERROR(VLOOKUP(ExtComp[[#This Row],[DEVELOPMENT]],Data[],4,FALSE),"")</f>
        <v>2020-2021</v>
      </c>
      <c r="G96" s="50" t="str">
        <f ca="1">IF(ExtComp[[#This Row],[RAD/PACT]]="","",IF(ExtComp[[#This Row],[RAD/PACT]]&lt;=2025,"Yes",""))</f>
        <v/>
      </c>
      <c r="H96" s="51" t="str">
        <f ca="1">IF(VLOOKUP(ExtComp[[#This Row],[DEVELOPMENT]],Data[],11,FALSE)=0,"",DATEDIF(VLOOKUP(ExtComp[[#This Row],[DEVELOPMENT]],Data[],13,FALSE),TODAY(),"Y"))</f>
        <v/>
      </c>
      <c r="I9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96" s="47">
        <f ca="1">(ExtComp[[#This Row],['# to Replace]]*'Unit Cost Summary'!$B$6)*(1+((ExtComp[[#This Row],[est. Year]]-YEAR(TODAY()))*$J$2))</f>
        <v>0</v>
      </c>
      <c r="K96" s="51">
        <f ca="1">SUM(INDEX(ExtComp['# to Replace],1):ExtComp[[#This Row],['# to Replace]])</f>
        <v>94</v>
      </c>
      <c r="L96" s="51">
        <f ca="1">ROUNDDOWN(ExtComp[[#This Row],[Count]]/50,0)+$L$1</f>
        <v>2021</v>
      </c>
      <c r="M96" s="64">
        <f t="shared" ca="1" si="1"/>
        <v>8988720.3899999987</v>
      </c>
      <c r="N96" s="64" t="str">
        <f>IFERROR(VLOOKUP(ExtComp[[#This Row],[DEVELOPMENT]],Data[],22,FALSE),"")</f>
        <v/>
      </c>
      <c r="O96" s="71" t="str">
        <f>IFERROR(VLOOKUP(ExtComp[[#This Row],[DEVELOPMENT]],Data[],23,FALSE),"")</f>
        <v/>
      </c>
    </row>
    <row r="97" spans="1:15">
      <c r="A97" s="13" t="s">
        <v>252</v>
      </c>
      <c r="B97" s="9" t="str">
        <f>VLOOKUP(A97,Data[],2,FALSE)</f>
        <v>MANHATTAN</v>
      </c>
      <c r="C97" s="9" t="s">
        <v>68</v>
      </c>
      <c r="D97" s="50" t="str">
        <f>VLOOKUP(ExtComp[[#This Row],[DEVELOPMENT]],Data[],8,FALSE)</f>
        <v>Zone 4</v>
      </c>
      <c r="E97" s="50">
        <f>VLOOKUP(ExtComp[[#This Row],[DEVELOPMENT]],Data[],9,FALSE)</f>
        <v>0</v>
      </c>
      <c r="F97" s="50" t="str">
        <f ca="1">IFERROR(VLOOKUP(ExtComp[[#This Row],[DEVELOPMENT]],Data[],4,FALSE),"")</f>
        <v/>
      </c>
      <c r="G97" s="50" t="str">
        <f ca="1">IF(ExtComp[[#This Row],[RAD/PACT]]="","",IF(ExtComp[[#This Row],[RAD/PACT]]&lt;=2025,"Yes",""))</f>
        <v/>
      </c>
      <c r="H97" s="51" t="str">
        <f ca="1">IF(VLOOKUP(ExtComp[[#This Row],[DEVELOPMENT]],Data[],11,FALSE)=0,"",DATEDIF(VLOOKUP(ExtComp[[#This Row],[DEVELOPMENT]],Data[],13,FALSE),TODAY(),"Y"))</f>
        <v/>
      </c>
      <c r="I9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97" s="47">
        <f ca="1">(ExtComp[[#This Row],['# to Replace]]*'Unit Cost Summary'!$B$6)*(1+((ExtComp[[#This Row],[est. Year]]-YEAR(TODAY()))*$J$2))</f>
        <v>0</v>
      </c>
      <c r="K97" s="51">
        <f ca="1">SUM(INDEX(ExtComp['# to Replace],1):ExtComp[[#This Row],['# to Replace]])</f>
        <v>94</v>
      </c>
      <c r="L97" s="51">
        <f ca="1">ROUNDDOWN(ExtComp[[#This Row],[Count]]/50,0)+$L$1</f>
        <v>2021</v>
      </c>
      <c r="M97" s="64">
        <f t="shared" ca="1" si="1"/>
        <v>8988720.3899999987</v>
      </c>
      <c r="N97" s="64" t="str">
        <f>IFERROR(VLOOKUP(ExtComp[[#This Row],[DEVELOPMENT]],Data[],22,FALSE),"")</f>
        <v/>
      </c>
      <c r="O97" s="71" t="str">
        <f>IFERROR(VLOOKUP(ExtComp[[#This Row],[DEVELOPMENT]],Data[],23,FALSE),"")</f>
        <v/>
      </c>
    </row>
    <row r="98" spans="1:15">
      <c r="A98" s="13" t="s">
        <v>251</v>
      </c>
      <c r="B98" s="9" t="str">
        <f>VLOOKUP(A98,Data[],2,FALSE)</f>
        <v>MANHATTAN</v>
      </c>
      <c r="C98" s="9" t="s">
        <v>68</v>
      </c>
      <c r="D98" s="50">
        <f>VLOOKUP(ExtComp[[#This Row],[DEVELOPMENT]],Data[],8,FALSE)</f>
        <v>0</v>
      </c>
      <c r="E98" s="50">
        <f>VLOOKUP(ExtComp[[#This Row],[DEVELOPMENT]],Data[],9,FALSE)</f>
        <v>0</v>
      </c>
      <c r="F98" s="50" t="str">
        <f ca="1">IFERROR(VLOOKUP(ExtComp[[#This Row],[DEVELOPMENT]],Data[],4,FALSE),"")</f>
        <v/>
      </c>
      <c r="G98" s="50" t="str">
        <f ca="1">IF(ExtComp[[#This Row],[RAD/PACT]]="","",IF(ExtComp[[#This Row],[RAD/PACT]]&lt;=2025,"Yes",""))</f>
        <v/>
      </c>
      <c r="H98" s="51" t="str">
        <f ca="1">IF(VLOOKUP(ExtComp[[#This Row],[DEVELOPMENT]],Data[],11,FALSE)=0,"",DATEDIF(VLOOKUP(ExtComp[[#This Row],[DEVELOPMENT]],Data[],13,FALSE),TODAY(),"Y"))</f>
        <v/>
      </c>
      <c r="I9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98" s="47">
        <f ca="1">(ExtComp[[#This Row],['# to Replace]]*'Unit Cost Summary'!$B$6)*(1+((ExtComp[[#This Row],[est. Year]]-YEAR(TODAY()))*$J$2))</f>
        <v>0</v>
      </c>
      <c r="K98" s="51">
        <f ca="1">SUM(INDEX(ExtComp['# to Replace],1):ExtComp[[#This Row],['# to Replace]])</f>
        <v>94</v>
      </c>
      <c r="L98" s="51">
        <f ca="1">ROUNDDOWN(ExtComp[[#This Row],[Count]]/50,0)+$L$1</f>
        <v>2021</v>
      </c>
      <c r="M98" s="64">
        <f t="shared" ca="1" si="1"/>
        <v>8988720.3899999987</v>
      </c>
      <c r="N98" s="64" t="str">
        <f>IFERROR(VLOOKUP(ExtComp[[#This Row],[DEVELOPMENT]],Data[],22,FALSE),"")</f>
        <v/>
      </c>
      <c r="O98" s="71" t="str">
        <f>IFERROR(VLOOKUP(ExtComp[[#This Row],[DEVELOPMENT]],Data[],23,FALSE),"")</f>
        <v/>
      </c>
    </row>
    <row r="99" spans="1:15">
      <c r="A99" s="13" t="s">
        <v>250</v>
      </c>
      <c r="B99" s="9" t="str">
        <f>VLOOKUP(A99,Data[],2,FALSE)</f>
        <v>MANHATTAN</v>
      </c>
      <c r="C99" s="9" t="s">
        <v>68</v>
      </c>
      <c r="D99" s="50" t="str">
        <f>VLOOKUP(ExtComp[[#This Row],[DEVELOPMENT]],Data[],8,FALSE)</f>
        <v>Zone 3</v>
      </c>
      <c r="E99" s="50">
        <f>VLOOKUP(ExtComp[[#This Row],[DEVELOPMENT]],Data[],9,FALSE)</f>
        <v>0</v>
      </c>
      <c r="F99" s="50" t="str">
        <f ca="1">IFERROR(VLOOKUP(ExtComp[[#This Row],[DEVELOPMENT]],Data[],4,FALSE),"")</f>
        <v/>
      </c>
      <c r="G99" s="50" t="str">
        <f ca="1">IF(ExtComp[[#This Row],[RAD/PACT]]="","",IF(ExtComp[[#This Row],[RAD/PACT]]&lt;=2025,"Yes",""))</f>
        <v/>
      </c>
      <c r="H99" s="51" t="str">
        <f ca="1">IF(VLOOKUP(ExtComp[[#This Row],[DEVELOPMENT]],Data[],11,FALSE)=0,"",DATEDIF(VLOOKUP(ExtComp[[#This Row],[DEVELOPMENT]],Data[],13,FALSE),TODAY(),"Y"))</f>
        <v/>
      </c>
      <c r="I9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99" s="47">
        <f ca="1">(ExtComp[[#This Row],['# to Replace]]*'Unit Cost Summary'!$B$6)*(1+((ExtComp[[#This Row],[est. Year]]-YEAR(TODAY()))*$J$2))</f>
        <v>0</v>
      </c>
      <c r="K99" s="51">
        <f ca="1">SUM(INDEX(ExtComp['# to Replace],1):ExtComp[[#This Row],['# to Replace]])</f>
        <v>94</v>
      </c>
      <c r="L99" s="51">
        <f ca="1">ROUNDDOWN(ExtComp[[#This Row],[Count]]/50,0)+$L$1</f>
        <v>2021</v>
      </c>
      <c r="M99" s="64">
        <f t="shared" ca="1" si="1"/>
        <v>8988720.3899999987</v>
      </c>
      <c r="N99" s="64" t="str">
        <f>IFERROR(VLOOKUP(ExtComp[[#This Row],[DEVELOPMENT]],Data[],22,FALSE),"")</f>
        <v/>
      </c>
      <c r="O99" s="71" t="str">
        <f>IFERROR(VLOOKUP(ExtComp[[#This Row],[DEVELOPMENT]],Data[],23,FALSE),"")</f>
        <v/>
      </c>
    </row>
    <row r="100" spans="1:15">
      <c r="A100" s="13" t="s">
        <v>215</v>
      </c>
      <c r="B100" s="9" t="str">
        <f>VLOOKUP(A100,Data[],2,FALSE)</f>
        <v>QUEENS</v>
      </c>
      <c r="C100" s="9" t="s">
        <v>68</v>
      </c>
      <c r="D100" s="50">
        <f>VLOOKUP(ExtComp[[#This Row],[DEVELOPMENT]],Data[],8,FALSE)</f>
        <v>0</v>
      </c>
      <c r="E100" s="50">
        <f>VLOOKUP(ExtComp[[#This Row],[DEVELOPMENT]],Data[],9,FALSE)</f>
        <v>0</v>
      </c>
      <c r="F100" s="50" t="str">
        <f ca="1">IFERROR(VLOOKUP(ExtComp[[#This Row],[DEVELOPMENT]],Data[],4,FALSE),"")</f>
        <v/>
      </c>
      <c r="G100" s="50" t="str">
        <f ca="1">IF(ExtComp[[#This Row],[RAD/PACT]]="","",IF(ExtComp[[#This Row],[RAD/PACT]]&lt;=2025,"Yes",""))</f>
        <v/>
      </c>
      <c r="H100" s="51" t="str">
        <f ca="1">IF(VLOOKUP(ExtComp[[#This Row],[DEVELOPMENT]],Data[],11,FALSE)=0,"",DATEDIF(VLOOKUP(ExtComp[[#This Row],[DEVELOPMENT]],Data[],13,FALSE),TODAY(),"Y"))</f>
        <v/>
      </c>
      <c r="I10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00" s="47">
        <f ca="1">(ExtComp[[#This Row],['# to Replace]]*'Unit Cost Summary'!$B$6)*(1+((ExtComp[[#This Row],[est. Year]]-YEAR(TODAY()))*$J$2))</f>
        <v>0</v>
      </c>
      <c r="K100" s="51">
        <f ca="1">SUM(INDEX(ExtComp['# to Replace],1):ExtComp[[#This Row],['# to Replace]])</f>
        <v>94</v>
      </c>
      <c r="L100" s="51">
        <f ca="1">ROUNDDOWN(ExtComp[[#This Row],[Count]]/50,0)+$L$1</f>
        <v>2021</v>
      </c>
      <c r="M100" s="64">
        <f t="shared" ca="1" si="1"/>
        <v>8988720.3899999987</v>
      </c>
      <c r="N100" s="64" t="str">
        <f>IFERROR(VLOOKUP(ExtComp[[#This Row],[DEVELOPMENT]],Data[],22,FALSE),"")</f>
        <v/>
      </c>
      <c r="O100" s="71" t="str">
        <f>IFERROR(VLOOKUP(ExtComp[[#This Row],[DEVELOPMENT]],Data[],23,FALSE),"")</f>
        <v/>
      </c>
    </row>
    <row r="101" spans="1:15">
      <c r="A101" s="13" t="s">
        <v>194</v>
      </c>
      <c r="B101" s="9" t="str">
        <f>VLOOKUP(A101,Data[],2,FALSE)</f>
        <v>QUEENS</v>
      </c>
      <c r="C101" s="9"/>
      <c r="D101" s="50">
        <f>VLOOKUP(ExtComp[[#This Row],[DEVELOPMENT]],Data[],8,FALSE)</f>
        <v>0</v>
      </c>
      <c r="E101" s="50">
        <f>VLOOKUP(ExtComp[[#This Row],[DEVELOPMENT]],Data[],9,FALSE)</f>
        <v>0</v>
      </c>
      <c r="F101" s="50" t="str">
        <f ca="1">IFERROR(VLOOKUP(ExtComp[[#This Row],[DEVELOPMENT]],Data[],4,FALSE),"")</f>
        <v>2020-2021</v>
      </c>
      <c r="G101" s="50" t="str">
        <f ca="1">IF(ExtComp[[#This Row],[RAD/PACT]]="","",IF(ExtComp[[#This Row],[RAD/PACT]]&lt;=2025,"Yes",""))</f>
        <v/>
      </c>
      <c r="H101" s="51">
        <f ca="1">IF(VLOOKUP(ExtComp[[#This Row],[DEVELOPMENT]],Data[],11,FALSE)=0,"",DATEDIF(VLOOKUP(ExtComp[[#This Row],[DEVELOPMENT]],Data[],13,FALSE),TODAY(),"Y"))</f>
        <v>15</v>
      </c>
      <c r="I101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01" s="47">
        <f ca="1">(ExtComp[[#This Row],['# to Replace]]*'Unit Cost Summary'!$B$6)*(1+((ExtComp[[#This Row],[est. Year]]-YEAR(TODAY()))*$J$2))</f>
        <v>390813.93</v>
      </c>
      <c r="K101" s="51">
        <f ca="1">SUM(INDEX(ExtComp['# to Replace],1):ExtComp[[#This Row],['# to Replace]])</f>
        <v>96</v>
      </c>
      <c r="L101" s="51">
        <f ca="1">ROUNDDOWN(ExtComp[[#This Row],[Count]]/50,0)+$L$1</f>
        <v>2021</v>
      </c>
      <c r="M101" s="64">
        <f t="shared" ca="1" si="1"/>
        <v>9379534.3199999984</v>
      </c>
      <c r="N101" s="64" t="str">
        <f>IFERROR(VLOOKUP(ExtComp[[#This Row],[DEVELOPMENT]],Data[],22,FALSE),"")</f>
        <v/>
      </c>
      <c r="O101" s="71" t="str">
        <f>IFERROR(VLOOKUP(ExtComp[[#This Row],[DEVELOPMENT]],Data[],23,FALSE),"")</f>
        <v/>
      </c>
    </row>
    <row r="102" spans="1:15">
      <c r="A102" s="13" t="s">
        <v>214</v>
      </c>
      <c r="B102" s="9" t="str">
        <f>VLOOKUP(A102,Data[],2,FALSE)</f>
        <v>BROOKLYN</v>
      </c>
      <c r="C102" s="9" t="s">
        <v>68</v>
      </c>
      <c r="D102" s="50">
        <f>VLOOKUP(ExtComp[[#This Row],[DEVELOPMENT]],Data[],8,FALSE)</f>
        <v>0</v>
      </c>
      <c r="E102" s="50">
        <f>VLOOKUP(ExtComp[[#This Row],[DEVELOPMENT]],Data[],9,FALSE)</f>
        <v>0</v>
      </c>
      <c r="F102" s="50" t="str">
        <f ca="1">IFERROR(VLOOKUP(ExtComp[[#This Row],[DEVELOPMENT]],Data[],4,FALSE),"")</f>
        <v>2022-2025</v>
      </c>
      <c r="G102" s="50" t="str">
        <f ca="1">IF(ExtComp[[#This Row],[RAD/PACT]]="","",IF(ExtComp[[#This Row],[RAD/PACT]]&lt;=2025,"Yes",""))</f>
        <v/>
      </c>
      <c r="H102" s="51">
        <f ca="1">IF(VLOOKUP(ExtComp[[#This Row],[DEVELOPMENT]],Data[],11,FALSE)=0,"",DATEDIF(VLOOKUP(ExtComp[[#This Row],[DEVELOPMENT]],Data[],13,FALSE),TODAY(),"Y"))</f>
        <v>21</v>
      </c>
      <c r="I102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02" s="47">
        <f ca="1">(ExtComp[[#This Row],['# to Replace]]*'Unit Cost Summary'!$B$6)*(1+((ExtComp[[#This Row],[est. Year]]-YEAR(TODAY()))*$J$2))</f>
        <v>390813.93</v>
      </c>
      <c r="K102" s="51">
        <f ca="1">SUM(INDEX(ExtComp['# to Replace],1):ExtComp[[#This Row],['# to Replace]])</f>
        <v>98</v>
      </c>
      <c r="L102" s="51">
        <f ca="1">ROUNDDOWN(ExtComp[[#This Row],[Count]]/50,0)+$L$1</f>
        <v>2021</v>
      </c>
      <c r="M102" s="64">
        <f t="shared" ca="1" si="1"/>
        <v>9770348.2499999981</v>
      </c>
      <c r="N102" s="64" t="str">
        <f>IFERROR(VLOOKUP(ExtComp[[#This Row],[DEVELOPMENT]],Data[],22,FALSE),"")</f>
        <v/>
      </c>
      <c r="O102" s="71" t="str">
        <f>IFERROR(VLOOKUP(ExtComp[[#This Row],[DEVELOPMENT]],Data[],23,FALSE),"")</f>
        <v/>
      </c>
    </row>
    <row r="103" spans="1:15">
      <c r="A103" s="13" t="s">
        <v>213</v>
      </c>
      <c r="B103" s="9" t="str">
        <f>VLOOKUP(A103,Data[],2,FALSE)</f>
        <v>BROOKLYN</v>
      </c>
      <c r="C103" s="9"/>
      <c r="D103" s="50">
        <f>VLOOKUP(ExtComp[[#This Row],[DEVELOPMENT]],Data[],8,FALSE)</f>
        <v>0</v>
      </c>
      <c r="E103" s="50">
        <f>VLOOKUP(ExtComp[[#This Row],[DEVELOPMENT]],Data[],9,FALSE)</f>
        <v>0</v>
      </c>
      <c r="F103" s="50" t="str">
        <f ca="1">IFERROR(VLOOKUP(ExtComp[[#This Row],[DEVELOPMENT]],Data[],4,FALSE),"")</f>
        <v>2022-2025</v>
      </c>
      <c r="G103" s="50" t="str">
        <f ca="1">IF(ExtComp[[#This Row],[RAD/PACT]]="","",IF(ExtComp[[#This Row],[RAD/PACT]]&lt;=2025,"Yes",""))</f>
        <v/>
      </c>
      <c r="H103" s="51">
        <f ca="1">IF(VLOOKUP(ExtComp[[#This Row],[DEVELOPMENT]],Data[],11,FALSE)=0,"",DATEDIF(VLOOKUP(ExtComp[[#This Row],[DEVELOPMENT]],Data[],13,FALSE),TODAY(),"Y"))</f>
        <v>2</v>
      </c>
      <c r="I103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03" s="47">
        <f ca="1">(ExtComp[[#This Row],['# to Replace]]*'Unit Cost Summary'!$B$6)*(1+((ExtComp[[#This Row],[est. Year]]-YEAR(TODAY()))*$J$2))</f>
        <v>404029.86000000004</v>
      </c>
      <c r="K103" s="51">
        <f ca="1">SUM(INDEX(ExtComp['# to Replace],1):ExtComp[[#This Row],['# to Replace]])</f>
        <v>100</v>
      </c>
      <c r="L103" s="51">
        <f ca="1">ROUNDDOWN(ExtComp[[#This Row],[Count]]/50,0)+$L$1</f>
        <v>2022</v>
      </c>
      <c r="M103" s="64">
        <f t="shared" ca="1" si="1"/>
        <v>404029.86000000004</v>
      </c>
      <c r="N103" s="64" t="str">
        <f>IFERROR(VLOOKUP(ExtComp[[#This Row],[DEVELOPMENT]],Data[],22,FALSE),"")</f>
        <v/>
      </c>
      <c r="O103" s="71" t="str">
        <f>IFERROR(VLOOKUP(ExtComp[[#This Row],[DEVELOPMENT]],Data[],23,FALSE),"")</f>
        <v/>
      </c>
    </row>
    <row r="104" spans="1:15">
      <c r="A104" s="13" t="s">
        <v>212</v>
      </c>
      <c r="B104" s="9" t="str">
        <f>VLOOKUP(A104,Data[],2,FALSE)</f>
        <v>QUEENS</v>
      </c>
      <c r="C104" s="9" t="s">
        <v>68</v>
      </c>
      <c r="D104" s="50">
        <f>VLOOKUP(ExtComp[[#This Row],[DEVELOPMENT]],Data[],8,FALSE)</f>
        <v>0</v>
      </c>
      <c r="E104" s="50">
        <f>VLOOKUP(ExtComp[[#This Row],[DEVELOPMENT]],Data[],9,FALSE)</f>
        <v>0</v>
      </c>
      <c r="F104" s="50" t="str">
        <f ca="1">IFERROR(VLOOKUP(ExtComp[[#This Row],[DEVELOPMENT]],Data[],4,FALSE),"")</f>
        <v/>
      </c>
      <c r="G104" s="50" t="str">
        <f ca="1">IF(ExtComp[[#This Row],[RAD/PACT]]="","",IF(ExtComp[[#This Row],[RAD/PACT]]&lt;=2025,"Yes",""))</f>
        <v/>
      </c>
      <c r="H104" s="51">
        <f ca="1">IF(VLOOKUP(ExtComp[[#This Row],[DEVELOPMENT]],Data[],11,FALSE)=0,"",DATEDIF(VLOOKUP(ExtComp[[#This Row],[DEVELOPMENT]],Data[],13,FALSE),TODAY(),"Y"))</f>
        <v>17</v>
      </c>
      <c r="I104" s="51">
        <f ca="1">IF(ExtComp[[#This Row],[RAD/PACT]]="",VLOOKUP(ExtComp[[#This Row],[DEVELOPMENT]],Data[],11,FALSE),IF(ExtComp[[#This Row],[RAD/PACT by 2025]]="yes",0,VLOOKUP(ExtComp[[#This Row],[DEVELOPMENT]],Data[],11,FALSE)))</f>
        <v>4</v>
      </c>
      <c r="J104" s="47">
        <f ca="1">(ExtComp[[#This Row],['# to Replace]]*'Unit Cost Summary'!$B$6)*(1+((ExtComp[[#This Row],[est. Year]]-YEAR(TODAY()))*$J$2))</f>
        <v>808059.72000000009</v>
      </c>
      <c r="K104" s="51">
        <f ca="1">SUM(INDEX(ExtComp['# to Replace],1):ExtComp[[#This Row],['# to Replace]])</f>
        <v>104</v>
      </c>
      <c r="L104" s="51">
        <f ca="1">ROUNDDOWN(ExtComp[[#This Row],[Count]]/50,0)+$L$1</f>
        <v>2022</v>
      </c>
      <c r="M104" s="64">
        <f t="shared" ca="1" si="1"/>
        <v>1212089.58</v>
      </c>
      <c r="N104" s="64" t="str">
        <f>IFERROR(VLOOKUP(ExtComp[[#This Row],[DEVELOPMENT]],Data[],22,FALSE),"")</f>
        <v/>
      </c>
      <c r="O104" s="71" t="str">
        <f>IFERROR(VLOOKUP(ExtComp[[#This Row],[DEVELOPMENT]],Data[],23,FALSE),"")</f>
        <v/>
      </c>
    </row>
    <row r="105" spans="1:15">
      <c r="A105" s="13" t="s">
        <v>115</v>
      </c>
      <c r="B105" s="1" t="str">
        <f>VLOOKUP(A105,Data[],2,FALSE)</f>
        <v>MANHATTAN</v>
      </c>
      <c r="C105" s="9" t="s">
        <v>68</v>
      </c>
      <c r="D105" s="9" t="str">
        <f>VLOOKUP(ExtComp[[#This Row],[DEVELOPMENT]],Data[],8,FALSE)</f>
        <v>Zone 2</v>
      </c>
      <c r="E105" s="9">
        <f>VLOOKUP(ExtComp[[#This Row],[DEVELOPMENT]],Data[],9,FALSE)</f>
        <v>4</v>
      </c>
      <c r="F105" s="9" t="str">
        <f ca="1">IFERROR(VLOOKUP(ExtComp[[#This Row],[DEVELOPMENT]],Data[],4,FALSE),"")</f>
        <v/>
      </c>
      <c r="G105" s="9" t="str">
        <f ca="1">IF(ExtComp[[#This Row],[RAD/PACT]]="","",IF(ExtComp[[#This Row],[RAD/PACT]]&lt;=2025,"Yes",""))</f>
        <v/>
      </c>
      <c r="H105" s="1">
        <f ca="1">IF(VLOOKUP(ExtComp[[#This Row],[DEVELOPMENT]],Data[],11,FALSE)=0,"",DATEDIF(VLOOKUP(ExtComp[[#This Row],[DEVELOPMENT]],Data[],13,FALSE),TODAY(),"Y"))</f>
        <v>17</v>
      </c>
      <c r="I105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105" s="47">
        <f ca="1">(ExtComp[[#This Row],['# to Replace]]*'Unit Cost Summary'!$B$6)*(1+((ExtComp[[#This Row],[est. Year]]-YEAR(TODAY()))*$J$2))</f>
        <v>606044.79</v>
      </c>
      <c r="K105" s="1">
        <f ca="1">SUM(INDEX(ExtComp['# to Replace],1):ExtComp[[#This Row],['# to Replace]])</f>
        <v>107</v>
      </c>
      <c r="L105" s="1">
        <f ca="1">ROUNDDOWN(ExtComp[[#This Row],[Count]]/50,0)+$L$1</f>
        <v>2022</v>
      </c>
      <c r="M105" s="64">
        <f t="shared" ca="1" si="1"/>
        <v>1818134.37</v>
      </c>
      <c r="N105" s="64" t="str">
        <f>IFERROR(VLOOKUP(ExtComp[[#This Row],[DEVELOPMENT]],Data[],22,FALSE),"")</f>
        <v/>
      </c>
      <c r="O105" s="71" t="str">
        <f>IFERROR(VLOOKUP(ExtComp[[#This Row],[DEVELOPMENT]],Data[],23,FALSE),"")</f>
        <v/>
      </c>
    </row>
    <row r="106" spans="1:15">
      <c r="A106" s="13" t="s">
        <v>1840</v>
      </c>
      <c r="B106" s="9" t="str">
        <f>VLOOKUP(A106,Data[],2,FALSE)</f>
        <v>MANHATTAN</v>
      </c>
      <c r="C106" s="9" t="s">
        <v>68</v>
      </c>
      <c r="D106" s="50">
        <f>VLOOKUP(ExtComp[[#This Row],[DEVELOPMENT]],Data[],8,FALSE)</f>
        <v>0</v>
      </c>
      <c r="E106" s="50">
        <f>VLOOKUP(ExtComp[[#This Row],[DEVELOPMENT]],Data[],9,FALSE)</f>
        <v>0</v>
      </c>
      <c r="F106" s="50" t="str">
        <f ca="1">IFERROR(VLOOKUP(ExtComp[[#This Row],[DEVELOPMENT]],Data[],4,FALSE),"")</f>
        <v/>
      </c>
      <c r="G106" s="50" t="str">
        <f ca="1">IF(ExtComp[[#This Row],[RAD/PACT]]="","",IF(ExtComp[[#This Row],[RAD/PACT]]&lt;=2025,"Yes",""))</f>
        <v/>
      </c>
      <c r="H106" s="51" t="str">
        <f ca="1">IF(VLOOKUP(ExtComp[[#This Row],[DEVELOPMENT]],Data[],11,FALSE)=0,"",DATEDIF(VLOOKUP(ExtComp[[#This Row],[DEVELOPMENT]],Data[],13,FALSE),TODAY(),"Y"))</f>
        <v/>
      </c>
      <c r="I10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06" s="47">
        <f ca="1">(ExtComp[[#This Row],['# to Replace]]*'Unit Cost Summary'!$B$6)*(1+((ExtComp[[#This Row],[est. Year]]-YEAR(TODAY()))*$J$2))</f>
        <v>0</v>
      </c>
      <c r="K106" s="51">
        <f ca="1">SUM(INDEX(ExtComp['# to Replace],1):ExtComp[[#This Row],['# to Replace]])</f>
        <v>107</v>
      </c>
      <c r="L106" s="51">
        <f ca="1">ROUNDDOWN(ExtComp[[#This Row],[Count]]/50,0)+$L$1</f>
        <v>2022</v>
      </c>
      <c r="M106" s="64">
        <f t="shared" ca="1" si="1"/>
        <v>1818134.37</v>
      </c>
      <c r="N106" s="64" t="str">
        <f>IFERROR(VLOOKUP(ExtComp[[#This Row],[DEVELOPMENT]],Data[],22,FALSE),"")</f>
        <v/>
      </c>
      <c r="O106" s="71" t="str">
        <f>IFERROR(VLOOKUP(ExtComp[[#This Row],[DEVELOPMENT]],Data[],23,FALSE),"")</f>
        <v/>
      </c>
    </row>
    <row r="107" spans="1:15">
      <c r="A107" s="13" t="s">
        <v>268</v>
      </c>
      <c r="B107" s="9" t="str">
        <f>VLOOKUP(A107,Data[],2,FALSE)</f>
        <v>BRONX</v>
      </c>
      <c r="C107" s="9"/>
      <c r="D107" s="50">
        <f>VLOOKUP(ExtComp[[#This Row],[DEVELOPMENT]],Data[],8,FALSE)</f>
        <v>0</v>
      </c>
      <c r="E107" s="50">
        <f>VLOOKUP(ExtComp[[#This Row],[DEVELOPMENT]],Data[],9,FALSE)</f>
        <v>0</v>
      </c>
      <c r="F107" s="50" t="str">
        <f ca="1">IFERROR(VLOOKUP(ExtComp[[#This Row],[DEVELOPMENT]],Data[],4,FALSE),"")</f>
        <v>2020-2021</v>
      </c>
      <c r="G107" s="50" t="str">
        <f ca="1">IF(ExtComp[[#This Row],[RAD/PACT]]="","",IF(ExtComp[[#This Row],[RAD/PACT]]&lt;=2025,"Yes",""))</f>
        <v/>
      </c>
      <c r="H107" s="51" t="str">
        <f ca="1">IF(VLOOKUP(ExtComp[[#This Row],[DEVELOPMENT]],Data[],11,FALSE)=0,"",DATEDIF(VLOOKUP(ExtComp[[#This Row],[DEVELOPMENT]],Data[],13,FALSE),TODAY(),"Y"))</f>
        <v/>
      </c>
      <c r="I10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07" s="47">
        <f ca="1">(ExtComp[[#This Row],['# to Replace]]*'Unit Cost Summary'!$B$6)*(1+((ExtComp[[#This Row],[est. Year]]-YEAR(TODAY()))*$J$2))</f>
        <v>0</v>
      </c>
      <c r="K107" s="51">
        <f ca="1">SUM(INDEX(ExtComp['# to Replace],1):ExtComp[[#This Row],['# to Replace]])</f>
        <v>107</v>
      </c>
      <c r="L107" s="51">
        <f ca="1">ROUNDDOWN(ExtComp[[#This Row],[Count]]/50,0)+$L$1</f>
        <v>2022</v>
      </c>
      <c r="M107" s="64">
        <f t="shared" ca="1" si="1"/>
        <v>1818134.37</v>
      </c>
      <c r="N107" s="64" t="str">
        <f>IFERROR(VLOOKUP(ExtComp[[#This Row],[DEVELOPMENT]],Data[],22,FALSE),"")</f>
        <v/>
      </c>
      <c r="O107" s="71" t="str">
        <f>IFERROR(VLOOKUP(ExtComp[[#This Row],[DEVELOPMENT]],Data[],23,FALSE),"")</f>
        <v/>
      </c>
    </row>
    <row r="108" spans="1:15">
      <c r="A108" s="13" t="s">
        <v>355</v>
      </c>
      <c r="B108" s="9" t="str">
        <f>VLOOKUP(A108,Data[],2,FALSE)</f>
        <v>BROOKLYN</v>
      </c>
      <c r="C108" s="9"/>
      <c r="D108" s="50">
        <f>VLOOKUP(ExtComp[[#This Row],[DEVELOPMENT]],Data[],8,FALSE)</f>
        <v>0</v>
      </c>
      <c r="E108" s="50">
        <f>VLOOKUP(ExtComp[[#This Row],[DEVELOPMENT]],Data[],9,FALSE)</f>
        <v>0</v>
      </c>
      <c r="F108" s="50" t="str">
        <f ca="1">IFERROR(VLOOKUP(ExtComp[[#This Row],[DEVELOPMENT]],Data[],4,FALSE),"")</f>
        <v>2020-2021</v>
      </c>
      <c r="G108" s="50" t="str">
        <f ca="1">IF(ExtComp[[#This Row],[RAD/PACT]]="","",IF(ExtComp[[#This Row],[RAD/PACT]]&lt;=2025,"Yes",""))</f>
        <v/>
      </c>
      <c r="H108" s="51">
        <f ca="1">IF(VLOOKUP(ExtComp[[#This Row],[DEVELOPMENT]],Data[],11,FALSE)=0,"",DATEDIF(VLOOKUP(ExtComp[[#This Row],[DEVELOPMENT]],Data[],13,FALSE),TODAY(),"Y"))</f>
        <v>19</v>
      </c>
      <c r="I108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08" s="47">
        <f ca="1">(ExtComp[[#This Row],['# to Replace]]*'Unit Cost Summary'!$B$6)*(1+((ExtComp[[#This Row],[est. Year]]-YEAR(TODAY()))*$J$2))</f>
        <v>404029.86000000004</v>
      </c>
      <c r="K108" s="51">
        <f ca="1">SUM(INDEX(ExtComp['# to Replace],1):ExtComp[[#This Row],['# to Replace]])</f>
        <v>109</v>
      </c>
      <c r="L108" s="51">
        <f ca="1">ROUNDDOWN(ExtComp[[#This Row],[Count]]/50,0)+$L$1</f>
        <v>2022</v>
      </c>
      <c r="M108" s="64">
        <f t="shared" ca="1" si="1"/>
        <v>2222164.23</v>
      </c>
      <c r="N108" s="64" t="str">
        <f>IFERROR(VLOOKUP(ExtComp[[#This Row],[DEVELOPMENT]],Data[],22,FALSE),"")</f>
        <v/>
      </c>
      <c r="O108" s="71" t="str">
        <f>IFERROR(VLOOKUP(ExtComp[[#This Row],[DEVELOPMENT]],Data[],23,FALSE),"")</f>
        <v/>
      </c>
    </row>
    <row r="109" spans="1:15">
      <c r="A109" s="13" t="s">
        <v>135</v>
      </c>
      <c r="B109" s="1" t="str">
        <f>VLOOKUP(A109,Data[],2,FALSE)</f>
        <v>QUEENS</v>
      </c>
      <c r="C109" s="9" t="s">
        <v>68</v>
      </c>
      <c r="D109" s="9" t="str">
        <f>VLOOKUP(ExtComp[[#This Row],[DEVELOPMENT]],Data[],8,FALSE)</f>
        <v>Zone 3</v>
      </c>
      <c r="E109" s="9">
        <f>VLOOKUP(ExtComp[[#This Row],[DEVELOPMENT]],Data[],9,FALSE)</f>
        <v>4</v>
      </c>
      <c r="F109" s="9" t="str">
        <f ca="1">IFERROR(VLOOKUP(ExtComp[[#This Row],[DEVELOPMENT]],Data[],4,FALSE),"")</f>
        <v>2026+</v>
      </c>
      <c r="G109" s="9" t="str">
        <f ca="1">IF(ExtComp[[#This Row],[RAD/PACT]]="","",IF(ExtComp[[#This Row],[RAD/PACT]]&lt;=2025,"Yes",""))</f>
        <v/>
      </c>
      <c r="H109" s="1">
        <f ca="1">IF(VLOOKUP(ExtComp[[#This Row],[DEVELOPMENT]],Data[],11,FALSE)=0,"",DATEDIF(VLOOKUP(ExtComp[[#This Row],[DEVELOPMENT]],Data[],13,FALSE),TODAY(),"Y"))</f>
        <v>10</v>
      </c>
      <c r="I109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109" s="47">
        <f ca="1">(ExtComp[[#This Row],['# to Replace]]*'Unit Cost Summary'!$B$6)*(1+((ExtComp[[#This Row],[est. Year]]-YEAR(TODAY()))*$J$2))</f>
        <v>606044.79</v>
      </c>
      <c r="K109" s="1">
        <f ca="1">SUM(INDEX(ExtComp['# to Replace],1):ExtComp[[#This Row],['# to Replace]])</f>
        <v>112</v>
      </c>
      <c r="L109" s="1">
        <f ca="1">ROUNDDOWN(ExtComp[[#This Row],[Count]]/50,0)+$L$1</f>
        <v>2022</v>
      </c>
      <c r="M109" s="64">
        <f t="shared" ca="1" si="1"/>
        <v>2828209.02</v>
      </c>
      <c r="N109" s="64" t="str">
        <f>IFERROR(VLOOKUP(ExtComp[[#This Row],[DEVELOPMENT]],Data[],22,FALSE),"")</f>
        <v/>
      </c>
      <c r="O109" s="71" t="str">
        <f>IFERROR(VLOOKUP(ExtComp[[#This Row],[DEVELOPMENT]],Data[],23,FALSE),"")</f>
        <v/>
      </c>
    </row>
    <row r="110" spans="1:15">
      <c r="A110" s="13" t="s">
        <v>134</v>
      </c>
      <c r="B110" s="1" t="str">
        <f>VLOOKUP(A110,Data[],2,FALSE)</f>
        <v>QUEENS</v>
      </c>
      <c r="C110" s="9" t="s">
        <v>68</v>
      </c>
      <c r="D110" s="9" t="str">
        <f>VLOOKUP(ExtComp[[#This Row],[DEVELOPMENT]],Data[],8,FALSE)</f>
        <v>Zone 3</v>
      </c>
      <c r="E110" s="9">
        <f>VLOOKUP(ExtComp[[#This Row],[DEVELOPMENT]],Data[],9,FALSE)</f>
        <v>4</v>
      </c>
      <c r="F110" s="9" t="str">
        <f ca="1">IFERROR(VLOOKUP(ExtComp[[#This Row],[DEVELOPMENT]],Data[],4,FALSE),"")</f>
        <v>2026+</v>
      </c>
      <c r="G110" s="9" t="str">
        <f ca="1">IF(ExtComp[[#This Row],[RAD/PACT]]="","",IF(ExtComp[[#This Row],[RAD/PACT]]&lt;=2025,"Yes",""))</f>
        <v/>
      </c>
      <c r="H110" s="1">
        <f ca="1">IF(VLOOKUP(ExtComp[[#This Row],[DEVELOPMENT]],Data[],11,FALSE)=0,"",DATEDIF(VLOOKUP(ExtComp[[#This Row],[DEVELOPMENT]],Data[],13,FALSE),TODAY(),"Y"))</f>
        <v>10</v>
      </c>
      <c r="I110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110" s="47">
        <f ca="1">(ExtComp[[#This Row],['# to Replace]]*'Unit Cost Summary'!$B$6)*(1+((ExtComp[[#This Row],[est. Year]]-YEAR(TODAY()))*$J$2))</f>
        <v>606044.79</v>
      </c>
      <c r="K110" s="1">
        <f ca="1">SUM(INDEX(ExtComp['# to Replace],1):ExtComp[[#This Row],['# to Replace]])</f>
        <v>115</v>
      </c>
      <c r="L110" s="1">
        <f ca="1">ROUNDDOWN(ExtComp[[#This Row],[Count]]/50,0)+$L$1</f>
        <v>2022</v>
      </c>
      <c r="M110" s="64">
        <f t="shared" ca="1" si="1"/>
        <v>3434253.81</v>
      </c>
      <c r="N110" s="64" t="str">
        <f>IFERROR(VLOOKUP(ExtComp[[#This Row],[DEVELOPMENT]],Data[],22,FALSE),"")</f>
        <v/>
      </c>
      <c r="O110" s="71" t="str">
        <f>IFERROR(VLOOKUP(ExtComp[[#This Row],[DEVELOPMENT]],Data[],23,FALSE),"")</f>
        <v/>
      </c>
    </row>
    <row r="111" spans="1:15">
      <c r="A111" s="13" t="s">
        <v>94</v>
      </c>
      <c r="B111" s="1" t="str">
        <f>VLOOKUP(A111,Data[],2,FALSE)</f>
        <v>MANHATTAN</v>
      </c>
      <c r="C111" s="9" t="s">
        <v>68</v>
      </c>
      <c r="D111" s="9" t="str">
        <f>VLOOKUP(ExtComp[[#This Row],[DEVELOPMENT]],Data[],8,FALSE)</f>
        <v>Zone 3</v>
      </c>
      <c r="E111" s="9">
        <f>VLOOKUP(ExtComp[[#This Row],[DEVELOPMENT]],Data[],9,FALSE)</f>
        <v>4</v>
      </c>
      <c r="F111" s="9" t="str">
        <f ca="1">IFERROR(VLOOKUP(ExtComp[[#This Row],[DEVELOPMENT]],Data[],4,FALSE),"")</f>
        <v>2020-2021</v>
      </c>
      <c r="G111" s="9" t="str">
        <f ca="1">IF(ExtComp[[#This Row],[RAD/PACT]]="","",IF(ExtComp[[#This Row],[RAD/PACT]]&lt;=2025,"Yes",""))</f>
        <v/>
      </c>
      <c r="H111" s="1" t="str">
        <f ca="1">IF(VLOOKUP(ExtComp[[#This Row],[DEVELOPMENT]],Data[],11,FALSE)=0,"",DATEDIF(VLOOKUP(ExtComp[[#This Row],[DEVELOPMENT]],Data[],13,FALSE),TODAY(),"Y"))</f>
        <v/>
      </c>
      <c r="I111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11" s="47">
        <f ca="1">(ExtComp[[#This Row],['# to Replace]]*'Unit Cost Summary'!$B$6)*(1+((ExtComp[[#This Row],[est. Year]]-YEAR(TODAY()))*$J$2))</f>
        <v>0</v>
      </c>
      <c r="K111" s="1">
        <f ca="1">SUM(INDEX(ExtComp['# to Replace],1):ExtComp[[#This Row],['# to Replace]])</f>
        <v>115</v>
      </c>
      <c r="L111" s="1">
        <f ca="1">ROUNDDOWN(ExtComp[[#This Row],[Count]]/50,0)+$L$1</f>
        <v>2022</v>
      </c>
      <c r="M111" s="64">
        <f t="shared" ca="1" si="1"/>
        <v>3434253.81</v>
      </c>
      <c r="N111" s="64" t="str">
        <f>IFERROR(VLOOKUP(ExtComp[[#This Row],[DEVELOPMENT]],Data[],22,FALSE),"")</f>
        <v/>
      </c>
      <c r="O111" s="51" t="str">
        <f>IFERROR(VLOOKUP(ExtComp[[#This Row],[DEVELOPMENT]],Data[],23,FALSE),"")</f>
        <v/>
      </c>
    </row>
    <row r="112" spans="1:15">
      <c r="A112" s="13" t="s">
        <v>1814</v>
      </c>
      <c r="B112" s="9" t="str">
        <f>VLOOKUP(A112,Data[],2,FALSE)</f>
        <v>BRONX</v>
      </c>
      <c r="C112" s="9" t="s">
        <v>68</v>
      </c>
      <c r="D112" s="50">
        <f>VLOOKUP(ExtComp[[#This Row],[DEVELOPMENT]],Data[],8,FALSE)</f>
        <v>0</v>
      </c>
      <c r="E112" s="50">
        <f>VLOOKUP(ExtComp[[#This Row],[DEVELOPMENT]],Data[],9,FALSE)</f>
        <v>0</v>
      </c>
      <c r="F112" s="50" t="str">
        <f ca="1">IFERROR(VLOOKUP(ExtComp[[#This Row],[DEVELOPMENT]],Data[],4,FALSE),"")</f>
        <v/>
      </c>
      <c r="G112" s="50" t="str">
        <f ca="1">IF(ExtComp[[#This Row],[RAD/PACT]]="","",IF(ExtComp[[#This Row],[RAD/PACT]]&lt;=2025,"Yes",""))</f>
        <v/>
      </c>
      <c r="H112" s="51" t="str">
        <f ca="1">IF(VLOOKUP(ExtComp[[#This Row],[DEVELOPMENT]],Data[],11,FALSE)=0,"",DATEDIF(VLOOKUP(ExtComp[[#This Row],[DEVELOPMENT]],Data[],13,FALSE),TODAY(),"Y"))</f>
        <v/>
      </c>
      <c r="I11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12" s="47">
        <f ca="1">(ExtComp[[#This Row],['# to Replace]]*'Unit Cost Summary'!$B$6)*(1+((ExtComp[[#This Row],[est. Year]]-YEAR(TODAY()))*$J$2))</f>
        <v>0</v>
      </c>
      <c r="K112" s="51">
        <f ca="1">SUM(INDEX(ExtComp['# to Replace],1):ExtComp[[#This Row],['# to Replace]])</f>
        <v>115</v>
      </c>
      <c r="L112" s="51">
        <f ca="1">ROUNDDOWN(ExtComp[[#This Row],[Count]]/50,0)+$L$1</f>
        <v>2022</v>
      </c>
      <c r="M112" s="64">
        <f t="shared" ca="1" si="1"/>
        <v>3434253.81</v>
      </c>
      <c r="N112" s="64" t="str">
        <f>IFERROR(VLOOKUP(ExtComp[[#This Row],[DEVELOPMENT]],Data[],22,FALSE),"")</f>
        <v/>
      </c>
      <c r="O112" s="71" t="str">
        <f>IFERROR(VLOOKUP(ExtComp[[#This Row],[DEVELOPMENT]],Data[],23,FALSE),"")</f>
        <v/>
      </c>
    </row>
    <row r="113" spans="1:15">
      <c r="A113" s="13" t="s">
        <v>211</v>
      </c>
      <c r="B113" s="9" t="str">
        <f>VLOOKUP(A113,Data[],2,FALSE)</f>
        <v>QUEENS</v>
      </c>
      <c r="C113" s="9" t="s">
        <v>68</v>
      </c>
      <c r="D113" s="50">
        <f>VLOOKUP(ExtComp[[#This Row],[DEVELOPMENT]],Data[],8,FALSE)</f>
        <v>0</v>
      </c>
      <c r="E113" s="50">
        <f>VLOOKUP(ExtComp[[#This Row],[DEVELOPMENT]],Data[],9,FALSE)</f>
        <v>0</v>
      </c>
      <c r="F113" s="50" t="str">
        <f ca="1">IFERROR(VLOOKUP(ExtComp[[#This Row],[DEVELOPMENT]],Data[],4,FALSE),"")</f>
        <v>2026+</v>
      </c>
      <c r="G113" s="50" t="str">
        <f ca="1">IF(ExtComp[[#This Row],[RAD/PACT]]="","",IF(ExtComp[[#This Row],[RAD/PACT]]&lt;=2025,"Yes",""))</f>
        <v/>
      </c>
      <c r="H113" s="51">
        <f ca="1">IF(VLOOKUP(ExtComp[[#This Row],[DEVELOPMENT]],Data[],11,FALSE)=0,"",DATEDIF(VLOOKUP(ExtComp[[#This Row],[DEVELOPMENT]],Data[],13,FALSE),TODAY(),"Y"))</f>
        <v>12</v>
      </c>
      <c r="I113" s="51">
        <f ca="1">IF(ExtComp[[#This Row],[RAD/PACT]]="",VLOOKUP(ExtComp[[#This Row],[DEVELOPMENT]],Data[],11,FALSE),IF(ExtComp[[#This Row],[RAD/PACT by 2025]]="yes",0,VLOOKUP(ExtComp[[#This Row],[DEVELOPMENT]],Data[],11,FALSE)))</f>
        <v>5</v>
      </c>
      <c r="J113" s="47">
        <f ca="1">(ExtComp[[#This Row],['# to Replace]]*'Unit Cost Summary'!$B$6)*(1+((ExtComp[[#This Row],[est. Year]]-YEAR(TODAY()))*$J$2))</f>
        <v>1010074.65</v>
      </c>
      <c r="K113" s="51">
        <f ca="1">SUM(INDEX(ExtComp['# to Replace],1):ExtComp[[#This Row],['# to Replace]])</f>
        <v>120</v>
      </c>
      <c r="L113" s="51">
        <f ca="1">ROUNDDOWN(ExtComp[[#This Row],[Count]]/50,0)+$L$1</f>
        <v>2022</v>
      </c>
      <c r="M113" s="64">
        <f t="shared" ca="1" si="1"/>
        <v>4444328.46</v>
      </c>
      <c r="N113" s="64" t="str">
        <f>IFERROR(VLOOKUP(ExtComp[[#This Row],[DEVELOPMENT]],Data[],22,FALSE),"")</f>
        <v/>
      </c>
      <c r="O113" s="71" t="str">
        <f>IFERROR(VLOOKUP(ExtComp[[#This Row],[DEVELOPMENT]],Data[],23,FALSE),"")</f>
        <v/>
      </c>
    </row>
    <row r="114" spans="1:15">
      <c r="A114" s="13" t="s">
        <v>133</v>
      </c>
      <c r="B114" s="1" t="str">
        <f>VLOOKUP(A114,Data[],2,FALSE)</f>
        <v>MANHATTAN</v>
      </c>
      <c r="C114" s="9" t="s">
        <v>68</v>
      </c>
      <c r="D114" s="9" t="str">
        <f>VLOOKUP(ExtComp[[#This Row],[DEVELOPMENT]],Data[],8,FALSE)</f>
        <v>Zone 2</v>
      </c>
      <c r="E114" s="9">
        <f>VLOOKUP(ExtComp[[#This Row],[DEVELOPMENT]],Data[],9,FALSE)</f>
        <v>4</v>
      </c>
      <c r="F114" s="9" t="str">
        <f ca="1">IFERROR(VLOOKUP(ExtComp[[#This Row],[DEVELOPMENT]],Data[],4,FALSE),"")</f>
        <v/>
      </c>
      <c r="G114" s="9" t="str">
        <f ca="1">IF(ExtComp[[#This Row],[RAD/PACT]]="","",IF(ExtComp[[#This Row],[RAD/PACT]]&lt;=2025,"Yes",""))</f>
        <v/>
      </c>
      <c r="H114" s="1">
        <f ca="1">IF(VLOOKUP(ExtComp[[#This Row],[DEVELOPMENT]],Data[],11,FALSE)=0,"",DATEDIF(VLOOKUP(ExtComp[[#This Row],[DEVELOPMENT]],Data[],13,FALSE),TODAY(),"Y"))</f>
        <v>6</v>
      </c>
      <c r="I114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114" s="47">
        <f ca="1">(ExtComp[[#This Row],['# to Replace]]*'Unit Cost Summary'!$B$6)*(1+((ExtComp[[#This Row],[est. Year]]-YEAR(TODAY()))*$J$2))</f>
        <v>606044.79</v>
      </c>
      <c r="K114" s="1">
        <f ca="1">SUM(INDEX(ExtComp['# to Replace],1):ExtComp[[#This Row],['# to Replace]])</f>
        <v>123</v>
      </c>
      <c r="L114" s="1">
        <f ca="1">ROUNDDOWN(ExtComp[[#This Row],[Count]]/50,0)+$L$1</f>
        <v>2022</v>
      </c>
      <c r="M114" s="64">
        <f t="shared" ca="1" si="1"/>
        <v>5050373.25</v>
      </c>
      <c r="N114" s="64" t="str">
        <f>IFERROR(VLOOKUP(ExtComp[[#This Row],[DEVELOPMENT]],Data[],22,FALSE),"")</f>
        <v/>
      </c>
      <c r="O114" s="71" t="str">
        <f>IFERROR(VLOOKUP(ExtComp[[#This Row],[DEVELOPMENT]],Data[],23,FALSE),"")</f>
        <v/>
      </c>
    </row>
    <row r="115" spans="1:15">
      <c r="A115" s="13" t="s">
        <v>249</v>
      </c>
      <c r="B115" s="9" t="str">
        <f>VLOOKUP(A115,Data[],2,FALSE)</f>
        <v>BROOKLYN</v>
      </c>
      <c r="C115" s="9" t="s">
        <v>68</v>
      </c>
      <c r="D115" s="50">
        <f>VLOOKUP(ExtComp[[#This Row],[DEVELOPMENT]],Data[],8,FALSE)</f>
        <v>0</v>
      </c>
      <c r="E115" s="50">
        <f>VLOOKUP(ExtComp[[#This Row],[DEVELOPMENT]],Data[],9,FALSE)</f>
        <v>0</v>
      </c>
      <c r="F115" s="50" t="str">
        <f ca="1">IFERROR(VLOOKUP(ExtComp[[#This Row],[DEVELOPMENT]],Data[],4,FALSE),"")</f>
        <v/>
      </c>
      <c r="G115" s="50" t="str">
        <f ca="1">IF(ExtComp[[#This Row],[RAD/PACT]]="","",IF(ExtComp[[#This Row],[RAD/PACT]]&lt;=2025,"Yes",""))</f>
        <v/>
      </c>
      <c r="H115" s="51">
        <f ca="1">IF(VLOOKUP(ExtComp[[#This Row],[DEVELOPMENT]],Data[],11,FALSE)=0,"",DATEDIF(VLOOKUP(ExtComp[[#This Row],[DEVELOPMENT]],Data[],13,FALSE),TODAY(),"Y"))</f>
        <v>9</v>
      </c>
      <c r="I115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115" s="47">
        <f ca="1">(ExtComp[[#This Row],['# to Replace]]*'Unit Cost Summary'!$B$6)*(1+((ExtComp[[#This Row],[est. Year]]-YEAR(TODAY()))*$J$2))</f>
        <v>606044.79</v>
      </c>
      <c r="K115" s="51">
        <f ca="1">SUM(INDEX(ExtComp['# to Replace],1):ExtComp[[#This Row],['# to Replace]])</f>
        <v>126</v>
      </c>
      <c r="L115" s="51">
        <f ca="1">ROUNDDOWN(ExtComp[[#This Row],[Count]]/50,0)+$L$1</f>
        <v>2022</v>
      </c>
      <c r="M115" s="64">
        <f t="shared" ca="1" si="1"/>
        <v>5656418.04</v>
      </c>
      <c r="N115" s="64" t="str">
        <f>IFERROR(VLOOKUP(ExtComp[[#This Row],[DEVELOPMENT]],Data[],22,FALSE),"")</f>
        <v/>
      </c>
      <c r="O115" s="71" t="str">
        <f>IFERROR(VLOOKUP(ExtComp[[#This Row],[DEVELOPMENT]],Data[],23,FALSE),"")</f>
        <v/>
      </c>
    </row>
    <row r="116" spans="1:15">
      <c r="A116" s="13" t="s">
        <v>354</v>
      </c>
      <c r="B116" s="9" t="str">
        <f>VLOOKUP(A116,Data[],2,FALSE)</f>
        <v>BROOKLYN</v>
      </c>
      <c r="C116" s="9" t="s">
        <v>68</v>
      </c>
      <c r="D116" s="50">
        <f>VLOOKUP(ExtComp[[#This Row],[DEVELOPMENT]],Data[],8,FALSE)</f>
        <v>0</v>
      </c>
      <c r="E116" s="50">
        <f>VLOOKUP(ExtComp[[#This Row],[DEVELOPMENT]],Data[],9,FALSE)</f>
        <v>0</v>
      </c>
      <c r="F116" s="50" t="str">
        <f ca="1">IFERROR(VLOOKUP(ExtComp[[#This Row],[DEVELOPMENT]],Data[],4,FALSE),"")</f>
        <v/>
      </c>
      <c r="G116" s="50" t="str">
        <f ca="1">IF(ExtComp[[#This Row],[RAD/PACT]]="","",IF(ExtComp[[#This Row],[RAD/PACT]]&lt;=2025,"Yes",""))</f>
        <v/>
      </c>
      <c r="H116" s="51">
        <f ca="1">IF(VLOOKUP(ExtComp[[#This Row],[DEVELOPMENT]],Data[],11,FALSE)=0,"",DATEDIF(VLOOKUP(ExtComp[[#This Row],[DEVELOPMENT]],Data[],13,FALSE),TODAY(),"Y"))</f>
        <v>17</v>
      </c>
      <c r="I116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116" s="47">
        <f ca="1">(ExtComp[[#This Row],['# to Replace]]*'Unit Cost Summary'!$B$6)*(1+((ExtComp[[#This Row],[est. Year]]-YEAR(TODAY()))*$J$2))</f>
        <v>202014.93000000002</v>
      </c>
      <c r="K116" s="51">
        <f ca="1">SUM(INDEX(ExtComp['# to Replace],1):ExtComp[[#This Row],['# to Replace]])</f>
        <v>127</v>
      </c>
      <c r="L116" s="51">
        <f ca="1">ROUNDDOWN(ExtComp[[#This Row],[Count]]/50,0)+$L$1</f>
        <v>2022</v>
      </c>
      <c r="M116" s="64">
        <f t="shared" ca="1" si="1"/>
        <v>5858432.9699999997</v>
      </c>
      <c r="N116" s="64" t="str">
        <f>IFERROR(VLOOKUP(ExtComp[[#This Row],[DEVELOPMENT]],Data[],22,FALSE),"")</f>
        <v/>
      </c>
      <c r="O116" s="71" t="str">
        <f>IFERROR(VLOOKUP(ExtComp[[#This Row],[DEVELOPMENT]],Data[],23,FALSE),"")</f>
        <v/>
      </c>
    </row>
    <row r="117" spans="1:15">
      <c r="A117" s="13" t="s">
        <v>210</v>
      </c>
      <c r="B117" s="9" t="str">
        <f>VLOOKUP(A117,Data[],2,FALSE)</f>
        <v>BRONX</v>
      </c>
      <c r="C117" s="9"/>
      <c r="D117" s="50">
        <f>VLOOKUP(ExtComp[[#This Row],[DEVELOPMENT]],Data[],8,FALSE)</f>
        <v>0</v>
      </c>
      <c r="E117" s="50">
        <f>VLOOKUP(ExtComp[[#This Row],[DEVELOPMENT]],Data[],9,FALSE)</f>
        <v>0</v>
      </c>
      <c r="F117" s="50" t="str">
        <f ca="1">IFERROR(VLOOKUP(ExtComp[[#This Row],[DEVELOPMENT]],Data[],4,FALSE),"")</f>
        <v>2022-2025</v>
      </c>
      <c r="G117" s="50" t="str">
        <f ca="1">IF(ExtComp[[#This Row],[RAD/PACT]]="","",IF(ExtComp[[#This Row],[RAD/PACT]]&lt;=2025,"Yes",""))</f>
        <v/>
      </c>
      <c r="H117" s="51">
        <f ca="1">IF(VLOOKUP(ExtComp[[#This Row],[DEVELOPMENT]],Data[],11,FALSE)=0,"",DATEDIF(VLOOKUP(ExtComp[[#This Row],[DEVELOPMENT]],Data[],13,FALSE),TODAY(),"Y"))</f>
        <v>19</v>
      </c>
      <c r="I117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117" s="47">
        <f ca="1">(ExtComp[[#This Row],['# to Replace]]*'Unit Cost Summary'!$B$6)*(1+((ExtComp[[#This Row],[est. Year]]-YEAR(TODAY()))*$J$2))</f>
        <v>606044.79</v>
      </c>
      <c r="K117" s="51">
        <f ca="1">SUM(INDEX(ExtComp['# to Replace],1):ExtComp[[#This Row],['# to Replace]])</f>
        <v>130</v>
      </c>
      <c r="L117" s="51">
        <f ca="1">ROUNDDOWN(ExtComp[[#This Row],[Count]]/50,0)+$L$1</f>
        <v>2022</v>
      </c>
      <c r="M117" s="64">
        <f t="shared" ca="1" si="1"/>
        <v>6464477.7599999998</v>
      </c>
      <c r="N117" s="64" t="str">
        <f>IFERROR(VLOOKUP(ExtComp[[#This Row],[DEVELOPMENT]],Data[],22,FALSE),"")</f>
        <v/>
      </c>
      <c r="O117" s="71" t="str">
        <f>IFERROR(VLOOKUP(ExtComp[[#This Row],[DEVELOPMENT]],Data[],23,FALSE),"")</f>
        <v/>
      </c>
    </row>
    <row r="118" spans="1:15">
      <c r="A118" s="13" t="s">
        <v>132</v>
      </c>
      <c r="B118" s="1" t="str">
        <f>VLOOKUP(A118,Data[],2,FALSE)</f>
        <v>BRONX</v>
      </c>
      <c r="C118" s="9" t="s">
        <v>68</v>
      </c>
      <c r="D118" s="9" t="str">
        <f>VLOOKUP(ExtComp[[#This Row],[DEVELOPMENT]],Data[],8,FALSE)</f>
        <v>Zone 3</v>
      </c>
      <c r="E118" s="9">
        <f>VLOOKUP(ExtComp[[#This Row],[DEVELOPMENT]],Data[],9,FALSE)</f>
        <v>3</v>
      </c>
      <c r="F118" s="9" t="str">
        <f ca="1">IFERROR(VLOOKUP(ExtComp[[#This Row],[DEVELOPMENT]],Data[],4,FALSE),"")</f>
        <v>2022-2025</v>
      </c>
      <c r="G118" s="9" t="str">
        <f ca="1">IF(ExtComp[[#This Row],[RAD/PACT]]="","",IF(ExtComp[[#This Row],[RAD/PACT]]&lt;=2025,"Yes",""))</f>
        <v/>
      </c>
      <c r="H118" s="1">
        <f ca="1">IF(VLOOKUP(ExtComp[[#This Row],[DEVELOPMENT]],Data[],11,FALSE)=0,"",DATEDIF(VLOOKUP(ExtComp[[#This Row],[DEVELOPMENT]],Data[],13,FALSE),TODAY(),"Y"))</f>
        <v>7</v>
      </c>
      <c r="I118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118" s="47">
        <f ca="1">(ExtComp[[#This Row],['# to Replace]]*'Unit Cost Summary'!$B$6)*(1+((ExtComp[[#This Row],[est. Year]]-YEAR(TODAY()))*$J$2))</f>
        <v>606044.79</v>
      </c>
      <c r="K118" s="1">
        <f ca="1">SUM(INDEX(ExtComp['# to Replace],1):ExtComp[[#This Row],['# to Replace]])</f>
        <v>133</v>
      </c>
      <c r="L118" s="1">
        <f ca="1">ROUNDDOWN(ExtComp[[#This Row],[Count]]/50,0)+$L$1</f>
        <v>2022</v>
      </c>
      <c r="M118" s="64">
        <f t="shared" ca="1" si="1"/>
        <v>7070522.5499999998</v>
      </c>
      <c r="N118" s="64" t="str">
        <f>IFERROR(VLOOKUP(ExtComp[[#This Row],[DEVELOPMENT]],Data[],22,FALSE),"")</f>
        <v/>
      </c>
      <c r="O118" s="71" t="str">
        <f>IFERROR(VLOOKUP(ExtComp[[#This Row],[DEVELOPMENT]],Data[],23,FALSE),"")</f>
        <v/>
      </c>
    </row>
    <row r="119" spans="1:15">
      <c r="A119" s="13" t="s">
        <v>353</v>
      </c>
      <c r="B119" s="9" t="str">
        <f>VLOOKUP(A119,Data[],2,FALSE)</f>
        <v>BRONX</v>
      </c>
      <c r="C119" s="9" t="s">
        <v>68</v>
      </c>
      <c r="D119" s="50">
        <f>VLOOKUP(ExtComp[[#This Row],[DEVELOPMENT]],Data[],8,FALSE)</f>
        <v>0</v>
      </c>
      <c r="E119" s="50">
        <f>VLOOKUP(ExtComp[[#This Row],[DEVELOPMENT]],Data[],9,FALSE)</f>
        <v>0</v>
      </c>
      <c r="F119" s="50" t="str">
        <f ca="1">IFERROR(VLOOKUP(ExtComp[[#This Row],[DEVELOPMENT]],Data[],4,FALSE),"")</f>
        <v>2026+</v>
      </c>
      <c r="G119" s="50" t="str">
        <f ca="1">IF(ExtComp[[#This Row],[RAD/PACT]]="","",IF(ExtComp[[#This Row],[RAD/PACT]]&lt;=2025,"Yes",""))</f>
        <v/>
      </c>
      <c r="H119" s="51">
        <f ca="1">IF(VLOOKUP(ExtComp[[#This Row],[DEVELOPMENT]],Data[],11,FALSE)=0,"",DATEDIF(VLOOKUP(ExtComp[[#This Row],[DEVELOPMENT]],Data[],13,FALSE),TODAY(),"Y"))</f>
        <v>18</v>
      </c>
      <c r="I119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19" s="47">
        <f ca="1">(ExtComp[[#This Row],['# to Replace]]*'Unit Cost Summary'!$B$6)*(1+((ExtComp[[#This Row],[est. Year]]-YEAR(TODAY()))*$J$2))</f>
        <v>404029.86000000004</v>
      </c>
      <c r="K119" s="51">
        <f ca="1">SUM(INDEX(ExtComp['# to Replace],1):ExtComp[[#This Row],['# to Replace]])</f>
        <v>135</v>
      </c>
      <c r="L119" s="51">
        <f ca="1">ROUNDDOWN(ExtComp[[#This Row],[Count]]/50,0)+$L$1</f>
        <v>2022</v>
      </c>
      <c r="M119" s="64">
        <f t="shared" ca="1" si="1"/>
        <v>7474552.4100000001</v>
      </c>
      <c r="N119" s="64" t="str">
        <f>IFERROR(VLOOKUP(ExtComp[[#This Row],[DEVELOPMENT]],Data[],22,FALSE),"")</f>
        <v/>
      </c>
      <c r="O119" s="51" t="str">
        <f>IFERROR(VLOOKUP(ExtComp[[#This Row],[DEVELOPMENT]],Data[],23,FALSE),"")</f>
        <v/>
      </c>
    </row>
    <row r="120" spans="1:15">
      <c r="A120" s="13" t="s">
        <v>352</v>
      </c>
      <c r="B120" s="9" t="str">
        <f>VLOOKUP(A120,Data[],2,FALSE)</f>
        <v>BROOKLYN</v>
      </c>
      <c r="C120" s="9" t="s">
        <v>68</v>
      </c>
      <c r="D120" s="50">
        <f>VLOOKUP(ExtComp[[#This Row],[DEVELOPMENT]],Data[],8,FALSE)</f>
        <v>0</v>
      </c>
      <c r="E120" s="50">
        <f>VLOOKUP(ExtComp[[#This Row],[DEVELOPMENT]],Data[],9,FALSE)</f>
        <v>0</v>
      </c>
      <c r="F120" s="50" t="str">
        <f ca="1">IFERROR(VLOOKUP(ExtComp[[#This Row],[DEVELOPMENT]],Data[],4,FALSE),"")</f>
        <v>2022-2025</v>
      </c>
      <c r="G120" s="50" t="str">
        <f ca="1">IF(ExtComp[[#This Row],[RAD/PACT]]="","",IF(ExtComp[[#This Row],[RAD/PACT]]&lt;=2025,"Yes",""))</f>
        <v/>
      </c>
      <c r="H120" s="51" t="str">
        <f ca="1">IF(VLOOKUP(ExtComp[[#This Row],[DEVELOPMENT]],Data[],11,FALSE)=0,"",DATEDIF(VLOOKUP(ExtComp[[#This Row],[DEVELOPMENT]],Data[],13,FALSE),TODAY(),"Y"))</f>
        <v/>
      </c>
      <c r="I12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20" s="47">
        <f ca="1">(ExtComp[[#This Row],['# to Replace]]*'Unit Cost Summary'!$B$6)*(1+((ExtComp[[#This Row],[est. Year]]-YEAR(TODAY()))*$J$2))</f>
        <v>0</v>
      </c>
      <c r="K120" s="51">
        <f ca="1">SUM(INDEX(ExtComp['# to Replace],1):ExtComp[[#This Row],['# to Replace]])</f>
        <v>135</v>
      </c>
      <c r="L120" s="51">
        <f ca="1">ROUNDDOWN(ExtComp[[#This Row],[Count]]/50,0)+$L$1</f>
        <v>2022</v>
      </c>
      <c r="M120" s="64">
        <f t="shared" ca="1" si="1"/>
        <v>7474552.4100000001</v>
      </c>
      <c r="N120" s="64" t="str">
        <f>IFERROR(VLOOKUP(ExtComp[[#This Row],[DEVELOPMENT]],Data[],22,FALSE),"")</f>
        <v/>
      </c>
      <c r="O120" s="71" t="str">
        <f>IFERROR(VLOOKUP(ExtComp[[#This Row],[DEVELOPMENT]],Data[],23,FALSE),"")</f>
        <v/>
      </c>
    </row>
    <row r="121" spans="1:15">
      <c r="A121" s="13" t="s">
        <v>93</v>
      </c>
      <c r="B121" s="1" t="str">
        <f>VLOOKUP(A121,Data[],2,FALSE)</f>
        <v>MANHATTAN</v>
      </c>
      <c r="C121" s="9" t="s">
        <v>68</v>
      </c>
      <c r="D121" s="9" t="str">
        <f>VLOOKUP(ExtComp[[#This Row],[DEVELOPMENT]],Data[],8,FALSE)</f>
        <v>Zone 3</v>
      </c>
      <c r="E121" s="9">
        <f>VLOOKUP(ExtComp[[#This Row],[DEVELOPMENT]],Data[],9,FALSE)</f>
        <v>3</v>
      </c>
      <c r="F121" s="9" t="str">
        <f ca="1">IFERROR(VLOOKUP(ExtComp[[#This Row],[DEVELOPMENT]],Data[],4,FALSE),"")</f>
        <v>2020-2021</v>
      </c>
      <c r="G121" s="9" t="str">
        <f ca="1">IF(ExtComp[[#This Row],[RAD/PACT]]="","",IF(ExtComp[[#This Row],[RAD/PACT]]&lt;=2025,"Yes",""))</f>
        <v/>
      </c>
      <c r="H121" s="1" t="str">
        <f ca="1">IF(VLOOKUP(ExtComp[[#This Row],[DEVELOPMENT]],Data[],11,FALSE)=0,"",DATEDIF(VLOOKUP(ExtComp[[#This Row],[DEVELOPMENT]],Data[],13,FALSE),TODAY(),"Y"))</f>
        <v/>
      </c>
      <c r="I121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21" s="47">
        <f ca="1">(ExtComp[[#This Row],['# to Replace]]*'Unit Cost Summary'!$B$6)*(1+((ExtComp[[#This Row],[est. Year]]-YEAR(TODAY()))*$J$2))</f>
        <v>0</v>
      </c>
      <c r="K121" s="1">
        <f ca="1">SUM(INDEX(ExtComp['# to Replace],1):ExtComp[[#This Row],['# to Replace]])</f>
        <v>135</v>
      </c>
      <c r="L121" s="1">
        <f ca="1">ROUNDDOWN(ExtComp[[#This Row],[Count]]/50,0)+$L$1</f>
        <v>2022</v>
      </c>
      <c r="M121" s="64">
        <f t="shared" ca="1" si="1"/>
        <v>7474552.4100000001</v>
      </c>
      <c r="N121" s="64" t="str">
        <f>IFERROR(VLOOKUP(ExtComp[[#This Row],[DEVELOPMENT]],Data[],22,FALSE),"")</f>
        <v/>
      </c>
      <c r="O121" s="51" t="str">
        <f>IFERROR(VLOOKUP(ExtComp[[#This Row],[DEVELOPMENT]],Data[],23,FALSE),"")</f>
        <v/>
      </c>
    </row>
    <row r="122" spans="1:15">
      <c r="A122" s="13" t="s">
        <v>1780</v>
      </c>
      <c r="B122" s="9" t="str">
        <f>VLOOKUP(A122,Data[],2,FALSE)</f>
        <v>BROOKLYN</v>
      </c>
      <c r="C122" s="9"/>
      <c r="D122" s="50">
        <f>VLOOKUP(ExtComp[[#This Row],[DEVELOPMENT]],Data[],8,FALSE)</f>
        <v>0</v>
      </c>
      <c r="E122" s="50">
        <f>VLOOKUP(ExtComp[[#This Row],[DEVELOPMENT]],Data[],9,FALSE)</f>
        <v>0</v>
      </c>
      <c r="F122" s="50">
        <f ca="1">IFERROR(VLOOKUP(ExtComp[[#This Row],[DEVELOPMENT]],Data[],4,FALSE),"")</f>
        <v>2019</v>
      </c>
      <c r="G122" s="50" t="str">
        <f ca="1">IF(ExtComp[[#This Row],[RAD/PACT]]="","",IF(ExtComp[[#This Row],[RAD/PACT]]&lt;=2025,"Yes",""))</f>
        <v>Yes</v>
      </c>
      <c r="H122" s="51" t="str">
        <f ca="1">IF(VLOOKUP(ExtComp[[#This Row],[DEVELOPMENT]],Data[],11,FALSE)=0,"",DATEDIF(VLOOKUP(ExtComp[[#This Row],[DEVELOPMENT]],Data[],13,FALSE),TODAY(),"Y"))</f>
        <v/>
      </c>
      <c r="I12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22" s="47">
        <f ca="1">(ExtComp[[#This Row],['# to Replace]]*'Unit Cost Summary'!$B$6)*(1+((ExtComp[[#This Row],[est. Year]]-YEAR(TODAY()))*$J$2))</f>
        <v>0</v>
      </c>
      <c r="K122" s="51">
        <f ca="1">SUM(INDEX(ExtComp['# to Replace],1):ExtComp[[#This Row],['# to Replace]])</f>
        <v>135</v>
      </c>
      <c r="L122" s="51">
        <f ca="1">ROUNDDOWN(ExtComp[[#This Row],[Count]]/50,0)+$L$1</f>
        <v>2022</v>
      </c>
      <c r="M122" s="64">
        <f t="shared" ca="1" si="1"/>
        <v>7474552.4100000001</v>
      </c>
      <c r="N122" s="64" t="str">
        <f>IFERROR(VLOOKUP(ExtComp[[#This Row],[DEVELOPMENT]],Data[],22,FALSE),"")</f>
        <v/>
      </c>
      <c r="O122" s="71" t="str">
        <f>IFERROR(VLOOKUP(ExtComp[[#This Row],[DEVELOPMENT]],Data[],23,FALSE),"")</f>
        <v/>
      </c>
    </row>
    <row r="123" spans="1:15">
      <c r="A123" s="13" t="s">
        <v>351</v>
      </c>
      <c r="B123" s="9" t="str">
        <f>VLOOKUP(A123,Data[],2,FALSE)</f>
        <v>BROOKLYN</v>
      </c>
      <c r="C123" s="9" t="s">
        <v>68</v>
      </c>
      <c r="D123" s="50">
        <f>VLOOKUP(ExtComp[[#This Row],[DEVELOPMENT]],Data[],8,FALSE)</f>
        <v>0</v>
      </c>
      <c r="E123" s="50">
        <f>VLOOKUP(ExtComp[[#This Row],[DEVELOPMENT]],Data[],9,FALSE)</f>
        <v>0</v>
      </c>
      <c r="F123" s="50" t="str">
        <f ca="1">IFERROR(VLOOKUP(ExtComp[[#This Row],[DEVELOPMENT]],Data[],4,FALSE),"")</f>
        <v>2026+</v>
      </c>
      <c r="G123" s="50" t="str">
        <f ca="1">IF(ExtComp[[#This Row],[RAD/PACT]]="","",IF(ExtComp[[#This Row],[RAD/PACT]]&lt;=2025,"Yes",""))</f>
        <v/>
      </c>
      <c r="H123" s="51" t="str">
        <f ca="1">IF(VLOOKUP(ExtComp[[#This Row],[DEVELOPMENT]],Data[],11,FALSE)=0,"",DATEDIF(VLOOKUP(ExtComp[[#This Row],[DEVELOPMENT]],Data[],13,FALSE),TODAY(),"Y"))</f>
        <v/>
      </c>
      <c r="I12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23" s="47">
        <f ca="1">(ExtComp[[#This Row],['# to Replace]]*'Unit Cost Summary'!$B$6)*(1+((ExtComp[[#This Row],[est. Year]]-YEAR(TODAY()))*$J$2))</f>
        <v>0</v>
      </c>
      <c r="K123" s="51">
        <f ca="1">SUM(INDEX(ExtComp['# to Replace],1):ExtComp[[#This Row],['# to Replace]])</f>
        <v>135</v>
      </c>
      <c r="L123" s="51">
        <f ca="1">ROUNDDOWN(ExtComp[[#This Row],[Count]]/50,0)+$L$1</f>
        <v>2022</v>
      </c>
      <c r="M123" s="64">
        <f t="shared" ca="1" si="1"/>
        <v>7474552.4100000001</v>
      </c>
      <c r="N123" s="64" t="str">
        <f>IFERROR(VLOOKUP(ExtComp[[#This Row],[DEVELOPMENT]],Data[],22,FALSE),"")</f>
        <v/>
      </c>
      <c r="O123" s="71" t="str">
        <f>IFERROR(VLOOKUP(ExtComp[[#This Row],[DEVELOPMENT]],Data[],23,FALSE),"")</f>
        <v/>
      </c>
    </row>
    <row r="124" spans="1:15">
      <c r="A124" s="13" t="s">
        <v>350</v>
      </c>
      <c r="B124" s="9" t="str">
        <f>VLOOKUP(A124,Data[],2,FALSE)</f>
        <v>BROOKLYN</v>
      </c>
      <c r="C124" s="9" t="s">
        <v>68</v>
      </c>
      <c r="D124" s="50">
        <f>VLOOKUP(ExtComp[[#This Row],[DEVELOPMENT]],Data[],8,FALSE)</f>
        <v>0</v>
      </c>
      <c r="E124" s="50">
        <f>VLOOKUP(ExtComp[[#This Row],[DEVELOPMENT]],Data[],9,FALSE)</f>
        <v>0</v>
      </c>
      <c r="F124" s="50" t="str">
        <f ca="1">IFERROR(VLOOKUP(ExtComp[[#This Row],[DEVELOPMENT]],Data[],4,FALSE),"")</f>
        <v>2022-2025</v>
      </c>
      <c r="G124" s="50" t="str">
        <f ca="1">IF(ExtComp[[#This Row],[RAD/PACT]]="","",IF(ExtComp[[#This Row],[RAD/PACT]]&lt;=2025,"Yes",""))</f>
        <v/>
      </c>
      <c r="H124" s="51" t="str">
        <f ca="1">IF(VLOOKUP(ExtComp[[#This Row],[DEVELOPMENT]],Data[],11,FALSE)=0,"",DATEDIF(VLOOKUP(ExtComp[[#This Row],[DEVELOPMENT]],Data[],13,FALSE),TODAY(),"Y"))</f>
        <v/>
      </c>
      <c r="I12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24" s="47">
        <f ca="1">(ExtComp[[#This Row],['# to Replace]]*'Unit Cost Summary'!$B$6)*(1+((ExtComp[[#This Row],[est. Year]]-YEAR(TODAY()))*$J$2))</f>
        <v>0</v>
      </c>
      <c r="K124" s="51">
        <f ca="1">SUM(INDEX(ExtComp['# to Replace],1):ExtComp[[#This Row],['# to Replace]])</f>
        <v>135</v>
      </c>
      <c r="L124" s="51">
        <f ca="1">ROUNDDOWN(ExtComp[[#This Row],[Count]]/50,0)+$L$1</f>
        <v>2022</v>
      </c>
      <c r="M124" s="64">
        <f t="shared" ca="1" si="1"/>
        <v>7474552.4100000001</v>
      </c>
      <c r="N124" s="64" t="str">
        <f>IFERROR(VLOOKUP(ExtComp[[#This Row],[DEVELOPMENT]],Data[],22,FALSE),"")</f>
        <v/>
      </c>
      <c r="O124" s="71" t="str">
        <f>IFERROR(VLOOKUP(ExtComp[[#This Row],[DEVELOPMENT]],Data[],23,FALSE),"")</f>
        <v/>
      </c>
    </row>
    <row r="125" spans="1:15">
      <c r="A125" s="13" t="s">
        <v>349</v>
      </c>
      <c r="B125" s="9" t="str">
        <f>VLOOKUP(A125,Data[],2,FALSE)</f>
        <v>BROOKLYN</v>
      </c>
      <c r="C125" s="9" t="s">
        <v>68</v>
      </c>
      <c r="D125" s="50">
        <f>VLOOKUP(ExtComp[[#This Row],[DEVELOPMENT]],Data[],8,FALSE)</f>
        <v>0</v>
      </c>
      <c r="E125" s="50">
        <f>VLOOKUP(ExtComp[[#This Row],[DEVELOPMENT]],Data[],9,FALSE)</f>
        <v>0</v>
      </c>
      <c r="F125" s="50" t="str">
        <f ca="1">IFERROR(VLOOKUP(ExtComp[[#This Row],[DEVELOPMENT]],Data[],4,FALSE),"")</f>
        <v/>
      </c>
      <c r="G125" s="50" t="str">
        <f ca="1">IF(ExtComp[[#This Row],[RAD/PACT]]="","",IF(ExtComp[[#This Row],[RAD/PACT]]&lt;=2025,"Yes",""))</f>
        <v/>
      </c>
      <c r="H125" s="51" t="str">
        <f ca="1">IF(VLOOKUP(ExtComp[[#This Row],[DEVELOPMENT]],Data[],11,FALSE)=0,"",DATEDIF(VLOOKUP(ExtComp[[#This Row],[DEVELOPMENT]],Data[],13,FALSE),TODAY(),"Y"))</f>
        <v/>
      </c>
      <c r="I12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25" s="47">
        <f ca="1">(ExtComp[[#This Row],['# to Replace]]*'Unit Cost Summary'!$B$6)*(1+((ExtComp[[#This Row],[est. Year]]-YEAR(TODAY()))*$J$2))</f>
        <v>0</v>
      </c>
      <c r="K125" s="51">
        <f ca="1">SUM(INDEX(ExtComp['# to Replace],1):ExtComp[[#This Row],['# to Replace]])</f>
        <v>135</v>
      </c>
      <c r="L125" s="51">
        <f ca="1">ROUNDDOWN(ExtComp[[#This Row],[Count]]/50,0)+$L$1</f>
        <v>2022</v>
      </c>
      <c r="M125" s="64">
        <f t="shared" ca="1" si="1"/>
        <v>7474552.4100000001</v>
      </c>
      <c r="N125" s="64" t="str">
        <f>IFERROR(VLOOKUP(ExtComp[[#This Row],[DEVELOPMENT]],Data[],22,FALSE),"")</f>
        <v/>
      </c>
      <c r="O125" s="71" t="str">
        <f>IFERROR(VLOOKUP(ExtComp[[#This Row],[DEVELOPMENT]],Data[],23,FALSE),"")</f>
        <v/>
      </c>
    </row>
    <row r="126" spans="1:15">
      <c r="A126" s="13" t="s">
        <v>348</v>
      </c>
      <c r="B126" s="9" t="str">
        <f>VLOOKUP(A126,Data[],2,FALSE)</f>
        <v>QUEENS</v>
      </c>
      <c r="C126" s="9" t="s">
        <v>68</v>
      </c>
      <c r="D126" s="50">
        <f>VLOOKUP(ExtComp[[#This Row],[DEVELOPMENT]],Data[],8,FALSE)</f>
        <v>0</v>
      </c>
      <c r="E126" s="50">
        <f>VLOOKUP(ExtComp[[#This Row],[DEVELOPMENT]],Data[],9,FALSE)</f>
        <v>0</v>
      </c>
      <c r="F126" s="50" t="str">
        <f ca="1">IFERROR(VLOOKUP(ExtComp[[#This Row],[DEVELOPMENT]],Data[],4,FALSE),"")</f>
        <v>2026+</v>
      </c>
      <c r="G126" s="50" t="str">
        <f ca="1">IF(ExtComp[[#This Row],[RAD/PACT]]="","",IF(ExtComp[[#This Row],[RAD/PACT]]&lt;=2025,"Yes",""))</f>
        <v/>
      </c>
      <c r="H126" s="51" t="str">
        <f ca="1">IF(VLOOKUP(ExtComp[[#This Row],[DEVELOPMENT]],Data[],11,FALSE)=0,"",DATEDIF(VLOOKUP(ExtComp[[#This Row],[DEVELOPMENT]],Data[],13,FALSE),TODAY(),"Y"))</f>
        <v/>
      </c>
      <c r="I12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26" s="47">
        <f ca="1">(ExtComp[[#This Row],['# to Replace]]*'Unit Cost Summary'!$B$6)*(1+((ExtComp[[#This Row],[est. Year]]-YEAR(TODAY()))*$J$2))</f>
        <v>0</v>
      </c>
      <c r="K126" s="51">
        <f ca="1">SUM(INDEX(ExtComp['# to Replace],1):ExtComp[[#This Row],['# to Replace]])</f>
        <v>135</v>
      </c>
      <c r="L126" s="51">
        <f ca="1">ROUNDDOWN(ExtComp[[#This Row],[Count]]/50,0)+$L$1</f>
        <v>2022</v>
      </c>
      <c r="M126" s="64">
        <f t="shared" ca="1" si="1"/>
        <v>7474552.4100000001</v>
      </c>
      <c r="N126" s="64" t="str">
        <f>IFERROR(VLOOKUP(ExtComp[[#This Row],[DEVELOPMENT]],Data[],22,FALSE),"")</f>
        <v/>
      </c>
      <c r="O126" s="71" t="str">
        <f>IFERROR(VLOOKUP(ExtComp[[#This Row],[DEVELOPMENT]],Data[],23,FALSE),"")</f>
        <v/>
      </c>
    </row>
    <row r="127" spans="1:15">
      <c r="A127" s="13" t="s">
        <v>209</v>
      </c>
      <c r="B127" s="9" t="str">
        <f>VLOOKUP(A127,Data[],2,FALSE)</f>
        <v>BROOKLYN</v>
      </c>
      <c r="C127" s="9" t="s">
        <v>68</v>
      </c>
      <c r="D127" s="50">
        <f>VLOOKUP(ExtComp[[#This Row],[DEVELOPMENT]],Data[],8,FALSE)</f>
        <v>0</v>
      </c>
      <c r="E127" s="50">
        <f>VLOOKUP(ExtComp[[#This Row],[DEVELOPMENT]],Data[],9,FALSE)</f>
        <v>0</v>
      </c>
      <c r="F127" s="50" t="str">
        <f ca="1">IFERROR(VLOOKUP(ExtComp[[#This Row],[DEVELOPMENT]],Data[],4,FALSE),"")</f>
        <v>2026+</v>
      </c>
      <c r="G127" s="50" t="str">
        <f ca="1">IF(ExtComp[[#This Row],[RAD/PACT]]="","",IF(ExtComp[[#This Row],[RAD/PACT]]&lt;=2025,"Yes",""))</f>
        <v/>
      </c>
      <c r="H127" s="51">
        <f ca="1">IF(VLOOKUP(ExtComp[[#This Row],[DEVELOPMENT]],Data[],11,FALSE)=0,"",DATEDIF(VLOOKUP(ExtComp[[#This Row],[DEVELOPMENT]],Data[],13,FALSE),TODAY(),"Y"))</f>
        <v>12</v>
      </c>
      <c r="I127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127" s="47">
        <f ca="1">(ExtComp[[#This Row],['# to Replace]]*'Unit Cost Summary'!$B$6)*(1+((ExtComp[[#This Row],[est. Year]]-YEAR(TODAY()))*$J$2))</f>
        <v>202014.93000000002</v>
      </c>
      <c r="K127" s="51">
        <f ca="1">SUM(INDEX(ExtComp['# to Replace],1):ExtComp[[#This Row],['# to Replace]])</f>
        <v>136</v>
      </c>
      <c r="L127" s="51">
        <f ca="1">ROUNDDOWN(ExtComp[[#This Row],[Count]]/50,0)+$L$1</f>
        <v>2022</v>
      </c>
      <c r="M127" s="64">
        <f t="shared" ca="1" si="1"/>
        <v>7676567.3399999999</v>
      </c>
      <c r="N127" s="64" t="str">
        <f>IFERROR(VLOOKUP(ExtComp[[#This Row],[DEVELOPMENT]],Data[],22,FALSE),"")</f>
        <v/>
      </c>
      <c r="O127" s="71" t="str">
        <f>IFERROR(VLOOKUP(ExtComp[[#This Row],[DEVELOPMENT]],Data[],23,FALSE),"")</f>
        <v/>
      </c>
    </row>
    <row r="128" spans="1:15">
      <c r="A128" s="13" t="s">
        <v>347</v>
      </c>
      <c r="B128" s="9" t="str">
        <f>VLOOKUP(A128,Data[],2,FALSE)</f>
        <v>STATEN ISLAND</v>
      </c>
      <c r="C128" s="9" t="s">
        <v>68</v>
      </c>
      <c r="D128" s="50">
        <f>VLOOKUP(ExtComp[[#This Row],[DEVELOPMENT]],Data[],8,FALSE)</f>
        <v>0</v>
      </c>
      <c r="E128" s="50">
        <f>VLOOKUP(ExtComp[[#This Row],[DEVELOPMENT]],Data[],9,FALSE)</f>
        <v>0</v>
      </c>
      <c r="F128" s="50" t="str">
        <f ca="1">IFERROR(VLOOKUP(ExtComp[[#This Row],[DEVELOPMENT]],Data[],4,FALSE),"")</f>
        <v/>
      </c>
      <c r="G128" s="50" t="str">
        <f ca="1">IF(ExtComp[[#This Row],[RAD/PACT]]="","",IF(ExtComp[[#This Row],[RAD/PACT]]&lt;=2025,"Yes",""))</f>
        <v/>
      </c>
      <c r="H128" s="51" t="str">
        <f ca="1">IF(VLOOKUP(ExtComp[[#This Row],[DEVELOPMENT]],Data[],11,FALSE)=0,"",DATEDIF(VLOOKUP(ExtComp[[#This Row],[DEVELOPMENT]],Data[],13,FALSE),TODAY(),"Y"))</f>
        <v/>
      </c>
      <c r="I12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28" s="47">
        <f ca="1">(ExtComp[[#This Row],['# to Replace]]*'Unit Cost Summary'!$B$6)*(1+((ExtComp[[#This Row],[est. Year]]-YEAR(TODAY()))*$J$2))</f>
        <v>0</v>
      </c>
      <c r="K128" s="51">
        <f ca="1">SUM(INDEX(ExtComp['# to Replace],1):ExtComp[[#This Row],['# to Replace]])</f>
        <v>136</v>
      </c>
      <c r="L128" s="51">
        <f ca="1">ROUNDDOWN(ExtComp[[#This Row],[Count]]/50,0)+$L$1</f>
        <v>2022</v>
      </c>
      <c r="M128" s="64">
        <f t="shared" ca="1" si="1"/>
        <v>7676567.3399999999</v>
      </c>
      <c r="N128" s="64" t="str">
        <f>IFERROR(VLOOKUP(ExtComp[[#This Row],[DEVELOPMENT]],Data[],22,FALSE),"")</f>
        <v/>
      </c>
      <c r="O128" s="71" t="str">
        <f>IFERROR(VLOOKUP(ExtComp[[#This Row],[DEVELOPMENT]],Data[],23,FALSE),"")</f>
        <v/>
      </c>
    </row>
    <row r="129" spans="1:15">
      <c r="A129" s="13" t="s">
        <v>346</v>
      </c>
      <c r="B129" s="9" t="str">
        <f>VLOOKUP(A129,Data[],2,FALSE)</f>
        <v>BRONX</v>
      </c>
      <c r="C129" s="9" t="s">
        <v>68</v>
      </c>
      <c r="D129" s="50">
        <f>VLOOKUP(ExtComp[[#This Row],[DEVELOPMENT]],Data[],8,FALSE)</f>
        <v>0</v>
      </c>
      <c r="E129" s="50">
        <f>VLOOKUP(ExtComp[[#This Row],[DEVELOPMENT]],Data[],9,FALSE)</f>
        <v>0</v>
      </c>
      <c r="F129" s="50" t="str">
        <f ca="1">IFERROR(VLOOKUP(ExtComp[[#This Row],[DEVELOPMENT]],Data[],4,FALSE),"")</f>
        <v>2026+</v>
      </c>
      <c r="G129" s="50" t="str">
        <f ca="1">IF(ExtComp[[#This Row],[RAD/PACT]]="","",IF(ExtComp[[#This Row],[RAD/PACT]]&lt;=2025,"Yes",""))</f>
        <v/>
      </c>
      <c r="H129" s="51">
        <f ca="1">IF(VLOOKUP(ExtComp[[#This Row],[DEVELOPMENT]],Data[],11,FALSE)=0,"",DATEDIF(VLOOKUP(ExtComp[[#This Row],[DEVELOPMENT]],Data[],13,FALSE),TODAY(),"Y"))</f>
        <v>15</v>
      </c>
      <c r="I129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29" s="47">
        <f ca="1">(ExtComp[[#This Row],['# to Replace]]*'Unit Cost Summary'!$B$6)*(1+((ExtComp[[#This Row],[est. Year]]-YEAR(TODAY()))*$J$2))</f>
        <v>404029.86000000004</v>
      </c>
      <c r="K129" s="51">
        <f ca="1">SUM(INDEX(ExtComp['# to Replace],1):ExtComp[[#This Row],['# to Replace]])</f>
        <v>138</v>
      </c>
      <c r="L129" s="51">
        <f ca="1">ROUNDDOWN(ExtComp[[#This Row],[Count]]/50,0)+$L$1</f>
        <v>2022</v>
      </c>
      <c r="M129" s="64">
        <f t="shared" ca="1" si="1"/>
        <v>8080597.2000000002</v>
      </c>
      <c r="N129" s="64" t="str">
        <f>IFERROR(VLOOKUP(ExtComp[[#This Row],[DEVELOPMENT]],Data[],22,FALSE),"")</f>
        <v/>
      </c>
      <c r="O129" s="71" t="str">
        <f>IFERROR(VLOOKUP(ExtComp[[#This Row],[DEVELOPMENT]],Data[],23,FALSE),"")</f>
        <v/>
      </c>
    </row>
    <row r="130" spans="1:15">
      <c r="A130" s="13" t="s">
        <v>41</v>
      </c>
      <c r="B130" s="1" t="str">
        <f>VLOOKUP(A130,Data[],2,FALSE)</f>
        <v>BRONX</v>
      </c>
      <c r="C130" s="9" t="s">
        <v>68</v>
      </c>
      <c r="D130" s="9" t="str">
        <f>VLOOKUP(ExtComp[[#This Row],[DEVELOPMENT]],Data[],8,FALSE)</f>
        <v>Zone 1</v>
      </c>
      <c r="E130" s="9">
        <f>VLOOKUP(ExtComp[[#This Row],[DEVELOPMENT]],Data[],9,FALSE)</f>
        <v>4</v>
      </c>
      <c r="F130" s="9" t="str">
        <f ca="1">IFERROR(VLOOKUP(ExtComp[[#This Row],[DEVELOPMENT]],Data[],4,FALSE),"")</f>
        <v/>
      </c>
      <c r="G130" s="9" t="str">
        <f ca="1">IF(ExtComp[[#This Row],[RAD/PACT]]="","",IF(ExtComp[[#This Row],[RAD/PACT]]&lt;=2025,"Yes",""))</f>
        <v/>
      </c>
      <c r="H130" s="1">
        <f ca="1">IF(VLOOKUP(ExtComp[[#This Row],[DEVELOPMENT]],Data[],11,FALSE)=0,"",DATEDIF(VLOOKUP(ExtComp[[#This Row],[DEVELOPMENT]],Data[],13,FALSE),TODAY(),"Y"))</f>
        <v>4</v>
      </c>
      <c r="I130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130" s="47">
        <f ca="1">(ExtComp[[#This Row],['# to Replace]]*'Unit Cost Summary'!$B$6)*(1+((ExtComp[[#This Row],[est. Year]]-YEAR(TODAY()))*$J$2))</f>
        <v>404029.86000000004</v>
      </c>
      <c r="K130" s="1">
        <f ca="1">SUM(INDEX(ExtComp['# to Replace],1):ExtComp[[#This Row],['# to Replace]])</f>
        <v>140</v>
      </c>
      <c r="L130" s="1">
        <f ca="1">ROUNDDOWN(ExtComp[[#This Row],[Count]]/50,0)+$L$1</f>
        <v>2022</v>
      </c>
      <c r="M130" s="64">
        <f t="shared" ca="1" si="1"/>
        <v>8484627.0600000005</v>
      </c>
      <c r="N130" s="64" t="str">
        <f>IFERROR(VLOOKUP(ExtComp[[#This Row],[DEVELOPMENT]],Data[],22,FALSE),"")</f>
        <v/>
      </c>
      <c r="O130" s="71" t="str">
        <f>IFERROR(VLOOKUP(ExtComp[[#This Row],[DEVELOPMENT]],Data[],23,FALSE),"")</f>
        <v/>
      </c>
    </row>
    <row r="131" spans="1:15">
      <c r="A131" s="65" t="s">
        <v>147</v>
      </c>
      <c r="B131" s="1" t="str">
        <f>VLOOKUP(A131,Data[],2,FALSE)</f>
        <v>BRONX</v>
      </c>
      <c r="C131" s="9" t="s">
        <v>68</v>
      </c>
      <c r="D131" s="9" t="str">
        <f>VLOOKUP(ExtComp[[#This Row],[DEVELOPMENT]],Data[],8,FALSE)</f>
        <v>Zone 1</v>
      </c>
      <c r="E131" s="9">
        <f>VLOOKUP(ExtComp[[#This Row],[DEVELOPMENT]],Data[],9,FALSE)</f>
        <v>1</v>
      </c>
      <c r="F131" s="9" t="str">
        <f ca="1">IFERROR(VLOOKUP(ExtComp[[#This Row],[DEVELOPMENT]],Data[],4,FALSE),"")</f>
        <v/>
      </c>
      <c r="G131" s="9" t="str">
        <f ca="1">IF(ExtComp[[#This Row],[RAD/PACT]]="","",IF(ExtComp[[#This Row],[RAD/PACT]]&lt;=2025,"Yes",""))</f>
        <v/>
      </c>
      <c r="H131" s="1" t="str">
        <f ca="1">IF(VLOOKUP(ExtComp[[#This Row],[DEVELOPMENT]],Data[],11,FALSE)=0,"",DATEDIF(VLOOKUP(ExtComp[[#This Row],[DEVELOPMENT]],Data[],13,FALSE),TODAY(),"Y"))</f>
        <v/>
      </c>
      <c r="I131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31" s="47">
        <f ca="1">(ExtComp[[#This Row],['# to Replace]]*'Unit Cost Summary'!$B$6)*(1+((ExtComp[[#This Row],[est. Year]]-YEAR(TODAY()))*$J$2))</f>
        <v>0</v>
      </c>
      <c r="K131" s="1">
        <f ca="1">SUM(INDEX(ExtComp['# to Replace],1):ExtComp[[#This Row],['# to Replace]])</f>
        <v>140</v>
      </c>
      <c r="L131" s="1">
        <f ca="1">ROUNDDOWN(ExtComp[[#This Row],[Count]]/50,0)+$L$1</f>
        <v>2022</v>
      </c>
      <c r="M131" s="64">
        <f t="shared" ca="1" si="1"/>
        <v>8484627.0600000005</v>
      </c>
      <c r="N131" s="64" t="str">
        <f>IFERROR(VLOOKUP(ExtComp[[#This Row],[DEVELOPMENT]],Data[],22,FALSE),"")</f>
        <v/>
      </c>
      <c r="O131" s="51" t="str">
        <f>IFERROR(VLOOKUP(ExtComp[[#This Row],[DEVELOPMENT]],Data[],23,FALSE),"")</f>
        <v/>
      </c>
    </row>
    <row r="132" spans="1:15">
      <c r="A132" s="13" t="s">
        <v>92</v>
      </c>
      <c r="B132" s="1" t="str">
        <f>VLOOKUP(A132,Data[],2,FALSE)</f>
        <v>MANHATTAN</v>
      </c>
      <c r="C132" s="9" t="s">
        <v>68</v>
      </c>
      <c r="D132" s="9" t="str">
        <f>VLOOKUP(ExtComp[[#This Row],[DEVELOPMENT]],Data[],8,FALSE)</f>
        <v>Zone 2</v>
      </c>
      <c r="E132" s="9">
        <f>VLOOKUP(ExtComp[[#This Row],[DEVELOPMENT]],Data[],9,FALSE)</f>
        <v>1</v>
      </c>
      <c r="F132" s="9" t="str">
        <f ca="1">IFERROR(VLOOKUP(ExtComp[[#This Row],[DEVELOPMENT]],Data[],4,FALSE),"")</f>
        <v/>
      </c>
      <c r="G132" s="9" t="str">
        <f ca="1">IF(ExtComp[[#This Row],[RAD/PACT]]="","",IF(ExtComp[[#This Row],[RAD/PACT]]&lt;=2025,"Yes",""))</f>
        <v/>
      </c>
      <c r="H132" s="1" t="str">
        <f ca="1">IF(VLOOKUP(ExtComp[[#This Row],[DEVELOPMENT]],Data[],11,FALSE)=0,"",DATEDIF(VLOOKUP(ExtComp[[#This Row],[DEVELOPMENT]],Data[],13,FALSE),TODAY(),"Y"))</f>
        <v/>
      </c>
      <c r="I132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32" s="47">
        <f ca="1">(ExtComp[[#This Row],['# to Replace]]*'Unit Cost Summary'!$B$6)*(1+((ExtComp[[#This Row],[est. Year]]-YEAR(TODAY()))*$J$2))</f>
        <v>0</v>
      </c>
      <c r="K132" s="1">
        <f ca="1">SUM(INDEX(ExtComp['# to Replace],1):ExtComp[[#This Row],['# to Replace]])</f>
        <v>140</v>
      </c>
      <c r="L132" s="1">
        <f ca="1">ROUNDDOWN(ExtComp[[#This Row],[Count]]/50,0)+$L$1</f>
        <v>2022</v>
      </c>
      <c r="M132" s="64">
        <f t="shared" ref="M132:M195" ca="1" si="2">IF(L132=L131,J132+M131,J132)</f>
        <v>8484627.0600000005</v>
      </c>
      <c r="N132" s="64" t="str">
        <f>IFERROR(VLOOKUP(ExtComp[[#This Row],[DEVELOPMENT]],Data[],22,FALSE),"")</f>
        <v/>
      </c>
      <c r="O132" s="51" t="str">
        <f>IFERROR(VLOOKUP(ExtComp[[#This Row],[DEVELOPMENT]],Data[],23,FALSE),"")</f>
        <v/>
      </c>
    </row>
    <row r="133" spans="1:15">
      <c r="A133" s="13" t="s">
        <v>140</v>
      </c>
      <c r="B133" s="1" t="str">
        <f>VLOOKUP(A133,Data[],2,FALSE)</f>
        <v>BRONX</v>
      </c>
      <c r="C133" s="9" t="s">
        <v>68</v>
      </c>
      <c r="D133" s="9" t="str">
        <f>VLOOKUP(ExtComp[[#This Row],[DEVELOPMENT]],Data[],8,FALSE)</f>
        <v>Zone 1</v>
      </c>
      <c r="E133" s="9">
        <f>VLOOKUP(ExtComp[[#This Row],[DEVELOPMENT]],Data[],9,FALSE)</f>
        <v>2</v>
      </c>
      <c r="F133" s="9" t="str">
        <f ca="1">IFERROR(VLOOKUP(ExtComp[[#This Row],[DEVELOPMENT]],Data[],4,FALSE),"")</f>
        <v/>
      </c>
      <c r="G133" s="9" t="str">
        <f ca="1">IF(ExtComp[[#This Row],[RAD/PACT]]="","",IF(ExtComp[[#This Row],[RAD/PACT]]&lt;=2025,"Yes",""))</f>
        <v/>
      </c>
      <c r="H133" s="1" t="str">
        <f ca="1">IF(VLOOKUP(ExtComp[[#This Row],[DEVELOPMENT]],Data[],11,FALSE)=0,"",DATEDIF(VLOOKUP(ExtComp[[#This Row],[DEVELOPMENT]],Data[],13,FALSE),TODAY(),"Y"))</f>
        <v/>
      </c>
      <c r="I133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33" s="47">
        <f ca="1">(ExtComp[[#This Row],['# to Replace]]*'Unit Cost Summary'!$B$6)*(1+((ExtComp[[#This Row],[est. Year]]-YEAR(TODAY()))*$J$2))</f>
        <v>0</v>
      </c>
      <c r="K133" s="1">
        <f ca="1">SUM(INDEX(ExtComp['# to Replace],1):ExtComp[[#This Row],['# to Replace]])</f>
        <v>140</v>
      </c>
      <c r="L133" s="1">
        <f ca="1">ROUNDDOWN(ExtComp[[#This Row],[Count]]/50,0)+$L$1</f>
        <v>2022</v>
      </c>
      <c r="M133" s="64">
        <f t="shared" ca="1" si="2"/>
        <v>8484627.0600000005</v>
      </c>
      <c r="N133" s="64" t="str">
        <f>IFERROR(VLOOKUP(ExtComp[[#This Row],[DEVELOPMENT]],Data[],22,FALSE),"")</f>
        <v/>
      </c>
      <c r="O133" s="51" t="str">
        <f>IFERROR(VLOOKUP(ExtComp[[#This Row],[DEVELOPMENT]],Data[],23,FALSE),"")</f>
        <v/>
      </c>
    </row>
    <row r="134" spans="1:15">
      <c r="A134" s="13" t="s">
        <v>40</v>
      </c>
      <c r="B134" s="1" t="str">
        <f>VLOOKUP(A134,Data[],2,FALSE)</f>
        <v>BRONX</v>
      </c>
      <c r="C134" s="9" t="s">
        <v>68</v>
      </c>
      <c r="D134" s="9" t="str">
        <f>VLOOKUP(ExtComp[[#This Row],[DEVELOPMENT]],Data[],8,FALSE)</f>
        <v>Zone 1</v>
      </c>
      <c r="E134" s="9">
        <f>VLOOKUP(ExtComp[[#This Row],[DEVELOPMENT]],Data[],9,FALSE)</f>
        <v>3</v>
      </c>
      <c r="F134" s="9" t="str">
        <f ca="1">IFERROR(VLOOKUP(ExtComp[[#This Row],[DEVELOPMENT]],Data[],4,FALSE),"")</f>
        <v/>
      </c>
      <c r="G134" s="9" t="str">
        <f ca="1">IF(ExtComp[[#This Row],[RAD/PACT]]="","",IF(ExtComp[[#This Row],[RAD/PACT]]&lt;=2025,"Yes",""))</f>
        <v/>
      </c>
      <c r="H134" s="1">
        <f ca="1">IF(VLOOKUP(ExtComp[[#This Row],[DEVELOPMENT]],Data[],11,FALSE)=0,"",DATEDIF(VLOOKUP(ExtComp[[#This Row],[DEVELOPMENT]],Data[],13,FALSE),TODAY(),"Y"))</f>
        <v>0</v>
      </c>
      <c r="I134" s="1">
        <f ca="1">IF(ExtComp[[#This Row],[RAD/PACT]]="",VLOOKUP(ExtComp[[#This Row],[DEVELOPMENT]],Data[],11,FALSE),IF(ExtComp[[#This Row],[RAD/PACT by 2025]]="yes",0,VLOOKUP(ExtComp[[#This Row],[DEVELOPMENT]],Data[],11,FALSE)))</f>
        <v>5</v>
      </c>
      <c r="J134" s="47">
        <f ca="1">(ExtComp[[#This Row],['# to Replace]]*'Unit Cost Summary'!$B$6)*(1+((ExtComp[[#This Row],[est. Year]]-YEAR(TODAY()))*$J$2))</f>
        <v>1010074.65</v>
      </c>
      <c r="K134" s="1">
        <f ca="1">SUM(INDEX(ExtComp['# to Replace],1):ExtComp[[#This Row],['# to Replace]])</f>
        <v>145</v>
      </c>
      <c r="L134" s="1">
        <f ca="1">ROUNDDOWN(ExtComp[[#This Row],[Count]]/50,0)+$L$1</f>
        <v>2022</v>
      </c>
      <c r="M134" s="64">
        <f t="shared" ca="1" si="2"/>
        <v>9494701.7100000009</v>
      </c>
      <c r="N134" s="64" t="str">
        <f>IFERROR(VLOOKUP(ExtComp[[#This Row],[DEVELOPMENT]],Data[],22,FALSE),"")</f>
        <v/>
      </c>
      <c r="O134" s="71" t="str">
        <f>IFERROR(VLOOKUP(ExtComp[[#This Row],[DEVELOPMENT]],Data[],23,FALSE),"")</f>
        <v/>
      </c>
    </row>
    <row r="135" spans="1:15">
      <c r="A135" s="13" t="s">
        <v>91</v>
      </c>
      <c r="B135" s="1" t="str">
        <f>VLOOKUP(A135,Data[],2,FALSE)</f>
        <v>BRONX</v>
      </c>
      <c r="C135" s="9" t="s">
        <v>68</v>
      </c>
      <c r="D135" s="9" t="str">
        <f>VLOOKUP(ExtComp[[#This Row],[DEVELOPMENT]],Data[],8,FALSE)</f>
        <v>Zone 3</v>
      </c>
      <c r="E135" s="9">
        <f>VLOOKUP(ExtComp[[#This Row],[DEVELOPMENT]],Data[],9,FALSE)</f>
        <v>3</v>
      </c>
      <c r="F135" s="9" t="str">
        <f ca="1">IFERROR(VLOOKUP(ExtComp[[#This Row],[DEVELOPMENT]],Data[],4,FALSE),"")</f>
        <v>2026+</v>
      </c>
      <c r="G135" s="9" t="str">
        <f ca="1">IF(ExtComp[[#This Row],[RAD/PACT]]="","",IF(ExtComp[[#This Row],[RAD/PACT]]&lt;=2025,"Yes",""))</f>
        <v/>
      </c>
      <c r="H135" s="1">
        <f ca="1">IF(VLOOKUP(ExtComp[[#This Row],[DEVELOPMENT]],Data[],11,FALSE)=0,"",DATEDIF(VLOOKUP(ExtComp[[#This Row],[DEVELOPMENT]],Data[],13,FALSE),TODAY(),"Y"))</f>
        <v>19</v>
      </c>
      <c r="I135" s="1">
        <f ca="1">IF(ExtComp[[#This Row],[RAD/PACT]]="",VLOOKUP(ExtComp[[#This Row],[DEVELOPMENT]],Data[],11,FALSE),IF(ExtComp[[#This Row],[RAD/PACT by 2025]]="yes",0,VLOOKUP(ExtComp[[#This Row],[DEVELOPMENT]],Data[],11,FALSE)))</f>
        <v>1</v>
      </c>
      <c r="J135" s="47">
        <f ca="1">(ExtComp[[#This Row],['# to Replace]]*'Unit Cost Summary'!$B$6)*(1+((ExtComp[[#This Row],[est. Year]]-YEAR(TODAY()))*$J$2))</f>
        <v>202014.93000000002</v>
      </c>
      <c r="K135" s="1">
        <f ca="1">SUM(INDEX(ExtComp['# to Replace],1):ExtComp[[#This Row],['# to Replace]])</f>
        <v>146</v>
      </c>
      <c r="L135" s="1">
        <f ca="1">ROUNDDOWN(ExtComp[[#This Row],[Count]]/50,0)+$L$1</f>
        <v>2022</v>
      </c>
      <c r="M135" s="64">
        <f t="shared" ca="1" si="2"/>
        <v>9696716.6400000006</v>
      </c>
      <c r="N135" s="64" t="str">
        <f>IFERROR(VLOOKUP(ExtComp[[#This Row],[DEVELOPMENT]],Data[],22,FALSE),"")</f>
        <v/>
      </c>
      <c r="O135" s="71" t="str">
        <f>IFERROR(VLOOKUP(ExtComp[[#This Row],[DEVELOPMENT]],Data[],23,FALSE),"")</f>
        <v/>
      </c>
    </row>
    <row r="136" spans="1:15">
      <c r="A136" s="13" t="s">
        <v>114</v>
      </c>
      <c r="B136" s="1" t="str">
        <f>VLOOKUP(A136,Data[],2,FALSE)</f>
        <v>BRONX</v>
      </c>
      <c r="C136" s="9" t="s">
        <v>68</v>
      </c>
      <c r="D136" s="9" t="str">
        <f>VLOOKUP(ExtComp[[#This Row],[DEVELOPMENT]],Data[],8,FALSE)</f>
        <v>Zone 3</v>
      </c>
      <c r="E136" s="9">
        <f>VLOOKUP(ExtComp[[#This Row],[DEVELOPMENT]],Data[],9,FALSE)</f>
        <v>4</v>
      </c>
      <c r="F136" s="9" t="str">
        <f ca="1">IFERROR(VLOOKUP(ExtComp[[#This Row],[DEVELOPMENT]],Data[],4,FALSE),"")</f>
        <v>2026+</v>
      </c>
      <c r="G136" s="9" t="str">
        <f ca="1">IF(ExtComp[[#This Row],[RAD/PACT]]="","",IF(ExtComp[[#This Row],[RAD/PACT]]&lt;=2025,"Yes",""))</f>
        <v/>
      </c>
      <c r="H136" s="1">
        <f ca="1">IF(VLOOKUP(ExtComp[[#This Row],[DEVELOPMENT]],Data[],11,FALSE)=0,"",DATEDIF(VLOOKUP(ExtComp[[#This Row],[DEVELOPMENT]],Data[],13,FALSE),TODAY(),"Y"))</f>
        <v>19</v>
      </c>
      <c r="I136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136" s="47">
        <f ca="1">(ExtComp[[#This Row],['# to Replace]]*'Unit Cost Summary'!$B$6)*(1+((ExtComp[[#This Row],[est. Year]]-YEAR(TODAY()))*$J$2))</f>
        <v>404029.86000000004</v>
      </c>
      <c r="K136" s="1">
        <f ca="1">SUM(INDEX(ExtComp['# to Replace],1):ExtComp[[#This Row],['# to Replace]])</f>
        <v>148</v>
      </c>
      <c r="L136" s="1">
        <f ca="1">ROUNDDOWN(ExtComp[[#This Row],[Count]]/50,0)+$L$1</f>
        <v>2022</v>
      </c>
      <c r="M136" s="64">
        <f t="shared" ca="1" si="2"/>
        <v>10100746.5</v>
      </c>
      <c r="N136" s="64" t="str">
        <f>IFERROR(VLOOKUP(ExtComp[[#This Row],[DEVELOPMENT]],Data[],22,FALSE),"")</f>
        <v/>
      </c>
      <c r="O136" s="71" t="str">
        <f>IFERROR(VLOOKUP(ExtComp[[#This Row],[DEVELOPMENT]],Data[],23,FALSE),"")</f>
        <v/>
      </c>
    </row>
    <row r="137" spans="1:15">
      <c r="A137" s="13" t="s">
        <v>223</v>
      </c>
      <c r="B137" s="9" t="str">
        <f>VLOOKUP(A137,Data[],2,FALSE)</f>
        <v>BRONX</v>
      </c>
      <c r="C137" s="9" t="s">
        <v>68</v>
      </c>
      <c r="D137" s="50">
        <f>VLOOKUP(ExtComp[[#This Row],[DEVELOPMENT]],Data[],8,FALSE)</f>
        <v>0</v>
      </c>
      <c r="E137" s="50">
        <f>VLOOKUP(ExtComp[[#This Row],[DEVELOPMENT]],Data[],9,FALSE)</f>
        <v>0</v>
      </c>
      <c r="F137" s="50" t="str">
        <f ca="1">IFERROR(VLOOKUP(ExtComp[[#This Row],[DEVELOPMENT]],Data[],4,FALSE),"")</f>
        <v>2026+</v>
      </c>
      <c r="G137" s="50" t="str">
        <f ca="1">IF(ExtComp[[#This Row],[RAD/PACT]]="","",IF(ExtComp[[#This Row],[RAD/PACT]]&lt;=2025,"Yes",""))</f>
        <v/>
      </c>
      <c r="H137" s="51">
        <f ca="1">IF(VLOOKUP(ExtComp[[#This Row],[DEVELOPMENT]],Data[],11,FALSE)=0,"",DATEDIF(VLOOKUP(ExtComp[[#This Row],[DEVELOPMENT]],Data[],13,FALSE),TODAY(),"Y"))</f>
        <v>16</v>
      </c>
      <c r="I137" s="51">
        <f ca="1">IF(ExtComp[[#This Row],[RAD/PACT]]="",VLOOKUP(ExtComp[[#This Row],[DEVELOPMENT]],Data[],11,FALSE),IF(ExtComp[[#This Row],[RAD/PACT by 2025]]="yes",0,VLOOKUP(ExtComp[[#This Row],[DEVELOPMENT]],Data[],11,FALSE)))</f>
        <v>4</v>
      </c>
      <c r="J137" s="47">
        <f ca="1">(ExtComp[[#This Row],['# to Replace]]*'Unit Cost Summary'!$B$6)*(1+((ExtComp[[#This Row],[est. Year]]-YEAR(TODAY()))*$J$2))</f>
        <v>834491.58</v>
      </c>
      <c r="K137" s="51">
        <f ca="1">SUM(INDEX(ExtComp['# to Replace],1):ExtComp[[#This Row],['# to Replace]])</f>
        <v>152</v>
      </c>
      <c r="L137" s="51">
        <f ca="1">ROUNDDOWN(ExtComp[[#This Row],[Count]]/50,0)+$L$1</f>
        <v>2023</v>
      </c>
      <c r="M137" s="64">
        <f t="shared" ca="1" si="2"/>
        <v>834491.58</v>
      </c>
      <c r="N137" s="64" t="str">
        <f>IFERROR(VLOOKUP(ExtComp[[#This Row],[DEVELOPMENT]],Data[],22,FALSE),"")</f>
        <v/>
      </c>
      <c r="O137" s="51" t="str">
        <f>IFERROR(VLOOKUP(ExtComp[[#This Row],[DEVELOPMENT]],Data[],23,FALSE),"")</f>
        <v/>
      </c>
    </row>
    <row r="138" spans="1:15">
      <c r="A138" s="13" t="s">
        <v>277</v>
      </c>
      <c r="B138" s="9" t="str">
        <f>VLOOKUP(A138,Data[],2,FALSE)</f>
        <v>BRONX</v>
      </c>
      <c r="C138" s="9" t="s">
        <v>68</v>
      </c>
      <c r="D138" s="50">
        <f>VLOOKUP(ExtComp[[#This Row],[DEVELOPMENT]],Data[],8,FALSE)</f>
        <v>0</v>
      </c>
      <c r="E138" s="50">
        <f>VLOOKUP(ExtComp[[#This Row],[DEVELOPMENT]],Data[],9,FALSE)</f>
        <v>0</v>
      </c>
      <c r="F138" s="50" t="str">
        <f ca="1">IFERROR(VLOOKUP(ExtComp[[#This Row],[DEVELOPMENT]],Data[],4,FALSE),"")</f>
        <v/>
      </c>
      <c r="G138" s="50" t="str">
        <f ca="1">IF(ExtComp[[#This Row],[RAD/PACT]]="","",IF(ExtComp[[#This Row],[RAD/PACT]]&lt;=2025,"Yes",""))</f>
        <v/>
      </c>
      <c r="H138" s="51" t="str">
        <f ca="1">IF(VLOOKUP(ExtComp[[#This Row],[DEVELOPMENT]],Data[],11,FALSE)=0,"",DATEDIF(VLOOKUP(ExtComp[[#This Row],[DEVELOPMENT]],Data[],13,FALSE),TODAY(),"Y"))</f>
        <v/>
      </c>
      <c r="I13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38" s="47">
        <f ca="1">(ExtComp[[#This Row],['# to Replace]]*'Unit Cost Summary'!$B$6)*(1+((ExtComp[[#This Row],[est. Year]]-YEAR(TODAY()))*$J$2))</f>
        <v>0</v>
      </c>
      <c r="K138" s="51">
        <f ca="1">SUM(INDEX(ExtComp['# to Replace],1):ExtComp[[#This Row],['# to Replace]])</f>
        <v>152</v>
      </c>
      <c r="L138" s="51">
        <f ca="1">ROUNDDOWN(ExtComp[[#This Row],[Count]]/50,0)+$L$1</f>
        <v>2023</v>
      </c>
      <c r="M138" s="64">
        <f t="shared" ca="1" si="2"/>
        <v>834491.58</v>
      </c>
      <c r="N138" s="64" t="str">
        <f>IFERROR(VLOOKUP(ExtComp[[#This Row],[DEVELOPMENT]],Data[],22,FALSE),"")</f>
        <v/>
      </c>
      <c r="O138" s="71" t="str">
        <f>IFERROR(VLOOKUP(ExtComp[[#This Row],[DEVELOPMENT]],Data[],23,FALSE),"")</f>
        <v/>
      </c>
    </row>
    <row r="139" spans="1:15">
      <c r="A139" s="13" t="s">
        <v>267</v>
      </c>
      <c r="B139" s="9" t="str">
        <f>VLOOKUP(A139,Data[],2,FALSE)</f>
        <v>BRONX</v>
      </c>
      <c r="C139" s="9" t="s">
        <v>68</v>
      </c>
      <c r="D139" s="50">
        <f>VLOOKUP(ExtComp[[#This Row],[DEVELOPMENT]],Data[],8,FALSE)</f>
        <v>0</v>
      </c>
      <c r="E139" s="50">
        <f>VLOOKUP(ExtComp[[#This Row],[DEVELOPMENT]],Data[],9,FALSE)</f>
        <v>0</v>
      </c>
      <c r="F139" s="50" t="str">
        <f ca="1">IFERROR(VLOOKUP(ExtComp[[#This Row],[DEVELOPMENT]],Data[],4,FALSE),"")</f>
        <v/>
      </c>
      <c r="G139" s="50" t="str">
        <f ca="1">IF(ExtComp[[#This Row],[RAD/PACT]]="","",IF(ExtComp[[#This Row],[RAD/PACT]]&lt;=2025,"Yes",""))</f>
        <v/>
      </c>
      <c r="H139" s="51">
        <f ca="1">IF(VLOOKUP(ExtComp[[#This Row],[DEVELOPMENT]],Data[],11,FALSE)=0,"",DATEDIF(VLOOKUP(ExtComp[[#This Row],[DEVELOPMENT]],Data[],13,FALSE),TODAY(),"Y"))</f>
        <v>8</v>
      </c>
      <c r="I139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139" s="47">
        <f ca="1">(ExtComp[[#This Row],['# to Replace]]*'Unit Cost Summary'!$B$6)*(1+((ExtComp[[#This Row],[est. Year]]-YEAR(TODAY()))*$J$2))</f>
        <v>625868.68499999994</v>
      </c>
      <c r="K139" s="51">
        <f ca="1">SUM(INDEX(ExtComp['# to Replace],1):ExtComp[[#This Row],['# to Replace]])</f>
        <v>155</v>
      </c>
      <c r="L139" s="51">
        <f ca="1">ROUNDDOWN(ExtComp[[#This Row],[Count]]/50,0)+$L$1</f>
        <v>2023</v>
      </c>
      <c r="M139" s="64">
        <f t="shared" ca="1" si="2"/>
        <v>1460360.2649999999</v>
      </c>
      <c r="N139" s="64" t="str">
        <f>IFERROR(VLOOKUP(ExtComp[[#This Row],[DEVELOPMENT]],Data[],22,FALSE),"")</f>
        <v/>
      </c>
      <c r="O139" s="71" t="str">
        <f>IFERROR(VLOOKUP(ExtComp[[#This Row],[DEVELOPMENT]],Data[],23,FALSE),"")</f>
        <v/>
      </c>
    </row>
    <row r="140" spans="1:15">
      <c r="A140" s="13" t="s">
        <v>345</v>
      </c>
      <c r="B140" s="9" t="str">
        <f>VLOOKUP(A140,Data[],2,FALSE)</f>
        <v>BRONX</v>
      </c>
      <c r="C140" s="9" t="s">
        <v>68</v>
      </c>
      <c r="D140" s="50">
        <f>VLOOKUP(ExtComp[[#This Row],[DEVELOPMENT]],Data[],8,FALSE)</f>
        <v>0</v>
      </c>
      <c r="E140" s="50">
        <f>VLOOKUP(ExtComp[[#This Row],[DEVELOPMENT]],Data[],9,FALSE)</f>
        <v>0</v>
      </c>
      <c r="F140" s="50" t="str">
        <f ca="1">IFERROR(VLOOKUP(ExtComp[[#This Row],[DEVELOPMENT]],Data[],4,FALSE),"")</f>
        <v>2026+</v>
      </c>
      <c r="G140" s="50" t="str">
        <f ca="1">IF(ExtComp[[#This Row],[RAD/PACT]]="","",IF(ExtComp[[#This Row],[RAD/PACT]]&lt;=2025,"Yes",""))</f>
        <v/>
      </c>
      <c r="H140" s="51" t="str">
        <f ca="1">IF(VLOOKUP(ExtComp[[#This Row],[DEVELOPMENT]],Data[],11,FALSE)=0,"",DATEDIF(VLOOKUP(ExtComp[[#This Row],[DEVELOPMENT]],Data[],13,FALSE),TODAY(),"Y"))</f>
        <v/>
      </c>
      <c r="I14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40" s="47">
        <f ca="1">(ExtComp[[#This Row],['# to Replace]]*'Unit Cost Summary'!$B$6)*(1+((ExtComp[[#This Row],[est. Year]]-YEAR(TODAY()))*$J$2))</f>
        <v>0</v>
      </c>
      <c r="K140" s="51">
        <f ca="1">SUM(INDEX(ExtComp['# to Replace],1):ExtComp[[#This Row],['# to Replace]])</f>
        <v>155</v>
      </c>
      <c r="L140" s="51">
        <f ca="1">ROUNDDOWN(ExtComp[[#This Row],[Count]]/50,0)+$L$1</f>
        <v>2023</v>
      </c>
      <c r="M140" s="64">
        <f t="shared" ca="1" si="2"/>
        <v>1460360.2649999999</v>
      </c>
      <c r="N140" s="64" t="str">
        <f>IFERROR(VLOOKUP(ExtComp[[#This Row],[DEVELOPMENT]],Data[],22,FALSE),"")</f>
        <v/>
      </c>
      <c r="O140" s="71" t="str">
        <f>IFERROR(VLOOKUP(ExtComp[[#This Row],[DEVELOPMENT]],Data[],23,FALSE),"")</f>
        <v/>
      </c>
    </row>
    <row r="141" spans="1:15">
      <c r="A141" s="13" t="s">
        <v>90</v>
      </c>
      <c r="B141" s="1" t="str">
        <f>VLOOKUP(A141,Data[],2,FALSE)</f>
        <v>MANHATTAN</v>
      </c>
      <c r="C141" s="9" t="s">
        <v>68</v>
      </c>
      <c r="D141" s="9" t="str">
        <f>VLOOKUP(ExtComp[[#This Row],[DEVELOPMENT]],Data[],8,FALSE)</f>
        <v>Zone 2</v>
      </c>
      <c r="E141" s="9">
        <f>VLOOKUP(ExtComp[[#This Row],[DEVELOPMENT]],Data[],9,FALSE)</f>
        <v>4</v>
      </c>
      <c r="F141" s="9" t="str">
        <f ca="1">IFERROR(VLOOKUP(ExtComp[[#This Row],[DEVELOPMENT]],Data[],4,FALSE),"")</f>
        <v>2026+</v>
      </c>
      <c r="G141" s="9" t="str">
        <f ca="1">IF(ExtComp[[#This Row],[RAD/PACT]]="","",IF(ExtComp[[#This Row],[RAD/PACT]]&lt;=2025,"Yes",""))</f>
        <v/>
      </c>
      <c r="H141" s="1" t="str">
        <f ca="1">IF(VLOOKUP(ExtComp[[#This Row],[DEVELOPMENT]],Data[],11,FALSE)=0,"",DATEDIF(VLOOKUP(ExtComp[[#This Row],[DEVELOPMENT]],Data[],13,FALSE),TODAY(),"Y"))</f>
        <v/>
      </c>
      <c r="I141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41" s="47">
        <f ca="1">(ExtComp[[#This Row],['# to Replace]]*'Unit Cost Summary'!$B$6)*(1+((ExtComp[[#This Row],[est. Year]]-YEAR(TODAY()))*$J$2))</f>
        <v>0</v>
      </c>
      <c r="K141" s="1">
        <f ca="1">SUM(INDEX(ExtComp['# to Replace],1):ExtComp[[#This Row],['# to Replace]])</f>
        <v>155</v>
      </c>
      <c r="L141" s="1">
        <f ca="1">ROUNDDOWN(ExtComp[[#This Row],[Count]]/50,0)+$L$1</f>
        <v>2023</v>
      </c>
      <c r="M141" s="64">
        <f t="shared" ca="1" si="2"/>
        <v>1460360.2649999999</v>
      </c>
      <c r="N141" s="64" t="str">
        <f>IFERROR(VLOOKUP(ExtComp[[#This Row],[DEVELOPMENT]],Data[],22,FALSE),"")</f>
        <v/>
      </c>
      <c r="O141" s="51" t="str">
        <f>IFERROR(VLOOKUP(ExtComp[[#This Row],[DEVELOPMENT]],Data[],23,FALSE),"")</f>
        <v/>
      </c>
    </row>
    <row r="142" spans="1:15">
      <c r="A142" s="65" t="s">
        <v>50</v>
      </c>
      <c r="B142" s="1" t="str">
        <f>VLOOKUP(A142,Data[],2,FALSE)</f>
        <v>MANHATTAN</v>
      </c>
      <c r="C142" s="9" t="s">
        <v>68</v>
      </c>
      <c r="D142" s="9" t="str">
        <f>VLOOKUP(ExtComp[[#This Row],[DEVELOPMENT]],Data[],8,FALSE)</f>
        <v>Zone 1</v>
      </c>
      <c r="E142" s="9">
        <f>VLOOKUP(ExtComp[[#This Row],[DEVELOPMENT]],Data[],9,FALSE)</f>
        <v>4</v>
      </c>
      <c r="F142" s="9" t="str">
        <f ca="1">IFERROR(VLOOKUP(ExtComp[[#This Row],[DEVELOPMENT]],Data[],4,FALSE),"")</f>
        <v/>
      </c>
      <c r="G142" s="9" t="str">
        <f ca="1">IF(ExtComp[[#This Row],[RAD/PACT]]="","",IF(ExtComp[[#This Row],[RAD/PACT]]&lt;=2025,"Yes",""))</f>
        <v/>
      </c>
      <c r="H142" s="1" t="str">
        <f ca="1">IF(VLOOKUP(ExtComp[[#This Row],[DEVELOPMENT]],Data[],11,FALSE)=0,"",DATEDIF(VLOOKUP(ExtComp[[#This Row],[DEVELOPMENT]],Data[],13,FALSE),TODAY(),"Y"))</f>
        <v/>
      </c>
      <c r="I142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42" s="47">
        <f ca="1">(ExtComp[[#This Row],['# to Replace]]*'Unit Cost Summary'!$B$6)*(1+((ExtComp[[#This Row],[est. Year]]-YEAR(TODAY()))*$J$2))</f>
        <v>0</v>
      </c>
      <c r="K142" s="1">
        <f ca="1">SUM(INDEX(ExtComp['# to Replace],1):ExtComp[[#This Row],['# to Replace]])</f>
        <v>155</v>
      </c>
      <c r="L142" s="1">
        <f ca="1">ROUNDDOWN(ExtComp[[#This Row],[Count]]/50,0)+$L$1</f>
        <v>2023</v>
      </c>
      <c r="M142" s="64">
        <f t="shared" ca="1" si="2"/>
        <v>1460360.2649999999</v>
      </c>
      <c r="N142" s="64" t="str">
        <f>IFERROR(VLOOKUP(ExtComp[[#This Row],[DEVELOPMENT]],Data[],22,FALSE),"")</f>
        <v/>
      </c>
      <c r="O142" s="51" t="str">
        <f>IFERROR(VLOOKUP(ExtComp[[#This Row],[DEVELOPMENT]],Data[],23,FALSE),"")</f>
        <v/>
      </c>
    </row>
    <row r="143" spans="1:15">
      <c r="A143" s="13" t="s">
        <v>39</v>
      </c>
      <c r="B143" s="1" t="str">
        <f>VLOOKUP(A143,Data[],2,FALSE)</f>
        <v>BRONX</v>
      </c>
      <c r="C143" s="9" t="s">
        <v>68</v>
      </c>
      <c r="D143" s="9" t="str">
        <f>VLOOKUP(ExtComp[[#This Row],[DEVELOPMENT]],Data[],8,FALSE)</f>
        <v>Zone 1</v>
      </c>
      <c r="E143" s="9">
        <f>VLOOKUP(ExtComp[[#This Row],[DEVELOPMENT]],Data[],9,FALSE)</f>
        <v>4</v>
      </c>
      <c r="F143" s="9" t="str">
        <f ca="1">IFERROR(VLOOKUP(ExtComp[[#This Row],[DEVELOPMENT]],Data[],4,FALSE),"")</f>
        <v>2022-2025</v>
      </c>
      <c r="G143" s="9" t="str">
        <f ca="1">IF(ExtComp[[#This Row],[RAD/PACT]]="","",IF(ExtComp[[#This Row],[RAD/PACT]]&lt;=2025,"Yes",""))</f>
        <v/>
      </c>
      <c r="H143" s="1">
        <f ca="1">IF(VLOOKUP(ExtComp[[#This Row],[DEVELOPMENT]],Data[],11,FALSE)=0,"",DATEDIF(VLOOKUP(ExtComp[[#This Row],[DEVELOPMENT]],Data[],13,FALSE),TODAY(),"Y"))</f>
        <v>19</v>
      </c>
      <c r="I143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143" s="47">
        <f ca="1">(ExtComp[[#This Row],['# to Replace]]*'Unit Cost Summary'!$B$6)*(1+((ExtComp[[#This Row],[est. Year]]-YEAR(TODAY()))*$J$2))</f>
        <v>625868.68499999994</v>
      </c>
      <c r="K143" s="1">
        <f ca="1">SUM(INDEX(ExtComp['# to Replace],1):ExtComp[[#This Row],['# to Replace]])</f>
        <v>158</v>
      </c>
      <c r="L143" s="1">
        <f ca="1">ROUNDDOWN(ExtComp[[#This Row],[Count]]/50,0)+$L$1</f>
        <v>2023</v>
      </c>
      <c r="M143" s="64">
        <f t="shared" ca="1" si="2"/>
        <v>2086228.9499999997</v>
      </c>
      <c r="N143" s="64" t="str">
        <f>IFERROR(VLOOKUP(ExtComp[[#This Row],[DEVELOPMENT]],Data[],22,FALSE),"")</f>
        <v/>
      </c>
      <c r="O143" s="71" t="str">
        <f>IFERROR(VLOOKUP(ExtComp[[#This Row],[DEVELOPMENT]],Data[],23,FALSE),"")</f>
        <v/>
      </c>
    </row>
    <row r="144" spans="1:15">
      <c r="A144" s="13" t="s">
        <v>222</v>
      </c>
      <c r="B144" s="9" t="str">
        <f>VLOOKUP(A144,Data[],2,FALSE)</f>
        <v>BRONX</v>
      </c>
      <c r="C144" s="9" t="s">
        <v>68</v>
      </c>
      <c r="D144" s="50" t="str">
        <f>VLOOKUP(ExtComp[[#This Row],[DEVELOPMENT]],Data[],8,FALSE)</f>
        <v>Zone 4</v>
      </c>
      <c r="E144" s="50">
        <f>VLOOKUP(ExtComp[[#This Row],[DEVELOPMENT]],Data[],9,FALSE)</f>
        <v>0</v>
      </c>
      <c r="F144" s="50" t="str">
        <f ca="1">IFERROR(VLOOKUP(ExtComp[[#This Row],[DEVELOPMENT]],Data[],4,FALSE),"")</f>
        <v>2026+</v>
      </c>
      <c r="G144" s="50" t="str">
        <f ca="1">IF(ExtComp[[#This Row],[RAD/PACT]]="","",IF(ExtComp[[#This Row],[RAD/PACT]]&lt;=2025,"Yes",""))</f>
        <v/>
      </c>
      <c r="H144" s="51">
        <f ca="1">IF(VLOOKUP(ExtComp[[#This Row],[DEVELOPMENT]],Data[],11,FALSE)=0,"",DATEDIF(VLOOKUP(ExtComp[[#This Row],[DEVELOPMENT]],Data[],13,FALSE),TODAY(),"Y"))</f>
        <v>20</v>
      </c>
      <c r="I144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44" s="47">
        <f ca="1">(ExtComp[[#This Row],['# to Replace]]*'Unit Cost Summary'!$B$6)*(1+((ExtComp[[#This Row],[est. Year]]-YEAR(TODAY()))*$J$2))</f>
        <v>417245.79</v>
      </c>
      <c r="K144" s="51">
        <f ca="1">SUM(INDEX(ExtComp['# to Replace],1):ExtComp[[#This Row],['# to Replace]])</f>
        <v>160</v>
      </c>
      <c r="L144" s="51">
        <f ca="1">ROUNDDOWN(ExtComp[[#This Row],[Count]]/50,0)+$L$1</f>
        <v>2023</v>
      </c>
      <c r="M144" s="64">
        <f t="shared" ca="1" si="2"/>
        <v>2503474.7399999998</v>
      </c>
      <c r="N144" s="64" t="str">
        <f>IFERROR(VLOOKUP(ExtComp[[#This Row],[DEVELOPMENT]],Data[],22,FALSE),"")</f>
        <v/>
      </c>
      <c r="O144" s="71" t="str">
        <f>IFERROR(VLOOKUP(ExtComp[[#This Row],[DEVELOPMENT]],Data[],23,FALSE),"")</f>
        <v/>
      </c>
    </row>
    <row r="145" spans="1:15">
      <c r="A145" s="13" t="s">
        <v>89</v>
      </c>
      <c r="B145" s="1" t="str">
        <f>VLOOKUP(A145,Data[],2,FALSE)</f>
        <v>MANHATTAN</v>
      </c>
      <c r="C145" s="9" t="s">
        <v>68</v>
      </c>
      <c r="D145" s="9" t="str">
        <f>VLOOKUP(ExtComp[[#This Row],[DEVELOPMENT]],Data[],8,FALSE)</f>
        <v>Zone 3</v>
      </c>
      <c r="E145" s="9">
        <f>VLOOKUP(ExtComp[[#This Row],[DEVELOPMENT]],Data[],9,FALSE)</f>
        <v>3</v>
      </c>
      <c r="F145" s="9" t="str">
        <f ca="1">IFERROR(VLOOKUP(ExtComp[[#This Row],[DEVELOPMENT]],Data[],4,FALSE),"")</f>
        <v>2020-2021</v>
      </c>
      <c r="G145" s="9" t="str">
        <f ca="1">IF(ExtComp[[#This Row],[RAD/PACT]]="","",IF(ExtComp[[#This Row],[RAD/PACT]]&lt;=2025,"Yes",""))</f>
        <v/>
      </c>
      <c r="H145" s="1" t="str">
        <f ca="1">IF(VLOOKUP(ExtComp[[#This Row],[DEVELOPMENT]],Data[],11,FALSE)=0,"",DATEDIF(VLOOKUP(ExtComp[[#This Row],[DEVELOPMENT]],Data[],13,FALSE),TODAY(),"Y"))</f>
        <v/>
      </c>
      <c r="I145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45" s="47">
        <f ca="1">(ExtComp[[#This Row],['# to Replace]]*'Unit Cost Summary'!$B$6)*(1+((ExtComp[[#This Row],[est. Year]]-YEAR(TODAY()))*$J$2))</f>
        <v>0</v>
      </c>
      <c r="K145" s="1">
        <f ca="1">SUM(INDEX(ExtComp['# to Replace],1):ExtComp[[#This Row],['# to Replace]])</f>
        <v>160</v>
      </c>
      <c r="L145" s="1">
        <f ca="1">ROUNDDOWN(ExtComp[[#This Row],[Count]]/50,0)+$L$1</f>
        <v>2023</v>
      </c>
      <c r="M145" s="64">
        <f t="shared" ca="1" si="2"/>
        <v>2503474.7399999998</v>
      </c>
      <c r="N145" s="64" t="str">
        <f>IFERROR(VLOOKUP(ExtComp[[#This Row],[DEVELOPMENT]],Data[],22,FALSE),"")</f>
        <v/>
      </c>
      <c r="O145" s="51" t="str">
        <f>IFERROR(VLOOKUP(ExtComp[[#This Row],[DEVELOPMENT]],Data[],23,FALSE),"")</f>
        <v/>
      </c>
    </row>
    <row r="146" spans="1:15">
      <c r="A146" s="13" t="s">
        <v>193</v>
      </c>
      <c r="B146" s="9" t="str">
        <f>VLOOKUP(A146,Data[],2,FALSE)</f>
        <v>BROOKLYN</v>
      </c>
      <c r="C146" s="9" t="s">
        <v>68</v>
      </c>
      <c r="D146" s="50">
        <f>VLOOKUP(ExtComp[[#This Row],[DEVELOPMENT]],Data[],8,FALSE)</f>
        <v>0</v>
      </c>
      <c r="E146" s="50">
        <f>VLOOKUP(ExtComp[[#This Row],[DEVELOPMENT]],Data[],9,FALSE)</f>
        <v>0</v>
      </c>
      <c r="F146" s="50" t="str">
        <f ca="1">IFERROR(VLOOKUP(ExtComp[[#This Row],[DEVELOPMENT]],Data[],4,FALSE),"")</f>
        <v>2026+</v>
      </c>
      <c r="G146" s="50" t="str">
        <f ca="1">IF(ExtComp[[#This Row],[RAD/PACT]]="","",IF(ExtComp[[#This Row],[RAD/PACT]]&lt;=2025,"Yes",""))</f>
        <v/>
      </c>
      <c r="H146" s="51">
        <f ca="1">IF(VLOOKUP(ExtComp[[#This Row],[DEVELOPMENT]],Data[],11,FALSE)=0,"",DATEDIF(VLOOKUP(ExtComp[[#This Row],[DEVELOPMENT]],Data[],13,FALSE),TODAY(),"Y"))</f>
        <v>13</v>
      </c>
      <c r="I146" s="51">
        <f ca="1">IF(ExtComp[[#This Row],[RAD/PACT]]="",VLOOKUP(ExtComp[[#This Row],[DEVELOPMENT]],Data[],11,FALSE),IF(ExtComp[[#This Row],[RAD/PACT by 2025]]="yes",0,VLOOKUP(ExtComp[[#This Row],[DEVELOPMENT]],Data[],11,FALSE)))</f>
        <v>4</v>
      </c>
      <c r="J146" s="47">
        <f ca="1">(ExtComp[[#This Row],['# to Replace]]*'Unit Cost Summary'!$B$6)*(1+((ExtComp[[#This Row],[est. Year]]-YEAR(TODAY()))*$J$2))</f>
        <v>834491.58</v>
      </c>
      <c r="K146" s="51">
        <f ca="1">SUM(INDEX(ExtComp['# to Replace],1):ExtComp[[#This Row],['# to Replace]])</f>
        <v>164</v>
      </c>
      <c r="L146" s="51">
        <f ca="1">ROUNDDOWN(ExtComp[[#This Row],[Count]]/50,0)+$L$1</f>
        <v>2023</v>
      </c>
      <c r="M146" s="64">
        <f t="shared" ca="1" si="2"/>
        <v>3337966.32</v>
      </c>
      <c r="N146" s="64" t="str">
        <f>IFERROR(VLOOKUP(ExtComp[[#This Row],[DEVELOPMENT]],Data[],22,FALSE),"")</f>
        <v/>
      </c>
      <c r="O146" s="71" t="str">
        <f>IFERROR(VLOOKUP(ExtComp[[#This Row],[DEVELOPMENT]],Data[],23,FALSE),"")</f>
        <v/>
      </c>
    </row>
    <row r="147" spans="1:15">
      <c r="A147" s="13" t="s">
        <v>344</v>
      </c>
      <c r="B147" s="9" t="str">
        <f>VLOOKUP(A147,Data[],2,FALSE)</f>
        <v>STATEN ISLAND</v>
      </c>
      <c r="C147" s="9" t="s">
        <v>68</v>
      </c>
      <c r="D147" s="50">
        <f>VLOOKUP(ExtComp[[#This Row],[DEVELOPMENT]],Data[],8,FALSE)</f>
        <v>0</v>
      </c>
      <c r="E147" s="50">
        <f>VLOOKUP(ExtComp[[#This Row],[DEVELOPMENT]],Data[],9,FALSE)</f>
        <v>0</v>
      </c>
      <c r="F147" s="50" t="str">
        <f ca="1">IFERROR(VLOOKUP(ExtComp[[#This Row],[DEVELOPMENT]],Data[],4,FALSE),"")</f>
        <v>2026+</v>
      </c>
      <c r="G147" s="50" t="str">
        <f ca="1">IF(ExtComp[[#This Row],[RAD/PACT]]="","",IF(ExtComp[[#This Row],[RAD/PACT]]&lt;=2025,"Yes",""))</f>
        <v/>
      </c>
      <c r="H147" s="51">
        <f ca="1">IF(VLOOKUP(ExtComp[[#This Row],[DEVELOPMENT]],Data[],11,FALSE)=0,"",DATEDIF(VLOOKUP(ExtComp[[#This Row],[DEVELOPMENT]],Data[],13,FALSE),TODAY(),"Y"))</f>
        <v>5</v>
      </c>
      <c r="I147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47" s="47">
        <f ca="1">(ExtComp[[#This Row],['# to Replace]]*'Unit Cost Summary'!$B$6)*(1+((ExtComp[[#This Row],[est. Year]]-YEAR(TODAY()))*$J$2))</f>
        <v>417245.79</v>
      </c>
      <c r="K147" s="51">
        <f ca="1">SUM(INDEX(ExtComp['# to Replace],1):ExtComp[[#This Row],['# to Replace]])</f>
        <v>166</v>
      </c>
      <c r="L147" s="51">
        <f ca="1">ROUNDDOWN(ExtComp[[#This Row],[Count]]/50,0)+$L$1</f>
        <v>2023</v>
      </c>
      <c r="M147" s="64">
        <f t="shared" ca="1" si="2"/>
        <v>3755212.11</v>
      </c>
      <c r="N147" s="64" t="str">
        <f>IFERROR(VLOOKUP(ExtComp[[#This Row],[DEVELOPMENT]],Data[],22,FALSE),"")</f>
        <v/>
      </c>
      <c r="O147" s="71" t="str">
        <f>IFERROR(VLOOKUP(ExtComp[[#This Row],[DEVELOPMENT]],Data[],23,FALSE),"")</f>
        <v/>
      </c>
    </row>
    <row r="148" spans="1:15">
      <c r="A148" s="13" t="s">
        <v>248</v>
      </c>
      <c r="B148" s="9" t="str">
        <f>VLOOKUP(A148,Data[],2,FALSE)</f>
        <v>BROOKLYN</v>
      </c>
      <c r="C148" s="9"/>
      <c r="D148" s="50">
        <f>VLOOKUP(ExtComp[[#This Row],[DEVELOPMENT]],Data[],8,FALSE)</f>
        <v>0</v>
      </c>
      <c r="E148" s="50">
        <f>VLOOKUP(ExtComp[[#This Row],[DEVELOPMENT]],Data[],9,FALSE)</f>
        <v>0</v>
      </c>
      <c r="F148" s="50">
        <f ca="1">IFERROR(VLOOKUP(ExtComp[[#This Row],[DEVELOPMENT]],Data[],4,FALSE),"")</f>
        <v>2019</v>
      </c>
      <c r="G148" s="50" t="str">
        <f ca="1">IF(ExtComp[[#This Row],[RAD/PACT]]="","",IF(ExtComp[[#This Row],[RAD/PACT]]&lt;=2025,"Yes",""))</f>
        <v>Yes</v>
      </c>
      <c r="H148" s="51" t="str">
        <f ca="1">IF(VLOOKUP(ExtComp[[#This Row],[DEVELOPMENT]],Data[],11,FALSE)=0,"",DATEDIF(VLOOKUP(ExtComp[[#This Row],[DEVELOPMENT]],Data[],13,FALSE),TODAY(),"Y"))</f>
        <v/>
      </c>
      <c r="I14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48" s="47">
        <f ca="1">(ExtComp[[#This Row],['# to Replace]]*'Unit Cost Summary'!$B$6)*(1+((ExtComp[[#This Row],[est. Year]]-YEAR(TODAY()))*$J$2))</f>
        <v>0</v>
      </c>
      <c r="K148" s="51">
        <f ca="1">SUM(INDEX(ExtComp['# to Replace],1):ExtComp[[#This Row],['# to Replace]])</f>
        <v>166</v>
      </c>
      <c r="L148" s="51">
        <f ca="1">ROUNDDOWN(ExtComp[[#This Row],[Count]]/50,0)+$L$1</f>
        <v>2023</v>
      </c>
      <c r="M148" s="64">
        <f t="shared" ca="1" si="2"/>
        <v>3755212.11</v>
      </c>
      <c r="N148" s="64" t="str">
        <f>IFERROR(VLOOKUP(ExtComp[[#This Row],[DEVELOPMENT]],Data[],22,FALSE),"")</f>
        <v/>
      </c>
      <c r="O148" s="71" t="str">
        <f>IFERROR(VLOOKUP(ExtComp[[#This Row],[DEVELOPMENT]],Data[],23,FALSE),"")</f>
        <v/>
      </c>
    </row>
    <row r="149" spans="1:15">
      <c r="A149" s="13" t="s">
        <v>343</v>
      </c>
      <c r="B149" s="1" t="str">
        <f>VLOOKUP(A149,Data[],2,FALSE)</f>
        <v>BROOKLYN</v>
      </c>
      <c r="C149" s="9" t="s">
        <v>68</v>
      </c>
      <c r="D149" s="50" t="str">
        <f>VLOOKUP(ExtComp[[#This Row],[DEVELOPMENT]],Data[],8,FALSE)</f>
        <v>Zone 1</v>
      </c>
      <c r="E149" s="9">
        <f>VLOOKUP(ExtComp[[#This Row],[DEVELOPMENT]],Data[],9,FALSE)</f>
        <v>4</v>
      </c>
      <c r="F149" s="50">
        <f ca="1">IFERROR(VLOOKUP(ExtComp[[#This Row],[DEVELOPMENT]],Data[],4,FALSE),"")</f>
        <v>2019</v>
      </c>
      <c r="G149" s="50" t="str">
        <f ca="1">IF(ExtComp[[#This Row],[RAD/PACT]]="","",IF(ExtComp[[#This Row],[RAD/PACT]]&lt;=2025,"Yes",""))</f>
        <v>Yes</v>
      </c>
      <c r="H149" s="51" t="str">
        <f ca="1">IF(VLOOKUP(ExtComp[[#This Row],[DEVELOPMENT]],Data[],11,FALSE)=0,"",DATEDIF(VLOOKUP(ExtComp[[#This Row],[DEVELOPMENT]],Data[],13,FALSE),TODAY(),"Y"))</f>
        <v/>
      </c>
      <c r="I14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49" s="47">
        <f ca="1">(ExtComp[[#This Row],['# to Replace]]*'Unit Cost Summary'!$B$6)*(1+((ExtComp[[#This Row],[est. Year]]-YEAR(TODAY()))*$J$2))</f>
        <v>0</v>
      </c>
      <c r="K149" s="51">
        <f ca="1">SUM(INDEX(ExtComp['# to Replace],1):ExtComp[[#This Row],['# to Replace]])</f>
        <v>166</v>
      </c>
      <c r="L149" s="51">
        <f ca="1">ROUNDDOWN(ExtComp[[#This Row],[Count]]/50,0)+$L$1</f>
        <v>2023</v>
      </c>
      <c r="M149" s="64">
        <f t="shared" ca="1" si="2"/>
        <v>3755212.11</v>
      </c>
      <c r="N149" s="64" t="str">
        <f>IFERROR(VLOOKUP(ExtComp[[#This Row],[DEVELOPMENT]],Data[],22,FALSE),"")</f>
        <v/>
      </c>
      <c r="O149" s="51" t="str">
        <f>IFERROR(VLOOKUP(ExtComp[[#This Row],[DEVELOPMENT]],Data[],23,FALSE),"")</f>
        <v/>
      </c>
    </row>
    <row r="150" spans="1:15">
      <c r="A150" s="65" t="s">
        <v>38</v>
      </c>
      <c r="B150" s="1" t="str">
        <f>VLOOKUP(A150,Data[],2,FALSE)</f>
        <v>BROOKLYN</v>
      </c>
      <c r="C150" s="9" t="s">
        <v>68</v>
      </c>
      <c r="D150" s="9" t="str">
        <f>VLOOKUP(ExtComp[[#This Row],[DEVELOPMENT]],Data[],8,FALSE)</f>
        <v>Zone 1</v>
      </c>
      <c r="E150" s="9">
        <f>VLOOKUP(ExtComp[[#This Row],[DEVELOPMENT]],Data[],9,FALSE)</f>
        <v>3</v>
      </c>
      <c r="F150" s="9" t="str">
        <f ca="1">IFERROR(VLOOKUP(ExtComp[[#This Row],[DEVELOPMENT]],Data[],4,FALSE),"")</f>
        <v>2026+</v>
      </c>
      <c r="G150" s="9" t="str">
        <f ca="1">IF(ExtComp[[#This Row],[RAD/PACT]]="","",IF(ExtComp[[#This Row],[RAD/PACT]]&lt;=2025,"Yes",""))</f>
        <v/>
      </c>
      <c r="H150" s="1">
        <f ca="1">IF(VLOOKUP(ExtComp[[#This Row],[DEVELOPMENT]],Data[],11,FALSE)=0,"",DATEDIF(VLOOKUP(ExtComp[[#This Row],[DEVELOPMENT]],Data[],13,FALSE),TODAY(),"Y"))</f>
        <v>1</v>
      </c>
      <c r="I150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150" s="47">
        <f ca="1">(ExtComp[[#This Row],['# to Replace]]*'Unit Cost Summary'!$B$6)*(1+((ExtComp[[#This Row],[est. Year]]-YEAR(TODAY()))*$J$2))</f>
        <v>625868.68499999994</v>
      </c>
      <c r="K150" s="1">
        <f ca="1">SUM(INDEX(ExtComp['# to Replace],1):ExtComp[[#This Row],['# to Replace]])</f>
        <v>169</v>
      </c>
      <c r="L150" s="1">
        <f ca="1">ROUNDDOWN(ExtComp[[#This Row],[Count]]/50,0)+$L$1</f>
        <v>2023</v>
      </c>
      <c r="M150" s="64">
        <f t="shared" ca="1" si="2"/>
        <v>4381080.7949999999</v>
      </c>
      <c r="N150" s="64" t="str">
        <f>IFERROR(VLOOKUP(ExtComp[[#This Row],[DEVELOPMENT]],Data[],22,FALSE),"")</f>
        <v/>
      </c>
      <c r="O150" s="71" t="str">
        <f>IFERROR(VLOOKUP(ExtComp[[#This Row],[DEVELOPMENT]],Data[],23,FALSE),"")</f>
        <v/>
      </c>
    </row>
    <row r="151" spans="1:15">
      <c r="A151" s="13" t="s">
        <v>342</v>
      </c>
      <c r="B151" s="9" t="str">
        <f>VLOOKUP(A151,Data[],2,FALSE)</f>
        <v>BRONX</v>
      </c>
      <c r="C151" s="9" t="s">
        <v>68</v>
      </c>
      <c r="D151" s="50">
        <f>VLOOKUP(ExtComp[[#This Row],[DEVELOPMENT]],Data[],8,FALSE)</f>
        <v>0</v>
      </c>
      <c r="E151" s="50">
        <f>VLOOKUP(ExtComp[[#This Row],[DEVELOPMENT]],Data[],9,FALSE)</f>
        <v>0</v>
      </c>
      <c r="F151" s="50" t="str">
        <f ca="1">IFERROR(VLOOKUP(ExtComp[[#This Row],[DEVELOPMENT]],Data[],4,FALSE),"")</f>
        <v/>
      </c>
      <c r="G151" s="50" t="str">
        <f ca="1">IF(ExtComp[[#This Row],[RAD/PACT]]="","",IF(ExtComp[[#This Row],[RAD/PACT]]&lt;=2025,"Yes",""))</f>
        <v/>
      </c>
      <c r="H151" s="51">
        <f ca="1">IF(VLOOKUP(ExtComp[[#This Row],[DEVELOPMENT]],Data[],11,FALSE)=0,"",DATEDIF(VLOOKUP(ExtComp[[#This Row],[DEVELOPMENT]],Data[],13,FALSE),TODAY(),"Y"))</f>
        <v>16</v>
      </c>
      <c r="I151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151" s="47">
        <f ca="1">(ExtComp[[#This Row],['# to Replace]]*'Unit Cost Summary'!$B$6)*(1+((ExtComp[[#This Row],[est. Year]]-YEAR(TODAY()))*$J$2))</f>
        <v>625868.68499999994</v>
      </c>
      <c r="K151" s="51">
        <f ca="1">SUM(INDEX(ExtComp['# to Replace],1):ExtComp[[#This Row],['# to Replace]])</f>
        <v>172</v>
      </c>
      <c r="L151" s="51">
        <f ca="1">ROUNDDOWN(ExtComp[[#This Row],[Count]]/50,0)+$L$1</f>
        <v>2023</v>
      </c>
      <c r="M151" s="64">
        <f t="shared" ca="1" si="2"/>
        <v>5006949.4799999995</v>
      </c>
      <c r="N151" s="64" t="str">
        <f>IFERROR(VLOOKUP(ExtComp[[#This Row],[DEVELOPMENT]],Data[],22,FALSE),"")</f>
        <v/>
      </c>
      <c r="O151" s="71" t="str">
        <f>IFERROR(VLOOKUP(ExtComp[[#This Row],[DEVELOPMENT]],Data[],23,FALSE),"")</f>
        <v/>
      </c>
    </row>
    <row r="152" spans="1:15">
      <c r="A152" s="13" t="s">
        <v>88</v>
      </c>
      <c r="B152" s="1" t="str">
        <f>VLOOKUP(A152,Data[],2,FALSE)</f>
        <v>MANHATTAN</v>
      </c>
      <c r="C152" s="9" t="s">
        <v>68</v>
      </c>
      <c r="D152" s="9" t="str">
        <f>VLOOKUP(ExtComp[[#This Row],[DEVELOPMENT]],Data[],8,FALSE)</f>
        <v>Zone 3</v>
      </c>
      <c r="E152" s="9">
        <f>VLOOKUP(ExtComp[[#This Row],[DEVELOPMENT]],Data[],9,FALSE)</f>
        <v>4</v>
      </c>
      <c r="F152" s="9" t="str">
        <f ca="1">IFERROR(VLOOKUP(ExtComp[[#This Row],[DEVELOPMENT]],Data[],4,FALSE),"")</f>
        <v>2020-2021</v>
      </c>
      <c r="G152" s="9" t="str">
        <f ca="1">IF(ExtComp[[#This Row],[RAD/PACT]]="","",IF(ExtComp[[#This Row],[RAD/PACT]]&lt;=2025,"Yes",""))</f>
        <v/>
      </c>
      <c r="H152" s="1" t="str">
        <f ca="1">IF(VLOOKUP(ExtComp[[#This Row],[DEVELOPMENT]],Data[],11,FALSE)=0,"",DATEDIF(VLOOKUP(ExtComp[[#This Row],[DEVELOPMENT]],Data[],13,FALSE),TODAY(),"Y"))</f>
        <v/>
      </c>
      <c r="I152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52" s="47">
        <f ca="1">(ExtComp[[#This Row],['# to Replace]]*'Unit Cost Summary'!$B$6)*(1+((ExtComp[[#This Row],[est. Year]]-YEAR(TODAY()))*$J$2))</f>
        <v>0</v>
      </c>
      <c r="K152" s="1">
        <f ca="1">SUM(INDEX(ExtComp['# to Replace],1):ExtComp[[#This Row],['# to Replace]])</f>
        <v>172</v>
      </c>
      <c r="L152" s="1">
        <f ca="1">ROUNDDOWN(ExtComp[[#This Row],[Count]]/50,0)+$L$1</f>
        <v>2023</v>
      </c>
      <c r="M152" s="64">
        <f t="shared" ca="1" si="2"/>
        <v>5006949.4799999995</v>
      </c>
      <c r="N152" s="64" t="str">
        <f>IFERROR(VLOOKUP(ExtComp[[#This Row],[DEVELOPMENT]],Data[],22,FALSE),"")</f>
        <v/>
      </c>
      <c r="O152" s="51" t="str">
        <f>IFERROR(VLOOKUP(ExtComp[[#This Row],[DEVELOPMENT]],Data[],23,FALSE),"")</f>
        <v/>
      </c>
    </row>
    <row r="153" spans="1:15">
      <c r="A153" s="13" t="s">
        <v>87</v>
      </c>
      <c r="B153" s="1" t="str">
        <f>VLOOKUP(A153,Data[],2,FALSE)</f>
        <v>MANHATTAN</v>
      </c>
      <c r="C153" s="9" t="s">
        <v>68</v>
      </c>
      <c r="D153" s="9" t="str">
        <f>VLOOKUP(ExtComp[[#This Row],[DEVELOPMENT]],Data[],8,FALSE)</f>
        <v>Zone 3</v>
      </c>
      <c r="E153" s="9">
        <f>VLOOKUP(ExtComp[[#This Row],[DEVELOPMENT]],Data[],9,FALSE)</f>
        <v>4</v>
      </c>
      <c r="F153" s="9" t="str">
        <f ca="1">IFERROR(VLOOKUP(ExtComp[[#This Row],[DEVELOPMENT]],Data[],4,FALSE),"")</f>
        <v>2020-2021</v>
      </c>
      <c r="G153" s="9" t="str">
        <f ca="1">IF(ExtComp[[#This Row],[RAD/PACT]]="","",IF(ExtComp[[#This Row],[RAD/PACT]]&lt;=2025,"Yes",""))</f>
        <v/>
      </c>
      <c r="H153" s="1" t="str">
        <f ca="1">IF(VLOOKUP(ExtComp[[#This Row],[DEVELOPMENT]],Data[],11,FALSE)=0,"",DATEDIF(VLOOKUP(ExtComp[[#This Row],[DEVELOPMENT]],Data[],13,FALSE),TODAY(),"Y"))</f>
        <v/>
      </c>
      <c r="I153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53" s="47">
        <f ca="1">(ExtComp[[#This Row],['# to Replace]]*'Unit Cost Summary'!$B$6)*(1+((ExtComp[[#This Row],[est. Year]]-YEAR(TODAY()))*$J$2))</f>
        <v>0</v>
      </c>
      <c r="K153" s="1">
        <f ca="1">SUM(INDEX(ExtComp['# to Replace],1):ExtComp[[#This Row],['# to Replace]])</f>
        <v>172</v>
      </c>
      <c r="L153" s="1">
        <f ca="1">ROUNDDOWN(ExtComp[[#This Row],[Count]]/50,0)+$L$1</f>
        <v>2023</v>
      </c>
      <c r="M153" s="64">
        <f t="shared" ca="1" si="2"/>
        <v>5006949.4799999995</v>
      </c>
      <c r="N153" s="64" t="str">
        <f>IFERROR(VLOOKUP(ExtComp[[#This Row],[DEVELOPMENT]],Data[],22,FALSE),"")</f>
        <v/>
      </c>
      <c r="O153" s="51" t="str">
        <f>IFERROR(VLOOKUP(ExtComp[[#This Row],[DEVELOPMENT]],Data[],23,FALSE),"")</f>
        <v/>
      </c>
    </row>
    <row r="154" spans="1:15">
      <c r="A154" s="13" t="s">
        <v>122</v>
      </c>
      <c r="B154" s="1" t="str">
        <f>VLOOKUP(A154,Data[],2,FALSE)</f>
        <v>MANHATTAN</v>
      </c>
      <c r="C154" s="9" t="s">
        <v>68</v>
      </c>
      <c r="D154" s="9" t="str">
        <f>VLOOKUP(ExtComp[[#This Row],[DEVELOPMENT]],Data[],8,FALSE)</f>
        <v>Zone 2</v>
      </c>
      <c r="E154" s="9">
        <f>VLOOKUP(ExtComp[[#This Row],[DEVELOPMENT]],Data[],9,FALSE)</f>
        <v>4</v>
      </c>
      <c r="F154" s="9" t="str">
        <f ca="1">IFERROR(VLOOKUP(ExtComp[[#This Row],[DEVELOPMENT]],Data[],4,FALSE),"")</f>
        <v>2026+</v>
      </c>
      <c r="G154" s="9" t="str">
        <f ca="1">IF(ExtComp[[#This Row],[RAD/PACT]]="","",IF(ExtComp[[#This Row],[RAD/PACT]]&lt;=2025,"Yes",""))</f>
        <v/>
      </c>
      <c r="H154" s="1">
        <f ca="1">IF(VLOOKUP(ExtComp[[#This Row],[DEVELOPMENT]],Data[],11,FALSE)=0,"",DATEDIF(VLOOKUP(ExtComp[[#This Row],[DEVELOPMENT]],Data[],13,FALSE),TODAY(),"Y"))</f>
        <v>15</v>
      </c>
      <c r="I154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154" s="47">
        <f ca="1">(ExtComp[[#This Row],['# to Replace]]*'Unit Cost Summary'!$B$6)*(1+((ExtComp[[#This Row],[est. Year]]-YEAR(TODAY()))*$J$2))</f>
        <v>625868.68499999994</v>
      </c>
      <c r="K154" s="1">
        <f ca="1">SUM(INDEX(ExtComp['# to Replace],1):ExtComp[[#This Row],['# to Replace]])</f>
        <v>175</v>
      </c>
      <c r="L154" s="1">
        <f ca="1">ROUNDDOWN(ExtComp[[#This Row],[Count]]/50,0)+$L$1</f>
        <v>2023</v>
      </c>
      <c r="M154" s="64">
        <f t="shared" ca="1" si="2"/>
        <v>5632818.1649999991</v>
      </c>
      <c r="N154" s="64" t="str">
        <f>IFERROR(VLOOKUP(ExtComp[[#This Row],[DEVELOPMENT]],Data[],22,FALSE),"")</f>
        <v/>
      </c>
      <c r="O154" s="71" t="str">
        <f>IFERROR(VLOOKUP(ExtComp[[#This Row],[DEVELOPMENT]],Data[],23,FALSE),"")</f>
        <v/>
      </c>
    </row>
    <row r="155" spans="1:15">
      <c r="A155" s="65" t="s">
        <v>64</v>
      </c>
      <c r="B155" s="1" t="str">
        <f>VLOOKUP(A155,Data[],2,FALSE)</f>
        <v>MANHATTAN</v>
      </c>
      <c r="C155" s="9" t="s">
        <v>68</v>
      </c>
      <c r="D155" s="9" t="str">
        <f>VLOOKUP(ExtComp[[#This Row],[DEVELOPMENT]],Data[],8,FALSE)</f>
        <v>Zone 1</v>
      </c>
      <c r="E155" s="9">
        <f>VLOOKUP(ExtComp[[#This Row],[DEVELOPMENT]],Data[],9,FALSE)</f>
        <v>3</v>
      </c>
      <c r="F155" s="9" t="str">
        <f ca="1">IFERROR(VLOOKUP(ExtComp[[#This Row],[DEVELOPMENT]],Data[],4,FALSE),"")</f>
        <v>2026+</v>
      </c>
      <c r="G155" s="9" t="str">
        <f ca="1">IF(ExtComp[[#This Row],[RAD/PACT]]="","",IF(ExtComp[[#This Row],[RAD/PACT]]&lt;=2025,"Yes",""))</f>
        <v/>
      </c>
      <c r="H155" s="1" t="str">
        <f ca="1">IF(VLOOKUP(ExtComp[[#This Row],[DEVELOPMENT]],Data[],11,FALSE)=0,"",DATEDIF(VLOOKUP(ExtComp[[#This Row],[DEVELOPMENT]],Data[],13,FALSE),TODAY(),"Y"))</f>
        <v/>
      </c>
      <c r="I155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55" s="47">
        <f ca="1">(ExtComp[[#This Row],['# to Replace]]*'Unit Cost Summary'!$B$6)*(1+((ExtComp[[#This Row],[est. Year]]-YEAR(TODAY()))*$J$2))</f>
        <v>0</v>
      </c>
      <c r="K155" s="1">
        <f ca="1">SUM(INDEX(ExtComp['# to Replace],1):ExtComp[[#This Row],['# to Replace]])</f>
        <v>175</v>
      </c>
      <c r="L155" s="1">
        <f ca="1">ROUNDDOWN(ExtComp[[#This Row],[Count]]/50,0)+$L$1</f>
        <v>2023</v>
      </c>
      <c r="M155" s="64">
        <f t="shared" ca="1" si="2"/>
        <v>5632818.1649999991</v>
      </c>
      <c r="N155" s="64" t="str">
        <f>IFERROR(VLOOKUP(ExtComp[[#This Row],[DEVELOPMENT]],Data[],22,FALSE),"")</f>
        <v/>
      </c>
      <c r="O155" s="51" t="str">
        <f>IFERROR(VLOOKUP(ExtComp[[#This Row],[DEVELOPMENT]],Data[],23,FALSE),"")</f>
        <v/>
      </c>
    </row>
    <row r="156" spans="1:15">
      <c r="A156" s="13" t="s">
        <v>247</v>
      </c>
      <c r="B156" s="1" t="str">
        <f>VLOOKUP(A156,Data[],2,FALSE)</f>
        <v>MANHATTAN</v>
      </c>
      <c r="C156" s="9" t="s">
        <v>68</v>
      </c>
      <c r="D156" s="50" t="str">
        <f>VLOOKUP(ExtComp[[#This Row],[DEVELOPMENT]],Data[],8,FALSE)</f>
        <v>Zone 1</v>
      </c>
      <c r="E156" s="9">
        <f>VLOOKUP(ExtComp[[#This Row],[DEVELOPMENT]],Data[],9,FALSE)</f>
        <v>4</v>
      </c>
      <c r="F156" s="50" t="str">
        <f ca="1">IFERROR(VLOOKUP(ExtComp[[#This Row],[DEVELOPMENT]],Data[],4,FALSE),"")</f>
        <v/>
      </c>
      <c r="G156" s="50" t="str">
        <f ca="1">IF(ExtComp[[#This Row],[RAD/PACT]]="","",IF(ExtComp[[#This Row],[RAD/PACT]]&lt;=2025,"Yes",""))</f>
        <v/>
      </c>
      <c r="H156" s="51" t="str">
        <f ca="1">IF(VLOOKUP(ExtComp[[#This Row],[DEVELOPMENT]],Data[],11,FALSE)=0,"",DATEDIF(VLOOKUP(ExtComp[[#This Row],[DEVELOPMENT]],Data[],13,FALSE),TODAY(),"Y"))</f>
        <v/>
      </c>
      <c r="I15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56" s="47">
        <f ca="1">(ExtComp[[#This Row],['# to Replace]]*'Unit Cost Summary'!$B$6)*(1+((ExtComp[[#This Row],[est. Year]]-YEAR(TODAY()))*$J$2))</f>
        <v>0</v>
      </c>
      <c r="K156" s="51">
        <f ca="1">SUM(INDEX(ExtComp['# to Replace],1):ExtComp[[#This Row],['# to Replace]])</f>
        <v>175</v>
      </c>
      <c r="L156" s="51">
        <f ca="1">ROUNDDOWN(ExtComp[[#This Row],[Count]]/50,0)+$L$1</f>
        <v>2023</v>
      </c>
      <c r="M156" s="64">
        <f t="shared" ca="1" si="2"/>
        <v>5632818.1649999991</v>
      </c>
      <c r="N156" s="64" t="str">
        <f>IFERROR(VLOOKUP(ExtComp[[#This Row],[DEVELOPMENT]],Data[],22,FALSE),"")</f>
        <v/>
      </c>
      <c r="O156" s="51" t="str">
        <f>IFERROR(VLOOKUP(ExtComp[[#This Row],[DEVELOPMENT]],Data[],23,FALSE),"")</f>
        <v/>
      </c>
    </row>
    <row r="157" spans="1:15">
      <c r="A157" s="65" t="s">
        <v>63</v>
      </c>
      <c r="B157" s="1" t="str">
        <f>VLOOKUP(A157,Data[],2,FALSE)</f>
        <v>MANHATTAN</v>
      </c>
      <c r="C157" s="9" t="s">
        <v>68</v>
      </c>
      <c r="D157" s="9" t="str">
        <f>VLOOKUP(ExtComp[[#This Row],[DEVELOPMENT]],Data[],8,FALSE)</f>
        <v>Zone 1</v>
      </c>
      <c r="E157" s="9">
        <f>VLOOKUP(ExtComp[[#This Row],[DEVELOPMENT]],Data[],9,FALSE)</f>
        <v>4</v>
      </c>
      <c r="F157" s="9" t="str">
        <f ca="1">IFERROR(VLOOKUP(ExtComp[[#This Row],[DEVELOPMENT]],Data[],4,FALSE),"")</f>
        <v>2026+</v>
      </c>
      <c r="G157" s="9" t="str">
        <f ca="1">IF(ExtComp[[#This Row],[RAD/PACT]]="","",IF(ExtComp[[#This Row],[RAD/PACT]]&lt;=2025,"Yes",""))</f>
        <v/>
      </c>
      <c r="H157" s="1" t="str">
        <f ca="1">IF(VLOOKUP(ExtComp[[#This Row],[DEVELOPMENT]],Data[],11,FALSE)=0,"",DATEDIF(VLOOKUP(ExtComp[[#This Row],[DEVELOPMENT]],Data[],13,FALSE),TODAY(),"Y"))</f>
        <v/>
      </c>
      <c r="I157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57" s="47">
        <f ca="1">(ExtComp[[#This Row],['# to Replace]]*'Unit Cost Summary'!$B$6)*(1+((ExtComp[[#This Row],[est. Year]]-YEAR(TODAY()))*$J$2))</f>
        <v>0</v>
      </c>
      <c r="K157" s="1">
        <f ca="1">SUM(INDEX(ExtComp['# to Replace],1):ExtComp[[#This Row],['# to Replace]])</f>
        <v>175</v>
      </c>
      <c r="L157" s="1">
        <f ca="1">ROUNDDOWN(ExtComp[[#This Row],[Count]]/50,0)+$L$1</f>
        <v>2023</v>
      </c>
      <c r="M157" s="64">
        <f t="shared" ca="1" si="2"/>
        <v>5632818.1649999991</v>
      </c>
      <c r="N157" s="64" t="str">
        <f>IFERROR(VLOOKUP(ExtComp[[#This Row],[DEVELOPMENT]],Data[],22,FALSE),"")</f>
        <v/>
      </c>
      <c r="O157" s="51" t="str">
        <f>IFERROR(VLOOKUP(ExtComp[[#This Row],[DEVELOPMENT]],Data[],23,FALSE),"")</f>
        <v/>
      </c>
    </row>
    <row r="158" spans="1:15">
      <c r="A158" s="65" t="s">
        <v>62</v>
      </c>
      <c r="B158" s="1" t="str">
        <f>VLOOKUP(A158,Data[],2,FALSE)</f>
        <v>MANHATTAN</v>
      </c>
      <c r="C158" s="9" t="s">
        <v>68</v>
      </c>
      <c r="D158" s="9" t="str">
        <f>VLOOKUP(ExtComp[[#This Row],[DEVELOPMENT]],Data[],8,FALSE)</f>
        <v>Zone 1</v>
      </c>
      <c r="E158" s="9">
        <f>VLOOKUP(ExtComp[[#This Row],[DEVELOPMENT]],Data[],9,FALSE)</f>
        <v>3</v>
      </c>
      <c r="F158" s="9" t="str">
        <f ca="1">IFERROR(VLOOKUP(ExtComp[[#This Row],[DEVELOPMENT]],Data[],4,FALSE),"")</f>
        <v/>
      </c>
      <c r="G158" s="9" t="str">
        <f ca="1">IF(ExtComp[[#This Row],[RAD/PACT]]="","",IF(ExtComp[[#This Row],[RAD/PACT]]&lt;=2025,"Yes",""))</f>
        <v/>
      </c>
      <c r="H158" s="1" t="str">
        <f ca="1">IF(VLOOKUP(ExtComp[[#This Row],[DEVELOPMENT]],Data[],11,FALSE)=0,"",DATEDIF(VLOOKUP(ExtComp[[#This Row],[DEVELOPMENT]],Data[],13,FALSE),TODAY(),"Y"))</f>
        <v/>
      </c>
      <c r="I158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58" s="47">
        <f ca="1">(ExtComp[[#This Row],['# to Replace]]*'Unit Cost Summary'!$B$6)*(1+((ExtComp[[#This Row],[est. Year]]-YEAR(TODAY()))*$J$2))</f>
        <v>0</v>
      </c>
      <c r="K158" s="1">
        <f ca="1">SUM(INDEX(ExtComp['# to Replace],1):ExtComp[[#This Row],['# to Replace]])</f>
        <v>175</v>
      </c>
      <c r="L158" s="1">
        <f ca="1">ROUNDDOWN(ExtComp[[#This Row],[Count]]/50,0)+$L$1</f>
        <v>2023</v>
      </c>
      <c r="M158" s="64">
        <f t="shared" ca="1" si="2"/>
        <v>5632818.1649999991</v>
      </c>
      <c r="N158" s="64" t="str">
        <f>IFERROR(VLOOKUP(ExtComp[[#This Row],[DEVELOPMENT]],Data[],22,FALSE),"")</f>
        <v/>
      </c>
      <c r="O158" s="51" t="str">
        <f>IFERROR(VLOOKUP(ExtComp[[#This Row],[DEVELOPMENT]],Data[],23,FALSE),"")</f>
        <v/>
      </c>
    </row>
    <row r="159" spans="1:15">
      <c r="A159" s="13" t="s">
        <v>192</v>
      </c>
      <c r="B159" s="9" t="str">
        <f>VLOOKUP(A159,Data[],2,FALSE)</f>
        <v>BROOKLYN</v>
      </c>
      <c r="C159" s="9" t="s">
        <v>68</v>
      </c>
      <c r="D159" s="50">
        <f>VLOOKUP(ExtComp[[#This Row],[DEVELOPMENT]],Data[],8,FALSE)</f>
        <v>0</v>
      </c>
      <c r="E159" s="50">
        <f>VLOOKUP(ExtComp[[#This Row],[DEVELOPMENT]],Data[],9,FALSE)</f>
        <v>0</v>
      </c>
      <c r="F159" s="50" t="str">
        <f ca="1">IFERROR(VLOOKUP(ExtComp[[#This Row],[DEVELOPMENT]],Data[],4,FALSE),"")</f>
        <v/>
      </c>
      <c r="G159" s="50" t="str">
        <f ca="1">IF(ExtComp[[#This Row],[RAD/PACT]]="","",IF(ExtComp[[#This Row],[RAD/PACT]]&lt;=2025,"Yes",""))</f>
        <v/>
      </c>
      <c r="H159" s="51" t="str">
        <f ca="1">IF(VLOOKUP(ExtComp[[#This Row],[DEVELOPMENT]],Data[],11,FALSE)=0,"",DATEDIF(VLOOKUP(ExtComp[[#This Row],[DEVELOPMENT]],Data[],13,FALSE),TODAY(),"Y"))</f>
        <v/>
      </c>
      <c r="I15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59" s="47">
        <f ca="1">(ExtComp[[#This Row],['# to Replace]]*'Unit Cost Summary'!$B$6)*(1+((ExtComp[[#This Row],[est. Year]]-YEAR(TODAY()))*$J$2))</f>
        <v>0</v>
      </c>
      <c r="K159" s="51">
        <f ca="1">SUM(INDEX(ExtComp['# to Replace],1):ExtComp[[#This Row],['# to Replace]])</f>
        <v>175</v>
      </c>
      <c r="L159" s="51">
        <f ca="1">ROUNDDOWN(ExtComp[[#This Row],[Count]]/50,0)+$L$1</f>
        <v>2023</v>
      </c>
      <c r="M159" s="64">
        <f t="shared" ca="1" si="2"/>
        <v>5632818.1649999991</v>
      </c>
      <c r="N159" s="64" t="str">
        <f>IFERROR(VLOOKUP(ExtComp[[#This Row],[DEVELOPMENT]],Data[],22,FALSE),"")</f>
        <v/>
      </c>
      <c r="O159" s="71" t="str">
        <f>IFERROR(VLOOKUP(ExtComp[[#This Row],[DEVELOPMENT]],Data[],23,FALSE),"")</f>
        <v/>
      </c>
    </row>
    <row r="160" spans="1:15">
      <c r="A160" s="13" t="s">
        <v>287</v>
      </c>
      <c r="B160" s="9" t="str">
        <f>VLOOKUP(A160,Data[],2,FALSE)</f>
        <v>BRONX</v>
      </c>
      <c r="C160" s="9" t="s">
        <v>68</v>
      </c>
      <c r="D160" s="50">
        <f>VLOOKUP(ExtComp[[#This Row],[DEVELOPMENT]],Data[],8,FALSE)</f>
        <v>0</v>
      </c>
      <c r="E160" s="50">
        <f>VLOOKUP(ExtComp[[#This Row],[DEVELOPMENT]],Data[],9,FALSE)</f>
        <v>0</v>
      </c>
      <c r="F160" s="50" t="str">
        <f ca="1">IFERROR(VLOOKUP(ExtComp[[#This Row],[DEVELOPMENT]],Data[],4,FALSE),"")</f>
        <v/>
      </c>
      <c r="G160" s="50" t="str">
        <f ca="1">IF(ExtComp[[#This Row],[RAD/PACT]]="","",IF(ExtComp[[#This Row],[RAD/PACT]]&lt;=2025,"Yes",""))</f>
        <v/>
      </c>
      <c r="H160" s="51" t="str">
        <f ca="1">IF(VLOOKUP(ExtComp[[#This Row],[DEVELOPMENT]],Data[],11,FALSE)=0,"",DATEDIF(VLOOKUP(ExtComp[[#This Row],[DEVELOPMENT]],Data[],13,FALSE),TODAY(),"Y"))</f>
        <v/>
      </c>
      <c r="I16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60" s="47">
        <f ca="1">(ExtComp[[#This Row],['# to Replace]]*'Unit Cost Summary'!$B$6)*(1+((ExtComp[[#This Row],[est. Year]]-YEAR(TODAY()))*$J$2))</f>
        <v>0</v>
      </c>
      <c r="K160" s="51">
        <f ca="1">SUM(INDEX(ExtComp['# to Replace],1):ExtComp[[#This Row],['# to Replace]])</f>
        <v>175</v>
      </c>
      <c r="L160" s="51">
        <f ca="1">ROUNDDOWN(ExtComp[[#This Row],[Count]]/50,0)+$L$1</f>
        <v>2023</v>
      </c>
      <c r="M160" s="64">
        <f t="shared" ca="1" si="2"/>
        <v>5632818.1649999991</v>
      </c>
      <c r="N160" s="64" t="str">
        <f>IFERROR(VLOOKUP(ExtComp[[#This Row],[DEVELOPMENT]],Data[],22,FALSE),"")</f>
        <v/>
      </c>
      <c r="O160" s="71" t="str">
        <f>IFERROR(VLOOKUP(ExtComp[[#This Row],[DEVELOPMENT]],Data[],23,FALSE),"")</f>
        <v/>
      </c>
    </row>
    <row r="161" spans="1:15">
      <c r="A161" s="13" t="s">
        <v>208</v>
      </c>
      <c r="B161" s="9" t="str">
        <f>VLOOKUP(A161,Data[],2,FALSE)</f>
        <v>BROOKLYN</v>
      </c>
      <c r="C161" s="9" t="s">
        <v>68</v>
      </c>
      <c r="D161" s="50">
        <f>VLOOKUP(ExtComp[[#This Row],[DEVELOPMENT]],Data[],8,FALSE)</f>
        <v>0</v>
      </c>
      <c r="E161" s="50">
        <f>VLOOKUP(ExtComp[[#This Row],[DEVELOPMENT]],Data[],9,FALSE)</f>
        <v>0</v>
      </c>
      <c r="F161" s="50" t="str">
        <f ca="1">IFERROR(VLOOKUP(ExtComp[[#This Row],[DEVELOPMENT]],Data[],4,FALSE),"")</f>
        <v>2026+</v>
      </c>
      <c r="G161" s="50" t="str">
        <f ca="1">IF(ExtComp[[#This Row],[RAD/PACT]]="","",IF(ExtComp[[#This Row],[RAD/PACT]]&lt;=2025,"Yes",""))</f>
        <v/>
      </c>
      <c r="H161" s="51" t="str">
        <f ca="1">IF(VLOOKUP(ExtComp[[#This Row],[DEVELOPMENT]],Data[],11,FALSE)=0,"",DATEDIF(VLOOKUP(ExtComp[[#This Row],[DEVELOPMENT]],Data[],13,FALSE),TODAY(),"Y"))</f>
        <v/>
      </c>
      <c r="I161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61" s="47">
        <f ca="1">(ExtComp[[#This Row],['# to Replace]]*'Unit Cost Summary'!$B$6)*(1+((ExtComp[[#This Row],[est. Year]]-YEAR(TODAY()))*$J$2))</f>
        <v>0</v>
      </c>
      <c r="K161" s="51">
        <f ca="1">SUM(INDEX(ExtComp['# to Replace],1):ExtComp[[#This Row],['# to Replace]])</f>
        <v>175</v>
      </c>
      <c r="L161" s="51">
        <f ca="1">ROUNDDOWN(ExtComp[[#This Row],[Count]]/50,0)+$L$1</f>
        <v>2023</v>
      </c>
      <c r="M161" s="64">
        <f t="shared" ca="1" si="2"/>
        <v>5632818.1649999991</v>
      </c>
      <c r="N161" s="64" t="str">
        <f>IFERROR(VLOOKUP(ExtComp[[#This Row],[DEVELOPMENT]],Data[],22,FALSE),"")</f>
        <v/>
      </c>
      <c r="O161" s="71" t="str">
        <f>IFERROR(VLOOKUP(ExtComp[[#This Row],[DEVELOPMENT]],Data[],23,FALSE),"")</f>
        <v/>
      </c>
    </row>
    <row r="162" spans="1:15">
      <c r="A162" s="13" t="s">
        <v>341</v>
      </c>
      <c r="B162" s="9" t="str">
        <f>VLOOKUP(A162,Data[],2,FALSE)</f>
        <v>BROOKLYN</v>
      </c>
      <c r="C162" s="9"/>
      <c r="D162" s="50">
        <f>VLOOKUP(ExtComp[[#This Row],[DEVELOPMENT]],Data[],8,FALSE)</f>
        <v>0</v>
      </c>
      <c r="E162" s="50">
        <f>VLOOKUP(ExtComp[[#This Row],[DEVELOPMENT]],Data[],9,FALSE)</f>
        <v>0</v>
      </c>
      <c r="F162" s="50" t="str">
        <f ca="1">IFERROR(VLOOKUP(ExtComp[[#This Row],[DEVELOPMENT]],Data[],4,FALSE),"")</f>
        <v>2020-2021</v>
      </c>
      <c r="G162" s="50" t="str">
        <f ca="1">IF(ExtComp[[#This Row],[RAD/PACT]]="","",IF(ExtComp[[#This Row],[RAD/PACT]]&lt;=2025,"Yes",""))</f>
        <v/>
      </c>
      <c r="H162" s="51">
        <f ca="1">IF(VLOOKUP(ExtComp[[#This Row],[DEVELOPMENT]],Data[],11,FALSE)=0,"",DATEDIF(VLOOKUP(ExtComp[[#This Row],[DEVELOPMENT]],Data[],13,FALSE),TODAY(),"Y"))</f>
        <v>13</v>
      </c>
      <c r="I162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162" s="47">
        <f ca="1">(ExtComp[[#This Row],['# to Replace]]*'Unit Cost Summary'!$B$6)*(1+((ExtComp[[#This Row],[est. Year]]-YEAR(TODAY()))*$J$2))</f>
        <v>625868.68499999994</v>
      </c>
      <c r="K162" s="51">
        <f ca="1">SUM(INDEX(ExtComp['# to Replace],1):ExtComp[[#This Row],['# to Replace]])</f>
        <v>178</v>
      </c>
      <c r="L162" s="51">
        <f ca="1">ROUNDDOWN(ExtComp[[#This Row],[Count]]/50,0)+$L$1</f>
        <v>2023</v>
      </c>
      <c r="M162" s="64">
        <f t="shared" ca="1" si="2"/>
        <v>6258686.8499999987</v>
      </c>
      <c r="N162" s="64" t="str">
        <f>IFERROR(VLOOKUP(ExtComp[[#This Row],[DEVELOPMENT]],Data[],22,FALSE),"")</f>
        <v/>
      </c>
      <c r="O162" s="71" t="str">
        <f>IFERROR(VLOOKUP(ExtComp[[#This Row],[DEVELOPMENT]],Data[],23,FALSE),"")</f>
        <v/>
      </c>
    </row>
    <row r="163" spans="1:15">
      <c r="A163" s="13" t="s">
        <v>113</v>
      </c>
      <c r="B163" s="1" t="str">
        <f>VLOOKUP(A163,Data[],2,FALSE)</f>
        <v>MANHATTAN</v>
      </c>
      <c r="C163" s="9" t="s">
        <v>68</v>
      </c>
      <c r="D163" s="9" t="str">
        <f>VLOOKUP(ExtComp[[#This Row],[DEVELOPMENT]],Data[],8,FALSE)</f>
        <v>Zone 2</v>
      </c>
      <c r="E163" s="9">
        <f>VLOOKUP(ExtComp[[#This Row],[DEVELOPMENT]],Data[],9,FALSE)</f>
        <v>1</v>
      </c>
      <c r="F163" s="9" t="str">
        <f ca="1">IFERROR(VLOOKUP(ExtComp[[#This Row],[DEVELOPMENT]],Data[],4,FALSE),"")</f>
        <v>2026+</v>
      </c>
      <c r="G163" s="9" t="str">
        <f ca="1">IF(ExtComp[[#This Row],[RAD/PACT]]="","",IF(ExtComp[[#This Row],[RAD/PACT]]&lt;=2025,"Yes",""))</f>
        <v/>
      </c>
      <c r="H163" s="1">
        <f ca="1">IF(VLOOKUP(ExtComp[[#This Row],[DEVELOPMENT]],Data[],11,FALSE)=0,"",DATEDIF(VLOOKUP(ExtComp[[#This Row],[DEVELOPMENT]],Data[],13,FALSE),TODAY(),"Y"))</f>
        <v>17</v>
      </c>
      <c r="I163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163" s="47">
        <f ca="1">(ExtComp[[#This Row],['# to Replace]]*'Unit Cost Summary'!$B$6)*(1+((ExtComp[[#This Row],[est. Year]]-YEAR(TODAY()))*$J$2))</f>
        <v>417245.79</v>
      </c>
      <c r="K163" s="1">
        <f ca="1">SUM(INDEX(ExtComp['# to Replace],1):ExtComp[[#This Row],['# to Replace]])</f>
        <v>180</v>
      </c>
      <c r="L163" s="1">
        <f ca="1">ROUNDDOWN(ExtComp[[#This Row],[Count]]/50,0)+$L$1</f>
        <v>2023</v>
      </c>
      <c r="M163" s="64">
        <f t="shared" ca="1" si="2"/>
        <v>6675932.6399999987</v>
      </c>
      <c r="N163" s="64" t="str">
        <f>IFERROR(VLOOKUP(ExtComp[[#This Row],[DEVELOPMENT]],Data[],22,FALSE),"")</f>
        <v/>
      </c>
      <c r="O163" s="71" t="str">
        <f>IFERROR(VLOOKUP(ExtComp[[#This Row],[DEVELOPMENT]],Data[],23,FALSE),"")</f>
        <v/>
      </c>
    </row>
    <row r="164" spans="1:15">
      <c r="A164" s="13" t="s">
        <v>125</v>
      </c>
      <c r="B164" s="1" t="str">
        <f>VLOOKUP(A164,Data[],2,FALSE)</f>
        <v>MANHATTAN</v>
      </c>
      <c r="C164" s="9" t="s">
        <v>68</v>
      </c>
      <c r="D164" s="9" t="str">
        <f>VLOOKUP(ExtComp[[#This Row],[DEVELOPMENT]],Data[],8,FALSE)</f>
        <v>Zone 2</v>
      </c>
      <c r="E164" s="9">
        <f>VLOOKUP(ExtComp[[#This Row],[DEVELOPMENT]],Data[],9,FALSE)</f>
        <v>4</v>
      </c>
      <c r="F164" s="9" t="str">
        <f ca="1">IFERROR(VLOOKUP(ExtComp[[#This Row],[DEVELOPMENT]],Data[],4,FALSE),"")</f>
        <v>2022-2025</v>
      </c>
      <c r="G164" s="9" t="str">
        <f ca="1">IF(ExtComp[[#This Row],[RAD/PACT]]="","",IF(ExtComp[[#This Row],[RAD/PACT]]&lt;=2025,"Yes",""))</f>
        <v/>
      </c>
      <c r="H164" s="1">
        <f ca="1">IF(VLOOKUP(ExtComp[[#This Row],[DEVELOPMENT]],Data[],11,FALSE)=0,"",DATEDIF(VLOOKUP(ExtComp[[#This Row],[DEVELOPMENT]],Data[],13,FALSE),TODAY(),"Y"))</f>
        <v>13</v>
      </c>
      <c r="I164" s="1">
        <f ca="1">IF(ExtComp[[#This Row],[RAD/PACT]]="",VLOOKUP(ExtComp[[#This Row],[DEVELOPMENT]],Data[],11,FALSE),IF(ExtComp[[#This Row],[RAD/PACT by 2025]]="yes",0,VLOOKUP(ExtComp[[#This Row],[DEVELOPMENT]],Data[],11,FALSE)))</f>
        <v>1</v>
      </c>
      <c r="J164" s="47">
        <f ca="1">(ExtComp[[#This Row],['# to Replace]]*'Unit Cost Summary'!$B$6)*(1+((ExtComp[[#This Row],[est. Year]]-YEAR(TODAY()))*$J$2))</f>
        <v>208622.89499999999</v>
      </c>
      <c r="K164" s="1">
        <f ca="1">SUM(INDEX(ExtComp['# to Replace],1):ExtComp[[#This Row],['# to Replace]])</f>
        <v>181</v>
      </c>
      <c r="L164" s="1">
        <f ca="1">ROUNDDOWN(ExtComp[[#This Row],[Count]]/50,0)+$L$1</f>
        <v>2023</v>
      </c>
      <c r="M164" s="64">
        <f t="shared" ca="1" si="2"/>
        <v>6884555.5349999983</v>
      </c>
      <c r="N164" s="64" t="str">
        <f>IFERROR(VLOOKUP(ExtComp[[#This Row],[DEVELOPMENT]],Data[],22,FALSE),"")</f>
        <v/>
      </c>
      <c r="O164" s="71" t="str">
        <f>IFERROR(VLOOKUP(ExtComp[[#This Row],[DEVELOPMENT]],Data[],23,FALSE),"")</f>
        <v/>
      </c>
    </row>
    <row r="165" spans="1:15">
      <c r="A165" s="13" t="s">
        <v>340</v>
      </c>
      <c r="B165" s="9" t="str">
        <f>VLOOKUP(A165,Data[],2,FALSE)</f>
        <v>BROOKLYN</v>
      </c>
      <c r="C165" s="9"/>
      <c r="D165" s="50">
        <f>VLOOKUP(ExtComp[[#This Row],[DEVELOPMENT]],Data[],8,FALSE)</f>
        <v>0</v>
      </c>
      <c r="E165" s="50">
        <f>VLOOKUP(ExtComp[[#This Row],[DEVELOPMENT]],Data[],9,FALSE)</f>
        <v>0</v>
      </c>
      <c r="F165" s="50" t="str">
        <f ca="1">IFERROR(VLOOKUP(ExtComp[[#This Row],[DEVELOPMENT]],Data[],4,FALSE),"")</f>
        <v>2020-2021</v>
      </c>
      <c r="G165" s="50" t="str">
        <f ca="1">IF(ExtComp[[#This Row],[RAD/PACT]]="","",IF(ExtComp[[#This Row],[RAD/PACT]]&lt;=2025,"Yes",""))</f>
        <v/>
      </c>
      <c r="H165" s="51" t="str">
        <f ca="1">IF(VLOOKUP(ExtComp[[#This Row],[DEVELOPMENT]],Data[],11,FALSE)=0,"",DATEDIF(VLOOKUP(ExtComp[[#This Row],[DEVELOPMENT]],Data[],13,FALSE),TODAY(),"Y"))</f>
        <v/>
      </c>
      <c r="I16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65" s="47">
        <f ca="1">(ExtComp[[#This Row],['# to Replace]]*'Unit Cost Summary'!$B$6)*(1+((ExtComp[[#This Row],[est. Year]]-YEAR(TODAY()))*$J$2))</f>
        <v>0</v>
      </c>
      <c r="K165" s="51">
        <f ca="1">SUM(INDEX(ExtComp['# to Replace],1):ExtComp[[#This Row],['# to Replace]])</f>
        <v>181</v>
      </c>
      <c r="L165" s="51">
        <f ca="1">ROUNDDOWN(ExtComp[[#This Row],[Count]]/50,0)+$L$1</f>
        <v>2023</v>
      </c>
      <c r="M165" s="64">
        <f t="shared" ca="1" si="2"/>
        <v>6884555.5349999983</v>
      </c>
      <c r="N165" s="64" t="str">
        <f>IFERROR(VLOOKUP(ExtComp[[#This Row],[DEVELOPMENT]],Data[],22,FALSE),"")</f>
        <v/>
      </c>
      <c r="O165" s="71" t="str">
        <f>IFERROR(VLOOKUP(ExtComp[[#This Row],[DEVELOPMENT]],Data[],23,FALSE),"")</f>
        <v/>
      </c>
    </row>
    <row r="166" spans="1:15">
      <c r="A166" s="13" t="s">
        <v>146</v>
      </c>
      <c r="B166" s="9" t="str">
        <f>VLOOKUP(A166,Data[],2,FALSE)</f>
        <v>MANHATTAN</v>
      </c>
      <c r="C166" s="9" t="s">
        <v>68</v>
      </c>
      <c r="D166" s="50">
        <f>VLOOKUP(ExtComp[[#This Row],[DEVELOPMENT]],Data[],8,FALSE)</f>
        <v>0</v>
      </c>
      <c r="E166" s="50">
        <f>VLOOKUP(ExtComp[[#This Row],[DEVELOPMENT]],Data[],9,FALSE)</f>
        <v>0</v>
      </c>
      <c r="F166" s="50" t="str">
        <f ca="1">IFERROR(VLOOKUP(ExtComp[[#This Row],[DEVELOPMENT]],Data[],4,FALSE),"")</f>
        <v/>
      </c>
      <c r="G166" s="50" t="str">
        <f ca="1">IF(ExtComp[[#This Row],[RAD/PACT]]="","",IF(ExtComp[[#This Row],[RAD/PACT]]&lt;=2025,"Yes",""))</f>
        <v/>
      </c>
      <c r="H166" s="51">
        <f ca="1">IF(VLOOKUP(ExtComp[[#This Row],[DEVELOPMENT]],Data[],11,FALSE)=0,"",DATEDIF(VLOOKUP(ExtComp[[#This Row],[DEVELOPMENT]],Data[],13,FALSE),TODAY(),"Y"))</f>
        <v>5</v>
      </c>
      <c r="I166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66" s="47">
        <f ca="1">(ExtComp[[#This Row],['# to Replace]]*'Unit Cost Summary'!$B$6)*(1+((ExtComp[[#This Row],[est. Year]]-YEAR(TODAY()))*$J$2))</f>
        <v>417245.79</v>
      </c>
      <c r="K166" s="51">
        <f ca="1">SUM(INDEX(ExtComp['# to Replace],1):ExtComp[[#This Row],['# to Replace]])</f>
        <v>183</v>
      </c>
      <c r="L166" s="51">
        <f ca="1">ROUNDDOWN(ExtComp[[#This Row],[Count]]/50,0)+$L$1</f>
        <v>2023</v>
      </c>
      <c r="M166" s="64">
        <f t="shared" ca="1" si="2"/>
        <v>7301801.3249999983</v>
      </c>
      <c r="N166" s="64" t="str">
        <f>IFERROR(VLOOKUP(ExtComp[[#This Row],[DEVELOPMENT]],Data[],22,FALSE),"")</f>
        <v/>
      </c>
      <c r="O166" s="71" t="str">
        <f>IFERROR(VLOOKUP(ExtComp[[#This Row],[DEVELOPMENT]],Data[],23,FALSE),"")</f>
        <v/>
      </c>
    </row>
    <row r="167" spans="1:15">
      <c r="A167" s="13" t="s">
        <v>339</v>
      </c>
      <c r="B167" s="9" t="str">
        <f>VLOOKUP(A167,Data[],2,FALSE)</f>
        <v>QUEENS</v>
      </c>
      <c r="C167" s="9" t="s">
        <v>68</v>
      </c>
      <c r="D167" s="50">
        <f>VLOOKUP(ExtComp[[#This Row],[DEVELOPMENT]],Data[],8,FALSE)</f>
        <v>0</v>
      </c>
      <c r="E167" s="50">
        <f>VLOOKUP(ExtComp[[#This Row],[DEVELOPMENT]],Data[],9,FALSE)</f>
        <v>0</v>
      </c>
      <c r="F167" s="50" t="str">
        <f ca="1">IFERROR(VLOOKUP(ExtComp[[#This Row],[DEVELOPMENT]],Data[],4,FALSE),"")</f>
        <v/>
      </c>
      <c r="G167" s="50" t="str">
        <f ca="1">IF(ExtComp[[#This Row],[RAD/PACT]]="","",IF(ExtComp[[#This Row],[RAD/PACT]]&lt;=2025,"Yes",""))</f>
        <v/>
      </c>
      <c r="H167" s="51" t="str">
        <f ca="1">IF(VLOOKUP(ExtComp[[#This Row],[DEVELOPMENT]],Data[],11,FALSE)=0,"",DATEDIF(VLOOKUP(ExtComp[[#This Row],[DEVELOPMENT]],Data[],13,FALSE),TODAY(),"Y"))</f>
        <v/>
      </c>
      <c r="I16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67" s="47">
        <f ca="1">(ExtComp[[#This Row],['# to Replace]]*'Unit Cost Summary'!$B$6)*(1+((ExtComp[[#This Row],[est. Year]]-YEAR(TODAY()))*$J$2))</f>
        <v>0</v>
      </c>
      <c r="K167" s="51">
        <f ca="1">SUM(INDEX(ExtComp['# to Replace],1):ExtComp[[#This Row],['# to Replace]])</f>
        <v>183</v>
      </c>
      <c r="L167" s="51">
        <f ca="1">ROUNDDOWN(ExtComp[[#This Row],[Count]]/50,0)+$L$1</f>
        <v>2023</v>
      </c>
      <c r="M167" s="64">
        <f t="shared" ca="1" si="2"/>
        <v>7301801.3249999983</v>
      </c>
      <c r="N167" s="64" t="str">
        <f>IFERROR(VLOOKUP(ExtComp[[#This Row],[DEVELOPMENT]],Data[],22,FALSE),"")</f>
        <v/>
      </c>
      <c r="O167" s="71" t="str">
        <f>IFERROR(VLOOKUP(ExtComp[[#This Row],[DEVELOPMENT]],Data[],23,FALSE),"")</f>
        <v/>
      </c>
    </row>
    <row r="168" spans="1:15">
      <c r="A168" s="13" t="s">
        <v>1618</v>
      </c>
      <c r="B168" s="9" t="str">
        <f>VLOOKUP(A168,Data[],2,FALSE)</f>
        <v>MANHATTAN</v>
      </c>
      <c r="C168" s="9" t="s">
        <v>68</v>
      </c>
      <c r="D168" s="50">
        <f>VLOOKUP(ExtComp[[#This Row],[DEVELOPMENT]],Data[],8,FALSE)</f>
        <v>0</v>
      </c>
      <c r="E168" s="50">
        <f>VLOOKUP(ExtComp[[#This Row],[DEVELOPMENT]],Data[],9,FALSE)</f>
        <v>0</v>
      </c>
      <c r="F168" s="50" t="str">
        <f ca="1">IFERROR(VLOOKUP(ExtComp[[#This Row],[DEVELOPMENT]],Data[],4,FALSE),"")</f>
        <v/>
      </c>
      <c r="G168" s="50" t="str">
        <f ca="1">IF(ExtComp[[#This Row],[RAD/PACT]]="","",IF(ExtComp[[#This Row],[RAD/PACT]]&lt;=2025,"Yes",""))</f>
        <v/>
      </c>
      <c r="H168" s="51" t="str">
        <f ca="1">IF(VLOOKUP(ExtComp[[#This Row],[DEVELOPMENT]],Data[],11,FALSE)=0,"",DATEDIF(VLOOKUP(ExtComp[[#This Row],[DEVELOPMENT]],Data[],13,FALSE),TODAY(),"Y"))</f>
        <v/>
      </c>
      <c r="I16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68" s="47">
        <f ca="1">(ExtComp[[#This Row],['# to Replace]]*'Unit Cost Summary'!$B$6)*(1+((ExtComp[[#This Row],[est. Year]]-YEAR(TODAY()))*$J$2))</f>
        <v>0</v>
      </c>
      <c r="K168" s="51">
        <f ca="1">SUM(INDEX(ExtComp['# to Replace],1):ExtComp[[#This Row],['# to Replace]])</f>
        <v>183</v>
      </c>
      <c r="L168" s="51">
        <f ca="1">ROUNDDOWN(ExtComp[[#This Row],[Count]]/50,0)+$L$1</f>
        <v>2023</v>
      </c>
      <c r="M168" s="64">
        <f t="shared" ca="1" si="2"/>
        <v>7301801.3249999983</v>
      </c>
      <c r="N168" s="64" t="str">
        <f>IFERROR(VLOOKUP(ExtComp[[#This Row],[DEVELOPMENT]],Data[],22,FALSE),"")</f>
        <v/>
      </c>
      <c r="O168" s="71" t="str">
        <f>IFERROR(VLOOKUP(ExtComp[[#This Row],[DEVELOPMENT]],Data[],23,FALSE),"")</f>
        <v/>
      </c>
    </row>
    <row r="169" spans="1:15">
      <c r="A169" s="13" t="s">
        <v>338</v>
      </c>
      <c r="B169" s="9" t="str">
        <f>VLOOKUP(A169,Data[],2,FALSE)</f>
        <v>QUEENS</v>
      </c>
      <c r="C169" s="9" t="s">
        <v>68</v>
      </c>
      <c r="D169" s="50">
        <f>VLOOKUP(ExtComp[[#This Row],[DEVELOPMENT]],Data[],8,FALSE)</f>
        <v>0</v>
      </c>
      <c r="E169" s="50">
        <f>VLOOKUP(ExtComp[[#This Row],[DEVELOPMENT]],Data[],9,FALSE)</f>
        <v>0</v>
      </c>
      <c r="F169" s="50" t="str">
        <f ca="1">IFERROR(VLOOKUP(ExtComp[[#This Row],[DEVELOPMENT]],Data[],4,FALSE),"")</f>
        <v/>
      </c>
      <c r="G169" s="50" t="str">
        <f ca="1">IF(ExtComp[[#This Row],[RAD/PACT]]="","",IF(ExtComp[[#This Row],[RAD/PACT]]&lt;=2025,"Yes",""))</f>
        <v/>
      </c>
      <c r="H169" s="51">
        <f ca="1">IF(VLOOKUP(ExtComp[[#This Row],[DEVELOPMENT]],Data[],11,FALSE)=0,"",DATEDIF(VLOOKUP(ExtComp[[#This Row],[DEVELOPMENT]],Data[],13,FALSE),TODAY(),"Y"))</f>
        <v>13</v>
      </c>
      <c r="I169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169" s="47">
        <f ca="1">(ExtComp[[#This Row],['# to Replace]]*'Unit Cost Summary'!$B$6)*(1+((ExtComp[[#This Row],[est. Year]]-YEAR(TODAY()))*$J$2))</f>
        <v>208622.89499999999</v>
      </c>
      <c r="K169" s="51">
        <f ca="1">SUM(INDEX(ExtComp['# to Replace],1):ExtComp[[#This Row],['# to Replace]])</f>
        <v>184</v>
      </c>
      <c r="L169" s="51">
        <f ca="1">ROUNDDOWN(ExtComp[[#This Row],[Count]]/50,0)+$L$1</f>
        <v>2023</v>
      </c>
      <c r="M169" s="64">
        <f t="shared" ca="1" si="2"/>
        <v>7510424.2199999979</v>
      </c>
      <c r="N169" s="64" t="str">
        <f>IFERROR(VLOOKUP(ExtComp[[#This Row],[DEVELOPMENT]],Data[],22,FALSE),"")</f>
        <v/>
      </c>
      <c r="O169" s="71" t="str">
        <f>IFERROR(VLOOKUP(ExtComp[[#This Row],[DEVELOPMENT]],Data[],23,FALSE),"")</f>
        <v/>
      </c>
    </row>
    <row r="170" spans="1:15">
      <c r="A170" s="65" t="s">
        <v>37</v>
      </c>
      <c r="B170" s="1" t="str">
        <f>VLOOKUP(A170,Data[],2,FALSE)</f>
        <v>BROOKLYN</v>
      </c>
      <c r="C170" s="9" t="s">
        <v>68</v>
      </c>
      <c r="D170" s="9" t="str">
        <f>VLOOKUP(ExtComp[[#This Row],[DEVELOPMENT]],Data[],8,FALSE)</f>
        <v>Zone 1</v>
      </c>
      <c r="E170" s="9">
        <f>VLOOKUP(ExtComp[[#This Row],[DEVELOPMENT]],Data[],9,FALSE)</f>
        <v>2</v>
      </c>
      <c r="F170" s="9" t="str">
        <f ca="1">IFERROR(VLOOKUP(ExtComp[[#This Row],[DEVELOPMENT]],Data[],4,FALSE),"")</f>
        <v/>
      </c>
      <c r="G170" s="9" t="str">
        <f ca="1">IF(ExtComp[[#This Row],[RAD/PACT]]="","",IF(ExtComp[[#This Row],[RAD/PACT]]&lt;=2025,"Yes",""))</f>
        <v/>
      </c>
      <c r="H170" s="1">
        <f ca="1">IF(VLOOKUP(ExtComp[[#This Row],[DEVELOPMENT]],Data[],11,FALSE)=0,"",DATEDIF(VLOOKUP(ExtComp[[#This Row],[DEVELOPMENT]],Data[],13,FALSE),TODAY(),"Y"))</f>
        <v>0</v>
      </c>
      <c r="I170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170" s="47">
        <f ca="1">(ExtComp[[#This Row],['# to Replace]]*'Unit Cost Summary'!$B$6)*(1+((ExtComp[[#This Row],[est. Year]]-YEAR(TODAY()))*$J$2))</f>
        <v>417245.79</v>
      </c>
      <c r="K170" s="1">
        <f ca="1">SUM(INDEX(ExtComp['# to Replace],1):ExtComp[[#This Row],['# to Replace]])</f>
        <v>186</v>
      </c>
      <c r="L170" s="1">
        <f ca="1">ROUNDDOWN(ExtComp[[#This Row],[Count]]/50,0)+$L$1</f>
        <v>2023</v>
      </c>
      <c r="M170" s="64">
        <f t="shared" ca="1" si="2"/>
        <v>7927670.0099999979</v>
      </c>
      <c r="N170" s="64" t="str">
        <f>IFERROR(VLOOKUP(ExtComp[[#This Row],[DEVELOPMENT]],Data[],22,FALSE),"")</f>
        <v/>
      </c>
      <c r="O170" s="71" t="str">
        <f>IFERROR(VLOOKUP(ExtComp[[#This Row],[DEVELOPMENT]],Data[],23,FALSE),"")</f>
        <v/>
      </c>
    </row>
    <row r="171" spans="1:15">
      <c r="A171" s="65" t="s">
        <v>103</v>
      </c>
      <c r="B171" s="1" t="str">
        <f>VLOOKUP(A171,Data[],2,FALSE)</f>
        <v>MANHATTAN</v>
      </c>
      <c r="C171" s="9" t="s">
        <v>68</v>
      </c>
      <c r="D171" s="9" t="str">
        <f>VLOOKUP(ExtComp[[#This Row],[DEVELOPMENT]],Data[],8,FALSE)</f>
        <v>Zone 1</v>
      </c>
      <c r="E171" s="9">
        <f>VLOOKUP(ExtComp[[#This Row],[DEVELOPMENT]],Data[],9,FALSE)</f>
        <v>4</v>
      </c>
      <c r="F171" s="9" t="str">
        <f ca="1">IFERROR(VLOOKUP(ExtComp[[#This Row],[DEVELOPMENT]],Data[],4,FALSE),"")</f>
        <v/>
      </c>
      <c r="G171" s="9" t="str">
        <f ca="1">IF(ExtComp[[#This Row],[RAD/PACT]]="","",IF(ExtComp[[#This Row],[RAD/PACT]]&lt;=2025,"Yes",""))</f>
        <v/>
      </c>
      <c r="H171" s="1" t="str">
        <f ca="1">IF(VLOOKUP(ExtComp[[#This Row],[DEVELOPMENT]],Data[],11,FALSE)=0,"",DATEDIF(VLOOKUP(ExtComp[[#This Row],[DEVELOPMENT]],Data[],13,FALSE),TODAY(),"Y"))</f>
        <v/>
      </c>
      <c r="I171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71" s="47">
        <f ca="1">(ExtComp[[#This Row],['# to Replace]]*'Unit Cost Summary'!$B$6)*(1+((ExtComp[[#This Row],[est. Year]]-YEAR(TODAY()))*$J$2))</f>
        <v>0</v>
      </c>
      <c r="K171" s="1">
        <f ca="1">SUM(INDEX(ExtComp['# to Replace],1):ExtComp[[#This Row],['# to Replace]])</f>
        <v>186</v>
      </c>
      <c r="L171" s="1">
        <f ca="1">ROUNDDOWN(ExtComp[[#This Row],[Count]]/50,0)+$L$1</f>
        <v>2023</v>
      </c>
      <c r="M171" s="64">
        <f t="shared" ca="1" si="2"/>
        <v>7927670.0099999979</v>
      </c>
      <c r="N171" s="64" t="str">
        <f>IFERROR(VLOOKUP(ExtComp[[#This Row],[DEVELOPMENT]],Data[],22,FALSE),"")</f>
        <v/>
      </c>
      <c r="O171" s="51" t="str">
        <f>IFERROR(VLOOKUP(ExtComp[[#This Row],[DEVELOPMENT]],Data[],23,FALSE),"")</f>
        <v/>
      </c>
    </row>
    <row r="172" spans="1:15">
      <c r="A172" s="13" t="s">
        <v>36</v>
      </c>
      <c r="B172" s="1" t="str">
        <f>VLOOKUP(A172,Data[],2,FALSE)</f>
        <v>MANHATTAN</v>
      </c>
      <c r="C172" s="9" t="s">
        <v>68</v>
      </c>
      <c r="D172" s="9" t="str">
        <f>VLOOKUP(ExtComp[[#This Row],[DEVELOPMENT]],Data[],8,FALSE)</f>
        <v>Zone 1</v>
      </c>
      <c r="E172" s="9">
        <f>VLOOKUP(ExtComp[[#This Row],[DEVELOPMENT]],Data[],9,FALSE)</f>
        <v>3</v>
      </c>
      <c r="F172" s="9" t="str">
        <f ca="1">IFERROR(VLOOKUP(ExtComp[[#This Row],[DEVELOPMENT]],Data[],4,FALSE),"")</f>
        <v/>
      </c>
      <c r="G172" s="9" t="str">
        <f ca="1">IF(ExtComp[[#This Row],[RAD/PACT]]="","",IF(ExtComp[[#This Row],[RAD/PACT]]&lt;=2025,"Yes",""))</f>
        <v/>
      </c>
      <c r="H172" s="1">
        <f ca="1">IF(VLOOKUP(ExtComp[[#This Row],[DEVELOPMENT]],Data[],11,FALSE)=0,"",DATEDIF(VLOOKUP(ExtComp[[#This Row],[DEVELOPMENT]],Data[],13,FALSE),TODAY(),"Y"))</f>
        <v>16</v>
      </c>
      <c r="I172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172" s="47">
        <f ca="1">(ExtComp[[#This Row],['# to Replace]]*'Unit Cost Summary'!$B$6)*(1+((ExtComp[[#This Row],[est. Year]]-YEAR(TODAY()))*$J$2))</f>
        <v>417245.79</v>
      </c>
      <c r="K172" s="1">
        <f ca="1">SUM(INDEX(ExtComp['# to Replace],1):ExtComp[[#This Row],['# to Replace]])</f>
        <v>188</v>
      </c>
      <c r="L172" s="1">
        <f ca="1">ROUNDDOWN(ExtComp[[#This Row],[Count]]/50,0)+$L$1</f>
        <v>2023</v>
      </c>
      <c r="M172" s="64">
        <f t="shared" ca="1" si="2"/>
        <v>8344915.799999998</v>
      </c>
      <c r="N172" s="64" t="str">
        <f>IFERROR(VLOOKUP(ExtComp[[#This Row],[DEVELOPMENT]],Data[],22,FALSE),"")</f>
        <v/>
      </c>
      <c r="O172" s="71" t="str">
        <f>IFERROR(VLOOKUP(ExtComp[[#This Row],[DEVELOPMENT]],Data[],23,FALSE),"")</f>
        <v/>
      </c>
    </row>
    <row r="173" spans="1:15">
      <c r="A173" s="13" t="s">
        <v>191</v>
      </c>
      <c r="B173" s="9" t="str">
        <f>VLOOKUP(A173,Data[],2,FALSE)</f>
        <v>BROOKLYN</v>
      </c>
      <c r="C173" s="9" t="s">
        <v>68</v>
      </c>
      <c r="D173" s="50" t="str">
        <f>VLOOKUP(ExtComp[[#This Row],[DEVELOPMENT]],Data[],8,FALSE)</f>
        <v>Zone 4</v>
      </c>
      <c r="E173" s="50">
        <f>VLOOKUP(ExtComp[[#This Row],[DEVELOPMENT]],Data[],9,FALSE)</f>
        <v>0</v>
      </c>
      <c r="F173" s="50" t="str">
        <f ca="1">IFERROR(VLOOKUP(ExtComp[[#This Row],[DEVELOPMENT]],Data[],4,FALSE),"")</f>
        <v/>
      </c>
      <c r="G173" s="50" t="str">
        <f ca="1">IF(ExtComp[[#This Row],[RAD/PACT]]="","",IF(ExtComp[[#This Row],[RAD/PACT]]&lt;=2025,"Yes",""))</f>
        <v/>
      </c>
      <c r="H173" s="51" t="str">
        <f ca="1">IF(VLOOKUP(ExtComp[[#This Row],[DEVELOPMENT]],Data[],11,FALSE)=0,"",DATEDIF(VLOOKUP(ExtComp[[#This Row],[DEVELOPMENT]],Data[],13,FALSE),TODAY(),"Y"))</f>
        <v/>
      </c>
      <c r="I17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73" s="47">
        <f ca="1">(ExtComp[[#This Row],['# to Replace]]*'Unit Cost Summary'!$B$6)*(1+((ExtComp[[#This Row],[est. Year]]-YEAR(TODAY()))*$J$2))</f>
        <v>0</v>
      </c>
      <c r="K173" s="51">
        <f ca="1">SUM(INDEX(ExtComp['# to Replace],1):ExtComp[[#This Row],['# to Replace]])</f>
        <v>188</v>
      </c>
      <c r="L173" s="51">
        <f ca="1">ROUNDDOWN(ExtComp[[#This Row],[Count]]/50,0)+$L$1</f>
        <v>2023</v>
      </c>
      <c r="M173" s="64">
        <f t="shared" ca="1" si="2"/>
        <v>8344915.799999998</v>
      </c>
      <c r="N173" s="64" t="str">
        <f>IFERROR(VLOOKUP(ExtComp[[#This Row],[DEVELOPMENT]],Data[],22,FALSE),"")</f>
        <v/>
      </c>
      <c r="O173" s="71" t="str">
        <f>IFERROR(VLOOKUP(ExtComp[[#This Row],[DEVELOPMENT]],Data[],23,FALSE),"")</f>
        <v/>
      </c>
    </row>
    <row r="174" spans="1:15">
      <c r="A174" s="13" t="s">
        <v>84</v>
      </c>
      <c r="B174" s="1" t="str">
        <f>VLOOKUP(A174,Data[],2,FALSE)</f>
        <v>BROOKLYN</v>
      </c>
      <c r="C174" s="9" t="s">
        <v>68</v>
      </c>
      <c r="D174" s="9" t="str">
        <f>VLOOKUP(ExtComp[[#This Row],[DEVELOPMENT]],Data[],8,FALSE)</f>
        <v>Zone 3</v>
      </c>
      <c r="E174" s="9">
        <f>VLOOKUP(ExtComp[[#This Row],[DEVELOPMENT]],Data[],9,FALSE)</f>
        <v>4</v>
      </c>
      <c r="F174" s="9" t="str">
        <f ca="1">IFERROR(VLOOKUP(ExtComp[[#This Row],[DEVELOPMENT]],Data[],4,FALSE),"")</f>
        <v/>
      </c>
      <c r="G174" s="9" t="str">
        <f ca="1">IF(ExtComp[[#This Row],[RAD/PACT]]="","",IF(ExtComp[[#This Row],[RAD/PACT]]&lt;=2025,"Yes",""))</f>
        <v/>
      </c>
      <c r="H174" s="1" t="str">
        <f ca="1">IF(VLOOKUP(ExtComp[[#This Row],[DEVELOPMENT]],Data[],11,FALSE)=0,"",DATEDIF(VLOOKUP(ExtComp[[#This Row],[DEVELOPMENT]],Data[],13,FALSE),TODAY(),"Y"))</f>
        <v/>
      </c>
      <c r="I174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74" s="47">
        <f ca="1">(ExtComp[[#This Row],['# to Replace]]*'Unit Cost Summary'!$B$6)*(1+((ExtComp[[#This Row],[est. Year]]-YEAR(TODAY()))*$J$2))</f>
        <v>0</v>
      </c>
      <c r="K174" s="1">
        <f ca="1">SUM(INDEX(ExtComp['# to Replace],1):ExtComp[[#This Row],['# to Replace]])</f>
        <v>188</v>
      </c>
      <c r="L174" s="1">
        <f ca="1">ROUNDDOWN(ExtComp[[#This Row],[Count]]/50,0)+$L$1</f>
        <v>2023</v>
      </c>
      <c r="M174" s="64">
        <f t="shared" ca="1" si="2"/>
        <v>8344915.799999998</v>
      </c>
      <c r="N174" s="64" t="str">
        <f>IFERROR(VLOOKUP(ExtComp[[#This Row],[DEVELOPMENT]],Data[],22,FALSE),"")</f>
        <v/>
      </c>
      <c r="O174" s="51" t="str">
        <f>IFERROR(VLOOKUP(ExtComp[[#This Row],[DEVELOPMENT]],Data[],23,FALSE),"")</f>
        <v/>
      </c>
    </row>
    <row r="175" spans="1:15">
      <c r="A175" s="13" t="s">
        <v>131</v>
      </c>
      <c r="B175" s="1" t="str">
        <f>VLOOKUP(A175,Data[],2,FALSE)</f>
        <v>MANHATTAN</v>
      </c>
      <c r="C175" s="9" t="s">
        <v>68</v>
      </c>
      <c r="D175" s="9" t="str">
        <f>VLOOKUP(ExtComp[[#This Row],[DEVELOPMENT]],Data[],8,FALSE)</f>
        <v>Zone 2</v>
      </c>
      <c r="E175" s="9">
        <f>VLOOKUP(ExtComp[[#This Row],[DEVELOPMENT]],Data[],9,FALSE)</f>
        <v>2</v>
      </c>
      <c r="F175" s="9" t="str">
        <f ca="1">IFERROR(VLOOKUP(ExtComp[[#This Row],[DEVELOPMENT]],Data[],4,FALSE),"")</f>
        <v/>
      </c>
      <c r="G175" s="9" t="str">
        <f ca="1">IF(ExtComp[[#This Row],[RAD/PACT]]="","",IF(ExtComp[[#This Row],[RAD/PACT]]&lt;=2025,"Yes",""))</f>
        <v/>
      </c>
      <c r="H175" s="1">
        <f ca="1">IF(VLOOKUP(ExtComp[[#This Row],[DEVELOPMENT]],Data[],11,FALSE)=0,"",DATEDIF(VLOOKUP(ExtComp[[#This Row],[DEVELOPMENT]],Data[],13,FALSE),TODAY(),"Y"))</f>
        <v>5</v>
      </c>
      <c r="I175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175" s="47">
        <f ca="1">(ExtComp[[#This Row],['# to Replace]]*'Unit Cost Summary'!$B$6)*(1+((ExtComp[[#This Row],[est. Year]]-YEAR(TODAY()))*$J$2))</f>
        <v>417245.79</v>
      </c>
      <c r="K175" s="1">
        <f ca="1">SUM(INDEX(ExtComp['# to Replace],1):ExtComp[[#This Row],['# to Replace]])</f>
        <v>190</v>
      </c>
      <c r="L175" s="1">
        <f ca="1">ROUNDDOWN(ExtComp[[#This Row],[Count]]/50,0)+$L$1</f>
        <v>2023</v>
      </c>
      <c r="M175" s="64">
        <f t="shared" ca="1" si="2"/>
        <v>8762161.589999998</v>
      </c>
      <c r="N175" s="64" t="str">
        <f>IFERROR(VLOOKUP(ExtComp[[#This Row],[DEVELOPMENT]],Data[],22,FALSE),"")</f>
        <v/>
      </c>
      <c r="O175" s="71" t="str">
        <f>IFERROR(VLOOKUP(ExtComp[[#This Row],[DEVELOPMENT]],Data[],23,FALSE),"")</f>
        <v/>
      </c>
    </row>
    <row r="176" spans="1:15">
      <c r="A176" s="13" t="s">
        <v>83</v>
      </c>
      <c r="B176" s="1" t="str">
        <f>VLOOKUP(A176,Data[],2,FALSE)</f>
        <v>MANHATTAN</v>
      </c>
      <c r="C176" s="9" t="s">
        <v>68</v>
      </c>
      <c r="D176" s="9" t="str">
        <f>VLOOKUP(ExtComp[[#This Row],[DEVELOPMENT]],Data[],8,FALSE)</f>
        <v>Zone 2</v>
      </c>
      <c r="E176" s="9">
        <f>VLOOKUP(ExtComp[[#This Row],[DEVELOPMENT]],Data[],9,FALSE)</f>
        <v>2</v>
      </c>
      <c r="F176" s="9" t="str">
        <f ca="1">IFERROR(VLOOKUP(ExtComp[[#This Row],[DEVELOPMENT]],Data[],4,FALSE),"")</f>
        <v>2026+</v>
      </c>
      <c r="G176" s="9" t="str">
        <f ca="1">IF(ExtComp[[#This Row],[RAD/PACT]]="","",IF(ExtComp[[#This Row],[RAD/PACT]]&lt;=2025,"Yes",""))</f>
        <v/>
      </c>
      <c r="H176" s="1">
        <f ca="1">IF(VLOOKUP(ExtComp[[#This Row],[DEVELOPMENT]],Data[],11,FALSE)=0,"",DATEDIF(VLOOKUP(ExtComp[[#This Row],[DEVELOPMENT]],Data[],13,FALSE),TODAY(),"Y"))</f>
        <v>19</v>
      </c>
      <c r="I176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176" s="47">
        <f ca="1">(ExtComp[[#This Row],['# to Replace]]*'Unit Cost Summary'!$B$6)*(1+((ExtComp[[#This Row],[est. Year]]-YEAR(TODAY()))*$J$2))</f>
        <v>417245.79</v>
      </c>
      <c r="K176" s="1">
        <f ca="1">SUM(INDEX(ExtComp['# to Replace],1):ExtComp[[#This Row],['# to Replace]])</f>
        <v>192</v>
      </c>
      <c r="L176" s="1">
        <f ca="1">ROUNDDOWN(ExtComp[[#This Row],[Count]]/50,0)+$L$1</f>
        <v>2023</v>
      </c>
      <c r="M176" s="64">
        <f t="shared" ca="1" si="2"/>
        <v>9179407.3799999971</v>
      </c>
      <c r="N176" s="64" t="str">
        <f>IFERROR(VLOOKUP(ExtComp[[#This Row],[DEVELOPMENT]],Data[],22,FALSE),"")</f>
        <v/>
      </c>
      <c r="O176" s="71" t="str">
        <f>IFERROR(VLOOKUP(ExtComp[[#This Row],[DEVELOPMENT]],Data[],23,FALSE),"")</f>
        <v/>
      </c>
    </row>
    <row r="177" spans="1:15">
      <c r="A177" s="13" t="s">
        <v>112</v>
      </c>
      <c r="B177" s="1" t="str">
        <f>VLOOKUP(A177,Data[],2,FALSE)</f>
        <v>MANHATTAN</v>
      </c>
      <c r="C177" s="9" t="s">
        <v>68</v>
      </c>
      <c r="D177" s="9" t="str">
        <f>VLOOKUP(ExtComp[[#This Row],[DEVELOPMENT]],Data[],8,FALSE)</f>
        <v>Zone 2</v>
      </c>
      <c r="E177" s="9">
        <f>VLOOKUP(ExtComp[[#This Row],[DEVELOPMENT]],Data[],9,FALSE)</f>
        <v>3</v>
      </c>
      <c r="F177" s="9" t="str">
        <f ca="1">IFERROR(VLOOKUP(ExtComp[[#This Row],[DEVELOPMENT]],Data[],4,FALSE),"")</f>
        <v>2026+</v>
      </c>
      <c r="G177" s="9" t="str">
        <f ca="1">IF(ExtComp[[#This Row],[RAD/PACT]]="","",IF(ExtComp[[#This Row],[RAD/PACT]]&lt;=2025,"Yes",""))</f>
        <v/>
      </c>
      <c r="H177" s="1">
        <f ca="1">IF(VLOOKUP(ExtComp[[#This Row],[DEVELOPMENT]],Data[],11,FALSE)=0,"",DATEDIF(VLOOKUP(ExtComp[[#This Row],[DEVELOPMENT]],Data[],13,FALSE),TODAY(),"Y"))</f>
        <v>17</v>
      </c>
      <c r="I177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177" s="47">
        <f ca="1">(ExtComp[[#This Row],['# to Replace]]*'Unit Cost Summary'!$B$6)*(1+((ExtComp[[#This Row],[est. Year]]-YEAR(TODAY()))*$J$2))</f>
        <v>625868.68499999994</v>
      </c>
      <c r="K177" s="1">
        <f ca="1">SUM(INDEX(ExtComp['# to Replace],1):ExtComp[[#This Row],['# to Replace]])</f>
        <v>195</v>
      </c>
      <c r="L177" s="1">
        <f ca="1">ROUNDDOWN(ExtComp[[#This Row],[Count]]/50,0)+$L$1</f>
        <v>2023</v>
      </c>
      <c r="M177" s="64">
        <f t="shared" ca="1" si="2"/>
        <v>9805276.0649999976</v>
      </c>
      <c r="N177" s="64" t="str">
        <f>IFERROR(VLOOKUP(ExtComp[[#This Row],[DEVELOPMENT]],Data[],22,FALSE),"")</f>
        <v/>
      </c>
      <c r="O177" s="71" t="str">
        <f>IFERROR(VLOOKUP(ExtComp[[#This Row],[DEVELOPMENT]],Data[],23,FALSE),"")</f>
        <v/>
      </c>
    </row>
    <row r="178" spans="1:15">
      <c r="A178" s="65" t="s">
        <v>35</v>
      </c>
      <c r="B178" s="1" t="str">
        <f>VLOOKUP(A178,Data[],2,FALSE)</f>
        <v>BRONX</v>
      </c>
      <c r="C178" s="9" t="s">
        <v>68</v>
      </c>
      <c r="D178" s="9" t="str">
        <f>VLOOKUP(ExtComp[[#This Row],[DEVELOPMENT]],Data[],8,FALSE)</f>
        <v>Zone 1</v>
      </c>
      <c r="E178" s="9">
        <f>VLOOKUP(ExtComp[[#This Row],[DEVELOPMENT]],Data[],9,FALSE)</f>
        <v>4</v>
      </c>
      <c r="F178" s="9" t="str">
        <f ca="1">IFERROR(VLOOKUP(ExtComp[[#This Row],[DEVELOPMENT]],Data[],4,FALSE),"")</f>
        <v/>
      </c>
      <c r="G178" s="9" t="str">
        <f ca="1">IF(ExtComp[[#This Row],[RAD/PACT]]="","",IF(ExtComp[[#This Row],[RAD/PACT]]&lt;=2025,"Yes",""))</f>
        <v/>
      </c>
      <c r="H178" s="1">
        <f ca="1">IF(VLOOKUP(ExtComp[[#This Row],[DEVELOPMENT]],Data[],11,FALSE)=0,"",DATEDIF(VLOOKUP(ExtComp[[#This Row],[DEVELOPMENT]],Data[],13,FALSE),TODAY(),"Y"))</f>
        <v>20</v>
      </c>
      <c r="I178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178" s="47">
        <f ca="1">(ExtComp[[#This Row],['# to Replace]]*'Unit Cost Summary'!$B$6)*(1+((ExtComp[[#This Row],[est. Year]]-YEAR(TODAY()))*$J$2))</f>
        <v>417245.79</v>
      </c>
      <c r="K178" s="1">
        <f ca="1">SUM(INDEX(ExtComp['# to Replace],1):ExtComp[[#This Row],['# to Replace]])</f>
        <v>197</v>
      </c>
      <c r="L178" s="1">
        <f ca="1">ROUNDDOWN(ExtComp[[#This Row],[Count]]/50,0)+$L$1</f>
        <v>2023</v>
      </c>
      <c r="M178" s="64">
        <f t="shared" ca="1" si="2"/>
        <v>10222521.854999997</v>
      </c>
      <c r="N178" s="64" t="str">
        <f>IFERROR(VLOOKUP(ExtComp[[#This Row],[DEVELOPMENT]],Data[],22,FALSE),"")</f>
        <v/>
      </c>
      <c r="O178" s="71" t="str">
        <f>IFERROR(VLOOKUP(ExtComp[[#This Row],[DEVELOPMENT]],Data[],23,FALSE),"")</f>
        <v/>
      </c>
    </row>
    <row r="179" spans="1:15">
      <c r="A179" s="13" t="s">
        <v>337</v>
      </c>
      <c r="B179" s="9" t="str">
        <f>VLOOKUP(A179,Data[],2,FALSE)</f>
        <v>MANHATTAN</v>
      </c>
      <c r="C179" s="9" t="s">
        <v>68</v>
      </c>
      <c r="D179" s="50">
        <f>VLOOKUP(ExtComp[[#This Row],[DEVELOPMENT]],Data[],8,FALSE)</f>
        <v>0</v>
      </c>
      <c r="E179" s="50">
        <f>VLOOKUP(ExtComp[[#This Row],[DEVELOPMENT]],Data[],9,FALSE)</f>
        <v>0</v>
      </c>
      <c r="F179" s="50" t="str">
        <f ca="1">IFERROR(VLOOKUP(ExtComp[[#This Row],[DEVELOPMENT]],Data[],4,FALSE),"")</f>
        <v/>
      </c>
      <c r="G179" s="50" t="str">
        <f ca="1">IF(ExtComp[[#This Row],[RAD/PACT]]="","",IF(ExtComp[[#This Row],[RAD/PACT]]&lt;=2025,"Yes",""))</f>
        <v/>
      </c>
      <c r="H179" s="51">
        <f ca="1">IF(VLOOKUP(ExtComp[[#This Row],[DEVELOPMENT]],Data[],11,FALSE)=0,"",DATEDIF(VLOOKUP(ExtComp[[#This Row],[DEVELOPMENT]],Data[],13,FALSE),TODAY(),"Y"))</f>
        <v>5</v>
      </c>
      <c r="I179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179" s="47">
        <f ca="1">(ExtComp[[#This Row],['# to Replace]]*'Unit Cost Summary'!$B$6)*(1+((ExtComp[[#This Row],[est. Year]]-YEAR(TODAY()))*$J$2))</f>
        <v>208622.89499999999</v>
      </c>
      <c r="K179" s="51">
        <f ca="1">SUM(INDEX(ExtComp['# to Replace],1):ExtComp[[#This Row],['# to Replace]])</f>
        <v>198</v>
      </c>
      <c r="L179" s="51">
        <f ca="1">ROUNDDOWN(ExtComp[[#This Row],[Count]]/50,0)+$L$1</f>
        <v>2023</v>
      </c>
      <c r="M179" s="64">
        <f t="shared" ca="1" si="2"/>
        <v>10431144.749999996</v>
      </c>
      <c r="N179" s="64" t="str">
        <f>IFERROR(VLOOKUP(ExtComp[[#This Row],[DEVELOPMENT]],Data[],22,FALSE),"")</f>
        <v/>
      </c>
      <c r="O179" s="71" t="str">
        <f>IFERROR(VLOOKUP(ExtComp[[#This Row],[DEVELOPMENT]],Data[],23,FALSE),"")</f>
        <v/>
      </c>
    </row>
    <row r="180" spans="1:15">
      <c r="A180" s="13" t="s">
        <v>336</v>
      </c>
      <c r="B180" s="9" t="str">
        <f>VLOOKUP(A180,Data[],2,FALSE)</f>
        <v>QUEENS</v>
      </c>
      <c r="C180" s="9" t="s">
        <v>68</v>
      </c>
      <c r="D180" s="50">
        <f>VLOOKUP(ExtComp[[#This Row],[DEVELOPMENT]],Data[],8,FALSE)</f>
        <v>0</v>
      </c>
      <c r="E180" s="50">
        <f>VLOOKUP(ExtComp[[#This Row],[DEVELOPMENT]],Data[],9,FALSE)</f>
        <v>0</v>
      </c>
      <c r="F180" s="50" t="str">
        <f ca="1">IFERROR(VLOOKUP(ExtComp[[#This Row],[DEVELOPMENT]],Data[],4,FALSE),"")</f>
        <v/>
      </c>
      <c r="G180" s="50" t="str">
        <f ca="1">IF(ExtComp[[#This Row],[RAD/PACT]]="","",IF(ExtComp[[#This Row],[RAD/PACT]]&lt;=2025,"Yes",""))</f>
        <v/>
      </c>
      <c r="H180" s="51" t="str">
        <f ca="1">IF(VLOOKUP(ExtComp[[#This Row],[DEVELOPMENT]],Data[],11,FALSE)=0,"",DATEDIF(VLOOKUP(ExtComp[[#This Row],[DEVELOPMENT]],Data[],13,FALSE),TODAY(),"Y"))</f>
        <v/>
      </c>
      <c r="I18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80" s="47">
        <f ca="1">(ExtComp[[#This Row],['# to Replace]]*'Unit Cost Summary'!$B$6)*(1+((ExtComp[[#This Row],[est. Year]]-YEAR(TODAY()))*$J$2))</f>
        <v>0</v>
      </c>
      <c r="K180" s="51">
        <f ca="1">SUM(INDEX(ExtComp['# to Replace],1):ExtComp[[#This Row],['# to Replace]])</f>
        <v>198</v>
      </c>
      <c r="L180" s="51">
        <f ca="1">ROUNDDOWN(ExtComp[[#This Row],[Count]]/50,0)+$L$1</f>
        <v>2023</v>
      </c>
      <c r="M180" s="64">
        <f t="shared" ca="1" si="2"/>
        <v>10431144.749999996</v>
      </c>
      <c r="N180" s="64" t="str">
        <f>IFERROR(VLOOKUP(ExtComp[[#This Row],[DEVELOPMENT]],Data[],22,FALSE),"")</f>
        <v/>
      </c>
      <c r="O180" s="71" t="str">
        <f>IFERROR(VLOOKUP(ExtComp[[#This Row],[DEVELOPMENT]],Data[],23,FALSE),"")</f>
        <v/>
      </c>
    </row>
    <row r="181" spans="1:15">
      <c r="A181" s="13" t="s">
        <v>207</v>
      </c>
      <c r="B181" s="9" t="str">
        <f>VLOOKUP(A181,Data[],2,FALSE)</f>
        <v>BROOKLYN</v>
      </c>
      <c r="C181" s="9" t="s">
        <v>68</v>
      </c>
      <c r="D181" s="50">
        <f>VLOOKUP(ExtComp[[#This Row],[DEVELOPMENT]],Data[],8,FALSE)</f>
        <v>0</v>
      </c>
      <c r="E181" s="50">
        <f>VLOOKUP(ExtComp[[#This Row],[DEVELOPMENT]],Data[],9,FALSE)</f>
        <v>0</v>
      </c>
      <c r="F181" s="50" t="str">
        <f ca="1">IFERROR(VLOOKUP(ExtComp[[#This Row],[DEVELOPMENT]],Data[],4,FALSE),"")</f>
        <v/>
      </c>
      <c r="G181" s="50" t="str">
        <f ca="1">IF(ExtComp[[#This Row],[RAD/PACT]]="","",IF(ExtComp[[#This Row],[RAD/PACT]]&lt;=2025,"Yes",""))</f>
        <v/>
      </c>
      <c r="H181" s="51">
        <f ca="1">IF(VLOOKUP(ExtComp[[#This Row],[DEVELOPMENT]],Data[],11,FALSE)=0,"",DATEDIF(VLOOKUP(ExtComp[[#This Row],[DEVELOPMENT]],Data[],13,FALSE),TODAY(),"Y"))</f>
        <v>11</v>
      </c>
      <c r="I181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181" s="47">
        <f ca="1">(ExtComp[[#This Row],['# to Replace]]*'Unit Cost Summary'!$B$6)*(1+((ExtComp[[#This Row],[est. Year]]-YEAR(TODAY()))*$J$2))</f>
        <v>645692.58000000007</v>
      </c>
      <c r="K181" s="51">
        <f ca="1">SUM(INDEX(ExtComp['# to Replace],1):ExtComp[[#This Row],['# to Replace]])</f>
        <v>201</v>
      </c>
      <c r="L181" s="51">
        <f ca="1">ROUNDDOWN(ExtComp[[#This Row],[Count]]/50,0)+$L$1</f>
        <v>2024</v>
      </c>
      <c r="M181" s="64">
        <f t="shared" ca="1" si="2"/>
        <v>645692.58000000007</v>
      </c>
      <c r="N181" s="64" t="str">
        <f>IFERROR(VLOOKUP(ExtComp[[#This Row],[DEVELOPMENT]],Data[],22,FALSE),"")</f>
        <v/>
      </c>
      <c r="O181" s="71" t="str">
        <f>IFERROR(VLOOKUP(ExtComp[[#This Row],[DEVELOPMENT]],Data[],23,FALSE),"")</f>
        <v/>
      </c>
    </row>
    <row r="182" spans="1:15">
      <c r="A182" s="13" t="s">
        <v>335</v>
      </c>
      <c r="B182" s="9" t="str">
        <f>VLOOKUP(A182,Data[],2,FALSE)</f>
        <v>BROOKLYN</v>
      </c>
      <c r="C182" s="9"/>
      <c r="D182" s="50">
        <f>VLOOKUP(ExtComp[[#This Row],[DEVELOPMENT]],Data[],8,FALSE)</f>
        <v>0</v>
      </c>
      <c r="E182" s="50">
        <f>VLOOKUP(ExtComp[[#This Row],[DEVELOPMENT]],Data[],9,FALSE)</f>
        <v>0</v>
      </c>
      <c r="F182" s="50">
        <f ca="1">IFERROR(VLOOKUP(ExtComp[[#This Row],[DEVELOPMENT]],Data[],4,FALSE),"")</f>
        <v>2019</v>
      </c>
      <c r="G182" s="50" t="str">
        <f ca="1">IF(ExtComp[[#This Row],[RAD/PACT]]="","",IF(ExtComp[[#This Row],[RAD/PACT]]&lt;=2025,"Yes",""))</f>
        <v>Yes</v>
      </c>
      <c r="H182" s="51" t="str">
        <f ca="1">IF(VLOOKUP(ExtComp[[#This Row],[DEVELOPMENT]],Data[],11,FALSE)=0,"",DATEDIF(VLOOKUP(ExtComp[[#This Row],[DEVELOPMENT]],Data[],13,FALSE),TODAY(),"Y"))</f>
        <v/>
      </c>
      <c r="I18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82" s="47">
        <f ca="1">(ExtComp[[#This Row],['# to Replace]]*'Unit Cost Summary'!$B$6)*(1+((ExtComp[[#This Row],[est. Year]]-YEAR(TODAY()))*$J$2))</f>
        <v>0</v>
      </c>
      <c r="K182" s="51">
        <f ca="1">SUM(INDEX(ExtComp['# to Replace],1):ExtComp[[#This Row],['# to Replace]])</f>
        <v>201</v>
      </c>
      <c r="L182" s="51">
        <f ca="1">ROUNDDOWN(ExtComp[[#This Row],[Count]]/50,0)+$L$1</f>
        <v>2024</v>
      </c>
      <c r="M182" s="64">
        <f t="shared" ca="1" si="2"/>
        <v>645692.58000000007</v>
      </c>
      <c r="N182" s="64" t="str">
        <f>IFERROR(VLOOKUP(ExtComp[[#This Row],[DEVELOPMENT]],Data[],22,FALSE),"")</f>
        <v/>
      </c>
      <c r="O182" s="71" t="str">
        <f>IFERROR(VLOOKUP(ExtComp[[#This Row],[DEVELOPMENT]],Data[],23,FALSE),"")</f>
        <v/>
      </c>
    </row>
    <row r="183" spans="1:15">
      <c r="A183" s="65" t="s">
        <v>139</v>
      </c>
      <c r="B183" s="1" t="str">
        <f>VLOOKUP(A183,Data[],2,FALSE)</f>
        <v>BROOKLYN</v>
      </c>
      <c r="C183" s="9" t="s">
        <v>68</v>
      </c>
      <c r="D183" s="9" t="str">
        <f>VLOOKUP(ExtComp[[#This Row],[DEVELOPMENT]],Data[],8,FALSE)</f>
        <v>Zone 1</v>
      </c>
      <c r="E183" s="9">
        <f>VLOOKUP(ExtComp[[#This Row],[DEVELOPMENT]],Data[],9,FALSE)</f>
        <v>4</v>
      </c>
      <c r="F183" s="9" t="str">
        <f ca="1">IFERROR(VLOOKUP(ExtComp[[#This Row],[DEVELOPMENT]],Data[],4,FALSE),"")</f>
        <v/>
      </c>
      <c r="G183" s="9" t="str">
        <f ca="1">IF(ExtComp[[#This Row],[RAD/PACT]]="","",IF(ExtComp[[#This Row],[RAD/PACT]]&lt;=2025,"Yes",""))</f>
        <v/>
      </c>
      <c r="H183" s="1" t="str">
        <f ca="1">IF(VLOOKUP(ExtComp[[#This Row],[DEVELOPMENT]],Data[],11,FALSE)=0,"",DATEDIF(VLOOKUP(ExtComp[[#This Row],[DEVELOPMENT]],Data[],13,FALSE),TODAY(),"Y"))</f>
        <v/>
      </c>
      <c r="I183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83" s="47">
        <f ca="1">(ExtComp[[#This Row],['# to Replace]]*'Unit Cost Summary'!$B$6)*(1+((ExtComp[[#This Row],[est. Year]]-YEAR(TODAY()))*$J$2))</f>
        <v>0</v>
      </c>
      <c r="K183" s="1">
        <f ca="1">SUM(INDEX(ExtComp['# to Replace],1):ExtComp[[#This Row],['# to Replace]])</f>
        <v>201</v>
      </c>
      <c r="L183" s="1">
        <f ca="1">ROUNDDOWN(ExtComp[[#This Row],[Count]]/50,0)+$L$1</f>
        <v>2024</v>
      </c>
      <c r="M183" s="64">
        <f t="shared" ca="1" si="2"/>
        <v>645692.58000000007</v>
      </c>
      <c r="N183" s="64" t="str">
        <f>IFERROR(VLOOKUP(ExtComp[[#This Row],[DEVELOPMENT]],Data[],22,FALSE),"")</f>
        <v/>
      </c>
      <c r="O183" s="51" t="str">
        <f>IFERROR(VLOOKUP(ExtComp[[#This Row],[DEVELOPMENT]],Data[],23,FALSE),"")</f>
        <v/>
      </c>
    </row>
    <row r="184" spans="1:15">
      <c r="A184" s="13" t="s">
        <v>286</v>
      </c>
      <c r="B184" s="9" t="str">
        <f>VLOOKUP(A184,Data[],2,FALSE)</f>
        <v>BRONX</v>
      </c>
      <c r="C184" s="9" t="s">
        <v>68</v>
      </c>
      <c r="D184" s="50" t="str">
        <f>VLOOKUP(ExtComp[[#This Row],[DEVELOPMENT]],Data[],8,FALSE)</f>
        <v>Zone 3</v>
      </c>
      <c r="E184" s="50">
        <f>VLOOKUP(ExtComp[[#This Row],[DEVELOPMENT]],Data[],9,FALSE)</f>
        <v>0</v>
      </c>
      <c r="F184" s="50" t="str">
        <f ca="1">IFERROR(VLOOKUP(ExtComp[[#This Row],[DEVELOPMENT]],Data[],4,FALSE),"")</f>
        <v/>
      </c>
      <c r="G184" s="50" t="str">
        <f ca="1">IF(ExtComp[[#This Row],[RAD/PACT]]="","",IF(ExtComp[[#This Row],[RAD/PACT]]&lt;=2025,"Yes",""))</f>
        <v/>
      </c>
      <c r="H184" s="51" t="str">
        <f ca="1">IF(VLOOKUP(ExtComp[[#This Row],[DEVELOPMENT]],Data[],11,FALSE)=0,"",DATEDIF(VLOOKUP(ExtComp[[#This Row],[DEVELOPMENT]],Data[],13,FALSE),TODAY(),"Y"))</f>
        <v/>
      </c>
      <c r="I18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84" s="47">
        <f ca="1">(ExtComp[[#This Row],['# to Replace]]*'Unit Cost Summary'!$B$6)*(1+((ExtComp[[#This Row],[est. Year]]-YEAR(TODAY()))*$J$2))</f>
        <v>0</v>
      </c>
      <c r="K184" s="51">
        <f ca="1">SUM(INDEX(ExtComp['# to Replace],1):ExtComp[[#This Row],['# to Replace]])</f>
        <v>201</v>
      </c>
      <c r="L184" s="51">
        <f ca="1">ROUNDDOWN(ExtComp[[#This Row],[Count]]/50,0)+$L$1</f>
        <v>2024</v>
      </c>
      <c r="M184" s="64">
        <f t="shared" ca="1" si="2"/>
        <v>645692.58000000007</v>
      </c>
      <c r="N184" s="64" t="str">
        <f>IFERROR(VLOOKUP(ExtComp[[#This Row],[DEVELOPMENT]],Data[],22,FALSE),"")</f>
        <v/>
      </c>
      <c r="O184" s="71" t="str">
        <f>IFERROR(VLOOKUP(ExtComp[[#This Row],[DEVELOPMENT]],Data[],23,FALSE),"")</f>
        <v/>
      </c>
    </row>
    <row r="185" spans="1:15">
      <c r="A185" s="13" t="s">
        <v>334</v>
      </c>
      <c r="B185" s="9" t="str">
        <f>VLOOKUP(A185,Data[],2,FALSE)</f>
        <v>BROOKLYN</v>
      </c>
      <c r="C185" s="9" t="s">
        <v>68</v>
      </c>
      <c r="D185" s="50">
        <f>VLOOKUP(ExtComp[[#This Row],[DEVELOPMENT]],Data[],8,FALSE)</f>
        <v>0</v>
      </c>
      <c r="E185" s="50">
        <f>VLOOKUP(ExtComp[[#This Row],[DEVELOPMENT]],Data[],9,FALSE)</f>
        <v>0</v>
      </c>
      <c r="F185" s="50" t="str">
        <f ca="1">IFERROR(VLOOKUP(ExtComp[[#This Row],[DEVELOPMENT]],Data[],4,FALSE),"")</f>
        <v/>
      </c>
      <c r="G185" s="50" t="str">
        <f ca="1">IF(ExtComp[[#This Row],[RAD/PACT]]="","",IF(ExtComp[[#This Row],[RAD/PACT]]&lt;=2025,"Yes",""))</f>
        <v/>
      </c>
      <c r="H185" s="51">
        <f ca="1">IF(VLOOKUP(ExtComp[[#This Row],[DEVELOPMENT]],Data[],11,FALSE)=0,"",DATEDIF(VLOOKUP(ExtComp[[#This Row],[DEVELOPMENT]],Data[],13,FALSE),TODAY(),"Y"))</f>
        <v>12</v>
      </c>
      <c r="I185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185" s="47">
        <f ca="1">(ExtComp[[#This Row],['# to Replace]]*'Unit Cost Summary'!$B$6)*(1+((ExtComp[[#This Row],[est. Year]]-YEAR(TODAY()))*$J$2))</f>
        <v>215230.86000000002</v>
      </c>
      <c r="K185" s="51">
        <f ca="1">SUM(INDEX(ExtComp['# to Replace],1):ExtComp[[#This Row],['# to Replace]])</f>
        <v>202</v>
      </c>
      <c r="L185" s="51">
        <f ca="1">ROUNDDOWN(ExtComp[[#This Row],[Count]]/50,0)+$L$1</f>
        <v>2024</v>
      </c>
      <c r="M185" s="64">
        <f t="shared" ca="1" si="2"/>
        <v>860923.44000000006</v>
      </c>
      <c r="N185" s="64" t="str">
        <f>IFERROR(VLOOKUP(ExtComp[[#This Row],[DEVELOPMENT]],Data[],22,FALSE),"")</f>
        <v/>
      </c>
      <c r="O185" s="71" t="str">
        <f>IFERROR(VLOOKUP(ExtComp[[#This Row],[DEVELOPMENT]],Data[],23,FALSE),"")</f>
        <v/>
      </c>
    </row>
    <row r="186" spans="1:15">
      <c r="A186" s="13" t="s">
        <v>246</v>
      </c>
      <c r="B186" s="9" t="str">
        <f>VLOOKUP(A186,Data[],2,FALSE)</f>
        <v>BROOKLYN</v>
      </c>
      <c r="C186" s="9" t="s">
        <v>68</v>
      </c>
      <c r="D186" s="50" t="str">
        <f>VLOOKUP(ExtComp[[#This Row],[DEVELOPMENT]],Data[],8,FALSE)</f>
        <v>Zone 4</v>
      </c>
      <c r="E186" s="50">
        <f>VLOOKUP(ExtComp[[#This Row],[DEVELOPMENT]],Data[],9,FALSE)</f>
        <v>0</v>
      </c>
      <c r="F186" s="50" t="str">
        <f ca="1">IFERROR(VLOOKUP(ExtComp[[#This Row],[DEVELOPMENT]],Data[],4,FALSE),"")</f>
        <v>2022-2025</v>
      </c>
      <c r="G186" s="50" t="str">
        <f ca="1">IF(ExtComp[[#This Row],[RAD/PACT]]="","",IF(ExtComp[[#This Row],[RAD/PACT]]&lt;=2025,"Yes",""))</f>
        <v/>
      </c>
      <c r="H186" s="51" t="str">
        <f ca="1">IF(VLOOKUP(ExtComp[[#This Row],[DEVELOPMENT]],Data[],11,FALSE)=0,"",DATEDIF(VLOOKUP(ExtComp[[#This Row],[DEVELOPMENT]],Data[],13,FALSE),TODAY(),"Y"))</f>
        <v/>
      </c>
      <c r="I18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86" s="47">
        <f ca="1">(ExtComp[[#This Row],['# to Replace]]*'Unit Cost Summary'!$B$6)*(1+((ExtComp[[#This Row],[est. Year]]-YEAR(TODAY()))*$J$2))</f>
        <v>0</v>
      </c>
      <c r="K186" s="51">
        <f ca="1">SUM(INDEX(ExtComp['# to Replace],1):ExtComp[[#This Row],['# to Replace]])</f>
        <v>202</v>
      </c>
      <c r="L186" s="51">
        <f ca="1">ROUNDDOWN(ExtComp[[#This Row],[Count]]/50,0)+$L$1</f>
        <v>2024</v>
      </c>
      <c r="M186" s="64">
        <f t="shared" ca="1" si="2"/>
        <v>860923.44000000006</v>
      </c>
      <c r="N186" s="64" t="str">
        <f>IFERROR(VLOOKUP(ExtComp[[#This Row],[DEVELOPMENT]],Data[],22,FALSE),"")</f>
        <v/>
      </c>
      <c r="O186" s="71" t="str">
        <f>IFERROR(VLOOKUP(ExtComp[[#This Row],[DEVELOPMENT]],Data[],23,FALSE),"")</f>
        <v/>
      </c>
    </row>
    <row r="187" spans="1:15">
      <c r="A187" s="13" t="s">
        <v>245</v>
      </c>
      <c r="B187" s="9" t="str">
        <f>VLOOKUP(A187,Data[],2,FALSE)</f>
        <v>BROOKLYN</v>
      </c>
      <c r="C187" s="9" t="s">
        <v>68</v>
      </c>
      <c r="D187" s="50">
        <f>VLOOKUP(ExtComp[[#This Row],[DEVELOPMENT]],Data[],8,FALSE)</f>
        <v>0</v>
      </c>
      <c r="E187" s="50">
        <f>VLOOKUP(ExtComp[[#This Row],[DEVELOPMENT]],Data[],9,FALSE)</f>
        <v>0</v>
      </c>
      <c r="F187" s="50" t="str">
        <f ca="1">IFERROR(VLOOKUP(ExtComp[[#This Row],[DEVELOPMENT]],Data[],4,FALSE),"")</f>
        <v>2022-2025</v>
      </c>
      <c r="G187" s="50" t="str">
        <f ca="1">IF(ExtComp[[#This Row],[RAD/PACT]]="","",IF(ExtComp[[#This Row],[RAD/PACT]]&lt;=2025,"Yes",""))</f>
        <v/>
      </c>
      <c r="H187" s="51" t="str">
        <f ca="1">IF(VLOOKUP(ExtComp[[#This Row],[DEVELOPMENT]],Data[],11,FALSE)=0,"",DATEDIF(VLOOKUP(ExtComp[[#This Row],[DEVELOPMENT]],Data[],13,FALSE),TODAY(),"Y"))</f>
        <v/>
      </c>
      <c r="I18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87" s="47">
        <f ca="1">(ExtComp[[#This Row],['# to Replace]]*'Unit Cost Summary'!$B$6)*(1+((ExtComp[[#This Row],[est. Year]]-YEAR(TODAY()))*$J$2))</f>
        <v>0</v>
      </c>
      <c r="K187" s="51">
        <f ca="1">SUM(INDEX(ExtComp['# to Replace],1):ExtComp[[#This Row],['# to Replace]])</f>
        <v>202</v>
      </c>
      <c r="L187" s="51">
        <f ca="1">ROUNDDOWN(ExtComp[[#This Row],[Count]]/50,0)+$L$1</f>
        <v>2024</v>
      </c>
      <c r="M187" s="64">
        <f t="shared" ca="1" si="2"/>
        <v>860923.44000000006</v>
      </c>
      <c r="N187" s="64" t="str">
        <f>IFERROR(VLOOKUP(ExtComp[[#This Row],[DEVELOPMENT]],Data[],22,FALSE),"")</f>
        <v/>
      </c>
      <c r="O187" s="51" t="str">
        <f>IFERROR(VLOOKUP(ExtComp[[#This Row],[DEVELOPMENT]],Data[],23,FALSE),"")</f>
        <v/>
      </c>
    </row>
    <row r="188" spans="1:15">
      <c r="A188" s="13" t="s">
        <v>206</v>
      </c>
      <c r="B188" s="9" t="str">
        <f>VLOOKUP(A188,Data[],2,FALSE)</f>
        <v>BROOKLYN</v>
      </c>
      <c r="C188" s="9" t="s">
        <v>68</v>
      </c>
      <c r="D188" s="50">
        <f>VLOOKUP(ExtComp[[#This Row],[DEVELOPMENT]],Data[],8,FALSE)</f>
        <v>0</v>
      </c>
      <c r="E188" s="50">
        <f>VLOOKUP(ExtComp[[#This Row],[DEVELOPMENT]],Data[],9,FALSE)</f>
        <v>0</v>
      </c>
      <c r="F188" s="50" t="str">
        <f ca="1">IFERROR(VLOOKUP(ExtComp[[#This Row],[DEVELOPMENT]],Data[],4,FALSE),"")</f>
        <v>2026+</v>
      </c>
      <c r="G188" s="50" t="str">
        <f ca="1">IF(ExtComp[[#This Row],[RAD/PACT]]="","",IF(ExtComp[[#This Row],[RAD/PACT]]&lt;=2025,"Yes",""))</f>
        <v/>
      </c>
      <c r="H188" s="51">
        <f ca="1">IF(VLOOKUP(ExtComp[[#This Row],[DEVELOPMENT]],Data[],11,FALSE)=0,"",DATEDIF(VLOOKUP(ExtComp[[#This Row],[DEVELOPMENT]],Data[],13,FALSE),TODAY(),"Y"))</f>
        <v>17</v>
      </c>
      <c r="I188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88" s="47">
        <f ca="1">(ExtComp[[#This Row],['# to Replace]]*'Unit Cost Summary'!$B$6)*(1+((ExtComp[[#This Row],[est. Year]]-YEAR(TODAY()))*$J$2))</f>
        <v>430461.72000000003</v>
      </c>
      <c r="K188" s="51">
        <f ca="1">SUM(INDEX(ExtComp['# to Replace],1):ExtComp[[#This Row],['# to Replace]])</f>
        <v>204</v>
      </c>
      <c r="L188" s="51">
        <f ca="1">ROUNDDOWN(ExtComp[[#This Row],[Count]]/50,0)+$L$1</f>
        <v>2024</v>
      </c>
      <c r="M188" s="64">
        <f t="shared" ca="1" si="2"/>
        <v>1291385.1600000001</v>
      </c>
      <c r="N188" s="64" t="str">
        <f>IFERROR(VLOOKUP(ExtComp[[#This Row],[DEVELOPMENT]],Data[],22,FALSE),"")</f>
        <v/>
      </c>
      <c r="O188" s="71" t="str">
        <f>IFERROR(VLOOKUP(ExtComp[[#This Row],[DEVELOPMENT]],Data[],23,FALSE),"")</f>
        <v/>
      </c>
    </row>
    <row r="189" spans="1:15">
      <c r="A189" s="13" t="s">
        <v>857</v>
      </c>
      <c r="B189" s="1" t="str">
        <f>VLOOKUP(A189,Data[],2,FALSE)</f>
        <v>BROOKLYN</v>
      </c>
      <c r="C189" s="9" t="s">
        <v>68</v>
      </c>
      <c r="D189" s="50" t="str">
        <f>VLOOKUP(ExtComp[[#This Row],[DEVELOPMENT]],Data[],8,FALSE)</f>
        <v>Zone 1</v>
      </c>
      <c r="E189" s="9">
        <f>VLOOKUP(ExtComp[[#This Row],[DEVELOPMENT]],Data[],9,FALSE)</f>
        <v>0</v>
      </c>
      <c r="F189" s="50">
        <f ca="1">IFERROR(VLOOKUP(ExtComp[[#This Row],[DEVELOPMENT]],Data[],4,FALSE),"")</f>
        <v>2019</v>
      </c>
      <c r="G189" s="50" t="str">
        <f ca="1">IF(ExtComp[[#This Row],[RAD/PACT]]="","",IF(ExtComp[[#This Row],[RAD/PACT]]&lt;=2025,"Yes",""))</f>
        <v>Yes</v>
      </c>
      <c r="H189" s="51">
        <f ca="1">IF(VLOOKUP(ExtComp[[#This Row],[DEVELOPMENT]],Data[],11,FALSE)=0,"",DATEDIF(VLOOKUP(ExtComp[[#This Row],[DEVELOPMENT]],Data[],13,FALSE),TODAY(),"Y"))</f>
        <v>15</v>
      </c>
      <c r="I18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89" s="47">
        <f ca="1">(ExtComp[[#This Row],['# to Replace]]*'Unit Cost Summary'!$B$6)*(1+((ExtComp[[#This Row],[est. Year]]-YEAR(TODAY()))*$J$2))</f>
        <v>0</v>
      </c>
      <c r="K189" s="51">
        <f ca="1">SUM(INDEX(ExtComp['# to Replace],1):ExtComp[[#This Row],['# to Replace]])</f>
        <v>204</v>
      </c>
      <c r="L189" s="51">
        <f ca="1">ROUNDDOWN(ExtComp[[#This Row],[Count]]/50,0)+$L$1</f>
        <v>2024</v>
      </c>
      <c r="M189" s="64">
        <f t="shared" ca="1" si="2"/>
        <v>1291385.1600000001</v>
      </c>
      <c r="N189" s="64" t="str">
        <f>IFERROR(VLOOKUP(ExtComp[[#This Row],[DEVELOPMENT]],Data[],22,FALSE),"")</f>
        <v/>
      </c>
      <c r="O189" s="71" t="str">
        <f>IFERROR(VLOOKUP(ExtComp[[#This Row],[DEVELOPMENT]],Data[],23,FALSE),"")</f>
        <v/>
      </c>
    </row>
    <row r="190" spans="1:15">
      <c r="A190" s="13" t="s">
        <v>333</v>
      </c>
      <c r="B190" s="9" t="str">
        <f>VLOOKUP(A190,Data[],2,FALSE)</f>
        <v>MANHATTAN</v>
      </c>
      <c r="C190" s="9" t="s">
        <v>68</v>
      </c>
      <c r="D190" s="50">
        <f>VLOOKUP(ExtComp[[#This Row],[DEVELOPMENT]],Data[],8,FALSE)</f>
        <v>0</v>
      </c>
      <c r="E190" s="50">
        <f>VLOOKUP(ExtComp[[#This Row],[DEVELOPMENT]],Data[],9,FALSE)</f>
        <v>0</v>
      </c>
      <c r="F190" s="50" t="str">
        <f ca="1">IFERROR(VLOOKUP(ExtComp[[#This Row],[DEVELOPMENT]],Data[],4,FALSE),"")</f>
        <v/>
      </c>
      <c r="G190" s="50" t="str">
        <f ca="1">IF(ExtComp[[#This Row],[RAD/PACT]]="","",IF(ExtComp[[#This Row],[RAD/PACT]]&lt;=2025,"Yes",""))</f>
        <v/>
      </c>
      <c r="H190" s="51" t="str">
        <f ca="1">IF(VLOOKUP(ExtComp[[#This Row],[DEVELOPMENT]],Data[],11,FALSE)=0,"",DATEDIF(VLOOKUP(ExtComp[[#This Row],[DEVELOPMENT]],Data[],13,FALSE),TODAY(),"Y"))</f>
        <v/>
      </c>
      <c r="I19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90" s="47">
        <f ca="1">(ExtComp[[#This Row],['# to Replace]]*'Unit Cost Summary'!$B$6)*(1+((ExtComp[[#This Row],[est. Year]]-YEAR(TODAY()))*$J$2))</f>
        <v>0</v>
      </c>
      <c r="K190" s="51">
        <f ca="1">SUM(INDEX(ExtComp['# to Replace],1):ExtComp[[#This Row],['# to Replace]])</f>
        <v>204</v>
      </c>
      <c r="L190" s="51">
        <f ca="1">ROUNDDOWN(ExtComp[[#This Row],[Count]]/50,0)+$L$1</f>
        <v>2024</v>
      </c>
      <c r="M190" s="64">
        <f t="shared" ca="1" si="2"/>
        <v>1291385.1600000001</v>
      </c>
      <c r="N190" s="64" t="str">
        <f>IFERROR(VLOOKUP(ExtComp[[#This Row],[DEVELOPMENT]],Data[],22,FALSE),"")</f>
        <v/>
      </c>
      <c r="O190" s="51" t="str">
        <f>IFERROR(VLOOKUP(ExtComp[[#This Row],[DEVELOPMENT]],Data[],23,FALSE),"")</f>
        <v/>
      </c>
    </row>
    <row r="191" spans="1:15">
      <c r="A191" s="13" t="s">
        <v>285</v>
      </c>
      <c r="B191" s="9" t="str">
        <f>VLOOKUP(A191,Data[],2,FALSE)</f>
        <v>BRONX</v>
      </c>
      <c r="C191" s="9" t="s">
        <v>68</v>
      </c>
      <c r="D191" s="50">
        <f>VLOOKUP(ExtComp[[#This Row],[DEVELOPMENT]],Data[],8,FALSE)</f>
        <v>0</v>
      </c>
      <c r="E191" s="50">
        <f>VLOOKUP(ExtComp[[#This Row],[DEVELOPMENT]],Data[],9,FALSE)</f>
        <v>0</v>
      </c>
      <c r="F191" s="50" t="str">
        <f ca="1">IFERROR(VLOOKUP(ExtComp[[#This Row],[DEVELOPMENT]],Data[],4,FALSE),"")</f>
        <v/>
      </c>
      <c r="G191" s="50" t="str">
        <f ca="1">IF(ExtComp[[#This Row],[RAD/PACT]]="","",IF(ExtComp[[#This Row],[RAD/PACT]]&lt;=2025,"Yes",""))</f>
        <v/>
      </c>
      <c r="H191" s="51" t="str">
        <f ca="1">IF(VLOOKUP(ExtComp[[#This Row],[DEVELOPMENT]],Data[],11,FALSE)=0,"",DATEDIF(VLOOKUP(ExtComp[[#This Row],[DEVELOPMENT]],Data[],13,FALSE),TODAY(),"Y"))</f>
        <v/>
      </c>
      <c r="I191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91" s="47">
        <f ca="1">(ExtComp[[#This Row],['# to Replace]]*'Unit Cost Summary'!$B$6)*(1+((ExtComp[[#This Row],[est. Year]]-YEAR(TODAY()))*$J$2))</f>
        <v>0</v>
      </c>
      <c r="K191" s="51">
        <f ca="1">SUM(INDEX(ExtComp['# to Replace],1):ExtComp[[#This Row],['# to Replace]])</f>
        <v>204</v>
      </c>
      <c r="L191" s="51">
        <f ca="1">ROUNDDOWN(ExtComp[[#This Row],[Count]]/50,0)+$L$1</f>
        <v>2024</v>
      </c>
      <c r="M191" s="64">
        <f t="shared" ca="1" si="2"/>
        <v>1291385.1600000001</v>
      </c>
      <c r="N191" s="64" t="str">
        <f>IFERROR(VLOOKUP(ExtComp[[#This Row],[DEVELOPMENT]],Data[],22,FALSE),"")</f>
        <v/>
      </c>
      <c r="O191" s="51" t="str">
        <f>IFERROR(VLOOKUP(ExtComp[[#This Row],[DEVELOPMENT]],Data[],23,FALSE),"")</f>
        <v/>
      </c>
    </row>
    <row r="192" spans="1:15">
      <c r="A192" s="13" t="s">
        <v>332</v>
      </c>
      <c r="B192" s="1" t="str">
        <f>VLOOKUP(A192,Data[],2,FALSE)</f>
        <v>BRONX</v>
      </c>
      <c r="C192" s="9" t="s">
        <v>68</v>
      </c>
      <c r="D192" s="50" t="str">
        <f>VLOOKUP(ExtComp[[#This Row],[DEVELOPMENT]],Data[],8,FALSE)</f>
        <v>Zone 1</v>
      </c>
      <c r="E192" s="9">
        <f>VLOOKUP(ExtComp[[#This Row],[DEVELOPMENT]],Data[],9,FALSE)</f>
        <v>4</v>
      </c>
      <c r="F192" s="50" t="str">
        <f ca="1">IFERROR(VLOOKUP(ExtComp[[#This Row],[DEVELOPMENT]],Data[],4,FALSE),"")</f>
        <v/>
      </c>
      <c r="G192" s="50" t="str">
        <f ca="1">IF(ExtComp[[#This Row],[RAD/PACT]]="","",IF(ExtComp[[#This Row],[RAD/PACT]]&lt;=2025,"Yes",""))</f>
        <v/>
      </c>
      <c r="H192" s="51">
        <f ca="1">IF(VLOOKUP(ExtComp[[#This Row],[DEVELOPMENT]],Data[],11,FALSE)=0,"",DATEDIF(VLOOKUP(ExtComp[[#This Row],[DEVELOPMENT]],Data[],13,FALSE),TODAY(),"Y"))</f>
        <v>19</v>
      </c>
      <c r="I192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92" s="47">
        <f ca="1">(ExtComp[[#This Row],['# to Replace]]*'Unit Cost Summary'!$B$6)*(1+((ExtComp[[#This Row],[est. Year]]-YEAR(TODAY()))*$J$2))</f>
        <v>430461.72000000003</v>
      </c>
      <c r="K192" s="51">
        <f ca="1">SUM(INDEX(ExtComp['# to Replace],1):ExtComp[[#This Row],['# to Replace]])</f>
        <v>206</v>
      </c>
      <c r="L192" s="51">
        <f ca="1">ROUNDDOWN(ExtComp[[#This Row],[Count]]/50,0)+$L$1</f>
        <v>2024</v>
      </c>
      <c r="M192" s="64">
        <f t="shared" ca="1" si="2"/>
        <v>1721846.8800000001</v>
      </c>
      <c r="N192" s="64" t="str">
        <f>IFERROR(VLOOKUP(ExtComp[[#This Row],[DEVELOPMENT]],Data[],22,FALSE),"")</f>
        <v/>
      </c>
      <c r="O192" s="71" t="str">
        <f>IFERROR(VLOOKUP(ExtComp[[#This Row],[DEVELOPMENT]],Data[],23,FALSE),"")</f>
        <v/>
      </c>
    </row>
    <row r="193" spans="1:15">
      <c r="A193" s="13" t="s">
        <v>266</v>
      </c>
      <c r="B193" s="1" t="str">
        <f>VLOOKUP(A193,Data[],2,FALSE)</f>
        <v>MANHATTAN</v>
      </c>
      <c r="C193" s="9" t="s">
        <v>68</v>
      </c>
      <c r="D193" s="50" t="str">
        <f>VLOOKUP(ExtComp[[#This Row],[DEVELOPMENT]],Data[],8,FALSE)</f>
        <v>Zone 1</v>
      </c>
      <c r="E193" s="9">
        <f>VLOOKUP(ExtComp[[#This Row],[DEVELOPMENT]],Data[],9,FALSE)</f>
        <v>3</v>
      </c>
      <c r="F193" s="50" t="str">
        <f ca="1">IFERROR(VLOOKUP(ExtComp[[#This Row],[DEVELOPMENT]],Data[],4,FALSE),"")</f>
        <v/>
      </c>
      <c r="G193" s="50" t="str">
        <f ca="1">IF(ExtComp[[#This Row],[RAD/PACT]]="","",IF(ExtComp[[#This Row],[RAD/PACT]]&lt;=2025,"Yes",""))</f>
        <v/>
      </c>
      <c r="H193" s="51" t="str">
        <f ca="1">IF(VLOOKUP(ExtComp[[#This Row],[DEVELOPMENT]],Data[],11,FALSE)=0,"",DATEDIF(VLOOKUP(ExtComp[[#This Row],[DEVELOPMENT]],Data[],13,FALSE),TODAY(),"Y"))</f>
        <v/>
      </c>
      <c r="I19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93" s="47">
        <f ca="1">(ExtComp[[#This Row],['# to Replace]]*'Unit Cost Summary'!$B$6)*(1+((ExtComp[[#This Row],[est. Year]]-YEAR(TODAY()))*$J$2))</f>
        <v>0</v>
      </c>
      <c r="K193" s="51">
        <f ca="1">SUM(INDEX(ExtComp['# to Replace],1):ExtComp[[#This Row],['# to Replace]])</f>
        <v>206</v>
      </c>
      <c r="L193" s="51">
        <f ca="1">ROUNDDOWN(ExtComp[[#This Row],[Count]]/50,0)+$L$1</f>
        <v>2024</v>
      </c>
      <c r="M193" s="64">
        <f t="shared" ca="1" si="2"/>
        <v>1721846.8800000001</v>
      </c>
      <c r="N193" s="64" t="str">
        <f>IFERROR(VLOOKUP(ExtComp[[#This Row],[DEVELOPMENT]],Data[],22,FALSE),"")</f>
        <v/>
      </c>
      <c r="O193" s="51" t="str">
        <f>IFERROR(VLOOKUP(ExtComp[[#This Row],[DEVELOPMENT]],Data[],23,FALSE),"")</f>
        <v/>
      </c>
    </row>
    <row r="194" spans="1:15">
      <c r="A194" s="13" t="s">
        <v>331</v>
      </c>
      <c r="B194" s="9" t="str">
        <f>VLOOKUP(A194,Data[],2,FALSE)</f>
        <v>BRONX</v>
      </c>
      <c r="C194" s="9" t="s">
        <v>68</v>
      </c>
      <c r="D194" s="50">
        <f>VLOOKUP(ExtComp[[#This Row],[DEVELOPMENT]],Data[],8,FALSE)</f>
        <v>0</v>
      </c>
      <c r="E194" s="50">
        <f>VLOOKUP(ExtComp[[#This Row],[DEVELOPMENT]],Data[],9,FALSE)</f>
        <v>0</v>
      </c>
      <c r="F194" s="50" t="str">
        <f ca="1">IFERROR(VLOOKUP(ExtComp[[#This Row],[DEVELOPMENT]],Data[],4,FALSE),"")</f>
        <v/>
      </c>
      <c r="G194" s="50" t="str">
        <f ca="1">IF(ExtComp[[#This Row],[RAD/PACT]]="","",IF(ExtComp[[#This Row],[RAD/PACT]]&lt;=2025,"Yes",""))</f>
        <v/>
      </c>
      <c r="H194" s="51" t="str">
        <f ca="1">IF(VLOOKUP(ExtComp[[#This Row],[DEVELOPMENT]],Data[],11,FALSE)=0,"",DATEDIF(VLOOKUP(ExtComp[[#This Row],[DEVELOPMENT]],Data[],13,FALSE),TODAY(),"Y"))</f>
        <v/>
      </c>
      <c r="I19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94" s="47">
        <f ca="1">(ExtComp[[#This Row],['# to Replace]]*'Unit Cost Summary'!$B$6)*(1+((ExtComp[[#This Row],[est. Year]]-YEAR(TODAY()))*$J$2))</f>
        <v>0</v>
      </c>
      <c r="K194" s="51">
        <f ca="1">SUM(INDEX(ExtComp['# to Replace],1):ExtComp[[#This Row],['# to Replace]])</f>
        <v>206</v>
      </c>
      <c r="L194" s="51">
        <f ca="1">ROUNDDOWN(ExtComp[[#This Row],[Count]]/50,0)+$L$1</f>
        <v>2024</v>
      </c>
      <c r="M194" s="64">
        <f t="shared" ca="1" si="2"/>
        <v>1721846.8800000001</v>
      </c>
      <c r="N194" s="64" t="str">
        <f>IFERROR(VLOOKUP(ExtComp[[#This Row],[DEVELOPMENT]],Data[],22,FALSE),"")</f>
        <v/>
      </c>
      <c r="O194" s="51" t="str">
        <f>IFERROR(VLOOKUP(ExtComp[[#This Row],[DEVELOPMENT]],Data[],23,FALSE),"")</f>
        <v/>
      </c>
    </row>
    <row r="195" spans="1:15">
      <c r="A195" s="13" t="s">
        <v>330</v>
      </c>
      <c r="B195" s="9" t="str">
        <f>VLOOKUP(A195,Data[],2,FALSE)</f>
        <v>BRONX</v>
      </c>
      <c r="C195" s="9" t="s">
        <v>68</v>
      </c>
      <c r="D195" s="50">
        <f>VLOOKUP(ExtComp[[#This Row],[DEVELOPMENT]],Data[],8,FALSE)</f>
        <v>0</v>
      </c>
      <c r="E195" s="50">
        <f>VLOOKUP(ExtComp[[#This Row],[DEVELOPMENT]],Data[],9,FALSE)</f>
        <v>0</v>
      </c>
      <c r="F195" s="50" t="str">
        <f ca="1">IFERROR(VLOOKUP(ExtComp[[#This Row],[DEVELOPMENT]],Data[],4,FALSE),"")</f>
        <v/>
      </c>
      <c r="G195" s="50" t="str">
        <f ca="1">IF(ExtComp[[#This Row],[RAD/PACT]]="","",IF(ExtComp[[#This Row],[RAD/PACT]]&lt;=2025,"Yes",""))</f>
        <v/>
      </c>
      <c r="H195" s="51" t="str">
        <f ca="1">IF(VLOOKUP(ExtComp[[#This Row],[DEVELOPMENT]],Data[],11,FALSE)=0,"",DATEDIF(VLOOKUP(ExtComp[[#This Row],[DEVELOPMENT]],Data[],13,FALSE),TODAY(),"Y"))</f>
        <v/>
      </c>
      <c r="I19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195" s="47">
        <f ca="1">(ExtComp[[#This Row],['# to Replace]]*'Unit Cost Summary'!$B$6)*(1+((ExtComp[[#This Row],[est. Year]]-YEAR(TODAY()))*$J$2))</f>
        <v>0</v>
      </c>
      <c r="K195" s="51">
        <f ca="1">SUM(INDEX(ExtComp['# to Replace],1):ExtComp[[#This Row],['# to Replace]])</f>
        <v>206</v>
      </c>
      <c r="L195" s="51">
        <f ca="1">ROUNDDOWN(ExtComp[[#This Row],[Count]]/50,0)+$L$1</f>
        <v>2024</v>
      </c>
      <c r="M195" s="64">
        <f t="shared" ca="1" si="2"/>
        <v>1721846.8800000001</v>
      </c>
      <c r="N195" s="64" t="str">
        <f>IFERROR(VLOOKUP(ExtComp[[#This Row],[DEVELOPMENT]],Data[],22,FALSE),"")</f>
        <v/>
      </c>
      <c r="O195" s="51" t="str">
        <f>IFERROR(VLOOKUP(ExtComp[[#This Row],[DEVELOPMENT]],Data[],23,FALSE),"")</f>
        <v/>
      </c>
    </row>
    <row r="196" spans="1:15">
      <c r="A196" s="13" t="s">
        <v>82</v>
      </c>
      <c r="B196" s="1" t="str">
        <f>VLOOKUP(A196,Data[],2,FALSE)</f>
        <v>MANHATTAN</v>
      </c>
      <c r="C196" s="9" t="s">
        <v>68</v>
      </c>
      <c r="D196" s="9" t="str">
        <f>VLOOKUP(ExtComp[[#This Row],[DEVELOPMENT]],Data[],8,FALSE)</f>
        <v>Zone 3</v>
      </c>
      <c r="E196" s="9">
        <f>VLOOKUP(ExtComp[[#This Row],[DEVELOPMENT]],Data[],9,FALSE)</f>
        <v>3</v>
      </c>
      <c r="F196" s="9" t="str">
        <f ca="1">IFERROR(VLOOKUP(ExtComp[[#This Row],[DEVELOPMENT]],Data[],4,FALSE),"")</f>
        <v>2020-2021</v>
      </c>
      <c r="G196" s="9" t="str">
        <f ca="1">IF(ExtComp[[#This Row],[RAD/PACT]]="","",IF(ExtComp[[#This Row],[RAD/PACT]]&lt;=2025,"Yes",""))</f>
        <v/>
      </c>
      <c r="H196" s="1" t="str">
        <f ca="1">IF(VLOOKUP(ExtComp[[#This Row],[DEVELOPMENT]],Data[],11,FALSE)=0,"",DATEDIF(VLOOKUP(ExtComp[[#This Row],[DEVELOPMENT]],Data[],13,FALSE),TODAY(),"Y"))</f>
        <v/>
      </c>
      <c r="I196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196" s="47">
        <f ca="1">(ExtComp[[#This Row],['# to Replace]]*'Unit Cost Summary'!$B$6)*(1+((ExtComp[[#This Row],[est. Year]]-YEAR(TODAY()))*$J$2))</f>
        <v>0</v>
      </c>
      <c r="K196" s="1">
        <f ca="1">SUM(INDEX(ExtComp['# to Replace],1):ExtComp[[#This Row],['# to Replace]])</f>
        <v>206</v>
      </c>
      <c r="L196" s="1">
        <f ca="1">ROUNDDOWN(ExtComp[[#This Row],[Count]]/50,0)+$L$1</f>
        <v>2024</v>
      </c>
      <c r="M196" s="64">
        <f t="shared" ref="M196:M259" ca="1" si="3">IF(L196=L195,J196+M195,J196)</f>
        <v>1721846.8800000001</v>
      </c>
      <c r="N196" s="64" t="str">
        <f>IFERROR(VLOOKUP(ExtComp[[#This Row],[DEVELOPMENT]],Data[],22,FALSE),"")</f>
        <v/>
      </c>
      <c r="O196" s="51" t="str">
        <f>IFERROR(VLOOKUP(ExtComp[[#This Row],[DEVELOPMENT]],Data[],23,FALSE),"")</f>
        <v/>
      </c>
    </row>
    <row r="197" spans="1:15">
      <c r="A197" s="13" t="s">
        <v>117</v>
      </c>
      <c r="B197" s="1" t="str">
        <f>VLOOKUP(A197,Data[],2,FALSE)</f>
        <v>MANHATTAN</v>
      </c>
      <c r="C197" s="9" t="s">
        <v>68</v>
      </c>
      <c r="D197" s="9" t="str">
        <f>VLOOKUP(ExtComp[[#This Row],[DEVELOPMENT]],Data[],8,FALSE)</f>
        <v>Zone 3</v>
      </c>
      <c r="E197" s="9">
        <f>VLOOKUP(ExtComp[[#This Row],[DEVELOPMENT]],Data[],9,FALSE)</f>
        <v>4</v>
      </c>
      <c r="F197" s="9" t="str">
        <f ca="1">IFERROR(VLOOKUP(ExtComp[[#This Row],[DEVELOPMENT]],Data[],4,FALSE),"")</f>
        <v>2020-2021</v>
      </c>
      <c r="G197" s="9" t="str">
        <f ca="1">IF(ExtComp[[#This Row],[RAD/PACT]]="","",IF(ExtComp[[#This Row],[RAD/PACT]]&lt;=2025,"Yes",""))</f>
        <v/>
      </c>
      <c r="H197" s="1">
        <f ca="1">IF(VLOOKUP(ExtComp[[#This Row],[DEVELOPMENT]],Data[],11,FALSE)=0,"",DATEDIF(VLOOKUP(ExtComp[[#This Row],[DEVELOPMENT]],Data[],13,FALSE),TODAY(),"Y"))</f>
        <v>10</v>
      </c>
      <c r="I197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197" s="47">
        <f ca="1">(ExtComp[[#This Row],['# to Replace]]*'Unit Cost Summary'!$B$6)*(1+((ExtComp[[#This Row],[est. Year]]-YEAR(TODAY()))*$J$2))</f>
        <v>430461.72000000003</v>
      </c>
      <c r="K197" s="1">
        <f ca="1">SUM(INDEX(ExtComp['# to Replace],1):ExtComp[[#This Row],['# to Replace]])</f>
        <v>208</v>
      </c>
      <c r="L197" s="1">
        <f ca="1">ROUNDDOWN(ExtComp[[#This Row],[Count]]/50,0)+$L$1</f>
        <v>2024</v>
      </c>
      <c r="M197" s="64">
        <f t="shared" ca="1" si="3"/>
        <v>2152308.6</v>
      </c>
      <c r="N197" s="64" t="str">
        <f>IFERROR(VLOOKUP(ExtComp[[#This Row],[DEVELOPMENT]],Data[],22,FALSE),"")</f>
        <v/>
      </c>
      <c r="O197" s="71" t="str">
        <f>IFERROR(VLOOKUP(ExtComp[[#This Row],[DEVELOPMENT]],Data[],23,FALSE),"")</f>
        <v/>
      </c>
    </row>
    <row r="198" spans="1:15">
      <c r="A198" s="13" t="s">
        <v>265</v>
      </c>
      <c r="B198" s="9" t="str">
        <f>VLOOKUP(A198,Data[],2,FALSE)</f>
        <v>MANHATTAN</v>
      </c>
      <c r="C198" s="9" t="s">
        <v>68</v>
      </c>
      <c r="D198" s="50">
        <f>VLOOKUP(ExtComp[[#This Row],[DEVELOPMENT]],Data[],8,FALSE)</f>
        <v>0</v>
      </c>
      <c r="E198" s="50">
        <f>VLOOKUP(ExtComp[[#This Row],[DEVELOPMENT]],Data[],9,FALSE)</f>
        <v>0</v>
      </c>
      <c r="F198" s="50" t="str">
        <f ca="1">IFERROR(VLOOKUP(ExtComp[[#This Row],[DEVELOPMENT]],Data[],4,FALSE),"")</f>
        <v/>
      </c>
      <c r="G198" s="50" t="str">
        <f ca="1">IF(ExtComp[[#This Row],[RAD/PACT]]="","",IF(ExtComp[[#This Row],[RAD/PACT]]&lt;=2025,"Yes",""))</f>
        <v/>
      </c>
      <c r="H198" s="51">
        <f ca="1">IF(VLOOKUP(ExtComp[[#This Row],[DEVELOPMENT]],Data[],11,FALSE)=0,"",DATEDIF(VLOOKUP(ExtComp[[#This Row],[DEVELOPMENT]],Data[],13,FALSE),TODAY(),"Y"))</f>
        <v>17</v>
      </c>
      <c r="I198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198" s="47">
        <f ca="1">(ExtComp[[#This Row],['# to Replace]]*'Unit Cost Summary'!$B$6)*(1+((ExtComp[[#This Row],[est. Year]]-YEAR(TODAY()))*$J$2))</f>
        <v>215230.86000000002</v>
      </c>
      <c r="K198" s="51">
        <f ca="1">SUM(INDEX(ExtComp['# to Replace],1):ExtComp[[#This Row],['# to Replace]])</f>
        <v>209</v>
      </c>
      <c r="L198" s="51">
        <f ca="1">ROUNDDOWN(ExtComp[[#This Row],[Count]]/50,0)+$L$1</f>
        <v>2024</v>
      </c>
      <c r="M198" s="64">
        <f t="shared" ca="1" si="3"/>
        <v>2367539.46</v>
      </c>
      <c r="N198" s="64" t="str">
        <f>IFERROR(VLOOKUP(ExtComp[[#This Row],[DEVELOPMENT]],Data[],22,FALSE),"")</f>
        <v/>
      </c>
      <c r="O198" s="71" t="str">
        <f>IFERROR(VLOOKUP(ExtComp[[#This Row],[DEVELOPMENT]],Data[],23,FALSE),"")</f>
        <v/>
      </c>
    </row>
    <row r="199" spans="1:15">
      <c r="A199" s="13" t="s">
        <v>244</v>
      </c>
      <c r="B199" s="9" t="str">
        <f>VLOOKUP(A199,Data[],2,FALSE)</f>
        <v>QUEENS</v>
      </c>
      <c r="C199" s="9" t="s">
        <v>68</v>
      </c>
      <c r="D199" s="50">
        <f>VLOOKUP(ExtComp[[#This Row],[DEVELOPMENT]],Data[],8,FALSE)</f>
        <v>0</v>
      </c>
      <c r="E199" s="50">
        <f>VLOOKUP(ExtComp[[#This Row],[DEVELOPMENT]],Data[],9,FALSE)</f>
        <v>0</v>
      </c>
      <c r="F199" s="50" t="str">
        <f ca="1">IFERROR(VLOOKUP(ExtComp[[#This Row],[DEVELOPMENT]],Data[],4,FALSE),"")</f>
        <v>2026+</v>
      </c>
      <c r="G199" s="50" t="str">
        <f ca="1">IF(ExtComp[[#This Row],[RAD/PACT]]="","",IF(ExtComp[[#This Row],[RAD/PACT]]&lt;=2025,"Yes",""))</f>
        <v/>
      </c>
      <c r="H199" s="51">
        <f ca="1">IF(VLOOKUP(ExtComp[[#This Row],[DEVELOPMENT]],Data[],11,FALSE)=0,"",DATEDIF(VLOOKUP(ExtComp[[#This Row],[DEVELOPMENT]],Data[],13,FALSE),TODAY(),"Y"))</f>
        <v>13</v>
      </c>
      <c r="I199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199" s="47">
        <f ca="1">(ExtComp[[#This Row],['# to Replace]]*'Unit Cost Summary'!$B$6)*(1+((ExtComp[[#This Row],[est. Year]]-YEAR(TODAY()))*$J$2))</f>
        <v>430461.72000000003</v>
      </c>
      <c r="K199" s="51">
        <f ca="1">SUM(INDEX(ExtComp['# to Replace],1):ExtComp[[#This Row],['# to Replace]])</f>
        <v>211</v>
      </c>
      <c r="L199" s="51">
        <f ca="1">ROUNDDOWN(ExtComp[[#This Row],[Count]]/50,0)+$L$1</f>
        <v>2024</v>
      </c>
      <c r="M199" s="64">
        <f t="shared" ca="1" si="3"/>
        <v>2798001.18</v>
      </c>
      <c r="N199" s="64" t="str">
        <f>IFERROR(VLOOKUP(ExtComp[[#This Row],[DEVELOPMENT]],Data[],22,FALSE),"")</f>
        <v/>
      </c>
      <c r="O199" s="71" t="str">
        <f>IFERROR(VLOOKUP(ExtComp[[#This Row],[DEVELOPMENT]],Data[],23,FALSE),"")</f>
        <v/>
      </c>
    </row>
    <row r="200" spans="1:15">
      <c r="A200" s="13" t="s">
        <v>329</v>
      </c>
      <c r="B200" s="9" t="str">
        <f>VLOOKUP(A200,Data[],2,FALSE)</f>
        <v>BROOKLYN</v>
      </c>
      <c r="C200" s="9" t="s">
        <v>68</v>
      </c>
      <c r="D200" s="50">
        <f>VLOOKUP(ExtComp[[#This Row],[DEVELOPMENT]],Data[],8,FALSE)</f>
        <v>0</v>
      </c>
      <c r="E200" s="50">
        <f>VLOOKUP(ExtComp[[#This Row],[DEVELOPMENT]],Data[],9,FALSE)</f>
        <v>0</v>
      </c>
      <c r="F200" s="50" t="str">
        <f ca="1">IFERROR(VLOOKUP(ExtComp[[#This Row],[DEVELOPMENT]],Data[],4,FALSE),"")</f>
        <v/>
      </c>
      <c r="G200" s="50" t="str">
        <f ca="1">IF(ExtComp[[#This Row],[RAD/PACT]]="","",IF(ExtComp[[#This Row],[RAD/PACT]]&lt;=2025,"Yes",""))</f>
        <v/>
      </c>
      <c r="H200" s="51" t="str">
        <f ca="1">IF(VLOOKUP(ExtComp[[#This Row],[DEVELOPMENT]],Data[],11,FALSE)=0,"",DATEDIF(VLOOKUP(ExtComp[[#This Row],[DEVELOPMENT]],Data[],13,FALSE),TODAY(),"Y"))</f>
        <v/>
      </c>
      <c r="I20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00" s="47">
        <f ca="1">(ExtComp[[#This Row],['# to Replace]]*'Unit Cost Summary'!$B$6)*(1+((ExtComp[[#This Row],[est. Year]]-YEAR(TODAY()))*$J$2))</f>
        <v>0</v>
      </c>
      <c r="K200" s="51">
        <f ca="1">SUM(INDEX(ExtComp['# to Replace],1):ExtComp[[#This Row],['# to Replace]])</f>
        <v>211</v>
      </c>
      <c r="L200" s="51">
        <f ca="1">ROUNDDOWN(ExtComp[[#This Row],[Count]]/50,0)+$L$1</f>
        <v>2024</v>
      </c>
      <c r="M200" s="64">
        <f t="shared" ca="1" si="3"/>
        <v>2798001.18</v>
      </c>
      <c r="N200" s="64" t="str">
        <f>IFERROR(VLOOKUP(ExtComp[[#This Row],[DEVELOPMENT]],Data[],22,FALSE),"")</f>
        <v/>
      </c>
      <c r="O200" s="51" t="str">
        <f>IFERROR(VLOOKUP(ExtComp[[#This Row],[DEVELOPMENT]],Data[],23,FALSE),"")</f>
        <v/>
      </c>
    </row>
    <row r="201" spans="1:15">
      <c r="A201" s="13" t="s">
        <v>328</v>
      </c>
      <c r="B201" s="9" t="str">
        <f>VLOOKUP(A201,Data[],2,FALSE)</f>
        <v>BRONX</v>
      </c>
      <c r="C201" s="9" t="s">
        <v>68</v>
      </c>
      <c r="D201" s="50">
        <f>VLOOKUP(ExtComp[[#This Row],[DEVELOPMENT]],Data[],8,FALSE)</f>
        <v>0</v>
      </c>
      <c r="E201" s="50">
        <f>VLOOKUP(ExtComp[[#This Row],[DEVELOPMENT]],Data[],9,FALSE)</f>
        <v>0</v>
      </c>
      <c r="F201" s="50" t="str">
        <f ca="1">IFERROR(VLOOKUP(ExtComp[[#This Row],[DEVELOPMENT]],Data[],4,FALSE),"")</f>
        <v/>
      </c>
      <c r="G201" s="50" t="str">
        <f ca="1">IF(ExtComp[[#This Row],[RAD/PACT]]="","",IF(ExtComp[[#This Row],[RAD/PACT]]&lt;=2025,"Yes",""))</f>
        <v/>
      </c>
      <c r="H201" s="51">
        <f ca="1">IF(VLOOKUP(ExtComp[[#This Row],[DEVELOPMENT]],Data[],11,FALSE)=0,"",DATEDIF(VLOOKUP(ExtComp[[#This Row],[DEVELOPMENT]],Data[],13,FALSE),TODAY(),"Y"))</f>
        <v>11</v>
      </c>
      <c r="I201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201" s="47">
        <f ca="1">(ExtComp[[#This Row],['# to Replace]]*'Unit Cost Summary'!$B$6)*(1+((ExtComp[[#This Row],[est. Year]]-YEAR(TODAY()))*$J$2))</f>
        <v>430461.72000000003</v>
      </c>
      <c r="K201" s="51">
        <f ca="1">SUM(INDEX(ExtComp['# to Replace],1):ExtComp[[#This Row],['# to Replace]])</f>
        <v>213</v>
      </c>
      <c r="L201" s="51">
        <f ca="1">ROUNDDOWN(ExtComp[[#This Row],[Count]]/50,0)+$L$1</f>
        <v>2024</v>
      </c>
      <c r="M201" s="64">
        <f t="shared" ca="1" si="3"/>
        <v>3228462.9000000004</v>
      </c>
      <c r="N201" s="64" t="str">
        <f>IFERROR(VLOOKUP(ExtComp[[#This Row],[DEVELOPMENT]],Data[],22,FALSE),"")</f>
        <v/>
      </c>
      <c r="O201" s="71" t="str">
        <f>IFERROR(VLOOKUP(ExtComp[[#This Row],[DEVELOPMENT]],Data[],23,FALSE),"")</f>
        <v/>
      </c>
    </row>
    <row r="202" spans="1:15">
      <c r="A202" s="13" t="s">
        <v>327</v>
      </c>
      <c r="B202" s="9" t="str">
        <f>VLOOKUP(A202,Data[],2,FALSE)</f>
        <v>BROOKLYN</v>
      </c>
      <c r="C202" s="9" t="s">
        <v>68</v>
      </c>
      <c r="D202" s="50">
        <f>VLOOKUP(ExtComp[[#This Row],[DEVELOPMENT]],Data[],8,FALSE)</f>
        <v>0</v>
      </c>
      <c r="E202" s="50">
        <f>VLOOKUP(ExtComp[[#This Row],[DEVELOPMENT]],Data[],9,FALSE)</f>
        <v>0</v>
      </c>
      <c r="F202" s="50" t="str">
        <f ca="1">IFERROR(VLOOKUP(ExtComp[[#This Row],[DEVELOPMENT]],Data[],4,FALSE),"")</f>
        <v>2026+</v>
      </c>
      <c r="G202" s="50" t="str">
        <f ca="1">IF(ExtComp[[#This Row],[RAD/PACT]]="","",IF(ExtComp[[#This Row],[RAD/PACT]]&lt;=2025,"Yes",""))</f>
        <v/>
      </c>
      <c r="H202" s="51" t="str">
        <f ca="1">IF(VLOOKUP(ExtComp[[#This Row],[DEVELOPMENT]],Data[],11,FALSE)=0,"",DATEDIF(VLOOKUP(ExtComp[[#This Row],[DEVELOPMENT]],Data[],13,FALSE),TODAY(),"Y"))</f>
        <v/>
      </c>
      <c r="I20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02" s="47">
        <f ca="1">(ExtComp[[#This Row],['# to Replace]]*'Unit Cost Summary'!$B$6)*(1+((ExtComp[[#This Row],[est. Year]]-YEAR(TODAY()))*$J$2))</f>
        <v>0</v>
      </c>
      <c r="K202" s="51">
        <f ca="1">SUM(INDEX(ExtComp['# to Replace],1):ExtComp[[#This Row],['# to Replace]])</f>
        <v>213</v>
      </c>
      <c r="L202" s="51">
        <f ca="1">ROUNDDOWN(ExtComp[[#This Row],[Count]]/50,0)+$L$1</f>
        <v>2024</v>
      </c>
      <c r="M202" s="64">
        <f t="shared" ca="1" si="3"/>
        <v>3228462.9000000004</v>
      </c>
      <c r="N202" s="64" t="str">
        <f>IFERROR(VLOOKUP(ExtComp[[#This Row],[DEVELOPMENT]],Data[],22,FALSE),"")</f>
        <v/>
      </c>
      <c r="O202" s="51" t="str">
        <f>IFERROR(VLOOKUP(ExtComp[[#This Row],[DEVELOPMENT]],Data[],23,FALSE),"")</f>
        <v/>
      </c>
    </row>
    <row r="203" spans="1:15">
      <c r="A203" s="13" t="s">
        <v>81</v>
      </c>
      <c r="B203" s="1" t="str">
        <f>VLOOKUP(A203,Data[],2,FALSE)</f>
        <v>MANHATTAN</v>
      </c>
      <c r="C203" s="9" t="s">
        <v>68</v>
      </c>
      <c r="D203" s="9" t="str">
        <f>VLOOKUP(ExtComp[[#This Row],[DEVELOPMENT]],Data[],8,FALSE)</f>
        <v>Zone 2</v>
      </c>
      <c r="E203" s="9">
        <f>VLOOKUP(ExtComp[[#This Row],[DEVELOPMENT]],Data[],9,FALSE)</f>
        <v>1</v>
      </c>
      <c r="F203" s="9" t="str">
        <f ca="1">IFERROR(VLOOKUP(ExtComp[[#This Row],[DEVELOPMENT]],Data[],4,FALSE),"")</f>
        <v>2026+</v>
      </c>
      <c r="G203" s="9" t="str">
        <f ca="1">IF(ExtComp[[#This Row],[RAD/PACT]]="","",IF(ExtComp[[#This Row],[RAD/PACT]]&lt;=2025,"Yes",""))</f>
        <v/>
      </c>
      <c r="H203" s="1">
        <f ca="1">IF(VLOOKUP(ExtComp[[#This Row],[DEVELOPMENT]],Data[],11,FALSE)=0,"",DATEDIF(VLOOKUP(ExtComp[[#This Row],[DEVELOPMENT]],Data[],13,FALSE),TODAY(),"Y"))</f>
        <v>20</v>
      </c>
      <c r="I203" s="1">
        <f ca="1">IF(ExtComp[[#This Row],[RAD/PACT]]="",VLOOKUP(ExtComp[[#This Row],[DEVELOPMENT]],Data[],11,FALSE),IF(ExtComp[[#This Row],[RAD/PACT by 2025]]="yes",0,VLOOKUP(ExtComp[[#This Row],[DEVELOPMENT]],Data[],11,FALSE)))</f>
        <v>4</v>
      </c>
      <c r="J203" s="47">
        <f ca="1">(ExtComp[[#This Row],['# to Replace]]*'Unit Cost Summary'!$B$6)*(1+((ExtComp[[#This Row],[est. Year]]-YEAR(TODAY()))*$J$2))</f>
        <v>860923.44000000006</v>
      </c>
      <c r="K203" s="1">
        <f ca="1">SUM(INDEX(ExtComp['# to Replace],1):ExtComp[[#This Row],['# to Replace]])</f>
        <v>217</v>
      </c>
      <c r="L203" s="1">
        <f ca="1">ROUNDDOWN(ExtComp[[#This Row],[Count]]/50,0)+$L$1</f>
        <v>2024</v>
      </c>
      <c r="M203" s="64">
        <f t="shared" ca="1" si="3"/>
        <v>4089386.3400000003</v>
      </c>
      <c r="N203" s="64" t="str">
        <f>IFERROR(VLOOKUP(ExtComp[[#This Row],[DEVELOPMENT]],Data[],22,FALSE),"")</f>
        <v/>
      </c>
      <c r="O203" s="71" t="str">
        <f>IFERROR(VLOOKUP(ExtComp[[#This Row],[DEVELOPMENT]],Data[],23,FALSE),"")</f>
        <v/>
      </c>
    </row>
    <row r="204" spans="1:15">
      <c r="A204" s="13" t="s">
        <v>80</v>
      </c>
      <c r="B204" s="1" t="str">
        <f>VLOOKUP(A204,Data[],2,FALSE)</f>
        <v>MANHATTAN</v>
      </c>
      <c r="C204" s="9" t="s">
        <v>68</v>
      </c>
      <c r="D204" s="9" t="str">
        <f>VLOOKUP(ExtComp[[#This Row],[DEVELOPMENT]],Data[],8,FALSE)</f>
        <v>Zone 3</v>
      </c>
      <c r="E204" s="9">
        <f>VLOOKUP(ExtComp[[#This Row],[DEVELOPMENT]],Data[],9,FALSE)</f>
        <v>4</v>
      </c>
      <c r="F204" s="9" t="str">
        <f ca="1">IFERROR(VLOOKUP(ExtComp[[#This Row],[DEVELOPMENT]],Data[],4,FALSE),"")</f>
        <v>2020-2021</v>
      </c>
      <c r="G204" s="9" t="str">
        <f ca="1">IF(ExtComp[[#This Row],[RAD/PACT]]="","",IF(ExtComp[[#This Row],[RAD/PACT]]&lt;=2025,"Yes",""))</f>
        <v/>
      </c>
      <c r="H204" s="1" t="str">
        <f ca="1">IF(VLOOKUP(ExtComp[[#This Row],[DEVELOPMENT]],Data[],11,FALSE)=0,"",DATEDIF(VLOOKUP(ExtComp[[#This Row],[DEVELOPMENT]],Data[],13,FALSE),TODAY(),"Y"))</f>
        <v/>
      </c>
      <c r="I204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04" s="47">
        <f ca="1">(ExtComp[[#This Row],['# to Replace]]*'Unit Cost Summary'!$B$6)*(1+((ExtComp[[#This Row],[est. Year]]-YEAR(TODAY()))*$J$2))</f>
        <v>0</v>
      </c>
      <c r="K204" s="1">
        <f ca="1">SUM(INDEX(ExtComp['# to Replace],1):ExtComp[[#This Row],['# to Replace]])</f>
        <v>217</v>
      </c>
      <c r="L204" s="1">
        <f ca="1">ROUNDDOWN(ExtComp[[#This Row],[Count]]/50,0)+$L$1</f>
        <v>2024</v>
      </c>
      <c r="M204" s="64">
        <f t="shared" ca="1" si="3"/>
        <v>4089386.3400000003</v>
      </c>
      <c r="N204" s="64" t="str">
        <f>IFERROR(VLOOKUP(ExtComp[[#This Row],[DEVELOPMENT]],Data[],22,FALSE),"")</f>
        <v/>
      </c>
      <c r="O204" s="51" t="str">
        <f>IFERROR(VLOOKUP(ExtComp[[#This Row],[DEVELOPMENT]],Data[],23,FALSE),"")</f>
        <v/>
      </c>
    </row>
    <row r="205" spans="1:15">
      <c r="A205" s="13" t="s">
        <v>326</v>
      </c>
      <c r="B205" s="9" t="str">
        <f>VLOOKUP(A205,Data[],2,FALSE)</f>
        <v>BROOKLYN</v>
      </c>
      <c r="C205" s="9" t="s">
        <v>68</v>
      </c>
      <c r="D205" s="50">
        <f>VLOOKUP(ExtComp[[#This Row],[DEVELOPMENT]],Data[],8,FALSE)</f>
        <v>0</v>
      </c>
      <c r="E205" s="50">
        <f>VLOOKUP(ExtComp[[#This Row],[DEVELOPMENT]],Data[],9,FALSE)</f>
        <v>0</v>
      </c>
      <c r="F205" s="50" t="str">
        <f ca="1">IFERROR(VLOOKUP(ExtComp[[#This Row],[DEVELOPMENT]],Data[],4,FALSE),"")</f>
        <v>2026+</v>
      </c>
      <c r="G205" s="50" t="str">
        <f ca="1">IF(ExtComp[[#This Row],[RAD/PACT]]="","",IF(ExtComp[[#This Row],[RAD/PACT]]&lt;=2025,"Yes",""))</f>
        <v/>
      </c>
      <c r="H205" s="51">
        <f ca="1">IF(VLOOKUP(ExtComp[[#This Row],[DEVELOPMENT]],Data[],11,FALSE)=0,"",DATEDIF(VLOOKUP(ExtComp[[#This Row],[DEVELOPMENT]],Data[],13,FALSE),TODAY(),"Y"))</f>
        <v>18</v>
      </c>
      <c r="I205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205" s="47">
        <f ca="1">(ExtComp[[#This Row],['# to Replace]]*'Unit Cost Summary'!$B$6)*(1+((ExtComp[[#This Row],[est. Year]]-YEAR(TODAY()))*$J$2))</f>
        <v>645692.58000000007</v>
      </c>
      <c r="K205" s="51">
        <f ca="1">SUM(INDEX(ExtComp['# to Replace],1):ExtComp[[#This Row],['# to Replace]])</f>
        <v>220</v>
      </c>
      <c r="L205" s="51">
        <f ca="1">ROUNDDOWN(ExtComp[[#This Row],[Count]]/50,0)+$L$1</f>
        <v>2024</v>
      </c>
      <c r="M205" s="64">
        <f t="shared" ca="1" si="3"/>
        <v>4735078.92</v>
      </c>
      <c r="N205" s="64" t="str">
        <f>IFERROR(VLOOKUP(ExtComp[[#This Row],[DEVELOPMENT]],Data[],22,FALSE),"")</f>
        <v/>
      </c>
      <c r="O205" s="71" t="str">
        <f>IFERROR(VLOOKUP(ExtComp[[#This Row],[DEVELOPMENT]],Data[],23,FALSE),"")</f>
        <v/>
      </c>
    </row>
    <row r="206" spans="1:15">
      <c r="A206" s="65" t="s">
        <v>61</v>
      </c>
      <c r="B206" s="1" t="str">
        <f>VLOOKUP(A206,Data[],2,FALSE)</f>
        <v>MANHATTAN</v>
      </c>
      <c r="C206" s="9" t="s">
        <v>68</v>
      </c>
      <c r="D206" s="9" t="str">
        <f>VLOOKUP(ExtComp[[#This Row],[DEVELOPMENT]],Data[],8,FALSE)</f>
        <v>Zone 1</v>
      </c>
      <c r="E206" s="9">
        <f>VLOOKUP(ExtComp[[#This Row],[DEVELOPMENT]],Data[],9,FALSE)</f>
        <v>4</v>
      </c>
      <c r="F206" s="9" t="str">
        <f ca="1">IFERROR(VLOOKUP(ExtComp[[#This Row],[DEVELOPMENT]],Data[],4,FALSE),"")</f>
        <v/>
      </c>
      <c r="G206" s="9" t="str">
        <f ca="1">IF(ExtComp[[#This Row],[RAD/PACT]]="","",IF(ExtComp[[#This Row],[RAD/PACT]]&lt;=2025,"Yes",""))</f>
        <v/>
      </c>
      <c r="H206" s="1">
        <f ca="1">IF(VLOOKUP(ExtComp[[#This Row],[DEVELOPMENT]],Data[],11,FALSE)=0,"",DATEDIF(VLOOKUP(ExtComp[[#This Row],[DEVELOPMENT]],Data[],13,FALSE),TODAY(),"Y"))</f>
        <v>19</v>
      </c>
      <c r="I206" s="1">
        <f ca="1">IF(ExtComp[[#This Row],[RAD/PACT]]="",VLOOKUP(ExtComp[[#This Row],[DEVELOPMENT]],Data[],11,FALSE),IF(ExtComp[[#This Row],[RAD/PACT by 2025]]="yes",0,VLOOKUP(ExtComp[[#This Row],[DEVELOPMENT]],Data[],11,FALSE)))</f>
        <v>1</v>
      </c>
      <c r="J206" s="47">
        <f ca="1">(ExtComp[[#This Row],['# to Replace]]*'Unit Cost Summary'!$B$6)*(1+((ExtComp[[#This Row],[est. Year]]-YEAR(TODAY()))*$J$2))</f>
        <v>215230.86000000002</v>
      </c>
      <c r="K206" s="1">
        <f ca="1">SUM(INDEX(ExtComp['# to Replace],1):ExtComp[[#This Row],['# to Replace]])</f>
        <v>221</v>
      </c>
      <c r="L206" s="1">
        <f ca="1">ROUNDDOWN(ExtComp[[#This Row],[Count]]/50,0)+$L$1</f>
        <v>2024</v>
      </c>
      <c r="M206" s="64">
        <f t="shared" ca="1" si="3"/>
        <v>4950309.78</v>
      </c>
      <c r="N206" s="64" t="str">
        <f>IFERROR(VLOOKUP(ExtComp[[#This Row],[DEVELOPMENT]],Data[],22,FALSE),"")</f>
        <v/>
      </c>
      <c r="O206" s="71" t="str">
        <f>IFERROR(VLOOKUP(ExtComp[[#This Row],[DEVELOPMENT]],Data[],23,FALSE),"")</f>
        <v/>
      </c>
    </row>
    <row r="207" spans="1:15">
      <c r="A207" s="13" t="s">
        <v>325</v>
      </c>
      <c r="B207" s="9" t="str">
        <f>VLOOKUP(A207,Data[],2,FALSE)</f>
        <v>BROOKLYN</v>
      </c>
      <c r="C207" s="9" t="s">
        <v>68</v>
      </c>
      <c r="D207" s="50">
        <f>VLOOKUP(ExtComp[[#This Row],[DEVELOPMENT]],Data[],8,FALSE)</f>
        <v>0</v>
      </c>
      <c r="E207" s="50">
        <f>VLOOKUP(ExtComp[[#This Row],[DEVELOPMENT]],Data[],9,FALSE)</f>
        <v>0</v>
      </c>
      <c r="F207" s="50" t="str">
        <f ca="1">IFERROR(VLOOKUP(ExtComp[[#This Row],[DEVELOPMENT]],Data[],4,FALSE),"")</f>
        <v>2026+</v>
      </c>
      <c r="G207" s="50" t="str">
        <f ca="1">IF(ExtComp[[#This Row],[RAD/PACT]]="","",IF(ExtComp[[#This Row],[RAD/PACT]]&lt;=2025,"Yes",""))</f>
        <v/>
      </c>
      <c r="H207" s="51">
        <f ca="1">IF(VLOOKUP(ExtComp[[#This Row],[DEVELOPMENT]],Data[],11,FALSE)=0,"",DATEDIF(VLOOKUP(ExtComp[[#This Row],[DEVELOPMENT]],Data[],13,FALSE),TODAY(),"Y"))</f>
        <v>2</v>
      </c>
      <c r="I207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207" s="47">
        <f ca="1">(ExtComp[[#This Row],['# to Replace]]*'Unit Cost Summary'!$B$6)*(1+((ExtComp[[#This Row],[est. Year]]-YEAR(TODAY()))*$J$2))</f>
        <v>645692.58000000007</v>
      </c>
      <c r="K207" s="51">
        <f ca="1">SUM(INDEX(ExtComp['# to Replace],1):ExtComp[[#This Row],['# to Replace]])</f>
        <v>224</v>
      </c>
      <c r="L207" s="51">
        <f ca="1">ROUNDDOWN(ExtComp[[#This Row],[Count]]/50,0)+$L$1</f>
        <v>2024</v>
      </c>
      <c r="M207" s="64">
        <f t="shared" ca="1" si="3"/>
        <v>5596002.3600000003</v>
      </c>
      <c r="N207" s="64" t="str">
        <f>IFERROR(VLOOKUP(ExtComp[[#This Row],[DEVELOPMENT]],Data[],22,FALSE),"")</f>
        <v/>
      </c>
      <c r="O207" s="71" t="str">
        <f>IFERROR(VLOOKUP(ExtComp[[#This Row],[DEVELOPMENT]],Data[],23,FALSE),"")</f>
        <v/>
      </c>
    </row>
    <row r="208" spans="1:15">
      <c r="A208" s="13" t="s">
        <v>205</v>
      </c>
      <c r="B208" s="9" t="str">
        <f>VLOOKUP(A208,Data[],2,FALSE)</f>
        <v>BROOKLYN</v>
      </c>
      <c r="C208" s="9" t="s">
        <v>68</v>
      </c>
      <c r="D208" s="50">
        <f>VLOOKUP(ExtComp[[#This Row],[DEVELOPMENT]],Data[],8,FALSE)</f>
        <v>0</v>
      </c>
      <c r="E208" s="50">
        <f>VLOOKUP(ExtComp[[#This Row],[DEVELOPMENT]],Data[],9,FALSE)</f>
        <v>0</v>
      </c>
      <c r="F208" s="50" t="str">
        <f ca="1">IFERROR(VLOOKUP(ExtComp[[#This Row],[DEVELOPMENT]],Data[],4,FALSE),"")</f>
        <v/>
      </c>
      <c r="G208" s="50" t="str">
        <f ca="1">IF(ExtComp[[#This Row],[RAD/PACT]]="","",IF(ExtComp[[#This Row],[RAD/PACT]]&lt;=2025,"Yes",""))</f>
        <v/>
      </c>
      <c r="H208" s="51" t="str">
        <f ca="1">IF(VLOOKUP(ExtComp[[#This Row],[DEVELOPMENT]],Data[],11,FALSE)=0,"",DATEDIF(VLOOKUP(ExtComp[[#This Row],[DEVELOPMENT]],Data[],13,FALSE),TODAY(),"Y"))</f>
        <v/>
      </c>
      <c r="I20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08" s="47">
        <f ca="1">(ExtComp[[#This Row],['# to Replace]]*'Unit Cost Summary'!$B$6)*(1+((ExtComp[[#This Row],[est. Year]]-YEAR(TODAY()))*$J$2))</f>
        <v>0</v>
      </c>
      <c r="K208" s="51">
        <f ca="1">SUM(INDEX(ExtComp['# to Replace],1):ExtComp[[#This Row],['# to Replace]])</f>
        <v>224</v>
      </c>
      <c r="L208" s="51">
        <f ca="1">ROUNDDOWN(ExtComp[[#This Row],[Count]]/50,0)+$L$1</f>
        <v>2024</v>
      </c>
      <c r="M208" s="64">
        <f t="shared" ca="1" si="3"/>
        <v>5596002.3600000003</v>
      </c>
      <c r="N208" s="64" t="str">
        <f>IFERROR(VLOOKUP(ExtComp[[#This Row],[DEVELOPMENT]],Data[],22,FALSE),"")</f>
        <v/>
      </c>
      <c r="O208" s="51" t="str">
        <f>IFERROR(VLOOKUP(ExtComp[[#This Row],[DEVELOPMENT]],Data[],23,FALSE),"")</f>
        <v/>
      </c>
    </row>
    <row r="209" spans="1:15">
      <c r="A209" s="13" t="s">
        <v>243</v>
      </c>
      <c r="B209" s="9" t="str">
        <f>VLOOKUP(A209,Data[],2,FALSE)</f>
        <v>BRONX</v>
      </c>
      <c r="C209" s="9"/>
      <c r="D209" s="50">
        <f>VLOOKUP(ExtComp[[#This Row],[DEVELOPMENT]],Data[],8,FALSE)</f>
        <v>0</v>
      </c>
      <c r="E209" s="50">
        <f>VLOOKUP(ExtComp[[#This Row],[DEVELOPMENT]],Data[],9,FALSE)</f>
        <v>0</v>
      </c>
      <c r="F209" s="50" t="str">
        <f ca="1">IFERROR(VLOOKUP(ExtComp[[#This Row],[DEVELOPMENT]],Data[],4,FALSE),"")</f>
        <v>2026+</v>
      </c>
      <c r="G209" s="50" t="str">
        <f ca="1">IF(ExtComp[[#This Row],[RAD/PACT]]="","",IF(ExtComp[[#This Row],[RAD/PACT]]&lt;=2025,"Yes",""))</f>
        <v/>
      </c>
      <c r="H209" s="51" t="str">
        <f ca="1">IF(VLOOKUP(ExtComp[[#This Row],[DEVELOPMENT]],Data[],11,FALSE)=0,"",DATEDIF(VLOOKUP(ExtComp[[#This Row],[DEVELOPMENT]],Data[],13,FALSE),TODAY(),"Y"))</f>
        <v/>
      </c>
      <c r="I20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09" s="47">
        <f ca="1">(ExtComp[[#This Row],['# to Replace]]*'Unit Cost Summary'!$B$6)*(1+((ExtComp[[#This Row],[est. Year]]-YEAR(TODAY()))*$J$2))</f>
        <v>0</v>
      </c>
      <c r="K209" s="51">
        <f ca="1">SUM(INDEX(ExtComp['# to Replace],1):ExtComp[[#This Row],['# to Replace]])</f>
        <v>224</v>
      </c>
      <c r="L209" s="51">
        <f ca="1">ROUNDDOWN(ExtComp[[#This Row],[Count]]/50,0)+$L$1</f>
        <v>2024</v>
      </c>
      <c r="M209" s="64">
        <f t="shared" ca="1" si="3"/>
        <v>5596002.3600000003</v>
      </c>
      <c r="N209" s="64" t="str">
        <f>IFERROR(VLOOKUP(ExtComp[[#This Row],[DEVELOPMENT]],Data[],22,FALSE),"")</f>
        <v/>
      </c>
      <c r="O209" s="51" t="str">
        <f>IFERROR(VLOOKUP(ExtComp[[#This Row],[DEVELOPMENT]],Data[],23,FALSE),"")</f>
        <v/>
      </c>
    </row>
    <row r="210" spans="1:15">
      <c r="A210" s="13" t="s">
        <v>324</v>
      </c>
      <c r="B210" s="9" t="str">
        <f>VLOOKUP(A210,Data[],2,FALSE)</f>
        <v>BROOKLYN</v>
      </c>
      <c r="C210" s="9" t="s">
        <v>68</v>
      </c>
      <c r="D210" s="50">
        <f>VLOOKUP(ExtComp[[#This Row],[DEVELOPMENT]],Data[],8,FALSE)</f>
        <v>0</v>
      </c>
      <c r="E210" s="50">
        <f>VLOOKUP(ExtComp[[#This Row],[DEVELOPMENT]],Data[],9,FALSE)</f>
        <v>0</v>
      </c>
      <c r="F210" s="50" t="str">
        <f ca="1">IFERROR(VLOOKUP(ExtComp[[#This Row],[DEVELOPMENT]],Data[],4,FALSE),"")</f>
        <v/>
      </c>
      <c r="G210" s="50" t="str">
        <f ca="1">IF(ExtComp[[#This Row],[RAD/PACT]]="","",IF(ExtComp[[#This Row],[RAD/PACT]]&lt;=2025,"Yes",""))</f>
        <v/>
      </c>
      <c r="H210" s="51" t="str">
        <f ca="1">IF(VLOOKUP(ExtComp[[#This Row],[DEVELOPMENT]],Data[],11,FALSE)=0,"",DATEDIF(VLOOKUP(ExtComp[[#This Row],[DEVELOPMENT]],Data[],13,FALSE),TODAY(),"Y"))</f>
        <v/>
      </c>
      <c r="I21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10" s="47">
        <f ca="1">(ExtComp[[#This Row],['# to Replace]]*'Unit Cost Summary'!$B$6)*(1+((ExtComp[[#This Row],[est. Year]]-YEAR(TODAY()))*$J$2))</f>
        <v>0</v>
      </c>
      <c r="K210" s="51">
        <f ca="1">SUM(INDEX(ExtComp['# to Replace],1):ExtComp[[#This Row],['# to Replace]])</f>
        <v>224</v>
      </c>
      <c r="L210" s="51">
        <f ca="1">ROUNDDOWN(ExtComp[[#This Row],[Count]]/50,0)+$L$1</f>
        <v>2024</v>
      </c>
      <c r="M210" s="64">
        <f t="shared" ca="1" si="3"/>
        <v>5596002.3600000003</v>
      </c>
      <c r="N210" s="64" t="str">
        <f>IFERROR(VLOOKUP(ExtComp[[#This Row],[DEVELOPMENT]],Data[],22,FALSE),"")</f>
        <v/>
      </c>
      <c r="O210" s="51" t="str">
        <f>IFERROR(VLOOKUP(ExtComp[[#This Row],[DEVELOPMENT]],Data[],23,FALSE),"")</f>
        <v/>
      </c>
    </row>
    <row r="211" spans="1:15">
      <c r="A211" s="13" t="s">
        <v>111</v>
      </c>
      <c r="B211" s="1" t="str">
        <f>VLOOKUP(A211,Data[],2,FALSE)</f>
        <v>MANHATTAN</v>
      </c>
      <c r="C211" s="9" t="s">
        <v>68</v>
      </c>
      <c r="D211" s="9" t="str">
        <f>VLOOKUP(ExtComp[[#This Row],[DEVELOPMENT]],Data[],8,FALSE)</f>
        <v>Zone 3</v>
      </c>
      <c r="E211" s="9">
        <f>VLOOKUP(ExtComp[[#This Row],[DEVELOPMENT]],Data[],9,FALSE)</f>
        <v>4</v>
      </c>
      <c r="F211" s="9" t="str">
        <f ca="1">IFERROR(VLOOKUP(ExtComp[[#This Row],[DEVELOPMENT]],Data[],4,FALSE),"")</f>
        <v/>
      </c>
      <c r="G211" s="9" t="str">
        <f ca="1">IF(ExtComp[[#This Row],[RAD/PACT]]="","",IF(ExtComp[[#This Row],[RAD/PACT]]&lt;=2025,"Yes",""))</f>
        <v/>
      </c>
      <c r="H211" s="1">
        <f ca="1">IF(VLOOKUP(ExtComp[[#This Row],[DEVELOPMENT]],Data[],11,FALSE)=0,"",DATEDIF(VLOOKUP(ExtComp[[#This Row],[DEVELOPMENT]],Data[],13,FALSE),TODAY(),"Y"))</f>
        <v>18</v>
      </c>
      <c r="I211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211" s="47">
        <f ca="1">(ExtComp[[#This Row],['# to Replace]]*'Unit Cost Summary'!$B$6)*(1+((ExtComp[[#This Row],[est. Year]]-YEAR(TODAY()))*$J$2))</f>
        <v>430461.72000000003</v>
      </c>
      <c r="K211" s="1">
        <f ca="1">SUM(INDEX(ExtComp['# to Replace],1):ExtComp[[#This Row],['# to Replace]])</f>
        <v>226</v>
      </c>
      <c r="L211" s="1">
        <f ca="1">ROUNDDOWN(ExtComp[[#This Row],[Count]]/50,0)+$L$1</f>
        <v>2024</v>
      </c>
      <c r="M211" s="64">
        <f t="shared" ca="1" si="3"/>
        <v>6026464.0800000001</v>
      </c>
      <c r="N211" s="64" t="str">
        <f>IFERROR(VLOOKUP(ExtComp[[#This Row],[DEVELOPMENT]],Data[],22,FALSE),"")</f>
        <v/>
      </c>
      <c r="O211" s="71" t="str">
        <f>IFERROR(VLOOKUP(ExtComp[[#This Row],[DEVELOPMENT]],Data[],23,FALSE),"")</f>
        <v/>
      </c>
    </row>
    <row r="212" spans="1:15">
      <c r="A212" s="13" t="s">
        <v>79</v>
      </c>
      <c r="B212" s="1" t="str">
        <f>VLOOKUP(A212,Data[],2,FALSE)</f>
        <v>MANHATTAN</v>
      </c>
      <c r="C212" s="9" t="s">
        <v>68</v>
      </c>
      <c r="D212" s="9" t="str">
        <f>VLOOKUP(ExtComp[[#This Row],[DEVELOPMENT]],Data[],8,FALSE)</f>
        <v>Zone 3</v>
      </c>
      <c r="E212" s="9">
        <f>VLOOKUP(ExtComp[[#This Row],[DEVELOPMENT]],Data[],9,FALSE)</f>
        <v>4</v>
      </c>
      <c r="F212" s="9" t="str">
        <f ca="1">IFERROR(VLOOKUP(ExtComp[[#This Row],[DEVELOPMENT]],Data[],4,FALSE),"")</f>
        <v>2020-2021</v>
      </c>
      <c r="G212" s="9" t="str">
        <f ca="1">IF(ExtComp[[#This Row],[RAD/PACT]]="","",IF(ExtComp[[#This Row],[RAD/PACT]]&lt;=2025,"Yes",""))</f>
        <v/>
      </c>
      <c r="H212" s="1" t="str">
        <f ca="1">IF(VLOOKUP(ExtComp[[#This Row],[DEVELOPMENT]],Data[],11,FALSE)=0,"",DATEDIF(VLOOKUP(ExtComp[[#This Row],[DEVELOPMENT]],Data[],13,FALSE),TODAY(),"Y"))</f>
        <v/>
      </c>
      <c r="I212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12" s="47">
        <f ca="1">(ExtComp[[#This Row],['# to Replace]]*'Unit Cost Summary'!$B$6)*(1+((ExtComp[[#This Row],[est. Year]]-YEAR(TODAY()))*$J$2))</f>
        <v>0</v>
      </c>
      <c r="K212" s="1">
        <f ca="1">SUM(INDEX(ExtComp['# to Replace],1):ExtComp[[#This Row],['# to Replace]])</f>
        <v>226</v>
      </c>
      <c r="L212" s="1">
        <f ca="1">ROUNDDOWN(ExtComp[[#This Row],[Count]]/50,0)+$L$1</f>
        <v>2024</v>
      </c>
      <c r="M212" s="64">
        <f t="shared" ca="1" si="3"/>
        <v>6026464.0800000001</v>
      </c>
      <c r="N212" s="64" t="str">
        <f>IFERROR(VLOOKUP(ExtComp[[#This Row],[DEVELOPMENT]],Data[],22,FALSE),"")</f>
        <v/>
      </c>
      <c r="O212" s="51" t="str">
        <f>IFERROR(VLOOKUP(ExtComp[[#This Row],[DEVELOPMENT]],Data[],23,FALSE),"")</f>
        <v/>
      </c>
    </row>
    <row r="213" spans="1:15">
      <c r="A213" s="13" t="s">
        <v>276</v>
      </c>
      <c r="B213" s="9" t="str">
        <f>VLOOKUP(A213,Data[],2,FALSE)</f>
        <v>BRONX</v>
      </c>
      <c r="C213" s="9" t="s">
        <v>68</v>
      </c>
      <c r="D213" s="50">
        <f>VLOOKUP(ExtComp[[#This Row],[DEVELOPMENT]],Data[],8,FALSE)</f>
        <v>0</v>
      </c>
      <c r="E213" s="50">
        <f>VLOOKUP(ExtComp[[#This Row],[DEVELOPMENT]],Data[],9,FALSE)</f>
        <v>0</v>
      </c>
      <c r="F213" s="50" t="str">
        <f ca="1">IFERROR(VLOOKUP(ExtComp[[#This Row],[DEVELOPMENT]],Data[],4,FALSE),"")</f>
        <v/>
      </c>
      <c r="G213" s="50" t="str">
        <f ca="1">IF(ExtComp[[#This Row],[RAD/PACT]]="","",IF(ExtComp[[#This Row],[RAD/PACT]]&lt;=2025,"Yes",""))</f>
        <v/>
      </c>
      <c r="H213" s="51">
        <f ca="1">IF(VLOOKUP(ExtComp[[#This Row],[DEVELOPMENT]],Data[],11,FALSE)=0,"",DATEDIF(VLOOKUP(ExtComp[[#This Row],[DEVELOPMENT]],Data[],13,FALSE),TODAY(),"Y"))</f>
        <v>20</v>
      </c>
      <c r="I213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213" s="47">
        <f ca="1">(ExtComp[[#This Row],['# to Replace]]*'Unit Cost Summary'!$B$6)*(1+((ExtComp[[#This Row],[est. Year]]-YEAR(TODAY()))*$J$2))</f>
        <v>215230.86000000002</v>
      </c>
      <c r="K213" s="51">
        <f ca="1">SUM(INDEX(ExtComp['# to Replace],1):ExtComp[[#This Row],['# to Replace]])</f>
        <v>227</v>
      </c>
      <c r="L213" s="51">
        <f ca="1">ROUNDDOWN(ExtComp[[#This Row],[Count]]/50,0)+$L$1</f>
        <v>2024</v>
      </c>
      <c r="M213" s="64">
        <f t="shared" ca="1" si="3"/>
        <v>6241694.9400000004</v>
      </c>
      <c r="N213" s="64" t="str">
        <f>IFERROR(VLOOKUP(ExtComp[[#This Row],[DEVELOPMENT]],Data[],22,FALSE),"")</f>
        <v/>
      </c>
      <c r="O213" s="71" t="str">
        <f>IFERROR(VLOOKUP(ExtComp[[#This Row],[DEVELOPMENT]],Data[],23,FALSE),"")</f>
        <v/>
      </c>
    </row>
    <row r="214" spans="1:15">
      <c r="A214" s="13" t="s">
        <v>204</v>
      </c>
      <c r="B214" s="9" t="str">
        <f>VLOOKUP(A214,Data[],2,FALSE)</f>
        <v>BRONX</v>
      </c>
      <c r="C214" s="9" t="s">
        <v>68</v>
      </c>
      <c r="D214" s="50" t="str">
        <f>VLOOKUP(ExtComp[[#This Row],[DEVELOPMENT]],Data[],8,FALSE)</f>
        <v>Zone 4</v>
      </c>
      <c r="E214" s="50">
        <f>VLOOKUP(ExtComp[[#This Row],[DEVELOPMENT]],Data[],9,FALSE)</f>
        <v>0</v>
      </c>
      <c r="F214" s="50" t="str">
        <f ca="1">IFERROR(VLOOKUP(ExtComp[[#This Row],[DEVELOPMENT]],Data[],4,FALSE),"")</f>
        <v>2026+</v>
      </c>
      <c r="G214" s="50" t="str">
        <f ca="1">IF(ExtComp[[#This Row],[RAD/PACT]]="","",IF(ExtComp[[#This Row],[RAD/PACT]]&lt;=2025,"Yes",""))</f>
        <v/>
      </c>
      <c r="H214" s="51">
        <f ca="1">IF(VLOOKUP(ExtComp[[#This Row],[DEVELOPMENT]],Data[],11,FALSE)=0,"",DATEDIF(VLOOKUP(ExtComp[[#This Row],[DEVELOPMENT]],Data[],13,FALSE),TODAY(),"Y"))</f>
        <v>20</v>
      </c>
      <c r="I214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214" s="47">
        <f ca="1">(ExtComp[[#This Row],['# to Replace]]*'Unit Cost Summary'!$B$6)*(1+((ExtComp[[#This Row],[est. Year]]-YEAR(TODAY()))*$J$2))</f>
        <v>645692.58000000007</v>
      </c>
      <c r="K214" s="51">
        <f ca="1">SUM(INDEX(ExtComp['# to Replace],1):ExtComp[[#This Row],['# to Replace]])</f>
        <v>230</v>
      </c>
      <c r="L214" s="51">
        <f ca="1">ROUNDDOWN(ExtComp[[#This Row],[Count]]/50,0)+$L$1</f>
        <v>2024</v>
      </c>
      <c r="M214" s="64">
        <f t="shared" ca="1" si="3"/>
        <v>6887387.5200000005</v>
      </c>
      <c r="N214" s="64" t="str">
        <f>IFERROR(VLOOKUP(ExtComp[[#This Row],[DEVELOPMENT]],Data[],22,FALSE),"")</f>
        <v/>
      </c>
      <c r="O214" s="71" t="str">
        <f>IFERROR(VLOOKUP(ExtComp[[#This Row],[DEVELOPMENT]],Data[],23,FALSE),"")</f>
        <v/>
      </c>
    </row>
    <row r="215" spans="1:15">
      <c r="A215" s="67" t="s">
        <v>242</v>
      </c>
      <c r="B215" s="1" t="str">
        <f>VLOOKUP(A215,Data[],2,FALSE)</f>
        <v>MANHATTAN</v>
      </c>
      <c r="C215" s="9" t="s">
        <v>68</v>
      </c>
      <c r="D215" s="9" t="str">
        <f>VLOOKUP(ExtComp[[#This Row],[DEVELOPMENT]],Data[],8,FALSE)</f>
        <v>Zone 1</v>
      </c>
      <c r="E215" s="9">
        <f>VLOOKUP(ExtComp[[#This Row],[DEVELOPMENT]],Data[],9,FALSE)</f>
        <v>4</v>
      </c>
      <c r="F215" s="9" t="str">
        <f ca="1">IFERROR(VLOOKUP(ExtComp[[#This Row],[DEVELOPMENT]],Data[],4,FALSE),"")</f>
        <v>2026+</v>
      </c>
      <c r="G215" s="9" t="str">
        <f ca="1">IF(ExtComp[[#This Row],[RAD/PACT]]="","",IF(ExtComp[[#This Row],[RAD/PACT]]&lt;=2025,"Yes",""))</f>
        <v/>
      </c>
      <c r="H215" s="1" t="str">
        <f ca="1">IF(VLOOKUP(ExtComp[[#This Row],[DEVELOPMENT]],Data[],11,FALSE)=0,"",DATEDIF(VLOOKUP(ExtComp[[#This Row],[DEVELOPMENT]],Data[],13,FALSE),TODAY(),"Y"))</f>
        <v/>
      </c>
      <c r="I215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15" s="47">
        <f ca="1">(ExtComp[[#This Row],['# to Replace]]*'Unit Cost Summary'!$B$6)*(1+((ExtComp[[#This Row],[est. Year]]-YEAR(TODAY()))*$J$2))</f>
        <v>0</v>
      </c>
      <c r="K215" s="1">
        <f ca="1">SUM(INDEX(ExtComp['# to Replace],1):ExtComp[[#This Row],['# to Replace]])</f>
        <v>230</v>
      </c>
      <c r="L215" s="1">
        <f ca="1">ROUNDDOWN(ExtComp[[#This Row],[Count]]/50,0)+$L$1</f>
        <v>2024</v>
      </c>
      <c r="M215" s="64">
        <f t="shared" ca="1" si="3"/>
        <v>6887387.5200000005</v>
      </c>
      <c r="N215" s="64" t="str">
        <f>IFERROR(VLOOKUP(ExtComp[[#This Row],[DEVELOPMENT]],Data[],22,FALSE),"")</f>
        <v/>
      </c>
      <c r="O215" s="51" t="str">
        <f>IFERROR(VLOOKUP(ExtComp[[#This Row],[DEVELOPMENT]],Data[],23,FALSE),"")</f>
        <v/>
      </c>
    </row>
    <row r="216" spans="1:15">
      <c r="A216" s="13" t="s">
        <v>203</v>
      </c>
      <c r="B216" s="9" t="str">
        <f>VLOOKUP(A216,Data[],2,FALSE)</f>
        <v>BROOKLYN</v>
      </c>
      <c r="C216" s="9" t="s">
        <v>68</v>
      </c>
      <c r="D216" s="50">
        <f>VLOOKUP(ExtComp[[#This Row],[DEVELOPMENT]],Data[],8,FALSE)</f>
        <v>0</v>
      </c>
      <c r="E216" s="50">
        <f>VLOOKUP(ExtComp[[#This Row],[DEVELOPMENT]],Data[],9,FALSE)</f>
        <v>0</v>
      </c>
      <c r="F216" s="50" t="str">
        <f ca="1">IFERROR(VLOOKUP(ExtComp[[#This Row],[DEVELOPMENT]],Data[],4,FALSE),"")</f>
        <v>2026+</v>
      </c>
      <c r="G216" s="50" t="str">
        <f ca="1">IF(ExtComp[[#This Row],[RAD/PACT]]="","",IF(ExtComp[[#This Row],[RAD/PACT]]&lt;=2025,"Yes",""))</f>
        <v/>
      </c>
      <c r="H216" s="51" t="str">
        <f ca="1">IF(VLOOKUP(ExtComp[[#This Row],[DEVELOPMENT]],Data[],11,FALSE)=0,"",DATEDIF(VLOOKUP(ExtComp[[#This Row],[DEVELOPMENT]],Data[],13,FALSE),TODAY(),"Y"))</f>
        <v/>
      </c>
      <c r="I21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16" s="47">
        <f ca="1">(ExtComp[[#This Row],['# to Replace]]*'Unit Cost Summary'!$B$6)*(1+((ExtComp[[#This Row],[est. Year]]-YEAR(TODAY()))*$J$2))</f>
        <v>0</v>
      </c>
      <c r="K216" s="51">
        <f ca="1">SUM(INDEX(ExtComp['# to Replace],1):ExtComp[[#This Row],['# to Replace]])</f>
        <v>230</v>
      </c>
      <c r="L216" s="51">
        <f ca="1">ROUNDDOWN(ExtComp[[#This Row],[Count]]/50,0)+$L$1</f>
        <v>2024</v>
      </c>
      <c r="M216" s="64">
        <f t="shared" ca="1" si="3"/>
        <v>6887387.5200000005</v>
      </c>
      <c r="N216" s="64" t="str">
        <f>IFERROR(VLOOKUP(ExtComp[[#This Row],[DEVELOPMENT]],Data[],22,FALSE),"")</f>
        <v/>
      </c>
      <c r="O216" s="51" t="str">
        <f>IFERROR(VLOOKUP(ExtComp[[#This Row],[DEVELOPMENT]],Data[],23,FALSE),"")</f>
        <v/>
      </c>
    </row>
    <row r="217" spans="1:15">
      <c r="A217" s="13" t="s">
        <v>323</v>
      </c>
      <c r="B217" s="9">
        <f>VLOOKUP(A217,Data[],2,FALSE)</f>
        <v>0</v>
      </c>
      <c r="C217" s="9" t="s">
        <v>68</v>
      </c>
      <c r="D217" s="50">
        <f>VLOOKUP(ExtComp[[#This Row],[DEVELOPMENT]],Data[],8,FALSE)</f>
        <v>0</v>
      </c>
      <c r="E217" s="50">
        <f>VLOOKUP(ExtComp[[#This Row],[DEVELOPMENT]],Data[],9,FALSE)</f>
        <v>0</v>
      </c>
      <c r="F217" s="50" t="str">
        <f ca="1">IFERROR(VLOOKUP(ExtComp[[#This Row],[DEVELOPMENT]],Data[],4,FALSE),"")</f>
        <v/>
      </c>
      <c r="G217" s="50" t="str">
        <f ca="1">IF(ExtComp[[#This Row],[RAD/PACT]]="","",IF(ExtComp[[#This Row],[RAD/PACT]]&lt;=2025,"Yes",""))</f>
        <v/>
      </c>
      <c r="H217" s="51" t="str">
        <f ca="1">IF(VLOOKUP(ExtComp[[#This Row],[DEVELOPMENT]],Data[],11,FALSE)=0,"",DATEDIF(VLOOKUP(ExtComp[[#This Row],[DEVELOPMENT]],Data[],13,FALSE),TODAY(),"Y"))</f>
        <v/>
      </c>
      <c r="I21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17" s="47">
        <f ca="1">(ExtComp[[#This Row],['# to Replace]]*'Unit Cost Summary'!$B$6)*(1+((ExtComp[[#This Row],[est. Year]]-YEAR(TODAY()))*$J$2))</f>
        <v>0</v>
      </c>
      <c r="K217" s="51">
        <f ca="1">SUM(INDEX(ExtComp['# to Replace],1):ExtComp[[#This Row],['# to Replace]])</f>
        <v>230</v>
      </c>
      <c r="L217" s="51">
        <f ca="1">ROUNDDOWN(ExtComp[[#This Row],[Count]]/50,0)+$L$1</f>
        <v>2024</v>
      </c>
      <c r="M217" s="64">
        <f t="shared" ca="1" si="3"/>
        <v>6887387.5200000005</v>
      </c>
      <c r="N217" s="64" t="str">
        <f>IFERROR(VLOOKUP(ExtComp[[#This Row],[DEVELOPMENT]],Data[],22,FALSE),"")</f>
        <v/>
      </c>
      <c r="O217" s="51" t="str">
        <f>IFERROR(VLOOKUP(ExtComp[[#This Row],[DEVELOPMENT]],Data[],23,FALSE),"")</f>
        <v/>
      </c>
    </row>
    <row r="218" spans="1:15">
      <c r="A218" s="13" t="s">
        <v>241</v>
      </c>
      <c r="B218" s="9">
        <f>VLOOKUP(A218,Data[],2,FALSE)</f>
        <v>0</v>
      </c>
      <c r="C218" s="9" t="s">
        <v>68</v>
      </c>
      <c r="D218" s="50">
        <f>VLOOKUP(ExtComp[[#This Row],[DEVELOPMENT]],Data[],8,FALSE)</f>
        <v>0</v>
      </c>
      <c r="E218" s="50">
        <f>VLOOKUP(ExtComp[[#This Row],[DEVELOPMENT]],Data[],9,FALSE)</f>
        <v>0</v>
      </c>
      <c r="F218" s="50" t="str">
        <f ca="1">IFERROR(VLOOKUP(ExtComp[[#This Row],[DEVELOPMENT]],Data[],4,FALSE),"")</f>
        <v/>
      </c>
      <c r="G218" s="50" t="str">
        <f ca="1">IF(ExtComp[[#This Row],[RAD/PACT]]="","",IF(ExtComp[[#This Row],[RAD/PACT]]&lt;=2025,"Yes",""))</f>
        <v/>
      </c>
      <c r="H218" s="51" t="str">
        <f ca="1">IF(VLOOKUP(ExtComp[[#This Row],[DEVELOPMENT]],Data[],11,FALSE)=0,"",DATEDIF(VLOOKUP(ExtComp[[#This Row],[DEVELOPMENT]],Data[],13,FALSE),TODAY(),"Y"))</f>
        <v/>
      </c>
      <c r="I21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18" s="47">
        <f ca="1">(ExtComp[[#This Row],['# to Replace]]*'Unit Cost Summary'!$B$6)*(1+((ExtComp[[#This Row],[est. Year]]-YEAR(TODAY()))*$J$2))</f>
        <v>0</v>
      </c>
      <c r="K218" s="51">
        <f ca="1">SUM(INDEX(ExtComp['# to Replace],1):ExtComp[[#This Row],['# to Replace]])</f>
        <v>230</v>
      </c>
      <c r="L218" s="51">
        <f ca="1">ROUNDDOWN(ExtComp[[#This Row],[Count]]/50,0)+$L$1</f>
        <v>2024</v>
      </c>
      <c r="M218" s="64">
        <f t="shared" ca="1" si="3"/>
        <v>6887387.5200000005</v>
      </c>
      <c r="N218" s="64" t="str">
        <f>IFERROR(VLOOKUP(ExtComp[[#This Row],[DEVELOPMENT]],Data[],22,FALSE),"")</f>
        <v/>
      </c>
      <c r="O218" s="51" t="str">
        <f>IFERROR(VLOOKUP(ExtComp[[#This Row],[DEVELOPMENT]],Data[],23,FALSE),"")</f>
        <v/>
      </c>
    </row>
    <row r="219" spans="1:15">
      <c r="A219" s="13" t="s">
        <v>322</v>
      </c>
      <c r="B219" s="9">
        <f>VLOOKUP(A219,Data[],2,FALSE)</f>
        <v>0</v>
      </c>
      <c r="C219" s="9" t="s">
        <v>68</v>
      </c>
      <c r="D219" s="50">
        <f>VLOOKUP(ExtComp[[#This Row],[DEVELOPMENT]],Data[],8,FALSE)</f>
        <v>0</v>
      </c>
      <c r="E219" s="50">
        <f>VLOOKUP(ExtComp[[#This Row],[DEVELOPMENT]],Data[],9,FALSE)</f>
        <v>0</v>
      </c>
      <c r="F219" s="50" t="str">
        <f ca="1">IFERROR(VLOOKUP(ExtComp[[#This Row],[DEVELOPMENT]],Data[],4,FALSE),"")</f>
        <v/>
      </c>
      <c r="G219" s="50" t="str">
        <f ca="1">IF(ExtComp[[#This Row],[RAD/PACT]]="","",IF(ExtComp[[#This Row],[RAD/PACT]]&lt;=2025,"Yes",""))</f>
        <v/>
      </c>
      <c r="H219" s="51" t="str">
        <f ca="1">IF(VLOOKUP(ExtComp[[#This Row],[DEVELOPMENT]],Data[],11,FALSE)=0,"",DATEDIF(VLOOKUP(ExtComp[[#This Row],[DEVELOPMENT]],Data[],13,FALSE),TODAY(),"Y"))</f>
        <v/>
      </c>
      <c r="I21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19" s="47">
        <f ca="1">(ExtComp[[#This Row],['# to Replace]]*'Unit Cost Summary'!$B$6)*(1+((ExtComp[[#This Row],[est. Year]]-YEAR(TODAY()))*$J$2))</f>
        <v>0</v>
      </c>
      <c r="K219" s="51">
        <f ca="1">SUM(INDEX(ExtComp['# to Replace],1):ExtComp[[#This Row],['# to Replace]])</f>
        <v>230</v>
      </c>
      <c r="L219" s="51">
        <f ca="1">ROUNDDOWN(ExtComp[[#This Row],[Count]]/50,0)+$L$1</f>
        <v>2024</v>
      </c>
      <c r="M219" s="64">
        <f t="shared" ca="1" si="3"/>
        <v>6887387.5200000005</v>
      </c>
      <c r="N219" s="64" t="str">
        <f>IFERROR(VLOOKUP(ExtComp[[#This Row],[DEVELOPMENT]],Data[],22,FALSE),"")</f>
        <v/>
      </c>
      <c r="O219" s="51" t="str">
        <f>IFERROR(VLOOKUP(ExtComp[[#This Row],[DEVELOPMENT]],Data[],23,FALSE),"")</f>
        <v/>
      </c>
    </row>
    <row r="220" spans="1:15">
      <c r="A220" s="13" t="s">
        <v>321</v>
      </c>
      <c r="B220" s="9">
        <f>VLOOKUP(A220,Data[],2,FALSE)</f>
        <v>0</v>
      </c>
      <c r="C220" s="9" t="s">
        <v>68</v>
      </c>
      <c r="D220" s="50">
        <f>VLOOKUP(ExtComp[[#This Row],[DEVELOPMENT]],Data[],8,FALSE)</f>
        <v>0</v>
      </c>
      <c r="E220" s="50">
        <f>VLOOKUP(ExtComp[[#This Row],[DEVELOPMENT]],Data[],9,FALSE)</f>
        <v>0</v>
      </c>
      <c r="F220" s="50" t="str">
        <f ca="1">IFERROR(VLOOKUP(ExtComp[[#This Row],[DEVELOPMENT]],Data[],4,FALSE),"")</f>
        <v/>
      </c>
      <c r="G220" s="50" t="str">
        <f ca="1">IF(ExtComp[[#This Row],[RAD/PACT]]="","",IF(ExtComp[[#This Row],[RAD/PACT]]&lt;=2025,"Yes",""))</f>
        <v/>
      </c>
      <c r="H220" s="51" t="str">
        <f ca="1">IF(VLOOKUP(ExtComp[[#This Row],[DEVELOPMENT]],Data[],11,FALSE)=0,"",DATEDIF(VLOOKUP(ExtComp[[#This Row],[DEVELOPMENT]],Data[],13,FALSE),TODAY(),"Y"))</f>
        <v/>
      </c>
      <c r="I22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20" s="47">
        <f ca="1">(ExtComp[[#This Row],['# to Replace]]*'Unit Cost Summary'!$B$6)*(1+((ExtComp[[#This Row],[est. Year]]-YEAR(TODAY()))*$J$2))</f>
        <v>0</v>
      </c>
      <c r="K220" s="51">
        <f ca="1">SUM(INDEX(ExtComp['# to Replace],1):ExtComp[[#This Row],['# to Replace]])</f>
        <v>230</v>
      </c>
      <c r="L220" s="51">
        <f ca="1">ROUNDDOWN(ExtComp[[#This Row],[Count]]/50,0)+$L$1</f>
        <v>2024</v>
      </c>
      <c r="M220" s="64">
        <f t="shared" ca="1" si="3"/>
        <v>6887387.5200000005</v>
      </c>
      <c r="N220" s="64" t="str">
        <f>IFERROR(VLOOKUP(ExtComp[[#This Row],[DEVELOPMENT]],Data[],22,FALSE),"")</f>
        <v/>
      </c>
      <c r="O220" s="51" t="str">
        <f>IFERROR(VLOOKUP(ExtComp[[#This Row],[DEVELOPMENT]],Data[],23,FALSE),"")</f>
        <v/>
      </c>
    </row>
    <row r="221" spans="1:15">
      <c r="A221" s="13" t="s">
        <v>320</v>
      </c>
      <c r="B221" s="9">
        <f>VLOOKUP(A221,Data[],2,FALSE)</f>
        <v>0</v>
      </c>
      <c r="C221" s="9" t="s">
        <v>68</v>
      </c>
      <c r="D221" s="50">
        <f>VLOOKUP(ExtComp[[#This Row],[DEVELOPMENT]],Data[],8,FALSE)</f>
        <v>0</v>
      </c>
      <c r="E221" s="50">
        <f>VLOOKUP(ExtComp[[#This Row],[DEVELOPMENT]],Data[],9,FALSE)</f>
        <v>0</v>
      </c>
      <c r="F221" s="50" t="str">
        <f ca="1">IFERROR(VLOOKUP(ExtComp[[#This Row],[DEVELOPMENT]],Data[],4,FALSE),"")</f>
        <v/>
      </c>
      <c r="G221" s="50" t="str">
        <f ca="1">IF(ExtComp[[#This Row],[RAD/PACT]]="","",IF(ExtComp[[#This Row],[RAD/PACT]]&lt;=2025,"Yes",""))</f>
        <v/>
      </c>
      <c r="H221" s="51" t="str">
        <f ca="1">IF(VLOOKUP(ExtComp[[#This Row],[DEVELOPMENT]],Data[],11,FALSE)=0,"",DATEDIF(VLOOKUP(ExtComp[[#This Row],[DEVELOPMENT]],Data[],13,FALSE),TODAY(),"Y"))</f>
        <v/>
      </c>
      <c r="I221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21" s="47">
        <f ca="1">(ExtComp[[#This Row],['# to Replace]]*'Unit Cost Summary'!$B$6)*(1+((ExtComp[[#This Row],[est. Year]]-YEAR(TODAY()))*$J$2))</f>
        <v>0</v>
      </c>
      <c r="K221" s="51">
        <f ca="1">SUM(INDEX(ExtComp['# to Replace],1):ExtComp[[#This Row],['# to Replace]])</f>
        <v>230</v>
      </c>
      <c r="L221" s="51">
        <f ca="1">ROUNDDOWN(ExtComp[[#This Row],[Count]]/50,0)+$L$1</f>
        <v>2024</v>
      </c>
      <c r="M221" s="64">
        <f t="shared" ca="1" si="3"/>
        <v>6887387.5200000005</v>
      </c>
      <c r="N221" s="64" t="str">
        <f>IFERROR(VLOOKUP(ExtComp[[#This Row],[DEVELOPMENT]],Data[],22,FALSE),"")</f>
        <v/>
      </c>
      <c r="O221" s="51" t="str">
        <f>IFERROR(VLOOKUP(ExtComp[[#This Row],[DEVELOPMENT]],Data[],23,FALSE),"")</f>
        <v/>
      </c>
    </row>
    <row r="222" spans="1:15">
      <c r="A222" s="13" t="s">
        <v>240</v>
      </c>
      <c r="B222" s="9">
        <f>VLOOKUP(A222,Data[],2,FALSE)</f>
        <v>0</v>
      </c>
      <c r="C222" s="9" t="s">
        <v>68</v>
      </c>
      <c r="D222" s="50" t="str">
        <f>VLOOKUP(ExtComp[[#This Row],[DEVELOPMENT]],Data[],8,FALSE)</f>
        <v>Zone 4</v>
      </c>
      <c r="E222" s="50">
        <f>VLOOKUP(ExtComp[[#This Row],[DEVELOPMENT]],Data[],9,FALSE)</f>
        <v>0</v>
      </c>
      <c r="F222" s="50" t="str">
        <f ca="1">IFERROR(VLOOKUP(ExtComp[[#This Row],[DEVELOPMENT]],Data[],4,FALSE),"")</f>
        <v/>
      </c>
      <c r="G222" s="50" t="str">
        <f ca="1">IF(ExtComp[[#This Row],[RAD/PACT]]="","",IF(ExtComp[[#This Row],[RAD/PACT]]&lt;=2025,"Yes",""))</f>
        <v/>
      </c>
      <c r="H222" s="51" t="str">
        <f ca="1">IF(VLOOKUP(ExtComp[[#This Row],[DEVELOPMENT]],Data[],11,FALSE)=0,"",DATEDIF(VLOOKUP(ExtComp[[#This Row],[DEVELOPMENT]],Data[],13,FALSE),TODAY(),"Y"))</f>
        <v/>
      </c>
      <c r="I22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22" s="47">
        <f ca="1">(ExtComp[[#This Row],['# to Replace]]*'Unit Cost Summary'!$B$6)*(1+((ExtComp[[#This Row],[est. Year]]-YEAR(TODAY()))*$J$2))</f>
        <v>0</v>
      </c>
      <c r="K222" s="51">
        <f ca="1">SUM(INDEX(ExtComp['# to Replace],1):ExtComp[[#This Row],['# to Replace]])</f>
        <v>230</v>
      </c>
      <c r="L222" s="51">
        <f ca="1">ROUNDDOWN(ExtComp[[#This Row],[Count]]/50,0)+$L$1</f>
        <v>2024</v>
      </c>
      <c r="M222" s="64">
        <f t="shared" ca="1" si="3"/>
        <v>6887387.5200000005</v>
      </c>
      <c r="N222" s="64" t="str">
        <f>IFERROR(VLOOKUP(ExtComp[[#This Row],[DEVELOPMENT]],Data[],22,FALSE),"")</f>
        <v/>
      </c>
      <c r="O222" s="51" t="str">
        <f>IFERROR(VLOOKUP(ExtComp[[#This Row],[DEVELOPMENT]],Data[],23,FALSE),"")</f>
        <v/>
      </c>
    </row>
    <row r="223" spans="1:15">
      <c r="A223" s="13" t="s">
        <v>239</v>
      </c>
      <c r="B223" s="9">
        <f>VLOOKUP(A223,Data[],2,FALSE)</f>
        <v>0</v>
      </c>
      <c r="C223" s="9" t="s">
        <v>68</v>
      </c>
      <c r="D223" s="50">
        <f>VLOOKUP(ExtComp[[#This Row],[DEVELOPMENT]],Data[],8,FALSE)</f>
        <v>0</v>
      </c>
      <c r="E223" s="50">
        <f>VLOOKUP(ExtComp[[#This Row],[DEVELOPMENT]],Data[],9,FALSE)</f>
        <v>0</v>
      </c>
      <c r="F223" s="50" t="str">
        <f ca="1">IFERROR(VLOOKUP(ExtComp[[#This Row],[DEVELOPMENT]],Data[],4,FALSE),"")</f>
        <v/>
      </c>
      <c r="G223" s="50" t="str">
        <f ca="1">IF(ExtComp[[#This Row],[RAD/PACT]]="","",IF(ExtComp[[#This Row],[RAD/PACT]]&lt;=2025,"Yes",""))</f>
        <v/>
      </c>
      <c r="H223" s="51" t="str">
        <f ca="1">IF(VLOOKUP(ExtComp[[#This Row],[DEVELOPMENT]],Data[],11,FALSE)=0,"",DATEDIF(VLOOKUP(ExtComp[[#This Row],[DEVELOPMENT]],Data[],13,FALSE),TODAY(),"Y"))</f>
        <v/>
      </c>
      <c r="I22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23" s="47">
        <f ca="1">(ExtComp[[#This Row],['# to Replace]]*'Unit Cost Summary'!$B$6)*(1+((ExtComp[[#This Row],[est. Year]]-YEAR(TODAY()))*$J$2))</f>
        <v>0</v>
      </c>
      <c r="K223" s="51">
        <f ca="1">SUM(INDEX(ExtComp['# to Replace],1):ExtComp[[#This Row],['# to Replace]])</f>
        <v>230</v>
      </c>
      <c r="L223" s="51">
        <f ca="1">ROUNDDOWN(ExtComp[[#This Row],[Count]]/50,0)+$L$1</f>
        <v>2024</v>
      </c>
      <c r="M223" s="64">
        <f t="shared" ca="1" si="3"/>
        <v>6887387.5200000005</v>
      </c>
      <c r="N223" s="64" t="str">
        <f>IFERROR(VLOOKUP(ExtComp[[#This Row],[DEVELOPMENT]],Data[],22,FALSE),"")</f>
        <v/>
      </c>
      <c r="O223" s="51" t="str">
        <f>IFERROR(VLOOKUP(ExtComp[[#This Row],[DEVELOPMENT]],Data[],23,FALSE),"")</f>
        <v/>
      </c>
    </row>
    <row r="224" spans="1:15">
      <c r="A224" s="13" t="s">
        <v>238</v>
      </c>
      <c r="B224" s="9">
        <f>VLOOKUP(A224,Data[],2,FALSE)</f>
        <v>0</v>
      </c>
      <c r="C224" s="9" t="s">
        <v>68</v>
      </c>
      <c r="D224" s="50">
        <f>VLOOKUP(ExtComp[[#This Row],[DEVELOPMENT]],Data[],8,FALSE)</f>
        <v>0</v>
      </c>
      <c r="E224" s="50">
        <f>VLOOKUP(ExtComp[[#This Row],[DEVELOPMENT]],Data[],9,FALSE)</f>
        <v>0</v>
      </c>
      <c r="F224" s="50" t="str">
        <f ca="1">IFERROR(VLOOKUP(ExtComp[[#This Row],[DEVELOPMENT]],Data[],4,FALSE),"")</f>
        <v/>
      </c>
      <c r="G224" s="50" t="str">
        <f ca="1">IF(ExtComp[[#This Row],[RAD/PACT]]="","",IF(ExtComp[[#This Row],[RAD/PACT]]&lt;=2025,"Yes",""))</f>
        <v/>
      </c>
      <c r="H224" s="51" t="str">
        <f ca="1">IF(VLOOKUP(ExtComp[[#This Row],[DEVELOPMENT]],Data[],11,FALSE)=0,"",DATEDIF(VLOOKUP(ExtComp[[#This Row],[DEVELOPMENT]],Data[],13,FALSE),TODAY(),"Y"))</f>
        <v/>
      </c>
      <c r="I22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24" s="47">
        <f ca="1">(ExtComp[[#This Row],['# to Replace]]*'Unit Cost Summary'!$B$6)*(1+((ExtComp[[#This Row],[est. Year]]-YEAR(TODAY()))*$J$2))</f>
        <v>0</v>
      </c>
      <c r="K224" s="51">
        <f ca="1">SUM(INDEX(ExtComp['# to Replace],1):ExtComp[[#This Row],['# to Replace]])</f>
        <v>230</v>
      </c>
      <c r="L224" s="51">
        <f ca="1">ROUNDDOWN(ExtComp[[#This Row],[Count]]/50,0)+$L$1</f>
        <v>2024</v>
      </c>
      <c r="M224" s="64">
        <f t="shared" ca="1" si="3"/>
        <v>6887387.5200000005</v>
      </c>
      <c r="N224" s="64" t="str">
        <f>IFERROR(VLOOKUP(ExtComp[[#This Row],[DEVELOPMENT]],Data[],22,FALSE),"")</f>
        <v/>
      </c>
      <c r="O224" s="51" t="str">
        <f>IFERROR(VLOOKUP(ExtComp[[#This Row],[DEVELOPMENT]],Data[],23,FALSE),"")</f>
        <v/>
      </c>
    </row>
    <row r="225" spans="1:15">
      <c r="A225" s="13" t="s">
        <v>237</v>
      </c>
      <c r="B225" s="9">
        <f>VLOOKUP(A225,Data[],2,FALSE)</f>
        <v>0</v>
      </c>
      <c r="C225" s="9" t="s">
        <v>68</v>
      </c>
      <c r="D225" s="50">
        <f>VLOOKUP(ExtComp[[#This Row],[DEVELOPMENT]],Data[],8,FALSE)</f>
        <v>0</v>
      </c>
      <c r="E225" s="50">
        <f>VLOOKUP(ExtComp[[#This Row],[DEVELOPMENT]],Data[],9,FALSE)</f>
        <v>0</v>
      </c>
      <c r="F225" s="50" t="str">
        <f ca="1">IFERROR(VLOOKUP(ExtComp[[#This Row],[DEVELOPMENT]],Data[],4,FALSE),"")</f>
        <v/>
      </c>
      <c r="G225" s="50" t="str">
        <f ca="1">IF(ExtComp[[#This Row],[RAD/PACT]]="","",IF(ExtComp[[#This Row],[RAD/PACT]]&lt;=2025,"Yes",""))</f>
        <v/>
      </c>
      <c r="H225" s="51" t="str">
        <f ca="1">IF(VLOOKUP(ExtComp[[#This Row],[DEVELOPMENT]],Data[],11,FALSE)=0,"",DATEDIF(VLOOKUP(ExtComp[[#This Row],[DEVELOPMENT]],Data[],13,FALSE),TODAY(),"Y"))</f>
        <v/>
      </c>
      <c r="I22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25" s="47">
        <f ca="1">(ExtComp[[#This Row],['# to Replace]]*'Unit Cost Summary'!$B$6)*(1+((ExtComp[[#This Row],[est. Year]]-YEAR(TODAY()))*$J$2))</f>
        <v>0</v>
      </c>
      <c r="K225" s="51">
        <f ca="1">SUM(INDEX(ExtComp['# to Replace],1):ExtComp[[#This Row],['# to Replace]])</f>
        <v>230</v>
      </c>
      <c r="L225" s="51">
        <f ca="1">ROUNDDOWN(ExtComp[[#This Row],[Count]]/50,0)+$L$1</f>
        <v>2024</v>
      </c>
      <c r="M225" s="64">
        <f t="shared" ca="1" si="3"/>
        <v>6887387.5200000005</v>
      </c>
      <c r="N225" s="64" t="str">
        <f>IFERROR(VLOOKUP(ExtComp[[#This Row],[DEVELOPMENT]],Data[],22,FALSE),"")</f>
        <v/>
      </c>
      <c r="O225" s="51" t="str">
        <f>IFERROR(VLOOKUP(ExtComp[[#This Row],[DEVELOPMENT]],Data[],23,FALSE),"")</f>
        <v/>
      </c>
    </row>
    <row r="226" spans="1:15">
      <c r="A226" s="13" t="s">
        <v>319</v>
      </c>
      <c r="B226" s="9">
        <f>VLOOKUP(A226,Data[],2,FALSE)</f>
        <v>0</v>
      </c>
      <c r="C226" s="9" t="s">
        <v>68</v>
      </c>
      <c r="D226" s="50">
        <f>VLOOKUP(ExtComp[[#This Row],[DEVELOPMENT]],Data[],8,FALSE)</f>
        <v>0</v>
      </c>
      <c r="E226" s="50">
        <f>VLOOKUP(ExtComp[[#This Row],[DEVELOPMENT]],Data[],9,FALSE)</f>
        <v>0</v>
      </c>
      <c r="F226" s="50" t="str">
        <f ca="1">IFERROR(VLOOKUP(ExtComp[[#This Row],[DEVELOPMENT]],Data[],4,FALSE),"")</f>
        <v/>
      </c>
      <c r="G226" s="50" t="str">
        <f ca="1">IF(ExtComp[[#This Row],[RAD/PACT]]="","",IF(ExtComp[[#This Row],[RAD/PACT]]&lt;=2025,"Yes",""))</f>
        <v/>
      </c>
      <c r="H226" s="51" t="str">
        <f ca="1">IF(VLOOKUP(ExtComp[[#This Row],[DEVELOPMENT]],Data[],11,FALSE)=0,"",DATEDIF(VLOOKUP(ExtComp[[#This Row],[DEVELOPMENT]],Data[],13,FALSE),TODAY(),"Y"))</f>
        <v/>
      </c>
      <c r="I22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26" s="47">
        <f ca="1">(ExtComp[[#This Row],['# to Replace]]*'Unit Cost Summary'!$B$6)*(1+((ExtComp[[#This Row],[est. Year]]-YEAR(TODAY()))*$J$2))</f>
        <v>0</v>
      </c>
      <c r="K226" s="51">
        <f ca="1">SUM(INDEX(ExtComp['# to Replace],1):ExtComp[[#This Row],['# to Replace]])</f>
        <v>230</v>
      </c>
      <c r="L226" s="51">
        <f ca="1">ROUNDDOWN(ExtComp[[#This Row],[Count]]/50,0)+$L$1</f>
        <v>2024</v>
      </c>
      <c r="M226" s="64">
        <f t="shared" ca="1" si="3"/>
        <v>6887387.5200000005</v>
      </c>
      <c r="N226" s="64" t="str">
        <f>IFERROR(VLOOKUP(ExtComp[[#This Row],[DEVELOPMENT]],Data[],22,FALSE),"")</f>
        <v/>
      </c>
      <c r="O226" s="51" t="str">
        <f>IFERROR(VLOOKUP(ExtComp[[#This Row],[DEVELOPMENT]],Data[],23,FALSE),"")</f>
        <v/>
      </c>
    </row>
    <row r="227" spans="1:15">
      <c r="A227" s="13" t="s">
        <v>318</v>
      </c>
      <c r="B227" s="9" t="str">
        <f>VLOOKUP(A227,Data[],2,FALSE)</f>
        <v>BROOKLYN</v>
      </c>
      <c r="C227" s="9"/>
      <c r="D227" s="50">
        <f>VLOOKUP(ExtComp[[#This Row],[DEVELOPMENT]],Data[],8,FALSE)</f>
        <v>0</v>
      </c>
      <c r="E227" s="50">
        <f>VLOOKUP(ExtComp[[#This Row],[DEVELOPMENT]],Data[],9,FALSE)</f>
        <v>0</v>
      </c>
      <c r="F227" s="50" t="str">
        <f ca="1">IFERROR(VLOOKUP(ExtComp[[#This Row],[DEVELOPMENT]],Data[],4,FALSE),"")</f>
        <v>2020-2021</v>
      </c>
      <c r="G227" s="50" t="str">
        <f ca="1">IF(ExtComp[[#This Row],[RAD/PACT]]="","",IF(ExtComp[[#This Row],[RAD/PACT]]&lt;=2025,"Yes",""))</f>
        <v/>
      </c>
      <c r="H227" s="51" t="str">
        <f ca="1">IF(VLOOKUP(ExtComp[[#This Row],[DEVELOPMENT]],Data[],11,FALSE)=0,"",DATEDIF(VLOOKUP(ExtComp[[#This Row],[DEVELOPMENT]],Data[],13,FALSE),TODAY(),"Y"))</f>
        <v/>
      </c>
      <c r="I22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27" s="47">
        <f ca="1">(ExtComp[[#This Row],['# to Replace]]*'Unit Cost Summary'!$B$6)*(1+((ExtComp[[#This Row],[est. Year]]-YEAR(TODAY()))*$J$2))</f>
        <v>0</v>
      </c>
      <c r="K227" s="51">
        <f ca="1">SUM(INDEX(ExtComp['# to Replace],1):ExtComp[[#This Row],['# to Replace]])</f>
        <v>230</v>
      </c>
      <c r="L227" s="51">
        <f ca="1">ROUNDDOWN(ExtComp[[#This Row],[Count]]/50,0)+$L$1</f>
        <v>2024</v>
      </c>
      <c r="M227" s="64">
        <f t="shared" ca="1" si="3"/>
        <v>6887387.5200000005</v>
      </c>
      <c r="N227" s="64" t="str">
        <f>IFERROR(VLOOKUP(ExtComp[[#This Row],[DEVELOPMENT]],Data[],22,FALSE),"")</f>
        <v/>
      </c>
      <c r="O227" s="51" t="str">
        <f>IFERROR(VLOOKUP(ExtComp[[#This Row],[DEVELOPMENT]],Data[],23,FALSE),"")</f>
        <v/>
      </c>
    </row>
    <row r="228" spans="1:15">
      <c r="A228" s="13" t="s">
        <v>202</v>
      </c>
      <c r="B228" s="9" t="str">
        <f>VLOOKUP(A228,Data[],2,FALSE)</f>
        <v>BROOKLYN</v>
      </c>
      <c r="C228" s="9" t="s">
        <v>68</v>
      </c>
      <c r="D228" s="50">
        <f>VLOOKUP(ExtComp[[#This Row],[DEVELOPMENT]],Data[],8,FALSE)</f>
        <v>0</v>
      </c>
      <c r="E228" s="50">
        <f>VLOOKUP(ExtComp[[#This Row],[DEVELOPMENT]],Data[],9,FALSE)</f>
        <v>0</v>
      </c>
      <c r="F228" s="50" t="str">
        <f ca="1">IFERROR(VLOOKUP(ExtComp[[#This Row],[DEVELOPMENT]],Data[],4,FALSE),"")</f>
        <v>2026+</v>
      </c>
      <c r="G228" s="50" t="str">
        <f ca="1">IF(ExtComp[[#This Row],[RAD/PACT]]="","",IF(ExtComp[[#This Row],[RAD/PACT]]&lt;=2025,"Yes",""))</f>
        <v/>
      </c>
      <c r="H228" s="51">
        <f ca="1">IF(VLOOKUP(ExtComp[[#This Row],[DEVELOPMENT]],Data[],11,FALSE)=0,"",DATEDIF(VLOOKUP(ExtComp[[#This Row],[DEVELOPMENT]],Data[],13,FALSE),TODAY(),"Y"))</f>
        <v>15</v>
      </c>
      <c r="I228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228" s="47">
        <f ca="1">(ExtComp[[#This Row],['# to Replace]]*'Unit Cost Summary'!$B$6)*(1+((ExtComp[[#This Row],[est. Year]]-YEAR(TODAY()))*$J$2))</f>
        <v>645692.58000000007</v>
      </c>
      <c r="K228" s="51">
        <f ca="1">SUM(INDEX(ExtComp['# to Replace],1):ExtComp[[#This Row],['# to Replace]])</f>
        <v>233</v>
      </c>
      <c r="L228" s="51">
        <f ca="1">ROUNDDOWN(ExtComp[[#This Row],[Count]]/50,0)+$L$1</f>
        <v>2024</v>
      </c>
      <c r="M228" s="64">
        <f t="shared" ca="1" si="3"/>
        <v>7533080.1000000006</v>
      </c>
      <c r="N228" s="64" t="str">
        <f>IFERROR(VLOOKUP(ExtComp[[#This Row],[DEVELOPMENT]],Data[],22,FALSE),"")</f>
        <v/>
      </c>
      <c r="O228" s="71" t="str">
        <f>IFERROR(VLOOKUP(ExtComp[[#This Row],[DEVELOPMENT]],Data[],23,FALSE),"")</f>
        <v/>
      </c>
    </row>
    <row r="229" spans="1:15">
      <c r="A229" s="13" t="s">
        <v>221</v>
      </c>
      <c r="B229" s="9" t="str">
        <f>VLOOKUP(A229,Data[],2,FALSE)</f>
        <v>MANHATTAN</v>
      </c>
      <c r="C229" s="9" t="s">
        <v>68</v>
      </c>
      <c r="D229" s="50" t="str">
        <f>VLOOKUP(ExtComp[[#This Row],[DEVELOPMENT]],Data[],8,FALSE)</f>
        <v>Zone 3</v>
      </c>
      <c r="E229" s="50">
        <f>VLOOKUP(ExtComp[[#This Row],[DEVELOPMENT]],Data[],9,FALSE)</f>
        <v>0</v>
      </c>
      <c r="F229" s="50" t="str">
        <f ca="1">IFERROR(VLOOKUP(ExtComp[[#This Row],[DEVELOPMENT]],Data[],4,FALSE),"")</f>
        <v/>
      </c>
      <c r="G229" s="50" t="str">
        <f ca="1">IF(ExtComp[[#This Row],[RAD/PACT]]="","",IF(ExtComp[[#This Row],[RAD/PACT]]&lt;=2025,"Yes",""))</f>
        <v/>
      </c>
      <c r="H229" s="51" t="str">
        <f ca="1">IF(VLOOKUP(ExtComp[[#This Row],[DEVELOPMENT]],Data[],11,FALSE)=0,"",DATEDIF(VLOOKUP(ExtComp[[#This Row],[DEVELOPMENT]],Data[],13,FALSE),TODAY(),"Y"))</f>
        <v/>
      </c>
      <c r="I22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29" s="47">
        <f ca="1">(ExtComp[[#This Row],['# to Replace]]*'Unit Cost Summary'!$B$6)*(1+((ExtComp[[#This Row],[est. Year]]-YEAR(TODAY()))*$J$2))</f>
        <v>0</v>
      </c>
      <c r="K229" s="51">
        <f ca="1">SUM(INDEX(ExtComp['# to Replace],1):ExtComp[[#This Row],['# to Replace]])</f>
        <v>233</v>
      </c>
      <c r="L229" s="51">
        <f ca="1">ROUNDDOWN(ExtComp[[#This Row],[Count]]/50,0)+$L$1</f>
        <v>2024</v>
      </c>
      <c r="M229" s="64">
        <f t="shared" ca="1" si="3"/>
        <v>7533080.1000000006</v>
      </c>
      <c r="N229" s="64" t="str">
        <f>IFERROR(VLOOKUP(ExtComp[[#This Row],[DEVELOPMENT]],Data[],22,FALSE),"")</f>
        <v/>
      </c>
      <c r="O229" s="51" t="str">
        <f>IFERROR(VLOOKUP(ExtComp[[#This Row],[DEVELOPMENT]],Data[],23,FALSE),"")</f>
        <v/>
      </c>
    </row>
    <row r="230" spans="1:15">
      <c r="A230" s="13" t="s">
        <v>201</v>
      </c>
      <c r="B230" s="9" t="str">
        <f>VLOOKUP(A230,Data[],2,FALSE)</f>
        <v>BRONX</v>
      </c>
      <c r="C230" s="9"/>
      <c r="D230" s="50">
        <f>VLOOKUP(ExtComp[[#This Row],[DEVELOPMENT]],Data[],8,FALSE)</f>
        <v>0</v>
      </c>
      <c r="E230" s="50">
        <f>VLOOKUP(ExtComp[[#This Row],[DEVELOPMENT]],Data[],9,FALSE)</f>
        <v>0</v>
      </c>
      <c r="F230" s="50" t="str">
        <f ca="1">IFERROR(VLOOKUP(ExtComp[[#This Row],[DEVELOPMENT]],Data[],4,FALSE),"")</f>
        <v>2022-2025</v>
      </c>
      <c r="G230" s="50" t="str">
        <f ca="1">IF(ExtComp[[#This Row],[RAD/PACT]]="","",IF(ExtComp[[#This Row],[RAD/PACT]]&lt;=2025,"Yes",""))</f>
        <v/>
      </c>
      <c r="H230" s="51">
        <f ca="1">IF(VLOOKUP(ExtComp[[#This Row],[DEVELOPMENT]],Data[],11,FALSE)=0,"",DATEDIF(VLOOKUP(ExtComp[[#This Row],[DEVELOPMENT]],Data[],13,FALSE),TODAY(),"Y"))</f>
        <v>5</v>
      </c>
      <c r="I230" s="51">
        <f ca="1">IF(ExtComp[[#This Row],[RAD/PACT]]="",VLOOKUP(ExtComp[[#This Row],[DEVELOPMENT]],Data[],11,FALSE),IF(ExtComp[[#This Row],[RAD/PACT by 2025]]="yes",0,VLOOKUP(ExtComp[[#This Row],[DEVELOPMENT]],Data[],11,FALSE)))</f>
        <v>5</v>
      </c>
      <c r="J230" s="47">
        <f ca="1">(ExtComp[[#This Row],['# to Replace]]*'Unit Cost Summary'!$B$6)*(1+((ExtComp[[#This Row],[est. Year]]-YEAR(TODAY()))*$J$2))</f>
        <v>1076154.3</v>
      </c>
      <c r="K230" s="51">
        <f ca="1">SUM(INDEX(ExtComp['# to Replace],1):ExtComp[[#This Row],['# to Replace]])</f>
        <v>238</v>
      </c>
      <c r="L230" s="51">
        <f ca="1">ROUNDDOWN(ExtComp[[#This Row],[Count]]/50,0)+$L$1</f>
        <v>2024</v>
      </c>
      <c r="M230" s="64">
        <f t="shared" ca="1" si="3"/>
        <v>8609234.4000000004</v>
      </c>
      <c r="N230" s="64" t="str">
        <f>IFERROR(VLOOKUP(ExtComp[[#This Row],[DEVELOPMENT]],Data[],22,FALSE),"")</f>
        <v/>
      </c>
      <c r="O230" s="71" t="str">
        <f>IFERROR(VLOOKUP(ExtComp[[#This Row],[DEVELOPMENT]],Data[],23,FALSE),"")</f>
        <v/>
      </c>
    </row>
    <row r="231" spans="1:15">
      <c r="A231" s="13" t="s">
        <v>317</v>
      </c>
      <c r="B231" s="9" t="str">
        <f>VLOOKUP(A231,Data[],2,FALSE)</f>
        <v>BRONX</v>
      </c>
      <c r="C231" s="9" t="s">
        <v>68</v>
      </c>
      <c r="D231" s="50">
        <f>VLOOKUP(ExtComp[[#This Row],[DEVELOPMENT]],Data[],8,FALSE)</f>
        <v>0</v>
      </c>
      <c r="E231" s="50">
        <f>VLOOKUP(ExtComp[[#This Row],[DEVELOPMENT]],Data[],9,FALSE)</f>
        <v>0</v>
      </c>
      <c r="F231" s="50" t="str">
        <f ca="1">IFERROR(VLOOKUP(ExtComp[[#This Row],[DEVELOPMENT]],Data[],4,FALSE),"")</f>
        <v>2026+</v>
      </c>
      <c r="G231" s="50" t="str">
        <f ca="1">IF(ExtComp[[#This Row],[RAD/PACT]]="","",IF(ExtComp[[#This Row],[RAD/PACT]]&lt;=2025,"Yes",""))</f>
        <v/>
      </c>
      <c r="H231" s="51">
        <f ca="1">IF(VLOOKUP(ExtComp[[#This Row],[DEVELOPMENT]],Data[],11,FALSE)=0,"",DATEDIF(VLOOKUP(ExtComp[[#This Row],[DEVELOPMENT]],Data[],13,FALSE),TODAY(),"Y"))</f>
        <v>16</v>
      </c>
      <c r="I231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231" s="47">
        <f ca="1">(ExtComp[[#This Row],['# to Replace]]*'Unit Cost Summary'!$B$6)*(1+((ExtComp[[#This Row],[est. Year]]-YEAR(TODAY()))*$J$2))</f>
        <v>430461.72000000003</v>
      </c>
      <c r="K231" s="51">
        <f ca="1">SUM(INDEX(ExtComp['# to Replace],1):ExtComp[[#This Row],['# to Replace]])</f>
        <v>240</v>
      </c>
      <c r="L231" s="51">
        <f ca="1">ROUNDDOWN(ExtComp[[#This Row],[Count]]/50,0)+$L$1</f>
        <v>2024</v>
      </c>
      <c r="M231" s="64">
        <f t="shared" ca="1" si="3"/>
        <v>9039696.120000001</v>
      </c>
      <c r="N231" s="64" t="str">
        <f>IFERROR(VLOOKUP(ExtComp[[#This Row],[DEVELOPMENT]],Data[],22,FALSE),"")</f>
        <v/>
      </c>
      <c r="O231" s="71" t="str">
        <f>IFERROR(VLOOKUP(ExtComp[[#This Row],[DEVELOPMENT]],Data[],23,FALSE),"")</f>
        <v/>
      </c>
    </row>
    <row r="232" spans="1:15">
      <c r="A232" s="13" t="s">
        <v>78</v>
      </c>
      <c r="B232" s="1" t="str">
        <f>VLOOKUP(A232,Data[],2,FALSE)</f>
        <v>MANHATTAN</v>
      </c>
      <c r="C232" s="9" t="s">
        <v>68</v>
      </c>
      <c r="D232" s="9" t="str">
        <f>VLOOKUP(ExtComp[[#This Row],[DEVELOPMENT]],Data[],8,FALSE)</f>
        <v>Zone 2</v>
      </c>
      <c r="E232" s="9">
        <f>VLOOKUP(ExtComp[[#This Row],[DEVELOPMENT]],Data[],9,FALSE)</f>
        <v>4</v>
      </c>
      <c r="F232" s="9" t="str">
        <f ca="1">IFERROR(VLOOKUP(ExtComp[[#This Row],[DEVELOPMENT]],Data[],4,FALSE),"")</f>
        <v>2022-2025</v>
      </c>
      <c r="G232" s="9" t="str">
        <f ca="1">IF(ExtComp[[#This Row],[RAD/PACT]]="","",IF(ExtComp[[#This Row],[RAD/PACT]]&lt;=2025,"Yes",""))</f>
        <v/>
      </c>
      <c r="H232" s="1">
        <f ca="1">IF(VLOOKUP(ExtComp[[#This Row],[DEVELOPMENT]],Data[],11,FALSE)=0,"",DATEDIF(VLOOKUP(ExtComp[[#This Row],[DEVELOPMENT]],Data[],13,FALSE),TODAY(),"Y"))</f>
        <v>21</v>
      </c>
      <c r="I232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232" s="47">
        <f ca="1">(ExtComp[[#This Row],['# to Replace]]*'Unit Cost Summary'!$B$6)*(1+((ExtComp[[#This Row],[est. Year]]-YEAR(TODAY()))*$J$2))</f>
        <v>430461.72000000003</v>
      </c>
      <c r="K232" s="1">
        <f ca="1">SUM(INDEX(ExtComp['# to Replace],1):ExtComp[[#This Row],['# to Replace]])</f>
        <v>242</v>
      </c>
      <c r="L232" s="1">
        <f ca="1">ROUNDDOWN(ExtComp[[#This Row],[Count]]/50,0)+$L$1</f>
        <v>2024</v>
      </c>
      <c r="M232" s="64">
        <f t="shared" ca="1" si="3"/>
        <v>9470157.8400000017</v>
      </c>
      <c r="N232" s="64" t="str">
        <f>IFERROR(VLOOKUP(ExtComp[[#This Row],[DEVELOPMENT]],Data[],22,FALSE),"")</f>
        <v/>
      </c>
      <c r="O232" s="71" t="str">
        <f>IFERROR(VLOOKUP(ExtComp[[#This Row],[DEVELOPMENT]],Data[],23,FALSE),"")</f>
        <v/>
      </c>
    </row>
    <row r="233" spans="1:15">
      <c r="A233" s="13" t="s">
        <v>316</v>
      </c>
      <c r="B233" s="9" t="str">
        <f>VLOOKUP(A233,Data[],2,FALSE)</f>
        <v>BROOKLYN</v>
      </c>
      <c r="C233" s="9"/>
      <c r="D233" s="50">
        <f>VLOOKUP(ExtComp[[#This Row],[DEVELOPMENT]],Data[],8,FALSE)</f>
        <v>0</v>
      </c>
      <c r="E233" s="50">
        <f>VLOOKUP(ExtComp[[#This Row],[DEVELOPMENT]],Data[],9,FALSE)</f>
        <v>0</v>
      </c>
      <c r="F233" s="50" t="str">
        <f ca="1">IFERROR(VLOOKUP(ExtComp[[#This Row],[DEVELOPMENT]],Data[],4,FALSE),"")</f>
        <v>2022-2025</v>
      </c>
      <c r="G233" s="50" t="str">
        <f ca="1">IF(ExtComp[[#This Row],[RAD/PACT]]="","",IF(ExtComp[[#This Row],[RAD/PACT]]&lt;=2025,"Yes",""))</f>
        <v/>
      </c>
      <c r="H233" s="51" t="str">
        <f ca="1">IF(VLOOKUP(ExtComp[[#This Row],[DEVELOPMENT]],Data[],11,FALSE)=0,"",DATEDIF(VLOOKUP(ExtComp[[#This Row],[DEVELOPMENT]],Data[],13,FALSE),TODAY(),"Y"))</f>
        <v/>
      </c>
      <c r="I23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33" s="47">
        <f ca="1">(ExtComp[[#This Row],['# to Replace]]*'Unit Cost Summary'!$B$6)*(1+((ExtComp[[#This Row],[est. Year]]-YEAR(TODAY()))*$J$2))</f>
        <v>0</v>
      </c>
      <c r="K233" s="51">
        <f ca="1">SUM(INDEX(ExtComp['# to Replace],1):ExtComp[[#This Row],['# to Replace]])</f>
        <v>242</v>
      </c>
      <c r="L233" s="51">
        <f ca="1">ROUNDDOWN(ExtComp[[#This Row],[Count]]/50,0)+$L$1</f>
        <v>2024</v>
      </c>
      <c r="M233" s="64">
        <f t="shared" ca="1" si="3"/>
        <v>9470157.8400000017</v>
      </c>
      <c r="N233" s="64" t="str">
        <f>IFERROR(VLOOKUP(ExtComp[[#This Row],[DEVELOPMENT]],Data[],22,FALSE),"")</f>
        <v/>
      </c>
      <c r="O233" s="51" t="str">
        <f>IFERROR(VLOOKUP(ExtComp[[#This Row],[DEVELOPMENT]],Data[],23,FALSE),"")</f>
        <v/>
      </c>
    </row>
    <row r="234" spans="1:15">
      <c r="A234" s="65" t="s">
        <v>121</v>
      </c>
      <c r="B234" s="1" t="str">
        <f>VLOOKUP(A234,Data[],2,FALSE)</f>
        <v>BRONX</v>
      </c>
      <c r="C234" s="9" t="s">
        <v>68</v>
      </c>
      <c r="D234" s="9" t="str">
        <f>VLOOKUP(ExtComp[[#This Row],[DEVELOPMENT]],Data[],8,FALSE)</f>
        <v>Zone 1</v>
      </c>
      <c r="E234" s="9">
        <f>VLOOKUP(ExtComp[[#This Row],[DEVELOPMENT]],Data[],9,FALSE)</f>
        <v>3</v>
      </c>
      <c r="F234" s="9" t="str">
        <f ca="1">IFERROR(VLOOKUP(ExtComp[[#This Row],[DEVELOPMENT]],Data[],4,FALSE),"")</f>
        <v/>
      </c>
      <c r="G234" s="9" t="str">
        <f ca="1">IF(ExtComp[[#This Row],[RAD/PACT]]="","",IF(ExtComp[[#This Row],[RAD/PACT]]&lt;=2025,"Yes",""))</f>
        <v/>
      </c>
      <c r="H234" s="1">
        <f ca="1">IF(VLOOKUP(ExtComp[[#This Row],[DEVELOPMENT]],Data[],11,FALSE)=0,"",DATEDIF(VLOOKUP(ExtComp[[#This Row],[DEVELOPMENT]],Data[],13,FALSE),TODAY(),"Y"))</f>
        <v>15</v>
      </c>
      <c r="I234" s="1">
        <f ca="1">IF(ExtComp[[#This Row],[RAD/PACT]]="",VLOOKUP(ExtComp[[#This Row],[DEVELOPMENT]],Data[],11,FALSE),IF(ExtComp[[#This Row],[RAD/PACT by 2025]]="yes",0,VLOOKUP(ExtComp[[#This Row],[DEVELOPMENT]],Data[],11,FALSE)))</f>
        <v>1</v>
      </c>
      <c r="J234" s="47">
        <f ca="1">(ExtComp[[#This Row],['# to Replace]]*'Unit Cost Summary'!$B$6)*(1+((ExtComp[[#This Row],[est. Year]]-YEAR(TODAY()))*$J$2))</f>
        <v>215230.86000000002</v>
      </c>
      <c r="K234" s="1">
        <f ca="1">SUM(INDEX(ExtComp['# to Replace],1):ExtComp[[#This Row],['# to Replace]])</f>
        <v>243</v>
      </c>
      <c r="L234" s="1">
        <f ca="1">ROUNDDOWN(ExtComp[[#This Row],[Count]]/50,0)+$L$1</f>
        <v>2024</v>
      </c>
      <c r="M234" s="64">
        <f t="shared" ca="1" si="3"/>
        <v>9685388.7000000011</v>
      </c>
      <c r="N234" s="64" t="str">
        <f>IFERROR(VLOOKUP(ExtComp[[#This Row],[DEVELOPMENT]],Data[],22,FALSE),"")</f>
        <v/>
      </c>
      <c r="O234" s="71" t="str">
        <f>IFERROR(VLOOKUP(ExtComp[[#This Row],[DEVELOPMENT]],Data[],23,FALSE),"")</f>
        <v/>
      </c>
    </row>
    <row r="235" spans="1:15">
      <c r="A235" s="13" t="s">
        <v>284</v>
      </c>
      <c r="B235" s="9" t="str">
        <f>VLOOKUP(A235,Data[],2,FALSE)</f>
        <v>BRONX</v>
      </c>
      <c r="C235" s="9" t="s">
        <v>68</v>
      </c>
      <c r="D235" s="50" t="str">
        <f>VLOOKUP(ExtComp[[#This Row],[DEVELOPMENT]],Data[],8,FALSE)</f>
        <v>Zone 4</v>
      </c>
      <c r="E235" s="50">
        <f>VLOOKUP(ExtComp[[#This Row],[DEVELOPMENT]],Data[],9,FALSE)</f>
        <v>0</v>
      </c>
      <c r="F235" s="50" t="str">
        <f ca="1">IFERROR(VLOOKUP(ExtComp[[#This Row],[DEVELOPMENT]],Data[],4,FALSE),"")</f>
        <v/>
      </c>
      <c r="G235" s="50" t="str">
        <f ca="1">IF(ExtComp[[#This Row],[RAD/PACT]]="","",IF(ExtComp[[#This Row],[RAD/PACT]]&lt;=2025,"Yes",""))</f>
        <v/>
      </c>
      <c r="H235" s="51" t="str">
        <f ca="1">IF(VLOOKUP(ExtComp[[#This Row],[DEVELOPMENT]],Data[],11,FALSE)=0,"",DATEDIF(VLOOKUP(ExtComp[[#This Row],[DEVELOPMENT]],Data[],13,FALSE),TODAY(),"Y"))</f>
        <v/>
      </c>
      <c r="I23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35" s="47">
        <f ca="1">(ExtComp[[#This Row],['# to Replace]]*'Unit Cost Summary'!$B$6)*(1+((ExtComp[[#This Row],[est. Year]]-YEAR(TODAY()))*$J$2))</f>
        <v>0</v>
      </c>
      <c r="K235" s="51">
        <f ca="1">SUM(INDEX(ExtComp['# to Replace],1):ExtComp[[#This Row],['# to Replace]])</f>
        <v>243</v>
      </c>
      <c r="L235" s="51">
        <f ca="1">ROUNDDOWN(ExtComp[[#This Row],[Count]]/50,0)+$L$1</f>
        <v>2024</v>
      </c>
      <c r="M235" s="64">
        <f t="shared" ca="1" si="3"/>
        <v>9685388.7000000011</v>
      </c>
      <c r="N235" s="64" t="str">
        <f>IFERROR(VLOOKUP(ExtComp[[#This Row],[DEVELOPMENT]],Data[],22,FALSE),"")</f>
        <v/>
      </c>
      <c r="O235" s="51" t="str">
        <f>IFERROR(VLOOKUP(ExtComp[[#This Row],[DEVELOPMENT]],Data[],23,FALSE),"")</f>
        <v/>
      </c>
    </row>
    <row r="236" spans="1:15">
      <c r="A236" s="13" t="s">
        <v>280</v>
      </c>
      <c r="B236" s="9" t="str">
        <f>VLOOKUP(A236,Data[],2,FALSE)</f>
        <v>BRONX</v>
      </c>
      <c r="C236" s="9" t="s">
        <v>68</v>
      </c>
      <c r="D236" s="50" t="str">
        <f>VLOOKUP(ExtComp[[#This Row],[DEVELOPMENT]],Data[],8,FALSE)</f>
        <v>Zone 4</v>
      </c>
      <c r="E236" s="50">
        <f>VLOOKUP(ExtComp[[#This Row],[DEVELOPMENT]],Data[],9,FALSE)</f>
        <v>0</v>
      </c>
      <c r="F236" s="50" t="str">
        <f ca="1">IFERROR(VLOOKUP(ExtComp[[#This Row],[DEVELOPMENT]],Data[],4,FALSE),"")</f>
        <v/>
      </c>
      <c r="G236" s="50" t="str">
        <f ca="1">IF(ExtComp[[#This Row],[RAD/PACT]]="","",IF(ExtComp[[#This Row],[RAD/PACT]]&lt;=2025,"Yes",""))</f>
        <v/>
      </c>
      <c r="H236" s="51" t="str">
        <f ca="1">IF(VLOOKUP(ExtComp[[#This Row],[DEVELOPMENT]],Data[],11,FALSE)=0,"",DATEDIF(VLOOKUP(ExtComp[[#This Row],[DEVELOPMENT]],Data[],13,FALSE),TODAY(),"Y"))</f>
        <v/>
      </c>
      <c r="I23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36" s="47">
        <f ca="1">(ExtComp[[#This Row],['# to Replace]]*'Unit Cost Summary'!$B$6)*(1+((ExtComp[[#This Row],[est. Year]]-YEAR(TODAY()))*$J$2))</f>
        <v>0</v>
      </c>
      <c r="K236" s="51">
        <f ca="1">SUM(INDEX(ExtComp['# to Replace],1):ExtComp[[#This Row],['# to Replace]])</f>
        <v>243</v>
      </c>
      <c r="L236" s="51">
        <f ca="1">ROUNDDOWN(ExtComp[[#This Row],[Count]]/50,0)+$L$1</f>
        <v>2024</v>
      </c>
      <c r="M236" s="64">
        <f t="shared" ca="1" si="3"/>
        <v>9685388.7000000011</v>
      </c>
      <c r="N236" s="64" t="str">
        <f>IFERROR(VLOOKUP(ExtComp[[#This Row],[DEVELOPMENT]],Data[],22,FALSE),"")</f>
        <v/>
      </c>
      <c r="O236" s="51" t="str">
        <f>IFERROR(VLOOKUP(ExtComp[[#This Row],[DEVELOPMENT]],Data[],23,FALSE),"")</f>
        <v/>
      </c>
    </row>
    <row r="237" spans="1:15">
      <c r="A237" s="13" t="s">
        <v>275</v>
      </c>
      <c r="B237" s="9" t="str">
        <f>VLOOKUP(A237,Data[],2,FALSE)</f>
        <v>BRONX</v>
      </c>
      <c r="C237" s="9"/>
      <c r="D237" s="50">
        <f>VLOOKUP(ExtComp[[#This Row],[DEVELOPMENT]],Data[],8,FALSE)</f>
        <v>0</v>
      </c>
      <c r="E237" s="50">
        <f>VLOOKUP(ExtComp[[#This Row],[DEVELOPMENT]],Data[],9,FALSE)</f>
        <v>0</v>
      </c>
      <c r="F237" s="50" t="str">
        <f ca="1">IFERROR(VLOOKUP(ExtComp[[#This Row],[DEVELOPMENT]],Data[],4,FALSE),"")</f>
        <v>2022-2025</v>
      </c>
      <c r="G237" s="50" t="str">
        <f ca="1">IF(ExtComp[[#This Row],[RAD/PACT]]="","",IF(ExtComp[[#This Row],[RAD/PACT]]&lt;=2025,"Yes",""))</f>
        <v/>
      </c>
      <c r="H237" s="51">
        <f ca="1">IF(VLOOKUP(ExtComp[[#This Row],[DEVELOPMENT]],Data[],11,FALSE)=0,"",DATEDIF(VLOOKUP(ExtComp[[#This Row],[DEVELOPMENT]],Data[],13,FALSE),TODAY(),"Y"))</f>
        <v>15</v>
      </c>
      <c r="I237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237" s="47">
        <f ca="1">(ExtComp[[#This Row],['# to Replace]]*'Unit Cost Summary'!$B$6)*(1+((ExtComp[[#This Row],[est. Year]]-YEAR(TODAY()))*$J$2))</f>
        <v>215230.86000000002</v>
      </c>
      <c r="K237" s="51">
        <f ca="1">SUM(INDEX(ExtComp['# to Replace],1):ExtComp[[#This Row],['# to Replace]])</f>
        <v>244</v>
      </c>
      <c r="L237" s="51">
        <f ca="1">ROUNDDOWN(ExtComp[[#This Row],[Count]]/50,0)+$L$1</f>
        <v>2024</v>
      </c>
      <c r="M237" s="64">
        <f t="shared" ca="1" si="3"/>
        <v>9900619.5600000005</v>
      </c>
      <c r="N237" s="64" t="str">
        <f>IFERROR(VLOOKUP(ExtComp[[#This Row],[DEVELOPMENT]],Data[],22,FALSE),"")</f>
        <v/>
      </c>
      <c r="O237" s="71" t="str">
        <f>IFERROR(VLOOKUP(ExtComp[[#This Row],[DEVELOPMENT]],Data[],23,FALSE),"")</f>
        <v/>
      </c>
    </row>
    <row r="238" spans="1:15">
      <c r="A238" s="13" t="s">
        <v>264</v>
      </c>
      <c r="B238" s="9" t="str">
        <f>VLOOKUP(A238,Data[],2,FALSE)</f>
        <v>BRONX</v>
      </c>
      <c r="C238" s="9" t="s">
        <v>68</v>
      </c>
      <c r="D238" s="50">
        <f>VLOOKUP(ExtComp[[#This Row],[DEVELOPMENT]],Data[],8,FALSE)</f>
        <v>0</v>
      </c>
      <c r="E238" s="50">
        <f>VLOOKUP(ExtComp[[#This Row],[DEVELOPMENT]],Data[],9,FALSE)</f>
        <v>0</v>
      </c>
      <c r="F238" s="50" t="str">
        <f ca="1">IFERROR(VLOOKUP(ExtComp[[#This Row],[DEVELOPMENT]],Data[],4,FALSE),"")</f>
        <v>2026+</v>
      </c>
      <c r="G238" s="50" t="str">
        <f ca="1">IF(ExtComp[[#This Row],[RAD/PACT]]="","",IF(ExtComp[[#This Row],[RAD/PACT]]&lt;=2025,"Yes",""))</f>
        <v/>
      </c>
      <c r="H238" s="51" t="str">
        <f ca="1">IF(VLOOKUP(ExtComp[[#This Row],[DEVELOPMENT]],Data[],11,FALSE)=0,"",DATEDIF(VLOOKUP(ExtComp[[#This Row],[DEVELOPMENT]],Data[],13,FALSE),TODAY(),"Y"))</f>
        <v/>
      </c>
      <c r="I23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38" s="47">
        <f ca="1">(ExtComp[[#This Row],['# to Replace]]*'Unit Cost Summary'!$B$6)*(1+((ExtComp[[#This Row],[est. Year]]-YEAR(TODAY()))*$J$2))</f>
        <v>0</v>
      </c>
      <c r="K238" s="51">
        <f ca="1">SUM(INDEX(ExtComp['# to Replace],1):ExtComp[[#This Row],['# to Replace]])</f>
        <v>244</v>
      </c>
      <c r="L238" s="51">
        <f ca="1">ROUNDDOWN(ExtComp[[#This Row],[Count]]/50,0)+$L$1</f>
        <v>2024</v>
      </c>
      <c r="M238" s="64">
        <f t="shared" ca="1" si="3"/>
        <v>9900619.5600000005</v>
      </c>
      <c r="N238" s="64" t="str">
        <f>IFERROR(VLOOKUP(ExtComp[[#This Row],[DEVELOPMENT]],Data[],22,FALSE),"")</f>
        <v/>
      </c>
      <c r="O238" s="51" t="str">
        <f>IFERROR(VLOOKUP(ExtComp[[#This Row],[DEVELOPMENT]],Data[],23,FALSE),"")</f>
        <v/>
      </c>
    </row>
    <row r="239" spans="1:15">
      <c r="A239" s="13" t="s">
        <v>279</v>
      </c>
      <c r="B239" s="9" t="str">
        <f>VLOOKUP(A239,Data[],2,FALSE)</f>
        <v>MANHATTAN</v>
      </c>
      <c r="C239" s="9" t="s">
        <v>68</v>
      </c>
      <c r="D239" s="50">
        <f>VLOOKUP(ExtComp[[#This Row],[DEVELOPMENT]],Data[],8,FALSE)</f>
        <v>0</v>
      </c>
      <c r="E239" s="50">
        <f>VLOOKUP(ExtComp[[#This Row],[DEVELOPMENT]],Data[],9,FALSE)</f>
        <v>0</v>
      </c>
      <c r="F239" s="50" t="str">
        <f ca="1">IFERROR(VLOOKUP(ExtComp[[#This Row],[DEVELOPMENT]],Data[],4,FALSE),"")</f>
        <v/>
      </c>
      <c r="G239" s="50" t="str">
        <f ca="1">IF(ExtComp[[#This Row],[RAD/PACT]]="","",IF(ExtComp[[#This Row],[RAD/PACT]]&lt;=2025,"Yes",""))</f>
        <v/>
      </c>
      <c r="H239" s="51">
        <f ca="1">IF(VLOOKUP(ExtComp[[#This Row],[DEVELOPMENT]],Data[],11,FALSE)=0,"",DATEDIF(VLOOKUP(ExtComp[[#This Row],[DEVELOPMENT]],Data[],13,FALSE),TODAY(),"Y"))</f>
        <v>5</v>
      </c>
      <c r="I239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239" s="47">
        <f ca="1">(ExtComp[[#This Row],['# to Replace]]*'Unit Cost Summary'!$B$6)*(1+((ExtComp[[#This Row],[est. Year]]-YEAR(TODAY()))*$J$2))</f>
        <v>430461.72000000003</v>
      </c>
      <c r="K239" s="51">
        <f ca="1">SUM(INDEX(ExtComp['# to Replace],1):ExtComp[[#This Row],['# to Replace]])</f>
        <v>246</v>
      </c>
      <c r="L239" s="51">
        <f ca="1">ROUNDDOWN(ExtComp[[#This Row],[Count]]/50,0)+$L$1</f>
        <v>2024</v>
      </c>
      <c r="M239" s="64">
        <f t="shared" ca="1" si="3"/>
        <v>10331081.280000001</v>
      </c>
      <c r="N239" s="64" t="str">
        <f>IFERROR(VLOOKUP(ExtComp[[#This Row],[DEVELOPMENT]],Data[],22,FALSE),"")</f>
        <v/>
      </c>
      <c r="O239" s="71" t="str">
        <f>IFERROR(VLOOKUP(ExtComp[[#This Row],[DEVELOPMENT]],Data[],23,FALSE),"")</f>
        <v/>
      </c>
    </row>
    <row r="240" spans="1:15">
      <c r="A240" s="13" t="s">
        <v>77</v>
      </c>
      <c r="B240" s="1" t="str">
        <f>VLOOKUP(A240,Data[],2,FALSE)</f>
        <v>MANHATTAN</v>
      </c>
      <c r="C240" s="9" t="s">
        <v>68</v>
      </c>
      <c r="D240" s="9" t="str">
        <f>VLOOKUP(ExtComp[[#This Row],[DEVELOPMENT]],Data[],8,FALSE)</f>
        <v>Zone 2</v>
      </c>
      <c r="E240" s="9">
        <f>VLOOKUP(ExtComp[[#This Row],[DEVELOPMENT]],Data[],9,FALSE)</f>
        <v>4</v>
      </c>
      <c r="F240" s="9" t="str">
        <f ca="1">IFERROR(VLOOKUP(ExtComp[[#This Row],[DEVELOPMENT]],Data[],4,FALSE),"")</f>
        <v/>
      </c>
      <c r="G240" s="9" t="str">
        <f ca="1">IF(ExtComp[[#This Row],[RAD/PACT]]="","",IF(ExtComp[[#This Row],[RAD/PACT]]&lt;=2025,"Yes",""))</f>
        <v/>
      </c>
      <c r="H240" s="1">
        <f ca="1">IF(VLOOKUP(ExtComp[[#This Row],[DEVELOPMENT]],Data[],11,FALSE)=0,"",DATEDIF(VLOOKUP(ExtComp[[#This Row],[DEVELOPMENT]],Data[],13,FALSE),TODAY(),"Y"))</f>
        <v>20</v>
      </c>
      <c r="I240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240" s="47">
        <f ca="1">(ExtComp[[#This Row],['# to Replace]]*'Unit Cost Summary'!$B$6)*(1+((ExtComp[[#This Row],[est. Year]]-YEAR(TODAY()))*$J$2))</f>
        <v>430461.72000000003</v>
      </c>
      <c r="K240" s="1">
        <f ca="1">SUM(INDEX(ExtComp['# to Replace],1):ExtComp[[#This Row],['# to Replace]])</f>
        <v>248</v>
      </c>
      <c r="L240" s="1">
        <f ca="1">ROUNDDOWN(ExtComp[[#This Row],[Count]]/50,0)+$L$1</f>
        <v>2024</v>
      </c>
      <c r="M240" s="64">
        <f t="shared" ca="1" si="3"/>
        <v>10761543.000000002</v>
      </c>
      <c r="N240" s="64" t="str">
        <f>IFERROR(VLOOKUP(ExtComp[[#This Row],[DEVELOPMENT]],Data[],22,FALSE),"")</f>
        <v/>
      </c>
      <c r="O240" s="71" t="str">
        <f>IFERROR(VLOOKUP(ExtComp[[#This Row],[DEVELOPMENT]],Data[],23,FALSE),"")</f>
        <v/>
      </c>
    </row>
    <row r="241" spans="1:15">
      <c r="A241" s="13" t="s">
        <v>76</v>
      </c>
      <c r="B241" s="1" t="str">
        <f>VLOOKUP(A241,Data[],2,FALSE)</f>
        <v>MANHATTAN</v>
      </c>
      <c r="C241" s="9" t="s">
        <v>68</v>
      </c>
      <c r="D241" s="9" t="str">
        <f>VLOOKUP(ExtComp[[#This Row],[DEVELOPMENT]],Data[],8,FALSE)</f>
        <v>Zone 3</v>
      </c>
      <c r="E241" s="9">
        <f>VLOOKUP(ExtComp[[#This Row],[DEVELOPMENT]],Data[],9,FALSE)</f>
        <v>2</v>
      </c>
      <c r="F241" s="9" t="str">
        <f ca="1">IFERROR(VLOOKUP(ExtComp[[#This Row],[DEVELOPMENT]],Data[],4,FALSE),"")</f>
        <v/>
      </c>
      <c r="G241" s="9" t="str">
        <f ca="1">IF(ExtComp[[#This Row],[RAD/PACT]]="","",IF(ExtComp[[#This Row],[RAD/PACT]]&lt;=2025,"Yes",""))</f>
        <v/>
      </c>
      <c r="H241" s="1" t="str">
        <f ca="1">IF(VLOOKUP(ExtComp[[#This Row],[DEVELOPMENT]],Data[],11,FALSE)=0,"",DATEDIF(VLOOKUP(ExtComp[[#This Row],[DEVELOPMENT]],Data[],13,FALSE),TODAY(),"Y"))</f>
        <v/>
      </c>
      <c r="I241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41" s="47">
        <f ca="1">(ExtComp[[#This Row],['# to Replace]]*'Unit Cost Summary'!$B$6)*(1+((ExtComp[[#This Row],[est. Year]]-YEAR(TODAY()))*$J$2))</f>
        <v>0</v>
      </c>
      <c r="K241" s="1">
        <f ca="1">SUM(INDEX(ExtComp['# to Replace],1):ExtComp[[#This Row],['# to Replace]])</f>
        <v>248</v>
      </c>
      <c r="L241" s="1">
        <f ca="1">ROUNDDOWN(ExtComp[[#This Row],[Count]]/50,0)+$L$1</f>
        <v>2024</v>
      </c>
      <c r="M241" s="64">
        <f t="shared" ca="1" si="3"/>
        <v>10761543.000000002</v>
      </c>
      <c r="N241" s="64" t="str">
        <f>IFERROR(VLOOKUP(ExtComp[[#This Row],[DEVELOPMENT]],Data[],22,FALSE),"")</f>
        <v/>
      </c>
      <c r="O241" s="51" t="str">
        <f>IFERROR(VLOOKUP(ExtComp[[#This Row],[DEVELOPMENT]],Data[],23,FALSE),"")</f>
        <v/>
      </c>
    </row>
    <row r="242" spans="1:15">
      <c r="A242" s="13" t="s">
        <v>130</v>
      </c>
      <c r="B242" s="1" t="str">
        <f>VLOOKUP(A242,Data[],2,FALSE)</f>
        <v>MANHATTAN</v>
      </c>
      <c r="C242" s="9" t="s">
        <v>68</v>
      </c>
      <c r="D242" s="9" t="str">
        <f>VLOOKUP(ExtComp[[#This Row],[DEVELOPMENT]],Data[],8,FALSE)</f>
        <v>Zone 3</v>
      </c>
      <c r="E242" s="9">
        <f>VLOOKUP(ExtComp[[#This Row],[DEVELOPMENT]],Data[],9,FALSE)</f>
        <v>2</v>
      </c>
      <c r="F242" s="9" t="str">
        <f ca="1">IFERROR(VLOOKUP(ExtComp[[#This Row],[DEVELOPMENT]],Data[],4,FALSE),"")</f>
        <v/>
      </c>
      <c r="G242" s="9" t="str">
        <f ca="1">IF(ExtComp[[#This Row],[RAD/PACT]]="","",IF(ExtComp[[#This Row],[RAD/PACT]]&lt;=2025,"Yes",""))</f>
        <v/>
      </c>
      <c r="H242" s="1">
        <f ca="1">IF(VLOOKUP(ExtComp[[#This Row],[DEVELOPMENT]],Data[],11,FALSE)=0,"",DATEDIF(VLOOKUP(ExtComp[[#This Row],[DEVELOPMENT]],Data[],13,FALSE),TODAY(),"Y"))</f>
        <v>6</v>
      </c>
      <c r="I242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242" s="47">
        <f ca="1">(ExtComp[[#This Row],['# to Replace]]*'Unit Cost Summary'!$B$6)*(1+((ExtComp[[#This Row],[est. Year]]-YEAR(TODAY()))*$J$2))</f>
        <v>665516.47499999998</v>
      </c>
      <c r="K242" s="1">
        <f ca="1">SUM(INDEX(ExtComp['# to Replace],1):ExtComp[[#This Row],['# to Replace]])</f>
        <v>251</v>
      </c>
      <c r="L242" s="1">
        <f ca="1">ROUNDDOWN(ExtComp[[#This Row],[Count]]/50,0)+$L$1</f>
        <v>2025</v>
      </c>
      <c r="M242" s="64">
        <f t="shared" ca="1" si="3"/>
        <v>665516.47499999998</v>
      </c>
      <c r="N242" s="64" t="str">
        <f>IFERROR(VLOOKUP(ExtComp[[#This Row],[DEVELOPMENT]],Data[],22,FALSE),"")</f>
        <v/>
      </c>
      <c r="O242" s="71" t="str">
        <f>IFERROR(VLOOKUP(ExtComp[[#This Row],[DEVELOPMENT]],Data[],23,FALSE),"")</f>
        <v/>
      </c>
    </row>
    <row r="243" spans="1:15">
      <c r="A243" s="13" t="s">
        <v>75</v>
      </c>
      <c r="B243" s="1" t="str">
        <f>VLOOKUP(A243,Data[],2,FALSE)</f>
        <v>MANHATTAN</v>
      </c>
      <c r="C243" s="9" t="s">
        <v>68</v>
      </c>
      <c r="D243" s="9" t="str">
        <f>VLOOKUP(ExtComp[[#This Row],[DEVELOPMENT]],Data[],8,FALSE)</f>
        <v>Zone 3</v>
      </c>
      <c r="E243" s="9">
        <f>VLOOKUP(ExtComp[[#This Row],[DEVELOPMENT]],Data[],9,FALSE)</f>
        <v>4</v>
      </c>
      <c r="F243" s="9" t="str">
        <f ca="1">IFERROR(VLOOKUP(ExtComp[[#This Row],[DEVELOPMENT]],Data[],4,FALSE),"")</f>
        <v/>
      </c>
      <c r="G243" s="9" t="str">
        <f ca="1">IF(ExtComp[[#This Row],[RAD/PACT]]="","",IF(ExtComp[[#This Row],[RAD/PACT]]&lt;=2025,"Yes",""))</f>
        <v/>
      </c>
      <c r="H243" s="1" t="str">
        <f ca="1">IF(VLOOKUP(ExtComp[[#This Row],[DEVELOPMENT]],Data[],11,FALSE)=0,"",DATEDIF(VLOOKUP(ExtComp[[#This Row],[DEVELOPMENT]],Data[],13,FALSE),TODAY(),"Y"))</f>
        <v/>
      </c>
      <c r="I243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43" s="47">
        <f ca="1">(ExtComp[[#This Row],['# to Replace]]*'Unit Cost Summary'!$B$6)*(1+((ExtComp[[#This Row],[est. Year]]-YEAR(TODAY()))*$J$2))</f>
        <v>0</v>
      </c>
      <c r="K243" s="1">
        <f ca="1">SUM(INDEX(ExtComp['# to Replace],1):ExtComp[[#This Row],['# to Replace]])</f>
        <v>251</v>
      </c>
      <c r="L243" s="1">
        <f ca="1">ROUNDDOWN(ExtComp[[#This Row],[Count]]/50,0)+$L$1</f>
        <v>2025</v>
      </c>
      <c r="M243" s="64">
        <f t="shared" ca="1" si="3"/>
        <v>665516.47499999998</v>
      </c>
      <c r="N243" s="64" t="str">
        <f>IFERROR(VLOOKUP(ExtComp[[#This Row],[DEVELOPMENT]],Data[],22,FALSE),"")</f>
        <v/>
      </c>
      <c r="O243" s="51" t="str">
        <f>IFERROR(VLOOKUP(ExtComp[[#This Row],[DEVELOPMENT]],Data[],23,FALSE),"")</f>
        <v/>
      </c>
    </row>
    <row r="244" spans="1:15">
      <c r="A244" s="13" t="s">
        <v>820</v>
      </c>
      <c r="B244" s="9" t="e">
        <f>VLOOKUP(A244,Data[],2,FALSE)</f>
        <v>#N/A</v>
      </c>
      <c r="C244" s="9" t="s">
        <v>68</v>
      </c>
      <c r="D244" s="50" t="e">
        <f>VLOOKUP(ExtComp[[#This Row],[DEVELOPMENT]],Data[],8,FALSE)</f>
        <v>#N/A</v>
      </c>
      <c r="E244" s="50" t="e">
        <f>VLOOKUP(ExtComp[[#This Row],[DEVELOPMENT]],Data[],9,FALSE)</f>
        <v>#N/A</v>
      </c>
      <c r="F244" s="50" t="str">
        <f>IFERROR(VLOOKUP(ExtComp[[#This Row],[DEVELOPMENT]],Data[],4,FALSE),"")</f>
        <v/>
      </c>
      <c r="G244" s="50" t="str">
        <f>IF(ExtComp[[#This Row],[RAD/PACT]]="","",IF(ExtComp[[#This Row],[RAD/PACT]]&lt;=2025,"Yes",""))</f>
        <v/>
      </c>
      <c r="H244" s="51" t="e">
        <f ca="1">IF(VLOOKUP(ExtComp[[#This Row],[DEVELOPMENT]],Data[],11,FALSE)=0,"",DATEDIF(VLOOKUP(ExtComp[[#This Row],[DEVELOPMENT]],Data[],13,FALSE),TODAY(),"Y"))</f>
        <v>#N/A</v>
      </c>
      <c r="I244" s="51" t="e">
        <f>IF(ExtComp[[#This Row],[RAD/PACT]]="",VLOOKUP(ExtComp[[#This Row],[DEVELOPMENT]],Data[],11,FALSE),IF(ExtComp[[#This Row],[RAD/PACT by 2025]]="yes",0,VLOOKUP(ExtComp[[#This Row],[DEVELOPMENT]],Data[],11,FALSE)))</f>
        <v>#N/A</v>
      </c>
      <c r="J244" s="47" t="e">
        <f ca="1">(ExtComp[[#This Row],['# to Replace]]*'Unit Cost Summary'!$B$6)*(1+((ExtComp[[#This Row],[est. Year]]-YEAR(TODAY()))*$J$2))</f>
        <v>#N/A</v>
      </c>
      <c r="K244" s="51" t="e">
        <f ca="1">SUM(INDEX(ExtComp['# to Replace],1):ExtComp[[#This Row],['# to Replace]])</f>
        <v>#N/A</v>
      </c>
      <c r="L244" s="51" t="e">
        <f ca="1">ROUNDDOWN(ExtComp[[#This Row],[Count]]/50,0)+$L$1</f>
        <v>#N/A</v>
      </c>
      <c r="M244" s="64" t="e">
        <f t="shared" ca="1" si="3"/>
        <v>#N/A</v>
      </c>
      <c r="N244" s="64" t="str">
        <f>IFERROR(VLOOKUP(ExtComp[[#This Row],[DEVELOPMENT]],Data[],22,FALSE),"")</f>
        <v/>
      </c>
      <c r="O244" s="51" t="str">
        <f>IFERROR(VLOOKUP(ExtComp[[#This Row],[DEVELOPMENT]],Data[],23,FALSE),"")</f>
        <v/>
      </c>
    </row>
    <row r="245" spans="1:15">
      <c r="A245" s="13" t="s">
        <v>263</v>
      </c>
      <c r="B245" s="9" t="str">
        <f>VLOOKUP(A245,Data[],2,FALSE)</f>
        <v>MANHATTAN</v>
      </c>
      <c r="C245" s="9" t="s">
        <v>68</v>
      </c>
      <c r="D245" s="50" t="str">
        <f>VLOOKUP(ExtComp[[#This Row],[DEVELOPMENT]],Data[],8,FALSE)</f>
        <v>Zone 3</v>
      </c>
      <c r="E245" s="50">
        <f>VLOOKUP(ExtComp[[#This Row],[DEVELOPMENT]],Data[],9,FALSE)</f>
        <v>0</v>
      </c>
      <c r="F245" s="50" t="str">
        <f ca="1">IFERROR(VLOOKUP(ExtComp[[#This Row],[DEVELOPMENT]],Data[],4,FALSE),"")</f>
        <v/>
      </c>
      <c r="G245" s="50" t="str">
        <f ca="1">IF(ExtComp[[#This Row],[RAD/PACT]]="","",IF(ExtComp[[#This Row],[RAD/PACT]]&lt;=2025,"Yes",""))</f>
        <v/>
      </c>
      <c r="H245" s="51" t="str">
        <f ca="1">IF(VLOOKUP(ExtComp[[#This Row],[DEVELOPMENT]],Data[],11,FALSE)=0,"",DATEDIF(VLOOKUP(ExtComp[[#This Row],[DEVELOPMENT]],Data[],13,FALSE),TODAY(),"Y"))</f>
        <v/>
      </c>
      <c r="I24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45" s="47" t="e">
        <f ca="1">(ExtComp[[#This Row],['# to Replace]]*'Unit Cost Summary'!$B$6)*(1+((ExtComp[[#This Row],[est. Year]]-YEAR(TODAY()))*$J$2))</f>
        <v>#N/A</v>
      </c>
      <c r="K245" s="51" t="e">
        <f ca="1">SUM(INDEX(ExtComp['# to Replace],1):ExtComp[[#This Row],['# to Replace]])</f>
        <v>#N/A</v>
      </c>
      <c r="L245" s="51" t="e">
        <f ca="1">ROUNDDOWN(ExtComp[[#This Row],[Count]]/50,0)+$L$1</f>
        <v>#N/A</v>
      </c>
      <c r="M245" s="64" t="e">
        <f t="shared" ca="1" si="3"/>
        <v>#N/A</v>
      </c>
      <c r="N245" s="64" t="str">
        <f>IFERROR(VLOOKUP(ExtComp[[#This Row],[DEVELOPMENT]],Data[],22,FALSE),"")</f>
        <v/>
      </c>
      <c r="O245" s="51" t="str">
        <f>IFERROR(VLOOKUP(ExtComp[[#This Row],[DEVELOPMENT]],Data[],23,FALSE),"")</f>
        <v/>
      </c>
    </row>
    <row r="246" spans="1:15">
      <c r="A246" s="13" t="s">
        <v>105</v>
      </c>
      <c r="B246" s="1" t="str">
        <f>VLOOKUP(A246,Data[],2,FALSE)</f>
        <v>BRONX</v>
      </c>
      <c r="C246" s="9" t="s">
        <v>68</v>
      </c>
      <c r="D246" s="9" t="str">
        <f>VLOOKUP(ExtComp[[#This Row],[DEVELOPMENT]],Data[],8,FALSE)</f>
        <v>Zone 3</v>
      </c>
      <c r="E246" s="9">
        <f>VLOOKUP(ExtComp[[#This Row],[DEVELOPMENT]],Data[],9,FALSE)</f>
        <v>4</v>
      </c>
      <c r="F246" s="9" t="str">
        <f ca="1">IFERROR(VLOOKUP(ExtComp[[#This Row],[DEVELOPMENT]],Data[],4,FALSE),"")</f>
        <v>2026+</v>
      </c>
      <c r="G246" s="9" t="str">
        <f ca="1">IF(ExtComp[[#This Row],[RAD/PACT]]="","",IF(ExtComp[[#This Row],[RAD/PACT]]&lt;=2025,"Yes",""))</f>
        <v/>
      </c>
      <c r="H246" s="1">
        <f ca="1">IF(VLOOKUP(ExtComp[[#This Row],[DEVELOPMENT]],Data[],11,FALSE)=0,"",DATEDIF(VLOOKUP(ExtComp[[#This Row],[DEVELOPMENT]],Data[],13,FALSE),TODAY(),"Y"))</f>
        <v>15</v>
      </c>
      <c r="I246" s="1">
        <f ca="1">IF(ExtComp[[#This Row],[RAD/PACT]]="",VLOOKUP(ExtComp[[#This Row],[DEVELOPMENT]],Data[],11,FALSE),IF(ExtComp[[#This Row],[RAD/PACT by 2025]]="yes",0,VLOOKUP(ExtComp[[#This Row],[DEVELOPMENT]],Data[],11,FALSE)))</f>
        <v>1</v>
      </c>
      <c r="J246" s="47" t="e">
        <f ca="1">(ExtComp[[#This Row],['# to Replace]]*'Unit Cost Summary'!$B$6)*(1+((ExtComp[[#This Row],[est. Year]]-YEAR(TODAY()))*$J$2))</f>
        <v>#N/A</v>
      </c>
      <c r="K246" s="1" t="e">
        <f ca="1">SUM(INDEX(ExtComp['# to Replace],1):ExtComp[[#This Row],['# to Replace]])</f>
        <v>#N/A</v>
      </c>
      <c r="L246" s="1" t="e">
        <f ca="1">ROUNDDOWN(ExtComp[[#This Row],[Count]]/50,0)+$L$1</f>
        <v>#N/A</v>
      </c>
      <c r="M246" s="64" t="e">
        <f t="shared" ca="1" si="3"/>
        <v>#N/A</v>
      </c>
      <c r="N246" s="64" t="str">
        <f>IFERROR(VLOOKUP(ExtComp[[#This Row],[DEVELOPMENT]],Data[],22,FALSE),"")</f>
        <v/>
      </c>
      <c r="O246" s="71" t="str">
        <f>IFERROR(VLOOKUP(ExtComp[[#This Row],[DEVELOPMENT]],Data[],23,FALSE),"")</f>
        <v/>
      </c>
    </row>
    <row r="247" spans="1:15">
      <c r="A247" s="13" t="s">
        <v>315</v>
      </c>
      <c r="B247" s="9" t="str">
        <f>VLOOKUP(A247,Data[],2,FALSE)</f>
        <v>BROOKLYN</v>
      </c>
      <c r="C247" s="9"/>
      <c r="D247" s="50">
        <f>VLOOKUP(ExtComp[[#This Row],[DEVELOPMENT]],Data[],8,FALSE)</f>
        <v>0</v>
      </c>
      <c r="E247" s="50">
        <f>VLOOKUP(ExtComp[[#This Row],[DEVELOPMENT]],Data[],9,FALSE)</f>
        <v>0</v>
      </c>
      <c r="F247" s="50" t="str">
        <f ca="1">IFERROR(VLOOKUP(ExtComp[[#This Row],[DEVELOPMENT]],Data[],4,FALSE),"")</f>
        <v>2022-2025</v>
      </c>
      <c r="G247" s="50" t="str">
        <f ca="1">IF(ExtComp[[#This Row],[RAD/PACT]]="","",IF(ExtComp[[#This Row],[RAD/PACT]]&lt;=2025,"Yes",""))</f>
        <v/>
      </c>
      <c r="H247" s="51">
        <f ca="1">IF(VLOOKUP(ExtComp[[#This Row],[DEVELOPMENT]],Data[],11,FALSE)=0,"",DATEDIF(VLOOKUP(ExtComp[[#This Row],[DEVELOPMENT]],Data[],13,FALSE),TODAY(),"Y"))</f>
        <v>3</v>
      </c>
      <c r="I247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247" s="47" t="e">
        <f ca="1">(ExtComp[[#This Row],['# to Replace]]*'Unit Cost Summary'!$B$6)*(1+((ExtComp[[#This Row],[est. Year]]-YEAR(TODAY()))*$J$2))</f>
        <v>#N/A</v>
      </c>
      <c r="K247" s="51" t="e">
        <f ca="1">SUM(INDEX(ExtComp['# to Replace],1):ExtComp[[#This Row],['# to Replace]])</f>
        <v>#N/A</v>
      </c>
      <c r="L247" s="51" t="e">
        <f ca="1">ROUNDDOWN(ExtComp[[#This Row],[Count]]/50,0)+$L$1</f>
        <v>#N/A</v>
      </c>
      <c r="M247" s="64" t="e">
        <f t="shared" ca="1" si="3"/>
        <v>#N/A</v>
      </c>
      <c r="N247" s="64" t="str">
        <f>IFERROR(VLOOKUP(ExtComp[[#This Row],[DEVELOPMENT]],Data[],22,FALSE),"")</f>
        <v/>
      </c>
      <c r="O247" s="71" t="str">
        <f>IFERROR(VLOOKUP(ExtComp[[#This Row],[DEVELOPMENT]],Data[],23,FALSE),"")</f>
        <v/>
      </c>
    </row>
    <row r="248" spans="1:15">
      <c r="A248" s="13" t="s">
        <v>314</v>
      </c>
      <c r="B248" s="9" t="str">
        <f>VLOOKUP(A248,Data[],2,FALSE)</f>
        <v>BROOKLYN</v>
      </c>
      <c r="C248" s="9" t="s">
        <v>68</v>
      </c>
      <c r="D248" s="50" t="str">
        <f>VLOOKUP(ExtComp[[#This Row],[DEVELOPMENT]],Data[],8,FALSE)</f>
        <v>Zone 4</v>
      </c>
      <c r="E248" s="50">
        <f>VLOOKUP(ExtComp[[#This Row],[DEVELOPMENT]],Data[],9,FALSE)</f>
        <v>0</v>
      </c>
      <c r="F248" s="50" t="str">
        <f ca="1">IFERROR(VLOOKUP(ExtComp[[#This Row],[DEVELOPMENT]],Data[],4,FALSE),"")</f>
        <v>2022-2025</v>
      </c>
      <c r="G248" s="50" t="str">
        <f ca="1">IF(ExtComp[[#This Row],[RAD/PACT]]="","",IF(ExtComp[[#This Row],[RAD/PACT]]&lt;=2025,"Yes",""))</f>
        <v/>
      </c>
      <c r="H248" s="51" t="str">
        <f ca="1">IF(VLOOKUP(ExtComp[[#This Row],[DEVELOPMENT]],Data[],11,FALSE)=0,"",DATEDIF(VLOOKUP(ExtComp[[#This Row],[DEVELOPMENT]],Data[],13,FALSE),TODAY(),"Y"))</f>
        <v/>
      </c>
      <c r="I24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48" s="47" t="e">
        <f ca="1">(ExtComp[[#This Row],['# to Replace]]*'Unit Cost Summary'!$B$6)*(1+((ExtComp[[#This Row],[est. Year]]-YEAR(TODAY()))*$J$2))</f>
        <v>#N/A</v>
      </c>
      <c r="K248" s="51" t="e">
        <f ca="1">SUM(INDEX(ExtComp['# to Replace],1):ExtComp[[#This Row],['# to Replace]])</f>
        <v>#N/A</v>
      </c>
      <c r="L248" s="51" t="e">
        <f ca="1">ROUNDDOWN(ExtComp[[#This Row],[Count]]/50,0)+$L$1</f>
        <v>#N/A</v>
      </c>
      <c r="M248" s="64" t="e">
        <f t="shared" ca="1" si="3"/>
        <v>#N/A</v>
      </c>
      <c r="N248" s="64" t="str">
        <f>IFERROR(VLOOKUP(ExtComp[[#This Row],[DEVELOPMENT]],Data[],22,FALSE),"")</f>
        <v/>
      </c>
      <c r="O248" s="51" t="str">
        <f>IFERROR(VLOOKUP(ExtComp[[#This Row],[DEVELOPMENT]],Data[],23,FALSE),"")</f>
        <v/>
      </c>
    </row>
    <row r="249" spans="1:15">
      <c r="A249" s="13" t="s">
        <v>74</v>
      </c>
      <c r="B249" s="1" t="str">
        <f>VLOOKUP(A249,Data[],2,FALSE)</f>
        <v>MANHATTAN</v>
      </c>
      <c r="C249" s="9" t="s">
        <v>68</v>
      </c>
      <c r="D249" s="9" t="str">
        <f>VLOOKUP(ExtComp[[#This Row],[DEVELOPMENT]],Data[],8,FALSE)</f>
        <v>Zone 2</v>
      </c>
      <c r="E249" s="9">
        <f>VLOOKUP(ExtComp[[#This Row],[DEVELOPMENT]],Data[],9,FALSE)</f>
        <v>4</v>
      </c>
      <c r="F249" s="9" t="str">
        <f ca="1">IFERROR(VLOOKUP(ExtComp[[#This Row],[DEVELOPMENT]],Data[],4,FALSE),"")</f>
        <v>2026+</v>
      </c>
      <c r="G249" s="9" t="str">
        <f ca="1">IF(ExtComp[[#This Row],[RAD/PACT]]="","",IF(ExtComp[[#This Row],[RAD/PACT]]&lt;=2025,"Yes",""))</f>
        <v/>
      </c>
      <c r="H249" s="1" t="str">
        <f ca="1">IF(VLOOKUP(ExtComp[[#This Row],[DEVELOPMENT]],Data[],11,FALSE)=0,"",DATEDIF(VLOOKUP(ExtComp[[#This Row],[DEVELOPMENT]],Data[],13,FALSE),TODAY(),"Y"))</f>
        <v/>
      </c>
      <c r="I249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49" s="47" t="e">
        <f ca="1">(ExtComp[[#This Row],['# to Replace]]*'Unit Cost Summary'!$B$6)*(1+((ExtComp[[#This Row],[est. Year]]-YEAR(TODAY()))*$J$2))</f>
        <v>#N/A</v>
      </c>
      <c r="K249" s="1" t="e">
        <f ca="1">SUM(INDEX(ExtComp['# to Replace],1):ExtComp[[#This Row],['# to Replace]])</f>
        <v>#N/A</v>
      </c>
      <c r="L249" s="1" t="e">
        <f ca="1">ROUNDDOWN(ExtComp[[#This Row],[Count]]/50,0)+$L$1</f>
        <v>#N/A</v>
      </c>
      <c r="M249" s="64" t="e">
        <f t="shared" ca="1" si="3"/>
        <v>#N/A</v>
      </c>
      <c r="N249" s="64" t="str">
        <f>IFERROR(VLOOKUP(ExtComp[[#This Row],[DEVELOPMENT]],Data[],22,FALSE),"")</f>
        <v/>
      </c>
      <c r="O249" s="51" t="str">
        <f>IFERROR(VLOOKUP(ExtComp[[#This Row],[DEVELOPMENT]],Data[],23,FALSE),"")</f>
        <v/>
      </c>
    </row>
    <row r="250" spans="1:15">
      <c r="A250" s="13" t="s">
        <v>190</v>
      </c>
      <c r="B250" s="9" t="str">
        <f>VLOOKUP(A250,Data[],2,FALSE)</f>
        <v>BROOKLYN</v>
      </c>
      <c r="C250" s="9" t="s">
        <v>68</v>
      </c>
      <c r="D250" s="50">
        <f>VLOOKUP(ExtComp[[#This Row],[DEVELOPMENT]],Data[],8,FALSE)</f>
        <v>0</v>
      </c>
      <c r="E250" s="50">
        <f>VLOOKUP(ExtComp[[#This Row],[DEVELOPMENT]],Data[],9,FALSE)</f>
        <v>0</v>
      </c>
      <c r="F250" s="50" t="str">
        <f ca="1">IFERROR(VLOOKUP(ExtComp[[#This Row],[DEVELOPMENT]],Data[],4,FALSE),"")</f>
        <v>2026+</v>
      </c>
      <c r="G250" s="50" t="str">
        <f ca="1">IF(ExtComp[[#This Row],[RAD/PACT]]="","",IF(ExtComp[[#This Row],[RAD/PACT]]&lt;=2025,"Yes",""))</f>
        <v/>
      </c>
      <c r="H250" s="51">
        <f ca="1">IF(VLOOKUP(ExtComp[[#This Row],[DEVELOPMENT]],Data[],11,FALSE)=0,"",DATEDIF(VLOOKUP(ExtComp[[#This Row],[DEVELOPMENT]],Data[],13,FALSE),TODAY(),"Y"))</f>
        <v>17</v>
      </c>
      <c r="I250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250" s="47" t="e">
        <f ca="1">(ExtComp[[#This Row],['# to Replace]]*'Unit Cost Summary'!$B$6)*(1+((ExtComp[[#This Row],[est. Year]]-YEAR(TODAY()))*$J$2))</f>
        <v>#N/A</v>
      </c>
      <c r="K250" s="51" t="e">
        <f ca="1">SUM(INDEX(ExtComp['# to Replace],1):ExtComp[[#This Row],['# to Replace]])</f>
        <v>#N/A</v>
      </c>
      <c r="L250" s="51" t="e">
        <f ca="1">ROUNDDOWN(ExtComp[[#This Row],[Count]]/50,0)+$L$1</f>
        <v>#N/A</v>
      </c>
      <c r="M250" s="64" t="e">
        <f t="shared" ca="1" si="3"/>
        <v>#N/A</v>
      </c>
      <c r="N250" s="64" t="str">
        <f>IFERROR(VLOOKUP(ExtComp[[#This Row],[DEVELOPMENT]],Data[],22,FALSE),"")</f>
        <v/>
      </c>
      <c r="O250" s="71" t="str">
        <f>IFERROR(VLOOKUP(ExtComp[[#This Row],[DEVELOPMENT]],Data[],23,FALSE),"")</f>
        <v/>
      </c>
    </row>
    <row r="251" spans="1:15">
      <c r="A251" s="13" t="s">
        <v>313</v>
      </c>
      <c r="B251" s="9" t="str">
        <f>VLOOKUP(A251,Data[],2,FALSE)</f>
        <v>QUEENS</v>
      </c>
      <c r="C251" s="9" t="s">
        <v>68</v>
      </c>
      <c r="D251" s="50">
        <f>VLOOKUP(ExtComp[[#This Row],[DEVELOPMENT]],Data[],8,FALSE)</f>
        <v>0</v>
      </c>
      <c r="E251" s="50">
        <f>VLOOKUP(ExtComp[[#This Row],[DEVELOPMENT]],Data[],9,FALSE)</f>
        <v>0</v>
      </c>
      <c r="F251" s="50" t="str">
        <f ca="1">IFERROR(VLOOKUP(ExtComp[[#This Row],[DEVELOPMENT]],Data[],4,FALSE),"")</f>
        <v/>
      </c>
      <c r="G251" s="50" t="str">
        <f ca="1">IF(ExtComp[[#This Row],[RAD/PACT]]="","",IF(ExtComp[[#This Row],[RAD/PACT]]&lt;=2025,"Yes",""))</f>
        <v/>
      </c>
      <c r="H251" s="51">
        <f ca="1">IF(VLOOKUP(ExtComp[[#This Row],[DEVELOPMENT]],Data[],11,FALSE)=0,"",DATEDIF(VLOOKUP(ExtComp[[#This Row],[DEVELOPMENT]],Data[],13,FALSE),TODAY(),"Y"))</f>
        <v>15</v>
      </c>
      <c r="I251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251" s="47" t="e">
        <f ca="1">(ExtComp[[#This Row],['# to Replace]]*'Unit Cost Summary'!$B$6)*(1+((ExtComp[[#This Row],[est. Year]]-YEAR(TODAY()))*$J$2))</f>
        <v>#N/A</v>
      </c>
      <c r="K251" s="51" t="e">
        <f ca="1">SUM(INDEX(ExtComp['# to Replace],1):ExtComp[[#This Row],['# to Replace]])</f>
        <v>#N/A</v>
      </c>
      <c r="L251" s="51" t="e">
        <f ca="1">ROUNDDOWN(ExtComp[[#This Row],[Count]]/50,0)+$L$1</f>
        <v>#N/A</v>
      </c>
      <c r="M251" s="64" t="e">
        <f t="shared" ca="1" si="3"/>
        <v>#N/A</v>
      </c>
      <c r="N251" s="64" t="str">
        <f>IFERROR(VLOOKUP(ExtComp[[#This Row],[DEVELOPMENT]],Data[],22,FALSE),"")</f>
        <v/>
      </c>
      <c r="O251" s="51" t="str">
        <f>IFERROR(VLOOKUP(ExtComp[[#This Row],[DEVELOPMENT]],Data[],23,FALSE),"")</f>
        <v/>
      </c>
    </row>
    <row r="252" spans="1:15">
      <c r="A252" s="13" t="s">
        <v>312</v>
      </c>
      <c r="B252" s="9" t="str">
        <f>VLOOKUP(A252,Data[],2,FALSE)</f>
        <v>BROOKLYN</v>
      </c>
      <c r="C252" s="9" t="s">
        <v>68</v>
      </c>
      <c r="D252" s="50">
        <f>VLOOKUP(ExtComp[[#This Row],[DEVELOPMENT]],Data[],8,FALSE)</f>
        <v>0</v>
      </c>
      <c r="E252" s="50">
        <f>VLOOKUP(ExtComp[[#This Row],[DEVELOPMENT]],Data[],9,FALSE)</f>
        <v>0</v>
      </c>
      <c r="F252" s="50" t="str">
        <f ca="1">IFERROR(VLOOKUP(ExtComp[[#This Row],[DEVELOPMENT]],Data[],4,FALSE),"")</f>
        <v/>
      </c>
      <c r="G252" s="50" t="str">
        <f ca="1">IF(ExtComp[[#This Row],[RAD/PACT]]="","",IF(ExtComp[[#This Row],[RAD/PACT]]&lt;=2025,"Yes",""))</f>
        <v/>
      </c>
      <c r="H252" s="51" t="str">
        <f ca="1">IF(VLOOKUP(ExtComp[[#This Row],[DEVELOPMENT]],Data[],11,FALSE)=0,"",DATEDIF(VLOOKUP(ExtComp[[#This Row],[DEVELOPMENT]],Data[],13,FALSE),TODAY(),"Y"))</f>
        <v/>
      </c>
      <c r="I25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52" s="47" t="e">
        <f ca="1">(ExtComp[[#This Row],['# to Replace]]*'Unit Cost Summary'!$B$6)*(1+((ExtComp[[#This Row],[est. Year]]-YEAR(TODAY()))*$J$2))</f>
        <v>#N/A</v>
      </c>
      <c r="K252" s="51" t="e">
        <f ca="1">SUM(INDEX(ExtComp['# to Replace],1):ExtComp[[#This Row],['# to Replace]])</f>
        <v>#N/A</v>
      </c>
      <c r="L252" s="51" t="e">
        <f ca="1">ROUNDDOWN(ExtComp[[#This Row],[Count]]/50,0)+$L$1</f>
        <v>#N/A</v>
      </c>
      <c r="M252" s="64" t="e">
        <f t="shared" ca="1" si="3"/>
        <v>#N/A</v>
      </c>
      <c r="N252" s="64" t="str">
        <f>IFERROR(VLOOKUP(ExtComp[[#This Row],[DEVELOPMENT]],Data[],22,FALSE),"")</f>
        <v/>
      </c>
      <c r="O252" s="51" t="str">
        <f>IFERROR(VLOOKUP(ExtComp[[#This Row],[DEVELOPMENT]],Data[],23,FALSE),"")</f>
        <v/>
      </c>
    </row>
    <row r="253" spans="1:15">
      <c r="A253" s="13" t="s">
        <v>236</v>
      </c>
      <c r="B253" s="9" t="str">
        <f>VLOOKUP(A253,Data[],2,FALSE)</f>
        <v>BROOKLYN</v>
      </c>
      <c r="C253" s="9" t="s">
        <v>68</v>
      </c>
      <c r="D253" s="50">
        <f>VLOOKUP(ExtComp[[#This Row],[DEVELOPMENT]],Data[],8,FALSE)</f>
        <v>0</v>
      </c>
      <c r="E253" s="50">
        <f>VLOOKUP(ExtComp[[#This Row],[DEVELOPMENT]],Data[],9,FALSE)</f>
        <v>0</v>
      </c>
      <c r="F253" s="50" t="str">
        <f ca="1">IFERROR(VLOOKUP(ExtComp[[#This Row],[DEVELOPMENT]],Data[],4,FALSE),"")</f>
        <v>2026+</v>
      </c>
      <c r="G253" s="50" t="str">
        <f ca="1">IF(ExtComp[[#This Row],[RAD/PACT]]="","",IF(ExtComp[[#This Row],[RAD/PACT]]&lt;=2025,"Yes",""))</f>
        <v/>
      </c>
      <c r="H253" s="51" t="str">
        <f ca="1">IF(VLOOKUP(ExtComp[[#This Row],[DEVELOPMENT]],Data[],11,FALSE)=0,"",DATEDIF(VLOOKUP(ExtComp[[#This Row],[DEVELOPMENT]],Data[],13,FALSE),TODAY(),"Y"))</f>
        <v/>
      </c>
      <c r="I25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53" s="47" t="e">
        <f ca="1">(ExtComp[[#This Row],['# to Replace]]*'Unit Cost Summary'!$B$6)*(1+((ExtComp[[#This Row],[est. Year]]-YEAR(TODAY()))*$J$2))</f>
        <v>#N/A</v>
      </c>
      <c r="K253" s="51" t="e">
        <f ca="1">SUM(INDEX(ExtComp['# to Replace],1):ExtComp[[#This Row],['# to Replace]])</f>
        <v>#N/A</v>
      </c>
      <c r="L253" s="51" t="e">
        <f ca="1">ROUNDDOWN(ExtComp[[#This Row],[Count]]/50,0)+$L$1</f>
        <v>#N/A</v>
      </c>
      <c r="M253" s="64" t="e">
        <f t="shared" ca="1" si="3"/>
        <v>#N/A</v>
      </c>
      <c r="N253" s="64" t="str">
        <f>IFERROR(VLOOKUP(ExtComp[[#This Row],[DEVELOPMENT]],Data[],22,FALSE),"")</f>
        <v/>
      </c>
      <c r="O253" s="51" t="str">
        <f>IFERROR(VLOOKUP(ExtComp[[#This Row],[DEVELOPMENT]],Data[],23,FALSE),"")</f>
        <v/>
      </c>
    </row>
    <row r="254" spans="1:15">
      <c r="A254" s="13" t="s">
        <v>311</v>
      </c>
      <c r="B254" s="9" t="str">
        <f>VLOOKUP(A254,Data[],2,FALSE)</f>
        <v>BROOKLYN</v>
      </c>
      <c r="C254" s="9" t="s">
        <v>68</v>
      </c>
      <c r="D254" s="50">
        <f>VLOOKUP(ExtComp[[#This Row],[DEVELOPMENT]],Data[],8,FALSE)</f>
        <v>0</v>
      </c>
      <c r="E254" s="50">
        <f>VLOOKUP(ExtComp[[#This Row],[DEVELOPMENT]],Data[],9,FALSE)</f>
        <v>0</v>
      </c>
      <c r="F254" s="50" t="str">
        <f ca="1">IFERROR(VLOOKUP(ExtComp[[#This Row],[DEVELOPMENT]],Data[],4,FALSE),"")</f>
        <v/>
      </c>
      <c r="G254" s="50" t="str">
        <f ca="1">IF(ExtComp[[#This Row],[RAD/PACT]]="","",IF(ExtComp[[#This Row],[RAD/PACT]]&lt;=2025,"Yes",""))</f>
        <v/>
      </c>
      <c r="H254" s="51" t="str">
        <f ca="1">IF(VLOOKUP(ExtComp[[#This Row],[DEVELOPMENT]],Data[],11,FALSE)=0,"",DATEDIF(VLOOKUP(ExtComp[[#This Row],[DEVELOPMENT]],Data[],13,FALSE),TODAY(),"Y"))</f>
        <v/>
      </c>
      <c r="I25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54" s="47" t="e">
        <f ca="1">(ExtComp[[#This Row],['# to Replace]]*'Unit Cost Summary'!$B$6)*(1+((ExtComp[[#This Row],[est. Year]]-YEAR(TODAY()))*$J$2))</f>
        <v>#N/A</v>
      </c>
      <c r="K254" s="51" t="e">
        <f ca="1">SUM(INDEX(ExtComp['# to Replace],1):ExtComp[[#This Row],['# to Replace]])</f>
        <v>#N/A</v>
      </c>
      <c r="L254" s="51" t="e">
        <f ca="1">ROUNDDOWN(ExtComp[[#This Row],[Count]]/50,0)+$L$1</f>
        <v>#N/A</v>
      </c>
      <c r="M254" s="64" t="e">
        <f t="shared" ca="1" si="3"/>
        <v>#N/A</v>
      </c>
      <c r="N254" s="64" t="str">
        <f>IFERROR(VLOOKUP(ExtComp[[#This Row],[DEVELOPMENT]],Data[],22,FALSE),"")</f>
        <v/>
      </c>
      <c r="O254" s="51" t="str">
        <f>IFERROR(VLOOKUP(ExtComp[[#This Row],[DEVELOPMENT]],Data[],23,FALSE),"")</f>
        <v/>
      </c>
    </row>
    <row r="255" spans="1:15">
      <c r="A255" s="13" t="s">
        <v>235</v>
      </c>
      <c r="B255" s="9" t="str">
        <f>VLOOKUP(A255,Data[],2,FALSE)</f>
        <v>BROOKLYN</v>
      </c>
      <c r="C255" s="9" t="s">
        <v>68</v>
      </c>
      <c r="D255" s="50">
        <f>VLOOKUP(ExtComp[[#This Row],[DEVELOPMENT]],Data[],8,FALSE)</f>
        <v>0</v>
      </c>
      <c r="E255" s="50">
        <f>VLOOKUP(ExtComp[[#This Row],[DEVELOPMENT]],Data[],9,FALSE)</f>
        <v>0</v>
      </c>
      <c r="F255" s="50" t="str">
        <f ca="1">IFERROR(VLOOKUP(ExtComp[[#This Row],[DEVELOPMENT]],Data[],4,FALSE),"")</f>
        <v/>
      </c>
      <c r="G255" s="50" t="str">
        <f ca="1">IF(ExtComp[[#This Row],[RAD/PACT]]="","",IF(ExtComp[[#This Row],[RAD/PACT]]&lt;=2025,"Yes",""))</f>
        <v/>
      </c>
      <c r="H255" s="51" t="str">
        <f ca="1">IF(VLOOKUP(ExtComp[[#This Row],[DEVELOPMENT]],Data[],11,FALSE)=0,"",DATEDIF(VLOOKUP(ExtComp[[#This Row],[DEVELOPMENT]],Data[],13,FALSE),TODAY(),"Y"))</f>
        <v/>
      </c>
      <c r="I25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55" s="47" t="e">
        <f ca="1">(ExtComp[[#This Row],['# to Replace]]*'Unit Cost Summary'!$B$6)*(1+((ExtComp[[#This Row],[est. Year]]-YEAR(TODAY()))*$J$2))</f>
        <v>#N/A</v>
      </c>
      <c r="K255" s="51" t="e">
        <f ca="1">SUM(INDEX(ExtComp['# to Replace],1):ExtComp[[#This Row],['# to Replace]])</f>
        <v>#N/A</v>
      </c>
      <c r="L255" s="51" t="e">
        <f ca="1">ROUNDDOWN(ExtComp[[#This Row],[Count]]/50,0)+$L$1</f>
        <v>#N/A</v>
      </c>
      <c r="M255" s="64" t="e">
        <f t="shared" ca="1" si="3"/>
        <v>#N/A</v>
      </c>
      <c r="N255" s="64" t="str">
        <f>IFERROR(VLOOKUP(ExtComp[[#This Row],[DEVELOPMENT]],Data[],22,FALSE),"")</f>
        <v/>
      </c>
      <c r="O255" s="51" t="str">
        <f>IFERROR(VLOOKUP(ExtComp[[#This Row],[DEVELOPMENT]],Data[],23,FALSE),"")</f>
        <v/>
      </c>
    </row>
    <row r="256" spans="1:15">
      <c r="A256" s="65" t="s">
        <v>145</v>
      </c>
      <c r="B256" s="1" t="str">
        <f>VLOOKUP(A256,Data[],2,FALSE)</f>
        <v>BRONX</v>
      </c>
      <c r="C256" s="9" t="s">
        <v>68</v>
      </c>
      <c r="D256" s="9" t="str">
        <f>VLOOKUP(ExtComp[[#This Row],[DEVELOPMENT]],Data[],8,FALSE)</f>
        <v>Zone 1</v>
      </c>
      <c r="E256" s="9">
        <f>VLOOKUP(ExtComp[[#This Row],[DEVELOPMENT]],Data[],9,FALSE)</f>
        <v>4</v>
      </c>
      <c r="F256" s="9" t="str">
        <f ca="1">IFERROR(VLOOKUP(ExtComp[[#This Row],[DEVELOPMENT]],Data[],4,FALSE),"")</f>
        <v>2022-2025</v>
      </c>
      <c r="G256" s="9" t="str">
        <f ca="1">IF(ExtComp[[#This Row],[RAD/PACT]]="","",IF(ExtComp[[#This Row],[RAD/PACT]]&lt;=2025,"Yes",""))</f>
        <v/>
      </c>
      <c r="H256" s="1" t="str">
        <f ca="1">IF(VLOOKUP(ExtComp[[#This Row],[DEVELOPMENT]],Data[],11,FALSE)=0,"",DATEDIF(VLOOKUP(ExtComp[[#This Row],[DEVELOPMENT]],Data[],13,FALSE),TODAY(),"Y"))</f>
        <v/>
      </c>
      <c r="I256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56" s="47" t="e">
        <f ca="1">(ExtComp[[#This Row],['# to Replace]]*'Unit Cost Summary'!$B$6)*(1+((ExtComp[[#This Row],[est. Year]]-YEAR(TODAY()))*$J$2))</f>
        <v>#N/A</v>
      </c>
      <c r="K256" s="1" t="e">
        <f ca="1">SUM(INDEX(ExtComp['# to Replace],1):ExtComp[[#This Row],['# to Replace]])</f>
        <v>#N/A</v>
      </c>
      <c r="L256" s="1" t="e">
        <f ca="1">ROUNDDOWN(ExtComp[[#This Row],[Count]]/50,0)+$L$1</f>
        <v>#N/A</v>
      </c>
      <c r="M256" s="64" t="e">
        <f t="shared" ca="1" si="3"/>
        <v>#N/A</v>
      </c>
      <c r="N256" s="64" t="str">
        <f>IFERROR(VLOOKUP(ExtComp[[#This Row],[DEVELOPMENT]],Data[],22,FALSE),"")</f>
        <v/>
      </c>
      <c r="O256" s="51" t="str">
        <f>IFERROR(VLOOKUP(ExtComp[[#This Row],[DEVELOPMENT]],Data[],23,FALSE),"")</f>
        <v/>
      </c>
    </row>
    <row r="257" spans="1:15">
      <c r="A257" s="13" t="s">
        <v>129</v>
      </c>
      <c r="B257" s="1" t="str">
        <f>VLOOKUP(A257,Data[],2,FALSE)</f>
        <v>MANHATTAN</v>
      </c>
      <c r="C257" s="9" t="s">
        <v>68</v>
      </c>
      <c r="D257" s="9" t="str">
        <f>VLOOKUP(ExtComp[[#This Row],[DEVELOPMENT]],Data[],8,FALSE)</f>
        <v>Zone 2</v>
      </c>
      <c r="E257" s="9">
        <f>VLOOKUP(ExtComp[[#This Row],[DEVELOPMENT]],Data[],9,FALSE)</f>
        <v>1</v>
      </c>
      <c r="F257" s="9" t="str">
        <f ca="1">IFERROR(VLOOKUP(ExtComp[[#This Row],[DEVELOPMENT]],Data[],4,FALSE),"")</f>
        <v/>
      </c>
      <c r="G257" s="9" t="str">
        <f ca="1">IF(ExtComp[[#This Row],[RAD/PACT]]="","",IF(ExtComp[[#This Row],[RAD/PACT]]&lt;=2025,"Yes",""))</f>
        <v/>
      </c>
      <c r="H257" s="1">
        <f ca="1">IF(VLOOKUP(ExtComp[[#This Row],[DEVELOPMENT]],Data[],11,FALSE)=0,"",DATEDIF(VLOOKUP(ExtComp[[#This Row],[DEVELOPMENT]],Data[],13,FALSE),TODAY(),"Y"))</f>
        <v>5</v>
      </c>
      <c r="I257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257" s="47" t="e">
        <f ca="1">(ExtComp[[#This Row],['# to Replace]]*'Unit Cost Summary'!$B$6)*(1+((ExtComp[[#This Row],[est. Year]]-YEAR(TODAY()))*$J$2))</f>
        <v>#N/A</v>
      </c>
      <c r="K257" s="1" t="e">
        <f ca="1">SUM(INDEX(ExtComp['# to Replace],1):ExtComp[[#This Row],['# to Replace]])</f>
        <v>#N/A</v>
      </c>
      <c r="L257" s="1" t="e">
        <f ca="1">ROUNDDOWN(ExtComp[[#This Row],[Count]]/50,0)+$L$1</f>
        <v>#N/A</v>
      </c>
      <c r="M257" s="64" t="e">
        <f t="shared" ca="1" si="3"/>
        <v>#N/A</v>
      </c>
      <c r="N257" s="64" t="str">
        <f>IFERROR(VLOOKUP(ExtComp[[#This Row],[DEVELOPMENT]],Data[],22,FALSE),"")</f>
        <v/>
      </c>
      <c r="O257" s="71" t="str">
        <f>IFERROR(VLOOKUP(ExtComp[[#This Row],[DEVELOPMENT]],Data[],23,FALSE),"")</f>
        <v/>
      </c>
    </row>
    <row r="258" spans="1:15">
      <c r="A258" s="13" t="s">
        <v>310</v>
      </c>
      <c r="B258" s="9" t="str">
        <f>VLOOKUP(A258,Data[],2,FALSE)</f>
        <v>BRONX</v>
      </c>
      <c r="C258" s="9"/>
      <c r="D258" s="50">
        <f>VLOOKUP(ExtComp[[#This Row],[DEVELOPMENT]],Data[],8,FALSE)</f>
        <v>0</v>
      </c>
      <c r="E258" s="50">
        <f>VLOOKUP(ExtComp[[#This Row],[DEVELOPMENT]],Data[],9,FALSE)</f>
        <v>0</v>
      </c>
      <c r="F258" s="50" t="str">
        <f ca="1">IFERROR(VLOOKUP(ExtComp[[#This Row],[DEVELOPMENT]],Data[],4,FALSE),"")</f>
        <v>2022-2025</v>
      </c>
      <c r="G258" s="50" t="str">
        <f ca="1">IF(ExtComp[[#This Row],[RAD/PACT]]="","",IF(ExtComp[[#This Row],[RAD/PACT]]&lt;=2025,"Yes",""))</f>
        <v/>
      </c>
      <c r="H258" s="51" t="str">
        <f ca="1">IF(VLOOKUP(ExtComp[[#This Row],[DEVELOPMENT]],Data[],11,FALSE)=0,"",DATEDIF(VLOOKUP(ExtComp[[#This Row],[DEVELOPMENT]],Data[],13,FALSE),TODAY(),"Y"))</f>
        <v/>
      </c>
      <c r="I25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58" s="47" t="e">
        <f ca="1">(ExtComp[[#This Row],['# to Replace]]*'Unit Cost Summary'!$B$6)*(1+((ExtComp[[#This Row],[est. Year]]-YEAR(TODAY()))*$J$2))</f>
        <v>#N/A</v>
      </c>
      <c r="K258" s="51" t="e">
        <f ca="1">SUM(INDEX(ExtComp['# to Replace],1):ExtComp[[#This Row],['# to Replace]])</f>
        <v>#N/A</v>
      </c>
      <c r="L258" s="51" t="e">
        <f ca="1">ROUNDDOWN(ExtComp[[#This Row],[Count]]/50,0)+$L$1</f>
        <v>#N/A</v>
      </c>
      <c r="M258" s="64" t="e">
        <f t="shared" ca="1" si="3"/>
        <v>#N/A</v>
      </c>
      <c r="N258" s="64" t="str">
        <f>IFERROR(VLOOKUP(ExtComp[[#This Row],[DEVELOPMENT]],Data[],22,FALSE),"")</f>
        <v/>
      </c>
      <c r="O258" s="51" t="str">
        <f>IFERROR(VLOOKUP(ExtComp[[#This Row],[DEVELOPMENT]],Data[],23,FALSE),"")</f>
        <v/>
      </c>
    </row>
    <row r="259" spans="1:15">
      <c r="A259" s="65" t="s">
        <v>144</v>
      </c>
      <c r="B259" s="1" t="str">
        <f>VLOOKUP(A259,Data[],2,FALSE)</f>
        <v>BRONX</v>
      </c>
      <c r="C259" s="9" t="s">
        <v>68</v>
      </c>
      <c r="D259" s="9" t="str">
        <f>VLOOKUP(ExtComp[[#This Row],[DEVELOPMENT]],Data[],8,FALSE)</f>
        <v>Zone 1</v>
      </c>
      <c r="E259" s="9">
        <f>VLOOKUP(ExtComp[[#This Row],[DEVELOPMENT]],Data[],9,FALSE)</f>
        <v>4</v>
      </c>
      <c r="F259" s="9" t="str">
        <f ca="1">IFERROR(VLOOKUP(ExtComp[[#This Row],[DEVELOPMENT]],Data[],4,FALSE),"")</f>
        <v>2022-2025</v>
      </c>
      <c r="G259" s="9" t="str">
        <f ca="1">IF(ExtComp[[#This Row],[RAD/PACT]]="","",IF(ExtComp[[#This Row],[RAD/PACT]]&lt;=2025,"Yes",""))</f>
        <v/>
      </c>
      <c r="H259" s="1" t="str">
        <f ca="1">IF(VLOOKUP(ExtComp[[#This Row],[DEVELOPMENT]],Data[],11,FALSE)=0,"",DATEDIF(VLOOKUP(ExtComp[[#This Row],[DEVELOPMENT]],Data[],13,FALSE),TODAY(),"Y"))</f>
        <v/>
      </c>
      <c r="I259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59" s="47" t="e">
        <f ca="1">(ExtComp[[#This Row],['# to Replace]]*'Unit Cost Summary'!$B$6)*(1+((ExtComp[[#This Row],[est. Year]]-YEAR(TODAY()))*$J$2))</f>
        <v>#N/A</v>
      </c>
      <c r="K259" s="1" t="e">
        <f ca="1">SUM(INDEX(ExtComp['# to Replace],1):ExtComp[[#This Row],['# to Replace]])</f>
        <v>#N/A</v>
      </c>
      <c r="L259" s="1" t="e">
        <f ca="1">ROUNDDOWN(ExtComp[[#This Row],[Count]]/50,0)+$L$1</f>
        <v>#N/A</v>
      </c>
      <c r="M259" s="64" t="e">
        <f t="shared" ca="1" si="3"/>
        <v>#N/A</v>
      </c>
      <c r="N259" s="64" t="str">
        <f>IFERROR(VLOOKUP(ExtComp[[#This Row],[DEVELOPMENT]],Data[],22,FALSE),"")</f>
        <v/>
      </c>
      <c r="O259" s="51" t="str">
        <f>IFERROR(VLOOKUP(ExtComp[[#This Row],[DEVELOPMENT]],Data[],23,FALSE),"")</f>
        <v/>
      </c>
    </row>
    <row r="260" spans="1:15">
      <c r="A260" s="65" t="s">
        <v>34</v>
      </c>
      <c r="B260" s="1" t="str">
        <f>VLOOKUP(A260,Data[],2,FALSE)</f>
        <v>BRONX</v>
      </c>
      <c r="C260" s="9" t="s">
        <v>68</v>
      </c>
      <c r="D260" s="9" t="str">
        <f>VLOOKUP(ExtComp[[#This Row],[DEVELOPMENT]],Data[],8,FALSE)</f>
        <v>Zone 1</v>
      </c>
      <c r="E260" s="9">
        <f>VLOOKUP(ExtComp[[#This Row],[DEVELOPMENT]],Data[],9,FALSE)</f>
        <v>4</v>
      </c>
      <c r="F260" s="9" t="str">
        <f ca="1">IFERROR(VLOOKUP(ExtComp[[#This Row],[DEVELOPMENT]],Data[],4,FALSE),"")</f>
        <v>2022-2025</v>
      </c>
      <c r="G260" s="9" t="str">
        <f ca="1">IF(ExtComp[[#This Row],[RAD/PACT]]="","",IF(ExtComp[[#This Row],[RAD/PACT]]&lt;=2025,"Yes",""))</f>
        <v/>
      </c>
      <c r="H260" s="1" t="str">
        <f ca="1">IF(VLOOKUP(ExtComp[[#This Row],[DEVELOPMENT]],Data[],11,FALSE)=0,"",DATEDIF(VLOOKUP(ExtComp[[#This Row],[DEVELOPMENT]],Data[],13,FALSE),TODAY(),"Y"))</f>
        <v/>
      </c>
      <c r="I260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60" s="47" t="e">
        <f ca="1">(ExtComp[[#This Row],['# to Replace]]*'Unit Cost Summary'!$B$6)*(1+((ExtComp[[#This Row],[est. Year]]-YEAR(TODAY()))*$J$2))</f>
        <v>#N/A</v>
      </c>
      <c r="K260" s="1" t="e">
        <f ca="1">SUM(INDEX(ExtComp['# to Replace],1):ExtComp[[#This Row],['# to Replace]])</f>
        <v>#N/A</v>
      </c>
      <c r="L260" s="1" t="e">
        <f ca="1">ROUNDDOWN(ExtComp[[#This Row],[Count]]/50,0)+$L$1</f>
        <v>#N/A</v>
      </c>
      <c r="M260" s="64" t="e">
        <f t="shared" ref="M260:M323" ca="1" si="4">IF(L260=L259,J260+M259,J260)</f>
        <v>#N/A</v>
      </c>
      <c r="N260" s="64" t="str">
        <f>IFERROR(VLOOKUP(ExtComp[[#This Row],[DEVELOPMENT]],Data[],22,FALSE),"")</f>
        <v/>
      </c>
      <c r="O260" s="51" t="str">
        <f>IFERROR(VLOOKUP(ExtComp[[#This Row],[DEVELOPMENT]],Data[],23,FALSE),"")</f>
        <v/>
      </c>
    </row>
    <row r="261" spans="1:15">
      <c r="A261" s="65" t="s">
        <v>32</v>
      </c>
      <c r="B261" s="1" t="str">
        <f>VLOOKUP(A261,Data[],2,FALSE)</f>
        <v>BRONX</v>
      </c>
      <c r="C261" s="9" t="s">
        <v>68</v>
      </c>
      <c r="D261" s="9" t="str">
        <f>VLOOKUP(ExtComp[[#This Row],[DEVELOPMENT]],Data[],8,FALSE)</f>
        <v>Zone 1</v>
      </c>
      <c r="E261" s="9">
        <f>VLOOKUP(ExtComp[[#This Row],[DEVELOPMENT]],Data[],9,FALSE)</f>
        <v>4</v>
      </c>
      <c r="F261" s="9" t="str">
        <f ca="1">IFERROR(VLOOKUP(ExtComp[[#This Row],[DEVELOPMENT]],Data[],4,FALSE),"")</f>
        <v>2022-2025</v>
      </c>
      <c r="G261" s="9" t="str">
        <f ca="1">IF(ExtComp[[#This Row],[RAD/PACT]]="","",IF(ExtComp[[#This Row],[RAD/PACT]]&lt;=2025,"Yes",""))</f>
        <v/>
      </c>
      <c r="H261" s="1" t="str">
        <f ca="1">IF(VLOOKUP(ExtComp[[#This Row],[DEVELOPMENT]],Data[],11,FALSE)=0,"",DATEDIF(VLOOKUP(ExtComp[[#This Row],[DEVELOPMENT]],Data[],13,FALSE),TODAY(),"Y"))</f>
        <v/>
      </c>
      <c r="I261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61" s="47" t="e">
        <f ca="1">(ExtComp[[#This Row],['# to Replace]]*'Unit Cost Summary'!$B$6)*(1+((ExtComp[[#This Row],[est. Year]]-YEAR(TODAY()))*$J$2))</f>
        <v>#N/A</v>
      </c>
      <c r="K261" s="1" t="e">
        <f ca="1">SUM(INDEX(ExtComp['# to Replace],1):ExtComp[[#This Row],['# to Replace]])</f>
        <v>#N/A</v>
      </c>
      <c r="L261" s="1" t="e">
        <f ca="1">ROUNDDOWN(ExtComp[[#This Row],[Count]]/50,0)+$L$1</f>
        <v>#N/A</v>
      </c>
      <c r="M261" s="64" t="e">
        <f t="shared" ca="1" si="4"/>
        <v>#N/A</v>
      </c>
      <c r="N261" s="64" t="str">
        <f>IFERROR(VLOOKUP(ExtComp[[#This Row],[DEVELOPMENT]],Data[],22,FALSE),"")</f>
        <v/>
      </c>
      <c r="O261" s="51" t="str">
        <f>IFERROR(VLOOKUP(ExtComp[[#This Row],[DEVELOPMENT]],Data[],23,FALSE),"")</f>
        <v/>
      </c>
    </row>
    <row r="262" spans="1:15">
      <c r="A262" s="65" t="s">
        <v>143</v>
      </c>
      <c r="B262" s="1" t="str">
        <f>VLOOKUP(A262,Data[],2,FALSE)</f>
        <v>BRONX</v>
      </c>
      <c r="C262" s="9" t="s">
        <v>68</v>
      </c>
      <c r="D262" s="9" t="str">
        <f>VLOOKUP(ExtComp[[#This Row],[DEVELOPMENT]],Data[],8,FALSE)</f>
        <v>Zone 1</v>
      </c>
      <c r="E262" s="9">
        <f>VLOOKUP(ExtComp[[#This Row],[DEVELOPMENT]],Data[],9,FALSE)</f>
        <v>4</v>
      </c>
      <c r="F262" s="9" t="str">
        <f ca="1">IFERROR(VLOOKUP(ExtComp[[#This Row],[DEVELOPMENT]],Data[],4,FALSE),"")</f>
        <v>2022-2025</v>
      </c>
      <c r="G262" s="9" t="str">
        <f ca="1">IF(ExtComp[[#This Row],[RAD/PACT]]="","",IF(ExtComp[[#This Row],[RAD/PACT]]&lt;=2025,"Yes",""))</f>
        <v/>
      </c>
      <c r="H262" s="1">
        <f ca="1">IF(VLOOKUP(ExtComp[[#This Row],[DEVELOPMENT]],Data[],11,FALSE)=0,"",DATEDIF(VLOOKUP(ExtComp[[#This Row],[DEVELOPMENT]],Data[],13,FALSE),TODAY(),"Y"))</f>
        <v>13</v>
      </c>
      <c r="I262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262" s="47" t="e">
        <f ca="1">(ExtComp[[#This Row],['# to Replace]]*'Unit Cost Summary'!$B$6)*(1+((ExtComp[[#This Row],[est. Year]]-YEAR(TODAY()))*$J$2))</f>
        <v>#N/A</v>
      </c>
      <c r="K262" s="1" t="e">
        <f ca="1">SUM(INDEX(ExtComp['# to Replace],1):ExtComp[[#This Row],['# to Replace]])</f>
        <v>#N/A</v>
      </c>
      <c r="L262" s="1" t="e">
        <f ca="1">ROUNDDOWN(ExtComp[[#This Row],[Count]]/50,0)+$L$1</f>
        <v>#N/A</v>
      </c>
      <c r="M262" s="64" t="e">
        <f t="shared" ca="1" si="4"/>
        <v>#N/A</v>
      </c>
      <c r="N262" s="64" t="str">
        <f>IFERROR(VLOOKUP(ExtComp[[#This Row],[DEVELOPMENT]],Data[],22,FALSE),"")</f>
        <v/>
      </c>
      <c r="O262" s="71" t="str">
        <f>IFERROR(VLOOKUP(ExtComp[[#This Row],[DEVELOPMENT]],Data[],23,FALSE),"")</f>
        <v/>
      </c>
    </row>
    <row r="263" spans="1:15">
      <c r="A263" s="13" t="s">
        <v>124</v>
      </c>
      <c r="B263" s="1" t="str">
        <f>VLOOKUP(A263,Data[],2,FALSE)</f>
        <v>BRONX</v>
      </c>
      <c r="C263" s="9" t="s">
        <v>68</v>
      </c>
      <c r="D263" s="9" t="str">
        <f>VLOOKUP(ExtComp[[#This Row],[DEVELOPMENT]],Data[],8,FALSE)</f>
        <v>Zone 3</v>
      </c>
      <c r="E263" s="9">
        <f>VLOOKUP(ExtComp[[#This Row],[DEVELOPMENT]],Data[],9,FALSE)</f>
        <v>4</v>
      </c>
      <c r="F263" s="9" t="str">
        <f ca="1">IFERROR(VLOOKUP(ExtComp[[#This Row],[DEVELOPMENT]],Data[],4,FALSE),"")</f>
        <v>2026+</v>
      </c>
      <c r="G263" s="9" t="str">
        <f ca="1">IF(ExtComp[[#This Row],[RAD/PACT]]="","",IF(ExtComp[[#This Row],[RAD/PACT]]&lt;=2025,"Yes",""))</f>
        <v/>
      </c>
      <c r="H263" s="1">
        <f ca="1">IF(VLOOKUP(ExtComp[[#This Row],[DEVELOPMENT]],Data[],11,FALSE)=0,"",DATEDIF(VLOOKUP(ExtComp[[#This Row],[DEVELOPMENT]],Data[],13,FALSE),TODAY(),"Y"))</f>
        <v>12</v>
      </c>
      <c r="I263" s="1">
        <f ca="1">IF(ExtComp[[#This Row],[RAD/PACT]]="",VLOOKUP(ExtComp[[#This Row],[DEVELOPMENT]],Data[],11,FALSE),IF(ExtComp[[#This Row],[RAD/PACT by 2025]]="yes",0,VLOOKUP(ExtComp[[#This Row],[DEVELOPMENT]],Data[],11,FALSE)))</f>
        <v>1</v>
      </c>
      <c r="J263" s="47" t="e">
        <f ca="1">(ExtComp[[#This Row],['# to Replace]]*'Unit Cost Summary'!$B$6)*(1+((ExtComp[[#This Row],[est. Year]]-YEAR(TODAY()))*$J$2))</f>
        <v>#N/A</v>
      </c>
      <c r="K263" s="1" t="e">
        <f ca="1">SUM(INDEX(ExtComp['# to Replace],1):ExtComp[[#This Row],['# to Replace]])</f>
        <v>#N/A</v>
      </c>
      <c r="L263" s="1" t="e">
        <f ca="1">ROUNDDOWN(ExtComp[[#This Row],[Count]]/50,0)+$L$1</f>
        <v>#N/A</v>
      </c>
      <c r="M263" s="64" t="e">
        <f t="shared" ca="1" si="4"/>
        <v>#N/A</v>
      </c>
      <c r="N263" s="64" t="str">
        <f>IFERROR(VLOOKUP(ExtComp[[#This Row],[DEVELOPMENT]],Data[],22,FALSE),"")</f>
        <v/>
      </c>
      <c r="O263" s="71" t="str">
        <f>IFERROR(VLOOKUP(ExtComp[[#This Row],[DEVELOPMENT]],Data[],23,FALSE),"")</f>
        <v/>
      </c>
    </row>
    <row r="264" spans="1:15">
      <c r="A264" s="13" t="s">
        <v>274</v>
      </c>
      <c r="B264" s="9" t="str">
        <f>VLOOKUP(A264,Data[],2,FALSE)</f>
        <v>MANHATTAN</v>
      </c>
      <c r="C264" s="9" t="s">
        <v>68</v>
      </c>
      <c r="D264" s="50" t="str">
        <f>VLOOKUP(ExtComp[[#This Row],[DEVELOPMENT]],Data[],8,FALSE)</f>
        <v>Zone 3</v>
      </c>
      <c r="E264" s="50">
        <f>VLOOKUP(ExtComp[[#This Row],[DEVELOPMENT]],Data[],9,FALSE)</f>
        <v>0</v>
      </c>
      <c r="F264" s="50" t="str">
        <f ca="1">IFERROR(VLOOKUP(ExtComp[[#This Row],[DEVELOPMENT]],Data[],4,FALSE),"")</f>
        <v/>
      </c>
      <c r="G264" s="50" t="str">
        <f ca="1">IF(ExtComp[[#This Row],[RAD/PACT]]="","",IF(ExtComp[[#This Row],[RAD/PACT]]&lt;=2025,"Yes",""))</f>
        <v/>
      </c>
      <c r="H264" s="51" t="str">
        <f ca="1">IF(VLOOKUP(ExtComp[[#This Row],[DEVELOPMENT]],Data[],11,FALSE)=0,"",DATEDIF(VLOOKUP(ExtComp[[#This Row],[DEVELOPMENT]],Data[],13,FALSE),TODAY(),"Y"))</f>
        <v/>
      </c>
      <c r="I26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64" s="47" t="e">
        <f ca="1">(ExtComp[[#This Row],['# to Replace]]*'Unit Cost Summary'!$B$6)*(1+((ExtComp[[#This Row],[est. Year]]-YEAR(TODAY()))*$J$2))</f>
        <v>#N/A</v>
      </c>
      <c r="K264" s="51" t="e">
        <f ca="1">SUM(INDEX(ExtComp['# to Replace],1):ExtComp[[#This Row],['# to Replace]])</f>
        <v>#N/A</v>
      </c>
      <c r="L264" s="51" t="e">
        <f ca="1">ROUNDDOWN(ExtComp[[#This Row],[Count]]/50,0)+$L$1</f>
        <v>#N/A</v>
      </c>
      <c r="M264" s="64" t="e">
        <f t="shared" ca="1" si="4"/>
        <v>#N/A</v>
      </c>
      <c r="N264" s="64" t="str">
        <f>IFERROR(VLOOKUP(ExtComp[[#This Row],[DEVELOPMENT]],Data[],22,FALSE),"")</f>
        <v/>
      </c>
      <c r="O264" s="51" t="str">
        <f>IFERROR(VLOOKUP(ExtComp[[#This Row],[DEVELOPMENT]],Data[],23,FALSE),"")</f>
        <v/>
      </c>
    </row>
    <row r="265" spans="1:15">
      <c r="A265" s="13" t="s">
        <v>309</v>
      </c>
      <c r="B265" s="9" t="str">
        <f>VLOOKUP(A265,Data[],2,FALSE)</f>
        <v>MANHATTAN</v>
      </c>
      <c r="C265" s="9" t="s">
        <v>68</v>
      </c>
      <c r="D265" s="50">
        <f>VLOOKUP(ExtComp[[#This Row],[DEVELOPMENT]],Data[],8,FALSE)</f>
        <v>0</v>
      </c>
      <c r="E265" s="50">
        <f>VLOOKUP(ExtComp[[#This Row],[DEVELOPMENT]],Data[],9,FALSE)</f>
        <v>0</v>
      </c>
      <c r="F265" s="50" t="str">
        <f ca="1">IFERROR(VLOOKUP(ExtComp[[#This Row],[DEVELOPMENT]],Data[],4,FALSE),"")</f>
        <v/>
      </c>
      <c r="G265" s="50" t="str">
        <f ca="1">IF(ExtComp[[#This Row],[RAD/PACT]]="","",IF(ExtComp[[#This Row],[RAD/PACT]]&lt;=2025,"Yes",""))</f>
        <v/>
      </c>
      <c r="H265" s="51">
        <f ca="1">IF(VLOOKUP(ExtComp[[#This Row],[DEVELOPMENT]],Data[],11,FALSE)=0,"",DATEDIF(VLOOKUP(ExtComp[[#This Row],[DEVELOPMENT]],Data[],13,FALSE),TODAY(),"Y"))</f>
        <v>10</v>
      </c>
      <c r="I265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265" s="47" t="e">
        <f ca="1">(ExtComp[[#This Row],['# to Replace]]*'Unit Cost Summary'!$B$6)*(1+((ExtComp[[#This Row],[est. Year]]-YEAR(TODAY()))*$J$2))</f>
        <v>#N/A</v>
      </c>
      <c r="K265" s="51" t="e">
        <f ca="1">SUM(INDEX(ExtComp['# to Replace],1):ExtComp[[#This Row],['# to Replace]])</f>
        <v>#N/A</v>
      </c>
      <c r="L265" s="51" t="e">
        <f ca="1">ROUNDDOWN(ExtComp[[#This Row],[Count]]/50,0)+$L$1</f>
        <v>#N/A</v>
      </c>
      <c r="M265" s="64" t="e">
        <f t="shared" ca="1" si="4"/>
        <v>#N/A</v>
      </c>
      <c r="N265" s="64" t="str">
        <f>IFERROR(VLOOKUP(ExtComp[[#This Row],[DEVELOPMENT]],Data[],22,FALSE),"")</f>
        <v/>
      </c>
      <c r="O265" s="71" t="str">
        <f>IFERROR(VLOOKUP(ExtComp[[#This Row],[DEVELOPMENT]],Data[],23,FALSE),"")</f>
        <v/>
      </c>
    </row>
    <row r="266" spans="1:15">
      <c r="A266" s="13" t="s">
        <v>200</v>
      </c>
      <c r="B266" s="9" t="str">
        <f>VLOOKUP(A266,Data[],2,FALSE)</f>
        <v>BRONX</v>
      </c>
      <c r="C266" s="9" t="s">
        <v>68</v>
      </c>
      <c r="D266" s="50">
        <f>VLOOKUP(ExtComp[[#This Row],[DEVELOPMENT]],Data[],8,FALSE)</f>
        <v>0</v>
      </c>
      <c r="E266" s="50">
        <f>VLOOKUP(ExtComp[[#This Row],[DEVELOPMENT]],Data[],9,FALSE)</f>
        <v>0</v>
      </c>
      <c r="F266" s="50" t="str">
        <f ca="1">IFERROR(VLOOKUP(ExtComp[[#This Row],[DEVELOPMENT]],Data[],4,FALSE),"")</f>
        <v/>
      </c>
      <c r="G266" s="50" t="str">
        <f ca="1">IF(ExtComp[[#This Row],[RAD/PACT]]="","",IF(ExtComp[[#This Row],[RAD/PACT]]&lt;=2025,"Yes",""))</f>
        <v/>
      </c>
      <c r="H266" s="51">
        <f ca="1">IF(VLOOKUP(ExtComp[[#This Row],[DEVELOPMENT]],Data[],11,FALSE)=0,"",DATEDIF(VLOOKUP(ExtComp[[#This Row],[DEVELOPMENT]],Data[],13,FALSE),TODAY(),"Y"))</f>
        <v>2</v>
      </c>
      <c r="I266" s="51">
        <f ca="1">IF(ExtComp[[#This Row],[RAD/PACT]]="",VLOOKUP(ExtComp[[#This Row],[DEVELOPMENT]],Data[],11,FALSE),IF(ExtComp[[#This Row],[RAD/PACT by 2025]]="yes",0,VLOOKUP(ExtComp[[#This Row],[DEVELOPMENT]],Data[],11,FALSE)))</f>
        <v>4</v>
      </c>
      <c r="J266" s="47" t="e">
        <f ca="1">(ExtComp[[#This Row],['# to Replace]]*'Unit Cost Summary'!$B$6)*(1+((ExtComp[[#This Row],[est. Year]]-YEAR(TODAY()))*$J$2))</f>
        <v>#N/A</v>
      </c>
      <c r="K266" s="51" t="e">
        <f ca="1">SUM(INDEX(ExtComp['# to Replace],1):ExtComp[[#This Row],['# to Replace]])</f>
        <v>#N/A</v>
      </c>
      <c r="L266" s="51" t="e">
        <f ca="1">ROUNDDOWN(ExtComp[[#This Row],[Count]]/50,0)+$L$1</f>
        <v>#N/A</v>
      </c>
      <c r="M266" s="64" t="e">
        <f t="shared" ca="1" si="4"/>
        <v>#N/A</v>
      </c>
      <c r="N266" s="64" t="str">
        <f>IFERROR(VLOOKUP(ExtComp[[#This Row],[DEVELOPMENT]],Data[],22,FALSE),"")</f>
        <v/>
      </c>
      <c r="O266" s="71" t="str">
        <f>IFERROR(VLOOKUP(ExtComp[[#This Row],[DEVELOPMENT]],Data[],23,FALSE),"")</f>
        <v/>
      </c>
    </row>
    <row r="267" spans="1:15">
      <c r="A267" s="13" t="s">
        <v>308</v>
      </c>
      <c r="B267" s="9" t="str">
        <f>VLOOKUP(A267,Data[],2,FALSE)</f>
        <v>STATEN ISLAND</v>
      </c>
      <c r="C267" s="9" t="s">
        <v>68</v>
      </c>
      <c r="D267" s="50">
        <f>VLOOKUP(ExtComp[[#This Row],[DEVELOPMENT]],Data[],8,FALSE)</f>
        <v>0</v>
      </c>
      <c r="E267" s="50">
        <f>VLOOKUP(ExtComp[[#This Row],[DEVELOPMENT]],Data[],9,FALSE)</f>
        <v>0</v>
      </c>
      <c r="F267" s="50" t="str">
        <f ca="1">IFERROR(VLOOKUP(ExtComp[[#This Row],[DEVELOPMENT]],Data[],4,FALSE),"")</f>
        <v/>
      </c>
      <c r="G267" s="50" t="str">
        <f ca="1">IF(ExtComp[[#This Row],[RAD/PACT]]="","",IF(ExtComp[[#This Row],[RAD/PACT]]&lt;=2025,"Yes",""))</f>
        <v/>
      </c>
      <c r="H267" s="51">
        <f ca="1">IF(VLOOKUP(ExtComp[[#This Row],[DEVELOPMENT]],Data[],11,FALSE)=0,"",DATEDIF(VLOOKUP(ExtComp[[#This Row],[DEVELOPMENT]],Data[],13,FALSE),TODAY(),"Y"))</f>
        <v>17</v>
      </c>
      <c r="I267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267" s="47" t="e">
        <f ca="1">(ExtComp[[#This Row],['# to Replace]]*'Unit Cost Summary'!$B$6)*(1+((ExtComp[[#This Row],[est. Year]]-YEAR(TODAY()))*$J$2))</f>
        <v>#N/A</v>
      </c>
      <c r="K267" s="51" t="e">
        <f ca="1">SUM(INDEX(ExtComp['# to Replace],1):ExtComp[[#This Row],['# to Replace]])</f>
        <v>#N/A</v>
      </c>
      <c r="L267" s="51" t="e">
        <f ca="1">ROUNDDOWN(ExtComp[[#This Row],[Count]]/50,0)+$L$1</f>
        <v>#N/A</v>
      </c>
      <c r="M267" s="64" t="e">
        <f t="shared" ca="1" si="4"/>
        <v>#N/A</v>
      </c>
      <c r="N267" s="64" t="str">
        <f>IFERROR(VLOOKUP(ExtComp[[#This Row],[DEVELOPMENT]],Data[],22,FALSE),"")</f>
        <v/>
      </c>
      <c r="O267" s="71" t="str">
        <f>IFERROR(VLOOKUP(ExtComp[[#This Row],[DEVELOPMENT]],Data[],23,FALSE),"")</f>
        <v/>
      </c>
    </row>
    <row r="268" spans="1:15">
      <c r="A268" s="13" t="s">
        <v>120</v>
      </c>
      <c r="B268" s="1" t="str">
        <f>VLOOKUP(A268,Data[],2,FALSE)</f>
        <v>MANHATTAN</v>
      </c>
      <c r="C268" s="9" t="s">
        <v>68</v>
      </c>
      <c r="D268" s="9" t="str">
        <f>VLOOKUP(ExtComp[[#This Row],[DEVELOPMENT]],Data[],8,FALSE)</f>
        <v>Zone 2</v>
      </c>
      <c r="E268" s="9">
        <f>VLOOKUP(ExtComp[[#This Row],[DEVELOPMENT]],Data[],9,FALSE)</f>
        <v>3</v>
      </c>
      <c r="F268" s="9" t="str">
        <f ca="1">IFERROR(VLOOKUP(ExtComp[[#This Row],[DEVELOPMENT]],Data[],4,FALSE),"")</f>
        <v>2026+</v>
      </c>
      <c r="G268" s="9" t="str">
        <f ca="1">IF(ExtComp[[#This Row],[RAD/PACT]]="","",IF(ExtComp[[#This Row],[RAD/PACT]]&lt;=2025,"Yes",""))</f>
        <v/>
      </c>
      <c r="H268" s="1">
        <f ca="1">IF(VLOOKUP(ExtComp[[#This Row],[DEVELOPMENT]],Data[],11,FALSE)=0,"",DATEDIF(VLOOKUP(ExtComp[[#This Row],[DEVELOPMENT]],Data[],13,FALSE),TODAY(),"Y"))</f>
        <v>14</v>
      </c>
      <c r="I268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268" s="47" t="e">
        <f ca="1">(ExtComp[[#This Row],['# to Replace]]*'Unit Cost Summary'!$B$6)*(1+((ExtComp[[#This Row],[est. Year]]-YEAR(TODAY()))*$J$2))</f>
        <v>#N/A</v>
      </c>
      <c r="K268" s="1" t="e">
        <f ca="1">SUM(INDEX(ExtComp['# to Replace],1):ExtComp[[#This Row],['# to Replace]])</f>
        <v>#N/A</v>
      </c>
      <c r="L268" s="1" t="e">
        <f ca="1">ROUNDDOWN(ExtComp[[#This Row],[Count]]/50,0)+$L$1</f>
        <v>#N/A</v>
      </c>
      <c r="M268" s="64" t="e">
        <f t="shared" ca="1" si="4"/>
        <v>#N/A</v>
      </c>
      <c r="N268" s="64" t="str">
        <f>IFERROR(VLOOKUP(ExtComp[[#This Row],[DEVELOPMENT]],Data[],22,FALSE),"")</f>
        <v/>
      </c>
      <c r="O268" s="71" t="str">
        <f>IFERROR(VLOOKUP(ExtComp[[#This Row],[DEVELOPMENT]],Data[],23,FALSE),"")</f>
        <v/>
      </c>
    </row>
    <row r="269" spans="1:15">
      <c r="A269" s="13" t="s">
        <v>307</v>
      </c>
      <c r="B269" s="9" t="str">
        <f>VLOOKUP(A269,Data[],2,FALSE)</f>
        <v>QUEENS</v>
      </c>
      <c r="C269" s="9" t="s">
        <v>68</v>
      </c>
      <c r="D269" s="50">
        <f>VLOOKUP(ExtComp[[#This Row],[DEVELOPMENT]],Data[],8,FALSE)</f>
        <v>0</v>
      </c>
      <c r="E269" s="50">
        <f>VLOOKUP(ExtComp[[#This Row],[DEVELOPMENT]],Data[],9,FALSE)</f>
        <v>0</v>
      </c>
      <c r="F269" s="50" t="str">
        <f ca="1">IFERROR(VLOOKUP(ExtComp[[#This Row],[DEVELOPMENT]],Data[],4,FALSE),"")</f>
        <v>2026+</v>
      </c>
      <c r="G269" s="50" t="str">
        <f ca="1">IF(ExtComp[[#This Row],[RAD/PACT]]="","",IF(ExtComp[[#This Row],[RAD/PACT]]&lt;=2025,"Yes",""))</f>
        <v/>
      </c>
      <c r="H269" s="51">
        <f ca="1">IF(VLOOKUP(ExtComp[[#This Row],[DEVELOPMENT]],Data[],11,FALSE)=0,"",DATEDIF(VLOOKUP(ExtComp[[#This Row],[DEVELOPMENT]],Data[],13,FALSE),TODAY(),"Y"))</f>
        <v>23</v>
      </c>
      <c r="I269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269" s="47" t="e">
        <f ca="1">(ExtComp[[#This Row],['# to Replace]]*'Unit Cost Summary'!$B$6)*(1+((ExtComp[[#This Row],[est. Year]]-YEAR(TODAY()))*$J$2))</f>
        <v>#N/A</v>
      </c>
      <c r="K269" s="51" t="e">
        <f ca="1">SUM(INDEX(ExtComp['# to Replace],1):ExtComp[[#This Row],['# to Replace]])</f>
        <v>#N/A</v>
      </c>
      <c r="L269" s="51" t="e">
        <f ca="1">ROUNDDOWN(ExtComp[[#This Row],[Count]]/50,0)+$L$1</f>
        <v>#N/A</v>
      </c>
      <c r="M269" s="64" t="e">
        <f t="shared" ca="1" si="4"/>
        <v>#N/A</v>
      </c>
      <c r="N269" s="64" t="str">
        <f>IFERROR(VLOOKUP(ExtComp[[#This Row],[DEVELOPMENT]],Data[],22,FALSE),"")</f>
        <v/>
      </c>
      <c r="O269" s="71" t="str">
        <f>IFERROR(VLOOKUP(ExtComp[[#This Row],[DEVELOPMENT]],Data[],23,FALSE),"")</f>
        <v/>
      </c>
    </row>
    <row r="270" spans="1:15">
      <c r="A270" s="13" t="s">
        <v>306</v>
      </c>
      <c r="B270" s="9" t="str">
        <f>VLOOKUP(A270,Data[],2,FALSE)</f>
        <v>BROOKLYN</v>
      </c>
      <c r="C270" s="9" t="s">
        <v>68</v>
      </c>
      <c r="D270" s="50">
        <f>VLOOKUP(ExtComp[[#This Row],[DEVELOPMENT]],Data[],8,FALSE)</f>
        <v>0</v>
      </c>
      <c r="E270" s="50">
        <f>VLOOKUP(ExtComp[[#This Row],[DEVELOPMENT]],Data[],9,FALSE)</f>
        <v>0</v>
      </c>
      <c r="F270" s="50" t="str">
        <f ca="1">IFERROR(VLOOKUP(ExtComp[[#This Row],[DEVELOPMENT]],Data[],4,FALSE),"")</f>
        <v/>
      </c>
      <c r="G270" s="50" t="str">
        <f ca="1">IF(ExtComp[[#This Row],[RAD/PACT]]="","",IF(ExtComp[[#This Row],[RAD/PACT]]&lt;=2025,"Yes",""))</f>
        <v/>
      </c>
      <c r="H270" s="51">
        <f ca="1">IF(VLOOKUP(ExtComp[[#This Row],[DEVELOPMENT]],Data[],11,FALSE)=0,"",DATEDIF(VLOOKUP(ExtComp[[#This Row],[DEVELOPMENT]],Data[],13,FALSE),TODAY(),"Y"))</f>
        <v>20</v>
      </c>
      <c r="I270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270" s="47" t="e">
        <f ca="1">(ExtComp[[#This Row],['# to Replace]]*'Unit Cost Summary'!$B$6)*(1+((ExtComp[[#This Row],[est. Year]]-YEAR(TODAY()))*$J$2))</f>
        <v>#N/A</v>
      </c>
      <c r="K270" s="51" t="e">
        <f ca="1">SUM(INDEX(ExtComp['# to Replace],1):ExtComp[[#This Row],['# to Replace]])</f>
        <v>#N/A</v>
      </c>
      <c r="L270" s="51" t="e">
        <f ca="1">ROUNDDOWN(ExtComp[[#This Row],[Count]]/50,0)+$L$1</f>
        <v>#N/A</v>
      </c>
      <c r="M270" s="64" t="e">
        <f t="shared" ca="1" si="4"/>
        <v>#N/A</v>
      </c>
      <c r="N270" s="64" t="str">
        <f>IFERROR(VLOOKUP(ExtComp[[#This Row],[DEVELOPMENT]],Data[],22,FALSE),"")</f>
        <v/>
      </c>
      <c r="O270" s="71" t="str">
        <f>IFERROR(VLOOKUP(ExtComp[[#This Row],[DEVELOPMENT]],Data[],23,FALSE),"")</f>
        <v/>
      </c>
    </row>
    <row r="271" spans="1:15">
      <c r="A271" s="65" t="s">
        <v>60</v>
      </c>
      <c r="B271" s="1" t="str">
        <f>VLOOKUP(A271,Data[],2,FALSE)</f>
        <v>MANHATTAN</v>
      </c>
      <c r="C271" s="9" t="s">
        <v>68</v>
      </c>
      <c r="D271" s="9" t="str">
        <f>VLOOKUP(ExtComp[[#This Row],[DEVELOPMENT]],Data[],8,FALSE)</f>
        <v>Zone 1</v>
      </c>
      <c r="E271" s="9">
        <f>VLOOKUP(ExtComp[[#This Row],[DEVELOPMENT]],Data[],9,FALSE)</f>
        <v>3</v>
      </c>
      <c r="F271" s="9" t="str">
        <f ca="1">IFERROR(VLOOKUP(ExtComp[[#This Row],[DEVELOPMENT]],Data[],4,FALSE),"")</f>
        <v>2026+</v>
      </c>
      <c r="G271" s="9" t="str">
        <f ca="1">IF(ExtComp[[#This Row],[RAD/PACT]]="","",IF(ExtComp[[#This Row],[RAD/PACT]]&lt;=2025,"Yes",""))</f>
        <v/>
      </c>
      <c r="H271" s="1" t="str">
        <f ca="1">IF(VLOOKUP(ExtComp[[#This Row],[DEVELOPMENT]],Data[],11,FALSE)=0,"",DATEDIF(VLOOKUP(ExtComp[[#This Row],[DEVELOPMENT]],Data[],13,FALSE),TODAY(),"Y"))</f>
        <v/>
      </c>
      <c r="I271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71" s="47" t="e">
        <f ca="1">(ExtComp[[#This Row],['# to Replace]]*'Unit Cost Summary'!$B$6)*(1+((ExtComp[[#This Row],[est. Year]]-YEAR(TODAY()))*$J$2))</f>
        <v>#N/A</v>
      </c>
      <c r="K271" s="1" t="e">
        <f ca="1">SUM(INDEX(ExtComp['# to Replace],1):ExtComp[[#This Row],['# to Replace]])</f>
        <v>#N/A</v>
      </c>
      <c r="L271" s="1" t="e">
        <f ca="1">ROUNDDOWN(ExtComp[[#This Row],[Count]]/50,0)+$L$1</f>
        <v>#N/A</v>
      </c>
      <c r="M271" s="64" t="e">
        <f t="shared" ca="1" si="4"/>
        <v>#N/A</v>
      </c>
      <c r="N271" s="64" t="str">
        <f>IFERROR(VLOOKUP(ExtComp[[#This Row],[DEVELOPMENT]],Data[],22,FALSE),"")</f>
        <v/>
      </c>
      <c r="O271" s="51" t="str">
        <f>IFERROR(VLOOKUP(ExtComp[[#This Row],[DEVELOPMENT]],Data[],23,FALSE),"")</f>
        <v/>
      </c>
    </row>
    <row r="272" spans="1:15">
      <c r="A272" s="65" t="s">
        <v>31</v>
      </c>
      <c r="B272" s="1" t="str">
        <f>VLOOKUP(A272,Data[],2,FALSE)</f>
        <v>BRONX</v>
      </c>
      <c r="C272" s="9" t="s">
        <v>68</v>
      </c>
      <c r="D272" s="9" t="str">
        <f>VLOOKUP(ExtComp[[#This Row],[DEVELOPMENT]],Data[],8,FALSE)</f>
        <v>Zone 1</v>
      </c>
      <c r="E272" s="9">
        <f>VLOOKUP(ExtComp[[#This Row],[DEVELOPMENT]],Data[],9,FALSE)</f>
        <v>3</v>
      </c>
      <c r="F272" s="9" t="str">
        <f ca="1">IFERROR(VLOOKUP(ExtComp[[#This Row],[DEVELOPMENT]],Data[],4,FALSE),"")</f>
        <v/>
      </c>
      <c r="G272" s="9" t="str">
        <f ca="1">IF(ExtComp[[#This Row],[RAD/PACT]]="","",IF(ExtComp[[#This Row],[RAD/PACT]]&lt;=2025,"Yes",""))</f>
        <v/>
      </c>
      <c r="H272" s="1">
        <f ca="1">IF(VLOOKUP(ExtComp[[#This Row],[DEVELOPMENT]],Data[],11,FALSE)=0,"",DATEDIF(VLOOKUP(ExtComp[[#This Row],[DEVELOPMENT]],Data[],13,FALSE),TODAY(),"Y"))</f>
        <v>0</v>
      </c>
      <c r="I272" s="1">
        <f ca="1">IF(ExtComp[[#This Row],[RAD/PACT]]="",VLOOKUP(ExtComp[[#This Row],[DEVELOPMENT]],Data[],11,FALSE),IF(ExtComp[[#This Row],[RAD/PACT by 2025]]="yes",0,VLOOKUP(ExtComp[[#This Row],[DEVELOPMENT]],Data[],11,FALSE)))</f>
        <v>4</v>
      </c>
      <c r="J272" s="47" t="e">
        <f ca="1">(ExtComp[[#This Row],['# to Replace]]*'Unit Cost Summary'!$B$6)*(1+((ExtComp[[#This Row],[est. Year]]-YEAR(TODAY()))*$J$2))</f>
        <v>#N/A</v>
      </c>
      <c r="K272" s="1" t="e">
        <f ca="1">SUM(INDEX(ExtComp['# to Replace],1):ExtComp[[#This Row],['# to Replace]])</f>
        <v>#N/A</v>
      </c>
      <c r="L272" s="1" t="e">
        <f ca="1">ROUNDDOWN(ExtComp[[#This Row],[Count]]/50,0)+$L$1</f>
        <v>#N/A</v>
      </c>
      <c r="M272" s="64" t="e">
        <f t="shared" ca="1" si="4"/>
        <v>#N/A</v>
      </c>
      <c r="N272" s="64" t="str">
        <f>IFERROR(VLOOKUP(ExtComp[[#This Row],[DEVELOPMENT]],Data[],22,FALSE),"")</f>
        <v/>
      </c>
      <c r="O272" s="71" t="str">
        <f>IFERROR(VLOOKUP(ExtComp[[#This Row],[DEVELOPMENT]],Data[],23,FALSE),"")</f>
        <v/>
      </c>
    </row>
    <row r="273" spans="1:15">
      <c r="A273" s="13" t="s">
        <v>1210</v>
      </c>
      <c r="B273" s="1" t="str">
        <f>VLOOKUP(A273,Data[],2,FALSE)</f>
        <v>BROOKLYN</v>
      </c>
      <c r="C273" s="9" t="s">
        <v>68</v>
      </c>
      <c r="D273" s="50" t="str">
        <f>VLOOKUP(ExtComp[[#This Row],[DEVELOPMENT]],Data[],8,FALSE)</f>
        <v>Zone 1</v>
      </c>
      <c r="E273" s="9">
        <f>VLOOKUP(ExtComp[[#This Row],[DEVELOPMENT]],Data[],9,FALSE)</f>
        <v>0</v>
      </c>
      <c r="F273" s="50">
        <f ca="1">IFERROR(VLOOKUP(ExtComp[[#This Row],[DEVELOPMENT]],Data[],4,FALSE),"")</f>
        <v>2019</v>
      </c>
      <c r="G273" s="50" t="str">
        <f ca="1">IF(ExtComp[[#This Row],[RAD/PACT]]="","",IF(ExtComp[[#This Row],[RAD/PACT]]&lt;=2025,"Yes",""))</f>
        <v>Yes</v>
      </c>
      <c r="H273" s="51" t="str">
        <f ca="1">IF(VLOOKUP(ExtComp[[#This Row],[DEVELOPMENT]],Data[],11,FALSE)=0,"",DATEDIF(VLOOKUP(ExtComp[[#This Row],[DEVELOPMENT]],Data[],13,FALSE),TODAY(),"Y"))</f>
        <v/>
      </c>
      <c r="I27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73" s="47" t="e">
        <f ca="1">(ExtComp[[#This Row],['# to Replace]]*'Unit Cost Summary'!$B$6)*(1+((ExtComp[[#This Row],[est. Year]]-YEAR(TODAY()))*$J$2))</f>
        <v>#N/A</v>
      </c>
      <c r="K273" s="51" t="e">
        <f ca="1">SUM(INDEX(ExtComp['# to Replace],1):ExtComp[[#This Row],['# to Replace]])</f>
        <v>#N/A</v>
      </c>
      <c r="L273" s="51" t="e">
        <f ca="1">ROUNDDOWN(ExtComp[[#This Row],[Count]]/50,0)+$L$1</f>
        <v>#N/A</v>
      </c>
      <c r="M273" s="64" t="e">
        <f t="shared" ca="1" si="4"/>
        <v>#N/A</v>
      </c>
      <c r="N273" s="64" t="str">
        <f>IFERROR(VLOOKUP(ExtComp[[#This Row],[DEVELOPMENT]],Data[],22,FALSE),"")</f>
        <v/>
      </c>
      <c r="O273" s="51" t="str">
        <f>IFERROR(VLOOKUP(ExtComp[[#This Row],[DEVELOPMENT]],Data[],23,FALSE),"")</f>
        <v/>
      </c>
    </row>
    <row r="274" spans="1:15">
      <c r="A274" s="13" t="s">
        <v>1206</v>
      </c>
      <c r="B274" s="9" t="str">
        <f>VLOOKUP(A274,Data[],2,FALSE)</f>
        <v>BROOKLYN</v>
      </c>
      <c r="C274" s="9" t="s">
        <v>68</v>
      </c>
      <c r="D274" s="50">
        <f>VLOOKUP(ExtComp[[#This Row],[DEVELOPMENT]],Data[],8,FALSE)</f>
        <v>0</v>
      </c>
      <c r="E274" s="50">
        <f>VLOOKUP(ExtComp[[#This Row],[DEVELOPMENT]],Data[],9,FALSE)</f>
        <v>0</v>
      </c>
      <c r="F274" s="50">
        <f ca="1">IFERROR(VLOOKUP(ExtComp[[#This Row],[DEVELOPMENT]],Data[],4,FALSE),"")</f>
        <v>2019</v>
      </c>
      <c r="G274" s="50" t="str">
        <f ca="1">IF(ExtComp[[#This Row],[RAD/PACT]]="","",IF(ExtComp[[#This Row],[RAD/PACT]]&lt;=2025,"Yes",""))</f>
        <v>Yes</v>
      </c>
      <c r="H274" s="51" t="str">
        <f ca="1">IF(VLOOKUP(ExtComp[[#This Row],[DEVELOPMENT]],Data[],11,FALSE)=0,"",DATEDIF(VLOOKUP(ExtComp[[#This Row],[DEVELOPMENT]],Data[],13,FALSE),TODAY(),"Y"))</f>
        <v/>
      </c>
      <c r="I27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74" s="47" t="e">
        <f ca="1">(ExtComp[[#This Row],['# to Replace]]*'Unit Cost Summary'!$B$6)*(1+((ExtComp[[#This Row],[est. Year]]-YEAR(TODAY()))*$J$2))</f>
        <v>#N/A</v>
      </c>
      <c r="K274" s="51" t="e">
        <f ca="1">SUM(INDEX(ExtComp['# to Replace],1):ExtComp[[#This Row],['# to Replace]])</f>
        <v>#N/A</v>
      </c>
      <c r="L274" s="51" t="e">
        <f ca="1">ROUNDDOWN(ExtComp[[#This Row],[Count]]/50,0)+$L$1</f>
        <v>#N/A</v>
      </c>
      <c r="M274" s="64" t="e">
        <f t="shared" ca="1" si="4"/>
        <v>#N/A</v>
      </c>
      <c r="N274" s="64" t="str">
        <f>IFERROR(VLOOKUP(ExtComp[[#This Row],[DEVELOPMENT]],Data[],22,FALSE),"")</f>
        <v/>
      </c>
      <c r="O274" s="51" t="str">
        <f>IFERROR(VLOOKUP(ExtComp[[#This Row],[DEVELOPMENT]],Data[],23,FALSE),"")</f>
        <v/>
      </c>
    </row>
    <row r="275" spans="1:15">
      <c r="A275" s="13" t="s">
        <v>1196</v>
      </c>
      <c r="B275" s="1" t="str">
        <f>VLOOKUP(A275,Data[],2,FALSE)</f>
        <v>BROOKLYN</v>
      </c>
      <c r="C275" s="9" t="s">
        <v>68</v>
      </c>
      <c r="D275" s="50" t="str">
        <f>VLOOKUP(ExtComp[[#This Row],[DEVELOPMENT]],Data[],8,FALSE)</f>
        <v>Zone 1</v>
      </c>
      <c r="E275" s="9">
        <f>VLOOKUP(ExtComp[[#This Row],[DEVELOPMENT]],Data[],9,FALSE)</f>
        <v>0</v>
      </c>
      <c r="F275" s="50">
        <f ca="1">IFERROR(VLOOKUP(ExtComp[[#This Row],[DEVELOPMENT]],Data[],4,FALSE),"")</f>
        <v>2019</v>
      </c>
      <c r="G275" s="50" t="str">
        <f ca="1">IF(ExtComp[[#This Row],[RAD/PACT]]="","",IF(ExtComp[[#This Row],[RAD/PACT]]&lt;=2025,"Yes",""))</f>
        <v>Yes</v>
      </c>
      <c r="H275" s="51" t="str">
        <f ca="1">IF(VLOOKUP(ExtComp[[#This Row],[DEVELOPMENT]],Data[],11,FALSE)=0,"",DATEDIF(VLOOKUP(ExtComp[[#This Row],[DEVELOPMENT]],Data[],13,FALSE),TODAY(),"Y"))</f>
        <v/>
      </c>
      <c r="I27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75" s="47" t="e">
        <f ca="1">(ExtComp[[#This Row],['# to Replace]]*'Unit Cost Summary'!$B$6)*(1+((ExtComp[[#This Row],[est. Year]]-YEAR(TODAY()))*$J$2))</f>
        <v>#N/A</v>
      </c>
      <c r="K275" s="51" t="e">
        <f ca="1">SUM(INDEX(ExtComp['# to Replace],1):ExtComp[[#This Row],['# to Replace]])</f>
        <v>#N/A</v>
      </c>
      <c r="L275" s="51" t="e">
        <f ca="1">ROUNDDOWN(ExtComp[[#This Row],[Count]]/50,0)+$L$1</f>
        <v>#N/A</v>
      </c>
      <c r="M275" s="64" t="e">
        <f t="shared" ca="1" si="4"/>
        <v>#N/A</v>
      </c>
      <c r="N275" s="64" t="str">
        <f>IFERROR(VLOOKUP(ExtComp[[#This Row],[DEVELOPMENT]],Data[],22,FALSE),"")</f>
        <v/>
      </c>
      <c r="O275" s="51" t="str">
        <f>IFERROR(VLOOKUP(ExtComp[[#This Row],[DEVELOPMENT]],Data[],23,FALSE),"")</f>
        <v/>
      </c>
    </row>
    <row r="276" spans="1:15">
      <c r="A276" s="65" t="s">
        <v>26</v>
      </c>
      <c r="B276" s="1" t="str">
        <f>VLOOKUP(A276,Data[],2,FALSE)</f>
        <v>BROOKLYN</v>
      </c>
      <c r="C276" s="9" t="s">
        <v>68</v>
      </c>
      <c r="D276" s="9" t="str">
        <f>VLOOKUP(ExtComp[[#This Row],[DEVELOPMENT]],Data[],8,FALSE)</f>
        <v>Zone 1</v>
      </c>
      <c r="E276" s="9">
        <f>VLOOKUP(ExtComp[[#This Row],[DEVELOPMENT]],Data[],9,FALSE)</f>
        <v>3</v>
      </c>
      <c r="F276" s="9" t="str">
        <f ca="1">IFERROR(VLOOKUP(ExtComp[[#This Row],[DEVELOPMENT]],Data[],4,FALSE),"")</f>
        <v/>
      </c>
      <c r="G276" s="9" t="str">
        <f ca="1">IF(ExtComp[[#This Row],[RAD/PACT]]="","",IF(ExtComp[[#This Row],[RAD/PACT]]&lt;=2025,"Yes",""))</f>
        <v/>
      </c>
      <c r="H276" s="1">
        <f ca="1">IF(VLOOKUP(ExtComp[[#This Row],[DEVELOPMENT]],Data[],11,FALSE)=0,"",DATEDIF(VLOOKUP(ExtComp[[#This Row],[DEVELOPMENT]],Data[],13,FALSE),TODAY(),"Y"))</f>
        <v>16</v>
      </c>
      <c r="I276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276" s="47" t="e">
        <f ca="1">(ExtComp[[#This Row],['# to Replace]]*'Unit Cost Summary'!$B$6)*(1+((ExtComp[[#This Row],[est. Year]]-YEAR(TODAY()))*$J$2))</f>
        <v>#N/A</v>
      </c>
      <c r="K276" s="1" t="e">
        <f ca="1">SUM(INDEX(ExtComp['# to Replace],1):ExtComp[[#This Row],['# to Replace]])</f>
        <v>#N/A</v>
      </c>
      <c r="L276" s="1" t="e">
        <f ca="1">ROUNDDOWN(ExtComp[[#This Row],[Count]]/50,0)+$L$1</f>
        <v>#N/A</v>
      </c>
      <c r="M276" s="64" t="e">
        <f t="shared" ca="1" si="4"/>
        <v>#N/A</v>
      </c>
      <c r="N276" s="64" t="str">
        <f>IFERROR(VLOOKUP(ExtComp[[#This Row],[DEVELOPMENT]],Data[],22,FALSE),"")</f>
        <v/>
      </c>
      <c r="O276" s="71" t="str">
        <f>IFERROR(VLOOKUP(ExtComp[[#This Row],[DEVELOPMENT]],Data[],23,FALSE),"")</f>
        <v/>
      </c>
    </row>
    <row r="277" spans="1:15">
      <c r="A277" s="13" t="s">
        <v>283</v>
      </c>
      <c r="B277" s="9" t="str">
        <f>VLOOKUP(A277,Data[],2,FALSE)</f>
        <v>BRONX</v>
      </c>
      <c r="C277" s="9" t="s">
        <v>68</v>
      </c>
      <c r="D277" s="50">
        <f>VLOOKUP(ExtComp[[#This Row],[DEVELOPMENT]],Data[],8,FALSE)</f>
        <v>0</v>
      </c>
      <c r="E277" s="50">
        <f>VLOOKUP(ExtComp[[#This Row],[DEVELOPMENT]],Data[],9,FALSE)</f>
        <v>0</v>
      </c>
      <c r="F277" s="50" t="str">
        <f ca="1">IFERROR(VLOOKUP(ExtComp[[#This Row],[DEVELOPMENT]],Data[],4,FALSE),"")</f>
        <v/>
      </c>
      <c r="G277" s="50" t="str">
        <f ca="1">IF(ExtComp[[#This Row],[RAD/PACT]]="","",IF(ExtComp[[#This Row],[RAD/PACT]]&lt;=2025,"Yes",""))</f>
        <v/>
      </c>
      <c r="H277" s="51" t="str">
        <f ca="1">IF(VLOOKUP(ExtComp[[#This Row],[DEVELOPMENT]],Data[],11,FALSE)=0,"",DATEDIF(VLOOKUP(ExtComp[[#This Row],[DEVELOPMENT]],Data[],13,FALSE),TODAY(),"Y"))</f>
        <v/>
      </c>
      <c r="I27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77" s="47" t="e">
        <f ca="1">(ExtComp[[#This Row],['# to Replace]]*'Unit Cost Summary'!$B$6)*(1+((ExtComp[[#This Row],[est. Year]]-YEAR(TODAY()))*$J$2))</f>
        <v>#N/A</v>
      </c>
      <c r="K277" s="51" t="e">
        <f ca="1">SUM(INDEX(ExtComp['# to Replace],1):ExtComp[[#This Row],['# to Replace]])</f>
        <v>#N/A</v>
      </c>
      <c r="L277" s="51" t="e">
        <f ca="1">ROUNDDOWN(ExtComp[[#This Row],[Count]]/50,0)+$L$1</f>
        <v>#N/A</v>
      </c>
      <c r="M277" s="64" t="e">
        <f t="shared" ca="1" si="4"/>
        <v>#N/A</v>
      </c>
      <c r="N277" s="64" t="str">
        <f>IFERROR(VLOOKUP(ExtComp[[#This Row],[DEVELOPMENT]],Data[],22,FALSE),"")</f>
        <v/>
      </c>
      <c r="O277" s="51" t="str">
        <f>IFERROR(VLOOKUP(ExtComp[[#This Row],[DEVELOPMENT]],Data[],23,FALSE),"")</f>
        <v/>
      </c>
    </row>
    <row r="278" spans="1:15">
      <c r="A278" s="13" t="s">
        <v>392</v>
      </c>
      <c r="B278" s="9" t="str">
        <f>VLOOKUP(A278,Data[],2,FALSE)</f>
        <v>BROOKLYN</v>
      </c>
      <c r="C278" s="9" t="s">
        <v>68</v>
      </c>
      <c r="D278" s="50">
        <f>VLOOKUP(ExtComp[[#This Row],[DEVELOPMENT]],Data[],8,FALSE)</f>
        <v>0</v>
      </c>
      <c r="E278" s="50">
        <f>VLOOKUP(ExtComp[[#This Row],[DEVELOPMENT]],Data[],9,FALSE)</f>
        <v>0</v>
      </c>
      <c r="F278" s="50" t="str">
        <f ca="1">IFERROR(VLOOKUP(ExtComp[[#This Row],[DEVELOPMENT]],Data[],4,FALSE),"")</f>
        <v>2026+</v>
      </c>
      <c r="G278" s="50" t="str">
        <f ca="1">IF(ExtComp[[#This Row],[RAD/PACT]]="","",IF(ExtComp[[#This Row],[RAD/PACT]]&lt;=2025,"Yes",""))</f>
        <v/>
      </c>
      <c r="H278" s="51">
        <f ca="1">IF(VLOOKUP(ExtComp[[#This Row],[DEVELOPMENT]],Data[],11,FALSE)=0,"",DATEDIF(VLOOKUP(ExtComp[[#This Row],[DEVELOPMENT]],Data[],13,FALSE),TODAY(),"Y"))</f>
        <v>15</v>
      </c>
      <c r="I278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278" s="47" t="e">
        <f ca="1">(ExtComp[[#This Row],['# to Replace]]*'Unit Cost Summary'!$B$6)*(1+((ExtComp[[#This Row],[est. Year]]-YEAR(TODAY()))*$J$2))</f>
        <v>#N/A</v>
      </c>
      <c r="K278" s="51" t="e">
        <f ca="1">SUM(INDEX(ExtComp['# to Replace],1):ExtComp[[#This Row],['# to Replace]])</f>
        <v>#N/A</v>
      </c>
      <c r="L278" s="51" t="e">
        <f ca="1">ROUNDDOWN(ExtComp[[#This Row],[Count]]/50,0)+$L$1</f>
        <v>#N/A</v>
      </c>
      <c r="M278" s="64" t="e">
        <f t="shared" ca="1" si="4"/>
        <v>#N/A</v>
      </c>
      <c r="N278" s="64" t="str">
        <f>IFERROR(VLOOKUP(ExtComp[[#This Row],[DEVELOPMENT]],Data[],22,FALSE),"")</f>
        <v/>
      </c>
      <c r="O278" s="71" t="str">
        <f>IFERROR(VLOOKUP(ExtComp[[#This Row],[DEVELOPMENT]],Data[],23,FALSE),"")</f>
        <v/>
      </c>
    </row>
    <row r="279" spans="1:15">
      <c r="A279" s="13" t="s">
        <v>305</v>
      </c>
      <c r="B279" s="9" t="str">
        <f>VLOOKUP(A279,Data[],2,FALSE)</f>
        <v>BROOKLYN</v>
      </c>
      <c r="C279" s="9" t="s">
        <v>68</v>
      </c>
      <c r="D279" s="50">
        <f>VLOOKUP(ExtComp[[#This Row],[DEVELOPMENT]],Data[],8,FALSE)</f>
        <v>0</v>
      </c>
      <c r="E279" s="50">
        <f>VLOOKUP(ExtComp[[#This Row],[DEVELOPMENT]],Data[],9,FALSE)</f>
        <v>0</v>
      </c>
      <c r="F279" s="50" t="str">
        <f ca="1">IFERROR(VLOOKUP(ExtComp[[#This Row],[DEVELOPMENT]],Data[],4,FALSE),"")</f>
        <v/>
      </c>
      <c r="G279" s="50" t="str">
        <f ca="1">IF(ExtComp[[#This Row],[RAD/PACT]]="","",IF(ExtComp[[#This Row],[RAD/PACT]]&lt;=2025,"Yes",""))</f>
        <v/>
      </c>
      <c r="H279" s="51" t="str">
        <f ca="1">IF(VLOOKUP(ExtComp[[#This Row],[DEVELOPMENT]],Data[],11,FALSE)=0,"",DATEDIF(VLOOKUP(ExtComp[[#This Row],[DEVELOPMENT]],Data[],13,FALSE),TODAY(),"Y"))</f>
        <v/>
      </c>
      <c r="I27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79" s="47" t="e">
        <f ca="1">(ExtComp[[#This Row],['# to Replace]]*'Unit Cost Summary'!$B$6)*(1+((ExtComp[[#This Row],[est. Year]]-YEAR(TODAY()))*$J$2))</f>
        <v>#N/A</v>
      </c>
      <c r="K279" s="51" t="e">
        <f ca="1">SUM(INDEX(ExtComp['# to Replace],1):ExtComp[[#This Row],['# to Replace]])</f>
        <v>#N/A</v>
      </c>
      <c r="L279" s="51" t="e">
        <f ca="1">ROUNDDOWN(ExtComp[[#This Row],[Count]]/50,0)+$L$1</f>
        <v>#N/A</v>
      </c>
      <c r="M279" s="64" t="e">
        <f t="shared" ca="1" si="4"/>
        <v>#N/A</v>
      </c>
      <c r="N279" s="64" t="str">
        <f>IFERROR(VLOOKUP(ExtComp[[#This Row],[DEVELOPMENT]],Data[],22,FALSE),"")</f>
        <v/>
      </c>
      <c r="O279" s="51" t="str">
        <f>IFERROR(VLOOKUP(ExtComp[[#This Row],[DEVELOPMENT]],Data[],23,FALSE),"")</f>
        <v/>
      </c>
    </row>
    <row r="280" spans="1:15">
      <c r="A280" s="13" t="s">
        <v>189</v>
      </c>
      <c r="B280" s="9" t="str">
        <f>VLOOKUP(A280,Data[],2,FALSE)</f>
        <v>BRONX</v>
      </c>
      <c r="C280" s="9" t="s">
        <v>68</v>
      </c>
      <c r="D280" s="50" t="str">
        <f>VLOOKUP(ExtComp[[#This Row],[DEVELOPMENT]],Data[],8,FALSE)</f>
        <v>Zone 3</v>
      </c>
      <c r="E280" s="50">
        <f>VLOOKUP(ExtComp[[#This Row],[DEVELOPMENT]],Data[],9,FALSE)</f>
        <v>0</v>
      </c>
      <c r="F280" s="50" t="str">
        <f ca="1">IFERROR(VLOOKUP(ExtComp[[#This Row],[DEVELOPMENT]],Data[],4,FALSE),"")</f>
        <v/>
      </c>
      <c r="G280" s="50" t="str">
        <f ca="1">IF(ExtComp[[#This Row],[RAD/PACT]]="","",IF(ExtComp[[#This Row],[RAD/PACT]]&lt;=2025,"Yes",""))</f>
        <v/>
      </c>
      <c r="H280" s="51" t="str">
        <f ca="1">IF(VLOOKUP(ExtComp[[#This Row],[DEVELOPMENT]],Data[],11,FALSE)=0,"",DATEDIF(VLOOKUP(ExtComp[[#This Row],[DEVELOPMENT]],Data[],13,FALSE),TODAY(),"Y"))</f>
        <v/>
      </c>
      <c r="I28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80" s="47" t="e">
        <f ca="1">(ExtComp[[#This Row],['# to Replace]]*'Unit Cost Summary'!$B$6)*(1+((ExtComp[[#This Row],[est. Year]]-YEAR(TODAY()))*$J$2))</f>
        <v>#N/A</v>
      </c>
      <c r="K280" s="51" t="e">
        <f ca="1">SUM(INDEX(ExtComp['# to Replace],1):ExtComp[[#This Row],['# to Replace]])</f>
        <v>#N/A</v>
      </c>
      <c r="L280" s="51" t="e">
        <f ca="1">ROUNDDOWN(ExtComp[[#This Row],[Count]]/50,0)+$L$1</f>
        <v>#N/A</v>
      </c>
      <c r="M280" s="64" t="e">
        <f t="shared" ca="1" si="4"/>
        <v>#N/A</v>
      </c>
      <c r="N280" s="64" t="str">
        <f>IFERROR(VLOOKUP(ExtComp[[#This Row],[DEVELOPMENT]],Data[],22,FALSE),"")</f>
        <v/>
      </c>
      <c r="O280" s="51" t="str">
        <f>IFERROR(VLOOKUP(ExtComp[[#This Row],[DEVELOPMENT]],Data[],23,FALSE),"")</f>
        <v/>
      </c>
    </row>
    <row r="281" spans="1:15">
      <c r="A281" s="13" t="s">
        <v>73</v>
      </c>
      <c r="B281" s="1" t="str">
        <f>VLOOKUP(A281,Data[],2,FALSE)</f>
        <v>BRONX</v>
      </c>
      <c r="C281" s="9" t="s">
        <v>68</v>
      </c>
      <c r="D281" s="9" t="str">
        <f>VLOOKUP(ExtComp[[#This Row],[DEVELOPMENT]],Data[],8,FALSE)</f>
        <v>Zone 3</v>
      </c>
      <c r="E281" s="9">
        <f>VLOOKUP(ExtComp[[#This Row],[DEVELOPMENT]],Data[],9,FALSE)</f>
        <v>4</v>
      </c>
      <c r="F281" s="9" t="str">
        <f ca="1">IFERROR(VLOOKUP(ExtComp[[#This Row],[DEVELOPMENT]],Data[],4,FALSE),"")</f>
        <v/>
      </c>
      <c r="G281" s="9" t="str">
        <f ca="1">IF(ExtComp[[#This Row],[RAD/PACT]]="","",IF(ExtComp[[#This Row],[RAD/PACT]]&lt;=2025,"Yes",""))</f>
        <v/>
      </c>
      <c r="H281" s="1">
        <f ca="1">IF(VLOOKUP(ExtComp[[#This Row],[DEVELOPMENT]],Data[],11,FALSE)=0,"",DATEDIF(VLOOKUP(ExtComp[[#This Row],[DEVELOPMENT]],Data[],13,FALSE),TODAY(),"Y"))</f>
        <v>20</v>
      </c>
      <c r="I281" s="1">
        <f ca="1">IF(ExtComp[[#This Row],[RAD/PACT]]="",VLOOKUP(ExtComp[[#This Row],[DEVELOPMENT]],Data[],11,FALSE),IF(ExtComp[[#This Row],[RAD/PACT by 2025]]="yes",0,VLOOKUP(ExtComp[[#This Row],[DEVELOPMENT]],Data[],11,FALSE)))</f>
        <v>3</v>
      </c>
      <c r="J281" s="47" t="e">
        <f ca="1">(ExtComp[[#This Row],['# to Replace]]*'Unit Cost Summary'!$B$6)*(1+((ExtComp[[#This Row],[est. Year]]-YEAR(TODAY()))*$J$2))</f>
        <v>#N/A</v>
      </c>
      <c r="K281" s="1" t="e">
        <f ca="1">SUM(INDEX(ExtComp['# to Replace],1):ExtComp[[#This Row],['# to Replace]])</f>
        <v>#N/A</v>
      </c>
      <c r="L281" s="1" t="e">
        <f ca="1">ROUNDDOWN(ExtComp[[#This Row],[Count]]/50,0)+$L$1</f>
        <v>#N/A</v>
      </c>
      <c r="M281" s="64" t="e">
        <f t="shared" ca="1" si="4"/>
        <v>#N/A</v>
      </c>
      <c r="N281" s="64" t="str">
        <f>IFERROR(VLOOKUP(ExtComp[[#This Row],[DEVELOPMENT]],Data[],22,FALSE),"")</f>
        <v/>
      </c>
      <c r="O281" s="71" t="str">
        <f>IFERROR(VLOOKUP(ExtComp[[#This Row],[DEVELOPMENT]],Data[],23,FALSE),"")</f>
        <v/>
      </c>
    </row>
    <row r="282" spans="1:15">
      <c r="A282" s="13" t="s">
        <v>199</v>
      </c>
      <c r="B282" s="9" t="str">
        <f>VLOOKUP(A282,Data[],2,FALSE)</f>
        <v>BROOKLYN</v>
      </c>
      <c r="C282" s="9" t="s">
        <v>68</v>
      </c>
      <c r="D282" s="50">
        <f>VLOOKUP(ExtComp[[#This Row],[DEVELOPMENT]],Data[],8,FALSE)</f>
        <v>0</v>
      </c>
      <c r="E282" s="50">
        <f>VLOOKUP(ExtComp[[#This Row],[DEVELOPMENT]],Data[],9,FALSE)</f>
        <v>0</v>
      </c>
      <c r="F282" s="50" t="str">
        <f ca="1">IFERROR(VLOOKUP(ExtComp[[#This Row],[DEVELOPMENT]],Data[],4,FALSE),"")</f>
        <v>2026+</v>
      </c>
      <c r="G282" s="50" t="str">
        <f ca="1">IF(ExtComp[[#This Row],[RAD/PACT]]="","",IF(ExtComp[[#This Row],[RAD/PACT]]&lt;=2025,"Yes",""))</f>
        <v/>
      </c>
      <c r="H282" s="51">
        <f ca="1">IF(VLOOKUP(ExtComp[[#This Row],[DEVELOPMENT]],Data[],11,FALSE)=0,"",DATEDIF(VLOOKUP(ExtComp[[#This Row],[DEVELOPMENT]],Data[],13,FALSE),TODAY(),"Y"))</f>
        <v>13</v>
      </c>
      <c r="I282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282" s="47" t="e">
        <f ca="1">(ExtComp[[#This Row],['# to Replace]]*'Unit Cost Summary'!$B$6)*(1+((ExtComp[[#This Row],[est. Year]]-YEAR(TODAY()))*$J$2))</f>
        <v>#N/A</v>
      </c>
      <c r="K282" s="51" t="e">
        <f ca="1">SUM(INDEX(ExtComp['# to Replace],1):ExtComp[[#This Row],['# to Replace]])</f>
        <v>#N/A</v>
      </c>
      <c r="L282" s="51" t="e">
        <f ca="1">ROUNDDOWN(ExtComp[[#This Row],[Count]]/50,0)+$L$1</f>
        <v>#N/A</v>
      </c>
      <c r="M282" s="64" t="e">
        <f t="shared" ca="1" si="4"/>
        <v>#N/A</v>
      </c>
      <c r="N282" s="64" t="str">
        <f>IFERROR(VLOOKUP(ExtComp[[#This Row],[DEVELOPMENT]],Data[],22,FALSE),"")</f>
        <v/>
      </c>
      <c r="O282" s="71" t="str">
        <f>IFERROR(VLOOKUP(ExtComp[[#This Row],[DEVELOPMENT]],Data[],23,FALSE),"")</f>
        <v/>
      </c>
    </row>
    <row r="283" spans="1:15">
      <c r="A283" s="13" t="s">
        <v>188</v>
      </c>
      <c r="B283" s="9" t="str">
        <f>VLOOKUP(A283,Data[],2,FALSE)</f>
        <v>BROOKLYN</v>
      </c>
      <c r="C283" s="9"/>
      <c r="D283" s="50">
        <f>VLOOKUP(ExtComp[[#This Row],[DEVELOPMENT]],Data[],8,FALSE)</f>
        <v>0</v>
      </c>
      <c r="E283" s="50">
        <f>VLOOKUP(ExtComp[[#This Row],[DEVELOPMENT]],Data[],9,FALSE)</f>
        <v>0</v>
      </c>
      <c r="F283" s="50" t="str">
        <f ca="1">IFERROR(VLOOKUP(ExtComp[[#This Row],[DEVELOPMENT]],Data[],4,FALSE),"")</f>
        <v>2020-2021</v>
      </c>
      <c r="G283" s="50" t="str">
        <f ca="1">IF(ExtComp[[#This Row],[RAD/PACT]]="","",IF(ExtComp[[#This Row],[RAD/PACT]]&lt;=2025,"Yes",""))</f>
        <v/>
      </c>
      <c r="H283" s="51">
        <f ca="1">IF(VLOOKUP(ExtComp[[#This Row],[DEVELOPMENT]],Data[],11,FALSE)=0,"",DATEDIF(VLOOKUP(ExtComp[[#This Row],[DEVELOPMENT]],Data[],13,FALSE),TODAY(),"Y"))</f>
        <v>18</v>
      </c>
      <c r="I283" s="51">
        <f ca="1">IF(ExtComp[[#This Row],[RAD/PACT]]="",VLOOKUP(ExtComp[[#This Row],[DEVELOPMENT]],Data[],11,FALSE),IF(ExtComp[[#This Row],[RAD/PACT by 2025]]="yes",0,VLOOKUP(ExtComp[[#This Row],[DEVELOPMENT]],Data[],11,FALSE)))</f>
        <v>4</v>
      </c>
      <c r="J283" s="47" t="e">
        <f ca="1">(ExtComp[[#This Row],['# to Replace]]*'Unit Cost Summary'!$B$6)*(1+((ExtComp[[#This Row],[est. Year]]-YEAR(TODAY()))*$J$2))</f>
        <v>#N/A</v>
      </c>
      <c r="K283" s="51" t="e">
        <f ca="1">SUM(INDEX(ExtComp['# to Replace],1):ExtComp[[#This Row],['# to Replace]])</f>
        <v>#N/A</v>
      </c>
      <c r="L283" s="51" t="e">
        <f ca="1">ROUNDDOWN(ExtComp[[#This Row],[Count]]/50,0)+$L$1</f>
        <v>#N/A</v>
      </c>
      <c r="M283" s="64" t="e">
        <f t="shared" ca="1" si="4"/>
        <v>#N/A</v>
      </c>
      <c r="N283" s="64" t="str">
        <f>IFERROR(VLOOKUP(ExtComp[[#This Row],[DEVELOPMENT]],Data[],22,FALSE),"")</f>
        <v/>
      </c>
      <c r="O283" s="71" t="str">
        <f>IFERROR(VLOOKUP(ExtComp[[#This Row],[DEVELOPMENT]],Data[],23,FALSE),"")</f>
        <v/>
      </c>
    </row>
    <row r="284" spans="1:15">
      <c r="A284" s="65" t="s">
        <v>59</v>
      </c>
      <c r="B284" s="1" t="str">
        <f>VLOOKUP(A284,Data[],2,FALSE)</f>
        <v>MANHATTAN</v>
      </c>
      <c r="C284" s="9" t="s">
        <v>68</v>
      </c>
      <c r="D284" s="9" t="str">
        <f>VLOOKUP(ExtComp[[#This Row],[DEVELOPMENT]],Data[],8,FALSE)</f>
        <v>Zone 1</v>
      </c>
      <c r="E284" s="9">
        <f>VLOOKUP(ExtComp[[#This Row],[DEVELOPMENT]],Data[],9,FALSE)</f>
        <v>4</v>
      </c>
      <c r="F284" s="9" t="str">
        <f ca="1">IFERROR(VLOOKUP(ExtComp[[#This Row],[DEVELOPMENT]],Data[],4,FALSE),"")</f>
        <v>2026+</v>
      </c>
      <c r="G284" s="9" t="str">
        <f ca="1">IF(ExtComp[[#This Row],[RAD/PACT]]="","",IF(ExtComp[[#This Row],[RAD/PACT]]&lt;=2025,"Yes",""))</f>
        <v/>
      </c>
      <c r="H284" s="1" t="str">
        <f ca="1">IF(VLOOKUP(ExtComp[[#This Row],[DEVELOPMENT]],Data[],11,FALSE)=0,"",DATEDIF(VLOOKUP(ExtComp[[#This Row],[DEVELOPMENT]],Data[],13,FALSE),TODAY(),"Y"))</f>
        <v/>
      </c>
      <c r="I284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84" s="47" t="e">
        <f ca="1">(ExtComp[[#This Row],['# to Replace]]*'Unit Cost Summary'!$B$6)*(1+((ExtComp[[#This Row],[est. Year]]-YEAR(TODAY()))*$J$2))</f>
        <v>#N/A</v>
      </c>
      <c r="K284" s="1" t="e">
        <f ca="1">SUM(INDEX(ExtComp['# to Replace],1):ExtComp[[#This Row],['# to Replace]])</f>
        <v>#N/A</v>
      </c>
      <c r="L284" s="1" t="e">
        <f ca="1">ROUNDDOWN(ExtComp[[#This Row],[Count]]/50,0)+$L$1</f>
        <v>#N/A</v>
      </c>
      <c r="M284" s="64" t="e">
        <f t="shared" ca="1" si="4"/>
        <v>#N/A</v>
      </c>
      <c r="N284" s="64" t="str">
        <f>IFERROR(VLOOKUP(ExtComp[[#This Row],[DEVELOPMENT]],Data[],22,FALSE),"")</f>
        <v/>
      </c>
      <c r="O284" s="51" t="str">
        <f>IFERROR(VLOOKUP(ExtComp[[#This Row],[DEVELOPMENT]],Data[],23,FALSE),"")</f>
        <v/>
      </c>
    </row>
    <row r="285" spans="1:15">
      <c r="A285" s="13" t="s">
        <v>187</v>
      </c>
      <c r="B285" s="9" t="str">
        <f>VLOOKUP(A285,Data[],2,FALSE)</f>
        <v>BRONX</v>
      </c>
      <c r="C285" s="9" t="s">
        <v>68</v>
      </c>
      <c r="D285" s="50" t="str">
        <f>VLOOKUP(ExtComp[[#This Row],[DEVELOPMENT]],Data[],8,FALSE)</f>
        <v>Zone 3</v>
      </c>
      <c r="E285" s="50">
        <f>VLOOKUP(ExtComp[[#This Row],[DEVELOPMENT]],Data[],9,FALSE)</f>
        <v>0</v>
      </c>
      <c r="F285" s="50" t="str">
        <f ca="1">IFERROR(VLOOKUP(ExtComp[[#This Row],[DEVELOPMENT]],Data[],4,FALSE),"")</f>
        <v/>
      </c>
      <c r="G285" s="50" t="str">
        <f ca="1">IF(ExtComp[[#This Row],[RAD/PACT]]="","",IF(ExtComp[[#This Row],[RAD/PACT]]&lt;=2025,"Yes",""))</f>
        <v/>
      </c>
      <c r="H285" s="51" t="str">
        <f ca="1">IF(VLOOKUP(ExtComp[[#This Row],[DEVELOPMENT]],Data[],11,FALSE)=0,"",DATEDIF(VLOOKUP(ExtComp[[#This Row],[DEVELOPMENT]],Data[],13,FALSE),TODAY(),"Y"))</f>
        <v/>
      </c>
      <c r="I28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85" s="47" t="e">
        <f ca="1">(ExtComp[[#This Row],['# to Replace]]*'Unit Cost Summary'!$B$6)*(1+((ExtComp[[#This Row],[est. Year]]-YEAR(TODAY()))*$J$2))</f>
        <v>#N/A</v>
      </c>
      <c r="K285" s="51" t="e">
        <f ca="1">SUM(INDEX(ExtComp['# to Replace],1):ExtComp[[#This Row],['# to Replace]])</f>
        <v>#N/A</v>
      </c>
      <c r="L285" s="51" t="e">
        <f ca="1">ROUNDDOWN(ExtComp[[#This Row],[Count]]/50,0)+$L$1</f>
        <v>#N/A</v>
      </c>
      <c r="M285" s="64" t="e">
        <f t="shared" ca="1" si="4"/>
        <v>#N/A</v>
      </c>
      <c r="N285" s="64" t="str">
        <f>IFERROR(VLOOKUP(ExtComp[[#This Row],[DEVELOPMENT]],Data[],22,FALSE),"")</f>
        <v/>
      </c>
      <c r="O285" s="51" t="str">
        <f>IFERROR(VLOOKUP(ExtComp[[#This Row],[DEVELOPMENT]],Data[],23,FALSE),"")</f>
        <v/>
      </c>
    </row>
    <row r="286" spans="1:15">
      <c r="A286" s="13" t="s">
        <v>226</v>
      </c>
      <c r="B286" s="9" t="str">
        <f>VLOOKUP(A286,Data[],2,FALSE)</f>
        <v>BROOKLYN</v>
      </c>
      <c r="C286" s="9"/>
      <c r="D286" s="50">
        <f>VLOOKUP(ExtComp[[#This Row],[DEVELOPMENT]],Data[],8,FALSE)</f>
        <v>0</v>
      </c>
      <c r="E286" s="50">
        <f>VLOOKUP(ExtComp[[#This Row],[DEVELOPMENT]],Data[],9,FALSE)</f>
        <v>0</v>
      </c>
      <c r="F286" s="50" t="str">
        <f ca="1">IFERROR(VLOOKUP(ExtComp[[#This Row],[DEVELOPMENT]],Data[],4,FALSE),"")</f>
        <v>2020-2021</v>
      </c>
      <c r="G286" s="50" t="str">
        <f ca="1">IF(ExtComp[[#This Row],[RAD/PACT]]="","",IF(ExtComp[[#This Row],[RAD/PACT]]&lt;=2025,"Yes",""))</f>
        <v/>
      </c>
      <c r="H286" s="51" t="str">
        <f ca="1">IF(VLOOKUP(ExtComp[[#This Row],[DEVELOPMENT]],Data[],11,FALSE)=0,"",DATEDIF(VLOOKUP(ExtComp[[#This Row],[DEVELOPMENT]],Data[],13,FALSE),TODAY(),"Y"))</f>
        <v/>
      </c>
      <c r="I28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86" s="47" t="e">
        <f ca="1">(ExtComp[[#This Row],['# to Replace]]*'Unit Cost Summary'!$B$6)*(1+((ExtComp[[#This Row],[est. Year]]-YEAR(TODAY()))*$J$2))</f>
        <v>#N/A</v>
      </c>
      <c r="K286" s="51" t="e">
        <f ca="1">SUM(INDEX(ExtComp['# to Replace],1):ExtComp[[#This Row],['# to Replace]])</f>
        <v>#N/A</v>
      </c>
      <c r="L286" s="51" t="e">
        <f ca="1">ROUNDDOWN(ExtComp[[#This Row],[Count]]/50,0)+$L$1</f>
        <v>#N/A</v>
      </c>
      <c r="M286" s="64" t="e">
        <f t="shared" ca="1" si="4"/>
        <v>#N/A</v>
      </c>
      <c r="N286" s="64" t="str">
        <f>IFERROR(VLOOKUP(ExtComp[[#This Row],[DEVELOPMENT]],Data[],22,FALSE),"")</f>
        <v/>
      </c>
      <c r="O286" s="51" t="str">
        <f>IFERROR(VLOOKUP(ExtComp[[#This Row],[DEVELOPMENT]],Data[],23,FALSE),"")</f>
        <v/>
      </c>
    </row>
    <row r="287" spans="1:15">
      <c r="A287" s="13" t="s">
        <v>304</v>
      </c>
      <c r="B287" s="9" t="str">
        <f>VLOOKUP(A287,Data[],2,FALSE)</f>
        <v>BRONX</v>
      </c>
      <c r="C287" s="9" t="s">
        <v>68</v>
      </c>
      <c r="D287" s="50">
        <f>VLOOKUP(ExtComp[[#This Row],[DEVELOPMENT]],Data[],8,FALSE)</f>
        <v>0</v>
      </c>
      <c r="E287" s="50">
        <f>VLOOKUP(ExtComp[[#This Row],[DEVELOPMENT]],Data[],9,FALSE)</f>
        <v>0</v>
      </c>
      <c r="F287" s="50" t="str">
        <f ca="1">IFERROR(VLOOKUP(ExtComp[[#This Row],[DEVELOPMENT]],Data[],4,FALSE),"")</f>
        <v/>
      </c>
      <c r="G287" s="50" t="str">
        <f ca="1">IF(ExtComp[[#This Row],[RAD/PACT]]="","",IF(ExtComp[[#This Row],[RAD/PACT]]&lt;=2025,"Yes",""))</f>
        <v/>
      </c>
      <c r="H287" s="51">
        <f ca="1">IF(VLOOKUP(ExtComp[[#This Row],[DEVELOPMENT]],Data[],11,FALSE)=0,"",DATEDIF(VLOOKUP(ExtComp[[#This Row],[DEVELOPMENT]],Data[],13,FALSE),TODAY(),"Y"))</f>
        <v>19</v>
      </c>
      <c r="I287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287" s="47" t="e">
        <f ca="1">(ExtComp[[#This Row],['# to Replace]]*'Unit Cost Summary'!$B$6)*(1+((ExtComp[[#This Row],[est. Year]]-YEAR(TODAY()))*$J$2))</f>
        <v>#N/A</v>
      </c>
      <c r="K287" s="51" t="e">
        <f ca="1">SUM(INDEX(ExtComp['# to Replace],1):ExtComp[[#This Row],['# to Replace]])</f>
        <v>#N/A</v>
      </c>
      <c r="L287" s="51" t="e">
        <f ca="1">ROUNDDOWN(ExtComp[[#This Row],[Count]]/50,0)+$L$1</f>
        <v>#N/A</v>
      </c>
      <c r="M287" s="64" t="e">
        <f t="shared" ca="1" si="4"/>
        <v>#N/A</v>
      </c>
      <c r="N287" s="64" t="str">
        <f>IFERROR(VLOOKUP(ExtComp[[#This Row],[DEVELOPMENT]],Data[],22,FALSE),"")</f>
        <v/>
      </c>
      <c r="O287" s="71" t="str">
        <f>IFERROR(VLOOKUP(ExtComp[[#This Row],[DEVELOPMENT]],Data[],23,FALSE),"")</f>
        <v/>
      </c>
    </row>
    <row r="288" spans="1:15">
      <c r="A288" s="13" t="s">
        <v>234</v>
      </c>
      <c r="B288" s="9" t="str">
        <f>VLOOKUP(A288,Data[],2,FALSE)</f>
        <v>BRONX</v>
      </c>
      <c r="C288" s="9"/>
      <c r="D288" s="50">
        <f>VLOOKUP(ExtComp[[#This Row],[DEVELOPMENT]],Data[],8,FALSE)</f>
        <v>0</v>
      </c>
      <c r="E288" s="50">
        <f>VLOOKUP(ExtComp[[#This Row],[DEVELOPMENT]],Data[],9,FALSE)</f>
        <v>0</v>
      </c>
      <c r="F288" s="50" t="str">
        <f ca="1">IFERROR(VLOOKUP(ExtComp[[#This Row],[DEVELOPMENT]],Data[],4,FALSE),"")</f>
        <v>2022-2025</v>
      </c>
      <c r="G288" s="50" t="str">
        <f ca="1">IF(ExtComp[[#This Row],[RAD/PACT]]="","",IF(ExtComp[[#This Row],[RAD/PACT]]&lt;=2025,"Yes",""))</f>
        <v/>
      </c>
      <c r="H288" s="51" t="str">
        <f ca="1">IF(VLOOKUP(ExtComp[[#This Row],[DEVELOPMENT]],Data[],11,FALSE)=0,"",DATEDIF(VLOOKUP(ExtComp[[#This Row],[DEVELOPMENT]],Data[],13,FALSE),TODAY(),"Y"))</f>
        <v/>
      </c>
      <c r="I28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88" s="47" t="e">
        <f ca="1">(ExtComp[[#This Row],['# to Replace]]*'Unit Cost Summary'!$B$6)*(1+((ExtComp[[#This Row],[est. Year]]-YEAR(TODAY()))*$J$2))</f>
        <v>#N/A</v>
      </c>
      <c r="K288" s="51" t="e">
        <f ca="1">SUM(INDEX(ExtComp['# to Replace],1):ExtComp[[#This Row],['# to Replace]])</f>
        <v>#N/A</v>
      </c>
      <c r="L288" s="51" t="e">
        <f ca="1">ROUNDDOWN(ExtComp[[#This Row],[Count]]/50,0)+$L$1</f>
        <v>#N/A</v>
      </c>
      <c r="M288" s="64" t="e">
        <f t="shared" ca="1" si="4"/>
        <v>#N/A</v>
      </c>
      <c r="N288" s="64" t="str">
        <f>IFERROR(VLOOKUP(ExtComp[[#This Row],[DEVELOPMENT]],Data[],22,FALSE),"")</f>
        <v/>
      </c>
      <c r="O288" s="51" t="str">
        <f>IFERROR(VLOOKUP(ExtComp[[#This Row],[DEVELOPMENT]],Data[],23,FALSE),"")</f>
        <v/>
      </c>
    </row>
    <row r="289" spans="1:15">
      <c r="A289" s="13" t="s">
        <v>72</v>
      </c>
      <c r="B289" s="1" t="str">
        <f>VLOOKUP(A289,Data[],2,FALSE)</f>
        <v>BROOKLYN</v>
      </c>
      <c r="C289" s="9" t="s">
        <v>68</v>
      </c>
      <c r="D289" s="9" t="str">
        <f>VLOOKUP(ExtComp[[#This Row],[DEVELOPMENT]],Data[],8,FALSE)</f>
        <v>Zone 3</v>
      </c>
      <c r="E289" s="9">
        <f>VLOOKUP(ExtComp[[#This Row],[DEVELOPMENT]],Data[],9,FALSE)</f>
        <v>2</v>
      </c>
      <c r="F289" s="9" t="str">
        <f ca="1">IFERROR(VLOOKUP(ExtComp[[#This Row],[DEVELOPMENT]],Data[],4,FALSE),"")</f>
        <v>2026+</v>
      </c>
      <c r="G289" s="9" t="str">
        <f ca="1">IF(ExtComp[[#This Row],[RAD/PACT]]="","",IF(ExtComp[[#This Row],[RAD/PACT]]&lt;=2025,"Yes",""))</f>
        <v/>
      </c>
      <c r="H289" s="1" t="str">
        <f ca="1">IF(VLOOKUP(ExtComp[[#This Row],[DEVELOPMENT]],Data[],11,FALSE)=0,"",DATEDIF(VLOOKUP(ExtComp[[#This Row],[DEVELOPMENT]],Data[],13,FALSE),TODAY(),"Y"))</f>
        <v/>
      </c>
      <c r="I289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89" s="47" t="e">
        <f ca="1">(ExtComp[[#This Row],['# to Replace]]*'Unit Cost Summary'!$B$6)*(1+((ExtComp[[#This Row],[est. Year]]-YEAR(TODAY()))*$J$2))</f>
        <v>#N/A</v>
      </c>
      <c r="K289" s="1" t="e">
        <f ca="1">SUM(INDEX(ExtComp['# to Replace],1):ExtComp[[#This Row],['# to Replace]])</f>
        <v>#N/A</v>
      </c>
      <c r="L289" s="1" t="e">
        <f ca="1">ROUNDDOWN(ExtComp[[#This Row],[Count]]/50,0)+$L$1</f>
        <v>#N/A</v>
      </c>
      <c r="M289" s="64" t="e">
        <f t="shared" ca="1" si="4"/>
        <v>#N/A</v>
      </c>
      <c r="N289" s="64" t="str">
        <f>IFERROR(VLOOKUP(ExtComp[[#This Row],[DEVELOPMENT]],Data[],22,FALSE),"")</f>
        <v/>
      </c>
      <c r="O289" s="51" t="str">
        <f>IFERROR(VLOOKUP(ExtComp[[#This Row],[DEVELOPMENT]],Data[],23,FALSE),"")</f>
        <v/>
      </c>
    </row>
    <row r="290" spans="1:15">
      <c r="A290" s="13" t="s">
        <v>119</v>
      </c>
      <c r="B290" s="1" t="str">
        <f>VLOOKUP(A290,Data[],2,FALSE)</f>
        <v>BROOKLYN</v>
      </c>
      <c r="C290" s="9" t="s">
        <v>68</v>
      </c>
      <c r="D290" s="9" t="str">
        <f>VLOOKUP(ExtComp[[#This Row],[DEVELOPMENT]],Data[],8,FALSE)</f>
        <v>Zone 3</v>
      </c>
      <c r="E290" s="9">
        <f>VLOOKUP(ExtComp[[#This Row],[DEVELOPMENT]],Data[],9,FALSE)</f>
        <v>1</v>
      </c>
      <c r="F290" s="9" t="str">
        <f ca="1">IFERROR(VLOOKUP(ExtComp[[#This Row],[DEVELOPMENT]],Data[],4,FALSE),"")</f>
        <v>2026+</v>
      </c>
      <c r="G290" s="9" t="str">
        <f ca="1">IF(ExtComp[[#This Row],[RAD/PACT]]="","",IF(ExtComp[[#This Row],[RAD/PACT]]&lt;=2025,"Yes",""))</f>
        <v/>
      </c>
      <c r="H290" s="1">
        <f ca="1">IF(VLOOKUP(ExtComp[[#This Row],[DEVELOPMENT]],Data[],11,FALSE)=0,"",DATEDIF(VLOOKUP(ExtComp[[#This Row],[DEVELOPMENT]],Data[],13,FALSE),TODAY(),"Y"))</f>
        <v>15</v>
      </c>
      <c r="I290" s="1">
        <f ca="1">IF(ExtComp[[#This Row],[RAD/PACT]]="",VLOOKUP(ExtComp[[#This Row],[DEVELOPMENT]],Data[],11,FALSE),IF(ExtComp[[#This Row],[RAD/PACT by 2025]]="yes",0,VLOOKUP(ExtComp[[#This Row],[DEVELOPMENT]],Data[],11,FALSE)))</f>
        <v>2</v>
      </c>
      <c r="J290" s="47" t="e">
        <f ca="1">(ExtComp[[#This Row],['# to Replace]]*'Unit Cost Summary'!$B$6)*(1+((ExtComp[[#This Row],[est. Year]]-YEAR(TODAY()))*$J$2))</f>
        <v>#N/A</v>
      </c>
      <c r="K290" s="1" t="e">
        <f ca="1">SUM(INDEX(ExtComp['# to Replace],1):ExtComp[[#This Row],['# to Replace]])</f>
        <v>#N/A</v>
      </c>
      <c r="L290" s="1" t="e">
        <f ca="1">ROUNDDOWN(ExtComp[[#This Row],[Count]]/50,0)+$L$1</f>
        <v>#N/A</v>
      </c>
      <c r="M290" s="64" t="e">
        <f t="shared" ca="1" si="4"/>
        <v>#N/A</v>
      </c>
      <c r="N290" s="64" t="str">
        <f>IFERROR(VLOOKUP(ExtComp[[#This Row],[DEVELOPMENT]],Data[],22,FALSE),"")</f>
        <v/>
      </c>
      <c r="O290" s="71" t="str">
        <f>IFERROR(VLOOKUP(ExtComp[[#This Row],[DEVELOPMENT]],Data[],23,FALSE),"")</f>
        <v/>
      </c>
    </row>
    <row r="291" spans="1:15">
      <c r="A291" s="13" t="s">
        <v>233</v>
      </c>
      <c r="B291" s="9" t="str">
        <f>VLOOKUP(A291,Data[],2,FALSE)</f>
        <v>QUEENS</v>
      </c>
      <c r="C291" s="9" t="s">
        <v>68</v>
      </c>
      <c r="D291" s="50">
        <f>VLOOKUP(ExtComp[[#This Row],[DEVELOPMENT]],Data[],8,FALSE)</f>
        <v>0</v>
      </c>
      <c r="E291" s="50">
        <f>VLOOKUP(ExtComp[[#This Row],[DEVELOPMENT]],Data[],9,FALSE)</f>
        <v>0</v>
      </c>
      <c r="F291" s="50" t="str">
        <f ca="1">IFERROR(VLOOKUP(ExtComp[[#This Row],[DEVELOPMENT]],Data[],4,FALSE),"")</f>
        <v/>
      </c>
      <c r="G291" s="50" t="str">
        <f ca="1">IF(ExtComp[[#This Row],[RAD/PACT]]="","",IF(ExtComp[[#This Row],[RAD/PACT]]&lt;=2025,"Yes",""))</f>
        <v/>
      </c>
      <c r="H291" s="51" t="str">
        <f ca="1">IF(VLOOKUP(ExtComp[[#This Row],[DEVELOPMENT]],Data[],11,FALSE)=0,"",DATEDIF(VLOOKUP(ExtComp[[#This Row],[DEVELOPMENT]],Data[],13,FALSE),TODAY(),"Y"))</f>
        <v/>
      </c>
      <c r="I291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91" s="47" t="e">
        <f ca="1">(ExtComp[[#This Row],['# to Replace]]*'Unit Cost Summary'!$B$6)*(1+((ExtComp[[#This Row],[est. Year]]-YEAR(TODAY()))*$J$2))</f>
        <v>#N/A</v>
      </c>
      <c r="K291" s="51" t="e">
        <f ca="1">SUM(INDEX(ExtComp['# to Replace],1):ExtComp[[#This Row],['# to Replace]])</f>
        <v>#N/A</v>
      </c>
      <c r="L291" s="51" t="e">
        <f ca="1">ROUNDDOWN(ExtComp[[#This Row],[Count]]/50,0)+$L$1</f>
        <v>#N/A</v>
      </c>
      <c r="M291" s="64" t="e">
        <f t="shared" ca="1" si="4"/>
        <v>#N/A</v>
      </c>
      <c r="N291" s="64" t="str">
        <f>IFERROR(VLOOKUP(ExtComp[[#This Row],[DEVELOPMENT]],Data[],22,FALSE),"")</f>
        <v/>
      </c>
      <c r="O291" s="71" t="str">
        <f>IFERROR(VLOOKUP(ExtComp[[#This Row],[DEVELOPMENT]],Data[],23,FALSE),"")</f>
        <v/>
      </c>
    </row>
    <row r="292" spans="1:15">
      <c r="A292" s="13" t="s">
        <v>71</v>
      </c>
      <c r="B292" s="1" t="str">
        <f>VLOOKUP(A292,Data[],2,FALSE)</f>
        <v>MANHATTAN</v>
      </c>
      <c r="C292" s="9" t="s">
        <v>68</v>
      </c>
      <c r="D292" s="9" t="str">
        <f>VLOOKUP(ExtComp[[#This Row],[DEVELOPMENT]],Data[],8,FALSE)</f>
        <v>Zone 3</v>
      </c>
      <c r="E292" s="9">
        <f>VLOOKUP(ExtComp[[#This Row],[DEVELOPMENT]],Data[],9,FALSE)</f>
        <v>3</v>
      </c>
      <c r="F292" s="9" t="str">
        <f ca="1">IFERROR(VLOOKUP(ExtComp[[#This Row],[DEVELOPMENT]],Data[],4,FALSE),"")</f>
        <v>2020-2021</v>
      </c>
      <c r="G292" s="9" t="str">
        <f ca="1">IF(ExtComp[[#This Row],[RAD/PACT]]="","",IF(ExtComp[[#This Row],[RAD/PACT]]&lt;=2025,"Yes",""))</f>
        <v/>
      </c>
      <c r="H292" s="1">
        <f ca="1">IF(VLOOKUP(ExtComp[[#This Row],[DEVELOPMENT]],Data[],11,FALSE)=0,"",DATEDIF(VLOOKUP(ExtComp[[#This Row],[DEVELOPMENT]],Data[],13,FALSE),TODAY(),"Y"))</f>
        <v>20</v>
      </c>
      <c r="I292" s="1">
        <f ca="1">IF(ExtComp[[#This Row],[RAD/PACT]]="",VLOOKUP(ExtComp[[#This Row],[DEVELOPMENT]],Data[],11,FALSE),IF(ExtComp[[#This Row],[RAD/PACT by 2025]]="yes",0,VLOOKUP(ExtComp[[#This Row],[DEVELOPMENT]],Data[],11,FALSE)))</f>
        <v>1</v>
      </c>
      <c r="J292" s="47" t="e">
        <f ca="1">(ExtComp[[#This Row],['# to Replace]]*'Unit Cost Summary'!$B$6)*(1+((ExtComp[[#This Row],[est. Year]]-YEAR(TODAY()))*$J$2))</f>
        <v>#N/A</v>
      </c>
      <c r="K292" s="1" t="e">
        <f ca="1">SUM(INDEX(ExtComp['# to Replace],1):ExtComp[[#This Row],['# to Replace]])</f>
        <v>#N/A</v>
      </c>
      <c r="L292" s="1" t="e">
        <f ca="1">ROUNDDOWN(ExtComp[[#This Row],[Count]]/50,0)+$L$1</f>
        <v>#N/A</v>
      </c>
      <c r="M292" s="64" t="e">
        <f t="shared" ca="1" si="4"/>
        <v>#N/A</v>
      </c>
      <c r="N292" s="64" t="str">
        <f>IFERROR(VLOOKUP(ExtComp[[#This Row],[DEVELOPMENT]],Data[],22,FALSE),"")</f>
        <v/>
      </c>
      <c r="O292" s="71" t="str">
        <f>IFERROR(VLOOKUP(ExtComp[[#This Row],[DEVELOPMENT]],Data[],23,FALSE),"")</f>
        <v/>
      </c>
    </row>
    <row r="293" spans="1:15">
      <c r="A293" s="13" t="s">
        <v>303</v>
      </c>
      <c r="B293" s="9" t="str">
        <f>VLOOKUP(A293,Data[],2,FALSE)</f>
        <v>BROOKLYN</v>
      </c>
      <c r="C293" s="9" t="s">
        <v>68</v>
      </c>
      <c r="D293" s="50">
        <f>VLOOKUP(ExtComp[[#This Row],[DEVELOPMENT]],Data[],8,FALSE)</f>
        <v>0</v>
      </c>
      <c r="E293" s="50">
        <f>VLOOKUP(ExtComp[[#This Row],[DEVELOPMENT]],Data[],9,FALSE)</f>
        <v>0</v>
      </c>
      <c r="F293" s="50">
        <f ca="1">IFERROR(VLOOKUP(ExtComp[[#This Row],[DEVELOPMENT]],Data[],4,FALSE),"")</f>
        <v>2019</v>
      </c>
      <c r="G293" s="50" t="str">
        <f ca="1">IF(ExtComp[[#This Row],[RAD/PACT]]="","",IF(ExtComp[[#This Row],[RAD/PACT]]&lt;=2025,"Yes",""))</f>
        <v>Yes</v>
      </c>
      <c r="H293" s="51">
        <f ca="1">IF(VLOOKUP(ExtComp[[#This Row],[DEVELOPMENT]],Data[],11,FALSE)=0,"",DATEDIF(VLOOKUP(ExtComp[[#This Row],[DEVELOPMENT]],Data[],13,FALSE),TODAY(),"Y"))</f>
        <v>15</v>
      </c>
      <c r="I29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93" s="47" t="e">
        <f ca="1">(ExtComp[[#This Row],['# to Replace]]*'Unit Cost Summary'!$B$6)*(1+((ExtComp[[#This Row],[est. Year]]-YEAR(TODAY()))*$J$2))</f>
        <v>#N/A</v>
      </c>
      <c r="K293" s="51" t="e">
        <f ca="1">SUM(INDEX(ExtComp['# to Replace],1):ExtComp[[#This Row],['# to Replace]])</f>
        <v>#N/A</v>
      </c>
      <c r="L293" s="51" t="e">
        <f ca="1">ROUNDDOWN(ExtComp[[#This Row],[Count]]/50,0)+$L$1</f>
        <v>#N/A</v>
      </c>
      <c r="M293" s="64" t="e">
        <f t="shared" ca="1" si="4"/>
        <v>#N/A</v>
      </c>
      <c r="N293" s="64" t="str">
        <f>IFERROR(VLOOKUP(ExtComp[[#This Row],[DEVELOPMENT]],Data[],22,FALSE),"")</f>
        <v/>
      </c>
      <c r="O293" s="71" t="str">
        <f>IFERROR(VLOOKUP(ExtComp[[#This Row],[DEVELOPMENT]],Data[],23,FALSE),"")</f>
        <v/>
      </c>
    </row>
    <row r="294" spans="1:15">
      <c r="A294" s="13" t="s">
        <v>232</v>
      </c>
      <c r="B294" s="9" t="str">
        <f>VLOOKUP(A294,Data[],2,FALSE)</f>
        <v>STATEN ISLAND</v>
      </c>
      <c r="C294" s="9" t="s">
        <v>68</v>
      </c>
      <c r="D294" s="50">
        <f>VLOOKUP(ExtComp[[#This Row],[DEVELOPMENT]],Data[],8,FALSE)</f>
        <v>0</v>
      </c>
      <c r="E294" s="50">
        <f>VLOOKUP(ExtComp[[#This Row],[DEVELOPMENT]],Data[],9,FALSE)</f>
        <v>0</v>
      </c>
      <c r="F294" s="50" t="str">
        <f ca="1">IFERROR(VLOOKUP(ExtComp[[#This Row],[DEVELOPMENT]],Data[],4,FALSE),"")</f>
        <v/>
      </c>
      <c r="G294" s="50" t="str">
        <f ca="1">IF(ExtComp[[#This Row],[RAD/PACT]]="","",IF(ExtComp[[#This Row],[RAD/PACT]]&lt;=2025,"Yes",""))</f>
        <v/>
      </c>
      <c r="H294" s="51">
        <f ca="1">IF(VLOOKUP(ExtComp[[#This Row],[DEVELOPMENT]],Data[],11,FALSE)=0,"",DATEDIF(VLOOKUP(ExtComp[[#This Row],[DEVELOPMENT]],Data[],13,FALSE),TODAY(),"Y"))</f>
        <v>17</v>
      </c>
      <c r="I294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294" s="47" t="e">
        <f ca="1">(ExtComp[[#This Row],['# to Replace]]*'Unit Cost Summary'!$B$6)*(1+((ExtComp[[#This Row],[est. Year]]-YEAR(TODAY()))*$J$2))</f>
        <v>#N/A</v>
      </c>
      <c r="K294" s="51" t="e">
        <f ca="1">SUM(INDEX(ExtComp['# to Replace],1):ExtComp[[#This Row],['# to Replace]])</f>
        <v>#N/A</v>
      </c>
      <c r="L294" s="51" t="e">
        <f ca="1">ROUNDDOWN(ExtComp[[#This Row],[Count]]/50,0)+$L$1</f>
        <v>#N/A</v>
      </c>
      <c r="M294" s="64" t="e">
        <f t="shared" ca="1" si="4"/>
        <v>#N/A</v>
      </c>
      <c r="N294" s="64" t="str">
        <f>IFERROR(VLOOKUP(ExtComp[[#This Row],[DEVELOPMENT]],Data[],22,FALSE),"")</f>
        <v/>
      </c>
      <c r="O294" s="71" t="str">
        <f>IFERROR(VLOOKUP(ExtComp[[#This Row],[DEVELOPMENT]],Data[],23,FALSE),"")</f>
        <v/>
      </c>
    </row>
    <row r="295" spans="1:15">
      <c r="A295" s="13" t="s">
        <v>302</v>
      </c>
      <c r="B295" s="9" t="str">
        <f>VLOOKUP(A295,Data[],2,FALSE)</f>
        <v>BROOKLYN</v>
      </c>
      <c r="C295" s="9" t="s">
        <v>68</v>
      </c>
      <c r="D295" s="50">
        <f>VLOOKUP(ExtComp[[#This Row],[DEVELOPMENT]],Data[],8,FALSE)</f>
        <v>0</v>
      </c>
      <c r="E295" s="50">
        <f>VLOOKUP(ExtComp[[#This Row],[DEVELOPMENT]],Data[],9,FALSE)</f>
        <v>0</v>
      </c>
      <c r="F295" s="50" t="str">
        <f ca="1">IFERROR(VLOOKUP(ExtComp[[#This Row],[DEVELOPMENT]],Data[],4,FALSE),"")</f>
        <v/>
      </c>
      <c r="G295" s="50" t="str">
        <f ca="1">IF(ExtComp[[#This Row],[RAD/PACT]]="","",IF(ExtComp[[#This Row],[RAD/PACT]]&lt;=2025,"Yes",""))</f>
        <v/>
      </c>
      <c r="H295" s="51" t="str">
        <f ca="1">IF(VLOOKUP(ExtComp[[#This Row],[DEVELOPMENT]],Data[],11,FALSE)=0,"",DATEDIF(VLOOKUP(ExtComp[[#This Row],[DEVELOPMENT]],Data[],13,FALSE),TODAY(),"Y"))</f>
        <v/>
      </c>
      <c r="I295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295" s="47" t="e">
        <f ca="1">(ExtComp[[#This Row],['# to Replace]]*'Unit Cost Summary'!$B$6)*(1+((ExtComp[[#This Row],[est. Year]]-YEAR(TODAY()))*$J$2))</f>
        <v>#N/A</v>
      </c>
      <c r="K295" s="51" t="e">
        <f ca="1">SUM(INDEX(ExtComp['# to Replace],1):ExtComp[[#This Row],['# to Replace]])</f>
        <v>#N/A</v>
      </c>
      <c r="L295" s="51" t="e">
        <f ca="1">ROUNDDOWN(ExtComp[[#This Row],[Count]]/50,0)+$L$1</f>
        <v>#N/A</v>
      </c>
      <c r="M295" s="64" t="e">
        <f t="shared" ca="1" si="4"/>
        <v>#N/A</v>
      </c>
      <c r="N295" s="64" t="str">
        <f>IFERROR(VLOOKUP(ExtComp[[#This Row],[DEVELOPMENT]],Data[],22,FALSE),"")</f>
        <v/>
      </c>
      <c r="O295" s="51" t="str">
        <f>IFERROR(VLOOKUP(ExtComp[[#This Row],[DEVELOPMENT]],Data[],23,FALSE),"")</f>
        <v/>
      </c>
    </row>
    <row r="296" spans="1:15">
      <c r="A296" s="65" t="s">
        <v>142</v>
      </c>
      <c r="B296" s="1" t="str">
        <f>VLOOKUP(A296,Data[],2,FALSE)</f>
        <v>BROOKLYN</v>
      </c>
      <c r="C296" s="9" t="s">
        <v>68</v>
      </c>
      <c r="D296" s="9" t="str">
        <f>VLOOKUP(ExtComp[[#This Row],[DEVELOPMENT]],Data[],8,FALSE)</f>
        <v>Zone 1</v>
      </c>
      <c r="E296" s="9">
        <f>VLOOKUP(ExtComp[[#This Row],[DEVELOPMENT]],Data[],9,FALSE)</f>
        <v>4</v>
      </c>
      <c r="F296" s="9" t="str">
        <f ca="1">IFERROR(VLOOKUP(ExtComp[[#This Row],[DEVELOPMENT]],Data[],4,FALSE),"")</f>
        <v/>
      </c>
      <c r="G296" s="9" t="str">
        <f ca="1">IF(ExtComp[[#This Row],[RAD/PACT]]="","",IF(ExtComp[[#This Row],[RAD/PACT]]&lt;=2025,"Yes",""))</f>
        <v/>
      </c>
      <c r="H296" s="1" t="str">
        <f ca="1">IF(VLOOKUP(ExtComp[[#This Row],[DEVELOPMENT]],Data[],11,FALSE)=0,"",DATEDIF(VLOOKUP(ExtComp[[#This Row],[DEVELOPMENT]],Data[],13,FALSE),TODAY(),"Y"))</f>
        <v/>
      </c>
      <c r="I296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96" s="47" t="e">
        <f ca="1">(ExtComp[[#This Row],['# to Replace]]*'Unit Cost Summary'!$B$6)*(1+((ExtComp[[#This Row],[est. Year]]-YEAR(TODAY()))*$J$2))</f>
        <v>#N/A</v>
      </c>
      <c r="K296" s="1" t="e">
        <f ca="1">SUM(INDEX(ExtComp['# to Replace],1):ExtComp[[#This Row],['# to Replace]])</f>
        <v>#N/A</v>
      </c>
      <c r="L296" s="1" t="e">
        <f ca="1">ROUNDDOWN(ExtComp[[#This Row],[Count]]/50,0)+$L$1</f>
        <v>#N/A</v>
      </c>
      <c r="M296" s="64" t="e">
        <f t="shared" ca="1" si="4"/>
        <v>#N/A</v>
      </c>
      <c r="N296" s="64" t="str">
        <f>IFERROR(VLOOKUP(ExtComp[[#This Row],[DEVELOPMENT]],Data[],22,FALSE),"")</f>
        <v/>
      </c>
      <c r="O296" s="51" t="str">
        <f>IFERROR(VLOOKUP(ExtComp[[#This Row],[DEVELOPMENT]],Data[],23,FALSE),"")</f>
        <v/>
      </c>
    </row>
    <row r="297" spans="1:15">
      <c r="A297" s="13" t="s">
        <v>301</v>
      </c>
      <c r="B297" s="9" t="str">
        <f>VLOOKUP(A297,Data[],2,FALSE)</f>
        <v>QUEENS</v>
      </c>
      <c r="C297" s="9" t="s">
        <v>68</v>
      </c>
      <c r="D297" s="50">
        <f>VLOOKUP(ExtComp[[#This Row],[DEVELOPMENT]],Data[],8,FALSE)</f>
        <v>0</v>
      </c>
      <c r="E297" s="50">
        <f>VLOOKUP(ExtComp[[#This Row],[DEVELOPMENT]],Data[],9,FALSE)</f>
        <v>0</v>
      </c>
      <c r="F297" s="50" t="str">
        <f ca="1">IFERROR(VLOOKUP(ExtComp[[#This Row],[DEVELOPMENT]],Data[],4,FALSE),"")</f>
        <v>2026+</v>
      </c>
      <c r="G297" s="50" t="str">
        <f ca="1">IF(ExtComp[[#This Row],[RAD/PACT]]="","",IF(ExtComp[[#This Row],[RAD/PACT]]&lt;=2025,"Yes",""))</f>
        <v/>
      </c>
      <c r="H297" s="51">
        <f ca="1">IF(VLOOKUP(ExtComp[[#This Row],[DEVELOPMENT]],Data[],11,FALSE)=0,"",DATEDIF(VLOOKUP(ExtComp[[#This Row],[DEVELOPMENT]],Data[],13,FALSE),TODAY(),"Y"))</f>
        <v>5</v>
      </c>
      <c r="I297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297" s="47" t="e">
        <f ca="1">(ExtComp[[#This Row],['# to Replace]]*'Unit Cost Summary'!$B$6)*(1+((ExtComp[[#This Row],[est. Year]]-YEAR(TODAY()))*$J$2))</f>
        <v>#N/A</v>
      </c>
      <c r="K297" s="51" t="e">
        <f ca="1">SUM(INDEX(ExtComp['# to Replace],1):ExtComp[[#This Row],['# to Replace]])</f>
        <v>#N/A</v>
      </c>
      <c r="L297" s="51" t="e">
        <f ca="1">ROUNDDOWN(ExtComp[[#This Row],[Count]]/50,0)+$L$1</f>
        <v>#N/A</v>
      </c>
      <c r="M297" s="64" t="e">
        <f t="shared" ca="1" si="4"/>
        <v>#N/A</v>
      </c>
      <c r="N297" s="64" t="str">
        <f>IFERROR(VLOOKUP(ExtComp[[#This Row],[DEVELOPMENT]],Data[],22,FALSE),"")</f>
        <v/>
      </c>
      <c r="O297" s="71" t="str">
        <f>IFERROR(VLOOKUP(ExtComp[[#This Row],[DEVELOPMENT]],Data[],23,FALSE),"")</f>
        <v/>
      </c>
    </row>
    <row r="298" spans="1:15">
      <c r="A298" s="13" t="s">
        <v>231</v>
      </c>
      <c r="B298" s="9" t="str">
        <f>VLOOKUP(A298,Data[],2,FALSE)</f>
        <v>BROOKLYN</v>
      </c>
      <c r="C298" s="9" t="s">
        <v>68</v>
      </c>
      <c r="D298" s="50">
        <f>VLOOKUP(ExtComp[[#This Row],[DEVELOPMENT]],Data[],8,FALSE)</f>
        <v>0</v>
      </c>
      <c r="E298" s="50">
        <f>VLOOKUP(ExtComp[[#This Row],[DEVELOPMENT]],Data[],9,FALSE)</f>
        <v>0</v>
      </c>
      <c r="F298" s="50" t="str">
        <f ca="1">IFERROR(VLOOKUP(ExtComp[[#This Row],[DEVELOPMENT]],Data[],4,FALSE),"")</f>
        <v>2026+</v>
      </c>
      <c r="G298" s="50" t="str">
        <f ca="1">IF(ExtComp[[#This Row],[RAD/PACT]]="","",IF(ExtComp[[#This Row],[RAD/PACT]]&lt;=2025,"Yes",""))</f>
        <v/>
      </c>
      <c r="H298" s="51">
        <f ca="1">IF(VLOOKUP(ExtComp[[#This Row],[DEVELOPMENT]],Data[],11,FALSE)=0,"",DATEDIF(VLOOKUP(ExtComp[[#This Row],[DEVELOPMENT]],Data[],13,FALSE),TODAY(),"Y"))</f>
        <v>16</v>
      </c>
      <c r="I298" s="51">
        <f ca="1">IF(ExtComp[[#This Row],[RAD/PACT]]="",VLOOKUP(ExtComp[[#This Row],[DEVELOPMENT]],Data[],11,FALSE),IF(ExtComp[[#This Row],[RAD/PACT by 2025]]="yes",0,VLOOKUP(ExtComp[[#This Row],[DEVELOPMENT]],Data[],11,FALSE)))</f>
        <v>4</v>
      </c>
      <c r="J298" s="47" t="e">
        <f ca="1">(ExtComp[[#This Row],['# to Replace]]*'Unit Cost Summary'!$B$6)*(1+((ExtComp[[#This Row],[est. Year]]-YEAR(TODAY()))*$J$2))</f>
        <v>#N/A</v>
      </c>
      <c r="K298" s="51" t="e">
        <f ca="1">SUM(INDEX(ExtComp['# to Replace],1):ExtComp[[#This Row],['# to Replace]])</f>
        <v>#N/A</v>
      </c>
      <c r="L298" s="51" t="e">
        <f ca="1">ROUNDDOWN(ExtComp[[#This Row],[Count]]/50,0)+$L$1</f>
        <v>#N/A</v>
      </c>
      <c r="M298" s="64" t="e">
        <f t="shared" ca="1" si="4"/>
        <v>#N/A</v>
      </c>
      <c r="N298" s="64" t="str">
        <f>IFERROR(VLOOKUP(ExtComp[[#This Row],[DEVELOPMENT]],Data[],22,FALSE),"")</f>
        <v/>
      </c>
      <c r="O298" s="71" t="str">
        <f>IFERROR(VLOOKUP(ExtComp[[#This Row],[DEVELOPMENT]],Data[],23,FALSE),"")</f>
        <v/>
      </c>
    </row>
    <row r="299" spans="1:15">
      <c r="A299" s="65" t="s">
        <v>48</v>
      </c>
      <c r="B299" s="1" t="str">
        <f>VLOOKUP(A299,Data[],2,FALSE)</f>
        <v>MANHATTAN</v>
      </c>
      <c r="C299" s="9" t="s">
        <v>68</v>
      </c>
      <c r="D299" s="9" t="str">
        <f>VLOOKUP(ExtComp[[#This Row],[DEVELOPMENT]],Data[],8,FALSE)</f>
        <v>Zone 1</v>
      </c>
      <c r="E299" s="9">
        <f>VLOOKUP(ExtComp[[#This Row],[DEVELOPMENT]],Data[],9,FALSE)</f>
        <v>4</v>
      </c>
      <c r="F299" s="9" t="str">
        <f ca="1">IFERROR(VLOOKUP(ExtComp[[#This Row],[DEVELOPMENT]],Data[],4,FALSE),"")</f>
        <v/>
      </c>
      <c r="G299" s="9" t="str">
        <f ca="1">IF(ExtComp[[#This Row],[RAD/PACT]]="","",IF(ExtComp[[#This Row],[RAD/PACT]]&lt;=2025,"Yes",""))</f>
        <v/>
      </c>
      <c r="H299" s="1" t="str">
        <f ca="1">IF(VLOOKUP(ExtComp[[#This Row],[DEVELOPMENT]],Data[],11,FALSE)=0,"",DATEDIF(VLOOKUP(ExtComp[[#This Row],[DEVELOPMENT]],Data[],13,FALSE),TODAY(),"Y"))</f>
        <v/>
      </c>
      <c r="I299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299" s="47" t="e">
        <f ca="1">(ExtComp[[#This Row],['# to Replace]]*'Unit Cost Summary'!$B$6)*(1+((ExtComp[[#This Row],[est. Year]]-YEAR(TODAY()))*$J$2))</f>
        <v>#N/A</v>
      </c>
      <c r="K299" s="1" t="e">
        <f ca="1">SUM(INDEX(ExtComp['# to Replace],1):ExtComp[[#This Row],['# to Replace]])</f>
        <v>#N/A</v>
      </c>
      <c r="L299" s="1" t="e">
        <f ca="1">ROUNDDOWN(ExtComp[[#This Row],[Count]]/50,0)+$L$1</f>
        <v>#N/A</v>
      </c>
      <c r="M299" s="64" t="e">
        <f t="shared" ca="1" si="4"/>
        <v>#N/A</v>
      </c>
      <c r="N299" s="64" t="str">
        <f>IFERROR(VLOOKUP(ExtComp[[#This Row],[DEVELOPMENT]],Data[],22,FALSE),"")</f>
        <v/>
      </c>
      <c r="O299" s="51" t="str">
        <f>IFERROR(VLOOKUP(ExtComp[[#This Row],[DEVELOPMENT]],Data[],23,FALSE),"")</f>
        <v/>
      </c>
    </row>
    <row r="300" spans="1:15">
      <c r="A300" s="65" t="s">
        <v>58</v>
      </c>
      <c r="B300" s="1" t="str">
        <f>VLOOKUP(A300,Data[],2,FALSE)</f>
        <v>MANHATTAN</v>
      </c>
      <c r="C300" s="9" t="s">
        <v>68</v>
      </c>
      <c r="D300" s="9" t="str">
        <f>VLOOKUP(ExtComp[[#This Row],[DEVELOPMENT]],Data[],8,FALSE)</f>
        <v>Zone 1</v>
      </c>
      <c r="E300" s="9">
        <f>VLOOKUP(ExtComp[[#This Row],[DEVELOPMENT]],Data[],9,FALSE)</f>
        <v>4</v>
      </c>
      <c r="F300" s="9" t="str">
        <f ca="1">IFERROR(VLOOKUP(ExtComp[[#This Row],[DEVELOPMENT]],Data[],4,FALSE),"")</f>
        <v/>
      </c>
      <c r="G300" s="9" t="str">
        <f ca="1">IF(ExtComp[[#This Row],[RAD/PACT]]="","",IF(ExtComp[[#This Row],[RAD/PACT]]&lt;=2025,"Yes",""))</f>
        <v/>
      </c>
      <c r="H300" s="1">
        <f ca="1">IF(VLOOKUP(ExtComp[[#This Row],[DEVELOPMENT]],Data[],11,FALSE)=0,"",DATEDIF(VLOOKUP(ExtComp[[#This Row],[DEVELOPMENT]],Data[],13,FALSE),TODAY(),"Y"))</f>
        <v>18</v>
      </c>
      <c r="I300" s="1">
        <f ca="1">IF(ExtComp[[#This Row],[RAD/PACT]]="",VLOOKUP(ExtComp[[#This Row],[DEVELOPMENT]],Data[],11,FALSE),IF(ExtComp[[#This Row],[RAD/PACT by 2025]]="yes",0,VLOOKUP(ExtComp[[#This Row],[DEVELOPMENT]],Data[],11,FALSE)))</f>
        <v>4</v>
      </c>
      <c r="J300" s="47" t="e">
        <f ca="1">(ExtComp[[#This Row],['# to Replace]]*'Unit Cost Summary'!$B$6)*(1+((ExtComp[[#This Row],[est. Year]]-YEAR(TODAY()))*$J$2))</f>
        <v>#N/A</v>
      </c>
      <c r="K300" s="1" t="e">
        <f ca="1">SUM(INDEX(ExtComp['# to Replace],1):ExtComp[[#This Row],['# to Replace]])</f>
        <v>#N/A</v>
      </c>
      <c r="L300" s="1" t="e">
        <f ca="1">ROUNDDOWN(ExtComp[[#This Row],[Count]]/50,0)+$L$1</f>
        <v>#N/A</v>
      </c>
      <c r="M300" s="64" t="e">
        <f t="shared" ca="1" si="4"/>
        <v>#N/A</v>
      </c>
      <c r="N300" s="64" t="str">
        <f>IFERROR(VLOOKUP(ExtComp[[#This Row],[DEVELOPMENT]],Data[],22,FALSE),"")</f>
        <v/>
      </c>
      <c r="O300" s="71" t="str">
        <f>IFERROR(VLOOKUP(ExtComp[[#This Row],[DEVELOPMENT]],Data[],23,FALSE),"")</f>
        <v/>
      </c>
    </row>
    <row r="301" spans="1:15">
      <c r="A301" s="13" t="s">
        <v>300</v>
      </c>
      <c r="B301" s="9" t="str">
        <f>VLOOKUP(A301,Data[],2,FALSE)</f>
        <v>QUEENS</v>
      </c>
      <c r="C301" s="9" t="s">
        <v>68</v>
      </c>
      <c r="D301" s="50">
        <f>VLOOKUP(ExtComp[[#This Row],[DEVELOPMENT]],Data[],8,FALSE)</f>
        <v>0</v>
      </c>
      <c r="E301" s="50">
        <f>VLOOKUP(ExtComp[[#This Row],[DEVELOPMENT]],Data[],9,FALSE)</f>
        <v>0</v>
      </c>
      <c r="F301" s="50" t="str">
        <f ca="1">IFERROR(VLOOKUP(ExtComp[[#This Row],[DEVELOPMENT]],Data[],4,FALSE),"")</f>
        <v/>
      </c>
      <c r="G301" s="50" t="str">
        <f ca="1">IF(ExtComp[[#This Row],[RAD/PACT]]="","",IF(ExtComp[[#This Row],[RAD/PACT]]&lt;=2025,"Yes",""))</f>
        <v/>
      </c>
      <c r="H301" s="51">
        <f ca="1">IF(VLOOKUP(ExtComp[[#This Row],[DEVELOPMENT]],Data[],11,FALSE)=0,"",DATEDIF(VLOOKUP(ExtComp[[#This Row],[DEVELOPMENT]],Data[],13,FALSE),TODAY(),"Y"))</f>
        <v>20</v>
      </c>
      <c r="I301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301" s="47" t="e">
        <f ca="1">(ExtComp[[#This Row],['# to Replace]]*'Unit Cost Summary'!$B$6)*(1+((ExtComp[[#This Row],[est. Year]]-YEAR(TODAY()))*$J$2))</f>
        <v>#N/A</v>
      </c>
      <c r="K301" s="51" t="e">
        <f ca="1">SUM(INDEX(ExtComp['# to Replace],1):ExtComp[[#This Row],['# to Replace]])</f>
        <v>#N/A</v>
      </c>
      <c r="L301" s="51" t="e">
        <f ca="1">ROUNDDOWN(ExtComp[[#This Row],[Count]]/50,0)+$L$1</f>
        <v>#N/A</v>
      </c>
      <c r="M301" s="64" t="e">
        <f t="shared" ca="1" si="4"/>
        <v>#N/A</v>
      </c>
      <c r="N301" s="64" t="str">
        <f>IFERROR(VLOOKUP(ExtComp[[#This Row],[DEVELOPMENT]],Data[],22,FALSE),"")</f>
        <v/>
      </c>
      <c r="O301" s="71" t="str">
        <f>IFERROR(VLOOKUP(ExtComp[[#This Row],[DEVELOPMENT]],Data[],23,FALSE),"")</f>
        <v/>
      </c>
    </row>
    <row r="302" spans="1:15">
      <c r="A302" s="13" t="s">
        <v>273</v>
      </c>
      <c r="B302" s="9" t="str">
        <f>VLOOKUP(A302,Data[],2,FALSE)</f>
        <v>BRONX</v>
      </c>
      <c r="C302" s="9" t="s">
        <v>68</v>
      </c>
      <c r="D302" s="50">
        <f>VLOOKUP(ExtComp[[#This Row],[DEVELOPMENT]],Data[],8,FALSE)</f>
        <v>0</v>
      </c>
      <c r="E302" s="50">
        <f>VLOOKUP(ExtComp[[#This Row],[DEVELOPMENT]],Data[],9,FALSE)</f>
        <v>0</v>
      </c>
      <c r="F302" s="50" t="str">
        <f ca="1">IFERROR(VLOOKUP(ExtComp[[#This Row],[DEVELOPMENT]],Data[],4,FALSE),"")</f>
        <v/>
      </c>
      <c r="G302" s="50" t="str">
        <f ca="1">IF(ExtComp[[#This Row],[RAD/PACT]]="","",IF(ExtComp[[#This Row],[RAD/PACT]]&lt;=2025,"Yes",""))</f>
        <v/>
      </c>
      <c r="H302" s="51">
        <f ca="1">IF(VLOOKUP(ExtComp[[#This Row],[DEVELOPMENT]],Data[],11,FALSE)=0,"",DATEDIF(VLOOKUP(ExtComp[[#This Row],[DEVELOPMENT]],Data[],13,FALSE),TODAY(),"Y"))</f>
        <v>16</v>
      </c>
      <c r="I302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302" s="47" t="e">
        <f ca="1">(ExtComp[[#This Row],['# to Replace]]*'Unit Cost Summary'!$B$6)*(1+((ExtComp[[#This Row],[est. Year]]-YEAR(TODAY()))*$J$2))</f>
        <v>#N/A</v>
      </c>
      <c r="K302" s="51" t="e">
        <f ca="1">SUM(INDEX(ExtComp['# to Replace],1):ExtComp[[#This Row],['# to Replace]])</f>
        <v>#N/A</v>
      </c>
      <c r="L302" s="51" t="e">
        <f ca="1">ROUNDDOWN(ExtComp[[#This Row],[Count]]/50,0)+$L$1</f>
        <v>#N/A</v>
      </c>
      <c r="M302" s="64" t="e">
        <f t="shared" ca="1" si="4"/>
        <v>#N/A</v>
      </c>
      <c r="N302" s="64" t="str">
        <f>IFERROR(VLOOKUP(ExtComp[[#This Row],[DEVELOPMENT]],Data[],22,FALSE),"")</f>
        <v/>
      </c>
      <c r="O302" s="71" t="str">
        <f>IFERROR(VLOOKUP(ExtComp[[#This Row],[DEVELOPMENT]],Data[],23,FALSE),"")</f>
        <v/>
      </c>
    </row>
    <row r="303" spans="1:15">
      <c r="A303" s="13" t="s">
        <v>70</v>
      </c>
      <c r="B303" s="1" t="str">
        <f>VLOOKUP(A303,Data[],2,FALSE)</f>
        <v>MANHATTAN</v>
      </c>
      <c r="C303" s="9" t="s">
        <v>68</v>
      </c>
      <c r="D303" s="9" t="str">
        <f>VLOOKUP(ExtComp[[#This Row],[DEVELOPMENT]],Data[],8,FALSE)</f>
        <v>Zone 3</v>
      </c>
      <c r="E303" s="9">
        <f>VLOOKUP(ExtComp[[#This Row],[DEVELOPMENT]],Data[],9,FALSE)</f>
        <v>1</v>
      </c>
      <c r="F303" s="9" t="str">
        <f ca="1">IFERROR(VLOOKUP(ExtComp[[#This Row],[DEVELOPMENT]],Data[],4,FALSE),"")</f>
        <v>2020-2021</v>
      </c>
      <c r="G303" s="9" t="str">
        <f ca="1">IF(ExtComp[[#This Row],[RAD/PACT]]="","",IF(ExtComp[[#This Row],[RAD/PACT]]&lt;=2025,"Yes",""))</f>
        <v/>
      </c>
      <c r="H303" s="1">
        <f ca="1">IF(VLOOKUP(ExtComp[[#This Row],[DEVELOPMENT]],Data[],11,FALSE)=0,"",DATEDIF(VLOOKUP(ExtComp[[#This Row],[DEVELOPMENT]],Data[],13,FALSE),TODAY(),"Y"))</f>
        <v>20</v>
      </c>
      <c r="I303" s="1">
        <f ca="1">IF(ExtComp[[#This Row],[RAD/PACT]]="",VLOOKUP(ExtComp[[#This Row],[DEVELOPMENT]],Data[],11,FALSE),IF(ExtComp[[#This Row],[RAD/PACT by 2025]]="yes",0,VLOOKUP(ExtComp[[#This Row],[DEVELOPMENT]],Data[],11,FALSE)))</f>
        <v>1</v>
      </c>
      <c r="J303" s="47" t="e">
        <f ca="1">(ExtComp[[#This Row],['# to Replace]]*'Unit Cost Summary'!$B$6)*(1+((ExtComp[[#This Row],[est. Year]]-YEAR(TODAY()))*$J$2))</f>
        <v>#N/A</v>
      </c>
      <c r="K303" s="1" t="e">
        <f ca="1">SUM(INDEX(ExtComp['# to Replace],1):ExtComp[[#This Row],['# to Replace]])</f>
        <v>#N/A</v>
      </c>
      <c r="L303" s="1" t="e">
        <f ca="1">ROUNDDOWN(ExtComp[[#This Row],[Count]]/50,0)+$L$1</f>
        <v>#N/A</v>
      </c>
      <c r="M303" s="64" t="e">
        <f t="shared" ca="1" si="4"/>
        <v>#N/A</v>
      </c>
      <c r="N303" s="64" t="str">
        <f>IFERROR(VLOOKUP(ExtComp[[#This Row],[DEVELOPMENT]],Data[],22,FALSE),"")</f>
        <v/>
      </c>
      <c r="O303" s="71" t="str">
        <f>IFERROR(VLOOKUP(ExtComp[[#This Row],[DEVELOPMENT]],Data[],23,FALSE),"")</f>
        <v/>
      </c>
    </row>
    <row r="304" spans="1:15">
      <c r="A304" s="13" t="s">
        <v>299</v>
      </c>
      <c r="B304" s="9" t="str">
        <f>VLOOKUP(A304,Data[],2,FALSE)</f>
        <v>BROOKLYN</v>
      </c>
      <c r="C304" s="9" t="s">
        <v>68</v>
      </c>
      <c r="D304" s="50">
        <f>VLOOKUP(ExtComp[[#This Row],[DEVELOPMENT]],Data[],8,FALSE)</f>
        <v>0</v>
      </c>
      <c r="E304" s="50">
        <f>VLOOKUP(ExtComp[[#This Row],[DEVELOPMENT]],Data[],9,FALSE)</f>
        <v>0</v>
      </c>
      <c r="F304" s="50" t="str">
        <f ca="1">IFERROR(VLOOKUP(ExtComp[[#This Row],[DEVELOPMENT]],Data[],4,FALSE),"")</f>
        <v/>
      </c>
      <c r="G304" s="50" t="str">
        <f ca="1">IF(ExtComp[[#This Row],[RAD/PACT]]="","",IF(ExtComp[[#This Row],[RAD/PACT]]&lt;=2025,"Yes",""))</f>
        <v/>
      </c>
      <c r="H304" s="51">
        <f ca="1">IF(VLOOKUP(ExtComp[[#This Row],[DEVELOPMENT]],Data[],11,FALSE)=0,"",DATEDIF(VLOOKUP(ExtComp[[#This Row],[DEVELOPMENT]],Data[],13,FALSE),TODAY(),"Y"))</f>
        <v>15</v>
      </c>
      <c r="I304" s="51">
        <f ca="1">IF(ExtComp[[#This Row],[RAD/PACT]]="",VLOOKUP(ExtComp[[#This Row],[DEVELOPMENT]],Data[],11,FALSE),IF(ExtComp[[#This Row],[RAD/PACT by 2025]]="yes",0,VLOOKUP(ExtComp[[#This Row],[DEVELOPMENT]],Data[],11,FALSE)))</f>
        <v>1</v>
      </c>
      <c r="J304" s="47" t="e">
        <f ca="1">(ExtComp[[#This Row],['# to Replace]]*'Unit Cost Summary'!$B$6)*(1+((ExtComp[[#This Row],[est. Year]]-YEAR(TODAY()))*$J$2))</f>
        <v>#N/A</v>
      </c>
      <c r="K304" s="51" t="e">
        <f ca="1">SUM(INDEX(ExtComp['# to Replace],1):ExtComp[[#This Row],['# to Replace]])</f>
        <v>#N/A</v>
      </c>
      <c r="L304" s="51" t="e">
        <f ca="1">ROUNDDOWN(ExtComp[[#This Row],[Count]]/50,0)+$L$1</f>
        <v>#N/A</v>
      </c>
      <c r="M304" s="64" t="e">
        <f t="shared" ca="1" si="4"/>
        <v>#N/A</v>
      </c>
      <c r="N304" s="64" t="str">
        <f>IFERROR(VLOOKUP(ExtComp[[#This Row],[DEVELOPMENT]],Data[],22,FALSE),"")</f>
        <v/>
      </c>
      <c r="O304" s="71" t="str">
        <f>IFERROR(VLOOKUP(ExtComp[[#This Row],[DEVELOPMENT]],Data[],23,FALSE),"")</f>
        <v/>
      </c>
    </row>
    <row r="305" spans="1:15">
      <c r="A305" s="13" t="s">
        <v>272</v>
      </c>
      <c r="B305" s="9" t="str">
        <f>VLOOKUP(A305,Data[],2,FALSE)</f>
        <v>QUEENS</v>
      </c>
      <c r="C305" s="9"/>
      <c r="D305" s="50">
        <f>VLOOKUP(ExtComp[[#This Row],[DEVELOPMENT]],Data[],8,FALSE)</f>
        <v>0</v>
      </c>
      <c r="E305" s="50">
        <f>VLOOKUP(ExtComp[[#This Row],[DEVELOPMENT]],Data[],9,FALSE)</f>
        <v>0</v>
      </c>
      <c r="F305" s="50" t="str">
        <f ca="1">IFERROR(VLOOKUP(ExtComp[[#This Row],[DEVELOPMENT]],Data[],4,FALSE),"")</f>
        <v>2022-2025</v>
      </c>
      <c r="G305" s="50" t="str">
        <f ca="1">IF(ExtComp[[#This Row],[RAD/PACT]]="","",IF(ExtComp[[#This Row],[RAD/PACT]]&lt;=2025,"Yes",""))</f>
        <v/>
      </c>
      <c r="H305" s="51">
        <f ca="1">IF(VLOOKUP(ExtComp[[#This Row],[DEVELOPMENT]],Data[],11,FALSE)=0,"",DATEDIF(VLOOKUP(ExtComp[[#This Row],[DEVELOPMENT]],Data[],13,FALSE),TODAY(),"Y"))</f>
        <v>17</v>
      </c>
      <c r="I305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305" s="47" t="e">
        <f ca="1">(ExtComp[[#This Row],['# to Replace]]*'Unit Cost Summary'!$B$6)*(1+((ExtComp[[#This Row],[est. Year]]-YEAR(TODAY()))*$J$2))</f>
        <v>#N/A</v>
      </c>
      <c r="K305" s="51" t="e">
        <f ca="1">SUM(INDEX(ExtComp['# to Replace],1):ExtComp[[#This Row],['# to Replace]])</f>
        <v>#N/A</v>
      </c>
      <c r="L305" s="51" t="e">
        <f ca="1">ROUNDDOWN(ExtComp[[#This Row],[Count]]/50,0)+$L$1</f>
        <v>#N/A</v>
      </c>
      <c r="M305" s="64" t="e">
        <f t="shared" ca="1" si="4"/>
        <v>#N/A</v>
      </c>
      <c r="N305" s="64" t="str">
        <f>IFERROR(VLOOKUP(ExtComp[[#This Row],[DEVELOPMENT]],Data[],22,FALSE),"")</f>
        <v/>
      </c>
      <c r="O305" s="71" t="str">
        <f>IFERROR(VLOOKUP(ExtComp[[#This Row],[DEVELOPMENT]],Data[],23,FALSE),"")</f>
        <v/>
      </c>
    </row>
    <row r="306" spans="1:15">
      <c r="A306" s="13" t="s">
        <v>230</v>
      </c>
      <c r="B306" s="1" t="str">
        <f>VLOOKUP(A306,Data[],2,FALSE)</f>
        <v>BROOKLYN</v>
      </c>
      <c r="C306" s="9" t="s">
        <v>68</v>
      </c>
      <c r="D306" s="50" t="str">
        <f>VLOOKUP(ExtComp[[#This Row],[DEVELOPMENT]],Data[],8,FALSE)</f>
        <v>Zone 1</v>
      </c>
      <c r="E306" s="9">
        <f>VLOOKUP(ExtComp[[#This Row],[DEVELOPMENT]],Data[],9,FALSE)</f>
        <v>4</v>
      </c>
      <c r="F306" s="50">
        <f ca="1">IFERROR(VLOOKUP(ExtComp[[#This Row],[DEVELOPMENT]],Data[],4,FALSE),"")</f>
        <v>2019</v>
      </c>
      <c r="G306" s="50" t="str">
        <f ca="1">IF(ExtComp[[#This Row],[RAD/PACT]]="","",IF(ExtComp[[#This Row],[RAD/PACT]]&lt;=2025,"Yes",""))</f>
        <v>Yes</v>
      </c>
      <c r="H306" s="51" t="str">
        <f ca="1">IF(VLOOKUP(ExtComp[[#This Row],[DEVELOPMENT]],Data[],11,FALSE)=0,"",DATEDIF(VLOOKUP(ExtComp[[#This Row],[DEVELOPMENT]],Data[],13,FALSE),TODAY(),"Y"))</f>
        <v/>
      </c>
      <c r="I30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06" s="47" t="e">
        <f ca="1">(ExtComp[[#This Row],['# to Replace]]*'Unit Cost Summary'!$B$6)*(1+((ExtComp[[#This Row],[est. Year]]-YEAR(TODAY()))*$J$2))</f>
        <v>#N/A</v>
      </c>
      <c r="K306" s="51" t="e">
        <f ca="1">SUM(INDEX(ExtComp['# to Replace],1):ExtComp[[#This Row],['# to Replace]])</f>
        <v>#N/A</v>
      </c>
      <c r="L306" s="51" t="e">
        <f ca="1">ROUNDDOWN(ExtComp[[#This Row],[Count]]/50,0)+$L$1</f>
        <v>#N/A</v>
      </c>
      <c r="M306" s="64" t="e">
        <f t="shared" ca="1" si="4"/>
        <v>#N/A</v>
      </c>
      <c r="N306" s="64" t="str">
        <f>IFERROR(VLOOKUP(ExtComp[[#This Row],[DEVELOPMENT]],Data[],22,FALSE),"")</f>
        <v/>
      </c>
      <c r="O306" s="51" t="str">
        <f>IFERROR(VLOOKUP(ExtComp[[#This Row],[DEVELOPMENT]],Data[],23,FALSE),"")</f>
        <v/>
      </c>
    </row>
    <row r="307" spans="1:15">
      <c r="A307" s="13" t="s">
        <v>298</v>
      </c>
      <c r="B307" s="1" t="str">
        <f>VLOOKUP(A307,Data[],2,FALSE)</f>
        <v>BROOKLYN</v>
      </c>
      <c r="C307" s="9" t="s">
        <v>68</v>
      </c>
      <c r="D307" s="50" t="str">
        <f>VLOOKUP(ExtComp[[#This Row],[DEVELOPMENT]],Data[],8,FALSE)</f>
        <v>Zone 1</v>
      </c>
      <c r="E307" s="9">
        <f>VLOOKUP(ExtComp[[#This Row],[DEVELOPMENT]],Data[],9,FALSE)</f>
        <v>4</v>
      </c>
      <c r="F307" s="50">
        <f ca="1">IFERROR(VLOOKUP(ExtComp[[#This Row],[DEVELOPMENT]],Data[],4,FALSE),"")</f>
        <v>2019</v>
      </c>
      <c r="G307" s="50" t="str">
        <f ca="1">IF(ExtComp[[#This Row],[RAD/PACT]]="","",IF(ExtComp[[#This Row],[RAD/PACT]]&lt;=2025,"Yes",""))</f>
        <v>Yes</v>
      </c>
      <c r="H307" s="51" t="str">
        <f ca="1">IF(VLOOKUP(ExtComp[[#This Row],[DEVELOPMENT]],Data[],11,FALSE)=0,"",DATEDIF(VLOOKUP(ExtComp[[#This Row],[DEVELOPMENT]],Data[],13,FALSE),TODAY(),"Y"))</f>
        <v/>
      </c>
      <c r="I307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07" s="47" t="e">
        <f ca="1">(ExtComp[[#This Row],['# to Replace]]*'Unit Cost Summary'!$B$6)*(1+((ExtComp[[#This Row],[est. Year]]-YEAR(TODAY()))*$J$2))</f>
        <v>#N/A</v>
      </c>
      <c r="K307" s="51" t="e">
        <f ca="1">SUM(INDEX(ExtComp['# to Replace],1):ExtComp[[#This Row],['# to Replace]])</f>
        <v>#N/A</v>
      </c>
      <c r="L307" s="51" t="e">
        <f ca="1">ROUNDDOWN(ExtComp[[#This Row],[Count]]/50,0)+$L$1</f>
        <v>#N/A</v>
      </c>
      <c r="M307" s="64" t="e">
        <f t="shared" ca="1" si="4"/>
        <v>#N/A</v>
      </c>
      <c r="N307" s="64" t="str">
        <f>IFERROR(VLOOKUP(ExtComp[[#This Row],[DEVELOPMENT]],Data[],22,FALSE),"")</f>
        <v/>
      </c>
      <c r="O307" s="51" t="str">
        <f>IFERROR(VLOOKUP(ExtComp[[#This Row],[DEVELOPMENT]],Data[],23,FALSE),"")</f>
        <v/>
      </c>
    </row>
    <row r="308" spans="1:15">
      <c r="A308" s="13" t="s">
        <v>262</v>
      </c>
      <c r="B308" s="9" t="str">
        <f>VLOOKUP(A308,Data[],2,FALSE)</f>
        <v>MANHATTAN</v>
      </c>
      <c r="C308" s="9" t="s">
        <v>68</v>
      </c>
      <c r="D308" s="50">
        <f>VLOOKUP(ExtComp[[#This Row],[DEVELOPMENT]],Data[],8,FALSE)</f>
        <v>0</v>
      </c>
      <c r="E308" s="50">
        <f>VLOOKUP(ExtComp[[#This Row],[DEVELOPMENT]],Data[],9,FALSE)</f>
        <v>0</v>
      </c>
      <c r="F308" s="50" t="str">
        <f ca="1">IFERROR(VLOOKUP(ExtComp[[#This Row],[DEVELOPMENT]],Data[],4,FALSE),"")</f>
        <v/>
      </c>
      <c r="G308" s="50" t="str">
        <f ca="1">IF(ExtComp[[#This Row],[RAD/PACT]]="","",IF(ExtComp[[#This Row],[RAD/PACT]]&lt;=2025,"Yes",""))</f>
        <v/>
      </c>
      <c r="H308" s="51" t="str">
        <f ca="1">IF(VLOOKUP(ExtComp[[#This Row],[DEVELOPMENT]],Data[],11,FALSE)=0,"",DATEDIF(VLOOKUP(ExtComp[[#This Row],[DEVELOPMENT]],Data[],13,FALSE),TODAY(),"Y"))</f>
        <v/>
      </c>
      <c r="I308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08" s="47" t="e">
        <f ca="1">(ExtComp[[#This Row],['# to Replace]]*'Unit Cost Summary'!$B$6)*(1+((ExtComp[[#This Row],[est. Year]]-YEAR(TODAY()))*$J$2))</f>
        <v>#N/A</v>
      </c>
      <c r="K308" s="51" t="e">
        <f ca="1">SUM(INDEX(ExtComp['# to Replace],1):ExtComp[[#This Row],['# to Replace]])</f>
        <v>#N/A</v>
      </c>
      <c r="L308" s="51" t="e">
        <f ca="1">ROUNDDOWN(ExtComp[[#This Row],[Count]]/50,0)+$L$1</f>
        <v>#N/A</v>
      </c>
      <c r="M308" s="64" t="e">
        <f t="shared" ca="1" si="4"/>
        <v>#N/A</v>
      </c>
      <c r="N308" s="64" t="str">
        <f>IFERROR(VLOOKUP(ExtComp[[#This Row],[DEVELOPMENT]],Data[],22,FALSE),"")</f>
        <v/>
      </c>
      <c r="O308" s="51" t="str">
        <f>IFERROR(VLOOKUP(ExtComp[[#This Row],[DEVELOPMENT]],Data[],23,FALSE),"")</f>
        <v/>
      </c>
    </row>
    <row r="309" spans="1:15">
      <c r="A309" s="13" t="s">
        <v>261</v>
      </c>
      <c r="B309" s="9" t="str">
        <f>VLOOKUP(A309,Data[],2,FALSE)</f>
        <v>MANHATTAN</v>
      </c>
      <c r="C309" s="9" t="s">
        <v>68</v>
      </c>
      <c r="D309" s="50" t="str">
        <f>VLOOKUP(ExtComp[[#This Row],[DEVELOPMENT]],Data[],8,FALSE)</f>
        <v>Zone 4</v>
      </c>
      <c r="E309" s="50">
        <f>VLOOKUP(ExtComp[[#This Row],[DEVELOPMENT]],Data[],9,FALSE)</f>
        <v>0</v>
      </c>
      <c r="F309" s="50" t="str">
        <f ca="1">IFERROR(VLOOKUP(ExtComp[[#This Row],[DEVELOPMENT]],Data[],4,FALSE),"")</f>
        <v/>
      </c>
      <c r="G309" s="50" t="str">
        <f ca="1">IF(ExtComp[[#This Row],[RAD/PACT]]="","",IF(ExtComp[[#This Row],[RAD/PACT]]&lt;=2025,"Yes",""))</f>
        <v/>
      </c>
      <c r="H309" s="51">
        <f ca="1">IF(VLOOKUP(ExtComp[[#This Row],[DEVELOPMENT]],Data[],11,FALSE)=0,"",DATEDIF(VLOOKUP(ExtComp[[#This Row],[DEVELOPMENT]],Data[],13,FALSE),TODAY(),"Y"))</f>
        <v>13</v>
      </c>
      <c r="I309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309" s="47" t="e">
        <f ca="1">(ExtComp[[#This Row],['# to Replace]]*'Unit Cost Summary'!$B$6)*(1+((ExtComp[[#This Row],[est. Year]]-YEAR(TODAY()))*$J$2))</f>
        <v>#N/A</v>
      </c>
      <c r="K309" s="51" t="e">
        <f ca="1">SUM(INDEX(ExtComp['# to Replace],1):ExtComp[[#This Row],['# to Replace]])</f>
        <v>#N/A</v>
      </c>
      <c r="L309" s="51" t="e">
        <f ca="1">ROUNDDOWN(ExtComp[[#This Row],[Count]]/50,0)+$L$1</f>
        <v>#N/A</v>
      </c>
      <c r="M309" s="64" t="e">
        <f t="shared" ca="1" si="4"/>
        <v>#N/A</v>
      </c>
      <c r="N309" s="64" t="str">
        <f>IFERROR(VLOOKUP(ExtComp[[#This Row],[DEVELOPMENT]],Data[],22,FALSE),"")</f>
        <v/>
      </c>
      <c r="O309" s="71" t="str">
        <f>IFERROR(VLOOKUP(ExtComp[[#This Row],[DEVELOPMENT]],Data[],23,FALSE),"")</f>
        <v/>
      </c>
    </row>
    <row r="310" spans="1:15">
      <c r="A310" s="13" t="s">
        <v>297</v>
      </c>
      <c r="B310" s="9" t="str">
        <f>VLOOKUP(A310,Data[],2,FALSE)</f>
        <v>BROOKLYN</v>
      </c>
      <c r="C310" s="9" t="s">
        <v>68</v>
      </c>
      <c r="D310" s="50">
        <f>VLOOKUP(ExtComp[[#This Row],[DEVELOPMENT]],Data[],8,FALSE)</f>
        <v>0</v>
      </c>
      <c r="E310" s="50">
        <f>VLOOKUP(ExtComp[[#This Row],[DEVELOPMENT]],Data[],9,FALSE)</f>
        <v>0</v>
      </c>
      <c r="F310" s="50" t="str">
        <f ca="1">IFERROR(VLOOKUP(ExtComp[[#This Row],[DEVELOPMENT]],Data[],4,FALSE),"")</f>
        <v>2022-2025</v>
      </c>
      <c r="G310" s="50" t="str">
        <f ca="1">IF(ExtComp[[#This Row],[RAD/PACT]]="","",IF(ExtComp[[#This Row],[RAD/PACT]]&lt;=2025,"Yes",""))</f>
        <v/>
      </c>
      <c r="H310" s="51" t="str">
        <f ca="1">IF(VLOOKUP(ExtComp[[#This Row],[DEVELOPMENT]],Data[],11,FALSE)=0,"",DATEDIF(VLOOKUP(ExtComp[[#This Row],[DEVELOPMENT]],Data[],13,FALSE),TODAY(),"Y"))</f>
        <v/>
      </c>
      <c r="I31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10" s="47" t="e">
        <f ca="1">(ExtComp[[#This Row],['# to Replace]]*'Unit Cost Summary'!$B$6)*(1+((ExtComp[[#This Row],[est. Year]]-YEAR(TODAY()))*$J$2))</f>
        <v>#N/A</v>
      </c>
      <c r="K310" s="51" t="e">
        <f ca="1">SUM(INDEX(ExtComp['# to Replace],1):ExtComp[[#This Row],['# to Replace]])</f>
        <v>#N/A</v>
      </c>
      <c r="L310" s="51" t="e">
        <f ca="1">ROUNDDOWN(ExtComp[[#This Row],[Count]]/50,0)+$L$1</f>
        <v>#N/A</v>
      </c>
      <c r="M310" s="64" t="e">
        <f t="shared" ca="1" si="4"/>
        <v>#N/A</v>
      </c>
      <c r="N310" s="64" t="str">
        <f>IFERROR(VLOOKUP(ExtComp[[#This Row],[DEVELOPMENT]],Data[],22,FALSE),"")</f>
        <v/>
      </c>
      <c r="O310" s="51" t="str">
        <f>IFERROR(VLOOKUP(ExtComp[[#This Row],[DEVELOPMENT]],Data[],23,FALSE),"")</f>
        <v/>
      </c>
    </row>
    <row r="311" spans="1:15">
      <c r="A311" s="13" t="s">
        <v>296</v>
      </c>
      <c r="B311" s="9" t="str">
        <f>VLOOKUP(A311,Data[],2,FALSE)</f>
        <v>BROOKLYN</v>
      </c>
      <c r="C311" s="9" t="s">
        <v>68</v>
      </c>
      <c r="D311" s="50">
        <f>VLOOKUP(ExtComp[[#This Row],[DEVELOPMENT]],Data[],8,FALSE)</f>
        <v>0</v>
      </c>
      <c r="E311" s="50">
        <f>VLOOKUP(ExtComp[[#This Row],[DEVELOPMENT]],Data[],9,FALSE)</f>
        <v>0</v>
      </c>
      <c r="F311" s="50" t="str">
        <f ca="1">IFERROR(VLOOKUP(ExtComp[[#This Row],[DEVELOPMENT]],Data[],4,FALSE),"")</f>
        <v>2022-2025</v>
      </c>
      <c r="G311" s="50" t="str">
        <f ca="1">IF(ExtComp[[#This Row],[RAD/PACT]]="","",IF(ExtComp[[#This Row],[RAD/PACT]]&lt;=2025,"Yes",""))</f>
        <v/>
      </c>
      <c r="H311" s="51">
        <f ca="1">IF(VLOOKUP(ExtComp[[#This Row],[DEVELOPMENT]],Data[],11,FALSE)=0,"",DATEDIF(VLOOKUP(ExtComp[[#This Row],[DEVELOPMENT]],Data[],13,FALSE),TODAY(),"Y"))</f>
        <v>13</v>
      </c>
      <c r="I311" s="51">
        <f ca="1">IF(ExtComp[[#This Row],[RAD/PACT]]="",VLOOKUP(ExtComp[[#This Row],[DEVELOPMENT]],Data[],11,FALSE),IF(ExtComp[[#This Row],[RAD/PACT by 2025]]="yes",0,VLOOKUP(ExtComp[[#This Row],[DEVELOPMENT]],Data[],11,FALSE)))</f>
        <v>3</v>
      </c>
      <c r="J311" s="47" t="e">
        <f ca="1">(ExtComp[[#This Row],['# to Replace]]*'Unit Cost Summary'!$B$6)*(1+((ExtComp[[#This Row],[est. Year]]-YEAR(TODAY()))*$J$2))</f>
        <v>#N/A</v>
      </c>
      <c r="K311" s="51" t="e">
        <f ca="1">SUM(INDEX(ExtComp['# to Replace],1):ExtComp[[#This Row],['# to Replace]])</f>
        <v>#N/A</v>
      </c>
      <c r="L311" s="51" t="e">
        <f ca="1">ROUNDDOWN(ExtComp[[#This Row],[Count]]/50,0)+$L$1</f>
        <v>#N/A</v>
      </c>
      <c r="M311" s="64" t="e">
        <f t="shared" ca="1" si="4"/>
        <v>#N/A</v>
      </c>
      <c r="N311" s="64" t="str">
        <f>IFERROR(VLOOKUP(ExtComp[[#This Row],[DEVELOPMENT]],Data[],22,FALSE),"")</f>
        <v/>
      </c>
      <c r="O311" s="71" t="str">
        <f>IFERROR(VLOOKUP(ExtComp[[#This Row],[DEVELOPMENT]],Data[],23,FALSE),"")</f>
        <v/>
      </c>
    </row>
    <row r="312" spans="1:15">
      <c r="A312" s="13" t="s">
        <v>278</v>
      </c>
      <c r="B312" s="9" t="str">
        <f>VLOOKUP(A312,Data[],2,FALSE)</f>
        <v>BRONX</v>
      </c>
      <c r="C312" s="9" t="s">
        <v>68</v>
      </c>
      <c r="D312" s="50">
        <f>VLOOKUP(ExtComp[[#This Row],[DEVELOPMENT]],Data[],8,FALSE)</f>
        <v>0</v>
      </c>
      <c r="E312" s="50">
        <f>VLOOKUP(ExtComp[[#This Row],[DEVELOPMENT]],Data[],9,FALSE)</f>
        <v>0</v>
      </c>
      <c r="F312" s="50" t="str">
        <f ca="1">IFERROR(VLOOKUP(ExtComp[[#This Row],[DEVELOPMENT]],Data[],4,FALSE),"")</f>
        <v/>
      </c>
      <c r="G312" s="50" t="str">
        <f ca="1">IF(ExtComp[[#This Row],[RAD/PACT]]="","",IF(ExtComp[[#This Row],[RAD/PACT]]&lt;=2025,"Yes",""))</f>
        <v/>
      </c>
      <c r="H312" s="51">
        <f ca="1">IF(VLOOKUP(ExtComp[[#This Row],[DEVELOPMENT]],Data[],11,FALSE)=0,"",DATEDIF(VLOOKUP(ExtComp[[#This Row],[DEVELOPMENT]],Data[],13,FALSE),TODAY(),"Y"))</f>
        <v>20</v>
      </c>
      <c r="I312" s="51">
        <f ca="1">IF(ExtComp[[#This Row],[RAD/PACT]]="",VLOOKUP(ExtComp[[#This Row],[DEVELOPMENT]],Data[],11,FALSE),IF(ExtComp[[#This Row],[RAD/PACT by 2025]]="yes",0,VLOOKUP(ExtComp[[#This Row],[DEVELOPMENT]],Data[],11,FALSE)))</f>
        <v>2</v>
      </c>
      <c r="J312" s="47" t="e">
        <f ca="1">(ExtComp[[#This Row],['# to Replace]]*'Unit Cost Summary'!$B$6)*(1+((ExtComp[[#This Row],[est. Year]]-YEAR(TODAY()))*$J$2))</f>
        <v>#N/A</v>
      </c>
      <c r="K312" s="51" t="e">
        <f ca="1">SUM(INDEX(ExtComp['# to Replace],1):ExtComp[[#This Row],['# to Replace]])</f>
        <v>#N/A</v>
      </c>
      <c r="L312" s="51" t="e">
        <f ca="1">ROUNDDOWN(ExtComp[[#This Row],[Count]]/50,0)+$L$1</f>
        <v>#N/A</v>
      </c>
      <c r="M312" s="64" t="e">
        <f t="shared" ca="1" si="4"/>
        <v>#N/A</v>
      </c>
      <c r="N312" s="64" t="str">
        <f>IFERROR(VLOOKUP(ExtComp[[#This Row],[DEVELOPMENT]],Data[],22,FALSE),"")</f>
        <v/>
      </c>
      <c r="O312" s="71" t="str">
        <f>IFERROR(VLOOKUP(ExtComp[[#This Row],[DEVELOPMENT]],Data[],23,FALSE),"")</f>
        <v/>
      </c>
    </row>
    <row r="313" spans="1:15">
      <c r="A313" s="13" t="s">
        <v>295</v>
      </c>
      <c r="B313" s="9" t="str">
        <f>VLOOKUP(A313,Data[],2,FALSE)</f>
        <v>MANHATTAN</v>
      </c>
      <c r="C313" s="9" t="s">
        <v>68</v>
      </c>
      <c r="D313" s="50">
        <f>VLOOKUP(ExtComp[[#This Row],[DEVELOPMENT]],Data[],8,FALSE)</f>
        <v>0</v>
      </c>
      <c r="E313" s="50">
        <f>VLOOKUP(ExtComp[[#This Row],[DEVELOPMENT]],Data[],9,FALSE)</f>
        <v>0</v>
      </c>
      <c r="F313" s="50" t="str">
        <f ca="1">IFERROR(VLOOKUP(ExtComp[[#This Row],[DEVELOPMENT]],Data[],4,FALSE),"")</f>
        <v/>
      </c>
      <c r="G313" s="50" t="str">
        <f ca="1">IF(ExtComp[[#This Row],[RAD/PACT]]="","",IF(ExtComp[[#This Row],[RAD/PACT]]&lt;=2025,"Yes",""))</f>
        <v/>
      </c>
      <c r="H313" s="51" t="str">
        <f ca="1">IF(VLOOKUP(ExtComp[[#This Row],[DEVELOPMENT]],Data[],11,FALSE)=0,"",DATEDIF(VLOOKUP(ExtComp[[#This Row],[DEVELOPMENT]],Data[],13,FALSE),TODAY(),"Y"))</f>
        <v/>
      </c>
      <c r="I31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13" s="47" t="e">
        <f ca="1">(ExtComp[[#This Row],['# to Replace]]*'Unit Cost Summary'!$B$6)*(1+((ExtComp[[#This Row],[est. Year]]-YEAR(TODAY()))*$J$2))</f>
        <v>#N/A</v>
      </c>
      <c r="K313" s="51" t="e">
        <f ca="1">SUM(INDEX(ExtComp['# to Replace],1):ExtComp[[#This Row],['# to Replace]])</f>
        <v>#N/A</v>
      </c>
      <c r="L313" s="51" t="e">
        <f ca="1">ROUNDDOWN(ExtComp[[#This Row],[Count]]/50,0)+$L$1</f>
        <v>#N/A</v>
      </c>
      <c r="M313" s="64" t="e">
        <f t="shared" ca="1" si="4"/>
        <v>#N/A</v>
      </c>
      <c r="N313" s="64" t="str">
        <f>IFERROR(VLOOKUP(ExtComp[[#This Row],[DEVELOPMENT]],Data[],22,FALSE),"")</f>
        <v/>
      </c>
      <c r="O313" s="51" t="str">
        <f>IFERROR(VLOOKUP(ExtComp[[#This Row],[DEVELOPMENT]],Data[],23,FALSE),"")</f>
        <v/>
      </c>
    </row>
    <row r="314" spans="1:15">
      <c r="A314" s="13" t="s">
        <v>294</v>
      </c>
      <c r="B314" s="9" t="str">
        <f>VLOOKUP(A314,Data[],2,FALSE)</f>
        <v>BROOKLYN</v>
      </c>
      <c r="C314" s="9" t="s">
        <v>68</v>
      </c>
      <c r="D314" s="50">
        <f>VLOOKUP(ExtComp[[#This Row],[DEVELOPMENT]],Data[],8,FALSE)</f>
        <v>0</v>
      </c>
      <c r="E314" s="50">
        <f>VLOOKUP(ExtComp[[#This Row],[DEVELOPMENT]],Data[],9,FALSE)</f>
        <v>0</v>
      </c>
      <c r="F314" s="50">
        <f ca="1">IFERROR(VLOOKUP(ExtComp[[#This Row],[DEVELOPMENT]],Data[],4,FALSE),"")</f>
        <v>2019</v>
      </c>
      <c r="G314" s="50" t="str">
        <f ca="1">IF(ExtComp[[#This Row],[RAD/PACT]]="","",IF(ExtComp[[#This Row],[RAD/PACT]]&lt;=2025,"Yes",""))</f>
        <v>Yes</v>
      </c>
      <c r="H314" s="51" t="str">
        <f ca="1">IF(VLOOKUP(ExtComp[[#This Row],[DEVELOPMENT]],Data[],11,FALSE)=0,"",DATEDIF(VLOOKUP(ExtComp[[#This Row],[DEVELOPMENT]],Data[],13,FALSE),TODAY(),"Y"))</f>
        <v/>
      </c>
      <c r="I314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14" s="47" t="e">
        <f ca="1">(ExtComp[[#This Row],['# to Replace]]*'Unit Cost Summary'!$B$6)*(1+((ExtComp[[#This Row],[est. Year]]-YEAR(TODAY()))*$J$2))</f>
        <v>#N/A</v>
      </c>
      <c r="K314" s="51" t="e">
        <f ca="1">SUM(INDEX(ExtComp['# to Replace],1):ExtComp[[#This Row],['# to Replace]])</f>
        <v>#N/A</v>
      </c>
      <c r="L314" s="51" t="e">
        <f ca="1">ROUNDDOWN(ExtComp[[#This Row],[Count]]/50,0)+$L$1</f>
        <v>#N/A</v>
      </c>
      <c r="M314" s="64" t="e">
        <f t="shared" ca="1" si="4"/>
        <v>#N/A</v>
      </c>
      <c r="N314" s="64" t="str">
        <f>IFERROR(VLOOKUP(ExtComp[[#This Row],[DEVELOPMENT]],Data[],22,FALSE),"")</f>
        <v/>
      </c>
      <c r="O314" s="51" t="str">
        <f>IFERROR(VLOOKUP(ExtComp[[#This Row],[DEVELOPMENT]],Data[],23,FALSE),"")</f>
        <v/>
      </c>
    </row>
    <row r="315" spans="1:15">
      <c r="A315" s="66" t="s">
        <v>57</v>
      </c>
      <c r="B315" s="1" t="str">
        <f>VLOOKUP(A315,Data[],2,FALSE)</f>
        <v>MANHATTAN</v>
      </c>
      <c r="C315" s="9" t="s">
        <v>68</v>
      </c>
      <c r="D315" s="9" t="str">
        <f>VLOOKUP(ExtComp[[#This Row],[DEVELOPMENT]],Data[],8,FALSE)</f>
        <v>Zone 1</v>
      </c>
      <c r="E315" s="9">
        <f>VLOOKUP(ExtComp[[#This Row],[DEVELOPMENT]],Data[],9,FALSE)</f>
        <v>3</v>
      </c>
      <c r="F315" s="9" t="str">
        <f ca="1">IFERROR(VLOOKUP(ExtComp[[#This Row],[DEVELOPMENT]],Data[],4,FALSE),"")</f>
        <v/>
      </c>
      <c r="G315" s="9" t="str">
        <f ca="1">IF(ExtComp[[#This Row],[RAD/PACT]]="","",IF(ExtComp[[#This Row],[RAD/PACT]]&lt;=2025,"Yes",""))</f>
        <v/>
      </c>
      <c r="H315" s="1" t="str">
        <f ca="1">IF(VLOOKUP(ExtComp[[#This Row],[DEVELOPMENT]],Data[],11,FALSE)=0,"",DATEDIF(VLOOKUP(ExtComp[[#This Row],[DEVELOPMENT]],Data[],13,FALSE),TODAY(),"Y"))</f>
        <v/>
      </c>
      <c r="I315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315" s="47" t="e">
        <f ca="1">(ExtComp[[#This Row],['# to Replace]]*'Unit Cost Summary'!$B$6)*(1+((ExtComp[[#This Row],[est. Year]]-YEAR(TODAY()))*$J$2))</f>
        <v>#N/A</v>
      </c>
      <c r="K315" s="1" t="e">
        <f ca="1">SUM(INDEX(ExtComp['# to Replace],1):ExtComp[[#This Row],['# to Replace]])</f>
        <v>#N/A</v>
      </c>
      <c r="L315" s="1" t="e">
        <f ca="1">ROUNDDOWN(ExtComp[[#This Row],[Count]]/50,0)+$L$1</f>
        <v>#N/A</v>
      </c>
      <c r="M315" s="64" t="e">
        <f t="shared" ca="1" si="4"/>
        <v>#N/A</v>
      </c>
      <c r="N315" s="64" t="str">
        <f>IFERROR(VLOOKUP(ExtComp[[#This Row],[DEVELOPMENT]],Data[],22,FALSE),"")</f>
        <v/>
      </c>
      <c r="O315" s="51" t="str">
        <f>IFERROR(VLOOKUP(ExtComp[[#This Row],[DEVELOPMENT]],Data[],23,FALSE),"")</f>
        <v/>
      </c>
    </row>
    <row r="316" spans="1:15">
      <c r="A316" s="13" t="s">
        <v>282</v>
      </c>
      <c r="B316" s="9" t="str">
        <f>VLOOKUP(A316,Data[],2,FALSE)</f>
        <v>MANHATTAN</v>
      </c>
      <c r="C316" s="9" t="s">
        <v>68</v>
      </c>
      <c r="D316" s="50">
        <f>VLOOKUP(ExtComp[[#This Row],[DEVELOPMENT]],Data[],8,FALSE)</f>
        <v>0</v>
      </c>
      <c r="E316" s="50">
        <f>VLOOKUP(ExtComp[[#This Row],[DEVELOPMENT]],Data[],9,FALSE)</f>
        <v>0</v>
      </c>
      <c r="F316" s="50" t="str">
        <f ca="1">IFERROR(VLOOKUP(ExtComp[[#This Row],[DEVELOPMENT]],Data[],4,FALSE),"")</f>
        <v>2020-2021</v>
      </c>
      <c r="G316" s="50" t="str">
        <f ca="1">IF(ExtComp[[#This Row],[RAD/PACT]]="","",IF(ExtComp[[#This Row],[RAD/PACT]]&lt;=2025,"Yes",""))</f>
        <v/>
      </c>
      <c r="H316" s="51" t="str">
        <f ca="1">IF(VLOOKUP(ExtComp[[#This Row],[DEVELOPMENT]],Data[],11,FALSE)=0,"",DATEDIF(VLOOKUP(ExtComp[[#This Row],[DEVELOPMENT]],Data[],13,FALSE),TODAY(),"Y"))</f>
        <v/>
      </c>
      <c r="I316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16" s="47" t="e">
        <f ca="1">(ExtComp[[#This Row],['# to Replace]]*'Unit Cost Summary'!$B$6)*(1+((ExtComp[[#This Row],[est. Year]]-YEAR(TODAY()))*$J$2))</f>
        <v>#N/A</v>
      </c>
      <c r="K316" s="51" t="e">
        <f ca="1">SUM(INDEX(ExtComp['# to Replace],1):ExtComp[[#This Row],['# to Replace]])</f>
        <v>#N/A</v>
      </c>
      <c r="L316" s="51" t="e">
        <f ca="1">ROUNDDOWN(ExtComp[[#This Row],[Count]]/50,0)+$L$1</f>
        <v>#N/A</v>
      </c>
      <c r="M316" s="64" t="e">
        <f t="shared" ca="1" si="4"/>
        <v>#N/A</v>
      </c>
      <c r="N316" s="64" t="str">
        <f>IFERROR(VLOOKUP(ExtComp[[#This Row],[DEVELOPMENT]],Data[],22,FALSE),"")</f>
        <v/>
      </c>
      <c r="O316" s="51" t="str">
        <f>IFERROR(VLOOKUP(ExtComp[[#This Row],[DEVELOPMENT]],Data[],23,FALSE),"")</f>
        <v/>
      </c>
    </row>
    <row r="317" spans="1:15">
      <c r="A317" s="13" t="s">
        <v>69</v>
      </c>
      <c r="B317" s="1" t="str">
        <f>VLOOKUP(A317,Data[],2,FALSE)</f>
        <v>MANHATTAN</v>
      </c>
      <c r="C317" s="9" t="s">
        <v>68</v>
      </c>
      <c r="D317" s="9" t="str">
        <f>VLOOKUP(ExtComp[[#This Row],[DEVELOPMENT]],Data[],8,FALSE)</f>
        <v>Zone 3</v>
      </c>
      <c r="E317" s="9">
        <f>VLOOKUP(ExtComp[[#This Row],[DEVELOPMENT]],Data[],9,FALSE)</f>
        <v>4</v>
      </c>
      <c r="F317" s="9" t="str">
        <f ca="1">IFERROR(VLOOKUP(ExtComp[[#This Row],[DEVELOPMENT]],Data[],4,FALSE),"")</f>
        <v>2020-2021</v>
      </c>
      <c r="G317" s="9" t="str">
        <f ca="1">IF(ExtComp[[#This Row],[RAD/PACT]]="","",IF(ExtComp[[#This Row],[RAD/PACT]]&lt;=2025,"Yes",""))</f>
        <v/>
      </c>
      <c r="H317" s="1" t="str">
        <f ca="1">IF(VLOOKUP(ExtComp[[#This Row],[DEVELOPMENT]],Data[],11,FALSE)=0,"",DATEDIF(VLOOKUP(ExtComp[[#This Row],[DEVELOPMENT]],Data[],13,FALSE),TODAY(),"Y"))</f>
        <v/>
      </c>
      <c r="I317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317" s="47" t="e">
        <f ca="1">(ExtComp[[#This Row],['# to Replace]]*'Unit Cost Summary'!$B$6)*(1+((ExtComp[[#This Row],[est. Year]]-YEAR(TODAY()))*$J$2))</f>
        <v>#N/A</v>
      </c>
      <c r="K317" s="1" t="e">
        <f ca="1">SUM(INDEX(ExtComp['# to Replace],1):ExtComp[[#This Row],['# to Replace]])</f>
        <v>#N/A</v>
      </c>
      <c r="L317" s="1" t="e">
        <f ca="1">ROUNDDOWN(ExtComp[[#This Row],[Count]]/50,0)+$L$1</f>
        <v>#N/A</v>
      </c>
      <c r="M317" s="64" t="e">
        <f t="shared" ca="1" si="4"/>
        <v>#N/A</v>
      </c>
      <c r="N317" s="64" t="str">
        <f>IFERROR(VLOOKUP(ExtComp[[#This Row],[DEVELOPMENT]],Data[],22,FALSE),"")</f>
        <v/>
      </c>
      <c r="O317" s="51" t="str">
        <f>IFERROR(VLOOKUP(ExtComp[[#This Row],[DEVELOPMENT]],Data[],23,FALSE),"")</f>
        <v/>
      </c>
    </row>
    <row r="318" spans="1:15">
      <c r="A318" s="65" t="s">
        <v>118</v>
      </c>
      <c r="B318" s="1" t="str">
        <f>VLOOKUP(A318,Data[],2,FALSE)</f>
        <v>BROOKLYN</v>
      </c>
      <c r="C318" s="9" t="s">
        <v>68</v>
      </c>
      <c r="D318" s="9" t="str">
        <f>VLOOKUP(ExtComp[[#This Row],[DEVELOPMENT]],Data[],8,FALSE)</f>
        <v>Zone 1</v>
      </c>
      <c r="E318" s="9">
        <f>VLOOKUP(ExtComp[[#This Row],[DEVELOPMENT]],Data[],9,FALSE)</f>
        <v>4</v>
      </c>
      <c r="F318" s="9" t="str">
        <f ca="1">IFERROR(VLOOKUP(ExtComp[[#This Row],[DEVELOPMENT]],Data[],4,FALSE),"")</f>
        <v/>
      </c>
      <c r="G318" s="9" t="str">
        <f ca="1">IF(ExtComp[[#This Row],[RAD/PACT]]="","",IF(ExtComp[[#This Row],[RAD/PACT]]&lt;=2025,"Yes",""))</f>
        <v/>
      </c>
      <c r="H318" s="1">
        <f ca="1">IF(VLOOKUP(ExtComp[[#This Row],[DEVELOPMENT]],Data[],11,FALSE)=0,"",DATEDIF(VLOOKUP(ExtComp[[#This Row],[DEVELOPMENT]],Data[],13,FALSE),TODAY(),"Y"))</f>
        <v>16</v>
      </c>
      <c r="I318" s="1">
        <f ca="1">IF(ExtComp[[#This Row],[RAD/PACT]]="",VLOOKUP(ExtComp[[#This Row],[DEVELOPMENT]],Data[],11,FALSE),IF(ExtComp[[#This Row],[RAD/PACT by 2025]]="yes",0,VLOOKUP(ExtComp[[#This Row],[DEVELOPMENT]],Data[],11,FALSE)))</f>
        <v>1</v>
      </c>
      <c r="J318" s="47" t="e">
        <f ca="1">(ExtComp[[#This Row],['# to Replace]]*'Unit Cost Summary'!$B$6)*(1+((ExtComp[[#This Row],[est. Year]]-YEAR(TODAY()))*$J$2))</f>
        <v>#N/A</v>
      </c>
      <c r="K318" s="1" t="e">
        <f ca="1">SUM(INDEX(ExtComp['# to Replace],1):ExtComp[[#This Row],['# to Replace]])</f>
        <v>#N/A</v>
      </c>
      <c r="L318" s="1" t="e">
        <f ca="1">ROUNDDOWN(ExtComp[[#This Row],[Count]]/50,0)+$L$1</f>
        <v>#N/A</v>
      </c>
      <c r="M318" s="64" t="e">
        <f t="shared" ca="1" si="4"/>
        <v>#N/A</v>
      </c>
      <c r="N318" s="64" t="str">
        <f>IFERROR(VLOOKUP(ExtComp[[#This Row],[DEVELOPMENT]],Data[],22,FALSE),"")</f>
        <v/>
      </c>
      <c r="O318" s="71" t="str">
        <f>IFERROR(VLOOKUP(ExtComp[[#This Row],[DEVELOPMENT]],Data[],23,FALSE),"")</f>
        <v/>
      </c>
    </row>
    <row r="319" spans="1:15">
      <c r="A319" s="13" t="s">
        <v>229</v>
      </c>
      <c r="B319" s="9" t="str">
        <f>VLOOKUP(A319,Data[],2,FALSE)</f>
        <v>MANHATTAN</v>
      </c>
      <c r="C319" s="9" t="s">
        <v>68</v>
      </c>
      <c r="D319" s="50">
        <f>VLOOKUP(ExtComp[[#This Row],[DEVELOPMENT]],Data[],8,FALSE)</f>
        <v>0</v>
      </c>
      <c r="E319" s="50">
        <f>VLOOKUP(ExtComp[[#This Row],[DEVELOPMENT]],Data[],9,FALSE)</f>
        <v>0</v>
      </c>
      <c r="F319" s="50" t="str">
        <f ca="1">IFERROR(VLOOKUP(ExtComp[[#This Row],[DEVELOPMENT]],Data[],4,FALSE),"")</f>
        <v/>
      </c>
      <c r="G319" s="50" t="str">
        <f ca="1">IF(ExtComp[[#This Row],[RAD/PACT]]="","",IF(ExtComp[[#This Row],[RAD/PACT]]&lt;=2025,"Yes",""))</f>
        <v/>
      </c>
      <c r="H319" s="51" t="str">
        <f ca="1">IF(VLOOKUP(ExtComp[[#This Row],[DEVELOPMENT]],Data[],11,FALSE)=0,"",DATEDIF(VLOOKUP(ExtComp[[#This Row],[DEVELOPMENT]],Data[],13,FALSE),TODAY(),"Y"))</f>
        <v/>
      </c>
      <c r="I319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19" s="47" t="e">
        <f ca="1">(ExtComp[[#This Row],['# to Replace]]*'Unit Cost Summary'!$B$6)*(1+((ExtComp[[#This Row],[est. Year]]-YEAR(TODAY()))*$J$2))</f>
        <v>#N/A</v>
      </c>
      <c r="K319" s="51" t="e">
        <f ca="1">SUM(INDEX(ExtComp['# to Replace],1):ExtComp[[#This Row],['# to Replace]])</f>
        <v>#N/A</v>
      </c>
      <c r="L319" s="51" t="e">
        <f ca="1">ROUNDDOWN(ExtComp[[#This Row],[Count]]/50,0)+$L$1</f>
        <v>#N/A</v>
      </c>
      <c r="M319" s="64" t="e">
        <f t="shared" ca="1" si="4"/>
        <v>#N/A</v>
      </c>
      <c r="N319" s="64" t="str">
        <f>IFERROR(VLOOKUP(ExtComp[[#This Row],[DEVELOPMENT]],Data[],22,FALSE),"")</f>
        <v/>
      </c>
      <c r="O319" s="51" t="str">
        <f>IFERROR(VLOOKUP(ExtComp[[#This Row],[DEVELOPMENT]],Data[],23,FALSE),"")</f>
        <v/>
      </c>
    </row>
    <row r="320" spans="1:15">
      <c r="A320" s="13" t="s">
        <v>227</v>
      </c>
      <c r="B320" s="9" t="str">
        <f>VLOOKUP(A320,Data[],2,FALSE)</f>
        <v>BRONX</v>
      </c>
      <c r="C320" s="9"/>
      <c r="D320" s="50" t="str">
        <f>VLOOKUP(ExtComp[[#This Row],[DEVELOPMENT]],Data[],8,FALSE)</f>
        <v>Zone 3</v>
      </c>
      <c r="E320" s="50">
        <f>VLOOKUP(ExtComp[[#This Row],[DEVELOPMENT]],Data[],9,FALSE)</f>
        <v>0</v>
      </c>
      <c r="F320" s="50" t="str">
        <f ca="1">IFERROR(VLOOKUP(ExtComp[[#This Row],[DEVELOPMENT]],Data[],4,FALSE),"")</f>
        <v>2026+</v>
      </c>
      <c r="G320" s="50" t="str">
        <f ca="1">IF(ExtComp[[#This Row],[RAD/PACT]]="","",IF(ExtComp[[#This Row],[RAD/PACT]]&lt;=2025,"Yes",""))</f>
        <v/>
      </c>
      <c r="H320" s="51" t="str">
        <f ca="1">IF(VLOOKUP(ExtComp[[#This Row],[DEVELOPMENT]],Data[],11,FALSE)=0,"",DATEDIF(VLOOKUP(ExtComp[[#This Row],[DEVELOPMENT]],Data[],13,FALSE),TODAY(),"Y"))</f>
        <v/>
      </c>
      <c r="I320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20" s="47" t="e">
        <f ca="1">(ExtComp[[#This Row],['# to Replace]]*'Unit Cost Summary'!$B$6)*(1+((ExtComp[[#This Row],[est. Year]]-YEAR(TODAY()))*$J$2))</f>
        <v>#N/A</v>
      </c>
      <c r="K320" s="51" t="e">
        <f ca="1">SUM(INDEX(ExtComp['# to Replace],1):ExtComp[[#This Row],['# to Replace]])</f>
        <v>#N/A</v>
      </c>
      <c r="L320" s="51" t="e">
        <f ca="1">ROUNDDOWN(ExtComp[[#This Row],[Count]]/50,0)+$L$1</f>
        <v>#N/A</v>
      </c>
      <c r="M320" s="64" t="e">
        <f t="shared" ca="1" si="4"/>
        <v>#N/A</v>
      </c>
      <c r="N320" s="64" t="str">
        <f>IFERROR(VLOOKUP(ExtComp[[#This Row],[DEVELOPMENT]],Data[],22,FALSE),"")</f>
        <v/>
      </c>
      <c r="O320" s="51" t="str">
        <f>IFERROR(VLOOKUP(ExtComp[[#This Row],[DEVELOPMENT]],Data[],23,FALSE),"")</f>
        <v/>
      </c>
    </row>
    <row r="321" spans="1:15">
      <c r="A321" s="13" t="s">
        <v>67</v>
      </c>
      <c r="B321" s="1" t="str">
        <f>VLOOKUP(A321,Data[],2,FALSE)</f>
        <v>MANHATTAN</v>
      </c>
      <c r="C321" s="9" t="s">
        <v>68</v>
      </c>
      <c r="D321" s="9" t="str">
        <f>VLOOKUP(ExtComp[[#This Row],[DEVELOPMENT]],Data[],8,FALSE)</f>
        <v>Zone 2</v>
      </c>
      <c r="E321" s="9">
        <f>VLOOKUP(ExtComp[[#This Row],[DEVELOPMENT]],Data[],9,FALSE)</f>
        <v>4</v>
      </c>
      <c r="F321" s="9" t="str">
        <f ca="1">IFERROR(VLOOKUP(ExtComp[[#This Row],[DEVELOPMENT]],Data[],4,FALSE),"")</f>
        <v>2026+</v>
      </c>
      <c r="G321" s="9" t="str">
        <f ca="1">IF(ExtComp[[#This Row],[RAD/PACT]]="","",IF(ExtComp[[#This Row],[RAD/PACT]]&lt;=2025,"Yes",""))</f>
        <v/>
      </c>
      <c r="H321" s="1" t="str">
        <f ca="1">IF(VLOOKUP(ExtComp[[#This Row],[DEVELOPMENT]],Data[],11,FALSE)=0,"",DATEDIF(VLOOKUP(ExtComp[[#This Row],[DEVELOPMENT]],Data[],13,FALSE),TODAY(),"Y"))</f>
        <v/>
      </c>
      <c r="I321" s="1">
        <f ca="1">IF(ExtComp[[#This Row],[RAD/PACT]]="",VLOOKUP(ExtComp[[#This Row],[DEVELOPMENT]],Data[],11,FALSE),IF(ExtComp[[#This Row],[RAD/PACT by 2025]]="yes",0,VLOOKUP(ExtComp[[#This Row],[DEVELOPMENT]],Data[],11,FALSE)))</f>
        <v>0</v>
      </c>
      <c r="J321" s="47" t="e">
        <f ca="1">(ExtComp[[#This Row],['# to Replace]]*'Unit Cost Summary'!$B$6)*(1+((ExtComp[[#This Row],[est. Year]]-YEAR(TODAY()))*$J$2))</f>
        <v>#N/A</v>
      </c>
      <c r="K321" s="1" t="e">
        <f ca="1">SUM(INDEX(ExtComp['# to Replace],1):ExtComp[[#This Row],['# to Replace]])</f>
        <v>#N/A</v>
      </c>
      <c r="L321" s="1" t="e">
        <f ca="1">ROUNDDOWN(ExtComp[[#This Row],[Count]]/50,0)+$L$1</f>
        <v>#N/A</v>
      </c>
      <c r="M321" s="64" t="e">
        <f t="shared" ca="1" si="4"/>
        <v>#N/A</v>
      </c>
      <c r="N321" s="64" t="str">
        <f>IFERROR(VLOOKUP(ExtComp[[#This Row],[DEVELOPMENT]],Data[],22,FALSE),"")</f>
        <v/>
      </c>
      <c r="O321" s="51" t="str">
        <f>IFERROR(VLOOKUP(ExtComp[[#This Row],[DEVELOPMENT]],Data[],23,FALSE),"")</f>
        <v/>
      </c>
    </row>
    <row r="322" spans="1:15">
      <c r="A322" s="13" t="s">
        <v>293</v>
      </c>
      <c r="B322" s="9" t="str">
        <f>VLOOKUP(A322,Data[],2,FALSE)</f>
        <v>BRONX</v>
      </c>
      <c r="C322" s="9" t="s">
        <v>68</v>
      </c>
      <c r="D322" s="50">
        <f>VLOOKUP(ExtComp[[#This Row],[DEVELOPMENT]],Data[],8,FALSE)</f>
        <v>0</v>
      </c>
      <c r="E322" s="50">
        <f>VLOOKUP(ExtComp[[#This Row],[DEVELOPMENT]],Data[],9,FALSE)</f>
        <v>0</v>
      </c>
      <c r="F322" s="50" t="str">
        <f ca="1">IFERROR(VLOOKUP(ExtComp[[#This Row],[DEVELOPMENT]],Data[],4,FALSE),"")</f>
        <v>2022-2025</v>
      </c>
      <c r="G322" s="50" t="str">
        <f ca="1">IF(ExtComp[[#This Row],[RAD/PACT]]="","",IF(ExtComp[[#This Row],[RAD/PACT]]&lt;=2025,"Yes",""))</f>
        <v/>
      </c>
      <c r="H322" s="51" t="str">
        <f ca="1">IF(VLOOKUP(ExtComp[[#This Row],[DEVELOPMENT]],Data[],11,FALSE)=0,"",DATEDIF(VLOOKUP(ExtComp[[#This Row],[DEVELOPMENT]],Data[],13,FALSE),TODAY(),"Y"))</f>
        <v/>
      </c>
      <c r="I322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22" s="47" t="e">
        <f ca="1">(ExtComp[[#This Row],['# to Replace]]*'Unit Cost Summary'!$B$6)*(1+((ExtComp[[#This Row],[est. Year]]-YEAR(TODAY()))*$J$2))</f>
        <v>#N/A</v>
      </c>
      <c r="K322" s="51" t="e">
        <f ca="1">SUM(INDEX(ExtComp['# to Replace],1):ExtComp[[#This Row],['# to Replace]])</f>
        <v>#N/A</v>
      </c>
      <c r="L322" s="51" t="e">
        <f ca="1">ROUNDDOWN(ExtComp[[#This Row],[Count]]/50,0)+$L$1</f>
        <v>#N/A</v>
      </c>
      <c r="M322" s="64" t="e">
        <f t="shared" ca="1" si="4"/>
        <v>#N/A</v>
      </c>
      <c r="N322" s="64" t="str">
        <f>IFERROR(VLOOKUP(ExtComp[[#This Row],[DEVELOPMENT]],Data[],22,FALSE),"")</f>
        <v/>
      </c>
      <c r="O322" s="51" t="str">
        <f>IFERROR(VLOOKUP(ExtComp[[#This Row],[DEVELOPMENT]],Data[],23,FALSE),"")</f>
        <v/>
      </c>
    </row>
    <row r="323" spans="1:15">
      <c r="A323" s="13" t="s">
        <v>292</v>
      </c>
      <c r="B323" s="9" t="str">
        <f>VLOOKUP(A323,Data[],2,FALSE)</f>
        <v>BROOKLYN</v>
      </c>
      <c r="C323" s="9"/>
      <c r="D323" s="50">
        <f>VLOOKUP(ExtComp[[#This Row],[DEVELOPMENT]],Data[],8,FALSE)</f>
        <v>0</v>
      </c>
      <c r="E323" s="50">
        <f>VLOOKUP(ExtComp[[#This Row],[DEVELOPMENT]],Data[],9,FALSE)</f>
        <v>0</v>
      </c>
      <c r="F323" s="50" t="str">
        <f ca="1">IFERROR(VLOOKUP(ExtComp[[#This Row],[DEVELOPMENT]],Data[],4,FALSE),"")</f>
        <v>2020-2021</v>
      </c>
      <c r="G323" s="50" t="str">
        <f ca="1">IF(ExtComp[[#This Row],[RAD/PACT]]="","",IF(ExtComp[[#This Row],[RAD/PACT]]&lt;=2025,"Yes",""))</f>
        <v/>
      </c>
      <c r="H323" s="51" t="str">
        <f ca="1">IF(VLOOKUP(ExtComp[[#This Row],[DEVELOPMENT]],Data[],11,FALSE)=0,"",DATEDIF(VLOOKUP(ExtComp[[#This Row],[DEVELOPMENT]],Data[],13,FALSE),TODAY(),"Y"))</f>
        <v/>
      </c>
      <c r="I323" s="51">
        <f ca="1">IF(ExtComp[[#This Row],[RAD/PACT]]="",VLOOKUP(ExtComp[[#This Row],[DEVELOPMENT]],Data[],11,FALSE),IF(ExtComp[[#This Row],[RAD/PACT by 2025]]="yes",0,VLOOKUP(ExtComp[[#This Row],[DEVELOPMENT]],Data[],11,FALSE)))</f>
        <v>0</v>
      </c>
      <c r="J323" s="47" t="e">
        <f ca="1">(ExtComp[[#This Row],['# to Replace]]*'Unit Cost Summary'!$B$6)*(1+((ExtComp[[#This Row],[est. Year]]-YEAR(TODAY()))*$J$2))</f>
        <v>#N/A</v>
      </c>
      <c r="K323" s="51" t="e">
        <f ca="1">SUM(INDEX(ExtComp['# to Replace],1):ExtComp[[#This Row],['# to Replace]])</f>
        <v>#N/A</v>
      </c>
      <c r="L323" s="51" t="e">
        <f ca="1">ROUNDDOWN(ExtComp[[#This Row],[Count]]/50,0)+$L$1</f>
        <v>#N/A</v>
      </c>
      <c r="M323" s="64" t="e">
        <f t="shared" ca="1" si="4"/>
        <v>#N/A</v>
      </c>
      <c r="N323" s="64" t="str">
        <f>IFERROR(VLOOKUP(ExtComp[[#This Row],[DEVELOPMENT]],Data[],22,FALSE),"")</f>
        <v/>
      </c>
      <c r="O323" s="51" t="str">
        <f>IFERROR(VLOOKUP(ExtComp[[#This Row],[DEVELOPMENT]],Data[],23,FALSE),"")</f>
        <v/>
      </c>
    </row>
    <row r="324" spans="1:15">
      <c r="A324" s="48" t="s">
        <v>291</v>
      </c>
      <c r="B324" s="24" t="str">
        <f>VLOOKUP(A324,Data[],2,FALSE)</f>
        <v>BRONX</v>
      </c>
      <c r="C324" s="9" t="s">
        <v>68</v>
      </c>
      <c r="D324" s="52">
        <f>VLOOKUP(ExtComp[[#This Row],[DEVELOPMENT]],Data[],8,FALSE)</f>
        <v>0</v>
      </c>
      <c r="E324" s="52">
        <f>VLOOKUP(ExtComp[[#This Row],[DEVELOPMENT]],Data[],9,FALSE)</f>
        <v>0</v>
      </c>
      <c r="F324" s="52" t="str">
        <f ca="1">IFERROR(VLOOKUP(ExtComp[[#This Row],[DEVELOPMENT]],Data[],4,FALSE),"")</f>
        <v/>
      </c>
      <c r="G324" s="52" t="str">
        <f ca="1">IF(ExtComp[[#This Row],[RAD/PACT]]="","",IF(ExtComp[[#This Row],[RAD/PACT]]&lt;=2025,"Yes",""))</f>
        <v/>
      </c>
      <c r="H324" s="62" t="str">
        <f ca="1">IF(VLOOKUP(ExtComp[[#This Row],[DEVELOPMENT]],Data[],11,FALSE)=0,"",DATEDIF(VLOOKUP(ExtComp[[#This Row],[DEVELOPMENT]],Data[],13,FALSE),TODAY(),"Y"))</f>
        <v/>
      </c>
      <c r="I324" s="62">
        <f ca="1">IF(ExtComp[[#This Row],[RAD/PACT]]="",VLOOKUP(ExtComp[[#This Row],[DEVELOPMENT]],Data[],11,FALSE),IF(ExtComp[[#This Row],[RAD/PACT by 2025]]="yes",0,VLOOKUP(ExtComp[[#This Row],[DEVELOPMENT]],Data[],11,FALSE)))</f>
        <v>0</v>
      </c>
      <c r="J324" s="53" t="e">
        <f ca="1">(ExtComp[[#This Row],['# to Replace]]*'Unit Cost Summary'!$B$6)*(1+((ExtComp[[#This Row],[est. Year]]-YEAR(TODAY()))*$J$2))</f>
        <v>#N/A</v>
      </c>
      <c r="K324" s="62" t="e">
        <f ca="1">SUM(INDEX(ExtComp['# to Replace],1):ExtComp[[#This Row],['# to Replace]])</f>
        <v>#N/A</v>
      </c>
      <c r="L324" s="62" t="e">
        <f ca="1">ROUNDDOWN(ExtComp[[#This Row],[Count]]/50,0)+$L$1</f>
        <v>#N/A</v>
      </c>
      <c r="M324" s="68" t="e">
        <f t="shared" ref="M324" ca="1" si="5">IF(L324=L323,J324+M323,J324)</f>
        <v>#N/A</v>
      </c>
      <c r="N324" s="68" t="str">
        <f>IFERROR(VLOOKUP(ExtComp[[#This Row],[DEVELOPMENT]],Data[],22,FALSE),"")</f>
        <v/>
      </c>
      <c r="O324" s="62" t="str">
        <f>IFERROR(VLOOKUP(ExtComp[[#This Row],[DEVELOPMENT]],Data[],23,FALSE),"")</f>
        <v/>
      </c>
    </row>
  </sheetData>
  <conditionalFormatting sqref="A1:XFD1048576">
    <cfRule type="containsErrors" dxfId="185" priority="8">
      <formula>ISERROR(A1)</formula>
    </cfRule>
  </conditionalFormatting>
  <conditionalFormatting sqref="M1:M1048576">
    <cfRule type="expression" dxfId="184" priority="1">
      <formula>M1&gt;M2</formula>
    </cfRule>
  </conditionalFormatting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AC432"/>
  <sheetViews>
    <sheetView zoomScale="85" zoomScaleNormal="85" workbookViewId="0">
      <pane xSplit="1" ySplit="4" topLeftCell="B285" activePane="bottomRight" state="frozen"/>
      <selection pane="bottomRight" activeCell="A285" sqref="A285:XFD285"/>
      <selection pane="bottomLeft" activeCell="A5" sqref="A5"/>
      <selection pane="topRight" activeCell="B1" sqref="B1"/>
    </sheetView>
  </sheetViews>
  <sheetFormatPr defaultColWidth="8.7109375" defaultRowHeight="14.45"/>
  <cols>
    <col min="1" max="1" width="57" bestFit="1" customWidth="1"/>
    <col min="2" max="2" width="14.7109375" bestFit="1" customWidth="1"/>
    <col min="3" max="3" width="18.7109375" bestFit="1" customWidth="1"/>
    <col min="4" max="4" width="18.7109375" customWidth="1"/>
    <col min="5" max="5" width="7.42578125" bestFit="1" customWidth="1"/>
    <col min="6" max="6" width="24" bestFit="1" customWidth="1"/>
    <col min="7" max="7" width="10.7109375" customWidth="1"/>
    <col min="9" max="9" width="29.140625" bestFit="1" customWidth="1"/>
    <col min="10" max="10" width="16.7109375" bestFit="1" customWidth="1"/>
    <col min="11" max="11" width="16.7109375" customWidth="1"/>
    <col min="13" max="13" width="15" bestFit="1" customWidth="1"/>
    <col min="14" max="14" width="13.7109375" bestFit="1" customWidth="1"/>
    <col min="15" max="15" width="12.42578125" bestFit="1" customWidth="1"/>
    <col min="16" max="16" width="23.7109375" bestFit="1" customWidth="1"/>
    <col min="17" max="17" width="20" bestFit="1" customWidth="1"/>
    <col min="18" max="18" width="23.42578125" bestFit="1" customWidth="1"/>
    <col min="19" max="19" width="19.7109375" bestFit="1" customWidth="1"/>
    <col min="20" max="20" width="12.7109375" bestFit="1" customWidth="1"/>
    <col min="21" max="21" width="13.28515625" bestFit="1" customWidth="1"/>
    <col min="22" max="22" width="18.28515625" bestFit="1" customWidth="1"/>
    <col min="23" max="23" width="16.28515625" bestFit="1" customWidth="1"/>
    <col min="24" max="24" width="9.7109375" bestFit="1" customWidth="1"/>
    <col min="25" max="25" width="27.140625" style="5" bestFit="1" customWidth="1"/>
    <col min="26" max="26" width="45.140625" style="106" bestFit="1" customWidth="1"/>
    <col min="27" max="27" width="8.42578125" bestFit="1" customWidth="1"/>
    <col min="28" max="28" width="16.7109375" bestFit="1" customWidth="1"/>
    <col min="29" max="29" width="16.42578125" style="20" bestFit="1" customWidth="1"/>
    <col min="30" max="30" width="16.7109375" bestFit="1" customWidth="1"/>
    <col min="31" max="31" width="16.42578125" bestFit="1" customWidth="1"/>
  </cols>
  <sheetData>
    <row r="1" spans="1:29">
      <c r="W1" s="5">
        <f ca="1">SUM(Yards25[Estimate])</f>
        <v>26621683.925349005</v>
      </c>
      <c r="X1" s="106"/>
      <c r="Y1"/>
      <c r="Z1"/>
      <c r="AA1" s="20"/>
      <c r="AB1">
        <v>2022</v>
      </c>
      <c r="AC1"/>
    </row>
    <row r="2" spans="1:29">
      <c r="W2" s="5" t="s">
        <v>2285</v>
      </c>
      <c r="X2" s="106"/>
      <c r="Y2"/>
      <c r="Z2"/>
      <c r="AA2" s="20"/>
      <c r="AC2"/>
    </row>
    <row r="3" spans="1:29">
      <c r="W3" s="131">
        <v>3.5000000000000003E-2</v>
      </c>
      <c r="X3" s="106"/>
      <c r="Y3"/>
      <c r="Z3"/>
      <c r="AA3" s="20"/>
      <c r="AC3"/>
    </row>
    <row r="4" spans="1:29">
      <c r="A4" s="45" t="s">
        <v>7</v>
      </c>
      <c r="B4" s="46" t="s">
        <v>5</v>
      </c>
      <c r="C4" s="46" t="s">
        <v>11</v>
      </c>
      <c r="D4" s="46" t="s">
        <v>156</v>
      </c>
      <c r="E4" s="46" t="s">
        <v>8</v>
      </c>
      <c r="F4" s="46" t="s">
        <v>439</v>
      </c>
      <c r="G4" s="46" t="s">
        <v>2286</v>
      </c>
      <c r="H4" s="46" t="s">
        <v>2210</v>
      </c>
      <c r="I4" s="46" t="s">
        <v>2287</v>
      </c>
      <c r="J4" s="46" t="s">
        <v>175</v>
      </c>
      <c r="K4" s="46" t="s">
        <v>2288</v>
      </c>
      <c r="L4" s="46" t="s">
        <v>2218</v>
      </c>
      <c r="M4" s="46" t="s">
        <v>10</v>
      </c>
      <c r="N4" s="46" t="s">
        <v>2219</v>
      </c>
      <c r="O4" s="46" t="s">
        <v>2289</v>
      </c>
      <c r="P4" s="46" t="s">
        <v>456</v>
      </c>
      <c r="Q4" s="46" t="s">
        <v>457</v>
      </c>
      <c r="R4" s="46" t="s">
        <v>458</v>
      </c>
      <c r="S4" s="46" t="s">
        <v>459</v>
      </c>
      <c r="T4" s="46" t="s">
        <v>19</v>
      </c>
      <c r="U4" s="46" t="s">
        <v>2290</v>
      </c>
      <c r="V4" s="46" t="s">
        <v>2291</v>
      </c>
      <c r="W4" s="83" t="s">
        <v>2222</v>
      </c>
      <c r="X4" s="134" t="s">
        <v>2292</v>
      </c>
      <c r="Y4" s="83" t="s">
        <v>442</v>
      </c>
      <c r="Z4" s="46" t="s">
        <v>24</v>
      </c>
      <c r="AA4" s="133" t="s">
        <v>3</v>
      </c>
      <c r="AB4" s="46" t="s">
        <v>2293</v>
      </c>
      <c r="AC4" s="84" t="s">
        <v>2294</v>
      </c>
    </row>
    <row r="5" spans="1:29">
      <c r="A5" s="13" t="s">
        <v>26</v>
      </c>
      <c r="B5" s="51" t="str">
        <f>VLOOKUP(Yards25[[#This Row],[DEVELOPMENT]],Data[],2,FALSE)</f>
        <v>BROOKLYN</v>
      </c>
      <c r="C5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5" s="51" t="str">
        <f>VLOOKUP(Yards25[[#This Row],[DEVELOPMENT]],Data[],52,FALSE)</f>
        <v>MIXED FINANCE/LLC1</v>
      </c>
      <c r="E5" s="50" t="str">
        <f>VLOOKUP(Yards25[[#This Row],[DEVELOPMENT]],Data[],8,FALSE)</f>
        <v>Zone 1</v>
      </c>
      <c r="F5" s="51" t="str">
        <f>VLOOKUP(Yards25[[#This Row],[DEVELOPMENT]],all[[DEVELOPMENT]:[MRST Ext. Comp. Priority]],6,FALSE)</f>
        <v>B</v>
      </c>
      <c r="G5" s="51">
        <f>VLOOKUP(Yards25[[#This Row],[DEVELOPMENT]],all[[DEVELOPMENT]:[MRST Ext. Comp. Priority]],13,FALSE)</f>
        <v>3</v>
      </c>
      <c r="H5" s="50">
        <f>IF(VLOOKUP(Yards25[[#This Row],[DEVELOPMENT]],Data[],9,FALSE)=0,5,VLOOKUP(Yards25[[#This Row],[DEVELOPMENT]],Data[],9,FALSE))</f>
        <v>3</v>
      </c>
      <c r="I5" s="51">
        <f>VLOOKUP(Yards25[[#This Row],[DEVELOPMENT]],Data[],33,FALSE)</f>
        <v>2</v>
      </c>
      <c r="J5" s="51">
        <f>VLOOKUP(Yards25[[#This Row],[DEVELOPMENT]],Data[],28,FALSE)</f>
        <v>0</v>
      </c>
      <c r="K5" s="51"/>
      <c r="L5" s="50"/>
      <c r="M5" s="51" t="str">
        <f ca="1">IFERROR(VLOOKUP(Yards25[[#This Row],[DEVELOPMENT]],Data[],4,FALSE),"")</f>
        <v/>
      </c>
      <c r="N5" s="51" t="str">
        <f ca="1">IF(Yards25[[#This Row],[RAD/PACT]]="","",IF(OR(Yards25[[#This Row],[RAD/PACT]]="2022-2025",Yards25[[#This Row],[RAD/PACT]]=2019,Yards25[[#This Row],[RAD/PACT]]="2020-2021"),"Yes",""))</f>
        <v/>
      </c>
      <c r="O5" s="51">
        <f ca="1">IFERROR(VLOOKUP(Yards25[[#This Row],[DEVELOPMENT]],ExtComp[],8,FALSE),"")</f>
        <v>16</v>
      </c>
      <c r="P5" s="51">
        <v>2019</v>
      </c>
      <c r="Q5" s="51">
        <v>2020</v>
      </c>
      <c r="R5" s="51">
        <f>IF(ISBLANK(Yards25[[#This Row],[DSGN CALENDAR YEAR]]),"",Yards25[[#This Row],[DSGN CALENDAR YEAR]]+1)</f>
        <v>2020</v>
      </c>
      <c r="S5" s="51">
        <f>Yards25[[#This Row],[DSGN FISCAL YEAR]]+1</f>
        <v>2021</v>
      </c>
      <c r="T5" s="51" t="s">
        <v>401</v>
      </c>
      <c r="U5" s="128">
        <f>Yards25[[#This Row],[Estimate]]*0.1</f>
        <v>4008</v>
      </c>
      <c r="V5" s="47">
        <f>Yards25[[#This Row],[Estimate]]-Yards25[[#This Row],[Design Est.]]</f>
        <v>36072</v>
      </c>
      <c r="W5" s="132">
        <f>40080</f>
        <v>40080</v>
      </c>
      <c r="X5" s="142">
        <f>IF(ISNUMBER(SEARCH("LLC",Yards25[[#This Row],[PROGRAM]])),0,IF(Yards25[[#This Row],[RAD/PACT by 2025]]="yes",0,1))</f>
        <v>0</v>
      </c>
      <c r="Y5" s="1" t="s">
        <v>2295</v>
      </c>
      <c r="Z5" s="1"/>
      <c r="AA5" s="51">
        <f ca="1">COUNTIF($X$5:Yards25[[#This Row],['# yards]],"&gt;0")</f>
        <v>0</v>
      </c>
      <c r="AB5" s="1">
        <f>IF(ISBLANK(Yards25[[#This Row],[DSGN CALENDAR YEAR]]),ROUNDDOWN(Yards25[[#This Row],[Count]]/20,0)+$AB$1,Yards25[[#This Row],[DSGN CALENDAR YEAR]])</f>
        <v>2019</v>
      </c>
      <c r="AC5" s="16">
        <f>Yards25[[#This Row],[est. DSGN Year]]+1</f>
        <v>2020</v>
      </c>
    </row>
    <row r="6" spans="1:29" hidden="1">
      <c r="A6" s="13" t="s">
        <v>44</v>
      </c>
      <c r="B6" s="51" t="str">
        <f>VLOOKUP(Yards25[[#This Row],[DEVELOPMENT]],Data[],2,FALSE)</f>
        <v>MANHATTAN</v>
      </c>
      <c r="C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6" s="51" t="str">
        <f>VLOOKUP(Yards25[[#This Row],[DEVELOPMENT]],Data[],52,FALSE)</f>
        <v>FEDERAL</v>
      </c>
      <c r="E6" s="50" t="str">
        <f>VLOOKUP(Yards25[[#This Row],[DEVELOPMENT]],Data[],8,FALSE)</f>
        <v>Zone 1</v>
      </c>
      <c r="F6" s="51" t="str">
        <f>VLOOKUP(Yards25[[#This Row],[DEVELOPMENT]],all[[DEVELOPMENT]:[MRST Ext. Comp. Priority]],6,FALSE)</f>
        <v>C</v>
      </c>
      <c r="G6" s="51">
        <f>VLOOKUP(Yards25[[#This Row],[DEVELOPMENT]],all[[DEVELOPMENT]:[MRST Ext. Comp. Priority]],13,FALSE)</f>
        <v>3</v>
      </c>
      <c r="H6" s="50">
        <f>IF(VLOOKUP(Yards25[[#This Row],[DEVELOPMENT]],Data[],9,FALSE)=0,5,VLOOKUP(Yards25[[#This Row],[DEVELOPMENT]],Data[],9,FALSE))</f>
        <v>4</v>
      </c>
      <c r="I6" s="51">
        <f>VLOOKUP(Yards25[[#This Row],[DEVELOPMENT]],Data[],33,FALSE)</f>
        <v>4</v>
      </c>
      <c r="J6" s="51">
        <f>VLOOKUP(Yards25[[#This Row],[DEVELOPMENT]],Data[],28,FALSE)</f>
        <v>0</v>
      </c>
      <c r="K6" s="51"/>
      <c r="L6" s="50"/>
      <c r="M6" s="51" t="str">
        <f ca="1">IFERROR(VLOOKUP(Yards25[[#This Row],[DEVELOPMENT]],Data[],4,FALSE),"")</f>
        <v/>
      </c>
      <c r="N6" s="51" t="str">
        <f ca="1">IF(Yards25[[#This Row],[RAD/PACT]]="","",IF(OR(Yards25[[#This Row],[RAD/PACT]]="2022-2025",Yards25[[#This Row],[RAD/PACT]]=2019,Yards25[[#This Row],[RAD/PACT]]="2020-2021"),"Yes",""))</f>
        <v/>
      </c>
      <c r="O6" s="51">
        <f ca="1">IFERROR(VLOOKUP(Yards25[[#This Row],[DEVELOPMENT]],ExtComp[],8,FALSE),"")</f>
        <v>16</v>
      </c>
      <c r="P6" s="51">
        <v>2019</v>
      </c>
      <c r="Q6" s="51">
        <v>2020</v>
      </c>
      <c r="R6" s="51">
        <f>IF(ISBLANK(Yards25[[#This Row],[DSGN CALENDAR YEAR]]),"",Yards25[[#This Row],[DSGN CALENDAR YEAR]]+1)</f>
        <v>2020</v>
      </c>
      <c r="S6" s="51">
        <f>Yards25[[#This Row],[DSGN FISCAL YEAR]]+1</f>
        <v>2021</v>
      </c>
      <c r="T6" s="51" t="s">
        <v>401</v>
      </c>
      <c r="U6" s="128">
        <f>Yards25[[#This Row],[Estimate]]*0.1</f>
        <v>4332</v>
      </c>
      <c r="V6" s="47">
        <f>Yards25[[#This Row],[Estimate]]-Yards25[[#This Row],[Design Est.]]</f>
        <v>38988</v>
      </c>
      <c r="W6" s="132">
        <f>43320</f>
        <v>43320</v>
      </c>
      <c r="X6" s="142">
        <v>0</v>
      </c>
      <c r="Y6" s="1" t="s">
        <v>2295</v>
      </c>
      <c r="Z6" s="1"/>
      <c r="AA6" s="51">
        <f ca="1">COUNTIF($X$5:Yards25[[#This Row],['# yards]],"&gt;0")</f>
        <v>0</v>
      </c>
      <c r="AB6" s="1">
        <f>IF(ISBLANK(Yards25[[#This Row],[DSGN CALENDAR YEAR]]),ROUNDDOWN(Yards25[[#This Row],[Count]]/20,0)+$AB$1,Yards25[[#This Row],[DSGN CALENDAR YEAR]])</f>
        <v>2019</v>
      </c>
      <c r="AC6" s="16">
        <f>Yards25[[#This Row],[est. DSGN Year]]+1</f>
        <v>2020</v>
      </c>
    </row>
    <row r="7" spans="1:29" hidden="1">
      <c r="A7" s="13" t="s">
        <v>31</v>
      </c>
      <c r="B7" s="51" t="str">
        <f>VLOOKUP(Yards25[[#This Row],[DEVELOPMENT]],Data[],2,FALSE)</f>
        <v>BRONX</v>
      </c>
      <c r="C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7" s="51" t="str">
        <f>VLOOKUP(Yards25[[#This Row],[DEVELOPMENT]],Data[],52,FALSE)</f>
        <v>FEDERAL</v>
      </c>
      <c r="E7" s="50" t="str">
        <f>VLOOKUP(Yards25[[#This Row],[DEVELOPMENT]],Data[],8,FALSE)</f>
        <v>Zone 1</v>
      </c>
      <c r="F7" s="51" t="str">
        <f>VLOOKUP(Yards25[[#This Row],[DEVELOPMENT]],all[[DEVELOPMENT]:[MRST Ext. Comp. Priority]],6,FALSE)</f>
        <v>C</v>
      </c>
      <c r="G7" s="51" t="str">
        <f>VLOOKUP(Yards25[[#This Row],[DEVELOPMENT]],all[[DEVELOPMENT]:[MRST Ext. Comp. Priority]],13,FALSE)</f>
        <v>None</v>
      </c>
      <c r="H7" s="50">
        <f>IF(VLOOKUP(Yards25[[#This Row],[DEVELOPMENT]],Data[],9,FALSE)=0,5,VLOOKUP(Yards25[[#This Row],[DEVELOPMENT]],Data[],9,FALSE))</f>
        <v>3</v>
      </c>
      <c r="I7" s="51">
        <f>VLOOKUP(Yards25[[#This Row],[DEVELOPMENT]],Data[],33,FALSE)</f>
        <v>4</v>
      </c>
      <c r="J7" s="51">
        <f>VLOOKUP(Yards25[[#This Row],[DEVELOPMENT]],Data[],28,FALSE)</f>
        <v>0</v>
      </c>
      <c r="K7" s="51"/>
      <c r="L7" s="50"/>
      <c r="M7" s="51" t="str">
        <f ca="1">IFERROR(VLOOKUP(Yards25[[#This Row],[DEVELOPMENT]],Data[],4,FALSE),"")</f>
        <v/>
      </c>
      <c r="N7" s="51" t="str">
        <f ca="1">IF(Yards25[[#This Row],[RAD/PACT]]="","",IF(OR(Yards25[[#This Row],[RAD/PACT]]="2022-2025",Yards25[[#This Row],[RAD/PACT]]=2019,Yards25[[#This Row],[RAD/PACT]]="2020-2021"),"Yes",""))</f>
        <v/>
      </c>
      <c r="O7" s="51">
        <f ca="1">IFERROR(VLOOKUP(Yards25[[#This Row],[DEVELOPMENT]],ExtComp[],8,FALSE),"")</f>
        <v>0</v>
      </c>
      <c r="P7" s="51">
        <v>2019</v>
      </c>
      <c r="Q7" s="51">
        <v>2020</v>
      </c>
      <c r="R7" s="51">
        <f>IF(ISBLANK(Yards25[[#This Row],[DSGN CALENDAR YEAR]]),"",Yards25[[#This Row],[DSGN CALENDAR YEAR]]+1)</f>
        <v>2020</v>
      </c>
      <c r="S7" s="51">
        <f>Yards25[[#This Row],[DSGN FISCAL YEAR]]+1</f>
        <v>2021</v>
      </c>
      <c r="T7" s="51" t="s">
        <v>401</v>
      </c>
      <c r="U7" s="128">
        <f ca="1">Yards25[[#This Row],[Estimate]]*0.1</f>
        <v>0</v>
      </c>
      <c r="V7" s="47">
        <f ca="1">Yards25[[#This Row],[Estimate]]-Yards25[[#This Row],[Design Est.]]</f>
        <v>0</v>
      </c>
      <c r="W7" s="85">
        <f ca="1">(Yards25[[#This Row],['# yards]]*INDEX(UnitCosts[],MATCH(Yards25[[#This Row],[WORK TYPE]],UnitCosts[Work Type],0),2))*(1+((Yards25[[#This Row],[est. CONS Year]]-YEAR(TODAY()))*$W$3))</f>
        <v>0</v>
      </c>
      <c r="X7" s="142">
        <v>0</v>
      </c>
      <c r="Y7" s="1" t="s">
        <v>2295</v>
      </c>
      <c r="Z7" s="1"/>
      <c r="AA7" s="51">
        <f ca="1">COUNTIF($X$5:Yards25[[#This Row],['# yards]],"&gt;0")</f>
        <v>0</v>
      </c>
      <c r="AB7" s="1">
        <f>IF(ISBLANK(Yards25[[#This Row],[DSGN CALENDAR YEAR]]),ROUNDDOWN(Yards25[[#This Row],[Count]]/20,0)+$AB$1,Yards25[[#This Row],[DSGN CALENDAR YEAR]])</f>
        <v>2019</v>
      </c>
      <c r="AC7" s="16">
        <f>Yards25[[#This Row],[est. DSGN Year]]+1</f>
        <v>2020</v>
      </c>
    </row>
    <row r="8" spans="1:29" hidden="1">
      <c r="A8" s="13" t="s">
        <v>58</v>
      </c>
      <c r="B8" s="51" t="str">
        <f>VLOOKUP(Yards25[[#This Row],[DEVELOPMENT]],Data[],2,FALSE)</f>
        <v>MANHATTAN</v>
      </c>
      <c r="C8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8" s="51" t="str">
        <f>VLOOKUP(Yards25[[#This Row],[DEVELOPMENT]],Data[],52,FALSE)</f>
        <v>FEDERAL</v>
      </c>
      <c r="E8" s="50" t="str">
        <f>VLOOKUP(Yards25[[#This Row],[DEVELOPMENT]],Data[],8,FALSE)</f>
        <v>Zone 1</v>
      </c>
      <c r="F8" s="51" t="str">
        <f>VLOOKUP(Yards25[[#This Row],[DEVELOPMENT]],all[[DEVELOPMENT]:[MRST Ext. Comp. Priority]],6,FALSE)</f>
        <v>None</v>
      </c>
      <c r="G8" s="51">
        <f>VLOOKUP(Yards25[[#This Row],[DEVELOPMENT]],all[[DEVELOPMENT]:[MRST Ext. Comp. Priority]],13,FALSE)</f>
        <v>2</v>
      </c>
      <c r="H8" s="50">
        <f>IF(VLOOKUP(Yards25[[#This Row],[DEVELOPMENT]],Data[],9,FALSE)=0,5,VLOOKUP(Yards25[[#This Row],[DEVELOPMENT]],Data[],9,FALSE))</f>
        <v>4</v>
      </c>
      <c r="I8" s="51">
        <f>VLOOKUP(Yards25[[#This Row],[DEVELOPMENT]],Data[],33,FALSE)</f>
        <v>4</v>
      </c>
      <c r="J8" s="51">
        <f>VLOOKUP(Yards25[[#This Row],[DEVELOPMENT]],Data[],28,FALSE)</f>
        <v>0</v>
      </c>
      <c r="K8" s="51"/>
      <c r="L8" s="50"/>
      <c r="M8" s="51" t="str">
        <f ca="1">IFERROR(VLOOKUP(Yards25[[#This Row],[DEVELOPMENT]],Data[],4,FALSE),"")</f>
        <v/>
      </c>
      <c r="N8" s="51" t="str">
        <f ca="1">IF(Yards25[[#This Row],[RAD/PACT]]="","",IF(OR(Yards25[[#This Row],[RAD/PACT]]="2022-2025",Yards25[[#This Row],[RAD/PACT]]=2019,Yards25[[#This Row],[RAD/PACT]]="2020-2021"),"Yes",""))</f>
        <v/>
      </c>
      <c r="O8" s="51">
        <f ca="1">IFERROR(VLOOKUP(Yards25[[#This Row],[DEVELOPMENT]],ExtComp[],8,FALSE),"")</f>
        <v>18</v>
      </c>
      <c r="P8" s="51">
        <v>2019</v>
      </c>
      <c r="Q8" s="51">
        <v>2020</v>
      </c>
      <c r="R8" s="51">
        <f>IF(ISBLANK(Yards25[[#This Row],[DSGN CALENDAR YEAR]]),"",Yards25[[#This Row],[DSGN CALENDAR YEAR]]+1)</f>
        <v>2020</v>
      </c>
      <c r="S8" s="51">
        <f>Yards25[[#This Row],[DSGN FISCAL YEAR]]+1</f>
        <v>2021</v>
      </c>
      <c r="T8" s="51" t="s">
        <v>401</v>
      </c>
      <c r="U8" s="128">
        <f ca="1">Yards25[[#This Row],[Estimate]]*0.1</f>
        <v>0</v>
      </c>
      <c r="V8" s="47">
        <f ca="1">Yards25[[#This Row],[Estimate]]-Yards25[[#This Row],[Design Est.]]</f>
        <v>0</v>
      </c>
      <c r="W8" s="85">
        <f ca="1">(Yards25[[#This Row],['# yards]]*INDEX(UnitCosts[],MATCH(Yards25[[#This Row],[WORK TYPE]],UnitCosts[Work Type],0),2))*(1+((Yards25[[#This Row],[est. CONS Year]]-YEAR(TODAY()))*$W$3))</f>
        <v>0</v>
      </c>
      <c r="X8" s="142">
        <v>0</v>
      </c>
      <c r="Y8" s="1" t="s">
        <v>2295</v>
      </c>
      <c r="Z8" s="1"/>
      <c r="AA8" s="51">
        <f ca="1">COUNTIF($X$5:Yards25[[#This Row],['# yards]],"&gt;0")</f>
        <v>0</v>
      </c>
      <c r="AB8" s="1">
        <f>IF(ISBLANK(Yards25[[#This Row],[DSGN CALENDAR YEAR]]),ROUNDDOWN(Yards25[[#This Row],[Count]]/20,0)+$AB$1,Yards25[[#This Row],[DSGN CALENDAR YEAR]])</f>
        <v>2019</v>
      </c>
      <c r="AC8" s="16">
        <f>Yards25[[#This Row],[est. DSGN Year]]+1</f>
        <v>2020</v>
      </c>
    </row>
    <row r="9" spans="1:29" hidden="1">
      <c r="A9" s="13" t="s">
        <v>66</v>
      </c>
      <c r="B9" s="51" t="str">
        <f>VLOOKUP(Yards25[[#This Row],[DEVELOPMENT]],Data[],2,FALSE)</f>
        <v>MANHATTAN</v>
      </c>
      <c r="C9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9" s="51" t="str">
        <f>VLOOKUP(Yards25[[#This Row],[DEVELOPMENT]],Data[],52,FALSE)</f>
        <v>FEDERAL</v>
      </c>
      <c r="E9" s="50" t="str">
        <f>VLOOKUP(Yards25[[#This Row],[DEVELOPMENT]],Data[],8,FALSE)</f>
        <v>Zone 1</v>
      </c>
      <c r="F9" s="51" t="str">
        <f>VLOOKUP(Yards25[[#This Row],[DEVELOPMENT]],all[[DEVELOPMENT]:[MRST Ext. Comp. Priority]],6,FALSE)</f>
        <v>None</v>
      </c>
      <c r="G9" s="51">
        <f>VLOOKUP(Yards25[[#This Row],[DEVELOPMENT]],all[[DEVELOPMENT]:[MRST Ext. Comp. Priority]],13,FALSE)</f>
        <v>2</v>
      </c>
      <c r="H9" s="50">
        <f>IF(VLOOKUP(Yards25[[#This Row],[DEVELOPMENT]],Data[],9,FALSE)=0,5,VLOOKUP(Yards25[[#This Row],[DEVELOPMENT]],Data[],9,FALSE))</f>
        <v>4</v>
      </c>
      <c r="I9" s="51">
        <f>VLOOKUP(Yards25[[#This Row],[DEVELOPMENT]],Data[],33,FALSE)</f>
        <v>3</v>
      </c>
      <c r="J9" s="51">
        <f>VLOOKUP(Yards25[[#This Row],[DEVELOPMENT]],Data[],28,FALSE)</f>
        <v>0</v>
      </c>
      <c r="K9" s="51"/>
      <c r="L9" s="50"/>
      <c r="M9" s="51" t="str">
        <f ca="1">IFERROR(VLOOKUP(Yards25[[#This Row],[DEVELOPMENT]],Data[],4,FALSE),"")</f>
        <v/>
      </c>
      <c r="N9" s="51" t="str">
        <f ca="1">IF(Yards25[[#This Row],[RAD/PACT]]="","",IF(OR(Yards25[[#This Row],[RAD/PACT]]="2022-2025",Yards25[[#This Row],[RAD/PACT]]=2019,Yards25[[#This Row],[RAD/PACT]]="2020-2021"),"Yes",""))</f>
        <v/>
      </c>
      <c r="O9" s="51">
        <f ca="1">IFERROR(VLOOKUP(Yards25[[#This Row],[DEVELOPMENT]],ExtComp[],8,FALSE),"")</f>
        <v>17</v>
      </c>
      <c r="P9" s="51">
        <v>2019</v>
      </c>
      <c r="Q9" s="51">
        <v>2020</v>
      </c>
      <c r="R9" s="51">
        <f>IF(ISBLANK(Yards25[[#This Row],[DSGN CALENDAR YEAR]]),"",Yards25[[#This Row],[DSGN CALENDAR YEAR]]+1)</f>
        <v>2020</v>
      </c>
      <c r="S9" s="51">
        <f>Yards25[[#This Row],[DSGN FISCAL YEAR]]+1</f>
        <v>2021</v>
      </c>
      <c r="T9" s="51" t="s">
        <v>401</v>
      </c>
      <c r="U9" s="128">
        <f ca="1">Yards25[[#This Row],[Estimate]]*0.1</f>
        <v>0</v>
      </c>
      <c r="V9" s="47">
        <f ca="1">Yards25[[#This Row],[Estimate]]-Yards25[[#This Row],[Design Est.]]</f>
        <v>0</v>
      </c>
      <c r="W9" s="85">
        <f ca="1">(Yards25[[#This Row],['# yards]]*INDEX(UnitCosts[],MATCH(Yards25[[#This Row],[WORK TYPE]],UnitCosts[Work Type],0),2))*(1+((Yards25[[#This Row],[est. CONS Year]]-YEAR(TODAY()))*$W$3))</f>
        <v>0</v>
      </c>
      <c r="X9" s="142">
        <v>0</v>
      </c>
      <c r="Y9" s="1" t="s">
        <v>2295</v>
      </c>
      <c r="Z9" s="1"/>
      <c r="AA9" s="51">
        <f ca="1">COUNTIF($X$5:Yards25[[#This Row],['# yards]],"&gt;0")</f>
        <v>0</v>
      </c>
      <c r="AB9" s="1">
        <f>IF(ISBLANK(Yards25[[#This Row],[DSGN CALENDAR YEAR]]),ROUNDDOWN(Yards25[[#This Row],[Count]]/20,0)+$AB$1,Yards25[[#This Row],[DSGN CALENDAR YEAR]])</f>
        <v>2019</v>
      </c>
      <c r="AC9" s="16">
        <f>Yards25[[#This Row],[est. DSGN Year]]+1</f>
        <v>2020</v>
      </c>
    </row>
    <row r="10" spans="1:29" hidden="1">
      <c r="A10" s="13" t="s">
        <v>39</v>
      </c>
      <c r="B10" s="51" t="str">
        <f>VLOOKUP(Yards25[[#This Row],[DEVELOPMENT]],Data[],2,FALSE)</f>
        <v>BRONX</v>
      </c>
      <c r="C10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0" s="51" t="str">
        <f>VLOOKUP(Yards25[[#This Row],[DEVELOPMENT]],Data[],52,FALSE)</f>
        <v>FEDERAL</v>
      </c>
      <c r="E10" s="50" t="str">
        <f>VLOOKUP(Yards25[[#This Row],[DEVELOPMENT]],Data[],8,FALSE)</f>
        <v>Zone 1</v>
      </c>
      <c r="F10" s="51" t="str">
        <f>VLOOKUP(Yards25[[#This Row],[DEVELOPMENT]],all[[DEVELOPMENT]:[MRST Ext. Comp. Priority]],6,FALSE)</f>
        <v>A</v>
      </c>
      <c r="G10" s="51">
        <f>VLOOKUP(Yards25[[#This Row],[DEVELOPMENT]],all[[DEVELOPMENT]:[MRST Ext. Comp. Priority]],13,FALSE)</f>
        <v>1</v>
      </c>
      <c r="H10" s="50">
        <f>IF(VLOOKUP(Yards25[[#This Row],[DEVELOPMENT]],Data[],9,FALSE)=0,5,VLOOKUP(Yards25[[#This Row],[DEVELOPMENT]],Data[],9,FALSE))</f>
        <v>4</v>
      </c>
      <c r="I10" s="51">
        <f>VLOOKUP(Yards25[[#This Row],[DEVELOPMENT]],Data[],33,FALSE)</f>
        <v>2</v>
      </c>
      <c r="J10" s="51">
        <f>VLOOKUP(Yards25[[#This Row],[DEVELOPMENT]],Data[],28,FALSE)</f>
        <v>0</v>
      </c>
      <c r="K10" s="51"/>
      <c r="L10" s="50">
        <v>1</v>
      </c>
      <c r="M10" s="51" t="str">
        <f ca="1">IFERROR(VLOOKUP(Yards25[[#This Row],[DEVELOPMENT]],Data[],4,FALSE),"")</f>
        <v>2022-2025</v>
      </c>
      <c r="N10" s="51" t="str">
        <f ca="1">IF(Yards25[[#This Row],[RAD/PACT]]="","",IF(OR(Yards25[[#This Row],[RAD/PACT]]="2022-2025",Yards25[[#This Row],[RAD/PACT]]=2019,Yards25[[#This Row],[RAD/PACT]]="2020-2021"),"Yes",""))</f>
        <v>Yes</v>
      </c>
      <c r="O10" s="1">
        <f ca="1">IFERROR(VLOOKUP(Yards25[[#This Row],[DEVELOPMENT]],ExtComp[],8,FALSE),"")</f>
        <v>19</v>
      </c>
      <c r="P10" s="51">
        <v>2020</v>
      </c>
      <c r="Q10" s="1"/>
      <c r="R10" s="1">
        <f>IF(ISBLANK(Yards25[[#This Row],[DSGN CALENDAR YEAR]]),"",Yards25[[#This Row],[DSGN CALENDAR YEAR]]+1)</f>
        <v>2021</v>
      </c>
      <c r="S10" s="51" t="str">
        <f>IF(ISBLANK(Yards25[[#This Row],[DSGN FISCAL YEAR]]),"",Yards25[[#This Row],[DSGN FISCAL YEAR]]+1)</f>
        <v/>
      </c>
      <c r="T10" s="1"/>
      <c r="U10" s="128">
        <f ca="1">Yards25[[#This Row],[Estimate]]*0.1</f>
        <v>0</v>
      </c>
      <c r="V10" s="47">
        <f ca="1">Yards25[[#This Row],[Estimate]]-Yards25[[#This Row],[Design Est.]]</f>
        <v>0</v>
      </c>
      <c r="W10" s="132">
        <f ca="1">(Yards25[[#This Row],['# yards]]*INDEX(UnitCosts[],MATCH(Yards25[[#This Row],[WORK TYPE]],UnitCosts[Work Type],0),2))*(1+((Yards25[[#This Row],[est. CONS Year]]-YEAR(TODAY()))*$W$3))</f>
        <v>0</v>
      </c>
      <c r="X10" s="142">
        <f>IF(ISNUMBER(SEARCH("LLC",Yards25[[#This Row],[PROGRAM]])),IF(Yards25[[#This Row],[RAD/PACT by 2025]]="yes",0,1),0)</f>
        <v>0</v>
      </c>
      <c r="Y10" s="1"/>
      <c r="Z10" s="1" t="s">
        <v>2297</v>
      </c>
      <c r="AA10" s="51">
        <f ca="1">COUNTIF($X$5:Yards25[[#This Row],['# yards]],"&gt;0")</f>
        <v>0</v>
      </c>
      <c r="AB10" s="1">
        <f>IF(ISBLANK(Yards25[[#This Row],[DSGN CALENDAR YEAR]]),ROUNDDOWN(Yards25[[#This Row],[Count]]/20,0)+$AB$1,Yards25[[#This Row],[DSGN CALENDAR YEAR]])</f>
        <v>2020</v>
      </c>
      <c r="AC10" s="16">
        <f>Yards25[[#This Row],[est. DSGN Year]]+1</f>
        <v>2021</v>
      </c>
    </row>
    <row r="11" spans="1:29" hidden="1">
      <c r="A11" s="13" t="s">
        <v>55</v>
      </c>
      <c r="B11" s="51" t="str">
        <f>VLOOKUP(Yards25[[#This Row],[DEVELOPMENT]],Data[],2,FALSE)</f>
        <v>MANHATTAN</v>
      </c>
      <c r="C11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1" s="51" t="str">
        <f>VLOOKUP(Yards25[[#This Row],[DEVELOPMENT]],Data[],52,FALSE)</f>
        <v>FEDERAL</v>
      </c>
      <c r="E11" s="50" t="str">
        <f>VLOOKUP(Yards25[[#This Row],[DEVELOPMENT]],Data[],8,FALSE)</f>
        <v>Zone 1</v>
      </c>
      <c r="F11" s="51" t="str">
        <f>VLOOKUP(Yards25[[#This Row],[DEVELOPMENT]],all[[DEVELOPMENT]:[MRST Ext. Comp. Priority]],6,FALSE)</f>
        <v>A</v>
      </c>
      <c r="G11" s="51">
        <f>VLOOKUP(Yards25[[#This Row],[DEVELOPMENT]],all[[DEVELOPMENT]:[MRST Ext. Comp. Priority]],13,FALSE)</f>
        <v>1</v>
      </c>
      <c r="H11" s="50">
        <f>IF(VLOOKUP(Yards25[[#This Row],[DEVELOPMENT]],Data[],9,FALSE)=0,5,VLOOKUP(Yards25[[#This Row],[DEVELOPMENT]],Data[],9,FALSE))</f>
        <v>4</v>
      </c>
      <c r="I11" s="51">
        <f>VLOOKUP(Yards25[[#This Row],[DEVELOPMENT]],Data[],33,FALSE)</f>
        <v>2</v>
      </c>
      <c r="J11" s="51">
        <f>VLOOKUP(Yards25[[#This Row],[DEVELOPMENT]],Data[],28,FALSE)</f>
        <v>0</v>
      </c>
      <c r="K11" s="51"/>
      <c r="L11" s="50">
        <v>1</v>
      </c>
      <c r="M11" s="51" t="str">
        <f ca="1">IFERROR(VLOOKUP(Yards25[[#This Row],[DEVELOPMENT]],Data[],4,FALSE),"")</f>
        <v/>
      </c>
      <c r="N11" s="51" t="str">
        <f ca="1">IF(Yards25[[#This Row],[RAD/PACT]]="","",IF(OR(Yards25[[#This Row],[RAD/PACT]]="2022-2025",Yards25[[#This Row],[RAD/PACT]]=2019,Yards25[[#This Row],[RAD/PACT]]="2020-2021"),"Yes",""))</f>
        <v/>
      </c>
      <c r="O11" s="1">
        <f ca="1">IFERROR(VLOOKUP(Yards25[[#This Row],[DEVELOPMENT]],ExtComp[],8,FALSE),"")</f>
        <v>0</v>
      </c>
      <c r="P11" s="51">
        <v>2020</v>
      </c>
      <c r="Q11" s="1"/>
      <c r="R11" s="1">
        <f>IF(ISBLANK(Yards25[[#This Row],[DSGN CALENDAR YEAR]]),"",Yards25[[#This Row],[DSGN CALENDAR YEAR]]+1)</f>
        <v>2021</v>
      </c>
      <c r="S11" s="51" t="str">
        <f>IF(ISBLANK(Yards25[[#This Row],[DSGN FISCAL YEAR]]),"",Yards25[[#This Row],[DSGN FISCAL YEAR]]+1)</f>
        <v/>
      </c>
      <c r="T11" s="1"/>
      <c r="U11" s="128">
        <f ca="1">Yards25[[#This Row],[Estimate]]*0.1</f>
        <v>0</v>
      </c>
      <c r="V11" s="47">
        <f ca="1">Yards25[[#This Row],[Estimate]]-Yards25[[#This Row],[Design Est.]]</f>
        <v>0</v>
      </c>
      <c r="W11" s="85">
        <f ca="1">(Yards25[[#This Row],['# yards]]*INDEX(UnitCosts[],MATCH(Yards25[[#This Row],[WORK TYPE]],UnitCosts[Work Type],0),2))*(1+((Yards25[[#This Row],[est. CONS Year]]-YEAR(TODAY()))*$W$3))</f>
        <v>0</v>
      </c>
      <c r="X11" s="142">
        <f>IF(ISNUMBER(SEARCH("LLC",Yards25[[#This Row],[PROGRAM]])),IF(Yards25[[#This Row],[RAD/PACT by 2025]]="yes",0,1),0)</f>
        <v>0</v>
      </c>
      <c r="Y11" s="1"/>
      <c r="Z11" s="1"/>
      <c r="AA11" s="51">
        <f ca="1">COUNTIF($X$5:Yards25[[#This Row],['# yards]],"&gt;0")</f>
        <v>0</v>
      </c>
      <c r="AB11" s="1">
        <f>IF(ISBLANK(Yards25[[#This Row],[DSGN CALENDAR YEAR]]),ROUNDDOWN(Yards25[[#This Row],[Count]]/20,0)+$AB$1,Yards25[[#This Row],[DSGN CALENDAR YEAR]])</f>
        <v>2020</v>
      </c>
      <c r="AC11" s="16">
        <f>Yards25[[#This Row],[est. DSGN Year]]+1</f>
        <v>2021</v>
      </c>
    </row>
    <row r="12" spans="1:29" hidden="1">
      <c r="A12" s="13" t="s">
        <v>140</v>
      </c>
      <c r="B12" s="51" t="str">
        <f>VLOOKUP(Yards25[[#This Row],[DEVELOPMENT]],Data[],2,FALSE)</f>
        <v>BRONX</v>
      </c>
      <c r="C1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2" s="51" t="str">
        <f>VLOOKUP(Yards25[[#This Row],[DEVELOPMENT]],Data[],52,FALSE)</f>
        <v>FEDERAL</v>
      </c>
      <c r="E12" s="50" t="str">
        <f>VLOOKUP(Yards25[[#This Row],[DEVELOPMENT]],Data[],8,FALSE)</f>
        <v>Zone 1</v>
      </c>
      <c r="F12" s="51" t="str">
        <f>VLOOKUP(Yards25[[#This Row],[DEVELOPMENT]],all[[DEVELOPMENT]:[MRST Ext. Comp. Priority]],6,FALSE)</f>
        <v>A</v>
      </c>
      <c r="G12" s="51">
        <f>VLOOKUP(Yards25[[#This Row],[DEVELOPMENT]],all[[DEVELOPMENT]:[MRST Ext. Comp. Priority]],13,FALSE)</f>
        <v>3</v>
      </c>
      <c r="H12" s="50">
        <f>IF(VLOOKUP(Yards25[[#This Row],[DEVELOPMENT]],Data[],9,FALSE)=0,5,VLOOKUP(Yards25[[#This Row],[DEVELOPMENT]],Data[],9,FALSE))</f>
        <v>2</v>
      </c>
      <c r="I12" s="51">
        <f>VLOOKUP(Yards25[[#This Row],[DEVELOPMENT]],Data[],33,FALSE)</f>
        <v>2</v>
      </c>
      <c r="J12" s="51">
        <f>VLOOKUP(Yards25[[#This Row],[DEVELOPMENT]],Data[],28,FALSE)</f>
        <v>0</v>
      </c>
      <c r="K12" s="51"/>
      <c r="L12" s="50"/>
      <c r="M12" s="51" t="str">
        <f ca="1">IFERROR(VLOOKUP(Yards25[[#This Row],[DEVELOPMENT]],Data[],4,FALSE),"")</f>
        <v/>
      </c>
      <c r="N12" s="51" t="str">
        <f ca="1">IF(Yards25[[#This Row],[RAD/PACT]]="","",IF(OR(Yards25[[#This Row],[RAD/PACT]]="2022-2025",Yards25[[#This Row],[RAD/PACT]]=2019,Yards25[[#This Row],[RAD/PACT]]="2020-2021"),"Yes",""))</f>
        <v/>
      </c>
      <c r="O12" s="51" t="str">
        <f ca="1">IFERROR(VLOOKUP(Yards25[[#This Row],[DEVELOPMENT]],ExtComp[],8,FALSE),"")</f>
        <v/>
      </c>
      <c r="P12" s="51">
        <v>2020</v>
      </c>
      <c r="Q12" s="51"/>
      <c r="R12" s="51">
        <f>IF(ISBLANK(Yards25[[#This Row],[DSGN CALENDAR YEAR]]),"",Yards25[[#This Row],[DSGN CALENDAR YEAR]]+1)</f>
        <v>2021</v>
      </c>
      <c r="S12" s="51" t="str">
        <f>IF(ISBLANK(Yards25[[#This Row],[DSGN FISCAL YEAR]]),"",Yards25[[#This Row],[DSGN FISCAL YEAR]]+1)</f>
        <v/>
      </c>
      <c r="T12" s="51"/>
      <c r="U12" s="128">
        <f ca="1">Yards25[[#This Row],[Estimate]]*0.1</f>
        <v>0</v>
      </c>
      <c r="V12" s="47">
        <f ca="1">Yards25[[#This Row],[Estimate]]-Yards25[[#This Row],[Design Est.]]</f>
        <v>0</v>
      </c>
      <c r="W12" s="85">
        <f ca="1">(Yards25[[#This Row],['# yards]]*INDEX(UnitCosts[],MATCH(Yards25[[#This Row],[WORK TYPE]],UnitCosts[Work Type],0),2))*(1+((Yards25[[#This Row],[est. CONS Year]]-YEAR(TODAY()))*$W$3))</f>
        <v>0</v>
      </c>
      <c r="X12" s="142">
        <f>IF(ISNUMBER(SEARCH("LLC",Yards25[[#This Row],[PROGRAM]])),IF(Yards25[[#This Row],[RAD/PACT by 2025]]="yes",0,1),0)</f>
        <v>0</v>
      </c>
      <c r="Y12" s="1"/>
      <c r="Z12" s="1"/>
      <c r="AA12" s="51">
        <f ca="1">COUNTIF($X$5:Yards25[[#This Row],['# yards]],"&gt;0")</f>
        <v>0</v>
      </c>
      <c r="AB12" s="1">
        <f>IF(ISBLANK(Yards25[[#This Row],[DSGN CALENDAR YEAR]]),ROUNDDOWN(Yards25[[#This Row],[Count]]/20,0)+$AB$1,Yards25[[#This Row],[DSGN CALENDAR YEAR]])</f>
        <v>2020</v>
      </c>
      <c r="AC12" s="16">
        <f>Yards25[[#This Row],[est. DSGN Year]]+1</f>
        <v>2021</v>
      </c>
    </row>
    <row r="13" spans="1:29" hidden="1">
      <c r="A13" s="13" t="s">
        <v>121</v>
      </c>
      <c r="B13" s="51" t="str">
        <f>VLOOKUP(Yards25[[#This Row],[DEVELOPMENT]],Data[],2,FALSE)</f>
        <v>BRONX</v>
      </c>
      <c r="C1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3" s="51" t="str">
        <f>VLOOKUP(Yards25[[#This Row],[DEVELOPMENT]],Data[],52,FALSE)</f>
        <v>FEDERAL</v>
      </c>
      <c r="E13" s="50" t="str">
        <f>VLOOKUP(Yards25[[#This Row],[DEVELOPMENT]],Data[],8,FALSE)</f>
        <v>Zone 1</v>
      </c>
      <c r="F13" s="51" t="str">
        <f>VLOOKUP(Yards25[[#This Row],[DEVELOPMENT]],all[[DEVELOPMENT]:[MRST Ext. Comp. Priority]],6,FALSE)</f>
        <v>A</v>
      </c>
      <c r="G13" s="51" t="str">
        <f>VLOOKUP(Yards25[[#This Row],[DEVELOPMENT]],all[[DEVELOPMENT]:[MRST Ext. Comp. Priority]],13,FALSE)</f>
        <v>None</v>
      </c>
      <c r="H13" s="50">
        <f>IF(VLOOKUP(Yards25[[#This Row],[DEVELOPMENT]],Data[],9,FALSE)=0,5,VLOOKUP(Yards25[[#This Row],[DEVELOPMENT]],Data[],9,FALSE))</f>
        <v>3</v>
      </c>
      <c r="I13" s="51">
        <f>VLOOKUP(Yards25[[#This Row],[DEVELOPMENT]],Data[],33,FALSE)</f>
        <v>1</v>
      </c>
      <c r="J13" s="51">
        <f>VLOOKUP(Yards25[[#This Row],[DEVELOPMENT]],Data[],28,FALSE)</f>
        <v>0</v>
      </c>
      <c r="K13" s="51"/>
      <c r="L13" s="50"/>
      <c r="M13" s="51" t="str">
        <f ca="1">IFERROR(VLOOKUP(Yards25[[#This Row],[DEVELOPMENT]],Data[],4,FALSE),"")</f>
        <v/>
      </c>
      <c r="N13" s="51" t="str">
        <f ca="1">IF(Yards25[[#This Row],[RAD/PACT]]="","",IF(OR(Yards25[[#This Row],[RAD/PACT]]="2022-2025",Yards25[[#This Row],[RAD/PACT]]=2019,Yards25[[#This Row],[RAD/PACT]]="2020-2021"),"Yes",""))</f>
        <v/>
      </c>
      <c r="O13" s="51">
        <f ca="1">IFERROR(VLOOKUP(Yards25[[#This Row],[DEVELOPMENT]],ExtComp[],8,FALSE),"")</f>
        <v>15</v>
      </c>
      <c r="P13" s="51">
        <v>2020</v>
      </c>
      <c r="Q13" s="51"/>
      <c r="R13" s="51">
        <f>IF(ISBLANK(Yards25[[#This Row],[DSGN CALENDAR YEAR]]),"",Yards25[[#This Row],[DSGN CALENDAR YEAR]]+1)</f>
        <v>2021</v>
      </c>
      <c r="S13" s="51" t="str">
        <f>IF(ISBLANK(Yards25[[#This Row],[DSGN FISCAL YEAR]]),"",Yards25[[#This Row],[DSGN FISCAL YEAR]]+1)</f>
        <v/>
      </c>
      <c r="T13" s="51"/>
      <c r="U13" s="128">
        <f ca="1">Yards25[[#This Row],[Estimate]]*0.1</f>
        <v>0</v>
      </c>
      <c r="V13" s="47">
        <f ca="1">Yards25[[#This Row],[Estimate]]-Yards25[[#This Row],[Design Est.]]</f>
        <v>0</v>
      </c>
      <c r="W13" s="85">
        <f ca="1">(Yards25[[#This Row],['# yards]]*INDEX(UnitCosts[],MATCH(Yards25[[#This Row],[WORK TYPE]],UnitCosts[Work Type],0),2))*(1+((Yards25[[#This Row],[est. CONS Year]]-YEAR(TODAY()))*$W$3))</f>
        <v>0</v>
      </c>
      <c r="X13" s="142">
        <f>IF(ISNUMBER(SEARCH("LLC",Yards25[[#This Row],[PROGRAM]])),IF(Yards25[[#This Row],[RAD/PACT by 2025]]="yes",0,1),0)</f>
        <v>0</v>
      </c>
      <c r="Y13" s="1"/>
      <c r="Z13" s="1"/>
      <c r="AA13" s="51">
        <f ca="1">COUNTIF($X$5:Yards25[[#This Row],['# yards]],"&gt;0")</f>
        <v>0</v>
      </c>
      <c r="AB13" s="1">
        <f>IF(ISBLANK(Yards25[[#This Row],[DSGN CALENDAR YEAR]]),ROUNDDOWN(Yards25[[#This Row],[Count]]/20,0)+$AB$1,Yards25[[#This Row],[DSGN CALENDAR YEAR]])</f>
        <v>2020</v>
      </c>
      <c r="AC13" s="16">
        <f>Yards25[[#This Row],[est. DSGN Year]]+1</f>
        <v>2021</v>
      </c>
    </row>
    <row r="14" spans="1:29" hidden="1">
      <c r="A14" s="13" t="s">
        <v>36</v>
      </c>
      <c r="B14" s="51" t="str">
        <f>VLOOKUP(Yards25[[#This Row],[DEVELOPMENT]],Data[],2,FALSE)</f>
        <v>MANHATTAN</v>
      </c>
      <c r="C1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4" s="51" t="str">
        <f>VLOOKUP(Yards25[[#This Row],[DEVELOPMENT]],Data[],52,FALSE)</f>
        <v>FEDERAL</v>
      </c>
      <c r="E14" s="50" t="str">
        <f>VLOOKUP(Yards25[[#This Row],[DEVELOPMENT]],Data[],8,FALSE)</f>
        <v>Zone 1</v>
      </c>
      <c r="F14" s="51" t="str">
        <f>VLOOKUP(Yards25[[#This Row],[DEVELOPMENT]],all[[DEVELOPMENT]:[MRST Ext. Comp. Priority]],6,FALSE)</f>
        <v>A</v>
      </c>
      <c r="G14" s="51">
        <f>VLOOKUP(Yards25[[#This Row],[DEVELOPMENT]],all[[DEVELOPMENT]:[MRST Ext. Comp. Priority]],13,FALSE)</f>
        <v>2</v>
      </c>
      <c r="H14" s="50">
        <f>IF(VLOOKUP(Yards25[[#This Row],[DEVELOPMENT]],Data[],9,FALSE)=0,5,VLOOKUP(Yards25[[#This Row],[DEVELOPMENT]],Data[],9,FALSE))</f>
        <v>3</v>
      </c>
      <c r="I14" s="51">
        <f>VLOOKUP(Yards25[[#This Row],[DEVELOPMENT]],Data[],33,FALSE)</f>
        <v>2</v>
      </c>
      <c r="J14" s="51">
        <f>VLOOKUP(Yards25[[#This Row],[DEVELOPMENT]],Data[],28,FALSE)</f>
        <v>0</v>
      </c>
      <c r="K14" s="51"/>
      <c r="L14" s="50"/>
      <c r="M14" s="51" t="str">
        <f ca="1">IFERROR(VLOOKUP(Yards25[[#This Row],[DEVELOPMENT]],Data[],4,FALSE),"")</f>
        <v/>
      </c>
      <c r="N14" s="51" t="str">
        <f ca="1">IF(Yards25[[#This Row],[RAD/PACT]]="","",IF(OR(Yards25[[#This Row],[RAD/PACT]]="2022-2025",Yards25[[#This Row],[RAD/PACT]]=2019,Yards25[[#This Row],[RAD/PACT]]="2020-2021"),"Yes",""))</f>
        <v/>
      </c>
      <c r="O14" s="1">
        <f ca="1">IFERROR(VLOOKUP(Yards25[[#This Row],[DEVELOPMENT]],ExtComp[],8,FALSE),"")</f>
        <v>16</v>
      </c>
      <c r="P14" s="51">
        <v>2020</v>
      </c>
      <c r="Q14" s="1"/>
      <c r="R14" s="1">
        <f>IF(ISBLANK(Yards25[[#This Row],[DSGN CALENDAR YEAR]]),"",Yards25[[#This Row],[DSGN CALENDAR YEAR]]+1)</f>
        <v>2021</v>
      </c>
      <c r="S14" s="51" t="str">
        <f>IF(ISBLANK(Yards25[[#This Row],[DSGN FISCAL YEAR]]),"",Yards25[[#This Row],[DSGN FISCAL YEAR]]+1)</f>
        <v/>
      </c>
      <c r="T14" s="1"/>
      <c r="U14" s="128">
        <f ca="1">Yards25[[#This Row],[Estimate]]*0.1</f>
        <v>0</v>
      </c>
      <c r="V14" s="47">
        <f ca="1">Yards25[[#This Row],[Estimate]]-Yards25[[#This Row],[Design Est.]]</f>
        <v>0</v>
      </c>
      <c r="W14" s="85">
        <f ca="1">(Yards25[[#This Row],['# yards]]*INDEX(UnitCosts[],MATCH(Yards25[[#This Row],[WORK TYPE]],UnitCosts[Work Type],0),2))*(1+((Yards25[[#This Row],[est. CONS Year]]-YEAR(TODAY()))*$W$3))</f>
        <v>0</v>
      </c>
      <c r="X14" s="142">
        <f>IF(ISNUMBER(SEARCH("LLC",Yards25[[#This Row],[PROGRAM]])),IF(Yards25[[#This Row],[RAD/PACT by 2025]]="yes",0,1),0)</f>
        <v>0</v>
      </c>
      <c r="Y14" s="1"/>
      <c r="Z14" s="1" t="s">
        <v>2296</v>
      </c>
      <c r="AA14" s="51">
        <f ca="1">COUNTIF($X$5:Yards25[[#This Row],['# yards]],"&gt;0")</f>
        <v>0</v>
      </c>
      <c r="AB14" s="1">
        <f>IF(ISBLANK(Yards25[[#This Row],[DSGN CALENDAR YEAR]]),ROUNDDOWN(Yards25[[#This Row],[Count]]/20,0)+$AB$1,Yards25[[#This Row],[DSGN CALENDAR YEAR]])</f>
        <v>2020</v>
      </c>
      <c r="AC14" s="16">
        <f>Yards25[[#This Row],[est. DSGN Year]]+1</f>
        <v>2021</v>
      </c>
    </row>
    <row r="15" spans="1:29" hidden="1">
      <c r="A15" s="13" t="s">
        <v>38</v>
      </c>
      <c r="B15" s="51" t="str">
        <f>VLOOKUP(Yards25[[#This Row],[DEVELOPMENT]],Data[],2,FALSE)</f>
        <v>BROOKLYN</v>
      </c>
      <c r="C15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5" s="51" t="str">
        <f>VLOOKUP(Yards25[[#This Row],[DEVELOPMENT]],Data[],52,FALSE)</f>
        <v>FEDERAL</v>
      </c>
      <c r="E15" s="50" t="str">
        <f>VLOOKUP(Yards25[[#This Row],[DEVELOPMENT]],Data[],8,FALSE)</f>
        <v>Zone 1</v>
      </c>
      <c r="F15" s="51" t="str">
        <f>VLOOKUP(Yards25[[#This Row],[DEVELOPMENT]],all[[DEVELOPMENT]:[MRST Ext. Comp. Priority]],6,FALSE)</f>
        <v>A</v>
      </c>
      <c r="G15" s="51">
        <f>VLOOKUP(Yards25[[#This Row],[DEVELOPMENT]],all[[DEVELOPMENT]:[MRST Ext. Comp. Priority]],13,FALSE)</f>
        <v>3</v>
      </c>
      <c r="H15" s="50">
        <f>IF(VLOOKUP(Yards25[[#This Row],[DEVELOPMENT]],Data[],9,FALSE)=0,5,VLOOKUP(Yards25[[#This Row],[DEVELOPMENT]],Data[],9,FALSE))</f>
        <v>3</v>
      </c>
      <c r="I15" s="51">
        <f>VLOOKUP(Yards25[[#This Row],[DEVELOPMENT]],Data[],33,FALSE)</f>
        <v>3</v>
      </c>
      <c r="J15" s="51">
        <f>VLOOKUP(Yards25[[#This Row],[DEVELOPMENT]],Data[],28,FALSE)</f>
        <v>0</v>
      </c>
      <c r="K15" s="51"/>
      <c r="L15" s="50"/>
      <c r="M15" s="51" t="str">
        <f ca="1">IFERROR(VLOOKUP(Yards25[[#This Row],[DEVELOPMENT]],Data[],4,FALSE),"")</f>
        <v>2026+</v>
      </c>
      <c r="N15" s="51" t="str">
        <f ca="1">IF(Yards25[[#This Row],[RAD/PACT]]="","",IF(OR(Yards25[[#This Row],[RAD/PACT]]="2022-2025",Yards25[[#This Row],[RAD/PACT]]=2019,Yards25[[#This Row],[RAD/PACT]]="2020-2021"),"Yes",""))</f>
        <v/>
      </c>
      <c r="O15" s="1">
        <f ca="1">IFERROR(VLOOKUP(Yards25[[#This Row],[DEVELOPMENT]],ExtComp[],8,FALSE),"")</f>
        <v>1</v>
      </c>
      <c r="P15" s="51">
        <v>2020</v>
      </c>
      <c r="Q15" s="1"/>
      <c r="R15" s="1">
        <f>IF(ISBLANK(Yards25[[#This Row],[DSGN CALENDAR YEAR]]),"",Yards25[[#This Row],[DSGN CALENDAR YEAR]]+1)</f>
        <v>2021</v>
      </c>
      <c r="S15" s="51" t="str">
        <f>IF(ISBLANK(Yards25[[#This Row],[DSGN FISCAL YEAR]]),"",Yards25[[#This Row],[DSGN FISCAL YEAR]]+1)</f>
        <v/>
      </c>
      <c r="T15" s="1"/>
      <c r="U15" s="128">
        <f ca="1">Yards25[[#This Row],[Estimate]]*0.1</f>
        <v>0</v>
      </c>
      <c r="V15" s="47">
        <f ca="1">Yards25[[#This Row],[Estimate]]-Yards25[[#This Row],[Design Est.]]</f>
        <v>0</v>
      </c>
      <c r="W15" s="85">
        <f ca="1">(Yards25[[#This Row],['# yards]]*INDEX(UnitCosts[],MATCH(Yards25[[#This Row],[WORK TYPE]],UnitCosts[Work Type],0),2))*(1+((Yards25[[#This Row],[est. CONS Year]]-YEAR(TODAY()))*$W$3))</f>
        <v>0</v>
      </c>
      <c r="X15" s="142">
        <f>IF(ISNUMBER(SEARCH("LLC",Yards25[[#This Row],[PROGRAM]])),IF(Yards25[[#This Row],[RAD/PACT by 2025]]="yes",0,1),0)</f>
        <v>0</v>
      </c>
      <c r="Y15" s="1"/>
      <c r="Z15" s="1"/>
      <c r="AA15" s="51">
        <f ca="1">COUNTIF($X$5:Yards25[[#This Row],['# yards]],"&gt;0")</f>
        <v>0</v>
      </c>
      <c r="AB15" s="1">
        <f>IF(ISBLANK(Yards25[[#This Row],[DSGN CALENDAR YEAR]]),ROUNDDOWN(Yards25[[#This Row],[Count]]/20,0)+$AB$1,Yards25[[#This Row],[DSGN CALENDAR YEAR]])</f>
        <v>2020</v>
      </c>
      <c r="AC15" s="16">
        <f>Yards25[[#This Row],[est. DSGN Year]]+1</f>
        <v>2021</v>
      </c>
    </row>
    <row r="16" spans="1:29" hidden="1">
      <c r="A16" s="13" t="s">
        <v>118</v>
      </c>
      <c r="B16" s="51" t="str">
        <f>VLOOKUP(Yards25[[#This Row],[DEVELOPMENT]],Data[],2,FALSE)</f>
        <v>BROOKLYN</v>
      </c>
      <c r="C1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6" s="51" t="str">
        <f>VLOOKUP(Yards25[[#This Row],[DEVELOPMENT]],Data[],52,FALSE)</f>
        <v>FEDERAL</v>
      </c>
      <c r="E16" s="50" t="str">
        <f>VLOOKUP(Yards25[[#This Row],[DEVELOPMENT]],Data[],8,FALSE)</f>
        <v>Zone 1</v>
      </c>
      <c r="F16" s="51" t="str">
        <f>VLOOKUP(Yards25[[#This Row],[DEVELOPMENT]],all[[DEVELOPMENT]:[MRST Ext. Comp. Priority]],6,FALSE)</f>
        <v>A</v>
      </c>
      <c r="G16" s="51">
        <f>VLOOKUP(Yards25[[#This Row],[DEVELOPMENT]],all[[DEVELOPMENT]:[MRST Ext. Comp. Priority]],13,FALSE)</f>
        <v>2</v>
      </c>
      <c r="H16" s="50">
        <f>IF(VLOOKUP(Yards25[[#This Row],[DEVELOPMENT]],Data[],9,FALSE)=0,5,VLOOKUP(Yards25[[#This Row],[DEVELOPMENT]],Data[],9,FALSE))</f>
        <v>4</v>
      </c>
      <c r="I16" s="51">
        <f>VLOOKUP(Yards25[[#This Row],[DEVELOPMENT]],Data[],33,FALSE)</f>
        <v>1</v>
      </c>
      <c r="J16" s="51">
        <f>VLOOKUP(Yards25[[#This Row],[DEVELOPMENT]],Data[],28,FALSE)</f>
        <v>0</v>
      </c>
      <c r="K16" s="51"/>
      <c r="L16" s="50"/>
      <c r="M16" s="51" t="str">
        <f ca="1">IFERROR(VLOOKUP(Yards25[[#This Row],[DEVELOPMENT]],Data[],4,FALSE),"")</f>
        <v/>
      </c>
      <c r="N16" s="51" t="str">
        <f ca="1">IF(Yards25[[#This Row],[RAD/PACT]]="","",IF(OR(Yards25[[#This Row],[RAD/PACT]]="2022-2025",Yards25[[#This Row],[RAD/PACT]]=2019,Yards25[[#This Row],[RAD/PACT]]="2020-2021"),"Yes",""))</f>
        <v/>
      </c>
      <c r="O16" s="51">
        <f ca="1">IFERROR(VLOOKUP(Yards25[[#This Row],[DEVELOPMENT]],ExtComp[],8,FALSE),"")</f>
        <v>16</v>
      </c>
      <c r="P16" s="51">
        <v>2020</v>
      </c>
      <c r="Q16" s="51"/>
      <c r="R16" s="51">
        <f>IF(ISBLANK(Yards25[[#This Row],[DSGN CALENDAR YEAR]]),"",Yards25[[#This Row],[DSGN CALENDAR YEAR]]+1)</f>
        <v>2021</v>
      </c>
      <c r="S16" s="51" t="str">
        <f>IF(ISBLANK(Yards25[[#This Row],[DSGN FISCAL YEAR]]),"",Yards25[[#This Row],[DSGN FISCAL YEAR]]+1)</f>
        <v/>
      </c>
      <c r="T16" s="51"/>
      <c r="U16" s="128">
        <f ca="1">Yards25[[#This Row],[Estimate]]*0.1</f>
        <v>0</v>
      </c>
      <c r="V16" s="47">
        <f ca="1">Yards25[[#This Row],[Estimate]]-Yards25[[#This Row],[Design Est.]]</f>
        <v>0</v>
      </c>
      <c r="W16" s="85">
        <f ca="1">(Yards25[[#This Row],['# yards]]*INDEX(UnitCosts[],MATCH(Yards25[[#This Row],[WORK TYPE]],UnitCosts[Work Type],0),2))*(1+((Yards25[[#This Row],[est. CONS Year]]-YEAR(TODAY()))*$W$3))</f>
        <v>0</v>
      </c>
      <c r="X16" s="142">
        <f>IF(ISNUMBER(SEARCH("LLC",Yards25[[#This Row],[PROGRAM]])),IF(Yards25[[#This Row],[RAD/PACT by 2025]]="yes",0,1),0)</f>
        <v>0</v>
      </c>
      <c r="Y16" s="1"/>
      <c r="Z16" s="1"/>
      <c r="AA16" s="51">
        <f ca="1">COUNTIF($X$5:Yards25[[#This Row],['# yards]],"&gt;0")</f>
        <v>0</v>
      </c>
      <c r="AB16" s="1">
        <f>IF(ISBLANK(Yards25[[#This Row],[DSGN CALENDAR YEAR]]),ROUNDDOWN(Yards25[[#This Row],[Count]]/20,0)+$AB$1,Yards25[[#This Row],[DSGN CALENDAR YEAR]])</f>
        <v>2020</v>
      </c>
      <c r="AC16" s="16">
        <f>Yards25[[#This Row],[est. DSGN Year]]+1</f>
        <v>2021</v>
      </c>
    </row>
    <row r="17" spans="1:29" hidden="1">
      <c r="A17" s="13" t="s">
        <v>41</v>
      </c>
      <c r="B17" s="51" t="str">
        <f>VLOOKUP(Yards25[[#This Row],[DEVELOPMENT]],Data[],2,FALSE)</f>
        <v>BRONX</v>
      </c>
      <c r="C1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7" s="51" t="str">
        <f>VLOOKUP(Yards25[[#This Row],[DEVELOPMENT]],Data[],52,FALSE)</f>
        <v>FEDERAL</v>
      </c>
      <c r="E17" s="50" t="str">
        <f>VLOOKUP(Yards25[[#This Row],[DEVELOPMENT]],Data[],8,FALSE)</f>
        <v>Zone 1</v>
      </c>
      <c r="F17" s="51" t="str">
        <f>VLOOKUP(Yards25[[#This Row],[DEVELOPMENT]],all[[DEVELOPMENT]:[MRST Ext. Comp. Priority]],6,FALSE)</f>
        <v>A</v>
      </c>
      <c r="G17" s="51">
        <f>VLOOKUP(Yards25[[#This Row],[DEVELOPMENT]],all[[DEVELOPMENT]:[MRST Ext. Comp. Priority]],13,FALSE)</f>
        <v>2</v>
      </c>
      <c r="H17" s="50">
        <f>IF(VLOOKUP(Yards25[[#This Row],[DEVELOPMENT]],Data[],9,FALSE)=0,5,VLOOKUP(Yards25[[#This Row],[DEVELOPMENT]],Data[],9,FALSE))</f>
        <v>4</v>
      </c>
      <c r="I17" s="51">
        <f>VLOOKUP(Yards25[[#This Row],[DEVELOPMENT]],Data[],33,FALSE)</f>
        <v>2</v>
      </c>
      <c r="J17" s="51">
        <f>VLOOKUP(Yards25[[#This Row],[DEVELOPMENT]],Data[],28,FALSE)</f>
        <v>0</v>
      </c>
      <c r="K17" s="51"/>
      <c r="L17" s="50"/>
      <c r="M17" s="51" t="str">
        <f ca="1">IFERROR(VLOOKUP(Yards25[[#This Row],[DEVELOPMENT]],Data[],4,FALSE),"")</f>
        <v/>
      </c>
      <c r="N17" s="51" t="str">
        <f ca="1">IF(Yards25[[#This Row],[RAD/PACT]]="","",IF(OR(Yards25[[#This Row],[RAD/PACT]]="2022-2025",Yards25[[#This Row],[RAD/PACT]]=2019,Yards25[[#This Row],[RAD/PACT]]="2020-2021"),"Yes",""))</f>
        <v/>
      </c>
      <c r="O17" s="51">
        <f ca="1">IFERROR(VLOOKUP(Yards25[[#This Row],[DEVELOPMENT]],ExtComp[],8,FALSE),"")</f>
        <v>4</v>
      </c>
      <c r="P17" s="51">
        <v>2020</v>
      </c>
      <c r="Q17" s="51"/>
      <c r="R17" s="51">
        <f>IF(ISBLANK(Yards25[[#This Row],[DSGN CALENDAR YEAR]]),"",Yards25[[#This Row],[DSGN CALENDAR YEAR]]+1)</f>
        <v>2021</v>
      </c>
      <c r="S17" s="51" t="str">
        <f>IF(ISBLANK(Yards25[[#This Row],[DSGN FISCAL YEAR]]),"",Yards25[[#This Row],[DSGN FISCAL YEAR]]+1)</f>
        <v/>
      </c>
      <c r="T17" s="51"/>
      <c r="U17" s="128">
        <f ca="1">Yards25[[#This Row],[Estimate]]*0.1</f>
        <v>0</v>
      </c>
      <c r="V17" s="47">
        <f ca="1">Yards25[[#This Row],[Estimate]]-Yards25[[#This Row],[Design Est.]]</f>
        <v>0</v>
      </c>
      <c r="W17" s="85">
        <f ca="1">(Yards25[[#This Row],['# yards]]*INDEX(UnitCosts[],MATCH(Yards25[[#This Row],[WORK TYPE]],UnitCosts[Work Type],0),2))*(1+((Yards25[[#This Row],[est. CONS Year]]-YEAR(TODAY()))*$W$3))</f>
        <v>0</v>
      </c>
      <c r="X17" s="142">
        <f>IF(ISNUMBER(SEARCH("LLC",Yards25[[#This Row],[PROGRAM]])),IF(Yards25[[#This Row],[RAD/PACT by 2025]]="yes",0,1),0)</f>
        <v>0</v>
      </c>
      <c r="Y17" s="1"/>
      <c r="Z17" s="1"/>
      <c r="AA17" s="51">
        <f ca="1">COUNTIF($X$5:Yards25[[#This Row],['# yards]],"&gt;0")</f>
        <v>0</v>
      </c>
      <c r="AB17" s="1">
        <f>IF(ISBLANK(Yards25[[#This Row],[DSGN CALENDAR YEAR]]),ROUNDDOWN(Yards25[[#This Row],[Count]]/20,0)+$AB$1,Yards25[[#This Row],[DSGN CALENDAR YEAR]])</f>
        <v>2020</v>
      </c>
      <c r="AC17" s="16">
        <f>Yards25[[#This Row],[est. DSGN Year]]+1</f>
        <v>2021</v>
      </c>
    </row>
    <row r="18" spans="1:29" hidden="1">
      <c r="A18" s="13" t="s">
        <v>47</v>
      </c>
      <c r="B18" s="51" t="str">
        <f>VLOOKUP(Yards25[[#This Row],[DEVELOPMENT]],Data[],2,FALSE)</f>
        <v>BRONX</v>
      </c>
      <c r="C18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8" s="51" t="str">
        <f>VLOOKUP(Yards25[[#This Row],[DEVELOPMENT]],Data[],52,FALSE)</f>
        <v>FEDERAL</v>
      </c>
      <c r="E18" s="50" t="str">
        <f>VLOOKUP(Yards25[[#This Row],[DEVELOPMENT]],Data[],8,FALSE)</f>
        <v>Zone 1</v>
      </c>
      <c r="F18" s="51" t="str">
        <f>VLOOKUP(Yards25[[#This Row],[DEVELOPMENT]],all[[DEVELOPMENT]:[MRST Ext. Comp. Priority]],6,FALSE)</f>
        <v>A</v>
      </c>
      <c r="G18" s="51">
        <f>VLOOKUP(Yards25[[#This Row],[DEVELOPMENT]],all[[DEVELOPMENT]:[MRST Ext. Comp. Priority]],13,FALSE)</f>
        <v>4</v>
      </c>
      <c r="H18" s="50">
        <f>IF(VLOOKUP(Yards25[[#This Row],[DEVELOPMENT]],Data[],9,FALSE)=0,5,VLOOKUP(Yards25[[#This Row],[DEVELOPMENT]],Data[],9,FALSE))</f>
        <v>4</v>
      </c>
      <c r="I18" s="51">
        <f>VLOOKUP(Yards25[[#This Row],[DEVELOPMENT]],Data[],33,FALSE)</f>
        <v>2</v>
      </c>
      <c r="J18" s="51">
        <f>VLOOKUP(Yards25[[#This Row],[DEVELOPMENT]],Data[],28,FALSE)</f>
        <v>0</v>
      </c>
      <c r="K18" s="51"/>
      <c r="L18" s="50"/>
      <c r="M18" s="51" t="str">
        <f ca="1">IFERROR(VLOOKUP(Yards25[[#This Row],[DEVELOPMENT]],Data[],4,FALSE),"")</f>
        <v/>
      </c>
      <c r="N18" s="51" t="str">
        <f ca="1">IF(Yards25[[#This Row],[RAD/PACT]]="","",IF(OR(Yards25[[#This Row],[RAD/PACT]]="2022-2025",Yards25[[#This Row],[RAD/PACT]]=2019,Yards25[[#This Row],[RAD/PACT]]="2020-2021"),"Yes",""))</f>
        <v/>
      </c>
      <c r="O18" s="1">
        <f ca="1">IFERROR(VLOOKUP(Yards25[[#This Row],[DEVELOPMENT]],ExtComp[],8,FALSE),"")</f>
        <v>12</v>
      </c>
      <c r="P18" s="51">
        <v>2020</v>
      </c>
      <c r="Q18" s="1"/>
      <c r="R18" s="1">
        <f>IF(ISBLANK(Yards25[[#This Row],[DSGN CALENDAR YEAR]]),"",Yards25[[#This Row],[DSGN CALENDAR YEAR]]+1)</f>
        <v>2021</v>
      </c>
      <c r="S18" s="51" t="str">
        <f>IF(ISBLANK(Yards25[[#This Row],[DSGN FISCAL YEAR]]),"",Yards25[[#This Row],[DSGN FISCAL YEAR]]+1)</f>
        <v/>
      </c>
      <c r="T18" s="1"/>
      <c r="U18" s="128">
        <f ca="1">Yards25[[#This Row],[Estimate]]*0.1</f>
        <v>0</v>
      </c>
      <c r="V18" s="47">
        <f ca="1">Yards25[[#This Row],[Estimate]]-Yards25[[#This Row],[Design Est.]]</f>
        <v>0</v>
      </c>
      <c r="W18" s="85">
        <f ca="1">(Yards25[[#This Row],['# yards]]*INDEX(UnitCosts[],MATCH(Yards25[[#This Row],[WORK TYPE]],UnitCosts[Work Type],0),2))*(1+((Yards25[[#This Row],[est. CONS Year]]-YEAR(TODAY()))*$W$3))</f>
        <v>0</v>
      </c>
      <c r="X18" s="142">
        <f>IF(ISNUMBER(SEARCH("LLC",Yards25[[#This Row],[PROGRAM]])),IF(Yards25[[#This Row],[RAD/PACT by 2025]]="yes",0,1),0)</f>
        <v>0</v>
      </c>
      <c r="Y18" s="1"/>
      <c r="Z18" s="1"/>
      <c r="AA18" s="51">
        <f ca="1">COUNTIF($X$5:Yards25[[#This Row],['# yards]],"&gt;0")</f>
        <v>0</v>
      </c>
      <c r="AB18" s="1">
        <f>IF(ISBLANK(Yards25[[#This Row],[DSGN CALENDAR YEAR]]),ROUNDDOWN(Yards25[[#This Row],[Count]]/20,0)+$AB$1,Yards25[[#This Row],[DSGN CALENDAR YEAR]])</f>
        <v>2020</v>
      </c>
      <c r="AC18" s="16">
        <f>Yards25[[#This Row],[est. DSGN Year]]+1</f>
        <v>2021</v>
      </c>
    </row>
    <row r="19" spans="1:29" hidden="1">
      <c r="A19" s="13" t="s">
        <v>89</v>
      </c>
      <c r="B19" s="51" t="str">
        <f>VLOOKUP(Yards25[[#This Row],[DEVELOPMENT]],Data[],2,FALSE)</f>
        <v>MANHATTAN</v>
      </c>
      <c r="C19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9" s="51" t="str">
        <f>VLOOKUP(Yards25[[#This Row],[DEVELOPMENT]],Data[],52,FALSE)</f>
        <v>FEDERAL</v>
      </c>
      <c r="E19" s="50" t="str">
        <f>VLOOKUP(Yards25[[#This Row],[DEVELOPMENT]],Data[],8,FALSE)</f>
        <v>Zone 3</v>
      </c>
      <c r="F19" s="51" t="str">
        <f>VLOOKUP(Yards25[[#This Row],[DEVELOPMENT]],all[[DEVELOPMENT]:[MRST Ext. Comp. Priority]],6,FALSE)</f>
        <v>B</v>
      </c>
      <c r="G19" s="51">
        <f>VLOOKUP(Yards25[[#This Row],[DEVELOPMENT]],all[[DEVELOPMENT]:[MRST Ext. Comp. Priority]],13,FALSE)</f>
        <v>1</v>
      </c>
      <c r="H19" s="50">
        <f>IF(VLOOKUP(Yards25[[#This Row],[DEVELOPMENT]],Data[],9,FALSE)=0,5,VLOOKUP(Yards25[[#This Row],[DEVELOPMENT]],Data[],9,FALSE))</f>
        <v>3</v>
      </c>
      <c r="I19" s="51">
        <f>VLOOKUP(Yards25[[#This Row],[DEVELOPMENT]],Data[],33,FALSE)</f>
        <v>0</v>
      </c>
      <c r="J19" s="51">
        <f>VLOOKUP(Yards25[[#This Row],[DEVELOPMENT]],Data[],28,FALSE)</f>
        <v>0</v>
      </c>
      <c r="K19" s="51"/>
      <c r="L19" s="50"/>
      <c r="M19" s="51" t="str">
        <f ca="1">IFERROR(VLOOKUP(Yards25[[#This Row],[DEVELOPMENT]],Data[],4,FALSE),"")</f>
        <v>2020-2021</v>
      </c>
      <c r="N19" s="51" t="str">
        <f ca="1">IF(Yards25[[#This Row],[RAD/PACT]]="","",IF(OR(Yards25[[#This Row],[RAD/PACT]]="2022-2025",Yards25[[#This Row],[RAD/PACT]]=2019,Yards25[[#This Row],[RAD/PACT]]="2020-2021"),"Yes",""))</f>
        <v>Yes</v>
      </c>
      <c r="O19" s="51" t="str">
        <f ca="1">IFERROR(VLOOKUP(Yards25[[#This Row],[DEVELOPMENT]],ExtComp[],8,FALSE),"")</f>
        <v/>
      </c>
      <c r="P19" s="51">
        <v>2020</v>
      </c>
      <c r="Q19" s="51"/>
      <c r="R19" s="51">
        <f>IF(ISBLANK(Yards25[[#This Row],[DSGN CALENDAR YEAR]]),"",Yards25[[#This Row],[DSGN CALENDAR YEAR]]+1)</f>
        <v>2021</v>
      </c>
      <c r="S19" s="51" t="str">
        <f>IF(ISBLANK(Yards25[[#This Row],[DSGN FISCAL YEAR]]),"",Yards25[[#This Row],[DSGN FISCAL YEAR]]+1)</f>
        <v/>
      </c>
      <c r="T19" s="51"/>
      <c r="U19" s="128">
        <f ca="1">Yards25[[#This Row],[Estimate]]*0.1</f>
        <v>0</v>
      </c>
      <c r="V19" s="47">
        <f ca="1">Yards25[[#This Row],[Estimate]]-Yards25[[#This Row],[Design Est.]]</f>
        <v>0</v>
      </c>
      <c r="W19" s="85">
        <f ca="1">(Yards25[[#This Row],['# yards]]*INDEX(UnitCosts[],MATCH(Yards25[[#This Row],[WORK TYPE]],UnitCosts[Work Type],0),2))*(1+((Yards25[[#This Row],[est. CONS Year]]-YEAR(TODAY()))*$W$3))</f>
        <v>0</v>
      </c>
      <c r="X19" s="142">
        <f>IF(ISNUMBER(SEARCH("LLC",Yards25[[#This Row],[PROGRAM]])),IF(Yards25[[#This Row],[RAD/PACT by 2025]]="yes",0,1),0)</f>
        <v>0</v>
      </c>
      <c r="Y19" s="1"/>
      <c r="Z19" s="1"/>
      <c r="AA19" s="51">
        <f ca="1">COUNTIF($X$5:Yards25[[#This Row],['# yards]],"&gt;0")</f>
        <v>0</v>
      </c>
      <c r="AB19" s="1">
        <f>IF(ISBLANK(Yards25[[#This Row],[DSGN CALENDAR YEAR]]),ROUNDDOWN(Yards25[[#This Row],[Count]]/20,0)+$AB$1,Yards25[[#This Row],[DSGN CALENDAR YEAR]])</f>
        <v>2020</v>
      </c>
      <c r="AC19" s="16">
        <f>Yards25[[#This Row],[est. DSGN Year]]+1</f>
        <v>2021</v>
      </c>
    </row>
    <row r="20" spans="1:29" hidden="1">
      <c r="A20" s="13" t="s">
        <v>102</v>
      </c>
      <c r="B20" s="51" t="str">
        <f>VLOOKUP(Yards25[[#This Row],[DEVELOPMENT]],Data[],2,FALSE)</f>
        <v>MANHATTAN</v>
      </c>
      <c r="C20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0" s="51" t="str">
        <f>VLOOKUP(Yards25[[#This Row],[DEVELOPMENT]],Data[],52,FALSE)</f>
        <v>FEDERAL</v>
      </c>
      <c r="E20" s="50" t="str">
        <f>VLOOKUP(Yards25[[#This Row],[DEVELOPMENT]],Data[],8,FALSE)</f>
        <v>Zone 2</v>
      </c>
      <c r="F20" s="51" t="str">
        <f>VLOOKUP(Yards25[[#This Row],[DEVELOPMENT]],all[[DEVELOPMENT]:[MRST Ext. Comp. Priority]],6,FALSE)</f>
        <v>B</v>
      </c>
      <c r="G20" s="51">
        <f>VLOOKUP(Yards25[[#This Row],[DEVELOPMENT]],all[[DEVELOPMENT]:[MRST Ext. Comp. Priority]],13,FALSE)</f>
        <v>1</v>
      </c>
      <c r="H20" s="50">
        <f>IF(VLOOKUP(Yards25[[#This Row],[DEVELOPMENT]],Data[],9,FALSE)=0,5,VLOOKUP(Yards25[[#This Row],[DEVELOPMENT]],Data[],9,FALSE))</f>
        <v>4</v>
      </c>
      <c r="I20" s="51">
        <f>VLOOKUP(Yards25[[#This Row],[DEVELOPMENT]],Data[],33,FALSE)</f>
        <v>0</v>
      </c>
      <c r="J20" s="51">
        <f>VLOOKUP(Yards25[[#This Row],[DEVELOPMENT]],Data[],28,FALSE)</f>
        <v>0</v>
      </c>
      <c r="K20" s="51"/>
      <c r="L20" s="50"/>
      <c r="M20" s="51" t="str">
        <f ca="1">IFERROR(VLOOKUP(Yards25[[#This Row],[DEVELOPMENT]],Data[],4,FALSE),"")</f>
        <v>2026+</v>
      </c>
      <c r="N20" s="51" t="str">
        <f ca="1">IF(Yards25[[#This Row],[RAD/PACT]]="","",IF(OR(Yards25[[#This Row],[RAD/PACT]]="2022-2025",Yards25[[#This Row],[RAD/PACT]]=2019,Yards25[[#This Row],[RAD/PACT]]="2020-2021"),"Yes",""))</f>
        <v/>
      </c>
      <c r="O20" s="51" t="str">
        <f ca="1">IFERROR(VLOOKUP(Yards25[[#This Row],[DEVELOPMENT]],ExtComp[],8,FALSE),"")</f>
        <v/>
      </c>
      <c r="P20" s="51">
        <v>2020</v>
      </c>
      <c r="Q20" s="51"/>
      <c r="R20" s="51">
        <f>IF(ISBLANK(Yards25[[#This Row],[DSGN CALENDAR YEAR]]),"",Yards25[[#This Row],[DSGN CALENDAR YEAR]]+1)</f>
        <v>2021</v>
      </c>
      <c r="S20" s="51" t="str">
        <f>IF(ISBLANK(Yards25[[#This Row],[DSGN FISCAL YEAR]]),"",Yards25[[#This Row],[DSGN FISCAL YEAR]]+1)</f>
        <v/>
      </c>
      <c r="T20" s="51"/>
      <c r="U20" s="128">
        <f ca="1">Yards25[[#This Row],[Estimate]]*0.1</f>
        <v>0</v>
      </c>
      <c r="V20" s="47">
        <f ca="1">Yards25[[#This Row],[Estimate]]-Yards25[[#This Row],[Design Est.]]</f>
        <v>0</v>
      </c>
      <c r="W20" s="85">
        <f ca="1">(Yards25[[#This Row],['# yards]]*INDEX(UnitCosts[],MATCH(Yards25[[#This Row],[WORK TYPE]],UnitCosts[Work Type],0),2))*(1+((Yards25[[#This Row],[est. CONS Year]]-YEAR(TODAY()))*$W$3))</f>
        <v>0</v>
      </c>
      <c r="X20" s="142">
        <f>IF(ISNUMBER(SEARCH("LLC",Yards25[[#This Row],[PROGRAM]])),IF(Yards25[[#This Row],[RAD/PACT by 2025]]="yes",0,1),0)</f>
        <v>0</v>
      </c>
      <c r="Y20" s="1"/>
      <c r="Z20" s="1"/>
      <c r="AA20" s="51">
        <f ca="1">COUNTIF($X$5:Yards25[[#This Row],['# yards]],"&gt;0")</f>
        <v>0</v>
      </c>
      <c r="AB20" s="1">
        <f>IF(ISBLANK(Yards25[[#This Row],[DSGN CALENDAR YEAR]]),ROUNDDOWN(Yards25[[#This Row],[Count]]/20,0)+$AB$1,Yards25[[#This Row],[DSGN CALENDAR YEAR]])</f>
        <v>2020</v>
      </c>
      <c r="AC20" s="16">
        <f>Yards25[[#This Row],[est. DSGN Year]]+1</f>
        <v>2021</v>
      </c>
    </row>
    <row r="21" spans="1:29" hidden="1">
      <c r="A21" s="13" t="s">
        <v>187</v>
      </c>
      <c r="B21" s="51" t="str">
        <f>VLOOKUP(Yards25[[#This Row],[DEVELOPMENT]],Data[],2,FALSE)</f>
        <v>BRONX</v>
      </c>
      <c r="C2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1" s="51" t="str">
        <f>VLOOKUP(Yards25[[#This Row],[DEVELOPMENT]],Data[],52,FALSE)</f>
        <v>FEDERAL</v>
      </c>
      <c r="E21" s="50" t="str">
        <f>VLOOKUP(Yards25[[#This Row],[DEVELOPMENT]],Data[],8,FALSE)</f>
        <v>Zone 3</v>
      </c>
      <c r="F21" s="51" t="str">
        <f>VLOOKUP(Yards25[[#This Row],[DEVELOPMENT]],all[[DEVELOPMENT]:[MRST Ext. Comp. Priority]],6,FALSE)</f>
        <v>B</v>
      </c>
      <c r="G21" s="51">
        <f>VLOOKUP(Yards25[[#This Row],[DEVELOPMENT]],all[[DEVELOPMENT]:[MRST Ext. Comp. Priority]],13,FALSE)</f>
        <v>1</v>
      </c>
      <c r="H21" s="50">
        <f>IF(VLOOKUP(Yards25[[#This Row],[DEVELOPMENT]],Data[],9,FALSE)=0,5,VLOOKUP(Yards25[[#This Row],[DEVELOPMENT]],Data[],9,FALSE))</f>
        <v>5</v>
      </c>
      <c r="I21" s="51">
        <f>VLOOKUP(Yards25[[#This Row],[DEVELOPMENT]],Data[],33,FALSE)</f>
        <v>0</v>
      </c>
      <c r="J21" s="51">
        <f>VLOOKUP(Yards25[[#This Row],[DEVELOPMENT]],Data[],28,FALSE)</f>
        <v>0</v>
      </c>
      <c r="K21" s="51"/>
      <c r="L21" s="50"/>
      <c r="M21" s="51" t="str">
        <f ca="1">IFERROR(VLOOKUP(Yards25[[#This Row],[DEVELOPMENT]],Data[],4,FALSE),"")</f>
        <v/>
      </c>
      <c r="N21" s="51" t="str">
        <f ca="1">IF(Yards25[[#This Row],[RAD/PACT]]="","",IF(OR(Yards25[[#This Row],[RAD/PACT]]="2022-2025",Yards25[[#This Row],[RAD/PACT]]=2019,Yards25[[#This Row],[RAD/PACT]]="2020-2021"),"Yes",""))</f>
        <v/>
      </c>
      <c r="O21" s="51" t="str">
        <f ca="1">IFERROR(VLOOKUP(Yards25[[#This Row],[DEVELOPMENT]],ExtComp[],8,FALSE),"")</f>
        <v/>
      </c>
      <c r="P21" s="51">
        <v>2020</v>
      </c>
      <c r="Q21" s="51"/>
      <c r="R21" s="51">
        <f>IF(ISBLANK(Yards25[[#This Row],[DSGN CALENDAR YEAR]]),"",Yards25[[#This Row],[DSGN CALENDAR YEAR]]+1)</f>
        <v>2021</v>
      </c>
      <c r="S21" s="51" t="str">
        <f>IF(ISBLANK(Yards25[[#This Row],[DSGN FISCAL YEAR]]),"",Yards25[[#This Row],[DSGN FISCAL YEAR]]+1)</f>
        <v/>
      </c>
      <c r="T21" s="51"/>
      <c r="U21" s="128">
        <f ca="1">Yards25[[#This Row],[Estimate]]*0.1</f>
        <v>0</v>
      </c>
      <c r="V21" s="47">
        <f ca="1">Yards25[[#This Row],[Estimate]]-Yards25[[#This Row],[Design Est.]]</f>
        <v>0</v>
      </c>
      <c r="W21" s="85">
        <f ca="1">(Yards25[[#This Row],['# yards]]*INDEX(UnitCosts[],MATCH(Yards25[[#This Row],[WORK TYPE]],UnitCosts[Work Type],0),2))*(1+((Yards25[[#This Row],[est. CONS Year]]-YEAR(TODAY()))*$W$3))</f>
        <v>0</v>
      </c>
      <c r="X21" s="142">
        <f>IF(ISNUMBER(SEARCH("LLC",Yards25[[#This Row],[PROGRAM]])),IF(Yards25[[#This Row],[RAD/PACT by 2025]]="yes",0,1),0)</f>
        <v>0</v>
      </c>
      <c r="Y21" s="1"/>
      <c r="Z21" s="1"/>
      <c r="AA21" s="51">
        <f ca="1">COUNTIF($X$5:Yards25[[#This Row],['# yards]],"&gt;0")</f>
        <v>0</v>
      </c>
      <c r="AB21" s="1">
        <f>IF(ISBLANK(Yards25[[#This Row],[DSGN CALENDAR YEAR]]),ROUNDDOWN(Yards25[[#This Row],[Count]]/20,0)+$AB$1,Yards25[[#This Row],[DSGN CALENDAR YEAR]])</f>
        <v>2020</v>
      </c>
      <c r="AC21" s="16">
        <f>Yards25[[#This Row],[est. DSGN Year]]+1</f>
        <v>2021</v>
      </c>
    </row>
    <row r="22" spans="1:29" hidden="1">
      <c r="A22" s="13" t="s">
        <v>202</v>
      </c>
      <c r="B22" s="51" t="str">
        <f>VLOOKUP(Yards25[[#This Row],[DEVELOPMENT]],Data[],2,FALSE)</f>
        <v>BROOKLYN</v>
      </c>
      <c r="C2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22" s="51" t="str">
        <f>VLOOKUP(Yards25[[#This Row],[DEVELOPMENT]],Data[],52,FALSE)</f>
        <v>FEDERAL</v>
      </c>
      <c r="E22" s="50">
        <f>VLOOKUP(Yards25[[#This Row],[DEVELOPMENT]],Data[],8,FALSE)</f>
        <v>0</v>
      </c>
      <c r="F22" s="51" t="str">
        <f>VLOOKUP(Yards25[[#This Row],[DEVELOPMENT]],all[[DEVELOPMENT]:[MRST Ext. Comp. Priority]],6,FALSE)</f>
        <v>B</v>
      </c>
      <c r="G22" s="51">
        <f>VLOOKUP(Yards25[[#This Row],[DEVELOPMENT]],all[[DEVELOPMENT]:[MRST Ext. Comp. Priority]],13,FALSE)</f>
        <v>1</v>
      </c>
      <c r="H22" s="50">
        <f>IF(VLOOKUP(Yards25[[#This Row],[DEVELOPMENT]],Data[],9,FALSE)=0,5,VLOOKUP(Yards25[[#This Row],[DEVELOPMENT]],Data[],9,FALSE))</f>
        <v>5</v>
      </c>
      <c r="I22" s="51">
        <f>VLOOKUP(Yards25[[#This Row],[DEVELOPMENT]],Data[],33,FALSE)</f>
        <v>3</v>
      </c>
      <c r="J22" s="51">
        <f>VLOOKUP(Yards25[[#This Row],[DEVELOPMENT]],Data[],28,FALSE)</f>
        <v>0</v>
      </c>
      <c r="K22" s="51"/>
      <c r="L22" s="50"/>
      <c r="M22" s="51" t="str">
        <f ca="1">IFERROR(VLOOKUP(Yards25[[#This Row],[DEVELOPMENT]],Data[],4,FALSE),"")</f>
        <v>2026+</v>
      </c>
      <c r="N22" s="51" t="str">
        <f ca="1">IF(Yards25[[#This Row],[RAD/PACT]]="","",IF(OR(Yards25[[#This Row],[RAD/PACT]]="2022-2025",Yards25[[#This Row],[RAD/PACT]]=2019,Yards25[[#This Row],[RAD/PACT]]="2020-2021"),"Yes",""))</f>
        <v/>
      </c>
      <c r="O22" s="51">
        <f ca="1">IFERROR(VLOOKUP(Yards25[[#This Row],[DEVELOPMENT]],ExtComp[],8,FALSE),"")</f>
        <v>15</v>
      </c>
      <c r="P22" s="51">
        <v>2020</v>
      </c>
      <c r="Q22" s="51"/>
      <c r="R22" s="51">
        <f>IF(ISBLANK(Yards25[[#This Row],[DSGN CALENDAR YEAR]]),"",Yards25[[#This Row],[DSGN CALENDAR YEAR]]+1)</f>
        <v>2021</v>
      </c>
      <c r="S22" s="51" t="str">
        <f>IF(ISBLANK(Yards25[[#This Row],[DSGN FISCAL YEAR]]),"",Yards25[[#This Row],[DSGN FISCAL YEAR]]+1)</f>
        <v/>
      </c>
      <c r="T22" s="51"/>
      <c r="U22" s="128">
        <f ca="1">Yards25[[#This Row],[Estimate]]*0.1</f>
        <v>0</v>
      </c>
      <c r="V22" s="47">
        <f ca="1">Yards25[[#This Row],[Estimate]]-Yards25[[#This Row],[Design Est.]]</f>
        <v>0</v>
      </c>
      <c r="W22" s="85">
        <f ca="1">(Yards25[[#This Row],['# yards]]*INDEX(UnitCosts[],MATCH(Yards25[[#This Row],[WORK TYPE]],UnitCosts[Work Type],0),2))*(1+((Yards25[[#This Row],[est. CONS Year]]-YEAR(TODAY()))*$W$3))</f>
        <v>0</v>
      </c>
      <c r="X22" s="142">
        <f>IF(ISNUMBER(SEARCH("LLC",Yards25[[#This Row],[PROGRAM]])),IF(Yards25[[#This Row],[RAD/PACT by 2025]]="yes",0,1),0)</f>
        <v>0</v>
      </c>
      <c r="Y22" s="1"/>
      <c r="Z22" s="1"/>
      <c r="AA22" s="51">
        <f ca="1">COUNTIF($X$5:Yards25[[#This Row],['# yards]],"&gt;0")</f>
        <v>0</v>
      </c>
      <c r="AB22" s="1">
        <f>IF(ISBLANK(Yards25[[#This Row],[DSGN CALENDAR YEAR]]),ROUNDDOWN(Yards25[[#This Row],[Count]]/20,0)+$AB$1,Yards25[[#This Row],[DSGN CALENDAR YEAR]])</f>
        <v>2020</v>
      </c>
      <c r="AC22" s="16">
        <f>Yards25[[#This Row],[est. DSGN Year]]+1</f>
        <v>2021</v>
      </c>
    </row>
    <row r="23" spans="1:29" hidden="1">
      <c r="A23" s="13" t="s">
        <v>208</v>
      </c>
      <c r="B23" s="51" t="str">
        <f>VLOOKUP(Yards25[[#This Row],[DEVELOPMENT]],Data[],2,FALSE)</f>
        <v>BROOKLYN</v>
      </c>
      <c r="C2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3" s="51" t="str">
        <f>VLOOKUP(Yards25[[#This Row],[DEVELOPMENT]],Data[],52,FALSE)</f>
        <v>FEDERAL</v>
      </c>
      <c r="E23" s="50">
        <f>VLOOKUP(Yards25[[#This Row],[DEVELOPMENT]],Data[],8,FALSE)</f>
        <v>0</v>
      </c>
      <c r="F23" s="51" t="str">
        <f>VLOOKUP(Yards25[[#This Row],[DEVELOPMENT]],all[[DEVELOPMENT]:[MRST Ext. Comp. Priority]],6,FALSE)</f>
        <v>B</v>
      </c>
      <c r="G23" s="51">
        <f>VLOOKUP(Yards25[[#This Row],[DEVELOPMENT]],all[[DEVELOPMENT]:[MRST Ext. Comp. Priority]],13,FALSE)</f>
        <v>1</v>
      </c>
      <c r="H23" s="50">
        <f>IF(VLOOKUP(Yards25[[#This Row],[DEVELOPMENT]],Data[],9,FALSE)=0,5,VLOOKUP(Yards25[[#This Row],[DEVELOPMENT]],Data[],9,FALSE))</f>
        <v>5</v>
      </c>
      <c r="I23" s="51">
        <f>VLOOKUP(Yards25[[#This Row],[DEVELOPMENT]],Data[],33,FALSE)</f>
        <v>0</v>
      </c>
      <c r="J23" s="51">
        <f>VLOOKUP(Yards25[[#This Row],[DEVELOPMENT]],Data[],28,FALSE)</f>
        <v>0</v>
      </c>
      <c r="K23" s="51"/>
      <c r="L23" s="50"/>
      <c r="M23" s="51" t="str">
        <f ca="1">IFERROR(VLOOKUP(Yards25[[#This Row],[DEVELOPMENT]],Data[],4,FALSE),"")</f>
        <v>2026+</v>
      </c>
      <c r="N23" s="51" t="str">
        <f ca="1">IF(Yards25[[#This Row],[RAD/PACT]]="","",IF(OR(Yards25[[#This Row],[RAD/PACT]]="2022-2025",Yards25[[#This Row],[RAD/PACT]]=2019,Yards25[[#This Row],[RAD/PACT]]="2020-2021"),"Yes",""))</f>
        <v/>
      </c>
      <c r="O23" s="51" t="str">
        <f ca="1">IFERROR(VLOOKUP(Yards25[[#This Row],[DEVELOPMENT]],ExtComp[],8,FALSE),"")</f>
        <v/>
      </c>
      <c r="P23" s="51">
        <v>2020</v>
      </c>
      <c r="Q23" s="51"/>
      <c r="R23" s="51">
        <f>IF(ISBLANK(Yards25[[#This Row],[DSGN CALENDAR YEAR]]),"",Yards25[[#This Row],[DSGN CALENDAR YEAR]]+1)</f>
        <v>2021</v>
      </c>
      <c r="S23" s="51" t="str">
        <f>IF(ISBLANK(Yards25[[#This Row],[DSGN FISCAL YEAR]]),"",Yards25[[#This Row],[DSGN FISCAL YEAR]]+1)</f>
        <v/>
      </c>
      <c r="T23" s="51"/>
      <c r="U23" s="128">
        <f ca="1">Yards25[[#This Row],[Estimate]]*0.1</f>
        <v>0</v>
      </c>
      <c r="V23" s="47">
        <f ca="1">Yards25[[#This Row],[Estimate]]-Yards25[[#This Row],[Design Est.]]</f>
        <v>0</v>
      </c>
      <c r="W23" s="85">
        <f ca="1">(Yards25[[#This Row],['# yards]]*INDEX(UnitCosts[],MATCH(Yards25[[#This Row],[WORK TYPE]],UnitCosts[Work Type],0),2))*(1+((Yards25[[#This Row],[est. CONS Year]]-YEAR(TODAY()))*$W$3))</f>
        <v>0</v>
      </c>
      <c r="X23" s="142">
        <f>IF(ISNUMBER(SEARCH("LLC",Yards25[[#This Row],[PROGRAM]])),IF(Yards25[[#This Row],[RAD/PACT by 2025]]="yes",0,1),0)</f>
        <v>0</v>
      </c>
      <c r="Y23" s="1"/>
      <c r="Z23" s="1"/>
      <c r="AA23" s="51">
        <f ca="1">COUNTIF($X$5:Yards25[[#This Row],['# yards]],"&gt;0")</f>
        <v>0</v>
      </c>
      <c r="AB23" s="1">
        <f>IF(ISBLANK(Yards25[[#This Row],[DSGN CALENDAR YEAR]]),ROUNDDOWN(Yards25[[#This Row],[Count]]/20,0)+$AB$1,Yards25[[#This Row],[DSGN CALENDAR YEAR]])</f>
        <v>2020</v>
      </c>
      <c r="AC23" s="16">
        <f>Yards25[[#This Row],[est. DSGN Year]]+1</f>
        <v>2021</v>
      </c>
    </row>
    <row r="24" spans="1:29" hidden="1">
      <c r="A24" s="13" t="s">
        <v>194</v>
      </c>
      <c r="B24" s="51" t="str">
        <f>VLOOKUP(Yards25[[#This Row],[DEVELOPMENT]],Data[],2,FALSE)</f>
        <v>QUEENS</v>
      </c>
      <c r="C24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4" s="51" t="str">
        <f>VLOOKUP(Yards25[[#This Row],[DEVELOPMENT]],Data[],52,FALSE)</f>
        <v>FEDERAL</v>
      </c>
      <c r="E24" s="50">
        <f>VLOOKUP(Yards25[[#This Row],[DEVELOPMENT]],Data[],8,FALSE)</f>
        <v>0</v>
      </c>
      <c r="F24" s="51" t="str">
        <f>VLOOKUP(Yards25[[#This Row],[DEVELOPMENT]],all[[DEVELOPMENT]:[MRST Ext. Comp. Priority]],6,FALSE)</f>
        <v>B</v>
      </c>
      <c r="G24" s="51">
        <f>VLOOKUP(Yards25[[#This Row],[DEVELOPMENT]],all[[DEVELOPMENT]:[MRST Ext. Comp. Priority]],13,FALSE)</f>
        <v>1</v>
      </c>
      <c r="H24" s="50">
        <f>IF(VLOOKUP(Yards25[[#This Row],[DEVELOPMENT]],Data[],9,FALSE)=0,5,VLOOKUP(Yards25[[#This Row],[DEVELOPMENT]],Data[],9,FALSE))</f>
        <v>5</v>
      </c>
      <c r="I24" s="51">
        <f>VLOOKUP(Yards25[[#This Row],[DEVELOPMENT]],Data[],33,FALSE)</f>
        <v>2</v>
      </c>
      <c r="J24" s="51">
        <f>VLOOKUP(Yards25[[#This Row],[DEVELOPMENT]],Data[],28,FALSE)</f>
        <v>0</v>
      </c>
      <c r="K24" s="51"/>
      <c r="L24" s="50"/>
      <c r="M24" s="51" t="str">
        <f ca="1">IFERROR(VLOOKUP(Yards25[[#This Row],[DEVELOPMENT]],Data[],4,FALSE),"")</f>
        <v>2020-2021</v>
      </c>
      <c r="N24" s="51" t="str">
        <f ca="1">IF(Yards25[[#This Row],[RAD/PACT]]="","",IF(OR(Yards25[[#This Row],[RAD/PACT]]="2022-2025",Yards25[[#This Row],[RAD/PACT]]=2019,Yards25[[#This Row],[RAD/PACT]]="2020-2021"),"Yes",""))</f>
        <v>Yes</v>
      </c>
      <c r="O24" s="51">
        <f ca="1">IFERROR(VLOOKUP(Yards25[[#This Row],[DEVELOPMENT]],ExtComp[],8,FALSE),"")</f>
        <v>15</v>
      </c>
      <c r="P24" s="51">
        <v>2020</v>
      </c>
      <c r="Q24" s="51"/>
      <c r="R24" s="51">
        <f>IF(ISBLANK(Yards25[[#This Row],[DSGN CALENDAR YEAR]]),"",Yards25[[#This Row],[DSGN CALENDAR YEAR]]+1)</f>
        <v>2021</v>
      </c>
      <c r="S24" s="51" t="str">
        <f>IF(ISBLANK(Yards25[[#This Row],[DSGN FISCAL YEAR]]),"",Yards25[[#This Row],[DSGN FISCAL YEAR]]+1)</f>
        <v/>
      </c>
      <c r="T24" s="51"/>
      <c r="U24" s="128">
        <f ca="1">Yards25[[#This Row],[Estimate]]*0.1</f>
        <v>0</v>
      </c>
      <c r="V24" s="47">
        <f ca="1">Yards25[[#This Row],[Estimate]]-Yards25[[#This Row],[Design Est.]]</f>
        <v>0</v>
      </c>
      <c r="W24" s="85">
        <f ca="1">(Yards25[[#This Row],['# yards]]*INDEX(UnitCosts[],MATCH(Yards25[[#This Row],[WORK TYPE]],UnitCosts[Work Type],0),2))*(1+((Yards25[[#This Row],[est. CONS Year]]-YEAR(TODAY()))*$W$3))</f>
        <v>0</v>
      </c>
      <c r="X24" s="142">
        <f>IF(ISNUMBER(SEARCH("LLC",Yards25[[#This Row],[PROGRAM]])),IF(Yards25[[#This Row],[RAD/PACT by 2025]]="yes",0,1),0)</f>
        <v>0</v>
      </c>
      <c r="Y24" s="1"/>
      <c r="Z24" s="1"/>
      <c r="AA24" s="51">
        <f ca="1">COUNTIF($X$5:Yards25[[#This Row],['# yards]],"&gt;0")</f>
        <v>0</v>
      </c>
      <c r="AB24" s="1">
        <f>IF(ISBLANK(Yards25[[#This Row],[DSGN CALENDAR YEAR]]),ROUNDDOWN(Yards25[[#This Row],[Count]]/20,0)+$AB$1,Yards25[[#This Row],[DSGN CALENDAR YEAR]])</f>
        <v>2020</v>
      </c>
      <c r="AC24" s="16">
        <f>Yards25[[#This Row],[est. DSGN Year]]+1</f>
        <v>2021</v>
      </c>
    </row>
    <row r="25" spans="1:29" hidden="1">
      <c r="A25" s="13" t="s">
        <v>195</v>
      </c>
      <c r="B25" s="51" t="str">
        <f>VLOOKUP(Yards25[[#This Row],[DEVELOPMENT]],Data[],2,FALSE)</f>
        <v>MANHATTAN</v>
      </c>
      <c r="C2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5" s="51" t="str">
        <f>VLOOKUP(Yards25[[#This Row],[DEVELOPMENT]],Data[],52,FALSE)</f>
        <v>FEDERAL</v>
      </c>
      <c r="E25" s="50">
        <f>VLOOKUP(Yards25[[#This Row],[DEVELOPMENT]],Data[],8,FALSE)</f>
        <v>0</v>
      </c>
      <c r="F25" s="51" t="str">
        <f>VLOOKUP(Yards25[[#This Row],[DEVELOPMENT]],all[[DEVELOPMENT]:[MRST Ext. Comp. Priority]],6,FALSE)</f>
        <v>B</v>
      </c>
      <c r="G25" s="51">
        <f>VLOOKUP(Yards25[[#This Row],[DEVELOPMENT]],all[[DEVELOPMENT]:[MRST Ext. Comp. Priority]],13,FALSE)</f>
        <v>1</v>
      </c>
      <c r="H25" s="50">
        <f>IF(VLOOKUP(Yards25[[#This Row],[DEVELOPMENT]],Data[],9,FALSE)=0,5,VLOOKUP(Yards25[[#This Row],[DEVELOPMENT]],Data[],9,FALSE))</f>
        <v>5</v>
      </c>
      <c r="I25" s="51">
        <f>VLOOKUP(Yards25[[#This Row],[DEVELOPMENT]],Data[],33,FALSE)</f>
        <v>0</v>
      </c>
      <c r="J25" s="51">
        <f>VLOOKUP(Yards25[[#This Row],[DEVELOPMENT]],Data[],28,FALSE)</f>
        <v>0</v>
      </c>
      <c r="K25" s="51"/>
      <c r="L25" s="50"/>
      <c r="M25" s="51" t="str">
        <f ca="1">IFERROR(VLOOKUP(Yards25[[#This Row],[DEVELOPMENT]],Data[],4,FALSE),"")</f>
        <v/>
      </c>
      <c r="N25" s="51" t="str">
        <f ca="1">IF(Yards25[[#This Row],[RAD/PACT]]="","",IF(OR(Yards25[[#This Row],[RAD/PACT]]="2022-2025",Yards25[[#This Row],[RAD/PACT]]=2019,Yards25[[#This Row],[RAD/PACT]]="2020-2021"),"Yes",""))</f>
        <v/>
      </c>
      <c r="O25" s="51" t="str">
        <f ca="1">IFERROR(VLOOKUP(Yards25[[#This Row],[DEVELOPMENT]],ExtComp[],8,FALSE),"")</f>
        <v/>
      </c>
      <c r="P25" s="51">
        <v>2020</v>
      </c>
      <c r="Q25" s="51"/>
      <c r="R25" s="51">
        <f>IF(ISBLANK(Yards25[[#This Row],[DSGN CALENDAR YEAR]]),"",Yards25[[#This Row],[DSGN CALENDAR YEAR]]+1)</f>
        <v>2021</v>
      </c>
      <c r="S25" s="51" t="str">
        <f>IF(ISBLANK(Yards25[[#This Row],[DSGN FISCAL YEAR]]),"",Yards25[[#This Row],[DSGN FISCAL YEAR]]+1)</f>
        <v/>
      </c>
      <c r="T25" s="51"/>
      <c r="U25" s="128">
        <f ca="1">Yards25[[#This Row],[Estimate]]*0.1</f>
        <v>0</v>
      </c>
      <c r="V25" s="47">
        <f ca="1">Yards25[[#This Row],[Estimate]]-Yards25[[#This Row],[Design Est.]]</f>
        <v>0</v>
      </c>
      <c r="W25" s="85">
        <f ca="1">(Yards25[[#This Row],['# yards]]*INDEX(UnitCosts[],MATCH(Yards25[[#This Row],[WORK TYPE]],UnitCosts[Work Type],0),2))*(1+((Yards25[[#This Row],[est. CONS Year]]-YEAR(TODAY()))*$W$3))</f>
        <v>0</v>
      </c>
      <c r="X25" s="142">
        <f>IF(ISNUMBER(SEARCH("LLC",Yards25[[#This Row],[PROGRAM]])),IF(Yards25[[#This Row],[RAD/PACT by 2025]]="yes",0,1),0)</f>
        <v>0</v>
      </c>
      <c r="Y25" s="1"/>
      <c r="Z25" s="1"/>
      <c r="AA25" s="51">
        <f ca="1">COUNTIF($X$5:Yards25[[#This Row],['# yards]],"&gt;0")</f>
        <v>0</v>
      </c>
      <c r="AB25" s="1">
        <f>IF(ISBLANK(Yards25[[#This Row],[DSGN CALENDAR YEAR]]),ROUNDDOWN(Yards25[[#This Row],[Count]]/20,0)+$AB$1,Yards25[[#This Row],[DSGN CALENDAR YEAR]])</f>
        <v>2020</v>
      </c>
      <c r="AC25" s="16">
        <f>Yards25[[#This Row],[est. DSGN Year]]+1</f>
        <v>2021</v>
      </c>
    </row>
    <row r="26" spans="1:29" hidden="1">
      <c r="A26" s="13" t="s">
        <v>224</v>
      </c>
      <c r="B26" s="51" t="str">
        <f>VLOOKUP(Yards25[[#This Row],[DEVELOPMENT]],Data[],2,FALSE)</f>
        <v>QUEENS</v>
      </c>
      <c r="C26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6" s="51" t="str">
        <f>VLOOKUP(Yards25[[#This Row],[DEVELOPMENT]],Data[],52,FALSE)</f>
        <v>FEDERAL</v>
      </c>
      <c r="E26" s="50">
        <f>VLOOKUP(Yards25[[#This Row],[DEVELOPMENT]],Data[],8,FALSE)</f>
        <v>0</v>
      </c>
      <c r="F26" s="51" t="str">
        <f>VLOOKUP(Yards25[[#This Row],[DEVELOPMENT]],all[[DEVELOPMENT]:[MRST Ext. Comp. Priority]],6,FALSE)</f>
        <v>B</v>
      </c>
      <c r="G26" s="51">
        <f>VLOOKUP(Yards25[[#This Row],[DEVELOPMENT]],all[[DEVELOPMENT]:[MRST Ext. Comp. Priority]],13,FALSE)</f>
        <v>1</v>
      </c>
      <c r="H26" s="50">
        <f>IF(VLOOKUP(Yards25[[#This Row],[DEVELOPMENT]],Data[],9,FALSE)=0,5,VLOOKUP(Yards25[[#This Row],[DEVELOPMENT]],Data[],9,FALSE))</f>
        <v>5</v>
      </c>
      <c r="I26" s="51">
        <f>VLOOKUP(Yards25[[#This Row],[DEVELOPMENT]],Data[],33,FALSE)</f>
        <v>2</v>
      </c>
      <c r="J26" s="51">
        <f>VLOOKUP(Yards25[[#This Row],[DEVELOPMENT]],Data[],28,FALSE)</f>
        <v>0</v>
      </c>
      <c r="K26" s="51"/>
      <c r="L26" s="50"/>
      <c r="M26" s="51" t="str">
        <f ca="1">IFERROR(VLOOKUP(Yards25[[#This Row],[DEVELOPMENT]],Data[],4,FALSE),"")</f>
        <v>2026+</v>
      </c>
      <c r="N26" s="51" t="str">
        <f ca="1">IF(Yards25[[#This Row],[RAD/PACT]]="","",IF(OR(Yards25[[#This Row],[RAD/PACT]]="2022-2025",Yards25[[#This Row],[RAD/PACT]]=2019,Yards25[[#This Row],[RAD/PACT]]="2020-2021"),"Yes",""))</f>
        <v/>
      </c>
      <c r="O26" s="51">
        <f ca="1">IFERROR(VLOOKUP(Yards25[[#This Row],[DEVELOPMENT]],ExtComp[],8,FALSE),"")</f>
        <v>2</v>
      </c>
      <c r="P26" s="51">
        <v>2020</v>
      </c>
      <c r="Q26" s="51"/>
      <c r="R26" s="51">
        <f>IF(ISBLANK(Yards25[[#This Row],[DSGN CALENDAR YEAR]]),"",Yards25[[#This Row],[DSGN CALENDAR YEAR]]+1)</f>
        <v>2021</v>
      </c>
      <c r="S26" s="51" t="str">
        <f>IF(ISBLANK(Yards25[[#This Row],[DSGN FISCAL YEAR]]),"",Yards25[[#This Row],[DSGN FISCAL YEAR]]+1)</f>
        <v/>
      </c>
      <c r="T26" s="51"/>
      <c r="U26" s="128">
        <f ca="1">Yards25[[#This Row],[Estimate]]*0.1</f>
        <v>0</v>
      </c>
      <c r="V26" s="47">
        <f ca="1">Yards25[[#This Row],[Estimate]]-Yards25[[#This Row],[Design Est.]]</f>
        <v>0</v>
      </c>
      <c r="W26" s="85">
        <f ca="1">(Yards25[[#This Row],['# yards]]*INDEX(UnitCosts[],MATCH(Yards25[[#This Row],[WORK TYPE]],UnitCosts[Work Type],0),2))*(1+((Yards25[[#This Row],[est. CONS Year]]-YEAR(TODAY()))*$W$3))</f>
        <v>0</v>
      </c>
      <c r="X26" s="142">
        <f>IF(ISNUMBER(SEARCH("LLC",Yards25[[#This Row],[PROGRAM]])),IF(Yards25[[#This Row],[RAD/PACT by 2025]]="yes",0,1),0)</f>
        <v>0</v>
      </c>
      <c r="Y26" s="1"/>
      <c r="Z26" s="1"/>
      <c r="AA26" s="51">
        <f ca="1">COUNTIF($X$5:Yards25[[#This Row],['# yards]],"&gt;0")</f>
        <v>0</v>
      </c>
      <c r="AB26" s="1">
        <f>IF(ISBLANK(Yards25[[#This Row],[DSGN CALENDAR YEAR]]),ROUNDDOWN(Yards25[[#This Row],[Count]]/20,0)+$AB$1,Yards25[[#This Row],[DSGN CALENDAR YEAR]])</f>
        <v>2020</v>
      </c>
      <c r="AC26" s="16">
        <f>Yards25[[#This Row],[est. DSGN Year]]+1</f>
        <v>2021</v>
      </c>
    </row>
    <row r="27" spans="1:29" hidden="1">
      <c r="A27" s="13" t="s">
        <v>198</v>
      </c>
      <c r="B27" s="51" t="str">
        <f>VLOOKUP(Yards25[[#This Row],[DEVELOPMENT]],Data[],2,FALSE)</f>
        <v>MANHATTAN</v>
      </c>
      <c r="C27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7" s="51" t="str">
        <f>VLOOKUP(Yards25[[#This Row],[DEVELOPMENT]],Data[],52,FALSE)</f>
        <v>FEDERAL</v>
      </c>
      <c r="E27" s="50">
        <f>VLOOKUP(Yards25[[#This Row],[DEVELOPMENT]],Data[],8,FALSE)</f>
        <v>0</v>
      </c>
      <c r="F27" s="51" t="str">
        <f>VLOOKUP(Yards25[[#This Row],[DEVELOPMENT]],all[[DEVELOPMENT]:[MRST Ext. Comp. Priority]],6,FALSE)</f>
        <v>B</v>
      </c>
      <c r="G27" s="51">
        <f>VLOOKUP(Yards25[[#This Row],[DEVELOPMENT]],all[[DEVELOPMENT]:[MRST Ext. Comp. Priority]],13,FALSE)</f>
        <v>2</v>
      </c>
      <c r="H27" s="50">
        <f>IF(VLOOKUP(Yards25[[#This Row],[DEVELOPMENT]],Data[],9,FALSE)=0,5,VLOOKUP(Yards25[[#This Row],[DEVELOPMENT]],Data[],9,FALSE))</f>
        <v>5</v>
      </c>
      <c r="I27" s="51">
        <f>VLOOKUP(Yards25[[#This Row],[DEVELOPMENT]],Data[],33,FALSE)</f>
        <v>0</v>
      </c>
      <c r="J27" s="51">
        <f>VLOOKUP(Yards25[[#This Row],[DEVELOPMENT]],Data[],28,FALSE)</f>
        <v>0</v>
      </c>
      <c r="K27" s="51"/>
      <c r="L27" s="50"/>
      <c r="M27" s="51" t="str">
        <f ca="1">IFERROR(VLOOKUP(Yards25[[#This Row],[DEVELOPMENT]],Data[],4,FALSE),"")</f>
        <v/>
      </c>
      <c r="N27" s="51" t="str">
        <f ca="1">IF(Yards25[[#This Row],[RAD/PACT]]="","",IF(OR(Yards25[[#This Row],[RAD/PACT]]="2022-2025",Yards25[[#This Row],[RAD/PACT]]=2019,Yards25[[#This Row],[RAD/PACT]]="2020-2021"),"Yes",""))</f>
        <v/>
      </c>
      <c r="O27" s="51" t="str">
        <f ca="1">IFERROR(VLOOKUP(Yards25[[#This Row],[DEVELOPMENT]],ExtComp[],8,FALSE),"")</f>
        <v/>
      </c>
      <c r="P27" s="51">
        <v>2020</v>
      </c>
      <c r="Q27" s="51"/>
      <c r="R27" s="51">
        <f>IF(ISBLANK(Yards25[[#This Row],[DSGN CALENDAR YEAR]]),"",Yards25[[#This Row],[DSGN CALENDAR YEAR]]+1)</f>
        <v>2021</v>
      </c>
      <c r="S27" s="51" t="str">
        <f>IF(ISBLANK(Yards25[[#This Row],[DSGN FISCAL YEAR]]),"",Yards25[[#This Row],[DSGN FISCAL YEAR]]+1)</f>
        <v/>
      </c>
      <c r="T27" s="51"/>
      <c r="U27" s="128">
        <f ca="1">Yards25[[#This Row],[Estimate]]*0.1</f>
        <v>0</v>
      </c>
      <c r="V27" s="47">
        <f ca="1">Yards25[[#This Row],[Estimate]]-Yards25[[#This Row],[Design Est.]]</f>
        <v>0</v>
      </c>
      <c r="W27" s="85">
        <f ca="1">(Yards25[[#This Row],['# yards]]*INDEX(UnitCosts[],MATCH(Yards25[[#This Row],[WORK TYPE]],UnitCosts[Work Type],0),2))*(1+((Yards25[[#This Row],[est. CONS Year]]-YEAR(TODAY()))*$W$3))</f>
        <v>0</v>
      </c>
      <c r="X27" s="142">
        <f>IF(ISNUMBER(SEARCH("LLC",Yards25[[#This Row],[PROGRAM]])),IF(Yards25[[#This Row],[RAD/PACT by 2025]]="yes",0,1),0)</f>
        <v>0</v>
      </c>
      <c r="Y27" s="1"/>
      <c r="Z27" s="1"/>
      <c r="AA27" s="51">
        <f ca="1">COUNTIF($X$5:Yards25[[#This Row],['# yards]],"&gt;0")</f>
        <v>0</v>
      </c>
      <c r="AB27" s="1">
        <f>IF(ISBLANK(Yards25[[#This Row],[DSGN CALENDAR YEAR]]),ROUNDDOWN(Yards25[[#This Row],[Count]]/20,0)+$AB$1,Yards25[[#This Row],[DSGN CALENDAR YEAR]])</f>
        <v>2020</v>
      </c>
      <c r="AC27" s="16">
        <f>Yards25[[#This Row],[est. DSGN Year]]+1</f>
        <v>2021</v>
      </c>
    </row>
    <row r="28" spans="1:29" hidden="1">
      <c r="A28" s="13" t="s">
        <v>82</v>
      </c>
      <c r="B28" s="51" t="str">
        <f>VLOOKUP(Yards25[[#This Row],[DEVELOPMENT]],Data[],2,FALSE)</f>
        <v>MANHATTAN</v>
      </c>
      <c r="C28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8" s="51" t="str">
        <f>VLOOKUP(Yards25[[#This Row],[DEVELOPMENT]],Data[],52,FALSE)</f>
        <v>FEDERAL</v>
      </c>
      <c r="E28" s="50" t="str">
        <f>VLOOKUP(Yards25[[#This Row],[DEVELOPMENT]],Data[],8,FALSE)</f>
        <v>Zone 3</v>
      </c>
      <c r="F28" s="51" t="str">
        <f>VLOOKUP(Yards25[[#This Row],[DEVELOPMENT]],all[[DEVELOPMENT]:[MRST Ext. Comp. Priority]],6,FALSE)</f>
        <v>B</v>
      </c>
      <c r="G28" s="51">
        <f>VLOOKUP(Yards25[[#This Row],[DEVELOPMENT]],all[[DEVELOPMENT]:[MRST Ext. Comp. Priority]],13,FALSE)</f>
        <v>3</v>
      </c>
      <c r="H28" s="50">
        <f>IF(VLOOKUP(Yards25[[#This Row],[DEVELOPMENT]],Data[],9,FALSE)=0,5,VLOOKUP(Yards25[[#This Row],[DEVELOPMENT]],Data[],9,FALSE))</f>
        <v>3</v>
      </c>
      <c r="I28" s="51">
        <f>VLOOKUP(Yards25[[#This Row],[DEVELOPMENT]],Data[],33,FALSE)</f>
        <v>0</v>
      </c>
      <c r="J28" s="51">
        <f>VLOOKUP(Yards25[[#This Row],[DEVELOPMENT]],Data[],28,FALSE)</f>
        <v>0</v>
      </c>
      <c r="K28" s="51"/>
      <c r="L28" s="50"/>
      <c r="M28" s="51" t="str">
        <f ca="1">IFERROR(VLOOKUP(Yards25[[#This Row],[DEVELOPMENT]],Data[],4,FALSE),"")</f>
        <v>2020-2021</v>
      </c>
      <c r="N28" s="51" t="str">
        <f ca="1">IF(Yards25[[#This Row],[RAD/PACT]]="","",IF(OR(Yards25[[#This Row],[RAD/PACT]]="2022-2025",Yards25[[#This Row],[RAD/PACT]]=2019,Yards25[[#This Row],[RAD/PACT]]="2020-2021"),"Yes",""))</f>
        <v>Yes</v>
      </c>
      <c r="O28" s="51" t="str">
        <f ca="1">IFERROR(VLOOKUP(Yards25[[#This Row],[DEVELOPMENT]],ExtComp[],8,FALSE),"")</f>
        <v/>
      </c>
      <c r="P28" s="51">
        <v>2020</v>
      </c>
      <c r="Q28" s="51"/>
      <c r="R28" s="51">
        <f>IF(ISBLANK(Yards25[[#This Row],[DSGN CALENDAR YEAR]]),"",Yards25[[#This Row],[DSGN CALENDAR YEAR]]+1)</f>
        <v>2021</v>
      </c>
      <c r="S28" s="51" t="str">
        <f>IF(ISBLANK(Yards25[[#This Row],[DSGN FISCAL YEAR]]),"",Yards25[[#This Row],[DSGN FISCAL YEAR]]+1)</f>
        <v/>
      </c>
      <c r="T28" s="51"/>
      <c r="U28" s="128">
        <f ca="1">Yards25[[#This Row],[Estimate]]*0.1</f>
        <v>0</v>
      </c>
      <c r="V28" s="47">
        <f ca="1">Yards25[[#This Row],[Estimate]]-Yards25[[#This Row],[Design Est.]]</f>
        <v>0</v>
      </c>
      <c r="W28" s="85">
        <f ca="1">(Yards25[[#This Row],['# yards]]*INDEX(UnitCosts[],MATCH(Yards25[[#This Row],[WORK TYPE]],UnitCosts[Work Type],0),2))*(1+((Yards25[[#This Row],[est. CONS Year]]-YEAR(TODAY()))*$W$3))</f>
        <v>0</v>
      </c>
      <c r="X28" s="142">
        <f>IF(ISNUMBER(SEARCH("LLC",Yards25[[#This Row],[PROGRAM]])),IF(Yards25[[#This Row],[RAD/PACT by 2025]]="yes",0,1),0)</f>
        <v>0</v>
      </c>
      <c r="Y28" s="1"/>
      <c r="Z28" s="1"/>
      <c r="AA28" s="51">
        <f ca="1">COUNTIF($X$5:Yards25[[#This Row],['# yards]],"&gt;0")</f>
        <v>0</v>
      </c>
      <c r="AB28" s="1">
        <f>IF(ISBLANK(Yards25[[#This Row],[DSGN CALENDAR YEAR]]),ROUNDDOWN(Yards25[[#This Row],[Count]]/20,0)+$AB$1,Yards25[[#This Row],[DSGN CALENDAR YEAR]])</f>
        <v>2020</v>
      </c>
      <c r="AC28" s="16">
        <f>Yards25[[#This Row],[est. DSGN Year]]+1</f>
        <v>2021</v>
      </c>
    </row>
    <row r="29" spans="1:29" hidden="1">
      <c r="A29" s="13" t="s">
        <v>84</v>
      </c>
      <c r="B29" s="51" t="str">
        <f>VLOOKUP(Yards25[[#This Row],[DEVELOPMENT]],Data[],2,FALSE)</f>
        <v>BROOKLYN</v>
      </c>
      <c r="C29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9" s="51" t="str">
        <f>VLOOKUP(Yards25[[#This Row],[DEVELOPMENT]],Data[],52,FALSE)</f>
        <v>FEDERAL</v>
      </c>
      <c r="E29" s="50" t="str">
        <f>VLOOKUP(Yards25[[#This Row],[DEVELOPMENT]],Data[],8,FALSE)</f>
        <v>Zone 3</v>
      </c>
      <c r="F29" s="51" t="str">
        <f>VLOOKUP(Yards25[[#This Row],[DEVELOPMENT]],all[[DEVELOPMENT]:[MRST Ext. Comp. Priority]],6,FALSE)</f>
        <v>B</v>
      </c>
      <c r="G29" s="51">
        <f>VLOOKUP(Yards25[[#This Row],[DEVELOPMENT]],all[[DEVELOPMENT]:[MRST Ext. Comp. Priority]],13,FALSE)</f>
        <v>3</v>
      </c>
      <c r="H29" s="50">
        <f>IF(VLOOKUP(Yards25[[#This Row],[DEVELOPMENT]],Data[],9,FALSE)=0,5,VLOOKUP(Yards25[[#This Row],[DEVELOPMENT]],Data[],9,FALSE))</f>
        <v>4</v>
      </c>
      <c r="I29" s="51">
        <f>VLOOKUP(Yards25[[#This Row],[DEVELOPMENT]],Data[],33,FALSE)</f>
        <v>0</v>
      </c>
      <c r="J29" s="51">
        <f>VLOOKUP(Yards25[[#This Row],[DEVELOPMENT]],Data[],28,FALSE)</f>
        <v>0</v>
      </c>
      <c r="K29" s="51"/>
      <c r="L29" s="50"/>
      <c r="M29" s="51" t="str">
        <f ca="1">IFERROR(VLOOKUP(Yards25[[#This Row],[DEVELOPMENT]],Data[],4,FALSE),"")</f>
        <v/>
      </c>
      <c r="N29" s="51" t="str">
        <f ca="1">IF(Yards25[[#This Row],[RAD/PACT]]="","",IF(OR(Yards25[[#This Row],[RAD/PACT]]="2022-2025",Yards25[[#This Row],[RAD/PACT]]=2019,Yards25[[#This Row],[RAD/PACT]]="2020-2021"),"Yes",""))</f>
        <v/>
      </c>
      <c r="O29" s="51" t="str">
        <f ca="1">IFERROR(VLOOKUP(Yards25[[#This Row],[DEVELOPMENT]],ExtComp[],8,FALSE),"")</f>
        <v/>
      </c>
      <c r="P29" s="51">
        <v>2020</v>
      </c>
      <c r="Q29" s="51"/>
      <c r="R29" s="51">
        <f>IF(ISBLANK(Yards25[[#This Row],[DSGN CALENDAR YEAR]]),"",Yards25[[#This Row],[DSGN CALENDAR YEAR]]+1)</f>
        <v>2021</v>
      </c>
      <c r="S29" s="51" t="str">
        <f>IF(ISBLANK(Yards25[[#This Row],[DSGN FISCAL YEAR]]),"",Yards25[[#This Row],[DSGN FISCAL YEAR]]+1)</f>
        <v/>
      </c>
      <c r="T29" s="51"/>
      <c r="U29" s="128">
        <f ca="1">Yards25[[#This Row],[Estimate]]*0.1</f>
        <v>0</v>
      </c>
      <c r="V29" s="47">
        <f ca="1">Yards25[[#This Row],[Estimate]]-Yards25[[#This Row],[Design Est.]]</f>
        <v>0</v>
      </c>
      <c r="W29" s="85">
        <f ca="1">(Yards25[[#This Row],['# yards]]*INDEX(UnitCosts[],MATCH(Yards25[[#This Row],[WORK TYPE]],UnitCosts[Work Type],0),2))*(1+((Yards25[[#This Row],[est. CONS Year]]-YEAR(TODAY()))*$W$3))</f>
        <v>0</v>
      </c>
      <c r="X29" s="142">
        <f>IF(ISNUMBER(SEARCH("LLC",Yards25[[#This Row],[PROGRAM]])),IF(Yards25[[#This Row],[RAD/PACT by 2025]]="yes",0,1),0)</f>
        <v>0</v>
      </c>
      <c r="Y29" s="1"/>
      <c r="Z29" s="1"/>
      <c r="AA29" s="51">
        <f ca="1">COUNTIF($X$5:Yards25[[#This Row],['# yards]],"&gt;0")</f>
        <v>0</v>
      </c>
      <c r="AB29" s="1">
        <f>IF(ISBLANK(Yards25[[#This Row],[DSGN CALENDAR YEAR]]),ROUNDDOWN(Yards25[[#This Row],[Count]]/20,0)+$AB$1,Yards25[[#This Row],[DSGN CALENDAR YEAR]])</f>
        <v>2020</v>
      </c>
      <c r="AC29" s="16">
        <f>Yards25[[#This Row],[est. DSGN Year]]+1</f>
        <v>2021</v>
      </c>
    </row>
    <row r="30" spans="1:29" hidden="1">
      <c r="A30" s="13" t="s">
        <v>207</v>
      </c>
      <c r="B30" s="51" t="str">
        <f>VLOOKUP(Yards25[[#This Row],[DEVELOPMENT]],Data[],2,FALSE)</f>
        <v>BROOKLYN</v>
      </c>
      <c r="C30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30" s="51" t="str">
        <f>VLOOKUP(Yards25[[#This Row],[DEVELOPMENT]],Data[],52,FALSE)</f>
        <v>FEDERAL</v>
      </c>
      <c r="E30" s="50">
        <f>VLOOKUP(Yards25[[#This Row],[DEVELOPMENT]],Data[],8,FALSE)</f>
        <v>0</v>
      </c>
      <c r="F30" s="51" t="str">
        <f>VLOOKUP(Yards25[[#This Row],[DEVELOPMENT]],all[[DEVELOPMENT]:[MRST Ext. Comp. Priority]],6,FALSE)</f>
        <v>B</v>
      </c>
      <c r="G30" s="51">
        <f>VLOOKUP(Yards25[[#This Row],[DEVELOPMENT]],all[[DEVELOPMENT]:[MRST Ext. Comp. Priority]],13,FALSE)</f>
        <v>3</v>
      </c>
      <c r="H30" s="50">
        <f>IF(VLOOKUP(Yards25[[#This Row],[DEVELOPMENT]],Data[],9,FALSE)=0,5,VLOOKUP(Yards25[[#This Row],[DEVELOPMENT]],Data[],9,FALSE))</f>
        <v>5</v>
      </c>
      <c r="I30" s="51">
        <f>VLOOKUP(Yards25[[#This Row],[DEVELOPMENT]],Data[],33,FALSE)</f>
        <v>3</v>
      </c>
      <c r="J30" s="51">
        <f>VLOOKUP(Yards25[[#This Row],[DEVELOPMENT]],Data[],28,FALSE)</f>
        <v>0</v>
      </c>
      <c r="K30" s="51"/>
      <c r="L30" s="50"/>
      <c r="M30" s="51" t="str">
        <f ca="1">IFERROR(VLOOKUP(Yards25[[#This Row],[DEVELOPMENT]],Data[],4,FALSE),"")</f>
        <v/>
      </c>
      <c r="N30" s="51" t="str">
        <f ca="1">IF(Yards25[[#This Row],[RAD/PACT]]="","",IF(OR(Yards25[[#This Row],[RAD/PACT]]="2022-2025",Yards25[[#This Row],[RAD/PACT]]=2019,Yards25[[#This Row],[RAD/PACT]]="2020-2021"),"Yes",""))</f>
        <v/>
      </c>
      <c r="O30" s="51">
        <f ca="1">IFERROR(VLOOKUP(Yards25[[#This Row],[DEVELOPMENT]],ExtComp[],8,FALSE),"")</f>
        <v>11</v>
      </c>
      <c r="P30" s="51">
        <v>2020</v>
      </c>
      <c r="Q30" s="51"/>
      <c r="R30" s="51">
        <f>IF(ISBLANK(Yards25[[#This Row],[DSGN CALENDAR YEAR]]),"",Yards25[[#This Row],[DSGN CALENDAR YEAR]]+1)</f>
        <v>2021</v>
      </c>
      <c r="S30" s="51" t="str">
        <f>IF(ISBLANK(Yards25[[#This Row],[DSGN FISCAL YEAR]]),"",Yards25[[#This Row],[DSGN FISCAL YEAR]]+1)</f>
        <v/>
      </c>
      <c r="T30" s="51"/>
      <c r="U30" s="128">
        <f>Yards25[[#This Row],[Estimate]]*0.1</f>
        <v>0</v>
      </c>
      <c r="V30" s="47">
        <f>Yards25[[#This Row],[Estimate]]-Yards25[[#This Row],[Design Est.]]</f>
        <v>0</v>
      </c>
      <c r="W30" s="85"/>
      <c r="X30" s="142"/>
      <c r="Y30" s="1" t="s">
        <v>2298</v>
      </c>
      <c r="Z30" s="1"/>
      <c r="AA30" s="51">
        <f ca="1">COUNTIF($X$5:Yards25[[#This Row],['# yards]],"&gt;0")</f>
        <v>0</v>
      </c>
      <c r="AB30" s="1">
        <f>IF(ISBLANK(Yards25[[#This Row],[DSGN CALENDAR YEAR]]),ROUNDDOWN(Yards25[[#This Row],[Count]]/20,0)+$AB$1,Yards25[[#This Row],[DSGN CALENDAR YEAR]])</f>
        <v>2020</v>
      </c>
      <c r="AC30" s="16">
        <f>Yards25[[#This Row],[est. DSGN Year]]+1</f>
        <v>2021</v>
      </c>
    </row>
    <row r="31" spans="1:29">
      <c r="A31" s="13" t="s">
        <v>193</v>
      </c>
      <c r="B31" s="51" t="str">
        <f>VLOOKUP(Yards25[[#This Row],[DEVELOPMENT]],Data[],2,FALSE)</f>
        <v>BROOKLYN</v>
      </c>
      <c r="C31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31" s="51" t="str">
        <f>VLOOKUP(Yards25[[#This Row],[DEVELOPMENT]],Data[],52,FALSE)</f>
        <v>MIXED FINANCE/LLC1</v>
      </c>
      <c r="E31" s="50">
        <f>VLOOKUP(Yards25[[#This Row],[DEVELOPMENT]],Data[],8,FALSE)</f>
        <v>0</v>
      </c>
      <c r="F31" s="51" t="str">
        <f>VLOOKUP(Yards25[[#This Row],[DEVELOPMENT]],all[[DEVELOPMENT]:[MRST Ext. Comp. Priority]],6,FALSE)</f>
        <v>B</v>
      </c>
      <c r="G31" s="51">
        <f>VLOOKUP(Yards25[[#This Row],[DEVELOPMENT]],all[[DEVELOPMENT]:[MRST Ext. Comp. Priority]],13,FALSE)</f>
        <v>3</v>
      </c>
      <c r="H31" s="50">
        <f>IF(VLOOKUP(Yards25[[#This Row],[DEVELOPMENT]],Data[],9,FALSE)=0,5,VLOOKUP(Yards25[[#This Row],[DEVELOPMENT]],Data[],9,FALSE))</f>
        <v>5</v>
      </c>
      <c r="I31" s="51">
        <f>VLOOKUP(Yards25[[#This Row],[DEVELOPMENT]],Data[],33,FALSE)</f>
        <v>4</v>
      </c>
      <c r="J31" s="51">
        <f>VLOOKUP(Yards25[[#This Row],[DEVELOPMENT]],Data[],28,FALSE)</f>
        <v>0</v>
      </c>
      <c r="K31" s="51"/>
      <c r="L31" s="50"/>
      <c r="M31" s="51" t="str">
        <f ca="1">IFERROR(VLOOKUP(Yards25[[#This Row],[DEVELOPMENT]],Data[],4,FALSE),"")</f>
        <v>2026+</v>
      </c>
      <c r="N31" s="51" t="str">
        <f ca="1">IF(Yards25[[#This Row],[RAD/PACT]]="","",IF(OR(Yards25[[#This Row],[RAD/PACT]]="2022-2025",Yards25[[#This Row],[RAD/PACT]]=2019,Yards25[[#This Row],[RAD/PACT]]="2020-2021"),"Yes",""))</f>
        <v/>
      </c>
      <c r="O31" s="51">
        <f ca="1">IFERROR(VLOOKUP(Yards25[[#This Row],[DEVELOPMENT]],ExtComp[],8,FALSE),"")</f>
        <v>13</v>
      </c>
      <c r="P31" s="51">
        <v>2020</v>
      </c>
      <c r="Q31" s="51"/>
      <c r="R31" s="51">
        <f>IF(ISBLANK(Yards25[[#This Row],[DSGN CALENDAR YEAR]]),"",Yards25[[#This Row],[DSGN CALENDAR YEAR]]+1)</f>
        <v>2021</v>
      </c>
      <c r="S31" s="51" t="str">
        <f>IF(ISBLANK(Yards25[[#This Row],[DSGN FISCAL YEAR]]),"",Yards25[[#This Row],[DSGN FISCAL YEAR]]+1)</f>
        <v/>
      </c>
      <c r="T31" s="51"/>
      <c r="U31" s="128">
        <f ca="1">Yards25[[#This Row],[Estimate]]*0.1</f>
        <v>286609.55599909998</v>
      </c>
      <c r="V31" s="47">
        <f ca="1">Yards25[[#This Row],[Estimate]]-Yards25[[#This Row],[Design Est.]]</f>
        <v>2579486.0039919</v>
      </c>
      <c r="W31" s="85">
        <f ca="1">(Yards25[[#This Row],['# yards]]*INDEX(UnitCosts[],MATCH(Yards25[[#This Row],[WORK TYPE]],UnitCosts[Work Type],0),2))*(1+((Yards25[[#This Row],[est. CONS Year]]-YEAR(TODAY()))*$W$3))</f>
        <v>2866095.5599909998</v>
      </c>
      <c r="X31" s="142">
        <f ca="1">IF(ISNUMBER(SEARCH("LLC",Yards25[[#This Row],[PROGRAM]])),IF(Yards25[[#This Row],[RAD/PACT by 2025]]="yes",0,1),0)</f>
        <v>1</v>
      </c>
      <c r="Y31" s="1"/>
      <c r="Z31" s="1"/>
      <c r="AA31" s="51">
        <f ca="1">COUNTIF($X$5:Yards25[[#This Row],['# yards]],"&gt;0")</f>
        <v>1</v>
      </c>
      <c r="AB31" s="1">
        <v>2021</v>
      </c>
      <c r="AC31" s="16">
        <f>Yards25[[#This Row],[est. DSGN Year]]+1</f>
        <v>2022</v>
      </c>
    </row>
    <row r="32" spans="1:29" hidden="1">
      <c r="A32" s="13" t="s">
        <v>213</v>
      </c>
      <c r="B32" s="51" t="str">
        <f>VLOOKUP(Yards25[[#This Row],[DEVELOPMENT]],Data[],2,FALSE)</f>
        <v>BROOKLYN</v>
      </c>
      <c r="C32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32" s="51" t="str">
        <f>VLOOKUP(Yards25[[#This Row],[DEVELOPMENT]],Data[],52,FALSE)</f>
        <v>FEDERAL</v>
      </c>
      <c r="E32" s="50">
        <f>VLOOKUP(Yards25[[#This Row],[DEVELOPMENT]],Data[],8,FALSE)</f>
        <v>0</v>
      </c>
      <c r="F32" s="51" t="str">
        <f>VLOOKUP(Yards25[[#This Row],[DEVELOPMENT]],all[[DEVELOPMENT]:[MRST Ext. Comp. Priority]],6,FALSE)</f>
        <v>B</v>
      </c>
      <c r="G32" s="51">
        <f>VLOOKUP(Yards25[[#This Row],[DEVELOPMENT]],all[[DEVELOPMENT]:[MRST Ext. Comp. Priority]],13,FALSE)</f>
        <v>3</v>
      </c>
      <c r="H32" s="50">
        <f>IF(VLOOKUP(Yards25[[#This Row],[DEVELOPMENT]],Data[],9,FALSE)=0,5,VLOOKUP(Yards25[[#This Row],[DEVELOPMENT]],Data[],9,FALSE))</f>
        <v>5</v>
      </c>
      <c r="I32" s="51">
        <f>VLOOKUP(Yards25[[#This Row],[DEVELOPMENT]],Data[],33,FALSE)</f>
        <v>2</v>
      </c>
      <c r="J32" s="51">
        <f>VLOOKUP(Yards25[[#This Row],[DEVELOPMENT]],Data[],28,FALSE)</f>
        <v>0</v>
      </c>
      <c r="K32" s="51"/>
      <c r="L32" s="50"/>
      <c r="M32" s="51" t="str">
        <f ca="1">IFERROR(VLOOKUP(Yards25[[#This Row],[DEVELOPMENT]],Data[],4,FALSE),"")</f>
        <v>2022-2025</v>
      </c>
      <c r="N32" s="51" t="str">
        <f ca="1">IF(Yards25[[#This Row],[RAD/PACT]]="","",IF(OR(Yards25[[#This Row],[RAD/PACT]]="2022-2025",Yards25[[#This Row],[RAD/PACT]]=2019,Yards25[[#This Row],[RAD/PACT]]="2020-2021"),"Yes",""))</f>
        <v>Yes</v>
      </c>
      <c r="O32" s="51">
        <f ca="1">IFERROR(VLOOKUP(Yards25[[#This Row],[DEVELOPMENT]],ExtComp[],8,FALSE),"")</f>
        <v>2</v>
      </c>
      <c r="P32" s="51">
        <v>2020</v>
      </c>
      <c r="Q32" s="51"/>
      <c r="R32" s="51">
        <f>IF(ISBLANK(Yards25[[#This Row],[DSGN CALENDAR YEAR]]),"",Yards25[[#This Row],[DSGN CALENDAR YEAR]]+1)</f>
        <v>2021</v>
      </c>
      <c r="S32" s="51" t="str">
        <f>IF(ISBLANK(Yards25[[#This Row],[DSGN FISCAL YEAR]]),"",Yards25[[#This Row],[DSGN FISCAL YEAR]]+1)</f>
        <v/>
      </c>
      <c r="T32" s="51"/>
      <c r="U32" s="128">
        <f ca="1">Yards25[[#This Row],[Estimate]]*0.1</f>
        <v>0</v>
      </c>
      <c r="V32" s="47">
        <f ca="1">Yards25[[#This Row],[Estimate]]-Yards25[[#This Row],[Design Est.]]</f>
        <v>0</v>
      </c>
      <c r="W32" s="85">
        <f ca="1">(Yards25[[#This Row],['# yards]]*INDEX(UnitCosts[],MATCH(Yards25[[#This Row],[WORK TYPE]],UnitCosts[Work Type],0),2))*(1+((Yards25[[#This Row],[est. CONS Year]]-YEAR(TODAY()))*$W$3))</f>
        <v>0</v>
      </c>
      <c r="X32" s="142">
        <f>IF(ISNUMBER(SEARCH("LLC",Yards25[[#This Row],[PROGRAM]])),IF(Yards25[[#This Row],[RAD/PACT by 2025]]="yes",0,1),0)</f>
        <v>0</v>
      </c>
      <c r="Y32" s="1"/>
      <c r="Z32" s="1"/>
      <c r="AA32" s="51">
        <f ca="1">COUNTIF($X$5:Yards25[[#This Row],['# yards]],"&gt;0")</f>
        <v>1</v>
      </c>
      <c r="AB32" s="1">
        <f>IF(ISBLANK(Yards25[[#This Row],[DSGN CALENDAR YEAR]]),ROUNDDOWN(Yards25[[#This Row],[Count]]/20,0)+$AB$1,Yards25[[#This Row],[DSGN CALENDAR YEAR]])</f>
        <v>2020</v>
      </c>
      <c r="AC32" s="16">
        <f>Yards25[[#This Row],[est. DSGN Year]]+1</f>
        <v>2021</v>
      </c>
    </row>
    <row r="33" spans="1:29" hidden="1">
      <c r="A33" s="13" t="s">
        <v>132</v>
      </c>
      <c r="B33" s="51" t="str">
        <f>VLOOKUP(Yards25[[#This Row],[DEVELOPMENT]],Data[],2,FALSE)</f>
        <v>BRONX</v>
      </c>
      <c r="C33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33" s="51" t="str">
        <f>VLOOKUP(Yards25[[#This Row],[DEVELOPMENT]],Data[],52,FALSE)</f>
        <v>FEDERAL</v>
      </c>
      <c r="E33" s="50" t="str">
        <f>VLOOKUP(Yards25[[#This Row],[DEVELOPMENT]],Data[],8,FALSE)</f>
        <v>Zone 3</v>
      </c>
      <c r="F33" s="51" t="str">
        <f>VLOOKUP(Yards25[[#This Row],[DEVELOPMENT]],all[[DEVELOPMENT]:[MRST Ext. Comp. Priority]],6,FALSE)</f>
        <v>B</v>
      </c>
      <c r="G33" s="51">
        <f>VLOOKUP(Yards25[[#This Row],[DEVELOPMENT]],all[[DEVELOPMENT]:[MRST Ext. Comp. Priority]],13,FALSE)</f>
        <v>2</v>
      </c>
      <c r="H33" s="50">
        <f>IF(VLOOKUP(Yards25[[#This Row],[DEVELOPMENT]],Data[],9,FALSE)=0,5,VLOOKUP(Yards25[[#This Row],[DEVELOPMENT]],Data[],9,FALSE))</f>
        <v>3</v>
      </c>
      <c r="I33" s="51">
        <f>VLOOKUP(Yards25[[#This Row],[DEVELOPMENT]],Data[],33,FALSE)</f>
        <v>4</v>
      </c>
      <c r="J33" s="51">
        <f>VLOOKUP(Yards25[[#This Row],[DEVELOPMENT]],Data[],28,FALSE)</f>
        <v>0</v>
      </c>
      <c r="K33" s="51"/>
      <c r="L33" s="50"/>
      <c r="M33" s="51" t="str">
        <f ca="1">IFERROR(VLOOKUP(Yards25[[#This Row],[DEVELOPMENT]],Data[],4,FALSE),"")</f>
        <v>2022-2025</v>
      </c>
      <c r="N33" s="51" t="str">
        <f ca="1">IF(Yards25[[#This Row],[RAD/PACT]]="","",IF(OR(Yards25[[#This Row],[RAD/PACT]]="2022-2025",Yards25[[#This Row],[RAD/PACT]]=2019,Yards25[[#This Row],[RAD/PACT]]="2020-2021"),"Yes",""))</f>
        <v>Yes</v>
      </c>
      <c r="O33" s="51">
        <f ca="1">IFERROR(VLOOKUP(Yards25[[#This Row],[DEVELOPMENT]],ExtComp[],8,FALSE),"")</f>
        <v>7</v>
      </c>
      <c r="P33" s="51">
        <v>2020</v>
      </c>
      <c r="Q33" s="51"/>
      <c r="R33" s="51">
        <f>IF(ISBLANK(Yards25[[#This Row],[DSGN CALENDAR YEAR]]),"",Yards25[[#This Row],[DSGN CALENDAR YEAR]]+1)</f>
        <v>2021</v>
      </c>
      <c r="S33" s="51" t="str">
        <f>IF(ISBLANK(Yards25[[#This Row],[DSGN FISCAL YEAR]]),"",Yards25[[#This Row],[DSGN FISCAL YEAR]]+1)</f>
        <v/>
      </c>
      <c r="T33" s="51"/>
      <c r="U33" s="128">
        <f ca="1">Yards25[[#This Row],[Estimate]]*0.1</f>
        <v>0</v>
      </c>
      <c r="V33" s="47">
        <f ca="1">Yards25[[#This Row],[Estimate]]-Yards25[[#This Row],[Design Est.]]</f>
        <v>0</v>
      </c>
      <c r="W33" s="85">
        <f ca="1">(Yards25[[#This Row],['# yards]]*INDEX(UnitCosts[],MATCH(Yards25[[#This Row],[WORK TYPE]],UnitCosts[Work Type],0),2))*(1+((Yards25[[#This Row],[est. CONS Year]]-YEAR(TODAY()))*$W$3))</f>
        <v>0</v>
      </c>
      <c r="X33" s="142">
        <f>IF(ISNUMBER(SEARCH("LLC",Yards25[[#This Row],[PROGRAM]])),IF(Yards25[[#This Row],[RAD/PACT by 2025]]="yes",0,1),0)</f>
        <v>0</v>
      </c>
      <c r="Y33" s="1"/>
      <c r="Z33" s="1"/>
      <c r="AA33" s="51">
        <f ca="1">COUNTIF($X$5:Yards25[[#This Row],['# yards]],"&gt;0")</f>
        <v>1</v>
      </c>
      <c r="AB33" s="1">
        <f>IF(ISBLANK(Yards25[[#This Row],[DSGN CALENDAR YEAR]]),ROUNDDOWN(Yards25[[#This Row],[Count]]/20,0)+$AB$1,Yards25[[#This Row],[DSGN CALENDAR YEAR]])</f>
        <v>2020</v>
      </c>
      <c r="AC33" s="16">
        <f>Yards25[[#This Row],[est. DSGN Year]]+1</f>
        <v>2021</v>
      </c>
    </row>
    <row r="34" spans="1:29" hidden="1">
      <c r="A34" s="13" t="s">
        <v>56</v>
      </c>
      <c r="B34" s="51" t="str">
        <f>VLOOKUP(Yards25[[#This Row],[DEVELOPMENT]],Data[],2,FALSE)</f>
        <v>MANHATTAN</v>
      </c>
      <c r="C34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4" s="51" t="str">
        <f>VLOOKUP(Yards25[[#This Row],[DEVELOPMENT]],Data[],52,FALSE)</f>
        <v>FEDERAL</v>
      </c>
      <c r="E34" s="50" t="str">
        <f>VLOOKUP(Yards25[[#This Row],[DEVELOPMENT]],Data[],8,FALSE)</f>
        <v>Zone 1</v>
      </c>
      <c r="F34" s="51" t="str">
        <f>VLOOKUP(Yards25[[#This Row],[DEVELOPMENT]],all[[DEVELOPMENT]:[MRST Ext. Comp. Priority]],6,FALSE)</f>
        <v>B</v>
      </c>
      <c r="G34" s="51">
        <f>VLOOKUP(Yards25[[#This Row],[DEVELOPMENT]],all[[DEVELOPMENT]:[MRST Ext. Comp. Priority]],13,FALSE)</f>
        <v>4</v>
      </c>
      <c r="H34" s="50">
        <f>IF(VLOOKUP(Yards25[[#This Row],[DEVELOPMENT]],Data[],9,FALSE)=0,5,VLOOKUP(Yards25[[#This Row],[DEVELOPMENT]],Data[],9,FALSE))</f>
        <v>3</v>
      </c>
      <c r="I34" s="51">
        <f>VLOOKUP(Yards25[[#This Row],[DEVELOPMENT]],Data[],33,FALSE)</f>
        <v>0</v>
      </c>
      <c r="J34" s="51">
        <f>VLOOKUP(Yards25[[#This Row],[DEVELOPMENT]],Data[],28,FALSE)</f>
        <v>0</v>
      </c>
      <c r="K34" s="51"/>
      <c r="L34" s="50"/>
      <c r="M34" s="51" t="str">
        <f ca="1">IFERROR(VLOOKUP(Yards25[[#This Row],[DEVELOPMENT]],Data[],4,FALSE),"")</f>
        <v/>
      </c>
      <c r="N34" s="51" t="str">
        <f ca="1">IF(Yards25[[#This Row],[RAD/PACT]]="","",IF(OR(Yards25[[#This Row],[RAD/PACT]]="2022-2025",Yards25[[#This Row],[RAD/PACT]]=2019,Yards25[[#This Row],[RAD/PACT]]="2020-2021"),"Yes",""))</f>
        <v/>
      </c>
      <c r="O34" s="51" t="str">
        <f ca="1">IFERROR(VLOOKUP(Yards25[[#This Row],[DEVELOPMENT]],ExtComp[],8,FALSE),"")</f>
        <v/>
      </c>
      <c r="P34" s="51">
        <v>2020</v>
      </c>
      <c r="Q34" s="51"/>
      <c r="R34" s="51">
        <f>IF(ISBLANK(Yards25[[#This Row],[DSGN CALENDAR YEAR]]),"",Yards25[[#This Row],[DSGN CALENDAR YEAR]]+1)</f>
        <v>2021</v>
      </c>
      <c r="S34" s="51" t="str">
        <f>IF(ISBLANK(Yards25[[#This Row],[DSGN FISCAL YEAR]]),"",Yards25[[#This Row],[DSGN FISCAL YEAR]]+1)</f>
        <v/>
      </c>
      <c r="T34" s="51"/>
      <c r="U34" s="128">
        <f ca="1">Yards25[[#This Row],[Estimate]]*0.1</f>
        <v>0</v>
      </c>
      <c r="V34" s="47">
        <f ca="1">Yards25[[#This Row],[Estimate]]-Yards25[[#This Row],[Design Est.]]</f>
        <v>0</v>
      </c>
      <c r="W34" s="85">
        <f ca="1">(Yards25[[#This Row],['# yards]]*INDEX(UnitCosts[],MATCH(Yards25[[#This Row],[WORK TYPE]],UnitCosts[Work Type],0),2))*(1+((Yards25[[#This Row],[est. CONS Year]]-YEAR(TODAY()))*$W$3))</f>
        <v>0</v>
      </c>
      <c r="X34" s="142">
        <f>IF(ISNUMBER(SEARCH("LLC",Yards25[[#This Row],[PROGRAM]])),IF(Yards25[[#This Row],[RAD/PACT by 2025]]="yes",0,1),0)</f>
        <v>0</v>
      </c>
      <c r="Y34" s="1"/>
      <c r="Z34" s="1"/>
      <c r="AA34" s="51">
        <f ca="1">COUNTIF($X$5:Yards25[[#This Row],['# yards]],"&gt;0")</f>
        <v>1</v>
      </c>
      <c r="AB34" s="1">
        <f>IF(ISBLANK(Yards25[[#This Row],[DSGN CALENDAR YEAR]]),ROUNDDOWN(Yards25[[#This Row],[Count]]/20,0)+$AB$1,Yards25[[#This Row],[DSGN CALENDAR YEAR]])</f>
        <v>2020</v>
      </c>
      <c r="AC34" s="16">
        <f>Yards25[[#This Row],[est. DSGN Year]]+1</f>
        <v>2021</v>
      </c>
    </row>
    <row r="35" spans="1:29" hidden="1">
      <c r="A35" s="13" t="s">
        <v>221</v>
      </c>
      <c r="B35" s="51" t="str">
        <f>VLOOKUP(Yards25[[#This Row],[DEVELOPMENT]],Data[],2,FALSE)</f>
        <v>MANHATTAN</v>
      </c>
      <c r="C3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5" s="51" t="str">
        <f>VLOOKUP(Yards25[[#This Row],[DEVELOPMENT]],Data[],52,FALSE)</f>
        <v>FEDERAL</v>
      </c>
      <c r="E35" s="50" t="str">
        <f>VLOOKUP(Yards25[[#This Row],[DEVELOPMENT]],Data[],8,FALSE)</f>
        <v>Zone 3</v>
      </c>
      <c r="F35" s="51" t="str">
        <f>VLOOKUP(Yards25[[#This Row],[DEVELOPMENT]],all[[DEVELOPMENT]:[MRST Ext. Comp. Priority]],6,FALSE)</f>
        <v>B</v>
      </c>
      <c r="G35" s="51">
        <f>VLOOKUP(Yards25[[#This Row],[DEVELOPMENT]],all[[DEVELOPMENT]:[MRST Ext. Comp. Priority]],13,FALSE)</f>
        <v>3</v>
      </c>
      <c r="H35" s="50">
        <f>IF(VLOOKUP(Yards25[[#This Row],[DEVELOPMENT]],Data[],9,FALSE)=0,5,VLOOKUP(Yards25[[#This Row],[DEVELOPMENT]],Data[],9,FALSE))</f>
        <v>5</v>
      </c>
      <c r="I35" s="51">
        <f>VLOOKUP(Yards25[[#This Row],[DEVELOPMENT]],Data[],33,FALSE)</f>
        <v>0</v>
      </c>
      <c r="J35" s="51">
        <f>VLOOKUP(Yards25[[#This Row],[DEVELOPMENT]],Data[],28,FALSE)</f>
        <v>0</v>
      </c>
      <c r="K35" s="51"/>
      <c r="L35" s="50"/>
      <c r="M35" s="51" t="str">
        <f ca="1">IFERROR(VLOOKUP(Yards25[[#This Row],[DEVELOPMENT]],Data[],4,FALSE),"")</f>
        <v/>
      </c>
      <c r="N35" s="51" t="str">
        <f ca="1">IF(Yards25[[#This Row],[RAD/PACT]]="","",IF(OR(Yards25[[#This Row],[RAD/PACT]]="2022-2025",Yards25[[#This Row],[RAD/PACT]]=2019,Yards25[[#This Row],[RAD/PACT]]="2020-2021"),"Yes",""))</f>
        <v/>
      </c>
      <c r="O35" s="51" t="str">
        <f ca="1">IFERROR(VLOOKUP(Yards25[[#This Row],[DEVELOPMENT]],ExtComp[],8,FALSE),"")</f>
        <v/>
      </c>
      <c r="P35" s="51">
        <v>2020</v>
      </c>
      <c r="Q35" s="51"/>
      <c r="R35" s="51">
        <f>IF(ISBLANK(Yards25[[#This Row],[DSGN CALENDAR YEAR]]),"",Yards25[[#This Row],[DSGN CALENDAR YEAR]]+1)</f>
        <v>2021</v>
      </c>
      <c r="S35" s="51" t="str">
        <f>IF(ISBLANK(Yards25[[#This Row],[DSGN FISCAL YEAR]]),"",Yards25[[#This Row],[DSGN FISCAL YEAR]]+1)</f>
        <v/>
      </c>
      <c r="T35" s="51"/>
      <c r="U35" s="128">
        <f ca="1">Yards25[[#This Row],[Estimate]]*0.1</f>
        <v>0</v>
      </c>
      <c r="V35" s="47">
        <f ca="1">Yards25[[#This Row],[Estimate]]-Yards25[[#This Row],[Design Est.]]</f>
        <v>0</v>
      </c>
      <c r="W35" s="85">
        <f ca="1">(Yards25[[#This Row],['# yards]]*INDEX(UnitCosts[],MATCH(Yards25[[#This Row],[WORK TYPE]],UnitCosts[Work Type],0),2))*(1+((Yards25[[#This Row],[est. CONS Year]]-YEAR(TODAY()))*$W$3))</f>
        <v>0</v>
      </c>
      <c r="X35" s="142">
        <f>IF(ISNUMBER(SEARCH("LLC",Yards25[[#This Row],[PROGRAM]])),IF(Yards25[[#This Row],[RAD/PACT by 2025]]="yes",0,1),0)</f>
        <v>0</v>
      </c>
      <c r="Y35" s="1"/>
      <c r="Z35" s="1"/>
      <c r="AA35" s="51">
        <f ca="1">COUNTIF($X$5:Yards25[[#This Row],['# yards]],"&gt;0")</f>
        <v>1</v>
      </c>
      <c r="AB35" s="1">
        <f>IF(ISBLANK(Yards25[[#This Row],[DSGN CALENDAR YEAR]]),ROUNDDOWN(Yards25[[#This Row],[Count]]/20,0)+$AB$1,Yards25[[#This Row],[DSGN CALENDAR YEAR]])</f>
        <v>2020</v>
      </c>
      <c r="AC35" s="16">
        <f>Yards25[[#This Row],[est. DSGN Year]]+1</f>
        <v>2021</v>
      </c>
    </row>
    <row r="36" spans="1:29" hidden="1">
      <c r="A36" s="13" t="s">
        <v>203</v>
      </c>
      <c r="B36" s="51" t="str">
        <f>VLOOKUP(Yards25[[#This Row],[DEVELOPMENT]],Data[],2,FALSE)</f>
        <v>BROOKLYN</v>
      </c>
      <c r="C36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6" s="51" t="str">
        <f>VLOOKUP(Yards25[[#This Row],[DEVELOPMENT]],Data[],52,FALSE)</f>
        <v>FEDERAL</v>
      </c>
      <c r="E36" s="50">
        <f>VLOOKUP(Yards25[[#This Row],[DEVELOPMENT]],Data[],8,FALSE)</f>
        <v>0</v>
      </c>
      <c r="F36" s="51" t="str">
        <f>VLOOKUP(Yards25[[#This Row],[DEVELOPMENT]],all[[DEVELOPMENT]:[MRST Ext. Comp. Priority]],6,FALSE)</f>
        <v>B</v>
      </c>
      <c r="G36" s="51">
        <f>VLOOKUP(Yards25[[#This Row],[DEVELOPMENT]],all[[DEVELOPMENT]:[MRST Ext. Comp. Priority]],13,FALSE)</f>
        <v>3</v>
      </c>
      <c r="H36" s="50">
        <f>IF(VLOOKUP(Yards25[[#This Row],[DEVELOPMENT]],Data[],9,FALSE)=0,5,VLOOKUP(Yards25[[#This Row],[DEVELOPMENT]],Data[],9,FALSE))</f>
        <v>5</v>
      </c>
      <c r="I36" s="51">
        <f>VLOOKUP(Yards25[[#This Row],[DEVELOPMENT]],Data[],33,FALSE)</f>
        <v>0</v>
      </c>
      <c r="J36" s="51">
        <f>VLOOKUP(Yards25[[#This Row],[DEVELOPMENT]],Data[],28,FALSE)</f>
        <v>0</v>
      </c>
      <c r="K36" s="51"/>
      <c r="L36" s="50"/>
      <c r="M36" s="51" t="str">
        <f ca="1">IFERROR(VLOOKUP(Yards25[[#This Row],[DEVELOPMENT]],Data[],4,FALSE),"")</f>
        <v>2026+</v>
      </c>
      <c r="N36" s="51" t="str">
        <f ca="1">IF(Yards25[[#This Row],[RAD/PACT]]="","",IF(OR(Yards25[[#This Row],[RAD/PACT]]="2022-2025",Yards25[[#This Row],[RAD/PACT]]=2019,Yards25[[#This Row],[RAD/PACT]]="2020-2021"),"Yes",""))</f>
        <v/>
      </c>
      <c r="O36" s="51" t="str">
        <f ca="1">IFERROR(VLOOKUP(Yards25[[#This Row],[DEVELOPMENT]],ExtComp[],8,FALSE),"")</f>
        <v/>
      </c>
      <c r="P36" s="51">
        <v>2020</v>
      </c>
      <c r="Q36" s="51"/>
      <c r="R36" s="51">
        <f>IF(ISBLANK(Yards25[[#This Row],[DSGN CALENDAR YEAR]]),"",Yards25[[#This Row],[DSGN CALENDAR YEAR]]+1)</f>
        <v>2021</v>
      </c>
      <c r="S36" s="51" t="str">
        <f>IF(ISBLANK(Yards25[[#This Row],[DSGN FISCAL YEAR]]),"",Yards25[[#This Row],[DSGN FISCAL YEAR]]+1)</f>
        <v/>
      </c>
      <c r="T36" s="51"/>
      <c r="U36" s="128">
        <f ca="1">Yards25[[#This Row],[Estimate]]*0.1</f>
        <v>0</v>
      </c>
      <c r="V36" s="47">
        <f ca="1">Yards25[[#This Row],[Estimate]]-Yards25[[#This Row],[Design Est.]]</f>
        <v>0</v>
      </c>
      <c r="W36" s="85">
        <f ca="1">(Yards25[[#This Row],['# yards]]*INDEX(UnitCosts[],MATCH(Yards25[[#This Row],[WORK TYPE]],UnitCosts[Work Type],0),2))*(1+((Yards25[[#This Row],[est. CONS Year]]-YEAR(TODAY()))*$W$3))</f>
        <v>0</v>
      </c>
      <c r="X36" s="142">
        <f>IF(ISNUMBER(SEARCH("LLC",Yards25[[#This Row],[PROGRAM]])),IF(Yards25[[#This Row],[RAD/PACT by 2025]]="yes",0,1),0)</f>
        <v>0</v>
      </c>
      <c r="Y36" s="1"/>
      <c r="Z36" s="1"/>
      <c r="AA36" s="51">
        <f ca="1">COUNTIF($X$5:Yards25[[#This Row],['# yards]],"&gt;0")</f>
        <v>1</v>
      </c>
      <c r="AB36" s="1">
        <f>IF(ISBLANK(Yards25[[#This Row],[DSGN CALENDAR YEAR]]),ROUNDDOWN(Yards25[[#This Row],[Count]]/20,0)+$AB$1,Yards25[[#This Row],[DSGN CALENDAR YEAR]])</f>
        <v>2020</v>
      </c>
      <c r="AC36" s="16">
        <f>Yards25[[#This Row],[est. DSGN Year]]+1</f>
        <v>2021</v>
      </c>
    </row>
    <row r="37" spans="1:29" hidden="1">
      <c r="A37" s="13" t="s">
        <v>204</v>
      </c>
      <c r="B37" s="51" t="str">
        <f>VLOOKUP(Yards25[[#This Row],[DEVELOPMENT]],Data[],2,FALSE)</f>
        <v>BRONX</v>
      </c>
      <c r="C3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37" s="51" t="str">
        <f>VLOOKUP(Yards25[[#This Row],[DEVELOPMENT]],Data[],52,FALSE)</f>
        <v>FEDERAL</v>
      </c>
      <c r="E37" s="50" t="str">
        <f>VLOOKUP(Yards25[[#This Row],[DEVELOPMENT]],Data[],8,FALSE)</f>
        <v>Zone 4</v>
      </c>
      <c r="F37" s="51" t="str">
        <f>VLOOKUP(Yards25[[#This Row],[DEVELOPMENT]],all[[DEVELOPMENT]:[MRST Ext. Comp. Priority]],6,FALSE)</f>
        <v>B</v>
      </c>
      <c r="G37" s="51">
        <f>VLOOKUP(Yards25[[#This Row],[DEVELOPMENT]],all[[DEVELOPMENT]:[MRST Ext. Comp. Priority]],13,FALSE)</f>
        <v>4</v>
      </c>
      <c r="H37" s="50">
        <f>IF(VLOOKUP(Yards25[[#This Row],[DEVELOPMENT]],Data[],9,FALSE)=0,5,VLOOKUP(Yards25[[#This Row],[DEVELOPMENT]],Data[],9,FALSE))</f>
        <v>5</v>
      </c>
      <c r="I37" s="51">
        <f>VLOOKUP(Yards25[[#This Row],[DEVELOPMENT]],Data[],33,FALSE)</f>
        <v>3</v>
      </c>
      <c r="J37" s="51">
        <f>VLOOKUP(Yards25[[#This Row],[DEVELOPMENT]],Data[],28,FALSE)</f>
        <v>0</v>
      </c>
      <c r="K37" s="51"/>
      <c r="L37" s="50"/>
      <c r="M37" s="51" t="str">
        <f ca="1">IFERROR(VLOOKUP(Yards25[[#This Row],[DEVELOPMENT]],Data[],4,FALSE),"")</f>
        <v>2026+</v>
      </c>
      <c r="N37" s="51" t="str">
        <f ca="1">IF(Yards25[[#This Row],[RAD/PACT]]="","",IF(OR(Yards25[[#This Row],[RAD/PACT]]="2022-2025",Yards25[[#This Row],[RAD/PACT]]=2019,Yards25[[#This Row],[RAD/PACT]]="2020-2021"),"Yes",""))</f>
        <v/>
      </c>
      <c r="O37" s="51">
        <f ca="1">IFERROR(VLOOKUP(Yards25[[#This Row],[DEVELOPMENT]],ExtComp[],8,FALSE),"")</f>
        <v>20</v>
      </c>
      <c r="P37" s="51">
        <v>2020</v>
      </c>
      <c r="Q37" s="51"/>
      <c r="R37" s="51">
        <f>IF(ISBLANK(Yards25[[#This Row],[DSGN CALENDAR YEAR]]),"",Yards25[[#This Row],[DSGN CALENDAR YEAR]]+1)</f>
        <v>2021</v>
      </c>
      <c r="S37" s="51" t="str">
        <f>IF(ISBLANK(Yards25[[#This Row],[DSGN FISCAL YEAR]]),"",Yards25[[#This Row],[DSGN FISCAL YEAR]]+1)</f>
        <v/>
      </c>
      <c r="T37" s="51"/>
      <c r="U37" s="128">
        <f ca="1">Yards25[[#This Row],[Estimate]]*0.1</f>
        <v>0</v>
      </c>
      <c r="V37" s="47">
        <f ca="1">Yards25[[#This Row],[Estimate]]-Yards25[[#This Row],[Design Est.]]</f>
        <v>0</v>
      </c>
      <c r="W37" s="85">
        <f ca="1">(Yards25[[#This Row],['# yards]]*INDEX(UnitCosts[],MATCH(Yards25[[#This Row],[WORK TYPE]],UnitCosts[Work Type],0),2))*(1+((Yards25[[#This Row],[est. CONS Year]]-YEAR(TODAY()))*$W$3))</f>
        <v>0</v>
      </c>
      <c r="X37" s="142">
        <f>IF(ISNUMBER(SEARCH("LLC",Yards25[[#This Row],[PROGRAM]])),IF(Yards25[[#This Row],[RAD/PACT by 2025]]="yes",0,1),0)</f>
        <v>0</v>
      </c>
      <c r="Y37" s="1"/>
      <c r="Z37" s="1"/>
      <c r="AA37" s="51">
        <f ca="1">COUNTIF($X$5:Yards25[[#This Row],['# yards]],"&gt;0")</f>
        <v>1</v>
      </c>
      <c r="AB37" s="1">
        <f>IF(ISBLANK(Yards25[[#This Row],[DSGN CALENDAR YEAR]]),ROUNDDOWN(Yards25[[#This Row],[Count]]/20,0)+$AB$1,Yards25[[#This Row],[DSGN CALENDAR YEAR]])</f>
        <v>2020</v>
      </c>
      <c r="AC37" s="16">
        <f>Yards25[[#This Row],[est. DSGN Year]]+1</f>
        <v>2021</v>
      </c>
    </row>
    <row r="38" spans="1:29" hidden="1">
      <c r="A38" s="13" t="s">
        <v>205</v>
      </c>
      <c r="B38" s="51" t="str">
        <f>VLOOKUP(Yards25[[#This Row],[DEVELOPMENT]],Data[],2,FALSE)</f>
        <v>BROOKLYN</v>
      </c>
      <c r="C3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8" s="51" t="str">
        <f>VLOOKUP(Yards25[[#This Row],[DEVELOPMENT]],Data[],52,FALSE)</f>
        <v>FEDERAL</v>
      </c>
      <c r="E38" s="50">
        <f>VLOOKUP(Yards25[[#This Row],[DEVELOPMENT]],Data[],8,FALSE)</f>
        <v>0</v>
      </c>
      <c r="F38" s="51" t="str">
        <f>VLOOKUP(Yards25[[#This Row],[DEVELOPMENT]],all[[DEVELOPMENT]:[MRST Ext. Comp. Priority]],6,FALSE)</f>
        <v>B</v>
      </c>
      <c r="G38" s="51">
        <f>VLOOKUP(Yards25[[#This Row],[DEVELOPMENT]],all[[DEVELOPMENT]:[MRST Ext. Comp. Priority]],13,FALSE)</f>
        <v>3</v>
      </c>
      <c r="H38" s="50">
        <f>IF(VLOOKUP(Yards25[[#This Row],[DEVELOPMENT]],Data[],9,FALSE)=0,5,VLOOKUP(Yards25[[#This Row],[DEVELOPMENT]],Data[],9,FALSE))</f>
        <v>5</v>
      </c>
      <c r="I38" s="51">
        <f>VLOOKUP(Yards25[[#This Row],[DEVELOPMENT]],Data[],33,FALSE)</f>
        <v>0</v>
      </c>
      <c r="J38" s="51">
        <f>VLOOKUP(Yards25[[#This Row],[DEVELOPMENT]],Data[],28,FALSE)</f>
        <v>0</v>
      </c>
      <c r="K38" s="51"/>
      <c r="L38" s="50"/>
      <c r="M38" s="51" t="str">
        <f ca="1">IFERROR(VLOOKUP(Yards25[[#This Row],[DEVELOPMENT]],Data[],4,FALSE),"")</f>
        <v/>
      </c>
      <c r="N38" s="51" t="str">
        <f ca="1">IF(Yards25[[#This Row],[RAD/PACT]]="","",IF(OR(Yards25[[#This Row],[RAD/PACT]]="2022-2025",Yards25[[#This Row],[RAD/PACT]]=2019,Yards25[[#This Row],[RAD/PACT]]="2020-2021"),"Yes",""))</f>
        <v/>
      </c>
      <c r="O38" s="51" t="str">
        <f ca="1">IFERROR(VLOOKUP(Yards25[[#This Row],[DEVELOPMENT]],ExtComp[],8,FALSE),"")</f>
        <v/>
      </c>
      <c r="P38" s="51">
        <v>2020</v>
      </c>
      <c r="Q38" s="51"/>
      <c r="R38" s="51">
        <f>IF(ISBLANK(Yards25[[#This Row],[DSGN CALENDAR YEAR]]),"",Yards25[[#This Row],[DSGN CALENDAR YEAR]]+1)</f>
        <v>2021</v>
      </c>
      <c r="S38" s="51" t="str">
        <f>IF(ISBLANK(Yards25[[#This Row],[DSGN FISCAL YEAR]]),"",Yards25[[#This Row],[DSGN FISCAL YEAR]]+1)</f>
        <v/>
      </c>
      <c r="T38" s="51"/>
      <c r="U38" s="128">
        <f ca="1">Yards25[[#This Row],[Estimate]]*0.1</f>
        <v>0</v>
      </c>
      <c r="V38" s="47">
        <f ca="1">Yards25[[#This Row],[Estimate]]-Yards25[[#This Row],[Design Est.]]</f>
        <v>0</v>
      </c>
      <c r="W38" s="85">
        <f ca="1">(Yards25[[#This Row],['# yards]]*INDEX(UnitCosts[],MATCH(Yards25[[#This Row],[WORK TYPE]],UnitCosts[Work Type],0),2))*(1+((Yards25[[#This Row],[est. CONS Year]]-YEAR(TODAY()))*$W$3))</f>
        <v>0</v>
      </c>
      <c r="X38" s="142">
        <f>IF(ISNUMBER(SEARCH("LLC",Yards25[[#This Row],[PROGRAM]])),IF(Yards25[[#This Row],[RAD/PACT by 2025]]="yes",0,1),0)</f>
        <v>0</v>
      </c>
      <c r="Y38" s="1"/>
      <c r="Z38" s="1"/>
      <c r="AA38" s="51">
        <f ca="1">COUNTIF($X$5:Yards25[[#This Row],['# yards]],"&gt;0")</f>
        <v>1</v>
      </c>
      <c r="AB38" s="1">
        <f>IF(ISBLANK(Yards25[[#This Row],[DSGN CALENDAR YEAR]]),ROUNDDOWN(Yards25[[#This Row],[Count]]/20,0)+$AB$1,Yards25[[#This Row],[DSGN CALENDAR YEAR]])</f>
        <v>2020</v>
      </c>
      <c r="AC38" s="16">
        <f>Yards25[[#This Row],[est. DSGN Year]]+1</f>
        <v>2021</v>
      </c>
    </row>
    <row r="39" spans="1:29" hidden="1">
      <c r="A39" s="13" t="s">
        <v>191</v>
      </c>
      <c r="B39" s="51" t="str">
        <f>VLOOKUP(Yards25[[#This Row],[DEVELOPMENT]],Data[],2,FALSE)</f>
        <v>BROOKLYN</v>
      </c>
      <c r="C39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9" s="51" t="str">
        <f>VLOOKUP(Yards25[[#This Row],[DEVELOPMENT]],Data[],52,FALSE)</f>
        <v>FEDERAL</v>
      </c>
      <c r="E39" s="50" t="str">
        <f>VLOOKUP(Yards25[[#This Row],[DEVELOPMENT]],Data[],8,FALSE)</f>
        <v>Zone 4</v>
      </c>
      <c r="F39" s="51" t="str">
        <f>VLOOKUP(Yards25[[#This Row],[DEVELOPMENT]],all[[DEVELOPMENT]:[MRST Ext. Comp. Priority]],6,FALSE)</f>
        <v>B</v>
      </c>
      <c r="G39" s="51">
        <f>VLOOKUP(Yards25[[#This Row],[DEVELOPMENT]],all[[DEVELOPMENT]:[MRST Ext. Comp. Priority]],13,FALSE)</f>
        <v>3</v>
      </c>
      <c r="H39" s="50">
        <f>IF(VLOOKUP(Yards25[[#This Row],[DEVELOPMENT]],Data[],9,FALSE)=0,5,VLOOKUP(Yards25[[#This Row],[DEVELOPMENT]],Data[],9,FALSE))</f>
        <v>5</v>
      </c>
      <c r="I39" s="51">
        <f>VLOOKUP(Yards25[[#This Row],[DEVELOPMENT]],Data[],33,FALSE)</f>
        <v>0</v>
      </c>
      <c r="J39" s="51">
        <f>VLOOKUP(Yards25[[#This Row],[DEVELOPMENT]],Data[],28,FALSE)</f>
        <v>0</v>
      </c>
      <c r="K39" s="51"/>
      <c r="L39" s="50"/>
      <c r="M39" s="51" t="str">
        <f ca="1">IFERROR(VLOOKUP(Yards25[[#This Row],[DEVELOPMENT]],Data[],4,FALSE),"")</f>
        <v/>
      </c>
      <c r="N39" s="51" t="str">
        <f ca="1">IF(Yards25[[#This Row],[RAD/PACT]]="","",IF(OR(Yards25[[#This Row],[RAD/PACT]]="2022-2025",Yards25[[#This Row],[RAD/PACT]]=2019,Yards25[[#This Row],[RAD/PACT]]="2020-2021"),"Yes",""))</f>
        <v/>
      </c>
      <c r="O39" s="51" t="str">
        <f ca="1">IFERROR(VLOOKUP(Yards25[[#This Row],[DEVELOPMENT]],ExtComp[],8,FALSE),"")</f>
        <v/>
      </c>
      <c r="P39" s="51">
        <v>2020</v>
      </c>
      <c r="Q39" s="51"/>
      <c r="R39" s="51">
        <f>IF(ISBLANK(Yards25[[#This Row],[DSGN CALENDAR YEAR]]),"",Yards25[[#This Row],[DSGN CALENDAR YEAR]]+1)</f>
        <v>2021</v>
      </c>
      <c r="S39" s="51" t="str">
        <f>IF(ISBLANK(Yards25[[#This Row],[DSGN FISCAL YEAR]]),"",Yards25[[#This Row],[DSGN FISCAL YEAR]]+1)</f>
        <v/>
      </c>
      <c r="T39" s="51"/>
      <c r="U39" s="128">
        <f ca="1">Yards25[[#This Row],[Estimate]]*0.1</f>
        <v>0</v>
      </c>
      <c r="V39" s="47">
        <f ca="1">Yards25[[#This Row],[Estimate]]-Yards25[[#This Row],[Design Est.]]</f>
        <v>0</v>
      </c>
      <c r="W39" s="85">
        <f ca="1">(Yards25[[#This Row],['# yards]]*INDEX(UnitCosts[],MATCH(Yards25[[#This Row],[WORK TYPE]],UnitCosts[Work Type],0),2))*(1+((Yards25[[#This Row],[est. CONS Year]]-YEAR(TODAY()))*$W$3))</f>
        <v>0</v>
      </c>
      <c r="X39" s="142">
        <f>IF(ISNUMBER(SEARCH("LLC",Yards25[[#This Row],[PROGRAM]])),IF(Yards25[[#This Row],[RAD/PACT by 2025]]="yes",0,1),0)</f>
        <v>0</v>
      </c>
      <c r="Y39" s="1"/>
      <c r="Z39" s="1"/>
      <c r="AA39" s="51">
        <f ca="1">COUNTIF($X$5:Yards25[[#This Row],['# yards]],"&gt;0")</f>
        <v>1</v>
      </c>
      <c r="AB39" s="1">
        <f>IF(ISBLANK(Yards25[[#This Row],[DSGN CALENDAR YEAR]]),ROUNDDOWN(Yards25[[#This Row],[Count]]/20,0)+$AB$1,Yards25[[#This Row],[DSGN CALENDAR YEAR]])</f>
        <v>2020</v>
      </c>
      <c r="AC39" s="16">
        <f>Yards25[[#This Row],[est. DSGN Year]]+1</f>
        <v>2021</v>
      </c>
    </row>
    <row r="40" spans="1:29" hidden="1">
      <c r="A40" s="13" t="s">
        <v>222</v>
      </c>
      <c r="B40" s="51" t="str">
        <f>VLOOKUP(Yards25[[#This Row],[DEVELOPMENT]],Data[],2,FALSE)</f>
        <v>BRONX</v>
      </c>
      <c r="C40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40" s="51" t="str">
        <f>VLOOKUP(Yards25[[#This Row],[DEVELOPMENT]],Data[],52,FALSE)</f>
        <v>FEDERAL</v>
      </c>
      <c r="E40" s="50" t="str">
        <f>VLOOKUP(Yards25[[#This Row],[DEVELOPMENT]],Data[],8,FALSE)</f>
        <v>Zone 4</v>
      </c>
      <c r="F40" s="51" t="str">
        <f>VLOOKUP(Yards25[[#This Row],[DEVELOPMENT]],all[[DEVELOPMENT]:[MRST Ext. Comp. Priority]],6,FALSE)</f>
        <v>B</v>
      </c>
      <c r="G40" s="51">
        <f>VLOOKUP(Yards25[[#This Row],[DEVELOPMENT]],all[[DEVELOPMENT]:[MRST Ext. Comp. Priority]],13,FALSE)</f>
        <v>4</v>
      </c>
      <c r="H40" s="50">
        <f>IF(VLOOKUP(Yards25[[#This Row],[DEVELOPMENT]],Data[],9,FALSE)=0,5,VLOOKUP(Yards25[[#This Row],[DEVELOPMENT]],Data[],9,FALSE))</f>
        <v>5</v>
      </c>
      <c r="I40" s="51">
        <f>VLOOKUP(Yards25[[#This Row],[DEVELOPMENT]],Data[],33,FALSE)</f>
        <v>2</v>
      </c>
      <c r="J40" s="51">
        <f>VLOOKUP(Yards25[[#This Row],[DEVELOPMENT]],Data[],28,FALSE)</f>
        <v>0</v>
      </c>
      <c r="K40" s="51"/>
      <c r="L40" s="50"/>
      <c r="M40" s="51" t="str">
        <f ca="1">IFERROR(VLOOKUP(Yards25[[#This Row],[DEVELOPMENT]],Data[],4,FALSE),"")</f>
        <v>2026+</v>
      </c>
      <c r="N40" s="51" t="str">
        <f ca="1">IF(Yards25[[#This Row],[RAD/PACT]]="","",IF(OR(Yards25[[#This Row],[RAD/PACT]]="2022-2025",Yards25[[#This Row],[RAD/PACT]]=2019,Yards25[[#This Row],[RAD/PACT]]="2020-2021"),"Yes",""))</f>
        <v/>
      </c>
      <c r="O40" s="51">
        <f ca="1">IFERROR(VLOOKUP(Yards25[[#This Row],[DEVELOPMENT]],ExtComp[],8,FALSE),"")</f>
        <v>20</v>
      </c>
      <c r="P40" s="51">
        <v>2020</v>
      </c>
      <c r="Q40" s="51"/>
      <c r="R40" s="51">
        <f>IF(ISBLANK(Yards25[[#This Row],[DSGN CALENDAR YEAR]]),"",Yards25[[#This Row],[DSGN CALENDAR YEAR]]+1)</f>
        <v>2021</v>
      </c>
      <c r="S40" s="51" t="str">
        <f>IF(ISBLANK(Yards25[[#This Row],[DSGN FISCAL YEAR]]),"",Yards25[[#This Row],[DSGN FISCAL YEAR]]+1)</f>
        <v/>
      </c>
      <c r="T40" s="51"/>
      <c r="U40" s="128">
        <f ca="1">Yards25[[#This Row],[Estimate]]*0.1</f>
        <v>0</v>
      </c>
      <c r="V40" s="47">
        <f ca="1">Yards25[[#This Row],[Estimate]]-Yards25[[#This Row],[Design Est.]]</f>
        <v>0</v>
      </c>
      <c r="W40" s="85">
        <f ca="1">(Yards25[[#This Row],['# yards]]*INDEX(UnitCosts[],MATCH(Yards25[[#This Row],[WORK TYPE]],UnitCosts[Work Type],0),2))*(1+((Yards25[[#This Row],[est. CONS Year]]-YEAR(TODAY()))*$W$3))</f>
        <v>0</v>
      </c>
      <c r="X40" s="142">
        <f>IF(ISNUMBER(SEARCH("LLC",Yards25[[#This Row],[PROGRAM]])),IF(Yards25[[#This Row],[RAD/PACT by 2025]]="yes",0,1),0)</f>
        <v>0</v>
      </c>
      <c r="Y40" s="1"/>
      <c r="Z40" s="1"/>
      <c r="AA40" s="51">
        <f ca="1">COUNTIF($X$5:Yards25[[#This Row],['# yards]],"&gt;0")</f>
        <v>1</v>
      </c>
      <c r="AB40" s="1">
        <f>IF(ISBLANK(Yards25[[#This Row],[DSGN CALENDAR YEAR]]),ROUNDDOWN(Yards25[[#This Row],[Count]]/20,0)+$AB$1,Yards25[[#This Row],[DSGN CALENDAR YEAR]])</f>
        <v>2020</v>
      </c>
      <c r="AC40" s="16">
        <f>Yards25[[#This Row],[est. DSGN Year]]+1</f>
        <v>2021</v>
      </c>
    </row>
    <row r="41" spans="1:29" hidden="1">
      <c r="A41" s="13" t="s">
        <v>210</v>
      </c>
      <c r="B41" s="51" t="str">
        <f>VLOOKUP(Yards25[[#This Row],[DEVELOPMENT]],Data[],2,FALSE)</f>
        <v>BRONX</v>
      </c>
      <c r="C41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41" s="51" t="str">
        <f>VLOOKUP(Yards25[[#This Row],[DEVELOPMENT]],Data[],52,FALSE)</f>
        <v>FEDERAL</v>
      </c>
      <c r="E41" s="50">
        <f>VLOOKUP(Yards25[[#This Row],[DEVELOPMENT]],Data[],8,FALSE)</f>
        <v>0</v>
      </c>
      <c r="F41" s="51" t="str">
        <f>VLOOKUP(Yards25[[#This Row],[DEVELOPMENT]],all[[DEVELOPMENT]:[MRST Ext. Comp. Priority]],6,FALSE)</f>
        <v>B</v>
      </c>
      <c r="G41" s="51">
        <f>VLOOKUP(Yards25[[#This Row],[DEVELOPMENT]],all[[DEVELOPMENT]:[MRST Ext. Comp. Priority]],13,FALSE)</f>
        <v>2</v>
      </c>
      <c r="H41" s="50">
        <f>IF(VLOOKUP(Yards25[[#This Row],[DEVELOPMENT]],Data[],9,FALSE)=0,5,VLOOKUP(Yards25[[#This Row],[DEVELOPMENT]],Data[],9,FALSE))</f>
        <v>5</v>
      </c>
      <c r="I41" s="51">
        <f>VLOOKUP(Yards25[[#This Row],[DEVELOPMENT]],Data[],33,FALSE)</f>
        <v>3</v>
      </c>
      <c r="J41" s="51">
        <f>VLOOKUP(Yards25[[#This Row],[DEVELOPMENT]],Data[],28,FALSE)</f>
        <v>0</v>
      </c>
      <c r="K41" s="51"/>
      <c r="L41" s="50"/>
      <c r="M41" s="51" t="str">
        <f ca="1">IFERROR(VLOOKUP(Yards25[[#This Row],[DEVELOPMENT]],Data[],4,FALSE),"")</f>
        <v>2022-2025</v>
      </c>
      <c r="N41" s="51" t="str">
        <f ca="1">IF(Yards25[[#This Row],[RAD/PACT]]="","",IF(OR(Yards25[[#This Row],[RAD/PACT]]="2022-2025",Yards25[[#This Row],[RAD/PACT]]=2019,Yards25[[#This Row],[RAD/PACT]]="2020-2021"),"Yes",""))</f>
        <v>Yes</v>
      </c>
      <c r="O41" s="51">
        <f ca="1">IFERROR(VLOOKUP(Yards25[[#This Row],[DEVELOPMENT]],ExtComp[],8,FALSE),"")</f>
        <v>19</v>
      </c>
      <c r="P41" s="51">
        <v>2020</v>
      </c>
      <c r="Q41" s="51"/>
      <c r="R41" s="51">
        <f>IF(ISBLANK(Yards25[[#This Row],[DSGN CALENDAR YEAR]]),"",Yards25[[#This Row],[DSGN CALENDAR YEAR]]+1)</f>
        <v>2021</v>
      </c>
      <c r="S41" s="51" t="str">
        <f>IF(ISBLANK(Yards25[[#This Row],[DSGN FISCAL YEAR]]),"",Yards25[[#This Row],[DSGN FISCAL YEAR]]+1)</f>
        <v/>
      </c>
      <c r="T41" s="51"/>
      <c r="U41" s="128">
        <f ca="1">Yards25[[#This Row],[Estimate]]*0.1</f>
        <v>0</v>
      </c>
      <c r="V41" s="47">
        <f ca="1">Yards25[[#This Row],[Estimate]]-Yards25[[#This Row],[Design Est.]]</f>
        <v>0</v>
      </c>
      <c r="W41" s="85">
        <f ca="1">(Yards25[[#This Row],['# yards]]*INDEX(UnitCosts[],MATCH(Yards25[[#This Row],[WORK TYPE]],UnitCosts[Work Type],0),2))*(1+((Yards25[[#This Row],[est. CONS Year]]-YEAR(TODAY()))*$W$3))</f>
        <v>0</v>
      </c>
      <c r="X41" s="142">
        <f>IF(ISNUMBER(SEARCH("LLC",Yards25[[#This Row],[PROGRAM]])),IF(Yards25[[#This Row],[RAD/PACT by 2025]]="yes",0,1),0)</f>
        <v>0</v>
      </c>
      <c r="Y41" s="1"/>
      <c r="Z41" s="1"/>
      <c r="AA41" s="51">
        <f ca="1">COUNTIF($X$5:Yards25[[#This Row],['# yards]],"&gt;0")</f>
        <v>1</v>
      </c>
      <c r="AB41" s="1">
        <f>IF(ISBLANK(Yards25[[#This Row],[DSGN CALENDAR YEAR]]),ROUNDDOWN(Yards25[[#This Row],[Count]]/20,0)+$AB$1,Yards25[[#This Row],[DSGN CALENDAR YEAR]])</f>
        <v>2020</v>
      </c>
      <c r="AC41" s="16">
        <f>Yards25[[#This Row],[est. DSGN Year]]+1</f>
        <v>2021</v>
      </c>
    </row>
    <row r="42" spans="1:29" hidden="1">
      <c r="A42" s="13" t="s">
        <v>196</v>
      </c>
      <c r="B42" s="51" t="str">
        <f>VLOOKUP(Yards25[[#This Row],[DEVELOPMENT]],Data[],2,FALSE)</f>
        <v>BROOKLYN</v>
      </c>
      <c r="C4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v6</v>
      </c>
      <c r="D42" s="51" t="str">
        <f>VLOOKUP(Yards25[[#This Row],[DEVELOPMENT]],Data[],52,FALSE)</f>
        <v>FEDERAL</v>
      </c>
      <c r="E42" s="50">
        <f>VLOOKUP(Yards25[[#This Row],[DEVELOPMENT]],Data[],8,FALSE)</f>
        <v>0</v>
      </c>
      <c r="F42" s="51" t="str">
        <f>VLOOKUP(Yards25[[#This Row],[DEVELOPMENT]],all[[DEVELOPMENT]:[MRST Ext. Comp. Priority]],6,FALSE)</f>
        <v>B</v>
      </c>
      <c r="G42" s="51">
        <f>VLOOKUP(Yards25[[#This Row],[DEVELOPMENT]],all[[DEVELOPMENT]:[MRST Ext. Comp. Priority]],13,FALSE)</f>
        <v>4</v>
      </c>
      <c r="H42" s="50">
        <f>IF(VLOOKUP(Yards25[[#This Row],[DEVELOPMENT]],Data[],9,FALSE)=0,5,VLOOKUP(Yards25[[#This Row],[DEVELOPMENT]],Data[],9,FALSE))</f>
        <v>5</v>
      </c>
      <c r="I42" s="51">
        <f>VLOOKUP(Yards25[[#This Row],[DEVELOPMENT]],Data[],33,FALSE)</f>
        <v>5</v>
      </c>
      <c r="J42" s="51">
        <f>VLOOKUP(Yards25[[#This Row],[DEVELOPMENT]],Data[],28,FALSE)</f>
        <v>0</v>
      </c>
      <c r="K42" s="51"/>
      <c r="L42" s="50"/>
      <c r="M42" s="51" t="str">
        <f ca="1">IFERROR(VLOOKUP(Yards25[[#This Row],[DEVELOPMENT]],Data[],4,FALSE),"")</f>
        <v>2026+</v>
      </c>
      <c r="N42" s="51" t="str">
        <f ca="1">IF(Yards25[[#This Row],[RAD/PACT]]="","",IF(OR(Yards25[[#This Row],[RAD/PACT]]="2022-2025",Yards25[[#This Row],[RAD/PACT]]=2019,Yards25[[#This Row],[RAD/PACT]]="2020-2021"),"Yes",""))</f>
        <v/>
      </c>
      <c r="O42" s="51">
        <f ca="1">IFERROR(VLOOKUP(Yards25[[#This Row],[DEVELOPMENT]],ExtComp[],8,FALSE),"")</f>
        <v>18</v>
      </c>
      <c r="P42" s="51">
        <v>2020</v>
      </c>
      <c r="Q42" s="51"/>
      <c r="R42" s="51">
        <f>IF(ISBLANK(Yards25[[#This Row],[DSGN CALENDAR YEAR]]),"",Yards25[[#This Row],[DSGN CALENDAR YEAR]]+1)</f>
        <v>2021</v>
      </c>
      <c r="S42" s="51" t="str">
        <f>IF(ISBLANK(Yards25[[#This Row],[DSGN FISCAL YEAR]]),"",Yards25[[#This Row],[DSGN FISCAL YEAR]]+1)</f>
        <v/>
      </c>
      <c r="T42" s="51"/>
      <c r="U42" s="128">
        <f ca="1">Yards25[[#This Row],[Estimate]]*0.1</f>
        <v>0</v>
      </c>
      <c r="V42" s="47">
        <f ca="1">Yards25[[#This Row],[Estimate]]-Yards25[[#This Row],[Design Est.]]</f>
        <v>0</v>
      </c>
      <c r="W42" s="85">
        <f ca="1">(Yards25[[#This Row],['# yards]]*INDEX(UnitCosts[],MATCH(Yards25[[#This Row],[WORK TYPE]],UnitCosts[Work Type],0),2))*(1+((Yards25[[#This Row],[est. CONS Year]]-YEAR(TODAY()))*$W$3))</f>
        <v>0</v>
      </c>
      <c r="X42" s="142">
        <f>IF(ISNUMBER(SEARCH("LLC",Yards25[[#This Row],[PROGRAM]])),IF(Yards25[[#This Row],[RAD/PACT by 2025]]="yes",0,1),0)</f>
        <v>0</v>
      </c>
      <c r="Y42" s="1"/>
      <c r="Z42" s="1"/>
      <c r="AA42" s="51">
        <f ca="1">COUNTIF($X$5:Yards25[[#This Row],['# yards]],"&gt;0")</f>
        <v>1</v>
      </c>
      <c r="AB42" s="1">
        <f>IF(ISBLANK(Yards25[[#This Row],[DSGN CALENDAR YEAR]]),ROUNDDOWN(Yards25[[#This Row],[Count]]/20,0)+$AB$1,Yards25[[#This Row],[DSGN CALENDAR YEAR]])</f>
        <v>2020</v>
      </c>
      <c r="AC42" s="16">
        <f>Yards25[[#This Row],[est. DSGN Year]]+1</f>
        <v>2021</v>
      </c>
    </row>
    <row r="43" spans="1:29" hidden="1">
      <c r="A43" s="13" t="s">
        <v>197</v>
      </c>
      <c r="B43" s="51" t="str">
        <f>VLOOKUP(Yards25[[#This Row],[DEVELOPMENT]],Data[],2,FALSE)</f>
        <v>BRONX</v>
      </c>
      <c r="C4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43" s="51" t="str">
        <f>VLOOKUP(Yards25[[#This Row],[DEVELOPMENT]],Data[],52,FALSE)</f>
        <v>FEDERAL</v>
      </c>
      <c r="E43" s="50">
        <f>VLOOKUP(Yards25[[#This Row],[DEVELOPMENT]],Data[],8,FALSE)</f>
        <v>0</v>
      </c>
      <c r="F43" s="51" t="str">
        <f>VLOOKUP(Yards25[[#This Row],[DEVELOPMENT]],all[[DEVELOPMENT]:[MRST Ext. Comp. Priority]],6,FALSE)</f>
        <v>B</v>
      </c>
      <c r="G43" s="51">
        <f>VLOOKUP(Yards25[[#This Row],[DEVELOPMENT]],all[[DEVELOPMENT]:[MRST Ext. Comp. Priority]],13,FALSE)</f>
        <v>3</v>
      </c>
      <c r="H43" s="50">
        <f>IF(VLOOKUP(Yards25[[#This Row],[DEVELOPMENT]],Data[],9,FALSE)=0,5,VLOOKUP(Yards25[[#This Row],[DEVELOPMENT]],Data[],9,FALSE))</f>
        <v>5</v>
      </c>
      <c r="I43" s="51">
        <f>VLOOKUP(Yards25[[#This Row],[DEVELOPMENT]],Data[],33,FALSE)</f>
        <v>4</v>
      </c>
      <c r="J43" s="51">
        <f>VLOOKUP(Yards25[[#This Row],[DEVELOPMENT]],Data[],28,FALSE)</f>
        <v>0</v>
      </c>
      <c r="K43" s="51"/>
      <c r="L43" s="50"/>
      <c r="M43" s="51" t="str">
        <f ca="1">IFERROR(VLOOKUP(Yards25[[#This Row],[DEVELOPMENT]],Data[],4,FALSE),"")</f>
        <v>2026+</v>
      </c>
      <c r="N43" s="51" t="str">
        <f ca="1">IF(Yards25[[#This Row],[RAD/PACT]]="","",IF(OR(Yards25[[#This Row],[RAD/PACT]]="2022-2025",Yards25[[#This Row],[RAD/PACT]]=2019,Yards25[[#This Row],[RAD/PACT]]="2020-2021"),"Yes",""))</f>
        <v/>
      </c>
      <c r="O43" s="51">
        <f ca="1">IFERROR(VLOOKUP(Yards25[[#This Row],[DEVELOPMENT]],ExtComp[],8,FALSE),"")</f>
        <v>16</v>
      </c>
      <c r="P43" s="51">
        <v>2020</v>
      </c>
      <c r="Q43" s="51"/>
      <c r="R43" s="51">
        <f>IF(ISBLANK(Yards25[[#This Row],[DSGN CALENDAR YEAR]]),"",Yards25[[#This Row],[DSGN CALENDAR YEAR]]+1)</f>
        <v>2021</v>
      </c>
      <c r="S43" s="51" t="str">
        <f>IF(ISBLANK(Yards25[[#This Row],[DSGN FISCAL YEAR]]),"",Yards25[[#This Row],[DSGN FISCAL YEAR]]+1)</f>
        <v/>
      </c>
      <c r="T43" s="51"/>
      <c r="U43" s="128">
        <f ca="1">Yards25[[#This Row],[Estimate]]*0.1</f>
        <v>0</v>
      </c>
      <c r="V43" s="47">
        <f ca="1">Yards25[[#This Row],[Estimate]]-Yards25[[#This Row],[Design Est.]]</f>
        <v>0</v>
      </c>
      <c r="W43" s="85">
        <f ca="1">(Yards25[[#This Row],['# yards]]*INDEX(UnitCosts[],MATCH(Yards25[[#This Row],[WORK TYPE]],UnitCosts[Work Type],0),2))*(1+((Yards25[[#This Row],[est. CONS Year]]-YEAR(TODAY()))*$W$3))</f>
        <v>0</v>
      </c>
      <c r="X43" s="142">
        <f>IF(ISNUMBER(SEARCH("LLC",Yards25[[#This Row],[PROGRAM]])),IF(Yards25[[#This Row],[RAD/PACT by 2025]]="yes",0,1),0)</f>
        <v>0</v>
      </c>
      <c r="Y43" s="1"/>
      <c r="Z43" s="1"/>
      <c r="AA43" s="51">
        <f ca="1">COUNTIF($X$5:Yards25[[#This Row],['# yards]],"&gt;0")</f>
        <v>1</v>
      </c>
      <c r="AB43" s="1">
        <f>IF(ISBLANK(Yards25[[#This Row],[DSGN CALENDAR YEAR]]),ROUNDDOWN(Yards25[[#This Row],[Count]]/20,0)+$AB$1,Yards25[[#This Row],[DSGN CALENDAR YEAR]])</f>
        <v>2020</v>
      </c>
      <c r="AC43" s="16">
        <f>Yards25[[#This Row],[est. DSGN Year]]+1</f>
        <v>2021</v>
      </c>
    </row>
    <row r="44" spans="1:29" hidden="1">
      <c r="A44" s="13" t="s">
        <v>133</v>
      </c>
      <c r="B44" s="51" t="str">
        <f>VLOOKUP(Yards25[[#This Row],[DEVELOPMENT]],Data[],2,FALSE)</f>
        <v>MANHATTAN</v>
      </c>
      <c r="C44" s="51" t="s">
        <v>495</v>
      </c>
      <c r="D44" s="51" t="str">
        <f>VLOOKUP(Yards25[[#This Row],[DEVELOPMENT]],Data[],52,FALSE)</f>
        <v>FEDERAL</v>
      </c>
      <c r="E44" s="50" t="str">
        <f>VLOOKUP(Yards25[[#This Row],[DEVELOPMENT]],Data[],8,FALSE)</f>
        <v>Zone 2</v>
      </c>
      <c r="F44" s="51" t="str">
        <f>VLOOKUP(Yards25[[#This Row],[DEVELOPMENT]],all[[DEVELOPMENT]:[MRST Ext. Comp. Priority]],6,FALSE)</f>
        <v>None</v>
      </c>
      <c r="G44" s="51">
        <f>VLOOKUP(Yards25[[#This Row],[DEVELOPMENT]],all[[DEVELOPMENT]:[MRST Ext. Comp. Priority]],13,FALSE)</f>
        <v>2</v>
      </c>
      <c r="H44" s="50">
        <f>IF(VLOOKUP(Yards25[[#This Row],[DEVELOPMENT]],Data[],9,FALSE)=0,5,VLOOKUP(Yards25[[#This Row],[DEVELOPMENT]],Data[],9,FALSE))</f>
        <v>4</v>
      </c>
      <c r="I44" s="51">
        <f>VLOOKUP(Yards25[[#This Row],[DEVELOPMENT]],Data[],33,FALSE)</f>
        <v>3</v>
      </c>
      <c r="J44" s="51">
        <f>VLOOKUP(Yards25[[#This Row],[DEVELOPMENT]],Data[],28,FALSE)</f>
        <v>0</v>
      </c>
      <c r="K44" s="51"/>
      <c r="L44" s="50"/>
      <c r="M44" s="51" t="str">
        <f ca="1">IFERROR(VLOOKUP(Yards25[[#This Row],[DEVELOPMENT]],Data[],4,FALSE),"")</f>
        <v/>
      </c>
      <c r="N44" s="51" t="str">
        <f ca="1">IF(Yards25[[#This Row],[RAD/PACT]]="","",IF(OR(Yards25[[#This Row],[RAD/PACT]]="2022-2025",Yards25[[#This Row],[RAD/PACT]]=2019,Yards25[[#This Row],[RAD/PACT]]="2020-2021"),"Yes",""))</f>
        <v/>
      </c>
      <c r="O44" s="1">
        <f ca="1">IFERROR(VLOOKUP(Yards25[[#This Row],[DEVELOPMENT]],ExtComp[],8,FALSE),"")</f>
        <v>6</v>
      </c>
      <c r="P44" s="1">
        <v>2022</v>
      </c>
      <c r="Q44" s="1"/>
      <c r="R44" s="1">
        <v>2022</v>
      </c>
      <c r="S44" s="51" t="str">
        <f>IF(ISBLANK(Yards25[[#This Row],[DSGN FISCAL YEAR]]),"",Yards25[[#This Row],[DSGN FISCAL YEAR]]+1)</f>
        <v/>
      </c>
      <c r="T44" s="1"/>
      <c r="U44" s="128">
        <f ca="1">Yards25[[#This Row],[Estimate]]*0.1</f>
        <v>0</v>
      </c>
      <c r="V44" s="47">
        <f ca="1">Yards25[[#This Row],[Estimate]]-Yards25[[#This Row],[Design Est.]]</f>
        <v>0</v>
      </c>
      <c r="W44" s="85">
        <f ca="1">(Yards25[[#This Row],['# yards]]*INDEX(UnitCosts[],MATCH(Yards25[[#This Row],[WORK TYPE]],UnitCosts[Work Type],0),2))*(1+((Yards25[[#This Row],[est. CONS Year]]-YEAR(TODAY()))*$W$3))</f>
        <v>0</v>
      </c>
      <c r="X44" s="142">
        <f>IF(ISNUMBER(SEARCH("LLC",Yards25[[#This Row],[PROGRAM]])),IF(Yards25[[#This Row],[RAD/PACT by 2025]]="yes",0,1),0)</f>
        <v>0</v>
      </c>
      <c r="Y44" s="1"/>
      <c r="Z44" s="1"/>
      <c r="AA44" s="51">
        <f ca="1">COUNTIF($X$5:Yards25[[#This Row],['# yards]],"&gt;0")</f>
        <v>1</v>
      </c>
      <c r="AB44" s="1">
        <f>IF(ISBLANK(Yards25[[#This Row],[DSGN CALENDAR YEAR]]),ROUNDDOWN(Yards25[[#This Row],[Count]]/20,0)+$AB$1,Yards25[[#This Row],[DSGN CALENDAR YEAR]])</f>
        <v>2022</v>
      </c>
      <c r="AC44" s="16">
        <f>Yards25[[#This Row],[est. DSGN Year]]+1</f>
        <v>2023</v>
      </c>
    </row>
    <row r="45" spans="1:29" hidden="1">
      <c r="A45" s="13" t="s">
        <v>114</v>
      </c>
      <c r="B45" s="51" t="str">
        <f>VLOOKUP(Yards25[[#This Row],[DEVELOPMENT]],Data[],2,FALSE)</f>
        <v>BRONX</v>
      </c>
      <c r="C45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45" s="51" t="str">
        <f>VLOOKUP(Yards25[[#This Row],[DEVELOPMENT]],Data[],52,FALSE)</f>
        <v>FEDERAL</v>
      </c>
      <c r="E45" s="50" t="str">
        <f>VLOOKUP(Yards25[[#This Row],[DEVELOPMENT]],Data[],8,FALSE)</f>
        <v>Zone 3</v>
      </c>
      <c r="F45" s="51" t="str">
        <f>VLOOKUP(Yards25[[#This Row],[DEVELOPMENT]],all[[DEVELOPMENT]:[MRST Ext. Comp. Priority]],6,FALSE)</f>
        <v>B</v>
      </c>
      <c r="G45" s="51">
        <f>VLOOKUP(Yards25[[#This Row],[DEVELOPMENT]],all[[DEVELOPMENT]:[MRST Ext. Comp. Priority]],13,FALSE)</f>
        <v>2</v>
      </c>
      <c r="H45" s="50">
        <f>IF(VLOOKUP(Yards25[[#This Row],[DEVELOPMENT]],Data[],9,FALSE)=0,5,VLOOKUP(Yards25[[#This Row],[DEVELOPMENT]],Data[],9,FALSE))</f>
        <v>4</v>
      </c>
      <c r="I45" s="51">
        <f>VLOOKUP(Yards25[[#This Row],[DEVELOPMENT]],Data[],33,FALSE)</f>
        <v>2</v>
      </c>
      <c r="J45" s="51">
        <f>VLOOKUP(Yards25[[#This Row],[DEVELOPMENT]],Data[],28,FALSE)</f>
        <v>0</v>
      </c>
      <c r="K45" s="51"/>
      <c r="L45" s="50"/>
      <c r="M45" s="51" t="str">
        <f ca="1">IFERROR(VLOOKUP(Yards25[[#This Row],[DEVELOPMENT]],Data[],4,FALSE),"")</f>
        <v>2026+</v>
      </c>
      <c r="N45" s="51" t="str">
        <f ca="1">IF(Yards25[[#This Row],[RAD/PACT]]="","",IF(OR(Yards25[[#This Row],[RAD/PACT]]="2022-2025",Yards25[[#This Row],[RAD/PACT]]=2019,Yards25[[#This Row],[RAD/PACT]]="2020-2021"),"Yes",""))</f>
        <v/>
      </c>
      <c r="O45" s="51">
        <f ca="1">IFERROR(VLOOKUP(Yards25[[#This Row],[DEVELOPMENT]],ExtComp[],8,FALSE),"")</f>
        <v>19</v>
      </c>
      <c r="P45" s="51"/>
      <c r="Q45" s="51"/>
      <c r="R45" s="51" t="str">
        <f>IF(ISBLANK(Yards25[[#This Row],[DSGN CALENDAR YEAR]]),"",Yards25[[#This Row],[DSGN CALENDAR YEAR]]+1)</f>
        <v/>
      </c>
      <c r="S45" s="51" t="str">
        <f>IF(ISBLANK(Yards25[[#This Row],[DSGN FISCAL YEAR]]),"",Yards25[[#This Row],[DSGN FISCAL YEAR]]+1)</f>
        <v/>
      </c>
      <c r="T45" s="51"/>
      <c r="U45" s="128">
        <f ca="1">Yards25[[#This Row],[Estimate]]*0.1</f>
        <v>0</v>
      </c>
      <c r="V45" s="47">
        <f ca="1">Yards25[[#This Row],[Estimate]]-Yards25[[#This Row],[Design Est.]]</f>
        <v>0</v>
      </c>
      <c r="W45" s="85">
        <f ca="1">(Yards25[[#This Row],['# yards]]*INDEX(UnitCosts[],MATCH(Yards25[[#This Row],[WORK TYPE]],UnitCosts[Work Type],0),2))*(1+((Yards25[[#This Row],[est. CONS Year]]-YEAR(TODAY()))*$W$3))</f>
        <v>0</v>
      </c>
      <c r="X45" s="142">
        <f>IF(ISNUMBER(SEARCH("LLC",Yards25[[#This Row],[PROGRAM]])),IF(Yards25[[#This Row],[RAD/PACT by 2025]]="yes",0,1),0)</f>
        <v>0</v>
      </c>
      <c r="Y45" s="1"/>
      <c r="Z45" s="1"/>
      <c r="AA45" s="51">
        <f ca="1">COUNTIF($X$5:Yards25[[#This Row],['# yards]],"&gt;0")</f>
        <v>1</v>
      </c>
      <c r="AB45" s="1">
        <f ca="1">IF(ISBLANK(Yards25[[#This Row],[DSGN CALENDAR YEAR]]),ROUNDDOWN(Yards25[[#This Row],[Count]]/20,0)+$AB$1,Yards25[[#This Row],[DSGN CALENDAR YEAR]])</f>
        <v>2022</v>
      </c>
      <c r="AC45" s="16">
        <f ca="1">Yards25[[#This Row],[est. DSGN Year]]+1</f>
        <v>2023</v>
      </c>
    </row>
    <row r="46" spans="1:29" hidden="1">
      <c r="A46" s="13" t="s">
        <v>119</v>
      </c>
      <c r="B46" s="51" t="str">
        <f>VLOOKUP(Yards25[[#This Row],[DEVELOPMENT]],Data[],2,FALSE)</f>
        <v>BROOKLYN</v>
      </c>
      <c r="C4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46" s="51" t="str">
        <f>VLOOKUP(Yards25[[#This Row],[DEVELOPMENT]],Data[],52,FALSE)</f>
        <v>FEDERAL</v>
      </c>
      <c r="E46" s="50" t="str">
        <f>VLOOKUP(Yards25[[#This Row],[DEVELOPMENT]],Data[],8,FALSE)</f>
        <v>Zone 3</v>
      </c>
      <c r="F46" s="51" t="str">
        <f>VLOOKUP(Yards25[[#This Row],[DEVELOPMENT]],all[[DEVELOPMENT]:[MRST Ext. Comp. Priority]],6,FALSE)</f>
        <v>B</v>
      </c>
      <c r="G46" s="51">
        <f>VLOOKUP(Yards25[[#This Row],[DEVELOPMENT]],all[[DEVELOPMENT]:[MRST Ext. Comp. Priority]],13,FALSE)</f>
        <v>2</v>
      </c>
      <c r="H46" s="50">
        <f>IF(VLOOKUP(Yards25[[#This Row],[DEVELOPMENT]],Data[],9,FALSE)=0,5,VLOOKUP(Yards25[[#This Row],[DEVELOPMENT]],Data[],9,FALSE))</f>
        <v>1</v>
      </c>
      <c r="I46" s="51">
        <f>VLOOKUP(Yards25[[#This Row],[DEVELOPMENT]],Data[],33,FALSE)</f>
        <v>2</v>
      </c>
      <c r="J46" s="51">
        <f>VLOOKUP(Yards25[[#This Row],[DEVELOPMENT]],Data[],28,FALSE)</f>
        <v>0</v>
      </c>
      <c r="K46" s="51"/>
      <c r="L46" s="50"/>
      <c r="M46" s="51" t="str">
        <f ca="1">IFERROR(VLOOKUP(Yards25[[#This Row],[DEVELOPMENT]],Data[],4,FALSE),"")</f>
        <v>2026+</v>
      </c>
      <c r="N46" s="51" t="str">
        <f ca="1">IF(Yards25[[#This Row],[RAD/PACT]]="","",IF(OR(Yards25[[#This Row],[RAD/PACT]]="2022-2025",Yards25[[#This Row],[RAD/PACT]]=2019,Yards25[[#This Row],[RAD/PACT]]="2020-2021"),"Yes",""))</f>
        <v/>
      </c>
      <c r="O46" s="51">
        <f ca="1">IFERROR(VLOOKUP(Yards25[[#This Row],[DEVELOPMENT]],ExtComp[],8,FALSE),"")</f>
        <v>15</v>
      </c>
      <c r="P46" s="51"/>
      <c r="Q46" s="51"/>
      <c r="R46" s="51" t="str">
        <f>IF(ISBLANK(Yards25[[#This Row],[DSGN CALENDAR YEAR]]),"",Yards25[[#This Row],[DSGN CALENDAR YEAR]]+1)</f>
        <v/>
      </c>
      <c r="S46" s="51" t="str">
        <f>IF(ISBLANK(Yards25[[#This Row],[DSGN FISCAL YEAR]]),"",Yards25[[#This Row],[DSGN FISCAL YEAR]]+1)</f>
        <v/>
      </c>
      <c r="T46" s="51"/>
      <c r="U46" s="128">
        <f ca="1">Yards25[[#This Row],[Estimate]]*0.1</f>
        <v>0</v>
      </c>
      <c r="V46" s="47">
        <f ca="1">Yards25[[#This Row],[Estimate]]-Yards25[[#This Row],[Design Est.]]</f>
        <v>0</v>
      </c>
      <c r="W46" s="85">
        <f ca="1">(Yards25[[#This Row],['# yards]]*INDEX(UnitCosts[],MATCH(Yards25[[#This Row],[WORK TYPE]],UnitCosts[Work Type],0),2))*(1+((Yards25[[#This Row],[est. CONS Year]]-YEAR(TODAY()))*$W$3))</f>
        <v>0</v>
      </c>
      <c r="X46" s="142">
        <f>IF(ISNUMBER(SEARCH("LLC",Yards25[[#This Row],[PROGRAM]])),IF(Yards25[[#This Row],[RAD/PACT by 2025]]="yes",0,1),0)</f>
        <v>0</v>
      </c>
      <c r="Y46" s="1"/>
      <c r="Z46" s="1"/>
      <c r="AA46" s="51">
        <f ca="1">COUNTIF($X$5:Yards25[[#This Row],['# yards]],"&gt;0")</f>
        <v>1</v>
      </c>
      <c r="AB46" s="1">
        <f ca="1">IF(ISBLANK(Yards25[[#This Row],[DSGN CALENDAR YEAR]]),ROUNDDOWN(Yards25[[#This Row],[Count]]/20,0)+$AB$1,Yards25[[#This Row],[DSGN CALENDAR YEAR]])</f>
        <v>2022</v>
      </c>
      <c r="AC46" s="16">
        <f ca="1">Yards25[[#This Row],[est. DSGN Year]]+1</f>
        <v>2023</v>
      </c>
    </row>
    <row r="47" spans="1:29" hidden="1">
      <c r="A47" s="13" t="s">
        <v>130</v>
      </c>
      <c r="B47" s="51" t="str">
        <f>VLOOKUP(Yards25[[#This Row],[DEVELOPMENT]],Data[],2,FALSE)</f>
        <v>MANHATTAN</v>
      </c>
      <c r="C4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47" s="51" t="str">
        <f>VLOOKUP(Yards25[[#This Row],[DEVELOPMENT]],Data[],52,FALSE)</f>
        <v>FEDERAL</v>
      </c>
      <c r="E47" s="50" t="str">
        <f>VLOOKUP(Yards25[[#This Row],[DEVELOPMENT]],Data[],8,FALSE)</f>
        <v>Zone 3</v>
      </c>
      <c r="F47" s="51" t="str">
        <f>VLOOKUP(Yards25[[#This Row],[DEVELOPMENT]],all[[DEVELOPMENT]:[MRST Ext. Comp. Priority]],6,FALSE)</f>
        <v>B</v>
      </c>
      <c r="G47" s="51">
        <f>VLOOKUP(Yards25[[#This Row],[DEVELOPMENT]],all[[DEVELOPMENT]:[MRST Ext. Comp. Priority]],13,FALSE)</f>
        <v>3</v>
      </c>
      <c r="H47" s="50">
        <f>IF(VLOOKUP(Yards25[[#This Row],[DEVELOPMENT]],Data[],9,FALSE)=0,5,VLOOKUP(Yards25[[#This Row],[DEVELOPMENT]],Data[],9,FALSE))</f>
        <v>2</v>
      </c>
      <c r="I47" s="51">
        <f>VLOOKUP(Yards25[[#This Row],[DEVELOPMENT]],Data[],33,FALSE)</f>
        <v>3</v>
      </c>
      <c r="J47" s="51">
        <f>VLOOKUP(Yards25[[#This Row],[DEVELOPMENT]],Data[],28,FALSE)</f>
        <v>0</v>
      </c>
      <c r="K47" s="51"/>
      <c r="L47" s="50"/>
      <c r="M47" s="51" t="str">
        <f ca="1">IFERROR(VLOOKUP(Yards25[[#This Row],[DEVELOPMENT]],Data[],4,FALSE),"")</f>
        <v/>
      </c>
      <c r="N47" s="51" t="str">
        <f ca="1">IF(Yards25[[#This Row],[RAD/PACT]]="","",IF(OR(Yards25[[#This Row],[RAD/PACT]]="2022-2025",Yards25[[#This Row],[RAD/PACT]]=2019,Yards25[[#This Row],[RAD/PACT]]="2020-2021"),"Yes",""))</f>
        <v/>
      </c>
      <c r="O47" s="51">
        <f ca="1">IFERROR(VLOOKUP(Yards25[[#This Row],[DEVELOPMENT]],ExtComp[],8,FALSE),"")</f>
        <v>6</v>
      </c>
      <c r="P47" s="51"/>
      <c r="Q47" s="51"/>
      <c r="R47" s="51" t="str">
        <f>IF(ISBLANK(Yards25[[#This Row],[DSGN CALENDAR YEAR]]),"",Yards25[[#This Row],[DSGN CALENDAR YEAR]]+1)</f>
        <v/>
      </c>
      <c r="S47" s="51" t="str">
        <f>IF(ISBLANK(Yards25[[#This Row],[DSGN FISCAL YEAR]]),"",Yards25[[#This Row],[DSGN FISCAL YEAR]]+1)</f>
        <v/>
      </c>
      <c r="T47" s="51"/>
      <c r="U47" s="128">
        <f ca="1">Yards25[[#This Row],[Estimate]]*0.1</f>
        <v>0</v>
      </c>
      <c r="V47" s="47">
        <f ca="1">Yards25[[#This Row],[Estimate]]-Yards25[[#This Row],[Design Est.]]</f>
        <v>0</v>
      </c>
      <c r="W47" s="85">
        <f ca="1">(Yards25[[#This Row],['# yards]]*INDEX(UnitCosts[],MATCH(Yards25[[#This Row],[WORK TYPE]],UnitCosts[Work Type],0),2))*(1+((Yards25[[#This Row],[est. CONS Year]]-YEAR(TODAY()))*$W$3))</f>
        <v>0</v>
      </c>
      <c r="X47" s="142">
        <f>IF(ISNUMBER(SEARCH("LLC",Yards25[[#This Row],[PROGRAM]])),IF(Yards25[[#This Row],[RAD/PACT by 2025]]="yes",0,1),0)</f>
        <v>0</v>
      </c>
      <c r="Y47" s="1"/>
      <c r="Z47" s="1"/>
      <c r="AA47" s="51">
        <f ca="1">COUNTIF($X$5:Yards25[[#This Row],['# yards]],"&gt;0")</f>
        <v>1</v>
      </c>
      <c r="AB47" s="1">
        <f ca="1">IF(ISBLANK(Yards25[[#This Row],[DSGN CALENDAR YEAR]]),ROUNDDOWN(Yards25[[#This Row],[Count]]/20,0)+$AB$1,Yards25[[#This Row],[DSGN CALENDAR YEAR]])</f>
        <v>2022</v>
      </c>
      <c r="AC47" s="16">
        <f ca="1">Yards25[[#This Row],[est. DSGN Year]]+1</f>
        <v>2023</v>
      </c>
    </row>
    <row r="48" spans="1:29" hidden="1">
      <c r="A48" s="13" t="s">
        <v>128</v>
      </c>
      <c r="B48" s="51" t="str">
        <f>VLOOKUP(Yards25[[#This Row],[DEVELOPMENT]],Data[],2,FALSE)</f>
        <v>MANHATTAN</v>
      </c>
      <c r="C48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48" s="51" t="str">
        <f>VLOOKUP(Yards25[[#This Row],[DEVELOPMENT]],Data[],52,FALSE)</f>
        <v>FEDERAL</v>
      </c>
      <c r="E48" s="50" t="str">
        <f>VLOOKUP(Yards25[[#This Row],[DEVELOPMENT]],Data[],8,FALSE)</f>
        <v>Zone 2</v>
      </c>
      <c r="F48" s="51" t="str">
        <f>VLOOKUP(Yards25[[#This Row],[DEVELOPMENT]],all[[DEVELOPMENT]:[MRST Ext. Comp. Priority]],6,FALSE)</f>
        <v>B</v>
      </c>
      <c r="G48" s="51">
        <f>VLOOKUP(Yards25[[#This Row],[DEVELOPMENT]],all[[DEVELOPMENT]:[MRST Ext. Comp. Priority]],13,FALSE)</f>
        <v>3</v>
      </c>
      <c r="H48" s="50">
        <f>IF(VLOOKUP(Yards25[[#This Row],[DEVELOPMENT]],Data[],9,FALSE)=0,5,VLOOKUP(Yards25[[#This Row],[DEVELOPMENT]],Data[],9,FALSE))</f>
        <v>2</v>
      </c>
      <c r="I48" s="51">
        <f>VLOOKUP(Yards25[[#This Row],[DEVELOPMENT]],Data[],33,FALSE)</f>
        <v>4</v>
      </c>
      <c r="J48" s="51">
        <f>VLOOKUP(Yards25[[#This Row],[DEVELOPMENT]],Data[],28,FALSE)</f>
        <v>0</v>
      </c>
      <c r="K48" s="51"/>
      <c r="L48" s="50">
        <v>1</v>
      </c>
      <c r="M48" s="51" t="str">
        <f ca="1">IFERROR(VLOOKUP(Yards25[[#This Row],[DEVELOPMENT]],Data[],4,FALSE),"")</f>
        <v>2026+</v>
      </c>
      <c r="N48" s="51" t="str">
        <f ca="1">IF(Yards25[[#This Row],[RAD/PACT]]="","",IF(OR(Yards25[[#This Row],[RAD/PACT]]="2022-2025",Yards25[[#This Row],[RAD/PACT]]=2019,Yards25[[#This Row],[RAD/PACT]]="2020-2021"),"Yes",""))</f>
        <v/>
      </c>
      <c r="O48" s="1">
        <f ca="1">IFERROR(VLOOKUP(Yards25[[#This Row],[DEVELOPMENT]],ExtComp[],8,FALSE),"")</f>
        <v>2</v>
      </c>
      <c r="P48" s="1"/>
      <c r="Q48" s="1"/>
      <c r="R48" s="1" t="str">
        <f>IF(ISBLANK(Yards25[[#This Row],[DSGN CALENDAR YEAR]]),"",Yards25[[#This Row],[DSGN CALENDAR YEAR]]+1)</f>
        <v/>
      </c>
      <c r="S48" s="51" t="str">
        <f>IF(ISBLANK(Yards25[[#This Row],[DSGN FISCAL YEAR]]),"",Yards25[[#This Row],[DSGN FISCAL YEAR]]+1)</f>
        <v/>
      </c>
      <c r="T48" s="1"/>
      <c r="U48" s="128">
        <f ca="1">Yards25[[#This Row],[Estimate]]*0.1</f>
        <v>0</v>
      </c>
      <c r="V48" s="47">
        <f ca="1">Yards25[[#This Row],[Estimate]]-Yards25[[#This Row],[Design Est.]]</f>
        <v>0</v>
      </c>
      <c r="W48" s="85">
        <f ca="1">(Yards25[[#This Row],['# yards]]*INDEX(UnitCosts[],MATCH(Yards25[[#This Row],[WORK TYPE]],UnitCosts[Work Type],0),2))*(1+((Yards25[[#This Row],[est. CONS Year]]-YEAR(TODAY()))*$W$3))</f>
        <v>0</v>
      </c>
      <c r="X48" s="142">
        <f>IF(ISNUMBER(SEARCH("LLC",Yards25[[#This Row],[PROGRAM]])),IF(Yards25[[#This Row],[RAD/PACT by 2025]]="yes",0,1),0)</f>
        <v>0</v>
      </c>
      <c r="Y48" s="1"/>
      <c r="Z48" s="1"/>
      <c r="AA48" s="51">
        <f ca="1">COUNTIF($X$5:Yards25[[#This Row],['# yards]],"&gt;0")</f>
        <v>1</v>
      </c>
      <c r="AB48" s="1">
        <f ca="1">IF(ISBLANK(Yards25[[#This Row],[DSGN CALENDAR YEAR]]),ROUNDDOWN(Yards25[[#This Row],[Count]]/20,0)+$AB$1,Yards25[[#This Row],[DSGN CALENDAR YEAR]])</f>
        <v>2022</v>
      </c>
      <c r="AC48" s="16">
        <f ca="1">Yards25[[#This Row],[est. DSGN Year]]+1</f>
        <v>2023</v>
      </c>
    </row>
    <row r="49" spans="1:29" hidden="1">
      <c r="A49" s="13" t="s">
        <v>142</v>
      </c>
      <c r="B49" s="51" t="str">
        <f>VLOOKUP(Yards25[[#This Row],[DEVELOPMENT]],Data[],2,FALSE)</f>
        <v>BROOKLYN</v>
      </c>
      <c r="C49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49" s="51" t="str">
        <f>VLOOKUP(Yards25[[#This Row],[DEVELOPMENT]],Data[],52,FALSE)</f>
        <v>FEDERAL</v>
      </c>
      <c r="E49" s="50" t="str">
        <f>VLOOKUP(Yards25[[#This Row],[DEVELOPMENT]],Data[],8,FALSE)</f>
        <v>Zone 1</v>
      </c>
      <c r="F49" s="51" t="str">
        <f>VLOOKUP(Yards25[[#This Row],[DEVELOPMENT]],all[[DEVELOPMENT]:[MRST Ext. Comp. Priority]],6,FALSE)</f>
        <v>B</v>
      </c>
      <c r="G49" s="51">
        <f>VLOOKUP(Yards25[[#This Row],[DEVELOPMENT]],all[[DEVELOPMENT]:[MRST Ext. Comp. Priority]],13,FALSE)</f>
        <v>3</v>
      </c>
      <c r="H49" s="50">
        <f>IF(VLOOKUP(Yards25[[#This Row],[DEVELOPMENT]],Data[],9,FALSE)=0,5,VLOOKUP(Yards25[[#This Row],[DEVELOPMENT]],Data[],9,FALSE))</f>
        <v>4</v>
      </c>
      <c r="I49" s="51">
        <f>VLOOKUP(Yards25[[#This Row],[DEVELOPMENT]],Data[],33,FALSE)</f>
        <v>0</v>
      </c>
      <c r="J49" s="51">
        <f>VLOOKUP(Yards25[[#This Row],[DEVELOPMENT]],Data[],28,FALSE)</f>
        <v>0</v>
      </c>
      <c r="K49" s="51"/>
      <c r="L49" s="50"/>
      <c r="M49" s="51" t="str">
        <f ca="1">IFERROR(VLOOKUP(Yards25[[#This Row],[DEVELOPMENT]],Data[],4,FALSE),"")</f>
        <v/>
      </c>
      <c r="N49" s="51" t="str">
        <f ca="1">IF(Yards25[[#This Row],[RAD/PACT]]="","",IF(OR(Yards25[[#This Row],[RAD/PACT]]="2022-2025",Yards25[[#This Row],[RAD/PACT]]=2019,Yards25[[#This Row],[RAD/PACT]]="2020-2021"),"Yes",""))</f>
        <v/>
      </c>
      <c r="O49" s="51" t="str">
        <f ca="1">IFERROR(VLOOKUP(Yards25[[#This Row],[DEVELOPMENT]],ExtComp[],8,FALSE),"")</f>
        <v/>
      </c>
      <c r="P49" s="51"/>
      <c r="Q49" s="51"/>
      <c r="R49" s="51" t="str">
        <f>IF(ISBLANK(Yards25[[#This Row],[DSGN CALENDAR YEAR]]),"",Yards25[[#This Row],[DSGN CALENDAR YEAR]]+1)</f>
        <v/>
      </c>
      <c r="S49" s="51" t="str">
        <f>IF(ISBLANK(Yards25[[#This Row],[DSGN FISCAL YEAR]]),"",Yards25[[#This Row],[DSGN FISCAL YEAR]]+1)</f>
        <v/>
      </c>
      <c r="T49" s="51"/>
      <c r="U49" s="128">
        <f ca="1">Yards25[[#This Row],[Estimate]]*0.1</f>
        <v>0</v>
      </c>
      <c r="V49" s="47">
        <f ca="1">Yards25[[#This Row],[Estimate]]-Yards25[[#This Row],[Design Est.]]</f>
        <v>0</v>
      </c>
      <c r="W49" s="85">
        <f ca="1">(Yards25[[#This Row],['# yards]]*INDEX(UnitCosts[],MATCH(Yards25[[#This Row],[WORK TYPE]],UnitCosts[Work Type],0),2))*(1+((Yards25[[#This Row],[est. CONS Year]]-YEAR(TODAY()))*$W$3))</f>
        <v>0</v>
      </c>
      <c r="X49" s="142">
        <f>IF(ISNUMBER(SEARCH("LLC",Yards25[[#This Row],[PROGRAM]])),IF(Yards25[[#This Row],[RAD/PACT by 2025]]="yes",0,1),0)</f>
        <v>0</v>
      </c>
      <c r="Y49" s="1"/>
      <c r="Z49" s="1"/>
      <c r="AA49" s="51">
        <f ca="1">COUNTIF($X$5:Yards25[[#This Row],['# yards]],"&gt;0")</f>
        <v>1</v>
      </c>
      <c r="AB49" s="1">
        <f ca="1">IF(ISBLANK(Yards25[[#This Row],[DSGN CALENDAR YEAR]]),ROUNDDOWN(Yards25[[#This Row],[Count]]/20,0)+$AB$1,Yards25[[#This Row],[DSGN CALENDAR YEAR]])</f>
        <v>2022</v>
      </c>
      <c r="AC49" s="16">
        <f ca="1">Yards25[[#This Row],[est. DSGN Year]]+1</f>
        <v>2023</v>
      </c>
    </row>
    <row r="50" spans="1:29" hidden="1">
      <c r="A50" s="13" t="s">
        <v>73</v>
      </c>
      <c r="B50" s="51" t="str">
        <f>VLOOKUP(Yards25[[#This Row],[DEVELOPMENT]],Data[],2,FALSE)</f>
        <v>BRONX</v>
      </c>
      <c r="C50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50" s="51" t="str">
        <f>VLOOKUP(Yards25[[#This Row],[DEVELOPMENT]],Data[],52,FALSE)</f>
        <v>FEDERAL</v>
      </c>
      <c r="E50" s="50" t="str">
        <f>VLOOKUP(Yards25[[#This Row],[DEVELOPMENT]],Data[],8,FALSE)</f>
        <v>Zone 3</v>
      </c>
      <c r="F50" s="51" t="str">
        <f>VLOOKUP(Yards25[[#This Row],[DEVELOPMENT]],all[[DEVELOPMENT]:[MRST Ext. Comp. Priority]],6,FALSE)</f>
        <v>B</v>
      </c>
      <c r="G50" s="51" t="str">
        <f>VLOOKUP(Yards25[[#This Row],[DEVELOPMENT]],all[[DEVELOPMENT]:[MRST Ext. Comp. Priority]],13,FALSE)</f>
        <v>None</v>
      </c>
      <c r="H50" s="50">
        <f>IF(VLOOKUP(Yards25[[#This Row],[DEVELOPMENT]],Data[],9,FALSE)=0,5,VLOOKUP(Yards25[[#This Row],[DEVELOPMENT]],Data[],9,FALSE))</f>
        <v>4</v>
      </c>
      <c r="I50" s="51">
        <f>VLOOKUP(Yards25[[#This Row],[DEVELOPMENT]],Data[],33,FALSE)</f>
        <v>3</v>
      </c>
      <c r="J50" s="51">
        <f>VLOOKUP(Yards25[[#This Row],[DEVELOPMENT]],Data[],28,FALSE)</f>
        <v>0</v>
      </c>
      <c r="K50" s="51"/>
      <c r="L50" s="50"/>
      <c r="M50" s="51" t="str">
        <f ca="1">IFERROR(VLOOKUP(Yards25[[#This Row],[DEVELOPMENT]],Data[],4,FALSE),"")</f>
        <v/>
      </c>
      <c r="N50" s="51" t="str">
        <f ca="1">IF(Yards25[[#This Row],[RAD/PACT]]="","",IF(OR(Yards25[[#This Row],[RAD/PACT]]="2022-2025",Yards25[[#This Row],[RAD/PACT]]=2019,Yards25[[#This Row],[RAD/PACT]]="2020-2021"),"Yes",""))</f>
        <v/>
      </c>
      <c r="O50" s="51">
        <f ca="1">IFERROR(VLOOKUP(Yards25[[#This Row],[DEVELOPMENT]],ExtComp[],8,FALSE),"")</f>
        <v>20</v>
      </c>
      <c r="P50" s="51"/>
      <c r="Q50" s="51"/>
      <c r="R50" s="51" t="str">
        <f>IF(ISBLANK(Yards25[[#This Row],[DSGN CALENDAR YEAR]]),"",Yards25[[#This Row],[DSGN CALENDAR YEAR]]+1)</f>
        <v/>
      </c>
      <c r="S50" s="51" t="str">
        <f>IF(ISBLANK(Yards25[[#This Row],[DSGN FISCAL YEAR]]),"",Yards25[[#This Row],[DSGN FISCAL YEAR]]+1)</f>
        <v/>
      </c>
      <c r="T50" s="51"/>
      <c r="U50" s="128">
        <f ca="1">Yards25[[#This Row],[Estimate]]*0.1</f>
        <v>0</v>
      </c>
      <c r="V50" s="47">
        <f ca="1">Yards25[[#This Row],[Estimate]]-Yards25[[#This Row],[Design Est.]]</f>
        <v>0</v>
      </c>
      <c r="W50" s="85">
        <f ca="1">(Yards25[[#This Row],['# yards]]*INDEX(UnitCosts[],MATCH(Yards25[[#This Row],[WORK TYPE]],UnitCosts[Work Type],0),2))*(1+((Yards25[[#This Row],[est. CONS Year]]-YEAR(TODAY()))*$W$3))</f>
        <v>0</v>
      </c>
      <c r="X50" s="142">
        <f>IF(ISNUMBER(SEARCH("LLC",Yards25[[#This Row],[PROGRAM]])),IF(Yards25[[#This Row],[RAD/PACT by 2025]]="yes",0,1),0)</f>
        <v>0</v>
      </c>
      <c r="Y50" s="1"/>
      <c r="Z50" s="1"/>
      <c r="AA50" s="51">
        <f ca="1">COUNTIF($X$5:Yards25[[#This Row],['# yards]],"&gt;0")</f>
        <v>1</v>
      </c>
      <c r="AB50" s="1">
        <f ca="1">IF(ISBLANK(Yards25[[#This Row],[DSGN CALENDAR YEAR]]),ROUNDDOWN(Yards25[[#This Row],[Count]]/20,0)+$AB$1,Yards25[[#This Row],[DSGN CALENDAR YEAR]])</f>
        <v>2022</v>
      </c>
      <c r="AC50" s="16">
        <f ca="1">Yards25[[#This Row],[est. DSGN Year]]+1</f>
        <v>2023</v>
      </c>
    </row>
    <row r="51" spans="1:29" hidden="1">
      <c r="A51" s="13" t="s">
        <v>80</v>
      </c>
      <c r="B51" s="51" t="str">
        <f>VLOOKUP(Yards25[[#This Row],[DEVELOPMENT]],Data[],2,FALSE)</f>
        <v>MANHATTAN</v>
      </c>
      <c r="C51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51" s="51" t="str">
        <f>VLOOKUP(Yards25[[#This Row],[DEVELOPMENT]],Data[],52,FALSE)</f>
        <v>FEDERAL</v>
      </c>
      <c r="E51" s="50" t="str">
        <f>VLOOKUP(Yards25[[#This Row],[DEVELOPMENT]],Data[],8,FALSE)</f>
        <v>Zone 3</v>
      </c>
      <c r="F51" s="51" t="str">
        <f>VLOOKUP(Yards25[[#This Row],[DEVELOPMENT]],all[[DEVELOPMENT]:[MRST Ext. Comp. Priority]],6,FALSE)</f>
        <v>B</v>
      </c>
      <c r="G51" s="51">
        <f>VLOOKUP(Yards25[[#This Row],[DEVELOPMENT]],all[[DEVELOPMENT]:[MRST Ext. Comp. Priority]],13,FALSE)</f>
        <v>3</v>
      </c>
      <c r="H51" s="50">
        <f>IF(VLOOKUP(Yards25[[#This Row],[DEVELOPMENT]],Data[],9,FALSE)=0,5,VLOOKUP(Yards25[[#This Row],[DEVELOPMENT]],Data[],9,FALSE))</f>
        <v>4</v>
      </c>
      <c r="I51" s="51">
        <f>VLOOKUP(Yards25[[#This Row],[DEVELOPMENT]],Data[],33,FALSE)</f>
        <v>0</v>
      </c>
      <c r="J51" s="51">
        <f>VLOOKUP(Yards25[[#This Row],[DEVELOPMENT]],Data[],28,FALSE)</f>
        <v>0</v>
      </c>
      <c r="K51" s="51"/>
      <c r="L51" s="50"/>
      <c r="M51" s="51" t="str">
        <f ca="1">IFERROR(VLOOKUP(Yards25[[#This Row],[DEVELOPMENT]],Data[],4,FALSE),"")</f>
        <v>2020-2021</v>
      </c>
      <c r="N51" s="51" t="str">
        <f ca="1">IF(Yards25[[#This Row],[RAD/PACT]]="","",IF(OR(Yards25[[#This Row],[RAD/PACT]]="2022-2025",Yards25[[#This Row],[RAD/PACT]]=2019,Yards25[[#This Row],[RAD/PACT]]="2020-2021"),"Yes",""))</f>
        <v>Yes</v>
      </c>
      <c r="O51" s="51" t="str">
        <f ca="1">IFERROR(VLOOKUP(Yards25[[#This Row],[DEVELOPMENT]],ExtComp[],8,FALSE),"")</f>
        <v/>
      </c>
      <c r="P51" s="51"/>
      <c r="Q51" s="51"/>
      <c r="R51" s="51" t="str">
        <f>IF(ISBLANK(Yards25[[#This Row],[DSGN CALENDAR YEAR]]),"",Yards25[[#This Row],[DSGN CALENDAR YEAR]]+1)</f>
        <v/>
      </c>
      <c r="S51" s="51" t="str">
        <f>IF(ISBLANK(Yards25[[#This Row],[DSGN FISCAL YEAR]]),"",Yards25[[#This Row],[DSGN FISCAL YEAR]]+1)</f>
        <v/>
      </c>
      <c r="T51" s="51"/>
      <c r="U51" s="128">
        <f ca="1">Yards25[[#This Row],[Estimate]]*0.1</f>
        <v>0</v>
      </c>
      <c r="V51" s="47">
        <f ca="1">Yards25[[#This Row],[Estimate]]-Yards25[[#This Row],[Design Est.]]</f>
        <v>0</v>
      </c>
      <c r="W51" s="85">
        <f ca="1">(Yards25[[#This Row],['# yards]]*INDEX(UnitCosts[],MATCH(Yards25[[#This Row],[WORK TYPE]],UnitCosts[Work Type],0),2))*(1+((Yards25[[#This Row],[est. CONS Year]]-YEAR(TODAY()))*$W$3))</f>
        <v>0</v>
      </c>
      <c r="X51" s="142">
        <f>IF(ISNUMBER(SEARCH("LLC",Yards25[[#This Row],[PROGRAM]])),IF(Yards25[[#This Row],[RAD/PACT by 2025]]="yes",0,1),0)</f>
        <v>0</v>
      </c>
      <c r="Y51" s="1"/>
      <c r="Z51" s="1"/>
      <c r="AA51" s="51">
        <f ca="1">COUNTIF($X$5:Yards25[[#This Row],['# yards]],"&gt;0")</f>
        <v>1</v>
      </c>
      <c r="AB51" s="1">
        <f ca="1">IF(ISBLANK(Yards25[[#This Row],[DSGN CALENDAR YEAR]]),ROUNDDOWN(Yards25[[#This Row],[Count]]/20,0)+$AB$1,Yards25[[#This Row],[DSGN CALENDAR YEAR]])</f>
        <v>2022</v>
      </c>
      <c r="AC51" s="16">
        <f ca="1">Yards25[[#This Row],[est. DSGN Year]]+1</f>
        <v>2023</v>
      </c>
    </row>
    <row r="52" spans="1:29" hidden="1">
      <c r="A52" s="13" t="s">
        <v>117</v>
      </c>
      <c r="B52" s="51" t="str">
        <f>VLOOKUP(Yards25[[#This Row],[DEVELOPMENT]],Data[],2,FALSE)</f>
        <v>MANHATTAN</v>
      </c>
      <c r="C52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52" s="51" t="str">
        <f>VLOOKUP(Yards25[[#This Row],[DEVELOPMENT]],Data[],52,FALSE)</f>
        <v>FEDERAL</v>
      </c>
      <c r="E52" s="50" t="str">
        <f>VLOOKUP(Yards25[[#This Row],[DEVELOPMENT]],Data[],8,FALSE)</f>
        <v>Zone 3</v>
      </c>
      <c r="F52" s="51" t="str">
        <f>VLOOKUP(Yards25[[#This Row],[DEVELOPMENT]],all[[DEVELOPMENT]:[MRST Ext. Comp. Priority]],6,FALSE)</f>
        <v>B</v>
      </c>
      <c r="G52" s="51">
        <f>VLOOKUP(Yards25[[#This Row],[DEVELOPMENT]],all[[DEVELOPMENT]:[MRST Ext. Comp. Priority]],13,FALSE)</f>
        <v>4</v>
      </c>
      <c r="H52" s="50">
        <f>IF(VLOOKUP(Yards25[[#This Row],[DEVELOPMENT]],Data[],9,FALSE)=0,5,VLOOKUP(Yards25[[#This Row],[DEVELOPMENT]],Data[],9,FALSE))</f>
        <v>4</v>
      </c>
      <c r="I52" s="51">
        <f>VLOOKUP(Yards25[[#This Row],[DEVELOPMENT]],Data[],33,FALSE)</f>
        <v>2</v>
      </c>
      <c r="J52" s="51">
        <f>VLOOKUP(Yards25[[#This Row],[DEVELOPMENT]],Data[],28,FALSE)</f>
        <v>0</v>
      </c>
      <c r="K52" s="51"/>
      <c r="L52" s="50"/>
      <c r="M52" s="51" t="str">
        <f ca="1">IFERROR(VLOOKUP(Yards25[[#This Row],[DEVELOPMENT]],Data[],4,FALSE),"")</f>
        <v>2020-2021</v>
      </c>
      <c r="N52" s="51" t="str">
        <f ca="1">IF(Yards25[[#This Row],[RAD/PACT]]="","",IF(OR(Yards25[[#This Row],[RAD/PACT]]="2022-2025",Yards25[[#This Row],[RAD/PACT]]=2019,Yards25[[#This Row],[RAD/PACT]]="2020-2021"),"Yes",""))</f>
        <v>Yes</v>
      </c>
      <c r="O52" s="51">
        <f ca="1">IFERROR(VLOOKUP(Yards25[[#This Row],[DEVELOPMENT]],ExtComp[],8,FALSE),"")</f>
        <v>10</v>
      </c>
      <c r="P52" s="51"/>
      <c r="Q52" s="51"/>
      <c r="R52" s="51" t="str">
        <f>IF(ISBLANK(Yards25[[#This Row],[DSGN CALENDAR YEAR]]),"",Yards25[[#This Row],[DSGN CALENDAR YEAR]]+1)</f>
        <v/>
      </c>
      <c r="S52" s="51" t="str">
        <f>IF(ISBLANK(Yards25[[#This Row],[DSGN FISCAL YEAR]]),"",Yards25[[#This Row],[DSGN FISCAL YEAR]]+1)</f>
        <v/>
      </c>
      <c r="T52" s="51"/>
      <c r="U52" s="128">
        <f ca="1">Yards25[[#This Row],[Estimate]]*0.1</f>
        <v>0</v>
      </c>
      <c r="V52" s="47">
        <f ca="1">Yards25[[#This Row],[Estimate]]-Yards25[[#This Row],[Design Est.]]</f>
        <v>0</v>
      </c>
      <c r="W52" s="85">
        <f ca="1">(Yards25[[#This Row],['# yards]]*INDEX(UnitCosts[],MATCH(Yards25[[#This Row],[WORK TYPE]],UnitCosts[Work Type],0),2))*(1+((Yards25[[#This Row],[est. CONS Year]]-YEAR(TODAY()))*$W$3))</f>
        <v>0</v>
      </c>
      <c r="X52" s="142">
        <f>IF(ISNUMBER(SEARCH("LLC",Yards25[[#This Row],[PROGRAM]])),IF(Yards25[[#This Row],[RAD/PACT by 2025]]="yes",0,1),0)</f>
        <v>0</v>
      </c>
      <c r="Y52" s="1"/>
      <c r="Z52" s="1"/>
      <c r="AA52" s="51">
        <f ca="1">COUNTIF($X$5:Yards25[[#This Row],['# yards]],"&gt;0")</f>
        <v>1</v>
      </c>
      <c r="AB52" s="1">
        <f ca="1">IF(ISBLANK(Yards25[[#This Row],[DSGN CALENDAR YEAR]]),ROUNDDOWN(Yards25[[#This Row],[Count]]/20,0)+$AB$1,Yards25[[#This Row],[DSGN CALENDAR YEAR]])</f>
        <v>2022</v>
      </c>
      <c r="AC52" s="16">
        <f ca="1">Yards25[[#This Row],[est. DSGN Year]]+1</f>
        <v>2023</v>
      </c>
    </row>
    <row r="53" spans="1:29" hidden="1">
      <c r="A53" s="13" t="s">
        <v>138</v>
      </c>
      <c r="B53" s="51" t="str">
        <f>VLOOKUP(Yards25[[#This Row],[DEVELOPMENT]],Data[],2,FALSE)</f>
        <v>BRONX</v>
      </c>
      <c r="C5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53" s="51" t="str">
        <f>VLOOKUP(Yards25[[#This Row],[DEVELOPMENT]],Data[],52,FALSE)</f>
        <v>FEDERAL</v>
      </c>
      <c r="E53" s="50" t="str">
        <f>VLOOKUP(Yards25[[#This Row],[DEVELOPMENT]],Data[],8,FALSE)</f>
        <v>Zone 1</v>
      </c>
      <c r="F53" s="51" t="str">
        <f>VLOOKUP(Yards25[[#This Row],[DEVELOPMENT]],all[[DEVELOPMENT]:[MRST Ext. Comp. Priority]],6,FALSE)</f>
        <v>B</v>
      </c>
      <c r="G53" s="51">
        <f>VLOOKUP(Yards25[[#This Row],[DEVELOPMENT]],all[[DEVELOPMENT]:[MRST Ext. Comp. Priority]],13,FALSE)</f>
        <v>4</v>
      </c>
      <c r="H53" s="50">
        <f>IF(VLOOKUP(Yards25[[#This Row],[DEVELOPMENT]],Data[],9,FALSE)=0,5,VLOOKUP(Yards25[[#This Row],[DEVELOPMENT]],Data[],9,FALSE))</f>
        <v>4</v>
      </c>
      <c r="I53" s="51">
        <f>VLOOKUP(Yards25[[#This Row],[DEVELOPMENT]],Data[],33,FALSE)</f>
        <v>0</v>
      </c>
      <c r="J53" s="51">
        <f>VLOOKUP(Yards25[[#This Row],[DEVELOPMENT]],Data[],28,FALSE)</f>
        <v>0</v>
      </c>
      <c r="K53" s="51"/>
      <c r="L53" s="50"/>
      <c r="M53" s="51" t="str">
        <f ca="1">IFERROR(VLOOKUP(Yards25[[#This Row],[DEVELOPMENT]],Data[],4,FALSE),"")</f>
        <v/>
      </c>
      <c r="N53" s="51" t="str">
        <f ca="1">IF(Yards25[[#This Row],[RAD/PACT]]="","",IF(OR(Yards25[[#This Row],[RAD/PACT]]="2022-2025",Yards25[[#This Row],[RAD/PACT]]=2019,Yards25[[#This Row],[RAD/PACT]]="2020-2021"),"Yes",""))</f>
        <v/>
      </c>
      <c r="O53" s="51" t="str">
        <f ca="1">IFERROR(VLOOKUP(Yards25[[#This Row],[DEVELOPMENT]],ExtComp[],8,FALSE),"")</f>
        <v/>
      </c>
      <c r="P53" s="51"/>
      <c r="Q53" s="51"/>
      <c r="R53" s="51" t="str">
        <f>IF(ISBLANK(Yards25[[#This Row],[DSGN CALENDAR YEAR]]),"",Yards25[[#This Row],[DSGN CALENDAR YEAR]]+1)</f>
        <v/>
      </c>
      <c r="S53" s="51" t="str">
        <f>IF(ISBLANK(Yards25[[#This Row],[DSGN FISCAL YEAR]]),"",Yards25[[#This Row],[DSGN FISCAL YEAR]]+1)</f>
        <v/>
      </c>
      <c r="T53" s="51"/>
      <c r="U53" s="128">
        <f ca="1">Yards25[[#This Row],[Estimate]]*0.1</f>
        <v>0</v>
      </c>
      <c r="V53" s="47">
        <f ca="1">Yards25[[#This Row],[Estimate]]-Yards25[[#This Row],[Design Est.]]</f>
        <v>0</v>
      </c>
      <c r="W53" s="85">
        <f ca="1">(Yards25[[#This Row],['# yards]]*INDEX(UnitCosts[],MATCH(Yards25[[#This Row],[WORK TYPE]],UnitCosts[Work Type],0),2))*(1+((Yards25[[#This Row],[est. CONS Year]]-YEAR(TODAY()))*$W$3))</f>
        <v>0</v>
      </c>
      <c r="X53" s="142">
        <f>IF(ISNUMBER(SEARCH("LLC",Yards25[[#This Row],[PROGRAM]])),IF(Yards25[[#This Row],[RAD/PACT by 2025]]="yes",0,1),0)</f>
        <v>0</v>
      </c>
      <c r="Y53" s="1"/>
      <c r="Z53" s="1"/>
      <c r="AA53" s="51">
        <f ca="1">COUNTIF($X$5:Yards25[[#This Row],['# yards]],"&gt;0")</f>
        <v>1</v>
      </c>
      <c r="AB53" s="1">
        <f ca="1">IF(ISBLANK(Yards25[[#This Row],[DSGN CALENDAR YEAR]]),ROUNDDOWN(Yards25[[#This Row],[Count]]/20,0)+$AB$1,Yards25[[#This Row],[DSGN CALENDAR YEAR]])</f>
        <v>2022</v>
      </c>
      <c r="AC53" s="16">
        <f ca="1">Yards25[[#This Row],[est. DSGN Year]]+1</f>
        <v>2023</v>
      </c>
    </row>
    <row r="54" spans="1:29" hidden="1">
      <c r="A54" s="13" t="s">
        <v>108</v>
      </c>
      <c r="B54" s="51" t="str">
        <f>VLOOKUP(Yards25[[#This Row],[DEVELOPMENT]],Data[],2,FALSE)</f>
        <v>MANHATTAN</v>
      </c>
      <c r="C54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54" s="51" t="str">
        <f>VLOOKUP(Yards25[[#This Row],[DEVELOPMENT]],Data[],52,FALSE)</f>
        <v>FEDERAL</v>
      </c>
      <c r="E54" s="50" t="str">
        <f>VLOOKUP(Yards25[[#This Row],[DEVELOPMENT]],Data[],8,FALSE)</f>
        <v>Zone 1</v>
      </c>
      <c r="F54" s="51" t="str">
        <f>VLOOKUP(Yards25[[#This Row],[DEVELOPMENT]],all[[DEVELOPMENT]:[MRST Ext. Comp. Priority]],6,FALSE)</f>
        <v>B</v>
      </c>
      <c r="G54" s="51">
        <f>VLOOKUP(Yards25[[#This Row],[DEVELOPMENT]],all[[DEVELOPMENT]:[MRST Ext. Comp. Priority]],13,FALSE)</f>
        <v>2</v>
      </c>
      <c r="H54" s="50">
        <f>IF(VLOOKUP(Yards25[[#This Row],[DEVELOPMENT]],Data[],9,FALSE)=0,5,VLOOKUP(Yards25[[#This Row],[DEVELOPMENT]],Data[],9,FALSE))</f>
        <v>4</v>
      </c>
      <c r="I54" s="51">
        <f>VLOOKUP(Yards25[[#This Row],[DEVELOPMENT]],Data[],33,FALSE)</f>
        <v>0</v>
      </c>
      <c r="J54" s="51">
        <f>VLOOKUP(Yards25[[#This Row],[DEVELOPMENT]],Data[],28,FALSE)</f>
        <v>0</v>
      </c>
      <c r="K54" s="51"/>
      <c r="L54" s="50"/>
      <c r="M54" s="51" t="str">
        <f ca="1">IFERROR(VLOOKUP(Yards25[[#This Row],[DEVELOPMENT]],Data[],4,FALSE),"")</f>
        <v/>
      </c>
      <c r="N54" s="51" t="str">
        <f ca="1">IF(Yards25[[#This Row],[RAD/PACT]]="","",IF(OR(Yards25[[#This Row],[RAD/PACT]]="2022-2025",Yards25[[#This Row],[RAD/PACT]]=2019,Yards25[[#This Row],[RAD/PACT]]="2020-2021"),"Yes",""))</f>
        <v/>
      </c>
      <c r="O54" s="51" t="str">
        <f ca="1">IFERROR(VLOOKUP(Yards25[[#This Row],[DEVELOPMENT]],ExtComp[],8,FALSE),"")</f>
        <v/>
      </c>
      <c r="P54" s="51"/>
      <c r="Q54" s="51"/>
      <c r="R54" s="51" t="str">
        <f>IF(ISBLANK(Yards25[[#This Row],[DSGN CALENDAR YEAR]]),"",Yards25[[#This Row],[DSGN CALENDAR YEAR]]+1)</f>
        <v/>
      </c>
      <c r="S54" s="51" t="str">
        <f>IF(ISBLANK(Yards25[[#This Row],[DSGN FISCAL YEAR]]),"",Yards25[[#This Row],[DSGN FISCAL YEAR]]+1)</f>
        <v/>
      </c>
      <c r="T54" s="51"/>
      <c r="U54" s="128">
        <f ca="1">Yards25[[#This Row],[Estimate]]*0.1</f>
        <v>0</v>
      </c>
      <c r="V54" s="47">
        <f ca="1">Yards25[[#This Row],[Estimate]]-Yards25[[#This Row],[Design Est.]]</f>
        <v>0</v>
      </c>
      <c r="W54" s="85">
        <f ca="1">(Yards25[[#This Row],['# yards]]*INDEX(UnitCosts[],MATCH(Yards25[[#This Row],[WORK TYPE]],UnitCosts[Work Type],0),2))*(1+((Yards25[[#This Row],[est. CONS Year]]-YEAR(TODAY()))*$W$3))</f>
        <v>0</v>
      </c>
      <c r="X54" s="142">
        <f>IF(ISNUMBER(SEARCH("LLC",Yards25[[#This Row],[PROGRAM]])),IF(Yards25[[#This Row],[RAD/PACT by 2025]]="yes",0,1),0)</f>
        <v>0</v>
      </c>
      <c r="Y54" s="1"/>
      <c r="Z54" s="1"/>
      <c r="AA54" s="51">
        <f ca="1">COUNTIF($X$5:Yards25[[#This Row],['# yards]],"&gt;0")</f>
        <v>1</v>
      </c>
      <c r="AB54" s="1">
        <f ca="1">IF(ISBLANK(Yards25[[#This Row],[DSGN CALENDAR YEAR]]),ROUNDDOWN(Yards25[[#This Row],[Count]]/20,0)+$AB$1,Yards25[[#This Row],[DSGN CALENDAR YEAR]])</f>
        <v>2022</v>
      </c>
      <c r="AC54" s="16">
        <f ca="1">Yards25[[#This Row],[est. DSGN Year]]+1</f>
        <v>2023</v>
      </c>
    </row>
    <row r="55" spans="1:29" hidden="1">
      <c r="A55" s="13" t="s">
        <v>226</v>
      </c>
      <c r="B55" s="51" t="str">
        <f>VLOOKUP(Yards25[[#This Row],[DEVELOPMENT]],Data[],2,FALSE)</f>
        <v>BROOKLYN</v>
      </c>
      <c r="C55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55" s="51" t="str">
        <f>VLOOKUP(Yards25[[#This Row],[DEVELOPMENT]],Data[],52,FALSE)</f>
        <v>MIXED FINANCE/LLC2</v>
      </c>
      <c r="E55" s="50">
        <f>VLOOKUP(Yards25[[#This Row],[DEVELOPMENT]],Data[],8,FALSE)</f>
        <v>0</v>
      </c>
      <c r="F55" s="51" t="str">
        <f>VLOOKUP(Yards25[[#This Row],[DEVELOPMENT]],all[[DEVELOPMENT]:[MRST Ext. Comp. Priority]],6,FALSE)</f>
        <v>B</v>
      </c>
      <c r="G55" s="51">
        <f>VLOOKUP(Yards25[[#This Row],[DEVELOPMENT]],all[[DEVELOPMENT]:[MRST Ext. Comp. Priority]],13,FALSE)</f>
        <v>3</v>
      </c>
      <c r="H55" s="50">
        <f>IF(VLOOKUP(Yards25[[#This Row],[DEVELOPMENT]],Data[],9,FALSE)=0,5,VLOOKUP(Yards25[[#This Row],[DEVELOPMENT]],Data[],9,FALSE))</f>
        <v>5</v>
      </c>
      <c r="I55" s="51">
        <f>VLOOKUP(Yards25[[#This Row],[DEVELOPMENT]],Data[],33,FALSE)</f>
        <v>0</v>
      </c>
      <c r="J55" s="51">
        <f>VLOOKUP(Yards25[[#This Row],[DEVELOPMENT]],Data[],28,FALSE)</f>
        <v>0</v>
      </c>
      <c r="K55" s="51"/>
      <c r="L55" s="50"/>
      <c r="M55" s="51" t="str">
        <f ca="1">IFERROR(VLOOKUP(Yards25[[#This Row],[DEVELOPMENT]],Data[],4,FALSE),"")</f>
        <v>2020-2021</v>
      </c>
      <c r="N55" s="51" t="str">
        <f ca="1">IF(Yards25[[#This Row],[RAD/PACT]]="","",IF(OR(Yards25[[#This Row],[RAD/PACT]]="2022-2025",Yards25[[#This Row],[RAD/PACT]]=2019,Yards25[[#This Row],[RAD/PACT]]="2020-2021"),"Yes",""))</f>
        <v>Yes</v>
      </c>
      <c r="O55" s="51" t="str">
        <f ca="1">IFERROR(VLOOKUP(Yards25[[#This Row],[DEVELOPMENT]],ExtComp[],8,FALSE),"")</f>
        <v/>
      </c>
      <c r="P55" s="51"/>
      <c r="Q55" s="51"/>
      <c r="R55" s="51" t="str">
        <f>IF(ISBLANK(Yards25[[#This Row],[DSGN CALENDAR YEAR]]),"",Yards25[[#This Row],[DSGN CALENDAR YEAR]]+1)</f>
        <v/>
      </c>
      <c r="S55" s="51" t="str">
        <f>IF(ISBLANK(Yards25[[#This Row],[DSGN FISCAL YEAR]]),"",Yards25[[#This Row],[DSGN FISCAL YEAR]]+1)</f>
        <v/>
      </c>
      <c r="T55" s="51"/>
      <c r="U55" s="128">
        <f ca="1">Yards25[[#This Row],[Estimate]]*0.1</f>
        <v>0</v>
      </c>
      <c r="V55" s="47">
        <f ca="1">Yards25[[#This Row],[Estimate]]-Yards25[[#This Row],[Design Est.]]</f>
        <v>0</v>
      </c>
      <c r="W55" s="85">
        <f ca="1">(Yards25[[#This Row],['# yards]]*INDEX(UnitCosts[],MATCH(Yards25[[#This Row],[WORK TYPE]],UnitCosts[Work Type],0),2))*(1+((Yards25[[#This Row],[est. CONS Year]]-YEAR(TODAY()))*$W$3))</f>
        <v>0</v>
      </c>
      <c r="X55" s="142">
        <f ca="1">IF(ISNUMBER(SEARCH("LLC",Yards25[[#This Row],[PROGRAM]])),IF(Yards25[[#This Row],[RAD/PACT by 2025]]="yes",0,1),0)</f>
        <v>0</v>
      </c>
      <c r="Y55" s="1"/>
      <c r="Z55" s="1"/>
      <c r="AA55" s="51">
        <f ca="1">COUNTIF($X$5:Yards25[[#This Row],['# yards]],"&gt;0")</f>
        <v>1</v>
      </c>
      <c r="AB55" s="1">
        <f ca="1">IF(ISBLANK(Yards25[[#This Row],[DSGN CALENDAR YEAR]]),ROUNDDOWN(Yards25[[#This Row],[Count]]/20,0)+$AB$1,Yards25[[#This Row],[DSGN CALENDAR YEAR]])</f>
        <v>2022</v>
      </c>
      <c r="AC55" s="16">
        <f ca="1">Yards25[[#This Row],[est. DSGN Year]]+1</f>
        <v>2023</v>
      </c>
    </row>
    <row r="56" spans="1:29" hidden="1">
      <c r="A56" s="13" t="s">
        <v>188</v>
      </c>
      <c r="B56" s="51" t="str">
        <f>VLOOKUP(Yards25[[#This Row],[DEVELOPMENT]],Data[],2,FALSE)</f>
        <v>BROOKLYN</v>
      </c>
      <c r="C56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56" s="51" t="str">
        <f>VLOOKUP(Yards25[[#This Row],[DEVELOPMENT]],Data[],52,FALSE)</f>
        <v>FEDERAL</v>
      </c>
      <c r="E56" s="50">
        <f>VLOOKUP(Yards25[[#This Row],[DEVELOPMENT]],Data[],8,FALSE)</f>
        <v>0</v>
      </c>
      <c r="F56" s="51" t="str">
        <f>VLOOKUP(Yards25[[#This Row],[DEVELOPMENT]],all[[DEVELOPMENT]:[MRST Ext. Comp. Priority]],6,FALSE)</f>
        <v>B</v>
      </c>
      <c r="G56" s="51" t="str">
        <f>VLOOKUP(Yards25[[#This Row],[DEVELOPMENT]],all[[DEVELOPMENT]:[MRST Ext. Comp. Priority]],13,FALSE)</f>
        <v>None</v>
      </c>
      <c r="H56" s="50">
        <f>IF(VLOOKUP(Yards25[[#This Row],[DEVELOPMENT]],Data[],9,FALSE)=0,5,VLOOKUP(Yards25[[#This Row],[DEVELOPMENT]],Data[],9,FALSE))</f>
        <v>5</v>
      </c>
      <c r="I56" s="51">
        <f>VLOOKUP(Yards25[[#This Row],[DEVELOPMENT]],Data[],33,FALSE)</f>
        <v>4</v>
      </c>
      <c r="J56" s="51">
        <f>VLOOKUP(Yards25[[#This Row],[DEVELOPMENT]],Data[],28,FALSE)</f>
        <v>0</v>
      </c>
      <c r="K56" s="51"/>
      <c r="L56" s="50"/>
      <c r="M56" s="51" t="str">
        <f ca="1">IFERROR(VLOOKUP(Yards25[[#This Row],[DEVELOPMENT]],Data[],4,FALSE),"")</f>
        <v>2020-2021</v>
      </c>
      <c r="N56" s="51" t="str">
        <f ca="1">IF(Yards25[[#This Row],[RAD/PACT]]="","",IF(OR(Yards25[[#This Row],[RAD/PACT]]="2022-2025",Yards25[[#This Row],[RAD/PACT]]=2019,Yards25[[#This Row],[RAD/PACT]]="2020-2021"),"Yes",""))</f>
        <v>Yes</v>
      </c>
      <c r="O56" s="51">
        <f ca="1">IFERROR(VLOOKUP(Yards25[[#This Row],[DEVELOPMENT]],ExtComp[],8,FALSE),"")</f>
        <v>18</v>
      </c>
      <c r="P56" s="51"/>
      <c r="Q56" s="51"/>
      <c r="R56" s="51" t="str">
        <f>IF(ISBLANK(Yards25[[#This Row],[DSGN CALENDAR YEAR]]),"",Yards25[[#This Row],[DSGN CALENDAR YEAR]]+1)</f>
        <v/>
      </c>
      <c r="S56" s="51" t="str">
        <f>IF(ISBLANK(Yards25[[#This Row],[DSGN FISCAL YEAR]]),"",Yards25[[#This Row],[DSGN FISCAL YEAR]]+1)</f>
        <v/>
      </c>
      <c r="T56" s="51"/>
      <c r="U56" s="128">
        <f ca="1">Yards25[[#This Row],[Estimate]]*0.1</f>
        <v>0</v>
      </c>
      <c r="V56" s="47">
        <f ca="1">Yards25[[#This Row],[Estimate]]-Yards25[[#This Row],[Design Est.]]</f>
        <v>0</v>
      </c>
      <c r="W56" s="85">
        <f ca="1">(Yards25[[#This Row],['# yards]]*INDEX(UnitCosts[],MATCH(Yards25[[#This Row],[WORK TYPE]],UnitCosts[Work Type],0),2))*(1+((Yards25[[#This Row],[est. CONS Year]]-YEAR(TODAY()))*$W$3))</f>
        <v>0</v>
      </c>
      <c r="X56" s="142">
        <f>IF(ISNUMBER(SEARCH("LLC",Yards25[[#This Row],[PROGRAM]])),IF(Yards25[[#This Row],[RAD/PACT by 2025]]="yes",0,1),0)</f>
        <v>0</v>
      </c>
      <c r="Y56" s="1"/>
      <c r="Z56" s="1"/>
      <c r="AA56" s="51">
        <f ca="1">COUNTIF($X$5:Yards25[[#This Row],['# yards]],"&gt;0")</f>
        <v>1</v>
      </c>
      <c r="AB56" s="1">
        <f ca="1">IF(ISBLANK(Yards25[[#This Row],[DSGN CALENDAR YEAR]]),ROUNDDOWN(Yards25[[#This Row],[Count]]/20,0)+$AB$1,Yards25[[#This Row],[DSGN CALENDAR YEAR]])</f>
        <v>2022</v>
      </c>
      <c r="AC56" s="16">
        <f ca="1">Yards25[[#This Row],[est. DSGN Year]]+1</f>
        <v>2023</v>
      </c>
    </row>
    <row r="57" spans="1:29" hidden="1">
      <c r="A57" s="13" t="s">
        <v>199</v>
      </c>
      <c r="B57" s="51" t="str">
        <f>VLOOKUP(Yards25[[#This Row],[DEVELOPMENT]],Data[],2,FALSE)</f>
        <v>BROOKLYN</v>
      </c>
      <c r="C5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57" s="51" t="str">
        <f>VLOOKUP(Yards25[[#This Row],[DEVELOPMENT]],Data[],52,FALSE)</f>
        <v>FEDERAL</v>
      </c>
      <c r="E57" s="50">
        <f>VLOOKUP(Yards25[[#This Row],[DEVELOPMENT]],Data[],8,FALSE)</f>
        <v>0</v>
      </c>
      <c r="F57" s="51" t="str">
        <f>VLOOKUP(Yards25[[#This Row],[DEVELOPMENT]],all[[DEVELOPMENT]:[MRST Ext. Comp. Priority]],6,FALSE)</f>
        <v>B</v>
      </c>
      <c r="G57" s="51">
        <f>VLOOKUP(Yards25[[#This Row],[DEVELOPMENT]],all[[DEVELOPMENT]:[MRST Ext. Comp. Priority]],13,FALSE)</f>
        <v>3</v>
      </c>
      <c r="H57" s="50">
        <f>IF(VLOOKUP(Yards25[[#This Row],[DEVELOPMENT]],Data[],9,FALSE)=0,5,VLOOKUP(Yards25[[#This Row],[DEVELOPMENT]],Data[],9,FALSE))</f>
        <v>5</v>
      </c>
      <c r="I57" s="51">
        <f>VLOOKUP(Yards25[[#This Row],[DEVELOPMENT]],Data[],33,FALSE)</f>
        <v>2</v>
      </c>
      <c r="J57" s="51">
        <f>VLOOKUP(Yards25[[#This Row],[DEVELOPMENT]],Data[],28,FALSE)</f>
        <v>0</v>
      </c>
      <c r="K57" s="51"/>
      <c r="L57" s="50"/>
      <c r="M57" s="51" t="str">
        <f ca="1">IFERROR(VLOOKUP(Yards25[[#This Row],[DEVELOPMENT]],Data[],4,FALSE),"")</f>
        <v>2026+</v>
      </c>
      <c r="N57" s="51" t="str">
        <f ca="1">IF(Yards25[[#This Row],[RAD/PACT]]="","",IF(OR(Yards25[[#This Row],[RAD/PACT]]="2022-2025",Yards25[[#This Row],[RAD/PACT]]=2019,Yards25[[#This Row],[RAD/PACT]]="2020-2021"),"Yes",""))</f>
        <v/>
      </c>
      <c r="O57" s="51">
        <f ca="1">IFERROR(VLOOKUP(Yards25[[#This Row],[DEVELOPMENT]],ExtComp[],8,FALSE),"")</f>
        <v>13</v>
      </c>
      <c r="P57" s="51"/>
      <c r="Q57" s="51"/>
      <c r="R57" s="51" t="str">
        <f>IF(ISBLANK(Yards25[[#This Row],[DSGN CALENDAR YEAR]]),"",Yards25[[#This Row],[DSGN CALENDAR YEAR]]+1)</f>
        <v/>
      </c>
      <c r="S57" s="51" t="str">
        <f>IF(ISBLANK(Yards25[[#This Row],[DSGN FISCAL YEAR]]),"",Yards25[[#This Row],[DSGN FISCAL YEAR]]+1)</f>
        <v/>
      </c>
      <c r="T57" s="51"/>
      <c r="U57" s="128">
        <f ca="1">Yards25[[#This Row],[Estimate]]*0.1</f>
        <v>0</v>
      </c>
      <c r="V57" s="47">
        <f ca="1">Yards25[[#This Row],[Estimate]]-Yards25[[#This Row],[Design Est.]]</f>
        <v>0</v>
      </c>
      <c r="W57" s="85">
        <f ca="1">(Yards25[[#This Row],['# yards]]*INDEX(UnitCosts[],MATCH(Yards25[[#This Row],[WORK TYPE]],UnitCosts[Work Type],0),2))*(1+((Yards25[[#This Row],[est. CONS Year]]-YEAR(TODAY()))*$W$3))</f>
        <v>0</v>
      </c>
      <c r="X57" s="142">
        <f>IF(ISNUMBER(SEARCH("LLC",Yards25[[#This Row],[PROGRAM]])),IF(Yards25[[#This Row],[RAD/PACT by 2025]]="yes",0,1),0)</f>
        <v>0</v>
      </c>
      <c r="Y57" s="1"/>
      <c r="Z57" s="1"/>
      <c r="AA57" s="51">
        <f ca="1">COUNTIF($X$5:Yards25[[#This Row],['# yards]],"&gt;0")</f>
        <v>1</v>
      </c>
      <c r="AB57" s="1">
        <f ca="1">IF(ISBLANK(Yards25[[#This Row],[DSGN CALENDAR YEAR]]),ROUNDDOWN(Yards25[[#This Row],[Count]]/20,0)+$AB$1,Yards25[[#This Row],[DSGN CALENDAR YEAR]])</f>
        <v>2022</v>
      </c>
      <c r="AC57" s="16">
        <f ca="1">Yards25[[#This Row],[est. DSGN Year]]+1</f>
        <v>2023</v>
      </c>
    </row>
    <row r="58" spans="1:29" hidden="1">
      <c r="A58" s="13" t="s">
        <v>189</v>
      </c>
      <c r="B58" s="51" t="str">
        <f>VLOOKUP(Yards25[[#This Row],[DEVELOPMENT]],Data[],2,FALSE)</f>
        <v>BRONX</v>
      </c>
      <c r="C5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58" s="51" t="str">
        <f>VLOOKUP(Yards25[[#This Row],[DEVELOPMENT]],Data[],52,FALSE)</f>
        <v>FEDERAL</v>
      </c>
      <c r="E58" s="50" t="str">
        <f>VLOOKUP(Yards25[[#This Row],[DEVELOPMENT]],Data[],8,FALSE)</f>
        <v>Zone 3</v>
      </c>
      <c r="F58" s="51" t="str">
        <f>VLOOKUP(Yards25[[#This Row],[DEVELOPMENT]],all[[DEVELOPMENT]:[MRST Ext. Comp. Priority]],6,FALSE)</f>
        <v>B</v>
      </c>
      <c r="G58" s="51" t="str">
        <f>VLOOKUP(Yards25[[#This Row],[DEVELOPMENT]],all[[DEVELOPMENT]:[MRST Ext. Comp. Priority]],13,FALSE)</f>
        <v>None</v>
      </c>
      <c r="H58" s="50">
        <f>IF(VLOOKUP(Yards25[[#This Row],[DEVELOPMENT]],Data[],9,FALSE)=0,5,VLOOKUP(Yards25[[#This Row],[DEVELOPMENT]],Data[],9,FALSE))</f>
        <v>5</v>
      </c>
      <c r="I58" s="51">
        <f>VLOOKUP(Yards25[[#This Row],[DEVELOPMENT]],Data[],33,FALSE)</f>
        <v>0</v>
      </c>
      <c r="J58" s="51">
        <f>VLOOKUP(Yards25[[#This Row],[DEVELOPMENT]],Data[],28,FALSE)</f>
        <v>0</v>
      </c>
      <c r="K58" s="51"/>
      <c r="L58" s="50"/>
      <c r="M58" s="51" t="str">
        <f ca="1">IFERROR(VLOOKUP(Yards25[[#This Row],[DEVELOPMENT]],Data[],4,FALSE),"")</f>
        <v/>
      </c>
      <c r="N58" s="51" t="str">
        <f ca="1">IF(Yards25[[#This Row],[RAD/PACT]]="","",IF(OR(Yards25[[#This Row],[RAD/PACT]]="2022-2025",Yards25[[#This Row],[RAD/PACT]]=2019,Yards25[[#This Row],[RAD/PACT]]="2020-2021"),"Yes",""))</f>
        <v/>
      </c>
      <c r="O58" s="51" t="str">
        <f ca="1">IFERROR(VLOOKUP(Yards25[[#This Row],[DEVELOPMENT]],ExtComp[],8,FALSE),"")</f>
        <v/>
      </c>
      <c r="P58" s="51"/>
      <c r="Q58" s="51"/>
      <c r="R58" s="51" t="str">
        <f>IF(ISBLANK(Yards25[[#This Row],[DSGN CALENDAR YEAR]]),"",Yards25[[#This Row],[DSGN CALENDAR YEAR]]+1)</f>
        <v/>
      </c>
      <c r="S58" s="51" t="str">
        <f>IF(ISBLANK(Yards25[[#This Row],[DSGN FISCAL YEAR]]),"",Yards25[[#This Row],[DSGN FISCAL YEAR]]+1)</f>
        <v/>
      </c>
      <c r="T58" s="51"/>
      <c r="U58" s="128">
        <f ca="1">Yards25[[#This Row],[Estimate]]*0.1</f>
        <v>0</v>
      </c>
      <c r="V58" s="47">
        <f ca="1">Yards25[[#This Row],[Estimate]]-Yards25[[#This Row],[Design Est.]]</f>
        <v>0</v>
      </c>
      <c r="W58" s="85">
        <f ca="1">(Yards25[[#This Row],['# yards]]*INDEX(UnitCosts[],MATCH(Yards25[[#This Row],[WORK TYPE]],UnitCosts[Work Type],0),2))*(1+((Yards25[[#This Row],[est. CONS Year]]-YEAR(TODAY()))*$W$3))</f>
        <v>0</v>
      </c>
      <c r="X58" s="142">
        <f>IF(ISNUMBER(SEARCH("LLC",Yards25[[#This Row],[PROGRAM]])),IF(Yards25[[#This Row],[RAD/PACT by 2025]]="yes",0,1),0)</f>
        <v>0</v>
      </c>
      <c r="Y58" s="1"/>
      <c r="Z58" s="1"/>
      <c r="AA58" s="51">
        <f ca="1">COUNTIF($X$5:Yards25[[#This Row],['# yards]],"&gt;0")</f>
        <v>1</v>
      </c>
      <c r="AB58" s="1">
        <f ca="1">IF(ISBLANK(Yards25[[#This Row],[DSGN CALENDAR YEAR]]),ROUNDDOWN(Yards25[[#This Row],[Count]]/20,0)+$AB$1,Yards25[[#This Row],[DSGN CALENDAR YEAR]])</f>
        <v>2022</v>
      </c>
      <c r="AC58" s="16">
        <f ca="1">Yards25[[#This Row],[est. DSGN Year]]+1</f>
        <v>2023</v>
      </c>
    </row>
    <row r="59" spans="1:29">
      <c r="A59" s="13" t="s">
        <v>200</v>
      </c>
      <c r="B59" s="51" t="str">
        <f>VLOOKUP(Yards25[[#This Row],[DEVELOPMENT]],Data[],2,FALSE)</f>
        <v>BRONX</v>
      </c>
      <c r="C59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59" s="51" t="str">
        <f>VLOOKUP(Yards25[[#This Row],[DEVELOPMENT]],Data[],52,FALSE)</f>
        <v>MIXED FINANCE/LLC1</v>
      </c>
      <c r="E59" s="50">
        <f>VLOOKUP(Yards25[[#This Row],[DEVELOPMENT]],Data[],8,FALSE)</f>
        <v>0</v>
      </c>
      <c r="F59" s="51" t="str">
        <f>VLOOKUP(Yards25[[#This Row],[DEVELOPMENT]],all[[DEVELOPMENT]:[MRST Ext. Comp. Priority]],6,FALSE)</f>
        <v>B</v>
      </c>
      <c r="G59" s="51">
        <f>VLOOKUP(Yards25[[#This Row],[DEVELOPMENT]],all[[DEVELOPMENT]:[MRST Ext. Comp. Priority]],13,FALSE)</f>
        <v>2</v>
      </c>
      <c r="H59" s="50">
        <f>IF(VLOOKUP(Yards25[[#This Row],[DEVELOPMENT]],Data[],9,FALSE)=0,5,VLOOKUP(Yards25[[#This Row],[DEVELOPMENT]],Data[],9,FALSE))</f>
        <v>5</v>
      </c>
      <c r="I59" s="51">
        <f>VLOOKUP(Yards25[[#This Row],[DEVELOPMENT]],Data[],33,FALSE)</f>
        <v>4</v>
      </c>
      <c r="J59" s="51">
        <f>VLOOKUP(Yards25[[#This Row],[DEVELOPMENT]],Data[],28,FALSE)</f>
        <v>0</v>
      </c>
      <c r="K59" s="51"/>
      <c r="L59" s="50"/>
      <c r="M59" s="51" t="str">
        <f ca="1">IFERROR(VLOOKUP(Yards25[[#This Row],[DEVELOPMENT]],Data[],4,FALSE),"")</f>
        <v/>
      </c>
      <c r="N59" s="51" t="str">
        <f ca="1">IF(Yards25[[#This Row],[RAD/PACT]]="","",IF(OR(Yards25[[#This Row],[RAD/PACT]]="2022-2025",Yards25[[#This Row],[RAD/PACT]]=2019,Yards25[[#This Row],[RAD/PACT]]="2020-2021"),"Yes",""))</f>
        <v/>
      </c>
      <c r="O59" s="51">
        <f ca="1">IFERROR(VLOOKUP(Yards25[[#This Row],[DEVELOPMENT]],ExtComp[],8,FALSE),"")</f>
        <v>2</v>
      </c>
      <c r="P59" s="51"/>
      <c r="Q59" s="51"/>
      <c r="R59" s="51" t="str">
        <f>IF(ISBLANK(Yards25[[#This Row],[DSGN CALENDAR YEAR]]),"",Yards25[[#This Row],[DSGN CALENDAR YEAR]]+1)</f>
        <v/>
      </c>
      <c r="S59" s="51" t="str">
        <f>IF(ISBLANK(Yards25[[#This Row],[DSGN FISCAL YEAR]]),"",Yards25[[#This Row],[DSGN FISCAL YEAR]]+1)</f>
        <v/>
      </c>
      <c r="T59" s="51"/>
      <c r="U59" s="128">
        <f ca="1">Yards25[[#This Row],[Estimate]]*0.1</f>
        <v>150530.15561285004</v>
      </c>
      <c r="V59" s="47">
        <f ca="1">Yards25[[#This Row],[Estimate]]-Yards25[[#This Row],[Design Est.]]</f>
        <v>1354771.4005156502</v>
      </c>
      <c r="W59" s="85">
        <f ca="1">(Yards25[[#This Row],['# yards]]*INDEX(UnitCosts[],MATCH(Yards25[[#This Row],[WORK TYPE]],UnitCosts[Work Type],0),2))*(1+((Yards25[[#This Row],[est. CONS Year]]-YEAR(TODAY()))*$W$3))</f>
        <v>1505301.5561285003</v>
      </c>
      <c r="X59" s="142">
        <f ca="1">IF(ISNUMBER(SEARCH("LLC",Yards25[[#This Row],[PROGRAM]])),IF(Yards25[[#This Row],[RAD/PACT by 2025]]="yes",0,1),0)</f>
        <v>1</v>
      </c>
      <c r="Y59" s="1"/>
      <c r="Z59" s="1"/>
      <c r="AA59" s="51">
        <f ca="1">COUNTIF($X$5:Yards25[[#This Row],['# yards]],"&gt;0")</f>
        <v>2</v>
      </c>
      <c r="AB59" s="1">
        <f ca="1">IF(ISBLANK(Yards25[[#This Row],[DSGN CALENDAR YEAR]]),ROUNDDOWN(Yards25[[#This Row],[Count]]/20,0)+$AB$1,Yards25[[#This Row],[DSGN CALENDAR YEAR]])</f>
        <v>2022</v>
      </c>
      <c r="AC59" s="16">
        <f ca="1">Yards25[[#This Row],[est. DSGN Year]]+1</f>
        <v>2023</v>
      </c>
    </row>
    <row r="60" spans="1:29" hidden="1">
      <c r="A60" s="13" t="s">
        <v>190</v>
      </c>
      <c r="B60" s="51" t="str">
        <f>VLOOKUP(Yards25[[#This Row],[DEVELOPMENT]],Data[],2,FALSE)</f>
        <v>BROOKLYN</v>
      </c>
      <c r="C60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60" s="51" t="str">
        <f>VLOOKUP(Yards25[[#This Row],[DEVELOPMENT]],Data[],52,FALSE)</f>
        <v>FEDERAL</v>
      </c>
      <c r="E60" s="50">
        <f>VLOOKUP(Yards25[[#This Row],[DEVELOPMENT]],Data[],8,FALSE)</f>
        <v>0</v>
      </c>
      <c r="F60" s="51" t="str">
        <f>VLOOKUP(Yards25[[#This Row],[DEVELOPMENT]],all[[DEVELOPMENT]:[MRST Ext. Comp. Priority]],6,FALSE)</f>
        <v>B</v>
      </c>
      <c r="G60" s="51">
        <f>VLOOKUP(Yards25[[#This Row],[DEVELOPMENT]],all[[DEVELOPMENT]:[MRST Ext. Comp. Priority]],13,FALSE)</f>
        <v>3</v>
      </c>
      <c r="H60" s="50">
        <f>IF(VLOOKUP(Yards25[[#This Row],[DEVELOPMENT]],Data[],9,FALSE)=0,5,VLOOKUP(Yards25[[#This Row],[DEVELOPMENT]],Data[],9,FALSE))</f>
        <v>5</v>
      </c>
      <c r="I60" s="51">
        <f>VLOOKUP(Yards25[[#This Row],[DEVELOPMENT]],Data[],33,FALSE)</f>
        <v>2</v>
      </c>
      <c r="J60" s="51">
        <f>VLOOKUP(Yards25[[#This Row],[DEVELOPMENT]],Data[],28,FALSE)</f>
        <v>0</v>
      </c>
      <c r="K60" s="51"/>
      <c r="L60" s="50"/>
      <c r="M60" s="51" t="str">
        <f ca="1">IFERROR(VLOOKUP(Yards25[[#This Row],[DEVELOPMENT]],Data[],4,FALSE),"")</f>
        <v>2026+</v>
      </c>
      <c r="N60" s="51" t="str">
        <f ca="1">IF(Yards25[[#This Row],[RAD/PACT]]="","",IF(OR(Yards25[[#This Row],[RAD/PACT]]="2022-2025",Yards25[[#This Row],[RAD/PACT]]=2019,Yards25[[#This Row],[RAD/PACT]]="2020-2021"),"Yes",""))</f>
        <v/>
      </c>
      <c r="O60" s="51">
        <f ca="1">IFERROR(VLOOKUP(Yards25[[#This Row],[DEVELOPMENT]],ExtComp[],8,FALSE),"")</f>
        <v>17</v>
      </c>
      <c r="P60" s="51"/>
      <c r="Q60" s="51"/>
      <c r="R60" s="51" t="str">
        <f>IF(ISBLANK(Yards25[[#This Row],[DSGN CALENDAR YEAR]]),"",Yards25[[#This Row],[DSGN CALENDAR YEAR]]+1)</f>
        <v/>
      </c>
      <c r="S60" s="51" t="str">
        <f>IF(ISBLANK(Yards25[[#This Row],[DSGN FISCAL YEAR]]),"",Yards25[[#This Row],[DSGN FISCAL YEAR]]+1)</f>
        <v/>
      </c>
      <c r="T60" s="51"/>
      <c r="U60" s="128">
        <f ca="1">Yards25[[#This Row],[Estimate]]*0.1</f>
        <v>0</v>
      </c>
      <c r="V60" s="47">
        <f ca="1">Yards25[[#This Row],[Estimate]]-Yards25[[#This Row],[Design Est.]]</f>
        <v>0</v>
      </c>
      <c r="W60" s="85">
        <f ca="1">(Yards25[[#This Row],['# yards]]*INDEX(UnitCosts[],MATCH(Yards25[[#This Row],[WORK TYPE]],UnitCosts[Work Type],0),2))*(1+((Yards25[[#This Row],[est. CONS Year]]-YEAR(TODAY()))*$W$3))</f>
        <v>0</v>
      </c>
      <c r="X60" s="142">
        <f>IF(ISNUMBER(SEARCH("LLC",Yards25[[#This Row],[PROGRAM]])),IF(Yards25[[#This Row],[RAD/PACT by 2025]]="yes",0,1),0)</f>
        <v>0</v>
      </c>
      <c r="Y60" s="1"/>
      <c r="Z60" s="1"/>
      <c r="AA60" s="51">
        <f ca="1">COUNTIF($X$5:Yards25[[#This Row],['# yards]],"&gt;0")</f>
        <v>2</v>
      </c>
      <c r="AB60" s="1">
        <f ca="1">IF(ISBLANK(Yards25[[#This Row],[DSGN CALENDAR YEAR]]),ROUNDDOWN(Yards25[[#This Row],[Count]]/20,0)+$AB$1,Yards25[[#This Row],[DSGN CALENDAR YEAR]])</f>
        <v>2022</v>
      </c>
      <c r="AC60" s="16">
        <f ca="1">Yards25[[#This Row],[est. DSGN Year]]+1</f>
        <v>2023</v>
      </c>
    </row>
    <row r="61" spans="1:29" hidden="1">
      <c r="A61" s="13" t="s">
        <v>201</v>
      </c>
      <c r="B61" s="51" t="str">
        <f>VLOOKUP(Yards25[[#This Row],[DEVELOPMENT]],Data[],2,FALSE)</f>
        <v>BRONX</v>
      </c>
      <c r="C61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v6</v>
      </c>
      <c r="D61" s="51" t="str">
        <f>VLOOKUP(Yards25[[#This Row],[DEVELOPMENT]],Data[],52,FALSE)</f>
        <v>FEDERAL</v>
      </c>
      <c r="E61" s="50">
        <f>VLOOKUP(Yards25[[#This Row],[DEVELOPMENT]],Data[],8,FALSE)</f>
        <v>0</v>
      </c>
      <c r="F61" s="51" t="str">
        <f>VLOOKUP(Yards25[[#This Row],[DEVELOPMENT]],all[[DEVELOPMENT]:[MRST Ext. Comp. Priority]],6,FALSE)</f>
        <v>B</v>
      </c>
      <c r="G61" s="51">
        <f>VLOOKUP(Yards25[[#This Row],[DEVELOPMENT]],all[[DEVELOPMENT]:[MRST Ext. Comp. Priority]],13,FALSE)</f>
        <v>4</v>
      </c>
      <c r="H61" s="50">
        <f>IF(VLOOKUP(Yards25[[#This Row],[DEVELOPMENT]],Data[],9,FALSE)=0,5,VLOOKUP(Yards25[[#This Row],[DEVELOPMENT]],Data[],9,FALSE))</f>
        <v>5</v>
      </c>
      <c r="I61" s="51">
        <f>VLOOKUP(Yards25[[#This Row],[DEVELOPMENT]],Data[],33,FALSE)</f>
        <v>5</v>
      </c>
      <c r="J61" s="51">
        <f>VLOOKUP(Yards25[[#This Row],[DEVELOPMENT]],Data[],28,FALSE)</f>
        <v>0</v>
      </c>
      <c r="K61" s="51"/>
      <c r="L61" s="50"/>
      <c r="M61" s="51" t="str">
        <f ca="1">IFERROR(VLOOKUP(Yards25[[#This Row],[DEVELOPMENT]],Data[],4,FALSE),"")</f>
        <v>2022-2025</v>
      </c>
      <c r="N61" s="51" t="str">
        <f ca="1">IF(Yards25[[#This Row],[RAD/PACT]]="","",IF(OR(Yards25[[#This Row],[RAD/PACT]]="2022-2025",Yards25[[#This Row],[RAD/PACT]]=2019,Yards25[[#This Row],[RAD/PACT]]="2020-2021"),"Yes",""))</f>
        <v>Yes</v>
      </c>
      <c r="O61" s="51">
        <f ca="1">IFERROR(VLOOKUP(Yards25[[#This Row],[DEVELOPMENT]],ExtComp[],8,FALSE),"")</f>
        <v>5</v>
      </c>
      <c r="P61" s="51"/>
      <c r="Q61" s="51"/>
      <c r="R61" s="51" t="str">
        <f>IF(ISBLANK(Yards25[[#This Row],[DSGN CALENDAR YEAR]]),"",Yards25[[#This Row],[DSGN CALENDAR YEAR]]+1)</f>
        <v/>
      </c>
      <c r="S61" s="51" t="str">
        <f>IF(ISBLANK(Yards25[[#This Row],[DSGN FISCAL YEAR]]),"",Yards25[[#This Row],[DSGN FISCAL YEAR]]+1)</f>
        <v/>
      </c>
      <c r="T61" s="51"/>
      <c r="U61" s="128">
        <f ca="1">Yards25[[#This Row],[Estimate]]*0.1</f>
        <v>0</v>
      </c>
      <c r="V61" s="47">
        <f ca="1">Yards25[[#This Row],[Estimate]]-Yards25[[#This Row],[Design Est.]]</f>
        <v>0</v>
      </c>
      <c r="W61" s="85">
        <f ca="1">(Yards25[[#This Row],['# yards]]*INDEX(UnitCosts[],MATCH(Yards25[[#This Row],[WORK TYPE]],UnitCosts[Work Type],0),2))*(1+((Yards25[[#This Row],[est. CONS Year]]-YEAR(TODAY()))*$W$3))</f>
        <v>0</v>
      </c>
      <c r="X61" s="142">
        <f>IF(ISNUMBER(SEARCH("LLC",Yards25[[#This Row],[PROGRAM]])),IF(Yards25[[#This Row],[RAD/PACT by 2025]]="yes",0,1),0)</f>
        <v>0</v>
      </c>
      <c r="Y61" s="1"/>
      <c r="Z61" s="1"/>
      <c r="AA61" s="51">
        <f ca="1">COUNTIF($X$5:Yards25[[#This Row],['# yards]],"&gt;0")</f>
        <v>2</v>
      </c>
      <c r="AB61" s="1">
        <f ca="1">IF(ISBLANK(Yards25[[#This Row],[DSGN CALENDAR YEAR]]),ROUNDDOWN(Yards25[[#This Row],[Count]]/20,0)+$AB$1,Yards25[[#This Row],[DSGN CALENDAR YEAR]])</f>
        <v>2022</v>
      </c>
      <c r="AC61" s="16">
        <f ca="1">Yards25[[#This Row],[est. DSGN Year]]+1</f>
        <v>2023</v>
      </c>
    </row>
    <row r="62" spans="1:29" hidden="1">
      <c r="A62" s="13" t="s">
        <v>206</v>
      </c>
      <c r="B62" s="51" t="str">
        <f>VLOOKUP(Yards25[[#This Row],[DEVELOPMENT]],Data[],2,FALSE)</f>
        <v>BROOKLYN</v>
      </c>
      <c r="C6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62" s="51" t="str">
        <f>VLOOKUP(Yards25[[#This Row],[DEVELOPMENT]],Data[],52,FALSE)</f>
        <v>FEDERAL</v>
      </c>
      <c r="E62" s="50">
        <f>VLOOKUP(Yards25[[#This Row],[DEVELOPMENT]],Data[],8,FALSE)</f>
        <v>0</v>
      </c>
      <c r="F62" s="51" t="str">
        <f>VLOOKUP(Yards25[[#This Row],[DEVELOPMENT]],all[[DEVELOPMENT]:[MRST Ext. Comp. Priority]],6,FALSE)</f>
        <v>B</v>
      </c>
      <c r="G62" s="51">
        <f>VLOOKUP(Yards25[[#This Row],[DEVELOPMENT]],all[[DEVELOPMENT]:[MRST Ext. Comp. Priority]],13,FALSE)</f>
        <v>4</v>
      </c>
      <c r="H62" s="50">
        <f>IF(VLOOKUP(Yards25[[#This Row],[DEVELOPMENT]],Data[],9,FALSE)=0,5,VLOOKUP(Yards25[[#This Row],[DEVELOPMENT]],Data[],9,FALSE))</f>
        <v>5</v>
      </c>
      <c r="I62" s="51">
        <f>VLOOKUP(Yards25[[#This Row],[DEVELOPMENT]],Data[],33,FALSE)</f>
        <v>2</v>
      </c>
      <c r="J62" s="51">
        <f>VLOOKUP(Yards25[[#This Row],[DEVELOPMENT]],Data[],28,FALSE)</f>
        <v>0</v>
      </c>
      <c r="K62" s="51"/>
      <c r="L62" s="50"/>
      <c r="M62" s="51" t="str">
        <f ca="1">IFERROR(VLOOKUP(Yards25[[#This Row],[DEVELOPMENT]],Data[],4,FALSE),"")</f>
        <v>2026+</v>
      </c>
      <c r="N62" s="51" t="str">
        <f ca="1">IF(Yards25[[#This Row],[RAD/PACT]]="","",IF(OR(Yards25[[#This Row],[RAD/PACT]]="2022-2025",Yards25[[#This Row],[RAD/PACT]]=2019,Yards25[[#This Row],[RAD/PACT]]="2020-2021"),"Yes",""))</f>
        <v/>
      </c>
      <c r="O62" s="51">
        <f ca="1">IFERROR(VLOOKUP(Yards25[[#This Row],[DEVELOPMENT]],ExtComp[],8,FALSE),"")</f>
        <v>17</v>
      </c>
      <c r="P62" s="51"/>
      <c r="Q62" s="51"/>
      <c r="R62" s="51" t="str">
        <f>IF(ISBLANK(Yards25[[#This Row],[DSGN CALENDAR YEAR]]),"",Yards25[[#This Row],[DSGN CALENDAR YEAR]]+1)</f>
        <v/>
      </c>
      <c r="S62" s="51" t="str">
        <f>IF(ISBLANK(Yards25[[#This Row],[DSGN FISCAL YEAR]]),"",Yards25[[#This Row],[DSGN FISCAL YEAR]]+1)</f>
        <v/>
      </c>
      <c r="T62" s="51"/>
      <c r="U62" s="128">
        <f ca="1">Yards25[[#This Row],[Estimate]]*0.1</f>
        <v>0</v>
      </c>
      <c r="V62" s="47">
        <f ca="1">Yards25[[#This Row],[Estimate]]-Yards25[[#This Row],[Design Est.]]</f>
        <v>0</v>
      </c>
      <c r="W62" s="85">
        <f ca="1">(Yards25[[#This Row],['# yards]]*INDEX(UnitCosts[],MATCH(Yards25[[#This Row],[WORK TYPE]],UnitCosts[Work Type],0),2))*(1+((Yards25[[#This Row],[est. CONS Year]]-YEAR(TODAY()))*$W$3))</f>
        <v>0</v>
      </c>
      <c r="X62" s="142">
        <f>IF(ISNUMBER(SEARCH("LLC",Yards25[[#This Row],[PROGRAM]])),IF(Yards25[[#This Row],[RAD/PACT by 2025]]="yes",0,1),0)</f>
        <v>0</v>
      </c>
      <c r="Y62" s="1"/>
      <c r="Z62" s="1"/>
      <c r="AA62" s="51">
        <f ca="1">COUNTIF($X$5:Yards25[[#This Row],['# yards]],"&gt;0")</f>
        <v>2</v>
      </c>
      <c r="AB62" s="1">
        <f ca="1">IF(ISBLANK(Yards25[[#This Row],[DSGN CALENDAR YEAR]]),ROUNDDOWN(Yards25[[#This Row],[Count]]/20,0)+$AB$1,Yards25[[#This Row],[DSGN CALENDAR YEAR]])</f>
        <v>2022</v>
      </c>
      <c r="AC62" s="16">
        <f ca="1">Yards25[[#This Row],[est. DSGN Year]]+1</f>
        <v>2023</v>
      </c>
    </row>
    <row r="63" spans="1:29" hidden="1">
      <c r="A63" s="13" t="s">
        <v>192</v>
      </c>
      <c r="B63" s="51" t="str">
        <f>VLOOKUP(Yards25[[#This Row],[DEVELOPMENT]],Data[],2,FALSE)</f>
        <v>BROOKLYN</v>
      </c>
      <c r="C6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63" s="51" t="str">
        <f>VLOOKUP(Yards25[[#This Row],[DEVELOPMENT]],Data[],52,FALSE)</f>
        <v>FEDERAL</v>
      </c>
      <c r="E63" s="50">
        <f>VLOOKUP(Yards25[[#This Row],[DEVELOPMENT]],Data[],8,FALSE)</f>
        <v>0</v>
      </c>
      <c r="F63" s="51" t="str">
        <f>VLOOKUP(Yards25[[#This Row],[DEVELOPMENT]],all[[DEVELOPMENT]:[MRST Ext. Comp. Priority]],6,FALSE)</f>
        <v>B</v>
      </c>
      <c r="G63" s="51">
        <f>VLOOKUP(Yards25[[#This Row],[DEVELOPMENT]],all[[DEVELOPMENT]:[MRST Ext. Comp. Priority]],13,FALSE)</f>
        <v>3</v>
      </c>
      <c r="H63" s="50">
        <f>IF(VLOOKUP(Yards25[[#This Row],[DEVELOPMENT]],Data[],9,FALSE)=0,5,VLOOKUP(Yards25[[#This Row],[DEVELOPMENT]],Data[],9,FALSE))</f>
        <v>5</v>
      </c>
      <c r="I63" s="51">
        <f>VLOOKUP(Yards25[[#This Row],[DEVELOPMENT]],Data[],33,FALSE)</f>
        <v>0</v>
      </c>
      <c r="J63" s="51">
        <f>VLOOKUP(Yards25[[#This Row],[DEVELOPMENT]],Data[],28,FALSE)</f>
        <v>0</v>
      </c>
      <c r="K63" s="51"/>
      <c r="L63" s="50">
        <v>1</v>
      </c>
      <c r="M63" s="51" t="str">
        <f ca="1">IFERROR(VLOOKUP(Yards25[[#This Row],[DEVELOPMENT]],Data[],4,FALSE),"")</f>
        <v/>
      </c>
      <c r="N63" s="51" t="str">
        <f ca="1">IF(Yards25[[#This Row],[RAD/PACT]]="","",IF(OR(Yards25[[#This Row],[RAD/PACT]]="2022-2025",Yards25[[#This Row],[RAD/PACT]]=2019,Yards25[[#This Row],[RAD/PACT]]="2020-2021"),"Yes",""))</f>
        <v/>
      </c>
      <c r="O63" s="51" t="str">
        <f ca="1">IFERROR(VLOOKUP(Yards25[[#This Row],[DEVELOPMENT]],ExtComp[],8,FALSE),"")</f>
        <v/>
      </c>
      <c r="P63" s="51"/>
      <c r="Q63" s="51"/>
      <c r="R63" s="51" t="str">
        <f>IF(ISBLANK(Yards25[[#This Row],[DSGN CALENDAR YEAR]]),"",Yards25[[#This Row],[DSGN CALENDAR YEAR]]+1)</f>
        <v/>
      </c>
      <c r="S63" s="51" t="str">
        <f>IF(ISBLANK(Yards25[[#This Row],[DSGN FISCAL YEAR]]),"",Yards25[[#This Row],[DSGN FISCAL YEAR]]+1)</f>
        <v/>
      </c>
      <c r="T63" s="51"/>
      <c r="U63" s="128">
        <f ca="1">Yards25[[#This Row],[Estimate]]*0.1</f>
        <v>0</v>
      </c>
      <c r="V63" s="47">
        <f ca="1">Yards25[[#This Row],[Estimate]]-Yards25[[#This Row],[Design Est.]]</f>
        <v>0</v>
      </c>
      <c r="W63" s="85">
        <f ca="1">(Yards25[[#This Row],['# yards]]*INDEX(UnitCosts[],MATCH(Yards25[[#This Row],[WORK TYPE]],UnitCosts[Work Type],0),2))*(1+((Yards25[[#This Row],[est. CONS Year]]-YEAR(TODAY()))*$W$3))</f>
        <v>0</v>
      </c>
      <c r="X63" s="142">
        <f>IF(ISNUMBER(SEARCH("LLC",Yards25[[#This Row],[PROGRAM]])),IF(Yards25[[#This Row],[RAD/PACT by 2025]]="yes",0,1),0)</f>
        <v>0</v>
      </c>
      <c r="Y63" s="1"/>
      <c r="Z63" s="1"/>
      <c r="AA63" s="51">
        <f ca="1">COUNTIF($X$5:Yards25[[#This Row],['# yards]],"&gt;0")</f>
        <v>2</v>
      </c>
      <c r="AB63" s="1">
        <f ca="1">IF(ISBLANK(Yards25[[#This Row],[DSGN CALENDAR YEAR]]),ROUNDDOWN(Yards25[[#This Row],[Count]]/20,0)+$AB$1,Yards25[[#This Row],[DSGN CALENDAR YEAR]])</f>
        <v>2022</v>
      </c>
      <c r="AC63" s="16">
        <f ca="1">Yards25[[#This Row],[est. DSGN Year]]+1</f>
        <v>2023</v>
      </c>
    </row>
    <row r="64" spans="1:29" hidden="1">
      <c r="A64" s="13" t="s">
        <v>223</v>
      </c>
      <c r="B64" s="51" t="str">
        <f>VLOOKUP(Yards25[[#This Row],[DEVELOPMENT]],Data[],2,FALSE)</f>
        <v>BRONX</v>
      </c>
      <c r="C6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64" s="51" t="str">
        <f>VLOOKUP(Yards25[[#This Row],[DEVELOPMENT]],Data[],52,FALSE)</f>
        <v>FEDERAL</v>
      </c>
      <c r="E64" s="50">
        <f>VLOOKUP(Yards25[[#This Row],[DEVELOPMENT]],Data[],8,FALSE)</f>
        <v>0</v>
      </c>
      <c r="F64" s="51" t="str">
        <f>VLOOKUP(Yards25[[#This Row],[DEVELOPMENT]],all[[DEVELOPMENT]:[MRST Ext. Comp. Priority]],6,FALSE)</f>
        <v>B</v>
      </c>
      <c r="G64" s="51">
        <f>VLOOKUP(Yards25[[#This Row],[DEVELOPMENT]],all[[DEVELOPMENT]:[MRST Ext. Comp. Priority]],13,FALSE)</f>
        <v>2</v>
      </c>
      <c r="H64" s="50">
        <f>IF(VLOOKUP(Yards25[[#This Row],[DEVELOPMENT]],Data[],9,FALSE)=0,5,VLOOKUP(Yards25[[#This Row],[DEVELOPMENT]],Data[],9,FALSE))</f>
        <v>5</v>
      </c>
      <c r="I64" s="51">
        <f>VLOOKUP(Yards25[[#This Row],[DEVELOPMENT]],Data[],33,FALSE)</f>
        <v>4</v>
      </c>
      <c r="J64" s="51">
        <f>VLOOKUP(Yards25[[#This Row],[DEVELOPMENT]],Data[],28,FALSE)</f>
        <v>0</v>
      </c>
      <c r="K64" s="51"/>
      <c r="L64" s="50"/>
      <c r="M64" s="51" t="str">
        <f ca="1">IFERROR(VLOOKUP(Yards25[[#This Row],[DEVELOPMENT]],Data[],4,FALSE),"")</f>
        <v>2026+</v>
      </c>
      <c r="N64" s="51" t="str">
        <f ca="1">IF(Yards25[[#This Row],[RAD/PACT]]="","",IF(OR(Yards25[[#This Row],[RAD/PACT]]="2022-2025",Yards25[[#This Row],[RAD/PACT]]=2019,Yards25[[#This Row],[RAD/PACT]]="2020-2021"),"Yes",""))</f>
        <v/>
      </c>
      <c r="O64" s="51">
        <f ca="1">IFERROR(VLOOKUP(Yards25[[#This Row],[DEVELOPMENT]],ExtComp[],8,FALSE),"")</f>
        <v>16</v>
      </c>
      <c r="P64" s="51"/>
      <c r="Q64" s="51"/>
      <c r="R64" s="51" t="str">
        <f>IF(ISBLANK(Yards25[[#This Row],[DSGN CALENDAR YEAR]]),"",Yards25[[#This Row],[DSGN CALENDAR YEAR]]+1)</f>
        <v/>
      </c>
      <c r="S64" s="51" t="str">
        <f>IF(ISBLANK(Yards25[[#This Row],[DSGN FISCAL YEAR]]),"",Yards25[[#This Row],[DSGN FISCAL YEAR]]+1)</f>
        <v/>
      </c>
      <c r="T64" s="51"/>
      <c r="U64" s="128">
        <f ca="1">Yards25[[#This Row],[Estimate]]*0.1</f>
        <v>0</v>
      </c>
      <c r="V64" s="47">
        <f ca="1">Yards25[[#This Row],[Estimate]]-Yards25[[#This Row],[Design Est.]]</f>
        <v>0</v>
      </c>
      <c r="W64" s="85">
        <f ca="1">(Yards25[[#This Row],['# yards]]*INDEX(UnitCosts[],MATCH(Yards25[[#This Row],[WORK TYPE]],UnitCosts[Work Type],0),2))*(1+((Yards25[[#This Row],[est. CONS Year]]-YEAR(TODAY()))*$W$3))</f>
        <v>0</v>
      </c>
      <c r="X64" s="142">
        <f>IF(ISNUMBER(SEARCH("LLC",Yards25[[#This Row],[PROGRAM]])),IF(Yards25[[#This Row],[RAD/PACT by 2025]]="yes",0,1),0)</f>
        <v>0</v>
      </c>
      <c r="Y64" s="1"/>
      <c r="Z64" s="1"/>
      <c r="AA64" s="51">
        <f ca="1">COUNTIF($X$5:Yards25[[#This Row],['# yards]],"&gt;0")</f>
        <v>2</v>
      </c>
      <c r="AB64" s="1">
        <f ca="1">IF(ISBLANK(Yards25[[#This Row],[DSGN CALENDAR YEAR]]),ROUNDDOWN(Yards25[[#This Row],[Count]]/20,0)+$AB$1,Yards25[[#This Row],[DSGN CALENDAR YEAR]])</f>
        <v>2022</v>
      </c>
      <c r="AC64" s="16">
        <f ca="1">Yards25[[#This Row],[est. DSGN Year]]+1</f>
        <v>2023</v>
      </c>
    </row>
    <row r="65" spans="1:29" hidden="1">
      <c r="A65" s="13" t="s">
        <v>209</v>
      </c>
      <c r="B65" s="51" t="str">
        <f>VLOOKUP(Yards25[[#This Row],[DEVELOPMENT]],Data[],2,FALSE)</f>
        <v>BROOKLYN</v>
      </c>
      <c r="C6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65" s="51" t="str">
        <f>VLOOKUP(Yards25[[#This Row],[DEVELOPMENT]],Data[],52,FALSE)</f>
        <v>FEDERAL</v>
      </c>
      <c r="E65" s="50">
        <f>VLOOKUP(Yards25[[#This Row],[DEVELOPMENT]],Data[],8,FALSE)</f>
        <v>0</v>
      </c>
      <c r="F65" s="51" t="str">
        <f>VLOOKUP(Yards25[[#This Row],[DEVELOPMENT]],all[[DEVELOPMENT]:[MRST Ext. Comp. Priority]],6,FALSE)</f>
        <v>B</v>
      </c>
      <c r="G65" s="51">
        <f>VLOOKUP(Yards25[[#This Row],[DEVELOPMENT]],all[[DEVELOPMENT]:[MRST Ext. Comp. Priority]],13,FALSE)</f>
        <v>4</v>
      </c>
      <c r="H65" s="50">
        <f>IF(VLOOKUP(Yards25[[#This Row],[DEVELOPMENT]],Data[],9,FALSE)=0,5,VLOOKUP(Yards25[[#This Row],[DEVELOPMENT]],Data[],9,FALSE))</f>
        <v>5</v>
      </c>
      <c r="I65" s="51">
        <f>VLOOKUP(Yards25[[#This Row],[DEVELOPMENT]],Data[],33,FALSE)</f>
        <v>0</v>
      </c>
      <c r="J65" s="51">
        <f>VLOOKUP(Yards25[[#This Row],[DEVELOPMENT]],Data[],28,FALSE)</f>
        <v>0</v>
      </c>
      <c r="K65" s="51"/>
      <c r="L65" s="50"/>
      <c r="M65" s="51" t="str">
        <f ca="1">IFERROR(VLOOKUP(Yards25[[#This Row],[DEVELOPMENT]],Data[],4,FALSE),"")</f>
        <v>2026+</v>
      </c>
      <c r="N65" s="51" t="str">
        <f ca="1">IF(Yards25[[#This Row],[RAD/PACT]]="","",IF(OR(Yards25[[#This Row],[RAD/PACT]]="2022-2025",Yards25[[#This Row],[RAD/PACT]]=2019,Yards25[[#This Row],[RAD/PACT]]="2020-2021"),"Yes",""))</f>
        <v/>
      </c>
      <c r="O65" s="51">
        <f ca="1">IFERROR(VLOOKUP(Yards25[[#This Row],[DEVELOPMENT]],ExtComp[],8,FALSE),"")</f>
        <v>12</v>
      </c>
      <c r="P65" s="51"/>
      <c r="Q65" s="51"/>
      <c r="R65" s="51" t="str">
        <f>IF(ISBLANK(Yards25[[#This Row],[DSGN CALENDAR YEAR]]),"",Yards25[[#This Row],[DSGN CALENDAR YEAR]]+1)</f>
        <v/>
      </c>
      <c r="S65" s="51" t="str">
        <f>IF(ISBLANK(Yards25[[#This Row],[DSGN FISCAL YEAR]]),"",Yards25[[#This Row],[DSGN FISCAL YEAR]]+1)</f>
        <v/>
      </c>
      <c r="T65" s="51"/>
      <c r="U65" s="128">
        <f ca="1">Yards25[[#This Row],[Estimate]]*0.1</f>
        <v>0</v>
      </c>
      <c r="V65" s="47">
        <f ca="1">Yards25[[#This Row],[Estimate]]-Yards25[[#This Row],[Design Est.]]</f>
        <v>0</v>
      </c>
      <c r="W65" s="85">
        <f ca="1">(Yards25[[#This Row],['# yards]]*INDEX(UnitCosts[],MATCH(Yards25[[#This Row],[WORK TYPE]],UnitCosts[Work Type],0),2))*(1+((Yards25[[#This Row],[est. CONS Year]]-YEAR(TODAY()))*$W$3))</f>
        <v>0</v>
      </c>
      <c r="X65" s="142">
        <f>IF(ISNUMBER(SEARCH("LLC",Yards25[[#This Row],[PROGRAM]])),IF(Yards25[[#This Row],[RAD/PACT by 2025]]="yes",0,1),0)</f>
        <v>0</v>
      </c>
      <c r="Y65" s="1"/>
      <c r="Z65" s="1"/>
      <c r="AA65" s="51">
        <f ca="1">COUNTIF($X$5:Yards25[[#This Row],['# yards]],"&gt;0")</f>
        <v>2</v>
      </c>
      <c r="AB65" s="1">
        <f ca="1">IF(ISBLANK(Yards25[[#This Row],[DSGN CALENDAR YEAR]]),ROUNDDOWN(Yards25[[#This Row],[Count]]/20,0)+$AB$1,Yards25[[#This Row],[DSGN CALENDAR YEAR]])</f>
        <v>2022</v>
      </c>
      <c r="AC65" s="16">
        <f ca="1">Yards25[[#This Row],[est. DSGN Year]]+1</f>
        <v>2023</v>
      </c>
    </row>
    <row r="66" spans="1:29" hidden="1">
      <c r="A66" s="13" t="s">
        <v>211</v>
      </c>
      <c r="B66" s="51" t="str">
        <f>VLOOKUP(Yards25[[#This Row],[DEVELOPMENT]],Data[],2,FALSE)</f>
        <v>QUEENS</v>
      </c>
      <c r="C6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v6</v>
      </c>
      <c r="D66" s="51" t="str">
        <f>VLOOKUP(Yards25[[#This Row],[DEVELOPMENT]],Data[],52,FALSE)</f>
        <v>FEDERAL</v>
      </c>
      <c r="E66" s="50">
        <f>VLOOKUP(Yards25[[#This Row],[DEVELOPMENT]],Data[],8,FALSE)</f>
        <v>0</v>
      </c>
      <c r="F66" s="51" t="str">
        <f>VLOOKUP(Yards25[[#This Row],[DEVELOPMENT]],all[[DEVELOPMENT]:[MRST Ext. Comp. Priority]],6,FALSE)</f>
        <v>B</v>
      </c>
      <c r="G66" s="51">
        <f>VLOOKUP(Yards25[[#This Row],[DEVELOPMENT]],all[[DEVELOPMENT]:[MRST Ext. Comp. Priority]],13,FALSE)</f>
        <v>3</v>
      </c>
      <c r="H66" s="50">
        <f>IF(VLOOKUP(Yards25[[#This Row],[DEVELOPMENT]],Data[],9,FALSE)=0,5,VLOOKUP(Yards25[[#This Row],[DEVELOPMENT]],Data[],9,FALSE))</f>
        <v>5</v>
      </c>
      <c r="I66" s="51">
        <f>VLOOKUP(Yards25[[#This Row],[DEVELOPMENT]],Data[],33,FALSE)</f>
        <v>5</v>
      </c>
      <c r="J66" s="51">
        <f>VLOOKUP(Yards25[[#This Row],[DEVELOPMENT]],Data[],28,FALSE)</f>
        <v>0</v>
      </c>
      <c r="K66" s="51"/>
      <c r="L66" s="50"/>
      <c r="M66" s="51" t="str">
        <f ca="1">IFERROR(VLOOKUP(Yards25[[#This Row],[DEVELOPMENT]],Data[],4,FALSE),"")</f>
        <v>2026+</v>
      </c>
      <c r="N66" s="51" t="str">
        <f ca="1">IF(Yards25[[#This Row],[RAD/PACT]]="","",IF(OR(Yards25[[#This Row],[RAD/PACT]]="2022-2025",Yards25[[#This Row],[RAD/PACT]]=2019,Yards25[[#This Row],[RAD/PACT]]="2020-2021"),"Yes",""))</f>
        <v/>
      </c>
      <c r="O66" s="51">
        <f ca="1">IFERROR(VLOOKUP(Yards25[[#This Row],[DEVELOPMENT]],ExtComp[],8,FALSE),"")</f>
        <v>12</v>
      </c>
      <c r="P66" s="51"/>
      <c r="Q66" s="51"/>
      <c r="R66" s="51" t="str">
        <f>IF(ISBLANK(Yards25[[#This Row],[DSGN CALENDAR YEAR]]),"",Yards25[[#This Row],[DSGN CALENDAR YEAR]]+1)</f>
        <v/>
      </c>
      <c r="S66" s="51" t="str">
        <f>IF(ISBLANK(Yards25[[#This Row],[DSGN FISCAL YEAR]]),"",Yards25[[#This Row],[DSGN FISCAL YEAR]]+1)</f>
        <v/>
      </c>
      <c r="T66" s="51"/>
      <c r="U66" s="128">
        <f ca="1">Yards25[[#This Row],[Estimate]]*0.1</f>
        <v>0</v>
      </c>
      <c r="V66" s="47">
        <f ca="1">Yards25[[#This Row],[Estimate]]-Yards25[[#This Row],[Design Est.]]</f>
        <v>0</v>
      </c>
      <c r="W66" s="85">
        <f ca="1">(Yards25[[#This Row],['# yards]]*INDEX(UnitCosts[],MATCH(Yards25[[#This Row],[WORK TYPE]],UnitCosts[Work Type],0),2))*(1+((Yards25[[#This Row],[est. CONS Year]]-YEAR(TODAY()))*$W$3))</f>
        <v>0</v>
      </c>
      <c r="X66" s="142">
        <f>IF(ISNUMBER(SEARCH("LLC",Yards25[[#This Row],[PROGRAM]])),IF(Yards25[[#This Row],[RAD/PACT by 2025]]="yes",0,1),0)</f>
        <v>0</v>
      </c>
      <c r="Y66" s="1"/>
      <c r="Z66" s="1"/>
      <c r="AA66" s="51">
        <f ca="1">COUNTIF($X$5:Yards25[[#This Row],['# yards]],"&gt;0")</f>
        <v>2</v>
      </c>
      <c r="AB66" s="1">
        <f ca="1">IF(ISBLANK(Yards25[[#This Row],[DSGN CALENDAR YEAR]]),ROUNDDOWN(Yards25[[#This Row],[Count]]/20,0)+$AB$1,Yards25[[#This Row],[DSGN CALENDAR YEAR]])</f>
        <v>2022</v>
      </c>
      <c r="AC66" s="16">
        <f ca="1">Yards25[[#This Row],[est. DSGN Year]]+1</f>
        <v>2023</v>
      </c>
    </row>
    <row r="67" spans="1:29" hidden="1">
      <c r="A67" s="13" t="s">
        <v>212</v>
      </c>
      <c r="B67" s="51" t="str">
        <f>VLOOKUP(Yards25[[#This Row],[DEVELOPMENT]],Data[],2,FALSE)</f>
        <v>QUEENS</v>
      </c>
      <c r="C6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67" s="51" t="str">
        <f>VLOOKUP(Yards25[[#This Row],[DEVELOPMENT]],Data[],52,FALSE)</f>
        <v>FEDERAL</v>
      </c>
      <c r="E67" s="50">
        <f>VLOOKUP(Yards25[[#This Row],[DEVELOPMENT]],Data[],8,FALSE)</f>
        <v>0</v>
      </c>
      <c r="F67" s="51" t="str">
        <f>VLOOKUP(Yards25[[#This Row],[DEVELOPMENT]],all[[DEVELOPMENT]:[MRST Ext. Comp. Priority]],6,FALSE)</f>
        <v>B</v>
      </c>
      <c r="G67" s="51">
        <f>VLOOKUP(Yards25[[#This Row],[DEVELOPMENT]],all[[DEVELOPMENT]:[MRST Ext. Comp. Priority]],13,FALSE)</f>
        <v>2</v>
      </c>
      <c r="H67" s="50">
        <f>IF(VLOOKUP(Yards25[[#This Row],[DEVELOPMENT]],Data[],9,FALSE)=0,5,VLOOKUP(Yards25[[#This Row],[DEVELOPMENT]],Data[],9,FALSE))</f>
        <v>5</v>
      </c>
      <c r="I67" s="51">
        <f>VLOOKUP(Yards25[[#This Row],[DEVELOPMENT]],Data[],33,FALSE)</f>
        <v>4</v>
      </c>
      <c r="J67" s="51">
        <f>VLOOKUP(Yards25[[#This Row],[DEVELOPMENT]],Data[],28,FALSE)</f>
        <v>0</v>
      </c>
      <c r="K67" s="51"/>
      <c r="L67" s="50"/>
      <c r="M67" s="51" t="str">
        <f ca="1">IFERROR(VLOOKUP(Yards25[[#This Row],[DEVELOPMENT]],Data[],4,FALSE),"")</f>
        <v/>
      </c>
      <c r="N67" s="51" t="str">
        <f ca="1">IF(Yards25[[#This Row],[RAD/PACT]]="","",IF(OR(Yards25[[#This Row],[RAD/PACT]]="2022-2025",Yards25[[#This Row],[RAD/PACT]]=2019,Yards25[[#This Row],[RAD/PACT]]="2020-2021"),"Yes",""))</f>
        <v/>
      </c>
      <c r="O67" s="51">
        <f ca="1">IFERROR(VLOOKUP(Yards25[[#This Row],[DEVELOPMENT]],ExtComp[],8,FALSE),"")</f>
        <v>17</v>
      </c>
      <c r="P67" s="51"/>
      <c r="Q67" s="51"/>
      <c r="R67" s="51" t="str">
        <f>IF(ISBLANK(Yards25[[#This Row],[DSGN CALENDAR YEAR]]),"",Yards25[[#This Row],[DSGN CALENDAR YEAR]]+1)</f>
        <v/>
      </c>
      <c r="S67" s="51" t="str">
        <f>IF(ISBLANK(Yards25[[#This Row],[DSGN FISCAL YEAR]]),"",Yards25[[#This Row],[DSGN FISCAL YEAR]]+1)</f>
        <v/>
      </c>
      <c r="T67" s="51"/>
      <c r="U67" s="128">
        <f ca="1">Yards25[[#This Row],[Estimate]]*0.1</f>
        <v>0</v>
      </c>
      <c r="V67" s="47">
        <f ca="1">Yards25[[#This Row],[Estimate]]-Yards25[[#This Row],[Design Est.]]</f>
        <v>0</v>
      </c>
      <c r="W67" s="85">
        <f ca="1">(Yards25[[#This Row],['# yards]]*INDEX(UnitCosts[],MATCH(Yards25[[#This Row],[WORK TYPE]],UnitCosts[Work Type],0),2))*(1+((Yards25[[#This Row],[est. CONS Year]]-YEAR(TODAY()))*$W$3))</f>
        <v>0</v>
      </c>
      <c r="X67" s="142">
        <f>IF(ISNUMBER(SEARCH("LLC",Yards25[[#This Row],[PROGRAM]])),IF(Yards25[[#This Row],[RAD/PACT by 2025]]="yes",0,1),0)</f>
        <v>0</v>
      </c>
      <c r="Y67" s="1"/>
      <c r="Z67" s="1"/>
      <c r="AA67" s="51">
        <f ca="1">COUNTIF($X$5:Yards25[[#This Row],['# yards]],"&gt;0")</f>
        <v>2</v>
      </c>
      <c r="AB67" s="1">
        <f ca="1">IF(ISBLANK(Yards25[[#This Row],[DSGN CALENDAR YEAR]]),ROUNDDOWN(Yards25[[#This Row],[Count]]/20,0)+$AB$1,Yards25[[#This Row],[DSGN CALENDAR YEAR]])</f>
        <v>2022</v>
      </c>
      <c r="AC67" s="16">
        <f ca="1">Yards25[[#This Row],[est. DSGN Year]]+1</f>
        <v>2023</v>
      </c>
    </row>
    <row r="68" spans="1:29" hidden="1">
      <c r="A68" s="13" t="s">
        <v>214</v>
      </c>
      <c r="B68" s="51" t="str">
        <f>VLOOKUP(Yards25[[#This Row],[DEVELOPMENT]],Data[],2,FALSE)</f>
        <v>BROOKLYN</v>
      </c>
      <c r="C68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68" s="51" t="str">
        <f>VLOOKUP(Yards25[[#This Row],[DEVELOPMENT]],Data[],52,FALSE)</f>
        <v>FEDERAL</v>
      </c>
      <c r="E68" s="50">
        <f>VLOOKUP(Yards25[[#This Row],[DEVELOPMENT]],Data[],8,FALSE)</f>
        <v>0</v>
      </c>
      <c r="F68" s="51" t="str">
        <f>VLOOKUP(Yards25[[#This Row],[DEVELOPMENT]],all[[DEVELOPMENT]:[MRST Ext. Comp. Priority]],6,FALSE)</f>
        <v>B</v>
      </c>
      <c r="G68" s="51">
        <f>VLOOKUP(Yards25[[#This Row],[DEVELOPMENT]],all[[DEVELOPMENT]:[MRST Ext. Comp. Priority]],13,FALSE)</f>
        <v>4</v>
      </c>
      <c r="H68" s="50">
        <f>IF(VLOOKUP(Yards25[[#This Row],[DEVELOPMENT]],Data[],9,FALSE)=0,5,VLOOKUP(Yards25[[#This Row],[DEVELOPMENT]],Data[],9,FALSE))</f>
        <v>5</v>
      </c>
      <c r="I68" s="51">
        <f>VLOOKUP(Yards25[[#This Row],[DEVELOPMENT]],Data[],33,FALSE)</f>
        <v>2</v>
      </c>
      <c r="J68" s="51">
        <f>VLOOKUP(Yards25[[#This Row],[DEVELOPMENT]],Data[],28,FALSE)</f>
        <v>0</v>
      </c>
      <c r="K68" s="51"/>
      <c r="L68" s="50"/>
      <c r="M68" s="51" t="str">
        <f ca="1">IFERROR(VLOOKUP(Yards25[[#This Row],[DEVELOPMENT]],Data[],4,FALSE),"")</f>
        <v>2022-2025</v>
      </c>
      <c r="N68" s="51" t="str">
        <f ca="1">IF(Yards25[[#This Row],[RAD/PACT]]="","",IF(OR(Yards25[[#This Row],[RAD/PACT]]="2022-2025",Yards25[[#This Row],[RAD/PACT]]=2019,Yards25[[#This Row],[RAD/PACT]]="2020-2021"),"Yes",""))</f>
        <v>Yes</v>
      </c>
      <c r="O68" s="51">
        <f ca="1">IFERROR(VLOOKUP(Yards25[[#This Row],[DEVELOPMENT]],ExtComp[],8,FALSE),"")</f>
        <v>21</v>
      </c>
      <c r="P68" s="51"/>
      <c r="Q68" s="51"/>
      <c r="R68" s="51" t="str">
        <f>IF(ISBLANK(Yards25[[#This Row],[DSGN CALENDAR YEAR]]),"",Yards25[[#This Row],[DSGN CALENDAR YEAR]]+1)</f>
        <v/>
      </c>
      <c r="S68" s="51" t="str">
        <f>IF(ISBLANK(Yards25[[#This Row],[DSGN FISCAL YEAR]]),"",Yards25[[#This Row],[DSGN FISCAL YEAR]]+1)</f>
        <v/>
      </c>
      <c r="T68" s="51"/>
      <c r="U68" s="128">
        <f ca="1">Yards25[[#This Row],[Estimate]]*0.1</f>
        <v>0</v>
      </c>
      <c r="V68" s="47">
        <f ca="1">Yards25[[#This Row],[Estimate]]-Yards25[[#This Row],[Design Est.]]</f>
        <v>0</v>
      </c>
      <c r="W68" s="85">
        <f ca="1">(Yards25[[#This Row],['# yards]]*INDEX(UnitCosts[],MATCH(Yards25[[#This Row],[WORK TYPE]],UnitCosts[Work Type],0),2))*(1+((Yards25[[#This Row],[est. CONS Year]]-YEAR(TODAY()))*$W$3))</f>
        <v>0</v>
      </c>
      <c r="X68" s="142">
        <f>IF(ISNUMBER(SEARCH("LLC",Yards25[[#This Row],[PROGRAM]])),IF(Yards25[[#This Row],[RAD/PACT by 2025]]="yes",0,1),0)</f>
        <v>0</v>
      </c>
      <c r="Y68" s="1"/>
      <c r="Z68" s="1"/>
      <c r="AA68" s="51">
        <f ca="1">COUNTIF($X$5:Yards25[[#This Row],['# yards]],"&gt;0")</f>
        <v>2</v>
      </c>
      <c r="AB68" s="1">
        <f ca="1">IF(ISBLANK(Yards25[[#This Row],[DSGN CALENDAR YEAR]]),ROUNDDOWN(Yards25[[#This Row],[Count]]/20,0)+$AB$1,Yards25[[#This Row],[DSGN CALENDAR YEAR]])</f>
        <v>2022</v>
      </c>
      <c r="AC68" s="16">
        <f ca="1">Yards25[[#This Row],[est. DSGN Year]]+1</f>
        <v>2023</v>
      </c>
    </row>
    <row r="69" spans="1:29" hidden="1">
      <c r="A69" s="13" t="s">
        <v>215</v>
      </c>
      <c r="B69" s="51" t="str">
        <f>VLOOKUP(Yards25[[#This Row],[DEVELOPMENT]],Data[],2,FALSE)</f>
        <v>QUEENS</v>
      </c>
      <c r="C69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69" s="51" t="str">
        <f>VLOOKUP(Yards25[[#This Row],[DEVELOPMENT]],Data[],52,FALSE)</f>
        <v>FEDERAL</v>
      </c>
      <c r="E69" s="50">
        <f>VLOOKUP(Yards25[[#This Row],[DEVELOPMENT]],Data[],8,FALSE)</f>
        <v>0</v>
      </c>
      <c r="F69" s="51" t="str">
        <f>VLOOKUP(Yards25[[#This Row],[DEVELOPMENT]],all[[DEVELOPMENT]:[MRST Ext. Comp. Priority]],6,FALSE)</f>
        <v>B</v>
      </c>
      <c r="G69" s="51">
        <f>VLOOKUP(Yards25[[#This Row],[DEVELOPMENT]],all[[DEVELOPMENT]:[MRST Ext. Comp. Priority]],13,FALSE)</f>
        <v>3</v>
      </c>
      <c r="H69" s="50">
        <f>IF(VLOOKUP(Yards25[[#This Row],[DEVELOPMENT]],Data[],9,FALSE)=0,5,VLOOKUP(Yards25[[#This Row],[DEVELOPMENT]],Data[],9,FALSE))</f>
        <v>5</v>
      </c>
      <c r="I69" s="51">
        <f>VLOOKUP(Yards25[[#This Row],[DEVELOPMENT]],Data[],33,FALSE)</f>
        <v>0</v>
      </c>
      <c r="J69" s="51">
        <f>VLOOKUP(Yards25[[#This Row],[DEVELOPMENT]],Data[],28,FALSE)</f>
        <v>0</v>
      </c>
      <c r="K69" s="51"/>
      <c r="L69" s="50"/>
      <c r="M69" s="51" t="str">
        <f ca="1">IFERROR(VLOOKUP(Yards25[[#This Row],[DEVELOPMENT]],Data[],4,FALSE),"")</f>
        <v/>
      </c>
      <c r="N69" s="51" t="str">
        <f ca="1">IF(Yards25[[#This Row],[RAD/PACT]]="","",IF(OR(Yards25[[#This Row],[RAD/PACT]]="2022-2025",Yards25[[#This Row],[RAD/PACT]]=2019,Yards25[[#This Row],[RAD/PACT]]="2020-2021"),"Yes",""))</f>
        <v/>
      </c>
      <c r="O69" s="51" t="str">
        <f ca="1">IFERROR(VLOOKUP(Yards25[[#This Row],[DEVELOPMENT]],ExtComp[],8,FALSE),"")</f>
        <v/>
      </c>
      <c r="P69" s="51"/>
      <c r="Q69" s="51"/>
      <c r="R69" s="51" t="str">
        <f>IF(ISBLANK(Yards25[[#This Row],[DSGN CALENDAR YEAR]]),"",Yards25[[#This Row],[DSGN CALENDAR YEAR]]+1)</f>
        <v/>
      </c>
      <c r="S69" s="51" t="str">
        <f>IF(ISBLANK(Yards25[[#This Row],[DSGN FISCAL YEAR]]),"",Yards25[[#This Row],[DSGN FISCAL YEAR]]+1)</f>
        <v/>
      </c>
      <c r="T69" s="51"/>
      <c r="U69" s="128">
        <f ca="1">Yards25[[#This Row],[Estimate]]*0.1</f>
        <v>0</v>
      </c>
      <c r="V69" s="47">
        <f ca="1">Yards25[[#This Row],[Estimate]]-Yards25[[#This Row],[Design Est.]]</f>
        <v>0</v>
      </c>
      <c r="W69" s="85">
        <f ca="1">(Yards25[[#This Row],['# yards]]*INDEX(UnitCosts[],MATCH(Yards25[[#This Row],[WORK TYPE]],UnitCosts[Work Type],0),2))*(1+((Yards25[[#This Row],[est. CONS Year]]-YEAR(TODAY()))*$W$3))</f>
        <v>0</v>
      </c>
      <c r="X69" s="142">
        <f>IF(ISNUMBER(SEARCH("LLC",Yards25[[#This Row],[PROGRAM]])),IF(Yards25[[#This Row],[RAD/PACT by 2025]]="yes",0,1),0)</f>
        <v>0</v>
      </c>
      <c r="Y69" s="1"/>
      <c r="Z69" s="1"/>
      <c r="AA69" s="51">
        <f ca="1">COUNTIF($X$5:Yards25[[#This Row],['# yards]],"&gt;0")</f>
        <v>2</v>
      </c>
      <c r="AB69" s="1">
        <f ca="1">IF(ISBLANK(Yards25[[#This Row],[DSGN CALENDAR YEAR]]),ROUNDDOWN(Yards25[[#This Row],[Count]]/20,0)+$AB$1,Yards25[[#This Row],[DSGN CALENDAR YEAR]])</f>
        <v>2022</v>
      </c>
      <c r="AC69" s="16">
        <f ca="1">Yards25[[#This Row],[est. DSGN Year]]+1</f>
        <v>2023</v>
      </c>
    </row>
    <row r="70" spans="1:29" hidden="1">
      <c r="A70" s="13" t="s">
        <v>216</v>
      </c>
      <c r="B70" s="51" t="str">
        <f>VLOOKUP(Yards25[[#This Row],[DEVELOPMENT]],Data[],2,FALSE)</f>
        <v>BROOKLYN</v>
      </c>
      <c r="C70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70" s="51" t="str">
        <f>VLOOKUP(Yards25[[#This Row],[DEVELOPMENT]],Data[],52,FALSE)</f>
        <v>FEDERAL</v>
      </c>
      <c r="E70" s="50">
        <f>VLOOKUP(Yards25[[#This Row],[DEVELOPMENT]],Data[],8,FALSE)</f>
        <v>0</v>
      </c>
      <c r="F70" s="51" t="str">
        <f>VLOOKUP(Yards25[[#This Row],[DEVELOPMENT]],all[[DEVELOPMENT]:[MRST Ext. Comp. Priority]],6,FALSE)</f>
        <v>B</v>
      </c>
      <c r="G70" s="51">
        <f>VLOOKUP(Yards25[[#This Row],[DEVELOPMENT]],all[[DEVELOPMENT]:[MRST Ext. Comp. Priority]],13,FALSE)</f>
        <v>2</v>
      </c>
      <c r="H70" s="50">
        <f>IF(VLOOKUP(Yards25[[#This Row],[DEVELOPMENT]],Data[],9,FALSE)=0,5,VLOOKUP(Yards25[[#This Row],[DEVELOPMENT]],Data[],9,FALSE))</f>
        <v>5</v>
      </c>
      <c r="I70" s="51">
        <f>VLOOKUP(Yards25[[#This Row],[DEVELOPMENT]],Data[],33,FALSE)</f>
        <v>0</v>
      </c>
      <c r="J70" s="51">
        <f>VLOOKUP(Yards25[[#This Row],[DEVELOPMENT]],Data[],28,FALSE)</f>
        <v>0</v>
      </c>
      <c r="K70" s="51"/>
      <c r="L70" s="50"/>
      <c r="M70" s="51" t="str">
        <f ca="1">IFERROR(VLOOKUP(Yards25[[#This Row],[DEVELOPMENT]],Data[],4,FALSE),"")</f>
        <v>2020-2021</v>
      </c>
      <c r="N70" s="51" t="str">
        <f ca="1">IF(Yards25[[#This Row],[RAD/PACT]]="","",IF(OR(Yards25[[#This Row],[RAD/PACT]]="2022-2025",Yards25[[#This Row],[RAD/PACT]]=2019,Yards25[[#This Row],[RAD/PACT]]="2020-2021"),"Yes",""))</f>
        <v>Yes</v>
      </c>
      <c r="O70" s="51" t="str">
        <f ca="1">IFERROR(VLOOKUP(Yards25[[#This Row],[DEVELOPMENT]],ExtComp[],8,FALSE),"")</f>
        <v/>
      </c>
      <c r="P70" s="51"/>
      <c r="Q70" s="51"/>
      <c r="R70" s="51" t="str">
        <f>IF(ISBLANK(Yards25[[#This Row],[DSGN CALENDAR YEAR]]),"",Yards25[[#This Row],[DSGN CALENDAR YEAR]]+1)</f>
        <v/>
      </c>
      <c r="S70" s="51" t="str">
        <f>IF(ISBLANK(Yards25[[#This Row],[DSGN FISCAL YEAR]]),"",Yards25[[#This Row],[DSGN FISCAL YEAR]]+1)</f>
        <v/>
      </c>
      <c r="T70" s="51"/>
      <c r="U70" s="128">
        <f ca="1">Yards25[[#This Row],[Estimate]]*0.1</f>
        <v>0</v>
      </c>
      <c r="V70" s="47">
        <f ca="1">Yards25[[#This Row],[Estimate]]-Yards25[[#This Row],[Design Est.]]</f>
        <v>0</v>
      </c>
      <c r="W70" s="85">
        <f ca="1">(Yards25[[#This Row],['# yards]]*INDEX(UnitCosts[],MATCH(Yards25[[#This Row],[WORK TYPE]],UnitCosts[Work Type],0),2))*(1+((Yards25[[#This Row],[est. CONS Year]]-YEAR(TODAY()))*$W$3))</f>
        <v>0</v>
      </c>
      <c r="X70" s="142">
        <f>IF(ISNUMBER(SEARCH("LLC",Yards25[[#This Row],[PROGRAM]])),IF(Yards25[[#This Row],[RAD/PACT by 2025]]="yes",0,1),0)</f>
        <v>0</v>
      </c>
      <c r="Y70" s="1"/>
      <c r="Z70" s="1"/>
      <c r="AA70" s="51">
        <f ca="1">COUNTIF($X$5:Yards25[[#This Row],['# yards]],"&gt;0")</f>
        <v>2</v>
      </c>
      <c r="AB70" s="1">
        <f ca="1">IF(ISBLANK(Yards25[[#This Row],[DSGN CALENDAR YEAR]]),ROUNDDOWN(Yards25[[#This Row],[Count]]/20,0)+$AB$1,Yards25[[#This Row],[DSGN CALENDAR YEAR]])</f>
        <v>2022</v>
      </c>
      <c r="AC70" s="16">
        <f ca="1">Yards25[[#This Row],[est. DSGN Year]]+1</f>
        <v>2023</v>
      </c>
    </row>
    <row r="71" spans="1:29" hidden="1">
      <c r="A71" s="13" t="s">
        <v>217</v>
      </c>
      <c r="B71" s="51" t="str">
        <f>VLOOKUP(Yards25[[#This Row],[DEVELOPMENT]],Data[],2,FALSE)</f>
        <v>BRONX</v>
      </c>
      <c r="C71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v6</v>
      </c>
      <c r="D71" s="51" t="str">
        <f>VLOOKUP(Yards25[[#This Row],[DEVELOPMENT]],Data[],52,FALSE)</f>
        <v>FEDERAL</v>
      </c>
      <c r="E71" s="50">
        <f>VLOOKUP(Yards25[[#This Row],[DEVELOPMENT]],Data[],8,FALSE)</f>
        <v>0</v>
      </c>
      <c r="F71" s="51" t="str">
        <f>VLOOKUP(Yards25[[#This Row],[DEVELOPMENT]],all[[DEVELOPMENT]:[MRST Ext. Comp. Priority]],6,FALSE)</f>
        <v>B</v>
      </c>
      <c r="G71" s="51">
        <f>VLOOKUP(Yards25[[#This Row],[DEVELOPMENT]],all[[DEVELOPMENT]:[MRST Ext. Comp. Priority]],13,FALSE)</f>
        <v>4</v>
      </c>
      <c r="H71" s="50">
        <f>IF(VLOOKUP(Yards25[[#This Row],[DEVELOPMENT]],Data[],9,FALSE)=0,5,VLOOKUP(Yards25[[#This Row],[DEVELOPMENT]],Data[],9,FALSE))</f>
        <v>5</v>
      </c>
      <c r="I71" s="51">
        <f>VLOOKUP(Yards25[[#This Row],[DEVELOPMENT]],Data[],33,FALSE)</f>
        <v>5</v>
      </c>
      <c r="J71" s="51">
        <f>VLOOKUP(Yards25[[#This Row],[DEVELOPMENT]],Data[],28,FALSE)</f>
        <v>0</v>
      </c>
      <c r="K71" s="51"/>
      <c r="L71" s="50"/>
      <c r="M71" s="51" t="str">
        <f ca="1">IFERROR(VLOOKUP(Yards25[[#This Row],[DEVELOPMENT]],Data[],4,FALSE),"")</f>
        <v>2020-2021</v>
      </c>
      <c r="N71" s="51" t="str">
        <f ca="1">IF(Yards25[[#This Row],[RAD/PACT]]="","",IF(OR(Yards25[[#This Row],[RAD/PACT]]="2022-2025",Yards25[[#This Row],[RAD/PACT]]=2019,Yards25[[#This Row],[RAD/PACT]]="2020-2021"),"Yes",""))</f>
        <v>Yes</v>
      </c>
      <c r="O71" s="51">
        <f ca="1">IFERROR(VLOOKUP(Yards25[[#This Row],[DEVELOPMENT]],ExtComp[],8,FALSE),"")</f>
        <v>2</v>
      </c>
      <c r="P71" s="51"/>
      <c r="Q71" s="51"/>
      <c r="R71" s="51" t="str">
        <f>IF(ISBLANK(Yards25[[#This Row],[DSGN CALENDAR YEAR]]),"",Yards25[[#This Row],[DSGN CALENDAR YEAR]]+1)</f>
        <v/>
      </c>
      <c r="S71" s="51" t="str">
        <f>IF(ISBLANK(Yards25[[#This Row],[DSGN FISCAL YEAR]]),"",Yards25[[#This Row],[DSGN FISCAL YEAR]]+1)</f>
        <v/>
      </c>
      <c r="T71" s="51"/>
      <c r="U71" s="128">
        <f ca="1">Yards25[[#This Row],[Estimate]]*0.1</f>
        <v>0</v>
      </c>
      <c r="V71" s="47">
        <f ca="1">Yards25[[#This Row],[Estimate]]-Yards25[[#This Row],[Design Est.]]</f>
        <v>0</v>
      </c>
      <c r="W71" s="85">
        <f ca="1">(Yards25[[#This Row],['# yards]]*INDEX(UnitCosts[],MATCH(Yards25[[#This Row],[WORK TYPE]],UnitCosts[Work Type],0),2))*(1+((Yards25[[#This Row],[est. CONS Year]]-YEAR(TODAY()))*$W$3))</f>
        <v>0</v>
      </c>
      <c r="X71" s="142">
        <f>IF(ISNUMBER(SEARCH("LLC",Yards25[[#This Row],[PROGRAM]])),IF(Yards25[[#This Row],[RAD/PACT by 2025]]="yes",0,1),0)</f>
        <v>0</v>
      </c>
      <c r="Y71" s="1"/>
      <c r="Z71" s="1"/>
      <c r="AA71" s="51">
        <f ca="1">COUNTIF($X$5:Yards25[[#This Row],['# yards]],"&gt;0")</f>
        <v>2</v>
      </c>
      <c r="AB71" s="1">
        <f ca="1">IF(ISBLANK(Yards25[[#This Row],[DSGN CALENDAR YEAR]]),ROUNDDOWN(Yards25[[#This Row],[Count]]/20,0)+$AB$1,Yards25[[#This Row],[DSGN CALENDAR YEAR]])</f>
        <v>2022</v>
      </c>
      <c r="AC71" s="16">
        <f ca="1">Yards25[[#This Row],[est. DSGN Year]]+1</f>
        <v>2023</v>
      </c>
    </row>
    <row r="72" spans="1:29" hidden="1">
      <c r="A72" s="13" t="s">
        <v>225</v>
      </c>
      <c r="B72" s="51" t="str">
        <f>VLOOKUP(Yards25[[#This Row],[DEVELOPMENT]],Data[],2,FALSE)</f>
        <v>BRONX</v>
      </c>
      <c r="C72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72" s="51" t="str">
        <f>VLOOKUP(Yards25[[#This Row],[DEVELOPMENT]],Data[],52,FALSE)</f>
        <v>FEDERAL</v>
      </c>
      <c r="E72" s="50">
        <f>VLOOKUP(Yards25[[#This Row],[DEVELOPMENT]],Data[],8,FALSE)</f>
        <v>0</v>
      </c>
      <c r="F72" s="51" t="str">
        <f>VLOOKUP(Yards25[[#This Row],[DEVELOPMENT]],all[[DEVELOPMENT]:[MRST Ext. Comp. Priority]],6,FALSE)</f>
        <v>B</v>
      </c>
      <c r="G72" s="51">
        <f>VLOOKUP(Yards25[[#This Row],[DEVELOPMENT]],all[[DEVELOPMENT]:[MRST Ext. Comp. Priority]],13,FALSE)</f>
        <v>4</v>
      </c>
      <c r="H72" s="50">
        <f>IF(VLOOKUP(Yards25[[#This Row],[DEVELOPMENT]],Data[],9,FALSE)=0,5,VLOOKUP(Yards25[[#This Row],[DEVELOPMENT]],Data[],9,FALSE))</f>
        <v>5</v>
      </c>
      <c r="I72" s="51">
        <f>VLOOKUP(Yards25[[#This Row],[DEVELOPMENT]],Data[],33,FALSE)</f>
        <v>0</v>
      </c>
      <c r="J72" s="51">
        <f>VLOOKUP(Yards25[[#This Row],[DEVELOPMENT]],Data[],28,FALSE)</f>
        <v>0</v>
      </c>
      <c r="K72" s="51"/>
      <c r="L72" s="50"/>
      <c r="M72" s="51" t="str">
        <f ca="1">IFERROR(VLOOKUP(Yards25[[#This Row],[DEVELOPMENT]],Data[],4,FALSE),"")</f>
        <v>2020-2021</v>
      </c>
      <c r="N72" s="51" t="str">
        <f ca="1">IF(Yards25[[#This Row],[RAD/PACT]]="","",IF(OR(Yards25[[#This Row],[RAD/PACT]]="2022-2025",Yards25[[#This Row],[RAD/PACT]]=2019,Yards25[[#This Row],[RAD/PACT]]="2020-2021"),"Yes",""))</f>
        <v>Yes</v>
      </c>
      <c r="O72" s="51" t="str">
        <f ca="1">IFERROR(VLOOKUP(Yards25[[#This Row],[DEVELOPMENT]],ExtComp[],8,FALSE),"")</f>
        <v/>
      </c>
      <c r="P72" s="51"/>
      <c r="Q72" s="51"/>
      <c r="R72" s="51" t="str">
        <f>IF(ISBLANK(Yards25[[#This Row],[DSGN CALENDAR YEAR]]),"",Yards25[[#This Row],[DSGN CALENDAR YEAR]]+1)</f>
        <v/>
      </c>
      <c r="S72" s="51" t="str">
        <f>IF(ISBLANK(Yards25[[#This Row],[DSGN FISCAL YEAR]]),"",Yards25[[#This Row],[DSGN FISCAL YEAR]]+1)</f>
        <v/>
      </c>
      <c r="T72" s="51"/>
      <c r="U72" s="128">
        <f ca="1">Yards25[[#This Row],[Estimate]]*0.1</f>
        <v>0</v>
      </c>
      <c r="V72" s="47">
        <f ca="1">Yards25[[#This Row],[Estimate]]-Yards25[[#This Row],[Design Est.]]</f>
        <v>0</v>
      </c>
      <c r="W72" s="85">
        <f ca="1">(Yards25[[#This Row],['# yards]]*INDEX(UnitCosts[],MATCH(Yards25[[#This Row],[WORK TYPE]],UnitCosts[Work Type],0),2))*(1+((Yards25[[#This Row],[est. CONS Year]]-YEAR(TODAY()))*$W$3))</f>
        <v>0</v>
      </c>
      <c r="X72" s="142">
        <f>IF(ISNUMBER(SEARCH("LLC",Yards25[[#This Row],[PROGRAM]])),IF(Yards25[[#This Row],[RAD/PACT by 2025]]="yes",0,1),0)</f>
        <v>0</v>
      </c>
      <c r="Y72" s="1"/>
      <c r="Z72" s="1"/>
      <c r="AA72" s="51">
        <f ca="1">COUNTIF($X$5:Yards25[[#This Row],['# yards]],"&gt;0")</f>
        <v>2</v>
      </c>
      <c r="AB72" s="1">
        <f ca="1">IF(ISBLANK(Yards25[[#This Row],[DSGN CALENDAR YEAR]]),ROUNDDOWN(Yards25[[#This Row],[Count]]/20,0)+$AB$1,Yards25[[#This Row],[DSGN CALENDAR YEAR]])</f>
        <v>2022</v>
      </c>
      <c r="AC72" s="16">
        <f ca="1">Yards25[[#This Row],[est. DSGN Year]]+1</f>
        <v>2023</v>
      </c>
    </row>
    <row r="73" spans="1:29" hidden="1">
      <c r="A73" s="13" t="s">
        <v>218</v>
      </c>
      <c r="B73" s="51" t="str">
        <f>VLOOKUP(Yards25[[#This Row],[DEVELOPMENT]],Data[],2,FALSE)</f>
        <v>BROOKLYN</v>
      </c>
      <c r="C7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73" s="51" t="str">
        <f>VLOOKUP(Yards25[[#This Row],[DEVELOPMENT]],Data[],52,FALSE)</f>
        <v>FEDERAL</v>
      </c>
      <c r="E73" s="50">
        <f>VLOOKUP(Yards25[[#This Row],[DEVELOPMENT]],Data[],8,FALSE)</f>
        <v>0</v>
      </c>
      <c r="F73" s="51" t="str">
        <f>VLOOKUP(Yards25[[#This Row],[DEVELOPMENT]],all[[DEVELOPMENT]:[MRST Ext. Comp. Priority]],6,FALSE)</f>
        <v>B</v>
      </c>
      <c r="G73" s="51">
        <f>VLOOKUP(Yards25[[#This Row],[DEVELOPMENT]],all[[DEVELOPMENT]:[MRST Ext. Comp. Priority]],13,FALSE)</f>
        <v>3</v>
      </c>
      <c r="H73" s="50">
        <f>IF(VLOOKUP(Yards25[[#This Row],[DEVELOPMENT]],Data[],9,FALSE)=0,5,VLOOKUP(Yards25[[#This Row],[DEVELOPMENT]],Data[],9,FALSE))</f>
        <v>5</v>
      </c>
      <c r="I73" s="51">
        <f>VLOOKUP(Yards25[[#This Row],[DEVELOPMENT]],Data[],33,FALSE)</f>
        <v>0</v>
      </c>
      <c r="J73" s="51">
        <f>VLOOKUP(Yards25[[#This Row],[DEVELOPMENT]],Data[],28,FALSE)</f>
        <v>0</v>
      </c>
      <c r="K73" s="51"/>
      <c r="L73" s="50"/>
      <c r="M73" s="51" t="str">
        <f ca="1">IFERROR(VLOOKUP(Yards25[[#This Row],[DEVELOPMENT]],Data[],4,FALSE),"")</f>
        <v>2026+</v>
      </c>
      <c r="N73" s="51" t="str">
        <f ca="1">IF(Yards25[[#This Row],[RAD/PACT]]="","",IF(OR(Yards25[[#This Row],[RAD/PACT]]="2022-2025",Yards25[[#This Row],[RAD/PACT]]=2019,Yards25[[#This Row],[RAD/PACT]]="2020-2021"),"Yes",""))</f>
        <v/>
      </c>
      <c r="O73" s="51" t="str">
        <f ca="1">IFERROR(VLOOKUP(Yards25[[#This Row],[DEVELOPMENT]],ExtComp[],8,FALSE),"")</f>
        <v/>
      </c>
      <c r="P73" s="51"/>
      <c r="Q73" s="51"/>
      <c r="R73" s="51" t="str">
        <f>IF(ISBLANK(Yards25[[#This Row],[DSGN CALENDAR YEAR]]),"",Yards25[[#This Row],[DSGN CALENDAR YEAR]]+1)</f>
        <v/>
      </c>
      <c r="S73" s="51" t="str">
        <f>IF(ISBLANK(Yards25[[#This Row],[DSGN FISCAL YEAR]]),"",Yards25[[#This Row],[DSGN FISCAL YEAR]]+1)</f>
        <v/>
      </c>
      <c r="T73" s="51"/>
      <c r="U73" s="128">
        <f ca="1">Yards25[[#This Row],[Estimate]]*0.1</f>
        <v>0</v>
      </c>
      <c r="V73" s="47">
        <f ca="1">Yards25[[#This Row],[Estimate]]-Yards25[[#This Row],[Design Est.]]</f>
        <v>0</v>
      </c>
      <c r="W73" s="85">
        <f ca="1">(Yards25[[#This Row],['# yards]]*INDEX(UnitCosts[],MATCH(Yards25[[#This Row],[WORK TYPE]],UnitCosts[Work Type],0),2))*(1+((Yards25[[#This Row],[est. CONS Year]]-YEAR(TODAY()))*$W$3))</f>
        <v>0</v>
      </c>
      <c r="X73" s="142">
        <f>IF(ISNUMBER(SEARCH("LLC",Yards25[[#This Row],[PROGRAM]])),IF(Yards25[[#This Row],[RAD/PACT by 2025]]="yes",0,1),0)</f>
        <v>0</v>
      </c>
      <c r="Y73" s="1"/>
      <c r="Z73" s="1"/>
      <c r="AA73" s="51">
        <f ca="1">COUNTIF($X$5:Yards25[[#This Row],['# yards]],"&gt;0")</f>
        <v>2</v>
      </c>
      <c r="AB73" s="1">
        <f ca="1">IF(ISBLANK(Yards25[[#This Row],[DSGN CALENDAR YEAR]]),ROUNDDOWN(Yards25[[#This Row],[Count]]/20,0)+$AB$1,Yards25[[#This Row],[DSGN CALENDAR YEAR]])</f>
        <v>2022</v>
      </c>
      <c r="AC73" s="16">
        <f ca="1">Yards25[[#This Row],[est. DSGN Year]]+1</f>
        <v>2023</v>
      </c>
    </row>
    <row r="74" spans="1:29" hidden="1">
      <c r="A74" s="13" t="s">
        <v>219</v>
      </c>
      <c r="B74" s="51" t="str">
        <f>VLOOKUP(Yards25[[#This Row],[DEVELOPMENT]],Data[],2,FALSE)</f>
        <v>BROOKLYN</v>
      </c>
      <c r="C74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74" s="51" t="str">
        <f>VLOOKUP(Yards25[[#This Row],[DEVELOPMENT]],Data[],52,FALSE)</f>
        <v>FEDERAL</v>
      </c>
      <c r="E74" s="50">
        <f>VLOOKUP(Yards25[[#This Row],[DEVELOPMENT]],Data[],8,FALSE)</f>
        <v>0</v>
      </c>
      <c r="F74" s="51" t="str">
        <f>VLOOKUP(Yards25[[#This Row],[DEVELOPMENT]],all[[DEVELOPMENT]:[MRST Ext. Comp. Priority]],6,FALSE)</f>
        <v>B</v>
      </c>
      <c r="G74" s="51">
        <f>VLOOKUP(Yards25[[#This Row],[DEVELOPMENT]],all[[DEVELOPMENT]:[MRST Ext. Comp. Priority]],13,FALSE)</f>
        <v>3</v>
      </c>
      <c r="H74" s="50">
        <f>IF(VLOOKUP(Yards25[[#This Row],[DEVELOPMENT]],Data[],9,FALSE)=0,5,VLOOKUP(Yards25[[#This Row],[DEVELOPMENT]],Data[],9,FALSE))</f>
        <v>5</v>
      </c>
      <c r="I74" s="51">
        <f>VLOOKUP(Yards25[[#This Row],[DEVELOPMENT]],Data[],33,FALSE)</f>
        <v>0</v>
      </c>
      <c r="J74" s="51">
        <f>VLOOKUP(Yards25[[#This Row],[DEVELOPMENT]],Data[],28,FALSE)</f>
        <v>0</v>
      </c>
      <c r="K74" s="51"/>
      <c r="L74" s="50"/>
      <c r="M74" s="51" t="str">
        <f ca="1">IFERROR(VLOOKUP(Yards25[[#This Row],[DEVELOPMENT]],Data[],4,FALSE),"")</f>
        <v>2026+</v>
      </c>
      <c r="N74" s="51" t="str">
        <f ca="1">IF(Yards25[[#This Row],[RAD/PACT]]="","",IF(OR(Yards25[[#This Row],[RAD/PACT]]="2022-2025",Yards25[[#This Row],[RAD/PACT]]=2019,Yards25[[#This Row],[RAD/PACT]]="2020-2021"),"Yes",""))</f>
        <v/>
      </c>
      <c r="O74" s="51" t="str">
        <f ca="1">IFERROR(VLOOKUP(Yards25[[#This Row],[DEVELOPMENT]],ExtComp[],8,FALSE),"")</f>
        <v/>
      </c>
      <c r="P74" s="51"/>
      <c r="Q74" s="51"/>
      <c r="R74" s="51" t="str">
        <f>IF(ISBLANK(Yards25[[#This Row],[DSGN CALENDAR YEAR]]),"",Yards25[[#This Row],[DSGN CALENDAR YEAR]]+1)</f>
        <v/>
      </c>
      <c r="S74" s="51" t="str">
        <f>IF(ISBLANK(Yards25[[#This Row],[DSGN FISCAL YEAR]]),"",Yards25[[#This Row],[DSGN FISCAL YEAR]]+1)</f>
        <v/>
      </c>
      <c r="T74" s="51"/>
      <c r="U74" s="128">
        <f ca="1">Yards25[[#This Row],[Estimate]]*0.1</f>
        <v>0</v>
      </c>
      <c r="V74" s="47">
        <f ca="1">Yards25[[#This Row],[Estimate]]-Yards25[[#This Row],[Design Est.]]</f>
        <v>0</v>
      </c>
      <c r="W74" s="85">
        <f ca="1">(Yards25[[#This Row],['# yards]]*INDEX(UnitCosts[],MATCH(Yards25[[#This Row],[WORK TYPE]],UnitCosts[Work Type],0),2))*(1+((Yards25[[#This Row],[est. CONS Year]]-YEAR(TODAY()))*$W$3))</f>
        <v>0</v>
      </c>
      <c r="X74" s="142">
        <f>IF(ISNUMBER(SEARCH("LLC",Yards25[[#This Row],[PROGRAM]])),IF(Yards25[[#This Row],[RAD/PACT by 2025]]="yes",0,1),0)</f>
        <v>0</v>
      </c>
      <c r="Y74" s="1"/>
      <c r="Z74" s="1"/>
      <c r="AA74" s="51">
        <f ca="1">COUNTIF($X$5:Yards25[[#This Row],['# yards]],"&gt;0")</f>
        <v>2</v>
      </c>
      <c r="AB74" s="1">
        <f ca="1">IF(ISBLANK(Yards25[[#This Row],[DSGN CALENDAR YEAR]]),ROUNDDOWN(Yards25[[#This Row],[Count]]/20,0)+$AB$1,Yards25[[#This Row],[DSGN CALENDAR YEAR]])</f>
        <v>2022</v>
      </c>
      <c r="AC74" s="16">
        <f ca="1">Yards25[[#This Row],[est. DSGN Year]]+1</f>
        <v>2023</v>
      </c>
    </row>
    <row r="75" spans="1:29" hidden="1">
      <c r="A75" s="13" t="s">
        <v>220</v>
      </c>
      <c r="B75" s="51" t="str">
        <f>VLOOKUP(Yards25[[#This Row],[DEVELOPMENT]],Data[],2,FALSE)</f>
        <v>BROOKLYN</v>
      </c>
      <c r="C75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75" s="51" t="str">
        <f>VLOOKUP(Yards25[[#This Row],[DEVELOPMENT]],Data[],52,FALSE)</f>
        <v>FEDERAL</v>
      </c>
      <c r="E75" s="50">
        <f>VLOOKUP(Yards25[[#This Row],[DEVELOPMENT]],Data[],8,FALSE)</f>
        <v>0</v>
      </c>
      <c r="F75" s="51" t="str">
        <f>VLOOKUP(Yards25[[#This Row],[DEVELOPMENT]],all[[DEVELOPMENT]:[MRST Ext. Comp. Priority]],6,FALSE)</f>
        <v>B</v>
      </c>
      <c r="G75" s="51">
        <f>VLOOKUP(Yards25[[#This Row],[DEVELOPMENT]],all[[DEVELOPMENT]:[MRST Ext. Comp. Priority]],13,FALSE)</f>
        <v>2</v>
      </c>
      <c r="H75" s="50">
        <f>IF(VLOOKUP(Yards25[[#This Row],[DEVELOPMENT]],Data[],9,FALSE)=0,5,VLOOKUP(Yards25[[#This Row],[DEVELOPMENT]],Data[],9,FALSE))</f>
        <v>5</v>
      </c>
      <c r="I75" s="51">
        <f>VLOOKUP(Yards25[[#This Row],[DEVELOPMENT]],Data[],33,FALSE)</f>
        <v>0</v>
      </c>
      <c r="J75" s="51">
        <f>VLOOKUP(Yards25[[#This Row],[DEVELOPMENT]],Data[],28,FALSE)</f>
        <v>0</v>
      </c>
      <c r="K75" s="51"/>
      <c r="L75" s="50"/>
      <c r="M75" s="51">
        <f ca="1">IFERROR(VLOOKUP(Yards25[[#This Row],[DEVELOPMENT]],Data[],4,FALSE),"")</f>
        <v>2019</v>
      </c>
      <c r="N75" s="51" t="str">
        <f ca="1">IF(Yards25[[#This Row],[RAD/PACT]]="","",IF(OR(Yards25[[#This Row],[RAD/PACT]]="2022-2025",Yards25[[#This Row],[RAD/PACT]]=2019,Yards25[[#This Row],[RAD/PACT]]="2020-2021"),"Yes",""))</f>
        <v>Yes</v>
      </c>
      <c r="O75" s="51" t="str">
        <f ca="1">IFERROR(VLOOKUP(Yards25[[#This Row],[DEVELOPMENT]],ExtComp[],8,FALSE),"")</f>
        <v/>
      </c>
      <c r="P75" s="51"/>
      <c r="Q75" s="51"/>
      <c r="R75" s="51" t="str">
        <f>IF(ISBLANK(Yards25[[#This Row],[DSGN CALENDAR YEAR]]),"",Yards25[[#This Row],[DSGN CALENDAR YEAR]]+1)</f>
        <v/>
      </c>
      <c r="S75" s="51" t="str">
        <f>IF(ISBLANK(Yards25[[#This Row],[DSGN FISCAL YEAR]]),"",Yards25[[#This Row],[DSGN FISCAL YEAR]]+1)</f>
        <v/>
      </c>
      <c r="T75" s="51"/>
      <c r="U75" s="128">
        <f ca="1">Yards25[[#This Row],[Estimate]]*0.1</f>
        <v>0</v>
      </c>
      <c r="V75" s="47">
        <f ca="1">Yards25[[#This Row],[Estimate]]-Yards25[[#This Row],[Design Est.]]</f>
        <v>0</v>
      </c>
      <c r="W75" s="85">
        <f ca="1">(Yards25[[#This Row],['# yards]]*INDEX(UnitCosts[],MATCH(Yards25[[#This Row],[WORK TYPE]],UnitCosts[Work Type],0),2))*(1+((Yards25[[#This Row],[est. CONS Year]]-YEAR(TODAY()))*$W$3))</f>
        <v>0</v>
      </c>
      <c r="X75" s="142">
        <f>IF(ISNUMBER(SEARCH("LLC",Yards25[[#This Row],[PROGRAM]])),IF(Yards25[[#This Row],[RAD/PACT by 2025]]="yes",0,1),0)</f>
        <v>0</v>
      </c>
      <c r="Y75" s="1"/>
      <c r="Z75" s="1"/>
      <c r="AA75" s="51">
        <f ca="1">COUNTIF($X$5:Yards25[[#This Row],['# yards]],"&gt;0")</f>
        <v>2</v>
      </c>
      <c r="AB75" s="1">
        <f ca="1">IF(ISBLANK(Yards25[[#This Row],[DSGN CALENDAR YEAR]]),ROUNDDOWN(Yards25[[#This Row],[Count]]/20,0)+$AB$1,Yards25[[#This Row],[DSGN CALENDAR YEAR]])</f>
        <v>2022</v>
      </c>
      <c r="AC75" s="16">
        <f ca="1">Yards25[[#This Row],[est. DSGN Year]]+1</f>
        <v>2023</v>
      </c>
    </row>
    <row r="76" spans="1:29" hidden="1">
      <c r="A76" s="13" t="s">
        <v>70</v>
      </c>
      <c r="B76" s="51" t="str">
        <f>VLOOKUP(Yards25[[#This Row],[DEVELOPMENT]],Data[],2,FALSE)</f>
        <v>MANHATTAN</v>
      </c>
      <c r="C76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76" s="51" t="str">
        <f>VLOOKUP(Yards25[[#This Row],[DEVELOPMENT]],Data[],52,FALSE)</f>
        <v>FEDERAL</v>
      </c>
      <c r="E76" s="50" t="str">
        <f>VLOOKUP(Yards25[[#This Row],[DEVELOPMENT]],Data[],8,FALSE)</f>
        <v>Zone 3</v>
      </c>
      <c r="F76" s="51" t="str">
        <f>VLOOKUP(Yards25[[#This Row],[DEVELOPMENT]],all[[DEVELOPMENT]:[MRST Ext. Comp. Priority]],6,FALSE)</f>
        <v>C</v>
      </c>
      <c r="G76" s="51">
        <f>VLOOKUP(Yards25[[#This Row],[DEVELOPMENT]],all[[DEVELOPMENT]:[MRST Ext. Comp. Priority]],13,FALSE)</f>
        <v>3</v>
      </c>
      <c r="H76" s="50">
        <f>IF(VLOOKUP(Yards25[[#This Row],[DEVELOPMENT]],Data[],9,FALSE)=0,5,VLOOKUP(Yards25[[#This Row],[DEVELOPMENT]],Data[],9,FALSE))</f>
        <v>1</v>
      </c>
      <c r="I76" s="51">
        <f>VLOOKUP(Yards25[[#This Row],[DEVELOPMENT]],Data[],33,FALSE)</f>
        <v>0</v>
      </c>
      <c r="J76" s="51">
        <f>VLOOKUP(Yards25[[#This Row],[DEVELOPMENT]],Data[],28,FALSE)</f>
        <v>0</v>
      </c>
      <c r="K76" s="51"/>
      <c r="L76" s="50"/>
      <c r="M76" s="51" t="str">
        <f ca="1">IFERROR(VLOOKUP(Yards25[[#This Row],[DEVELOPMENT]],Data[],4,FALSE),"")</f>
        <v>2020-2021</v>
      </c>
      <c r="N76" s="51" t="str">
        <f ca="1">IF(Yards25[[#This Row],[RAD/PACT]]="","",IF(OR(Yards25[[#This Row],[RAD/PACT]]="2022-2025",Yards25[[#This Row],[RAD/PACT]]=2019,Yards25[[#This Row],[RAD/PACT]]="2020-2021"),"Yes",""))</f>
        <v>Yes</v>
      </c>
      <c r="O76" s="51">
        <f ca="1">IFERROR(VLOOKUP(Yards25[[#This Row],[DEVELOPMENT]],ExtComp[],8,FALSE),"")</f>
        <v>20</v>
      </c>
      <c r="P76" s="51"/>
      <c r="Q76" s="51"/>
      <c r="R76" s="51" t="str">
        <f>IF(ISBLANK(Yards25[[#This Row],[DSGN CALENDAR YEAR]]),"",Yards25[[#This Row],[DSGN CALENDAR YEAR]]+1)</f>
        <v/>
      </c>
      <c r="S76" s="51" t="str">
        <f>IF(ISBLANK(Yards25[[#This Row],[DSGN FISCAL YEAR]]),"",Yards25[[#This Row],[DSGN FISCAL YEAR]]+1)</f>
        <v/>
      </c>
      <c r="T76" s="51"/>
      <c r="U76" s="128">
        <f ca="1">Yards25[[#This Row],[Estimate]]*0.1</f>
        <v>0</v>
      </c>
      <c r="V76" s="47">
        <f ca="1">Yards25[[#This Row],[Estimate]]-Yards25[[#This Row],[Design Est.]]</f>
        <v>0</v>
      </c>
      <c r="W76" s="85">
        <f ca="1">(Yards25[[#This Row],['# yards]]*INDEX(UnitCosts[],MATCH(Yards25[[#This Row],[WORK TYPE]],UnitCosts[Work Type],0),2))*(1+((Yards25[[#This Row],[est. CONS Year]]-YEAR(TODAY()))*$W$3))</f>
        <v>0</v>
      </c>
      <c r="X76" s="142">
        <f>IF(ISNUMBER(SEARCH("LLC",Yards25[[#This Row],[PROGRAM]])),IF(Yards25[[#This Row],[RAD/PACT by 2025]]="yes",0,1),0)</f>
        <v>0</v>
      </c>
      <c r="Y76" s="1"/>
      <c r="Z76" s="1"/>
      <c r="AA76" s="51">
        <f ca="1">COUNTIF($X$5:Yards25[[#This Row],['# yards]],"&gt;0")</f>
        <v>2</v>
      </c>
      <c r="AB76" s="1">
        <f ca="1">IF(ISBLANK(Yards25[[#This Row],[DSGN CALENDAR YEAR]]),ROUNDDOWN(Yards25[[#This Row],[Count]]/20,0)+$AB$1,Yards25[[#This Row],[DSGN CALENDAR YEAR]])</f>
        <v>2022</v>
      </c>
      <c r="AC76" s="16">
        <f ca="1">Yards25[[#This Row],[est. DSGN Year]]+1</f>
        <v>2023</v>
      </c>
    </row>
    <row r="77" spans="1:29" hidden="1">
      <c r="A77" s="13" t="s">
        <v>113</v>
      </c>
      <c r="B77" s="51" t="str">
        <f>VLOOKUP(Yards25[[#This Row],[DEVELOPMENT]],Data[],2,FALSE)</f>
        <v>MANHATTAN</v>
      </c>
      <c r="C7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77" s="51" t="str">
        <f>VLOOKUP(Yards25[[#This Row],[DEVELOPMENT]],Data[],52,FALSE)</f>
        <v>FEDERAL</v>
      </c>
      <c r="E77" s="50" t="str">
        <f>VLOOKUP(Yards25[[#This Row],[DEVELOPMENT]],Data[],8,FALSE)</f>
        <v>Zone 2</v>
      </c>
      <c r="F77" s="51" t="str">
        <f>VLOOKUP(Yards25[[#This Row],[DEVELOPMENT]],all[[DEVELOPMENT]:[MRST Ext. Comp. Priority]],6,FALSE)</f>
        <v>C</v>
      </c>
      <c r="G77" s="51">
        <f>VLOOKUP(Yards25[[#This Row],[DEVELOPMENT]],all[[DEVELOPMENT]:[MRST Ext. Comp. Priority]],13,FALSE)</f>
        <v>3</v>
      </c>
      <c r="H77" s="50">
        <f>IF(VLOOKUP(Yards25[[#This Row],[DEVELOPMENT]],Data[],9,FALSE)=0,5,VLOOKUP(Yards25[[#This Row],[DEVELOPMENT]],Data[],9,FALSE))</f>
        <v>1</v>
      </c>
      <c r="I77" s="51">
        <f>VLOOKUP(Yards25[[#This Row],[DEVELOPMENT]],Data[],33,FALSE)</f>
        <v>2</v>
      </c>
      <c r="J77" s="51">
        <f>VLOOKUP(Yards25[[#This Row],[DEVELOPMENT]],Data[],28,FALSE)</f>
        <v>0</v>
      </c>
      <c r="K77" s="51"/>
      <c r="L77" s="50"/>
      <c r="M77" s="51" t="str">
        <f ca="1">IFERROR(VLOOKUP(Yards25[[#This Row],[DEVELOPMENT]],Data[],4,FALSE),"")</f>
        <v>2026+</v>
      </c>
      <c r="N77" s="51" t="str">
        <f ca="1">IF(Yards25[[#This Row],[RAD/PACT]]="","",IF(OR(Yards25[[#This Row],[RAD/PACT]]="2022-2025",Yards25[[#This Row],[RAD/PACT]]=2019,Yards25[[#This Row],[RAD/PACT]]="2020-2021"),"Yes",""))</f>
        <v/>
      </c>
      <c r="O77" s="1">
        <f ca="1">IFERROR(VLOOKUP(Yards25[[#This Row],[DEVELOPMENT]],ExtComp[],8,FALSE),"")</f>
        <v>17</v>
      </c>
      <c r="P77" s="1"/>
      <c r="Q77" s="1"/>
      <c r="R77" s="1" t="str">
        <f>IF(ISBLANK(Yards25[[#This Row],[DSGN CALENDAR YEAR]]),"",Yards25[[#This Row],[DSGN CALENDAR YEAR]]+1)</f>
        <v/>
      </c>
      <c r="S77" s="51" t="str">
        <f>IF(ISBLANK(Yards25[[#This Row],[DSGN FISCAL YEAR]]),"",Yards25[[#This Row],[DSGN FISCAL YEAR]]+1)</f>
        <v/>
      </c>
      <c r="T77" s="1"/>
      <c r="U77" s="128">
        <f ca="1">Yards25[[#This Row],[Estimate]]*0.1</f>
        <v>0</v>
      </c>
      <c r="V77" s="47">
        <f ca="1">Yards25[[#This Row],[Estimate]]-Yards25[[#This Row],[Design Est.]]</f>
        <v>0</v>
      </c>
      <c r="W77" s="85">
        <f ca="1">(Yards25[[#This Row],['# yards]]*INDEX(UnitCosts[],MATCH(Yards25[[#This Row],[WORK TYPE]],UnitCosts[Work Type],0),2))*(1+((Yards25[[#This Row],[est. CONS Year]]-YEAR(TODAY()))*$W$3))</f>
        <v>0</v>
      </c>
      <c r="X77" s="142">
        <f>IF(ISNUMBER(SEARCH("LLC",Yards25[[#This Row],[PROGRAM]])),IF(Yards25[[#This Row],[RAD/PACT by 2025]]="yes",0,1),0)</f>
        <v>0</v>
      </c>
      <c r="Y77" s="1"/>
      <c r="Z77" s="1"/>
      <c r="AA77" s="51">
        <f ca="1">COUNTIF($X$5:Yards25[[#This Row],['# yards]],"&gt;0")</f>
        <v>2</v>
      </c>
      <c r="AB77" s="1">
        <f ca="1">IF(ISBLANK(Yards25[[#This Row],[DSGN CALENDAR YEAR]]),ROUNDDOWN(Yards25[[#This Row],[Count]]/20,0)+$AB$1,Yards25[[#This Row],[DSGN CALENDAR YEAR]])</f>
        <v>2022</v>
      </c>
      <c r="AC77" s="16">
        <f ca="1">Yards25[[#This Row],[est. DSGN Year]]+1</f>
        <v>2023</v>
      </c>
    </row>
    <row r="78" spans="1:29" hidden="1">
      <c r="A78" s="13" t="s">
        <v>92</v>
      </c>
      <c r="B78" s="51" t="str">
        <f>VLOOKUP(Yards25[[#This Row],[DEVELOPMENT]],Data[],2,FALSE)</f>
        <v>MANHATTAN</v>
      </c>
      <c r="C7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78" s="51" t="str">
        <f>VLOOKUP(Yards25[[#This Row],[DEVELOPMENT]],Data[],52,FALSE)</f>
        <v>FEDERAL</v>
      </c>
      <c r="E78" s="50" t="str">
        <f>VLOOKUP(Yards25[[#This Row],[DEVELOPMENT]],Data[],8,FALSE)</f>
        <v>Zone 2</v>
      </c>
      <c r="F78" s="51" t="str">
        <f>VLOOKUP(Yards25[[#This Row],[DEVELOPMENT]],all[[DEVELOPMENT]:[MRST Ext. Comp. Priority]],6,FALSE)</f>
        <v>C</v>
      </c>
      <c r="G78" s="51">
        <f>VLOOKUP(Yards25[[#This Row],[DEVELOPMENT]],all[[DEVELOPMENT]:[MRST Ext. Comp. Priority]],13,FALSE)</f>
        <v>2</v>
      </c>
      <c r="H78" s="50">
        <f>IF(VLOOKUP(Yards25[[#This Row],[DEVELOPMENT]],Data[],9,FALSE)=0,5,VLOOKUP(Yards25[[#This Row],[DEVELOPMENT]],Data[],9,FALSE))</f>
        <v>1</v>
      </c>
      <c r="I78" s="51">
        <f>VLOOKUP(Yards25[[#This Row],[DEVELOPMENT]],Data[],33,FALSE)</f>
        <v>0</v>
      </c>
      <c r="J78" s="51">
        <f>VLOOKUP(Yards25[[#This Row],[DEVELOPMENT]],Data[],28,FALSE)</f>
        <v>0</v>
      </c>
      <c r="K78" s="51"/>
      <c r="L78" s="50"/>
      <c r="M78" s="51" t="str">
        <f ca="1">IFERROR(VLOOKUP(Yards25[[#This Row],[DEVELOPMENT]],Data[],4,FALSE),"")</f>
        <v/>
      </c>
      <c r="N78" s="51" t="str">
        <f ca="1">IF(Yards25[[#This Row],[RAD/PACT]]="","",IF(OR(Yards25[[#This Row],[RAD/PACT]]="2022-2025",Yards25[[#This Row],[RAD/PACT]]=2019,Yards25[[#This Row],[RAD/PACT]]="2020-2021"),"Yes",""))</f>
        <v/>
      </c>
      <c r="O78" s="51" t="str">
        <f ca="1">IFERROR(VLOOKUP(Yards25[[#This Row],[DEVELOPMENT]],ExtComp[],8,FALSE),"")</f>
        <v/>
      </c>
      <c r="P78" s="51"/>
      <c r="Q78" s="51"/>
      <c r="R78" s="51" t="str">
        <f>IF(ISBLANK(Yards25[[#This Row],[DSGN CALENDAR YEAR]]),"",Yards25[[#This Row],[DSGN CALENDAR YEAR]]+1)</f>
        <v/>
      </c>
      <c r="S78" s="51" t="str">
        <f>IF(ISBLANK(Yards25[[#This Row],[DSGN FISCAL YEAR]]),"",Yards25[[#This Row],[DSGN FISCAL YEAR]]+1)</f>
        <v/>
      </c>
      <c r="T78" s="51"/>
      <c r="U78" s="128">
        <f ca="1">Yards25[[#This Row],[Estimate]]*0.1</f>
        <v>0</v>
      </c>
      <c r="V78" s="47">
        <f ca="1">Yards25[[#This Row],[Estimate]]-Yards25[[#This Row],[Design Est.]]</f>
        <v>0</v>
      </c>
      <c r="W78" s="85">
        <f ca="1">(Yards25[[#This Row],['# yards]]*INDEX(UnitCosts[],MATCH(Yards25[[#This Row],[WORK TYPE]],UnitCosts[Work Type],0),2))*(1+((Yards25[[#This Row],[est. CONS Year]]-YEAR(TODAY()))*$W$3))</f>
        <v>0</v>
      </c>
      <c r="X78" s="142">
        <f>IF(ISNUMBER(SEARCH("LLC",Yards25[[#This Row],[PROGRAM]])),IF(Yards25[[#This Row],[RAD/PACT by 2025]]="yes",0,1),0)</f>
        <v>0</v>
      </c>
      <c r="Y78" s="1"/>
      <c r="Z78" s="1"/>
      <c r="AA78" s="51">
        <f ca="1">COUNTIF($X$5:Yards25[[#This Row],['# yards]],"&gt;0")</f>
        <v>2</v>
      </c>
      <c r="AB78" s="1">
        <f ca="1">IF(ISBLANK(Yards25[[#This Row],[DSGN CALENDAR YEAR]]),ROUNDDOWN(Yards25[[#This Row],[Count]]/20,0)+$AB$1,Yards25[[#This Row],[DSGN CALENDAR YEAR]])</f>
        <v>2022</v>
      </c>
      <c r="AC78" s="16">
        <f ca="1">Yards25[[#This Row],[est. DSGN Year]]+1</f>
        <v>2023</v>
      </c>
    </row>
    <row r="79" spans="1:29" hidden="1">
      <c r="A79" s="13" t="s">
        <v>72</v>
      </c>
      <c r="B79" s="51" t="str">
        <f>VLOOKUP(Yards25[[#This Row],[DEVELOPMENT]],Data[],2,FALSE)</f>
        <v>BROOKLYN</v>
      </c>
      <c r="C79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79" s="51" t="str">
        <f>VLOOKUP(Yards25[[#This Row],[DEVELOPMENT]],Data[],52,FALSE)</f>
        <v>FEDERAL</v>
      </c>
      <c r="E79" s="50" t="str">
        <f>VLOOKUP(Yards25[[#This Row],[DEVELOPMENT]],Data[],8,FALSE)</f>
        <v>Zone 3</v>
      </c>
      <c r="F79" s="51" t="str">
        <f>VLOOKUP(Yards25[[#This Row],[DEVELOPMENT]],all[[DEVELOPMENT]:[MRST Ext. Comp. Priority]],6,FALSE)</f>
        <v>C</v>
      </c>
      <c r="G79" s="51">
        <f>VLOOKUP(Yards25[[#This Row],[DEVELOPMENT]],all[[DEVELOPMENT]:[MRST Ext. Comp. Priority]],13,FALSE)</f>
        <v>3</v>
      </c>
      <c r="H79" s="50">
        <f>IF(VLOOKUP(Yards25[[#This Row],[DEVELOPMENT]],Data[],9,FALSE)=0,5,VLOOKUP(Yards25[[#This Row],[DEVELOPMENT]],Data[],9,FALSE))</f>
        <v>2</v>
      </c>
      <c r="I79" s="51">
        <f>VLOOKUP(Yards25[[#This Row],[DEVELOPMENT]],Data[],33,FALSE)</f>
        <v>0</v>
      </c>
      <c r="J79" s="51">
        <f>VLOOKUP(Yards25[[#This Row],[DEVELOPMENT]],Data[],28,FALSE)</f>
        <v>0</v>
      </c>
      <c r="K79" s="51"/>
      <c r="L79" s="50"/>
      <c r="M79" s="51" t="str">
        <f ca="1">IFERROR(VLOOKUP(Yards25[[#This Row],[DEVELOPMENT]],Data[],4,FALSE),"")</f>
        <v>2026+</v>
      </c>
      <c r="N79" s="51" t="str">
        <f ca="1">IF(Yards25[[#This Row],[RAD/PACT]]="","",IF(OR(Yards25[[#This Row],[RAD/PACT]]="2022-2025",Yards25[[#This Row],[RAD/PACT]]=2019,Yards25[[#This Row],[RAD/PACT]]="2020-2021"),"Yes",""))</f>
        <v/>
      </c>
      <c r="O79" s="51" t="str">
        <f ca="1">IFERROR(VLOOKUP(Yards25[[#This Row],[DEVELOPMENT]],ExtComp[],8,FALSE),"")</f>
        <v/>
      </c>
      <c r="P79" s="51"/>
      <c r="Q79" s="51"/>
      <c r="R79" s="51" t="str">
        <f>IF(ISBLANK(Yards25[[#This Row],[DSGN CALENDAR YEAR]]),"",Yards25[[#This Row],[DSGN CALENDAR YEAR]]+1)</f>
        <v/>
      </c>
      <c r="S79" s="51" t="str">
        <f>IF(ISBLANK(Yards25[[#This Row],[DSGN FISCAL YEAR]]),"",Yards25[[#This Row],[DSGN FISCAL YEAR]]+1)</f>
        <v/>
      </c>
      <c r="T79" s="51"/>
      <c r="U79" s="128">
        <f ca="1">Yards25[[#This Row],[Estimate]]*0.1</f>
        <v>0</v>
      </c>
      <c r="V79" s="47">
        <f ca="1">Yards25[[#This Row],[Estimate]]-Yards25[[#This Row],[Design Est.]]</f>
        <v>0</v>
      </c>
      <c r="W79" s="85">
        <f ca="1">(Yards25[[#This Row],['# yards]]*INDEX(UnitCosts[],MATCH(Yards25[[#This Row],[WORK TYPE]],UnitCosts[Work Type],0),2))*(1+((Yards25[[#This Row],[est. CONS Year]]-YEAR(TODAY()))*$W$3))</f>
        <v>0</v>
      </c>
      <c r="X79" s="142">
        <f>IF(ISNUMBER(SEARCH("LLC",Yards25[[#This Row],[PROGRAM]])),IF(Yards25[[#This Row],[RAD/PACT by 2025]]="yes",0,1),0)</f>
        <v>0</v>
      </c>
      <c r="Y79" s="1"/>
      <c r="Z79" s="1"/>
      <c r="AA79" s="51">
        <f ca="1">COUNTIF($X$5:Yards25[[#This Row],['# yards]],"&gt;0")</f>
        <v>2</v>
      </c>
      <c r="AB79" s="1">
        <f ca="1">IF(ISBLANK(Yards25[[#This Row],[DSGN CALENDAR YEAR]]),ROUNDDOWN(Yards25[[#This Row],[Count]]/20,0)+$AB$1,Yards25[[#This Row],[DSGN CALENDAR YEAR]])</f>
        <v>2022</v>
      </c>
      <c r="AC79" s="16">
        <f ca="1">Yards25[[#This Row],[est. DSGN Year]]+1</f>
        <v>2023</v>
      </c>
    </row>
    <row r="80" spans="1:29" hidden="1">
      <c r="A80" s="13" t="s">
        <v>83</v>
      </c>
      <c r="B80" s="51" t="str">
        <f>VLOOKUP(Yards25[[#This Row],[DEVELOPMENT]],Data[],2,FALSE)</f>
        <v>MANHATTAN</v>
      </c>
      <c r="C80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80" s="51" t="str">
        <f>VLOOKUP(Yards25[[#This Row],[DEVELOPMENT]],Data[],52,FALSE)</f>
        <v>FEDERAL</v>
      </c>
      <c r="E80" s="50" t="str">
        <f>VLOOKUP(Yards25[[#This Row],[DEVELOPMENT]],Data[],8,FALSE)</f>
        <v>Zone 2</v>
      </c>
      <c r="F80" s="51" t="str">
        <f>VLOOKUP(Yards25[[#This Row],[DEVELOPMENT]],all[[DEVELOPMENT]:[MRST Ext. Comp. Priority]],6,FALSE)</f>
        <v>C</v>
      </c>
      <c r="G80" s="51">
        <f>VLOOKUP(Yards25[[#This Row],[DEVELOPMENT]],all[[DEVELOPMENT]:[MRST Ext. Comp. Priority]],13,FALSE)</f>
        <v>3</v>
      </c>
      <c r="H80" s="50">
        <f>IF(VLOOKUP(Yards25[[#This Row],[DEVELOPMENT]],Data[],9,FALSE)=0,5,VLOOKUP(Yards25[[#This Row],[DEVELOPMENT]],Data[],9,FALSE))</f>
        <v>2</v>
      </c>
      <c r="I80" s="51">
        <f>VLOOKUP(Yards25[[#This Row],[DEVELOPMENT]],Data[],33,FALSE)</f>
        <v>2</v>
      </c>
      <c r="J80" s="51">
        <f>VLOOKUP(Yards25[[#This Row],[DEVELOPMENT]],Data[],28,FALSE)</f>
        <v>0</v>
      </c>
      <c r="K80" s="51"/>
      <c r="L80" s="50"/>
      <c r="M80" s="51" t="str">
        <f ca="1">IFERROR(VLOOKUP(Yards25[[#This Row],[DEVELOPMENT]],Data[],4,FALSE),"")</f>
        <v>2026+</v>
      </c>
      <c r="N80" s="51" t="str">
        <f ca="1">IF(Yards25[[#This Row],[RAD/PACT]]="","",IF(OR(Yards25[[#This Row],[RAD/PACT]]="2022-2025",Yards25[[#This Row],[RAD/PACT]]=2019,Yards25[[#This Row],[RAD/PACT]]="2020-2021"),"Yes",""))</f>
        <v/>
      </c>
      <c r="O80" s="1">
        <f ca="1">IFERROR(VLOOKUP(Yards25[[#This Row],[DEVELOPMENT]],ExtComp[],8,FALSE),"")</f>
        <v>19</v>
      </c>
      <c r="P80" s="1"/>
      <c r="Q80" s="1"/>
      <c r="R80" s="1" t="str">
        <f>IF(ISBLANK(Yards25[[#This Row],[DSGN CALENDAR YEAR]]),"",Yards25[[#This Row],[DSGN CALENDAR YEAR]]+1)</f>
        <v/>
      </c>
      <c r="S80" s="51" t="str">
        <f>IF(ISBLANK(Yards25[[#This Row],[DSGN FISCAL YEAR]]),"",Yards25[[#This Row],[DSGN FISCAL YEAR]]+1)</f>
        <v/>
      </c>
      <c r="T80" s="1"/>
      <c r="U80" s="128">
        <f ca="1">Yards25[[#This Row],[Estimate]]*0.1</f>
        <v>0</v>
      </c>
      <c r="V80" s="47">
        <f ca="1">Yards25[[#This Row],[Estimate]]-Yards25[[#This Row],[Design Est.]]</f>
        <v>0</v>
      </c>
      <c r="W80" s="85">
        <f ca="1">(Yards25[[#This Row],['# yards]]*INDEX(UnitCosts[],MATCH(Yards25[[#This Row],[WORK TYPE]],UnitCosts[Work Type],0),2))*(1+((Yards25[[#This Row],[est. CONS Year]]-YEAR(TODAY()))*$W$3))</f>
        <v>0</v>
      </c>
      <c r="X80" s="142">
        <f>IF(ISNUMBER(SEARCH("LLC",Yards25[[#This Row],[PROGRAM]])),IF(Yards25[[#This Row],[RAD/PACT by 2025]]="yes",0,1),0)</f>
        <v>0</v>
      </c>
      <c r="Y80" s="1"/>
      <c r="Z80" s="1"/>
      <c r="AA80" s="51">
        <f ca="1">COUNTIF($X$5:Yards25[[#This Row],['# yards]],"&gt;0")</f>
        <v>2</v>
      </c>
      <c r="AB80" s="1">
        <f ca="1">IF(ISBLANK(Yards25[[#This Row],[DSGN CALENDAR YEAR]]),ROUNDDOWN(Yards25[[#This Row],[Count]]/20,0)+$AB$1,Yards25[[#This Row],[DSGN CALENDAR YEAR]])</f>
        <v>2022</v>
      </c>
      <c r="AC80" s="16">
        <f ca="1">Yards25[[#This Row],[est. DSGN Year]]+1</f>
        <v>2023</v>
      </c>
    </row>
    <row r="81" spans="1:29" hidden="1">
      <c r="A81" s="13" t="s">
        <v>131</v>
      </c>
      <c r="B81" s="51" t="str">
        <f>VLOOKUP(Yards25[[#This Row],[DEVELOPMENT]],Data[],2,FALSE)</f>
        <v>MANHATTAN</v>
      </c>
      <c r="C81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81" s="51" t="str">
        <f>VLOOKUP(Yards25[[#This Row],[DEVELOPMENT]],Data[],52,FALSE)</f>
        <v>FEDERAL</v>
      </c>
      <c r="E81" s="50" t="str">
        <f>VLOOKUP(Yards25[[#This Row],[DEVELOPMENT]],Data[],8,FALSE)</f>
        <v>Zone 2</v>
      </c>
      <c r="F81" s="51" t="str">
        <f>VLOOKUP(Yards25[[#This Row],[DEVELOPMENT]],all[[DEVELOPMENT]:[MRST Ext. Comp. Priority]],6,FALSE)</f>
        <v>C</v>
      </c>
      <c r="G81" s="51">
        <f>VLOOKUP(Yards25[[#This Row],[DEVELOPMENT]],all[[DEVELOPMENT]:[MRST Ext. Comp. Priority]],13,FALSE)</f>
        <v>3</v>
      </c>
      <c r="H81" s="50">
        <f>IF(VLOOKUP(Yards25[[#This Row],[DEVELOPMENT]],Data[],9,FALSE)=0,5,VLOOKUP(Yards25[[#This Row],[DEVELOPMENT]],Data[],9,FALSE))</f>
        <v>2</v>
      </c>
      <c r="I81" s="51">
        <f>VLOOKUP(Yards25[[#This Row],[DEVELOPMENT]],Data[],33,FALSE)</f>
        <v>2</v>
      </c>
      <c r="J81" s="51">
        <f>VLOOKUP(Yards25[[#This Row],[DEVELOPMENT]],Data[],28,FALSE)</f>
        <v>0</v>
      </c>
      <c r="K81" s="51"/>
      <c r="L81" s="50"/>
      <c r="M81" s="51" t="str">
        <f ca="1">IFERROR(VLOOKUP(Yards25[[#This Row],[DEVELOPMENT]],Data[],4,FALSE),"")</f>
        <v/>
      </c>
      <c r="N81" s="51" t="str">
        <f ca="1">IF(Yards25[[#This Row],[RAD/PACT]]="","",IF(OR(Yards25[[#This Row],[RAD/PACT]]="2022-2025",Yards25[[#This Row],[RAD/PACT]]=2019,Yards25[[#This Row],[RAD/PACT]]="2020-2021"),"Yes",""))</f>
        <v/>
      </c>
      <c r="O81" s="1">
        <f ca="1">IFERROR(VLOOKUP(Yards25[[#This Row],[DEVELOPMENT]],ExtComp[],8,FALSE),"")</f>
        <v>5</v>
      </c>
      <c r="P81" s="1"/>
      <c r="Q81" s="1"/>
      <c r="R81" s="1" t="str">
        <f>IF(ISBLANK(Yards25[[#This Row],[DSGN CALENDAR YEAR]]),"",Yards25[[#This Row],[DSGN CALENDAR YEAR]]+1)</f>
        <v/>
      </c>
      <c r="S81" s="51" t="str">
        <f>IF(ISBLANK(Yards25[[#This Row],[DSGN FISCAL YEAR]]),"",Yards25[[#This Row],[DSGN FISCAL YEAR]]+1)</f>
        <v/>
      </c>
      <c r="T81" s="1"/>
      <c r="U81" s="128">
        <f ca="1">Yards25[[#This Row],[Estimate]]*0.1</f>
        <v>0</v>
      </c>
      <c r="V81" s="47">
        <f ca="1">Yards25[[#This Row],[Estimate]]-Yards25[[#This Row],[Design Est.]]</f>
        <v>0</v>
      </c>
      <c r="W81" s="85">
        <f ca="1">(Yards25[[#This Row],['# yards]]*INDEX(UnitCosts[],MATCH(Yards25[[#This Row],[WORK TYPE]],UnitCosts[Work Type],0),2))*(1+((Yards25[[#This Row],[est. CONS Year]]-YEAR(TODAY()))*$W$3))</f>
        <v>0</v>
      </c>
      <c r="X81" s="142">
        <f>IF(ISNUMBER(SEARCH("LLC",Yards25[[#This Row],[PROGRAM]])),IF(Yards25[[#This Row],[RAD/PACT by 2025]]="yes",0,1),0)</f>
        <v>0</v>
      </c>
      <c r="Y81" s="1"/>
      <c r="Z81" s="1"/>
      <c r="AA81" s="51">
        <f ca="1">COUNTIF($X$5:Yards25[[#This Row],['# yards]],"&gt;0")</f>
        <v>2</v>
      </c>
      <c r="AB81" s="1">
        <f ca="1">IF(ISBLANK(Yards25[[#This Row],[DSGN CALENDAR YEAR]]),ROUNDDOWN(Yards25[[#This Row],[Count]]/20,0)+$AB$1,Yards25[[#This Row],[DSGN CALENDAR YEAR]])</f>
        <v>2022</v>
      </c>
      <c r="AC81" s="16">
        <f ca="1">Yards25[[#This Row],[est. DSGN Year]]+1</f>
        <v>2023</v>
      </c>
    </row>
    <row r="82" spans="1:29" hidden="1">
      <c r="A82" s="13" t="s">
        <v>37</v>
      </c>
      <c r="B82" s="51" t="str">
        <f>VLOOKUP(Yards25[[#This Row],[DEVELOPMENT]],Data[],2,FALSE)</f>
        <v>BROOKLYN</v>
      </c>
      <c r="C8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82" s="51" t="str">
        <f>VLOOKUP(Yards25[[#This Row],[DEVELOPMENT]],Data[],52,FALSE)</f>
        <v>FEDERAL</v>
      </c>
      <c r="E82" s="50" t="str">
        <f>VLOOKUP(Yards25[[#This Row],[DEVELOPMENT]],Data[],8,FALSE)</f>
        <v>Zone 1</v>
      </c>
      <c r="F82" s="51" t="str">
        <f>VLOOKUP(Yards25[[#This Row],[DEVELOPMENT]],all[[DEVELOPMENT]:[MRST Ext. Comp. Priority]],6,FALSE)</f>
        <v>C</v>
      </c>
      <c r="G82" s="51">
        <f>VLOOKUP(Yards25[[#This Row],[DEVELOPMENT]],all[[DEVELOPMENT]:[MRST Ext. Comp. Priority]],13,FALSE)</f>
        <v>2</v>
      </c>
      <c r="H82" s="50">
        <f>IF(VLOOKUP(Yards25[[#This Row],[DEVELOPMENT]],Data[],9,FALSE)=0,5,VLOOKUP(Yards25[[#This Row],[DEVELOPMENT]],Data[],9,FALSE))</f>
        <v>2</v>
      </c>
      <c r="I82" s="51">
        <f>VLOOKUP(Yards25[[#This Row],[DEVELOPMENT]],Data[],33,FALSE)</f>
        <v>2</v>
      </c>
      <c r="J82" s="51">
        <f>VLOOKUP(Yards25[[#This Row],[DEVELOPMENT]],Data[],28,FALSE)</f>
        <v>0</v>
      </c>
      <c r="K82" s="51"/>
      <c r="L82" s="50"/>
      <c r="M82" s="51" t="str">
        <f ca="1">IFERROR(VLOOKUP(Yards25[[#This Row],[DEVELOPMENT]],Data[],4,FALSE),"")</f>
        <v/>
      </c>
      <c r="N82" s="51" t="str">
        <f ca="1">IF(Yards25[[#This Row],[RAD/PACT]]="","",IF(OR(Yards25[[#This Row],[RAD/PACT]]="2022-2025",Yards25[[#This Row],[RAD/PACT]]=2019,Yards25[[#This Row],[RAD/PACT]]="2020-2021"),"Yes",""))</f>
        <v/>
      </c>
      <c r="O82" s="51">
        <f ca="1">IFERROR(VLOOKUP(Yards25[[#This Row],[DEVELOPMENT]],ExtComp[],8,FALSE),"")</f>
        <v>0</v>
      </c>
      <c r="P82" s="51"/>
      <c r="Q82" s="51"/>
      <c r="R82" s="51" t="str">
        <f>IF(ISBLANK(Yards25[[#This Row],[DSGN CALENDAR YEAR]]),"",Yards25[[#This Row],[DSGN CALENDAR YEAR]]+1)</f>
        <v/>
      </c>
      <c r="S82" s="51" t="str">
        <f>IF(ISBLANK(Yards25[[#This Row],[DSGN FISCAL YEAR]]),"",Yards25[[#This Row],[DSGN FISCAL YEAR]]+1)</f>
        <v/>
      </c>
      <c r="T82" s="51"/>
      <c r="U82" s="128">
        <f ca="1">Yards25[[#This Row],[Estimate]]*0.1</f>
        <v>0</v>
      </c>
      <c r="V82" s="47">
        <f ca="1">Yards25[[#This Row],[Estimate]]-Yards25[[#This Row],[Design Est.]]</f>
        <v>0</v>
      </c>
      <c r="W82" s="85">
        <f ca="1">(Yards25[[#This Row],['# yards]]*INDEX(UnitCosts[],MATCH(Yards25[[#This Row],[WORK TYPE]],UnitCosts[Work Type],0),2))*(1+((Yards25[[#This Row],[est. CONS Year]]-YEAR(TODAY()))*$W$3))</f>
        <v>0</v>
      </c>
      <c r="X82" s="142">
        <f>IF(ISNUMBER(SEARCH("LLC",Yards25[[#This Row],[PROGRAM]])),IF(Yards25[[#This Row],[RAD/PACT by 2025]]="yes",0,1),0)</f>
        <v>0</v>
      </c>
      <c r="Y82" s="1"/>
      <c r="Z82" s="1"/>
      <c r="AA82" s="51">
        <f ca="1">COUNTIF($X$5:Yards25[[#This Row],['# yards]],"&gt;0")</f>
        <v>2</v>
      </c>
      <c r="AB82" s="1">
        <f ca="1">IF(ISBLANK(Yards25[[#This Row],[DSGN CALENDAR YEAR]]),ROUNDDOWN(Yards25[[#This Row],[Count]]/20,0)+$AB$1,Yards25[[#This Row],[DSGN CALENDAR YEAR]])</f>
        <v>2022</v>
      </c>
      <c r="AC82" s="16">
        <f ca="1">Yards25[[#This Row],[est. DSGN Year]]+1</f>
        <v>2023</v>
      </c>
    </row>
    <row r="83" spans="1:29" hidden="1">
      <c r="A83" s="13" t="s">
        <v>266</v>
      </c>
      <c r="B83" s="51" t="str">
        <f>VLOOKUP(Yards25[[#This Row],[DEVELOPMENT]],Data[],2,FALSE)</f>
        <v>MANHATTAN</v>
      </c>
      <c r="C8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83" s="51" t="str">
        <f>VLOOKUP(Yards25[[#This Row],[DEVELOPMENT]],Data[],52,FALSE)</f>
        <v>FEDERAL</v>
      </c>
      <c r="E83" s="50" t="str">
        <f>VLOOKUP(Yards25[[#This Row],[DEVELOPMENT]],Data[],8,FALSE)</f>
        <v>Zone 1</v>
      </c>
      <c r="F83" s="51" t="str">
        <f>VLOOKUP(Yards25[[#This Row],[DEVELOPMENT]],all[[DEVELOPMENT]:[MRST Ext. Comp. Priority]],6,FALSE)</f>
        <v>C</v>
      </c>
      <c r="G83" s="51">
        <f>VLOOKUP(Yards25[[#This Row],[DEVELOPMENT]],all[[DEVELOPMENT]:[MRST Ext. Comp. Priority]],13,FALSE)</f>
        <v>3</v>
      </c>
      <c r="H83" s="50">
        <f>IF(VLOOKUP(Yards25[[#This Row],[DEVELOPMENT]],Data[],9,FALSE)=0,5,VLOOKUP(Yards25[[#This Row],[DEVELOPMENT]],Data[],9,FALSE))</f>
        <v>3</v>
      </c>
      <c r="I83" s="51">
        <f>VLOOKUP(Yards25[[#This Row],[DEVELOPMENT]],Data[],33,FALSE)</f>
        <v>0</v>
      </c>
      <c r="J83" s="51">
        <f>VLOOKUP(Yards25[[#This Row],[DEVELOPMENT]],Data[],28,FALSE)</f>
        <v>0</v>
      </c>
      <c r="K83" s="51"/>
      <c r="L83" s="50"/>
      <c r="M83" s="51" t="str">
        <f ca="1">IFERROR(VLOOKUP(Yards25[[#This Row],[DEVELOPMENT]],Data[],4,FALSE),"")</f>
        <v/>
      </c>
      <c r="N83" s="51" t="str">
        <f ca="1">IF(Yards25[[#This Row],[RAD/PACT]]="","",IF(OR(Yards25[[#This Row],[RAD/PACT]]="2022-2025",Yards25[[#This Row],[RAD/PACT]]=2019,Yards25[[#This Row],[RAD/PACT]]="2020-2021"),"Yes",""))</f>
        <v/>
      </c>
      <c r="O83" s="51" t="str">
        <f ca="1">IFERROR(VLOOKUP(Yards25[[#This Row],[DEVELOPMENT]],ExtComp[],8,FALSE),"")</f>
        <v/>
      </c>
      <c r="P83" s="51"/>
      <c r="Q83" s="51"/>
      <c r="R83" s="51" t="str">
        <f>IF(ISBLANK(Yards25[[#This Row],[DSGN CALENDAR YEAR]]),"",Yards25[[#This Row],[DSGN CALENDAR YEAR]]+1)</f>
        <v/>
      </c>
      <c r="S83" s="51" t="str">
        <f>IF(ISBLANK(Yards25[[#This Row],[DSGN FISCAL YEAR]]),"",Yards25[[#This Row],[DSGN FISCAL YEAR]]+1)</f>
        <v/>
      </c>
      <c r="T83" s="51"/>
      <c r="U83" s="128">
        <f ca="1">Yards25[[#This Row],[Estimate]]*0.1</f>
        <v>0</v>
      </c>
      <c r="V83" s="47">
        <f ca="1">Yards25[[#This Row],[Estimate]]-Yards25[[#This Row],[Design Est.]]</f>
        <v>0</v>
      </c>
      <c r="W83" s="85">
        <f ca="1">(Yards25[[#This Row],['# yards]]*INDEX(UnitCosts[],MATCH(Yards25[[#This Row],[WORK TYPE]],UnitCosts[Work Type],0),2))*(1+((Yards25[[#This Row],[est. CONS Year]]-YEAR(TODAY()))*$W$3))</f>
        <v>0</v>
      </c>
      <c r="X83" s="142">
        <f>IF(ISNUMBER(SEARCH("LLC",Yards25[[#This Row],[PROGRAM]])),IF(Yards25[[#This Row],[RAD/PACT by 2025]]="yes",0,1),0)</f>
        <v>0</v>
      </c>
      <c r="Y83" s="1"/>
      <c r="Z83" s="1"/>
      <c r="AA83" s="51">
        <f ca="1">COUNTIF($X$5:Yards25[[#This Row],['# yards]],"&gt;0")</f>
        <v>2</v>
      </c>
      <c r="AB83" s="1">
        <f ca="1">IF(ISBLANK(Yards25[[#This Row],[DSGN CALENDAR YEAR]]),ROUNDDOWN(Yards25[[#This Row],[Count]]/20,0)+$AB$1,Yards25[[#This Row],[DSGN CALENDAR YEAR]])</f>
        <v>2022</v>
      </c>
      <c r="AC83" s="16">
        <f ca="1">Yards25[[#This Row],[est. DSGN Year]]+1</f>
        <v>2023</v>
      </c>
    </row>
    <row r="84" spans="1:29" hidden="1">
      <c r="A84" s="13" t="s">
        <v>112</v>
      </c>
      <c r="B84" s="51" t="str">
        <f>VLOOKUP(Yards25[[#This Row],[DEVELOPMENT]],Data[],2,FALSE)</f>
        <v>MANHATTAN</v>
      </c>
      <c r="C8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84" s="51" t="str">
        <f>VLOOKUP(Yards25[[#This Row],[DEVELOPMENT]],Data[],52,FALSE)</f>
        <v>FEDERAL</v>
      </c>
      <c r="E84" s="50" t="str">
        <f>VLOOKUP(Yards25[[#This Row],[DEVELOPMENT]],Data[],8,FALSE)</f>
        <v>Zone 2</v>
      </c>
      <c r="F84" s="51" t="str">
        <f>VLOOKUP(Yards25[[#This Row],[DEVELOPMENT]],all[[DEVELOPMENT]:[MRST Ext. Comp. Priority]],6,FALSE)</f>
        <v>C</v>
      </c>
      <c r="G84" s="51">
        <f>VLOOKUP(Yards25[[#This Row],[DEVELOPMENT]],all[[DEVELOPMENT]:[MRST Ext. Comp. Priority]],13,FALSE)</f>
        <v>3</v>
      </c>
      <c r="H84" s="50">
        <f>IF(VLOOKUP(Yards25[[#This Row],[DEVELOPMENT]],Data[],9,FALSE)=0,5,VLOOKUP(Yards25[[#This Row],[DEVELOPMENT]],Data[],9,FALSE))</f>
        <v>3</v>
      </c>
      <c r="I84" s="51">
        <f>VLOOKUP(Yards25[[#This Row],[DEVELOPMENT]],Data[],33,FALSE)</f>
        <v>4</v>
      </c>
      <c r="J84" s="51">
        <f>VLOOKUP(Yards25[[#This Row],[DEVELOPMENT]],Data[],28,FALSE)</f>
        <v>0</v>
      </c>
      <c r="K84" s="51"/>
      <c r="L84" s="50"/>
      <c r="M84" s="51" t="str">
        <f ca="1">IFERROR(VLOOKUP(Yards25[[#This Row],[DEVELOPMENT]],Data[],4,FALSE),"")</f>
        <v>2026+</v>
      </c>
      <c r="N84" s="51" t="str">
        <f ca="1">IF(Yards25[[#This Row],[RAD/PACT]]="","",IF(OR(Yards25[[#This Row],[RAD/PACT]]="2022-2025",Yards25[[#This Row],[RAD/PACT]]=2019,Yards25[[#This Row],[RAD/PACT]]="2020-2021"),"Yes",""))</f>
        <v/>
      </c>
      <c r="O84" s="1">
        <f ca="1">IFERROR(VLOOKUP(Yards25[[#This Row],[DEVELOPMENT]],ExtComp[],8,FALSE),"")</f>
        <v>17</v>
      </c>
      <c r="P84" s="1"/>
      <c r="Q84" s="1"/>
      <c r="R84" s="1" t="str">
        <f>IF(ISBLANK(Yards25[[#This Row],[DSGN CALENDAR YEAR]]),"",Yards25[[#This Row],[DSGN CALENDAR YEAR]]+1)</f>
        <v/>
      </c>
      <c r="S84" s="51" t="str">
        <f>IF(ISBLANK(Yards25[[#This Row],[DSGN FISCAL YEAR]]),"",Yards25[[#This Row],[DSGN FISCAL YEAR]]+1)</f>
        <v/>
      </c>
      <c r="T84" s="1"/>
      <c r="U84" s="128">
        <f ca="1">Yards25[[#This Row],[Estimate]]*0.1</f>
        <v>0</v>
      </c>
      <c r="V84" s="47">
        <f ca="1">Yards25[[#This Row],[Estimate]]-Yards25[[#This Row],[Design Est.]]</f>
        <v>0</v>
      </c>
      <c r="W84" s="85">
        <f ca="1">(Yards25[[#This Row],['# yards]]*INDEX(UnitCosts[],MATCH(Yards25[[#This Row],[WORK TYPE]],UnitCosts[Work Type],0),2))*(1+((Yards25[[#This Row],[est. CONS Year]]-YEAR(TODAY()))*$W$3))</f>
        <v>0</v>
      </c>
      <c r="X84" s="142">
        <f>IF(ISNUMBER(SEARCH("LLC",Yards25[[#This Row],[PROGRAM]])),IF(Yards25[[#This Row],[RAD/PACT by 2025]]="yes",0,1),0)</f>
        <v>0</v>
      </c>
      <c r="Y84" s="1"/>
      <c r="Z84" s="1"/>
      <c r="AA84" s="51">
        <f ca="1">COUNTIF($X$5:Yards25[[#This Row],['# yards]],"&gt;0")</f>
        <v>2</v>
      </c>
      <c r="AB84" s="1">
        <f ca="1">IF(ISBLANK(Yards25[[#This Row],[DSGN CALENDAR YEAR]]),ROUNDDOWN(Yards25[[#This Row],[Count]]/20,0)+$AB$1,Yards25[[#This Row],[DSGN CALENDAR YEAR]])</f>
        <v>2022</v>
      </c>
      <c r="AC84" s="16">
        <f ca="1">Yards25[[#This Row],[est. DSGN Year]]+1</f>
        <v>2023</v>
      </c>
    </row>
    <row r="85" spans="1:29" hidden="1">
      <c r="A85" s="13" t="s">
        <v>62</v>
      </c>
      <c r="B85" s="51" t="str">
        <f>VLOOKUP(Yards25[[#This Row],[DEVELOPMENT]],Data[],2,FALSE)</f>
        <v>MANHATTAN</v>
      </c>
      <c r="C8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85" s="51" t="str">
        <f>VLOOKUP(Yards25[[#This Row],[DEVELOPMENT]],Data[],52,FALSE)</f>
        <v>FEDERAL</v>
      </c>
      <c r="E85" s="50" t="str">
        <f>VLOOKUP(Yards25[[#This Row],[DEVELOPMENT]],Data[],8,FALSE)</f>
        <v>Zone 1</v>
      </c>
      <c r="F85" s="51" t="str">
        <f>VLOOKUP(Yards25[[#This Row],[DEVELOPMENT]],all[[DEVELOPMENT]:[MRST Ext. Comp. Priority]],6,FALSE)</f>
        <v>C</v>
      </c>
      <c r="G85" s="51">
        <f>VLOOKUP(Yards25[[#This Row],[DEVELOPMENT]],all[[DEVELOPMENT]:[MRST Ext. Comp. Priority]],13,FALSE)</f>
        <v>3</v>
      </c>
      <c r="H85" s="50">
        <f>IF(VLOOKUP(Yards25[[#This Row],[DEVELOPMENT]],Data[],9,FALSE)=0,5,VLOOKUP(Yards25[[#This Row],[DEVELOPMENT]],Data[],9,FALSE))</f>
        <v>3</v>
      </c>
      <c r="I85" s="51">
        <f>VLOOKUP(Yards25[[#This Row],[DEVELOPMENT]],Data[],33,FALSE)</f>
        <v>0</v>
      </c>
      <c r="J85" s="51">
        <f>VLOOKUP(Yards25[[#This Row],[DEVELOPMENT]],Data[],28,FALSE)</f>
        <v>0</v>
      </c>
      <c r="K85" s="51"/>
      <c r="L85" s="50"/>
      <c r="M85" s="51" t="str">
        <f ca="1">IFERROR(VLOOKUP(Yards25[[#This Row],[DEVELOPMENT]],Data[],4,FALSE),"")</f>
        <v/>
      </c>
      <c r="N85" s="51" t="str">
        <f ca="1">IF(Yards25[[#This Row],[RAD/PACT]]="","",IF(OR(Yards25[[#This Row],[RAD/PACT]]="2022-2025",Yards25[[#This Row],[RAD/PACT]]=2019,Yards25[[#This Row],[RAD/PACT]]="2020-2021"),"Yes",""))</f>
        <v/>
      </c>
      <c r="O85" s="51" t="str">
        <f ca="1">IFERROR(VLOOKUP(Yards25[[#This Row],[DEVELOPMENT]],ExtComp[],8,FALSE),"")</f>
        <v/>
      </c>
      <c r="P85" s="51"/>
      <c r="Q85" s="51"/>
      <c r="R85" s="51" t="str">
        <f>IF(ISBLANK(Yards25[[#This Row],[DSGN CALENDAR YEAR]]),"",Yards25[[#This Row],[DSGN CALENDAR YEAR]]+1)</f>
        <v/>
      </c>
      <c r="S85" s="51" t="str">
        <f>IF(ISBLANK(Yards25[[#This Row],[DSGN FISCAL YEAR]]),"",Yards25[[#This Row],[DSGN FISCAL YEAR]]+1)</f>
        <v/>
      </c>
      <c r="T85" s="51"/>
      <c r="U85" s="128">
        <f ca="1">Yards25[[#This Row],[Estimate]]*0.1</f>
        <v>0</v>
      </c>
      <c r="V85" s="47">
        <f ca="1">Yards25[[#This Row],[Estimate]]-Yards25[[#This Row],[Design Est.]]</f>
        <v>0</v>
      </c>
      <c r="W85" s="85">
        <f ca="1">(Yards25[[#This Row],['# yards]]*INDEX(UnitCosts[],MATCH(Yards25[[#This Row],[WORK TYPE]],UnitCosts[Work Type],0),2))*(1+((Yards25[[#This Row],[est. CONS Year]]-YEAR(TODAY()))*$W$3))</f>
        <v>0</v>
      </c>
      <c r="X85" s="142">
        <f>IF(ISNUMBER(SEARCH("LLC",Yards25[[#This Row],[PROGRAM]])),IF(Yards25[[#This Row],[RAD/PACT by 2025]]="yes",0,1),0)</f>
        <v>0</v>
      </c>
      <c r="Y85" s="1"/>
      <c r="Z85" s="1"/>
      <c r="AA85" s="51">
        <f ca="1">COUNTIF($X$5:Yards25[[#This Row],['# yards]],"&gt;0")</f>
        <v>2</v>
      </c>
      <c r="AB85" s="1">
        <f ca="1">IF(ISBLANK(Yards25[[#This Row],[DSGN CALENDAR YEAR]]),ROUNDDOWN(Yards25[[#This Row],[Count]]/20,0)+$AB$1,Yards25[[#This Row],[DSGN CALENDAR YEAR]])</f>
        <v>2022</v>
      </c>
      <c r="AC85" s="16">
        <f ca="1">Yards25[[#This Row],[est. DSGN Year]]+1</f>
        <v>2023</v>
      </c>
    </row>
    <row r="86" spans="1:29" hidden="1">
      <c r="A86" s="13" t="s">
        <v>91</v>
      </c>
      <c r="B86" s="51" t="str">
        <f>VLOOKUP(Yards25[[#This Row],[DEVELOPMENT]],Data[],2,FALSE)</f>
        <v>BRONX</v>
      </c>
      <c r="C8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86" s="51" t="str">
        <f>VLOOKUP(Yards25[[#This Row],[DEVELOPMENT]],Data[],52,FALSE)</f>
        <v>FEDERAL</v>
      </c>
      <c r="E86" s="50" t="str">
        <f>VLOOKUP(Yards25[[#This Row],[DEVELOPMENT]],Data[],8,FALSE)</f>
        <v>Zone 3</v>
      </c>
      <c r="F86" s="51" t="str">
        <f>VLOOKUP(Yards25[[#This Row],[DEVELOPMENT]],all[[DEVELOPMENT]:[MRST Ext. Comp. Priority]],6,FALSE)</f>
        <v>C</v>
      </c>
      <c r="G86" s="51">
        <f>VLOOKUP(Yards25[[#This Row],[DEVELOPMENT]],all[[DEVELOPMENT]:[MRST Ext. Comp. Priority]],13,FALSE)</f>
        <v>3</v>
      </c>
      <c r="H86" s="50">
        <f>IF(VLOOKUP(Yards25[[#This Row],[DEVELOPMENT]],Data[],9,FALSE)=0,5,VLOOKUP(Yards25[[#This Row],[DEVELOPMENT]],Data[],9,FALSE))</f>
        <v>3</v>
      </c>
      <c r="I86" s="51">
        <f>VLOOKUP(Yards25[[#This Row],[DEVELOPMENT]],Data[],33,FALSE)</f>
        <v>1</v>
      </c>
      <c r="J86" s="51">
        <f>VLOOKUP(Yards25[[#This Row],[DEVELOPMENT]],Data[],28,FALSE)</f>
        <v>0</v>
      </c>
      <c r="K86" s="51"/>
      <c r="L86" s="50"/>
      <c r="M86" s="51" t="str">
        <f ca="1">IFERROR(VLOOKUP(Yards25[[#This Row],[DEVELOPMENT]],Data[],4,FALSE),"")</f>
        <v>2026+</v>
      </c>
      <c r="N86" s="51" t="str">
        <f ca="1">IF(Yards25[[#This Row],[RAD/PACT]]="","",IF(OR(Yards25[[#This Row],[RAD/PACT]]="2022-2025",Yards25[[#This Row],[RAD/PACT]]=2019,Yards25[[#This Row],[RAD/PACT]]="2020-2021"),"Yes",""))</f>
        <v/>
      </c>
      <c r="O86" s="51">
        <f ca="1">IFERROR(VLOOKUP(Yards25[[#This Row],[DEVELOPMENT]],ExtComp[],8,FALSE),"")</f>
        <v>19</v>
      </c>
      <c r="P86" s="51"/>
      <c r="Q86" s="51"/>
      <c r="R86" s="51" t="str">
        <f>IF(ISBLANK(Yards25[[#This Row],[DSGN CALENDAR YEAR]]),"",Yards25[[#This Row],[DSGN CALENDAR YEAR]]+1)</f>
        <v/>
      </c>
      <c r="S86" s="51" t="str">
        <f>IF(ISBLANK(Yards25[[#This Row],[DSGN FISCAL YEAR]]),"",Yards25[[#This Row],[DSGN FISCAL YEAR]]+1)</f>
        <v/>
      </c>
      <c r="T86" s="51"/>
      <c r="U86" s="128">
        <f ca="1">Yards25[[#This Row],[Estimate]]*0.1</f>
        <v>0</v>
      </c>
      <c r="V86" s="47">
        <f ca="1">Yards25[[#This Row],[Estimate]]-Yards25[[#This Row],[Design Est.]]</f>
        <v>0</v>
      </c>
      <c r="W86" s="85">
        <f ca="1">(Yards25[[#This Row],['# yards]]*INDEX(UnitCosts[],MATCH(Yards25[[#This Row],[WORK TYPE]],UnitCosts[Work Type],0),2))*(1+((Yards25[[#This Row],[est. CONS Year]]-YEAR(TODAY()))*$W$3))</f>
        <v>0</v>
      </c>
      <c r="X86" s="142">
        <f>IF(ISNUMBER(SEARCH("LLC",Yards25[[#This Row],[PROGRAM]])),IF(Yards25[[#This Row],[RAD/PACT by 2025]]="yes",0,1),0)</f>
        <v>0</v>
      </c>
      <c r="Y86" s="1"/>
      <c r="Z86" s="1"/>
      <c r="AA86" s="51">
        <f ca="1">COUNTIF($X$5:Yards25[[#This Row],['# yards]],"&gt;0")</f>
        <v>2</v>
      </c>
      <c r="AB86" s="1">
        <f ca="1">IF(ISBLANK(Yards25[[#This Row],[DSGN CALENDAR YEAR]]),ROUNDDOWN(Yards25[[#This Row],[Count]]/20,0)+$AB$1,Yards25[[#This Row],[DSGN CALENDAR YEAR]])</f>
        <v>2022</v>
      </c>
      <c r="AC86" s="16">
        <f ca="1">Yards25[[#This Row],[est. DSGN Year]]+1</f>
        <v>2023</v>
      </c>
    </row>
    <row r="87" spans="1:29" hidden="1">
      <c r="A87" s="13" t="s">
        <v>230</v>
      </c>
      <c r="B87" s="51" t="str">
        <f>VLOOKUP(Yards25[[#This Row],[DEVELOPMENT]],Data[],2,FALSE)</f>
        <v>BROOKLYN</v>
      </c>
      <c r="C87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87" s="51" t="str">
        <f>VLOOKUP(Yards25[[#This Row],[DEVELOPMENT]],Data[],52,FALSE)</f>
        <v>FEDERAL</v>
      </c>
      <c r="E87" s="50" t="str">
        <f>VLOOKUP(Yards25[[#This Row],[DEVELOPMENT]],Data[],8,FALSE)</f>
        <v>Zone 1</v>
      </c>
      <c r="F87" s="51" t="str">
        <f>VLOOKUP(Yards25[[#This Row],[DEVELOPMENT]],all[[DEVELOPMENT]:[MRST Ext. Comp. Priority]],6,FALSE)</f>
        <v>C</v>
      </c>
      <c r="G87" s="51">
        <f>VLOOKUP(Yards25[[#This Row],[DEVELOPMENT]],all[[DEVELOPMENT]:[MRST Ext. Comp. Priority]],13,FALSE)</f>
        <v>3</v>
      </c>
      <c r="H87" s="50">
        <f>IF(VLOOKUP(Yards25[[#This Row],[DEVELOPMENT]],Data[],9,FALSE)=0,5,VLOOKUP(Yards25[[#This Row],[DEVELOPMENT]],Data[],9,FALSE))</f>
        <v>4</v>
      </c>
      <c r="I87" s="51">
        <f>VLOOKUP(Yards25[[#This Row],[DEVELOPMENT]],Data[],33,FALSE)</f>
        <v>0</v>
      </c>
      <c r="J87" s="51">
        <f>VLOOKUP(Yards25[[#This Row],[DEVELOPMENT]],Data[],28,FALSE)</f>
        <v>0</v>
      </c>
      <c r="K87" s="51"/>
      <c r="L87" s="50"/>
      <c r="M87" s="51">
        <f ca="1">IFERROR(VLOOKUP(Yards25[[#This Row],[DEVELOPMENT]],Data[],4,FALSE),"")</f>
        <v>2019</v>
      </c>
      <c r="N87" s="51" t="str">
        <f ca="1">IF(Yards25[[#This Row],[RAD/PACT]]="","",IF(OR(Yards25[[#This Row],[RAD/PACT]]="2022-2025",Yards25[[#This Row],[RAD/PACT]]=2019,Yards25[[#This Row],[RAD/PACT]]="2020-2021"),"Yes",""))</f>
        <v>Yes</v>
      </c>
      <c r="O87" s="51" t="str">
        <f ca="1">IFERROR(VLOOKUP(Yards25[[#This Row],[DEVELOPMENT]],ExtComp[],8,FALSE),"")</f>
        <v/>
      </c>
      <c r="P87" s="51"/>
      <c r="Q87" s="51"/>
      <c r="R87" s="51" t="str">
        <f>IF(ISBLANK(Yards25[[#This Row],[DSGN CALENDAR YEAR]]),"",Yards25[[#This Row],[DSGN CALENDAR YEAR]]+1)</f>
        <v/>
      </c>
      <c r="S87" s="51" t="str">
        <f>IF(ISBLANK(Yards25[[#This Row],[DSGN FISCAL YEAR]]),"",Yards25[[#This Row],[DSGN FISCAL YEAR]]+1)</f>
        <v/>
      </c>
      <c r="T87" s="51"/>
      <c r="U87" s="128">
        <f ca="1">Yards25[[#This Row],[Estimate]]*0.1</f>
        <v>0</v>
      </c>
      <c r="V87" s="47">
        <f ca="1">Yards25[[#This Row],[Estimate]]-Yards25[[#This Row],[Design Est.]]</f>
        <v>0</v>
      </c>
      <c r="W87" s="85">
        <f ca="1">(Yards25[[#This Row],['# yards]]*INDEX(UnitCosts[],MATCH(Yards25[[#This Row],[WORK TYPE]],UnitCosts[Work Type],0),2))*(1+((Yards25[[#This Row],[est. CONS Year]]-YEAR(TODAY()))*$W$3))</f>
        <v>0</v>
      </c>
      <c r="X87" s="142">
        <f>IF(ISNUMBER(SEARCH("LLC",Yards25[[#This Row],[PROGRAM]])),IF(Yards25[[#This Row],[RAD/PACT by 2025]]="yes",0,1),0)</f>
        <v>0</v>
      </c>
      <c r="Y87" s="1"/>
      <c r="Z87" s="1"/>
      <c r="AA87" s="51">
        <f ca="1">COUNTIF($X$5:Yards25[[#This Row],['# yards]],"&gt;0")</f>
        <v>2</v>
      </c>
      <c r="AB87" s="1">
        <f ca="1">IF(ISBLANK(Yards25[[#This Row],[DSGN CALENDAR YEAR]]),ROUNDDOWN(Yards25[[#This Row],[Count]]/20,0)+$AB$1,Yards25[[#This Row],[DSGN CALENDAR YEAR]])</f>
        <v>2022</v>
      </c>
      <c r="AC87" s="16">
        <f ca="1">Yards25[[#This Row],[est. DSGN Year]]+1</f>
        <v>2023</v>
      </c>
    </row>
    <row r="88" spans="1:29" hidden="1">
      <c r="A88" s="13" t="s">
        <v>124</v>
      </c>
      <c r="B88" s="51" t="str">
        <f>VLOOKUP(Yards25[[#This Row],[DEVELOPMENT]],Data[],2,FALSE)</f>
        <v>BRONX</v>
      </c>
      <c r="C88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88" s="51" t="str">
        <f>VLOOKUP(Yards25[[#This Row],[DEVELOPMENT]],Data[],52,FALSE)</f>
        <v>FEDERAL</v>
      </c>
      <c r="E88" s="50" t="str">
        <f>VLOOKUP(Yards25[[#This Row],[DEVELOPMENT]],Data[],8,FALSE)</f>
        <v>Zone 3</v>
      </c>
      <c r="F88" s="51" t="str">
        <f>VLOOKUP(Yards25[[#This Row],[DEVELOPMENT]],all[[DEVELOPMENT]:[MRST Ext. Comp. Priority]],6,FALSE)</f>
        <v>C</v>
      </c>
      <c r="G88" s="51">
        <f>VLOOKUP(Yards25[[#This Row],[DEVELOPMENT]],all[[DEVELOPMENT]:[MRST Ext. Comp. Priority]],13,FALSE)</f>
        <v>4</v>
      </c>
      <c r="H88" s="50">
        <f>IF(VLOOKUP(Yards25[[#This Row],[DEVELOPMENT]],Data[],9,FALSE)=0,5,VLOOKUP(Yards25[[#This Row],[DEVELOPMENT]],Data[],9,FALSE))</f>
        <v>4</v>
      </c>
      <c r="I88" s="51">
        <f>VLOOKUP(Yards25[[#This Row],[DEVELOPMENT]],Data[],33,FALSE)</f>
        <v>1</v>
      </c>
      <c r="J88" s="51">
        <f>VLOOKUP(Yards25[[#This Row],[DEVELOPMENT]],Data[],28,FALSE)</f>
        <v>0</v>
      </c>
      <c r="K88" s="51"/>
      <c r="L88" s="50"/>
      <c r="M88" s="51" t="str">
        <f ca="1">IFERROR(VLOOKUP(Yards25[[#This Row],[DEVELOPMENT]],Data[],4,FALSE),"")</f>
        <v>2026+</v>
      </c>
      <c r="N88" s="51" t="str">
        <f ca="1">IF(Yards25[[#This Row],[RAD/PACT]]="","",IF(OR(Yards25[[#This Row],[RAD/PACT]]="2022-2025",Yards25[[#This Row],[RAD/PACT]]=2019,Yards25[[#This Row],[RAD/PACT]]="2020-2021"),"Yes",""))</f>
        <v/>
      </c>
      <c r="O88" s="51">
        <f ca="1">IFERROR(VLOOKUP(Yards25[[#This Row],[DEVELOPMENT]],ExtComp[],8,FALSE),"")</f>
        <v>12</v>
      </c>
      <c r="P88" s="51"/>
      <c r="Q88" s="51"/>
      <c r="R88" s="51" t="str">
        <f>IF(ISBLANK(Yards25[[#This Row],[DSGN CALENDAR YEAR]]),"",Yards25[[#This Row],[DSGN CALENDAR YEAR]]+1)</f>
        <v/>
      </c>
      <c r="S88" s="51" t="str">
        <f>IF(ISBLANK(Yards25[[#This Row],[DSGN FISCAL YEAR]]),"",Yards25[[#This Row],[DSGN FISCAL YEAR]]+1)</f>
        <v/>
      </c>
      <c r="T88" s="51"/>
      <c r="U88" s="128">
        <f ca="1">Yards25[[#This Row],[Estimate]]*0.1</f>
        <v>0</v>
      </c>
      <c r="V88" s="47">
        <f ca="1">Yards25[[#This Row],[Estimate]]-Yards25[[#This Row],[Design Est.]]</f>
        <v>0</v>
      </c>
      <c r="W88" s="85">
        <f ca="1">(Yards25[[#This Row],['# yards]]*INDEX(UnitCosts[],MATCH(Yards25[[#This Row],[WORK TYPE]],UnitCosts[Work Type],0),2))*(1+((Yards25[[#This Row],[est. CONS Year]]-YEAR(TODAY()))*$W$3))</f>
        <v>0</v>
      </c>
      <c r="X88" s="142">
        <f>IF(ISNUMBER(SEARCH("LLC",Yards25[[#This Row],[PROGRAM]])),IF(Yards25[[#This Row],[RAD/PACT by 2025]]="yes",0,1),0)</f>
        <v>0</v>
      </c>
      <c r="Y88" s="1"/>
      <c r="Z88" s="1"/>
      <c r="AA88" s="51">
        <f ca="1">COUNTIF($X$5:Yards25[[#This Row],['# yards]],"&gt;0")</f>
        <v>2</v>
      </c>
      <c r="AB88" s="1">
        <f ca="1">IF(ISBLANK(Yards25[[#This Row],[DSGN CALENDAR YEAR]]),ROUNDDOWN(Yards25[[#This Row],[Count]]/20,0)+$AB$1,Yards25[[#This Row],[DSGN CALENDAR YEAR]])</f>
        <v>2022</v>
      </c>
      <c r="AC88" s="16">
        <f ca="1">Yards25[[#This Row],[est. DSGN Year]]+1</f>
        <v>2023</v>
      </c>
    </row>
    <row r="89" spans="1:29" hidden="1">
      <c r="A89" s="13" t="s">
        <v>32</v>
      </c>
      <c r="B89" s="51" t="str">
        <f>VLOOKUP(Yards25[[#This Row],[DEVELOPMENT]],Data[],2,FALSE)</f>
        <v>BRONX</v>
      </c>
      <c r="C89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89" s="51" t="str">
        <f>VLOOKUP(Yards25[[#This Row],[DEVELOPMENT]],Data[],52,FALSE)</f>
        <v>FEDERAL</v>
      </c>
      <c r="E89" s="50" t="str">
        <f>VLOOKUP(Yards25[[#This Row],[DEVELOPMENT]],Data[],8,FALSE)</f>
        <v>Zone 1</v>
      </c>
      <c r="F89" s="51" t="str">
        <f>VLOOKUP(Yards25[[#This Row],[DEVELOPMENT]],all[[DEVELOPMENT]:[MRST Ext. Comp. Priority]],6,FALSE)</f>
        <v>C</v>
      </c>
      <c r="G89" s="51">
        <f>VLOOKUP(Yards25[[#This Row],[DEVELOPMENT]],all[[DEVELOPMENT]:[MRST Ext. Comp. Priority]],13,FALSE)</f>
        <v>3</v>
      </c>
      <c r="H89" s="50">
        <f>IF(VLOOKUP(Yards25[[#This Row],[DEVELOPMENT]],Data[],9,FALSE)=0,5,VLOOKUP(Yards25[[#This Row],[DEVELOPMENT]],Data[],9,FALSE))</f>
        <v>4</v>
      </c>
      <c r="I89" s="51">
        <f>VLOOKUP(Yards25[[#This Row],[DEVELOPMENT]],Data[],33,FALSE)</f>
        <v>0</v>
      </c>
      <c r="J89" s="51">
        <f>VLOOKUP(Yards25[[#This Row],[DEVELOPMENT]],Data[],28,FALSE)</f>
        <v>0</v>
      </c>
      <c r="K89" s="51"/>
      <c r="L89" s="50"/>
      <c r="M89" s="51" t="str">
        <f ca="1">IFERROR(VLOOKUP(Yards25[[#This Row],[DEVELOPMENT]],Data[],4,FALSE),"")</f>
        <v>2022-2025</v>
      </c>
      <c r="N89" s="51" t="str">
        <f ca="1">IF(Yards25[[#This Row],[RAD/PACT]]="","",IF(OR(Yards25[[#This Row],[RAD/PACT]]="2022-2025",Yards25[[#This Row],[RAD/PACT]]=2019,Yards25[[#This Row],[RAD/PACT]]="2020-2021"),"Yes",""))</f>
        <v>Yes</v>
      </c>
      <c r="O89" s="51" t="str">
        <f ca="1">IFERROR(VLOOKUP(Yards25[[#This Row],[DEVELOPMENT]],ExtComp[],8,FALSE),"")</f>
        <v/>
      </c>
      <c r="P89" s="51"/>
      <c r="Q89" s="51"/>
      <c r="R89" s="51" t="str">
        <f>IF(ISBLANK(Yards25[[#This Row],[DSGN CALENDAR YEAR]]),"",Yards25[[#This Row],[DSGN CALENDAR YEAR]]+1)</f>
        <v/>
      </c>
      <c r="S89" s="51" t="str">
        <f>IF(ISBLANK(Yards25[[#This Row],[DSGN FISCAL YEAR]]),"",Yards25[[#This Row],[DSGN FISCAL YEAR]]+1)</f>
        <v/>
      </c>
      <c r="T89" s="51"/>
      <c r="U89" s="128">
        <f ca="1">Yards25[[#This Row],[Estimate]]*0.1</f>
        <v>0</v>
      </c>
      <c r="V89" s="47">
        <f ca="1">Yards25[[#This Row],[Estimate]]-Yards25[[#This Row],[Design Est.]]</f>
        <v>0</v>
      </c>
      <c r="W89" s="85">
        <f ca="1">(Yards25[[#This Row],['# yards]]*INDEX(UnitCosts[],MATCH(Yards25[[#This Row],[WORK TYPE]],UnitCosts[Work Type],0),2))*(1+((Yards25[[#This Row],[est. CONS Year]]-YEAR(TODAY()))*$W$3))</f>
        <v>0</v>
      </c>
      <c r="X89" s="142">
        <f>IF(ISNUMBER(SEARCH("LLC",Yards25[[#This Row],[PROGRAM]])),IF(Yards25[[#This Row],[RAD/PACT by 2025]]="yes",0,1),0)</f>
        <v>0</v>
      </c>
      <c r="Y89" s="1"/>
      <c r="Z89" s="1"/>
      <c r="AA89" s="51">
        <f ca="1">COUNTIF($X$5:Yards25[[#This Row],['# yards]],"&gt;0")</f>
        <v>2</v>
      </c>
      <c r="AB89" s="1">
        <f ca="1">IF(ISBLANK(Yards25[[#This Row],[DSGN CALENDAR YEAR]]),ROUNDDOWN(Yards25[[#This Row],[Count]]/20,0)+$AB$1,Yards25[[#This Row],[DSGN CALENDAR YEAR]])</f>
        <v>2022</v>
      </c>
      <c r="AC89" s="16">
        <f ca="1">Yards25[[#This Row],[est. DSGN Year]]+1</f>
        <v>2023</v>
      </c>
    </row>
    <row r="90" spans="1:29" hidden="1">
      <c r="A90" s="13" t="s">
        <v>145</v>
      </c>
      <c r="B90" s="51" t="str">
        <f>VLOOKUP(Yards25[[#This Row],[DEVELOPMENT]],Data[],2,FALSE)</f>
        <v>BRONX</v>
      </c>
      <c r="C90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90" s="51" t="str">
        <f>VLOOKUP(Yards25[[#This Row],[DEVELOPMENT]],Data[],52,FALSE)</f>
        <v>FEDERAL</v>
      </c>
      <c r="E90" s="50" t="str">
        <f>VLOOKUP(Yards25[[#This Row],[DEVELOPMENT]],Data[],8,FALSE)</f>
        <v>Zone 1</v>
      </c>
      <c r="F90" s="51" t="str">
        <f>VLOOKUP(Yards25[[#This Row],[DEVELOPMENT]],all[[DEVELOPMENT]:[MRST Ext. Comp. Priority]],6,FALSE)</f>
        <v>C</v>
      </c>
      <c r="G90" s="51">
        <f>VLOOKUP(Yards25[[#This Row],[DEVELOPMENT]],all[[DEVELOPMENT]:[MRST Ext. Comp. Priority]],13,FALSE)</f>
        <v>3</v>
      </c>
      <c r="H90" s="50">
        <f>IF(VLOOKUP(Yards25[[#This Row],[DEVELOPMENT]],Data[],9,FALSE)=0,5,VLOOKUP(Yards25[[#This Row],[DEVELOPMENT]],Data[],9,FALSE))</f>
        <v>4</v>
      </c>
      <c r="I90" s="51">
        <f>VLOOKUP(Yards25[[#This Row],[DEVELOPMENT]],Data[],33,FALSE)</f>
        <v>1</v>
      </c>
      <c r="J90" s="51">
        <f>VLOOKUP(Yards25[[#This Row],[DEVELOPMENT]],Data[],28,FALSE)</f>
        <v>0</v>
      </c>
      <c r="K90" s="51"/>
      <c r="L90" s="50"/>
      <c r="M90" s="51" t="str">
        <f ca="1">IFERROR(VLOOKUP(Yards25[[#This Row],[DEVELOPMENT]],Data[],4,FALSE),"")</f>
        <v>2022-2025</v>
      </c>
      <c r="N90" s="51" t="str">
        <f ca="1">IF(Yards25[[#This Row],[RAD/PACT]]="","",IF(OR(Yards25[[#This Row],[RAD/PACT]]="2022-2025",Yards25[[#This Row],[RAD/PACT]]=2019,Yards25[[#This Row],[RAD/PACT]]="2020-2021"),"Yes",""))</f>
        <v>Yes</v>
      </c>
      <c r="O90" s="51" t="str">
        <f ca="1">IFERROR(VLOOKUP(Yards25[[#This Row],[DEVELOPMENT]],ExtComp[],8,FALSE),"")</f>
        <v/>
      </c>
      <c r="P90" s="51"/>
      <c r="Q90" s="51"/>
      <c r="R90" s="51" t="str">
        <f>IF(ISBLANK(Yards25[[#This Row],[DSGN CALENDAR YEAR]]),"",Yards25[[#This Row],[DSGN CALENDAR YEAR]]+1)</f>
        <v/>
      </c>
      <c r="S90" s="51" t="str">
        <f>IF(ISBLANK(Yards25[[#This Row],[DSGN FISCAL YEAR]]),"",Yards25[[#This Row],[DSGN FISCAL YEAR]]+1)</f>
        <v/>
      </c>
      <c r="T90" s="51"/>
      <c r="U90" s="128">
        <f ca="1">Yards25[[#This Row],[Estimate]]*0.1</f>
        <v>0</v>
      </c>
      <c r="V90" s="47">
        <f ca="1">Yards25[[#This Row],[Estimate]]-Yards25[[#This Row],[Design Est.]]</f>
        <v>0</v>
      </c>
      <c r="W90" s="85">
        <f ca="1">(Yards25[[#This Row],['# yards]]*INDEX(UnitCosts[],MATCH(Yards25[[#This Row],[WORK TYPE]],UnitCosts[Work Type],0),2))*(1+((Yards25[[#This Row],[est. CONS Year]]-YEAR(TODAY()))*$W$3))</f>
        <v>0</v>
      </c>
      <c r="X90" s="142">
        <f>IF(ISNUMBER(SEARCH("LLC",Yards25[[#This Row],[PROGRAM]])),IF(Yards25[[#This Row],[RAD/PACT by 2025]]="yes",0,1),0)</f>
        <v>0</v>
      </c>
      <c r="Y90" s="1"/>
      <c r="Z90" s="1"/>
      <c r="AA90" s="51">
        <f ca="1">COUNTIF($X$5:Yards25[[#This Row],['# yards]],"&gt;0")</f>
        <v>2</v>
      </c>
      <c r="AB90" s="1">
        <f ca="1">IF(ISBLANK(Yards25[[#This Row],[DSGN CALENDAR YEAR]]),ROUNDDOWN(Yards25[[#This Row],[Count]]/20,0)+$AB$1,Yards25[[#This Row],[DSGN CALENDAR YEAR]])</f>
        <v>2022</v>
      </c>
      <c r="AC90" s="16">
        <f ca="1">Yards25[[#This Row],[est. DSGN Year]]+1</f>
        <v>2023</v>
      </c>
    </row>
    <row r="91" spans="1:29" hidden="1">
      <c r="A91" s="13" t="s">
        <v>105</v>
      </c>
      <c r="B91" s="51" t="str">
        <f>VLOOKUP(Yards25[[#This Row],[DEVELOPMENT]],Data[],2,FALSE)</f>
        <v>BRONX</v>
      </c>
      <c r="C91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91" s="51" t="str">
        <f>VLOOKUP(Yards25[[#This Row],[DEVELOPMENT]],Data[],52,FALSE)</f>
        <v>FEDERAL</v>
      </c>
      <c r="E91" s="50" t="str">
        <f>VLOOKUP(Yards25[[#This Row],[DEVELOPMENT]],Data[],8,FALSE)</f>
        <v>Zone 3</v>
      </c>
      <c r="F91" s="51" t="str">
        <f>VLOOKUP(Yards25[[#This Row],[DEVELOPMENT]],all[[DEVELOPMENT]:[MRST Ext. Comp. Priority]],6,FALSE)</f>
        <v>C</v>
      </c>
      <c r="G91" s="51">
        <f>VLOOKUP(Yards25[[#This Row],[DEVELOPMENT]],all[[DEVELOPMENT]:[MRST Ext. Comp. Priority]],13,FALSE)</f>
        <v>2</v>
      </c>
      <c r="H91" s="50">
        <f>IF(VLOOKUP(Yards25[[#This Row],[DEVELOPMENT]],Data[],9,FALSE)=0,5,VLOOKUP(Yards25[[#This Row],[DEVELOPMENT]],Data[],9,FALSE))</f>
        <v>4</v>
      </c>
      <c r="I91" s="51">
        <f>VLOOKUP(Yards25[[#This Row],[DEVELOPMENT]],Data[],33,FALSE)</f>
        <v>1</v>
      </c>
      <c r="J91" s="51">
        <f>VLOOKUP(Yards25[[#This Row],[DEVELOPMENT]],Data[],28,FALSE)</f>
        <v>0</v>
      </c>
      <c r="K91" s="51"/>
      <c r="L91" s="50"/>
      <c r="M91" s="51" t="str">
        <f ca="1">IFERROR(VLOOKUP(Yards25[[#This Row],[DEVELOPMENT]],Data[],4,FALSE),"")</f>
        <v>2026+</v>
      </c>
      <c r="N91" s="51" t="str">
        <f ca="1">IF(Yards25[[#This Row],[RAD/PACT]]="","",IF(OR(Yards25[[#This Row],[RAD/PACT]]="2022-2025",Yards25[[#This Row],[RAD/PACT]]=2019,Yards25[[#This Row],[RAD/PACT]]="2020-2021"),"Yes",""))</f>
        <v/>
      </c>
      <c r="O91" s="51">
        <f ca="1">IFERROR(VLOOKUP(Yards25[[#This Row],[DEVELOPMENT]],ExtComp[],8,FALSE),"")</f>
        <v>15</v>
      </c>
      <c r="P91" s="51"/>
      <c r="Q91" s="51"/>
      <c r="R91" s="51" t="str">
        <f>IF(ISBLANK(Yards25[[#This Row],[DSGN CALENDAR YEAR]]),"",Yards25[[#This Row],[DSGN CALENDAR YEAR]]+1)</f>
        <v/>
      </c>
      <c r="S91" s="51" t="str">
        <f>IF(ISBLANK(Yards25[[#This Row],[DSGN FISCAL YEAR]]),"",Yards25[[#This Row],[DSGN FISCAL YEAR]]+1)</f>
        <v/>
      </c>
      <c r="T91" s="51"/>
      <c r="U91" s="128">
        <f ca="1">Yards25[[#This Row],[Estimate]]*0.1</f>
        <v>0</v>
      </c>
      <c r="V91" s="47">
        <f ca="1">Yards25[[#This Row],[Estimate]]-Yards25[[#This Row],[Design Est.]]</f>
        <v>0</v>
      </c>
      <c r="W91" s="85">
        <f ca="1">(Yards25[[#This Row],['# yards]]*INDEX(UnitCosts[],MATCH(Yards25[[#This Row],[WORK TYPE]],UnitCosts[Work Type],0),2))*(1+((Yards25[[#This Row],[est. CONS Year]]-YEAR(TODAY()))*$W$3))</f>
        <v>0</v>
      </c>
      <c r="X91" s="142">
        <f>IF(ISNUMBER(SEARCH("LLC",Yards25[[#This Row],[PROGRAM]])),IF(Yards25[[#This Row],[RAD/PACT by 2025]]="yes",0,1),0)</f>
        <v>0</v>
      </c>
      <c r="Y91" s="1"/>
      <c r="Z91" s="1"/>
      <c r="AA91" s="51">
        <f ca="1">COUNTIF($X$5:Yards25[[#This Row],['# yards]],"&gt;0")</f>
        <v>2</v>
      </c>
      <c r="AB91" s="1">
        <f ca="1">IF(ISBLANK(Yards25[[#This Row],[DSGN CALENDAR YEAR]]),ROUNDDOWN(Yards25[[#This Row],[Count]]/20,0)+$AB$1,Yards25[[#This Row],[DSGN CALENDAR YEAR]])</f>
        <v>2022</v>
      </c>
      <c r="AC91" s="16">
        <f ca="1">Yards25[[#This Row],[est. DSGN Year]]+1</f>
        <v>2023</v>
      </c>
    </row>
    <row r="92" spans="1:29" hidden="1">
      <c r="A92" s="13" t="s">
        <v>242</v>
      </c>
      <c r="B92" s="51" t="str">
        <f>VLOOKUP(Yards25[[#This Row],[DEVELOPMENT]],Data[],2,FALSE)</f>
        <v>MANHATTAN</v>
      </c>
      <c r="C92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92" s="51" t="str">
        <f>VLOOKUP(Yards25[[#This Row],[DEVELOPMENT]],Data[],52,FALSE)</f>
        <v>FEDERAL</v>
      </c>
      <c r="E92" s="50" t="str">
        <f>VLOOKUP(Yards25[[#This Row],[DEVELOPMENT]],Data[],8,FALSE)</f>
        <v>Zone 1</v>
      </c>
      <c r="F92" s="51" t="str">
        <f>VLOOKUP(Yards25[[#This Row],[DEVELOPMENT]],all[[DEVELOPMENT]:[MRST Ext. Comp. Priority]],6,FALSE)</f>
        <v>C</v>
      </c>
      <c r="G92" s="51">
        <f>VLOOKUP(Yards25[[#This Row],[DEVELOPMENT]],all[[DEVELOPMENT]:[MRST Ext. Comp. Priority]],13,FALSE)</f>
        <v>4</v>
      </c>
      <c r="H92" s="50">
        <f>IF(VLOOKUP(Yards25[[#This Row],[DEVELOPMENT]],Data[],9,FALSE)=0,5,VLOOKUP(Yards25[[#This Row],[DEVELOPMENT]],Data[],9,FALSE))</f>
        <v>4</v>
      </c>
      <c r="I92" s="51">
        <f>VLOOKUP(Yards25[[#This Row],[DEVELOPMENT]],Data[],33,FALSE)</f>
        <v>0</v>
      </c>
      <c r="J92" s="51">
        <f>VLOOKUP(Yards25[[#This Row],[DEVELOPMENT]],Data[],28,FALSE)</f>
        <v>0</v>
      </c>
      <c r="K92" s="51"/>
      <c r="L92" s="50"/>
      <c r="M92" s="51" t="str">
        <f ca="1">IFERROR(VLOOKUP(Yards25[[#This Row],[DEVELOPMENT]],Data[],4,FALSE),"")</f>
        <v>2026+</v>
      </c>
      <c r="N92" s="51" t="str">
        <f ca="1">IF(Yards25[[#This Row],[RAD/PACT]]="","",IF(OR(Yards25[[#This Row],[RAD/PACT]]="2022-2025",Yards25[[#This Row],[RAD/PACT]]=2019,Yards25[[#This Row],[RAD/PACT]]="2020-2021"),"Yes",""))</f>
        <v/>
      </c>
      <c r="O92" s="51" t="str">
        <f ca="1">IFERROR(VLOOKUP(Yards25[[#This Row],[DEVELOPMENT]],ExtComp[],8,FALSE),"")</f>
        <v/>
      </c>
      <c r="P92" s="51"/>
      <c r="Q92" s="51"/>
      <c r="R92" s="51" t="str">
        <f>IF(ISBLANK(Yards25[[#This Row],[DSGN CALENDAR YEAR]]),"",Yards25[[#This Row],[DSGN CALENDAR YEAR]]+1)</f>
        <v/>
      </c>
      <c r="S92" s="51" t="str">
        <f>IF(ISBLANK(Yards25[[#This Row],[DSGN FISCAL YEAR]]),"",Yards25[[#This Row],[DSGN FISCAL YEAR]]+1)</f>
        <v/>
      </c>
      <c r="T92" s="51"/>
      <c r="U92" s="128">
        <f ca="1">Yards25[[#This Row],[Estimate]]*0.1</f>
        <v>0</v>
      </c>
      <c r="V92" s="47">
        <f ca="1">Yards25[[#This Row],[Estimate]]-Yards25[[#This Row],[Design Est.]]</f>
        <v>0</v>
      </c>
      <c r="W92" s="85">
        <f ca="1">(Yards25[[#This Row],['# yards]]*INDEX(UnitCosts[],MATCH(Yards25[[#This Row],[WORK TYPE]],UnitCosts[Work Type],0),2))*(1+((Yards25[[#This Row],[est. CONS Year]]-YEAR(TODAY()))*$W$3))</f>
        <v>0</v>
      </c>
      <c r="X92" s="142">
        <f>IF(ISNUMBER(SEARCH("LLC",Yards25[[#This Row],[PROGRAM]])),IF(Yards25[[#This Row],[RAD/PACT by 2025]]="yes",0,1),0)</f>
        <v>0</v>
      </c>
      <c r="Y92" s="1"/>
      <c r="Z92" s="1"/>
      <c r="AA92" s="51">
        <f ca="1">COUNTIF($X$5:Yards25[[#This Row],['# yards]],"&gt;0")</f>
        <v>2</v>
      </c>
      <c r="AB92" s="1">
        <f ca="1">IF(ISBLANK(Yards25[[#This Row],[DSGN CALENDAR YEAR]]),ROUNDDOWN(Yards25[[#This Row],[Count]]/20,0)+$AB$1,Yards25[[#This Row],[DSGN CALENDAR YEAR]])</f>
        <v>2022</v>
      </c>
      <c r="AC92" s="16">
        <f ca="1">Yards25[[#This Row],[est. DSGN Year]]+1</f>
        <v>2023</v>
      </c>
    </row>
    <row r="93" spans="1:29" hidden="1">
      <c r="A93" s="13" t="s">
        <v>61</v>
      </c>
      <c r="B93" s="51" t="str">
        <f>VLOOKUP(Yards25[[#This Row],[DEVELOPMENT]],Data[],2,FALSE)</f>
        <v>MANHATTAN</v>
      </c>
      <c r="C9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93" s="51" t="str">
        <f>VLOOKUP(Yards25[[#This Row],[DEVELOPMENT]],Data[],52,FALSE)</f>
        <v>FEDERAL</v>
      </c>
      <c r="E93" s="50" t="str">
        <f>VLOOKUP(Yards25[[#This Row],[DEVELOPMENT]],Data[],8,FALSE)</f>
        <v>Zone 1</v>
      </c>
      <c r="F93" s="51" t="str">
        <f>VLOOKUP(Yards25[[#This Row],[DEVELOPMENT]],all[[DEVELOPMENT]:[MRST Ext. Comp. Priority]],6,FALSE)</f>
        <v>C</v>
      </c>
      <c r="G93" s="51">
        <f>VLOOKUP(Yards25[[#This Row],[DEVELOPMENT]],all[[DEVELOPMENT]:[MRST Ext. Comp. Priority]],13,FALSE)</f>
        <v>3</v>
      </c>
      <c r="H93" s="50">
        <f>IF(VLOOKUP(Yards25[[#This Row],[DEVELOPMENT]],Data[],9,FALSE)=0,5,VLOOKUP(Yards25[[#This Row],[DEVELOPMENT]],Data[],9,FALSE))</f>
        <v>4</v>
      </c>
      <c r="I93" s="51">
        <f>VLOOKUP(Yards25[[#This Row],[DEVELOPMENT]],Data[],33,FALSE)</f>
        <v>1</v>
      </c>
      <c r="J93" s="51">
        <f>VLOOKUP(Yards25[[#This Row],[DEVELOPMENT]],Data[],28,FALSE)</f>
        <v>0</v>
      </c>
      <c r="K93" s="51"/>
      <c r="L93" s="50"/>
      <c r="M93" s="51" t="str">
        <f ca="1">IFERROR(VLOOKUP(Yards25[[#This Row],[DEVELOPMENT]],Data[],4,FALSE),"")</f>
        <v/>
      </c>
      <c r="N93" s="51" t="str">
        <f ca="1">IF(Yards25[[#This Row],[RAD/PACT]]="","",IF(OR(Yards25[[#This Row],[RAD/PACT]]="2022-2025",Yards25[[#This Row],[RAD/PACT]]=2019,Yards25[[#This Row],[RAD/PACT]]="2020-2021"),"Yes",""))</f>
        <v/>
      </c>
      <c r="O93" s="51">
        <f ca="1">IFERROR(VLOOKUP(Yards25[[#This Row],[DEVELOPMENT]],ExtComp[],8,FALSE),"")</f>
        <v>19</v>
      </c>
      <c r="P93" s="51"/>
      <c r="Q93" s="51"/>
      <c r="R93" s="51" t="str">
        <f>IF(ISBLANK(Yards25[[#This Row],[DSGN CALENDAR YEAR]]),"",Yards25[[#This Row],[DSGN CALENDAR YEAR]]+1)</f>
        <v/>
      </c>
      <c r="S93" s="51" t="str">
        <f>IF(ISBLANK(Yards25[[#This Row],[DSGN FISCAL YEAR]]),"",Yards25[[#This Row],[DSGN FISCAL YEAR]]+1)</f>
        <v/>
      </c>
      <c r="T93" s="51"/>
      <c r="U93" s="128">
        <f ca="1">Yards25[[#This Row],[Estimate]]*0.1</f>
        <v>0</v>
      </c>
      <c r="V93" s="47">
        <f ca="1">Yards25[[#This Row],[Estimate]]-Yards25[[#This Row],[Design Est.]]</f>
        <v>0</v>
      </c>
      <c r="W93" s="85">
        <f ca="1">(Yards25[[#This Row],['# yards]]*INDEX(UnitCosts[],MATCH(Yards25[[#This Row],[WORK TYPE]],UnitCosts[Work Type],0),2))*(1+((Yards25[[#This Row],[est. CONS Year]]-YEAR(TODAY()))*$W$3))</f>
        <v>0</v>
      </c>
      <c r="X93" s="142">
        <f>IF(ISNUMBER(SEARCH("LLC",Yards25[[#This Row],[PROGRAM]])),IF(Yards25[[#This Row],[RAD/PACT by 2025]]="yes",0,1),0)</f>
        <v>0</v>
      </c>
      <c r="Y93" s="1"/>
      <c r="Z93" s="1"/>
      <c r="AA93" s="51">
        <f ca="1">COUNTIF($X$5:Yards25[[#This Row],['# yards]],"&gt;0")</f>
        <v>2</v>
      </c>
      <c r="AB93" s="1">
        <f ca="1">IF(ISBLANK(Yards25[[#This Row],[DSGN CALENDAR YEAR]]),ROUNDDOWN(Yards25[[#This Row],[Count]]/20,0)+$AB$1,Yards25[[#This Row],[DSGN CALENDAR YEAR]])</f>
        <v>2022</v>
      </c>
      <c r="AC93" s="16">
        <f ca="1">Yards25[[#This Row],[est. DSGN Year]]+1</f>
        <v>2023</v>
      </c>
    </row>
    <row r="94" spans="1:29" hidden="1">
      <c r="A94" s="13" t="s">
        <v>139</v>
      </c>
      <c r="B94" s="51" t="str">
        <f>VLOOKUP(Yards25[[#This Row],[DEVELOPMENT]],Data[],2,FALSE)</f>
        <v>BROOKLYN</v>
      </c>
      <c r="C94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94" s="51" t="str">
        <f>VLOOKUP(Yards25[[#This Row],[DEVELOPMENT]],Data[],52,FALSE)</f>
        <v>FEDERAL</v>
      </c>
      <c r="E94" s="50" t="str">
        <f>VLOOKUP(Yards25[[#This Row],[DEVELOPMENT]],Data[],8,FALSE)</f>
        <v>Zone 1</v>
      </c>
      <c r="F94" s="51" t="str">
        <f>VLOOKUP(Yards25[[#This Row],[DEVELOPMENT]],all[[DEVELOPMENT]:[MRST Ext. Comp. Priority]],6,FALSE)</f>
        <v>C</v>
      </c>
      <c r="G94" s="51">
        <f>VLOOKUP(Yards25[[#This Row],[DEVELOPMENT]],all[[DEVELOPMENT]:[MRST Ext. Comp. Priority]],13,FALSE)</f>
        <v>4</v>
      </c>
      <c r="H94" s="50">
        <f>IF(VLOOKUP(Yards25[[#This Row],[DEVELOPMENT]],Data[],9,FALSE)=0,5,VLOOKUP(Yards25[[#This Row],[DEVELOPMENT]],Data[],9,FALSE))</f>
        <v>4</v>
      </c>
      <c r="I94" s="51">
        <f>VLOOKUP(Yards25[[#This Row],[DEVELOPMENT]],Data[],33,FALSE)</f>
        <v>0</v>
      </c>
      <c r="J94" s="51">
        <f>VLOOKUP(Yards25[[#This Row],[DEVELOPMENT]],Data[],28,FALSE)</f>
        <v>0</v>
      </c>
      <c r="K94" s="51"/>
      <c r="L94" s="50"/>
      <c r="M94" s="51" t="str">
        <f ca="1">IFERROR(VLOOKUP(Yards25[[#This Row],[DEVELOPMENT]],Data[],4,FALSE),"")</f>
        <v/>
      </c>
      <c r="N94" s="51" t="str">
        <f ca="1">IF(Yards25[[#This Row],[RAD/PACT]]="","",IF(OR(Yards25[[#This Row],[RAD/PACT]]="2022-2025",Yards25[[#This Row],[RAD/PACT]]=2019,Yards25[[#This Row],[RAD/PACT]]="2020-2021"),"Yes",""))</f>
        <v/>
      </c>
      <c r="O94" s="51" t="str">
        <f ca="1">IFERROR(VLOOKUP(Yards25[[#This Row],[DEVELOPMENT]],ExtComp[],8,FALSE),"")</f>
        <v/>
      </c>
      <c r="P94" s="51"/>
      <c r="Q94" s="51"/>
      <c r="R94" s="51" t="str">
        <f>IF(ISBLANK(Yards25[[#This Row],[DSGN CALENDAR YEAR]]),"",Yards25[[#This Row],[DSGN CALENDAR YEAR]]+1)</f>
        <v/>
      </c>
      <c r="S94" s="51" t="str">
        <f>IF(ISBLANK(Yards25[[#This Row],[DSGN FISCAL YEAR]]),"",Yards25[[#This Row],[DSGN FISCAL YEAR]]+1)</f>
        <v/>
      </c>
      <c r="T94" s="51"/>
      <c r="U94" s="128">
        <f ca="1">Yards25[[#This Row],[Estimate]]*0.1</f>
        <v>0</v>
      </c>
      <c r="V94" s="47">
        <f ca="1">Yards25[[#This Row],[Estimate]]-Yards25[[#This Row],[Design Est.]]</f>
        <v>0</v>
      </c>
      <c r="W94" s="85">
        <f ca="1">(Yards25[[#This Row],['# yards]]*INDEX(UnitCosts[],MATCH(Yards25[[#This Row],[WORK TYPE]],UnitCosts[Work Type],0),2))*(1+((Yards25[[#This Row],[est. CONS Year]]-YEAR(TODAY()))*$W$3))</f>
        <v>0</v>
      </c>
      <c r="X94" s="142">
        <f>IF(ISNUMBER(SEARCH("LLC",Yards25[[#This Row],[PROGRAM]])),IF(Yards25[[#This Row],[RAD/PACT by 2025]]="yes",0,1),0)</f>
        <v>0</v>
      </c>
      <c r="Y94" s="1"/>
      <c r="Z94" s="1"/>
      <c r="AA94" s="51">
        <f ca="1">COUNTIF($X$5:Yards25[[#This Row],['# yards]],"&gt;0")</f>
        <v>2</v>
      </c>
      <c r="AB94" s="1">
        <f ca="1">IF(ISBLANK(Yards25[[#This Row],[DSGN CALENDAR YEAR]]),ROUNDDOWN(Yards25[[#This Row],[Count]]/20,0)+$AB$1,Yards25[[#This Row],[DSGN CALENDAR YEAR]])</f>
        <v>2022</v>
      </c>
      <c r="AC94" s="16">
        <f ca="1">Yards25[[#This Row],[est. DSGN Year]]+1</f>
        <v>2023</v>
      </c>
    </row>
    <row r="95" spans="1:29" hidden="1">
      <c r="A95" s="13" t="s">
        <v>103</v>
      </c>
      <c r="B95" s="51" t="str">
        <f>VLOOKUP(Yards25[[#This Row],[DEVELOPMENT]],Data[],2,FALSE)</f>
        <v>MANHATTAN</v>
      </c>
      <c r="C9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95" s="51" t="str">
        <f>VLOOKUP(Yards25[[#This Row],[DEVELOPMENT]],Data[],52,FALSE)</f>
        <v>FEDERAL</v>
      </c>
      <c r="E95" s="50" t="str">
        <f>VLOOKUP(Yards25[[#This Row],[DEVELOPMENT]],Data[],8,FALSE)</f>
        <v>Zone 1</v>
      </c>
      <c r="F95" s="51" t="str">
        <f>VLOOKUP(Yards25[[#This Row],[DEVELOPMENT]],all[[DEVELOPMENT]:[MRST Ext. Comp. Priority]],6,FALSE)</f>
        <v>C</v>
      </c>
      <c r="G95" s="51">
        <f>VLOOKUP(Yards25[[#This Row],[DEVELOPMENT]],all[[DEVELOPMENT]:[MRST Ext. Comp. Priority]],13,FALSE)</f>
        <v>3</v>
      </c>
      <c r="H95" s="50">
        <f>IF(VLOOKUP(Yards25[[#This Row],[DEVELOPMENT]],Data[],9,FALSE)=0,5,VLOOKUP(Yards25[[#This Row],[DEVELOPMENT]],Data[],9,FALSE))</f>
        <v>4</v>
      </c>
      <c r="I95" s="51">
        <f>VLOOKUP(Yards25[[#This Row],[DEVELOPMENT]],Data[],33,FALSE)</f>
        <v>0</v>
      </c>
      <c r="J95" s="51">
        <f>VLOOKUP(Yards25[[#This Row],[DEVELOPMENT]],Data[],28,FALSE)</f>
        <v>0</v>
      </c>
      <c r="K95" s="51"/>
      <c r="L95" s="50"/>
      <c r="M95" s="51" t="str">
        <f ca="1">IFERROR(VLOOKUP(Yards25[[#This Row],[DEVELOPMENT]],Data[],4,FALSE),"")</f>
        <v/>
      </c>
      <c r="N95" s="51" t="str">
        <f ca="1">IF(Yards25[[#This Row],[RAD/PACT]]="","",IF(OR(Yards25[[#This Row],[RAD/PACT]]="2022-2025",Yards25[[#This Row],[RAD/PACT]]=2019,Yards25[[#This Row],[RAD/PACT]]="2020-2021"),"Yes",""))</f>
        <v/>
      </c>
      <c r="O95" s="51" t="str">
        <f ca="1">IFERROR(VLOOKUP(Yards25[[#This Row],[DEVELOPMENT]],ExtComp[],8,FALSE),"")</f>
        <v/>
      </c>
      <c r="P95" s="51"/>
      <c r="Q95" s="51"/>
      <c r="R95" s="51" t="str">
        <f>IF(ISBLANK(Yards25[[#This Row],[DSGN CALENDAR YEAR]]),"",Yards25[[#This Row],[DSGN CALENDAR YEAR]]+1)</f>
        <v/>
      </c>
      <c r="S95" s="51" t="str">
        <f>IF(ISBLANK(Yards25[[#This Row],[DSGN FISCAL YEAR]]),"",Yards25[[#This Row],[DSGN FISCAL YEAR]]+1)</f>
        <v/>
      </c>
      <c r="T95" s="51"/>
      <c r="U95" s="128">
        <f ca="1">Yards25[[#This Row],[Estimate]]*0.1</f>
        <v>0</v>
      </c>
      <c r="V95" s="47">
        <f ca="1">Yards25[[#This Row],[Estimate]]-Yards25[[#This Row],[Design Est.]]</f>
        <v>0</v>
      </c>
      <c r="W95" s="85">
        <f ca="1">(Yards25[[#This Row],['# yards]]*INDEX(UnitCosts[],MATCH(Yards25[[#This Row],[WORK TYPE]],UnitCosts[Work Type],0),2))*(1+((Yards25[[#This Row],[est. CONS Year]]-YEAR(TODAY()))*$W$3))</f>
        <v>0</v>
      </c>
      <c r="X95" s="142">
        <f>IF(ISNUMBER(SEARCH("LLC",Yards25[[#This Row],[PROGRAM]])),IF(Yards25[[#This Row],[RAD/PACT by 2025]]="yes",0,1),0)</f>
        <v>0</v>
      </c>
      <c r="Y95" s="1"/>
      <c r="Z95" s="1"/>
      <c r="AA95" s="51">
        <f ca="1">COUNTIF($X$5:Yards25[[#This Row],['# yards]],"&gt;0")</f>
        <v>2</v>
      </c>
      <c r="AB95" s="1">
        <f ca="1">IF(ISBLANK(Yards25[[#This Row],[DSGN CALENDAR YEAR]]),ROUNDDOWN(Yards25[[#This Row],[Count]]/20,0)+$AB$1,Yards25[[#This Row],[DSGN CALENDAR YEAR]])</f>
        <v>2022</v>
      </c>
      <c r="AC95" s="16">
        <f ca="1">Yards25[[#This Row],[est. DSGN Year]]+1</f>
        <v>2023</v>
      </c>
    </row>
    <row r="96" spans="1:29" hidden="1">
      <c r="A96" s="13" t="s">
        <v>247</v>
      </c>
      <c r="B96" s="51" t="str">
        <f>VLOOKUP(Yards25[[#This Row],[DEVELOPMENT]],Data[],2,FALSE)</f>
        <v>MANHATTAN</v>
      </c>
      <c r="C96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96" s="51" t="str">
        <f>VLOOKUP(Yards25[[#This Row],[DEVELOPMENT]],Data[],52,FALSE)</f>
        <v>FEDERAL</v>
      </c>
      <c r="E96" s="50" t="str">
        <f>VLOOKUP(Yards25[[#This Row],[DEVELOPMENT]],Data[],8,FALSE)</f>
        <v>Zone 1</v>
      </c>
      <c r="F96" s="51" t="str">
        <f>VLOOKUP(Yards25[[#This Row],[DEVELOPMENT]],all[[DEVELOPMENT]:[MRST Ext. Comp. Priority]],6,FALSE)</f>
        <v>C</v>
      </c>
      <c r="G96" s="51">
        <f>VLOOKUP(Yards25[[#This Row],[DEVELOPMENT]],all[[DEVELOPMENT]:[MRST Ext. Comp. Priority]],13,FALSE)</f>
        <v>4</v>
      </c>
      <c r="H96" s="50">
        <f>IF(VLOOKUP(Yards25[[#This Row],[DEVELOPMENT]],Data[],9,FALSE)=0,5,VLOOKUP(Yards25[[#This Row],[DEVELOPMENT]],Data[],9,FALSE))</f>
        <v>4</v>
      </c>
      <c r="I96" s="51">
        <f>VLOOKUP(Yards25[[#This Row],[DEVELOPMENT]],Data[],33,FALSE)</f>
        <v>0</v>
      </c>
      <c r="J96" s="51">
        <f>VLOOKUP(Yards25[[#This Row],[DEVELOPMENT]],Data[],28,FALSE)</f>
        <v>0</v>
      </c>
      <c r="K96" s="51"/>
      <c r="L96" s="50"/>
      <c r="M96" s="51" t="str">
        <f ca="1">IFERROR(VLOOKUP(Yards25[[#This Row],[DEVELOPMENT]],Data[],4,FALSE),"")</f>
        <v/>
      </c>
      <c r="N96" s="51" t="str">
        <f ca="1">IF(Yards25[[#This Row],[RAD/PACT]]="","",IF(OR(Yards25[[#This Row],[RAD/PACT]]="2022-2025",Yards25[[#This Row],[RAD/PACT]]=2019,Yards25[[#This Row],[RAD/PACT]]="2020-2021"),"Yes",""))</f>
        <v/>
      </c>
      <c r="O96" s="51" t="str">
        <f ca="1">IFERROR(VLOOKUP(Yards25[[#This Row],[DEVELOPMENT]],ExtComp[],8,FALSE),"")</f>
        <v/>
      </c>
      <c r="P96" s="51"/>
      <c r="Q96" s="51"/>
      <c r="R96" s="51" t="str">
        <f>IF(ISBLANK(Yards25[[#This Row],[DSGN CALENDAR YEAR]]),"",Yards25[[#This Row],[DSGN CALENDAR YEAR]]+1)</f>
        <v/>
      </c>
      <c r="S96" s="51" t="str">
        <f>IF(ISBLANK(Yards25[[#This Row],[DSGN FISCAL YEAR]]),"",Yards25[[#This Row],[DSGN FISCAL YEAR]]+1)</f>
        <v/>
      </c>
      <c r="T96" s="51"/>
      <c r="U96" s="128">
        <f ca="1">Yards25[[#This Row],[Estimate]]*0.1</f>
        <v>0</v>
      </c>
      <c r="V96" s="47">
        <f ca="1">Yards25[[#This Row],[Estimate]]-Yards25[[#This Row],[Design Est.]]</f>
        <v>0</v>
      </c>
      <c r="W96" s="85">
        <f ca="1">(Yards25[[#This Row],['# yards]]*INDEX(UnitCosts[],MATCH(Yards25[[#This Row],[WORK TYPE]],UnitCosts[Work Type],0),2))*(1+((Yards25[[#This Row],[est. CONS Year]]-YEAR(TODAY()))*$W$3))</f>
        <v>0</v>
      </c>
      <c r="X96" s="142">
        <f>IF(ISNUMBER(SEARCH("LLC",Yards25[[#This Row],[PROGRAM]])),IF(Yards25[[#This Row],[RAD/PACT by 2025]]="yes",0,1),0)</f>
        <v>0</v>
      </c>
      <c r="Y96" s="1"/>
      <c r="Z96" s="1"/>
      <c r="AA96" s="51">
        <f ca="1">COUNTIF($X$5:Yards25[[#This Row],['# yards]],"&gt;0")</f>
        <v>2</v>
      </c>
      <c r="AB96" s="1">
        <f ca="1">IF(ISBLANK(Yards25[[#This Row],[DSGN CALENDAR YEAR]]),ROUNDDOWN(Yards25[[#This Row],[Count]]/20,0)+$AB$1,Yards25[[#This Row],[DSGN CALENDAR YEAR]])</f>
        <v>2022</v>
      </c>
      <c r="AC96" s="16">
        <f ca="1">Yards25[[#This Row],[est. DSGN Year]]+1</f>
        <v>2023</v>
      </c>
    </row>
    <row r="97" spans="1:29" hidden="1">
      <c r="A97" s="13" t="s">
        <v>50</v>
      </c>
      <c r="B97" s="51" t="str">
        <f>VLOOKUP(Yards25[[#This Row],[DEVELOPMENT]],Data[],2,FALSE)</f>
        <v>MANHATTAN</v>
      </c>
      <c r="C97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97" s="51" t="str">
        <f>VLOOKUP(Yards25[[#This Row],[DEVELOPMENT]],Data[],52,FALSE)</f>
        <v>FEDERAL</v>
      </c>
      <c r="E97" s="50" t="str">
        <f>VLOOKUP(Yards25[[#This Row],[DEVELOPMENT]],Data[],8,FALSE)</f>
        <v>Zone 1</v>
      </c>
      <c r="F97" s="51" t="str">
        <f>VLOOKUP(Yards25[[#This Row],[DEVELOPMENT]],all[[DEVELOPMENT]:[MRST Ext. Comp. Priority]],6,FALSE)</f>
        <v>C</v>
      </c>
      <c r="G97" s="51">
        <f>VLOOKUP(Yards25[[#This Row],[DEVELOPMENT]],all[[DEVELOPMENT]:[MRST Ext. Comp. Priority]],13,FALSE)</f>
        <v>3</v>
      </c>
      <c r="H97" s="50">
        <f>IF(VLOOKUP(Yards25[[#This Row],[DEVELOPMENT]],Data[],9,FALSE)=0,5,VLOOKUP(Yards25[[#This Row],[DEVELOPMENT]],Data[],9,FALSE))</f>
        <v>4</v>
      </c>
      <c r="I97" s="51">
        <f>VLOOKUP(Yards25[[#This Row],[DEVELOPMENT]],Data[],33,FALSE)</f>
        <v>0</v>
      </c>
      <c r="J97" s="51">
        <f>VLOOKUP(Yards25[[#This Row],[DEVELOPMENT]],Data[],28,FALSE)</f>
        <v>0</v>
      </c>
      <c r="K97" s="51"/>
      <c r="L97" s="50"/>
      <c r="M97" s="51" t="str">
        <f ca="1">IFERROR(VLOOKUP(Yards25[[#This Row],[DEVELOPMENT]],Data[],4,FALSE),"")</f>
        <v/>
      </c>
      <c r="N97" s="51" t="str">
        <f ca="1">IF(Yards25[[#This Row],[RAD/PACT]]="","",IF(OR(Yards25[[#This Row],[RAD/PACT]]="2022-2025",Yards25[[#This Row],[RAD/PACT]]=2019,Yards25[[#This Row],[RAD/PACT]]="2020-2021"),"Yes",""))</f>
        <v/>
      </c>
      <c r="O97" s="51" t="str">
        <f ca="1">IFERROR(VLOOKUP(Yards25[[#This Row],[DEVELOPMENT]],ExtComp[],8,FALSE),"")</f>
        <v/>
      </c>
      <c r="P97" s="51"/>
      <c r="Q97" s="51"/>
      <c r="R97" s="51" t="str">
        <f>IF(ISBLANK(Yards25[[#This Row],[DSGN CALENDAR YEAR]]),"",Yards25[[#This Row],[DSGN CALENDAR YEAR]]+1)</f>
        <v/>
      </c>
      <c r="S97" s="51" t="str">
        <f>IF(ISBLANK(Yards25[[#This Row],[DSGN FISCAL YEAR]]),"",Yards25[[#This Row],[DSGN FISCAL YEAR]]+1)</f>
        <v/>
      </c>
      <c r="T97" s="51"/>
      <c r="U97" s="128">
        <f ca="1">Yards25[[#This Row],[Estimate]]*0.1</f>
        <v>0</v>
      </c>
      <c r="V97" s="47">
        <f ca="1">Yards25[[#This Row],[Estimate]]-Yards25[[#This Row],[Design Est.]]</f>
        <v>0</v>
      </c>
      <c r="W97" s="85">
        <f ca="1">(Yards25[[#This Row],['# yards]]*INDEX(UnitCosts[],MATCH(Yards25[[#This Row],[WORK TYPE]],UnitCosts[Work Type],0),2))*(1+((Yards25[[#This Row],[est. CONS Year]]-YEAR(TODAY()))*$W$3))</f>
        <v>0</v>
      </c>
      <c r="X97" s="142">
        <f>IF(ISNUMBER(SEARCH("LLC",Yards25[[#This Row],[PROGRAM]])),IF(Yards25[[#This Row],[RAD/PACT by 2025]]="yes",0,1),0)</f>
        <v>0</v>
      </c>
      <c r="Y97" s="1"/>
      <c r="Z97" s="1"/>
      <c r="AA97" s="51">
        <f ca="1">COUNTIF($X$5:Yards25[[#This Row],['# yards]],"&gt;0")</f>
        <v>2</v>
      </c>
      <c r="AB97" s="1">
        <f ca="1">IF(ISBLANK(Yards25[[#This Row],[DSGN CALENDAR YEAR]]),ROUNDDOWN(Yards25[[#This Row],[Count]]/20,0)+$AB$1,Yards25[[#This Row],[DSGN CALENDAR YEAR]])</f>
        <v>2022</v>
      </c>
      <c r="AC97" s="16">
        <f ca="1">Yards25[[#This Row],[est. DSGN Year]]+1</f>
        <v>2023</v>
      </c>
    </row>
    <row r="98" spans="1:29" hidden="1">
      <c r="A98" s="13" t="s">
        <v>94</v>
      </c>
      <c r="B98" s="51" t="str">
        <f>VLOOKUP(Yards25[[#This Row],[DEVELOPMENT]],Data[],2,FALSE)</f>
        <v>MANHATTAN</v>
      </c>
      <c r="C98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98" s="51" t="str">
        <f>VLOOKUP(Yards25[[#This Row],[DEVELOPMENT]],Data[],52,FALSE)</f>
        <v>FEDERAL</v>
      </c>
      <c r="E98" s="50" t="str">
        <f>VLOOKUP(Yards25[[#This Row],[DEVELOPMENT]],Data[],8,FALSE)</f>
        <v>Zone 3</v>
      </c>
      <c r="F98" s="51" t="str">
        <f>VLOOKUP(Yards25[[#This Row],[DEVELOPMENT]],all[[DEVELOPMENT]:[MRST Ext. Comp. Priority]],6,FALSE)</f>
        <v>C</v>
      </c>
      <c r="G98" s="51">
        <f>VLOOKUP(Yards25[[#This Row],[DEVELOPMENT]],all[[DEVELOPMENT]:[MRST Ext. Comp. Priority]],13,FALSE)</f>
        <v>3</v>
      </c>
      <c r="H98" s="50">
        <f>IF(VLOOKUP(Yards25[[#This Row],[DEVELOPMENT]],Data[],9,FALSE)=0,5,VLOOKUP(Yards25[[#This Row],[DEVELOPMENT]],Data[],9,FALSE))</f>
        <v>4</v>
      </c>
      <c r="I98" s="51">
        <f>VLOOKUP(Yards25[[#This Row],[DEVELOPMENT]],Data[],33,FALSE)</f>
        <v>0</v>
      </c>
      <c r="J98" s="51">
        <f>VLOOKUP(Yards25[[#This Row],[DEVELOPMENT]],Data[],28,FALSE)</f>
        <v>0</v>
      </c>
      <c r="K98" s="51"/>
      <c r="L98" s="50"/>
      <c r="M98" s="51" t="str">
        <f ca="1">IFERROR(VLOOKUP(Yards25[[#This Row],[DEVELOPMENT]],Data[],4,FALSE),"")</f>
        <v>2020-2021</v>
      </c>
      <c r="N98" s="51" t="str">
        <f ca="1">IF(Yards25[[#This Row],[RAD/PACT]]="","",IF(OR(Yards25[[#This Row],[RAD/PACT]]="2022-2025",Yards25[[#This Row],[RAD/PACT]]=2019,Yards25[[#This Row],[RAD/PACT]]="2020-2021"),"Yes",""))</f>
        <v>Yes</v>
      </c>
      <c r="O98" s="51" t="str">
        <f ca="1">IFERROR(VLOOKUP(Yards25[[#This Row],[DEVELOPMENT]],ExtComp[],8,FALSE),"")</f>
        <v/>
      </c>
      <c r="P98" s="51"/>
      <c r="Q98" s="51"/>
      <c r="R98" s="51" t="str">
        <f>IF(ISBLANK(Yards25[[#This Row],[DSGN CALENDAR YEAR]]),"",Yards25[[#This Row],[DSGN CALENDAR YEAR]]+1)</f>
        <v/>
      </c>
      <c r="S98" s="51" t="str">
        <f>IF(ISBLANK(Yards25[[#This Row],[DSGN FISCAL YEAR]]),"",Yards25[[#This Row],[DSGN FISCAL YEAR]]+1)</f>
        <v/>
      </c>
      <c r="T98" s="51"/>
      <c r="U98" s="128">
        <f ca="1">Yards25[[#This Row],[Estimate]]*0.1</f>
        <v>0</v>
      </c>
      <c r="V98" s="47">
        <f ca="1">Yards25[[#This Row],[Estimate]]-Yards25[[#This Row],[Design Est.]]</f>
        <v>0</v>
      </c>
      <c r="W98" s="85">
        <f ca="1">(Yards25[[#This Row],['# yards]]*INDEX(UnitCosts[],MATCH(Yards25[[#This Row],[WORK TYPE]],UnitCosts[Work Type],0),2))*(1+((Yards25[[#This Row],[est. CONS Year]]-YEAR(TODAY()))*$W$3))</f>
        <v>0</v>
      </c>
      <c r="X98" s="142">
        <f>IF(ISNUMBER(SEARCH("LLC",Yards25[[#This Row],[PROGRAM]])),IF(Yards25[[#This Row],[RAD/PACT by 2025]]="yes",0,1),0)</f>
        <v>0</v>
      </c>
      <c r="Y98" s="1"/>
      <c r="Z98" s="1"/>
      <c r="AA98" s="51">
        <f ca="1">COUNTIF($X$5:Yards25[[#This Row],['# yards]],"&gt;0")</f>
        <v>2</v>
      </c>
      <c r="AB98" s="1">
        <f ca="1">IF(ISBLANK(Yards25[[#This Row],[DSGN CALENDAR YEAR]]),ROUNDDOWN(Yards25[[#This Row],[Count]]/20,0)+$AB$1,Yards25[[#This Row],[DSGN CALENDAR YEAR]])</f>
        <v>2022</v>
      </c>
      <c r="AC98" s="16">
        <f ca="1">Yards25[[#This Row],[est. DSGN Year]]+1</f>
        <v>2023</v>
      </c>
    </row>
    <row r="99" spans="1:29" hidden="1">
      <c r="A99" s="13" t="s">
        <v>100</v>
      </c>
      <c r="B99" s="51" t="str">
        <f>VLOOKUP(Yards25[[#This Row],[DEVELOPMENT]],Data[],2,FALSE)</f>
        <v>MANHATTAN</v>
      </c>
      <c r="C99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99" s="51" t="str">
        <f>VLOOKUP(Yards25[[#This Row],[DEVELOPMENT]],Data[],52,FALSE)</f>
        <v>FEDERAL</v>
      </c>
      <c r="E99" s="50" t="str">
        <f>VLOOKUP(Yards25[[#This Row],[DEVELOPMENT]],Data[],8,FALSE)</f>
        <v>Zone 2</v>
      </c>
      <c r="F99" s="51" t="str">
        <f>VLOOKUP(Yards25[[#This Row],[DEVELOPMENT]],all[[DEVELOPMENT]:[MRST Ext. Comp. Priority]],6,FALSE)</f>
        <v>C</v>
      </c>
      <c r="G99" s="51">
        <f>VLOOKUP(Yards25[[#This Row],[DEVELOPMENT]],all[[DEVELOPMENT]:[MRST Ext. Comp. Priority]],13,FALSE)</f>
        <v>4</v>
      </c>
      <c r="H99" s="50">
        <f>IF(VLOOKUP(Yards25[[#This Row],[DEVELOPMENT]],Data[],9,FALSE)=0,5,VLOOKUP(Yards25[[#This Row],[DEVELOPMENT]],Data[],9,FALSE))</f>
        <v>4</v>
      </c>
      <c r="I99" s="51">
        <f>VLOOKUP(Yards25[[#This Row],[DEVELOPMENT]],Data[],33,FALSE)</f>
        <v>2</v>
      </c>
      <c r="J99" s="51">
        <f>VLOOKUP(Yards25[[#This Row],[DEVELOPMENT]],Data[],28,FALSE)</f>
        <v>0</v>
      </c>
      <c r="K99" s="51"/>
      <c r="L99" s="50"/>
      <c r="M99" s="51" t="str">
        <f ca="1">IFERROR(VLOOKUP(Yards25[[#This Row],[DEVELOPMENT]],Data[],4,FALSE),"")</f>
        <v/>
      </c>
      <c r="N99" s="51" t="str">
        <f ca="1">IF(Yards25[[#This Row],[RAD/PACT]]="","",IF(OR(Yards25[[#This Row],[RAD/PACT]]="2022-2025",Yards25[[#This Row],[RAD/PACT]]=2019,Yards25[[#This Row],[RAD/PACT]]="2020-2021"),"Yes",""))</f>
        <v/>
      </c>
      <c r="O99" s="51" t="str">
        <f ca="1">IFERROR(VLOOKUP(Yards25[[#This Row],[DEVELOPMENT]],ExtComp[],8,FALSE),"")</f>
        <v/>
      </c>
      <c r="P99" s="51"/>
      <c r="Q99" s="51"/>
      <c r="R99" s="51" t="str">
        <f>IF(ISBLANK(Yards25[[#This Row],[DSGN CALENDAR YEAR]]),"",Yards25[[#This Row],[DSGN CALENDAR YEAR]]+1)</f>
        <v/>
      </c>
      <c r="S99" s="51" t="str">
        <f>IF(ISBLANK(Yards25[[#This Row],[DSGN FISCAL YEAR]]),"",Yards25[[#This Row],[DSGN FISCAL YEAR]]+1)</f>
        <v/>
      </c>
      <c r="T99" s="51"/>
      <c r="U99" s="128">
        <f ca="1">Yards25[[#This Row],[Estimate]]*0.1</f>
        <v>0</v>
      </c>
      <c r="V99" s="47">
        <f ca="1">Yards25[[#This Row],[Estimate]]-Yards25[[#This Row],[Design Est.]]</f>
        <v>0</v>
      </c>
      <c r="W99" s="85">
        <f ca="1">(Yards25[[#This Row],['# yards]]*INDEX(UnitCosts[],MATCH(Yards25[[#This Row],[WORK TYPE]],UnitCosts[Work Type],0),2))*(1+((Yards25[[#This Row],[est. CONS Year]]-YEAR(TODAY()))*$W$3))</f>
        <v>0</v>
      </c>
      <c r="X99" s="142">
        <f>IF(ISNUMBER(SEARCH("LLC",Yards25[[#This Row],[PROGRAM]])),IF(Yards25[[#This Row],[RAD/PACT by 2025]]="yes",0,1),0)</f>
        <v>0</v>
      </c>
      <c r="Y99" s="1"/>
      <c r="Z99" s="1"/>
      <c r="AA99" s="51">
        <f ca="1">COUNTIF($X$5:Yards25[[#This Row],['# yards]],"&gt;0")</f>
        <v>2</v>
      </c>
      <c r="AB99" s="1">
        <f ca="1">IF(ISBLANK(Yards25[[#This Row],[DSGN CALENDAR YEAR]]),ROUNDDOWN(Yards25[[#This Row],[Count]]/20,0)+$AB$1,Yards25[[#This Row],[DSGN CALENDAR YEAR]])</f>
        <v>2022</v>
      </c>
      <c r="AC99" s="16">
        <f ca="1">Yards25[[#This Row],[est. DSGN Year]]+1</f>
        <v>2023</v>
      </c>
    </row>
    <row r="100" spans="1:29" hidden="1">
      <c r="A100" s="13" t="s">
        <v>116</v>
      </c>
      <c r="B100" s="51" t="str">
        <f>VLOOKUP(Yards25[[#This Row],[DEVELOPMENT]],Data[],2,FALSE)</f>
        <v>MANHATTAN</v>
      </c>
      <c r="C100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00" s="51" t="str">
        <f>VLOOKUP(Yards25[[#This Row],[DEVELOPMENT]],Data[],52,FALSE)</f>
        <v>FEDERAL</v>
      </c>
      <c r="E100" s="50" t="str">
        <f>VLOOKUP(Yards25[[#This Row],[DEVELOPMENT]],Data[],8,FALSE)</f>
        <v>Zone 2</v>
      </c>
      <c r="F100" s="51" t="str">
        <f>VLOOKUP(Yards25[[#This Row],[DEVELOPMENT]],all[[DEVELOPMENT]:[MRST Ext. Comp. Priority]],6,FALSE)</f>
        <v>C</v>
      </c>
      <c r="G100" s="51">
        <f>VLOOKUP(Yards25[[#This Row],[DEVELOPMENT]],all[[DEVELOPMENT]:[MRST Ext. Comp. Priority]],13,FALSE)</f>
        <v>3</v>
      </c>
      <c r="H100" s="50">
        <f>IF(VLOOKUP(Yards25[[#This Row],[DEVELOPMENT]],Data[],9,FALSE)=0,5,VLOOKUP(Yards25[[#This Row],[DEVELOPMENT]],Data[],9,FALSE))</f>
        <v>4</v>
      </c>
      <c r="I100" s="51">
        <f>VLOOKUP(Yards25[[#This Row],[DEVELOPMENT]],Data[],33,FALSE)</f>
        <v>2</v>
      </c>
      <c r="J100" s="51">
        <f>VLOOKUP(Yards25[[#This Row],[DEVELOPMENT]],Data[],28,FALSE)</f>
        <v>0</v>
      </c>
      <c r="K100" s="51"/>
      <c r="L100" s="50"/>
      <c r="M100" s="51" t="str">
        <f ca="1">IFERROR(VLOOKUP(Yards25[[#This Row],[DEVELOPMENT]],Data[],4,FALSE),"")</f>
        <v>2026+</v>
      </c>
      <c r="N100" s="51" t="str">
        <f ca="1">IF(Yards25[[#This Row],[RAD/PACT]]="","",IF(OR(Yards25[[#This Row],[RAD/PACT]]="2022-2025",Yards25[[#This Row],[RAD/PACT]]=2019,Yards25[[#This Row],[RAD/PACT]]="2020-2021"),"Yes",""))</f>
        <v/>
      </c>
      <c r="O100" s="51">
        <f ca="1">IFERROR(VLOOKUP(Yards25[[#This Row],[DEVELOPMENT]],ExtComp[],8,FALSE),"")</f>
        <v>17</v>
      </c>
      <c r="P100" s="51"/>
      <c r="Q100" s="51"/>
      <c r="R100" s="51" t="str">
        <f>IF(ISBLANK(Yards25[[#This Row],[DSGN CALENDAR YEAR]]),"",Yards25[[#This Row],[DSGN CALENDAR YEAR]]+1)</f>
        <v/>
      </c>
      <c r="S100" s="51" t="str">
        <f>IF(ISBLANK(Yards25[[#This Row],[DSGN FISCAL YEAR]]),"",Yards25[[#This Row],[DSGN FISCAL YEAR]]+1)</f>
        <v/>
      </c>
      <c r="T100" s="51"/>
      <c r="U100" s="128">
        <f ca="1">Yards25[[#This Row],[Estimate]]*0.1</f>
        <v>0</v>
      </c>
      <c r="V100" s="47">
        <f ca="1">Yards25[[#This Row],[Estimate]]-Yards25[[#This Row],[Design Est.]]</f>
        <v>0</v>
      </c>
      <c r="W100" s="85">
        <f ca="1">(Yards25[[#This Row],['# yards]]*INDEX(UnitCosts[],MATCH(Yards25[[#This Row],[WORK TYPE]],UnitCosts[Work Type],0),2))*(1+((Yards25[[#This Row],[est. CONS Year]]-YEAR(TODAY()))*$W$3))</f>
        <v>0</v>
      </c>
      <c r="X100" s="142">
        <f>IF(ISNUMBER(SEARCH("LLC",Yards25[[#This Row],[PROGRAM]])),IF(Yards25[[#This Row],[RAD/PACT by 2025]]="yes",0,1),0)</f>
        <v>0</v>
      </c>
      <c r="Y100" s="1"/>
      <c r="Z100" s="1"/>
      <c r="AA100" s="51">
        <f ca="1">COUNTIF($X$5:Yards25[[#This Row],['# yards]],"&gt;0")</f>
        <v>2</v>
      </c>
      <c r="AB100" s="1">
        <f ca="1">IF(ISBLANK(Yards25[[#This Row],[DSGN CALENDAR YEAR]]),ROUNDDOWN(Yards25[[#This Row],[Count]]/20,0)+$AB$1,Yards25[[#This Row],[DSGN CALENDAR YEAR]])</f>
        <v>2022</v>
      </c>
      <c r="AC100" s="16">
        <f ca="1">Yards25[[#This Row],[est. DSGN Year]]+1</f>
        <v>2023</v>
      </c>
    </row>
    <row r="101" spans="1:29" hidden="1">
      <c r="A101" s="13" t="s">
        <v>227</v>
      </c>
      <c r="B101" s="51" t="str">
        <f>VLOOKUP(Yards25[[#This Row],[DEVELOPMENT]],Data[],2,FALSE)</f>
        <v>BRONX</v>
      </c>
      <c r="C101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01" s="51" t="str">
        <f>VLOOKUP(Yards25[[#This Row],[DEVELOPMENT]],Data[],52,FALSE)</f>
        <v>FEDERAL</v>
      </c>
      <c r="E101" s="50" t="str">
        <f>VLOOKUP(Yards25[[#This Row],[DEVELOPMENT]],Data[],8,FALSE)</f>
        <v>Zone 3</v>
      </c>
      <c r="F101" s="51" t="str">
        <f>VLOOKUP(Yards25[[#This Row],[DEVELOPMENT]],all[[DEVELOPMENT]:[MRST Ext. Comp. Priority]],6,FALSE)</f>
        <v>C</v>
      </c>
      <c r="G101" s="51">
        <f>VLOOKUP(Yards25[[#This Row],[DEVELOPMENT]],all[[DEVELOPMENT]:[MRST Ext. Comp. Priority]],13,FALSE)</f>
        <v>4</v>
      </c>
      <c r="H101" s="50">
        <f>IF(VLOOKUP(Yards25[[#This Row],[DEVELOPMENT]],Data[],9,FALSE)=0,5,VLOOKUP(Yards25[[#This Row],[DEVELOPMENT]],Data[],9,FALSE))</f>
        <v>5</v>
      </c>
      <c r="I101" s="51">
        <f>VLOOKUP(Yards25[[#This Row],[DEVELOPMENT]],Data[],33,FALSE)</f>
        <v>0</v>
      </c>
      <c r="J101" s="51">
        <f>VLOOKUP(Yards25[[#This Row],[DEVELOPMENT]],Data[],28,FALSE)</f>
        <v>0</v>
      </c>
      <c r="K101" s="51"/>
      <c r="L101" s="50"/>
      <c r="M101" s="51" t="str">
        <f ca="1">IFERROR(VLOOKUP(Yards25[[#This Row],[DEVELOPMENT]],Data[],4,FALSE),"")</f>
        <v>2026+</v>
      </c>
      <c r="N101" s="51" t="str">
        <f ca="1">IF(Yards25[[#This Row],[RAD/PACT]]="","",IF(OR(Yards25[[#This Row],[RAD/PACT]]="2022-2025",Yards25[[#This Row],[RAD/PACT]]=2019,Yards25[[#This Row],[RAD/PACT]]="2020-2021"),"Yes",""))</f>
        <v/>
      </c>
      <c r="O101" s="51" t="str">
        <f ca="1">IFERROR(VLOOKUP(Yards25[[#This Row],[DEVELOPMENT]],ExtComp[],8,FALSE),"")</f>
        <v/>
      </c>
      <c r="P101" s="51"/>
      <c r="Q101" s="51"/>
      <c r="R101" s="51" t="str">
        <f>IF(ISBLANK(Yards25[[#This Row],[DSGN CALENDAR YEAR]]),"",Yards25[[#This Row],[DSGN CALENDAR YEAR]]+1)</f>
        <v/>
      </c>
      <c r="S101" s="51" t="str">
        <f>IF(ISBLANK(Yards25[[#This Row],[DSGN FISCAL YEAR]]),"",Yards25[[#This Row],[DSGN FISCAL YEAR]]+1)</f>
        <v/>
      </c>
      <c r="T101" s="51"/>
      <c r="U101" s="128">
        <f ca="1">Yards25[[#This Row],[Estimate]]*0.1</f>
        <v>0</v>
      </c>
      <c r="V101" s="47">
        <f ca="1">Yards25[[#This Row],[Estimate]]-Yards25[[#This Row],[Design Est.]]</f>
        <v>0</v>
      </c>
      <c r="W101" s="85">
        <f ca="1">(Yards25[[#This Row],['# yards]]*INDEX(UnitCosts[],MATCH(Yards25[[#This Row],[WORK TYPE]],UnitCosts[Work Type],0),2))*(1+((Yards25[[#This Row],[est. CONS Year]]-YEAR(TODAY()))*$W$3))</f>
        <v>0</v>
      </c>
      <c r="X101" s="142">
        <f>IF(ISNUMBER(SEARCH("LLC",Yards25[[#This Row],[PROGRAM]])),IF(Yards25[[#This Row],[RAD/PACT by 2025]]="yes",0,1),0)</f>
        <v>0</v>
      </c>
      <c r="Y101" s="1"/>
      <c r="Z101" s="1"/>
      <c r="AA101" s="51">
        <f ca="1">COUNTIF($X$5:Yards25[[#This Row],['# yards]],"&gt;0")</f>
        <v>2</v>
      </c>
      <c r="AB101" s="1">
        <f ca="1">IF(ISBLANK(Yards25[[#This Row],[DSGN CALENDAR YEAR]]),ROUNDDOWN(Yards25[[#This Row],[Count]]/20,0)+$AB$1,Yards25[[#This Row],[DSGN CALENDAR YEAR]])</f>
        <v>2022</v>
      </c>
      <c r="AC101" s="16">
        <f ca="1">Yards25[[#This Row],[est. DSGN Year]]+1</f>
        <v>2023</v>
      </c>
    </row>
    <row r="102" spans="1:29" hidden="1">
      <c r="A102" s="13" t="s">
        <v>229</v>
      </c>
      <c r="B102" s="51" t="str">
        <f>VLOOKUP(Yards25[[#This Row],[DEVELOPMENT]],Data[],2,FALSE)</f>
        <v>MANHATTAN</v>
      </c>
      <c r="C102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02" s="51" t="str">
        <f>VLOOKUP(Yards25[[#This Row],[DEVELOPMENT]],Data[],52,FALSE)</f>
        <v>FEDERAL</v>
      </c>
      <c r="E102" s="50">
        <f>VLOOKUP(Yards25[[#This Row],[DEVELOPMENT]],Data[],8,FALSE)</f>
        <v>0</v>
      </c>
      <c r="F102" s="51" t="str">
        <f>VLOOKUP(Yards25[[#This Row],[DEVELOPMENT]],all[[DEVELOPMENT]:[MRST Ext. Comp. Priority]],6,FALSE)</f>
        <v>C</v>
      </c>
      <c r="G102" s="51">
        <f>VLOOKUP(Yards25[[#This Row],[DEVELOPMENT]],all[[DEVELOPMENT]:[MRST Ext. Comp. Priority]],13,FALSE)</f>
        <v>2</v>
      </c>
      <c r="H102" s="50">
        <f>IF(VLOOKUP(Yards25[[#This Row],[DEVELOPMENT]],Data[],9,FALSE)=0,5,VLOOKUP(Yards25[[#This Row],[DEVELOPMENT]],Data[],9,FALSE))</f>
        <v>5</v>
      </c>
      <c r="I102" s="51">
        <f>VLOOKUP(Yards25[[#This Row],[DEVELOPMENT]],Data[],33,FALSE)</f>
        <v>0</v>
      </c>
      <c r="J102" s="51">
        <f>VLOOKUP(Yards25[[#This Row],[DEVELOPMENT]],Data[],28,FALSE)</f>
        <v>0</v>
      </c>
      <c r="K102" s="51"/>
      <c r="L102" s="50"/>
      <c r="M102" s="51" t="str">
        <f ca="1">IFERROR(VLOOKUP(Yards25[[#This Row],[DEVELOPMENT]],Data[],4,FALSE),"")</f>
        <v/>
      </c>
      <c r="N102" s="51" t="str">
        <f ca="1">IF(Yards25[[#This Row],[RAD/PACT]]="","",IF(OR(Yards25[[#This Row],[RAD/PACT]]="2022-2025",Yards25[[#This Row],[RAD/PACT]]=2019,Yards25[[#This Row],[RAD/PACT]]="2020-2021"),"Yes",""))</f>
        <v/>
      </c>
      <c r="O102" s="51" t="str">
        <f ca="1">IFERROR(VLOOKUP(Yards25[[#This Row],[DEVELOPMENT]],ExtComp[],8,FALSE),"")</f>
        <v/>
      </c>
      <c r="P102" s="51"/>
      <c r="Q102" s="51"/>
      <c r="R102" s="51" t="str">
        <f>IF(ISBLANK(Yards25[[#This Row],[DSGN CALENDAR YEAR]]),"",Yards25[[#This Row],[DSGN CALENDAR YEAR]]+1)</f>
        <v/>
      </c>
      <c r="S102" s="51" t="str">
        <f>IF(ISBLANK(Yards25[[#This Row],[DSGN FISCAL YEAR]]),"",Yards25[[#This Row],[DSGN FISCAL YEAR]]+1)</f>
        <v/>
      </c>
      <c r="T102" s="51"/>
      <c r="U102" s="128">
        <f ca="1">Yards25[[#This Row],[Estimate]]*0.1</f>
        <v>0</v>
      </c>
      <c r="V102" s="47">
        <f ca="1">Yards25[[#This Row],[Estimate]]-Yards25[[#This Row],[Design Est.]]</f>
        <v>0</v>
      </c>
      <c r="W102" s="85">
        <f ca="1">(Yards25[[#This Row],['# yards]]*INDEX(UnitCosts[],MATCH(Yards25[[#This Row],[WORK TYPE]],UnitCosts[Work Type],0),2))*(1+((Yards25[[#This Row],[est. CONS Year]]-YEAR(TODAY()))*$W$3))</f>
        <v>0</v>
      </c>
      <c r="X102" s="142">
        <f>IF(ISNUMBER(SEARCH("LLC",Yards25[[#This Row],[PROGRAM]])),IF(Yards25[[#This Row],[RAD/PACT by 2025]]="yes",0,1),0)</f>
        <v>0</v>
      </c>
      <c r="Y102" s="1"/>
      <c r="Z102" s="1"/>
      <c r="AA102" s="51">
        <f ca="1">COUNTIF($X$5:Yards25[[#This Row],['# yards]],"&gt;0")</f>
        <v>2</v>
      </c>
      <c r="AB102" s="1">
        <f ca="1">IF(ISBLANK(Yards25[[#This Row],[DSGN CALENDAR YEAR]]),ROUNDDOWN(Yards25[[#This Row],[Count]]/20,0)+$AB$1,Yards25[[#This Row],[DSGN CALENDAR YEAR]])</f>
        <v>2022</v>
      </c>
      <c r="AC102" s="16">
        <f ca="1">Yards25[[#This Row],[est. DSGN Year]]+1</f>
        <v>2023</v>
      </c>
    </row>
    <row r="103" spans="1:29" hidden="1">
      <c r="A103" s="13" t="s">
        <v>278</v>
      </c>
      <c r="B103" s="51" t="str">
        <f>VLOOKUP(Yards25[[#This Row],[DEVELOPMENT]],Data[],2,FALSE)</f>
        <v>BRONX</v>
      </c>
      <c r="C10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03" s="51" t="str">
        <f>VLOOKUP(Yards25[[#This Row],[DEVELOPMENT]],Data[],52,FALSE)</f>
        <v>FEDERAL</v>
      </c>
      <c r="E103" s="50">
        <f>VLOOKUP(Yards25[[#This Row],[DEVELOPMENT]],Data[],8,FALSE)</f>
        <v>0</v>
      </c>
      <c r="F103" s="51" t="str">
        <f>VLOOKUP(Yards25[[#This Row],[DEVELOPMENT]],all[[DEVELOPMENT]:[MRST Ext. Comp. Priority]],6,FALSE)</f>
        <v>C</v>
      </c>
      <c r="G103" s="51">
        <f>VLOOKUP(Yards25[[#This Row],[DEVELOPMENT]],all[[DEVELOPMENT]:[MRST Ext. Comp. Priority]],13,FALSE)</f>
        <v>2</v>
      </c>
      <c r="H103" s="50">
        <f>IF(VLOOKUP(Yards25[[#This Row],[DEVELOPMENT]],Data[],9,FALSE)=0,5,VLOOKUP(Yards25[[#This Row],[DEVELOPMENT]],Data[],9,FALSE))</f>
        <v>5</v>
      </c>
      <c r="I103" s="51">
        <f>VLOOKUP(Yards25[[#This Row],[DEVELOPMENT]],Data[],33,FALSE)</f>
        <v>2</v>
      </c>
      <c r="J103" s="51">
        <f>VLOOKUP(Yards25[[#This Row],[DEVELOPMENT]],Data[],28,FALSE)</f>
        <v>0</v>
      </c>
      <c r="K103" s="51"/>
      <c r="L103" s="50"/>
      <c r="M103" s="51" t="str">
        <f ca="1">IFERROR(VLOOKUP(Yards25[[#This Row],[DEVELOPMENT]],Data[],4,FALSE),"")</f>
        <v/>
      </c>
      <c r="N103" s="51" t="str">
        <f ca="1">IF(Yards25[[#This Row],[RAD/PACT]]="","",IF(OR(Yards25[[#This Row],[RAD/PACT]]="2022-2025",Yards25[[#This Row],[RAD/PACT]]=2019,Yards25[[#This Row],[RAD/PACT]]="2020-2021"),"Yes",""))</f>
        <v/>
      </c>
      <c r="O103" s="51">
        <f ca="1">IFERROR(VLOOKUP(Yards25[[#This Row],[DEVELOPMENT]],ExtComp[],8,FALSE),"")</f>
        <v>20</v>
      </c>
      <c r="P103" s="51"/>
      <c r="Q103" s="51"/>
      <c r="R103" s="51" t="str">
        <f>IF(ISBLANK(Yards25[[#This Row],[DSGN CALENDAR YEAR]]),"",Yards25[[#This Row],[DSGN CALENDAR YEAR]]+1)</f>
        <v/>
      </c>
      <c r="S103" s="51" t="str">
        <f>IF(ISBLANK(Yards25[[#This Row],[DSGN FISCAL YEAR]]),"",Yards25[[#This Row],[DSGN FISCAL YEAR]]+1)</f>
        <v/>
      </c>
      <c r="T103" s="51"/>
      <c r="U103" s="128">
        <f ca="1">Yards25[[#This Row],[Estimate]]*0.1</f>
        <v>0</v>
      </c>
      <c r="V103" s="47">
        <f ca="1">Yards25[[#This Row],[Estimate]]-Yards25[[#This Row],[Design Est.]]</f>
        <v>0</v>
      </c>
      <c r="W103" s="85">
        <f ca="1">(Yards25[[#This Row],['# yards]]*INDEX(UnitCosts[],MATCH(Yards25[[#This Row],[WORK TYPE]],UnitCosts[Work Type],0),2))*(1+((Yards25[[#This Row],[est. CONS Year]]-YEAR(TODAY()))*$W$3))</f>
        <v>0</v>
      </c>
      <c r="X103" s="142">
        <f>IF(ISNUMBER(SEARCH("LLC",Yards25[[#This Row],[PROGRAM]])),IF(Yards25[[#This Row],[RAD/PACT by 2025]]="yes",0,1),0)</f>
        <v>0</v>
      </c>
      <c r="Y103" s="1"/>
      <c r="Z103" s="1"/>
      <c r="AA103" s="51">
        <f ca="1">COUNTIF($X$5:Yards25[[#This Row],['# yards]],"&gt;0")</f>
        <v>2</v>
      </c>
      <c r="AB103" s="1">
        <f ca="1">IF(ISBLANK(Yards25[[#This Row],[DSGN CALENDAR YEAR]]),ROUNDDOWN(Yards25[[#This Row],[Count]]/20,0)+$AB$1,Yards25[[#This Row],[DSGN CALENDAR YEAR]])</f>
        <v>2022</v>
      </c>
      <c r="AC103" s="16">
        <f ca="1">Yards25[[#This Row],[est. DSGN Year]]+1</f>
        <v>2023</v>
      </c>
    </row>
    <row r="104" spans="1:29">
      <c r="A104" s="13" t="s">
        <v>231</v>
      </c>
      <c r="B104" s="51" t="str">
        <f>VLOOKUP(Yards25[[#This Row],[DEVELOPMENT]],Data[],2,FALSE)</f>
        <v>BROOKLYN</v>
      </c>
      <c r="C10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104" s="51" t="str">
        <f>VLOOKUP(Yards25[[#This Row],[DEVELOPMENT]],Data[],52,FALSE)</f>
        <v>MIXED FINANCE/LLC1</v>
      </c>
      <c r="E104" s="50">
        <f>VLOOKUP(Yards25[[#This Row],[DEVELOPMENT]],Data[],8,FALSE)</f>
        <v>0</v>
      </c>
      <c r="F104" s="51" t="str">
        <f>VLOOKUP(Yards25[[#This Row],[DEVELOPMENT]],all[[DEVELOPMENT]:[MRST Ext. Comp. Priority]],6,FALSE)</f>
        <v>C</v>
      </c>
      <c r="G104" s="51">
        <f>VLOOKUP(Yards25[[#This Row],[DEVELOPMENT]],all[[DEVELOPMENT]:[MRST Ext. Comp. Priority]],13,FALSE)</f>
        <v>2</v>
      </c>
      <c r="H104" s="50">
        <f>IF(VLOOKUP(Yards25[[#This Row],[DEVELOPMENT]],Data[],9,FALSE)=0,5,VLOOKUP(Yards25[[#This Row],[DEVELOPMENT]],Data[],9,FALSE))</f>
        <v>5</v>
      </c>
      <c r="I104" s="51">
        <f>VLOOKUP(Yards25[[#This Row],[DEVELOPMENT]],Data[],33,FALSE)</f>
        <v>4</v>
      </c>
      <c r="J104" s="51">
        <f>VLOOKUP(Yards25[[#This Row],[DEVELOPMENT]],Data[],28,FALSE)</f>
        <v>0</v>
      </c>
      <c r="K104" s="51"/>
      <c r="L104" s="50"/>
      <c r="M104" s="51" t="str">
        <f ca="1">IFERROR(VLOOKUP(Yards25[[#This Row],[DEVELOPMENT]],Data[],4,FALSE),"")</f>
        <v>2026+</v>
      </c>
      <c r="N104" s="51" t="str">
        <f ca="1">IF(Yards25[[#This Row],[RAD/PACT]]="","",IF(OR(Yards25[[#This Row],[RAD/PACT]]="2022-2025",Yards25[[#This Row],[RAD/PACT]]=2019,Yards25[[#This Row],[RAD/PACT]]="2020-2021"),"Yes",""))</f>
        <v/>
      </c>
      <c r="O104" s="51">
        <f ca="1">IFERROR(VLOOKUP(Yards25[[#This Row],[DEVELOPMENT]],ExtComp[],8,FALSE),"")</f>
        <v>16</v>
      </c>
      <c r="P104" s="51"/>
      <c r="Q104" s="51"/>
      <c r="R104" s="51" t="str">
        <f>IF(ISBLANK(Yards25[[#This Row],[DSGN CALENDAR YEAR]]),"",Yards25[[#This Row],[DSGN CALENDAR YEAR]]+1)</f>
        <v/>
      </c>
      <c r="S104" s="51" t="str">
        <f>IF(ISBLANK(Yards25[[#This Row],[DSGN FISCAL YEAR]]),"",Yards25[[#This Row],[DSGN FISCAL YEAR]]+1)</f>
        <v/>
      </c>
      <c r="T104" s="51"/>
      <c r="U104" s="128">
        <f ca="1">Yards25[[#This Row],[Estimate]]*0.1</f>
        <v>314734.79280274996</v>
      </c>
      <c r="V104" s="47">
        <f ca="1">Yards25[[#This Row],[Estimate]]-Yards25[[#This Row],[Design Est.]]</f>
        <v>2832613.1352247493</v>
      </c>
      <c r="W104" s="85">
        <f ca="1">(Yards25[[#This Row],['# yards]]*INDEX(UnitCosts[],MATCH(Yards25[[#This Row],[WORK TYPE]],UnitCosts[Work Type],0),2))*(1+((Yards25[[#This Row],[est. CONS Year]]-YEAR(TODAY()))*$W$3))</f>
        <v>3147347.9280274995</v>
      </c>
      <c r="X104" s="142">
        <f ca="1">IF(ISNUMBER(SEARCH("LLC",Yards25[[#This Row],[PROGRAM]])),IF(Yards25[[#This Row],[RAD/PACT by 2025]]="yes",0,1),0)</f>
        <v>1</v>
      </c>
      <c r="Y104" s="1"/>
      <c r="Z104" s="1"/>
      <c r="AA104" s="51">
        <f ca="1">COUNTIF($X$5:Yards25[[#This Row],['# yards]],"&gt;0")</f>
        <v>3</v>
      </c>
      <c r="AB104" s="1">
        <v>2024</v>
      </c>
      <c r="AC104" s="16">
        <f>Yards25[[#This Row],[est. DSGN Year]]+1</f>
        <v>2025</v>
      </c>
    </row>
    <row r="105" spans="1:29" hidden="1">
      <c r="A105" s="13" t="s">
        <v>232</v>
      </c>
      <c r="B105" s="51" t="str">
        <f>VLOOKUP(Yards25[[#This Row],[DEVELOPMENT]],Data[],2,FALSE)</f>
        <v>STATEN ISLAND</v>
      </c>
      <c r="C105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05" s="51" t="str">
        <f>VLOOKUP(Yards25[[#This Row],[DEVELOPMENT]],Data[],52,FALSE)</f>
        <v>FEDERAL</v>
      </c>
      <c r="E105" s="50">
        <f>VLOOKUP(Yards25[[#This Row],[DEVELOPMENT]],Data[],8,FALSE)</f>
        <v>0</v>
      </c>
      <c r="F105" s="51" t="str">
        <f>VLOOKUP(Yards25[[#This Row],[DEVELOPMENT]],all[[DEVELOPMENT]:[MRST Ext. Comp. Priority]],6,FALSE)</f>
        <v>C</v>
      </c>
      <c r="G105" s="51">
        <f>VLOOKUP(Yards25[[#This Row],[DEVELOPMENT]],all[[DEVELOPMENT]:[MRST Ext. Comp. Priority]],13,FALSE)</f>
        <v>2</v>
      </c>
      <c r="H105" s="50">
        <f>IF(VLOOKUP(Yards25[[#This Row],[DEVELOPMENT]],Data[],9,FALSE)=0,5,VLOOKUP(Yards25[[#This Row],[DEVELOPMENT]],Data[],9,FALSE))</f>
        <v>5</v>
      </c>
      <c r="I105" s="51">
        <f>VLOOKUP(Yards25[[#This Row],[DEVELOPMENT]],Data[],33,FALSE)</f>
        <v>1</v>
      </c>
      <c r="J105" s="51">
        <f>VLOOKUP(Yards25[[#This Row],[DEVELOPMENT]],Data[],28,FALSE)</f>
        <v>0</v>
      </c>
      <c r="K105" s="51"/>
      <c r="L105" s="50"/>
      <c r="M105" s="51" t="str">
        <f ca="1">IFERROR(VLOOKUP(Yards25[[#This Row],[DEVELOPMENT]],Data[],4,FALSE),"")</f>
        <v/>
      </c>
      <c r="N105" s="51" t="str">
        <f ca="1">IF(Yards25[[#This Row],[RAD/PACT]]="","",IF(OR(Yards25[[#This Row],[RAD/PACT]]="2022-2025",Yards25[[#This Row],[RAD/PACT]]=2019,Yards25[[#This Row],[RAD/PACT]]="2020-2021"),"Yes",""))</f>
        <v/>
      </c>
      <c r="O105" s="51">
        <f ca="1">IFERROR(VLOOKUP(Yards25[[#This Row],[DEVELOPMENT]],ExtComp[],8,FALSE),"")</f>
        <v>17</v>
      </c>
      <c r="P105" s="51"/>
      <c r="Q105" s="51"/>
      <c r="R105" s="51" t="str">
        <f>IF(ISBLANK(Yards25[[#This Row],[DSGN CALENDAR YEAR]]),"",Yards25[[#This Row],[DSGN CALENDAR YEAR]]+1)</f>
        <v/>
      </c>
      <c r="S105" s="51" t="str">
        <f>IF(ISBLANK(Yards25[[#This Row],[DSGN FISCAL YEAR]]),"",Yards25[[#This Row],[DSGN FISCAL YEAR]]+1)</f>
        <v/>
      </c>
      <c r="T105" s="51"/>
      <c r="U105" s="128">
        <f ca="1">Yards25[[#This Row],[Estimate]]*0.1</f>
        <v>0</v>
      </c>
      <c r="V105" s="47">
        <f ca="1">Yards25[[#This Row],[Estimate]]-Yards25[[#This Row],[Design Est.]]</f>
        <v>0</v>
      </c>
      <c r="W105" s="85">
        <f ca="1">(Yards25[[#This Row],['# yards]]*INDEX(UnitCosts[],MATCH(Yards25[[#This Row],[WORK TYPE]],UnitCosts[Work Type],0),2))*(1+((Yards25[[#This Row],[est. CONS Year]]-YEAR(TODAY()))*$W$3))</f>
        <v>0</v>
      </c>
      <c r="X105" s="142">
        <f>IF(ISNUMBER(SEARCH("LLC",Yards25[[#This Row],[PROGRAM]])),IF(Yards25[[#This Row],[RAD/PACT by 2025]]="yes",0,1),0)</f>
        <v>0</v>
      </c>
      <c r="Y105" s="1"/>
      <c r="Z105" s="1"/>
      <c r="AA105" s="51">
        <f ca="1">COUNTIF($X$5:Yards25[[#This Row],['# yards]],"&gt;0")</f>
        <v>3</v>
      </c>
      <c r="AB105" s="1">
        <f ca="1">IF(ISBLANK(Yards25[[#This Row],[DSGN CALENDAR YEAR]]),ROUNDDOWN(Yards25[[#This Row],[Count]]/20,0)+$AB$1,Yards25[[#This Row],[DSGN CALENDAR YEAR]])</f>
        <v>2022</v>
      </c>
      <c r="AC105" s="16">
        <f ca="1">Yards25[[#This Row],[est. DSGN Year]]+1</f>
        <v>2023</v>
      </c>
    </row>
    <row r="106" spans="1:29" hidden="1">
      <c r="A106" s="13" t="s">
        <v>233</v>
      </c>
      <c r="B106" s="51" t="str">
        <f>VLOOKUP(Yards25[[#This Row],[DEVELOPMENT]],Data[],2,FALSE)</f>
        <v>QUEENS</v>
      </c>
      <c r="C106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06" s="51" t="str">
        <f>VLOOKUP(Yards25[[#This Row],[DEVELOPMENT]],Data[],52,FALSE)</f>
        <v>FEDERAL</v>
      </c>
      <c r="E106" s="50">
        <f>VLOOKUP(Yards25[[#This Row],[DEVELOPMENT]],Data[],8,FALSE)</f>
        <v>0</v>
      </c>
      <c r="F106" s="51" t="str">
        <f>VLOOKUP(Yards25[[#This Row],[DEVELOPMENT]],all[[DEVELOPMENT]:[MRST Ext. Comp. Priority]],6,FALSE)</f>
        <v>C</v>
      </c>
      <c r="G106" s="51">
        <f>VLOOKUP(Yards25[[#This Row],[DEVELOPMENT]],all[[DEVELOPMENT]:[MRST Ext. Comp. Priority]],13,FALSE)</f>
        <v>4</v>
      </c>
      <c r="H106" s="50">
        <f>IF(VLOOKUP(Yards25[[#This Row],[DEVELOPMENT]],Data[],9,FALSE)=0,5,VLOOKUP(Yards25[[#This Row],[DEVELOPMENT]],Data[],9,FALSE))</f>
        <v>5</v>
      </c>
      <c r="I106" s="51">
        <f>VLOOKUP(Yards25[[#This Row],[DEVELOPMENT]],Data[],33,FALSE)</f>
        <v>0</v>
      </c>
      <c r="J106" s="51">
        <f>VLOOKUP(Yards25[[#This Row],[DEVELOPMENT]],Data[],28,FALSE)</f>
        <v>0</v>
      </c>
      <c r="K106" s="51"/>
      <c r="L106" s="50"/>
      <c r="M106" s="51" t="str">
        <f ca="1">IFERROR(VLOOKUP(Yards25[[#This Row],[DEVELOPMENT]],Data[],4,FALSE),"")</f>
        <v/>
      </c>
      <c r="N106" s="51" t="str">
        <f ca="1">IF(Yards25[[#This Row],[RAD/PACT]]="","",IF(OR(Yards25[[#This Row],[RAD/PACT]]="2022-2025",Yards25[[#This Row],[RAD/PACT]]=2019,Yards25[[#This Row],[RAD/PACT]]="2020-2021"),"Yes",""))</f>
        <v/>
      </c>
      <c r="O106" s="51" t="str">
        <f ca="1">IFERROR(VLOOKUP(Yards25[[#This Row],[DEVELOPMENT]],ExtComp[],8,FALSE),"")</f>
        <v/>
      </c>
      <c r="P106" s="51"/>
      <c r="Q106" s="51"/>
      <c r="R106" s="51" t="str">
        <f>IF(ISBLANK(Yards25[[#This Row],[DSGN CALENDAR YEAR]]),"",Yards25[[#This Row],[DSGN CALENDAR YEAR]]+1)</f>
        <v/>
      </c>
      <c r="S106" s="51" t="str">
        <f>IF(ISBLANK(Yards25[[#This Row],[DSGN FISCAL YEAR]]),"",Yards25[[#This Row],[DSGN FISCAL YEAR]]+1)</f>
        <v/>
      </c>
      <c r="T106" s="51"/>
      <c r="U106" s="128">
        <f ca="1">Yards25[[#This Row],[Estimate]]*0.1</f>
        <v>0</v>
      </c>
      <c r="V106" s="47">
        <f ca="1">Yards25[[#This Row],[Estimate]]-Yards25[[#This Row],[Design Est.]]</f>
        <v>0</v>
      </c>
      <c r="W106" s="85">
        <f ca="1">(Yards25[[#This Row],['# yards]]*INDEX(UnitCosts[],MATCH(Yards25[[#This Row],[WORK TYPE]],UnitCosts[Work Type],0),2))*(1+((Yards25[[#This Row],[est. CONS Year]]-YEAR(TODAY()))*$W$3))</f>
        <v>0</v>
      </c>
      <c r="X106" s="142">
        <f>IF(ISNUMBER(SEARCH("LLC",Yards25[[#This Row],[PROGRAM]])),IF(Yards25[[#This Row],[RAD/PACT by 2025]]="yes",0,1),0)</f>
        <v>0</v>
      </c>
      <c r="Y106" s="1"/>
      <c r="Z106" s="1"/>
      <c r="AA106" s="51">
        <f ca="1">COUNTIF($X$5:Yards25[[#This Row],['# yards]],"&gt;0")</f>
        <v>3</v>
      </c>
      <c r="AB106" s="1">
        <f ca="1">IF(ISBLANK(Yards25[[#This Row],[DSGN CALENDAR YEAR]]),ROUNDDOWN(Yards25[[#This Row],[Count]]/20,0)+$AB$1,Yards25[[#This Row],[DSGN CALENDAR YEAR]])</f>
        <v>2022</v>
      </c>
      <c r="AC106" s="16">
        <f ca="1">Yards25[[#This Row],[est. DSGN Year]]+1</f>
        <v>2023</v>
      </c>
    </row>
    <row r="107" spans="1:29" hidden="1">
      <c r="A107" s="13" t="s">
        <v>234</v>
      </c>
      <c r="B107" s="51" t="str">
        <f>VLOOKUP(Yards25[[#This Row],[DEVELOPMENT]],Data[],2,FALSE)</f>
        <v>BRONX</v>
      </c>
      <c r="C107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07" s="51" t="str">
        <f>VLOOKUP(Yards25[[#This Row],[DEVELOPMENT]],Data[],52,FALSE)</f>
        <v>FEDERAL</v>
      </c>
      <c r="E107" s="50">
        <f>VLOOKUP(Yards25[[#This Row],[DEVELOPMENT]],Data[],8,FALSE)</f>
        <v>0</v>
      </c>
      <c r="F107" s="51" t="str">
        <f>VLOOKUP(Yards25[[#This Row],[DEVELOPMENT]],all[[DEVELOPMENT]:[MRST Ext. Comp. Priority]],6,FALSE)</f>
        <v>C</v>
      </c>
      <c r="G107" s="51">
        <f>VLOOKUP(Yards25[[#This Row],[DEVELOPMENT]],all[[DEVELOPMENT]:[MRST Ext. Comp. Priority]],13,FALSE)</f>
        <v>3</v>
      </c>
      <c r="H107" s="50">
        <f>IF(VLOOKUP(Yards25[[#This Row],[DEVELOPMENT]],Data[],9,FALSE)=0,5,VLOOKUP(Yards25[[#This Row],[DEVELOPMENT]],Data[],9,FALSE))</f>
        <v>5</v>
      </c>
      <c r="I107" s="51">
        <f>VLOOKUP(Yards25[[#This Row],[DEVELOPMENT]],Data[],33,FALSE)</f>
        <v>0</v>
      </c>
      <c r="J107" s="51">
        <f>VLOOKUP(Yards25[[#This Row],[DEVELOPMENT]],Data[],28,FALSE)</f>
        <v>0</v>
      </c>
      <c r="K107" s="51"/>
      <c r="L107" s="50"/>
      <c r="M107" s="51" t="str">
        <f ca="1">IFERROR(VLOOKUP(Yards25[[#This Row],[DEVELOPMENT]],Data[],4,FALSE),"")</f>
        <v>2022-2025</v>
      </c>
      <c r="N107" s="51" t="str">
        <f ca="1">IF(Yards25[[#This Row],[RAD/PACT]]="","",IF(OR(Yards25[[#This Row],[RAD/PACT]]="2022-2025",Yards25[[#This Row],[RAD/PACT]]=2019,Yards25[[#This Row],[RAD/PACT]]="2020-2021"),"Yes",""))</f>
        <v>Yes</v>
      </c>
      <c r="O107" s="51" t="str">
        <f ca="1">IFERROR(VLOOKUP(Yards25[[#This Row],[DEVELOPMENT]],ExtComp[],8,FALSE),"")</f>
        <v/>
      </c>
      <c r="P107" s="51"/>
      <c r="Q107" s="51"/>
      <c r="R107" s="51" t="str">
        <f>IF(ISBLANK(Yards25[[#This Row],[DSGN CALENDAR YEAR]]),"",Yards25[[#This Row],[DSGN CALENDAR YEAR]]+1)</f>
        <v/>
      </c>
      <c r="S107" s="51" t="str">
        <f>IF(ISBLANK(Yards25[[#This Row],[DSGN FISCAL YEAR]]),"",Yards25[[#This Row],[DSGN FISCAL YEAR]]+1)</f>
        <v/>
      </c>
      <c r="T107" s="51"/>
      <c r="U107" s="128">
        <f ca="1">Yards25[[#This Row],[Estimate]]*0.1</f>
        <v>0</v>
      </c>
      <c r="V107" s="47">
        <f ca="1">Yards25[[#This Row],[Estimate]]-Yards25[[#This Row],[Design Est.]]</f>
        <v>0</v>
      </c>
      <c r="W107" s="85">
        <f ca="1">(Yards25[[#This Row],['# yards]]*INDEX(UnitCosts[],MATCH(Yards25[[#This Row],[WORK TYPE]],UnitCosts[Work Type],0),2))*(1+((Yards25[[#This Row],[est. CONS Year]]-YEAR(TODAY()))*$W$3))</f>
        <v>0</v>
      </c>
      <c r="X107" s="142">
        <f>IF(ISNUMBER(SEARCH("LLC",Yards25[[#This Row],[PROGRAM]])),IF(Yards25[[#This Row],[RAD/PACT by 2025]]="yes",0,1),0)</f>
        <v>0</v>
      </c>
      <c r="Y107" s="1"/>
      <c r="Z107" s="1"/>
      <c r="AA107" s="51">
        <f ca="1">COUNTIF($X$5:Yards25[[#This Row],['# yards]],"&gt;0")</f>
        <v>3</v>
      </c>
      <c r="AB107" s="1">
        <f ca="1">IF(ISBLANK(Yards25[[#This Row],[DSGN CALENDAR YEAR]]),ROUNDDOWN(Yards25[[#This Row],[Count]]/20,0)+$AB$1,Yards25[[#This Row],[DSGN CALENDAR YEAR]])</f>
        <v>2022</v>
      </c>
      <c r="AC107" s="16">
        <f ca="1">Yards25[[#This Row],[est. DSGN Year]]+1</f>
        <v>2023</v>
      </c>
    </row>
    <row r="108" spans="1:29" hidden="1">
      <c r="A108" s="13" t="s">
        <v>274</v>
      </c>
      <c r="B108" s="51" t="str">
        <f>VLOOKUP(Yards25[[#This Row],[DEVELOPMENT]],Data[],2,FALSE)</f>
        <v>MANHATTAN</v>
      </c>
      <c r="C10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08" s="51" t="str">
        <f>VLOOKUP(Yards25[[#This Row],[DEVELOPMENT]],Data[],52,FALSE)</f>
        <v>FEDERAL</v>
      </c>
      <c r="E108" s="50" t="str">
        <f>VLOOKUP(Yards25[[#This Row],[DEVELOPMENT]],Data[],8,FALSE)</f>
        <v>Zone 3</v>
      </c>
      <c r="F108" s="51" t="str">
        <f>VLOOKUP(Yards25[[#This Row],[DEVELOPMENT]],all[[DEVELOPMENT]:[MRST Ext. Comp. Priority]],6,FALSE)</f>
        <v>C</v>
      </c>
      <c r="G108" s="51">
        <f>VLOOKUP(Yards25[[#This Row],[DEVELOPMENT]],all[[DEVELOPMENT]:[MRST Ext. Comp. Priority]],13,FALSE)</f>
        <v>4</v>
      </c>
      <c r="H108" s="50">
        <f>IF(VLOOKUP(Yards25[[#This Row],[DEVELOPMENT]],Data[],9,FALSE)=0,5,VLOOKUP(Yards25[[#This Row],[DEVELOPMENT]],Data[],9,FALSE))</f>
        <v>5</v>
      </c>
      <c r="I108" s="51">
        <f>VLOOKUP(Yards25[[#This Row],[DEVELOPMENT]],Data[],33,FALSE)</f>
        <v>0</v>
      </c>
      <c r="J108" s="51">
        <f>VLOOKUP(Yards25[[#This Row],[DEVELOPMENT]],Data[],28,FALSE)</f>
        <v>0</v>
      </c>
      <c r="K108" s="51"/>
      <c r="L108" s="50"/>
      <c r="M108" s="51" t="str">
        <f ca="1">IFERROR(VLOOKUP(Yards25[[#This Row],[DEVELOPMENT]],Data[],4,FALSE),"")</f>
        <v/>
      </c>
      <c r="N108" s="51" t="str">
        <f ca="1">IF(Yards25[[#This Row],[RAD/PACT]]="","",IF(OR(Yards25[[#This Row],[RAD/PACT]]="2022-2025",Yards25[[#This Row],[RAD/PACT]]=2019,Yards25[[#This Row],[RAD/PACT]]="2020-2021"),"Yes",""))</f>
        <v/>
      </c>
      <c r="O108" s="51" t="str">
        <f ca="1">IFERROR(VLOOKUP(Yards25[[#This Row],[DEVELOPMENT]],ExtComp[],8,FALSE),"")</f>
        <v/>
      </c>
      <c r="P108" s="51"/>
      <c r="Q108" s="51"/>
      <c r="R108" s="51" t="str">
        <f>IF(ISBLANK(Yards25[[#This Row],[DSGN CALENDAR YEAR]]),"",Yards25[[#This Row],[DSGN CALENDAR YEAR]]+1)</f>
        <v/>
      </c>
      <c r="S108" s="51" t="str">
        <f>IF(ISBLANK(Yards25[[#This Row],[DSGN FISCAL YEAR]]),"",Yards25[[#This Row],[DSGN FISCAL YEAR]]+1)</f>
        <v/>
      </c>
      <c r="T108" s="51"/>
      <c r="U108" s="128">
        <f ca="1">Yards25[[#This Row],[Estimate]]*0.1</f>
        <v>0</v>
      </c>
      <c r="V108" s="47">
        <f ca="1">Yards25[[#This Row],[Estimate]]-Yards25[[#This Row],[Design Est.]]</f>
        <v>0</v>
      </c>
      <c r="W108" s="85">
        <f ca="1">(Yards25[[#This Row],['# yards]]*INDEX(UnitCosts[],MATCH(Yards25[[#This Row],[WORK TYPE]],UnitCosts[Work Type],0),2))*(1+((Yards25[[#This Row],[est. CONS Year]]-YEAR(TODAY()))*$W$3))</f>
        <v>0</v>
      </c>
      <c r="X108" s="142">
        <f>IF(ISNUMBER(SEARCH("LLC",Yards25[[#This Row],[PROGRAM]])),IF(Yards25[[#This Row],[RAD/PACT by 2025]]="yes",0,1),0)</f>
        <v>0</v>
      </c>
      <c r="Y108" s="1"/>
      <c r="Z108" s="1"/>
      <c r="AA108" s="51">
        <f ca="1">COUNTIF($X$5:Yards25[[#This Row],['# yards]],"&gt;0")</f>
        <v>3</v>
      </c>
      <c r="AB108" s="1">
        <f ca="1">IF(ISBLANK(Yards25[[#This Row],[DSGN CALENDAR YEAR]]),ROUNDDOWN(Yards25[[#This Row],[Count]]/20,0)+$AB$1,Yards25[[#This Row],[DSGN CALENDAR YEAR]])</f>
        <v>2022</v>
      </c>
      <c r="AC108" s="16">
        <f ca="1">Yards25[[#This Row],[est. DSGN Year]]+1</f>
        <v>2023</v>
      </c>
    </row>
    <row r="109" spans="1:29" hidden="1">
      <c r="A109" s="13" t="s">
        <v>235</v>
      </c>
      <c r="B109" s="51" t="str">
        <f>VLOOKUP(Yards25[[#This Row],[DEVELOPMENT]],Data[],2,FALSE)</f>
        <v>BROOKLYN</v>
      </c>
      <c r="C109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09" s="51" t="str">
        <f>VLOOKUP(Yards25[[#This Row],[DEVELOPMENT]],Data[],52,FALSE)</f>
        <v>FEDERAL</v>
      </c>
      <c r="E109" s="50">
        <f>VLOOKUP(Yards25[[#This Row],[DEVELOPMENT]],Data[],8,FALSE)</f>
        <v>0</v>
      </c>
      <c r="F109" s="51" t="str">
        <f>VLOOKUP(Yards25[[#This Row],[DEVELOPMENT]],all[[DEVELOPMENT]:[MRST Ext. Comp. Priority]],6,FALSE)</f>
        <v>C</v>
      </c>
      <c r="G109" s="51">
        <f>VLOOKUP(Yards25[[#This Row],[DEVELOPMENT]],all[[DEVELOPMENT]:[MRST Ext. Comp. Priority]],13,FALSE)</f>
        <v>3</v>
      </c>
      <c r="H109" s="50">
        <f>IF(VLOOKUP(Yards25[[#This Row],[DEVELOPMENT]],Data[],9,FALSE)=0,5,VLOOKUP(Yards25[[#This Row],[DEVELOPMENT]],Data[],9,FALSE))</f>
        <v>5</v>
      </c>
      <c r="I109" s="51">
        <f>VLOOKUP(Yards25[[#This Row],[DEVELOPMENT]],Data[],33,FALSE)</f>
        <v>0</v>
      </c>
      <c r="J109" s="51">
        <f>VLOOKUP(Yards25[[#This Row],[DEVELOPMENT]],Data[],28,FALSE)</f>
        <v>0</v>
      </c>
      <c r="K109" s="51"/>
      <c r="L109" s="50">
        <v>1</v>
      </c>
      <c r="M109" s="51" t="str">
        <f ca="1">IFERROR(VLOOKUP(Yards25[[#This Row],[DEVELOPMENT]],Data[],4,FALSE),"")</f>
        <v/>
      </c>
      <c r="N109" s="51" t="str">
        <f ca="1">IF(Yards25[[#This Row],[RAD/PACT]]="","",IF(OR(Yards25[[#This Row],[RAD/PACT]]="2022-2025",Yards25[[#This Row],[RAD/PACT]]=2019,Yards25[[#This Row],[RAD/PACT]]="2020-2021"),"Yes",""))</f>
        <v/>
      </c>
      <c r="O109" s="51" t="str">
        <f ca="1">IFERROR(VLOOKUP(Yards25[[#This Row],[DEVELOPMENT]],ExtComp[],8,FALSE),"")</f>
        <v/>
      </c>
      <c r="P109" s="51"/>
      <c r="Q109" s="51"/>
      <c r="R109" s="51" t="str">
        <f>IF(ISBLANK(Yards25[[#This Row],[DSGN CALENDAR YEAR]]),"",Yards25[[#This Row],[DSGN CALENDAR YEAR]]+1)</f>
        <v/>
      </c>
      <c r="S109" s="51" t="str">
        <f>IF(ISBLANK(Yards25[[#This Row],[DSGN FISCAL YEAR]]),"",Yards25[[#This Row],[DSGN FISCAL YEAR]]+1)</f>
        <v/>
      </c>
      <c r="T109" s="51"/>
      <c r="U109" s="128">
        <f ca="1">Yards25[[#This Row],[Estimate]]*0.1</f>
        <v>0</v>
      </c>
      <c r="V109" s="47">
        <f ca="1">Yards25[[#This Row],[Estimate]]-Yards25[[#This Row],[Design Est.]]</f>
        <v>0</v>
      </c>
      <c r="W109" s="85">
        <f ca="1">(Yards25[[#This Row],['# yards]]*INDEX(UnitCosts[],MATCH(Yards25[[#This Row],[WORK TYPE]],UnitCosts[Work Type],0),2))*(1+((Yards25[[#This Row],[est. CONS Year]]-YEAR(TODAY()))*$W$3))</f>
        <v>0</v>
      </c>
      <c r="X109" s="142">
        <f>IF(ISNUMBER(SEARCH("LLC",Yards25[[#This Row],[PROGRAM]])),IF(Yards25[[#This Row],[RAD/PACT by 2025]]="yes",0,1),0)</f>
        <v>0</v>
      </c>
      <c r="Y109" s="1"/>
      <c r="Z109" s="1"/>
      <c r="AA109" s="51">
        <f ca="1">COUNTIF($X$5:Yards25[[#This Row],['# yards]],"&gt;0")</f>
        <v>3</v>
      </c>
      <c r="AB109" s="1">
        <f ca="1">IF(ISBLANK(Yards25[[#This Row],[DSGN CALENDAR YEAR]]),ROUNDDOWN(Yards25[[#This Row],[Count]]/20,0)+$AB$1,Yards25[[#This Row],[DSGN CALENDAR YEAR]])</f>
        <v>2022</v>
      </c>
      <c r="AC109" s="16">
        <f ca="1">Yards25[[#This Row],[est. DSGN Year]]+1</f>
        <v>2023</v>
      </c>
    </row>
    <row r="110" spans="1:29" hidden="1">
      <c r="A110" s="13" t="s">
        <v>236</v>
      </c>
      <c r="B110" s="51" t="str">
        <f>VLOOKUP(Yards25[[#This Row],[DEVELOPMENT]],Data[],2,FALSE)</f>
        <v>BROOKLYN</v>
      </c>
      <c r="C110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10" s="51" t="str">
        <f>VLOOKUP(Yards25[[#This Row],[DEVELOPMENT]],Data[],52,FALSE)</f>
        <v>FEDERAL</v>
      </c>
      <c r="E110" s="50">
        <f>VLOOKUP(Yards25[[#This Row],[DEVELOPMENT]],Data[],8,FALSE)</f>
        <v>0</v>
      </c>
      <c r="F110" s="51" t="str">
        <f>VLOOKUP(Yards25[[#This Row],[DEVELOPMENT]],all[[DEVELOPMENT]:[MRST Ext. Comp. Priority]],6,FALSE)</f>
        <v>C</v>
      </c>
      <c r="G110" s="51">
        <f>VLOOKUP(Yards25[[#This Row],[DEVELOPMENT]],all[[DEVELOPMENT]:[MRST Ext. Comp. Priority]],13,FALSE)</f>
        <v>4</v>
      </c>
      <c r="H110" s="50">
        <f>IF(VLOOKUP(Yards25[[#This Row],[DEVELOPMENT]],Data[],9,FALSE)=0,5,VLOOKUP(Yards25[[#This Row],[DEVELOPMENT]],Data[],9,FALSE))</f>
        <v>5</v>
      </c>
      <c r="I110" s="51">
        <f>VLOOKUP(Yards25[[#This Row],[DEVELOPMENT]],Data[],33,FALSE)</f>
        <v>0</v>
      </c>
      <c r="J110" s="51">
        <f>VLOOKUP(Yards25[[#This Row],[DEVELOPMENT]],Data[],28,FALSE)</f>
        <v>0</v>
      </c>
      <c r="K110" s="51"/>
      <c r="L110" s="50"/>
      <c r="M110" s="51" t="str">
        <f ca="1">IFERROR(VLOOKUP(Yards25[[#This Row],[DEVELOPMENT]],Data[],4,FALSE),"")</f>
        <v>2026+</v>
      </c>
      <c r="N110" s="51" t="str">
        <f ca="1">IF(Yards25[[#This Row],[RAD/PACT]]="","",IF(OR(Yards25[[#This Row],[RAD/PACT]]="2022-2025",Yards25[[#This Row],[RAD/PACT]]=2019,Yards25[[#This Row],[RAD/PACT]]="2020-2021"),"Yes",""))</f>
        <v/>
      </c>
      <c r="O110" s="51" t="str">
        <f ca="1">IFERROR(VLOOKUP(Yards25[[#This Row],[DEVELOPMENT]],ExtComp[],8,FALSE),"")</f>
        <v/>
      </c>
      <c r="P110" s="51"/>
      <c r="Q110" s="51"/>
      <c r="R110" s="51" t="str">
        <f>IF(ISBLANK(Yards25[[#This Row],[DSGN CALENDAR YEAR]]),"",Yards25[[#This Row],[DSGN CALENDAR YEAR]]+1)</f>
        <v/>
      </c>
      <c r="S110" s="51" t="str">
        <f>IF(ISBLANK(Yards25[[#This Row],[DSGN FISCAL YEAR]]),"",Yards25[[#This Row],[DSGN FISCAL YEAR]]+1)</f>
        <v/>
      </c>
      <c r="T110" s="51"/>
      <c r="U110" s="128">
        <f ca="1">Yards25[[#This Row],[Estimate]]*0.1</f>
        <v>0</v>
      </c>
      <c r="V110" s="47">
        <f ca="1">Yards25[[#This Row],[Estimate]]-Yards25[[#This Row],[Design Est.]]</f>
        <v>0</v>
      </c>
      <c r="W110" s="85">
        <f ca="1">(Yards25[[#This Row],['# yards]]*INDEX(UnitCosts[],MATCH(Yards25[[#This Row],[WORK TYPE]],UnitCosts[Work Type],0),2))*(1+((Yards25[[#This Row],[est. CONS Year]]-YEAR(TODAY()))*$W$3))</f>
        <v>0</v>
      </c>
      <c r="X110" s="142">
        <f>IF(ISNUMBER(SEARCH("LLC",Yards25[[#This Row],[PROGRAM]])),IF(Yards25[[#This Row],[RAD/PACT by 2025]]="yes",0,1),0)</f>
        <v>0</v>
      </c>
      <c r="Y110" s="1"/>
      <c r="Z110" s="1"/>
      <c r="AA110" s="51">
        <f ca="1">COUNTIF($X$5:Yards25[[#This Row],['# yards]],"&gt;0")</f>
        <v>3</v>
      </c>
      <c r="AB110" s="1">
        <f ca="1">IF(ISBLANK(Yards25[[#This Row],[DSGN CALENDAR YEAR]]),ROUNDDOWN(Yards25[[#This Row],[Count]]/20,0)+$AB$1,Yards25[[#This Row],[DSGN CALENDAR YEAR]])</f>
        <v>2022</v>
      </c>
      <c r="AC110" s="16">
        <f ca="1">Yards25[[#This Row],[est. DSGN Year]]+1</f>
        <v>2023</v>
      </c>
    </row>
    <row r="111" spans="1:29" hidden="1">
      <c r="A111" s="13" t="s">
        <v>279</v>
      </c>
      <c r="B111" s="51" t="str">
        <f>VLOOKUP(Yards25[[#This Row],[DEVELOPMENT]],Data[],2,FALSE)</f>
        <v>MANHATTAN</v>
      </c>
      <c r="C111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11" s="51" t="str">
        <f>VLOOKUP(Yards25[[#This Row],[DEVELOPMENT]],Data[],52,FALSE)</f>
        <v>FEDERAL</v>
      </c>
      <c r="E111" s="50">
        <f>VLOOKUP(Yards25[[#This Row],[DEVELOPMENT]],Data[],8,FALSE)</f>
        <v>0</v>
      </c>
      <c r="F111" s="51" t="str">
        <f>VLOOKUP(Yards25[[#This Row],[DEVELOPMENT]],all[[DEVELOPMENT]:[MRST Ext. Comp. Priority]],6,FALSE)</f>
        <v>C</v>
      </c>
      <c r="G111" s="51">
        <f>VLOOKUP(Yards25[[#This Row],[DEVELOPMENT]],all[[DEVELOPMENT]:[MRST Ext. Comp. Priority]],13,FALSE)</f>
        <v>4</v>
      </c>
      <c r="H111" s="50">
        <f>IF(VLOOKUP(Yards25[[#This Row],[DEVELOPMENT]],Data[],9,FALSE)=0,5,VLOOKUP(Yards25[[#This Row],[DEVELOPMENT]],Data[],9,FALSE))</f>
        <v>5</v>
      </c>
      <c r="I111" s="51">
        <f>VLOOKUP(Yards25[[#This Row],[DEVELOPMENT]],Data[],33,FALSE)</f>
        <v>2</v>
      </c>
      <c r="J111" s="51">
        <f>VLOOKUP(Yards25[[#This Row],[DEVELOPMENT]],Data[],28,FALSE)</f>
        <v>0</v>
      </c>
      <c r="K111" s="51"/>
      <c r="L111" s="50"/>
      <c r="M111" s="51" t="str">
        <f ca="1">IFERROR(VLOOKUP(Yards25[[#This Row],[DEVELOPMENT]],Data[],4,FALSE),"")</f>
        <v/>
      </c>
      <c r="N111" s="51" t="str">
        <f ca="1">IF(Yards25[[#This Row],[RAD/PACT]]="","",IF(OR(Yards25[[#This Row],[RAD/PACT]]="2022-2025",Yards25[[#This Row],[RAD/PACT]]=2019,Yards25[[#This Row],[RAD/PACT]]="2020-2021"),"Yes",""))</f>
        <v/>
      </c>
      <c r="O111" s="51">
        <f ca="1">IFERROR(VLOOKUP(Yards25[[#This Row],[DEVELOPMENT]],ExtComp[],8,FALSE),"")</f>
        <v>5</v>
      </c>
      <c r="P111" s="51"/>
      <c r="Q111" s="51"/>
      <c r="R111" s="51" t="str">
        <f>IF(ISBLANK(Yards25[[#This Row],[DSGN CALENDAR YEAR]]),"",Yards25[[#This Row],[DSGN CALENDAR YEAR]]+1)</f>
        <v/>
      </c>
      <c r="S111" s="51" t="str">
        <f>IF(ISBLANK(Yards25[[#This Row],[DSGN FISCAL YEAR]]),"",Yards25[[#This Row],[DSGN FISCAL YEAR]]+1)</f>
        <v/>
      </c>
      <c r="T111" s="51"/>
      <c r="U111" s="128">
        <f ca="1">Yards25[[#This Row],[Estimate]]*0.1</f>
        <v>0</v>
      </c>
      <c r="V111" s="47">
        <f ca="1">Yards25[[#This Row],[Estimate]]-Yards25[[#This Row],[Design Est.]]</f>
        <v>0</v>
      </c>
      <c r="W111" s="85">
        <f ca="1">(Yards25[[#This Row],['# yards]]*INDEX(UnitCosts[],MATCH(Yards25[[#This Row],[WORK TYPE]],UnitCosts[Work Type],0),2))*(1+((Yards25[[#This Row],[est. CONS Year]]-YEAR(TODAY()))*$W$3))</f>
        <v>0</v>
      </c>
      <c r="X111" s="142">
        <f>IF(ISNUMBER(SEARCH("LLC",Yards25[[#This Row],[PROGRAM]])),IF(Yards25[[#This Row],[RAD/PACT by 2025]]="yes",0,1),0)</f>
        <v>0</v>
      </c>
      <c r="Y111" s="1"/>
      <c r="Z111" s="1"/>
      <c r="AA111" s="51">
        <f ca="1">COUNTIF($X$5:Yards25[[#This Row],['# yards]],"&gt;0")</f>
        <v>3</v>
      </c>
      <c r="AB111" s="1">
        <f ca="1">IF(ISBLANK(Yards25[[#This Row],[DSGN CALENDAR YEAR]]),ROUNDDOWN(Yards25[[#This Row],[Count]]/20,0)+$AB$1,Yards25[[#This Row],[DSGN CALENDAR YEAR]])</f>
        <v>2022</v>
      </c>
      <c r="AC111" s="16">
        <f ca="1">Yards25[[#This Row],[est. DSGN Year]]+1</f>
        <v>2023</v>
      </c>
    </row>
    <row r="112" spans="1:29" hidden="1">
      <c r="A112" s="13" t="s">
        <v>280</v>
      </c>
      <c r="B112" s="51" t="str">
        <f>VLOOKUP(Yards25[[#This Row],[DEVELOPMENT]],Data[],2,FALSE)</f>
        <v>BRONX</v>
      </c>
      <c r="C112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12" s="51" t="str">
        <f>VLOOKUP(Yards25[[#This Row],[DEVELOPMENT]],Data[],52,FALSE)</f>
        <v>FEDERAL</v>
      </c>
      <c r="E112" s="50" t="str">
        <f>VLOOKUP(Yards25[[#This Row],[DEVELOPMENT]],Data[],8,FALSE)</f>
        <v>Zone 4</v>
      </c>
      <c r="F112" s="51" t="str">
        <f>VLOOKUP(Yards25[[#This Row],[DEVELOPMENT]],all[[DEVELOPMENT]:[MRST Ext. Comp. Priority]],6,FALSE)</f>
        <v>C</v>
      </c>
      <c r="G112" s="51">
        <f>VLOOKUP(Yards25[[#This Row],[DEVELOPMENT]],all[[DEVELOPMENT]:[MRST Ext. Comp. Priority]],13,FALSE)</f>
        <v>3</v>
      </c>
      <c r="H112" s="50">
        <f>IF(VLOOKUP(Yards25[[#This Row],[DEVELOPMENT]],Data[],9,FALSE)=0,5,VLOOKUP(Yards25[[#This Row],[DEVELOPMENT]],Data[],9,FALSE))</f>
        <v>5</v>
      </c>
      <c r="I112" s="51">
        <f>VLOOKUP(Yards25[[#This Row],[DEVELOPMENT]],Data[],33,FALSE)</f>
        <v>0</v>
      </c>
      <c r="J112" s="51">
        <f>VLOOKUP(Yards25[[#This Row],[DEVELOPMENT]],Data[],28,FALSE)</f>
        <v>0</v>
      </c>
      <c r="K112" s="51"/>
      <c r="L112" s="50"/>
      <c r="M112" s="51" t="str">
        <f ca="1">IFERROR(VLOOKUP(Yards25[[#This Row],[DEVELOPMENT]],Data[],4,FALSE),"")</f>
        <v/>
      </c>
      <c r="N112" s="51" t="str">
        <f ca="1">IF(Yards25[[#This Row],[RAD/PACT]]="","",IF(OR(Yards25[[#This Row],[RAD/PACT]]="2022-2025",Yards25[[#This Row],[RAD/PACT]]=2019,Yards25[[#This Row],[RAD/PACT]]="2020-2021"),"Yes",""))</f>
        <v/>
      </c>
      <c r="O112" s="51" t="str">
        <f ca="1">IFERROR(VLOOKUP(Yards25[[#This Row],[DEVELOPMENT]],ExtComp[],8,FALSE),"")</f>
        <v/>
      </c>
      <c r="P112" s="51"/>
      <c r="Q112" s="51"/>
      <c r="R112" s="51" t="str">
        <f>IF(ISBLANK(Yards25[[#This Row],[DSGN CALENDAR YEAR]]),"",Yards25[[#This Row],[DSGN CALENDAR YEAR]]+1)</f>
        <v/>
      </c>
      <c r="S112" s="51" t="str">
        <f>IF(ISBLANK(Yards25[[#This Row],[DSGN FISCAL YEAR]]),"",Yards25[[#This Row],[DSGN FISCAL YEAR]]+1)</f>
        <v/>
      </c>
      <c r="T112" s="51"/>
      <c r="U112" s="128">
        <f ca="1">Yards25[[#This Row],[Estimate]]*0.1</f>
        <v>0</v>
      </c>
      <c r="V112" s="47">
        <f ca="1">Yards25[[#This Row],[Estimate]]-Yards25[[#This Row],[Design Est.]]</f>
        <v>0</v>
      </c>
      <c r="W112" s="85">
        <f ca="1">(Yards25[[#This Row],['# yards]]*INDEX(UnitCosts[],MATCH(Yards25[[#This Row],[WORK TYPE]],UnitCosts[Work Type],0),2))*(1+((Yards25[[#This Row],[est. CONS Year]]-YEAR(TODAY()))*$W$3))</f>
        <v>0</v>
      </c>
      <c r="X112" s="142">
        <f>IF(ISNUMBER(SEARCH("LLC",Yards25[[#This Row],[PROGRAM]])),IF(Yards25[[#This Row],[RAD/PACT by 2025]]="yes",0,1),0)</f>
        <v>0</v>
      </c>
      <c r="Y112" s="1"/>
      <c r="Z112" s="1"/>
      <c r="AA112" s="51">
        <f ca="1">COUNTIF($X$5:Yards25[[#This Row],['# yards]],"&gt;0")</f>
        <v>3</v>
      </c>
      <c r="AB112" s="1">
        <f ca="1">IF(ISBLANK(Yards25[[#This Row],[DSGN CALENDAR YEAR]]),ROUNDDOWN(Yards25[[#This Row],[Count]]/20,0)+$AB$1,Yards25[[#This Row],[DSGN CALENDAR YEAR]])</f>
        <v>2022</v>
      </c>
      <c r="AC112" s="16">
        <f ca="1">Yards25[[#This Row],[est. DSGN Year]]+1</f>
        <v>2023</v>
      </c>
    </row>
    <row r="113" spans="1:29" hidden="1">
      <c r="A113" s="13" t="s">
        <v>237</v>
      </c>
      <c r="B113" s="51">
        <f>VLOOKUP(Yards25[[#This Row],[DEVELOPMENT]],Data[],2,FALSE)</f>
        <v>0</v>
      </c>
      <c r="C113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13" s="51" t="str">
        <f>VLOOKUP(Yards25[[#This Row],[DEVELOPMENT]],Data[],52,FALSE)</f>
        <v>FEDERAL</v>
      </c>
      <c r="E113" s="50">
        <f>VLOOKUP(Yards25[[#This Row],[DEVELOPMENT]],Data[],8,FALSE)</f>
        <v>0</v>
      </c>
      <c r="F113" s="51" t="str">
        <f>VLOOKUP(Yards25[[#This Row],[DEVELOPMENT]],all[[DEVELOPMENT]:[MRST Ext. Comp. Priority]],6,FALSE)</f>
        <v>C</v>
      </c>
      <c r="G113" s="51">
        <f>VLOOKUP(Yards25[[#This Row],[DEVELOPMENT]],all[[DEVELOPMENT]:[MRST Ext. Comp. Priority]],13,FALSE)</f>
        <v>3</v>
      </c>
      <c r="H113" s="50">
        <f>IF(VLOOKUP(Yards25[[#This Row],[DEVELOPMENT]],Data[],9,FALSE)=0,5,VLOOKUP(Yards25[[#This Row],[DEVELOPMENT]],Data[],9,FALSE))</f>
        <v>5</v>
      </c>
      <c r="I113" s="51">
        <f>VLOOKUP(Yards25[[#This Row],[DEVELOPMENT]],Data[],33,FALSE)</f>
        <v>0</v>
      </c>
      <c r="J113" s="51">
        <f>VLOOKUP(Yards25[[#This Row],[DEVELOPMENT]],Data[],28,FALSE)</f>
        <v>0</v>
      </c>
      <c r="K113" s="51"/>
      <c r="L113" s="50"/>
      <c r="M113" s="51" t="str">
        <f ca="1">IFERROR(VLOOKUP(Yards25[[#This Row],[DEVELOPMENT]],Data[],4,FALSE),"")</f>
        <v/>
      </c>
      <c r="N113" s="51" t="str">
        <f ca="1">IF(Yards25[[#This Row],[RAD/PACT]]="","",IF(OR(Yards25[[#This Row],[RAD/PACT]]="2022-2025",Yards25[[#This Row],[RAD/PACT]]=2019,Yards25[[#This Row],[RAD/PACT]]="2020-2021"),"Yes",""))</f>
        <v/>
      </c>
      <c r="O113" s="51" t="str">
        <f ca="1">IFERROR(VLOOKUP(Yards25[[#This Row],[DEVELOPMENT]],ExtComp[],8,FALSE),"")</f>
        <v/>
      </c>
      <c r="P113" s="51"/>
      <c r="Q113" s="51"/>
      <c r="R113" s="51" t="str">
        <f>IF(ISBLANK(Yards25[[#This Row],[DSGN CALENDAR YEAR]]),"",Yards25[[#This Row],[DSGN CALENDAR YEAR]]+1)</f>
        <v/>
      </c>
      <c r="S113" s="51" t="str">
        <f>IF(ISBLANK(Yards25[[#This Row],[DSGN FISCAL YEAR]]),"",Yards25[[#This Row],[DSGN FISCAL YEAR]]+1)</f>
        <v/>
      </c>
      <c r="T113" s="51"/>
      <c r="U113" s="128">
        <f>Yards25[[#This Row],[Estimate]]*0.1</f>
        <v>0</v>
      </c>
      <c r="V113" s="47">
        <f>Yards25[[#This Row],[Estimate]]-Yards25[[#This Row],[Design Est.]]</f>
        <v>0</v>
      </c>
      <c r="W113" s="85"/>
      <c r="X113" s="142"/>
      <c r="Y113" s="1"/>
      <c r="Z113" s="1" t="s">
        <v>2299</v>
      </c>
      <c r="AA113" s="51">
        <f ca="1">COUNTIF($X$5:Yards25[[#This Row],['# yards]],"&gt;0")</f>
        <v>3</v>
      </c>
      <c r="AB113" s="1">
        <f ca="1">IF(ISBLANK(Yards25[[#This Row],[DSGN CALENDAR YEAR]]),ROUNDDOWN(Yards25[[#This Row],[Count]]/20,0)+$AB$1,Yards25[[#This Row],[DSGN CALENDAR YEAR]])</f>
        <v>2022</v>
      </c>
      <c r="AC113" s="16">
        <f ca="1">Yards25[[#This Row],[est. DSGN Year]]+1</f>
        <v>2023</v>
      </c>
    </row>
    <row r="114" spans="1:29" hidden="1">
      <c r="A114" s="13" t="s">
        <v>238</v>
      </c>
      <c r="B114" s="51">
        <f>VLOOKUP(Yards25[[#This Row],[DEVELOPMENT]],Data[],2,FALSE)</f>
        <v>0</v>
      </c>
      <c r="C114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14" s="51" t="str">
        <f>VLOOKUP(Yards25[[#This Row],[DEVELOPMENT]],Data[],52,FALSE)</f>
        <v>FEDERAL</v>
      </c>
      <c r="E114" s="50">
        <f>VLOOKUP(Yards25[[#This Row],[DEVELOPMENT]],Data[],8,FALSE)</f>
        <v>0</v>
      </c>
      <c r="F114" s="51" t="str">
        <f>VLOOKUP(Yards25[[#This Row],[DEVELOPMENT]],all[[DEVELOPMENT]:[MRST Ext. Comp. Priority]],6,FALSE)</f>
        <v>C</v>
      </c>
      <c r="G114" s="51">
        <f>VLOOKUP(Yards25[[#This Row],[DEVELOPMENT]],all[[DEVELOPMENT]:[MRST Ext. Comp. Priority]],13,FALSE)</f>
        <v>3</v>
      </c>
      <c r="H114" s="50">
        <f>IF(VLOOKUP(Yards25[[#This Row],[DEVELOPMENT]],Data[],9,FALSE)=0,5,VLOOKUP(Yards25[[#This Row],[DEVELOPMENT]],Data[],9,FALSE))</f>
        <v>5</v>
      </c>
      <c r="I114" s="51">
        <f>VLOOKUP(Yards25[[#This Row],[DEVELOPMENT]],Data[],33,FALSE)</f>
        <v>0</v>
      </c>
      <c r="J114" s="51">
        <f>VLOOKUP(Yards25[[#This Row],[DEVELOPMENT]],Data[],28,FALSE)</f>
        <v>0</v>
      </c>
      <c r="K114" s="51"/>
      <c r="L114" s="50"/>
      <c r="M114" s="51" t="str">
        <f ca="1">IFERROR(VLOOKUP(Yards25[[#This Row],[DEVELOPMENT]],Data[],4,FALSE),"")</f>
        <v/>
      </c>
      <c r="N114" s="51" t="str">
        <f ca="1">IF(Yards25[[#This Row],[RAD/PACT]]="","",IF(OR(Yards25[[#This Row],[RAD/PACT]]="2022-2025",Yards25[[#This Row],[RAD/PACT]]=2019,Yards25[[#This Row],[RAD/PACT]]="2020-2021"),"Yes",""))</f>
        <v/>
      </c>
      <c r="O114" s="51" t="str">
        <f ca="1">IFERROR(VLOOKUP(Yards25[[#This Row],[DEVELOPMENT]],ExtComp[],8,FALSE),"")</f>
        <v/>
      </c>
      <c r="P114" s="51"/>
      <c r="Q114" s="51"/>
      <c r="R114" s="51" t="str">
        <f>IF(ISBLANK(Yards25[[#This Row],[DSGN CALENDAR YEAR]]),"",Yards25[[#This Row],[DSGN CALENDAR YEAR]]+1)</f>
        <v/>
      </c>
      <c r="S114" s="51" t="str">
        <f>IF(ISBLANK(Yards25[[#This Row],[DSGN FISCAL YEAR]]),"",Yards25[[#This Row],[DSGN FISCAL YEAR]]+1)</f>
        <v/>
      </c>
      <c r="T114" s="51"/>
      <c r="U114" s="128">
        <f>Yards25[[#This Row],[Estimate]]*0.1</f>
        <v>0</v>
      </c>
      <c r="V114" s="47">
        <f>Yards25[[#This Row],[Estimate]]-Yards25[[#This Row],[Design Est.]]</f>
        <v>0</v>
      </c>
      <c r="W114" s="85"/>
      <c r="X114" s="142"/>
      <c r="Y114" s="1"/>
      <c r="Z114" s="1" t="s">
        <v>2299</v>
      </c>
      <c r="AA114" s="51">
        <f ca="1">COUNTIF($X$5:Yards25[[#This Row],['# yards]],"&gt;0")</f>
        <v>3</v>
      </c>
      <c r="AB114" s="1">
        <f ca="1">IF(ISBLANK(Yards25[[#This Row],[DSGN CALENDAR YEAR]]),ROUNDDOWN(Yards25[[#This Row],[Count]]/20,0)+$AB$1,Yards25[[#This Row],[DSGN CALENDAR YEAR]])</f>
        <v>2022</v>
      </c>
      <c r="AC114" s="16">
        <f ca="1">Yards25[[#This Row],[est. DSGN Year]]+1</f>
        <v>2023</v>
      </c>
    </row>
    <row r="115" spans="1:29" hidden="1">
      <c r="A115" s="13" t="s">
        <v>239</v>
      </c>
      <c r="B115" s="51">
        <f>VLOOKUP(Yards25[[#This Row],[DEVELOPMENT]],Data[],2,FALSE)</f>
        <v>0</v>
      </c>
      <c r="C115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15" s="51" t="str">
        <f>VLOOKUP(Yards25[[#This Row],[DEVELOPMENT]],Data[],52,FALSE)</f>
        <v>FEDERAL</v>
      </c>
      <c r="E115" s="50">
        <f>VLOOKUP(Yards25[[#This Row],[DEVELOPMENT]],Data[],8,FALSE)</f>
        <v>0</v>
      </c>
      <c r="F115" s="51" t="str">
        <f>VLOOKUP(Yards25[[#This Row],[DEVELOPMENT]],all[[DEVELOPMENT]:[MRST Ext. Comp. Priority]],6,FALSE)</f>
        <v>C</v>
      </c>
      <c r="G115" s="51">
        <f>VLOOKUP(Yards25[[#This Row],[DEVELOPMENT]],all[[DEVELOPMENT]:[MRST Ext. Comp. Priority]],13,FALSE)</f>
        <v>3</v>
      </c>
      <c r="H115" s="50">
        <f>IF(VLOOKUP(Yards25[[#This Row],[DEVELOPMENT]],Data[],9,FALSE)=0,5,VLOOKUP(Yards25[[#This Row],[DEVELOPMENT]],Data[],9,FALSE))</f>
        <v>5</v>
      </c>
      <c r="I115" s="51">
        <f>VLOOKUP(Yards25[[#This Row],[DEVELOPMENT]],Data[],33,FALSE)</f>
        <v>0</v>
      </c>
      <c r="J115" s="51">
        <f>VLOOKUP(Yards25[[#This Row],[DEVELOPMENT]],Data[],28,FALSE)</f>
        <v>0</v>
      </c>
      <c r="K115" s="51"/>
      <c r="L115" s="50"/>
      <c r="M115" s="51" t="str">
        <f ca="1">IFERROR(VLOOKUP(Yards25[[#This Row],[DEVELOPMENT]],Data[],4,FALSE),"")</f>
        <v/>
      </c>
      <c r="N115" s="51" t="str">
        <f ca="1">IF(Yards25[[#This Row],[RAD/PACT]]="","",IF(OR(Yards25[[#This Row],[RAD/PACT]]="2022-2025",Yards25[[#This Row],[RAD/PACT]]=2019,Yards25[[#This Row],[RAD/PACT]]="2020-2021"),"Yes",""))</f>
        <v/>
      </c>
      <c r="O115" s="51" t="str">
        <f ca="1">IFERROR(VLOOKUP(Yards25[[#This Row],[DEVELOPMENT]],ExtComp[],8,FALSE),"")</f>
        <v/>
      </c>
      <c r="P115" s="51"/>
      <c r="Q115" s="51"/>
      <c r="R115" s="51" t="str">
        <f>IF(ISBLANK(Yards25[[#This Row],[DSGN CALENDAR YEAR]]),"",Yards25[[#This Row],[DSGN CALENDAR YEAR]]+1)</f>
        <v/>
      </c>
      <c r="S115" s="51" t="str">
        <f>IF(ISBLANK(Yards25[[#This Row],[DSGN FISCAL YEAR]]),"",Yards25[[#This Row],[DSGN FISCAL YEAR]]+1)</f>
        <v/>
      </c>
      <c r="T115" s="51"/>
      <c r="U115" s="128">
        <f>Yards25[[#This Row],[Estimate]]*0.1</f>
        <v>0</v>
      </c>
      <c r="V115" s="47">
        <f>Yards25[[#This Row],[Estimate]]-Yards25[[#This Row],[Design Est.]]</f>
        <v>0</v>
      </c>
      <c r="W115" s="85"/>
      <c r="X115" s="142"/>
      <c r="Y115" s="1"/>
      <c r="Z115" s="1" t="s">
        <v>2299</v>
      </c>
      <c r="AA115" s="51">
        <f ca="1">COUNTIF($X$5:Yards25[[#This Row],['# yards]],"&gt;0")</f>
        <v>3</v>
      </c>
      <c r="AB115" s="1">
        <f ca="1">IF(ISBLANK(Yards25[[#This Row],[DSGN CALENDAR YEAR]]),ROUNDDOWN(Yards25[[#This Row],[Count]]/20,0)+$AB$1,Yards25[[#This Row],[DSGN CALENDAR YEAR]])</f>
        <v>2022</v>
      </c>
      <c r="AC115" s="16">
        <f ca="1">Yards25[[#This Row],[est. DSGN Year]]+1</f>
        <v>2023</v>
      </c>
    </row>
    <row r="116" spans="1:29" hidden="1">
      <c r="A116" s="13" t="s">
        <v>240</v>
      </c>
      <c r="B116" s="51">
        <f>VLOOKUP(Yards25[[#This Row],[DEVELOPMENT]],Data[],2,FALSE)</f>
        <v>0</v>
      </c>
      <c r="C116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16" s="51" t="str">
        <f>VLOOKUP(Yards25[[#This Row],[DEVELOPMENT]],Data[],52,FALSE)</f>
        <v>FEDERAL</v>
      </c>
      <c r="E116" s="50" t="str">
        <f>VLOOKUP(Yards25[[#This Row],[DEVELOPMENT]],Data[],8,FALSE)</f>
        <v>Zone 4</v>
      </c>
      <c r="F116" s="51" t="str">
        <f>VLOOKUP(Yards25[[#This Row],[DEVELOPMENT]],all[[DEVELOPMENT]:[MRST Ext. Comp. Priority]],6,FALSE)</f>
        <v>C</v>
      </c>
      <c r="G116" s="51">
        <f>VLOOKUP(Yards25[[#This Row],[DEVELOPMENT]],all[[DEVELOPMENT]:[MRST Ext. Comp. Priority]],13,FALSE)</f>
        <v>3</v>
      </c>
      <c r="H116" s="50">
        <f>IF(VLOOKUP(Yards25[[#This Row],[DEVELOPMENT]],Data[],9,FALSE)=0,5,VLOOKUP(Yards25[[#This Row],[DEVELOPMENT]],Data[],9,FALSE))</f>
        <v>5</v>
      </c>
      <c r="I116" s="51">
        <f>VLOOKUP(Yards25[[#This Row],[DEVELOPMENT]],Data[],33,FALSE)</f>
        <v>0</v>
      </c>
      <c r="J116" s="51">
        <f>VLOOKUP(Yards25[[#This Row],[DEVELOPMENT]],Data[],28,FALSE)</f>
        <v>0</v>
      </c>
      <c r="K116" s="51"/>
      <c r="L116" s="50"/>
      <c r="M116" s="51" t="str">
        <f ca="1">IFERROR(VLOOKUP(Yards25[[#This Row],[DEVELOPMENT]],Data[],4,FALSE),"")</f>
        <v/>
      </c>
      <c r="N116" s="51" t="str">
        <f ca="1">IF(Yards25[[#This Row],[RAD/PACT]]="","",IF(OR(Yards25[[#This Row],[RAD/PACT]]="2022-2025",Yards25[[#This Row],[RAD/PACT]]=2019,Yards25[[#This Row],[RAD/PACT]]="2020-2021"),"Yes",""))</f>
        <v/>
      </c>
      <c r="O116" s="51" t="str">
        <f ca="1">IFERROR(VLOOKUP(Yards25[[#This Row],[DEVELOPMENT]],ExtComp[],8,FALSE),"")</f>
        <v/>
      </c>
      <c r="P116" s="51"/>
      <c r="Q116" s="51"/>
      <c r="R116" s="51" t="str">
        <f>IF(ISBLANK(Yards25[[#This Row],[DSGN CALENDAR YEAR]]),"",Yards25[[#This Row],[DSGN CALENDAR YEAR]]+1)</f>
        <v/>
      </c>
      <c r="S116" s="51" t="str">
        <f>IF(ISBLANK(Yards25[[#This Row],[DSGN FISCAL YEAR]]),"",Yards25[[#This Row],[DSGN FISCAL YEAR]]+1)</f>
        <v/>
      </c>
      <c r="T116" s="51"/>
      <c r="U116" s="128">
        <f>Yards25[[#This Row],[Estimate]]*0.1</f>
        <v>0</v>
      </c>
      <c r="V116" s="47">
        <f>Yards25[[#This Row],[Estimate]]-Yards25[[#This Row],[Design Est.]]</f>
        <v>0</v>
      </c>
      <c r="W116" s="85"/>
      <c r="X116" s="142"/>
      <c r="Y116" s="1"/>
      <c r="Z116" s="1" t="s">
        <v>2299</v>
      </c>
      <c r="AA116" s="51">
        <f ca="1">COUNTIF($X$5:Yards25[[#This Row],['# yards]],"&gt;0")</f>
        <v>3</v>
      </c>
      <c r="AB116" s="1">
        <f ca="1">IF(ISBLANK(Yards25[[#This Row],[DSGN CALENDAR YEAR]]),ROUNDDOWN(Yards25[[#This Row],[Count]]/20,0)+$AB$1,Yards25[[#This Row],[DSGN CALENDAR YEAR]])</f>
        <v>2022</v>
      </c>
      <c r="AC116" s="16">
        <f ca="1">Yards25[[#This Row],[est. DSGN Year]]+1</f>
        <v>2023</v>
      </c>
    </row>
    <row r="117" spans="1:29" hidden="1">
      <c r="A117" s="13" t="s">
        <v>241</v>
      </c>
      <c r="B117" s="51">
        <f>VLOOKUP(Yards25[[#This Row],[DEVELOPMENT]],Data[],2,FALSE)</f>
        <v>0</v>
      </c>
      <c r="C117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17" s="51" t="str">
        <f>VLOOKUP(Yards25[[#This Row],[DEVELOPMENT]],Data[],52,FALSE)</f>
        <v>FEDERAL</v>
      </c>
      <c r="E117" s="50">
        <f>VLOOKUP(Yards25[[#This Row],[DEVELOPMENT]],Data[],8,FALSE)</f>
        <v>0</v>
      </c>
      <c r="F117" s="51" t="str">
        <f>VLOOKUP(Yards25[[#This Row],[DEVELOPMENT]],all[[DEVELOPMENT]:[MRST Ext. Comp. Priority]],6,FALSE)</f>
        <v>C</v>
      </c>
      <c r="G117" s="51">
        <f>VLOOKUP(Yards25[[#This Row],[DEVELOPMENT]],all[[DEVELOPMENT]:[MRST Ext. Comp. Priority]],13,FALSE)</f>
        <v>4</v>
      </c>
      <c r="H117" s="50">
        <f>IF(VLOOKUP(Yards25[[#This Row],[DEVELOPMENT]],Data[],9,FALSE)=0,5,VLOOKUP(Yards25[[#This Row],[DEVELOPMENT]],Data[],9,FALSE))</f>
        <v>5</v>
      </c>
      <c r="I117" s="51">
        <f>VLOOKUP(Yards25[[#This Row],[DEVELOPMENT]],Data[],33,FALSE)</f>
        <v>0</v>
      </c>
      <c r="J117" s="51">
        <f>VLOOKUP(Yards25[[#This Row],[DEVELOPMENT]],Data[],28,FALSE)</f>
        <v>0</v>
      </c>
      <c r="K117" s="51"/>
      <c r="L117" s="50"/>
      <c r="M117" s="51" t="str">
        <f ca="1">IFERROR(VLOOKUP(Yards25[[#This Row],[DEVELOPMENT]],Data[],4,FALSE),"")</f>
        <v/>
      </c>
      <c r="N117" s="51" t="str">
        <f ca="1">IF(Yards25[[#This Row],[RAD/PACT]]="","",IF(OR(Yards25[[#This Row],[RAD/PACT]]="2022-2025",Yards25[[#This Row],[RAD/PACT]]=2019,Yards25[[#This Row],[RAD/PACT]]="2020-2021"),"Yes",""))</f>
        <v/>
      </c>
      <c r="O117" s="51" t="str">
        <f ca="1">IFERROR(VLOOKUP(Yards25[[#This Row],[DEVELOPMENT]],ExtComp[],8,FALSE),"")</f>
        <v/>
      </c>
      <c r="P117" s="51"/>
      <c r="Q117" s="51"/>
      <c r="R117" s="51" t="str">
        <f>IF(ISBLANK(Yards25[[#This Row],[DSGN CALENDAR YEAR]]),"",Yards25[[#This Row],[DSGN CALENDAR YEAR]]+1)</f>
        <v/>
      </c>
      <c r="S117" s="51" t="str">
        <f>IF(ISBLANK(Yards25[[#This Row],[DSGN FISCAL YEAR]]),"",Yards25[[#This Row],[DSGN FISCAL YEAR]]+1)</f>
        <v/>
      </c>
      <c r="T117" s="51"/>
      <c r="U117" s="128">
        <f>Yards25[[#This Row],[Estimate]]*0.1</f>
        <v>0</v>
      </c>
      <c r="V117" s="47">
        <f>Yards25[[#This Row],[Estimate]]-Yards25[[#This Row],[Design Est.]]</f>
        <v>0</v>
      </c>
      <c r="W117" s="85"/>
      <c r="X117" s="142"/>
      <c r="Y117" s="1"/>
      <c r="Z117" s="1" t="s">
        <v>2299</v>
      </c>
      <c r="AA117" s="51">
        <f ca="1">COUNTIF($X$5:Yards25[[#This Row],['# yards]],"&gt;0")</f>
        <v>3</v>
      </c>
      <c r="AB117" s="1">
        <f ca="1">IF(ISBLANK(Yards25[[#This Row],[DSGN CALENDAR YEAR]]),ROUNDDOWN(Yards25[[#This Row],[Count]]/20,0)+$AB$1,Yards25[[#This Row],[DSGN CALENDAR YEAR]])</f>
        <v>2022</v>
      </c>
      <c r="AC117" s="16">
        <f ca="1">Yards25[[#This Row],[est. DSGN Year]]+1</f>
        <v>2023</v>
      </c>
    </row>
    <row r="118" spans="1:29" hidden="1">
      <c r="A118" s="13" t="s">
        <v>243</v>
      </c>
      <c r="B118" s="51" t="str">
        <f>VLOOKUP(Yards25[[#This Row],[DEVELOPMENT]],Data[],2,FALSE)</f>
        <v>BRONX</v>
      </c>
      <c r="C118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18" s="51" t="str">
        <f>VLOOKUP(Yards25[[#This Row],[DEVELOPMENT]],Data[],52,FALSE)</f>
        <v>FEDERAL</v>
      </c>
      <c r="E118" s="50">
        <f>VLOOKUP(Yards25[[#This Row],[DEVELOPMENT]],Data[],8,FALSE)</f>
        <v>0</v>
      </c>
      <c r="F118" s="51" t="str">
        <f>VLOOKUP(Yards25[[#This Row],[DEVELOPMENT]],all[[DEVELOPMENT]:[MRST Ext. Comp. Priority]],6,FALSE)</f>
        <v>C</v>
      </c>
      <c r="G118" s="51">
        <f>VLOOKUP(Yards25[[#This Row],[DEVELOPMENT]],all[[DEVELOPMENT]:[MRST Ext. Comp. Priority]],13,FALSE)</f>
        <v>3</v>
      </c>
      <c r="H118" s="50">
        <f>IF(VLOOKUP(Yards25[[#This Row],[DEVELOPMENT]],Data[],9,FALSE)=0,5,VLOOKUP(Yards25[[#This Row],[DEVELOPMENT]],Data[],9,FALSE))</f>
        <v>5</v>
      </c>
      <c r="I118" s="51">
        <f>VLOOKUP(Yards25[[#This Row],[DEVELOPMENT]],Data[],33,FALSE)</f>
        <v>0</v>
      </c>
      <c r="J118" s="51">
        <f>VLOOKUP(Yards25[[#This Row],[DEVELOPMENT]],Data[],28,FALSE)</f>
        <v>0</v>
      </c>
      <c r="K118" s="51"/>
      <c r="L118" s="50"/>
      <c r="M118" s="51" t="str">
        <f ca="1">IFERROR(VLOOKUP(Yards25[[#This Row],[DEVELOPMENT]],Data[],4,FALSE),"")</f>
        <v>2026+</v>
      </c>
      <c r="N118" s="51" t="str">
        <f ca="1">IF(Yards25[[#This Row],[RAD/PACT]]="","",IF(OR(Yards25[[#This Row],[RAD/PACT]]="2022-2025",Yards25[[#This Row],[RAD/PACT]]=2019,Yards25[[#This Row],[RAD/PACT]]="2020-2021"),"Yes",""))</f>
        <v/>
      </c>
      <c r="O118" s="51" t="str">
        <f ca="1">IFERROR(VLOOKUP(Yards25[[#This Row],[DEVELOPMENT]],ExtComp[],8,FALSE),"")</f>
        <v/>
      </c>
      <c r="P118" s="51"/>
      <c r="Q118" s="51"/>
      <c r="R118" s="51" t="str">
        <f>IF(ISBLANK(Yards25[[#This Row],[DSGN CALENDAR YEAR]]),"",Yards25[[#This Row],[DSGN CALENDAR YEAR]]+1)</f>
        <v/>
      </c>
      <c r="S118" s="51" t="str">
        <f>IF(ISBLANK(Yards25[[#This Row],[DSGN FISCAL YEAR]]),"",Yards25[[#This Row],[DSGN FISCAL YEAR]]+1)</f>
        <v/>
      </c>
      <c r="T118" s="51"/>
      <c r="U118" s="128">
        <f ca="1">Yards25[[#This Row],[Estimate]]*0.1</f>
        <v>0</v>
      </c>
      <c r="V118" s="47">
        <f ca="1">Yards25[[#This Row],[Estimate]]-Yards25[[#This Row],[Design Est.]]</f>
        <v>0</v>
      </c>
      <c r="W118" s="85">
        <f ca="1">(Yards25[[#This Row],['# yards]]*INDEX(UnitCosts[],MATCH(Yards25[[#This Row],[WORK TYPE]],UnitCosts[Work Type],0),2))*(1+((Yards25[[#This Row],[est. CONS Year]]-YEAR(TODAY()))*$W$3))</f>
        <v>0</v>
      </c>
      <c r="X118" s="142">
        <f>IF(ISNUMBER(SEARCH("LLC",Yards25[[#This Row],[PROGRAM]])),IF(Yards25[[#This Row],[RAD/PACT by 2025]]="yes",0,1),0)</f>
        <v>0</v>
      </c>
      <c r="Y118" s="1"/>
      <c r="Z118" s="1"/>
      <c r="AA118" s="51">
        <f ca="1">COUNTIF($X$5:Yards25[[#This Row],['# yards]],"&gt;0")</f>
        <v>3</v>
      </c>
      <c r="AB118" s="1">
        <f ca="1">IF(ISBLANK(Yards25[[#This Row],[DSGN CALENDAR YEAR]]),ROUNDDOWN(Yards25[[#This Row],[Count]]/20,0)+$AB$1,Yards25[[#This Row],[DSGN CALENDAR YEAR]])</f>
        <v>2022</v>
      </c>
      <c r="AC118" s="16">
        <f ca="1">Yards25[[#This Row],[est. DSGN Year]]+1</f>
        <v>2023</v>
      </c>
    </row>
    <row r="119" spans="1:29" hidden="1">
      <c r="A119" s="13" t="s">
        <v>244</v>
      </c>
      <c r="B119" s="51" t="str">
        <f>VLOOKUP(Yards25[[#This Row],[DEVELOPMENT]],Data[],2,FALSE)</f>
        <v>QUEENS</v>
      </c>
      <c r="C119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19" s="51" t="str">
        <f>VLOOKUP(Yards25[[#This Row],[DEVELOPMENT]],Data[],52,FALSE)</f>
        <v>FEDERAL</v>
      </c>
      <c r="E119" s="50">
        <f>VLOOKUP(Yards25[[#This Row],[DEVELOPMENT]],Data[],8,FALSE)</f>
        <v>0</v>
      </c>
      <c r="F119" s="51" t="str">
        <f>VLOOKUP(Yards25[[#This Row],[DEVELOPMENT]],all[[DEVELOPMENT]:[MRST Ext. Comp. Priority]],6,FALSE)</f>
        <v>C</v>
      </c>
      <c r="G119" s="51">
        <f>VLOOKUP(Yards25[[#This Row],[DEVELOPMENT]],all[[DEVELOPMENT]:[MRST Ext. Comp. Priority]],13,FALSE)</f>
        <v>4</v>
      </c>
      <c r="H119" s="50">
        <f>IF(VLOOKUP(Yards25[[#This Row],[DEVELOPMENT]],Data[],9,FALSE)=0,5,VLOOKUP(Yards25[[#This Row],[DEVELOPMENT]],Data[],9,FALSE))</f>
        <v>5</v>
      </c>
      <c r="I119" s="51">
        <f>VLOOKUP(Yards25[[#This Row],[DEVELOPMENT]],Data[],33,FALSE)</f>
        <v>2</v>
      </c>
      <c r="J119" s="51">
        <f>VLOOKUP(Yards25[[#This Row],[DEVELOPMENT]],Data[],28,FALSE)</f>
        <v>0</v>
      </c>
      <c r="K119" s="51"/>
      <c r="L119" s="50"/>
      <c r="M119" s="51" t="str">
        <f ca="1">IFERROR(VLOOKUP(Yards25[[#This Row],[DEVELOPMENT]],Data[],4,FALSE),"")</f>
        <v>2026+</v>
      </c>
      <c r="N119" s="51" t="str">
        <f ca="1">IF(Yards25[[#This Row],[RAD/PACT]]="","",IF(OR(Yards25[[#This Row],[RAD/PACT]]="2022-2025",Yards25[[#This Row],[RAD/PACT]]=2019,Yards25[[#This Row],[RAD/PACT]]="2020-2021"),"Yes",""))</f>
        <v/>
      </c>
      <c r="O119" s="51">
        <f ca="1">IFERROR(VLOOKUP(Yards25[[#This Row],[DEVELOPMENT]],ExtComp[],8,FALSE),"")</f>
        <v>13</v>
      </c>
      <c r="P119" s="51"/>
      <c r="Q119" s="51"/>
      <c r="R119" s="51" t="str">
        <f>IF(ISBLANK(Yards25[[#This Row],[DSGN CALENDAR YEAR]]),"",Yards25[[#This Row],[DSGN CALENDAR YEAR]]+1)</f>
        <v/>
      </c>
      <c r="S119" s="51" t="str">
        <f>IF(ISBLANK(Yards25[[#This Row],[DSGN FISCAL YEAR]]),"",Yards25[[#This Row],[DSGN FISCAL YEAR]]+1)</f>
        <v/>
      </c>
      <c r="T119" s="51"/>
      <c r="U119" s="128">
        <f ca="1">Yards25[[#This Row],[Estimate]]*0.1</f>
        <v>0</v>
      </c>
      <c r="V119" s="47">
        <f ca="1">Yards25[[#This Row],[Estimate]]-Yards25[[#This Row],[Design Est.]]</f>
        <v>0</v>
      </c>
      <c r="W119" s="85">
        <f ca="1">(Yards25[[#This Row],['# yards]]*INDEX(UnitCosts[],MATCH(Yards25[[#This Row],[WORK TYPE]],UnitCosts[Work Type],0),2))*(1+((Yards25[[#This Row],[est. CONS Year]]-YEAR(TODAY()))*$W$3))</f>
        <v>0</v>
      </c>
      <c r="X119" s="142">
        <f>IF(ISNUMBER(SEARCH("LLC",Yards25[[#This Row],[PROGRAM]])),IF(Yards25[[#This Row],[RAD/PACT by 2025]]="yes",0,1),0)</f>
        <v>0</v>
      </c>
      <c r="Y119" s="1"/>
      <c r="Z119" s="1"/>
      <c r="AA119" s="51">
        <f ca="1">COUNTIF($X$5:Yards25[[#This Row],['# yards]],"&gt;0")</f>
        <v>3</v>
      </c>
      <c r="AB119" s="1">
        <f ca="1">IF(ISBLANK(Yards25[[#This Row],[DSGN CALENDAR YEAR]]),ROUNDDOWN(Yards25[[#This Row],[Count]]/20,0)+$AB$1,Yards25[[#This Row],[DSGN CALENDAR YEAR]])</f>
        <v>2022</v>
      </c>
      <c r="AC119" s="16">
        <f ca="1">Yards25[[#This Row],[est. DSGN Year]]+1</f>
        <v>2023</v>
      </c>
    </row>
    <row r="120" spans="1:29" hidden="1">
      <c r="A120" s="13" t="s">
        <v>245</v>
      </c>
      <c r="B120" s="51" t="str">
        <f>VLOOKUP(Yards25[[#This Row],[DEVELOPMENT]],Data[],2,FALSE)</f>
        <v>BROOKLYN</v>
      </c>
      <c r="C120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20" s="51" t="str">
        <f>VLOOKUP(Yards25[[#This Row],[DEVELOPMENT]],Data[],52,FALSE)</f>
        <v>FEDERAL</v>
      </c>
      <c r="E120" s="50">
        <f>VLOOKUP(Yards25[[#This Row],[DEVELOPMENT]],Data[],8,FALSE)</f>
        <v>0</v>
      </c>
      <c r="F120" s="51" t="str">
        <f>VLOOKUP(Yards25[[#This Row],[DEVELOPMENT]],all[[DEVELOPMENT]:[MRST Ext. Comp. Priority]],6,FALSE)</f>
        <v>C</v>
      </c>
      <c r="G120" s="51">
        <f>VLOOKUP(Yards25[[#This Row],[DEVELOPMENT]],all[[DEVELOPMENT]:[MRST Ext. Comp. Priority]],13,FALSE)</f>
        <v>4</v>
      </c>
      <c r="H120" s="50">
        <f>IF(VLOOKUP(Yards25[[#This Row],[DEVELOPMENT]],Data[],9,FALSE)=0,5,VLOOKUP(Yards25[[#This Row],[DEVELOPMENT]],Data[],9,FALSE))</f>
        <v>5</v>
      </c>
      <c r="I120" s="51">
        <f>VLOOKUP(Yards25[[#This Row],[DEVELOPMENT]],Data[],33,FALSE)</f>
        <v>0</v>
      </c>
      <c r="J120" s="51">
        <f>VLOOKUP(Yards25[[#This Row],[DEVELOPMENT]],Data[],28,FALSE)</f>
        <v>0</v>
      </c>
      <c r="K120" s="51"/>
      <c r="L120" s="50"/>
      <c r="M120" s="51" t="str">
        <f ca="1">IFERROR(VLOOKUP(Yards25[[#This Row],[DEVELOPMENT]],Data[],4,FALSE),"")</f>
        <v>2022-2025</v>
      </c>
      <c r="N120" s="51" t="str">
        <f ca="1">IF(Yards25[[#This Row],[RAD/PACT]]="","",IF(OR(Yards25[[#This Row],[RAD/PACT]]="2022-2025",Yards25[[#This Row],[RAD/PACT]]=2019,Yards25[[#This Row],[RAD/PACT]]="2020-2021"),"Yes",""))</f>
        <v>Yes</v>
      </c>
      <c r="O120" s="51" t="str">
        <f ca="1">IFERROR(VLOOKUP(Yards25[[#This Row],[DEVELOPMENT]],ExtComp[],8,FALSE),"")</f>
        <v/>
      </c>
      <c r="P120" s="51"/>
      <c r="Q120" s="51"/>
      <c r="R120" s="51" t="str">
        <f>IF(ISBLANK(Yards25[[#This Row],[DSGN CALENDAR YEAR]]),"",Yards25[[#This Row],[DSGN CALENDAR YEAR]]+1)</f>
        <v/>
      </c>
      <c r="S120" s="51" t="str">
        <f>IF(ISBLANK(Yards25[[#This Row],[DSGN FISCAL YEAR]]),"",Yards25[[#This Row],[DSGN FISCAL YEAR]]+1)</f>
        <v/>
      </c>
      <c r="T120" s="51"/>
      <c r="U120" s="128">
        <f ca="1">Yards25[[#This Row],[Estimate]]*0.1</f>
        <v>0</v>
      </c>
      <c r="V120" s="47">
        <f ca="1">Yards25[[#This Row],[Estimate]]-Yards25[[#This Row],[Design Est.]]</f>
        <v>0</v>
      </c>
      <c r="W120" s="85">
        <f ca="1">(Yards25[[#This Row],['# yards]]*INDEX(UnitCosts[],MATCH(Yards25[[#This Row],[WORK TYPE]],UnitCosts[Work Type],0),2))*(1+((Yards25[[#This Row],[est. CONS Year]]-YEAR(TODAY()))*$W$3))</f>
        <v>0</v>
      </c>
      <c r="X120" s="142">
        <f>IF(ISNUMBER(SEARCH("LLC",Yards25[[#This Row],[PROGRAM]])),IF(Yards25[[#This Row],[RAD/PACT by 2025]]="yes",0,1),0)</f>
        <v>0</v>
      </c>
      <c r="Y120" s="1"/>
      <c r="Z120" s="1"/>
      <c r="AA120" s="51">
        <f ca="1">COUNTIF($X$5:Yards25[[#This Row],['# yards]],"&gt;0")</f>
        <v>3</v>
      </c>
      <c r="AB120" s="1">
        <f ca="1">IF(ISBLANK(Yards25[[#This Row],[DSGN CALENDAR YEAR]]),ROUNDDOWN(Yards25[[#This Row],[Count]]/20,0)+$AB$1,Yards25[[#This Row],[DSGN CALENDAR YEAR]])</f>
        <v>2022</v>
      </c>
      <c r="AC120" s="16">
        <f ca="1">Yards25[[#This Row],[est. DSGN Year]]+1</f>
        <v>2023</v>
      </c>
    </row>
    <row r="121" spans="1:29" hidden="1">
      <c r="A121" s="13" t="s">
        <v>246</v>
      </c>
      <c r="B121" s="51" t="str">
        <f>VLOOKUP(Yards25[[#This Row],[DEVELOPMENT]],Data[],2,FALSE)</f>
        <v>BROOKLYN</v>
      </c>
      <c r="C121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21" s="51" t="str">
        <f>VLOOKUP(Yards25[[#This Row],[DEVELOPMENT]],Data[],52,FALSE)</f>
        <v>FEDERAL</v>
      </c>
      <c r="E121" s="50" t="str">
        <f>VLOOKUP(Yards25[[#This Row],[DEVELOPMENT]],Data[],8,FALSE)</f>
        <v>Zone 4</v>
      </c>
      <c r="F121" s="51" t="str">
        <f>VLOOKUP(Yards25[[#This Row],[DEVELOPMENT]],all[[DEVELOPMENT]:[MRST Ext. Comp. Priority]],6,FALSE)</f>
        <v>C</v>
      </c>
      <c r="G121" s="51">
        <f>VLOOKUP(Yards25[[#This Row],[DEVELOPMENT]],all[[DEVELOPMENT]:[MRST Ext. Comp. Priority]],13,FALSE)</f>
        <v>4</v>
      </c>
      <c r="H121" s="50">
        <f>IF(VLOOKUP(Yards25[[#This Row],[DEVELOPMENT]],Data[],9,FALSE)=0,5,VLOOKUP(Yards25[[#This Row],[DEVELOPMENT]],Data[],9,FALSE))</f>
        <v>5</v>
      </c>
      <c r="I121" s="51">
        <f>VLOOKUP(Yards25[[#This Row],[DEVELOPMENT]],Data[],33,FALSE)</f>
        <v>0</v>
      </c>
      <c r="J121" s="51">
        <f>VLOOKUP(Yards25[[#This Row],[DEVELOPMENT]],Data[],28,FALSE)</f>
        <v>0</v>
      </c>
      <c r="K121" s="51"/>
      <c r="L121" s="50"/>
      <c r="M121" s="51" t="str">
        <f ca="1">IFERROR(VLOOKUP(Yards25[[#This Row],[DEVELOPMENT]],Data[],4,FALSE),"")</f>
        <v>2022-2025</v>
      </c>
      <c r="N121" s="51" t="str">
        <f ca="1">IF(Yards25[[#This Row],[RAD/PACT]]="","",IF(OR(Yards25[[#This Row],[RAD/PACT]]="2022-2025",Yards25[[#This Row],[RAD/PACT]]=2019,Yards25[[#This Row],[RAD/PACT]]="2020-2021"),"Yes",""))</f>
        <v>Yes</v>
      </c>
      <c r="O121" s="51" t="str">
        <f ca="1">IFERROR(VLOOKUP(Yards25[[#This Row],[DEVELOPMENT]],ExtComp[],8,FALSE),"")</f>
        <v/>
      </c>
      <c r="P121" s="51"/>
      <c r="Q121" s="51"/>
      <c r="R121" s="51" t="str">
        <f>IF(ISBLANK(Yards25[[#This Row],[DSGN CALENDAR YEAR]]),"",Yards25[[#This Row],[DSGN CALENDAR YEAR]]+1)</f>
        <v/>
      </c>
      <c r="S121" s="51" t="str">
        <f>IF(ISBLANK(Yards25[[#This Row],[DSGN FISCAL YEAR]]),"",Yards25[[#This Row],[DSGN FISCAL YEAR]]+1)</f>
        <v/>
      </c>
      <c r="T121" s="51"/>
      <c r="U121" s="128">
        <f ca="1">Yards25[[#This Row],[Estimate]]*0.1</f>
        <v>0</v>
      </c>
      <c r="V121" s="47">
        <f ca="1">Yards25[[#This Row],[Estimate]]-Yards25[[#This Row],[Design Est.]]</f>
        <v>0</v>
      </c>
      <c r="W121" s="85">
        <f ca="1">(Yards25[[#This Row],['# yards]]*INDEX(UnitCosts[],MATCH(Yards25[[#This Row],[WORK TYPE]],UnitCosts[Work Type],0),2))*(1+((Yards25[[#This Row],[est. CONS Year]]-YEAR(TODAY()))*$W$3))</f>
        <v>0</v>
      </c>
      <c r="X121" s="142">
        <f>IF(ISNUMBER(SEARCH("LLC",Yards25[[#This Row],[PROGRAM]])),IF(Yards25[[#This Row],[RAD/PACT by 2025]]="yes",0,1),0)</f>
        <v>0</v>
      </c>
      <c r="Y121" s="1"/>
      <c r="Z121" s="1"/>
      <c r="AA121" s="51">
        <f ca="1">COUNTIF($X$5:Yards25[[#This Row],['# yards]],"&gt;0")</f>
        <v>3</v>
      </c>
      <c r="AB121" s="1">
        <f ca="1">IF(ISBLANK(Yards25[[#This Row],[DSGN CALENDAR YEAR]]),ROUNDDOWN(Yards25[[#This Row],[Count]]/20,0)+$AB$1,Yards25[[#This Row],[DSGN CALENDAR YEAR]])</f>
        <v>2022</v>
      </c>
      <c r="AC121" s="16">
        <f ca="1">Yards25[[#This Row],[est. DSGN Year]]+1</f>
        <v>2023</v>
      </c>
    </row>
    <row r="122" spans="1:29" hidden="1">
      <c r="A122" s="13" t="s">
        <v>248</v>
      </c>
      <c r="B122" s="51" t="str">
        <f>VLOOKUP(Yards25[[#This Row],[DEVELOPMENT]],Data[],2,FALSE)</f>
        <v>BROOKLYN</v>
      </c>
      <c r="C122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22" s="51" t="str">
        <f>VLOOKUP(Yards25[[#This Row],[DEVELOPMENT]],Data[],52,FALSE)</f>
        <v>FEDERAL</v>
      </c>
      <c r="E122" s="50">
        <f>VLOOKUP(Yards25[[#This Row],[DEVELOPMENT]],Data[],8,FALSE)</f>
        <v>0</v>
      </c>
      <c r="F122" s="51" t="str">
        <f>VLOOKUP(Yards25[[#This Row],[DEVELOPMENT]],all[[DEVELOPMENT]:[MRST Ext. Comp. Priority]],6,FALSE)</f>
        <v>C</v>
      </c>
      <c r="G122" s="51">
        <f>VLOOKUP(Yards25[[#This Row],[DEVELOPMENT]],all[[DEVELOPMENT]:[MRST Ext. Comp. Priority]],13,FALSE)</f>
        <v>2</v>
      </c>
      <c r="H122" s="50">
        <f>IF(VLOOKUP(Yards25[[#This Row],[DEVELOPMENT]],Data[],9,FALSE)=0,5,VLOOKUP(Yards25[[#This Row],[DEVELOPMENT]],Data[],9,FALSE))</f>
        <v>5</v>
      </c>
      <c r="I122" s="51">
        <f>VLOOKUP(Yards25[[#This Row],[DEVELOPMENT]],Data[],33,FALSE)</f>
        <v>0</v>
      </c>
      <c r="J122" s="51">
        <f>VLOOKUP(Yards25[[#This Row],[DEVELOPMENT]],Data[],28,FALSE)</f>
        <v>0</v>
      </c>
      <c r="K122" s="51"/>
      <c r="L122" s="50"/>
      <c r="M122" s="51">
        <f ca="1">IFERROR(VLOOKUP(Yards25[[#This Row],[DEVELOPMENT]],Data[],4,FALSE),"")</f>
        <v>2019</v>
      </c>
      <c r="N122" s="51" t="str">
        <f ca="1">IF(Yards25[[#This Row],[RAD/PACT]]="","",IF(OR(Yards25[[#This Row],[RAD/PACT]]="2022-2025",Yards25[[#This Row],[RAD/PACT]]=2019,Yards25[[#This Row],[RAD/PACT]]="2020-2021"),"Yes",""))</f>
        <v>Yes</v>
      </c>
      <c r="O122" s="51" t="str">
        <f ca="1">IFERROR(VLOOKUP(Yards25[[#This Row],[DEVELOPMENT]],ExtComp[],8,FALSE),"")</f>
        <v/>
      </c>
      <c r="P122" s="51"/>
      <c r="Q122" s="51"/>
      <c r="R122" s="51" t="str">
        <f>IF(ISBLANK(Yards25[[#This Row],[DSGN CALENDAR YEAR]]),"",Yards25[[#This Row],[DSGN CALENDAR YEAR]]+1)</f>
        <v/>
      </c>
      <c r="S122" s="51" t="str">
        <f>IF(ISBLANK(Yards25[[#This Row],[DSGN FISCAL YEAR]]),"",Yards25[[#This Row],[DSGN FISCAL YEAR]]+1)</f>
        <v/>
      </c>
      <c r="T122" s="51"/>
      <c r="U122" s="128">
        <f ca="1">Yards25[[#This Row],[Estimate]]*0.1</f>
        <v>0</v>
      </c>
      <c r="V122" s="47">
        <f ca="1">Yards25[[#This Row],[Estimate]]-Yards25[[#This Row],[Design Est.]]</f>
        <v>0</v>
      </c>
      <c r="W122" s="85">
        <f ca="1">(Yards25[[#This Row],['# yards]]*INDEX(UnitCosts[],MATCH(Yards25[[#This Row],[WORK TYPE]],UnitCosts[Work Type],0),2))*(1+((Yards25[[#This Row],[est. CONS Year]]-YEAR(TODAY()))*$W$3))</f>
        <v>0</v>
      </c>
      <c r="X122" s="142">
        <f>IF(ISNUMBER(SEARCH("LLC",Yards25[[#This Row],[PROGRAM]])),IF(Yards25[[#This Row],[RAD/PACT by 2025]]="yes",0,1),0)</f>
        <v>0</v>
      </c>
      <c r="Y122" s="1"/>
      <c r="Z122" s="1"/>
      <c r="AA122" s="51">
        <f ca="1">COUNTIF($X$5:Yards25[[#This Row],['# yards]],"&gt;0")</f>
        <v>3</v>
      </c>
      <c r="AB122" s="1">
        <f ca="1">IF(ISBLANK(Yards25[[#This Row],[DSGN CALENDAR YEAR]]),ROUNDDOWN(Yards25[[#This Row],[Count]]/20,0)+$AB$1,Yards25[[#This Row],[DSGN CALENDAR YEAR]])</f>
        <v>2022</v>
      </c>
      <c r="AC122" s="16">
        <f ca="1">Yards25[[#This Row],[est. DSGN Year]]+1</f>
        <v>2023</v>
      </c>
    </row>
    <row r="123" spans="1:29" hidden="1">
      <c r="A123" s="13" t="s">
        <v>277</v>
      </c>
      <c r="B123" s="51" t="str">
        <f>VLOOKUP(Yards25[[#This Row],[DEVELOPMENT]],Data[],2,FALSE)</f>
        <v>BRONX</v>
      </c>
      <c r="C12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23" s="51" t="str">
        <f>VLOOKUP(Yards25[[#This Row],[DEVELOPMENT]],Data[],52,FALSE)</f>
        <v>FEDERAL</v>
      </c>
      <c r="E123" s="50">
        <f>VLOOKUP(Yards25[[#This Row],[DEVELOPMENT]],Data[],8,FALSE)</f>
        <v>0</v>
      </c>
      <c r="F123" s="51" t="str">
        <f>VLOOKUP(Yards25[[#This Row],[DEVELOPMENT]],all[[DEVELOPMENT]:[MRST Ext. Comp. Priority]],6,FALSE)</f>
        <v>C</v>
      </c>
      <c r="G123" s="51">
        <f>VLOOKUP(Yards25[[#This Row],[DEVELOPMENT]],all[[DEVELOPMENT]:[MRST Ext. Comp. Priority]],13,FALSE)</f>
        <v>2</v>
      </c>
      <c r="H123" s="50">
        <f>IF(VLOOKUP(Yards25[[#This Row],[DEVELOPMENT]],Data[],9,FALSE)=0,5,VLOOKUP(Yards25[[#This Row],[DEVELOPMENT]],Data[],9,FALSE))</f>
        <v>5</v>
      </c>
      <c r="I123" s="51">
        <f>VLOOKUP(Yards25[[#This Row],[DEVELOPMENT]],Data[],33,FALSE)</f>
        <v>1</v>
      </c>
      <c r="J123" s="51">
        <f>VLOOKUP(Yards25[[#This Row],[DEVELOPMENT]],Data[],28,FALSE)</f>
        <v>0</v>
      </c>
      <c r="K123" s="51"/>
      <c r="L123" s="50"/>
      <c r="M123" s="51" t="str">
        <f ca="1">IFERROR(VLOOKUP(Yards25[[#This Row],[DEVELOPMENT]],Data[],4,FALSE),"")</f>
        <v/>
      </c>
      <c r="N123" s="51" t="str">
        <f ca="1">IF(Yards25[[#This Row],[RAD/PACT]]="","",IF(OR(Yards25[[#This Row],[RAD/PACT]]="2022-2025",Yards25[[#This Row],[RAD/PACT]]=2019,Yards25[[#This Row],[RAD/PACT]]="2020-2021"),"Yes",""))</f>
        <v/>
      </c>
      <c r="O123" s="51" t="str">
        <f ca="1">IFERROR(VLOOKUP(Yards25[[#This Row],[DEVELOPMENT]],ExtComp[],8,FALSE),"")</f>
        <v/>
      </c>
      <c r="P123" s="51"/>
      <c r="Q123" s="51"/>
      <c r="R123" s="51" t="str">
        <f>IF(ISBLANK(Yards25[[#This Row],[DSGN CALENDAR YEAR]]),"",Yards25[[#This Row],[DSGN CALENDAR YEAR]]+1)</f>
        <v/>
      </c>
      <c r="S123" s="51" t="str">
        <f>IF(ISBLANK(Yards25[[#This Row],[DSGN FISCAL YEAR]]),"",Yards25[[#This Row],[DSGN FISCAL YEAR]]+1)</f>
        <v/>
      </c>
      <c r="T123" s="51"/>
      <c r="U123" s="128">
        <f ca="1">Yards25[[#This Row],[Estimate]]*0.1</f>
        <v>0</v>
      </c>
      <c r="V123" s="47">
        <f ca="1">Yards25[[#This Row],[Estimate]]-Yards25[[#This Row],[Design Est.]]</f>
        <v>0</v>
      </c>
      <c r="W123" s="85">
        <f ca="1">(Yards25[[#This Row],['# yards]]*INDEX(UnitCosts[],MATCH(Yards25[[#This Row],[WORK TYPE]],UnitCosts[Work Type],0),2))*(1+((Yards25[[#This Row],[est. CONS Year]]-YEAR(TODAY()))*$W$3))</f>
        <v>0</v>
      </c>
      <c r="X123" s="142">
        <f>IF(ISNUMBER(SEARCH("LLC",Yards25[[#This Row],[PROGRAM]])),IF(Yards25[[#This Row],[RAD/PACT by 2025]]="yes",0,1),0)</f>
        <v>0</v>
      </c>
      <c r="Y123" s="1"/>
      <c r="Z123" s="1"/>
      <c r="AA123" s="51">
        <f ca="1">COUNTIF($X$5:Yards25[[#This Row],['# yards]],"&gt;0")</f>
        <v>3</v>
      </c>
      <c r="AB123" s="1">
        <f ca="1">IF(ISBLANK(Yards25[[#This Row],[DSGN CALENDAR YEAR]]),ROUNDDOWN(Yards25[[#This Row],[Count]]/20,0)+$AB$1,Yards25[[#This Row],[DSGN CALENDAR YEAR]])</f>
        <v>2022</v>
      </c>
      <c r="AC123" s="16">
        <f ca="1">Yards25[[#This Row],[est. DSGN Year]]+1</f>
        <v>2023</v>
      </c>
    </row>
    <row r="124" spans="1:29" hidden="1">
      <c r="A124" s="13" t="s">
        <v>249</v>
      </c>
      <c r="B124" s="51" t="str">
        <f>VLOOKUP(Yards25[[#This Row],[DEVELOPMENT]],Data[],2,FALSE)</f>
        <v>BROOKLYN</v>
      </c>
      <c r="C12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24" s="51" t="str">
        <f>VLOOKUP(Yards25[[#This Row],[DEVELOPMENT]],Data[],52,FALSE)</f>
        <v>FEDERAL</v>
      </c>
      <c r="E124" s="50">
        <f>VLOOKUP(Yards25[[#This Row],[DEVELOPMENT]],Data[],8,FALSE)</f>
        <v>0</v>
      </c>
      <c r="F124" s="51" t="str">
        <f>VLOOKUP(Yards25[[#This Row],[DEVELOPMENT]],all[[DEVELOPMENT]:[MRST Ext. Comp. Priority]],6,FALSE)</f>
        <v>C</v>
      </c>
      <c r="G124" s="51">
        <f>VLOOKUP(Yards25[[#This Row],[DEVELOPMENT]],all[[DEVELOPMENT]:[MRST Ext. Comp. Priority]],13,FALSE)</f>
        <v>3</v>
      </c>
      <c r="H124" s="50">
        <f>IF(VLOOKUP(Yards25[[#This Row],[DEVELOPMENT]],Data[],9,FALSE)=0,5,VLOOKUP(Yards25[[#This Row],[DEVELOPMENT]],Data[],9,FALSE))</f>
        <v>5</v>
      </c>
      <c r="I124" s="51">
        <f>VLOOKUP(Yards25[[#This Row],[DEVELOPMENT]],Data[],33,FALSE)</f>
        <v>4</v>
      </c>
      <c r="J124" s="51">
        <f>VLOOKUP(Yards25[[#This Row],[DEVELOPMENT]],Data[],28,FALSE)</f>
        <v>0</v>
      </c>
      <c r="K124" s="51"/>
      <c r="L124" s="50"/>
      <c r="M124" s="51" t="str">
        <f ca="1">IFERROR(VLOOKUP(Yards25[[#This Row],[DEVELOPMENT]],Data[],4,FALSE),"")</f>
        <v/>
      </c>
      <c r="N124" s="51" t="str">
        <f ca="1">IF(Yards25[[#This Row],[RAD/PACT]]="","",IF(OR(Yards25[[#This Row],[RAD/PACT]]="2022-2025",Yards25[[#This Row],[RAD/PACT]]=2019,Yards25[[#This Row],[RAD/PACT]]="2020-2021"),"Yes",""))</f>
        <v/>
      </c>
      <c r="O124" s="51">
        <f ca="1">IFERROR(VLOOKUP(Yards25[[#This Row],[DEVELOPMENT]],ExtComp[],8,FALSE),"")</f>
        <v>9</v>
      </c>
      <c r="P124" s="51"/>
      <c r="Q124" s="51"/>
      <c r="R124" s="51" t="str">
        <f>IF(ISBLANK(Yards25[[#This Row],[DSGN CALENDAR YEAR]]),"",Yards25[[#This Row],[DSGN CALENDAR YEAR]]+1)</f>
        <v/>
      </c>
      <c r="S124" s="51" t="str">
        <f>IF(ISBLANK(Yards25[[#This Row],[DSGN FISCAL YEAR]]),"",Yards25[[#This Row],[DSGN FISCAL YEAR]]+1)</f>
        <v/>
      </c>
      <c r="T124" s="51"/>
      <c r="U124" s="128">
        <f ca="1">Yards25[[#This Row],[Estimate]]*0.1</f>
        <v>0</v>
      </c>
      <c r="V124" s="47">
        <f ca="1">Yards25[[#This Row],[Estimate]]-Yards25[[#This Row],[Design Est.]]</f>
        <v>0</v>
      </c>
      <c r="W124" s="85">
        <f ca="1">(Yards25[[#This Row],['# yards]]*INDEX(UnitCosts[],MATCH(Yards25[[#This Row],[WORK TYPE]],UnitCosts[Work Type],0),2))*(1+((Yards25[[#This Row],[est. CONS Year]]-YEAR(TODAY()))*$W$3))</f>
        <v>0</v>
      </c>
      <c r="X124" s="142">
        <f>IF(ISNUMBER(SEARCH("LLC",Yards25[[#This Row],[PROGRAM]])),IF(Yards25[[#This Row],[RAD/PACT by 2025]]="yes",0,1),0)</f>
        <v>0</v>
      </c>
      <c r="Y124" s="1"/>
      <c r="Z124" s="1"/>
      <c r="AA124" s="51">
        <f ca="1">COUNTIF($X$5:Yards25[[#This Row],['# yards]],"&gt;0")</f>
        <v>3</v>
      </c>
      <c r="AB124" s="1">
        <f ca="1">IF(ISBLANK(Yards25[[#This Row],[DSGN CALENDAR YEAR]]),ROUNDDOWN(Yards25[[#This Row],[Count]]/20,0)+$AB$1,Yards25[[#This Row],[DSGN CALENDAR YEAR]])</f>
        <v>2022</v>
      </c>
      <c r="AC124" s="16">
        <f ca="1">Yards25[[#This Row],[est. DSGN Year]]+1</f>
        <v>2023</v>
      </c>
    </row>
    <row r="125" spans="1:29" hidden="1">
      <c r="A125" s="13" t="s">
        <v>250</v>
      </c>
      <c r="B125" s="51" t="str">
        <f>VLOOKUP(Yards25[[#This Row],[DEVELOPMENT]],Data[],2,FALSE)</f>
        <v>MANHATTAN</v>
      </c>
      <c r="C12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25" s="51" t="str">
        <f>VLOOKUP(Yards25[[#This Row],[DEVELOPMENT]],Data[],52,FALSE)</f>
        <v>FEDERAL</v>
      </c>
      <c r="E125" s="50" t="str">
        <f>VLOOKUP(Yards25[[#This Row],[DEVELOPMENT]],Data[],8,FALSE)</f>
        <v>Zone 3</v>
      </c>
      <c r="F125" s="51" t="str">
        <f>VLOOKUP(Yards25[[#This Row],[DEVELOPMENT]],all[[DEVELOPMENT]:[MRST Ext. Comp. Priority]],6,FALSE)</f>
        <v>C</v>
      </c>
      <c r="G125" s="51">
        <f>VLOOKUP(Yards25[[#This Row],[DEVELOPMENT]],all[[DEVELOPMENT]:[MRST Ext. Comp. Priority]],13,FALSE)</f>
        <v>4</v>
      </c>
      <c r="H125" s="50">
        <f>IF(VLOOKUP(Yards25[[#This Row],[DEVELOPMENT]],Data[],9,FALSE)=0,5,VLOOKUP(Yards25[[#This Row],[DEVELOPMENT]],Data[],9,FALSE))</f>
        <v>5</v>
      </c>
      <c r="I125" s="51">
        <f>VLOOKUP(Yards25[[#This Row],[DEVELOPMENT]],Data[],33,FALSE)</f>
        <v>0</v>
      </c>
      <c r="J125" s="51">
        <f>VLOOKUP(Yards25[[#This Row],[DEVELOPMENT]],Data[],28,FALSE)</f>
        <v>0</v>
      </c>
      <c r="K125" s="51"/>
      <c r="L125" s="50"/>
      <c r="M125" s="51" t="str">
        <f ca="1">IFERROR(VLOOKUP(Yards25[[#This Row],[DEVELOPMENT]],Data[],4,FALSE),"")</f>
        <v/>
      </c>
      <c r="N125" s="51" t="str">
        <f ca="1">IF(Yards25[[#This Row],[RAD/PACT]]="","",IF(OR(Yards25[[#This Row],[RAD/PACT]]="2022-2025",Yards25[[#This Row],[RAD/PACT]]=2019,Yards25[[#This Row],[RAD/PACT]]="2020-2021"),"Yes",""))</f>
        <v/>
      </c>
      <c r="O125" s="51" t="str">
        <f ca="1">IFERROR(VLOOKUP(Yards25[[#This Row],[DEVELOPMENT]],ExtComp[],8,FALSE),"")</f>
        <v/>
      </c>
      <c r="P125" s="51"/>
      <c r="Q125" s="51"/>
      <c r="R125" s="51" t="str">
        <f>IF(ISBLANK(Yards25[[#This Row],[DSGN CALENDAR YEAR]]),"",Yards25[[#This Row],[DSGN CALENDAR YEAR]]+1)</f>
        <v/>
      </c>
      <c r="S125" s="51" t="str">
        <f>IF(ISBLANK(Yards25[[#This Row],[DSGN FISCAL YEAR]]),"",Yards25[[#This Row],[DSGN FISCAL YEAR]]+1)</f>
        <v/>
      </c>
      <c r="T125" s="51"/>
      <c r="U125" s="128">
        <f ca="1">Yards25[[#This Row],[Estimate]]*0.1</f>
        <v>0</v>
      </c>
      <c r="V125" s="47">
        <f ca="1">Yards25[[#This Row],[Estimate]]-Yards25[[#This Row],[Design Est.]]</f>
        <v>0</v>
      </c>
      <c r="W125" s="85">
        <f ca="1">(Yards25[[#This Row],['# yards]]*INDEX(UnitCosts[],MATCH(Yards25[[#This Row],[WORK TYPE]],UnitCosts[Work Type],0),2))*(1+((Yards25[[#This Row],[est. CONS Year]]-YEAR(TODAY()))*$W$3))</f>
        <v>0</v>
      </c>
      <c r="X125" s="142">
        <f>IF(ISNUMBER(SEARCH("LLC",Yards25[[#This Row],[PROGRAM]])),IF(Yards25[[#This Row],[RAD/PACT by 2025]]="yes",0,1),0)</f>
        <v>0</v>
      </c>
      <c r="Y125" s="1"/>
      <c r="Z125" s="1"/>
      <c r="AA125" s="51">
        <f ca="1">COUNTIF($X$5:Yards25[[#This Row],['# yards]],"&gt;0")</f>
        <v>3</v>
      </c>
      <c r="AB125" s="1">
        <f ca="1">IF(ISBLANK(Yards25[[#This Row],[DSGN CALENDAR YEAR]]),ROUNDDOWN(Yards25[[#This Row],[Count]]/20,0)+$AB$1,Yards25[[#This Row],[DSGN CALENDAR YEAR]])</f>
        <v>2022</v>
      </c>
      <c r="AC125" s="16">
        <f ca="1">Yards25[[#This Row],[est. DSGN Year]]+1</f>
        <v>2023</v>
      </c>
    </row>
    <row r="126" spans="1:29" hidden="1">
      <c r="A126" s="13" t="s">
        <v>251</v>
      </c>
      <c r="B126" s="51" t="str">
        <f>VLOOKUP(Yards25[[#This Row],[DEVELOPMENT]],Data[],2,FALSE)</f>
        <v>MANHATTAN</v>
      </c>
      <c r="C126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26" s="51" t="str">
        <f>VLOOKUP(Yards25[[#This Row],[DEVELOPMENT]],Data[],52,FALSE)</f>
        <v>FEDERAL</v>
      </c>
      <c r="E126" s="50">
        <f>VLOOKUP(Yards25[[#This Row],[DEVELOPMENT]],Data[],8,FALSE)</f>
        <v>0</v>
      </c>
      <c r="F126" s="51" t="str">
        <f>VLOOKUP(Yards25[[#This Row],[DEVELOPMENT]],all[[DEVELOPMENT]:[MRST Ext. Comp. Priority]],6,FALSE)</f>
        <v>C</v>
      </c>
      <c r="G126" s="51">
        <f>VLOOKUP(Yards25[[#This Row],[DEVELOPMENT]],all[[DEVELOPMENT]:[MRST Ext. Comp. Priority]],13,FALSE)</f>
        <v>2</v>
      </c>
      <c r="H126" s="50">
        <f>IF(VLOOKUP(Yards25[[#This Row],[DEVELOPMENT]],Data[],9,FALSE)=0,5,VLOOKUP(Yards25[[#This Row],[DEVELOPMENT]],Data[],9,FALSE))</f>
        <v>5</v>
      </c>
      <c r="I126" s="51">
        <f>VLOOKUP(Yards25[[#This Row],[DEVELOPMENT]],Data[],33,FALSE)</f>
        <v>0</v>
      </c>
      <c r="J126" s="51">
        <f>VLOOKUP(Yards25[[#This Row],[DEVELOPMENT]],Data[],28,FALSE)</f>
        <v>0</v>
      </c>
      <c r="K126" s="51"/>
      <c r="L126" s="50"/>
      <c r="M126" s="51" t="str">
        <f ca="1">IFERROR(VLOOKUP(Yards25[[#This Row],[DEVELOPMENT]],Data[],4,FALSE),"")</f>
        <v/>
      </c>
      <c r="N126" s="51" t="str">
        <f ca="1">IF(Yards25[[#This Row],[RAD/PACT]]="","",IF(OR(Yards25[[#This Row],[RAD/PACT]]="2022-2025",Yards25[[#This Row],[RAD/PACT]]=2019,Yards25[[#This Row],[RAD/PACT]]="2020-2021"),"Yes",""))</f>
        <v/>
      </c>
      <c r="O126" s="51" t="str">
        <f ca="1">IFERROR(VLOOKUP(Yards25[[#This Row],[DEVELOPMENT]],ExtComp[],8,FALSE),"")</f>
        <v/>
      </c>
      <c r="P126" s="51"/>
      <c r="Q126" s="51"/>
      <c r="R126" s="51" t="str">
        <f>IF(ISBLANK(Yards25[[#This Row],[DSGN CALENDAR YEAR]]),"",Yards25[[#This Row],[DSGN CALENDAR YEAR]]+1)</f>
        <v/>
      </c>
      <c r="S126" s="51" t="str">
        <f>IF(ISBLANK(Yards25[[#This Row],[DSGN FISCAL YEAR]]),"",Yards25[[#This Row],[DSGN FISCAL YEAR]]+1)</f>
        <v/>
      </c>
      <c r="T126" s="51"/>
      <c r="U126" s="128">
        <f ca="1">Yards25[[#This Row],[Estimate]]*0.1</f>
        <v>0</v>
      </c>
      <c r="V126" s="47">
        <f ca="1">Yards25[[#This Row],[Estimate]]-Yards25[[#This Row],[Design Est.]]</f>
        <v>0</v>
      </c>
      <c r="W126" s="85">
        <f ca="1">(Yards25[[#This Row],['# yards]]*INDEX(UnitCosts[],MATCH(Yards25[[#This Row],[WORK TYPE]],UnitCosts[Work Type],0),2))*(1+((Yards25[[#This Row],[est. CONS Year]]-YEAR(TODAY()))*$W$3))</f>
        <v>0</v>
      </c>
      <c r="X126" s="142">
        <f>IF(ISNUMBER(SEARCH("LLC",Yards25[[#This Row],[PROGRAM]])),IF(Yards25[[#This Row],[RAD/PACT by 2025]]="yes",0,1),0)</f>
        <v>0</v>
      </c>
      <c r="Y126" s="1"/>
      <c r="Z126" s="1"/>
      <c r="AA126" s="51">
        <f ca="1">COUNTIF($X$5:Yards25[[#This Row],['# yards]],"&gt;0")</f>
        <v>3</v>
      </c>
      <c r="AB126" s="1">
        <f ca="1">IF(ISBLANK(Yards25[[#This Row],[DSGN CALENDAR YEAR]]),ROUNDDOWN(Yards25[[#This Row],[Count]]/20,0)+$AB$1,Yards25[[#This Row],[DSGN CALENDAR YEAR]])</f>
        <v>2022</v>
      </c>
      <c r="AC126" s="16">
        <f ca="1">Yards25[[#This Row],[est. DSGN Year]]+1</f>
        <v>2023</v>
      </c>
    </row>
    <row r="127" spans="1:29" hidden="1">
      <c r="A127" s="13" t="s">
        <v>252</v>
      </c>
      <c r="B127" s="51" t="str">
        <f>VLOOKUP(Yards25[[#This Row],[DEVELOPMENT]],Data[],2,FALSE)</f>
        <v>MANHATTAN</v>
      </c>
      <c r="C127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27" s="51" t="str">
        <f>VLOOKUP(Yards25[[#This Row],[DEVELOPMENT]],Data[],52,FALSE)</f>
        <v>FEDERAL</v>
      </c>
      <c r="E127" s="50" t="str">
        <f>VLOOKUP(Yards25[[#This Row],[DEVELOPMENT]],Data[],8,FALSE)</f>
        <v>Zone 4</v>
      </c>
      <c r="F127" s="51" t="str">
        <f>VLOOKUP(Yards25[[#This Row],[DEVELOPMENT]],all[[DEVELOPMENT]:[MRST Ext. Comp. Priority]],6,FALSE)</f>
        <v>C</v>
      </c>
      <c r="G127" s="51">
        <f>VLOOKUP(Yards25[[#This Row],[DEVELOPMENT]],all[[DEVELOPMENT]:[MRST Ext. Comp. Priority]],13,FALSE)</f>
        <v>3</v>
      </c>
      <c r="H127" s="50">
        <f>IF(VLOOKUP(Yards25[[#This Row],[DEVELOPMENT]],Data[],9,FALSE)=0,5,VLOOKUP(Yards25[[#This Row],[DEVELOPMENT]],Data[],9,FALSE))</f>
        <v>5</v>
      </c>
      <c r="I127" s="51">
        <f>VLOOKUP(Yards25[[#This Row],[DEVELOPMENT]],Data[],33,FALSE)</f>
        <v>0</v>
      </c>
      <c r="J127" s="51">
        <f>VLOOKUP(Yards25[[#This Row],[DEVELOPMENT]],Data[],28,FALSE)</f>
        <v>0</v>
      </c>
      <c r="K127" s="51"/>
      <c r="L127" s="50"/>
      <c r="M127" s="51" t="str">
        <f ca="1">IFERROR(VLOOKUP(Yards25[[#This Row],[DEVELOPMENT]],Data[],4,FALSE),"")</f>
        <v/>
      </c>
      <c r="N127" s="51" t="str">
        <f ca="1">IF(Yards25[[#This Row],[RAD/PACT]]="","",IF(OR(Yards25[[#This Row],[RAD/PACT]]="2022-2025",Yards25[[#This Row],[RAD/PACT]]=2019,Yards25[[#This Row],[RAD/PACT]]="2020-2021"),"Yes",""))</f>
        <v/>
      </c>
      <c r="O127" s="51" t="str">
        <f ca="1">IFERROR(VLOOKUP(Yards25[[#This Row],[DEVELOPMENT]],ExtComp[],8,FALSE),"")</f>
        <v/>
      </c>
      <c r="P127" s="51"/>
      <c r="Q127" s="51"/>
      <c r="R127" s="51" t="str">
        <f>IF(ISBLANK(Yards25[[#This Row],[DSGN CALENDAR YEAR]]),"",Yards25[[#This Row],[DSGN CALENDAR YEAR]]+1)</f>
        <v/>
      </c>
      <c r="S127" s="51" t="str">
        <f>IF(ISBLANK(Yards25[[#This Row],[DSGN FISCAL YEAR]]),"",Yards25[[#This Row],[DSGN FISCAL YEAR]]+1)</f>
        <v/>
      </c>
      <c r="T127" s="51"/>
      <c r="U127" s="128">
        <f>Yards25[[#This Row],[Estimate]]*0.1</f>
        <v>0</v>
      </c>
      <c r="V127" s="47">
        <f>Yards25[[#This Row],[Estimate]]-Yards25[[#This Row],[Design Est.]]</f>
        <v>0</v>
      </c>
      <c r="W127" s="85"/>
      <c r="X127" s="142"/>
      <c r="Y127" s="1"/>
      <c r="Z127" s="1"/>
      <c r="AA127" s="51">
        <f ca="1">COUNTIF($X$5:Yards25[[#This Row],['# yards]],"&gt;0")</f>
        <v>3</v>
      </c>
      <c r="AB127" s="1">
        <f ca="1">IF(ISBLANK(Yards25[[#This Row],[DSGN CALENDAR YEAR]]),ROUNDDOWN(Yards25[[#This Row],[Count]]/20,0)+$AB$1,Yards25[[#This Row],[DSGN CALENDAR YEAR]])</f>
        <v>2022</v>
      </c>
      <c r="AC127" s="16">
        <f ca="1">Yards25[[#This Row],[est. DSGN Year]]+1</f>
        <v>2023</v>
      </c>
    </row>
    <row r="128" spans="1:29" hidden="1">
      <c r="A128" s="13" t="s">
        <v>253</v>
      </c>
      <c r="B128" s="51" t="str">
        <f>VLOOKUP(Yards25[[#This Row],[DEVELOPMENT]],Data[],2,FALSE)</f>
        <v>BRONX</v>
      </c>
      <c r="C128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28" s="51" t="str">
        <f>VLOOKUP(Yards25[[#This Row],[DEVELOPMENT]],Data[],52,FALSE)</f>
        <v>FEDERAL</v>
      </c>
      <c r="E128" s="50">
        <f>VLOOKUP(Yards25[[#This Row],[DEVELOPMENT]],Data[],8,FALSE)</f>
        <v>0</v>
      </c>
      <c r="F128" s="51" t="str">
        <f>VLOOKUP(Yards25[[#This Row],[DEVELOPMENT]],all[[DEVELOPMENT]:[MRST Ext. Comp. Priority]],6,FALSE)</f>
        <v>C</v>
      </c>
      <c r="G128" s="51">
        <f>VLOOKUP(Yards25[[#This Row],[DEVELOPMENT]],all[[DEVELOPMENT]:[MRST Ext. Comp. Priority]],13,FALSE)</f>
        <v>3</v>
      </c>
      <c r="H128" s="50">
        <f>IF(VLOOKUP(Yards25[[#This Row],[DEVELOPMENT]],Data[],9,FALSE)=0,5,VLOOKUP(Yards25[[#This Row],[DEVELOPMENT]],Data[],9,FALSE))</f>
        <v>5</v>
      </c>
      <c r="I128" s="51">
        <f>VLOOKUP(Yards25[[#This Row],[DEVELOPMENT]],Data[],33,FALSE)</f>
        <v>0</v>
      </c>
      <c r="J128" s="51">
        <f>VLOOKUP(Yards25[[#This Row],[DEVELOPMENT]],Data[],28,FALSE)</f>
        <v>0</v>
      </c>
      <c r="K128" s="51"/>
      <c r="L128" s="50"/>
      <c r="M128" s="51" t="str">
        <f ca="1">IFERROR(VLOOKUP(Yards25[[#This Row],[DEVELOPMENT]],Data[],4,FALSE),"")</f>
        <v>2022-2025</v>
      </c>
      <c r="N128" s="51" t="str">
        <f ca="1">IF(Yards25[[#This Row],[RAD/PACT]]="","",IF(OR(Yards25[[#This Row],[RAD/PACT]]="2022-2025",Yards25[[#This Row],[RAD/PACT]]=2019,Yards25[[#This Row],[RAD/PACT]]="2020-2021"),"Yes",""))</f>
        <v>Yes</v>
      </c>
      <c r="O128" s="51" t="str">
        <f ca="1">IFERROR(VLOOKUP(Yards25[[#This Row],[DEVELOPMENT]],ExtComp[],8,FALSE),"")</f>
        <v/>
      </c>
      <c r="P128" s="51"/>
      <c r="Q128" s="51"/>
      <c r="R128" s="51" t="str">
        <f>IF(ISBLANK(Yards25[[#This Row],[DSGN CALENDAR YEAR]]),"",Yards25[[#This Row],[DSGN CALENDAR YEAR]]+1)</f>
        <v/>
      </c>
      <c r="S128" s="51" t="str">
        <f>IF(ISBLANK(Yards25[[#This Row],[DSGN FISCAL YEAR]]),"",Yards25[[#This Row],[DSGN FISCAL YEAR]]+1)</f>
        <v/>
      </c>
      <c r="T128" s="51"/>
      <c r="U128" s="128">
        <f ca="1">Yards25[[#This Row],[Estimate]]*0.1</f>
        <v>0</v>
      </c>
      <c r="V128" s="47">
        <f ca="1">Yards25[[#This Row],[Estimate]]-Yards25[[#This Row],[Design Est.]]</f>
        <v>0</v>
      </c>
      <c r="W128" s="85">
        <f ca="1">(Yards25[[#This Row],['# yards]]*INDEX(UnitCosts[],MATCH(Yards25[[#This Row],[WORK TYPE]],UnitCosts[Work Type],0),2))*(1+((Yards25[[#This Row],[est. CONS Year]]-YEAR(TODAY()))*$W$3))</f>
        <v>0</v>
      </c>
      <c r="X128" s="142">
        <f>IF(ISNUMBER(SEARCH("LLC",Yards25[[#This Row],[PROGRAM]])),IF(Yards25[[#This Row],[RAD/PACT by 2025]]="yes",0,1),0)</f>
        <v>0</v>
      </c>
      <c r="Y128" s="1"/>
      <c r="Z128" s="1"/>
      <c r="AA128" s="51">
        <f ca="1">COUNTIF($X$5:Yards25[[#This Row],['# yards]],"&gt;0")</f>
        <v>3</v>
      </c>
      <c r="AB128" s="1">
        <f ca="1">IF(ISBLANK(Yards25[[#This Row],[DSGN CALENDAR YEAR]]),ROUNDDOWN(Yards25[[#This Row],[Count]]/20,0)+$AB$1,Yards25[[#This Row],[DSGN CALENDAR YEAR]])</f>
        <v>2022</v>
      </c>
      <c r="AC128" s="16">
        <f ca="1">Yards25[[#This Row],[est. DSGN Year]]+1</f>
        <v>2023</v>
      </c>
    </row>
    <row r="129" spans="1:29" hidden="1">
      <c r="A129" s="13" t="s">
        <v>254</v>
      </c>
      <c r="B129" s="51" t="str">
        <f>VLOOKUP(Yards25[[#This Row],[DEVELOPMENT]],Data[],2,FALSE)</f>
        <v>BROOKLYN</v>
      </c>
      <c r="C129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29" s="51" t="str">
        <f>VLOOKUP(Yards25[[#This Row],[DEVELOPMENT]],Data[],52,FALSE)</f>
        <v>FEDERAL</v>
      </c>
      <c r="E129" s="50">
        <f>VLOOKUP(Yards25[[#This Row],[DEVELOPMENT]],Data[],8,FALSE)</f>
        <v>0</v>
      </c>
      <c r="F129" s="51" t="str">
        <f>VLOOKUP(Yards25[[#This Row],[DEVELOPMENT]],all[[DEVELOPMENT]:[MRST Ext. Comp. Priority]],6,FALSE)</f>
        <v>C</v>
      </c>
      <c r="G129" s="51">
        <f>VLOOKUP(Yards25[[#This Row],[DEVELOPMENT]],all[[DEVELOPMENT]:[MRST Ext. Comp. Priority]],13,FALSE)</f>
        <v>3</v>
      </c>
      <c r="H129" s="50">
        <f>IF(VLOOKUP(Yards25[[#This Row],[DEVELOPMENT]],Data[],9,FALSE)=0,5,VLOOKUP(Yards25[[#This Row],[DEVELOPMENT]],Data[],9,FALSE))</f>
        <v>5</v>
      </c>
      <c r="I129" s="51">
        <f>VLOOKUP(Yards25[[#This Row],[DEVELOPMENT]],Data[],33,FALSE)</f>
        <v>0</v>
      </c>
      <c r="J129" s="51">
        <f>VLOOKUP(Yards25[[#This Row],[DEVELOPMENT]],Data[],28,FALSE)</f>
        <v>0</v>
      </c>
      <c r="K129" s="51"/>
      <c r="L129" s="50"/>
      <c r="M129" s="51" t="str">
        <f ca="1">IFERROR(VLOOKUP(Yards25[[#This Row],[DEVELOPMENT]],Data[],4,FALSE),"")</f>
        <v/>
      </c>
      <c r="N129" s="51" t="str">
        <f ca="1">IF(Yards25[[#This Row],[RAD/PACT]]="","",IF(OR(Yards25[[#This Row],[RAD/PACT]]="2022-2025",Yards25[[#This Row],[RAD/PACT]]=2019,Yards25[[#This Row],[RAD/PACT]]="2020-2021"),"Yes",""))</f>
        <v/>
      </c>
      <c r="O129" s="51" t="str">
        <f ca="1">IFERROR(VLOOKUP(Yards25[[#This Row],[DEVELOPMENT]],ExtComp[],8,FALSE),"")</f>
        <v/>
      </c>
      <c r="P129" s="51"/>
      <c r="Q129" s="51"/>
      <c r="R129" s="51" t="str">
        <f>IF(ISBLANK(Yards25[[#This Row],[DSGN CALENDAR YEAR]]),"",Yards25[[#This Row],[DSGN CALENDAR YEAR]]+1)</f>
        <v/>
      </c>
      <c r="S129" s="51" t="str">
        <f>IF(ISBLANK(Yards25[[#This Row],[DSGN FISCAL YEAR]]),"",Yards25[[#This Row],[DSGN FISCAL YEAR]]+1)</f>
        <v/>
      </c>
      <c r="T129" s="51"/>
      <c r="U129" s="128">
        <f ca="1">Yards25[[#This Row],[Estimate]]*0.1</f>
        <v>0</v>
      </c>
      <c r="V129" s="47">
        <f ca="1">Yards25[[#This Row],[Estimate]]-Yards25[[#This Row],[Design Est.]]</f>
        <v>0</v>
      </c>
      <c r="W129" s="85">
        <f ca="1">(Yards25[[#This Row],['# yards]]*INDEX(UnitCosts[],MATCH(Yards25[[#This Row],[WORK TYPE]],UnitCosts[Work Type],0),2))*(1+((Yards25[[#This Row],[est. CONS Year]]-YEAR(TODAY()))*$W$3))</f>
        <v>0</v>
      </c>
      <c r="X129" s="142">
        <f>IF(ISNUMBER(SEARCH("LLC",Yards25[[#This Row],[PROGRAM]])),IF(Yards25[[#This Row],[RAD/PACT by 2025]]="yes",0,1),0)</f>
        <v>0</v>
      </c>
      <c r="Y129" s="1"/>
      <c r="Z129" s="1"/>
      <c r="AA129" s="51">
        <f ca="1">COUNTIF($X$5:Yards25[[#This Row],['# yards]],"&gt;0")</f>
        <v>3</v>
      </c>
      <c r="AB129" s="1">
        <f ca="1">IF(ISBLANK(Yards25[[#This Row],[DSGN CALENDAR YEAR]]),ROUNDDOWN(Yards25[[#This Row],[Count]]/20,0)+$AB$1,Yards25[[#This Row],[DSGN CALENDAR YEAR]])</f>
        <v>2022</v>
      </c>
      <c r="AC129" s="16">
        <f ca="1">Yards25[[#This Row],[est. DSGN Year]]+1</f>
        <v>2023</v>
      </c>
    </row>
    <row r="130" spans="1:29" hidden="1">
      <c r="A130" s="13" t="s">
        <v>255</v>
      </c>
      <c r="B130" s="51" t="str">
        <f>VLOOKUP(Yards25[[#This Row],[DEVELOPMENT]],Data[],2,FALSE)</f>
        <v>STATEN ISLAND</v>
      </c>
      <c r="C130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30" s="51" t="str">
        <f>VLOOKUP(Yards25[[#This Row],[DEVELOPMENT]],Data[],52,FALSE)</f>
        <v>FEDERAL</v>
      </c>
      <c r="E130" s="50">
        <f>VLOOKUP(Yards25[[#This Row],[DEVELOPMENT]],Data[],8,FALSE)</f>
        <v>0</v>
      </c>
      <c r="F130" s="51" t="str">
        <f>VLOOKUP(Yards25[[#This Row],[DEVELOPMENT]],all[[DEVELOPMENT]:[MRST Ext. Comp. Priority]],6,FALSE)</f>
        <v>C</v>
      </c>
      <c r="G130" s="51">
        <f>VLOOKUP(Yards25[[#This Row],[DEVELOPMENT]],all[[DEVELOPMENT]:[MRST Ext. Comp. Priority]],13,FALSE)</f>
        <v>3</v>
      </c>
      <c r="H130" s="50">
        <f>IF(VLOOKUP(Yards25[[#This Row],[DEVELOPMENT]],Data[],9,FALSE)=0,5,VLOOKUP(Yards25[[#This Row],[DEVELOPMENT]],Data[],9,FALSE))</f>
        <v>5</v>
      </c>
      <c r="I130" s="51">
        <f>VLOOKUP(Yards25[[#This Row],[DEVELOPMENT]],Data[],33,FALSE)</f>
        <v>1</v>
      </c>
      <c r="J130" s="51">
        <f>VLOOKUP(Yards25[[#This Row],[DEVELOPMENT]],Data[],28,FALSE)</f>
        <v>0</v>
      </c>
      <c r="K130" s="51"/>
      <c r="L130" s="50"/>
      <c r="M130" s="51" t="str">
        <f ca="1">IFERROR(VLOOKUP(Yards25[[#This Row],[DEVELOPMENT]],Data[],4,FALSE),"")</f>
        <v/>
      </c>
      <c r="N130" s="51" t="str">
        <f ca="1">IF(Yards25[[#This Row],[RAD/PACT]]="","",IF(OR(Yards25[[#This Row],[RAD/PACT]]="2022-2025",Yards25[[#This Row],[RAD/PACT]]=2019,Yards25[[#This Row],[RAD/PACT]]="2020-2021"),"Yes",""))</f>
        <v/>
      </c>
      <c r="O130" s="51">
        <f ca="1">IFERROR(VLOOKUP(Yards25[[#This Row],[DEVELOPMENT]],ExtComp[],8,FALSE),"")</f>
        <v>13</v>
      </c>
      <c r="P130" s="51"/>
      <c r="Q130" s="51"/>
      <c r="R130" s="51" t="str">
        <f>IF(ISBLANK(Yards25[[#This Row],[DSGN CALENDAR YEAR]]),"",Yards25[[#This Row],[DSGN CALENDAR YEAR]]+1)</f>
        <v/>
      </c>
      <c r="S130" s="51" t="str">
        <f>IF(ISBLANK(Yards25[[#This Row],[DSGN FISCAL YEAR]]),"",Yards25[[#This Row],[DSGN FISCAL YEAR]]+1)</f>
        <v/>
      </c>
      <c r="T130" s="51"/>
      <c r="U130" s="128">
        <f ca="1">Yards25[[#This Row],[Estimate]]*0.1</f>
        <v>0</v>
      </c>
      <c r="V130" s="47">
        <f ca="1">Yards25[[#This Row],[Estimate]]-Yards25[[#This Row],[Design Est.]]</f>
        <v>0</v>
      </c>
      <c r="W130" s="85">
        <f ca="1">(Yards25[[#This Row],['# yards]]*INDEX(UnitCosts[],MATCH(Yards25[[#This Row],[WORK TYPE]],UnitCosts[Work Type],0),2))*(1+((Yards25[[#This Row],[est. CONS Year]]-YEAR(TODAY()))*$W$3))</f>
        <v>0</v>
      </c>
      <c r="X130" s="142">
        <f>IF(ISNUMBER(SEARCH("LLC",Yards25[[#This Row],[PROGRAM]])),IF(Yards25[[#This Row],[RAD/PACT by 2025]]="yes",0,1),0)</f>
        <v>0</v>
      </c>
      <c r="Y130" s="1"/>
      <c r="Z130" s="1"/>
      <c r="AA130" s="51">
        <f ca="1">COUNTIF($X$5:Yards25[[#This Row],['# yards]],"&gt;0")</f>
        <v>3</v>
      </c>
      <c r="AB130" s="1">
        <f ca="1">IF(ISBLANK(Yards25[[#This Row],[DSGN CALENDAR YEAR]]),ROUNDDOWN(Yards25[[#This Row],[Count]]/20,0)+$AB$1,Yards25[[#This Row],[DSGN CALENDAR YEAR]])</f>
        <v>2022</v>
      </c>
      <c r="AC130" s="16">
        <f ca="1">Yards25[[#This Row],[est. DSGN Year]]+1</f>
        <v>2023</v>
      </c>
    </row>
    <row r="131" spans="1:29" hidden="1">
      <c r="A131" s="13" t="s">
        <v>256</v>
      </c>
      <c r="B131" s="51" t="str">
        <f>VLOOKUP(Yards25[[#This Row],[DEVELOPMENT]],Data[],2,FALSE)</f>
        <v>BROOKLYN</v>
      </c>
      <c r="C131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31" s="51" t="str">
        <f>VLOOKUP(Yards25[[#This Row],[DEVELOPMENT]],Data[],52,FALSE)</f>
        <v>FEDERAL</v>
      </c>
      <c r="E131" s="50">
        <f>VLOOKUP(Yards25[[#This Row],[DEVELOPMENT]],Data[],8,FALSE)</f>
        <v>0</v>
      </c>
      <c r="F131" s="51" t="str">
        <f>VLOOKUP(Yards25[[#This Row],[DEVELOPMENT]],all[[DEVELOPMENT]:[MRST Ext. Comp. Priority]],6,FALSE)</f>
        <v>C</v>
      </c>
      <c r="G131" s="51">
        <f>VLOOKUP(Yards25[[#This Row],[DEVELOPMENT]],all[[DEVELOPMENT]:[MRST Ext. Comp. Priority]],13,FALSE)</f>
        <v>3</v>
      </c>
      <c r="H131" s="50">
        <f>IF(VLOOKUP(Yards25[[#This Row],[DEVELOPMENT]],Data[],9,FALSE)=0,5,VLOOKUP(Yards25[[#This Row],[DEVELOPMENT]],Data[],9,FALSE))</f>
        <v>5</v>
      </c>
      <c r="I131" s="51">
        <f>VLOOKUP(Yards25[[#This Row],[DEVELOPMENT]],Data[],33,FALSE)</f>
        <v>0</v>
      </c>
      <c r="J131" s="51">
        <f>VLOOKUP(Yards25[[#This Row],[DEVELOPMENT]],Data[],28,FALSE)</f>
        <v>0</v>
      </c>
      <c r="K131" s="51"/>
      <c r="L131" s="50"/>
      <c r="M131" s="51" t="str">
        <f ca="1">IFERROR(VLOOKUP(Yards25[[#This Row],[DEVELOPMENT]],Data[],4,FALSE),"")</f>
        <v>2022-2025</v>
      </c>
      <c r="N131" s="51" t="str">
        <f ca="1">IF(Yards25[[#This Row],[RAD/PACT]]="","",IF(OR(Yards25[[#This Row],[RAD/PACT]]="2022-2025",Yards25[[#This Row],[RAD/PACT]]=2019,Yards25[[#This Row],[RAD/PACT]]="2020-2021"),"Yes",""))</f>
        <v>Yes</v>
      </c>
      <c r="O131" s="51" t="str">
        <f ca="1">IFERROR(VLOOKUP(Yards25[[#This Row],[DEVELOPMENT]],ExtComp[],8,FALSE),"")</f>
        <v/>
      </c>
      <c r="P131" s="51"/>
      <c r="Q131" s="51"/>
      <c r="R131" s="51" t="str">
        <f>IF(ISBLANK(Yards25[[#This Row],[DSGN CALENDAR YEAR]]),"",Yards25[[#This Row],[DSGN CALENDAR YEAR]]+1)</f>
        <v/>
      </c>
      <c r="S131" s="51" t="str">
        <f>IF(ISBLANK(Yards25[[#This Row],[DSGN FISCAL YEAR]]),"",Yards25[[#This Row],[DSGN FISCAL YEAR]]+1)</f>
        <v/>
      </c>
      <c r="T131" s="51"/>
      <c r="U131" s="128">
        <f ca="1">Yards25[[#This Row],[Estimate]]*0.1</f>
        <v>0</v>
      </c>
      <c r="V131" s="47">
        <f ca="1">Yards25[[#This Row],[Estimate]]-Yards25[[#This Row],[Design Est.]]</f>
        <v>0</v>
      </c>
      <c r="W131" s="85">
        <f ca="1">(Yards25[[#This Row],['# yards]]*INDEX(UnitCosts[],MATCH(Yards25[[#This Row],[WORK TYPE]],UnitCosts[Work Type],0),2))*(1+((Yards25[[#This Row],[est. CONS Year]]-YEAR(TODAY()))*$W$3))</f>
        <v>0</v>
      </c>
      <c r="X131" s="142">
        <f>IF(ISNUMBER(SEARCH("LLC",Yards25[[#This Row],[PROGRAM]])),IF(Yards25[[#This Row],[RAD/PACT by 2025]]="yes",0,1),0)</f>
        <v>0</v>
      </c>
      <c r="Y131" s="1"/>
      <c r="Z131" s="1"/>
      <c r="AA131" s="51">
        <f ca="1">COUNTIF($X$5:Yards25[[#This Row],['# yards]],"&gt;0")</f>
        <v>3</v>
      </c>
      <c r="AB131" s="1">
        <f ca="1">IF(ISBLANK(Yards25[[#This Row],[DSGN CALENDAR YEAR]]),ROUNDDOWN(Yards25[[#This Row],[Count]]/20,0)+$AB$1,Yards25[[#This Row],[DSGN CALENDAR YEAR]])</f>
        <v>2022</v>
      </c>
      <c r="AC131" s="16">
        <f ca="1">Yards25[[#This Row],[est. DSGN Year]]+1</f>
        <v>2023</v>
      </c>
    </row>
    <row r="132" spans="1:29" hidden="1">
      <c r="A132" s="13" t="s">
        <v>257</v>
      </c>
      <c r="B132" s="51" t="str">
        <f>VLOOKUP(Yards25[[#This Row],[DEVELOPMENT]],Data[],2,FALSE)</f>
        <v>BROOKLYN</v>
      </c>
      <c r="C13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32" s="51" t="str">
        <f>VLOOKUP(Yards25[[#This Row],[DEVELOPMENT]],Data[],52,FALSE)</f>
        <v>FEDERAL</v>
      </c>
      <c r="E132" s="50">
        <f>VLOOKUP(Yards25[[#This Row],[DEVELOPMENT]],Data[],8,FALSE)</f>
        <v>0</v>
      </c>
      <c r="F132" s="51" t="str">
        <f>VLOOKUP(Yards25[[#This Row],[DEVELOPMENT]],all[[DEVELOPMENT]:[MRST Ext. Comp. Priority]],6,FALSE)</f>
        <v>C</v>
      </c>
      <c r="G132" s="51">
        <f>VLOOKUP(Yards25[[#This Row],[DEVELOPMENT]],all[[DEVELOPMENT]:[MRST Ext. Comp. Priority]],13,FALSE)</f>
        <v>3</v>
      </c>
      <c r="H132" s="50">
        <f>IF(VLOOKUP(Yards25[[#This Row],[DEVELOPMENT]],Data[],9,FALSE)=0,5,VLOOKUP(Yards25[[#This Row],[DEVELOPMENT]],Data[],9,FALSE))</f>
        <v>5</v>
      </c>
      <c r="I132" s="51">
        <f>VLOOKUP(Yards25[[#This Row],[DEVELOPMENT]],Data[],33,FALSE)</f>
        <v>1</v>
      </c>
      <c r="J132" s="51">
        <f>VLOOKUP(Yards25[[#This Row],[DEVELOPMENT]],Data[],28,FALSE)</f>
        <v>0</v>
      </c>
      <c r="K132" s="51"/>
      <c r="L132" s="50"/>
      <c r="M132" s="51" t="str">
        <f ca="1">IFERROR(VLOOKUP(Yards25[[#This Row],[DEVELOPMENT]],Data[],4,FALSE),"")</f>
        <v>2026+</v>
      </c>
      <c r="N132" s="51" t="str">
        <f ca="1">IF(Yards25[[#This Row],[RAD/PACT]]="","",IF(OR(Yards25[[#This Row],[RAD/PACT]]="2022-2025",Yards25[[#This Row],[RAD/PACT]]=2019,Yards25[[#This Row],[RAD/PACT]]="2020-2021"),"Yes",""))</f>
        <v/>
      </c>
      <c r="O132" s="51">
        <f ca="1">IFERROR(VLOOKUP(Yards25[[#This Row],[DEVELOPMENT]],ExtComp[],8,FALSE),"")</f>
        <v>12</v>
      </c>
      <c r="P132" s="51"/>
      <c r="Q132" s="51"/>
      <c r="R132" s="51" t="str">
        <f>IF(ISBLANK(Yards25[[#This Row],[DSGN CALENDAR YEAR]]),"",Yards25[[#This Row],[DSGN CALENDAR YEAR]]+1)</f>
        <v/>
      </c>
      <c r="S132" s="51" t="str">
        <f>IF(ISBLANK(Yards25[[#This Row],[DSGN FISCAL YEAR]]),"",Yards25[[#This Row],[DSGN FISCAL YEAR]]+1)</f>
        <v/>
      </c>
      <c r="T132" s="51"/>
      <c r="U132" s="128">
        <f ca="1">Yards25[[#This Row],[Estimate]]*0.1</f>
        <v>0</v>
      </c>
      <c r="V132" s="47">
        <f ca="1">Yards25[[#This Row],[Estimate]]-Yards25[[#This Row],[Design Est.]]</f>
        <v>0</v>
      </c>
      <c r="W132" s="85">
        <f ca="1">(Yards25[[#This Row],['# yards]]*INDEX(UnitCosts[],MATCH(Yards25[[#This Row],[WORK TYPE]],UnitCosts[Work Type],0),2))*(1+((Yards25[[#This Row],[est. CONS Year]]-YEAR(TODAY()))*$W$3))</f>
        <v>0</v>
      </c>
      <c r="X132" s="142">
        <f>IF(ISNUMBER(SEARCH("LLC",Yards25[[#This Row],[PROGRAM]])),IF(Yards25[[#This Row],[RAD/PACT by 2025]]="yes",0,1),0)</f>
        <v>0</v>
      </c>
      <c r="Y132" s="1"/>
      <c r="Z132" s="1"/>
      <c r="AA132" s="51">
        <f ca="1">COUNTIF($X$5:Yards25[[#This Row],['# yards]],"&gt;0")</f>
        <v>3</v>
      </c>
      <c r="AB132" s="1">
        <f ca="1">IF(ISBLANK(Yards25[[#This Row],[DSGN CALENDAR YEAR]]),ROUNDDOWN(Yards25[[#This Row],[Count]]/20,0)+$AB$1,Yards25[[#This Row],[DSGN CALENDAR YEAR]])</f>
        <v>2022</v>
      </c>
      <c r="AC132" s="16">
        <f ca="1">Yards25[[#This Row],[est. DSGN Year]]+1</f>
        <v>2023</v>
      </c>
    </row>
    <row r="133" spans="1:29" hidden="1">
      <c r="A133" s="13" t="s">
        <v>258</v>
      </c>
      <c r="B133" s="51" t="str">
        <f>VLOOKUP(Yards25[[#This Row],[DEVELOPMENT]],Data[],2,FALSE)</f>
        <v>BROOKLYN</v>
      </c>
      <c r="C13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33" s="51" t="str">
        <f>VLOOKUP(Yards25[[#This Row],[DEVELOPMENT]],Data[],52,FALSE)</f>
        <v>FEDERAL</v>
      </c>
      <c r="E133" s="50">
        <f>VLOOKUP(Yards25[[#This Row],[DEVELOPMENT]],Data[],8,FALSE)</f>
        <v>0</v>
      </c>
      <c r="F133" s="51" t="str">
        <f>VLOOKUP(Yards25[[#This Row],[DEVELOPMENT]],all[[DEVELOPMENT]:[MRST Ext. Comp. Priority]],6,FALSE)</f>
        <v>C</v>
      </c>
      <c r="G133" s="51">
        <f>VLOOKUP(Yards25[[#This Row],[DEVELOPMENT]],all[[DEVELOPMENT]:[MRST Ext. Comp. Priority]],13,FALSE)</f>
        <v>4</v>
      </c>
      <c r="H133" s="50">
        <f>IF(VLOOKUP(Yards25[[#This Row],[DEVELOPMENT]],Data[],9,FALSE)=0,5,VLOOKUP(Yards25[[#This Row],[DEVELOPMENT]],Data[],9,FALSE))</f>
        <v>5</v>
      </c>
      <c r="I133" s="51">
        <f>VLOOKUP(Yards25[[#This Row],[DEVELOPMENT]],Data[],33,FALSE)</f>
        <v>0</v>
      </c>
      <c r="J133" s="51">
        <f>VLOOKUP(Yards25[[#This Row],[DEVELOPMENT]],Data[],28,FALSE)</f>
        <v>0</v>
      </c>
      <c r="K133" s="51"/>
      <c r="L133" s="50"/>
      <c r="M133" s="51" t="str">
        <f ca="1">IFERROR(VLOOKUP(Yards25[[#This Row],[DEVELOPMENT]],Data[],4,FALSE),"")</f>
        <v>2026+</v>
      </c>
      <c r="N133" s="51" t="str">
        <f ca="1">IF(Yards25[[#This Row],[RAD/PACT]]="","",IF(OR(Yards25[[#This Row],[RAD/PACT]]="2022-2025",Yards25[[#This Row],[RAD/PACT]]=2019,Yards25[[#This Row],[RAD/PACT]]="2020-2021"),"Yes",""))</f>
        <v/>
      </c>
      <c r="O133" s="51" t="str">
        <f ca="1">IFERROR(VLOOKUP(Yards25[[#This Row],[DEVELOPMENT]],ExtComp[],8,FALSE),"")</f>
        <v/>
      </c>
      <c r="P133" s="51"/>
      <c r="Q133" s="51"/>
      <c r="R133" s="51" t="str">
        <f>IF(ISBLANK(Yards25[[#This Row],[DSGN CALENDAR YEAR]]),"",Yards25[[#This Row],[DSGN CALENDAR YEAR]]+1)</f>
        <v/>
      </c>
      <c r="S133" s="51" t="str">
        <f>IF(ISBLANK(Yards25[[#This Row],[DSGN FISCAL YEAR]]),"",Yards25[[#This Row],[DSGN FISCAL YEAR]]+1)</f>
        <v/>
      </c>
      <c r="T133" s="51"/>
      <c r="U133" s="128">
        <f ca="1">Yards25[[#This Row],[Estimate]]*0.1</f>
        <v>0</v>
      </c>
      <c r="V133" s="47">
        <f ca="1">Yards25[[#This Row],[Estimate]]-Yards25[[#This Row],[Design Est.]]</f>
        <v>0</v>
      </c>
      <c r="W133" s="85">
        <f ca="1">(Yards25[[#This Row],['# yards]]*INDEX(UnitCosts[],MATCH(Yards25[[#This Row],[WORK TYPE]],UnitCosts[Work Type],0),2))*(1+((Yards25[[#This Row],[est. CONS Year]]-YEAR(TODAY()))*$W$3))</f>
        <v>0</v>
      </c>
      <c r="X133" s="142">
        <f>IF(ISNUMBER(SEARCH("LLC",Yards25[[#This Row],[PROGRAM]])),IF(Yards25[[#This Row],[RAD/PACT by 2025]]="yes",0,1),0)</f>
        <v>0</v>
      </c>
      <c r="Y133" s="1"/>
      <c r="Z133" s="1"/>
      <c r="AA133" s="51">
        <f ca="1">COUNTIF($X$5:Yards25[[#This Row],['# yards]],"&gt;0")</f>
        <v>3</v>
      </c>
      <c r="AB133" s="1">
        <f ca="1">IF(ISBLANK(Yards25[[#This Row],[DSGN CALENDAR YEAR]]),ROUNDDOWN(Yards25[[#This Row],[Count]]/20,0)+$AB$1,Yards25[[#This Row],[DSGN CALENDAR YEAR]])</f>
        <v>2022</v>
      </c>
      <c r="AC133" s="16">
        <f ca="1">Yards25[[#This Row],[est. DSGN Year]]+1</f>
        <v>2023</v>
      </c>
    </row>
    <row r="134" spans="1:29" hidden="1">
      <c r="A134" s="13" t="s">
        <v>270</v>
      </c>
      <c r="B134" s="51" t="str">
        <f>VLOOKUP(Yards25[[#This Row],[DEVELOPMENT]],Data[],2,FALSE)</f>
        <v>BROOKLYN</v>
      </c>
      <c r="C13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34" s="51" t="str">
        <f>VLOOKUP(Yards25[[#This Row],[DEVELOPMENT]],Data[],52,FALSE)</f>
        <v>FEDERAL</v>
      </c>
      <c r="E134" s="50">
        <f>VLOOKUP(Yards25[[#This Row],[DEVELOPMENT]],Data[],8,FALSE)</f>
        <v>0</v>
      </c>
      <c r="F134" s="51" t="str">
        <f>VLOOKUP(Yards25[[#This Row],[DEVELOPMENT]],all[[DEVELOPMENT]:[MRST Ext. Comp. Priority]],6,FALSE)</f>
        <v>C</v>
      </c>
      <c r="G134" s="51">
        <f>VLOOKUP(Yards25[[#This Row],[DEVELOPMENT]],all[[DEVELOPMENT]:[MRST Ext. Comp. Priority]],13,FALSE)</f>
        <v>4</v>
      </c>
      <c r="H134" s="50">
        <f>IF(VLOOKUP(Yards25[[#This Row],[DEVELOPMENT]],Data[],9,FALSE)=0,5,VLOOKUP(Yards25[[#This Row],[DEVELOPMENT]],Data[],9,FALSE))</f>
        <v>5</v>
      </c>
      <c r="I134" s="51">
        <f>VLOOKUP(Yards25[[#This Row],[DEVELOPMENT]],Data[],33,FALSE)</f>
        <v>2</v>
      </c>
      <c r="J134" s="51">
        <f>VLOOKUP(Yards25[[#This Row],[DEVELOPMENT]],Data[],28,FALSE)</f>
        <v>0</v>
      </c>
      <c r="K134" s="51"/>
      <c r="L134" s="50">
        <v>1</v>
      </c>
      <c r="M134" s="51" t="str">
        <f ca="1">IFERROR(VLOOKUP(Yards25[[#This Row],[DEVELOPMENT]],Data[],4,FALSE),"")</f>
        <v/>
      </c>
      <c r="N134" s="51" t="str">
        <f ca="1">IF(Yards25[[#This Row],[RAD/PACT]]="","",IF(OR(Yards25[[#This Row],[RAD/PACT]]="2022-2025",Yards25[[#This Row],[RAD/PACT]]=2019,Yards25[[#This Row],[RAD/PACT]]="2020-2021"),"Yes",""))</f>
        <v/>
      </c>
      <c r="O134" s="51">
        <f ca="1">IFERROR(VLOOKUP(Yards25[[#This Row],[DEVELOPMENT]],ExtComp[],8,FALSE),"")</f>
        <v>12</v>
      </c>
      <c r="P134" s="51"/>
      <c r="Q134" s="51"/>
      <c r="R134" s="51" t="str">
        <f>IF(ISBLANK(Yards25[[#This Row],[DSGN CALENDAR YEAR]]),"",Yards25[[#This Row],[DSGN CALENDAR YEAR]]+1)</f>
        <v/>
      </c>
      <c r="S134" s="51" t="str">
        <f>IF(ISBLANK(Yards25[[#This Row],[DSGN FISCAL YEAR]]),"",Yards25[[#This Row],[DSGN FISCAL YEAR]]+1)</f>
        <v/>
      </c>
      <c r="T134" s="51"/>
      <c r="U134" s="128">
        <f ca="1">Yards25[[#This Row],[Estimate]]*0.1</f>
        <v>0</v>
      </c>
      <c r="V134" s="47">
        <f ca="1">Yards25[[#This Row],[Estimate]]-Yards25[[#This Row],[Design Est.]]</f>
        <v>0</v>
      </c>
      <c r="W134" s="85">
        <f ca="1">(Yards25[[#This Row],['# yards]]*INDEX(UnitCosts[],MATCH(Yards25[[#This Row],[WORK TYPE]],UnitCosts[Work Type],0),2))*(1+((Yards25[[#This Row],[est. CONS Year]]-YEAR(TODAY()))*$W$3))</f>
        <v>0</v>
      </c>
      <c r="X134" s="142">
        <f>IF(ISNUMBER(SEARCH("LLC",Yards25[[#This Row],[PROGRAM]])),IF(Yards25[[#This Row],[RAD/PACT by 2025]]="yes",0,1),0)</f>
        <v>0</v>
      </c>
      <c r="Y134" s="1"/>
      <c r="Z134" s="1"/>
      <c r="AA134" s="51">
        <f ca="1">COUNTIF($X$5:Yards25[[#This Row],['# yards]],"&gt;0")</f>
        <v>3</v>
      </c>
      <c r="AB134" s="1">
        <f ca="1">IF(ISBLANK(Yards25[[#This Row],[DSGN CALENDAR YEAR]]),ROUNDDOWN(Yards25[[#This Row],[Count]]/20,0)+$AB$1,Yards25[[#This Row],[DSGN CALENDAR YEAR]])</f>
        <v>2022</v>
      </c>
      <c r="AC134" s="16">
        <f ca="1">Yards25[[#This Row],[est. DSGN Year]]+1</f>
        <v>2023</v>
      </c>
    </row>
    <row r="135" spans="1:29" hidden="1">
      <c r="A135" s="13" t="s">
        <v>259</v>
      </c>
      <c r="B135" s="51" t="str">
        <f>VLOOKUP(Yards25[[#This Row],[DEVELOPMENT]],Data[],2,FALSE)</f>
        <v>MANHATTAN</v>
      </c>
      <c r="C135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35" s="51" t="str">
        <f>VLOOKUP(Yards25[[#This Row],[DEVELOPMENT]],Data[],52,FALSE)</f>
        <v>FEDERAL</v>
      </c>
      <c r="E135" s="50">
        <f>VLOOKUP(Yards25[[#This Row],[DEVELOPMENT]],Data[],8,FALSE)</f>
        <v>0</v>
      </c>
      <c r="F135" s="51" t="str">
        <f>VLOOKUP(Yards25[[#This Row],[DEVELOPMENT]],all[[DEVELOPMENT]:[MRST Ext. Comp. Priority]],6,FALSE)</f>
        <v>C</v>
      </c>
      <c r="G135" s="51">
        <f>VLOOKUP(Yards25[[#This Row],[DEVELOPMENT]],all[[DEVELOPMENT]:[MRST Ext. Comp. Priority]],13,FALSE)</f>
        <v>2</v>
      </c>
      <c r="H135" s="50">
        <f>IF(VLOOKUP(Yards25[[#This Row],[DEVELOPMENT]],Data[],9,FALSE)=0,5,VLOOKUP(Yards25[[#This Row],[DEVELOPMENT]],Data[],9,FALSE))</f>
        <v>5</v>
      </c>
      <c r="I135" s="51">
        <f>VLOOKUP(Yards25[[#This Row],[DEVELOPMENT]],Data[],33,FALSE)</f>
        <v>0</v>
      </c>
      <c r="J135" s="51">
        <f>VLOOKUP(Yards25[[#This Row],[DEVELOPMENT]],Data[],28,FALSE)</f>
        <v>0</v>
      </c>
      <c r="K135" s="51"/>
      <c r="L135" s="50"/>
      <c r="M135" s="51" t="str">
        <f ca="1">IFERROR(VLOOKUP(Yards25[[#This Row],[DEVELOPMENT]],Data[],4,FALSE),"")</f>
        <v>2020-2021</v>
      </c>
      <c r="N135" s="51" t="str">
        <f ca="1">IF(Yards25[[#This Row],[RAD/PACT]]="","",IF(OR(Yards25[[#This Row],[RAD/PACT]]="2022-2025",Yards25[[#This Row],[RAD/PACT]]=2019,Yards25[[#This Row],[RAD/PACT]]="2020-2021"),"Yes",""))</f>
        <v>Yes</v>
      </c>
      <c r="O135" s="51" t="str">
        <f ca="1">IFERROR(VLOOKUP(Yards25[[#This Row],[DEVELOPMENT]],ExtComp[],8,FALSE),"")</f>
        <v/>
      </c>
      <c r="P135" s="51"/>
      <c r="Q135" s="51"/>
      <c r="R135" s="51" t="str">
        <f>IF(ISBLANK(Yards25[[#This Row],[DSGN CALENDAR YEAR]]),"",Yards25[[#This Row],[DSGN CALENDAR YEAR]]+1)</f>
        <v/>
      </c>
      <c r="S135" s="51" t="str">
        <f>IF(ISBLANK(Yards25[[#This Row],[DSGN FISCAL YEAR]]),"",Yards25[[#This Row],[DSGN FISCAL YEAR]]+1)</f>
        <v/>
      </c>
      <c r="T135" s="51"/>
      <c r="U135" s="128">
        <f ca="1">Yards25[[#This Row],[Estimate]]*0.1</f>
        <v>0</v>
      </c>
      <c r="V135" s="47">
        <f ca="1">Yards25[[#This Row],[Estimate]]-Yards25[[#This Row],[Design Est.]]</f>
        <v>0</v>
      </c>
      <c r="W135" s="85">
        <f ca="1">(Yards25[[#This Row],['# yards]]*INDEX(UnitCosts[],MATCH(Yards25[[#This Row],[WORK TYPE]],UnitCosts[Work Type],0),2))*(1+((Yards25[[#This Row],[est. CONS Year]]-YEAR(TODAY()))*$W$3))</f>
        <v>0</v>
      </c>
      <c r="X135" s="142">
        <f>IF(ISNUMBER(SEARCH("LLC",Yards25[[#This Row],[PROGRAM]])),IF(Yards25[[#This Row],[RAD/PACT by 2025]]="yes",0,1),0)</f>
        <v>0</v>
      </c>
      <c r="Y135" s="1"/>
      <c r="Z135" s="1"/>
      <c r="AA135" s="51">
        <f ca="1">COUNTIF($X$5:Yards25[[#This Row],['# yards]],"&gt;0")</f>
        <v>3</v>
      </c>
      <c r="AB135" s="1">
        <f ca="1">IF(ISBLANK(Yards25[[#This Row],[DSGN CALENDAR YEAR]]),ROUNDDOWN(Yards25[[#This Row],[Count]]/20,0)+$AB$1,Yards25[[#This Row],[DSGN CALENDAR YEAR]])</f>
        <v>2022</v>
      </c>
      <c r="AC135" s="16">
        <f ca="1">Yards25[[#This Row],[est. DSGN Year]]+1</f>
        <v>2023</v>
      </c>
    </row>
    <row r="136" spans="1:29" hidden="1">
      <c r="A136" s="13" t="s">
        <v>260</v>
      </c>
      <c r="B136" s="51" t="str">
        <f>VLOOKUP(Yards25[[#This Row],[DEVELOPMENT]],Data[],2,FALSE)</f>
        <v>BROOKLYN</v>
      </c>
      <c r="C13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36" s="51" t="str">
        <f>VLOOKUP(Yards25[[#This Row],[DEVELOPMENT]],Data[],52,FALSE)</f>
        <v>FEDERAL</v>
      </c>
      <c r="E136" s="50">
        <f>VLOOKUP(Yards25[[#This Row],[DEVELOPMENT]],Data[],8,FALSE)</f>
        <v>0</v>
      </c>
      <c r="F136" s="51" t="str">
        <f>VLOOKUP(Yards25[[#This Row],[DEVELOPMENT]],all[[DEVELOPMENT]:[MRST Ext. Comp. Priority]],6,FALSE)</f>
        <v>C</v>
      </c>
      <c r="G136" s="51">
        <f>VLOOKUP(Yards25[[#This Row],[DEVELOPMENT]],all[[DEVELOPMENT]:[MRST Ext. Comp. Priority]],13,FALSE)</f>
        <v>2</v>
      </c>
      <c r="H136" s="50">
        <f>IF(VLOOKUP(Yards25[[#This Row],[DEVELOPMENT]],Data[],9,FALSE)=0,5,VLOOKUP(Yards25[[#This Row],[DEVELOPMENT]],Data[],9,FALSE))</f>
        <v>5</v>
      </c>
      <c r="I136" s="51">
        <f>VLOOKUP(Yards25[[#This Row],[DEVELOPMENT]],Data[],33,FALSE)</f>
        <v>2</v>
      </c>
      <c r="J136" s="51">
        <f>VLOOKUP(Yards25[[#This Row],[DEVELOPMENT]],Data[],28,FALSE)</f>
        <v>0</v>
      </c>
      <c r="K136" s="51"/>
      <c r="L136" s="50"/>
      <c r="M136" s="51" t="str">
        <f ca="1">IFERROR(VLOOKUP(Yards25[[#This Row],[DEVELOPMENT]],Data[],4,FALSE),"")</f>
        <v/>
      </c>
      <c r="N136" s="51" t="str">
        <f ca="1">IF(Yards25[[#This Row],[RAD/PACT]]="","",IF(OR(Yards25[[#This Row],[RAD/PACT]]="2022-2025",Yards25[[#This Row],[RAD/PACT]]=2019,Yards25[[#This Row],[RAD/PACT]]="2020-2021"),"Yes",""))</f>
        <v/>
      </c>
      <c r="O136" s="51">
        <f ca="1">IFERROR(VLOOKUP(Yards25[[#This Row],[DEVELOPMENT]],ExtComp[],8,FALSE),"")</f>
        <v>18</v>
      </c>
      <c r="P136" s="51"/>
      <c r="Q136" s="51"/>
      <c r="R136" s="51" t="str">
        <f>IF(ISBLANK(Yards25[[#This Row],[DSGN CALENDAR YEAR]]),"",Yards25[[#This Row],[DSGN CALENDAR YEAR]]+1)</f>
        <v/>
      </c>
      <c r="S136" s="51" t="str">
        <f>IF(ISBLANK(Yards25[[#This Row],[DSGN FISCAL YEAR]]),"",Yards25[[#This Row],[DSGN FISCAL YEAR]]+1)</f>
        <v/>
      </c>
      <c r="T136" s="51"/>
      <c r="U136" s="128">
        <f ca="1">Yards25[[#This Row],[Estimate]]*0.1</f>
        <v>0</v>
      </c>
      <c r="V136" s="47">
        <f ca="1">Yards25[[#This Row],[Estimate]]-Yards25[[#This Row],[Design Est.]]</f>
        <v>0</v>
      </c>
      <c r="W136" s="85">
        <f ca="1">(Yards25[[#This Row],['# yards]]*INDEX(UnitCosts[],MATCH(Yards25[[#This Row],[WORK TYPE]],UnitCosts[Work Type],0),2))*(1+((Yards25[[#This Row],[est. CONS Year]]-YEAR(TODAY()))*$W$3))</f>
        <v>0</v>
      </c>
      <c r="X136" s="142">
        <f>IF(ISNUMBER(SEARCH("LLC",Yards25[[#This Row],[PROGRAM]])),IF(Yards25[[#This Row],[RAD/PACT by 2025]]="yes",0,1),0)</f>
        <v>0</v>
      </c>
      <c r="Y136" s="1"/>
      <c r="Z136" s="1"/>
      <c r="AA136" s="51">
        <f ca="1">COUNTIF($X$5:Yards25[[#This Row],['# yards]],"&gt;0")</f>
        <v>3</v>
      </c>
      <c r="AB136" s="1">
        <f ca="1">IF(ISBLANK(Yards25[[#This Row],[DSGN CALENDAR YEAR]]),ROUNDDOWN(Yards25[[#This Row],[Count]]/20,0)+$AB$1,Yards25[[#This Row],[DSGN CALENDAR YEAR]])</f>
        <v>2022</v>
      </c>
      <c r="AC136" s="16">
        <f ca="1">Yards25[[#This Row],[est. DSGN Year]]+1</f>
        <v>2023</v>
      </c>
    </row>
    <row r="137" spans="1:29" hidden="1">
      <c r="A137" s="13" t="s">
        <v>134</v>
      </c>
      <c r="B137" s="51" t="str">
        <f>VLOOKUP(Yards25[[#This Row],[DEVELOPMENT]],Data[],2,FALSE)</f>
        <v>QUEENS</v>
      </c>
      <c r="C13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37" s="51" t="str">
        <f>VLOOKUP(Yards25[[#This Row],[DEVELOPMENT]],Data[],52,FALSE)</f>
        <v>FEDERAL</v>
      </c>
      <c r="E137" s="50" t="str">
        <f>VLOOKUP(Yards25[[#This Row],[DEVELOPMENT]],Data[],8,FALSE)</f>
        <v>Zone 3</v>
      </c>
      <c r="F137" s="51" t="str">
        <f>VLOOKUP(Yards25[[#This Row],[DEVELOPMENT]],all[[DEVELOPMENT]:[MRST Ext. Comp. Priority]],6,FALSE)</f>
        <v>C</v>
      </c>
      <c r="G137" s="51">
        <f>VLOOKUP(Yards25[[#This Row],[DEVELOPMENT]],all[[DEVELOPMENT]:[MRST Ext. Comp. Priority]],13,FALSE)</f>
        <v>3</v>
      </c>
      <c r="H137" s="50">
        <f>IF(VLOOKUP(Yards25[[#This Row],[DEVELOPMENT]],Data[],9,FALSE)=0,5,VLOOKUP(Yards25[[#This Row],[DEVELOPMENT]],Data[],9,FALSE))</f>
        <v>4</v>
      </c>
      <c r="I137" s="51">
        <f>VLOOKUP(Yards25[[#This Row],[DEVELOPMENT]],Data[],33,FALSE)</f>
        <v>3</v>
      </c>
      <c r="J137" s="51">
        <f>VLOOKUP(Yards25[[#This Row],[DEVELOPMENT]],Data[],28,FALSE)</f>
        <v>0</v>
      </c>
      <c r="K137" s="51"/>
      <c r="L137" s="50"/>
      <c r="M137" s="51" t="str">
        <f ca="1">IFERROR(VLOOKUP(Yards25[[#This Row],[DEVELOPMENT]],Data[],4,FALSE),"")</f>
        <v>2026+</v>
      </c>
      <c r="N137" s="51" t="str">
        <f ca="1">IF(Yards25[[#This Row],[RAD/PACT]]="","",IF(OR(Yards25[[#This Row],[RAD/PACT]]="2022-2025",Yards25[[#This Row],[RAD/PACT]]=2019,Yards25[[#This Row],[RAD/PACT]]="2020-2021"),"Yes",""))</f>
        <v/>
      </c>
      <c r="O137" s="51">
        <f ca="1">IFERROR(VLOOKUP(Yards25[[#This Row],[DEVELOPMENT]],ExtComp[],8,FALSE),"")</f>
        <v>10</v>
      </c>
      <c r="P137" s="51"/>
      <c r="Q137" s="51"/>
      <c r="R137" s="51" t="str">
        <f>IF(ISBLANK(Yards25[[#This Row],[DSGN CALENDAR YEAR]]),"",Yards25[[#This Row],[DSGN CALENDAR YEAR]]+1)</f>
        <v/>
      </c>
      <c r="S137" s="51" t="str">
        <f>IF(ISBLANK(Yards25[[#This Row],[DSGN FISCAL YEAR]]),"",Yards25[[#This Row],[DSGN FISCAL YEAR]]+1)</f>
        <v/>
      </c>
      <c r="T137" s="51"/>
      <c r="U137" s="128">
        <f ca="1">Yards25[[#This Row],[Estimate]]*0.1</f>
        <v>0</v>
      </c>
      <c r="V137" s="47">
        <f ca="1">Yards25[[#This Row],[Estimate]]-Yards25[[#This Row],[Design Est.]]</f>
        <v>0</v>
      </c>
      <c r="W137" s="85">
        <f ca="1">(Yards25[[#This Row],['# yards]]*INDEX(UnitCosts[],MATCH(Yards25[[#This Row],[WORK TYPE]],UnitCosts[Work Type],0),2))*(1+((Yards25[[#This Row],[est. CONS Year]]-YEAR(TODAY()))*$W$3))</f>
        <v>0</v>
      </c>
      <c r="X137" s="142">
        <f>IF(ISNUMBER(SEARCH("LLC",Yards25[[#This Row],[PROGRAM]])),IF(Yards25[[#This Row],[RAD/PACT by 2025]]="yes",0,1),0)</f>
        <v>0</v>
      </c>
      <c r="Y137" s="1"/>
      <c r="Z137" s="1"/>
      <c r="AA137" s="51">
        <f ca="1">COUNTIF($X$5:Yards25[[#This Row],['# yards]],"&gt;0")</f>
        <v>3</v>
      </c>
      <c r="AB137" s="1">
        <f ca="1">IF(ISBLANK(Yards25[[#This Row],[DSGN CALENDAR YEAR]]),ROUNDDOWN(Yards25[[#This Row],[Count]]/20,0)+$AB$1,Yards25[[#This Row],[DSGN CALENDAR YEAR]])</f>
        <v>2022</v>
      </c>
      <c r="AC137" s="16">
        <f ca="1">Yards25[[#This Row],[est. DSGN Year]]+1</f>
        <v>2023</v>
      </c>
    </row>
    <row r="138" spans="1:29" hidden="1">
      <c r="A138" s="13" t="s">
        <v>45</v>
      </c>
      <c r="B138" s="51" t="str">
        <f>VLOOKUP(Yards25[[#This Row],[DEVELOPMENT]],Data[],2,FALSE)</f>
        <v>BROOKLYN</v>
      </c>
      <c r="C138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38" s="51" t="str">
        <f>VLOOKUP(Yards25[[#This Row],[DEVELOPMENT]],Data[],52,FALSE)</f>
        <v>FEDERAL</v>
      </c>
      <c r="E138" s="50" t="str">
        <f>VLOOKUP(Yards25[[#This Row],[DEVELOPMENT]],Data[],8,FALSE)</f>
        <v>Zone 1</v>
      </c>
      <c r="F138" s="51" t="str">
        <f>VLOOKUP(Yards25[[#This Row],[DEVELOPMENT]],all[[DEVELOPMENT]:[MRST Ext. Comp. Priority]],6,FALSE)</f>
        <v>C</v>
      </c>
      <c r="G138" s="51">
        <f>VLOOKUP(Yards25[[#This Row],[DEVELOPMENT]],all[[DEVELOPMENT]:[MRST Ext. Comp. Priority]],13,FALSE)</f>
        <v>3</v>
      </c>
      <c r="H138" s="50">
        <f>IF(VLOOKUP(Yards25[[#This Row],[DEVELOPMENT]],Data[],9,FALSE)=0,5,VLOOKUP(Yards25[[#This Row],[DEVELOPMENT]],Data[],9,FALSE))</f>
        <v>4</v>
      </c>
      <c r="I138" s="51">
        <f>VLOOKUP(Yards25[[#This Row],[DEVELOPMENT]],Data[],33,FALSE)</f>
        <v>3</v>
      </c>
      <c r="J138" s="51">
        <f>VLOOKUP(Yards25[[#This Row],[DEVELOPMENT]],Data[],28,FALSE)</f>
        <v>0</v>
      </c>
      <c r="K138" s="51"/>
      <c r="L138" s="50"/>
      <c r="M138" s="51" t="str">
        <f ca="1">IFERROR(VLOOKUP(Yards25[[#This Row],[DEVELOPMENT]],Data[],4,FALSE),"")</f>
        <v/>
      </c>
      <c r="N138" s="51" t="str">
        <f ca="1">IF(Yards25[[#This Row],[RAD/PACT]]="","",IF(OR(Yards25[[#This Row],[RAD/PACT]]="2022-2025",Yards25[[#This Row],[RAD/PACT]]=2019,Yards25[[#This Row],[RAD/PACT]]="2020-2021"),"Yes",""))</f>
        <v/>
      </c>
      <c r="O138" s="51">
        <f ca="1">IFERROR(VLOOKUP(Yards25[[#This Row],[DEVELOPMENT]],ExtComp[],8,FALSE),"")</f>
        <v>1</v>
      </c>
      <c r="P138" s="51"/>
      <c r="Q138" s="51"/>
      <c r="R138" s="51" t="str">
        <f>IF(ISBLANK(Yards25[[#This Row],[DSGN CALENDAR YEAR]]),"",Yards25[[#This Row],[DSGN CALENDAR YEAR]]+1)</f>
        <v/>
      </c>
      <c r="S138" s="51" t="str">
        <f>IF(ISBLANK(Yards25[[#This Row],[DSGN FISCAL YEAR]]),"",Yards25[[#This Row],[DSGN FISCAL YEAR]]+1)</f>
        <v/>
      </c>
      <c r="T138" s="51"/>
      <c r="U138" s="128">
        <f ca="1">Yards25[[#This Row],[Estimate]]*0.1</f>
        <v>0</v>
      </c>
      <c r="V138" s="47">
        <f ca="1">Yards25[[#This Row],[Estimate]]-Yards25[[#This Row],[Design Est.]]</f>
        <v>0</v>
      </c>
      <c r="W138" s="85">
        <f ca="1">(Yards25[[#This Row],['# yards]]*INDEX(UnitCosts[],MATCH(Yards25[[#This Row],[WORK TYPE]],UnitCosts[Work Type],0),2))*(1+((Yards25[[#This Row],[est. CONS Year]]-YEAR(TODAY()))*$W$3))</f>
        <v>0</v>
      </c>
      <c r="X138" s="142">
        <f>IF(ISNUMBER(SEARCH("LLC",Yards25[[#This Row],[PROGRAM]])),IF(Yards25[[#This Row],[RAD/PACT by 2025]]="yes",0,1),0)</f>
        <v>0</v>
      </c>
      <c r="Y138" s="1"/>
      <c r="Z138" s="1"/>
      <c r="AA138" s="51">
        <f ca="1">COUNTIF($X$5:Yards25[[#This Row],['# yards]],"&gt;0")</f>
        <v>3</v>
      </c>
      <c r="AB138" s="1">
        <f ca="1">IF(ISBLANK(Yards25[[#This Row],[DSGN CALENDAR YEAR]]),ROUNDDOWN(Yards25[[#This Row],[Count]]/20,0)+$AB$1,Yards25[[#This Row],[DSGN CALENDAR YEAR]])</f>
        <v>2022</v>
      </c>
      <c r="AC138" s="16">
        <f ca="1">Yards25[[#This Row],[est. DSGN Year]]+1</f>
        <v>2023</v>
      </c>
    </row>
    <row r="139" spans="1:29" hidden="1">
      <c r="A139" s="13" t="s">
        <v>272</v>
      </c>
      <c r="B139" s="51" t="str">
        <f>VLOOKUP(Yards25[[#This Row],[DEVELOPMENT]],Data[],2,FALSE)</f>
        <v>QUEENS</v>
      </c>
      <c r="C139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139" s="51" t="str">
        <f>VLOOKUP(Yards25[[#This Row],[DEVELOPMENT]],Data[],52,FALSE)</f>
        <v>FEDERAL</v>
      </c>
      <c r="E139" s="50">
        <f>VLOOKUP(Yards25[[#This Row],[DEVELOPMENT]],Data[],8,FALSE)</f>
        <v>0</v>
      </c>
      <c r="F139" s="51" t="str">
        <f>VLOOKUP(Yards25[[#This Row],[DEVELOPMENT]],all[[DEVELOPMENT]:[MRST Ext. Comp. Priority]],6,FALSE)</f>
        <v>C</v>
      </c>
      <c r="G139" s="51">
        <f>VLOOKUP(Yards25[[#This Row],[DEVELOPMENT]],all[[DEVELOPMENT]:[MRST Ext. Comp. Priority]],13,FALSE)</f>
        <v>3</v>
      </c>
      <c r="H139" s="50">
        <f>IF(VLOOKUP(Yards25[[#This Row],[DEVELOPMENT]],Data[],9,FALSE)=0,5,VLOOKUP(Yards25[[#This Row],[DEVELOPMENT]],Data[],9,FALSE))</f>
        <v>5</v>
      </c>
      <c r="I139" s="51">
        <f>VLOOKUP(Yards25[[#This Row],[DEVELOPMENT]],Data[],33,FALSE)</f>
        <v>3</v>
      </c>
      <c r="J139" s="51">
        <f>VLOOKUP(Yards25[[#This Row],[DEVELOPMENT]],Data[],28,FALSE)</f>
        <v>0</v>
      </c>
      <c r="K139" s="51"/>
      <c r="L139" s="50"/>
      <c r="M139" s="51" t="str">
        <f ca="1">IFERROR(VLOOKUP(Yards25[[#This Row],[DEVELOPMENT]],Data[],4,FALSE),"")</f>
        <v>2022-2025</v>
      </c>
      <c r="N139" s="51" t="str">
        <f ca="1">IF(Yards25[[#This Row],[RAD/PACT]]="","",IF(OR(Yards25[[#This Row],[RAD/PACT]]="2022-2025",Yards25[[#This Row],[RAD/PACT]]=2019,Yards25[[#This Row],[RAD/PACT]]="2020-2021"),"Yes",""))</f>
        <v>Yes</v>
      </c>
      <c r="O139" s="51">
        <f ca="1">IFERROR(VLOOKUP(Yards25[[#This Row],[DEVELOPMENT]],ExtComp[],8,FALSE),"")</f>
        <v>17</v>
      </c>
      <c r="P139" s="51"/>
      <c r="Q139" s="51"/>
      <c r="R139" s="51" t="str">
        <f>IF(ISBLANK(Yards25[[#This Row],[DSGN CALENDAR YEAR]]),"",Yards25[[#This Row],[DSGN CALENDAR YEAR]]+1)</f>
        <v/>
      </c>
      <c r="S139" s="51" t="str">
        <f>IF(ISBLANK(Yards25[[#This Row],[DSGN FISCAL YEAR]]),"",Yards25[[#This Row],[DSGN FISCAL YEAR]]+1)</f>
        <v/>
      </c>
      <c r="T139" s="51"/>
      <c r="U139" s="128">
        <f ca="1">Yards25[[#This Row],[Estimate]]*0.1</f>
        <v>0</v>
      </c>
      <c r="V139" s="47">
        <f ca="1">Yards25[[#This Row],[Estimate]]-Yards25[[#This Row],[Design Est.]]</f>
        <v>0</v>
      </c>
      <c r="W139" s="85">
        <f ca="1">(Yards25[[#This Row],['# yards]]*INDEX(UnitCosts[],MATCH(Yards25[[#This Row],[WORK TYPE]],UnitCosts[Work Type],0),2))*(1+((Yards25[[#This Row],[est. CONS Year]]-YEAR(TODAY()))*$W$3))</f>
        <v>0</v>
      </c>
      <c r="X139" s="142">
        <f>IF(ISNUMBER(SEARCH("LLC",Yards25[[#This Row],[PROGRAM]])),IF(Yards25[[#This Row],[RAD/PACT by 2025]]="yes",0,1),0)</f>
        <v>0</v>
      </c>
      <c r="Y139" s="1"/>
      <c r="Z139" s="1"/>
      <c r="AA139" s="51">
        <f ca="1">COUNTIF($X$5:Yards25[[#This Row],['# yards]],"&gt;0")</f>
        <v>3</v>
      </c>
      <c r="AB139" s="1">
        <f ca="1">IF(ISBLANK(Yards25[[#This Row],[DSGN CALENDAR YEAR]]),ROUNDDOWN(Yards25[[#This Row],[Count]]/20,0)+$AB$1,Yards25[[#This Row],[DSGN CALENDAR YEAR]])</f>
        <v>2022</v>
      </c>
      <c r="AC139" s="16">
        <f ca="1">Yards25[[#This Row],[est. DSGN Year]]+1</f>
        <v>2023</v>
      </c>
    </row>
    <row r="140" spans="1:29" hidden="1">
      <c r="A140" s="13" t="s">
        <v>273</v>
      </c>
      <c r="B140" s="51" t="str">
        <f>VLOOKUP(Yards25[[#This Row],[DEVELOPMENT]],Data[],2,FALSE)</f>
        <v>BRONX</v>
      </c>
      <c r="C140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40" s="51" t="str">
        <f>VLOOKUP(Yards25[[#This Row],[DEVELOPMENT]],Data[],52,FALSE)</f>
        <v>FEDERAL</v>
      </c>
      <c r="E140" s="50">
        <f>VLOOKUP(Yards25[[#This Row],[DEVELOPMENT]],Data[],8,FALSE)</f>
        <v>0</v>
      </c>
      <c r="F140" s="51" t="str">
        <f>VLOOKUP(Yards25[[#This Row],[DEVELOPMENT]],all[[DEVELOPMENT]:[MRST Ext. Comp. Priority]],6,FALSE)</f>
        <v>C</v>
      </c>
      <c r="G140" s="51">
        <f>VLOOKUP(Yards25[[#This Row],[DEVELOPMENT]],all[[DEVELOPMENT]:[MRST Ext. Comp. Priority]],13,FALSE)</f>
        <v>3</v>
      </c>
      <c r="H140" s="50">
        <f>IF(VLOOKUP(Yards25[[#This Row],[DEVELOPMENT]],Data[],9,FALSE)=0,5,VLOOKUP(Yards25[[#This Row],[DEVELOPMENT]],Data[],9,FALSE))</f>
        <v>5</v>
      </c>
      <c r="I140" s="51">
        <f>VLOOKUP(Yards25[[#This Row],[DEVELOPMENT]],Data[],33,FALSE)</f>
        <v>1</v>
      </c>
      <c r="J140" s="51">
        <f>VLOOKUP(Yards25[[#This Row],[DEVELOPMENT]],Data[],28,FALSE)</f>
        <v>0</v>
      </c>
      <c r="K140" s="51"/>
      <c r="L140" s="50"/>
      <c r="M140" s="51" t="str">
        <f ca="1">IFERROR(VLOOKUP(Yards25[[#This Row],[DEVELOPMENT]],Data[],4,FALSE),"")</f>
        <v/>
      </c>
      <c r="N140" s="51" t="str">
        <f ca="1">IF(Yards25[[#This Row],[RAD/PACT]]="","",IF(OR(Yards25[[#This Row],[RAD/PACT]]="2022-2025",Yards25[[#This Row],[RAD/PACT]]=2019,Yards25[[#This Row],[RAD/PACT]]="2020-2021"),"Yes",""))</f>
        <v/>
      </c>
      <c r="O140" s="51">
        <f ca="1">IFERROR(VLOOKUP(Yards25[[#This Row],[DEVELOPMENT]],ExtComp[],8,FALSE),"")</f>
        <v>16</v>
      </c>
      <c r="P140" s="51"/>
      <c r="Q140" s="51"/>
      <c r="R140" s="51" t="str">
        <f>IF(ISBLANK(Yards25[[#This Row],[DSGN CALENDAR YEAR]]),"",Yards25[[#This Row],[DSGN CALENDAR YEAR]]+1)</f>
        <v/>
      </c>
      <c r="S140" s="51" t="str">
        <f>IF(ISBLANK(Yards25[[#This Row],[DSGN FISCAL YEAR]]),"",Yards25[[#This Row],[DSGN FISCAL YEAR]]+1)</f>
        <v/>
      </c>
      <c r="T140" s="51"/>
      <c r="U140" s="128">
        <f ca="1">Yards25[[#This Row],[Estimate]]*0.1</f>
        <v>0</v>
      </c>
      <c r="V140" s="47">
        <f ca="1">Yards25[[#This Row],[Estimate]]-Yards25[[#This Row],[Design Est.]]</f>
        <v>0</v>
      </c>
      <c r="W140" s="85">
        <f ca="1">(Yards25[[#This Row],['# yards]]*INDEX(UnitCosts[],MATCH(Yards25[[#This Row],[WORK TYPE]],UnitCosts[Work Type],0),2))*(1+((Yards25[[#This Row],[est. CONS Year]]-YEAR(TODAY()))*$W$3))</f>
        <v>0</v>
      </c>
      <c r="X140" s="142">
        <f>IF(ISNUMBER(SEARCH("LLC",Yards25[[#This Row],[PROGRAM]])),IF(Yards25[[#This Row],[RAD/PACT by 2025]]="yes",0,1),0)</f>
        <v>0</v>
      </c>
      <c r="Y140" s="1"/>
      <c r="Z140" s="1"/>
      <c r="AA140" s="51">
        <f ca="1">COUNTIF($X$5:Yards25[[#This Row],['# yards]],"&gt;0")</f>
        <v>3</v>
      </c>
      <c r="AB140" s="1">
        <f ca="1">IF(ISBLANK(Yards25[[#This Row],[DSGN CALENDAR YEAR]]),ROUNDDOWN(Yards25[[#This Row],[Count]]/20,0)+$AB$1,Yards25[[#This Row],[DSGN CALENDAR YEAR]])</f>
        <v>2022</v>
      </c>
      <c r="AC140" s="16">
        <f ca="1">Yards25[[#This Row],[est. DSGN Year]]+1</f>
        <v>2023</v>
      </c>
    </row>
    <row r="141" spans="1:29" hidden="1">
      <c r="A141" s="13" t="s">
        <v>263</v>
      </c>
      <c r="B141" s="51" t="str">
        <f>VLOOKUP(Yards25[[#This Row],[DEVELOPMENT]],Data[],2,FALSE)</f>
        <v>MANHATTAN</v>
      </c>
      <c r="C14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41" s="51" t="str">
        <f>VLOOKUP(Yards25[[#This Row],[DEVELOPMENT]],Data[],52,FALSE)</f>
        <v>FEDERAL</v>
      </c>
      <c r="E141" s="50" t="str">
        <f>VLOOKUP(Yards25[[#This Row],[DEVELOPMENT]],Data[],8,FALSE)</f>
        <v>Zone 3</v>
      </c>
      <c r="F141" s="51" t="str">
        <f>VLOOKUP(Yards25[[#This Row],[DEVELOPMENT]],all[[DEVELOPMENT]:[MRST Ext. Comp. Priority]],6,FALSE)</f>
        <v>C</v>
      </c>
      <c r="G141" s="51">
        <f>VLOOKUP(Yards25[[#This Row],[DEVELOPMENT]],all[[DEVELOPMENT]:[MRST Ext. Comp. Priority]],13,FALSE)</f>
        <v>2</v>
      </c>
      <c r="H141" s="50">
        <f>IF(VLOOKUP(Yards25[[#This Row],[DEVELOPMENT]],Data[],9,FALSE)=0,5,VLOOKUP(Yards25[[#This Row],[DEVELOPMENT]],Data[],9,FALSE))</f>
        <v>5</v>
      </c>
      <c r="I141" s="51">
        <f>VLOOKUP(Yards25[[#This Row],[DEVELOPMENT]],Data[],33,FALSE)</f>
        <v>0</v>
      </c>
      <c r="J141" s="51">
        <f>VLOOKUP(Yards25[[#This Row],[DEVELOPMENT]],Data[],28,FALSE)</f>
        <v>0</v>
      </c>
      <c r="K141" s="51"/>
      <c r="L141" s="50"/>
      <c r="M141" s="51" t="str">
        <f ca="1">IFERROR(VLOOKUP(Yards25[[#This Row],[DEVELOPMENT]],Data[],4,FALSE),"")</f>
        <v/>
      </c>
      <c r="N141" s="51" t="str">
        <f ca="1">IF(Yards25[[#This Row],[RAD/PACT]]="","",IF(OR(Yards25[[#This Row],[RAD/PACT]]="2022-2025",Yards25[[#This Row],[RAD/PACT]]=2019,Yards25[[#This Row],[RAD/PACT]]="2020-2021"),"Yes",""))</f>
        <v/>
      </c>
      <c r="O141" s="51" t="str">
        <f ca="1">IFERROR(VLOOKUP(Yards25[[#This Row],[DEVELOPMENT]],ExtComp[],8,FALSE),"")</f>
        <v/>
      </c>
      <c r="P141" s="51"/>
      <c r="Q141" s="51"/>
      <c r="R141" s="51" t="str">
        <f>IF(ISBLANK(Yards25[[#This Row],[DSGN CALENDAR YEAR]]),"",Yards25[[#This Row],[DSGN CALENDAR YEAR]]+1)</f>
        <v/>
      </c>
      <c r="S141" s="51" t="str">
        <f>IF(ISBLANK(Yards25[[#This Row],[DSGN FISCAL YEAR]]),"",Yards25[[#This Row],[DSGN FISCAL YEAR]]+1)</f>
        <v/>
      </c>
      <c r="T141" s="51"/>
      <c r="U141" s="128">
        <f ca="1">Yards25[[#This Row],[Estimate]]*0.1</f>
        <v>0</v>
      </c>
      <c r="V141" s="47">
        <f ca="1">Yards25[[#This Row],[Estimate]]-Yards25[[#This Row],[Design Est.]]</f>
        <v>0</v>
      </c>
      <c r="W141" s="85">
        <f ca="1">(Yards25[[#This Row],['# yards]]*INDEX(UnitCosts[],MATCH(Yards25[[#This Row],[WORK TYPE]],UnitCosts[Work Type],0),2))*(1+((Yards25[[#This Row],[est. CONS Year]]-YEAR(TODAY()))*$W$3))</f>
        <v>0</v>
      </c>
      <c r="X141" s="142">
        <f>IF(ISNUMBER(SEARCH("LLC",Yards25[[#This Row],[PROGRAM]])),IF(Yards25[[#This Row],[RAD/PACT by 2025]]="yes",0,1),0)</f>
        <v>0</v>
      </c>
      <c r="Y141" s="1"/>
      <c r="Z141" s="1"/>
      <c r="AA141" s="51">
        <f ca="1">COUNTIF($X$5:Yards25[[#This Row],['# yards]],"&gt;0")</f>
        <v>3</v>
      </c>
      <c r="AB141" s="1">
        <f ca="1">IF(ISBLANK(Yards25[[#This Row],[DSGN CALENDAR YEAR]]),ROUNDDOWN(Yards25[[#This Row],[Count]]/20,0)+$AB$1,Yards25[[#This Row],[DSGN CALENDAR YEAR]])</f>
        <v>2022</v>
      </c>
      <c r="AC141" s="16">
        <f ca="1">Yards25[[#This Row],[est. DSGN Year]]+1</f>
        <v>2023</v>
      </c>
    </row>
    <row r="142" spans="1:29" hidden="1">
      <c r="A142" s="13" t="s">
        <v>267</v>
      </c>
      <c r="B142" s="51" t="str">
        <f>VLOOKUP(Yards25[[#This Row],[DEVELOPMENT]],Data[],2,FALSE)</f>
        <v>BRONX</v>
      </c>
      <c r="C14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42" s="51" t="str">
        <f>VLOOKUP(Yards25[[#This Row],[DEVELOPMENT]],Data[],52,FALSE)</f>
        <v>FEDERAL</v>
      </c>
      <c r="E142" s="50">
        <f>VLOOKUP(Yards25[[#This Row],[DEVELOPMENT]],Data[],8,FALSE)</f>
        <v>0</v>
      </c>
      <c r="F142" s="51" t="str">
        <f>VLOOKUP(Yards25[[#This Row],[DEVELOPMENT]],all[[DEVELOPMENT]:[MRST Ext. Comp. Priority]],6,FALSE)</f>
        <v>C</v>
      </c>
      <c r="G142" s="51">
        <f>VLOOKUP(Yards25[[#This Row],[DEVELOPMENT]],all[[DEVELOPMENT]:[MRST Ext. Comp. Priority]],13,FALSE)</f>
        <v>3</v>
      </c>
      <c r="H142" s="50">
        <f>IF(VLOOKUP(Yards25[[#This Row],[DEVELOPMENT]],Data[],9,FALSE)=0,5,VLOOKUP(Yards25[[#This Row],[DEVELOPMENT]],Data[],9,FALSE))</f>
        <v>5</v>
      </c>
      <c r="I142" s="51">
        <f>VLOOKUP(Yards25[[#This Row],[DEVELOPMENT]],Data[],33,FALSE)</f>
        <v>2</v>
      </c>
      <c r="J142" s="51">
        <f>VLOOKUP(Yards25[[#This Row],[DEVELOPMENT]],Data[],28,FALSE)</f>
        <v>0</v>
      </c>
      <c r="K142" s="51"/>
      <c r="L142" s="50"/>
      <c r="M142" s="51" t="str">
        <f ca="1">IFERROR(VLOOKUP(Yards25[[#This Row],[DEVELOPMENT]],Data[],4,FALSE),"")</f>
        <v/>
      </c>
      <c r="N142" s="51" t="str">
        <f ca="1">IF(Yards25[[#This Row],[RAD/PACT]]="","",IF(OR(Yards25[[#This Row],[RAD/PACT]]="2022-2025",Yards25[[#This Row],[RAD/PACT]]=2019,Yards25[[#This Row],[RAD/PACT]]="2020-2021"),"Yes",""))</f>
        <v/>
      </c>
      <c r="O142" s="51">
        <f ca="1">IFERROR(VLOOKUP(Yards25[[#This Row],[DEVELOPMENT]],ExtComp[],8,FALSE),"")</f>
        <v>8</v>
      </c>
      <c r="P142" s="51"/>
      <c r="Q142" s="51"/>
      <c r="R142" s="51" t="str">
        <f>IF(ISBLANK(Yards25[[#This Row],[DSGN CALENDAR YEAR]]),"",Yards25[[#This Row],[DSGN CALENDAR YEAR]]+1)</f>
        <v/>
      </c>
      <c r="S142" s="51" t="str">
        <f>IF(ISBLANK(Yards25[[#This Row],[DSGN FISCAL YEAR]]),"",Yards25[[#This Row],[DSGN FISCAL YEAR]]+1)</f>
        <v/>
      </c>
      <c r="T142" s="51"/>
      <c r="U142" s="128">
        <f ca="1">Yards25[[#This Row],[Estimate]]*0.1</f>
        <v>0</v>
      </c>
      <c r="V142" s="47">
        <f ca="1">Yards25[[#This Row],[Estimate]]-Yards25[[#This Row],[Design Est.]]</f>
        <v>0</v>
      </c>
      <c r="W142" s="85">
        <f ca="1">(Yards25[[#This Row],['# yards]]*INDEX(UnitCosts[],MATCH(Yards25[[#This Row],[WORK TYPE]],UnitCosts[Work Type],0),2))*(1+((Yards25[[#This Row],[est. CONS Year]]-YEAR(TODAY()))*$W$3))</f>
        <v>0</v>
      </c>
      <c r="X142" s="142">
        <f>IF(ISNUMBER(SEARCH("LLC",Yards25[[#This Row],[PROGRAM]])),IF(Yards25[[#This Row],[RAD/PACT by 2025]]="yes",0,1),0)</f>
        <v>0</v>
      </c>
      <c r="Y142" s="1"/>
      <c r="Z142" s="1"/>
      <c r="AA142" s="51">
        <f ca="1">COUNTIF($X$5:Yards25[[#This Row],['# yards]],"&gt;0")</f>
        <v>3</v>
      </c>
      <c r="AB142" s="1">
        <f ca="1">IF(ISBLANK(Yards25[[#This Row],[DSGN CALENDAR YEAR]]),ROUNDDOWN(Yards25[[#This Row],[Count]]/20,0)+$AB$1,Yards25[[#This Row],[DSGN CALENDAR YEAR]])</f>
        <v>2022</v>
      </c>
      <c r="AC142" s="16">
        <f ca="1">Yards25[[#This Row],[est. DSGN Year]]+1</f>
        <v>2023</v>
      </c>
    </row>
    <row r="143" spans="1:29" hidden="1">
      <c r="A143" s="13" t="s">
        <v>271</v>
      </c>
      <c r="B143" s="51" t="str">
        <f>VLOOKUP(Yards25[[#This Row],[DEVELOPMENT]],Data[],2,FALSE)</f>
        <v>QUEENS</v>
      </c>
      <c r="C14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143" s="51" t="str">
        <f>VLOOKUP(Yards25[[#This Row],[DEVELOPMENT]],Data[],52,FALSE)</f>
        <v>FEDERAL</v>
      </c>
      <c r="E143" s="50">
        <f>VLOOKUP(Yards25[[#This Row],[DEVELOPMENT]],Data[],8,FALSE)</f>
        <v>0</v>
      </c>
      <c r="F143" s="51" t="str">
        <f>VLOOKUP(Yards25[[#This Row],[DEVELOPMENT]],all[[DEVELOPMENT]:[MRST Ext. Comp. Priority]],6,FALSE)</f>
        <v>C</v>
      </c>
      <c r="G143" s="51">
        <f>VLOOKUP(Yards25[[#This Row],[DEVELOPMENT]],all[[DEVELOPMENT]:[MRST Ext. Comp. Priority]],13,FALSE)</f>
        <v>3</v>
      </c>
      <c r="H143" s="50">
        <f>IF(VLOOKUP(Yards25[[#This Row],[DEVELOPMENT]],Data[],9,FALSE)=0,5,VLOOKUP(Yards25[[#This Row],[DEVELOPMENT]],Data[],9,FALSE))</f>
        <v>5</v>
      </c>
      <c r="I143" s="51">
        <f>VLOOKUP(Yards25[[#This Row],[DEVELOPMENT]],Data[],33,FALSE)</f>
        <v>3</v>
      </c>
      <c r="J143" s="51">
        <f>VLOOKUP(Yards25[[#This Row],[DEVELOPMENT]],Data[],28,FALSE)</f>
        <v>0</v>
      </c>
      <c r="K143" s="51"/>
      <c r="L143" s="50"/>
      <c r="M143" s="51" t="str">
        <f ca="1">IFERROR(VLOOKUP(Yards25[[#This Row],[DEVELOPMENT]],Data[],4,FALSE),"")</f>
        <v/>
      </c>
      <c r="N143" s="51" t="str">
        <f ca="1">IF(Yards25[[#This Row],[RAD/PACT]]="","",IF(OR(Yards25[[#This Row],[RAD/PACT]]="2022-2025",Yards25[[#This Row],[RAD/PACT]]=2019,Yards25[[#This Row],[RAD/PACT]]="2020-2021"),"Yes",""))</f>
        <v/>
      </c>
      <c r="O143" s="51">
        <f ca="1">IFERROR(VLOOKUP(Yards25[[#This Row],[DEVELOPMENT]],ExtComp[],8,FALSE),"")</f>
        <v>12</v>
      </c>
      <c r="P143" s="51"/>
      <c r="Q143" s="51"/>
      <c r="R143" s="51" t="str">
        <f>IF(ISBLANK(Yards25[[#This Row],[DSGN CALENDAR YEAR]]),"",Yards25[[#This Row],[DSGN CALENDAR YEAR]]+1)</f>
        <v/>
      </c>
      <c r="S143" s="51" t="str">
        <f>IF(ISBLANK(Yards25[[#This Row],[DSGN FISCAL YEAR]]),"",Yards25[[#This Row],[DSGN FISCAL YEAR]]+1)</f>
        <v/>
      </c>
      <c r="T143" s="51"/>
      <c r="U143" s="128">
        <f ca="1">Yards25[[#This Row],[Estimate]]*0.1</f>
        <v>0</v>
      </c>
      <c r="V143" s="47">
        <f ca="1">Yards25[[#This Row],[Estimate]]-Yards25[[#This Row],[Design Est.]]</f>
        <v>0</v>
      </c>
      <c r="W143" s="85">
        <f ca="1">(Yards25[[#This Row],['# yards]]*INDEX(UnitCosts[],MATCH(Yards25[[#This Row],[WORK TYPE]],UnitCosts[Work Type],0),2))*(1+((Yards25[[#This Row],[est. CONS Year]]-YEAR(TODAY()))*$W$3))</f>
        <v>0</v>
      </c>
      <c r="X143" s="142">
        <f>IF(ISNUMBER(SEARCH("LLC",Yards25[[#This Row],[PROGRAM]])),IF(Yards25[[#This Row],[RAD/PACT by 2025]]="yes",0,1),0)</f>
        <v>0</v>
      </c>
      <c r="Y143" s="1"/>
      <c r="Z143" s="1"/>
      <c r="AA143" s="51">
        <f ca="1">COUNTIF($X$5:Yards25[[#This Row],['# yards]],"&gt;0")</f>
        <v>3</v>
      </c>
      <c r="AB143" s="1">
        <f ca="1">IF(ISBLANK(Yards25[[#This Row],[DSGN CALENDAR YEAR]]),ROUNDDOWN(Yards25[[#This Row],[Count]]/20,0)+$AB$1,Yards25[[#This Row],[DSGN CALENDAR YEAR]])</f>
        <v>2022</v>
      </c>
      <c r="AC143" s="16">
        <f ca="1">Yards25[[#This Row],[est. DSGN Year]]+1</f>
        <v>2023</v>
      </c>
    </row>
    <row r="144" spans="1:29" hidden="1">
      <c r="A144" s="13" t="s">
        <v>147</v>
      </c>
      <c r="B144" s="51" t="str">
        <f>VLOOKUP(Yards25[[#This Row],[DEVELOPMENT]],Data[],2,FALSE)</f>
        <v>BRONX</v>
      </c>
      <c r="C144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44" s="51" t="str">
        <f>VLOOKUP(Yards25[[#This Row],[DEVELOPMENT]],Data[],52,FALSE)</f>
        <v>FEDERAL</v>
      </c>
      <c r="E144" s="50" t="str">
        <f>VLOOKUP(Yards25[[#This Row],[DEVELOPMENT]],Data[],8,FALSE)</f>
        <v>Zone 1</v>
      </c>
      <c r="F144" s="51" t="str">
        <f>VLOOKUP(Yards25[[#This Row],[DEVELOPMENT]],all[[DEVELOPMENT]:[MRST Ext. Comp. Priority]],6,FALSE)</f>
        <v>C</v>
      </c>
      <c r="G144" s="51" t="str">
        <f>VLOOKUP(Yards25[[#This Row],[DEVELOPMENT]],all[[DEVELOPMENT]:[MRST Ext. Comp. Priority]],13,FALSE)</f>
        <v>None</v>
      </c>
      <c r="H144" s="50">
        <f>IF(VLOOKUP(Yards25[[#This Row],[DEVELOPMENT]],Data[],9,FALSE)=0,5,VLOOKUP(Yards25[[#This Row],[DEVELOPMENT]],Data[],9,FALSE))</f>
        <v>1</v>
      </c>
      <c r="I144" s="51">
        <f>VLOOKUP(Yards25[[#This Row],[DEVELOPMENT]],Data[],33,FALSE)</f>
        <v>0</v>
      </c>
      <c r="J144" s="51">
        <f>VLOOKUP(Yards25[[#This Row],[DEVELOPMENT]],Data[],28,FALSE)</f>
        <v>0</v>
      </c>
      <c r="K144" s="51"/>
      <c r="L144" s="50">
        <v>1</v>
      </c>
      <c r="M144" s="51" t="str">
        <f ca="1">IFERROR(VLOOKUP(Yards25[[#This Row],[DEVELOPMENT]],Data[],4,FALSE),"")</f>
        <v/>
      </c>
      <c r="N144" s="51" t="str">
        <f ca="1">IF(Yards25[[#This Row],[RAD/PACT]]="","",IF(OR(Yards25[[#This Row],[RAD/PACT]]="2022-2025",Yards25[[#This Row],[RAD/PACT]]=2019,Yards25[[#This Row],[RAD/PACT]]="2020-2021"),"Yes",""))</f>
        <v/>
      </c>
      <c r="O144" s="51" t="str">
        <f ca="1">IFERROR(VLOOKUP(Yards25[[#This Row],[DEVELOPMENT]],ExtComp[],8,FALSE),"")</f>
        <v/>
      </c>
      <c r="P144" s="51"/>
      <c r="Q144" s="51"/>
      <c r="R144" s="51" t="str">
        <f>IF(ISBLANK(Yards25[[#This Row],[DSGN CALENDAR YEAR]]),"",Yards25[[#This Row],[DSGN CALENDAR YEAR]]+1)</f>
        <v/>
      </c>
      <c r="S144" s="51" t="str">
        <f>IF(ISBLANK(Yards25[[#This Row],[DSGN FISCAL YEAR]]),"",Yards25[[#This Row],[DSGN FISCAL YEAR]]+1)</f>
        <v/>
      </c>
      <c r="T144" s="51"/>
      <c r="U144" s="128">
        <f ca="1">Yards25[[#This Row],[Estimate]]*0.1</f>
        <v>0</v>
      </c>
      <c r="V144" s="47">
        <f ca="1">Yards25[[#This Row],[Estimate]]-Yards25[[#This Row],[Design Est.]]</f>
        <v>0</v>
      </c>
      <c r="W144" s="85">
        <f ca="1">(Yards25[[#This Row],['# yards]]*INDEX(UnitCosts[],MATCH(Yards25[[#This Row],[WORK TYPE]],UnitCosts[Work Type],0),2))*(1+((Yards25[[#This Row],[est. CONS Year]]-YEAR(TODAY()))*$W$3))</f>
        <v>0</v>
      </c>
      <c r="X144" s="142">
        <f>IF(ISNUMBER(SEARCH("LLC",Yards25[[#This Row],[PROGRAM]])),IF(Yards25[[#This Row],[RAD/PACT by 2025]]="yes",0,1),0)</f>
        <v>0</v>
      </c>
      <c r="Y144" s="1"/>
      <c r="Z144" s="1"/>
      <c r="AA144" s="51">
        <f ca="1">COUNTIF($X$5:Yards25[[#This Row],['# yards]],"&gt;0")</f>
        <v>3</v>
      </c>
      <c r="AB144" s="1">
        <f ca="1">IF(ISBLANK(Yards25[[#This Row],[DSGN CALENDAR YEAR]]),ROUNDDOWN(Yards25[[#This Row],[Count]]/20,0)+$AB$1,Yards25[[#This Row],[DSGN CALENDAR YEAR]])</f>
        <v>2022</v>
      </c>
      <c r="AC144" s="16">
        <f ca="1">Yards25[[#This Row],[est. DSGN Year]]+1</f>
        <v>2023</v>
      </c>
    </row>
    <row r="145" spans="1:29">
      <c r="A145" s="13" t="s">
        <v>77</v>
      </c>
      <c r="B145" s="1" t="str">
        <f>VLOOKUP(Yards25[[#This Row],[DEVELOPMENT]],Data[],2,FALSE)</f>
        <v>MANHATTAN</v>
      </c>
      <c r="C145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45" s="51" t="str">
        <f>VLOOKUP(Yards25[[#This Row],[DEVELOPMENT]],Data[],52,FALSE)</f>
        <v>MIXED FINANCE/LLC1</v>
      </c>
      <c r="E145" s="9" t="str">
        <f>VLOOKUP(Yards25[[#This Row],[DEVELOPMENT]],Data[],8,FALSE)</f>
        <v>Zone 2</v>
      </c>
      <c r="F145" s="51" t="str">
        <f>VLOOKUP(Yards25[[#This Row],[DEVELOPMENT]],all[[DEVELOPMENT]:[MRST Ext. Comp. Priority]],6,FALSE)</f>
        <v>C</v>
      </c>
      <c r="G145" s="51" t="str">
        <f>VLOOKUP(Yards25[[#This Row],[DEVELOPMENT]],all[[DEVELOPMENT]:[MRST Ext. Comp. Priority]],13,FALSE)</f>
        <v>None</v>
      </c>
      <c r="H145" s="9">
        <f>IF(VLOOKUP(Yards25[[#This Row],[DEVELOPMENT]],Data[],9,FALSE)=0,5,VLOOKUP(Yards25[[#This Row],[DEVELOPMENT]],Data[],9,FALSE))</f>
        <v>4</v>
      </c>
      <c r="I145" s="51">
        <f>VLOOKUP(Yards25[[#This Row],[DEVELOPMENT]],Data[],33,FALSE)</f>
        <v>2</v>
      </c>
      <c r="J145" s="51">
        <f>VLOOKUP(Yards25[[#This Row],[DEVELOPMENT]],Data[],28,FALSE)</f>
        <v>0</v>
      </c>
      <c r="K145" s="51"/>
      <c r="L145" s="9">
        <v>1</v>
      </c>
      <c r="M145" s="1" t="str">
        <f ca="1">IFERROR(VLOOKUP(Yards25[[#This Row],[DEVELOPMENT]],Data[],4,FALSE),"")</f>
        <v/>
      </c>
      <c r="N145" s="1" t="str">
        <f ca="1">IF(Yards25[[#This Row],[RAD/PACT]]="","",IF(OR(Yards25[[#This Row],[RAD/PACT]]="2022-2025",Yards25[[#This Row],[RAD/PACT]]=2019,Yards25[[#This Row],[RAD/PACT]]="2020-2021"),"Yes",""))</f>
        <v/>
      </c>
      <c r="O145" s="1">
        <f ca="1">IFERROR(VLOOKUP(Yards25[[#This Row],[DEVELOPMENT]],ExtComp[],8,FALSE),"")</f>
        <v>20</v>
      </c>
      <c r="P145" s="1"/>
      <c r="Q145" s="1"/>
      <c r="R145" s="1" t="str">
        <f>IF(ISBLANK(Yards25[[#This Row],[DSGN CALENDAR YEAR]]),"",Yards25[[#This Row],[DSGN CALENDAR YEAR]]+1)</f>
        <v/>
      </c>
      <c r="S145" s="51" t="str">
        <f>IF(ISBLANK(Yards25[[#This Row],[DSGN FISCAL YEAR]]),"",Yards25[[#This Row],[DSGN FISCAL YEAR]]+1)</f>
        <v/>
      </c>
      <c r="T145" s="1"/>
      <c r="U145" s="128">
        <f ca="1">Yards25[[#This Row],[Estimate]]*0.1</f>
        <v>237400.39768875009</v>
      </c>
      <c r="V145" s="47">
        <f ca="1">Yards25[[#This Row],[Estimate]]-Yards25[[#This Row],[Design Est.]]</f>
        <v>2136603.5791987507</v>
      </c>
      <c r="W145" s="85">
        <f ca="1">(Yards25[[#This Row],['# yards]]*INDEX(UnitCosts[],MATCH(Yards25[[#This Row],[WORK TYPE]],UnitCosts[Work Type],0),2))*(1+((Yards25[[#This Row],[est. CONS Year]]-YEAR(TODAY()))*$W$3))</f>
        <v>2374003.9768875008</v>
      </c>
      <c r="X145" s="142">
        <f ca="1">IF(ISNUMBER(SEARCH("LLC",Yards25[[#This Row],[PROGRAM]])),IF(Yards25[[#This Row],[RAD/PACT by 2025]]="yes",0,1),0)</f>
        <v>1</v>
      </c>
      <c r="Y145" s="1"/>
      <c r="Z145" s="1"/>
      <c r="AA145" s="51">
        <f ca="1">COUNTIF($X$5:Yards25[[#This Row],['# yards]],"&gt;0")</f>
        <v>4</v>
      </c>
      <c r="AB145" s="1">
        <v>2024</v>
      </c>
      <c r="AC145" s="16">
        <f>Yards25[[#This Row],[est. DSGN Year]]+1</f>
        <v>2025</v>
      </c>
    </row>
    <row r="146" spans="1:29" hidden="1">
      <c r="A146" s="13" t="s">
        <v>35</v>
      </c>
      <c r="B146" s="51" t="str">
        <f>VLOOKUP(Yards25[[#This Row],[DEVELOPMENT]],Data[],2,FALSE)</f>
        <v>BRONX</v>
      </c>
      <c r="C14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46" s="51" t="str">
        <f>VLOOKUP(Yards25[[#This Row],[DEVELOPMENT]],Data[],52,FALSE)</f>
        <v>FEDERAL</v>
      </c>
      <c r="E146" s="50" t="str">
        <f>VLOOKUP(Yards25[[#This Row],[DEVELOPMENT]],Data[],8,FALSE)</f>
        <v>Zone 1</v>
      </c>
      <c r="F146" s="51" t="str">
        <f>VLOOKUP(Yards25[[#This Row],[DEVELOPMENT]],all[[DEVELOPMENT]:[MRST Ext. Comp. Priority]],6,FALSE)</f>
        <v>C</v>
      </c>
      <c r="G146" s="51">
        <f>VLOOKUP(Yards25[[#This Row],[DEVELOPMENT]],all[[DEVELOPMENT]:[MRST Ext. Comp. Priority]],13,FALSE)</f>
        <v>3</v>
      </c>
      <c r="H146" s="50">
        <f>IF(VLOOKUP(Yards25[[#This Row],[DEVELOPMENT]],Data[],9,FALSE)=0,5,VLOOKUP(Yards25[[#This Row],[DEVELOPMENT]],Data[],9,FALSE))</f>
        <v>4</v>
      </c>
      <c r="I146" s="51">
        <f>VLOOKUP(Yards25[[#This Row],[DEVELOPMENT]],Data[],33,FALSE)</f>
        <v>2</v>
      </c>
      <c r="J146" s="51">
        <f>VLOOKUP(Yards25[[#This Row],[DEVELOPMENT]],Data[],28,FALSE)</f>
        <v>0</v>
      </c>
      <c r="K146" s="51"/>
      <c r="L146" s="50"/>
      <c r="M146" s="51" t="str">
        <f ca="1">IFERROR(VLOOKUP(Yards25[[#This Row],[DEVELOPMENT]],Data[],4,FALSE),"")</f>
        <v/>
      </c>
      <c r="N146" s="51" t="str">
        <f ca="1">IF(Yards25[[#This Row],[RAD/PACT]]="","",IF(OR(Yards25[[#This Row],[RAD/PACT]]="2022-2025",Yards25[[#This Row],[RAD/PACT]]=2019,Yards25[[#This Row],[RAD/PACT]]="2020-2021"),"Yes",""))</f>
        <v/>
      </c>
      <c r="O146" s="51">
        <f ca="1">IFERROR(VLOOKUP(Yards25[[#This Row],[DEVELOPMENT]],ExtComp[],8,FALSE),"")</f>
        <v>20</v>
      </c>
      <c r="P146" s="51"/>
      <c r="Q146" s="51"/>
      <c r="R146" s="51" t="str">
        <f>IF(ISBLANK(Yards25[[#This Row],[DSGN CALENDAR YEAR]]),"",Yards25[[#This Row],[DSGN CALENDAR YEAR]]+1)</f>
        <v/>
      </c>
      <c r="S146" s="51" t="str">
        <f>IF(ISBLANK(Yards25[[#This Row],[DSGN FISCAL YEAR]]),"",Yards25[[#This Row],[DSGN FISCAL YEAR]]+1)</f>
        <v/>
      </c>
      <c r="T146" s="51"/>
      <c r="U146" s="128">
        <f ca="1">Yards25[[#This Row],[Estimate]]*0.1</f>
        <v>0</v>
      </c>
      <c r="V146" s="47">
        <f ca="1">Yards25[[#This Row],[Estimate]]-Yards25[[#This Row],[Design Est.]]</f>
        <v>0</v>
      </c>
      <c r="W146" s="85">
        <f ca="1">(Yards25[[#This Row],['# yards]]*INDEX(UnitCosts[],MATCH(Yards25[[#This Row],[WORK TYPE]],UnitCosts[Work Type],0),2))*(1+((Yards25[[#This Row],[est. CONS Year]]-YEAR(TODAY()))*$W$3))</f>
        <v>0</v>
      </c>
      <c r="X146" s="142">
        <f>IF(ISNUMBER(SEARCH("LLC",Yards25[[#This Row],[PROGRAM]])),IF(Yards25[[#This Row],[RAD/PACT by 2025]]="yes",0,1),0)</f>
        <v>0</v>
      </c>
      <c r="Y146" s="1"/>
      <c r="Z146" s="1"/>
      <c r="AA146" s="51">
        <f ca="1">COUNTIF($X$5:Yards25[[#This Row],['# yards]],"&gt;0")</f>
        <v>4</v>
      </c>
      <c r="AB146" s="1">
        <f ca="1">IF(ISBLANK(Yards25[[#This Row],[DSGN CALENDAR YEAR]]),ROUNDDOWN(Yards25[[#This Row],[Count]]/20,0)+$AB$1,Yards25[[#This Row],[DSGN CALENDAR YEAR]])</f>
        <v>2022</v>
      </c>
      <c r="AC146" s="16">
        <f ca="1">Yards25[[#This Row],[est. DSGN Year]]+1</f>
        <v>2023</v>
      </c>
    </row>
    <row r="147" spans="1:29">
      <c r="A147" s="13" t="s">
        <v>122</v>
      </c>
      <c r="B147" s="51" t="str">
        <f>VLOOKUP(Yards25[[#This Row],[DEVELOPMENT]],Data[],2,FALSE)</f>
        <v>MANHATTAN</v>
      </c>
      <c r="C14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147" s="51" t="str">
        <f>VLOOKUP(Yards25[[#This Row],[DEVELOPMENT]],Data[],52,FALSE)</f>
        <v>MIXED FINANCE/LLC1</v>
      </c>
      <c r="E147" s="50" t="str">
        <f>VLOOKUP(Yards25[[#This Row],[DEVELOPMENT]],Data[],8,FALSE)</f>
        <v>Zone 2</v>
      </c>
      <c r="F147" s="51" t="str">
        <f>VLOOKUP(Yards25[[#This Row],[DEVELOPMENT]],all[[DEVELOPMENT]:[MRST Ext. Comp. Priority]],6,FALSE)</f>
        <v>C</v>
      </c>
      <c r="G147" s="51">
        <f>VLOOKUP(Yards25[[#This Row],[DEVELOPMENT]],all[[DEVELOPMENT]:[MRST Ext. Comp. Priority]],13,FALSE)</f>
        <v>2</v>
      </c>
      <c r="H147" s="50">
        <f>IF(VLOOKUP(Yards25[[#This Row],[DEVELOPMENT]],Data[],9,FALSE)=0,5,VLOOKUP(Yards25[[#This Row],[DEVELOPMENT]],Data[],9,FALSE))</f>
        <v>4</v>
      </c>
      <c r="I147" s="51">
        <f>VLOOKUP(Yards25[[#This Row],[DEVELOPMENT]],Data[],33,FALSE)</f>
        <v>3</v>
      </c>
      <c r="J147" s="51">
        <f>VLOOKUP(Yards25[[#This Row],[DEVELOPMENT]],Data[],28,FALSE)</f>
        <v>0</v>
      </c>
      <c r="K147" s="51"/>
      <c r="L147" s="50"/>
      <c r="M147" s="51" t="str">
        <f ca="1">IFERROR(VLOOKUP(Yards25[[#This Row],[DEVELOPMENT]],Data[],4,FALSE),"")</f>
        <v>2026+</v>
      </c>
      <c r="N147" s="51" t="str">
        <f ca="1">IF(Yards25[[#This Row],[RAD/PACT]]="","",IF(OR(Yards25[[#This Row],[RAD/PACT]]="2022-2025",Yards25[[#This Row],[RAD/PACT]]=2019,Yards25[[#This Row],[RAD/PACT]]="2020-2021"),"Yes",""))</f>
        <v/>
      </c>
      <c r="O147" s="1">
        <f ca="1">IFERROR(VLOOKUP(Yards25[[#This Row],[DEVELOPMENT]],ExtComp[],8,FALSE),"")</f>
        <v>15</v>
      </c>
      <c r="P147" s="1"/>
      <c r="Q147" s="1"/>
      <c r="R147" s="1" t="str">
        <f>IF(ISBLANK(Yards25[[#This Row],[DSGN CALENDAR YEAR]]),"",Yards25[[#This Row],[DSGN CALENDAR YEAR]]+1)</f>
        <v/>
      </c>
      <c r="S147" s="51" t="str">
        <f>IF(ISBLANK(Yards25[[#This Row],[DSGN FISCAL YEAR]]),"",Yards25[[#This Row],[DSGN FISCAL YEAR]]+1)</f>
        <v/>
      </c>
      <c r="T147" s="1"/>
      <c r="U147" s="128">
        <f ca="1">Yards25[[#This Row],[Estimate]]*0.1</f>
        <v>276067.59524575004</v>
      </c>
      <c r="V147" s="47">
        <f ca="1">Yards25[[#This Row],[Estimate]]-Yards25[[#This Row],[Design Est.]]</f>
        <v>2484608.35721175</v>
      </c>
      <c r="W147" s="85">
        <f ca="1">(Yards25[[#This Row],['# yards]]*INDEX(UnitCosts[],MATCH(Yards25[[#This Row],[WORK TYPE]],UnitCosts[Work Type],0),2))*(1+((Yards25[[#This Row],[est. CONS Year]]-YEAR(TODAY()))*$W$3))</f>
        <v>2760675.9524575002</v>
      </c>
      <c r="X147" s="142">
        <f ca="1">IF(ISNUMBER(SEARCH("LLC",Yards25[[#This Row],[PROGRAM]])),IF(Yards25[[#This Row],[RAD/PACT by 2025]]="yes",0,1),0)</f>
        <v>1</v>
      </c>
      <c r="Y147" s="1"/>
      <c r="Z147" s="1"/>
      <c r="AA147" s="51">
        <f ca="1">COUNTIF($X$5:Yards25[[#This Row],['# yards]],"&gt;0")</f>
        <v>5</v>
      </c>
      <c r="AB147" s="1">
        <v>2024</v>
      </c>
      <c r="AC147" s="16">
        <f>Yards25[[#This Row],[est. DSGN Year]]+1</f>
        <v>2025</v>
      </c>
    </row>
    <row r="148" spans="1:29" hidden="1">
      <c r="A148" s="13" t="s">
        <v>135</v>
      </c>
      <c r="B148" s="51" t="str">
        <f>VLOOKUP(Yards25[[#This Row],[DEVELOPMENT]],Data[],2,FALSE)</f>
        <v>QUEENS</v>
      </c>
      <c r="C148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48" s="51" t="str">
        <f>VLOOKUP(Yards25[[#This Row],[DEVELOPMENT]],Data[],52,FALSE)</f>
        <v>FEDERAL</v>
      </c>
      <c r="E148" s="50" t="str">
        <f>VLOOKUP(Yards25[[#This Row],[DEVELOPMENT]],Data[],8,FALSE)</f>
        <v>Zone 3</v>
      </c>
      <c r="F148" s="51" t="str">
        <f>VLOOKUP(Yards25[[#This Row],[DEVELOPMENT]],all[[DEVELOPMENT]:[MRST Ext. Comp. Priority]],6,FALSE)</f>
        <v>C</v>
      </c>
      <c r="G148" s="51">
        <f>VLOOKUP(Yards25[[#This Row],[DEVELOPMENT]],all[[DEVELOPMENT]:[MRST Ext. Comp. Priority]],13,FALSE)</f>
        <v>3</v>
      </c>
      <c r="H148" s="50">
        <f>IF(VLOOKUP(Yards25[[#This Row],[DEVELOPMENT]],Data[],9,FALSE)=0,5,VLOOKUP(Yards25[[#This Row],[DEVELOPMENT]],Data[],9,FALSE))</f>
        <v>4</v>
      </c>
      <c r="I148" s="51">
        <f>VLOOKUP(Yards25[[#This Row],[DEVELOPMENT]],Data[],33,FALSE)</f>
        <v>3</v>
      </c>
      <c r="J148" s="51">
        <f>VLOOKUP(Yards25[[#This Row],[DEVELOPMENT]],Data[],28,FALSE)</f>
        <v>0</v>
      </c>
      <c r="K148" s="51"/>
      <c r="L148" s="50"/>
      <c r="M148" s="51" t="str">
        <f ca="1">IFERROR(VLOOKUP(Yards25[[#This Row],[DEVELOPMENT]],Data[],4,FALSE),"")</f>
        <v>2026+</v>
      </c>
      <c r="N148" s="51" t="str">
        <f ca="1">IF(Yards25[[#This Row],[RAD/PACT]]="","",IF(OR(Yards25[[#This Row],[RAD/PACT]]="2022-2025",Yards25[[#This Row],[RAD/PACT]]=2019,Yards25[[#This Row],[RAD/PACT]]="2020-2021"),"Yes",""))</f>
        <v/>
      </c>
      <c r="O148" s="51">
        <f ca="1">IFERROR(VLOOKUP(Yards25[[#This Row],[DEVELOPMENT]],ExtComp[],8,FALSE),"")</f>
        <v>10</v>
      </c>
      <c r="P148" s="51"/>
      <c r="Q148" s="51"/>
      <c r="R148" s="51" t="str">
        <f>IF(ISBLANK(Yards25[[#This Row],[DSGN CALENDAR YEAR]]),"",Yards25[[#This Row],[DSGN CALENDAR YEAR]]+1)</f>
        <v/>
      </c>
      <c r="S148" s="51" t="str">
        <f>IF(ISBLANK(Yards25[[#This Row],[DSGN FISCAL YEAR]]),"",Yards25[[#This Row],[DSGN FISCAL YEAR]]+1)</f>
        <v/>
      </c>
      <c r="T148" s="51"/>
      <c r="U148" s="128">
        <f ca="1">Yards25[[#This Row],[Estimate]]*0.1</f>
        <v>0</v>
      </c>
      <c r="V148" s="47">
        <f ca="1">Yards25[[#This Row],[Estimate]]-Yards25[[#This Row],[Design Est.]]</f>
        <v>0</v>
      </c>
      <c r="W148" s="85">
        <f ca="1">(Yards25[[#This Row],['# yards]]*INDEX(UnitCosts[],MATCH(Yards25[[#This Row],[WORK TYPE]],UnitCosts[Work Type],0),2))*(1+((Yards25[[#This Row],[est. CONS Year]]-YEAR(TODAY()))*$W$3))</f>
        <v>0</v>
      </c>
      <c r="X148" s="142">
        <f>IF(ISNUMBER(SEARCH("LLC",Yards25[[#This Row],[PROGRAM]])),IF(Yards25[[#This Row],[RAD/PACT by 2025]]="yes",0,1),0)</f>
        <v>0</v>
      </c>
      <c r="Y148" s="1"/>
      <c r="Z148" s="1"/>
      <c r="AA148" s="51">
        <f ca="1">COUNTIF($X$5:Yards25[[#This Row],['# yards]],"&gt;0")</f>
        <v>5</v>
      </c>
      <c r="AB148" s="1">
        <f ca="1">IF(ISBLANK(Yards25[[#This Row],[DSGN CALENDAR YEAR]]),ROUNDDOWN(Yards25[[#This Row],[Count]]/20,0)+$AB$1,Yards25[[#This Row],[DSGN CALENDAR YEAR]])</f>
        <v>2022</v>
      </c>
      <c r="AC148" s="16">
        <f ca="1">Yards25[[#This Row],[est. DSGN Year]]+1</f>
        <v>2023</v>
      </c>
    </row>
    <row r="149" spans="1:29" hidden="1">
      <c r="A149" s="13" t="s">
        <v>261</v>
      </c>
      <c r="B149" s="51" t="str">
        <f>VLOOKUP(Yards25[[#This Row],[DEVELOPMENT]],Data[],2,FALSE)</f>
        <v>MANHATTAN</v>
      </c>
      <c r="C149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149" s="51" t="str">
        <f>VLOOKUP(Yards25[[#This Row],[DEVELOPMENT]],Data[],52,FALSE)</f>
        <v>FEDERAL</v>
      </c>
      <c r="E149" s="50" t="str">
        <f>VLOOKUP(Yards25[[#This Row],[DEVELOPMENT]],Data[],8,FALSE)</f>
        <v>Zone 4</v>
      </c>
      <c r="F149" s="51" t="str">
        <f>VLOOKUP(Yards25[[#This Row],[DEVELOPMENT]],all[[DEVELOPMENT]:[MRST Ext. Comp. Priority]],6,FALSE)</f>
        <v>C</v>
      </c>
      <c r="G149" s="51">
        <f>VLOOKUP(Yards25[[#This Row],[DEVELOPMENT]],all[[DEVELOPMENT]:[MRST Ext. Comp. Priority]],13,FALSE)</f>
        <v>2</v>
      </c>
      <c r="H149" s="50">
        <f>IF(VLOOKUP(Yards25[[#This Row],[DEVELOPMENT]],Data[],9,FALSE)=0,5,VLOOKUP(Yards25[[#This Row],[DEVELOPMENT]],Data[],9,FALSE))</f>
        <v>5</v>
      </c>
      <c r="I149" s="51">
        <f>VLOOKUP(Yards25[[#This Row],[DEVELOPMENT]],Data[],33,FALSE)</f>
        <v>3</v>
      </c>
      <c r="J149" s="51">
        <f>VLOOKUP(Yards25[[#This Row],[DEVELOPMENT]],Data[],28,FALSE)</f>
        <v>0</v>
      </c>
      <c r="K149" s="51"/>
      <c r="L149" s="50"/>
      <c r="M149" s="51" t="str">
        <f ca="1">IFERROR(VLOOKUP(Yards25[[#This Row],[DEVELOPMENT]],Data[],4,FALSE),"")</f>
        <v/>
      </c>
      <c r="N149" s="51" t="str">
        <f ca="1">IF(Yards25[[#This Row],[RAD/PACT]]="","",IF(OR(Yards25[[#This Row],[RAD/PACT]]="2022-2025",Yards25[[#This Row],[RAD/PACT]]=2019,Yards25[[#This Row],[RAD/PACT]]="2020-2021"),"Yes",""))</f>
        <v/>
      </c>
      <c r="O149" s="51">
        <f ca="1">IFERROR(VLOOKUP(Yards25[[#This Row],[DEVELOPMENT]],ExtComp[],8,FALSE),"")</f>
        <v>13</v>
      </c>
      <c r="P149" s="51"/>
      <c r="Q149" s="51"/>
      <c r="R149" s="51" t="str">
        <f>IF(ISBLANK(Yards25[[#This Row],[DSGN CALENDAR YEAR]]),"",Yards25[[#This Row],[DSGN CALENDAR YEAR]]+1)</f>
        <v/>
      </c>
      <c r="S149" s="51" t="str">
        <f>IF(ISBLANK(Yards25[[#This Row],[DSGN FISCAL YEAR]]),"",Yards25[[#This Row],[DSGN FISCAL YEAR]]+1)</f>
        <v/>
      </c>
      <c r="T149" s="51"/>
      <c r="U149" s="128">
        <f ca="1">Yards25[[#This Row],[Estimate]]*0.1</f>
        <v>0</v>
      </c>
      <c r="V149" s="47">
        <f ca="1">Yards25[[#This Row],[Estimate]]-Yards25[[#This Row],[Design Est.]]</f>
        <v>0</v>
      </c>
      <c r="W149" s="85">
        <f ca="1">(Yards25[[#This Row],['# yards]]*INDEX(UnitCosts[],MATCH(Yards25[[#This Row],[WORK TYPE]],UnitCosts[Work Type],0),2))*(1+((Yards25[[#This Row],[est. CONS Year]]-YEAR(TODAY()))*$W$3))</f>
        <v>0</v>
      </c>
      <c r="X149" s="142">
        <f>IF(ISNUMBER(SEARCH("LLC",Yards25[[#This Row],[PROGRAM]])),IF(Yards25[[#This Row],[RAD/PACT by 2025]]="yes",0,1),0)</f>
        <v>0</v>
      </c>
      <c r="Y149" s="1"/>
      <c r="Z149" s="1"/>
      <c r="AA149" s="51">
        <f ca="1">COUNTIF($X$5:Yards25[[#This Row],['# yards]],"&gt;0")</f>
        <v>5</v>
      </c>
      <c r="AB149" s="1">
        <f ca="1">IF(ISBLANK(Yards25[[#This Row],[DSGN CALENDAR YEAR]]),ROUNDDOWN(Yards25[[#This Row],[Count]]/20,0)+$AB$1,Yards25[[#This Row],[DSGN CALENDAR YEAR]])</f>
        <v>2022</v>
      </c>
      <c r="AC149" s="16">
        <f ca="1">Yards25[[#This Row],[est. DSGN Year]]+1</f>
        <v>2023</v>
      </c>
    </row>
    <row r="150" spans="1:29">
      <c r="A150" s="13" t="s">
        <v>262</v>
      </c>
      <c r="B150" s="51" t="str">
        <f>VLOOKUP(Yards25[[#This Row],[DEVELOPMENT]],Data[],2,FALSE)</f>
        <v>MANHATTAN</v>
      </c>
      <c r="C150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50" s="51" t="str">
        <f>VLOOKUP(Yards25[[#This Row],[DEVELOPMENT]],Data[],52,FALSE)</f>
        <v>MIXED FINANCE/LLC1</v>
      </c>
      <c r="E150" s="50">
        <f>VLOOKUP(Yards25[[#This Row],[DEVELOPMENT]],Data[],8,FALSE)</f>
        <v>0</v>
      </c>
      <c r="F150" s="51" t="str">
        <f>VLOOKUP(Yards25[[#This Row],[DEVELOPMENT]],all[[DEVELOPMENT]:[MRST Ext. Comp. Priority]],6,FALSE)</f>
        <v>C</v>
      </c>
      <c r="G150" s="51">
        <f>VLOOKUP(Yards25[[#This Row],[DEVELOPMENT]],all[[DEVELOPMENT]:[MRST Ext. Comp. Priority]],13,FALSE)</f>
        <v>3</v>
      </c>
      <c r="H150" s="50">
        <f>IF(VLOOKUP(Yards25[[#This Row],[DEVELOPMENT]],Data[],9,FALSE)=0,5,VLOOKUP(Yards25[[#This Row],[DEVELOPMENT]],Data[],9,FALSE))</f>
        <v>5</v>
      </c>
      <c r="I150" s="51">
        <f>VLOOKUP(Yards25[[#This Row],[DEVELOPMENT]],Data[],33,FALSE)</f>
        <v>0</v>
      </c>
      <c r="J150" s="51">
        <f>VLOOKUP(Yards25[[#This Row],[DEVELOPMENT]],Data[],28,FALSE)</f>
        <v>0</v>
      </c>
      <c r="K150" s="51"/>
      <c r="L150" s="50"/>
      <c r="M150" s="51" t="str">
        <f ca="1">IFERROR(VLOOKUP(Yards25[[#This Row],[DEVELOPMENT]],Data[],4,FALSE),"")</f>
        <v/>
      </c>
      <c r="N150" s="51" t="str">
        <f ca="1">IF(Yards25[[#This Row],[RAD/PACT]]="","",IF(OR(Yards25[[#This Row],[RAD/PACT]]="2022-2025",Yards25[[#This Row],[RAD/PACT]]=2019,Yards25[[#This Row],[RAD/PACT]]="2020-2021"),"Yes",""))</f>
        <v/>
      </c>
      <c r="O150" s="51" t="str">
        <f ca="1">IFERROR(VLOOKUP(Yards25[[#This Row],[DEVELOPMENT]],ExtComp[],8,FALSE),"")</f>
        <v/>
      </c>
      <c r="P150" s="51"/>
      <c r="Q150" s="51"/>
      <c r="R150" s="51" t="str">
        <f>IF(ISBLANK(Yards25[[#This Row],[DSGN CALENDAR YEAR]]),"",Yards25[[#This Row],[DSGN CALENDAR YEAR]]+1)</f>
        <v/>
      </c>
      <c r="S150" s="51" t="str">
        <f>IF(ISBLANK(Yards25[[#This Row],[DSGN FISCAL YEAR]]),"",Yards25[[#This Row],[DSGN FISCAL YEAR]]+1)</f>
        <v/>
      </c>
      <c r="T150" s="51"/>
      <c r="U150" s="128">
        <f ca="1">Yards25[[#This Row],[Estimate]]*0.1</f>
        <v>212386.62609500007</v>
      </c>
      <c r="V150" s="47">
        <f ca="1">Yards25[[#This Row],[Estimate]]-Yards25[[#This Row],[Design Est.]]</f>
        <v>1911479.6348550003</v>
      </c>
      <c r="W150" s="85">
        <f ca="1">(Yards25[[#This Row],['# yards]]*INDEX(UnitCosts[],MATCH(Yards25[[#This Row],[WORK TYPE]],UnitCosts[Work Type],0),2))*(1+((Yards25[[#This Row],[est. CONS Year]]-YEAR(TODAY()))*$W$3))</f>
        <v>2123866.2609500005</v>
      </c>
      <c r="X150" s="142">
        <f ca="1">IF(ISNUMBER(SEARCH("LLC",Yards25[[#This Row],[PROGRAM]])),IF(Yards25[[#This Row],[RAD/PACT by 2025]]="yes",0,1),0)</f>
        <v>1</v>
      </c>
      <c r="Y150" s="1"/>
      <c r="Z150" s="1"/>
      <c r="AA150" s="51">
        <f ca="1">COUNTIF($X$5:Yards25[[#This Row],['# yards]],"&gt;0")</f>
        <v>6</v>
      </c>
      <c r="AB150" s="1">
        <v>2024</v>
      </c>
      <c r="AC150" s="16">
        <f>Yards25[[#This Row],[est. DSGN Year]]+1</f>
        <v>2025</v>
      </c>
    </row>
    <row r="151" spans="1:29" hidden="1">
      <c r="A151" s="13" t="s">
        <v>264</v>
      </c>
      <c r="B151" s="51" t="str">
        <f>VLOOKUP(Yards25[[#This Row],[DEVELOPMENT]],Data[],2,FALSE)</f>
        <v>BRONX</v>
      </c>
      <c r="C15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51" s="51" t="str">
        <f>VLOOKUP(Yards25[[#This Row],[DEVELOPMENT]],Data[],52,FALSE)</f>
        <v>FEDERAL</v>
      </c>
      <c r="E151" s="50">
        <f>VLOOKUP(Yards25[[#This Row],[DEVELOPMENT]],Data[],8,FALSE)</f>
        <v>0</v>
      </c>
      <c r="F151" s="51" t="str">
        <f>VLOOKUP(Yards25[[#This Row],[DEVELOPMENT]],all[[DEVELOPMENT]:[MRST Ext. Comp. Priority]],6,FALSE)</f>
        <v>C</v>
      </c>
      <c r="G151" s="51">
        <f>VLOOKUP(Yards25[[#This Row],[DEVELOPMENT]],all[[DEVELOPMENT]:[MRST Ext. Comp. Priority]],13,FALSE)</f>
        <v>2</v>
      </c>
      <c r="H151" s="50">
        <f>IF(VLOOKUP(Yards25[[#This Row],[DEVELOPMENT]],Data[],9,FALSE)=0,5,VLOOKUP(Yards25[[#This Row],[DEVELOPMENT]],Data[],9,FALSE))</f>
        <v>5</v>
      </c>
      <c r="I151" s="51">
        <f>VLOOKUP(Yards25[[#This Row],[DEVELOPMENT]],Data[],33,FALSE)</f>
        <v>0</v>
      </c>
      <c r="J151" s="51">
        <f>VLOOKUP(Yards25[[#This Row],[DEVELOPMENT]],Data[],28,FALSE)</f>
        <v>0</v>
      </c>
      <c r="K151" s="51"/>
      <c r="L151" s="50"/>
      <c r="M151" s="51" t="str">
        <f ca="1">IFERROR(VLOOKUP(Yards25[[#This Row],[DEVELOPMENT]],Data[],4,FALSE),"")</f>
        <v>2026+</v>
      </c>
      <c r="N151" s="51" t="str">
        <f ca="1">IF(Yards25[[#This Row],[RAD/PACT]]="","",IF(OR(Yards25[[#This Row],[RAD/PACT]]="2022-2025",Yards25[[#This Row],[RAD/PACT]]=2019,Yards25[[#This Row],[RAD/PACT]]="2020-2021"),"Yes",""))</f>
        <v/>
      </c>
      <c r="O151" s="51" t="str">
        <f ca="1">IFERROR(VLOOKUP(Yards25[[#This Row],[DEVELOPMENT]],ExtComp[],8,FALSE),"")</f>
        <v/>
      </c>
      <c r="P151" s="51"/>
      <c r="Q151" s="51"/>
      <c r="R151" s="51" t="str">
        <f>IF(ISBLANK(Yards25[[#This Row],[DSGN CALENDAR YEAR]]),"",Yards25[[#This Row],[DSGN CALENDAR YEAR]]+1)</f>
        <v/>
      </c>
      <c r="S151" s="51" t="str">
        <f>IF(ISBLANK(Yards25[[#This Row],[DSGN FISCAL YEAR]]),"",Yards25[[#This Row],[DSGN FISCAL YEAR]]+1)</f>
        <v/>
      </c>
      <c r="T151" s="51"/>
      <c r="U151" s="128">
        <f ca="1">Yards25[[#This Row],[Estimate]]*0.1</f>
        <v>0</v>
      </c>
      <c r="V151" s="47">
        <f ca="1">Yards25[[#This Row],[Estimate]]-Yards25[[#This Row],[Design Est.]]</f>
        <v>0</v>
      </c>
      <c r="W151" s="85">
        <f ca="1">(Yards25[[#This Row],['# yards]]*INDEX(UnitCosts[],MATCH(Yards25[[#This Row],[WORK TYPE]],UnitCosts[Work Type],0),2))*(1+((Yards25[[#This Row],[est. CONS Year]]-YEAR(TODAY()))*$W$3))</f>
        <v>0</v>
      </c>
      <c r="X151" s="142">
        <f>IF(ISNUMBER(SEARCH("LLC",Yards25[[#This Row],[PROGRAM]])),IF(Yards25[[#This Row],[RAD/PACT by 2025]]="yes",0,1),0)</f>
        <v>0</v>
      </c>
      <c r="Y151" s="1"/>
      <c r="Z151" s="1"/>
      <c r="AA151" s="51">
        <f ca="1">COUNTIF($X$5:Yards25[[#This Row],['# yards]],"&gt;0")</f>
        <v>6</v>
      </c>
      <c r="AB151" s="1">
        <f ca="1">IF(ISBLANK(Yards25[[#This Row],[DSGN CALENDAR YEAR]]),ROUNDDOWN(Yards25[[#This Row],[Count]]/20,0)+$AB$1,Yards25[[#This Row],[DSGN CALENDAR YEAR]])</f>
        <v>2022</v>
      </c>
      <c r="AC151" s="16">
        <f ca="1">Yards25[[#This Row],[est. DSGN Year]]+1</f>
        <v>2023</v>
      </c>
    </row>
    <row r="152" spans="1:29" hidden="1">
      <c r="A152" s="13" t="s">
        <v>275</v>
      </c>
      <c r="B152" s="51" t="str">
        <f>VLOOKUP(Yards25[[#This Row],[DEVELOPMENT]],Data[],2,FALSE)</f>
        <v>BRONX</v>
      </c>
      <c r="C152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52" s="51" t="str">
        <f>VLOOKUP(Yards25[[#This Row],[DEVELOPMENT]],Data[],52,FALSE)</f>
        <v>FEDERAL</v>
      </c>
      <c r="E152" s="50">
        <f>VLOOKUP(Yards25[[#This Row],[DEVELOPMENT]],Data[],8,FALSE)</f>
        <v>0</v>
      </c>
      <c r="F152" s="51" t="str">
        <f>VLOOKUP(Yards25[[#This Row],[DEVELOPMENT]],all[[DEVELOPMENT]:[MRST Ext. Comp. Priority]],6,FALSE)</f>
        <v>C</v>
      </c>
      <c r="G152" s="51">
        <f>VLOOKUP(Yards25[[#This Row],[DEVELOPMENT]],all[[DEVELOPMENT]:[MRST Ext. Comp. Priority]],13,FALSE)</f>
        <v>3</v>
      </c>
      <c r="H152" s="50">
        <f>IF(VLOOKUP(Yards25[[#This Row],[DEVELOPMENT]],Data[],9,FALSE)=0,5,VLOOKUP(Yards25[[#This Row],[DEVELOPMENT]],Data[],9,FALSE))</f>
        <v>5</v>
      </c>
      <c r="I152" s="51">
        <f>VLOOKUP(Yards25[[#This Row],[DEVELOPMENT]],Data[],33,FALSE)</f>
        <v>1</v>
      </c>
      <c r="J152" s="51">
        <f>VLOOKUP(Yards25[[#This Row],[DEVELOPMENT]],Data[],28,FALSE)</f>
        <v>0</v>
      </c>
      <c r="K152" s="51"/>
      <c r="L152" s="50"/>
      <c r="M152" s="51" t="str">
        <f ca="1">IFERROR(VLOOKUP(Yards25[[#This Row],[DEVELOPMENT]],Data[],4,FALSE),"")</f>
        <v>2022-2025</v>
      </c>
      <c r="N152" s="51" t="str">
        <f ca="1">IF(Yards25[[#This Row],[RAD/PACT]]="","",IF(OR(Yards25[[#This Row],[RAD/PACT]]="2022-2025",Yards25[[#This Row],[RAD/PACT]]=2019,Yards25[[#This Row],[RAD/PACT]]="2020-2021"),"Yes",""))</f>
        <v>Yes</v>
      </c>
      <c r="O152" s="51">
        <f ca="1">IFERROR(VLOOKUP(Yards25[[#This Row],[DEVELOPMENT]],ExtComp[],8,FALSE),"")</f>
        <v>15</v>
      </c>
      <c r="P152" s="51"/>
      <c r="Q152" s="51"/>
      <c r="R152" s="51" t="str">
        <f>IF(ISBLANK(Yards25[[#This Row],[DSGN CALENDAR YEAR]]),"",Yards25[[#This Row],[DSGN CALENDAR YEAR]]+1)</f>
        <v/>
      </c>
      <c r="S152" s="51" t="str">
        <f>IF(ISBLANK(Yards25[[#This Row],[DSGN FISCAL YEAR]]),"",Yards25[[#This Row],[DSGN FISCAL YEAR]]+1)</f>
        <v/>
      </c>
      <c r="T152" s="51"/>
      <c r="U152" s="128">
        <f ca="1">Yards25[[#This Row],[Estimate]]*0.1</f>
        <v>0</v>
      </c>
      <c r="V152" s="47">
        <f ca="1">Yards25[[#This Row],[Estimate]]-Yards25[[#This Row],[Design Est.]]</f>
        <v>0</v>
      </c>
      <c r="W152" s="85">
        <f ca="1">(Yards25[[#This Row],['# yards]]*INDEX(UnitCosts[],MATCH(Yards25[[#This Row],[WORK TYPE]],UnitCosts[Work Type],0),2))*(1+((Yards25[[#This Row],[est. CONS Year]]-YEAR(TODAY()))*$W$3))</f>
        <v>0</v>
      </c>
      <c r="X152" s="142">
        <f>IF(ISNUMBER(SEARCH("LLC",Yards25[[#This Row],[PROGRAM]])),IF(Yards25[[#This Row],[RAD/PACT by 2025]]="yes",0,1),0)</f>
        <v>0</v>
      </c>
      <c r="Y152" s="1"/>
      <c r="Z152" s="1"/>
      <c r="AA152" s="51">
        <f ca="1">COUNTIF($X$5:Yards25[[#This Row],['# yards]],"&gt;0")</f>
        <v>6</v>
      </c>
      <c r="AB152" s="1">
        <f ca="1">IF(ISBLANK(Yards25[[#This Row],[DSGN CALENDAR YEAR]]),ROUNDDOWN(Yards25[[#This Row],[Count]]/20,0)+$AB$1,Yards25[[#This Row],[DSGN CALENDAR YEAR]])</f>
        <v>2022</v>
      </c>
      <c r="AC152" s="16">
        <f ca="1">Yards25[[#This Row],[est. DSGN Year]]+1</f>
        <v>2023</v>
      </c>
    </row>
    <row r="153" spans="1:29" hidden="1">
      <c r="A153" s="13" t="s">
        <v>276</v>
      </c>
      <c r="B153" s="51" t="str">
        <f>VLOOKUP(Yards25[[#This Row],[DEVELOPMENT]],Data[],2,FALSE)</f>
        <v>BRONX</v>
      </c>
      <c r="C15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53" s="51" t="str">
        <f>VLOOKUP(Yards25[[#This Row],[DEVELOPMENT]],Data[],52,FALSE)</f>
        <v>FEDERAL</v>
      </c>
      <c r="E153" s="50">
        <f>VLOOKUP(Yards25[[#This Row],[DEVELOPMENT]],Data[],8,FALSE)</f>
        <v>0</v>
      </c>
      <c r="F153" s="51" t="str">
        <f>VLOOKUP(Yards25[[#This Row],[DEVELOPMENT]],all[[DEVELOPMENT]:[MRST Ext. Comp. Priority]],6,FALSE)</f>
        <v>C</v>
      </c>
      <c r="G153" s="51">
        <f>VLOOKUP(Yards25[[#This Row],[DEVELOPMENT]],all[[DEVELOPMENT]:[MRST Ext. Comp. Priority]],13,FALSE)</f>
        <v>4</v>
      </c>
      <c r="H153" s="50">
        <f>IF(VLOOKUP(Yards25[[#This Row],[DEVELOPMENT]],Data[],9,FALSE)=0,5,VLOOKUP(Yards25[[#This Row],[DEVELOPMENT]],Data[],9,FALSE))</f>
        <v>5</v>
      </c>
      <c r="I153" s="51">
        <f>VLOOKUP(Yards25[[#This Row],[DEVELOPMENT]],Data[],33,FALSE)</f>
        <v>1</v>
      </c>
      <c r="J153" s="51">
        <f>VLOOKUP(Yards25[[#This Row],[DEVELOPMENT]],Data[],28,FALSE)</f>
        <v>0</v>
      </c>
      <c r="K153" s="51"/>
      <c r="L153" s="50"/>
      <c r="M153" s="51" t="str">
        <f ca="1">IFERROR(VLOOKUP(Yards25[[#This Row],[DEVELOPMENT]],Data[],4,FALSE),"")</f>
        <v/>
      </c>
      <c r="N153" s="51" t="str">
        <f ca="1">IF(Yards25[[#This Row],[RAD/PACT]]="","",IF(OR(Yards25[[#This Row],[RAD/PACT]]="2022-2025",Yards25[[#This Row],[RAD/PACT]]=2019,Yards25[[#This Row],[RAD/PACT]]="2020-2021"),"Yes",""))</f>
        <v/>
      </c>
      <c r="O153" s="51">
        <f ca="1">IFERROR(VLOOKUP(Yards25[[#This Row],[DEVELOPMENT]],ExtComp[],8,FALSE),"")</f>
        <v>20</v>
      </c>
      <c r="P153" s="51"/>
      <c r="Q153" s="51"/>
      <c r="R153" s="51" t="str">
        <f>IF(ISBLANK(Yards25[[#This Row],[DSGN CALENDAR YEAR]]),"",Yards25[[#This Row],[DSGN CALENDAR YEAR]]+1)</f>
        <v/>
      </c>
      <c r="S153" s="51" t="str">
        <f>IF(ISBLANK(Yards25[[#This Row],[DSGN FISCAL YEAR]]),"",Yards25[[#This Row],[DSGN FISCAL YEAR]]+1)</f>
        <v/>
      </c>
      <c r="T153" s="51"/>
      <c r="U153" s="128">
        <f ca="1">Yards25[[#This Row],[Estimate]]*0.1</f>
        <v>0</v>
      </c>
      <c r="V153" s="47">
        <f ca="1">Yards25[[#This Row],[Estimate]]-Yards25[[#This Row],[Design Est.]]</f>
        <v>0</v>
      </c>
      <c r="W153" s="85">
        <f ca="1">(Yards25[[#This Row],['# yards]]*INDEX(UnitCosts[],MATCH(Yards25[[#This Row],[WORK TYPE]],UnitCosts[Work Type],0),2))*(1+((Yards25[[#This Row],[est. CONS Year]]-YEAR(TODAY()))*$W$3))</f>
        <v>0</v>
      </c>
      <c r="X153" s="142">
        <f>IF(ISNUMBER(SEARCH("LLC",Yards25[[#This Row],[PROGRAM]])),IF(Yards25[[#This Row],[RAD/PACT by 2025]]="yes",0,1),0)</f>
        <v>0</v>
      </c>
      <c r="Y153" s="1"/>
      <c r="Z153" s="1"/>
      <c r="AA153" s="51">
        <f ca="1">COUNTIF($X$5:Yards25[[#This Row],['# yards]],"&gt;0")</f>
        <v>6</v>
      </c>
      <c r="AB153" s="1">
        <f ca="1">IF(ISBLANK(Yards25[[#This Row],[DSGN CALENDAR YEAR]]),ROUNDDOWN(Yards25[[#This Row],[Count]]/20,0)+$AB$1,Yards25[[#This Row],[DSGN CALENDAR YEAR]])</f>
        <v>2022</v>
      </c>
      <c r="AC153" s="16">
        <f ca="1">Yards25[[#This Row],[est. DSGN Year]]+1</f>
        <v>2023</v>
      </c>
    </row>
    <row r="154" spans="1:29" hidden="1">
      <c r="A154" s="13" t="s">
        <v>265</v>
      </c>
      <c r="B154" s="51" t="str">
        <f>VLOOKUP(Yards25[[#This Row],[DEVELOPMENT]],Data[],2,FALSE)</f>
        <v>MANHATTAN</v>
      </c>
      <c r="C15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54" s="51" t="str">
        <f>VLOOKUP(Yards25[[#This Row],[DEVELOPMENT]],Data[],52,FALSE)</f>
        <v>FEDERAL</v>
      </c>
      <c r="E154" s="50">
        <f>VLOOKUP(Yards25[[#This Row],[DEVELOPMENT]],Data[],8,FALSE)</f>
        <v>0</v>
      </c>
      <c r="F154" s="51" t="str">
        <f>VLOOKUP(Yards25[[#This Row],[DEVELOPMENT]],all[[DEVELOPMENT]:[MRST Ext. Comp. Priority]],6,FALSE)</f>
        <v>C</v>
      </c>
      <c r="G154" s="51">
        <f>VLOOKUP(Yards25[[#This Row],[DEVELOPMENT]],all[[DEVELOPMENT]:[MRST Ext. Comp. Priority]],13,FALSE)</f>
        <v>4</v>
      </c>
      <c r="H154" s="50">
        <f>IF(VLOOKUP(Yards25[[#This Row],[DEVELOPMENT]],Data[],9,FALSE)=0,5,VLOOKUP(Yards25[[#This Row],[DEVELOPMENT]],Data[],9,FALSE))</f>
        <v>5</v>
      </c>
      <c r="I154" s="51">
        <f>VLOOKUP(Yards25[[#This Row],[DEVELOPMENT]],Data[],33,FALSE)</f>
        <v>1</v>
      </c>
      <c r="J154" s="51">
        <f>VLOOKUP(Yards25[[#This Row],[DEVELOPMENT]],Data[],28,FALSE)</f>
        <v>0</v>
      </c>
      <c r="K154" s="51"/>
      <c r="L154" s="50"/>
      <c r="M154" s="51" t="str">
        <f ca="1">IFERROR(VLOOKUP(Yards25[[#This Row],[DEVELOPMENT]],Data[],4,FALSE),"")</f>
        <v/>
      </c>
      <c r="N154" s="51" t="str">
        <f ca="1">IF(Yards25[[#This Row],[RAD/PACT]]="","",IF(OR(Yards25[[#This Row],[RAD/PACT]]="2022-2025",Yards25[[#This Row],[RAD/PACT]]=2019,Yards25[[#This Row],[RAD/PACT]]="2020-2021"),"Yes",""))</f>
        <v/>
      </c>
      <c r="O154" s="51">
        <f ca="1">IFERROR(VLOOKUP(Yards25[[#This Row],[DEVELOPMENT]],ExtComp[],8,FALSE),"")</f>
        <v>17</v>
      </c>
      <c r="P154" s="51"/>
      <c r="Q154" s="51"/>
      <c r="R154" s="51" t="str">
        <f>IF(ISBLANK(Yards25[[#This Row],[DSGN CALENDAR YEAR]]),"",Yards25[[#This Row],[DSGN CALENDAR YEAR]]+1)</f>
        <v/>
      </c>
      <c r="S154" s="51" t="str">
        <f>IF(ISBLANK(Yards25[[#This Row],[DSGN FISCAL YEAR]]),"",Yards25[[#This Row],[DSGN FISCAL YEAR]]+1)</f>
        <v/>
      </c>
      <c r="T154" s="51"/>
      <c r="U154" s="128">
        <f ca="1">Yards25[[#This Row],[Estimate]]*0.1</f>
        <v>0</v>
      </c>
      <c r="V154" s="47">
        <f ca="1">Yards25[[#This Row],[Estimate]]-Yards25[[#This Row],[Design Est.]]</f>
        <v>0</v>
      </c>
      <c r="W154" s="85">
        <f ca="1">(Yards25[[#This Row],['# yards]]*INDEX(UnitCosts[],MATCH(Yards25[[#This Row],[WORK TYPE]],UnitCosts[Work Type],0),2))*(1+((Yards25[[#This Row],[est. CONS Year]]-YEAR(TODAY()))*$W$3))</f>
        <v>0</v>
      </c>
      <c r="X154" s="142">
        <f>IF(ISNUMBER(SEARCH("LLC",Yards25[[#This Row],[PROGRAM]])),IF(Yards25[[#This Row],[RAD/PACT by 2025]]="yes",0,1),0)</f>
        <v>0</v>
      </c>
      <c r="Y154" s="1"/>
      <c r="Z154" s="1"/>
      <c r="AA154" s="51">
        <f ca="1">COUNTIF($X$5:Yards25[[#This Row],['# yards]],"&gt;0")</f>
        <v>6</v>
      </c>
      <c r="AB154" s="1">
        <f ca="1">IF(ISBLANK(Yards25[[#This Row],[DSGN CALENDAR YEAR]]),ROUNDDOWN(Yards25[[#This Row],[Count]]/20,0)+$AB$1,Yards25[[#This Row],[DSGN CALENDAR YEAR]])</f>
        <v>2022</v>
      </c>
      <c r="AC154" s="16">
        <f ca="1">Yards25[[#This Row],[est. DSGN Year]]+1</f>
        <v>2023</v>
      </c>
    </row>
    <row r="155" spans="1:29" hidden="1">
      <c r="A155" s="13" t="s">
        <v>268</v>
      </c>
      <c r="B155" s="51" t="str">
        <f>VLOOKUP(Yards25[[#This Row],[DEVELOPMENT]],Data[],2,FALSE)</f>
        <v>BRONX</v>
      </c>
      <c r="C155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55" s="51" t="str">
        <f>VLOOKUP(Yards25[[#This Row],[DEVELOPMENT]],Data[],52,FALSE)</f>
        <v>FEDERAL</v>
      </c>
      <c r="E155" s="50">
        <f>VLOOKUP(Yards25[[#This Row],[DEVELOPMENT]],Data[],8,FALSE)</f>
        <v>0</v>
      </c>
      <c r="F155" s="51" t="str">
        <f>VLOOKUP(Yards25[[#This Row],[DEVELOPMENT]],all[[DEVELOPMENT]:[MRST Ext. Comp. Priority]],6,FALSE)</f>
        <v>C</v>
      </c>
      <c r="G155" s="51" t="str">
        <f>VLOOKUP(Yards25[[#This Row],[DEVELOPMENT]],all[[DEVELOPMENT]:[MRST Ext. Comp. Priority]],13,FALSE)</f>
        <v>None</v>
      </c>
      <c r="H155" s="50">
        <f>IF(VLOOKUP(Yards25[[#This Row],[DEVELOPMENT]],Data[],9,FALSE)=0,5,VLOOKUP(Yards25[[#This Row],[DEVELOPMENT]],Data[],9,FALSE))</f>
        <v>5</v>
      </c>
      <c r="I155" s="51">
        <f>VLOOKUP(Yards25[[#This Row],[DEVELOPMENT]],Data[],33,FALSE)</f>
        <v>1</v>
      </c>
      <c r="J155" s="51">
        <f>VLOOKUP(Yards25[[#This Row],[DEVELOPMENT]],Data[],28,FALSE)</f>
        <v>0</v>
      </c>
      <c r="K155" s="51"/>
      <c r="L155" s="50"/>
      <c r="M155" s="51" t="str">
        <f ca="1">IFERROR(VLOOKUP(Yards25[[#This Row],[DEVELOPMENT]],Data[],4,FALSE),"")</f>
        <v>2020-2021</v>
      </c>
      <c r="N155" s="51" t="str">
        <f ca="1">IF(Yards25[[#This Row],[RAD/PACT]]="","",IF(OR(Yards25[[#This Row],[RAD/PACT]]="2022-2025",Yards25[[#This Row],[RAD/PACT]]=2019,Yards25[[#This Row],[RAD/PACT]]="2020-2021"),"Yes",""))</f>
        <v>Yes</v>
      </c>
      <c r="O155" s="51" t="str">
        <f ca="1">IFERROR(VLOOKUP(Yards25[[#This Row],[DEVELOPMENT]],ExtComp[],8,FALSE),"")</f>
        <v/>
      </c>
      <c r="P155" s="51"/>
      <c r="Q155" s="51"/>
      <c r="R155" s="51" t="str">
        <f>IF(ISBLANK(Yards25[[#This Row],[DSGN CALENDAR YEAR]]),"",Yards25[[#This Row],[DSGN CALENDAR YEAR]]+1)</f>
        <v/>
      </c>
      <c r="S155" s="51" t="str">
        <f>IF(ISBLANK(Yards25[[#This Row],[DSGN FISCAL YEAR]]),"",Yards25[[#This Row],[DSGN FISCAL YEAR]]+1)</f>
        <v/>
      </c>
      <c r="T155" s="51"/>
      <c r="U155" s="128">
        <f ca="1">Yards25[[#This Row],[Estimate]]*0.1</f>
        <v>0</v>
      </c>
      <c r="V155" s="47">
        <f ca="1">Yards25[[#This Row],[Estimate]]-Yards25[[#This Row],[Design Est.]]</f>
        <v>0</v>
      </c>
      <c r="W155" s="85">
        <f ca="1">(Yards25[[#This Row],['# yards]]*INDEX(UnitCosts[],MATCH(Yards25[[#This Row],[WORK TYPE]],UnitCosts[Work Type],0),2))*(1+((Yards25[[#This Row],[est. CONS Year]]-YEAR(TODAY()))*$W$3))</f>
        <v>0</v>
      </c>
      <c r="X155" s="142">
        <f>IF(ISNUMBER(SEARCH("LLC",Yards25[[#This Row],[PROGRAM]])),IF(Yards25[[#This Row],[RAD/PACT by 2025]]="yes",0,1),0)</f>
        <v>0</v>
      </c>
      <c r="Y155" s="1"/>
      <c r="Z155" s="1"/>
      <c r="AA155" s="51">
        <f ca="1">COUNTIF($X$5:Yards25[[#This Row],['# yards]],"&gt;0")</f>
        <v>6</v>
      </c>
      <c r="AB155" s="1">
        <f ca="1">IF(ISBLANK(Yards25[[#This Row],[DSGN CALENDAR YEAR]]),ROUNDDOWN(Yards25[[#This Row],[Count]]/20,0)+$AB$1,Yards25[[#This Row],[DSGN CALENDAR YEAR]])</f>
        <v>2022</v>
      </c>
      <c r="AC155" s="16">
        <f ca="1">Yards25[[#This Row],[est. DSGN Year]]+1</f>
        <v>2023</v>
      </c>
    </row>
    <row r="156" spans="1:29" hidden="1">
      <c r="A156" s="13" t="s">
        <v>269</v>
      </c>
      <c r="B156" s="51" t="str">
        <f>VLOOKUP(Yards25[[#This Row],[DEVELOPMENT]],Data[],2,FALSE)</f>
        <v>QUEENS</v>
      </c>
      <c r="C156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56" s="51" t="str">
        <f>VLOOKUP(Yards25[[#This Row],[DEVELOPMENT]],Data[],52,FALSE)</f>
        <v>FEDERAL</v>
      </c>
      <c r="E156" s="50">
        <f>VLOOKUP(Yards25[[#This Row],[DEVELOPMENT]],Data[],8,FALSE)</f>
        <v>0</v>
      </c>
      <c r="F156" s="51" t="str">
        <f>VLOOKUP(Yards25[[#This Row],[DEVELOPMENT]],all[[DEVELOPMENT]:[MRST Ext. Comp. Priority]],6,FALSE)</f>
        <v>C</v>
      </c>
      <c r="G156" s="51">
        <f>VLOOKUP(Yards25[[#This Row],[DEVELOPMENT]],all[[DEVELOPMENT]:[MRST Ext. Comp. Priority]],13,FALSE)</f>
        <v>2</v>
      </c>
      <c r="H156" s="50">
        <f>IF(VLOOKUP(Yards25[[#This Row],[DEVELOPMENT]],Data[],9,FALSE)=0,5,VLOOKUP(Yards25[[#This Row],[DEVELOPMENT]],Data[],9,FALSE))</f>
        <v>5</v>
      </c>
      <c r="I156" s="51">
        <f>VLOOKUP(Yards25[[#This Row],[DEVELOPMENT]],Data[],33,FALSE)</f>
        <v>2</v>
      </c>
      <c r="J156" s="51">
        <f>VLOOKUP(Yards25[[#This Row],[DEVELOPMENT]],Data[],28,FALSE)</f>
        <v>0</v>
      </c>
      <c r="K156" s="51"/>
      <c r="L156" s="50"/>
      <c r="M156" s="51" t="str">
        <f ca="1">IFERROR(VLOOKUP(Yards25[[#This Row],[DEVELOPMENT]],Data[],4,FALSE),"")</f>
        <v>2026+</v>
      </c>
      <c r="N156" s="51" t="str">
        <f ca="1">IF(Yards25[[#This Row],[RAD/PACT]]="","",IF(OR(Yards25[[#This Row],[RAD/PACT]]="2022-2025",Yards25[[#This Row],[RAD/PACT]]=2019,Yards25[[#This Row],[RAD/PACT]]="2020-2021"),"Yes",""))</f>
        <v/>
      </c>
      <c r="O156" s="51" t="str">
        <f ca="1">IFERROR(VLOOKUP(Yards25[[#This Row],[DEVELOPMENT]],ExtComp[],8,FALSE),"")</f>
        <v/>
      </c>
      <c r="P156" s="51"/>
      <c r="Q156" s="51"/>
      <c r="R156" s="51" t="str">
        <f>IF(ISBLANK(Yards25[[#This Row],[DSGN CALENDAR YEAR]]),"",Yards25[[#This Row],[DSGN CALENDAR YEAR]]+1)</f>
        <v/>
      </c>
      <c r="S156" s="51" t="str">
        <f>IF(ISBLANK(Yards25[[#This Row],[DSGN FISCAL YEAR]]),"",Yards25[[#This Row],[DSGN FISCAL YEAR]]+1)</f>
        <v/>
      </c>
      <c r="T156" s="51"/>
      <c r="U156" s="128">
        <f ca="1">Yards25[[#This Row],[Estimate]]*0.1</f>
        <v>0</v>
      </c>
      <c r="V156" s="47">
        <f ca="1">Yards25[[#This Row],[Estimate]]-Yards25[[#This Row],[Design Est.]]</f>
        <v>0</v>
      </c>
      <c r="W156" s="85">
        <f ca="1">(Yards25[[#This Row],['# yards]]*INDEX(UnitCosts[],MATCH(Yards25[[#This Row],[WORK TYPE]],UnitCosts[Work Type],0),2))*(1+((Yards25[[#This Row],[est. CONS Year]]-YEAR(TODAY()))*$W$3))</f>
        <v>0</v>
      </c>
      <c r="X156" s="142">
        <f>IF(ISNUMBER(SEARCH("LLC",Yards25[[#This Row],[PROGRAM]])),IF(Yards25[[#This Row],[RAD/PACT by 2025]]="yes",0,1),0)</f>
        <v>0</v>
      </c>
      <c r="Y156" s="1"/>
      <c r="Z156" s="1"/>
      <c r="AA156" s="51">
        <f ca="1">COUNTIF($X$5:Yards25[[#This Row],['# yards]],"&gt;0")</f>
        <v>6</v>
      </c>
      <c r="AB156" s="1">
        <f ca="1">IF(ISBLANK(Yards25[[#This Row],[DSGN CALENDAR YEAR]]),ROUNDDOWN(Yards25[[#This Row],[Count]]/20,0)+$AB$1,Yards25[[#This Row],[DSGN CALENDAR YEAR]])</f>
        <v>2022</v>
      </c>
      <c r="AC156" s="16">
        <f ca="1">Yards25[[#This Row],[est. DSGN Year]]+1</f>
        <v>2023</v>
      </c>
    </row>
    <row r="157" spans="1:29" hidden="1">
      <c r="A157" s="13" t="s">
        <v>129</v>
      </c>
      <c r="B157" s="1" t="str">
        <f>VLOOKUP(Yards25[[#This Row],[DEVELOPMENT]],Data[],2,FALSE)</f>
        <v>MANHATTAN</v>
      </c>
      <c r="C15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57" s="51" t="str">
        <f>VLOOKUP(Yards25[[#This Row],[DEVELOPMENT]],Data[],52,FALSE)</f>
        <v>FEDERAL</v>
      </c>
      <c r="E157" s="9" t="str">
        <f>VLOOKUP(Yards25[[#This Row],[DEVELOPMENT]],Data[],8,FALSE)</f>
        <v>Zone 2</v>
      </c>
      <c r="F157" s="51" t="str">
        <f>VLOOKUP(Yards25[[#This Row],[DEVELOPMENT]],all[[DEVELOPMENT]:[MRST Ext. Comp. Priority]],6,FALSE)</f>
        <v>D</v>
      </c>
      <c r="G157" s="51">
        <f>VLOOKUP(Yards25[[#This Row],[DEVELOPMENT]],all[[DEVELOPMENT]:[MRST Ext. Comp. Priority]],13,FALSE)</f>
        <v>3</v>
      </c>
      <c r="H157" s="9">
        <f>IF(VLOOKUP(Yards25[[#This Row],[DEVELOPMENT]],Data[],9,FALSE)=0,5,VLOOKUP(Yards25[[#This Row],[DEVELOPMENT]],Data[],9,FALSE))</f>
        <v>1</v>
      </c>
      <c r="I157" s="51">
        <f>VLOOKUP(Yards25[[#This Row],[DEVELOPMENT]],Data[],33,FALSE)</f>
        <v>2</v>
      </c>
      <c r="J157" s="51">
        <f>VLOOKUP(Yards25[[#This Row],[DEVELOPMENT]],Data[],28,FALSE)</f>
        <v>0</v>
      </c>
      <c r="K157" s="51"/>
      <c r="L157" s="9"/>
      <c r="M157" s="1" t="str">
        <f ca="1">IFERROR(VLOOKUP(Yards25[[#This Row],[DEVELOPMENT]],Data[],4,FALSE),"")</f>
        <v/>
      </c>
      <c r="N157" s="1" t="str">
        <f ca="1">IF(Yards25[[#This Row],[RAD/PACT]]="","",IF(OR(Yards25[[#This Row],[RAD/PACT]]="2022-2025",Yards25[[#This Row],[RAD/PACT]]=2019,Yards25[[#This Row],[RAD/PACT]]="2020-2021"),"Yes",""))</f>
        <v/>
      </c>
      <c r="O157" s="1">
        <f ca="1">IFERROR(VLOOKUP(Yards25[[#This Row],[DEVELOPMENT]],ExtComp[],8,FALSE),"")</f>
        <v>5</v>
      </c>
      <c r="P157" s="1"/>
      <c r="Q157" s="1"/>
      <c r="R157" s="1" t="str">
        <f>IF(ISBLANK(Yards25[[#This Row],[DSGN CALENDAR YEAR]]),"",Yards25[[#This Row],[DSGN CALENDAR YEAR]]+1)</f>
        <v/>
      </c>
      <c r="S157" s="51" t="str">
        <f>IF(ISBLANK(Yards25[[#This Row],[DSGN FISCAL YEAR]]),"",Yards25[[#This Row],[DSGN FISCAL YEAR]]+1)</f>
        <v/>
      </c>
      <c r="T157" s="1"/>
      <c r="U157" s="128">
        <f ca="1">Yards25[[#This Row],[Estimate]]*0.1</f>
        <v>0</v>
      </c>
      <c r="V157" s="47">
        <f ca="1">Yards25[[#This Row],[Estimate]]-Yards25[[#This Row],[Design Est.]]</f>
        <v>0</v>
      </c>
      <c r="W157" s="85">
        <f ca="1">(Yards25[[#This Row],['# yards]]*INDEX(UnitCosts[],MATCH(Yards25[[#This Row],[WORK TYPE]],UnitCosts[Work Type],0),2))*(1+((Yards25[[#This Row],[est. CONS Year]]-YEAR(TODAY()))*$W$3))</f>
        <v>0</v>
      </c>
      <c r="X157" s="142">
        <f>IF(ISNUMBER(SEARCH("LLC",Yards25[[#This Row],[PROGRAM]])),IF(Yards25[[#This Row],[RAD/PACT by 2025]]="yes",0,1),0)</f>
        <v>0</v>
      </c>
      <c r="Y157" s="1"/>
      <c r="Z157" s="1"/>
      <c r="AA157" s="51">
        <f ca="1">COUNTIF($X$5:Yards25[[#This Row],['# yards]],"&gt;0")</f>
        <v>6</v>
      </c>
      <c r="AB157" s="1">
        <f ca="1">IF(ISBLANK(Yards25[[#This Row],[DSGN CALENDAR YEAR]]),ROUNDDOWN(Yards25[[#This Row],[Count]]/20,0)+$AB$1,Yards25[[#This Row],[DSGN CALENDAR YEAR]])</f>
        <v>2022</v>
      </c>
      <c r="AC157" s="16">
        <f ca="1">Yards25[[#This Row],[est. DSGN Year]]+1</f>
        <v>2023</v>
      </c>
    </row>
    <row r="158" spans="1:29" hidden="1">
      <c r="A158" s="13" t="s">
        <v>104</v>
      </c>
      <c r="B158" s="51" t="str">
        <f>VLOOKUP(Yards25[[#This Row],[DEVELOPMENT]],Data[],2,FALSE)</f>
        <v>MANHATTAN</v>
      </c>
      <c r="C158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58" s="51" t="str">
        <f>VLOOKUP(Yards25[[#This Row],[DEVELOPMENT]],Data[],52,FALSE)</f>
        <v>FEDERAL</v>
      </c>
      <c r="E158" s="50" t="str">
        <f>VLOOKUP(Yards25[[#This Row],[DEVELOPMENT]],Data[],8,FALSE)</f>
        <v>Zone 1</v>
      </c>
      <c r="F158" s="51" t="str">
        <f>VLOOKUP(Yards25[[#This Row],[DEVELOPMENT]],all[[DEVELOPMENT]:[MRST Ext. Comp. Priority]],6,FALSE)</f>
        <v>D</v>
      </c>
      <c r="G158" s="51">
        <f>VLOOKUP(Yards25[[#This Row],[DEVELOPMENT]],all[[DEVELOPMENT]:[MRST Ext. Comp. Priority]],13,FALSE)</f>
        <v>2</v>
      </c>
      <c r="H158" s="50">
        <f>IF(VLOOKUP(Yards25[[#This Row],[DEVELOPMENT]],Data[],9,FALSE)=0,5,VLOOKUP(Yards25[[#This Row],[DEVELOPMENT]],Data[],9,FALSE))</f>
        <v>3</v>
      </c>
      <c r="I158" s="51">
        <f>VLOOKUP(Yards25[[#This Row],[DEVELOPMENT]],Data[],33,FALSE)</f>
        <v>1</v>
      </c>
      <c r="J158" s="51">
        <f>VLOOKUP(Yards25[[#This Row],[DEVELOPMENT]],Data[],28,FALSE)</f>
        <v>0</v>
      </c>
      <c r="K158" s="51"/>
      <c r="L158" s="50"/>
      <c r="M158" s="51" t="str">
        <f ca="1">IFERROR(VLOOKUP(Yards25[[#This Row],[DEVELOPMENT]],Data[],4,FALSE),"")</f>
        <v/>
      </c>
      <c r="N158" s="51" t="str">
        <f ca="1">IF(Yards25[[#This Row],[RAD/PACT]]="","",IF(OR(Yards25[[#This Row],[RAD/PACT]]="2022-2025",Yards25[[#This Row],[RAD/PACT]]=2019,Yards25[[#This Row],[RAD/PACT]]="2020-2021"),"Yes",""))</f>
        <v/>
      </c>
      <c r="O158" s="51" t="str">
        <f ca="1">IFERROR(VLOOKUP(Yards25[[#This Row],[DEVELOPMENT]],ExtComp[],8,FALSE),"")</f>
        <v/>
      </c>
      <c r="P158" s="51"/>
      <c r="Q158" s="51"/>
      <c r="R158" s="51" t="str">
        <f>IF(ISBLANK(Yards25[[#This Row],[DSGN CALENDAR YEAR]]),"",Yards25[[#This Row],[DSGN CALENDAR YEAR]]+1)</f>
        <v/>
      </c>
      <c r="S158" s="51" t="str">
        <f>IF(ISBLANK(Yards25[[#This Row],[DSGN FISCAL YEAR]]),"",Yards25[[#This Row],[DSGN FISCAL YEAR]]+1)</f>
        <v/>
      </c>
      <c r="T158" s="51"/>
      <c r="U158" s="128">
        <f ca="1">Yards25[[#This Row],[Estimate]]*0.1</f>
        <v>0</v>
      </c>
      <c r="V158" s="47">
        <f ca="1">Yards25[[#This Row],[Estimate]]-Yards25[[#This Row],[Design Est.]]</f>
        <v>0</v>
      </c>
      <c r="W158" s="85">
        <f ca="1">(Yards25[[#This Row],['# yards]]*INDEX(UnitCosts[],MATCH(Yards25[[#This Row],[WORK TYPE]],UnitCosts[Work Type],0),2))*(1+((Yards25[[#This Row],[est. CONS Year]]-YEAR(TODAY()))*$W$3))</f>
        <v>0</v>
      </c>
      <c r="X158" s="142">
        <f>IF(ISNUMBER(SEARCH("LLC",Yards25[[#This Row],[PROGRAM]])),IF(Yards25[[#This Row],[RAD/PACT by 2025]]="yes",0,1),0)</f>
        <v>0</v>
      </c>
      <c r="Y158" s="1"/>
      <c r="Z158" s="1"/>
      <c r="AA158" s="51">
        <f ca="1">COUNTIF($X$5:Yards25[[#This Row],['# yards]],"&gt;0")</f>
        <v>6</v>
      </c>
      <c r="AB158" s="1">
        <f ca="1">IF(ISBLANK(Yards25[[#This Row],[DSGN CALENDAR YEAR]]),ROUNDDOWN(Yards25[[#This Row],[Count]]/20,0)+$AB$1,Yards25[[#This Row],[DSGN CALENDAR YEAR]])</f>
        <v>2022</v>
      </c>
      <c r="AC158" s="16">
        <f ca="1">Yards25[[#This Row],[est. DSGN Year]]+1</f>
        <v>2023</v>
      </c>
    </row>
    <row r="159" spans="1:29" hidden="1">
      <c r="A159" s="13" t="s">
        <v>125</v>
      </c>
      <c r="B159" s="51" t="str">
        <f>VLOOKUP(Yards25[[#This Row],[DEVELOPMENT]],Data[],2,FALSE)</f>
        <v>MANHATTAN</v>
      </c>
      <c r="C159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59" s="51" t="str">
        <f>VLOOKUP(Yards25[[#This Row],[DEVELOPMENT]],Data[],52,FALSE)</f>
        <v>FEDERAL</v>
      </c>
      <c r="E159" s="50" t="str">
        <f>VLOOKUP(Yards25[[#This Row],[DEVELOPMENT]],Data[],8,FALSE)</f>
        <v>Zone 2</v>
      </c>
      <c r="F159" s="51" t="str">
        <f>VLOOKUP(Yards25[[#This Row],[DEVELOPMENT]],all[[DEVELOPMENT]:[MRST Ext. Comp. Priority]],6,FALSE)</f>
        <v>D</v>
      </c>
      <c r="G159" s="51">
        <f>VLOOKUP(Yards25[[#This Row],[DEVELOPMENT]],all[[DEVELOPMENT]:[MRST Ext. Comp. Priority]],13,FALSE)</f>
        <v>3</v>
      </c>
      <c r="H159" s="50">
        <f>IF(VLOOKUP(Yards25[[#This Row],[DEVELOPMENT]],Data[],9,FALSE)=0,5,VLOOKUP(Yards25[[#This Row],[DEVELOPMENT]],Data[],9,FALSE))</f>
        <v>4</v>
      </c>
      <c r="I159" s="51">
        <f>VLOOKUP(Yards25[[#This Row],[DEVELOPMENT]],Data[],33,FALSE)</f>
        <v>1</v>
      </c>
      <c r="J159" s="51">
        <f>VLOOKUP(Yards25[[#This Row],[DEVELOPMENT]],Data[],28,FALSE)</f>
        <v>0</v>
      </c>
      <c r="K159" s="51"/>
      <c r="L159" s="50"/>
      <c r="M159" s="51" t="str">
        <f ca="1">IFERROR(VLOOKUP(Yards25[[#This Row],[DEVELOPMENT]],Data[],4,FALSE),"")</f>
        <v>2022-2025</v>
      </c>
      <c r="N159" s="51" t="str">
        <f ca="1">IF(Yards25[[#This Row],[RAD/PACT]]="","",IF(OR(Yards25[[#This Row],[RAD/PACT]]="2022-2025",Yards25[[#This Row],[RAD/PACT]]=2019,Yards25[[#This Row],[RAD/PACT]]="2020-2021"),"Yes",""))</f>
        <v>Yes</v>
      </c>
      <c r="O159" s="51">
        <f ca="1">IFERROR(VLOOKUP(Yards25[[#This Row],[DEVELOPMENT]],ExtComp[],8,FALSE),"")</f>
        <v>13</v>
      </c>
      <c r="P159" s="51"/>
      <c r="Q159" s="51"/>
      <c r="R159" s="51" t="str">
        <f>IF(ISBLANK(Yards25[[#This Row],[DSGN CALENDAR YEAR]]),"",Yards25[[#This Row],[DSGN CALENDAR YEAR]]+1)</f>
        <v/>
      </c>
      <c r="S159" s="51" t="str">
        <f>IF(ISBLANK(Yards25[[#This Row],[DSGN FISCAL YEAR]]),"",Yards25[[#This Row],[DSGN FISCAL YEAR]]+1)</f>
        <v/>
      </c>
      <c r="T159" s="51"/>
      <c r="U159" s="128">
        <f ca="1">Yards25[[#This Row],[Estimate]]*0.1</f>
        <v>0</v>
      </c>
      <c r="V159" s="47">
        <f ca="1">Yards25[[#This Row],[Estimate]]-Yards25[[#This Row],[Design Est.]]</f>
        <v>0</v>
      </c>
      <c r="W159" s="85">
        <f ca="1">(Yards25[[#This Row],['# yards]]*INDEX(UnitCosts[],MATCH(Yards25[[#This Row],[WORK TYPE]],UnitCosts[Work Type],0),2))*(1+((Yards25[[#This Row],[est. CONS Year]]-YEAR(TODAY()))*$W$3))</f>
        <v>0</v>
      </c>
      <c r="X159" s="142">
        <f>IF(ISNUMBER(SEARCH("LLC",Yards25[[#This Row],[PROGRAM]])),IF(Yards25[[#This Row],[RAD/PACT by 2025]]="yes",0,1),0)</f>
        <v>0</v>
      </c>
      <c r="Y159" s="1"/>
      <c r="Z159" s="1"/>
      <c r="AA159" s="51">
        <f ca="1">COUNTIF($X$5:Yards25[[#This Row],['# yards]],"&gt;0")</f>
        <v>6</v>
      </c>
      <c r="AB159" s="1">
        <f ca="1">IF(ISBLANK(Yards25[[#This Row],[DSGN CALENDAR YEAR]]),ROUNDDOWN(Yards25[[#This Row],[Count]]/20,0)+$AB$1,Yards25[[#This Row],[DSGN CALENDAR YEAR]])</f>
        <v>2022</v>
      </c>
      <c r="AC159" s="16">
        <f ca="1">Yards25[[#This Row],[est. DSGN Year]]+1</f>
        <v>2023</v>
      </c>
    </row>
    <row r="160" spans="1:29" hidden="1">
      <c r="A160" s="13" t="s">
        <v>51</v>
      </c>
      <c r="B160" s="51" t="str">
        <f>VLOOKUP(Yards25[[#This Row],[DEVELOPMENT]],Data[],2,FALSE)</f>
        <v>MANHATTAN</v>
      </c>
      <c r="C160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60" s="51" t="str">
        <f>VLOOKUP(Yards25[[#This Row],[DEVELOPMENT]],Data[],52,FALSE)</f>
        <v>FEDERAL</v>
      </c>
      <c r="E160" s="50" t="str">
        <f>VLOOKUP(Yards25[[#This Row],[DEVELOPMENT]],Data[],8,FALSE)</f>
        <v>Zone 1</v>
      </c>
      <c r="F160" s="51" t="str">
        <f>VLOOKUP(Yards25[[#This Row],[DEVELOPMENT]],all[[DEVELOPMENT]:[MRST Ext. Comp. Priority]],6,FALSE)</f>
        <v>D</v>
      </c>
      <c r="G160" s="51">
        <f>VLOOKUP(Yards25[[#This Row],[DEVELOPMENT]],all[[DEVELOPMENT]:[MRST Ext. Comp. Priority]],13,FALSE)</f>
        <v>2</v>
      </c>
      <c r="H160" s="50">
        <f>IF(VLOOKUP(Yards25[[#This Row],[DEVELOPMENT]],Data[],9,FALSE)=0,5,VLOOKUP(Yards25[[#This Row],[DEVELOPMENT]],Data[],9,FALSE))</f>
        <v>4</v>
      </c>
      <c r="I160" s="51">
        <f>VLOOKUP(Yards25[[#This Row],[DEVELOPMENT]],Data[],33,FALSE)</f>
        <v>0</v>
      </c>
      <c r="J160" s="51">
        <f>VLOOKUP(Yards25[[#This Row],[DEVELOPMENT]],Data[],28,FALSE)</f>
        <v>0</v>
      </c>
      <c r="K160" s="51"/>
      <c r="L160" s="50"/>
      <c r="M160" s="51" t="str">
        <f ca="1">IFERROR(VLOOKUP(Yards25[[#This Row],[DEVELOPMENT]],Data[],4,FALSE),"")</f>
        <v/>
      </c>
      <c r="N160" s="51" t="str">
        <f ca="1">IF(Yards25[[#This Row],[RAD/PACT]]="","",IF(OR(Yards25[[#This Row],[RAD/PACT]]="2022-2025",Yards25[[#This Row],[RAD/PACT]]=2019,Yards25[[#This Row],[RAD/PACT]]="2020-2021"),"Yes",""))</f>
        <v/>
      </c>
      <c r="O160" s="51" t="str">
        <f ca="1">IFERROR(VLOOKUP(Yards25[[#This Row],[DEVELOPMENT]],ExtComp[],8,FALSE),"")</f>
        <v/>
      </c>
      <c r="P160" s="51"/>
      <c r="Q160" s="51"/>
      <c r="R160" s="51" t="str">
        <f>IF(ISBLANK(Yards25[[#This Row],[DSGN CALENDAR YEAR]]),"",Yards25[[#This Row],[DSGN CALENDAR YEAR]]+1)</f>
        <v/>
      </c>
      <c r="S160" s="51" t="str">
        <f>IF(ISBLANK(Yards25[[#This Row],[DSGN FISCAL YEAR]]),"",Yards25[[#This Row],[DSGN FISCAL YEAR]]+1)</f>
        <v/>
      </c>
      <c r="T160" s="51"/>
      <c r="U160" s="128">
        <f ca="1">Yards25[[#This Row],[Estimate]]*0.1</f>
        <v>0</v>
      </c>
      <c r="V160" s="47">
        <f ca="1">Yards25[[#This Row],[Estimate]]-Yards25[[#This Row],[Design Est.]]</f>
        <v>0</v>
      </c>
      <c r="W160" s="85">
        <f ca="1">(Yards25[[#This Row],['# yards]]*INDEX(UnitCosts[],MATCH(Yards25[[#This Row],[WORK TYPE]],UnitCosts[Work Type],0),2))*(1+((Yards25[[#This Row],[est. CONS Year]]-YEAR(TODAY()))*$W$3))</f>
        <v>0</v>
      </c>
      <c r="X160" s="142">
        <f>IF(ISNUMBER(SEARCH("LLC",Yards25[[#This Row],[PROGRAM]])),IF(Yards25[[#This Row],[RAD/PACT by 2025]]="yes",0,1),0)</f>
        <v>0</v>
      </c>
      <c r="Y160" s="1"/>
      <c r="Z160" s="1"/>
      <c r="AA160" s="51">
        <f ca="1">COUNTIF($X$5:Yards25[[#This Row],['# yards]],"&gt;0")</f>
        <v>6</v>
      </c>
      <c r="AB160" s="1">
        <f ca="1">IF(ISBLANK(Yards25[[#This Row],[DSGN CALENDAR YEAR]]),ROUNDDOWN(Yards25[[#This Row],[Count]]/20,0)+$AB$1,Yards25[[#This Row],[DSGN CALENDAR YEAR]])</f>
        <v>2022</v>
      </c>
      <c r="AC160" s="16">
        <f ca="1">Yards25[[#This Row],[est. DSGN Year]]+1</f>
        <v>2023</v>
      </c>
    </row>
    <row r="161" spans="1:29" hidden="1">
      <c r="A161" s="13" t="s">
        <v>285</v>
      </c>
      <c r="B161" s="51" t="str">
        <f>VLOOKUP(Yards25[[#This Row],[DEVELOPMENT]],Data[],2,FALSE)</f>
        <v>BRONX</v>
      </c>
      <c r="C16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61" s="51" t="str">
        <f>VLOOKUP(Yards25[[#This Row],[DEVELOPMENT]],Data[],52,FALSE)</f>
        <v>FEDERAL</v>
      </c>
      <c r="E161" s="50">
        <f>VLOOKUP(Yards25[[#This Row],[DEVELOPMENT]],Data[],8,FALSE)</f>
        <v>0</v>
      </c>
      <c r="F161" s="51" t="str">
        <f>VLOOKUP(Yards25[[#This Row],[DEVELOPMENT]],all[[DEVELOPMENT]:[MRST Ext. Comp. Priority]],6,FALSE)</f>
        <v>D</v>
      </c>
      <c r="G161" s="51">
        <f>VLOOKUP(Yards25[[#This Row],[DEVELOPMENT]],all[[DEVELOPMENT]:[MRST Ext. Comp. Priority]],13,FALSE)</f>
        <v>3</v>
      </c>
      <c r="H161" s="50">
        <f>IF(VLOOKUP(Yards25[[#This Row],[DEVELOPMENT]],Data[],9,FALSE)=0,5,VLOOKUP(Yards25[[#This Row],[DEVELOPMENT]],Data[],9,FALSE))</f>
        <v>5</v>
      </c>
      <c r="I161" s="51">
        <f>VLOOKUP(Yards25[[#This Row],[DEVELOPMENT]],Data[],33,FALSE)</f>
        <v>0</v>
      </c>
      <c r="J161" s="51">
        <f>VLOOKUP(Yards25[[#This Row],[DEVELOPMENT]],Data[],28,FALSE)</f>
        <v>0</v>
      </c>
      <c r="K161" s="51"/>
      <c r="L161" s="50"/>
      <c r="M161" s="51" t="str">
        <f ca="1">IFERROR(VLOOKUP(Yards25[[#This Row],[DEVELOPMENT]],Data[],4,FALSE),"")</f>
        <v/>
      </c>
      <c r="N161" s="51" t="str">
        <f ca="1">IF(Yards25[[#This Row],[RAD/PACT]]="","",IF(OR(Yards25[[#This Row],[RAD/PACT]]="2022-2025",Yards25[[#This Row],[RAD/PACT]]=2019,Yards25[[#This Row],[RAD/PACT]]="2020-2021"),"Yes",""))</f>
        <v/>
      </c>
      <c r="O161" s="51" t="str">
        <f ca="1">IFERROR(VLOOKUP(Yards25[[#This Row],[DEVELOPMENT]],ExtComp[],8,FALSE),"")</f>
        <v/>
      </c>
      <c r="P161" s="51"/>
      <c r="Q161" s="51"/>
      <c r="R161" s="51" t="str">
        <f>IF(ISBLANK(Yards25[[#This Row],[DSGN CALENDAR YEAR]]),"",Yards25[[#This Row],[DSGN CALENDAR YEAR]]+1)</f>
        <v/>
      </c>
      <c r="S161" s="51" t="str">
        <f>IF(ISBLANK(Yards25[[#This Row],[DSGN FISCAL YEAR]]),"",Yards25[[#This Row],[DSGN FISCAL YEAR]]+1)</f>
        <v/>
      </c>
      <c r="T161" s="51"/>
      <c r="U161" s="128">
        <f ca="1">Yards25[[#This Row],[Estimate]]*0.1</f>
        <v>0</v>
      </c>
      <c r="V161" s="47">
        <f ca="1">Yards25[[#This Row],[Estimate]]-Yards25[[#This Row],[Design Est.]]</f>
        <v>0</v>
      </c>
      <c r="W161" s="85">
        <f ca="1">(Yards25[[#This Row],['# yards]]*INDEX(UnitCosts[],MATCH(Yards25[[#This Row],[WORK TYPE]],UnitCosts[Work Type],0),2))*(1+((Yards25[[#This Row],[est. CONS Year]]-YEAR(TODAY()))*$W$3))</f>
        <v>0</v>
      </c>
      <c r="X161" s="142">
        <f>IF(ISNUMBER(SEARCH("LLC",Yards25[[#This Row],[PROGRAM]])),IF(Yards25[[#This Row],[RAD/PACT by 2025]]="yes",0,1),0)</f>
        <v>0</v>
      </c>
      <c r="Y161" s="1"/>
      <c r="Z161" s="1"/>
      <c r="AA161" s="51">
        <f ca="1">COUNTIF($X$5:Yards25[[#This Row],['# yards]],"&gt;0")</f>
        <v>6</v>
      </c>
      <c r="AB161" s="1">
        <f ca="1">IF(ISBLANK(Yards25[[#This Row],[DSGN CALENDAR YEAR]]),ROUNDDOWN(Yards25[[#This Row],[Count]]/20,0)+$AB$1,Yards25[[#This Row],[DSGN CALENDAR YEAR]])</f>
        <v>2022</v>
      </c>
      <c r="AC161" s="16">
        <f ca="1">Yards25[[#This Row],[est. DSGN Year]]+1</f>
        <v>2023</v>
      </c>
    </row>
    <row r="162" spans="1:29" hidden="1">
      <c r="A162" s="13" t="s">
        <v>288</v>
      </c>
      <c r="B162" s="51" t="str">
        <f>VLOOKUP(Yards25[[#This Row],[DEVELOPMENT]],Data[],2,FALSE)</f>
        <v>STATEN ISLAND</v>
      </c>
      <c r="C16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62" s="51" t="str">
        <f>VLOOKUP(Yards25[[#This Row],[DEVELOPMENT]],Data[],52,FALSE)</f>
        <v>FEDERAL</v>
      </c>
      <c r="E162" s="50">
        <f>VLOOKUP(Yards25[[#This Row],[DEVELOPMENT]],Data[],8,FALSE)</f>
        <v>0</v>
      </c>
      <c r="F162" s="51" t="str">
        <f>VLOOKUP(Yards25[[#This Row],[DEVELOPMENT]],all[[DEVELOPMENT]:[MRST Ext. Comp. Priority]],6,FALSE)</f>
        <v>D</v>
      </c>
      <c r="G162" s="51">
        <f>VLOOKUP(Yards25[[#This Row],[DEVELOPMENT]],all[[DEVELOPMENT]:[MRST Ext. Comp. Priority]],13,FALSE)</f>
        <v>4</v>
      </c>
      <c r="H162" s="50">
        <f>IF(VLOOKUP(Yards25[[#This Row],[DEVELOPMENT]],Data[],9,FALSE)=0,5,VLOOKUP(Yards25[[#This Row],[DEVELOPMENT]],Data[],9,FALSE))</f>
        <v>5</v>
      </c>
      <c r="I162" s="51">
        <f>VLOOKUP(Yards25[[#This Row],[DEVELOPMENT]],Data[],33,FALSE)</f>
        <v>1</v>
      </c>
      <c r="J162" s="51">
        <f>VLOOKUP(Yards25[[#This Row],[DEVELOPMENT]],Data[],28,FALSE)</f>
        <v>0</v>
      </c>
      <c r="K162" s="51"/>
      <c r="L162" s="50"/>
      <c r="M162" s="51" t="str">
        <f ca="1">IFERROR(VLOOKUP(Yards25[[#This Row],[DEVELOPMENT]],Data[],4,FALSE),"")</f>
        <v/>
      </c>
      <c r="N162" s="51" t="str">
        <f ca="1">IF(Yards25[[#This Row],[RAD/PACT]]="","",IF(OR(Yards25[[#This Row],[RAD/PACT]]="2022-2025",Yards25[[#This Row],[RAD/PACT]]=2019,Yards25[[#This Row],[RAD/PACT]]="2020-2021"),"Yes",""))</f>
        <v/>
      </c>
      <c r="O162" s="51" t="str">
        <f ca="1">IFERROR(VLOOKUP(Yards25[[#This Row],[DEVELOPMENT]],ExtComp[],8,FALSE),"")</f>
        <v/>
      </c>
      <c r="P162" s="51"/>
      <c r="Q162" s="51"/>
      <c r="R162" s="51" t="str">
        <f>IF(ISBLANK(Yards25[[#This Row],[DSGN CALENDAR YEAR]]),"",Yards25[[#This Row],[DSGN CALENDAR YEAR]]+1)</f>
        <v/>
      </c>
      <c r="S162" s="51" t="str">
        <f>IF(ISBLANK(Yards25[[#This Row],[DSGN FISCAL YEAR]]),"",Yards25[[#This Row],[DSGN FISCAL YEAR]]+1)</f>
        <v/>
      </c>
      <c r="T162" s="51"/>
      <c r="U162" s="128">
        <f ca="1">Yards25[[#This Row],[Estimate]]*0.1</f>
        <v>0</v>
      </c>
      <c r="V162" s="47">
        <f ca="1">Yards25[[#This Row],[Estimate]]-Yards25[[#This Row],[Design Est.]]</f>
        <v>0</v>
      </c>
      <c r="W162" s="85">
        <f ca="1">(Yards25[[#This Row],['# yards]]*INDEX(UnitCosts[],MATCH(Yards25[[#This Row],[WORK TYPE]],UnitCosts[Work Type],0),2))*(1+((Yards25[[#This Row],[est. CONS Year]]-YEAR(TODAY()))*$W$3))</f>
        <v>0</v>
      </c>
      <c r="X162" s="142">
        <f>IF(ISNUMBER(SEARCH("LLC",Yards25[[#This Row],[PROGRAM]])),IF(Yards25[[#This Row],[RAD/PACT by 2025]]="yes",0,1),0)</f>
        <v>0</v>
      </c>
      <c r="Y162" s="1"/>
      <c r="Z162" s="1"/>
      <c r="AA162" s="51">
        <f ca="1">COUNTIF($X$5:Yards25[[#This Row],['# yards]],"&gt;0")</f>
        <v>6</v>
      </c>
      <c r="AB162" s="1">
        <f ca="1">IF(ISBLANK(Yards25[[#This Row],[DSGN CALENDAR YEAR]]),ROUNDDOWN(Yards25[[#This Row],[Count]]/20,0)+$AB$1,Yards25[[#This Row],[DSGN CALENDAR YEAR]])</f>
        <v>2022</v>
      </c>
      <c r="AC162" s="16">
        <f ca="1">Yards25[[#This Row],[est. DSGN Year]]+1</f>
        <v>2023</v>
      </c>
    </row>
    <row r="163" spans="1:29" hidden="1">
      <c r="A163" s="13" t="s">
        <v>290</v>
      </c>
      <c r="B163" s="51" t="str">
        <f>VLOOKUP(Yards25[[#This Row],[DEVELOPMENT]],Data[],2,FALSE)</f>
        <v>BRONX</v>
      </c>
      <c r="C16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63" s="51" t="str">
        <f>VLOOKUP(Yards25[[#This Row],[DEVELOPMENT]],Data[],52,FALSE)</f>
        <v>FEDERAL</v>
      </c>
      <c r="E163" s="50">
        <f>VLOOKUP(Yards25[[#This Row],[DEVELOPMENT]],Data[],8,FALSE)</f>
        <v>0</v>
      </c>
      <c r="F163" s="51" t="str">
        <f>VLOOKUP(Yards25[[#This Row],[DEVELOPMENT]],all[[DEVELOPMENT]:[MRST Ext. Comp. Priority]],6,FALSE)</f>
        <v>D</v>
      </c>
      <c r="G163" s="51">
        <f>VLOOKUP(Yards25[[#This Row],[DEVELOPMENT]],all[[DEVELOPMENT]:[MRST Ext. Comp. Priority]],13,FALSE)</f>
        <v>2</v>
      </c>
      <c r="H163" s="50">
        <f>IF(VLOOKUP(Yards25[[#This Row],[DEVELOPMENT]],Data[],9,FALSE)=0,5,VLOOKUP(Yards25[[#This Row],[DEVELOPMENT]],Data[],9,FALSE))</f>
        <v>5</v>
      </c>
      <c r="I163" s="51">
        <f>VLOOKUP(Yards25[[#This Row],[DEVELOPMENT]],Data[],33,FALSE)</f>
        <v>0</v>
      </c>
      <c r="J163" s="51">
        <f>VLOOKUP(Yards25[[#This Row],[DEVELOPMENT]],Data[],28,FALSE)</f>
        <v>0</v>
      </c>
      <c r="K163" s="51"/>
      <c r="L163" s="50"/>
      <c r="M163" s="51" t="str">
        <f ca="1">IFERROR(VLOOKUP(Yards25[[#This Row],[DEVELOPMENT]],Data[],4,FALSE),"")</f>
        <v/>
      </c>
      <c r="N163" s="51" t="str">
        <f ca="1">IF(Yards25[[#This Row],[RAD/PACT]]="","",IF(OR(Yards25[[#This Row],[RAD/PACT]]="2022-2025",Yards25[[#This Row],[RAD/PACT]]=2019,Yards25[[#This Row],[RAD/PACT]]="2020-2021"),"Yes",""))</f>
        <v/>
      </c>
      <c r="O163" s="51" t="str">
        <f ca="1">IFERROR(VLOOKUP(Yards25[[#This Row],[DEVELOPMENT]],ExtComp[],8,FALSE),"")</f>
        <v/>
      </c>
      <c r="P163" s="51"/>
      <c r="Q163" s="51"/>
      <c r="R163" s="51" t="str">
        <f>IF(ISBLANK(Yards25[[#This Row],[DSGN CALENDAR YEAR]]),"",Yards25[[#This Row],[DSGN CALENDAR YEAR]]+1)</f>
        <v/>
      </c>
      <c r="S163" s="51" t="str">
        <f>IF(ISBLANK(Yards25[[#This Row],[DSGN FISCAL YEAR]]),"",Yards25[[#This Row],[DSGN FISCAL YEAR]]+1)</f>
        <v/>
      </c>
      <c r="T163" s="51"/>
      <c r="U163" s="128">
        <f ca="1">Yards25[[#This Row],[Estimate]]*0.1</f>
        <v>0</v>
      </c>
      <c r="V163" s="47">
        <f ca="1">Yards25[[#This Row],[Estimate]]-Yards25[[#This Row],[Design Est.]]</f>
        <v>0</v>
      </c>
      <c r="W163" s="85">
        <f ca="1">(Yards25[[#This Row],['# yards]]*INDEX(UnitCosts[],MATCH(Yards25[[#This Row],[WORK TYPE]],UnitCosts[Work Type],0),2))*(1+((Yards25[[#This Row],[est. CONS Year]]-YEAR(TODAY()))*$W$3))</f>
        <v>0</v>
      </c>
      <c r="X163" s="142">
        <f>IF(ISNUMBER(SEARCH("LLC",Yards25[[#This Row],[PROGRAM]])),IF(Yards25[[#This Row],[RAD/PACT by 2025]]="yes",0,1),0)</f>
        <v>0</v>
      </c>
      <c r="Y163" s="1"/>
      <c r="Z163" s="1"/>
      <c r="AA163" s="51">
        <f ca="1">COUNTIF($X$5:Yards25[[#This Row],['# yards]],"&gt;0")</f>
        <v>6</v>
      </c>
      <c r="AB163" s="1">
        <f ca="1">IF(ISBLANK(Yards25[[#This Row],[DSGN CALENDAR YEAR]]),ROUNDDOWN(Yards25[[#This Row],[Count]]/20,0)+$AB$1,Yards25[[#This Row],[DSGN CALENDAR YEAR]])</f>
        <v>2022</v>
      </c>
      <c r="AC163" s="16">
        <f ca="1">Yards25[[#This Row],[est. DSGN Year]]+1</f>
        <v>2023</v>
      </c>
    </row>
    <row r="164" spans="1:29" hidden="1">
      <c r="A164" s="13" t="s">
        <v>137</v>
      </c>
      <c r="B164" s="51" t="str">
        <f>VLOOKUP(Yards25[[#This Row],[DEVELOPMENT]],Data[],2,FALSE)</f>
        <v>MANHATTAN</v>
      </c>
      <c r="C164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164" s="51" t="str">
        <f>VLOOKUP(Yards25[[#This Row],[DEVELOPMENT]],Data[],52,FALSE)</f>
        <v>FEDERAL</v>
      </c>
      <c r="E164" s="50" t="str">
        <f>VLOOKUP(Yards25[[#This Row],[DEVELOPMENT]],Data[],8,FALSE)</f>
        <v>Zone 2</v>
      </c>
      <c r="F164" s="51" t="str">
        <f>VLOOKUP(Yards25[[#This Row],[DEVELOPMENT]],all[[DEVELOPMENT]:[MRST Ext. Comp. Priority]],6,FALSE)</f>
        <v>D</v>
      </c>
      <c r="G164" s="51">
        <f>VLOOKUP(Yards25[[#This Row],[DEVELOPMENT]],all[[DEVELOPMENT]:[MRST Ext. Comp. Priority]],13,FALSE)</f>
        <v>3</v>
      </c>
      <c r="H164" s="50">
        <f>IF(VLOOKUP(Yards25[[#This Row],[DEVELOPMENT]],Data[],9,FALSE)=0,5,VLOOKUP(Yards25[[#This Row],[DEVELOPMENT]],Data[],9,FALSE))</f>
        <v>2</v>
      </c>
      <c r="I164" s="51">
        <f>VLOOKUP(Yards25[[#This Row],[DEVELOPMENT]],Data[],33,FALSE)</f>
        <v>4</v>
      </c>
      <c r="J164" s="51">
        <f>VLOOKUP(Yards25[[#This Row],[DEVELOPMENT]],Data[],28,FALSE)</f>
        <v>1</v>
      </c>
      <c r="K164" s="51"/>
      <c r="L164" s="50"/>
      <c r="M164" s="51" t="str">
        <f ca="1">IFERROR(VLOOKUP(Yards25[[#This Row],[DEVELOPMENT]],Data[],4,FALSE),"")</f>
        <v>2022-2025</v>
      </c>
      <c r="N164" s="51" t="str">
        <f ca="1">IF(Yards25[[#This Row],[RAD/PACT]]="","",IF(OR(Yards25[[#This Row],[RAD/PACT]]="2022-2025",Yards25[[#This Row],[RAD/PACT]]=2019,Yards25[[#This Row],[RAD/PACT]]="2020-2021"),"Yes",""))</f>
        <v>Yes</v>
      </c>
      <c r="O164" s="51">
        <f ca="1">IFERROR(VLOOKUP(Yards25[[#This Row],[DEVELOPMENT]],ExtComp[],8,FALSE),"")</f>
        <v>8</v>
      </c>
      <c r="P164" s="51"/>
      <c r="Q164" s="51"/>
      <c r="R164" s="51" t="str">
        <f>IF(ISBLANK(Yards25[[#This Row],[DSGN CALENDAR YEAR]]),"",Yards25[[#This Row],[DSGN CALENDAR YEAR]]+1)</f>
        <v/>
      </c>
      <c r="S164" s="51" t="str">
        <f>IF(ISBLANK(Yards25[[#This Row],[DSGN FISCAL YEAR]]),"",Yards25[[#This Row],[DSGN FISCAL YEAR]]+1)</f>
        <v/>
      </c>
      <c r="T164" s="51"/>
      <c r="U164" s="128">
        <f ca="1">Yards25[[#This Row],[Estimate]]*0.1</f>
        <v>0</v>
      </c>
      <c r="V164" s="47">
        <f ca="1">Yards25[[#This Row],[Estimate]]-Yards25[[#This Row],[Design Est.]]</f>
        <v>0</v>
      </c>
      <c r="W164" s="85">
        <f ca="1">(Yards25[[#This Row],['# yards]]*INDEX(UnitCosts[],MATCH(Yards25[[#This Row],[WORK TYPE]],UnitCosts[Work Type],0),2))*(1+((Yards25[[#This Row],[est. CONS Year]]-YEAR(TODAY()))*$W$3))</f>
        <v>0</v>
      </c>
      <c r="X164" s="142">
        <f>IF(ISNUMBER(SEARCH("LLC",Yards25[[#This Row],[PROGRAM]])),IF(Yards25[[#This Row],[RAD/PACT by 2025]]="yes",0,1),0)</f>
        <v>0</v>
      </c>
      <c r="Y164" s="1"/>
      <c r="Z164" s="1"/>
      <c r="AA164" s="51">
        <f ca="1">COUNTIF($X$5:Yards25[[#This Row],['# yards]],"&gt;0")</f>
        <v>6</v>
      </c>
      <c r="AB164" s="1">
        <f ca="1">IF(ISBLANK(Yards25[[#This Row],[DSGN CALENDAR YEAR]]),ROUNDDOWN(Yards25[[#This Row],[Count]]/20,0)+$AB$1,Yards25[[#This Row],[DSGN CALENDAR YEAR]])</f>
        <v>2022</v>
      </c>
      <c r="AC164" s="16">
        <f ca="1">Yards25[[#This Row],[est. DSGN Year]]+1</f>
        <v>2023</v>
      </c>
    </row>
    <row r="165" spans="1:29" hidden="1">
      <c r="A165" s="13" t="s">
        <v>57</v>
      </c>
      <c r="B165" s="51" t="str">
        <f>VLOOKUP(Yards25[[#This Row],[DEVELOPMENT]],Data[],2,FALSE)</f>
        <v>MANHATTAN</v>
      </c>
      <c r="C16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65" s="51" t="str">
        <f>VLOOKUP(Yards25[[#This Row],[DEVELOPMENT]],Data[],52,FALSE)</f>
        <v>FEDERAL</v>
      </c>
      <c r="E165" s="50" t="str">
        <f>VLOOKUP(Yards25[[#This Row],[DEVELOPMENT]],Data[],8,FALSE)</f>
        <v>Zone 1</v>
      </c>
      <c r="F165" s="51" t="str">
        <f>VLOOKUP(Yards25[[#This Row],[DEVELOPMENT]],all[[DEVELOPMENT]:[MRST Ext. Comp. Priority]],6,FALSE)</f>
        <v>D</v>
      </c>
      <c r="G165" s="51">
        <f>VLOOKUP(Yards25[[#This Row],[DEVELOPMENT]],all[[DEVELOPMENT]:[MRST Ext. Comp. Priority]],13,FALSE)</f>
        <v>2</v>
      </c>
      <c r="H165" s="50">
        <f>IF(VLOOKUP(Yards25[[#This Row],[DEVELOPMENT]],Data[],9,FALSE)=0,5,VLOOKUP(Yards25[[#This Row],[DEVELOPMENT]],Data[],9,FALSE))</f>
        <v>3</v>
      </c>
      <c r="I165" s="51">
        <f>VLOOKUP(Yards25[[#This Row],[DEVELOPMENT]],Data[],33,FALSE)</f>
        <v>0</v>
      </c>
      <c r="J165" s="51">
        <f>VLOOKUP(Yards25[[#This Row],[DEVELOPMENT]],Data[],28,FALSE)</f>
        <v>0</v>
      </c>
      <c r="K165" s="51"/>
      <c r="L165" s="50"/>
      <c r="M165" s="51" t="str">
        <f ca="1">IFERROR(VLOOKUP(Yards25[[#This Row],[DEVELOPMENT]],Data[],4,FALSE),"")</f>
        <v/>
      </c>
      <c r="N165" s="51" t="str">
        <f ca="1">IF(Yards25[[#This Row],[RAD/PACT]]="","",IF(OR(Yards25[[#This Row],[RAD/PACT]]="2022-2025",Yards25[[#This Row],[RAD/PACT]]=2019,Yards25[[#This Row],[RAD/PACT]]="2020-2021"),"Yes",""))</f>
        <v/>
      </c>
      <c r="O165" s="51" t="str">
        <f ca="1">IFERROR(VLOOKUP(Yards25[[#This Row],[DEVELOPMENT]],ExtComp[],8,FALSE),"")</f>
        <v/>
      </c>
      <c r="P165" s="51"/>
      <c r="Q165" s="51"/>
      <c r="R165" s="51" t="str">
        <f>IF(ISBLANK(Yards25[[#This Row],[DSGN CALENDAR YEAR]]),"",Yards25[[#This Row],[DSGN CALENDAR YEAR]]+1)</f>
        <v/>
      </c>
      <c r="S165" s="51" t="str">
        <f>IF(ISBLANK(Yards25[[#This Row],[DSGN FISCAL YEAR]]),"",Yards25[[#This Row],[DSGN FISCAL YEAR]]+1)</f>
        <v/>
      </c>
      <c r="T165" s="51"/>
      <c r="U165" s="128">
        <f ca="1">Yards25[[#This Row],[Estimate]]*0.1</f>
        <v>0</v>
      </c>
      <c r="V165" s="47">
        <f ca="1">Yards25[[#This Row],[Estimate]]-Yards25[[#This Row],[Design Est.]]</f>
        <v>0</v>
      </c>
      <c r="W165" s="85">
        <f ca="1">(Yards25[[#This Row],['# yards]]*INDEX(UnitCosts[],MATCH(Yards25[[#This Row],[WORK TYPE]],UnitCosts[Work Type],0),2))*(1+((Yards25[[#This Row],[est. CONS Year]]-YEAR(TODAY()))*$W$3))</f>
        <v>0</v>
      </c>
      <c r="X165" s="142">
        <f>IF(ISNUMBER(SEARCH("LLC",Yards25[[#This Row],[PROGRAM]])),IF(Yards25[[#This Row],[RAD/PACT by 2025]]="yes",0,1),0)</f>
        <v>0</v>
      </c>
      <c r="Y165" s="1"/>
      <c r="Z165" s="1"/>
      <c r="AA165" s="51">
        <f ca="1">COUNTIF($X$5:Yards25[[#This Row],['# yards]],"&gt;0")</f>
        <v>6</v>
      </c>
      <c r="AB165" s="1">
        <f ca="1">IF(ISBLANK(Yards25[[#This Row],[DSGN CALENDAR YEAR]]),ROUNDDOWN(Yards25[[#This Row],[Count]]/20,0)+$AB$1,Yards25[[#This Row],[DSGN CALENDAR YEAR]])</f>
        <v>2022</v>
      </c>
      <c r="AC165" s="16">
        <f ca="1">Yards25[[#This Row],[est. DSGN Year]]+1</f>
        <v>2023</v>
      </c>
    </row>
    <row r="166" spans="1:29" hidden="1">
      <c r="A166" s="13" t="s">
        <v>120</v>
      </c>
      <c r="B166" s="1" t="str">
        <f>VLOOKUP(Yards25[[#This Row],[DEVELOPMENT]],Data[],2,FALSE)</f>
        <v>MANHATTAN</v>
      </c>
      <c r="C16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166" s="51" t="str">
        <f>VLOOKUP(Yards25[[#This Row],[DEVELOPMENT]],Data[],52,FALSE)</f>
        <v>FEDERAL</v>
      </c>
      <c r="E166" s="9" t="str">
        <f>VLOOKUP(Yards25[[#This Row],[DEVELOPMENT]],Data[],8,FALSE)</f>
        <v>Zone 2</v>
      </c>
      <c r="F166" s="51" t="str">
        <f>VLOOKUP(Yards25[[#This Row],[DEVELOPMENT]],all[[DEVELOPMENT]:[MRST Ext. Comp. Priority]],6,FALSE)</f>
        <v>D</v>
      </c>
      <c r="G166" s="51" t="str">
        <f>VLOOKUP(Yards25[[#This Row],[DEVELOPMENT]],all[[DEVELOPMENT]:[MRST Ext. Comp. Priority]],13,FALSE)</f>
        <v>None</v>
      </c>
      <c r="H166" s="9">
        <f>IF(VLOOKUP(Yards25[[#This Row],[DEVELOPMENT]],Data[],9,FALSE)=0,5,VLOOKUP(Yards25[[#This Row],[DEVELOPMENT]],Data[],9,FALSE))</f>
        <v>3</v>
      </c>
      <c r="I166" s="51">
        <f>VLOOKUP(Yards25[[#This Row],[DEVELOPMENT]],Data[],33,FALSE)</f>
        <v>3</v>
      </c>
      <c r="J166" s="51">
        <f>VLOOKUP(Yards25[[#This Row],[DEVELOPMENT]],Data[],28,FALSE)</f>
        <v>0</v>
      </c>
      <c r="K166" s="51"/>
      <c r="L166" s="9"/>
      <c r="M166" s="1" t="str">
        <f ca="1">IFERROR(VLOOKUP(Yards25[[#This Row],[DEVELOPMENT]],Data[],4,FALSE),"")</f>
        <v>2026+</v>
      </c>
      <c r="N166" s="1" t="str">
        <f ca="1">IF(Yards25[[#This Row],[RAD/PACT]]="","",IF(OR(Yards25[[#This Row],[RAD/PACT]]="2022-2025",Yards25[[#This Row],[RAD/PACT]]=2019,Yards25[[#This Row],[RAD/PACT]]="2020-2021"),"Yes",""))</f>
        <v/>
      </c>
      <c r="O166" s="1">
        <f ca="1">IFERROR(VLOOKUP(Yards25[[#This Row],[DEVELOPMENT]],ExtComp[],8,FALSE),"")</f>
        <v>14</v>
      </c>
      <c r="P166" s="1"/>
      <c r="Q166" s="1"/>
      <c r="R166" s="1" t="str">
        <f>IF(ISBLANK(Yards25[[#This Row],[DSGN CALENDAR YEAR]]),"",Yards25[[#This Row],[DSGN CALENDAR YEAR]]+1)</f>
        <v/>
      </c>
      <c r="S166" s="51" t="str">
        <f>IF(ISBLANK(Yards25[[#This Row],[DSGN FISCAL YEAR]]),"",Yards25[[#This Row],[DSGN FISCAL YEAR]]+1)</f>
        <v/>
      </c>
      <c r="T166" s="1"/>
      <c r="U166" s="128">
        <f ca="1">Yards25[[#This Row],[Estimate]]*0.1</f>
        <v>0</v>
      </c>
      <c r="V166" s="47">
        <f ca="1">Yards25[[#This Row],[Estimate]]-Yards25[[#This Row],[Design Est.]]</f>
        <v>0</v>
      </c>
      <c r="W166" s="85">
        <f ca="1">(Yards25[[#This Row],['# yards]]*INDEX(UnitCosts[],MATCH(Yards25[[#This Row],[WORK TYPE]],UnitCosts[Work Type],0),2))*(1+((Yards25[[#This Row],[est. CONS Year]]-YEAR(TODAY()))*$W$3))</f>
        <v>0</v>
      </c>
      <c r="X166" s="142">
        <f>IF(ISNUMBER(SEARCH("LLC",Yards25[[#This Row],[PROGRAM]])),IF(Yards25[[#This Row],[RAD/PACT by 2025]]="yes",0,1),0)</f>
        <v>0</v>
      </c>
      <c r="Y166" s="1"/>
      <c r="Z166" s="1"/>
      <c r="AA166" s="51">
        <f ca="1">COUNTIF($X$5:Yards25[[#This Row],['# yards]],"&gt;0")</f>
        <v>6</v>
      </c>
      <c r="AB166" s="1">
        <f ca="1">IF(ISBLANK(Yards25[[#This Row],[DSGN CALENDAR YEAR]]),ROUNDDOWN(Yards25[[#This Row],[Count]]/20,0)+$AB$1,Yards25[[#This Row],[DSGN CALENDAR YEAR]])</f>
        <v>2022</v>
      </c>
      <c r="AC166" s="16">
        <f ca="1">Yards25[[#This Row],[est. DSGN Year]]+1</f>
        <v>2023</v>
      </c>
    </row>
    <row r="167" spans="1:29" hidden="1">
      <c r="A167" s="13" t="s">
        <v>111</v>
      </c>
      <c r="B167" s="51" t="str">
        <f>VLOOKUP(Yards25[[#This Row],[DEVELOPMENT]],Data[],2,FALSE)</f>
        <v>MANHATTAN</v>
      </c>
      <c r="C16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67" s="51" t="str">
        <f>VLOOKUP(Yards25[[#This Row],[DEVELOPMENT]],Data[],52,FALSE)</f>
        <v>FEDERAL</v>
      </c>
      <c r="E167" s="50" t="str">
        <f>VLOOKUP(Yards25[[#This Row],[DEVELOPMENT]],Data[],8,FALSE)</f>
        <v>Zone 3</v>
      </c>
      <c r="F167" s="51" t="str">
        <f>VLOOKUP(Yards25[[#This Row],[DEVELOPMENT]],all[[DEVELOPMENT]:[MRST Ext. Comp. Priority]],6,FALSE)</f>
        <v>D</v>
      </c>
      <c r="G167" s="51">
        <f>VLOOKUP(Yards25[[#This Row],[DEVELOPMENT]],all[[DEVELOPMENT]:[MRST Ext. Comp. Priority]],13,FALSE)</f>
        <v>2</v>
      </c>
      <c r="H167" s="50">
        <f>IF(VLOOKUP(Yards25[[#This Row],[DEVELOPMENT]],Data[],9,FALSE)=0,5,VLOOKUP(Yards25[[#This Row],[DEVELOPMENT]],Data[],9,FALSE))</f>
        <v>4</v>
      </c>
      <c r="I167" s="51">
        <f>VLOOKUP(Yards25[[#This Row],[DEVELOPMENT]],Data[],33,FALSE)</f>
        <v>2</v>
      </c>
      <c r="J167" s="51">
        <f>VLOOKUP(Yards25[[#This Row],[DEVELOPMENT]],Data[],28,FALSE)</f>
        <v>0</v>
      </c>
      <c r="K167" s="51"/>
      <c r="L167" s="50"/>
      <c r="M167" s="51" t="str">
        <f ca="1">IFERROR(VLOOKUP(Yards25[[#This Row],[DEVELOPMENT]],Data[],4,FALSE),"")</f>
        <v/>
      </c>
      <c r="N167" s="51" t="str">
        <f ca="1">IF(Yards25[[#This Row],[RAD/PACT]]="","",IF(OR(Yards25[[#This Row],[RAD/PACT]]="2022-2025",Yards25[[#This Row],[RAD/PACT]]=2019,Yards25[[#This Row],[RAD/PACT]]="2020-2021"),"Yes",""))</f>
        <v/>
      </c>
      <c r="O167" s="51">
        <f ca="1">IFERROR(VLOOKUP(Yards25[[#This Row],[DEVELOPMENT]],ExtComp[],8,FALSE),"")</f>
        <v>18</v>
      </c>
      <c r="P167" s="51"/>
      <c r="Q167" s="51"/>
      <c r="R167" s="51" t="str">
        <f>IF(ISBLANK(Yards25[[#This Row],[DSGN CALENDAR YEAR]]),"",Yards25[[#This Row],[DSGN CALENDAR YEAR]]+1)</f>
        <v/>
      </c>
      <c r="S167" s="51" t="str">
        <f>IF(ISBLANK(Yards25[[#This Row],[DSGN FISCAL YEAR]]),"",Yards25[[#This Row],[DSGN FISCAL YEAR]]+1)</f>
        <v/>
      </c>
      <c r="T167" s="51"/>
      <c r="U167" s="128">
        <f ca="1">Yards25[[#This Row],[Estimate]]*0.1</f>
        <v>0</v>
      </c>
      <c r="V167" s="47">
        <f ca="1">Yards25[[#This Row],[Estimate]]-Yards25[[#This Row],[Design Est.]]</f>
        <v>0</v>
      </c>
      <c r="W167" s="85">
        <f ca="1">(Yards25[[#This Row],['# yards]]*INDEX(UnitCosts[],MATCH(Yards25[[#This Row],[WORK TYPE]],UnitCosts[Work Type],0),2))*(1+((Yards25[[#This Row],[est. CONS Year]]-YEAR(TODAY()))*$W$3))</f>
        <v>0</v>
      </c>
      <c r="X167" s="142">
        <f>IF(ISNUMBER(SEARCH("LLC",Yards25[[#This Row],[PROGRAM]])),IF(Yards25[[#This Row],[RAD/PACT by 2025]]="yes",0,1),0)</f>
        <v>0</v>
      </c>
      <c r="Y167" s="1"/>
      <c r="Z167" s="1"/>
      <c r="AA167" s="51">
        <f ca="1">COUNTIF($X$5:Yards25[[#This Row],['# yards]],"&gt;0")</f>
        <v>6</v>
      </c>
      <c r="AB167" s="1">
        <f ca="1">IF(ISBLANK(Yards25[[#This Row],[DSGN CALENDAR YEAR]]),ROUNDDOWN(Yards25[[#This Row],[Count]]/20,0)+$AB$1,Yards25[[#This Row],[DSGN CALENDAR YEAR]])</f>
        <v>2022</v>
      </c>
      <c r="AC167" s="16">
        <f ca="1">Yards25[[#This Row],[est. DSGN Year]]+1</f>
        <v>2023</v>
      </c>
    </row>
    <row r="168" spans="1:29" hidden="1">
      <c r="A168" s="13" t="s">
        <v>115</v>
      </c>
      <c r="B168" s="51" t="str">
        <f>VLOOKUP(Yards25[[#This Row],[DEVELOPMENT]],Data[],2,FALSE)</f>
        <v>MANHATTAN</v>
      </c>
      <c r="C168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168" s="51" t="str">
        <f>VLOOKUP(Yards25[[#This Row],[DEVELOPMENT]],Data[],52,FALSE)</f>
        <v>FEDERAL</v>
      </c>
      <c r="E168" s="50" t="str">
        <f>VLOOKUP(Yards25[[#This Row],[DEVELOPMENT]],Data[],8,FALSE)</f>
        <v>Zone 2</v>
      </c>
      <c r="F168" s="51" t="str">
        <f>VLOOKUP(Yards25[[#This Row],[DEVELOPMENT]],all[[DEVELOPMENT]:[MRST Ext. Comp. Priority]],6,FALSE)</f>
        <v>D</v>
      </c>
      <c r="G168" s="51">
        <f>VLOOKUP(Yards25[[#This Row],[DEVELOPMENT]],all[[DEVELOPMENT]:[MRST Ext. Comp. Priority]],13,FALSE)</f>
        <v>2</v>
      </c>
      <c r="H168" s="50">
        <f>IF(VLOOKUP(Yards25[[#This Row],[DEVELOPMENT]],Data[],9,FALSE)=0,5,VLOOKUP(Yards25[[#This Row],[DEVELOPMENT]],Data[],9,FALSE))</f>
        <v>4</v>
      </c>
      <c r="I168" s="51">
        <f>VLOOKUP(Yards25[[#This Row],[DEVELOPMENT]],Data[],33,FALSE)</f>
        <v>3</v>
      </c>
      <c r="J168" s="51">
        <f>VLOOKUP(Yards25[[#This Row],[DEVELOPMENT]],Data[],28,FALSE)</f>
        <v>0</v>
      </c>
      <c r="K168" s="51"/>
      <c r="L168" s="50"/>
      <c r="M168" s="51" t="str">
        <f ca="1">IFERROR(VLOOKUP(Yards25[[#This Row],[DEVELOPMENT]],Data[],4,FALSE),"")</f>
        <v/>
      </c>
      <c r="N168" s="51" t="str">
        <f ca="1">IF(Yards25[[#This Row],[RAD/PACT]]="","",IF(OR(Yards25[[#This Row],[RAD/PACT]]="2022-2025",Yards25[[#This Row],[RAD/PACT]]=2019,Yards25[[#This Row],[RAD/PACT]]="2020-2021"),"Yes",""))</f>
        <v/>
      </c>
      <c r="O168" s="1">
        <f ca="1">IFERROR(VLOOKUP(Yards25[[#This Row],[DEVELOPMENT]],ExtComp[],8,FALSE),"")</f>
        <v>17</v>
      </c>
      <c r="P168" s="1"/>
      <c r="Q168" s="1"/>
      <c r="R168" s="1" t="str">
        <f>IF(ISBLANK(Yards25[[#This Row],[DSGN CALENDAR YEAR]]),"",Yards25[[#This Row],[DSGN CALENDAR YEAR]]+1)</f>
        <v/>
      </c>
      <c r="S168" s="51" t="str">
        <f>IF(ISBLANK(Yards25[[#This Row],[DSGN FISCAL YEAR]]),"",Yards25[[#This Row],[DSGN FISCAL YEAR]]+1)</f>
        <v/>
      </c>
      <c r="T168" s="1"/>
      <c r="U168" s="128">
        <f ca="1">Yards25[[#This Row],[Estimate]]*0.1</f>
        <v>0</v>
      </c>
      <c r="V168" s="47">
        <f ca="1">Yards25[[#This Row],[Estimate]]-Yards25[[#This Row],[Design Est.]]</f>
        <v>0</v>
      </c>
      <c r="W168" s="85">
        <f ca="1">(Yards25[[#This Row],['# yards]]*INDEX(UnitCosts[],MATCH(Yards25[[#This Row],[WORK TYPE]],UnitCosts[Work Type],0),2))*(1+((Yards25[[#This Row],[est. CONS Year]]-YEAR(TODAY()))*$W$3))</f>
        <v>0</v>
      </c>
      <c r="X168" s="142">
        <f>IF(ISNUMBER(SEARCH("LLC",Yards25[[#This Row],[PROGRAM]])),IF(Yards25[[#This Row],[RAD/PACT by 2025]]="yes",0,1),0)</f>
        <v>0</v>
      </c>
      <c r="Y168" s="1"/>
      <c r="Z168" s="1"/>
      <c r="AA168" s="51">
        <f ca="1">COUNTIF($X$5:Yards25[[#This Row],['# yards]],"&gt;0")</f>
        <v>6</v>
      </c>
      <c r="AB168" s="1">
        <f ca="1">IF(ISBLANK(Yards25[[#This Row],[DSGN CALENDAR YEAR]]),ROUNDDOWN(Yards25[[#This Row],[Count]]/20,0)+$AB$1,Yards25[[#This Row],[DSGN CALENDAR YEAR]])</f>
        <v>2022</v>
      </c>
      <c r="AC168" s="16">
        <f ca="1">Yards25[[#This Row],[est. DSGN Year]]+1</f>
        <v>2023</v>
      </c>
    </row>
    <row r="169" spans="1:29">
      <c r="A169" s="13" t="s">
        <v>123</v>
      </c>
      <c r="B169" s="51" t="str">
        <f>VLOOKUP(Yards25[[#This Row],[DEVELOPMENT]],Data[],2,FALSE)</f>
        <v>BRONX</v>
      </c>
      <c r="C169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69" s="51" t="str">
        <f>VLOOKUP(Yards25[[#This Row],[DEVELOPMENT]],Data[],52,FALSE)</f>
        <v>MIXED FINANCE/LLC1</v>
      </c>
      <c r="E169" s="50" t="str">
        <f>VLOOKUP(Yards25[[#This Row],[DEVELOPMENT]],Data[],8,FALSE)</f>
        <v>Zone 3</v>
      </c>
      <c r="F169" s="51" t="str">
        <f>VLOOKUP(Yards25[[#This Row],[DEVELOPMENT]],all[[DEVELOPMENT]:[MRST Ext. Comp. Priority]],6,FALSE)</f>
        <v>D</v>
      </c>
      <c r="G169" s="51" t="str">
        <f>VLOOKUP(Yards25[[#This Row],[DEVELOPMENT]],all[[DEVELOPMENT]:[MRST Ext. Comp. Priority]],13,FALSE)</f>
        <v>None</v>
      </c>
      <c r="H169" s="50">
        <f>IF(VLOOKUP(Yards25[[#This Row],[DEVELOPMENT]],Data[],9,FALSE)=0,5,VLOOKUP(Yards25[[#This Row],[DEVELOPMENT]],Data[],9,FALSE))</f>
        <v>4</v>
      </c>
      <c r="I169" s="51">
        <f>VLOOKUP(Yards25[[#This Row],[DEVELOPMENT]],Data[],33,FALSE)</f>
        <v>2</v>
      </c>
      <c r="J169" s="51">
        <f>VLOOKUP(Yards25[[#This Row],[DEVELOPMENT]],Data[],28,FALSE)</f>
        <v>0</v>
      </c>
      <c r="K169" s="51"/>
      <c r="L169" s="50"/>
      <c r="M169" s="51" t="str">
        <f ca="1">IFERROR(VLOOKUP(Yards25[[#This Row],[DEVELOPMENT]],Data[],4,FALSE),"")</f>
        <v>2026+</v>
      </c>
      <c r="N169" s="51" t="str">
        <f ca="1">IF(Yards25[[#This Row],[RAD/PACT]]="","",IF(OR(Yards25[[#This Row],[RAD/PACT]]="2022-2025",Yards25[[#This Row],[RAD/PACT]]=2019,Yards25[[#This Row],[RAD/PACT]]="2020-2021"),"Yes",""))</f>
        <v/>
      </c>
      <c r="O169" s="51">
        <f ca="1">IFERROR(VLOOKUP(Yards25[[#This Row],[DEVELOPMENT]],ExtComp[],8,FALSE),"")</f>
        <v>14</v>
      </c>
      <c r="P169" s="51"/>
      <c r="Q169" s="51"/>
      <c r="R169" s="51" t="str">
        <f>IF(ISBLANK(Yards25[[#This Row],[DSGN CALENDAR YEAR]]),"",Yards25[[#This Row],[DSGN CALENDAR YEAR]]+1)</f>
        <v/>
      </c>
      <c r="S169" s="51" t="str">
        <f>IF(ISBLANK(Yards25[[#This Row],[DSGN FISCAL YEAR]]),"",Yards25[[#This Row],[DSGN FISCAL YEAR]]+1)</f>
        <v/>
      </c>
      <c r="T169" s="51"/>
      <c r="U169" s="128">
        <f ca="1">Yards25[[#This Row],[Estimate]]*0.1</f>
        <v>237400.39768875009</v>
      </c>
      <c r="V169" s="47">
        <f ca="1">Yards25[[#This Row],[Estimate]]-Yards25[[#This Row],[Design Est.]]</f>
        <v>2136603.5791987507</v>
      </c>
      <c r="W169" s="85">
        <f ca="1">(Yards25[[#This Row],['# yards]]*INDEX(UnitCosts[],MATCH(Yards25[[#This Row],[WORK TYPE]],UnitCosts[Work Type],0),2))*(1+((Yards25[[#This Row],[est. CONS Year]]-YEAR(TODAY()))*$W$3))</f>
        <v>2374003.9768875008</v>
      </c>
      <c r="X169" s="142">
        <f ca="1">IF(ISNUMBER(SEARCH("LLC",Yards25[[#This Row],[PROGRAM]])),IF(Yards25[[#This Row],[RAD/PACT by 2025]]="yes",0,1),0)</f>
        <v>1</v>
      </c>
      <c r="Y169" s="1"/>
      <c r="Z169" s="1"/>
      <c r="AA169" s="51">
        <f ca="1">COUNTIF($X$5:Yards25[[#This Row],['# yards]],"&gt;0")</f>
        <v>7</v>
      </c>
      <c r="AB169" s="1">
        <v>2024</v>
      </c>
      <c r="AC169" s="16">
        <f>Yards25[[#This Row],[est. DSGN Year]]+1</f>
        <v>2025</v>
      </c>
    </row>
    <row r="170" spans="1:29" hidden="1">
      <c r="A170" s="13" t="s">
        <v>282</v>
      </c>
      <c r="B170" s="51" t="str">
        <f>VLOOKUP(Yards25[[#This Row],[DEVELOPMENT]],Data[],2,FALSE)</f>
        <v>MANHATTAN</v>
      </c>
      <c r="C170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70" s="51" t="str">
        <f>VLOOKUP(Yards25[[#This Row],[DEVELOPMENT]],Data[],52,FALSE)</f>
        <v>MIXED FINANCE/LLC2</v>
      </c>
      <c r="E170" s="50">
        <f>VLOOKUP(Yards25[[#This Row],[DEVELOPMENT]],Data[],8,FALSE)</f>
        <v>0</v>
      </c>
      <c r="F170" s="51" t="str">
        <f>VLOOKUP(Yards25[[#This Row],[DEVELOPMENT]],all[[DEVELOPMENT]:[MRST Ext. Comp. Priority]],6,FALSE)</f>
        <v>D</v>
      </c>
      <c r="G170" s="51">
        <f>VLOOKUP(Yards25[[#This Row],[DEVELOPMENT]],all[[DEVELOPMENT]:[MRST Ext. Comp. Priority]],13,FALSE)</f>
        <v>2</v>
      </c>
      <c r="H170" s="50">
        <f>IF(VLOOKUP(Yards25[[#This Row],[DEVELOPMENT]],Data[],9,FALSE)=0,5,VLOOKUP(Yards25[[#This Row],[DEVELOPMENT]],Data[],9,FALSE))</f>
        <v>5</v>
      </c>
      <c r="I170" s="51">
        <f>VLOOKUP(Yards25[[#This Row],[DEVELOPMENT]],Data[],33,FALSE)</f>
        <v>0</v>
      </c>
      <c r="J170" s="51">
        <f>VLOOKUP(Yards25[[#This Row],[DEVELOPMENT]],Data[],28,FALSE)</f>
        <v>0</v>
      </c>
      <c r="K170" s="51"/>
      <c r="L170" s="50"/>
      <c r="M170" s="51" t="str">
        <f ca="1">IFERROR(VLOOKUP(Yards25[[#This Row],[DEVELOPMENT]],Data[],4,FALSE),"")</f>
        <v>2020-2021</v>
      </c>
      <c r="N170" s="51" t="str">
        <f ca="1">IF(Yards25[[#This Row],[RAD/PACT]]="","",IF(OR(Yards25[[#This Row],[RAD/PACT]]="2022-2025",Yards25[[#This Row],[RAD/PACT]]=2019,Yards25[[#This Row],[RAD/PACT]]="2020-2021"),"Yes",""))</f>
        <v>Yes</v>
      </c>
      <c r="O170" s="51" t="str">
        <f ca="1">IFERROR(VLOOKUP(Yards25[[#This Row],[DEVELOPMENT]],ExtComp[],8,FALSE),"")</f>
        <v/>
      </c>
      <c r="P170" s="51"/>
      <c r="Q170" s="51"/>
      <c r="R170" s="51" t="str">
        <f>IF(ISBLANK(Yards25[[#This Row],[DSGN CALENDAR YEAR]]),"",Yards25[[#This Row],[DSGN CALENDAR YEAR]]+1)</f>
        <v/>
      </c>
      <c r="S170" s="51" t="str">
        <f>IF(ISBLANK(Yards25[[#This Row],[DSGN FISCAL YEAR]]),"",Yards25[[#This Row],[DSGN FISCAL YEAR]]+1)</f>
        <v/>
      </c>
      <c r="T170" s="51"/>
      <c r="U170" s="128">
        <f ca="1">Yards25[[#This Row],[Estimate]]*0.1</f>
        <v>0</v>
      </c>
      <c r="V170" s="47">
        <f ca="1">Yards25[[#This Row],[Estimate]]-Yards25[[#This Row],[Design Est.]]</f>
        <v>0</v>
      </c>
      <c r="W170" s="85">
        <f ca="1">(Yards25[[#This Row],['# yards]]*INDEX(UnitCosts[],MATCH(Yards25[[#This Row],[WORK TYPE]],UnitCosts[Work Type],0),2))*(1+((Yards25[[#This Row],[est. CONS Year]]-YEAR(TODAY()))*$W$3))</f>
        <v>0</v>
      </c>
      <c r="X170" s="142">
        <f ca="1">IF(ISNUMBER(SEARCH("LLC",Yards25[[#This Row],[PROGRAM]])),IF(Yards25[[#This Row],[RAD/PACT by 2025]]="yes",0,1),0)</f>
        <v>0</v>
      </c>
      <c r="Y170" s="1"/>
      <c r="Z170" s="1"/>
      <c r="AA170" s="51">
        <f ca="1">COUNTIF($X$5:Yards25[[#This Row],['# yards]],"&gt;0")</f>
        <v>7</v>
      </c>
      <c r="AB170" s="1">
        <f ca="1">IF(ISBLANK(Yards25[[#This Row],[DSGN CALENDAR YEAR]]),ROUNDDOWN(Yards25[[#This Row],[Count]]/20,0)+$AB$1,Yards25[[#This Row],[DSGN CALENDAR YEAR]])</f>
        <v>2022</v>
      </c>
      <c r="AC170" s="16">
        <f ca="1">Yards25[[#This Row],[est. DSGN Year]]+1</f>
        <v>2023</v>
      </c>
    </row>
    <row r="171" spans="1:29" hidden="1">
      <c r="A171" s="13" t="s">
        <v>283</v>
      </c>
      <c r="B171" s="51" t="str">
        <f>VLOOKUP(Yards25[[#This Row],[DEVELOPMENT]],Data[],2,FALSE)</f>
        <v>BRONX</v>
      </c>
      <c r="C17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71" s="51" t="str">
        <f>VLOOKUP(Yards25[[#This Row],[DEVELOPMENT]],Data[],52,FALSE)</f>
        <v>FEDERAL</v>
      </c>
      <c r="E171" s="50">
        <f>VLOOKUP(Yards25[[#This Row],[DEVELOPMENT]],Data[],8,FALSE)</f>
        <v>0</v>
      </c>
      <c r="F171" s="51" t="str">
        <f>VLOOKUP(Yards25[[#This Row],[DEVELOPMENT]],all[[DEVELOPMENT]:[MRST Ext. Comp. Priority]],6,FALSE)</f>
        <v>D</v>
      </c>
      <c r="G171" s="51" t="str">
        <f>VLOOKUP(Yards25[[#This Row],[DEVELOPMENT]],all[[DEVELOPMENT]:[MRST Ext. Comp. Priority]],13,FALSE)</f>
        <v>None</v>
      </c>
      <c r="H171" s="50">
        <f>IF(VLOOKUP(Yards25[[#This Row],[DEVELOPMENT]],Data[],9,FALSE)=0,5,VLOOKUP(Yards25[[#This Row],[DEVELOPMENT]],Data[],9,FALSE))</f>
        <v>5</v>
      </c>
      <c r="I171" s="51">
        <f>VLOOKUP(Yards25[[#This Row],[DEVELOPMENT]],Data[],33,FALSE)</f>
        <v>0</v>
      </c>
      <c r="J171" s="51">
        <f>VLOOKUP(Yards25[[#This Row],[DEVELOPMENT]],Data[],28,FALSE)</f>
        <v>0</v>
      </c>
      <c r="K171" s="51"/>
      <c r="L171" s="50"/>
      <c r="M171" s="51" t="str">
        <f ca="1">IFERROR(VLOOKUP(Yards25[[#This Row],[DEVELOPMENT]],Data[],4,FALSE),"")</f>
        <v/>
      </c>
      <c r="N171" s="51" t="str">
        <f ca="1">IF(Yards25[[#This Row],[RAD/PACT]]="","",IF(OR(Yards25[[#This Row],[RAD/PACT]]="2022-2025",Yards25[[#This Row],[RAD/PACT]]=2019,Yards25[[#This Row],[RAD/PACT]]="2020-2021"),"Yes",""))</f>
        <v/>
      </c>
      <c r="O171" s="51" t="str">
        <f ca="1">IFERROR(VLOOKUP(Yards25[[#This Row],[DEVELOPMENT]],ExtComp[],8,FALSE),"")</f>
        <v/>
      </c>
      <c r="P171" s="51"/>
      <c r="Q171" s="51"/>
      <c r="R171" s="51" t="str">
        <f>IF(ISBLANK(Yards25[[#This Row],[DSGN CALENDAR YEAR]]),"",Yards25[[#This Row],[DSGN CALENDAR YEAR]]+1)</f>
        <v/>
      </c>
      <c r="S171" s="51" t="str">
        <f>IF(ISBLANK(Yards25[[#This Row],[DSGN FISCAL YEAR]]),"",Yards25[[#This Row],[DSGN FISCAL YEAR]]+1)</f>
        <v/>
      </c>
      <c r="T171" s="51"/>
      <c r="U171" s="128">
        <f ca="1">Yards25[[#This Row],[Estimate]]*0.1</f>
        <v>0</v>
      </c>
      <c r="V171" s="47">
        <f ca="1">Yards25[[#This Row],[Estimate]]-Yards25[[#This Row],[Design Est.]]</f>
        <v>0</v>
      </c>
      <c r="W171" s="85">
        <f ca="1">(Yards25[[#This Row],['# yards]]*INDEX(UnitCosts[],MATCH(Yards25[[#This Row],[WORK TYPE]],UnitCosts[Work Type],0),2))*(1+((Yards25[[#This Row],[est. CONS Year]]-YEAR(TODAY()))*$W$3))</f>
        <v>0</v>
      </c>
      <c r="X171" s="142">
        <f>IF(ISNUMBER(SEARCH("LLC",Yards25[[#This Row],[PROGRAM]])),IF(Yards25[[#This Row],[RAD/PACT by 2025]]="yes",0,1),0)</f>
        <v>0</v>
      </c>
      <c r="Y171" s="1"/>
      <c r="Z171" s="1"/>
      <c r="AA171" s="51">
        <f ca="1">COUNTIF($X$5:Yards25[[#This Row],['# yards]],"&gt;0")</f>
        <v>7</v>
      </c>
      <c r="AB171" s="1">
        <f ca="1">IF(ISBLANK(Yards25[[#This Row],[DSGN CALENDAR YEAR]]),ROUNDDOWN(Yards25[[#This Row],[Count]]/20,0)+$AB$1,Yards25[[#This Row],[DSGN CALENDAR YEAR]])</f>
        <v>2022</v>
      </c>
      <c r="AC171" s="16">
        <f ca="1">Yards25[[#This Row],[est. DSGN Year]]+1</f>
        <v>2023</v>
      </c>
    </row>
    <row r="172" spans="1:29" hidden="1">
      <c r="A172" s="13" t="s">
        <v>284</v>
      </c>
      <c r="B172" s="51" t="str">
        <f>VLOOKUP(Yards25[[#This Row],[DEVELOPMENT]],Data[],2,FALSE)</f>
        <v>BRONX</v>
      </c>
      <c r="C172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72" s="51" t="str">
        <f>VLOOKUP(Yards25[[#This Row],[DEVELOPMENT]],Data[],52,FALSE)</f>
        <v>FEDERAL</v>
      </c>
      <c r="E172" s="50" t="str">
        <f>VLOOKUP(Yards25[[#This Row],[DEVELOPMENT]],Data[],8,FALSE)</f>
        <v>Zone 4</v>
      </c>
      <c r="F172" s="51" t="str">
        <f>VLOOKUP(Yards25[[#This Row],[DEVELOPMENT]],all[[DEVELOPMENT]:[MRST Ext. Comp. Priority]],6,FALSE)</f>
        <v>D</v>
      </c>
      <c r="G172" s="51" t="str">
        <f>VLOOKUP(Yards25[[#This Row],[DEVELOPMENT]],all[[DEVELOPMENT]:[MRST Ext. Comp. Priority]],13,FALSE)</f>
        <v>None</v>
      </c>
      <c r="H172" s="50">
        <f>IF(VLOOKUP(Yards25[[#This Row],[DEVELOPMENT]],Data[],9,FALSE)=0,5,VLOOKUP(Yards25[[#This Row],[DEVELOPMENT]],Data[],9,FALSE))</f>
        <v>5</v>
      </c>
      <c r="I172" s="51">
        <f>VLOOKUP(Yards25[[#This Row],[DEVELOPMENT]],Data[],33,FALSE)</f>
        <v>0</v>
      </c>
      <c r="J172" s="51">
        <f>VLOOKUP(Yards25[[#This Row],[DEVELOPMENT]],Data[],28,FALSE)</f>
        <v>0</v>
      </c>
      <c r="K172" s="51"/>
      <c r="L172" s="50"/>
      <c r="M172" s="51" t="str">
        <f ca="1">IFERROR(VLOOKUP(Yards25[[#This Row],[DEVELOPMENT]],Data[],4,FALSE),"")</f>
        <v/>
      </c>
      <c r="N172" s="51" t="str">
        <f ca="1">IF(Yards25[[#This Row],[RAD/PACT]]="","",IF(OR(Yards25[[#This Row],[RAD/PACT]]="2022-2025",Yards25[[#This Row],[RAD/PACT]]=2019,Yards25[[#This Row],[RAD/PACT]]="2020-2021"),"Yes",""))</f>
        <v/>
      </c>
      <c r="O172" s="51" t="str">
        <f ca="1">IFERROR(VLOOKUP(Yards25[[#This Row],[DEVELOPMENT]],ExtComp[],8,FALSE),"")</f>
        <v/>
      </c>
      <c r="P172" s="51"/>
      <c r="Q172" s="51"/>
      <c r="R172" s="51" t="str">
        <f>IF(ISBLANK(Yards25[[#This Row],[DSGN CALENDAR YEAR]]),"",Yards25[[#This Row],[DSGN CALENDAR YEAR]]+1)</f>
        <v/>
      </c>
      <c r="S172" s="51" t="str">
        <f>IF(ISBLANK(Yards25[[#This Row],[DSGN FISCAL YEAR]]),"",Yards25[[#This Row],[DSGN FISCAL YEAR]]+1)</f>
        <v/>
      </c>
      <c r="T172" s="51"/>
      <c r="U172" s="128">
        <f>Yards25[[#This Row],[Estimate]]*0.1</f>
        <v>0</v>
      </c>
      <c r="V172" s="47">
        <f>Yards25[[#This Row],[Estimate]]-Yards25[[#This Row],[Design Est.]]</f>
        <v>0</v>
      </c>
      <c r="W172" s="85"/>
      <c r="X172" s="142"/>
      <c r="Y172" s="1"/>
      <c r="Z172" s="1"/>
      <c r="AA172" s="51">
        <f ca="1">COUNTIF($X$5:Yards25[[#This Row],['# yards]],"&gt;0")</f>
        <v>7</v>
      </c>
      <c r="AB172" s="1">
        <f ca="1">IF(ISBLANK(Yards25[[#This Row],[DSGN CALENDAR YEAR]]),ROUNDDOWN(Yards25[[#This Row],[Count]]/20,0)+$AB$1,Yards25[[#This Row],[DSGN CALENDAR YEAR]])</f>
        <v>2022</v>
      </c>
      <c r="AC172" s="16">
        <f ca="1">Yards25[[#This Row],[est. DSGN Year]]+1</f>
        <v>2023</v>
      </c>
    </row>
    <row r="173" spans="1:29" hidden="1">
      <c r="A173" s="13" t="s">
        <v>286</v>
      </c>
      <c r="B173" s="51" t="str">
        <f>VLOOKUP(Yards25[[#This Row],[DEVELOPMENT]],Data[],2,FALSE)</f>
        <v>BRONX</v>
      </c>
      <c r="C17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73" s="51" t="str">
        <f>VLOOKUP(Yards25[[#This Row],[DEVELOPMENT]],Data[],52,FALSE)</f>
        <v>FEDERAL</v>
      </c>
      <c r="E173" s="50" t="str">
        <f>VLOOKUP(Yards25[[#This Row],[DEVELOPMENT]],Data[],8,FALSE)</f>
        <v>Zone 3</v>
      </c>
      <c r="F173" s="51" t="str">
        <f>VLOOKUP(Yards25[[#This Row],[DEVELOPMENT]],all[[DEVELOPMENT]:[MRST Ext. Comp. Priority]],6,FALSE)</f>
        <v>D</v>
      </c>
      <c r="G173" s="51">
        <f>VLOOKUP(Yards25[[#This Row],[DEVELOPMENT]],all[[DEVELOPMENT]:[MRST Ext. Comp. Priority]],13,FALSE)</f>
        <v>3</v>
      </c>
      <c r="H173" s="50">
        <f>IF(VLOOKUP(Yards25[[#This Row],[DEVELOPMENT]],Data[],9,FALSE)=0,5,VLOOKUP(Yards25[[#This Row],[DEVELOPMENT]],Data[],9,FALSE))</f>
        <v>5</v>
      </c>
      <c r="I173" s="51">
        <f>VLOOKUP(Yards25[[#This Row],[DEVELOPMENT]],Data[],33,FALSE)</f>
        <v>0</v>
      </c>
      <c r="J173" s="51">
        <f>VLOOKUP(Yards25[[#This Row],[DEVELOPMENT]],Data[],28,FALSE)</f>
        <v>0</v>
      </c>
      <c r="K173" s="51"/>
      <c r="L173" s="50"/>
      <c r="M173" s="51" t="str">
        <f ca="1">IFERROR(VLOOKUP(Yards25[[#This Row],[DEVELOPMENT]],Data[],4,FALSE),"")</f>
        <v/>
      </c>
      <c r="N173" s="51" t="str">
        <f ca="1">IF(Yards25[[#This Row],[RAD/PACT]]="","",IF(OR(Yards25[[#This Row],[RAD/PACT]]="2022-2025",Yards25[[#This Row],[RAD/PACT]]=2019,Yards25[[#This Row],[RAD/PACT]]="2020-2021"),"Yes",""))</f>
        <v/>
      </c>
      <c r="O173" s="51" t="str">
        <f ca="1">IFERROR(VLOOKUP(Yards25[[#This Row],[DEVELOPMENT]],ExtComp[],8,FALSE),"")</f>
        <v/>
      </c>
      <c r="P173" s="51"/>
      <c r="Q173" s="51"/>
      <c r="R173" s="51" t="str">
        <f>IF(ISBLANK(Yards25[[#This Row],[DSGN CALENDAR YEAR]]),"",Yards25[[#This Row],[DSGN CALENDAR YEAR]]+1)</f>
        <v/>
      </c>
      <c r="S173" s="51" t="str">
        <f>IF(ISBLANK(Yards25[[#This Row],[DSGN FISCAL YEAR]]),"",Yards25[[#This Row],[DSGN FISCAL YEAR]]+1)</f>
        <v/>
      </c>
      <c r="T173" s="51"/>
      <c r="U173" s="128">
        <f ca="1">Yards25[[#This Row],[Estimate]]*0.1</f>
        <v>0</v>
      </c>
      <c r="V173" s="47">
        <f ca="1">Yards25[[#This Row],[Estimate]]-Yards25[[#This Row],[Design Est.]]</f>
        <v>0</v>
      </c>
      <c r="W173" s="85">
        <f ca="1">(Yards25[[#This Row],['# yards]]*INDEX(UnitCosts[],MATCH(Yards25[[#This Row],[WORK TYPE]],UnitCosts[Work Type],0),2))*(1+((Yards25[[#This Row],[est. CONS Year]]-YEAR(TODAY()))*$W$3))</f>
        <v>0</v>
      </c>
      <c r="X173" s="142">
        <f>IF(ISNUMBER(SEARCH("LLC",Yards25[[#This Row],[PROGRAM]])),IF(Yards25[[#This Row],[RAD/PACT by 2025]]="yes",0,1),0)</f>
        <v>0</v>
      </c>
      <c r="Y173" s="1"/>
      <c r="Z173" s="1"/>
      <c r="AA173" s="51">
        <f ca="1">COUNTIF($X$5:Yards25[[#This Row],['# yards]],"&gt;0")</f>
        <v>7</v>
      </c>
      <c r="AB173" s="1">
        <f ca="1">IF(ISBLANK(Yards25[[#This Row],[DSGN CALENDAR YEAR]]),ROUNDDOWN(Yards25[[#This Row],[Count]]/20,0)+$AB$1,Yards25[[#This Row],[DSGN CALENDAR YEAR]])</f>
        <v>2022</v>
      </c>
      <c r="AC173" s="16">
        <f ca="1">Yards25[[#This Row],[est. DSGN Year]]+1</f>
        <v>2023</v>
      </c>
    </row>
    <row r="174" spans="1:29" hidden="1">
      <c r="A174" s="13" t="s">
        <v>146</v>
      </c>
      <c r="B174" s="51" t="str">
        <f>VLOOKUP(Yards25[[#This Row],[DEVELOPMENT]],Data[],2,FALSE)</f>
        <v>MANHATTAN</v>
      </c>
      <c r="C17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74" s="51" t="str">
        <f>VLOOKUP(Yards25[[#This Row],[DEVELOPMENT]],Data[],52,FALSE)</f>
        <v>FEDERAL</v>
      </c>
      <c r="E174" s="50">
        <f>VLOOKUP(Yards25[[#This Row],[DEVELOPMENT]],Data[],8,FALSE)</f>
        <v>0</v>
      </c>
      <c r="F174" s="51" t="str">
        <f>VLOOKUP(Yards25[[#This Row],[DEVELOPMENT]],all[[DEVELOPMENT]:[MRST Ext. Comp. Priority]],6,FALSE)</f>
        <v>D</v>
      </c>
      <c r="G174" s="51">
        <f>VLOOKUP(Yards25[[#This Row],[DEVELOPMENT]],all[[DEVELOPMENT]:[MRST Ext. Comp. Priority]],13,FALSE)</f>
        <v>3</v>
      </c>
      <c r="H174" s="50">
        <f>IF(VLOOKUP(Yards25[[#This Row],[DEVELOPMENT]],Data[],9,FALSE)=0,5,VLOOKUP(Yards25[[#This Row],[DEVELOPMENT]],Data[],9,FALSE))</f>
        <v>5</v>
      </c>
      <c r="I174" s="51">
        <f>VLOOKUP(Yards25[[#This Row],[DEVELOPMENT]],Data[],33,FALSE)</f>
        <v>2</v>
      </c>
      <c r="J174" s="51">
        <f>VLOOKUP(Yards25[[#This Row],[DEVELOPMENT]],Data[],28,FALSE)</f>
        <v>0</v>
      </c>
      <c r="K174" s="51"/>
      <c r="L174" s="50"/>
      <c r="M174" s="51" t="str">
        <f ca="1">IFERROR(VLOOKUP(Yards25[[#This Row],[DEVELOPMENT]],Data[],4,FALSE),"")</f>
        <v/>
      </c>
      <c r="N174" s="51" t="str">
        <f ca="1">IF(Yards25[[#This Row],[RAD/PACT]]="","",IF(OR(Yards25[[#This Row],[RAD/PACT]]="2022-2025",Yards25[[#This Row],[RAD/PACT]]=2019,Yards25[[#This Row],[RAD/PACT]]="2020-2021"),"Yes",""))</f>
        <v/>
      </c>
      <c r="O174" s="51">
        <f ca="1">IFERROR(VLOOKUP(Yards25[[#This Row],[DEVELOPMENT]],ExtComp[],8,FALSE),"")</f>
        <v>5</v>
      </c>
      <c r="P174" s="51"/>
      <c r="Q174" s="51"/>
      <c r="R174" s="51" t="str">
        <f>IF(ISBLANK(Yards25[[#This Row],[DSGN CALENDAR YEAR]]),"",Yards25[[#This Row],[DSGN CALENDAR YEAR]]+1)</f>
        <v/>
      </c>
      <c r="S174" s="51" t="str">
        <f>IF(ISBLANK(Yards25[[#This Row],[DSGN FISCAL YEAR]]),"",Yards25[[#This Row],[DSGN FISCAL YEAR]]+1)</f>
        <v/>
      </c>
      <c r="T174" s="51"/>
      <c r="U174" s="128">
        <f ca="1">Yards25[[#This Row],[Estimate]]*0.1</f>
        <v>0</v>
      </c>
      <c r="V174" s="47">
        <f ca="1">Yards25[[#This Row],[Estimate]]-Yards25[[#This Row],[Design Est.]]</f>
        <v>0</v>
      </c>
      <c r="W174" s="85">
        <f ca="1">(Yards25[[#This Row],['# yards]]*INDEX(UnitCosts[],MATCH(Yards25[[#This Row],[WORK TYPE]],UnitCosts[Work Type],0),2))*(1+((Yards25[[#This Row],[est. CONS Year]]-YEAR(TODAY()))*$W$3))</f>
        <v>0</v>
      </c>
      <c r="X174" s="142">
        <f>IF(ISNUMBER(SEARCH("LLC",Yards25[[#This Row],[PROGRAM]])),IF(Yards25[[#This Row],[RAD/PACT by 2025]]="yes",0,1),0)</f>
        <v>0</v>
      </c>
      <c r="Y174" s="1"/>
      <c r="Z174" s="1"/>
      <c r="AA174" s="51">
        <f ca="1">COUNTIF($X$5:Yards25[[#This Row],['# yards]],"&gt;0")</f>
        <v>7</v>
      </c>
      <c r="AB174" s="1">
        <f ca="1">IF(ISBLANK(Yards25[[#This Row],[DSGN CALENDAR YEAR]]),ROUNDDOWN(Yards25[[#This Row],[Count]]/20,0)+$AB$1,Yards25[[#This Row],[DSGN CALENDAR YEAR]])</f>
        <v>2022</v>
      </c>
      <c r="AC174" s="16">
        <f ca="1">Yards25[[#This Row],[est. DSGN Year]]+1</f>
        <v>2023</v>
      </c>
    </row>
    <row r="175" spans="1:29" hidden="1">
      <c r="A175" s="13" t="s">
        <v>287</v>
      </c>
      <c r="B175" s="51" t="str">
        <f>VLOOKUP(Yards25[[#This Row],[DEVELOPMENT]],Data[],2,FALSE)</f>
        <v>BRONX</v>
      </c>
      <c r="C17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75" s="51" t="str">
        <f>VLOOKUP(Yards25[[#This Row],[DEVELOPMENT]],Data[],52,FALSE)</f>
        <v>FEDERAL</v>
      </c>
      <c r="E175" s="50">
        <f>VLOOKUP(Yards25[[#This Row],[DEVELOPMENT]],Data[],8,FALSE)</f>
        <v>0</v>
      </c>
      <c r="F175" s="51" t="str">
        <f>VLOOKUP(Yards25[[#This Row],[DEVELOPMENT]],all[[DEVELOPMENT]:[MRST Ext. Comp. Priority]],6,FALSE)</f>
        <v>D</v>
      </c>
      <c r="G175" s="51">
        <f>VLOOKUP(Yards25[[#This Row],[DEVELOPMENT]],all[[DEVELOPMENT]:[MRST Ext. Comp. Priority]],13,FALSE)</f>
        <v>3</v>
      </c>
      <c r="H175" s="50">
        <f>IF(VLOOKUP(Yards25[[#This Row],[DEVELOPMENT]],Data[],9,FALSE)=0,5,VLOOKUP(Yards25[[#This Row],[DEVELOPMENT]],Data[],9,FALSE))</f>
        <v>5</v>
      </c>
      <c r="I175" s="51">
        <f>VLOOKUP(Yards25[[#This Row],[DEVELOPMENT]],Data[],33,FALSE)</f>
        <v>0</v>
      </c>
      <c r="J175" s="51">
        <f>VLOOKUP(Yards25[[#This Row],[DEVELOPMENT]],Data[],28,FALSE)</f>
        <v>0</v>
      </c>
      <c r="K175" s="51"/>
      <c r="L175" s="50"/>
      <c r="M175" s="51" t="str">
        <f ca="1">IFERROR(VLOOKUP(Yards25[[#This Row],[DEVELOPMENT]],Data[],4,FALSE),"")</f>
        <v/>
      </c>
      <c r="N175" s="51" t="str">
        <f ca="1">IF(Yards25[[#This Row],[RAD/PACT]]="","",IF(OR(Yards25[[#This Row],[RAD/PACT]]="2022-2025",Yards25[[#This Row],[RAD/PACT]]=2019,Yards25[[#This Row],[RAD/PACT]]="2020-2021"),"Yes",""))</f>
        <v/>
      </c>
      <c r="O175" s="51" t="str">
        <f ca="1">IFERROR(VLOOKUP(Yards25[[#This Row],[DEVELOPMENT]],ExtComp[],8,FALSE),"")</f>
        <v/>
      </c>
      <c r="P175" s="51"/>
      <c r="Q175" s="51"/>
      <c r="R175" s="51" t="str">
        <f>IF(ISBLANK(Yards25[[#This Row],[DSGN CALENDAR YEAR]]),"",Yards25[[#This Row],[DSGN CALENDAR YEAR]]+1)</f>
        <v/>
      </c>
      <c r="S175" s="51" t="str">
        <f>IF(ISBLANK(Yards25[[#This Row],[DSGN FISCAL YEAR]]),"",Yards25[[#This Row],[DSGN FISCAL YEAR]]+1)</f>
        <v/>
      </c>
      <c r="T175" s="51"/>
      <c r="U175" s="128">
        <f ca="1">Yards25[[#This Row],[Estimate]]*0.1</f>
        <v>0</v>
      </c>
      <c r="V175" s="47">
        <f ca="1">Yards25[[#This Row],[Estimate]]-Yards25[[#This Row],[Design Est.]]</f>
        <v>0</v>
      </c>
      <c r="W175" s="85">
        <f ca="1">(Yards25[[#This Row],['# yards]]*INDEX(UnitCosts[],MATCH(Yards25[[#This Row],[WORK TYPE]],UnitCosts[Work Type],0),2))*(1+((Yards25[[#This Row],[est. CONS Year]]-YEAR(TODAY()))*$W$3))</f>
        <v>0</v>
      </c>
      <c r="X175" s="142">
        <f>IF(ISNUMBER(SEARCH("LLC",Yards25[[#This Row],[PROGRAM]])),IF(Yards25[[#This Row],[RAD/PACT by 2025]]="yes",0,1),0)</f>
        <v>0</v>
      </c>
      <c r="Y175" s="1"/>
      <c r="Z175" s="1"/>
      <c r="AA175" s="51">
        <f ca="1">COUNTIF($X$5:Yards25[[#This Row],['# yards]],"&gt;0")</f>
        <v>7</v>
      </c>
      <c r="AB175" s="1">
        <f ca="1">IF(ISBLANK(Yards25[[#This Row],[DSGN CALENDAR YEAR]]),ROUNDDOWN(Yards25[[#This Row],[Count]]/20,0)+$AB$1,Yards25[[#This Row],[DSGN CALENDAR YEAR]])</f>
        <v>2022</v>
      </c>
      <c r="AC175" s="16">
        <f ca="1">Yards25[[#This Row],[est. DSGN Year]]+1</f>
        <v>2023</v>
      </c>
    </row>
    <row r="176" spans="1:29" hidden="1">
      <c r="A176" s="13" t="s">
        <v>289</v>
      </c>
      <c r="B176" s="51" t="str">
        <f>VLOOKUP(Yards25[[#This Row],[DEVELOPMENT]],Data[],2,FALSE)</f>
        <v>BRONX</v>
      </c>
      <c r="C176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76" s="51" t="str">
        <f>VLOOKUP(Yards25[[#This Row],[DEVELOPMENT]],Data[],52,FALSE)</f>
        <v>FEDERAL</v>
      </c>
      <c r="E176" s="50">
        <f>VLOOKUP(Yards25[[#This Row],[DEVELOPMENT]],Data[],8,FALSE)</f>
        <v>0</v>
      </c>
      <c r="F176" s="51" t="str">
        <f>VLOOKUP(Yards25[[#This Row],[DEVELOPMENT]],all[[DEVELOPMENT]:[MRST Ext. Comp. Priority]],6,FALSE)</f>
        <v>D</v>
      </c>
      <c r="G176" s="51">
        <f>VLOOKUP(Yards25[[#This Row],[DEVELOPMENT]],all[[DEVELOPMENT]:[MRST Ext. Comp. Priority]],13,FALSE)</f>
        <v>2</v>
      </c>
      <c r="H176" s="50">
        <f>IF(VLOOKUP(Yards25[[#This Row],[DEVELOPMENT]],Data[],9,FALSE)=0,5,VLOOKUP(Yards25[[#This Row],[DEVELOPMENT]],Data[],9,FALSE))</f>
        <v>5</v>
      </c>
      <c r="I176" s="51">
        <f>VLOOKUP(Yards25[[#This Row],[DEVELOPMENT]],Data[],33,FALSE)</f>
        <v>0</v>
      </c>
      <c r="J176" s="51">
        <f>VLOOKUP(Yards25[[#This Row],[DEVELOPMENT]],Data[],28,FALSE)</f>
        <v>0</v>
      </c>
      <c r="K176" s="51"/>
      <c r="L176" s="50"/>
      <c r="M176" s="51" t="str">
        <f ca="1">IFERROR(VLOOKUP(Yards25[[#This Row],[DEVELOPMENT]],Data[],4,FALSE),"")</f>
        <v/>
      </c>
      <c r="N176" s="51" t="str">
        <f ca="1">IF(Yards25[[#This Row],[RAD/PACT]]="","",IF(OR(Yards25[[#This Row],[RAD/PACT]]="2022-2025",Yards25[[#This Row],[RAD/PACT]]=2019,Yards25[[#This Row],[RAD/PACT]]="2020-2021"),"Yes",""))</f>
        <v/>
      </c>
      <c r="O176" s="51" t="str">
        <f ca="1">IFERROR(VLOOKUP(Yards25[[#This Row],[DEVELOPMENT]],ExtComp[],8,FALSE),"")</f>
        <v/>
      </c>
      <c r="P176" s="51"/>
      <c r="Q176" s="51"/>
      <c r="R176" s="51" t="str">
        <f>IF(ISBLANK(Yards25[[#This Row],[DSGN CALENDAR YEAR]]),"",Yards25[[#This Row],[DSGN CALENDAR YEAR]]+1)</f>
        <v/>
      </c>
      <c r="S176" s="51" t="str">
        <f>IF(ISBLANK(Yards25[[#This Row],[DSGN FISCAL YEAR]]),"",Yards25[[#This Row],[DSGN FISCAL YEAR]]+1)</f>
        <v/>
      </c>
      <c r="T176" s="51"/>
      <c r="U176" s="128">
        <f ca="1">Yards25[[#This Row],[Estimate]]*0.1</f>
        <v>0</v>
      </c>
      <c r="V176" s="47">
        <f ca="1">Yards25[[#This Row],[Estimate]]-Yards25[[#This Row],[Design Est.]]</f>
        <v>0</v>
      </c>
      <c r="W176" s="85">
        <f ca="1">(Yards25[[#This Row],['# yards]]*INDEX(UnitCosts[],MATCH(Yards25[[#This Row],[WORK TYPE]],UnitCosts[Work Type],0),2))*(1+((Yards25[[#This Row],[est. CONS Year]]-YEAR(TODAY()))*$W$3))</f>
        <v>0</v>
      </c>
      <c r="X176" s="142">
        <f>IF(ISNUMBER(SEARCH("LLC",Yards25[[#This Row],[PROGRAM]])),IF(Yards25[[#This Row],[RAD/PACT by 2025]]="yes",0,1),0)</f>
        <v>0</v>
      </c>
      <c r="Y176" s="1"/>
      <c r="Z176" s="1"/>
      <c r="AA176" s="51">
        <f ca="1">COUNTIF($X$5:Yards25[[#This Row],['# yards]],"&gt;0")</f>
        <v>7</v>
      </c>
      <c r="AB176" s="1">
        <f ca="1">IF(ISBLANK(Yards25[[#This Row],[DSGN CALENDAR YEAR]]),ROUNDDOWN(Yards25[[#This Row],[Count]]/20,0)+$AB$1,Yards25[[#This Row],[DSGN CALENDAR YEAR]])</f>
        <v>2022</v>
      </c>
      <c r="AC176" s="16">
        <f ca="1">Yards25[[#This Row],[est. DSGN Year]]+1</f>
        <v>2023</v>
      </c>
    </row>
    <row r="177" spans="1:29" hidden="1">
      <c r="A177" s="13" t="s">
        <v>40</v>
      </c>
      <c r="B177" s="51" t="str">
        <f>VLOOKUP(Yards25[[#This Row],[DEVELOPMENT]],Data[],2,FALSE)</f>
        <v>BRONX</v>
      </c>
      <c r="C17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77" s="51" t="str">
        <f>VLOOKUP(Yards25[[#This Row],[DEVELOPMENT]],Data[],52,FALSE)</f>
        <v>FEDERAL</v>
      </c>
      <c r="E177" s="50" t="str">
        <f>VLOOKUP(Yards25[[#This Row],[DEVELOPMENT]],Data[],8,FALSE)</f>
        <v>Zone 1</v>
      </c>
      <c r="F177" s="51" t="str">
        <f>VLOOKUP(Yards25[[#This Row],[DEVELOPMENT]],all[[DEVELOPMENT]:[MRST Ext. Comp. Priority]],6,FALSE)</f>
        <v>None</v>
      </c>
      <c r="G177" s="51">
        <f>VLOOKUP(Yards25[[#This Row],[DEVELOPMENT]],all[[DEVELOPMENT]:[MRST Ext. Comp. Priority]],13,FALSE)</f>
        <v>3</v>
      </c>
      <c r="H177" s="50">
        <f>IF(VLOOKUP(Yards25[[#This Row],[DEVELOPMENT]],Data[],9,FALSE)=0,5,VLOOKUP(Yards25[[#This Row],[DEVELOPMENT]],Data[],9,FALSE))</f>
        <v>3</v>
      </c>
      <c r="I177" s="51">
        <f>VLOOKUP(Yards25[[#This Row],[DEVELOPMENT]],Data[],33,FALSE)</f>
        <v>3</v>
      </c>
      <c r="J177" s="51">
        <f>VLOOKUP(Yards25[[#This Row],[DEVELOPMENT]],Data[],28,FALSE)</f>
        <v>0</v>
      </c>
      <c r="K177" s="51"/>
      <c r="L177" s="50"/>
      <c r="M177" s="51" t="str">
        <f ca="1">IFERROR(VLOOKUP(Yards25[[#This Row],[DEVELOPMENT]],Data[],4,FALSE),"")</f>
        <v/>
      </c>
      <c r="N177" s="51" t="str">
        <f ca="1">IF(Yards25[[#This Row],[RAD/PACT]]="","",IF(OR(Yards25[[#This Row],[RAD/PACT]]="2022-2025",Yards25[[#This Row],[RAD/PACT]]=2019,Yards25[[#This Row],[RAD/PACT]]="2020-2021"),"Yes",""))</f>
        <v/>
      </c>
      <c r="O177" s="1">
        <f ca="1">IFERROR(VLOOKUP(Yards25[[#This Row],[DEVELOPMENT]],ExtComp[],8,FALSE),"")</f>
        <v>0</v>
      </c>
      <c r="P177" s="1"/>
      <c r="Q177" s="1"/>
      <c r="R177" s="1" t="str">
        <f>IF(ISBLANK(Yards25[[#This Row],[DSGN CALENDAR YEAR]]),"",Yards25[[#This Row],[DSGN CALENDAR YEAR]]+1)</f>
        <v/>
      </c>
      <c r="S177" s="51" t="str">
        <f>IF(ISBLANK(Yards25[[#This Row],[DSGN FISCAL YEAR]]),"",Yards25[[#This Row],[DSGN FISCAL YEAR]]+1)</f>
        <v/>
      </c>
      <c r="T177" s="1"/>
      <c r="U177" s="128">
        <f ca="1">Yards25[[#This Row],[Estimate]]*0.1</f>
        <v>0</v>
      </c>
      <c r="V177" s="47">
        <f ca="1">Yards25[[#This Row],[Estimate]]-Yards25[[#This Row],[Design Est.]]</f>
        <v>0</v>
      </c>
      <c r="W177" s="85">
        <f ca="1">(Yards25[[#This Row],['# yards]]*INDEX(UnitCosts[],MATCH(Yards25[[#This Row],[WORK TYPE]],UnitCosts[Work Type],0),2))*(1+((Yards25[[#This Row],[est. CONS Year]]-YEAR(TODAY()))*$W$3))</f>
        <v>0</v>
      </c>
      <c r="X177" s="142">
        <f>IF(ISNUMBER(SEARCH("LLC",Yards25[[#This Row],[PROGRAM]])),IF(Yards25[[#This Row],[RAD/PACT by 2025]]="yes",0,1),0)</f>
        <v>0</v>
      </c>
      <c r="Y177" s="1"/>
      <c r="Z177" s="1"/>
      <c r="AA177" s="51">
        <f ca="1">COUNTIF($X$5:Yards25[[#This Row],['# yards]],"&gt;0")</f>
        <v>7</v>
      </c>
      <c r="AB177" s="1">
        <f ca="1">IF(ISBLANK(Yards25[[#This Row],[DSGN CALENDAR YEAR]]),ROUNDDOWN(Yards25[[#This Row],[Count]]/20,0)+$AB$1,Yards25[[#This Row],[DSGN CALENDAR YEAR]])</f>
        <v>2022</v>
      </c>
      <c r="AC177" s="16">
        <f ca="1">Yards25[[#This Row],[est. DSGN Year]]+1</f>
        <v>2023</v>
      </c>
    </row>
    <row r="178" spans="1:29" hidden="1">
      <c r="A178" s="13" t="s">
        <v>59</v>
      </c>
      <c r="B178" s="51" t="str">
        <f>VLOOKUP(Yards25[[#This Row],[DEVELOPMENT]],Data[],2,FALSE)</f>
        <v>MANHATTAN</v>
      </c>
      <c r="C17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78" s="51" t="str">
        <f>VLOOKUP(Yards25[[#This Row],[DEVELOPMENT]],Data[],52,FALSE)</f>
        <v>FEDERAL</v>
      </c>
      <c r="E178" s="50" t="str">
        <f>VLOOKUP(Yards25[[#This Row],[DEVELOPMENT]],Data[],8,FALSE)</f>
        <v>Zone 1</v>
      </c>
      <c r="F178" s="51" t="str">
        <f>VLOOKUP(Yards25[[#This Row],[DEVELOPMENT]],all[[DEVELOPMENT]:[MRST Ext. Comp. Priority]],6,FALSE)</f>
        <v>None</v>
      </c>
      <c r="G178" s="51">
        <f>VLOOKUP(Yards25[[#This Row],[DEVELOPMENT]],all[[DEVELOPMENT]:[MRST Ext. Comp. Priority]],13,FALSE)</f>
        <v>3</v>
      </c>
      <c r="H178" s="50">
        <f>IF(VLOOKUP(Yards25[[#This Row],[DEVELOPMENT]],Data[],9,FALSE)=0,5,VLOOKUP(Yards25[[#This Row],[DEVELOPMENT]],Data[],9,FALSE))</f>
        <v>4</v>
      </c>
      <c r="I178" s="51">
        <f>VLOOKUP(Yards25[[#This Row],[DEVELOPMENT]],Data[],33,FALSE)</f>
        <v>0</v>
      </c>
      <c r="J178" s="51">
        <f>VLOOKUP(Yards25[[#This Row],[DEVELOPMENT]],Data[],28,FALSE)</f>
        <v>0</v>
      </c>
      <c r="K178" s="51"/>
      <c r="L178" s="50"/>
      <c r="M178" s="51" t="str">
        <f ca="1">IFERROR(VLOOKUP(Yards25[[#This Row],[DEVELOPMENT]],Data[],4,FALSE),"")</f>
        <v>2026+</v>
      </c>
      <c r="N178" s="51" t="str">
        <f ca="1">IF(Yards25[[#This Row],[RAD/PACT]]="","",IF(OR(Yards25[[#This Row],[RAD/PACT]]="2022-2025",Yards25[[#This Row],[RAD/PACT]]=2019,Yards25[[#This Row],[RAD/PACT]]="2020-2021"),"Yes",""))</f>
        <v/>
      </c>
      <c r="O178" s="51" t="str">
        <f ca="1">IFERROR(VLOOKUP(Yards25[[#This Row],[DEVELOPMENT]],ExtComp[],8,FALSE),"")</f>
        <v/>
      </c>
      <c r="P178" s="51"/>
      <c r="Q178" s="51"/>
      <c r="R178" s="51" t="str">
        <f>IF(ISBLANK(Yards25[[#This Row],[DSGN CALENDAR YEAR]]),"",Yards25[[#This Row],[DSGN CALENDAR YEAR]]+1)</f>
        <v/>
      </c>
      <c r="S178" s="51" t="str">
        <f>IF(ISBLANK(Yards25[[#This Row],[DSGN FISCAL YEAR]]),"",Yards25[[#This Row],[DSGN FISCAL YEAR]]+1)</f>
        <v/>
      </c>
      <c r="T178" s="51"/>
      <c r="U178" s="128">
        <f ca="1">Yards25[[#This Row],[Estimate]]*0.1</f>
        <v>0</v>
      </c>
      <c r="V178" s="47">
        <f ca="1">Yards25[[#This Row],[Estimate]]-Yards25[[#This Row],[Design Est.]]</f>
        <v>0</v>
      </c>
      <c r="W178" s="85">
        <f ca="1">(Yards25[[#This Row],['# yards]]*INDEX(UnitCosts[],MATCH(Yards25[[#This Row],[WORK TYPE]],UnitCosts[Work Type],0),2))*(1+((Yards25[[#This Row],[est. CONS Year]]-YEAR(TODAY()))*$W$3))</f>
        <v>0</v>
      </c>
      <c r="X178" s="142">
        <f>IF(ISNUMBER(SEARCH("LLC",Yards25[[#This Row],[PROGRAM]])),IF(Yards25[[#This Row],[RAD/PACT by 2025]]="yes",0,1),0)</f>
        <v>0</v>
      </c>
      <c r="Y178" s="1"/>
      <c r="Z178" s="1"/>
      <c r="AA178" s="51">
        <f ca="1">COUNTIF($X$5:Yards25[[#This Row],['# yards]],"&gt;0")</f>
        <v>7</v>
      </c>
      <c r="AB178" s="1">
        <f ca="1">IF(ISBLANK(Yards25[[#This Row],[DSGN CALENDAR YEAR]]),ROUNDDOWN(Yards25[[#This Row],[Count]]/20,0)+$AB$1,Yards25[[#This Row],[DSGN CALENDAR YEAR]])</f>
        <v>2022</v>
      </c>
      <c r="AC178" s="16">
        <f ca="1">Yards25[[#This Row],[est. DSGN Year]]+1</f>
        <v>2023</v>
      </c>
    </row>
    <row r="179" spans="1:29" hidden="1">
      <c r="A179" s="13" t="s">
        <v>79</v>
      </c>
      <c r="B179" s="51" t="str">
        <f>VLOOKUP(Yards25[[#This Row],[DEVELOPMENT]],Data[],2,FALSE)</f>
        <v>MANHATTAN</v>
      </c>
      <c r="C179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79" s="51" t="str">
        <f>VLOOKUP(Yards25[[#This Row],[DEVELOPMENT]],Data[],52,FALSE)</f>
        <v>FEDERAL</v>
      </c>
      <c r="E179" s="50" t="str">
        <f>VLOOKUP(Yards25[[#This Row],[DEVELOPMENT]],Data[],8,FALSE)</f>
        <v>Zone 3</v>
      </c>
      <c r="F179" s="51" t="str">
        <f>VLOOKUP(Yards25[[#This Row],[DEVELOPMENT]],all[[DEVELOPMENT]:[MRST Ext. Comp. Priority]],6,FALSE)</f>
        <v>None</v>
      </c>
      <c r="G179" s="51">
        <f>VLOOKUP(Yards25[[#This Row],[DEVELOPMENT]],all[[DEVELOPMENT]:[MRST Ext. Comp. Priority]],13,FALSE)</f>
        <v>4</v>
      </c>
      <c r="H179" s="50">
        <f>IF(VLOOKUP(Yards25[[#This Row],[DEVELOPMENT]],Data[],9,FALSE)=0,5,VLOOKUP(Yards25[[#This Row],[DEVELOPMENT]],Data[],9,FALSE))</f>
        <v>4</v>
      </c>
      <c r="I179" s="51">
        <f>VLOOKUP(Yards25[[#This Row],[DEVELOPMENT]],Data[],33,FALSE)</f>
        <v>0</v>
      </c>
      <c r="J179" s="51">
        <f>VLOOKUP(Yards25[[#This Row],[DEVELOPMENT]],Data[],28,FALSE)</f>
        <v>0</v>
      </c>
      <c r="K179" s="51"/>
      <c r="L179" s="50"/>
      <c r="M179" s="51" t="str">
        <f ca="1">IFERROR(VLOOKUP(Yards25[[#This Row],[DEVELOPMENT]],Data[],4,FALSE),"")</f>
        <v>2020-2021</v>
      </c>
      <c r="N179" s="51" t="str">
        <f ca="1">IF(Yards25[[#This Row],[RAD/PACT]]="","",IF(OR(Yards25[[#This Row],[RAD/PACT]]="2022-2025",Yards25[[#This Row],[RAD/PACT]]=2019,Yards25[[#This Row],[RAD/PACT]]="2020-2021"),"Yes",""))</f>
        <v>Yes</v>
      </c>
      <c r="O179" s="51" t="str">
        <f ca="1">IFERROR(VLOOKUP(Yards25[[#This Row],[DEVELOPMENT]],ExtComp[],8,FALSE),"")</f>
        <v/>
      </c>
      <c r="P179" s="51"/>
      <c r="Q179" s="51"/>
      <c r="R179" s="51" t="str">
        <f>IF(ISBLANK(Yards25[[#This Row],[DSGN CALENDAR YEAR]]),"",Yards25[[#This Row],[DSGN CALENDAR YEAR]]+1)</f>
        <v/>
      </c>
      <c r="S179" s="51" t="str">
        <f>IF(ISBLANK(Yards25[[#This Row],[DSGN FISCAL YEAR]]),"",Yards25[[#This Row],[DSGN FISCAL YEAR]]+1)</f>
        <v/>
      </c>
      <c r="T179" s="51"/>
      <c r="U179" s="128">
        <f ca="1">Yards25[[#This Row],[Estimate]]*0.1</f>
        <v>0</v>
      </c>
      <c r="V179" s="47">
        <f ca="1">Yards25[[#This Row],[Estimate]]-Yards25[[#This Row],[Design Est.]]</f>
        <v>0</v>
      </c>
      <c r="W179" s="85">
        <f ca="1">(Yards25[[#This Row],['# yards]]*INDEX(UnitCosts[],MATCH(Yards25[[#This Row],[WORK TYPE]],UnitCosts[Work Type],0),2))*(1+((Yards25[[#This Row],[est. CONS Year]]-YEAR(TODAY()))*$W$3))</f>
        <v>0</v>
      </c>
      <c r="X179" s="142">
        <f>IF(ISNUMBER(SEARCH("LLC",Yards25[[#This Row],[PROGRAM]])),IF(Yards25[[#This Row],[RAD/PACT by 2025]]="yes",0,1),0)</f>
        <v>0</v>
      </c>
      <c r="Y179" s="1"/>
      <c r="Z179" s="1"/>
      <c r="AA179" s="51">
        <f ca="1">COUNTIF($X$5:Yards25[[#This Row],['# yards]],"&gt;0")</f>
        <v>7</v>
      </c>
      <c r="AB179" s="1">
        <f ca="1">IF(ISBLANK(Yards25[[#This Row],[DSGN CALENDAR YEAR]]),ROUNDDOWN(Yards25[[#This Row],[Count]]/20,0)+$AB$1,Yards25[[#This Row],[DSGN CALENDAR YEAR]])</f>
        <v>2022</v>
      </c>
      <c r="AC179" s="16">
        <f ca="1">Yards25[[#This Row],[est. DSGN Year]]+1</f>
        <v>2023</v>
      </c>
    </row>
    <row r="180" spans="1:29" hidden="1">
      <c r="A180" s="13" t="s">
        <v>42</v>
      </c>
      <c r="B180" s="51" t="str">
        <f>VLOOKUP(Yards25[[#This Row],[DEVELOPMENT]],Data[],2,FALSE)</f>
        <v>BROOKLYN</v>
      </c>
      <c r="C180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80" s="51" t="str">
        <f>VLOOKUP(Yards25[[#This Row],[DEVELOPMENT]],Data[],52,FALSE)</f>
        <v>FEDERAL</v>
      </c>
      <c r="E180" s="50" t="str">
        <f>VLOOKUP(Yards25[[#This Row],[DEVELOPMENT]],Data[],8,FALSE)</f>
        <v>Zone 1</v>
      </c>
      <c r="F180" s="51" t="str">
        <f>VLOOKUP(Yards25[[#This Row],[DEVELOPMENT]],all[[DEVELOPMENT]:[MRST Ext. Comp. Priority]],6,FALSE)</f>
        <v>None</v>
      </c>
      <c r="G180" s="51">
        <f>VLOOKUP(Yards25[[#This Row],[DEVELOPMENT]],all[[DEVELOPMENT]:[MRST Ext. Comp. Priority]],13,FALSE)</f>
        <v>2</v>
      </c>
      <c r="H180" s="50">
        <f>IF(VLOOKUP(Yards25[[#This Row],[DEVELOPMENT]],Data[],9,FALSE)=0,5,VLOOKUP(Yards25[[#This Row],[DEVELOPMENT]],Data[],9,FALSE))</f>
        <v>4</v>
      </c>
      <c r="I180" s="51">
        <f>VLOOKUP(Yards25[[#This Row],[DEVELOPMENT]],Data[],33,FALSE)</f>
        <v>0</v>
      </c>
      <c r="J180" s="51">
        <f>VLOOKUP(Yards25[[#This Row],[DEVELOPMENT]],Data[],28,FALSE)</f>
        <v>0</v>
      </c>
      <c r="K180" s="51"/>
      <c r="L180" s="50"/>
      <c r="M180" s="51" t="str">
        <f ca="1">IFERROR(VLOOKUP(Yards25[[#This Row],[DEVELOPMENT]],Data[],4,FALSE),"")</f>
        <v/>
      </c>
      <c r="N180" s="51" t="str">
        <f ca="1">IF(Yards25[[#This Row],[RAD/PACT]]="","",IF(OR(Yards25[[#This Row],[RAD/PACT]]="2022-2025",Yards25[[#This Row],[RAD/PACT]]=2019,Yards25[[#This Row],[RAD/PACT]]="2020-2021"),"Yes",""))</f>
        <v/>
      </c>
      <c r="O180" s="51">
        <f ca="1">IFERROR(VLOOKUP(Yards25[[#This Row],[DEVELOPMENT]],ExtComp[],8,FALSE),"")</f>
        <v>1</v>
      </c>
      <c r="P180" s="51"/>
      <c r="Q180" s="51"/>
      <c r="R180" s="51" t="str">
        <f>IF(ISBLANK(Yards25[[#This Row],[DSGN CALENDAR YEAR]]),"",Yards25[[#This Row],[DSGN CALENDAR YEAR]]+1)</f>
        <v/>
      </c>
      <c r="S180" s="51" t="str">
        <f>IF(ISBLANK(Yards25[[#This Row],[DSGN FISCAL YEAR]]),"",Yards25[[#This Row],[DSGN FISCAL YEAR]]+1)</f>
        <v/>
      </c>
      <c r="T180" s="51"/>
      <c r="U180" s="128">
        <f ca="1">Yards25[[#This Row],[Estimate]]*0.1</f>
        <v>0</v>
      </c>
      <c r="V180" s="47">
        <f ca="1">Yards25[[#This Row],[Estimate]]-Yards25[[#This Row],[Design Est.]]</f>
        <v>0</v>
      </c>
      <c r="W180" s="85">
        <f ca="1">(Yards25[[#This Row],['# yards]]*INDEX(UnitCosts[],MATCH(Yards25[[#This Row],[WORK TYPE]],UnitCosts[Work Type],0),2))*(1+((Yards25[[#This Row],[est. CONS Year]]-YEAR(TODAY()))*$W$3))</f>
        <v>0</v>
      </c>
      <c r="X180" s="142">
        <f>IF(ISNUMBER(SEARCH("LLC",Yards25[[#This Row],[PROGRAM]])),IF(Yards25[[#This Row],[RAD/PACT by 2025]]="yes",0,1),0)</f>
        <v>0</v>
      </c>
      <c r="Y180" s="1"/>
      <c r="Z180" s="1"/>
      <c r="AA180" s="51">
        <f ca="1">COUNTIF($X$5:Yards25[[#This Row],['# yards]],"&gt;0")</f>
        <v>7</v>
      </c>
      <c r="AB180" s="1">
        <f ca="1">IF(ISBLANK(Yards25[[#This Row],[DSGN CALENDAR YEAR]]),ROUNDDOWN(Yards25[[#This Row],[Count]]/20,0)+$AB$1,Yards25[[#This Row],[DSGN CALENDAR YEAR]])</f>
        <v>2022</v>
      </c>
      <c r="AC180" s="16">
        <f ca="1">Yards25[[#This Row],[est. DSGN Year]]+1</f>
        <v>2023</v>
      </c>
    </row>
    <row r="181" spans="1:29" hidden="1">
      <c r="A181" s="13" t="s">
        <v>98</v>
      </c>
      <c r="B181" s="51" t="str">
        <f>VLOOKUP(Yards25[[#This Row],[DEVELOPMENT]],Data[],2,FALSE)</f>
        <v>BRONX</v>
      </c>
      <c r="C18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81" s="51" t="str">
        <f>VLOOKUP(Yards25[[#This Row],[DEVELOPMENT]],Data[],52,FALSE)</f>
        <v>FEDERAL</v>
      </c>
      <c r="E181" s="50" t="str">
        <f>VLOOKUP(Yards25[[#This Row],[DEVELOPMENT]],Data[],8,FALSE)</f>
        <v>Zone 3</v>
      </c>
      <c r="F181" s="51" t="str">
        <f>VLOOKUP(Yards25[[#This Row],[DEVELOPMENT]],all[[DEVELOPMENT]:[MRST Ext. Comp. Priority]],6,FALSE)</f>
        <v>None</v>
      </c>
      <c r="G181" s="51">
        <f>VLOOKUP(Yards25[[#This Row],[DEVELOPMENT]],all[[DEVELOPMENT]:[MRST Ext. Comp. Priority]],13,FALSE)</f>
        <v>2</v>
      </c>
      <c r="H181" s="50">
        <f>IF(VLOOKUP(Yards25[[#This Row],[DEVELOPMENT]],Data[],9,FALSE)=0,5,VLOOKUP(Yards25[[#This Row],[DEVELOPMENT]],Data[],9,FALSE))</f>
        <v>4</v>
      </c>
      <c r="I181" s="51">
        <f>VLOOKUP(Yards25[[#This Row],[DEVELOPMENT]],Data[],33,FALSE)</f>
        <v>0</v>
      </c>
      <c r="J181" s="51">
        <f>VLOOKUP(Yards25[[#This Row],[DEVELOPMENT]],Data[],28,FALSE)</f>
        <v>0</v>
      </c>
      <c r="K181" s="51"/>
      <c r="L181" s="50"/>
      <c r="M181" s="51" t="str">
        <f ca="1">IFERROR(VLOOKUP(Yards25[[#This Row],[DEVELOPMENT]],Data[],4,FALSE),"")</f>
        <v>2026+</v>
      </c>
      <c r="N181" s="51" t="str">
        <f ca="1">IF(Yards25[[#This Row],[RAD/PACT]]="","",IF(OR(Yards25[[#This Row],[RAD/PACT]]="2022-2025",Yards25[[#This Row],[RAD/PACT]]=2019,Yards25[[#This Row],[RAD/PACT]]="2020-2021"),"Yes",""))</f>
        <v/>
      </c>
      <c r="O181" s="51" t="str">
        <f ca="1">IFERROR(VLOOKUP(Yards25[[#This Row],[DEVELOPMENT]],ExtComp[],8,FALSE),"")</f>
        <v/>
      </c>
      <c r="P181" s="51"/>
      <c r="Q181" s="51"/>
      <c r="R181" s="51" t="str">
        <f>IF(ISBLANK(Yards25[[#This Row],[DSGN CALENDAR YEAR]]),"",Yards25[[#This Row],[DSGN CALENDAR YEAR]]+1)</f>
        <v/>
      </c>
      <c r="S181" s="51" t="str">
        <f>IF(ISBLANK(Yards25[[#This Row],[DSGN FISCAL YEAR]]),"",Yards25[[#This Row],[DSGN FISCAL YEAR]]+1)</f>
        <v/>
      </c>
      <c r="T181" s="51"/>
      <c r="U181" s="128">
        <f ca="1">Yards25[[#This Row],[Estimate]]*0.1</f>
        <v>0</v>
      </c>
      <c r="V181" s="47">
        <f ca="1">Yards25[[#This Row],[Estimate]]-Yards25[[#This Row],[Design Est.]]</f>
        <v>0</v>
      </c>
      <c r="W181" s="85">
        <f ca="1">(Yards25[[#This Row],['# yards]]*INDEX(UnitCosts[],MATCH(Yards25[[#This Row],[WORK TYPE]],UnitCosts[Work Type],0),2))*(1+((Yards25[[#This Row],[est. CONS Year]]-YEAR(TODAY()))*$W$3))</f>
        <v>0</v>
      </c>
      <c r="X181" s="142">
        <f>IF(ISNUMBER(SEARCH("LLC",Yards25[[#This Row],[PROGRAM]])),IF(Yards25[[#This Row],[RAD/PACT by 2025]]="yes",0,1),0)</f>
        <v>0</v>
      </c>
      <c r="Y181" s="1"/>
      <c r="Z181" s="1"/>
      <c r="AA181" s="51">
        <f ca="1">COUNTIF($X$5:Yards25[[#This Row],['# yards]],"&gt;0")</f>
        <v>7</v>
      </c>
      <c r="AB181" s="1">
        <f ca="1">IF(ISBLANK(Yards25[[#This Row],[DSGN CALENDAR YEAR]]),ROUNDDOWN(Yards25[[#This Row],[Count]]/20,0)+$AB$1,Yards25[[#This Row],[DSGN CALENDAR YEAR]])</f>
        <v>2022</v>
      </c>
      <c r="AC181" s="16">
        <f ca="1">Yards25[[#This Row],[est. DSGN Year]]+1</f>
        <v>2023</v>
      </c>
    </row>
    <row r="182" spans="1:29" hidden="1">
      <c r="A182" s="13" t="s">
        <v>126</v>
      </c>
      <c r="B182" s="51" t="str">
        <f>VLOOKUP(Yards25[[#This Row],[DEVELOPMENT]],Data[],2,FALSE)</f>
        <v>MANHATTAN</v>
      </c>
      <c r="C182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82" s="51" t="str">
        <f>VLOOKUP(Yards25[[#This Row],[DEVELOPMENT]],Data[],52,FALSE)</f>
        <v>FEDERAL</v>
      </c>
      <c r="E182" s="50" t="str">
        <f>VLOOKUP(Yards25[[#This Row],[DEVELOPMENT]],Data[],8,FALSE)</f>
        <v>Zone 2</v>
      </c>
      <c r="F182" s="51" t="str">
        <f>VLOOKUP(Yards25[[#This Row],[DEVELOPMENT]],all[[DEVELOPMENT]:[MRST Ext. Comp. Priority]],6,FALSE)</f>
        <v>None</v>
      </c>
      <c r="G182" s="51">
        <f>VLOOKUP(Yards25[[#This Row],[DEVELOPMENT]],all[[DEVELOPMENT]:[MRST Ext. Comp. Priority]],13,FALSE)</f>
        <v>3</v>
      </c>
      <c r="H182" s="50">
        <f>IF(VLOOKUP(Yards25[[#This Row],[DEVELOPMENT]],Data[],9,FALSE)=0,5,VLOOKUP(Yards25[[#This Row],[DEVELOPMENT]],Data[],9,FALSE))</f>
        <v>4</v>
      </c>
      <c r="I182" s="51">
        <f>VLOOKUP(Yards25[[#This Row],[DEVELOPMENT]],Data[],33,FALSE)</f>
        <v>0</v>
      </c>
      <c r="J182" s="51">
        <f>VLOOKUP(Yards25[[#This Row],[DEVELOPMENT]],Data[],28,FALSE)</f>
        <v>0</v>
      </c>
      <c r="K182" s="51"/>
      <c r="L182" s="50"/>
      <c r="M182" s="51" t="str">
        <f ca="1">IFERROR(VLOOKUP(Yards25[[#This Row],[DEVELOPMENT]],Data[],4,FALSE),"")</f>
        <v/>
      </c>
      <c r="N182" s="51" t="str">
        <f ca="1">IF(Yards25[[#This Row],[RAD/PACT]]="","",IF(OR(Yards25[[#This Row],[RAD/PACT]]="2022-2025",Yards25[[#This Row],[RAD/PACT]]=2019,Yards25[[#This Row],[RAD/PACT]]="2020-2021"),"Yes",""))</f>
        <v/>
      </c>
      <c r="O182" s="51">
        <f ca="1">IFERROR(VLOOKUP(Yards25[[#This Row],[DEVELOPMENT]],ExtComp[],8,FALSE),"")</f>
        <v>13</v>
      </c>
      <c r="P182" s="51"/>
      <c r="Q182" s="51"/>
      <c r="R182" s="51" t="str">
        <f>IF(ISBLANK(Yards25[[#This Row],[DSGN CALENDAR YEAR]]),"",Yards25[[#This Row],[DSGN CALENDAR YEAR]]+1)</f>
        <v/>
      </c>
      <c r="S182" s="51" t="str">
        <f>IF(ISBLANK(Yards25[[#This Row],[DSGN FISCAL YEAR]]),"",Yards25[[#This Row],[DSGN FISCAL YEAR]]+1)</f>
        <v/>
      </c>
      <c r="T182" s="51"/>
      <c r="U182" s="128">
        <f ca="1">Yards25[[#This Row],[Estimate]]*0.1</f>
        <v>0</v>
      </c>
      <c r="V182" s="47">
        <f ca="1">Yards25[[#This Row],[Estimate]]-Yards25[[#This Row],[Design Est.]]</f>
        <v>0</v>
      </c>
      <c r="W182" s="85">
        <f ca="1">(Yards25[[#This Row],['# yards]]*INDEX(UnitCosts[],MATCH(Yards25[[#This Row],[WORK TYPE]],UnitCosts[Work Type],0),2))*(1+((Yards25[[#This Row],[est. CONS Year]]-YEAR(TODAY()))*$W$3))</f>
        <v>0</v>
      </c>
      <c r="X182" s="142">
        <f>IF(ISNUMBER(SEARCH("LLC",Yards25[[#This Row],[PROGRAM]])),IF(Yards25[[#This Row],[RAD/PACT by 2025]]="yes",0,1),0)</f>
        <v>0</v>
      </c>
      <c r="Y182" s="1"/>
      <c r="Z182" s="1"/>
      <c r="AA182" s="51">
        <f ca="1">COUNTIF($X$5:Yards25[[#This Row],['# yards]],"&gt;0")</f>
        <v>7</v>
      </c>
      <c r="AB182" s="1">
        <f ca="1">IF(ISBLANK(Yards25[[#This Row],[DSGN CALENDAR YEAR]]),ROUNDDOWN(Yards25[[#This Row],[Count]]/20,0)+$AB$1,Yards25[[#This Row],[DSGN CALENDAR YEAR]])</f>
        <v>2022</v>
      </c>
      <c r="AC182" s="16">
        <f ca="1">Yards25[[#This Row],[est. DSGN Year]]+1</f>
        <v>2023</v>
      </c>
    </row>
    <row r="183" spans="1:29" hidden="1">
      <c r="A183" s="13" t="s">
        <v>295</v>
      </c>
      <c r="B183" s="51" t="str">
        <f>VLOOKUP(Yards25[[#This Row],[DEVELOPMENT]],Data[],2,FALSE)</f>
        <v>MANHATTAN</v>
      </c>
      <c r="C18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83" s="51" t="str">
        <f>VLOOKUP(Yards25[[#This Row],[DEVELOPMENT]],Data[],52,FALSE)</f>
        <v>FEDERAL</v>
      </c>
      <c r="E183" s="50">
        <f>VLOOKUP(Yards25[[#This Row],[DEVELOPMENT]],Data[],8,FALSE)</f>
        <v>0</v>
      </c>
      <c r="F183" s="51" t="str">
        <f>VLOOKUP(Yards25[[#This Row],[DEVELOPMENT]],all[[DEVELOPMENT]:[MRST Ext. Comp. Priority]],6,FALSE)</f>
        <v>None</v>
      </c>
      <c r="G183" s="51">
        <f>VLOOKUP(Yards25[[#This Row],[DEVELOPMENT]],all[[DEVELOPMENT]:[MRST Ext. Comp. Priority]],13,FALSE)</f>
        <v>2</v>
      </c>
      <c r="H183" s="50">
        <f>IF(VLOOKUP(Yards25[[#This Row],[DEVELOPMENT]],Data[],9,FALSE)=0,5,VLOOKUP(Yards25[[#This Row],[DEVELOPMENT]],Data[],9,FALSE))</f>
        <v>5</v>
      </c>
      <c r="I183" s="51">
        <f>VLOOKUP(Yards25[[#This Row],[DEVELOPMENT]],Data[],33,FALSE)</f>
        <v>0</v>
      </c>
      <c r="J183" s="51">
        <f>VLOOKUP(Yards25[[#This Row],[DEVELOPMENT]],Data[],28,FALSE)</f>
        <v>0</v>
      </c>
      <c r="K183" s="51"/>
      <c r="L183" s="50"/>
      <c r="M183" s="51" t="str">
        <f ca="1">IFERROR(VLOOKUP(Yards25[[#This Row],[DEVELOPMENT]],Data[],4,FALSE),"")</f>
        <v/>
      </c>
      <c r="N183" s="51" t="str">
        <f ca="1">IF(Yards25[[#This Row],[RAD/PACT]]="","",IF(OR(Yards25[[#This Row],[RAD/PACT]]="2022-2025",Yards25[[#This Row],[RAD/PACT]]=2019,Yards25[[#This Row],[RAD/PACT]]="2020-2021"),"Yes",""))</f>
        <v/>
      </c>
      <c r="O183" s="51" t="str">
        <f ca="1">IFERROR(VLOOKUP(Yards25[[#This Row],[DEVELOPMENT]],ExtComp[],8,FALSE),"")</f>
        <v/>
      </c>
      <c r="P183" s="51"/>
      <c r="Q183" s="51"/>
      <c r="R183" s="51" t="str">
        <f>IF(ISBLANK(Yards25[[#This Row],[DSGN CALENDAR YEAR]]),"",Yards25[[#This Row],[DSGN CALENDAR YEAR]]+1)</f>
        <v/>
      </c>
      <c r="S183" s="51" t="str">
        <f>IF(ISBLANK(Yards25[[#This Row],[DSGN FISCAL YEAR]]),"",Yards25[[#This Row],[DSGN FISCAL YEAR]]+1)</f>
        <v/>
      </c>
      <c r="T183" s="51"/>
      <c r="U183" s="128">
        <f ca="1">Yards25[[#This Row],[Estimate]]*0.1</f>
        <v>0</v>
      </c>
      <c r="V183" s="47">
        <f ca="1">Yards25[[#This Row],[Estimate]]-Yards25[[#This Row],[Design Est.]]</f>
        <v>0</v>
      </c>
      <c r="W183" s="85">
        <f ca="1">(Yards25[[#This Row],['# yards]]*INDEX(UnitCosts[],MATCH(Yards25[[#This Row],[WORK TYPE]],UnitCosts[Work Type],0),2))*(1+((Yards25[[#This Row],[est. CONS Year]]-YEAR(TODAY()))*$W$3))</f>
        <v>0</v>
      </c>
      <c r="X183" s="142">
        <f>IF(ISNUMBER(SEARCH("LLC",Yards25[[#This Row],[PROGRAM]])),IF(Yards25[[#This Row],[RAD/PACT by 2025]]="yes",0,1),0)</f>
        <v>0</v>
      </c>
      <c r="Y183" s="1"/>
      <c r="Z183" s="1"/>
      <c r="AA183" s="51">
        <f ca="1">COUNTIF($X$5:Yards25[[#This Row],['# yards]],"&gt;0")</f>
        <v>7</v>
      </c>
      <c r="AB183" s="1">
        <f ca="1">IF(ISBLANK(Yards25[[#This Row],[DSGN CALENDAR YEAR]]),ROUNDDOWN(Yards25[[#This Row],[Count]]/20,0)+$AB$1,Yards25[[#This Row],[DSGN CALENDAR YEAR]])</f>
        <v>2022</v>
      </c>
      <c r="AC183" s="16">
        <f ca="1">Yards25[[#This Row],[est. DSGN Year]]+1</f>
        <v>2023</v>
      </c>
    </row>
    <row r="184" spans="1:29" hidden="1">
      <c r="A184" s="13" t="s">
        <v>304</v>
      </c>
      <c r="B184" s="51" t="str">
        <f>VLOOKUP(Yards25[[#This Row],[DEVELOPMENT]],Data[],2,FALSE)</f>
        <v>BRONX</v>
      </c>
      <c r="C18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184" s="51" t="str">
        <f>VLOOKUP(Yards25[[#This Row],[DEVELOPMENT]],Data[],52,FALSE)</f>
        <v>FEDERAL</v>
      </c>
      <c r="E184" s="50">
        <f>VLOOKUP(Yards25[[#This Row],[DEVELOPMENT]],Data[],8,FALSE)</f>
        <v>0</v>
      </c>
      <c r="F184" s="51" t="str">
        <f>VLOOKUP(Yards25[[#This Row],[DEVELOPMENT]],all[[DEVELOPMENT]:[MRST Ext. Comp. Priority]],6,FALSE)</f>
        <v>None</v>
      </c>
      <c r="G184" s="51">
        <f>VLOOKUP(Yards25[[#This Row],[DEVELOPMENT]],all[[DEVELOPMENT]:[MRST Ext. Comp. Priority]],13,FALSE)</f>
        <v>4</v>
      </c>
      <c r="H184" s="50">
        <f>IF(VLOOKUP(Yards25[[#This Row],[DEVELOPMENT]],Data[],9,FALSE)=0,5,VLOOKUP(Yards25[[#This Row],[DEVELOPMENT]],Data[],9,FALSE))</f>
        <v>5</v>
      </c>
      <c r="I184" s="51">
        <f>VLOOKUP(Yards25[[#This Row],[DEVELOPMENT]],Data[],33,FALSE)</f>
        <v>2</v>
      </c>
      <c r="J184" s="51">
        <f>VLOOKUP(Yards25[[#This Row],[DEVELOPMENT]],Data[],28,FALSE)</f>
        <v>0</v>
      </c>
      <c r="K184" s="51"/>
      <c r="L184" s="50"/>
      <c r="M184" s="51" t="str">
        <f ca="1">IFERROR(VLOOKUP(Yards25[[#This Row],[DEVELOPMENT]],Data[],4,FALSE),"")</f>
        <v/>
      </c>
      <c r="N184" s="51" t="str">
        <f ca="1">IF(Yards25[[#This Row],[RAD/PACT]]="","",IF(OR(Yards25[[#This Row],[RAD/PACT]]="2022-2025",Yards25[[#This Row],[RAD/PACT]]=2019,Yards25[[#This Row],[RAD/PACT]]="2020-2021"),"Yes",""))</f>
        <v/>
      </c>
      <c r="O184" s="51">
        <f ca="1">IFERROR(VLOOKUP(Yards25[[#This Row],[DEVELOPMENT]],ExtComp[],8,FALSE),"")</f>
        <v>19</v>
      </c>
      <c r="P184" s="51"/>
      <c r="Q184" s="51"/>
      <c r="R184" s="51" t="str">
        <f>IF(ISBLANK(Yards25[[#This Row],[DSGN CALENDAR YEAR]]),"",Yards25[[#This Row],[DSGN CALENDAR YEAR]]+1)</f>
        <v/>
      </c>
      <c r="S184" s="51" t="str">
        <f>IF(ISBLANK(Yards25[[#This Row],[DSGN FISCAL YEAR]]),"",Yards25[[#This Row],[DSGN FISCAL YEAR]]+1)</f>
        <v/>
      </c>
      <c r="T184" s="51"/>
      <c r="U184" s="128">
        <f ca="1">Yards25[[#This Row],[Estimate]]*0.1</f>
        <v>0</v>
      </c>
      <c r="V184" s="47">
        <f ca="1">Yards25[[#This Row],[Estimate]]-Yards25[[#This Row],[Design Est.]]</f>
        <v>0</v>
      </c>
      <c r="W184" s="85">
        <f ca="1">(Yards25[[#This Row],['# yards]]*INDEX(UnitCosts[],MATCH(Yards25[[#This Row],[WORK TYPE]],UnitCosts[Work Type],0),2))*(1+((Yards25[[#This Row],[est. CONS Year]]-YEAR(TODAY()))*$W$3))</f>
        <v>0</v>
      </c>
      <c r="X184" s="142">
        <f>IF(ISNUMBER(SEARCH("LLC",Yards25[[#This Row],[PROGRAM]])),IF(Yards25[[#This Row],[RAD/PACT by 2025]]="yes",0,1),0)</f>
        <v>0</v>
      </c>
      <c r="Y184" s="1"/>
      <c r="Z184" s="1"/>
      <c r="AA184" s="51">
        <f ca="1">COUNTIF($X$5:Yards25[[#This Row],['# yards]],"&gt;0")</f>
        <v>7</v>
      </c>
      <c r="AB184" s="1">
        <f ca="1">IF(ISBLANK(Yards25[[#This Row],[DSGN CALENDAR YEAR]]),ROUNDDOWN(Yards25[[#This Row],[Count]]/20,0)+$AB$1,Yards25[[#This Row],[DSGN CALENDAR YEAR]])</f>
        <v>2022</v>
      </c>
      <c r="AC184" s="16">
        <f ca="1">Yards25[[#This Row],[est. DSGN Year]]+1</f>
        <v>2023</v>
      </c>
    </row>
    <row r="185" spans="1:29" hidden="1">
      <c r="A185" s="13" t="s">
        <v>313</v>
      </c>
      <c r="B185" s="51" t="str">
        <f>VLOOKUP(Yards25[[#This Row],[DEVELOPMENT]],Data[],2,FALSE)</f>
        <v>QUEENS</v>
      </c>
      <c r="C185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85" s="51" t="str">
        <f>VLOOKUP(Yards25[[#This Row],[DEVELOPMENT]],Data[],52,FALSE)</f>
        <v>FEDERAL</v>
      </c>
      <c r="E185" s="50">
        <f>VLOOKUP(Yards25[[#This Row],[DEVELOPMENT]],Data[],8,FALSE)</f>
        <v>0</v>
      </c>
      <c r="F185" s="51" t="str">
        <f>VLOOKUP(Yards25[[#This Row],[DEVELOPMENT]],all[[DEVELOPMENT]:[MRST Ext. Comp. Priority]],6,FALSE)</f>
        <v>None</v>
      </c>
      <c r="G185" s="51">
        <f>VLOOKUP(Yards25[[#This Row],[DEVELOPMENT]],all[[DEVELOPMENT]:[MRST Ext. Comp. Priority]],13,FALSE)</f>
        <v>3</v>
      </c>
      <c r="H185" s="50">
        <f>IF(VLOOKUP(Yards25[[#This Row],[DEVELOPMENT]],Data[],9,FALSE)=0,5,VLOOKUP(Yards25[[#This Row],[DEVELOPMENT]],Data[],9,FALSE))</f>
        <v>5</v>
      </c>
      <c r="I185" s="51">
        <f>VLOOKUP(Yards25[[#This Row],[DEVELOPMENT]],Data[],33,FALSE)</f>
        <v>1</v>
      </c>
      <c r="J185" s="51">
        <f>VLOOKUP(Yards25[[#This Row],[DEVELOPMENT]],Data[],28,FALSE)</f>
        <v>0</v>
      </c>
      <c r="K185" s="51"/>
      <c r="L185" s="50"/>
      <c r="M185" s="51" t="str">
        <f ca="1">IFERROR(VLOOKUP(Yards25[[#This Row],[DEVELOPMENT]],Data[],4,FALSE),"")</f>
        <v/>
      </c>
      <c r="N185" s="51" t="str">
        <f ca="1">IF(Yards25[[#This Row],[RAD/PACT]]="","",IF(OR(Yards25[[#This Row],[RAD/PACT]]="2022-2025",Yards25[[#This Row],[RAD/PACT]]=2019,Yards25[[#This Row],[RAD/PACT]]="2020-2021"),"Yes",""))</f>
        <v/>
      </c>
      <c r="O185" s="51">
        <f ca="1">IFERROR(VLOOKUP(Yards25[[#This Row],[DEVELOPMENT]],ExtComp[],8,FALSE),"")</f>
        <v>15</v>
      </c>
      <c r="P185" s="51"/>
      <c r="Q185" s="51"/>
      <c r="R185" s="51" t="str">
        <f>IF(ISBLANK(Yards25[[#This Row],[DSGN CALENDAR YEAR]]),"",Yards25[[#This Row],[DSGN CALENDAR YEAR]]+1)</f>
        <v/>
      </c>
      <c r="S185" s="51" t="str">
        <f>IF(ISBLANK(Yards25[[#This Row],[DSGN FISCAL YEAR]]),"",Yards25[[#This Row],[DSGN FISCAL YEAR]]+1)</f>
        <v/>
      </c>
      <c r="T185" s="51"/>
      <c r="U185" s="128">
        <f ca="1">Yards25[[#This Row],[Estimate]]*0.1</f>
        <v>0</v>
      </c>
      <c r="V185" s="47">
        <f ca="1">Yards25[[#This Row],[Estimate]]-Yards25[[#This Row],[Design Est.]]</f>
        <v>0</v>
      </c>
      <c r="W185" s="85">
        <f ca="1">(Yards25[[#This Row],['# yards]]*INDEX(UnitCosts[],MATCH(Yards25[[#This Row],[WORK TYPE]],UnitCosts[Work Type],0),2))*(1+((Yards25[[#This Row],[est. CONS Year]]-YEAR(TODAY()))*$W$3))</f>
        <v>0</v>
      </c>
      <c r="X185" s="142">
        <f>IF(ISNUMBER(SEARCH("LLC",Yards25[[#This Row],[PROGRAM]])),IF(Yards25[[#This Row],[RAD/PACT by 2025]]="yes",0,1),0)</f>
        <v>0</v>
      </c>
      <c r="Y185" s="1"/>
      <c r="Z185" s="1"/>
      <c r="AA185" s="51">
        <f ca="1">COUNTIF($X$5:Yards25[[#This Row],['# yards]],"&gt;0")</f>
        <v>7</v>
      </c>
      <c r="AB185" s="1">
        <f ca="1">IF(ISBLANK(Yards25[[#This Row],[DSGN CALENDAR YEAR]]),ROUNDDOWN(Yards25[[#This Row],[Count]]/20,0)+$AB$1,Yards25[[#This Row],[DSGN CALENDAR YEAR]])</f>
        <v>2022</v>
      </c>
      <c r="AC185" s="16">
        <f ca="1">Yards25[[#This Row],[est. DSGN Year]]+1</f>
        <v>2023</v>
      </c>
    </row>
    <row r="186" spans="1:29" hidden="1">
      <c r="A186" s="13" t="s">
        <v>315</v>
      </c>
      <c r="B186" s="51" t="str">
        <f>VLOOKUP(Yards25[[#This Row],[DEVELOPMENT]],Data[],2,FALSE)</f>
        <v>BROOKLYN</v>
      </c>
      <c r="C186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186" s="51" t="str">
        <f>VLOOKUP(Yards25[[#This Row],[DEVELOPMENT]],Data[],52,FALSE)</f>
        <v>FEDERAL</v>
      </c>
      <c r="E186" s="50">
        <f>VLOOKUP(Yards25[[#This Row],[DEVELOPMENT]],Data[],8,FALSE)</f>
        <v>0</v>
      </c>
      <c r="F186" s="51" t="str">
        <f>VLOOKUP(Yards25[[#This Row],[DEVELOPMENT]],all[[DEVELOPMENT]:[MRST Ext. Comp. Priority]],6,FALSE)</f>
        <v>None</v>
      </c>
      <c r="G186" s="51">
        <f>VLOOKUP(Yards25[[#This Row],[DEVELOPMENT]],all[[DEVELOPMENT]:[MRST Ext. Comp. Priority]],13,FALSE)</f>
        <v>2</v>
      </c>
      <c r="H186" s="50">
        <f>IF(VLOOKUP(Yards25[[#This Row],[DEVELOPMENT]],Data[],9,FALSE)=0,5,VLOOKUP(Yards25[[#This Row],[DEVELOPMENT]],Data[],9,FALSE))</f>
        <v>5</v>
      </c>
      <c r="I186" s="51">
        <f>VLOOKUP(Yards25[[#This Row],[DEVELOPMENT]],Data[],33,FALSE)</f>
        <v>3</v>
      </c>
      <c r="J186" s="51">
        <f>VLOOKUP(Yards25[[#This Row],[DEVELOPMENT]],Data[],28,FALSE)</f>
        <v>0</v>
      </c>
      <c r="K186" s="51"/>
      <c r="L186" s="50"/>
      <c r="M186" s="51" t="str">
        <f ca="1">IFERROR(VLOOKUP(Yards25[[#This Row],[DEVELOPMENT]],Data[],4,FALSE),"")</f>
        <v>2022-2025</v>
      </c>
      <c r="N186" s="51" t="str">
        <f ca="1">IF(Yards25[[#This Row],[RAD/PACT]]="","",IF(OR(Yards25[[#This Row],[RAD/PACT]]="2022-2025",Yards25[[#This Row],[RAD/PACT]]=2019,Yards25[[#This Row],[RAD/PACT]]="2020-2021"),"Yes",""))</f>
        <v>Yes</v>
      </c>
      <c r="O186" s="51">
        <f ca="1">IFERROR(VLOOKUP(Yards25[[#This Row],[DEVELOPMENT]],ExtComp[],8,FALSE),"")</f>
        <v>3</v>
      </c>
      <c r="P186" s="51"/>
      <c r="Q186" s="51"/>
      <c r="R186" s="51" t="str">
        <f>IF(ISBLANK(Yards25[[#This Row],[DSGN CALENDAR YEAR]]),"",Yards25[[#This Row],[DSGN CALENDAR YEAR]]+1)</f>
        <v/>
      </c>
      <c r="S186" s="51" t="str">
        <f>IF(ISBLANK(Yards25[[#This Row],[DSGN FISCAL YEAR]]),"",Yards25[[#This Row],[DSGN FISCAL YEAR]]+1)</f>
        <v/>
      </c>
      <c r="T186" s="51"/>
      <c r="U186" s="128">
        <f ca="1">Yards25[[#This Row],[Estimate]]*0.1</f>
        <v>0</v>
      </c>
      <c r="V186" s="47">
        <f ca="1">Yards25[[#This Row],[Estimate]]-Yards25[[#This Row],[Design Est.]]</f>
        <v>0</v>
      </c>
      <c r="W186" s="85">
        <f ca="1">(Yards25[[#This Row],['# yards]]*INDEX(UnitCosts[],MATCH(Yards25[[#This Row],[WORK TYPE]],UnitCosts[Work Type],0),2))*(1+((Yards25[[#This Row],[est. CONS Year]]-YEAR(TODAY()))*$W$3))</f>
        <v>0</v>
      </c>
      <c r="X186" s="142">
        <f>IF(ISNUMBER(SEARCH("LLC",Yards25[[#This Row],[PROGRAM]])),IF(Yards25[[#This Row],[RAD/PACT by 2025]]="yes",0,1),0)</f>
        <v>0</v>
      </c>
      <c r="Y186" s="1"/>
      <c r="Z186" s="1"/>
      <c r="AA186" s="51">
        <f ca="1">COUNTIF($X$5:Yards25[[#This Row],['# yards]],"&gt;0")</f>
        <v>7</v>
      </c>
      <c r="AB186" s="1">
        <f ca="1">IF(ISBLANK(Yards25[[#This Row],[DSGN CALENDAR YEAR]]),ROUNDDOWN(Yards25[[#This Row],[Count]]/20,0)+$AB$1,Yards25[[#This Row],[DSGN CALENDAR YEAR]])</f>
        <v>2022</v>
      </c>
      <c r="AC186" s="16">
        <f ca="1">Yards25[[#This Row],[est. DSGN Year]]+1</f>
        <v>2023</v>
      </c>
    </row>
    <row r="187" spans="1:29" hidden="1">
      <c r="A187" s="13" t="s">
        <v>316</v>
      </c>
      <c r="B187" s="51" t="str">
        <f>VLOOKUP(Yards25[[#This Row],[DEVELOPMENT]],Data[],2,FALSE)</f>
        <v>BROOKLYN</v>
      </c>
      <c r="C187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87" s="51" t="str">
        <f>VLOOKUP(Yards25[[#This Row],[DEVELOPMENT]],Data[],52,FALSE)</f>
        <v>FEDERAL</v>
      </c>
      <c r="E187" s="50">
        <f>VLOOKUP(Yards25[[#This Row],[DEVELOPMENT]],Data[],8,FALSE)</f>
        <v>0</v>
      </c>
      <c r="F187" s="51" t="str">
        <f>VLOOKUP(Yards25[[#This Row],[DEVELOPMENT]],all[[DEVELOPMENT]:[MRST Ext. Comp. Priority]],6,FALSE)</f>
        <v>None</v>
      </c>
      <c r="G187" s="51">
        <f>VLOOKUP(Yards25[[#This Row],[DEVELOPMENT]],all[[DEVELOPMENT]:[MRST Ext. Comp. Priority]],13,FALSE)</f>
        <v>3</v>
      </c>
      <c r="H187" s="50">
        <f>IF(VLOOKUP(Yards25[[#This Row],[DEVELOPMENT]],Data[],9,FALSE)=0,5,VLOOKUP(Yards25[[#This Row],[DEVELOPMENT]],Data[],9,FALSE))</f>
        <v>5</v>
      </c>
      <c r="I187" s="51">
        <f>VLOOKUP(Yards25[[#This Row],[DEVELOPMENT]],Data[],33,FALSE)</f>
        <v>0</v>
      </c>
      <c r="J187" s="51">
        <f>VLOOKUP(Yards25[[#This Row],[DEVELOPMENT]],Data[],28,FALSE)</f>
        <v>0</v>
      </c>
      <c r="K187" s="51"/>
      <c r="L187" s="50"/>
      <c r="M187" s="51" t="str">
        <f ca="1">IFERROR(VLOOKUP(Yards25[[#This Row],[DEVELOPMENT]],Data[],4,FALSE),"")</f>
        <v>2022-2025</v>
      </c>
      <c r="N187" s="51" t="str">
        <f ca="1">IF(Yards25[[#This Row],[RAD/PACT]]="","",IF(OR(Yards25[[#This Row],[RAD/PACT]]="2022-2025",Yards25[[#This Row],[RAD/PACT]]=2019,Yards25[[#This Row],[RAD/PACT]]="2020-2021"),"Yes",""))</f>
        <v>Yes</v>
      </c>
      <c r="O187" s="51" t="str">
        <f ca="1">IFERROR(VLOOKUP(Yards25[[#This Row],[DEVELOPMENT]],ExtComp[],8,FALSE),"")</f>
        <v/>
      </c>
      <c r="P187" s="51"/>
      <c r="Q187" s="51"/>
      <c r="R187" s="51" t="str">
        <f>IF(ISBLANK(Yards25[[#This Row],[DSGN CALENDAR YEAR]]),"",Yards25[[#This Row],[DSGN CALENDAR YEAR]]+1)</f>
        <v/>
      </c>
      <c r="S187" s="51" t="str">
        <f>IF(ISBLANK(Yards25[[#This Row],[DSGN FISCAL YEAR]]),"",Yards25[[#This Row],[DSGN FISCAL YEAR]]+1)</f>
        <v/>
      </c>
      <c r="T187" s="51"/>
      <c r="U187" s="128">
        <f ca="1">Yards25[[#This Row],[Estimate]]*0.1</f>
        <v>0</v>
      </c>
      <c r="V187" s="47">
        <f ca="1">Yards25[[#This Row],[Estimate]]-Yards25[[#This Row],[Design Est.]]</f>
        <v>0</v>
      </c>
      <c r="W187" s="85">
        <f ca="1">(Yards25[[#This Row],['# yards]]*INDEX(UnitCosts[],MATCH(Yards25[[#This Row],[WORK TYPE]],UnitCosts[Work Type],0),2))*(1+((Yards25[[#This Row],[est. CONS Year]]-YEAR(TODAY()))*$W$3))</f>
        <v>0</v>
      </c>
      <c r="X187" s="142">
        <f>IF(ISNUMBER(SEARCH("LLC",Yards25[[#This Row],[PROGRAM]])),IF(Yards25[[#This Row],[RAD/PACT by 2025]]="yes",0,1),0)</f>
        <v>0</v>
      </c>
      <c r="Y187" s="1"/>
      <c r="Z187" s="1"/>
      <c r="AA187" s="51">
        <f ca="1">COUNTIF($X$5:Yards25[[#This Row],['# yards]],"&gt;0")</f>
        <v>7</v>
      </c>
      <c r="AB187" s="1">
        <f ca="1">IF(ISBLANK(Yards25[[#This Row],[DSGN CALENDAR YEAR]]),ROUNDDOWN(Yards25[[#This Row],[Count]]/20,0)+$AB$1,Yards25[[#This Row],[DSGN CALENDAR YEAR]])</f>
        <v>2022</v>
      </c>
      <c r="AC187" s="16">
        <f ca="1">Yards25[[#This Row],[est. DSGN Year]]+1</f>
        <v>2023</v>
      </c>
    </row>
    <row r="188" spans="1:29" hidden="1">
      <c r="A188" s="13" t="s">
        <v>319</v>
      </c>
      <c r="B188" s="51">
        <f>VLOOKUP(Yards25[[#This Row],[DEVELOPMENT]],Data[],2,FALSE)</f>
        <v>0</v>
      </c>
      <c r="C188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88" s="51" t="str">
        <f>VLOOKUP(Yards25[[#This Row],[DEVELOPMENT]],Data[],52,FALSE)</f>
        <v>FEDERAL</v>
      </c>
      <c r="E188" s="50">
        <f>VLOOKUP(Yards25[[#This Row],[DEVELOPMENT]],Data[],8,FALSE)</f>
        <v>0</v>
      </c>
      <c r="F188" s="51" t="str">
        <f>VLOOKUP(Yards25[[#This Row],[DEVELOPMENT]],all[[DEVELOPMENT]:[MRST Ext. Comp. Priority]],6,FALSE)</f>
        <v>None</v>
      </c>
      <c r="G188" s="51">
        <f>VLOOKUP(Yards25[[#This Row],[DEVELOPMENT]],all[[DEVELOPMENT]:[MRST Ext. Comp. Priority]],13,FALSE)</f>
        <v>3</v>
      </c>
      <c r="H188" s="50">
        <f>IF(VLOOKUP(Yards25[[#This Row],[DEVELOPMENT]],Data[],9,FALSE)=0,5,VLOOKUP(Yards25[[#This Row],[DEVELOPMENT]],Data[],9,FALSE))</f>
        <v>5</v>
      </c>
      <c r="I188" s="51">
        <f>VLOOKUP(Yards25[[#This Row],[DEVELOPMENT]],Data[],33,FALSE)</f>
        <v>0</v>
      </c>
      <c r="J188" s="51">
        <f>VLOOKUP(Yards25[[#This Row],[DEVELOPMENT]],Data[],28,FALSE)</f>
        <v>0</v>
      </c>
      <c r="K188" s="51"/>
      <c r="L188" s="50"/>
      <c r="M188" s="51" t="str">
        <f ca="1">IFERROR(VLOOKUP(Yards25[[#This Row],[DEVELOPMENT]],Data[],4,FALSE),"")</f>
        <v/>
      </c>
      <c r="N188" s="51" t="str">
        <f ca="1">IF(Yards25[[#This Row],[RAD/PACT]]="","",IF(OR(Yards25[[#This Row],[RAD/PACT]]="2022-2025",Yards25[[#This Row],[RAD/PACT]]=2019,Yards25[[#This Row],[RAD/PACT]]="2020-2021"),"Yes",""))</f>
        <v/>
      </c>
      <c r="O188" s="51" t="str">
        <f ca="1">IFERROR(VLOOKUP(Yards25[[#This Row],[DEVELOPMENT]],ExtComp[],8,FALSE),"")</f>
        <v/>
      </c>
      <c r="P188" s="51"/>
      <c r="Q188" s="51"/>
      <c r="R188" s="51" t="str">
        <f>IF(ISBLANK(Yards25[[#This Row],[DSGN CALENDAR YEAR]]),"",Yards25[[#This Row],[DSGN CALENDAR YEAR]]+1)</f>
        <v/>
      </c>
      <c r="S188" s="51" t="str">
        <f>IF(ISBLANK(Yards25[[#This Row],[DSGN FISCAL YEAR]]),"",Yards25[[#This Row],[DSGN FISCAL YEAR]]+1)</f>
        <v/>
      </c>
      <c r="T188" s="51"/>
      <c r="U188" s="128">
        <f>Yards25[[#This Row],[Estimate]]*0.1</f>
        <v>0</v>
      </c>
      <c r="V188" s="47">
        <f>Yards25[[#This Row],[Estimate]]-Yards25[[#This Row],[Design Est.]]</f>
        <v>0</v>
      </c>
      <c r="W188" s="85"/>
      <c r="X188" s="142"/>
      <c r="Y188" s="1"/>
      <c r="Z188" s="1" t="s">
        <v>2299</v>
      </c>
      <c r="AA188" s="51">
        <f ca="1">COUNTIF($X$5:Yards25[[#This Row],['# yards]],"&gt;0")</f>
        <v>7</v>
      </c>
      <c r="AB188" s="1">
        <f ca="1">IF(ISBLANK(Yards25[[#This Row],[DSGN CALENDAR YEAR]]),ROUNDDOWN(Yards25[[#This Row],[Count]]/20,0)+$AB$1,Yards25[[#This Row],[DSGN CALENDAR YEAR]])</f>
        <v>2022</v>
      </c>
      <c r="AC188" s="16">
        <f ca="1">Yards25[[#This Row],[est. DSGN Year]]+1</f>
        <v>2023</v>
      </c>
    </row>
    <row r="189" spans="1:29" hidden="1">
      <c r="A189" s="13" t="s">
        <v>320</v>
      </c>
      <c r="B189" s="51">
        <f>VLOOKUP(Yards25[[#This Row],[DEVELOPMENT]],Data[],2,FALSE)</f>
        <v>0</v>
      </c>
      <c r="C189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89" s="51" t="str">
        <f>VLOOKUP(Yards25[[#This Row],[DEVELOPMENT]],Data[],52,FALSE)</f>
        <v>FEDERAL</v>
      </c>
      <c r="E189" s="50">
        <f>VLOOKUP(Yards25[[#This Row],[DEVELOPMENT]],Data[],8,FALSE)</f>
        <v>0</v>
      </c>
      <c r="F189" s="51" t="str">
        <f>VLOOKUP(Yards25[[#This Row],[DEVELOPMENT]],all[[DEVELOPMENT]:[MRST Ext. Comp. Priority]],6,FALSE)</f>
        <v>None</v>
      </c>
      <c r="G189" s="51">
        <f>VLOOKUP(Yards25[[#This Row],[DEVELOPMENT]],all[[DEVELOPMENT]:[MRST Ext. Comp. Priority]],13,FALSE)</f>
        <v>3</v>
      </c>
      <c r="H189" s="50">
        <f>IF(VLOOKUP(Yards25[[#This Row],[DEVELOPMENT]],Data[],9,FALSE)=0,5,VLOOKUP(Yards25[[#This Row],[DEVELOPMENT]],Data[],9,FALSE))</f>
        <v>5</v>
      </c>
      <c r="I189" s="51">
        <f>VLOOKUP(Yards25[[#This Row],[DEVELOPMENT]],Data[],33,FALSE)</f>
        <v>0</v>
      </c>
      <c r="J189" s="51">
        <f>VLOOKUP(Yards25[[#This Row],[DEVELOPMENT]],Data[],28,FALSE)</f>
        <v>0</v>
      </c>
      <c r="K189" s="51"/>
      <c r="L189" s="50"/>
      <c r="M189" s="51" t="str">
        <f ca="1">IFERROR(VLOOKUP(Yards25[[#This Row],[DEVELOPMENT]],Data[],4,FALSE),"")</f>
        <v/>
      </c>
      <c r="N189" s="51" t="str">
        <f ca="1">IF(Yards25[[#This Row],[RAD/PACT]]="","",IF(OR(Yards25[[#This Row],[RAD/PACT]]="2022-2025",Yards25[[#This Row],[RAD/PACT]]=2019,Yards25[[#This Row],[RAD/PACT]]="2020-2021"),"Yes",""))</f>
        <v/>
      </c>
      <c r="O189" s="51" t="str">
        <f ca="1">IFERROR(VLOOKUP(Yards25[[#This Row],[DEVELOPMENT]],ExtComp[],8,FALSE),"")</f>
        <v/>
      </c>
      <c r="P189" s="51"/>
      <c r="Q189" s="51"/>
      <c r="R189" s="51" t="str">
        <f>IF(ISBLANK(Yards25[[#This Row],[DSGN CALENDAR YEAR]]),"",Yards25[[#This Row],[DSGN CALENDAR YEAR]]+1)</f>
        <v/>
      </c>
      <c r="S189" s="51" t="str">
        <f>IF(ISBLANK(Yards25[[#This Row],[DSGN FISCAL YEAR]]),"",Yards25[[#This Row],[DSGN FISCAL YEAR]]+1)</f>
        <v/>
      </c>
      <c r="T189" s="51"/>
      <c r="U189" s="128">
        <f>Yards25[[#This Row],[Estimate]]*0.1</f>
        <v>0</v>
      </c>
      <c r="V189" s="47">
        <f>Yards25[[#This Row],[Estimate]]-Yards25[[#This Row],[Design Est.]]</f>
        <v>0</v>
      </c>
      <c r="W189" s="85"/>
      <c r="X189" s="142"/>
      <c r="Y189" s="1"/>
      <c r="Z189" s="1" t="s">
        <v>2299</v>
      </c>
      <c r="AA189" s="51">
        <f ca="1">COUNTIF($X$5:Yards25[[#This Row],['# yards]],"&gt;0")</f>
        <v>7</v>
      </c>
      <c r="AB189" s="1">
        <f ca="1">IF(ISBLANK(Yards25[[#This Row],[DSGN CALENDAR YEAR]]),ROUNDDOWN(Yards25[[#This Row],[Count]]/20,0)+$AB$1,Yards25[[#This Row],[DSGN CALENDAR YEAR]])</f>
        <v>2022</v>
      </c>
      <c r="AC189" s="16">
        <f ca="1">Yards25[[#This Row],[est. DSGN Year]]+1</f>
        <v>2023</v>
      </c>
    </row>
    <row r="190" spans="1:29" hidden="1">
      <c r="A190" s="13" t="s">
        <v>324</v>
      </c>
      <c r="B190" s="51" t="str">
        <f>VLOOKUP(Yards25[[#This Row],[DEVELOPMENT]],Data[],2,FALSE)</f>
        <v>BROOKLYN</v>
      </c>
      <c r="C190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90" s="51" t="str">
        <f>VLOOKUP(Yards25[[#This Row],[DEVELOPMENT]],Data[],52,FALSE)</f>
        <v>FEDERAL</v>
      </c>
      <c r="E190" s="50">
        <f>VLOOKUP(Yards25[[#This Row],[DEVELOPMENT]],Data[],8,FALSE)</f>
        <v>0</v>
      </c>
      <c r="F190" s="51" t="str">
        <f>VLOOKUP(Yards25[[#This Row],[DEVELOPMENT]],all[[DEVELOPMENT]:[MRST Ext. Comp. Priority]],6,FALSE)</f>
        <v>None</v>
      </c>
      <c r="G190" s="51">
        <f>VLOOKUP(Yards25[[#This Row],[DEVELOPMENT]],all[[DEVELOPMENT]:[MRST Ext. Comp. Priority]],13,FALSE)</f>
        <v>4</v>
      </c>
      <c r="H190" s="50">
        <f>IF(VLOOKUP(Yards25[[#This Row],[DEVELOPMENT]],Data[],9,FALSE)=0,5,VLOOKUP(Yards25[[#This Row],[DEVELOPMENT]],Data[],9,FALSE))</f>
        <v>5</v>
      </c>
      <c r="I190" s="51">
        <f>VLOOKUP(Yards25[[#This Row],[DEVELOPMENT]],Data[],33,FALSE)</f>
        <v>0</v>
      </c>
      <c r="J190" s="51">
        <f>VLOOKUP(Yards25[[#This Row],[DEVELOPMENT]],Data[],28,FALSE)</f>
        <v>0</v>
      </c>
      <c r="K190" s="51"/>
      <c r="L190" s="50"/>
      <c r="M190" s="51" t="str">
        <f ca="1">IFERROR(VLOOKUP(Yards25[[#This Row],[DEVELOPMENT]],Data[],4,FALSE),"")</f>
        <v/>
      </c>
      <c r="N190" s="51" t="str">
        <f ca="1">IF(Yards25[[#This Row],[RAD/PACT]]="","",IF(OR(Yards25[[#This Row],[RAD/PACT]]="2022-2025",Yards25[[#This Row],[RAD/PACT]]=2019,Yards25[[#This Row],[RAD/PACT]]="2020-2021"),"Yes",""))</f>
        <v/>
      </c>
      <c r="O190" s="51" t="str">
        <f ca="1">IFERROR(VLOOKUP(Yards25[[#This Row],[DEVELOPMENT]],ExtComp[],8,FALSE),"")</f>
        <v/>
      </c>
      <c r="P190" s="51"/>
      <c r="Q190" s="51"/>
      <c r="R190" s="51" t="str">
        <f>IF(ISBLANK(Yards25[[#This Row],[DSGN CALENDAR YEAR]]),"",Yards25[[#This Row],[DSGN CALENDAR YEAR]]+1)</f>
        <v/>
      </c>
      <c r="S190" s="51" t="str">
        <f>IF(ISBLANK(Yards25[[#This Row],[DSGN FISCAL YEAR]]),"",Yards25[[#This Row],[DSGN FISCAL YEAR]]+1)</f>
        <v/>
      </c>
      <c r="T190" s="51"/>
      <c r="U190" s="128">
        <f ca="1">Yards25[[#This Row],[Estimate]]*0.1</f>
        <v>0</v>
      </c>
      <c r="V190" s="47">
        <f ca="1">Yards25[[#This Row],[Estimate]]-Yards25[[#This Row],[Design Est.]]</f>
        <v>0</v>
      </c>
      <c r="W190" s="85">
        <f ca="1">(Yards25[[#This Row],['# yards]]*INDEX(UnitCosts[],MATCH(Yards25[[#This Row],[WORK TYPE]],UnitCosts[Work Type],0),2))*(1+((Yards25[[#This Row],[est. CONS Year]]-YEAR(TODAY()))*$W$3))</f>
        <v>0</v>
      </c>
      <c r="X190" s="142">
        <f>IF(ISNUMBER(SEARCH("LLC",Yards25[[#This Row],[PROGRAM]])),IF(Yards25[[#This Row],[RAD/PACT by 2025]]="yes",0,1),0)</f>
        <v>0</v>
      </c>
      <c r="Y190" s="1"/>
      <c r="Z190" s="1"/>
      <c r="AA190" s="51">
        <f ca="1">COUNTIF($X$5:Yards25[[#This Row],['# yards]],"&gt;0")</f>
        <v>7</v>
      </c>
      <c r="AB190" s="1">
        <f ca="1">IF(ISBLANK(Yards25[[#This Row],[DSGN CALENDAR YEAR]]),ROUNDDOWN(Yards25[[#This Row],[Count]]/20,0)+$AB$1,Yards25[[#This Row],[DSGN CALENDAR YEAR]])</f>
        <v>2022</v>
      </c>
      <c r="AC190" s="16">
        <f ca="1">Yards25[[#This Row],[est. DSGN Year]]+1</f>
        <v>2023</v>
      </c>
    </row>
    <row r="191" spans="1:29" hidden="1">
      <c r="A191" s="13" t="s">
        <v>330</v>
      </c>
      <c r="B191" s="51" t="str">
        <f>VLOOKUP(Yards25[[#This Row],[DEVELOPMENT]],Data[],2,FALSE)</f>
        <v>BRONX</v>
      </c>
      <c r="C19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91" s="51" t="str">
        <f>VLOOKUP(Yards25[[#This Row],[DEVELOPMENT]],Data[],52,FALSE)</f>
        <v>FEDERAL</v>
      </c>
      <c r="E191" s="50">
        <f>VLOOKUP(Yards25[[#This Row],[DEVELOPMENT]],Data[],8,FALSE)</f>
        <v>0</v>
      </c>
      <c r="F191" s="51" t="str">
        <f>VLOOKUP(Yards25[[#This Row],[DEVELOPMENT]],all[[DEVELOPMENT]:[MRST Ext. Comp. Priority]],6,FALSE)</f>
        <v>None</v>
      </c>
      <c r="G191" s="51">
        <f>VLOOKUP(Yards25[[#This Row],[DEVELOPMENT]],all[[DEVELOPMENT]:[MRST Ext. Comp. Priority]],13,FALSE)</f>
        <v>4</v>
      </c>
      <c r="H191" s="50">
        <f>IF(VLOOKUP(Yards25[[#This Row],[DEVELOPMENT]],Data[],9,FALSE)=0,5,VLOOKUP(Yards25[[#This Row],[DEVELOPMENT]],Data[],9,FALSE))</f>
        <v>5</v>
      </c>
      <c r="I191" s="51">
        <f>VLOOKUP(Yards25[[#This Row],[DEVELOPMENT]],Data[],33,FALSE)</f>
        <v>0</v>
      </c>
      <c r="J191" s="51">
        <f>VLOOKUP(Yards25[[#This Row],[DEVELOPMENT]],Data[],28,FALSE)</f>
        <v>0</v>
      </c>
      <c r="K191" s="51"/>
      <c r="L191" s="50"/>
      <c r="M191" s="51" t="str">
        <f ca="1">IFERROR(VLOOKUP(Yards25[[#This Row],[DEVELOPMENT]],Data[],4,FALSE),"")</f>
        <v/>
      </c>
      <c r="N191" s="51" t="str">
        <f ca="1">IF(Yards25[[#This Row],[RAD/PACT]]="","",IF(OR(Yards25[[#This Row],[RAD/PACT]]="2022-2025",Yards25[[#This Row],[RAD/PACT]]=2019,Yards25[[#This Row],[RAD/PACT]]="2020-2021"),"Yes",""))</f>
        <v/>
      </c>
      <c r="O191" s="51" t="str">
        <f ca="1">IFERROR(VLOOKUP(Yards25[[#This Row],[DEVELOPMENT]],ExtComp[],8,FALSE),"")</f>
        <v/>
      </c>
      <c r="P191" s="51"/>
      <c r="Q191" s="51"/>
      <c r="R191" s="51" t="str">
        <f>IF(ISBLANK(Yards25[[#This Row],[DSGN CALENDAR YEAR]]),"",Yards25[[#This Row],[DSGN CALENDAR YEAR]]+1)</f>
        <v/>
      </c>
      <c r="S191" s="51" t="str">
        <f>IF(ISBLANK(Yards25[[#This Row],[DSGN FISCAL YEAR]]),"",Yards25[[#This Row],[DSGN FISCAL YEAR]]+1)</f>
        <v/>
      </c>
      <c r="T191" s="51"/>
      <c r="U191" s="128">
        <f ca="1">Yards25[[#This Row],[Estimate]]*0.1</f>
        <v>0</v>
      </c>
      <c r="V191" s="47">
        <f ca="1">Yards25[[#This Row],[Estimate]]-Yards25[[#This Row],[Design Est.]]</f>
        <v>0</v>
      </c>
      <c r="W191" s="85">
        <f ca="1">(Yards25[[#This Row],['# yards]]*INDEX(UnitCosts[],MATCH(Yards25[[#This Row],[WORK TYPE]],UnitCosts[Work Type],0),2))*(1+((Yards25[[#This Row],[est. CONS Year]]-YEAR(TODAY()))*$W$3))</f>
        <v>0</v>
      </c>
      <c r="X191" s="142">
        <f>IF(ISNUMBER(SEARCH("LLC",Yards25[[#This Row],[PROGRAM]])),IF(Yards25[[#This Row],[RAD/PACT by 2025]]="yes",0,1),0)</f>
        <v>0</v>
      </c>
      <c r="Y191" s="1"/>
      <c r="Z191" s="1"/>
      <c r="AA191" s="51">
        <f ca="1">COUNTIF($X$5:Yards25[[#This Row],['# yards]],"&gt;0")</f>
        <v>7</v>
      </c>
      <c r="AB191" s="1">
        <f ca="1">IF(ISBLANK(Yards25[[#This Row],[DSGN CALENDAR YEAR]]),ROUNDDOWN(Yards25[[#This Row],[Count]]/20,0)+$AB$1,Yards25[[#This Row],[DSGN CALENDAR YEAR]])</f>
        <v>2022</v>
      </c>
      <c r="AC191" s="16">
        <f ca="1">Yards25[[#This Row],[est. DSGN Year]]+1</f>
        <v>2023</v>
      </c>
    </row>
    <row r="192" spans="1:29" hidden="1">
      <c r="A192" s="13" t="s">
        <v>333</v>
      </c>
      <c r="B192" s="51" t="str">
        <f>VLOOKUP(Yards25[[#This Row],[DEVELOPMENT]],Data[],2,FALSE)</f>
        <v>MANHATTAN</v>
      </c>
      <c r="C192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92" s="51" t="str">
        <f>VLOOKUP(Yards25[[#This Row],[DEVELOPMENT]],Data[],52,FALSE)</f>
        <v>FEDERAL</v>
      </c>
      <c r="E192" s="50">
        <f>VLOOKUP(Yards25[[#This Row],[DEVELOPMENT]],Data[],8,FALSE)</f>
        <v>0</v>
      </c>
      <c r="F192" s="51" t="str">
        <f>VLOOKUP(Yards25[[#This Row],[DEVELOPMENT]],all[[DEVELOPMENT]:[MRST Ext. Comp. Priority]],6,FALSE)</f>
        <v>None</v>
      </c>
      <c r="G192" s="51">
        <f>VLOOKUP(Yards25[[#This Row],[DEVELOPMENT]],all[[DEVELOPMENT]:[MRST Ext. Comp. Priority]],13,FALSE)</f>
        <v>3</v>
      </c>
      <c r="H192" s="50">
        <f>IF(VLOOKUP(Yards25[[#This Row],[DEVELOPMENT]],Data[],9,FALSE)=0,5,VLOOKUP(Yards25[[#This Row],[DEVELOPMENT]],Data[],9,FALSE))</f>
        <v>5</v>
      </c>
      <c r="I192" s="51">
        <f>VLOOKUP(Yards25[[#This Row],[DEVELOPMENT]],Data[],33,FALSE)</f>
        <v>0</v>
      </c>
      <c r="J192" s="51">
        <f>VLOOKUP(Yards25[[#This Row],[DEVELOPMENT]],Data[],28,FALSE)</f>
        <v>0</v>
      </c>
      <c r="K192" s="51"/>
      <c r="L192" s="50"/>
      <c r="M192" s="51" t="str">
        <f ca="1">IFERROR(VLOOKUP(Yards25[[#This Row],[DEVELOPMENT]],Data[],4,FALSE),"")</f>
        <v/>
      </c>
      <c r="N192" s="51" t="str">
        <f ca="1">IF(Yards25[[#This Row],[RAD/PACT]]="","",IF(OR(Yards25[[#This Row],[RAD/PACT]]="2022-2025",Yards25[[#This Row],[RAD/PACT]]=2019,Yards25[[#This Row],[RAD/PACT]]="2020-2021"),"Yes",""))</f>
        <v/>
      </c>
      <c r="O192" s="51" t="str">
        <f ca="1">IFERROR(VLOOKUP(Yards25[[#This Row],[DEVELOPMENT]],ExtComp[],8,FALSE),"")</f>
        <v/>
      </c>
      <c r="P192" s="51"/>
      <c r="Q192" s="51"/>
      <c r="R192" s="51" t="str">
        <f>IF(ISBLANK(Yards25[[#This Row],[DSGN CALENDAR YEAR]]),"",Yards25[[#This Row],[DSGN CALENDAR YEAR]]+1)</f>
        <v/>
      </c>
      <c r="S192" s="51" t="str">
        <f>IF(ISBLANK(Yards25[[#This Row],[DSGN FISCAL YEAR]]),"",Yards25[[#This Row],[DSGN FISCAL YEAR]]+1)</f>
        <v/>
      </c>
      <c r="T192" s="51"/>
      <c r="U192" s="128">
        <f ca="1">Yards25[[#This Row],[Estimate]]*0.1</f>
        <v>0</v>
      </c>
      <c r="V192" s="47">
        <f ca="1">Yards25[[#This Row],[Estimate]]-Yards25[[#This Row],[Design Est.]]</f>
        <v>0</v>
      </c>
      <c r="W192" s="85">
        <f ca="1">(Yards25[[#This Row],['# yards]]*INDEX(UnitCosts[],MATCH(Yards25[[#This Row],[WORK TYPE]],UnitCosts[Work Type],0),2))*(1+((Yards25[[#This Row],[est. CONS Year]]-YEAR(TODAY()))*$W$3))</f>
        <v>0</v>
      </c>
      <c r="X192" s="142">
        <f>IF(ISNUMBER(SEARCH("LLC",Yards25[[#This Row],[PROGRAM]])),IF(Yards25[[#This Row],[RAD/PACT by 2025]]="yes",0,1),0)</f>
        <v>0</v>
      </c>
      <c r="Y192" s="1"/>
      <c r="Z192" s="1"/>
      <c r="AA192" s="51">
        <f ca="1">COUNTIF($X$5:Yards25[[#This Row],['# yards]],"&gt;0")</f>
        <v>7</v>
      </c>
      <c r="AB192" s="1">
        <f ca="1">IF(ISBLANK(Yards25[[#This Row],[DSGN CALENDAR YEAR]]),ROUNDDOWN(Yards25[[#This Row],[Count]]/20,0)+$AB$1,Yards25[[#This Row],[DSGN CALENDAR YEAR]])</f>
        <v>2022</v>
      </c>
      <c r="AC192" s="16">
        <f ca="1">Yards25[[#This Row],[est. DSGN Year]]+1</f>
        <v>2023</v>
      </c>
    </row>
    <row r="193" spans="1:29" hidden="1">
      <c r="A193" s="13" t="s">
        <v>337</v>
      </c>
      <c r="B193" s="51" t="str">
        <f>VLOOKUP(Yards25[[#This Row],[DEVELOPMENT]],Data[],2,FALSE)</f>
        <v>MANHATTAN</v>
      </c>
      <c r="C19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93" s="51" t="str">
        <f>VLOOKUP(Yards25[[#This Row],[DEVELOPMENT]],Data[],52,FALSE)</f>
        <v>FEDERAL</v>
      </c>
      <c r="E193" s="50">
        <f>VLOOKUP(Yards25[[#This Row],[DEVELOPMENT]],Data[],8,FALSE)</f>
        <v>0</v>
      </c>
      <c r="F193" s="51" t="str">
        <f>VLOOKUP(Yards25[[#This Row],[DEVELOPMENT]],all[[DEVELOPMENT]:[MRST Ext. Comp. Priority]],6,FALSE)</f>
        <v>None</v>
      </c>
      <c r="G193" s="51">
        <f>VLOOKUP(Yards25[[#This Row],[DEVELOPMENT]],all[[DEVELOPMENT]:[MRST Ext. Comp. Priority]],13,FALSE)</f>
        <v>3</v>
      </c>
      <c r="H193" s="50">
        <f>IF(VLOOKUP(Yards25[[#This Row],[DEVELOPMENT]],Data[],9,FALSE)=0,5,VLOOKUP(Yards25[[#This Row],[DEVELOPMENT]],Data[],9,FALSE))</f>
        <v>5</v>
      </c>
      <c r="I193" s="51">
        <f>VLOOKUP(Yards25[[#This Row],[DEVELOPMENT]],Data[],33,FALSE)</f>
        <v>1</v>
      </c>
      <c r="J193" s="51">
        <f>VLOOKUP(Yards25[[#This Row],[DEVELOPMENT]],Data[],28,FALSE)</f>
        <v>0</v>
      </c>
      <c r="K193" s="51"/>
      <c r="L193" s="50"/>
      <c r="M193" s="51" t="str">
        <f ca="1">IFERROR(VLOOKUP(Yards25[[#This Row],[DEVELOPMENT]],Data[],4,FALSE),"")</f>
        <v/>
      </c>
      <c r="N193" s="51" t="str">
        <f ca="1">IF(Yards25[[#This Row],[RAD/PACT]]="","",IF(OR(Yards25[[#This Row],[RAD/PACT]]="2022-2025",Yards25[[#This Row],[RAD/PACT]]=2019,Yards25[[#This Row],[RAD/PACT]]="2020-2021"),"Yes",""))</f>
        <v/>
      </c>
      <c r="O193" s="51">
        <f ca="1">IFERROR(VLOOKUP(Yards25[[#This Row],[DEVELOPMENT]],ExtComp[],8,FALSE),"")</f>
        <v>5</v>
      </c>
      <c r="P193" s="51"/>
      <c r="Q193" s="51"/>
      <c r="R193" s="51" t="str">
        <f>IF(ISBLANK(Yards25[[#This Row],[DSGN CALENDAR YEAR]]),"",Yards25[[#This Row],[DSGN CALENDAR YEAR]]+1)</f>
        <v/>
      </c>
      <c r="S193" s="51" t="str">
        <f>IF(ISBLANK(Yards25[[#This Row],[DSGN FISCAL YEAR]]),"",Yards25[[#This Row],[DSGN FISCAL YEAR]]+1)</f>
        <v/>
      </c>
      <c r="T193" s="51"/>
      <c r="U193" s="128">
        <f ca="1">Yards25[[#This Row],[Estimate]]*0.1</f>
        <v>0</v>
      </c>
      <c r="V193" s="47">
        <f ca="1">Yards25[[#This Row],[Estimate]]-Yards25[[#This Row],[Design Est.]]</f>
        <v>0</v>
      </c>
      <c r="W193" s="85">
        <f ca="1">(Yards25[[#This Row],['# yards]]*INDEX(UnitCosts[],MATCH(Yards25[[#This Row],[WORK TYPE]],UnitCosts[Work Type],0),2))*(1+((Yards25[[#This Row],[est. CONS Year]]-YEAR(TODAY()))*$W$3))</f>
        <v>0</v>
      </c>
      <c r="X193" s="142">
        <f>IF(ISNUMBER(SEARCH("LLC",Yards25[[#This Row],[PROGRAM]])),IF(Yards25[[#This Row],[RAD/PACT by 2025]]="yes",0,1),0)</f>
        <v>0</v>
      </c>
      <c r="Y193" s="1"/>
      <c r="Z193" s="1"/>
      <c r="AA193" s="51">
        <f ca="1">COUNTIF($X$5:Yards25[[#This Row],['# yards]],"&gt;0")</f>
        <v>7</v>
      </c>
      <c r="AB193" s="1">
        <f ca="1">IF(ISBLANK(Yards25[[#This Row],[DSGN CALENDAR YEAR]]),ROUNDDOWN(Yards25[[#This Row],[Count]]/20,0)+$AB$1,Yards25[[#This Row],[DSGN CALENDAR YEAR]])</f>
        <v>2022</v>
      </c>
      <c r="AC193" s="16">
        <f ca="1">Yards25[[#This Row],[est. DSGN Year]]+1</f>
        <v>2023</v>
      </c>
    </row>
    <row r="194" spans="1:29" hidden="1">
      <c r="A194" s="13" t="s">
        <v>338</v>
      </c>
      <c r="B194" s="51" t="str">
        <f>VLOOKUP(Yards25[[#This Row],[DEVELOPMENT]],Data[],2,FALSE)</f>
        <v>QUEENS</v>
      </c>
      <c r="C19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94" s="51" t="str">
        <f>VLOOKUP(Yards25[[#This Row],[DEVELOPMENT]],Data[],52,FALSE)</f>
        <v>FEDERAL</v>
      </c>
      <c r="E194" s="50">
        <f>VLOOKUP(Yards25[[#This Row],[DEVELOPMENT]],Data[],8,FALSE)</f>
        <v>0</v>
      </c>
      <c r="F194" s="51" t="str">
        <f>VLOOKUP(Yards25[[#This Row],[DEVELOPMENT]],all[[DEVELOPMENT]:[MRST Ext. Comp. Priority]],6,FALSE)</f>
        <v>None</v>
      </c>
      <c r="G194" s="51">
        <f>VLOOKUP(Yards25[[#This Row],[DEVELOPMENT]],all[[DEVELOPMENT]:[MRST Ext. Comp. Priority]],13,FALSE)</f>
        <v>4</v>
      </c>
      <c r="H194" s="50">
        <f>IF(VLOOKUP(Yards25[[#This Row],[DEVELOPMENT]],Data[],9,FALSE)=0,5,VLOOKUP(Yards25[[#This Row],[DEVELOPMENT]],Data[],9,FALSE))</f>
        <v>5</v>
      </c>
      <c r="I194" s="51">
        <f>VLOOKUP(Yards25[[#This Row],[DEVELOPMENT]],Data[],33,FALSE)</f>
        <v>1</v>
      </c>
      <c r="J194" s="51">
        <f>VLOOKUP(Yards25[[#This Row],[DEVELOPMENT]],Data[],28,FALSE)</f>
        <v>0</v>
      </c>
      <c r="K194" s="51"/>
      <c r="L194" s="50"/>
      <c r="M194" s="51" t="str">
        <f ca="1">IFERROR(VLOOKUP(Yards25[[#This Row],[DEVELOPMENT]],Data[],4,FALSE),"")</f>
        <v/>
      </c>
      <c r="N194" s="51" t="str">
        <f ca="1">IF(Yards25[[#This Row],[RAD/PACT]]="","",IF(OR(Yards25[[#This Row],[RAD/PACT]]="2022-2025",Yards25[[#This Row],[RAD/PACT]]=2019,Yards25[[#This Row],[RAD/PACT]]="2020-2021"),"Yes",""))</f>
        <v/>
      </c>
      <c r="O194" s="51">
        <f ca="1">IFERROR(VLOOKUP(Yards25[[#This Row],[DEVELOPMENT]],ExtComp[],8,FALSE),"")</f>
        <v>13</v>
      </c>
      <c r="P194" s="51"/>
      <c r="Q194" s="51"/>
      <c r="R194" s="51" t="str">
        <f>IF(ISBLANK(Yards25[[#This Row],[DSGN CALENDAR YEAR]]),"",Yards25[[#This Row],[DSGN CALENDAR YEAR]]+1)</f>
        <v/>
      </c>
      <c r="S194" s="51" t="str">
        <f>IF(ISBLANK(Yards25[[#This Row],[DSGN FISCAL YEAR]]),"",Yards25[[#This Row],[DSGN FISCAL YEAR]]+1)</f>
        <v/>
      </c>
      <c r="T194" s="51"/>
      <c r="U194" s="128">
        <f ca="1">Yards25[[#This Row],[Estimate]]*0.1</f>
        <v>0</v>
      </c>
      <c r="V194" s="47">
        <f ca="1">Yards25[[#This Row],[Estimate]]-Yards25[[#This Row],[Design Est.]]</f>
        <v>0</v>
      </c>
      <c r="W194" s="85">
        <f ca="1">(Yards25[[#This Row],['# yards]]*INDEX(UnitCosts[],MATCH(Yards25[[#This Row],[WORK TYPE]],UnitCosts[Work Type],0),2))*(1+((Yards25[[#This Row],[est. CONS Year]]-YEAR(TODAY()))*$W$3))</f>
        <v>0</v>
      </c>
      <c r="X194" s="142">
        <f>IF(ISNUMBER(SEARCH("LLC",Yards25[[#This Row],[PROGRAM]])),IF(Yards25[[#This Row],[RAD/PACT by 2025]]="yes",0,1),0)</f>
        <v>0</v>
      </c>
      <c r="Y194" s="1"/>
      <c r="Z194" s="1"/>
      <c r="AA194" s="51">
        <f ca="1">COUNTIF($X$5:Yards25[[#This Row],['# yards]],"&gt;0")</f>
        <v>7</v>
      </c>
      <c r="AB194" s="1">
        <f ca="1">IF(ISBLANK(Yards25[[#This Row],[DSGN CALENDAR YEAR]]),ROUNDDOWN(Yards25[[#This Row],[Count]]/20,0)+$AB$1,Yards25[[#This Row],[DSGN CALENDAR YEAR]])</f>
        <v>2022</v>
      </c>
      <c r="AC194" s="16">
        <f ca="1">Yards25[[#This Row],[est. DSGN Year]]+1</f>
        <v>2023</v>
      </c>
    </row>
    <row r="195" spans="1:29" hidden="1">
      <c r="A195" s="13" t="s">
        <v>344</v>
      </c>
      <c r="B195" s="51" t="str">
        <f>VLOOKUP(Yards25[[#This Row],[DEVELOPMENT]],Data[],2,FALSE)</f>
        <v>STATEN ISLAND</v>
      </c>
      <c r="C195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195" s="51" t="str">
        <f>VLOOKUP(Yards25[[#This Row],[DEVELOPMENT]],Data[],52,FALSE)</f>
        <v>FEDERAL</v>
      </c>
      <c r="E195" s="50">
        <f>VLOOKUP(Yards25[[#This Row],[DEVELOPMENT]],Data[],8,FALSE)</f>
        <v>0</v>
      </c>
      <c r="F195" s="51" t="str">
        <f>VLOOKUP(Yards25[[#This Row],[DEVELOPMENT]],all[[DEVELOPMENT]:[MRST Ext. Comp. Priority]],6,FALSE)</f>
        <v>None</v>
      </c>
      <c r="G195" s="51">
        <f>VLOOKUP(Yards25[[#This Row],[DEVELOPMENT]],all[[DEVELOPMENT]:[MRST Ext. Comp. Priority]],13,FALSE)</f>
        <v>4</v>
      </c>
      <c r="H195" s="50">
        <f>IF(VLOOKUP(Yards25[[#This Row],[DEVELOPMENT]],Data[],9,FALSE)=0,5,VLOOKUP(Yards25[[#This Row],[DEVELOPMENT]],Data[],9,FALSE))</f>
        <v>5</v>
      </c>
      <c r="I195" s="51">
        <f>VLOOKUP(Yards25[[#This Row],[DEVELOPMENT]],Data[],33,FALSE)</f>
        <v>2</v>
      </c>
      <c r="J195" s="51">
        <f>VLOOKUP(Yards25[[#This Row],[DEVELOPMENT]],Data[],28,FALSE)</f>
        <v>0</v>
      </c>
      <c r="K195" s="51"/>
      <c r="L195" s="50"/>
      <c r="M195" s="51" t="str">
        <f ca="1">IFERROR(VLOOKUP(Yards25[[#This Row],[DEVELOPMENT]],Data[],4,FALSE),"")</f>
        <v>2026+</v>
      </c>
      <c r="N195" s="51" t="str">
        <f ca="1">IF(Yards25[[#This Row],[RAD/PACT]]="","",IF(OR(Yards25[[#This Row],[RAD/PACT]]="2022-2025",Yards25[[#This Row],[RAD/PACT]]=2019,Yards25[[#This Row],[RAD/PACT]]="2020-2021"),"Yes",""))</f>
        <v/>
      </c>
      <c r="O195" s="51">
        <f ca="1">IFERROR(VLOOKUP(Yards25[[#This Row],[DEVELOPMENT]],ExtComp[],8,FALSE),"")</f>
        <v>5</v>
      </c>
      <c r="P195" s="51"/>
      <c r="Q195" s="51"/>
      <c r="R195" s="51" t="str">
        <f>IF(ISBLANK(Yards25[[#This Row],[DSGN CALENDAR YEAR]]),"",Yards25[[#This Row],[DSGN CALENDAR YEAR]]+1)</f>
        <v/>
      </c>
      <c r="S195" s="51" t="str">
        <f>IF(ISBLANK(Yards25[[#This Row],[DSGN FISCAL YEAR]]),"",Yards25[[#This Row],[DSGN FISCAL YEAR]]+1)</f>
        <v/>
      </c>
      <c r="T195" s="51"/>
      <c r="U195" s="128">
        <f ca="1">Yards25[[#This Row],[Estimate]]*0.1</f>
        <v>0</v>
      </c>
      <c r="V195" s="47">
        <f ca="1">Yards25[[#This Row],[Estimate]]-Yards25[[#This Row],[Design Est.]]</f>
        <v>0</v>
      </c>
      <c r="W195" s="85">
        <f ca="1">(Yards25[[#This Row],['# yards]]*INDEX(UnitCosts[],MATCH(Yards25[[#This Row],[WORK TYPE]],UnitCosts[Work Type],0),2))*(1+((Yards25[[#This Row],[est. CONS Year]]-YEAR(TODAY()))*$W$3))</f>
        <v>0</v>
      </c>
      <c r="X195" s="142">
        <f>IF(ISNUMBER(SEARCH("LLC",Yards25[[#This Row],[PROGRAM]])),IF(Yards25[[#This Row],[RAD/PACT by 2025]]="yes",0,1),0)</f>
        <v>0</v>
      </c>
      <c r="Y195" s="1"/>
      <c r="Z195" s="1"/>
      <c r="AA195" s="51">
        <f ca="1">COUNTIF($X$5:Yards25[[#This Row],['# yards]],"&gt;0")</f>
        <v>7</v>
      </c>
      <c r="AB195" s="1">
        <f ca="1">IF(ISBLANK(Yards25[[#This Row],[DSGN CALENDAR YEAR]]),ROUNDDOWN(Yards25[[#This Row],[Count]]/20,0)+$AB$1,Yards25[[#This Row],[DSGN CALENDAR YEAR]])</f>
        <v>2022</v>
      </c>
      <c r="AC195" s="16">
        <f ca="1">Yards25[[#This Row],[est. DSGN Year]]+1</f>
        <v>2023</v>
      </c>
    </row>
    <row r="196" spans="1:29" hidden="1">
      <c r="A196" s="13" t="s">
        <v>345</v>
      </c>
      <c r="B196" s="51" t="str">
        <f>VLOOKUP(Yards25[[#This Row],[DEVELOPMENT]],Data[],2,FALSE)</f>
        <v>BRONX</v>
      </c>
      <c r="C196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96" s="51" t="str">
        <f>VLOOKUP(Yards25[[#This Row],[DEVELOPMENT]],Data[],52,FALSE)</f>
        <v>FEDERAL</v>
      </c>
      <c r="E196" s="50">
        <f>VLOOKUP(Yards25[[#This Row],[DEVELOPMENT]],Data[],8,FALSE)</f>
        <v>0</v>
      </c>
      <c r="F196" s="51" t="str">
        <f>VLOOKUP(Yards25[[#This Row],[DEVELOPMENT]],all[[DEVELOPMENT]:[MRST Ext. Comp. Priority]],6,FALSE)</f>
        <v>None</v>
      </c>
      <c r="G196" s="51">
        <f>VLOOKUP(Yards25[[#This Row],[DEVELOPMENT]],all[[DEVELOPMENT]:[MRST Ext. Comp. Priority]],13,FALSE)</f>
        <v>3</v>
      </c>
      <c r="H196" s="50">
        <f>IF(VLOOKUP(Yards25[[#This Row],[DEVELOPMENT]],Data[],9,FALSE)=0,5,VLOOKUP(Yards25[[#This Row],[DEVELOPMENT]],Data[],9,FALSE))</f>
        <v>5</v>
      </c>
      <c r="I196" s="51">
        <f>VLOOKUP(Yards25[[#This Row],[DEVELOPMENT]],Data[],33,FALSE)</f>
        <v>0</v>
      </c>
      <c r="J196" s="51">
        <f>VLOOKUP(Yards25[[#This Row],[DEVELOPMENT]],Data[],28,FALSE)</f>
        <v>0</v>
      </c>
      <c r="K196" s="51"/>
      <c r="L196" s="50"/>
      <c r="M196" s="51" t="str">
        <f ca="1">IFERROR(VLOOKUP(Yards25[[#This Row],[DEVELOPMENT]],Data[],4,FALSE),"")</f>
        <v>2026+</v>
      </c>
      <c r="N196" s="51" t="str">
        <f ca="1">IF(Yards25[[#This Row],[RAD/PACT]]="","",IF(OR(Yards25[[#This Row],[RAD/PACT]]="2022-2025",Yards25[[#This Row],[RAD/PACT]]=2019,Yards25[[#This Row],[RAD/PACT]]="2020-2021"),"Yes",""))</f>
        <v/>
      </c>
      <c r="O196" s="51" t="str">
        <f ca="1">IFERROR(VLOOKUP(Yards25[[#This Row],[DEVELOPMENT]],ExtComp[],8,FALSE),"")</f>
        <v/>
      </c>
      <c r="P196" s="51"/>
      <c r="Q196" s="51"/>
      <c r="R196" s="51" t="str">
        <f>IF(ISBLANK(Yards25[[#This Row],[DSGN CALENDAR YEAR]]),"",Yards25[[#This Row],[DSGN CALENDAR YEAR]]+1)</f>
        <v/>
      </c>
      <c r="S196" s="51" t="str">
        <f>IF(ISBLANK(Yards25[[#This Row],[DSGN FISCAL YEAR]]),"",Yards25[[#This Row],[DSGN FISCAL YEAR]]+1)</f>
        <v/>
      </c>
      <c r="T196" s="51"/>
      <c r="U196" s="128">
        <f ca="1">Yards25[[#This Row],[Estimate]]*0.1</f>
        <v>0</v>
      </c>
      <c r="V196" s="47">
        <f ca="1">Yards25[[#This Row],[Estimate]]-Yards25[[#This Row],[Design Est.]]</f>
        <v>0</v>
      </c>
      <c r="W196" s="85">
        <f ca="1">(Yards25[[#This Row],['# yards]]*INDEX(UnitCosts[],MATCH(Yards25[[#This Row],[WORK TYPE]],UnitCosts[Work Type],0),2))*(1+((Yards25[[#This Row],[est. CONS Year]]-YEAR(TODAY()))*$W$3))</f>
        <v>0</v>
      </c>
      <c r="X196" s="142">
        <f>IF(ISNUMBER(SEARCH("LLC",Yards25[[#This Row],[PROGRAM]])),IF(Yards25[[#This Row],[RAD/PACT by 2025]]="yes",0,1),0)</f>
        <v>0</v>
      </c>
      <c r="Y196" s="1"/>
      <c r="Z196" s="1"/>
      <c r="AA196" s="51">
        <f ca="1">COUNTIF($X$5:Yards25[[#This Row],['# yards]],"&gt;0")</f>
        <v>7</v>
      </c>
      <c r="AB196" s="1">
        <f ca="1">IF(ISBLANK(Yards25[[#This Row],[DSGN CALENDAR YEAR]]),ROUNDDOWN(Yards25[[#This Row],[Count]]/20,0)+$AB$1,Yards25[[#This Row],[DSGN CALENDAR YEAR]])</f>
        <v>2022</v>
      </c>
      <c r="AC196" s="16">
        <f ca="1">Yards25[[#This Row],[est. DSGN Year]]+1</f>
        <v>2023</v>
      </c>
    </row>
    <row r="197" spans="1:29" hidden="1">
      <c r="A197" s="13" t="s">
        <v>348</v>
      </c>
      <c r="B197" s="51" t="str">
        <f>VLOOKUP(Yards25[[#This Row],[DEVELOPMENT]],Data[],2,FALSE)</f>
        <v>QUEENS</v>
      </c>
      <c r="C197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97" s="51" t="str">
        <f>VLOOKUP(Yards25[[#This Row],[DEVELOPMENT]],Data[],52,FALSE)</f>
        <v>FEDERAL</v>
      </c>
      <c r="E197" s="50">
        <f>VLOOKUP(Yards25[[#This Row],[DEVELOPMENT]],Data[],8,FALSE)</f>
        <v>0</v>
      </c>
      <c r="F197" s="51" t="str">
        <f>VLOOKUP(Yards25[[#This Row],[DEVELOPMENT]],all[[DEVELOPMENT]:[MRST Ext. Comp. Priority]],6,FALSE)</f>
        <v>None</v>
      </c>
      <c r="G197" s="51">
        <f>VLOOKUP(Yards25[[#This Row],[DEVELOPMENT]],all[[DEVELOPMENT]:[MRST Ext. Comp. Priority]],13,FALSE)</f>
        <v>3</v>
      </c>
      <c r="H197" s="50">
        <f>IF(VLOOKUP(Yards25[[#This Row],[DEVELOPMENT]],Data[],9,FALSE)=0,5,VLOOKUP(Yards25[[#This Row],[DEVELOPMENT]],Data[],9,FALSE))</f>
        <v>5</v>
      </c>
      <c r="I197" s="51">
        <f>VLOOKUP(Yards25[[#This Row],[DEVELOPMENT]],Data[],33,FALSE)</f>
        <v>0</v>
      </c>
      <c r="J197" s="51">
        <f>VLOOKUP(Yards25[[#This Row],[DEVELOPMENT]],Data[],28,FALSE)</f>
        <v>0</v>
      </c>
      <c r="K197" s="51"/>
      <c r="L197" s="50"/>
      <c r="M197" s="51" t="str">
        <f ca="1">IFERROR(VLOOKUP(Yards25[[#This Row],[DEVELOPMENT]],Data[],4,FALSE),"")</f>
        <v>2026+</v>
      </c>
      <c r="N197" s="51" t="str">
        <f ca="1">IF(Yards25[[#This Row],[RAD/PACT]]="","",IF(OR(Yards25[[#This Row],[RAD/PACT]]="2022-2025",Yards25[[#This Row],[RAD/PACT]]=2019,Yards25[[#This Row],[RAD/PACT]]="2020-2021"),"Yes",""))</f>
        <v/>
      </c>
      <c r="O197" s="51" t="str">
        <f ca="1">IFERROR(VLOOKUP(Yards25[[#This Row],[DEVELOPMENT]],ExtComp[],8,FALSE),"")</f>
        <v/>
      </c>
      <c r="P197" s="51"/>
      <c r="Q197" s="51"/>
      <c r="R197" s="51" t="str">
        <f>IF(ISBLANK(Yards25[[#This Row],[DSGN CALENDAR YEAR]]),"",Yards25[[#This Row],[DSGN CALENDAR YEAR]]+1)</f>
        <v/>
      </c>
      <c r="S197" s="51" t="str">
        <f>IF(ISBLANK(Yards25[[#This Row],[DSGN FISCAL YEAR]]),"",Yards25[[#This Row],[DSGN FISCAL YEAR]]+1)</f>
        <v/>
      </c>
      <c r="T197" s="51"/>
      <c r="U197" s="128">
        <f ca="1">Yards25[[#This Row],[Estimate]]*0.1</f>
        <v>0</v>
      </c>
      <c r="V197" s="47">
        <f ca="1">Yards25[[#This Row],[Estimate]]-Yards25[[#This Row],[Design Est.]]</f>
        <v>0</v>
      </c>
      <c r="W197" s="85">
        <f ca="1">(Yards25[[#This Row],['# yards]]*INDEX(UnitCosts[],MATCH(Yards25[[#This Row],[WORK TYPE]],UnitCosts[Work Type],0),2))*(1+((Yards25[[#This Row],[est. CONS Year]]-YEAR(TODAY()))*$W$3))</f>
        <v>0</v>
      </c>
      <c r="X197" s="142">
        <f>IF(ISNUMBER(SEARCH("LLC",Yards25[[#This Row],[PROGRAM]])),IF(Yards25[[#This Row],[RAD/PACT by 2025]]="yes",0,1),0)</f>
        <v>0</v>
      </c>
      <c r="Y197" s="1"/>
      <c r="Z197" s="1"/>
      <c r="AA197" s="51">
        <f ca="1">COUNTIF($X$5:Yards25[[#This Row],['# yards]],"&gt;0")</f>
        <v>7</v>
      </c>
      <c r="AB197" s="1">
        <f ca="1">IF(ISBLANK(Yards25[[#This Row],[DSGN CALENDAR YEAR]]),ROUNDDOWN(Yards25[[#This Row],[Count]]/20,0)+$AB$1,Yards25[[#This Row],[DSGN CALENDAR YEAR]])</f>
        <v>2022</v>
      </c>
      <c r="AC197" s="16">
        <f ca="1">Yards25[[#This Row],[est. DSGN Year]]+1</f>
        <v>2023</v>
      </c>
    </row>
    <row r="198" spans="1:29" hidden="1">
      <c r="A198" s="13" t="s">
        <v>351</v>
      </c>
      <c r="B198" s="51" t="str">
        <f>VLOOKUP(Yards25[[#This Row],[DEVELOPMENT]],Data[],2,FALSE)</f>
        <v>BROOKLYN</v>
      </c>
      <c r="C19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98" s="51" t="str">
        <f>VLOOKUP(Yards25[[#This Row],[DEVELOPMENT]],Data[],52,FALSE)</f>
        <v>FEDERAL</v>
      </c>
      <c r="E198" s="50">
        <f>VLOOKUP(Yards25[[#This Row],[DEVELOPMENT]],Data[],8,FALSE)</f>
        <v>0</v>
      </c>
      <c r="F198" s="51" t="str">
        <f>VLOOKUP(Yards25[[#This Row],[DEVELOPMENT]],all[[DEVELOPMENT]:[MRST Ext. Comp. Priority]],6,FALSE)</f>
        <v>None</v>
      </c>
      <c r="G198" s="51">
        <f>VLOOKUP(Yards25[[#This Row],[DEVELOPMENT]],all[[DEVELOPMENT]:[MRST Ext. Comp. Priority]],13,FALSE)</f>
        <v>4</v>
      </c>
      <c r="H198" s="50">
        <f>IF(VLOOKUP(Yards25[[#This Row],[DEVELOPMENT]],Data[],9,FALSE)=0,5,VLOOKUP(Yards25[[#This Row],[DEVELOPMENT]],Data[],9,FALSE))</f>
        <v>5</v>
      </c>
      <c r="I198" s="51">
        <f>VLOOKUP(Yards25[[#This Row],[DEVELOPMENT]],Data[],33,FALSE)</f>
        <v>0</v>
      </c>
      <c r="J198" s="51">
        <f>VLOOKUP(Yards25[[#This Row],[DEVELOPMENT]],Data[],28,FALSE)</f>
        <v>0</v>
      </c>
      <c r="K198" s="51"/>
      <c r="L198" s="50"/>
      <c r="M198" s="51" t="str">
        <f ca="1">IFERROR(VLOOKUP(Yards25[[#This Row],[DEVELOPMENT]],Data[],4,FALSE),"")</f>
        <v>2026+</v>
      </c>
      <c r="N198" s="51" t="str">
        <f ca="1">IF(Yards25[[#This Row],[RAD/PACT]]="","",IF(OR(Yards25[[#This Row],[RAD/PACT]]="2022-2025",Yards25[[#This Row],[RAD/PACT]]=2019,Yards25[[#This Row],[RAD/PACT]]="2020-2021"),"Yes",""))</f>
        <v/>
      </c>
      <c r="O198" s="51" t="str">
        <f ca="1">IFERROR(VLOOKUP(Yards25[[#This Row],[DEVELOPMENT]],ExtComp[],8,FALSE),"")</f>
        <v/>
      </c>
      <c r="P198" s="51"/>
      <c r="Q198" s="51"/>
      <c r="R198" s="51" t="str">
        <f>IF(ISBLANK(Yards25[[#This Row],[DSGN CALENDAR YEAR]]),"",Yards25[[#This Row],[DSGN CALENDAR YEAR]]+1)</f>
        <v/>
      </c>
      <c r="S198" s="51" t="str">
        <f>IF(ISBLANK(Yards25[[#This Row],[DSGN FISCAL YEAR]]),"",Yards25[[#This Row],[DSGN FISCAL YEAR]]+1)</f>
        <v/>
      </c>
      <c r="T198" s="51"/>
      <c r="U198" s="128">
        <f ca="1">Yards25[[#This Row],[Estimate]]*0.1</f>
        <v>0</v>
      </c>
      <c r="V198" s="47">
        <f ca="1">Yards25[[#This Row],[Estimate]]-Yards25[[#This Row],[Design Est.]]</f>
        <v>0</v>
      </c>
      <c r="W198" s="85">
        <f ca="1">(Yards25[[#This Row],['# yards]]*INDEX(UnitCosts[],MATCH(Yards25[[#This Row],[WORK TYPE]],UnitCosts[Work Type],0),2))*(1+((Yards25[[#This Row],[est. CONS Year]]-YEAR(TODAY()))*$W$3))</f>
        <v>0</v>
      </c>
      <c r="X198" s="142">
        <f>IF(ISNUMBER(SEARCH("LLC",Yards25[[#This Row],[PROGRAM]])),IF(Yards25[[#This Row],[RAD/PACT by 2025]]="yes",0,1),0)</f>
        <v>0</v>
      </c>
      <c r="Y198" s="1"/>
      <c r="Z198" s="1"/>
      <c r="AA198" s="51">
        <f ca="1">COUNTIF($X$5:Yards25[[#This Row],['# yards]],"&gt;0")</f>
        <v>7</v>
      </c>
      <c r="AB198" s="1">
        <f ca="1">IF(ISBLANK(Yards25[[#This Row],[DSGN CALENDAR YEAR]]),ROUNDDOWN(Yards25[[#This Row],[Count]]/20,0)+$AB$1,Yards25[[#This Row],[DSGN CALENDAR YEAR]])</f>
        <v>2022</v>
      </c>
      <c r="AC198" s="16">
        <f ca="1">Yards25[[#This Row],[est. DSGN Year]]+1</f>
        <v>2023</v>
      </c>
    </row>
    <row r="199" spans="1:29" hidden="1">
      <c r="A199" s="13" t="s">
        <v>356</v>
      </c>
      <c r="B199" s="51" t="str">
        <f>VLOOKUP(Yards25[[#This Row],[DEVELOPMENT]],Data[],2,FALSE)</f>
        <v>BROOKLYN</v>
      </c>
      <c r="C199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199" s="51" t="str">
        <f>VLOOKUP(Yards25[[#This Row],[DEVELOPMENT]],Data[],52,FALSE)</f>
        <v>FEDERAL</v>
      </c>
      <c r="E199" s="50">
        <f>VLOOKUP(Yards25[[#This Row],[DEVELOPMENT]],Data[],8,FALSE)</f>
        <v>0</v>
      </c>
      <c r="F199" s="51" t="str">
        <f>VLOOKUP(Yards25[[#This Row],[DEVELOPMENT]],all[[DEVELOPMENT]:[MRST Ext. Comp. Priority]],6,FALSE)</f>
        <v>None</v>
      </c>
      <c r="G199" s="51">
        <f>VLOOKUP(Yards25[[#This Row],[DEVELOPMENT]],all[[DEVELOPMENT]:[MRST Ext. Comp. Priority]],13,FALSE)</f>
        <v>3</v>
      </c>
      <c r="H199" s="50">
        <f>IF(VLOOKUP(Yards25[[#This Row],[DEVELOPMENT]],Data[],9,FALSE)=0,5,VLOOKUP(Yards25[[#This Row],[DEVELOPMENT]],Data[],9,FALSE))</f>
        <v>5</v>
      </c>
      <c r="I199" s="51">
        <f>VLOOKUP(Yards25[[#This Row],[DEVELOPMENT]],Data[],33,FALSE)</f>
        <v>0</v>
      </c>
      <c r="J199" s="51">
        <f>VLOOKUP(Yards25[[#This Row],[DEVELOPMENT]],Data[],28,FALSE)</f>
        <v>0</v>
      </c>
      <c r="K199" s="51"/>
      <c r="L199" s="50"/>
      <c r="M199" s="51" t="str">
        <f ca="1">IFERROR(VLOOKUP(Yards25[[#This Row],[DEVELOPMENT]],Data[],4,FALSE),"")</f>
        <v>2020-2021</v>
      </c>
      <c r="N199" s="51" t="str">
        <f ca="1">IF(Yards25[[#This Row],[RAD/PACT]]="","",IF(OR(Yards25[[#This Row],[RAD/PACT]]="2022-2025",Yards25[[#This Row],[RAD/PACT]]=2019,Yards25[[#This Row],[RAD/PACT]]="2020-2021"),"Yes",""))</f>
        <v>Yes</v>
      </c>
      <c r="O199" s="51" t="str">
        <f ca="1">IFERROR(VLOOKUP(Yards25[[#This Row],[DEVELOPMENT]],ExtComp[],8,FALSE),"")</f>
        <v/>
      </c>
      <c r="P199" s="51"/>
      <c r="Q199" s="51"/>
      <c r="R199" s="51" t="str">
        <f>IF(ISBLANK(Yards25[[#This Row],[DSGN CALENDAR YEAR]]),"",Yards25[[#This Row],[DSGN CALENDAR YEAR]]+1)</f>
        <v/>
      </c>
      <c r="S199" s="51" t="str">
        <f>IF(ISBLANK(Yards25[[#This Row],[DSGN FISCAL YEAR]]),"",Yards25[[#This Row],[DSGN FISCAL YEAR]]+1)</f>
        <v/>
      </c>
      <c r="T199" s="51"/>
      <c r="U199" s="128">
        <f ca="1">Yards25[[#This Row],[Estimate]]*0.1</f>
        <v>0</v>
      </c>
      <c r="V199" s="47">
        <f ca="1">Yards25[[#This Row],[Estimate]]-Yards25[[#This Row],[Design Est.]]</f>
        <v>0</v>
      </c>
      <c r="W199" s="85">
        <f ca="1">(Yards25[[#This Row],['# yards]]*INDEX(UnitCosts[],MATCH(Yards25[[#This Row],[WORK TYPE]],UnitCosts[Work Type],0),2))*(1+((Yards25[[#This Row],[est. CONS Year]]-YEAR(TODAY()))*$W$3))</f>
        <v>0</v>
      </c>
      <c r="X199" s="142">
        <f>IF(ISNUMBER(SEARCH("LLC",Yards25[[#This Row],[PROGRAM]])),IF(Yards25[[#This Row],[RAD/PACT by 2025]]="yes",0,1),0)</f>
        <v>0</v>
      </c>
      <c r="Y199" s="1"/>
      <c r="Z199" s="1"/>
      <c r="AA199" s="51">
        <f ca="1">COUNTIF($X$5:Yards25[[#This Row],['# yards]],"&gt;0")</f>
        <v>7</v>
      </c>
      <c r="AB199" s="1">
        <f ca="1">IF(ISBLANK(Yards25[[#This Row],[DSGN CALENDAR YEAR]]),ROUNDDOWN(Yards25[[#This Row],[Count]]/20,0)+$AB$1,Yards25[[#This Row],[DSGN CALENDAR YEAR]])</f>
        <v>2022</v>
      </c>
      <c r="AC199" s="16">
        <f ca="1">Yards25[[#This Row],[est. DSGN Year]]+1</f>
        <v>2023</v>
      </c>
    </row>
    <row r="200" spans="1:29" hidden="1">
      <c r="A200" s="13" t="s">
        <v>359</v>
      </c>
      <c r="B200" s="51" t="str">
        <f>VLOOKUP(Yards25[[#This Row],[DEVELOPMENT]],Data[],2,FALSE)</f>
        <v>MANHATTAN</v>
      </c>
      <c r="C200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00" s="51" t="str">
        <f>VLOOKUP(Yards25[[#This Row],[DEVELOPMENT]],Data[],52,FALSE)</f>
        <v>MHOP</v>
      </c>
      <c r="E200" s="50">
        <f>VLOOKUP(Yards25[[#This Row],[DEVELOPMENT]],Data[],8,FALSE)</f>
        <v>0</v>
      </c>
      <c r="F200" s="51" t="str">
        <f>VLOOKUP(Yards25[[#This Row],[DEVELOPMENT]],all[[DEVELOPMENT]:[MRST Ext. Comp. Priority]],6,FALSE)</f>
        <v>None</v>
      </c>
      <c r="G200" s="51">
        <f>VLOOKUP(Yards25[[#This Row],[DEVELOPMENT]],all[[DEVELOPMENT]:[MRST Ext. Comp. Priority]],13,FALSE)</f>
        <v>2</v>
      </c>
      <c r="H200" s="50">
        <f>IF(VLOOKUP(Yards25[[#This Row],[DEVELOPMENT]],Data[],9,FALSE)=0,5,VLOOKUP(Yards25[[#This Row],[DEVELOPMENT]],Data[],9,FALSE))</f>
        <v>5</v>
      </c>
      <c r="I200" s="51">
        <f>VLOOKUP(Yards25[[#This Row],[DEVELOPMENT]],Data[],33,FALSE)</f>
        <v>0</v>
      </c>
      <c r="J200" s="51">
        <f>VLOOKUP(Yards25[[#This Row],[DEVELOPMENT]],Data[],28,FALSE)</f>
        <v>0</v>
      </c>
      <c r="K200" s="51"/>
      <c r="L200" s="50"/>
      <c r="M200" s="51" t="str">
        <f ca="1">IFERROR(VLOOKUP(Yards25[[#This Row],[DEVELOPMENT]],Data[],4,FALSE),"")</f>
        <v>2020-2021</v>
      </c>
      <c r="N200" s="51" t="str">
        <f ca="1">IF(Yards25[[#This Row],[RAD/PACT]]="","",IF(OR(Yards25[[#This Row],[RAD/PACT]]="2022-2025",Yards25[[#This Row],[RAD/PACT]]=2019,Yards25[[#This Row],[RAD/PACT]]="2020-2021"),"Yes",""))</f>
        <v>Yes</v>
      </c>
      <c r="O200" s="51" t="str">
        <f ca="1">IFERROR(VLOOKUP(Yards25[[#This Row],[DEVELOPMENT]],ExtComp[],8,FALSE),"")</f>
        <v/>
      </c>
      <c r="P200" s="51"/>
      <c r="Q200" s="51"/>
      <c r="R200" s="51" t="str">
        <f>IF(ISBLANK(Yards25[[#This Row],[DSGN CALENDAR YEAR]]),"",Yards25[[#This Row],[DSGN CALENDAR YEAR]]+1)</f>
        <v/>
      </c>
      <c r="S200" s="51" t="str">
        <f>IF(ISBLANK(Yards25[[#This Row],[DSGN FISCAL YEAR]]),"",Yards25[[#This Row],[DSGN FISCAL YEAR]]+1)</f>
        <v/>
      </c>
      <c r="T200" s="51"/>
      <c r="U200" s="128">
        <f ca="1">Yards25[[#This Row],[Estimate]]*0.1</f>
        <v>0</v>
      </c>
      <c r="V200" s="47">
        <f ca="1">Yards25[[#This Row],[Estimate]]-Yards25[[#This Row],[Design Est.]]</f>
        <v>0</v>
      </c>
      <c r="W200" s="85">
        <f ca="1">(Yards25[[#This Row],['# yards]]*INDEX(UnitCosts[],MATCH(Yards25[[#This Row],[WORK TYPE]],UnitCosts[Work Type],0),2))*(1+((Yards25[[#This Row],[est. CONS Year]]-YEAR(TODAY()))*$W$3))</f>
        <v>0</v>
      </c>
      <c r="X200" s="142">
        <f>IF(ISNUMBER(SEARCH("LLC",Yards25[[#This Row],[PROGRAM]])),IF(Yards25[[#This Row],[RAD/PACT by 2025]]="yes",0,1),0)</f>
        <v>0</v>
      </c>
      <c r="Y200" s="1"/>
      <c r="Z200" s="1"/>
      <c r="AA200" s="51">
        <f ca="1">COUNTIF($X$5:Yards25[[#This Row],['# yards]],"&gt;0")</f>
        <v>7</v>
      </c>
      <c r="AB200" s="1">
        <f ca="1">IF(ISBLANK(Yards25[[#This Row],[DSGN CALENDAR YEAR]]),ROUNDDOWN(Yards25[[#This Row],[Count]]/20,0)+$AB$1,Yards25[[#This Row],[DSGN CALENDAR YEAR]])</f>
        <v>2022</v>
      </c>
      <c r="AC200" s="16">
        <f ca="1">Yards25[[#This Row],[est. DSGN Year]]+1</f>
        <v>2023</v>
      </c>
    </row>
    <row r="201" spans="1:29" hidden="1">
      <c r="A201" s="13" t="s">
        <v>361</v>
      </c>
      <c r="B201" s="51" t="str">
        <f>VLOOKUP(Yards25[[#This Row],[DEVELOPMENT]],Data[],2,FALSE)</f>
        <v>BRONX</v>
      </c>
      <c r="C201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01" s="51" t="str">
        <f>VLOOKUP(Yards25[[#This Row],[DEVELOPMENT]],Data[],52,FALSE)</f>
        <v>FEDERAL</v>
      </c>
      <c r="E201" s="50">
        <f>VLOOKUP(Yards25[[#This Row],[DEVELOPMENT]],Data[],8,FALSE)</f>
        <v>0</v>
      </c>
      <c r="F201" s="51" t="str">
        <f>VLOOKUP(Yards25[[#This Row],[DEVELOPMENT]],all[[DEVELOPMENT]:[MRST Ext. Comp. Priority]],6,FALSE)</f>
        <v>None</v>
      </c>
      <c r="G201" s="51">
        <f>VLOOKUP(Yards25[[#This Row],[DEVELOPMENT]],all[[DEVELOPMENT]:[MRST Ext. Comp. Priority]],13,FALSE)</f>
        <v>4</v>
      </c>
      <c r="H201" s="50">
        <f>IF(VLOOKUP(Yards25[[#This Row],[DEVELOPMENT]],Data[],9,FALSE)=0,5,VLOOKUP(Yards25[[#This Row],[DEVELOPMENT]],Data[],9,FALSE))</f>
        <v>5</v>
      </c>
      <c r="I201" s="51">
        <f>VLOOKUP(Yards25[[#This Row],[DEVELOPMENT]],Data[],33,FALSE)</f>
        <v>2</v>
      </c>
      <c r="J201" s="51">
        <f>VLOOKUP(Yards25[[#This Row],[DEVELOPMENT]],Data[],28,FALSE)</f>
        <v>0</v>
      </c>
      <c r="K201" s="51"/>
      <c r="L201" s="50"/>
      <c r="M201" s="51" t="str">
        <f ca="1">IFERROR(VLOOKUP(Yards25[[#This Row],[DEVELOPMENT]],Data[],4,FALSE),"")</f>
        <v/>
      </c>
      <c r="N201" s="51" t="str">
        <f ca="1">IF(Yards25[[#This Row],[RAD/PACT]]="","",IF(OR(Yards25[[#This Row],[RAD/PACT]]="2022-2025",Yards25[[#This Row],[RAD/PACT]]=2019,Yards25[[#This Row],[RAD/PACT]]="2020-2021"),"Yes",""))</f>
        <v/>
      </c>
      <c r="O201" s="51">
        <f ca="1">IFERROR(VLOOKUP(Yards25[[#This Row],[DEVELOPMENT]],ExtComp[],8,FALSE),"")</f>
        <v>19</v>
      </c>
      <c r="P201" s="51"/>
      <c r="Q201" s="51"/>
      <c r="R201" s="51" t="str">
        <f>IF(ISBLANK(Yards25[[#This Row],[DSGN CALENDAR YEAR]]),"",Yards25[[#This Row],[DSGN CALENDAR YEAR]]+1)</f>
        <v/>
      </c>
      <c r="S201" s="51" t="str">
        <f>IF(ISBLANK(Yards25[[#This Row],[DSGN FISCAL YEAR]]),"",Yards25[[#This Row],[DSGN FISCAL YEAR]]+1)</f>
        <v/>
      </c>
      <c r="T201" s="51"/>
      <c r="U201" s="128">
        <f ca="1">Yards25[[#This Row],[Estimate]]*0.1</f>
        <v>0</v>
      </c>
      <c r="V201" s="47">
        <f ca="1">Yards25[[#This Row],[Estimate]]-Yards25[[#This Row],[Design Est.]]</f>
        <v>0</v>
      </c>
      <c r="W201" s="85">
        <f ca="1">(Yards25[[#This Row],['# yards]]*INDEX(UnitCosts[],MATCH(Yards25[[#This Row],[WORK TYPE]],UnitCosts[Work Type],0),2))*(1+((Yards25[[#This Row],[est. CONS Year]]-YEAR(TODAY()))*$W$3))</f>
        <v>0</v>
      </c>
      <c r="X201" s="142">
        <f>IF(ISNUMBER(SEARCH("LLC",Yards25[[#This Row],[PROGRAM]])),IF(Yards25[[#This Row],[RAD/PACT by 2025]]="yes",0,1),0)</f>
        <v>0</v>
      </c>
      <c r="Y201" s="1"/>
      <c r="Z201" s="1"/>
      <c r="AA201" s="51">
        <f ca="1">COUNTIF($X$5:Yards25[[#This Row],['# yards]],"&gt;0")</f>
        <v>7</v>
      </c>
      <c r="AB201" s="1">
        <f ca="1">IF(ISBLANK(Yards25[[#This Row],[DSGN CALENDAR YEAR]]),ROUNDDOWN(Yards25[[#This Row],[Count]]/20,0)+$AB$1,Yards25[[#This Row],[DSGN CALENDAR YEAR]])</f>
        <v>2022</v>
      </c>
      <c r="AC201" s="16">
        <f ca="1">Yards25[[#This Row],[est. DSGN Year]]+1</f>
        <v>2023</v>
      </c>
    </row>
    <row r="202" spans="1:29" hidden="1">
      <c r="A202" s="13" t="s">
        <v>364</v>
      </c>
      <c r="B202" s="51" t="str">
        <f>VLOOKUP(Yards25[[#This Row],[DEVELOPMENT]],Data[],2,FALSE)</f>
        <v>MANHATTAN</v>
      </c>
      <c r="C202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02" s="51" t="str">
        <f>VLOOKUP(Yards25[[#This Row],[DEVELOPMENT]],Data[],52,FALSE)</f>
        <v>FEDERAL</v>
      </c>
      <c r="E202" s="50">
        <f>VLOOKUP(Yards25[[#This Row],[DEVELOPMENT]],Data[],8,FALSE)</f>
        <v>0</v>
      </c>
      <c r="F202" s="51" t="str">
        <f>VLOOKUP(Yards25[[#This Row],[DEVELOPMENT]],all[[DEVELOPMENT]:[MRST Ext. Comp. Priority]],6,FALSE)</f>
        <v>None</v>
      </c>
      <c r="G202" s="51">
        <f>VLOOKUP(Yards25[[#This Row],[DEVELOPMENT]],all[[DEVELOPMENT]:[MRST Ext. Comp. Priority]],13,FALSE)</f>
        <v>3</v>
      </c>
      <c r="H202" s="50">
        <f>IF(VLOOKUP(Yards25[[#This Row],[DEVELOPMENT]],Data[],9,FALSE)=0,5,VLOOKUP(Yards25[[#This Row],[DEVELOPMENT]],Data[],9,FALSE))</f>
        <v>5</v>
      </c>
      <c r="I202" s="51">
        <f>VLOOKUP(Yards25[[#This Row],[DEVELOPMENT]],Data[],33,FALSE)</f>
        <v>0</v>
      </c>
      <c r="J202" s="51">
        <f>VLOOKUP(Yards25[[#This Row],[DEVELOPMENT]],Data[],28,FALSE)</f>
        <v>0</v>
      </c>
      <c r="K202" s="51"/>
      <c r="L202" s="50"/>
      <c r="M202" s="51" t="str">
        <f ca="1">IFERROR(VLOOKUP(Yards25[[#This Row],[DEVELOPMENT]],Data[],4,FALSE),"")</f>
        <v/>
      </c>
      <c r="N202" s="51" t="str">
        <f ca="1">IF(Yards25[[#This Row],[RAD/PACT]]="","",IF(OR(Yards25[[#This Row],[RAD/PACT]]="2022-2025",Yards25[[#This Row],[RAD/PACT]]=2019,Yards25[[#This Row],[RAD/PACT]]="2020-2021"),"Yes",""))</f>
        <v/>
      </c>
      <c r="O202" s="51" t="str">
        <f ca="1">IFERROR(VLOOKUP(Yards25[[#This Row],[DEVELOPMENT]],ExtComp[],8,FALSE),"")</f>
        <v/>
      </c>
      <c r="P202" s="51"/>
      <c r="Q202" s="51"/>
      <c r="R202" s="51" t="str">
        <f>IF(ISBLANK(Yards25[[#This Row],[DSGN CALENDAR YEAR]]),"",Yards25[[#This Row],[DSGN CALENDAR YEAR]]+1)</f>
        <v/>
      </c>
      <c r="S202" s="51" t="str">
        <f>IF(ISBLANK(Yards25[[#This Row],[DSGN FISCAL YEAR]]),"",Yards25[[#This Row],[DSGN FISCAL YEAR]]+1)</f>
        <v/>
      </c>
      <c r="T202" s="51"/>
      <c r="U202" s="128">
        <f ca="1">Yards25[[#This Row],[Estimate]]*0.1</f>
        <v>0</v>
      </c>
      <c r="V202" s="47">
        <f ca="1">Yards25[[#This Row],[Estimate]]-Yards25[[#This Row],[Design Est.]]</f>
        <v>0</v>
      </c>
      <c r="W202" s="85">
        <f ca="1">(Yards25[[#This Row],['# yards]]*INDEX(UnitCosts[],MATCH(Yards25[[#This Row],[WORK TYPE]],UnitCosts[Work Type],0),2))*(1+((Yards25[[#This Row],[est. CONS Year]]-YEAR(TODAY()))*$W$3))</f>
        <v>0</v>
      </c>
      <c r="X202" s="142">
        <f>IF(ISNUMBER(SEARCH("LLC",Yards25[[#This Row],[PROGRAM]])),IF(Yards25[[#This Row],[RAD/PACT by 2025]]="yes",0,1),0)</f>
        <v>0</v>
      </c>
      <c r="Y202" s="1"/>
      <c r="Z202" s="1"/>
      <c r="AA202" s="51">
        <f ca="1">COUNTIF($X$5:Yards25[[#This Row],['# yards]],"&gt;0")</f>
        <v>7</v>
      </c>
      <c r="AB202" s="1">
        <f ca="1">IF(ISBLANK(Yards25[[#This Row],[DSGN CALENDAR YEAR]]),ROUNDDOWN(Yards25[[#This Row],[Count]]/20,0)+$AB$1,Yards25[[#This Row],[DSGN CALENDAR YEAR]])</f>
        <v>2022</v>
      </c>
      <c r="AC202" s="16">
        <f ca="1">Yards25[[#This Row],[est. DSGN Year]]+1</f>
        <v>2023</v>
      </c>
    </row>
    <row r="203" spans="1:29">
      <c r="A203" s="13" t="s">
        <v>365</v>
      </c>
      <c r="B203" s="51" t="str">
        <f>VLOOKUP(Yards25[[#This Row],[DEVELOPMENT]],Data[],2,FALSE)</f>
        <v>STATEN ISLAND</v>
      </c>
      <c r="C20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03" s="51" t="str">
        <f>VLOOKUP(Yards25[[#This Row],[DEVELOPMENT]],Data[],52,FALSE)</f>
        <v>MIXED FINANCE/LLC1</v>
      </c>
      <c r="E203" s="50">
        <f>VLOOKUP(Yards25[[#This Row],[DEVELOPMENT]],Data[],8,FALSE)</f>
        <v>0</v>
      </c>
      <c r="F203" s="51" t="str">
        <f>VLOOKUP(Yards25[[#This Row],[DEVELOPMENT]],all[[DEVELOPMENT]:[MRST Ext. Comp. Priority]],6,FALSE)</f>
        <v>None</v>
      </c>
      <c r="G203" s="51">
        <f>VLOOKUP(Yards25[[#This Row],[DEVELOPMENT]],all[[DEVELOPMENT]:[MRST Ext. Comp. Priority]],13,FALSE)</f>
        <v>3</v>
      </c>
      <c r="H203" s="50">
        <f>IF(VLOOKUP(Yards25[[#This Row],[DEVELOPMENT]],Data[],9,FALSE)=0,5,VLOOKUP(Yards25[[#This Row],[DEVELOPMENT]],Data[],9,FALSE))</f>
        <v>5</v>
      </c>
      <c r="I203" s="51">
        <f>VLOOKUP(Yards25[[#This Row],[DEVELOPMENT]],Data[],33,FALSE)</f>
        <v>2</v>
      </c>
      <c r="J203" s="51">
        <f>VLOOKUP(Yards25[[#This Row],[DEVELOPMENT]],Data[],28,FALSE)</f>
        <v>0</v>
      </c>
      <c r="K203" s="51"/>
      <c r="L203" s="50"/>
      <c r="M203" s="51" t="str">
        <f ca="1">IFERROR(VLOOKUP(Yards25[[#This Row],[DEVELOPMENT]],Data[],4,FALSE),"")</f>
        <v/>
      </c>
      <c r="N203" s="51" t="str">
        <f ca="1">IF(Yards25[[#This Row],[RAD/PACT]]="","",IF(OR(Yards25[[#This Row],[RAD/PACT]]="2022-2025",Yards25[[#This Row],[RAD/PACT]]=2019,Yards25[[#This Row],[RAD/PACT]]="2020-2021"),"Yes",""))</f>
        <v/>
      </c>
      <c r="O203" s="51">
        <f ca="1">IFERROR(VLOOKUP(Yards25[[#This Row],[DEVELOPMENT]],ExtComp[],8,FALSE),"")</f>
        <v>18</v>
      </c>
      <c r="P203" s="51"/>
      <c r="Q203" s="51"/>
      <c r="R203" s="51" t="str">
        <f>IF(ISBLANK(Yards25[[#This Row],[DSGN CALENDAR YEAR]]),"",Yards25[[#This Row],[DSGN CALENDAR YEAR]]+1)</f>
        <v/>
      </c>
      <c r="S203" s="51" t="str">
        <f>IF(ISBLANK(Yards25[[#This Row],[DSGN FISCAL YEAR]]),"",Yards25[[#This Row],[DSGN FISCAL YEAR]]+1)</f>
        <v/>
      </c>
      <c r="T203" s="51"/>
      <c r="U203" s="128">
        <f ca="1">Yards25[[#This Row],[Estimate]]*0.1</f>
        <v>251543.40010425012</v>
      </c>
      <c r="V203" s="47">
        <f ca="1">Yards25[[#This Row],[Estimate]]-Yards25[[#This Row],[Design Est.]]</f>
        <v>2263890.6009382508</v>
      </c>
      <c r="W203" s="85">
        <f ca="1">(Yards25[[#This Row],['# yards]]*INDEX(UnitCosts[],MATCH(Yards25[[#This Row],[WORK TYPE]],UnitCosts[Work Type],0),2))*(1+((Yards25[[#This Row],[est. CONS Year]]-YEAR(TODAY()))*$W$3))</f>
        <v>2515434.0010425011</v>
      </c>
      <c r="X203" s="142">
        <f ca="1">IF(ISNUMBER(SEARCH("LLC",Yards25[[#This Row],[PROGRAM]])),IF(Yards25[[#This Row],[RAD/PACT by 2025]]="yes",0,1),0)</f>
        <v>1</v>
      </c>
      <c r="Y203" s="1"/>
      <c r="Z203" s="1"/>
      <c r="AA203" s="51">
        <f ca="1">COUNTIF($X$5:Yards25[[#This Row],['# yards]],"&gt;0")</f>
        <v>8</v>
      </c>
      <c r="AB203" s="1">
        <v>2026</v>
      </c>
      <c r="AC203" s="16">
        <f>Yards25[[#This Row],[est. DSGN Year]]+1</f>
        <v>2027</v>
      </c>
    </row>
    <row r="204" spans="1:29" hidden="1">
      <c r="A204" s="13" t="s">
        <v>367</v>
      </c>
      <c r="B204" s="51" t="str">
        <f>VLOOKUP(Yards25[[#This Row],[DEVELOPMENT]],Data[],2,FALSE)</f>
        <v>BROOKLYN</v>
      </c>
      <c r="C20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04" s="51" t="str">
        <f>VLOOKUP(Yards25[[#This Row],[DEVELOPMENT]],Data[],52,FALSE)</f>
        <v>FEDERAL</v>
      </c>
      <c r="E204" s="50">
        <f>VLOOKUP(Yards25[[#This Row],[DEVELOPMENT]],Data[],8,FALSE)</f>
        <v>0</v>
      </c>
      <c r="F204" s="51" t="str">
        <f>VLOOKUP(Yards25[[#This Row],[DEVELOPMENT]],all[[DEVELOPMENT]:[MRST Ext. Comp. Priority]],6,FALSE)</f>
        <v>None</v>
      </c>
      <c r="G204" s="51">
        <f>VLOOKUP(Yards25[[#This Row],[DEVELOPMENT]],all[[DEVELOPMENT]:[MRST Ext. Comp. Priority]],13,FALSE)</f>
        <v>3</v>
      </c>
      <c r="H204" s="50">
        <f>IF(VLOOKUP(Yards25[[#This Row],[DEVELOPMENT]],Data[],9,FALSE)=0,5,VLOOKUP(Yards25[[#This Row],[DEVELOPMENT]],Data[],9,FALSE))</f>
        <v>5</v>
      </c>
      <c r="I204" s="51">
        <f>VLOOKUP(Yards25[[#This Row],[DEVELOPMENT]],Data[],33,FALSE)</f>
        <v>2</v>
      </c>
      <c r="J204" s="51">
        <f>VLOOKUP(Yards25[[#This Row],[DEVELOPMENT]],Data[],28,FALSE)</f>
        <v>0</v>
      </c>
      <c r="K204" s="51"/>
      <c r="L204" s="50"/>
      <c r="M204" s="51" t="str">
        <f ca="1">IFERROR(VLOOKUP(Yards25[[#This Row],[DEVELOPMENT]],Data[],4,FALSE),"")</f>
        <v/>
      </c>
      <c r="N204" s="51" t="str">
        <f ca="1">IF(Yards25[[#This Row],[RAD/PACT]]="","",IF(OR(Yards25[[#This Row],[RAD/PACT]]="2022-2025",Yards25[[#This Row],[RAD/PACT]]=2019,Yards25[[#This Row],[RAD/PACT]]="2020-2021"),"Yes",""))</f>
        <v/>
      </c>
      <c r="O204" s="51">
        <f ca="1">IFERROR(VLOOKUP(Yards25[[#This Row],[DEVELOPMENT]],ExtComp[],8,FALSE),"")</f>
        <v>12</v>
      </c>
      <c r="P204" s="51"/>
      <c r="Q204" s="51"/>
      <c r="R204" s="51" t="str">
        <f>IF(ISBLANK(Yards25[[#This Row],[DSGN CALENDAR YEAR]]),"",Yards25[[#This Row],[DSGN CALENDAR YEAR]]+1)</f>
        <v/>
      </c>
      <c r="S204" s="51" t="str">
        <f>IF(ISBLANK(Yards25[[#This Row],[DSGN FISCAL YEAR]]),"",Yards25[[#This Row],[DSGN FISCAL YEAR]]+1)</f>
        <v/>
      </c>
      <c r="T204" s="51"/>
      <c r="U204" s="128">
        <f ca="1">Yards25[[#This Row],[Estimate]]*0.1</f>
        <v>0</v>
      </c>
      <c r="V204" s="47">
        <f ca="1">Yards25[[#This Row],[Estimate]]-Yards25[[#This Row],[Design Est.]]</f>
        <v>0</v>
      </c>
      <c r="W204" s="85">
        <f ca="1">(Yards25[[#This Row],['# yards]]*INDEX(UnitCosts[],MATCH(Yards25[[#This Row],[WORK TYPE]],UnitCosts[Work Type],0),2))*(1+((Yards25[[#This Row],[est. CONS Year]]-YEAR(TODAY()))*$W$3))</f>
        <v>0</v>
      </c>
      <c r="X204" s="142">
        <f>IF(ISNUMBER(SEARCH("LLC",Yards25[[#This Row],[PROGRAM]])),IF(Yards25[[#This Row],[RAD/PACT by 2025]]="yes",0,1),0)</f>
        <v>0</v>
      </c>
      <c r="Y204" s="1"/>
      <c r="Z204" s="1"/>
      <c r="AA204" s="51">
        <f ca="1">COUNTIF($X$5:Yards25[[#This Row],['# yards]],"&gt;0")</f>
        <v>8</v>
      </c>
      <c r="AB204" s="1">
        <f ca="1">IF(ISBLANK(Yards25[[#This Row],[DSGN CALENDAR YEAR]]),ROUNDDOWN(Yards25[[#This Row],[Count]]/20,0)+$AB$1,Yards25[[#This Row],[DSGN CALENDAR YEAR]])</f>
        <v>2022</v>
      </c>
      <c r="AC204" s="16">
        <f ca="1">Yards25[[#This Row],[est. DSGN Year]]+1</f>
        <v>2023</v>
      </c>
    </row>
    <row r="205" spans="1:29" hidden="1">
      <c r="A205" s="13" t="s">
        <v>368</v>
      </c>
      <c r="B205" s="51" t="str">
        <f>VLOOKUP(Yards25[[#This Row],[DEVELOPMENT]],Data[],2,FALSE)</f>
        <v>BROOKLYN</v>
      </c>
      <c r="C205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05" s="51" t="str">
        <f>VLOOKUP(Yards25[[#This Row],[DEVELOPMENT]],Data[],52,FALSE)</f>
        <v>FEDERAL</v>
      </c>
      <c r="E205" s="50">
        <f>VLOOKUP(Yards25[[#This Row],[DEVELOPMENT]],Data[],8,FALSE)</f>
        <v>0</v>
      </c>
      <c r="F205" s="51" t="str">
        <f>VLOOKUP(Yards25[[#This Row],[DEVELOPMENT]],all[[DEVELOPMENT]:[MRST Ext. Comp. Priority]],6,FALSE)</f>
        <v>None</v>
      </c>
      <c r="G205" s="51">
        <f>VLOOKUP(Yards25[[#This Row],[DEVELOPMENT]],all[[DEVELOPMENT]:[MRST Ext. Comp. Priority]],13,FALSE)</f>
        <v>2</v>
      </c>
      <c r="H205" s="50">
        <f>IF(VLOOKUP(Yards25[[#This Row],[DEVELOPMENT]],Data[],9,FALSE)=0,5,VLOOKUP(Yards25[[#This Row],[DEVELOPMENT]],Data[],9,FALSE))</f>
        <v>5</v>
      </c>
      <c r="I205" s="51">
        <f>VLOOKUP(Yards25[[#This Row],[DEVELOPMENT]],Data[],33,FALSE)</f>
        <v>0</v>
      </c>
      <c r="J205" s="51">
        <f>VLOOKUP(Yards25[[#This Row],[DEVELOPMENT]],Data[],28,FALSE)</f>
        <v>0</v>
      </c>
      <c r="K205" s="51"/>
      <c r="L205" s="50"/>
      <c r="M205" s="51" t="str">
        <f ca="1">IFERROR(VLOOKUP(Yards25[[#This Row],[DEVELOPMENT]],Data[],4,FALSE),"")</f>
        <v>2020-2021</v>
      </c>
      <c r="N205" s="51" t="str">
        <f ca="1">IF(Yards25[[#This Row],[RAD/PACT]]="","",IF(OR(Yards25[[#This Row],[RAD/PACT]]="2022-2025",Yards25[[#This Row],[RAD/PACT]]=2019,Yards25[[#This Row],[RAD/PACT]]="2020-2021"),"Yes",""))</f>
        <v>Yes</v>
      </c>
      <c r="O205" s="51" t="str">
        <f ca="1">IFERROR(VLOOKUP(Yards25[[#This Row],[DEVELOPMENT]],ExtComp[],8,FALSE),"")</f>
        <v/>
      </c>
      <c r="P205" s="51"/>
      <c r="Q205" s="51"/>
      <c r="R205" s="51" t="str">
        <f>IF(ISBLANK(Yards25[[#This Row],[DSGN CALENDAR YEAR]]),"",Yards25[[#This Row],[DSGN CALENDAR YEAR]]+1)</f>
        <v/>
      </c>
      <c r="S205" s="51" t="str">
        <f>IF(ISBLANK(Yards25[[#This Row],[DSGN FISCAL YEAR]]),"",Yards25[[#This Row],[DSGN FISCAL YEAR]]+1)</f>
        <v/>
      </c>
      <c r="T205" s="51"/>
      <c r="U205" s="128">
        <f ca="1">Yards25[[#This Row],[Estimate]]*0.1</f>
        <v>0</v>
      </c>
      <c r="V205" s="47">
        <f ca="1">Yards25[[#This Row],[Estimate]]-Yards25[[#This Row],[Design Est.]]</f>
        <v>0</v>
      </c>
      <c r="W205" s="85">
        <f ca="1">(Yards25[[#This Row],['# yards]]*INDEX(UnitCosts[],MATCH(Yards25[[#This Row],[WORK TYPE]],UnitCosts[Work Type],0),2))*(1+((Yards25[[#This Row],[est. CONS Year]]-YEAR(TODAY()))*$W$3))</f>
        <v>0</v>
      </c>
      <c r="X205" s="142">
        <f>IF(ISNUMBER(SEARCH("LLC",Yards25[[#This Row],[PROGRAM]])),IF(Yards25[[#This Row],[RAD/PACT by 2025]]="yes",0,1),0)</f>
        <v>0</v>
      </c>
      <c r="Y205" s="1"/>
      <c r="Z205" s="1"/>
      <c r="AA205" s="51">
        <f ca="1">COUNTIF($X$5:Yards25[[#This Row],['# yards]],"&gt;0")</f>
        <v>8</v>
      </c>
      <c r="AB205" s="1">
        <f ca="1">IF(ISBLANK(Yards25[[#This Row],[DSGN CALENDAR YEAR]]),ROUNDDOWN(Yards25[[#This Row],[Count]]/20,0)+$AB$1,Yards25[[#This Row],[DSGN CALENDAR YEAR]])</f>
        <v>2022</v>
      </c>
      <c r="AC205" s="16">
        <f ca="1">Yards25[[#This Row],[est. DSGN Year]]+1</f>
        <v>2023</v>
      </c>
    </row>
    <row r="206" spans="1:29" hidden="1">
      <c r="A206" s="13" t="s">
        <v>370</v>
      </c>
      <c r="B206" s="51" t="str">
        <f>VLOOKUP(Yards25[[#This Row],[DEVELOPMENT]],Data[],2,FALSE)</f>
        <v>BROOKLYN</v>
      </c>
      <c r="C20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06" s="51" t="str">
        <f>VLOOKUP(Yards25[[#This Row],[DEVELOPMENT]],Data[],52,FALSE)</f>
        <v>FEDERAL</v>
      </c>
      <c r="E206" s="50">
        <f>VLOOKUP(Yards25[[#This Row],[DEVELOPMENT]],Data[],8,FALSE)</f>
        <v>0</v>
      </c>
      <c r="F206" s="51" t="str">
        <f>VLOOKUP(Yards25[[#This Row],[DEVELOPMENT]],all[[DEVELOPMENT]:[MRST Ext. Comp. Priority]],6,FALSE)</f>
        <v>None</v>
      </c>
      <c r="G206" s="51">
        <f>VLOOKUP(Yards25[[#This Row],[DEVELOPMENT]],all[[DEVELOPMENT]:[MRST Ext. Comp. Priority]],13,FALSE)</f>
        <v>3</v>
      </c>
      <c r="H206" s="50">
        <f>IF(VLOOKUP(Yards25[[#This Row],[DEVELOPMENT]],Data[],9,FALSE)=0,5,VLOOKUP(Yards25[[#This Row],[DEVELOPMENT]],Data[],9,FALSE))</f>
        <v>5</v>
      </c>
      <c r="I206" s="51">
        <f>VLOOKUP(Yards25[[#This Row],[DEVELOPMENT]],Data[],33,FALSE)</f>
        <v>2</v>
      </c>
      <c r="J206" s="51">
        <f>VLOOKUP(Yards25[[#This Row],[DEVELOPMENT]],Data[],28,FALSE)</f>
        <v>0</v>
      </c>
      <c r="K206" s="51"/>
      <c r="L206" s="50"/>
      <c r="M206" s="51" t="str">
        <f ca="1">IFERROR(VLOOKUP(Yards25[[#This Row],[DEVELOPMENT]],Data[],4,FALSE),"")</f>
        <v/>
      </c>
      <c r="N206" s="51" t="str">
        <f ca="1">IF(Yards25[[#This Row],[RAD/PACT]]="","",IF(OR(Yards25[[#This Row],[RAD/PACT]]="2022-2025",Yards25[[#This Row],[RAD/PACT]]=2019,Yards25[[#This Row],[RAD/PACT]]="2020-2021"),"Yes",""))</f>
        <v/>
      </c>
      <c r="O206" s="51">
        <f ca="1">IFERROR(VLOOKUP(Yards25[[#This Row],[DEVELOPMENT]],ExtComp[],8,FALSE),"")</f>
        <v>20</v>
      </c>
      <c r="P206" s="51"/>
      <c r="Q206" s="51"/>
      <c r="R206" s="51" t="str">
        <f>IF(ISBLANK(Yards25[[#This Row],[DSGN CALENDAR YEAR]]),"",Yards25[[#This Row],[DSGN CALENDAR YEAR]]+1)</f>
        <v/>
      </c>
      <c r="S206" s="51" t="str">
        <f>IF(ISBLANK(Yards25[[#This Row],[DSGN FISCAL YEAR]]),"",Yards25[[#This Row],[DSGN FISCAL YEAR]]+1)</f>
        <v/>
      </c>
      <c r="T206" s="51"/>
      <c r="U206" s="128">
        <f ca="1">Yards25[[#This Row],[Estimate]]*0.1</f>
        <v>0</v>
      </c>
      <c r="V206" s="47">
        <f ca="1">Yards25[[#This Row],[Estimate]]-Yards25[[#This Row],[Design Est.]]</f>
        <v>0</v>
      </c>
      <c r="W206" s="85">
        <f ca="1">(Yards25[[#This Row],['# yards]]*INDEX(UnitCosts[],MATCH(Yards25[[#This Row],[WORK TYPE]],UnitCosts[Work Type],0),2))*(1+((Yards25[[#This Row],[est. CONS Year]]-YEAR(TODAY()))*$W$3))</f>
        <v>0</v>
      </c>
      <c r="X206" s="142">
        <f>IF(ISNUMBER(SEARCH("LLC",Yards25[[#This Row],[PROGRAM]])),IF(Yards25[[#This Row],[RAD/PACT by 2025]]="yes",0,1),0)</f>
        <v>0</v>
      </c>
      <c r="Y206" s="1"/>
      <c r="Z206" s="1"/>
      <c r="AA206" s="51">
        <f ca="1">COUNTIF($X$5:Yards25[[#This Row],['# yards]],"&gt;0")</f>
        <v>8</v>
      </c>
      <c r="AB206" s="1">
        <f ca="1">IF(ISBLANK(Yards25[[#This Row],[DSGN CALENDAR YEAR]]),ROUNDDOWN(Yards25[[#This Row],[Count]]/20,0)+$AB$1,Yards25[[#This Row],[DSGN CALENDAR YEAR]])</f>
        <v>2022</v>
      </c>
      <c r="AC206" s="16">
        <f ca="1">Yards25[[#This Row],[est. DSGN Year]]+1</f>
        <v>2023</v>
      </c>
    </row>
    <row r="207" spans="1:29" hidden="1">
      <c r="A207" s="13" t="s">
        <v>373</v>
      </c>
      <c r="B207" s="51" t="str">
        <f>VLOOKUP(Yards25[[#This Row],[DEVELOPMENT]],Data[],2,FALSE)</f>
        <v>BROOKLYN</v>
      </c>
      <c r="C207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207" s="51" t="str">
        <f>VLOOKUP(Yards25[[#This Row],[DEVELOPMENT]],Data[],52,FALSE)</f>
        <v>FEDERAL</v>
      </c>
      <c r="E207" s="50">
        <f>VLOOKUP(Yards25[[#This Row],[DEVELOPMENT]],Data[],8,FALSE)</f>
        <v>0</v>
      </c>
      <c r="F207" s="51" t="str">
        <f>VLOOKUP(Yards25[[#This Row],[DEVELOPMENT]],all[[DEVELOPMENT]:[MRST Ext. Comp. Priority]],6,FALSE)</f>
        <v>None</v>
      </c>
      <c r="G207" s="51">
        <f>VLOOKUP(Yards25[[#This Row],[DEVELOPMENT]],all[[DEVELOPMENT]:[MRST Ext. Comp. Priority]],13,FALSE)</f>
        <v>4</v>
      </c>
      <c r="H207" s="50">
        <f>IF(VLOOKUP(Yards25[[#This Row],[DEVELOPMENT]],Data[],9,FALSE)=0,5,VLOOKUP(Yards25[[#This Row],[DEVELOPMENT]],Data[],9,FALSE))</f>
        <v>5</v>
      </c>
      <c r="I207" s="51">
        <f>VLOOKUP(Yards25[[#This Row],[DEVELOPMENT]],Data[],33,FALSE)</f>
        <v>3</v>
      </c>
      <c r="J207" s="51">
        <f>VLOOKUP(Yards25[[#This Row],[DEVELOPMENT]],Data[],28,FALSE)</f>
        <v>0</v>
      </c>
      <c r="K207" s="51"/>
      <c r="L207" s="50"/>
      <c r="M207" s="51" t="str">
        <f ca="1">IFERROR(VLOOKUP(Yards25[[#This Row],[DEVELOPMENT]],Data[],4,FALSE),"")</f>
        <v>2022-2025</v>
      </c>
      <c r="N207" s="51" t="str">
        <f ca="1">IF(Yards25[[#This Row],[RAD/PACT]]="","",IF(OR(Yards25[[#This Row],[RAD/PACT]]="2022-2025",Yards25[[#This Row],[RAD/PACT]]=2019,Yards25[[#This Row],[RAD/PACT]]="2020-2021"),"Yes",""))</f>
        <v>Yes</v>
      </c>
      <c r="O207" s="51">
        <f ca="1">IFERROR(VLOOKUP(Yards25[[#This Row],[DEVELOPMENT]],ExtComp[],8,FALSE),"")</f>
        <v>1</v>
      </c>
      <c r="P207" s="51"/>
      <c r="Q207" s="51"/>
      <c r="R207" s="51" t="str">
        <f>IF(ISBLANK(Yards25[[#This Row],[DSGN CALENDAR YEAR]]),"",Yards25[[#This Row],[DSGN CALENDAR YEAR]]+1)</f>
        <v/>
      </c>
      <c r="S207" s="51" t="str">
        <f>IF(ISBLANK(Yards25[[#This Row],[DSGN FISCAL YEAR]]),"",Yards25[[#This Row],[DSGN FISCAL YEAR]]+1)</f>
        <v/>
      </c>
      <c r="T207" s="51"/>
      <c r="U207" s="128">
        <f ca="1">Yards25[[#This Row],[Estimate]]*0.1</f>
        <v>0</v>
      </c>
      <c r="V207" s="47">
        <f ca="1">Yards25[[#This Row],[Estimate]]-Yards25[[#This Row],[Design Est.]]</f>
        <v>0</v>
      </c>
      <c r="W207" s="85">
        <f ca="1">(Yards25[[#This Row],['# yards]]*INDEX(UnitCosts[],MATCH(Yards25[[#This Row],[WORK TYPE]],UnitCosts[Work Type],0),2))*(1+((Yards25[[#This Row],[est. CONS Year]]-YEAR(TODAY()))*$W$3))</f>
        <v>0</v>
      </c>
      <c r="X207" s="142">
        <f>IF(ISNUMBER(SEARCH("LLC",Yards25[[#This Row],[PROGRAM]])),IF(Yards25[[#This Row],[RAD/PACT by 2025]]="yes",0,1),0)</f>
        <v>0</v>
      </c>
      <c r="Y207" s="1"/>
      <c r="Z207" s="1"/>
      <c r="AA207" s="51">
        <f ca="1">COUNTIF($X$5:Yards25[[#This Row],['# yards]],"&gt;0")</f>
        <v>8</v>
      </c>
      <c r="AB207" s="1">
        <f ca="1">IF(ISBLANK(Yards25[[#This Row],[DSGN CALENDAR YEAR]]),ROUNDDOWN(Yards25[[#This Row],[Count]]/20,0)+$AB$1,Yards25[[#This Row],[DSGN CALENDAR YEAR]])</f>
        <v>2022</v>
      </c>
      <c r="AC207" s="16">
        <f ca="1">Yards25[[#This Row],[est. DSGN Year]]+1</f>
        <v>2023</v>
      </c>
    </row>
    <row r="208" spans="1:29" hidden="1">
      <c r="A208" s="13" t="s">
        <v>377</v>
      </c>
      <c r="B208" s="51" t="str">
        <f>VLOOKUP(Yards25[[#This Row],[DEVELOPMENT]],Data[],2,FALSE)</f>
        <v>MANHATTAN</v>
      </c>
      <c r="C20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08" s="51" t="str">
        <f>VLOOKUP(Yards25[[#This Row],[DEVELOPMENT]],Data[],52,FALSE)</f>
        <v>FEDERAL</v>
      </c>
      <c r="E208" s="50">
        <f>VLOOKUP(Yards25[[#This Row],[DEVELOPMENT]],Data[],8,FALSE)</f>
        <v>0</v>
      </c>
      <c r="F208" s="51" t="str">
        <f>VLOOKUP(Yards25[[#This Row],[DEVELOPMENT]],all[[DEVELOPMENT]:[MRST Ext. Comp. Priority]],6,FALSE)</f>
        <v>None</v>
      </c>
      <c r="G208" s="51">
        <f>VLOOKUP(Yards25[[#This Row],[DEVELOPMENT]],all[[DEVELOPMENT]:[MRST Ext. Comp. Priority]],13,FALSE)</f>
        <v>4</v>
      </c>
      <c r="H208" s="50">
        <f>IF(VLOOKUP(Yards25[[#This Row],[DEVELOPMENT]],Data[],9,FALSE)=0,5,VLOOKUP(Yards25[[#This Row],[DEVELOPMENT]],Data[],9,FALSE))</f>
        <v>5</v>
      </c>
      <c r="I208" s="51">
        <f>VLOOKUP(Yards25[[#This Row],[DEVELOPMENT]],Data[],33,FALSE)</f>
        <v>0</v>
      </c>
      <c r="J208" s="51">
        <f>VLOOKUP(Yards25[[#This Row],[DEVELOPMENT]],Data[],28,FALSE)</f>
        <v>0</v>
      </c>
      <c r="K208" s="51"/>
      <c r="L208" s="50"/>
      <c r="M208" s="51" t="str">
        <f ca="1">IFERROR(VLOOKUP(Yards25[[#This Row],[DEVELOPMENT]],Data[],4,FALSE),"")</f>
        <v/>
      </c>
      <c r="N208" s="51" t="str">
        <f ca="1">IF(Yards25[[#This Row],[RAD/PACT]]="","",IF(OR(Yards25[[#This Row],[RAD/PACT]]="2022-2025",Yards25[[#This Row],[RAD/PACT]]=2019,Yards25[[#This Row],[RAD/PACT]]="2020-2021"),"Yes",""))</f>
        <v/>
      </c>
      <c r="O208" s="51" t="str">
        <f ca="1">IFERROR(VLOOKUP(Yards25[[#This Row],[DEVELOPMENT]],ExtComp[],8,FALSE),"")</f>
        <v/>
      </c>
      <c r="P208" s="51"/>
      <c r="Q208" s="51"/>
      <c r="R208" s="51" t="str">
        <f>IF(ISBLANK(Yards25[[#This Row],[DSGN CALENDAR YEAR]]),"",Yards25[[#This Row],[DSGN CALENDAR YEAR]]+1)</f>
        <v/>
      </c>
      <c r="S208" s="51" t="str">
        <f>IF(ISBLANK(Yards25[[#This Row],[DSGN FISCAL YEAR]]),"",Yards25[[#This Row],[DSGN FISCAL YEAR]]+1)</f>
        <v/>
      </c>
      <c r="T208" s="51"/>
      <c r="U208" s="128">
        <f ca="1">Yards25[[#This Row],[Estimate]]*0.1</f>
        <v>0</v>
      </c>
      <c r="V208" s="47">
        <f ca="1">Yards25[[#This Row],[Estimate]]-Yards25[[#This Row],[Design Est.]]</f>
        <v>0</v>
      </c>
      <c r="W208" s="85">
        <f ca="1">(Yards25[[#This Row],['# yards]]*INDEX(UnitCosts[],MATCH(Yards25[[#This Row],[WORK TYPE]],UnitCosts[Work Type],0),2))*(1+((Yards25[[#This Row],[est. CONS Year]]-YEAR(TODAY()))*$W$3))</f>
        <v>0</v>
      </c>
      <c r="X208" s="142">
        <f>IF(ISNUMBER(SEARCH("LLC",Yards25[[#This Row],[PROGRAM]])),IF(Yards25[[#This Row],[RAD/PACT by 2025]]="yes",0,1),0)</f>
        <v>0</v>
      </c>
      <c r="Y208" s="1"/>
      <c r="Z208" s="1"/>
      <c r="AA208" s="51">
        <f ca="1">COUNTIF($X$5:Yards25[[#This Row],['# yards]],"&gt;0")</f>
        <v>8</v>
      </c>
      <c r="AB208" s="1">
        <f ca="1">IF(ISBLANK(Yards25[[#This Row],[DSGN CALENDAR YEAR]]),ROUNDDOWN(Yards25[[#This Row],[Count]]/20,0)+$AB$1,Yards25[[#This Row],[DSGN CALENDAR YEAR]])</f>
        <v>2022</v>
      </c>
      <c r="AC208" s="16">
        <f ca="1">Yards25[[#This Row],[est. DSGN Year]]+1</f>
        <v>2023</v>
      </c>
    </row>
    <row r="209" spans="1:29" hidden="1">
      <c r="A209" s="13" t="s">
        <v>382</v>
      </c>
      <c r="B209" s="51" t="str">
        <f>VLOOKUP(Yards25[[#This Row],[DEVELOPMENT]],Data[],2,FALSE)</f>
        <v>BRONX</v>
      </c>
      <c r="C209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09" s="51" t="str">
        <f>VLOOKUP(Yards25[[#This Row],[DEVELOPMENT]],Data[],52,FALSE)</f>
        <v>FEDERAL</v>
      </c>
      <c r="E209" s="50" t="str">
        <f>VLOOKUP(Yards25[[#This Row],[DEVELOPMENT]],Data[],8,FALSE)</f>
        <v>Zone 4</v>
      </c>
      <c r="F209" s="51" t="str">
        <f>VLOOKUP(Yards25[[#This Row],[DEVELOPMENT]],all[[DEVELOPMENT]:[MRST Ext. Comp. Priority]],6,FALSE)</f>
        <v>None</v>
      </c>
      <c r="G209" s="51">
        <f>VLOOKUP(Yards25[[#This Row],[DEVELOPMENT]],all[[DEVELOPMENT]:[MRST Ext. Comp. Priority]],13,FALSE)</f>
        <v>3</v>
      </c>
      <c r="H209" s="50">
        <f>IF(VLOOKUP(Yards25[[#This Row],[DEVELOPMENT]],Data[],9,FALSE)=0,5,VLOOKUP(Yards25[[#This Row],[DEVELOPMENT]],Data[],9,FALSE))</f>
        <v>5</v>
      </c>
      <c r="I209" s="51">
        <f>VLOOKUP(Yards25[[#This Row],[DEVELOPMENT]],Data[],33,FALSE)</f>
        <v>0</v>
      </c>
      <c r="J209" s="51">
        <f>VLOOKUP(Yards25[[#This Row],[DEVELOPMENT]],Data[],28,FALSE)</f>
        <v>0</v>
      </c>
      <c r="K209" s="51"/>
      <c r="L209" s="50"/>
      <c r="M209" s="51" t="str">
        <f ca="1">IFERROR(VLOOKUP(Yards25[[#This Row],[DEVELOPMENT]],Data[],4,FALSE),"")</f>
        <v/>
      </c>
      <c r="N209" s="51" t="str">
        <f ca="1">IF(Yards25[[#This Row],[RAD/PACT]]="","",IF(OR(Yards25[[#This Row],[RAD/PACT]]="2022-2025",Yards25[[#This Row],[RAD/PACT]]=2019,Yards25[[#This Row],[RAD/PACT]]="2020-2021"),"Yes",""))</f>
        <v/>
      </c>
      <c r="O209" s="51" t="str">
        <f ca="1">IFERROR(VLOOKUP(Yards25[[#This Row],[DEVELOPMENT]],ExtComp[],8,FALSE),"")</f>
        <v/>
      </c>
      <c r="P209" s="51"/>
      <c r="Q209" s="51"/>
      <c r="R209" s="51" t="str">
        <f>IF(ISBLANK(Yards25[[#This Row],[DSGN CALENDAR YEAR]]),"",Yards25[[#This Row],[DSGN CALENDAR YEAR]]+1)</f>
        <v/>
      </c>
      <c r="S209" s="51" t="str">
        <f>IF(ISBLANK(Yards25[[#This Row],[DSGN FISCAL YEAR]]),"",Yards25[[#This Row],[DSGN FISCAL YEAR]]+1)</f>
        <v/>
      </c>
      <c r="T209" s="51"/>
      <c r="U209" s="128">
        <f>Yards25[[#This Row],[Estimate]]*0.1</f>
        <v>0</v>
      </c>
      <c r="V209" s="47">
        <f>Yards25[[#This Row],[Estimate]]-Yards25[[#This Row],[Design Est.]]</f>
        <v>0</v>
      </c>
      <c r="W209" s="85"/>
      <c r="X209" s="142"/>
      <c r="Y209" s="1"/>
      <c r="Z209" s="1"/>
      <c r="AA209" s="51">
        <f ca="1">COUNTIF($X$5:Yards25[[#This Row],['# yards]],"&gt;0")</f>
        <v>8</v>
      </c>
      <c r="AB209" s="1">
        <f ca="1">IF(ISBLANK(Yards25[[#This Row],[DSGN CALENDAR YEAR]]),ROUNDDOWN(Yards25[[#This Row],[Count]]/20,0)+$AB$1,Yards25[[#This Row],[DSGN CALENDAR YEAR]])</f>
        <v>2022</v>
      </c>
      <c r="AC209" s="16">
        <f ca="1">Yards25[[#This Row],[est. DSGN Year]]+1</f>
        <v>2023</v>
      </c>
    </row>
    <row r="210" spans="1:29" hidden="1">
      <c r="A210" s="13" t="s">
        <v>384</v>
      </c>
      <c r="B210" s="51" t="str">
        <f>VLOOKUP(Yards25[[#This Row],[DEVELOPMENT]],Data[],2,FALSE)</f>
        <v>BROOKLYN</v>
      </c>
      <c r="C210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10" s="51" t="str">
        <f>VLOOKUP(Yards25[[#This Row],[DEVELOPMENT]],Data[],52,FALSE)</f>
        <v>MIXED FINANCE/LLC2</v>
      </c>
      <c r="E210" s="50">
        <f>VLOOKUP(Yards25[[#This Row],[DEVELOPMENT]],Data[],8,FALSE)</f>
        <v>0</v>
      </c>
      <c r="F210" s="51" t="str">
        <f>VLOOKUP(Yards25[[#This Row],[DEVELOPMENT]],all[[DEVELOPMENT]:[MRST Ext. Comp. Priority]],6,FALSE)</f>
        <v>None</v>
      </c>
      <c r="G210" s="51">
        <f>VLOOKUP(Yards25[[#This Row],[DEVELOPMENT]],all[[DEVELOPMENT]:[MRST Ext. Comp. Priority]],13,FALSE)</f>
        <v>3</v>
      </c>
      <c r="H210" s="50">
        <f>IF(VLOOKUP(Yards25[[#This Row],[DEVELOPMENT]],Data[],9,FALSE)=0,5,VLOOKUP(Yards25[[#This Row],[DEVELOPMENT]],Data[],9,FALSE))</f>
        <v>5</v>
      </c>
      <c r="I210" s="51">
        <f>VLOOKUP(Yards25[[#This Row],[DEVELOPMENT]],Data[],33,FALSE)</f>
        <v>1</v>
      </c>
      <c r="J210" s="51">
        <f>VLOOKUP(Yards25[[#This Row],[DEVELOPMENT]],Data[],28,FALSE)</f>
        <v>1</v>
      </c>
      <c r="K210" s="51"/>
      <c r="L210" s="50"/>
      <c r="M210" s="51">
        <f ca="1">IFERROR(VLOOKUP(Yards25[[#This Row],[DEVELOPMENT]],Data[],4,FALSE),"")</f>
        <v>2019</v>
      </c>
      <c r="N210" s="51" t="str">
        <f ca="1">IF(Yards25[[#This Row],[RAD/PACT]]="","",IF(OR(Yards25[[#This Row],[RAD/PACT]]="2022-2025",Yards25[[#This Row],[RAD/PACT]]=2019,Yards25[[#This Row],[RAD/PACT]]="2020-2021"),"Yes",""))</f>
        <v>Yes</v>
      </c>
      <c r="O210" s="51">
        <f ca="1">IFERROR(VLOOKUP(Yards25[[#This Row],[DEVELOPMENT]],ExtComp[],8,FALSE),"")</f>
        <v>11</v>
      </c>
      <c r="P210" s="51"/>
      <c r="Q210" s="51"/>
      <c r="R210" s="51" t="str">
        <f>IF(ISBLANK(Yards25[[#This Row],[DSGN CALENDAR YEAR]]),"",Yards25[[#This Row],[DSGN CALENDAR YEAR]]+1)</f>
        <v/>
      </c>
      <c r="S210" s="51" t="str">
        <f>IF(ISBLANK(Yards25[[#This Row],[DSGN FISCAL YEAR]]),"",Yards25[[#This Row],[DSGN FISCAL YEAR]]+1)</f>
        <v/>
      </c>
      <c r="T210" s="51"/>
      <c r="U210" s="128">
        <f ca="1">Yards25[[#This Row],[Estimate]]*0.1</f>
        <v>0</v>
      </c>
      <c r="V210" s="47">
        <f ca="1">Yards25[[#This Row],[Estimate]]-Yards25[[#This Row],[Design Est.]]</f>
        <v>0</v>
      </c>
      <c r="W210" s="85">
        <f ca="1">(Yards25[[#This Row],['# yards]]*INDEX(UnitCosts[],MATCH(Yards25[[#This Row],[WORK TYPE]],UnitCosts[Work Type],0),2))*(1+((Yards25[[#This Row],[est. CONS Year]]-YEAR(TODAY()))*$W$3))</f>
        <v>0</v>
      </c>
      <c r="X210" s="142">
        <f ca="1">IF(ISNUMBER(SEARCH("LLC",Yards25[[#This Row],[PROGRAM]])),IF(Yards25[[#This Row],[RAD/PACT by 2025]]="yes",0,1),0)</f>
        <v>0</v>
      </c>
      <c r="Y210" s="1"/>
      <c r="Z210" s="1"/>
      <c r="AA210" s="51">
        <f ca="1">COUNTIF($X$5:Yards25[[#This Row],['# yards]],"&gt;0")</f>
        <v>8</v>
      </c>
      <c r="AB210" s="1">
        <f ca="1">IF(ISBLANK(Yards25[[#This Row],[DSGN CALENDAR YEAR]]),ROUNDDOWN(Yards25[[#This Row],[Count]]/20,0)+$AB$1,Yards25[[#This Row],[DSGN CALENDAR YEAR]])</f>
        <v>2022</v>
      </c>
      <c r="AC210" s="16">
        <f ca="1">Yards25[[#This Row],[est. DSGN Year]]+1</f>
        <v>2023</v>
      </c>
    </row>
    <row r="211" spans="1:29" hidden="1">
      <c r="A211" s="13" t="s">
        <v>387</v>
      </c>
      <c r="B211" s="51" t="str">
        <f>VLOOKUP(Yards25[[#This Row],[DEVELOPMENT]],Data[],2,FALSE)</f>
        <v>BROOKLYN</v>
      </c>
      <c r="C211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211" s="51" t="str">
        <f>VLOOKUP(Yards25[[#This Row],[DEVELOPMENT]],Data[],52,FALSE)</f>
        <v>FEDERAL</v>
      </c>
      <c r="E211" s="50">
        <f>VLOOKUP(Yards25[[#This Row],[DEVELOPMENT]],Data[],8,FALSE)</f>
        <v>0</v>
      </c>
      <c r="F211" s="51" t="str">
        <f>VLOOKUP(Yards25[[#This Row],[DEVELOPMENT]],all[[DEVELOPMENT]:[MRST Ext. Comp. Priority]],6,FALSE)</f>
        <v>None</v>
      </c>
      <c r="G211" s="51">
        <f>VLOOKUP(Yards25[[#This Row],[DEVELOPMENT]],all[[DEVELOPMENT]:[MRST Ext. Comp. Priority]],13,FALSE)</f>
        <v>3</v>
      </c>
      <c r="H211" s="50">
        <f>IF(VLOOKUP(Yards25[[#This Row],[DEVELOPMENT]],Data[],9,FALSE)=0,5,VLOOKUP(Yards25[[#This Row],[DEVELOPMENT]],Data[],9,FALSE))</f>
        <v>5</v>
      </c>
      <c r="I211" s="51">
        <f>VLOOKUP(Yards25[[#This Row],[DEVELOPMENT]],Data[],33,FALSE)</f>
        <v>1</v>
      </c>
      <c r="J211" s="51">
        <f>VLOOKUP(Yards25[[#This Row],[DEVELOPMENT]],Data[],28,FALSE)</f>
        <v>0</v>
      </c>
      <c r="K211" s="51"/>
      <c r="L211" s="50"/>
      <c r="M211" s="51" t="str">
        <f ca="1">IFERROR(VLOOKUP(Yards25[[#This Row],[DEVELOPMENT]],Data[],4,FALSE),"")</f>
        <v/>
      </c>
      <c r="N211" s="51" t="str">
        <f ca="1">IF(Yards25[[#This Row],[RAD/PACT]]="","",IF(OR(Yards25[[#This Row],[RAD/PACT]]="2022-2025",Yards25[[#This Row],[RAD/PACT]]=2019,Yards25[[#This Row],[RAD/PACT]]="2020-2021"),"Yes",""))</f>
        <v/>
      </c>
      <c r="O211" s="51">
        <f ca="1">IFERROR(VLOOKUP(Yards25[[#This Row],[DEVELOPMENT]],ExtComp[],8,FALSE),"")</f>
        <v>1</v>
      </c>
      <c r="P211" s="51"/>
      <c r="Q211" s="51"/>
      <c r="R211" s="51" t="str">
        <f>IF(ISBLANK(Yards25[[#This Row],[DSGN CALENDAR YEAR]]),"",Yards25[[#This Row],[DSGN CALENDAR YEAR]]+1)</f>
        <v/>
      </c>
      <c r="S211" s="51" t="str">
        <f>IF(ISBLANK(Yards25[[#This Row],[DSGN FISCAL YEAR]]),"",Yards25[[#This Row],[DSGN FISCAL YEAR]]+1)</f>
        <v/>
      </c>
      <c r="T211" s="51"/>
      <c r="U211" s="128">
        <f ca="1">Yards25[[#This Row],[Estimate]]*0.1</f>
        <v>0</v>
      </c>
      <c r="V211" s="47">
        <f ca="1">Yards25[[#This Row],[Estimate]]-Yards25[[#This Row],[Design Est.]]</f>
        <v>0</v>
      </c>
      <c r="W211" s="85">
        <f ca="1">(Yards25[[#This Row],['# yards]]*INDEX(UnitCosts[],MATCH(Yards25[[#This Row],[WORK TYPE]],UnitCosts[Work Type],0),2))*(1+((Yards25[[#This Row],[est. CONS Year]]-YEAR(TODAY()))*$W$3))</f>
        <v>0</v>
      </c>
      <c r="X211" s="142">
        <f>IF(ISNUMBER(SEARCH("LLC",Yards25[[#This Row],[PROGRAM]])),IF(Yards25[[#This Row],[RAD/PACT by 2025]]="yes",0,1),0)</f>
        <v>0</v>
      </c>
      <c r="Y211" s="1"/>
      <c r="Z211" s="1"/>
      <c r="AA211" s="51">
        <f ca="1">COUNTIF($X$5:Yards25[[#This Row],['# yards]],"&gt;0")</f>
        <v>8</v>
      </c>
      <c r="AB211" s="1">
        <f ca="1">IF(ISBLANK(Yards25[[#This Row],[DSGN CALENDAR YEAR]]),ROUNDDOWN(Yards25[[#This Row],[Count]]/20,0)+$AB$1,Yards25[[#This Row],[DSGN CALENDAR YEAR]])</f>
        <v>2022</v>
      </c>
      <c r="AC211" s="16">
        <f ca="1">Yards25[[#This Row],[est. DSGN Year]]+1</f>
        <v>2023</v>
      </c>
    </row>
    <row r="212" spans="1:29" hidden="1">
      <c r="A212" s="13" t="s">
        <v>81</v>
      </c>
      <c r="B212" s="51" t="str">
        <f>VLOOKUP(Yards25[[#This Row],[DEVELOPMENT]],Data[],2,FALSE)</f>
        <v>MANHATTAN</v>
      </c>
      <c r="C21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212" s="51" t="str">
        <f>VLOOKUP(Yards25[[#This Row],[DEVELOPMENT]],Data[],52,FALSE)</f>
        <v>FEDERAL</v>
      </c>
      <c r="E212" s="50" t="str">
        <f>VLOOKUP(Yards25[[#This Row],[DEVELOPMENT]],Data[],8,FALSE)</f>
        <v>Zone 2</v>
      </c>
      <c r="F212" s="51" t="str">
        <f>VLOOKUP(Yards25[[#This Row],[DEVELOPMENT]],all[[DEVELOPMENT]:[MRST Ext. Comp. Priority]],6,FALSE)</f>
        <v>None</v>
      </c>
      <c r="G212" s="51">
        <f>VLOOKUP(Yards25[[#This Row],[DEVELOPMENT]],all[[DEVELOPMENT]:[MRST Ext. Comp. Priority]],13,FALSE)</f>
        <v>2</v>
      </c>
      <c r="H212" s="50">
        <f>IF(VLOOKUP(Yards25[[#This Row],[DEVELOPMENT]],Data[],9,FALSE)=0,5,VLOOKUP(Yards25[[#This Row],[DEVELOPMENT]],Data[],9,FALSE))</f>
        <v>1</v>
      </c>
      <c r="I212" s="51">
        <f>VLOOKUP(Yards25[[#This Row],[DEVELOPMENT]],Data[],33,FALSE)</f>
        <v>4</v>
      </c>
      <c r="J212" s="51">
        <f>VLOOKUP(Yards25[[#This Row],[DEVELOPMENT]],Data[],28,FALSE)</f>
        <v>0</v>
      </c>
      <c r="K212" s="51"/>
      <c r="L212" s="50"/>
      <c r="M212" s="51" t="str">
        <f ca="1">IFERROR(VLOOKUP(Yards25[[#This Row],[DEVELOPMENT]],Data[],4,FALSE),"")</f>
        <v>2026+</v>
      </c>
      <c r="N212" s="51" t="str">
        <f ca="1">IF(Yards25[[#This Row],[RAD/PACT]]="","",IF(OR(Yards25[[#This Row],[RAD/PACT]]="2022-2025",Yards25[[#This Row],[RAD/PACT]]=2019,Yards25[[#This Row],[RAD/PACT]]="2020-2021"),"Yes",""))</f>
        <v/>
      </c>
      <c r="O212" s="1">
        <f ca="1">IFERROR(VLOOKUP(Yards25[[#This Row],[DEVELOPMENT]],ExtComp[],8,FALSE),"")</f>
        <v>20</v>
      </c>
      <c r="P212" s="1"/>
      <c r="Q212" s="1"/>
      <c r="R212" s="1" t="str">
        <f>IF(ISBLANK(Yards25[[#This Row],[DSGN CALENDAR YEAR]]),"",Yards25[[#This Row],[DSGN CALENDAR YEAR]]+1)</f>
        <v/>
      </c>
      <c r="S212" s="51" t="str">
        <f>IF(ISBLANK(Yards25[[#This Row],[DSGN FISCAL YEAR]]),"",Yards25[[#This Row],[DSGN FISCAL YEAR]]+1)</f>
        <v/>
      </c>
      <c r="T212" s="1"/>
      <c r="U212" s="128">
        <f ca="1">Yards25[[#This Row],[Estimate]]*0.1</f>
        <v>0</v>
      </c>
      <c r="V212" s="47">
        <f ca="1">Yards25[[#This Row],[Estimate]]-Yards25[[#This Row],[Design Est.]]</f>
        <v>0</v>
      </c>
      <c r="W212" s="85">
        <f ca="1">(Yards25[[#This Row],['# yards]]*INDEX(UnitCosts[],MATCH(Yards25[[#This Row],[WORK TYPE]],UnitCosts[Work Type],0),2))*(1+((Yards25[[#This Row],[est. CONS Year]]-YEAR(TODAY()))*$W$3))</f>
        <v>0</v>
      </c>
      <c r="X212" s="142">
        <f>IF(ISNUMBER(SEARCH("LLC",Yards25[[#This Row],[PROGRAM]])),IF(Yards25[[#This Row],[RAD/PACT by 2025]]="yes",0,1),0)</f>
        <v>0</v>
      </c>
      <c r="Y212" s="1"/>
      <c r="Z212" s="1"/>
      <c r="AA212" s="51">
        <f ca="1">COUNTIF($X$5:Yards25[[#This Row],['# yards]],"&gt;0")</f>
        <v>8</v>
      </c>
      <c r="AB212" s="1">
        <f ca="1">IF(ISBLANK(Yards25[[#This Row],[DSGN CALENDAR YEAR]]),ROUNDDOWN(Yards25[[#This Row],[Count]]/20,0)+$AB$1,Yards25[[#This Row],[DSGN CALENDAR YEAR]])</f>
        <v>2022</v>
      </c>
      <c r="AC212" s="16">
        <f ca="1">Yards25[[#This Row],[est. DSGN Year]]+1</f>
        <v>2023</v>
      </c>
    </row>
    <row r="213" spans="1:29" hidden="1">
      <c r="A213" s="13" t="s">
        <v>76</v>
      </c>
      <c r="B213" s="51" t="str">
        <f>VLOOKUP(Yards25[[#This Row],[DEVELOPMENT]],Data[],2,FALSE)</f>
        <v>MANHATTAN</v>
      </c>
      <c r="C21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13" s="51" t="str">
        <f>VLOOKUP(Yards25[[#This Row],[DEVELOPMENT]],Data[],52,FALSE)</f>
        <v>FEDERAL</v>
      </c>
      <c r="E213" s="50" t="str">
        <f>VLOOKUP(Yards25[[#This Row],[DEVELOPMENT]],Data[],8,FALSE)</f>
        <v>Zone 3</v>
      </c>
      <c r="F213" s="51" t="str">
        <f>VLOOKUP(Yards25[[#This Row],[DEVELOPMENT]],all[[DEVELOPMENT]:[MRST Ext. Comp. Priority]],6,FALSE)</f>
        <v>None</v>
      </c>
      <c r="G213" s="51">
        <f>VLOOKUP(Yards25[[#This Row],[DEVELOPMENT]],all[[DEVELOPMENT]:[MRST Ext. Comp. Priority]],13,FALSE)</f>
        <v>3</v>
      </c>
      <c r="H213" s="50">
        <f>IF(VLOOKUP(Yards25[[#This Row],[DEVELOPMENT]],Data[],9,FALSE)=0,5,VLOOKUP(Yards25[[#This Row],[DEVELOPMENT]],Data[],9,FALSE))</f>
        <v>2</v>
      </c>
      <c r="I213" s="51">
        <f>VLOOKUP(Yards25[[#This Row],[DEVELOPMENT]],Data[],33,FALSE)</f>
        <v>0</v>
      </c>
      <c r="J213" s="51">
        <f>VLOOKUP(Yards25[[#This Row],[DEVELOPMENT]],Data[],28,FALSE)</f>
        <v>0</v>
      </c>
      <c r="K213" s="51"/>
      <c r="L213" s="50"/>
      <c r="M213" s="51" t="str">
        <f ca="1">IFERROR(VLOOKUP(Yards25[[#This Row],[DEVELOPMENT]],Data[],4,FALSE),"")</f>
        <v/>
      </c>
      <c r="N213" s="51" t="str">
        <f ca="1">IF(Yards25[[#This Row],[RAD/PACT]]="","",IF(OR(Yards25[[#This Row],[RAD/PACT]]="2022-2025",Yards25[[#This Row],[RAD/PACT]]=2019,Yards25[[#This Row],[RAD/PACT]]="2020-2021"),"Yes",""))</f>
        <v/>
      </c>
      <c r="O213" s="51" t="str">
        <f ca="1">IFERROR(VLOOKUP(Yards25[[#This Row],[DEVELOPMENT]],ExtComp[],8,FALSE),"")</f>
        <v/>
      </c>
      <c r="P213" s="51"/>
      <c r="Q213" s="51"/>
      <c r="R213" s="51" t="str">
        <f>IF(ISBLANK(Yards25[[#This Row],[DSGN CALENDAR YEAR]]),"",Yards25[[#This Row],[DSGN CALENDAR YEAR]]+1)</f>
        <v/>
      </c>
      <c r="S213" s="51" t="str">
        <f>IF(ISBLANK(Yards25[[#This Row],[DSGN FISCAL YEAR]]),"",Yards25[[#This Row],[DSGN FISCAL YEAR]]+1)</f>
        <v/>
      </c>
      <c r="T213" s="51"/>
      <c r="U213" s="128">
        <f ca="1">Yards25[[#This Row],[Estimate]]*0.1</f>
        <v>0</v>
      </c>
      <c r="V213" s="47">
        <f ca="1">Yards25[[#This Row],[Estimate]]-Yards25[[#This Row],[Design Est.]]</f>
        <v>0</v>
      </c>
      <c r="W213" s="85">
        <f ca="1">(Yards25[[#This Row],['# yards]]*INDEX(UnitCosts[],MATCH(Yards25[[#This Row],[WORK TYPE]],UnitCosts[Work Type],0),2))*(1+((Yards25[[#This Row],[est. CONS Year]]-YEAR(TODAY()))*$W$3))</f>
        <v>0</v>
      </c>
      <c r="X213" s="142">
        <f>IF(ISNUMBER(SEARCH("LLC",Yards25[[#This Row],[PROGRAM]])),IF(Yards25[[#This Row],[RAD/PACT by 2025]]="yes",0,1),0)</f>
        <v>0</v>
      </c>
      <c r="Y213" s="1"/>
      <c r="Z213" s="1"/>
      <c r="AA213" s="51">
        <f ca="1">COUNTIF($X$5:Yards25[[#This Row],['# yards]],"&gt;0")</f>
        <v>8</v>
      </c>
      <c r="AB213" s="1">
        <f ca="1">IF(ISBLANK(Yards25[[#This Row],[DSGN CALENDAR YEAR]]),ROUNDDOWN(Yards25[[#This Row],[Count]]/20,0)+$AB$1,Yards25[[#This Row],[DSGN CALENDAR YEAR]])</f>
        <v>2022</v>
      </c>
      <c r="AC213" s="16">
        <f ca="1">Yards25[[#This Row],[est. DSGN Year]]+1</f>
        <v>2023</v>
      </c>
    </row>
    <row r="214" spans="1:29" hidden="1">
      <c r="A214" s="13" t="s">
        <v>97</v>
      </c>
      <c r="B214" s="51" t="str">
        <f>VLOOKUP(Yards25[[#This Row],[DEVELOPMENT]],Data[],2,FALSE)</f>
        <v>BRONX</v>
      </c>
      <c r="C214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14" s="51" t="str">
        <f>VLOOKUP(Yards25[[#This Row],[DEVELOPMENT]],Data[],52,FALSE)</f>
        <v>FEDERAL</v>
      </c>
      <c r="E214" s="50" t="str">
        <f>VLOOKUP(Yards25[[#This Row],[DEVELOPMENT]],Data[],8,FALSE)</f>
        <v>Zone 3</v>
      </c>
      <c r="F214" s="51" t="str">
        <f>VLOOKUP(Yards25[[#This Row],[DEVELOPMENT]],all[[DEVELOPMENT]:[MRST Ext. Comp. Priority]],6,FALSE)</f>
        <v>None</v>
      </c>
      <c r="G214" s="51">
        <f>VLOOKUP(Yards25[[#This Row],[DEVELOPMENT]],all[[DEVELOPMENT]:[MRST Ext. Comp. Priority]],13,FALSE)</f>
        <v>3</v>
      </c>
      <c r="H214" s="50">
        <f>IF(VLOOKUP(Yards25[[#This Row],[DEVELOPMENT]],Data[],9,FALSE)=0,5,VLOOKUP(Yards25[[#This Row],[DEVELOPMENT]],Data[],9,FALSE))</f>
        <v>2</v>
      </c>
      <c r="I214" s="51">
        <f>VLOOKUP(Yards25[[#This Row],[DEVELOPMENT]],Data[],33,FALSE)</f>
        <v>0</v>
      </c>
      <c r="J214" s="51">
        <f>VLOOKUP(Yards25[[#This Row],[DEVELOPMENT]],Data[],28,FALSE)</f>
        <v>0</v>
      </c>
      <c r="K214" s="51"/>
      <c r="L214" s="50"/>
      <c r="M214" s="51" t="str">
        <f ca="1">IFERROR(VLOOKUP(Yards25[[#This Row],[DEVELOPMENT]],Data[],4,FALSE),"")</f>
        <v>2026+</v>
      </c>
      <c r="N214" s="51" t="str">
        <f ca="1">IF(Yards25[[#This Row],[RAD/PACT]]="","",IF(OR(Yards25[[#This Row],[RAD/PACT]]="2022-2025",Yards25[[#This Row],[RAD/PACT]]=2019,Yards25[[#This Row],[RAD/PACT]]="2020-2021"),"Yes",""))</f>
        <v/>
      </c>
      <c r="O214" s="51" t="str">
        <f ca="1">IFERROR(VLOOKUP(Yards25[[#This Row],[DEVELOPMENT]],ExtComp[],8,FALSE),"")</f>
        <v/>
      </c>
      <c r="P214" s="51"/>
      <c r="Q214" s="51"/>
      <c r="R214" s="51" t="str">
        <f>IF(ISBLANK(Yards25[[#This Row],[DSGN CALENDAR YEAR]]),"",Yards25[[#This Row],[DSGN CALENDAR YEAR]]+1)</f>
        <v/>
      </c>
      <c r="S214" s="51" t="str">
        <f>IF(ISBLANK(Yards25[[#This Row],[DSGN FISCAL YEAR]]),"",Yards25[[#This Row],[DSGN FISCAL YEAR]]+1)</f>
        <v/>
      </c>
      <c r="T214" s="51"/>
      <c r="U214" s="128">
        <f ca="1">Yards25[[#This Row],[Estimate]]*0.1</f>
        <v>0</v>
      </c>
      <c r="V214" s="47">
        <f ca="1">Yards25[[#This Row],[Estimate]]-Yards25[[#This Row],[Design Est.]]</f>
        <v>0</v>
      </c>
      <c r="W214" s="85">
        <f ca="1">(Yards25[[#This Row],['# yards]]*INDEX(UnitCosts[],MATCH(Yards25[[#This Row],[WORK TYPE]],UnitCosts[Work Type],0),2))*(1+((Yards25[[#This Row],[est. CONS Year]]-YEAR(TODAY()))*$W$3))</f>
        <v>0</v>
      </c>
      <c r="X214" s="142">
        <f>IF(ISNUMBER(SEARCH("LLC",Yards25[[#This Row],[PROGRAM]])),IF(Yards25[[#This Row],[RAD/PACT by 2025]]="yes",0,1),0)</f>
        <v>0</v>
      </c>
      <c r="Y214" s="1"/>
      <c r="Z214" s="1"/>
      <c r="AA214" s="51">
        <f ca="1">COUNTIF($X$5:Yards25[[#This Row],['# yards]],"&gt;0")</f>
        <v>8</v>
      </c>
      <c r="AB214" s="1">
        <f ca="1">IF(ISBLANK(Yards25[[#This Row],[DSGN CALENDAR YEAR]]),ROUNDDOWN(Yards25[[#This Row],[Count]]/20,0)+$AB$1,Yards25[[#This Row],[DSGN CALENDAR YEAR]])</f>
        <v>2022</v>
      </c>
      <c r="AC214" s="16">
        <f ca="1">Yards25[[#This Row],[est. DSGN Year]]+1</f>
        <v>2023</v>
      </c>
    </row>
    <row r="215" spans="1:29" hidden="1">
      <c r="A215" s="13" t="s">
        <v>71</v>
      </c>
      <c r="B215" s="51" t="str">
        <f>VLOOKUP(Yards25[[#This Row],[DEVELOPMENT]],Data[],2,FALSE)</f>
        <v>MANHATTAN</v>
      </c>
      <c r="C215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15" s="51" t="str">
        <f>VLOOKUP(Yards25[[#This Row],[DEVELOPMENT]],Data[],52,FALSE)</f>
        <v>FEDERAL</v>
      </c>
      <c r="E215" s="50" t="str">
        <f>VLOOKUP(Yards25[[#This Row],[DEVELOPMENT]],Data[],8,FALSE)</f>
        <v>Zone 3</v>
      </c>
      <c r="F215" s="51" t="str">
        <f>VLOOKUP(Yards25[[#This Row],[DEVELOPMENT]],all[[DEVELOPMENT]:[MRST Ext. Comp. Priority]],6,FALSE)</f>
        <v>None</v>
      </c>
      <c r="G215" s="51" t="str">
        <f>VLOOKUP(Yards25[[#This Row],[DEVELOPMENT]],all[[DEVELOPMENT]:[MRST Ext. Comp. Priority]],13,FALSE)</f>
        <v>None</v>
      </c>
      <c r="H215" s="50">
        <f>IF(VLOOKUP(Yards25[[#This Row],[DEVELOPMENT]],Data[],9,FALSE)=0,5,VLOOKUP(Yards25[[#This Row],[DEVELOPMENT]],Data[],9,FALSE))</f>
        <v>3</v>
      </c>
      <c r="I215" s="51">
        <f>VLOOKUP(Yards25[[#This Row],[DEVELOPMENT]],Data[],33,FALSE)</f>
        <v>1</v>
      </c>
      <c r="J215" s="51">
        <f>VLOOKUP(Yards25[[#This Row],[DEVELOPMENT]],Data[],28,FALSE)</f>
        <v>0</v>
      </c>
      <c r="K215" s="51"/>
      <c r="L215" s="50"/>
      <c r="M215" s="51" t="str">
        <f ca="1">IFERROR(VLOOKUP(Yards25[[#This Row],[DEVELOPMENT]],Data[],4,FALSE),"")</f>
        <v>2020-2021</v>
      </c>
      <c r="N215" s="51" t="str">
        <f ca="1">IF(Yards25[[#This Row],[RAD/PACT]]="","",IF(OR(Yards25[[#This Row],[RAD/PACT]]="2022-2025",Yards25[[#This Row],[RAD/PACT]]=2019,Yards25[[#This Row],[RAD/PACT]]="2020-2021"),"Yes",""))</f>
        <v>Yes</v>
      </c>
      <c r="O215" s="51">
        <f ca="1">IFERROR(VLOOKUP(Yards25[[#This Row],[DEVELOPMENT]],ExtComp[],8,FALSE),"")</f>
        <v>20</v>
      </c>
      <c r="P215" s="51"/>
      <c r="Q215" s="51"/>
      <c r="R215" s="51" t="str">
        <f>IF(ISBLANK(Yards25[[#This Row],[DSGN CALENDAR YEAR]]),"",Yards25[[#This Row],[DSGN CALENDAR YEAR]]+1)</f>
        <v/>
      </c>
      <c r="S215" s="51" t="str">
        <f>IF(ISBLANK(Yards25[[#This Row],[DSGN FISCAL YEAR]]),"",Yards25[[#This Row],[DSGN FISCAL YEAR]]+1)</f>
        <v/>
      </c>
      <c r="T215" s="51"/>
      <c r="U215" s="128">
        <f ca="1">Yards25[[#This Row],[Estimate]]*0.1</f>
        <v>0</v>
      </c>
      <c r="V215" s="47">
        <f ca="1">Yards25[[#This Row],[Estimate]]-Yards25[[#This Row],[Design Est.]]</f>
        <v>0</v>
      </c>
      <c r="W215" s="85">
        <f ca="1">(Yards25[[#This Row],['# yards]]*INDEX(UnitCosts[],MATCH(Yards25[[#This Row],[WORK TYPE]],UnitCosts[Work Type],0),2))*(1+((Yards25[[#This Row],[est. CONS Year]]-YEAR(TODAY()))*$W$3))</f>
        <v>0</v>
      </c>
      <c r="X215" s="142">
        <f>IF(ISNUMBER(SEARCH("LLC",Yards25[[#This Row],[PROGRAM]])),IF(Yards25[[#This Row],[RAD/PACT by 2025]]="yes",0,1),0)</f>
        <v>0</v>
      </c>
      <c r="Y215" s="1"/>
      <c r="Z215" s="1"/>
      <c r="AA215" s="51">
        <f ca="1">COUNTIF($X$5:Yards25[[#This Row],['# yards]],"&gt;0")</f>
        <v>8</v>
      </c>
      <c r="AB215" s="1">
        <f ca="1">IF(ISBLANK(Yards25[[#This Row],[DSGN CALENDAR YEAR]]),ROUNDDOWN(Yards25[[#This Row],[Count]]/20,0)+$AB$1,Yards25[[#This Row],[DSGN CALENDAR YEAR]])</f>
        <v>2022</v>
      </c>
      <c r="AC215" s="16">
        <f ca="1">Yards25[[#This Row],[est. DSGN Year]]+1</f>
        <v>2023</v>
      </c>
    </row>
    <row r="216" spans="1:29" hidden="1">
      <c r="A216" s="13" t="s">
        <v>60</v>
      </c>
      <c r="B216" s="51" t="str">
        <f>VLOOKUP(Yards25[[#This Row],[DEVELOPMENT]],Data[],2,FALSE)</f>
        <v>MANHATTAN</v>
      </c>
      <c r="C216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16" s="51" t="str">
        <f>VLOOKUP(Yards25[[#This Row],[DEVELOPMENT]],Data[],52,FALSE)</f>
        <v>FEDERAL</v>
      </c>
      <c r="E216" s="50" t="str">
        <f>VLOOKUP(Yards25[[#This Row],[DEVELOPMENT]],Data[],8,FALSE)</f>
        <v>Zone 1</v>
      </c>
      <c r="F216" s="51" t="str">
        <f>VLOOKUP(Yards25[[#This Row],[DEVELOPMENT]],all[[DEVELOPMENT]:[MRST Ext. Comp. Priority]],6,FALSE)</f>
        <v>None</v>
      </c>
      <c r="G216" s="51">
        <f>VLOOKUP(Yards25[[#This Row],[DEVELOPMENT]],all[[DEVELOPMENT]:[MRST Ext. Comp. Priority]],13,FALSE)</f>
        <v>3</v>
      </c>
      <c r="H216" s="50">
        <f>IF(VLOOKUP(Yards25[[#This Row],[DEVELOPMENT]],Data[],9,FALSE)=0,5,VLOOKUP(Yards25[[#This Row],[DEVELOPMENT]],Data[],9,FALSE))</f>
        <v>3</v>
      </c>
      <c r="I216" s="51">
        <f>VLOOKUP(Yards25[[#This Row],[DEVELOPMENT]],Data[],33,FALSE)</f>
        <v>0</v>
      </c>
      <c r="J216" s="51">
        <f>VLOOKUP(Yards25[[#This Row],[DEVELOPMENT]],Data[],28,FALSE)</f>
        <v>0</v>
      </c>
      <c r="K216" s="51"/>
      <c r="L216" s="50"/>
      <c r="M216" s="51" t="str">
        <f ca="1">IFERROR(VLOOKUP(Yards25[[#This Row],[DEVELOPMENT]],Data[],4,FALSE),"")</f>
        <v>2026+</v>
      </c>
      <c r="N216" s="51" t="str">
        <f ca="1">IF(Yards25[[#This Row],[RAD/PACT]]="","",IF(OR(Yards25[[#This Row],[RAD/PACT]]="2022-2025",Yards25[[#This Row],[RAD/PACT]]=2019,Yards25[[#This Row],[RAD/PACT]]="2020-2021"),"Yes",""))</f>
        <v/>
      </c>
      <c r="O216" s="51" t="str">
        <f ca="1">IFERROR(VLOOKUP(Yards25[[#This Row],[DEVELOPMENT]],ExtComp[],8,FALSE),"")</f>
        <v/>
      </c>
      <c r="P216" s="51"/>
      <c r="Q216" s="51"/>
      <c r="R216" s="51" t="str">
        <f>IF(ISBLANK(Yards25[[#This Row],[DSGN CALENDAR YEAR]]),"",Yards25[[#This Row],[DSGN CALENDAR YEAR]]+1)</f>
        <v/>
      </c>
      <c r="S216" s="51" t="str">
        <f>IF(ISBLANK(Yards25[[#This Row],[DSGN FISCAL YEAR]]),"",Yards25[[#This Row],[DSGN FISCAL YEAR]]+1)</f>
        <v/>
      </c>
      <c r="T216" s="51"/>
      <c r="U216" s="128">
        <f ca="1">Yards25[[#This Row],[Estimate]]*0.1</f>
        <v>0</v>
      </c>
      <c r="V216" s="47">
        <f ca="1">Yards25[[#This Row],[Estimate]]-Yards25[[#This Row],[Design Est.]]</f>
        <v>0</v>
      </c>
      <c r="W216" s="85">
        <f ca="1">(Yards25[[#This Row],['# yards]]*INDEX(UnitCosts[],MATCH(Yards25[[#This Row],[WORK TYPE]],UnitCosts[Work Type],0),2))*(1+((Yards25[[#This Row],[est. CONS Year]]-YEAR(TODAY()))*$W$3))</f>
        <v>0</v>
      </c>
      <c r="X216" s="142">
        <f>IF(ISNUMBER(SEARCH("LLC",Yards25[[#This Row],[PROGRAM]])),IF(Yards25[[#This Row],[RAD/PACT by 2025]]="yes",0,1),0)</f>
        <v>0</v>
      </c>
      <c r="Y216" s="1"/>
      <c r="Z216" s="1"/>
      <c r="AA216" s="51">
        <f ca="1">COUNTIF($X$5:Yards25[[#This Row],['# yards]],"&gt;0")</f>
        <v>8</v>
      </c>
      <c r="AB216" s="1">
        <f ca="1">IF(ISBLANK(Yards25[[#This Row],[DSGN CALENDAR YEAR]]),ROUNDDOWN(Yards25[[#This Row],[Count]]/20,0)+$AB$1,Yards25[[#This Row],[DSGN CALENDAR YEAR]])</f>
        <v>2022</v>
      </c>
      <c r="AC216" s="16">
        <f ca="1">Yards25[[#This Row],[est. DSGN Year]]+1</f>
        <v>2023</v>
      </c>
    </row>
    <row r="217" spans="1:29" hidden="1">
      <c r="A217" s="13" t="s">
        <v>64</v>
      </c>
      <c r="B217" s="51" t="str">
        <f>VLOOKUP(Yards25[[#This Row],[DEVELOPMENT]],Data[],2,FALSE)</f>
        <v>MANHATTAN</v>
      </c>
      <c r="C217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17" s="51" t="str">
        <f>VLOOKUP(Yards25[[#This Row],[DEVELOPMENT]],Data[],52,FALSE)</f>
        <v>FEDERAL</v>
      </c>
      <c r="E217" s="50" t="str">
        <f>VLOOKUP(Yards25[[#This Row],[DEVELOPMENT]],Data[],8,FALSE)</f>
        <v>Zone 1</v>
      </c>
      <c r="F217" s="51" t="str">
        <f>VLOOKUP(Yards25[[#This Row],[DEVELOPMENT]],all[[DEVELOPMENT]:[MRST Ext. Comp. Priority]],6,FALSE)</f>
        <v>None</v>
      </c>
      <c r="G217" s="51">
        <f>VLOOKUP(Yards25[[#This Row],[DEVELOPMENT]],all[[DEVELOPMENT]:[MRST Ext. Comp. Priority]],13,FALSE)</f>
        <v>4</v>
      </c>
      <c r="H217" s="50">
        <f>IF(VLOOKUP(Yards25[[#This Row],[DEVELOPMENT]],Data[],9,FALSE)=0,5,VLOOKUP(Yards25[[#This Row],[DEVELOPMENT]],Data[],9,FALSE))</f>
        <v>3</v>
      </c>
      <c r="I217" s="51">
        <f>VLOOKUP(Yards25[[#This Row],[DEVELOPMENT]],Data[],33,FALSE)</f>
        <v>0</v>
      </c>
      <c r="J217" s="51">
        <f>VLOOKUP(Yards25[[#This Row],[DEVELOPMENT]],Data[],28,FALSE)</f>
        <v>0</v>
      </c>
      <c r="K217" s="51"/>
      <c r="L217" s="50"/>
      <c r="M217" s="51" t="str">
        <f ca="1">IFERROR(VLOOKUP(Yards25[[#This Row],[DEVELOPMENT]],Data[],4,FALSE),"")</f>
        <v>2026+</v>
      </c>
      <c r="N217" s="51" t="str">
        <f ca="1">IF(Yards25[[#This Row],[RAD/PACT]]="","",IF(OR(Yards25[[#This Row],[RAD/PACT]]="2022-2025",Yards25[[#This Row],[RAD/PACT]]=2019,Yards25[[#This Row],[RAD/PACT]]="2020-2021"),"Yes",""))</f>
        <v/>
      </c>
      <c r="O217" s="51" t="str">
        <f ca="1">IFERROR(VLOOKUP(Yards25[[#This Row],[DEVELOPMENT]],ExtComp[],8,FALSE),"")</f>
        <v/>
      </c>
      <c r="P217" s="51"/>
      <c r="Q217" s="51"/>
      <c r="R217" s="51" t="str">
        <f>IF(ISBLANK(Yards25[[#This Row],[DSGN CALENDAR YEAR]]),"",Yards25[[#This Row],[DSGN CALENDAR YEAR]]+1)</f>
        <v/>
      </c>
      <c r="S217" s="51" t="str">
        <f>IF(ISBLANK(Yards25[[#This Row],[DSGN FISCAL YEAR]]),"",Yards25[[#This Row],[DSGN FISCAL YEAR]]+1)</f>
        <v/>
      </c>
      <c r="T217" s="51"/>
      <c r="U217" s="128">
        <f ca="1">Yards25[[#This Row],[Estimate]]*0.1</f>
        <v>0</v>
      </c>
      <c r="V217" s="47">
        <f ca="1">Yards25[[#This Row],[Estimate]]-Yards25[[#This Row],[Design Est.]]</f>
        <v>0</v>
      </c>
      <c r="W217" s="85">
        <f ca="1">(Yards25[[#This Row],['# yards]]*INDEX(UnitCosts[],MATCH(Yards25[[#This Row],[WORK TYPE]],UnitCosts[Work Type],0),2))*(1+((Yards25[[#This Row],[est. CONS Year]]-YEAR(TODAY()))*$W$3))</f>
        <v>0</v>
      </c>
      <c r="X217" s="142">
        <f>IF(ISNUMBER(SEARCH("LLC",Yards25[[#This Row],[PROGRAM]])),IF(Yards25[[#This Row],[RAD/PACT by 2025]]="yes",0,1),0)</f>
        <v>0</v>
      </c>
      <c r="Y217" s="1"/>
      <c r="Z217" s="1"/>
      <c r="AA217" s="51">
        <f ca="1">COUNTIF($X$5:Yards25[[#This Row],['# yards]],"&gt;0")</f>
        <v>8</v>
      </c>
      <c r="AB217" s="1">
        <f ca="1">IF(ISBLANK(Yards25[[#This Row],[DSGN CALENDAR YEAR]]),ROUNDDOWN(Yards25[[#This Row],[Count]]/20,0)+$AB$1,Yards25[[#This Row],[DSGN CALENDAR YEAR]])</f>
        <v>2022</v>
      </c>
      <c r="AC217" s="16">
        <f ca="1">Yards25[[#This Row],[est. DSGN Year]]+1</f>
        <v>2023</v>
      </c>
    </row>
    <row r="218" spans="1:29" hidden="1">
      <c r="A218" s="13" t="s">
        <v>93</v>
      </c>
      <c r="B218" s="51" t="str">
        <f>VLOOKUP(Yards25[[#This Row],[DEVELOPMENT]],Data[],2,FALSE)</f>
        <v>MANHATTAN</v>
      </c>
      <c r="C218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18" s="51" t="str">
        <f>VLOOKUP(Yards25[[#This Row],[DEVELOPMENT]],Data[],52,FALSE)</f>
        <v>FEDERAL</v>
      </c>
      <c r="E218" s="50" t="str">
        <f>VLOOKUP(Yards25[[#This Row],[DEVELOPMENT]],Data[],8,FALSE)</f>
        <v>Zone 3</v>
      </c>
      <c r="F218" s="51" t="str">
        <f>VLOOKUP(Yards25[[#This Row],[DEVELOPMENT]],all[[DEVELOPMENT]:[MRST Ext. Comp. Priority]],6,FALSE)</f>
        <v>None</v>
      </c>
      <c r="G218" s="51" t="str">
        <f>VLOOKUP(Yards25[[#This Row],[DEVELOPMENT]],all[[DEVELOPMENT]:[MRST Ext. Comp. Priority]],13,FALSE)</f>
        <v>None</v>
      </c>
      <c r="H218" s="50">
        <f>IF(VLOOKUP(Yards25[[#This Row],[DEVELOPMENT]],Data[],9,FALSE)=0,5,VLOOKUP(Yards25[[#This Row],[DEVELOPMENT]],Data[],9,FALSE))</f>
        <v>3</v>
      </c>
      <c r="I218" s="51">
        <f>VLOOKUP(Yards25[[#This Row],[DEVELOPMENT]],Data[],33,FALSE)</f>
        <v>0</v>
      </c>
      <c r="J218" s="51">
        <f>VLOOKUP(Yards25[[#This Row],[DEVELOPMENT]],Data[],28,FALSE)</f>
        <v>0</v>
      </c>
      <c r="K218" s="51"/>
      <c r="L218" s="50"/>
      <c r="M218" s="51" t="str">
        <f ca="1">IFERROR(VLOOKUP(Yards25[[#This Row],[DEVELOPMENT]],Data[],4,FALSE),"")</f>
        <v>2020-2021</v>
      </c>
      <c r="N218" s="51" t="str">
        <f ca="1">IF(Yards25[[#This Row],[RAD/PACT]]="","",IF(OR(Yards25[[#This Row],[RAD/PACT]]="2022-2025",Yards25[[#This Row],[RAD/PACT]]=2019,Yards25[[#This Row],[RAD/PACT]]="2020-2021"),"Yes",""))</f>
        <v>Yes</v>
      </c>
      <c r="O218" s="51" t="str">
        <f ca="1">IFERROR(VLOOKUP(Yards25[[#This Row],[DEVELOPMENT]],ExtComp[],8,FALSE),"")</f>
        <v/>
      </c>
      <c r="P218" s="51"/>
      <c r="Q218" s="51"/>
      <c r="R218" s="51" t="str">
        <f>IF(ISBLANK(Yards25[[#This Row],[DSGN CALENDAR YEAR]]),"",Yards25[[#This Row],[DSGN CALENDAR YEAR]]+1)</f>
        <v/>
      </c>
      <c r="S218" s="51" t="str">
        <f>IF(ISBLANK(Yards25[[#This Row],[DSGN FISCAL YEAR]]),"",Yards25[[#This Row],[DSGN FISCAL YEAR]]+1)</f>
        <v/>
      </c>
      <c r="T218" s="51"/>
      <c r="U218" s="128">
        <f ca="1">Yards25[[#This Row],[Estimate]]*0.1</f>
        <v>0</v>
      </c>
      <c r="V218" s="47">
        <f ca="1">Yards25[[#This Row],[Estimate]]-Yards25[[#This Row],[Design Est.]]</f>
        <v>0</v>
      </c>
      <c r="W218" s="85">
        <f ca="1">(Yards25[[#This Row],['# yards]]*INDEX(UnitCosts[],MATCH(Yards25[[#This Row],[WORK TYPE]],UnitCosts[Work Type],0),2))*(1+((Yards25[[#This Row],[est. CONS Year]]-YEAR(TODAY()))*$W$3))</f>
        <v>0</v>
      </c>
      <c r="X218" s="142">
        <f>IF(ISNUMBER(SEARCH("LLC",Yards25[[#This Row],[PROGRAM]])),IF(Yards25[[#This Row],[RAD/PACT by 2025]]="yes",0,1),0)</f>
        <v>0</v>
      </c>
      <c r="Y218" s="1"/>
      <c r="Z218" s="1"/>
      <c r="AA218" s="51">
        <f ca="1">COUNTIF($X$5:Yards25[[#This Row],['# yards]],"&gt;0")</f>
        <v>8</v>
      </c>
      <c r="AB218" s="1">
        <f ca="1">IF(ISBLANK(Yards25[[#This Row],[DSGN CALENDAR YEAR]]),ROUNDDOWN(Yards25[[#This Row],[Count]]/20,0)+$AB$1,Yards25[[#This Row],[DSGN CALENDAR YEAR]])</f>
        <v>2022</v>
      </c>
      <c r="AC218" s="16">
        <f ca="1">Yards25[[#This Row],[est. DSGN Year]]+1</f>
        <v>2023</v>
      </c>
    </row>
    <row r="219" spans="1:29" hidden="1">
      <c r="A219" s="13" t="s">
        <v>107</v>
      </c>
      <c r="B219" s="51" t="str">
        <f>VLOOKUP(Yards25[[#This Row],[DEVELOPMENT]],Data[],2,FALSE)</f>
        <v>MANHATTAN</v>
      </c>
      <c r="C219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19" s="51" t="str">
        <f>VLOOKUP(Yards25[[#This Row],[DEVELOPMENT]],Data[],52,FALSE)</f>
        <v>FEDERAL</v>
      </c>
      <c r="E219" s="50" t="str">
        <f>VLOOKUP(Yards25[[#This Row],[DEVELOPMENT]],Data[],8,FALSE)</f>
        <v>Zone 2</v>
      </c>
      <c r="F219" s="51" t="str">
        <f>VLOOKUP(Yards25[[#This Row],[DEVELOPMENT]],all[[DEVELOPMENT]:[MRST Ext. Comp. Priority]],6,FALSE)</f>
        <v>None</v>
      </c>
      <c r="G219" s="51">
        <f>VLOOKUP(Yards25[[#This Row],[DEVELOPMENT]],all[[DEVELOPMENT]:[MRST Ext. Comp. Priority]],13,FALSE)</f>
        <v>3</v>
      </c>
      <c r="H219" s="50">
        <f>IF(VLOOKUP(Yards25[[#This Row],[DEVELOPMENT]],Data[],9,FALSE)=0,5,VLOOKUP(Yards25[[#This Row],[DEVELOPMENT]],Data[],9,FALSE))</f>
        <v>3</v>
      </c>
      <c r="I219" s="51">
        <f>VLOOKUP(Yards25[[#This Row],[DEVELOPMENT]],Data[],33,FALSE)</f>
        <v>0</v>
      </c>
      <c r="J219" s="51">
        <f>VLOOKUP(Yards25[[#This Row],[DEVELOPMENT]],Data[],28,FALSE)</f>
        <v>0</v>
      </c>
      <c r="K219" s="51"/>
      <c r="L219" s="50"/>
      <c r="M219" s="51" t="str">
        <f ca="1">IFERROR(VLOOKUP(Yards25[[#This Row],[DEVELOPMENT]],Data[],4,FALSE),"")</f>
        <v/>
      </c>
      <c r="N219" s="51" t="str">
        <f ca="1">IF(Yards25[[#This Row],[RAD/PACT]]="","",IF(OR(Yards25[[#This Row],[RAD/PACT]]="2022-2025",Yards25[[#This Row],[RAD/PACT]]=2019,Yards25[[#This Row],[RAD/PACT]]="2020-2021"),"Yes",""))</f>
        <v/>
      </c>
      <c r="O219" s="51">
        <f ca="1">IFERROR(VLOOKUP(Yards25[[#This Row],[DEVELOPMENT]],ExtComp[],8,FALSE),"")</f>
        <v>13</v>
      </c>
      <c r="P219" s="51"/>
      <c r="Q219" s="51"/>
      <c r="R219" s="51" t="str">
        <f>IF(ISBLANK(Yards25[[#This Row],[DSGN CALENDAR YEAR]]),"",Yards25[[#This Row],[DSGN CALENDAR YEAR]]+1)</f>
        <v/>
      </c>
      <c r="S219" s="51" t="str">
        <f>IF(ISBLANK(Yards25[[#This Row],[DSGN FISCAL YEAR]]),"",Yards25[[#This Row],[DSGN FISCAL YEAR]]+1)</f>
        <v/>
      </c>
      <c r="T219" s="51"/>
      <c r="U219" s="128">
        <f ca="1">Yards25[[#This Row],[Estimate]]*0.1</f>
        <v>0</v>
      </c>
      <c r="V219" s="47">
        <f ca="1">Yards25[[#This Row],[Estimate]]-Yards25[[#This Row],[Design Est.]]</f>
        <v>0</v>
      </c>
      <c r="W219" s="85">
        <f ca="1">(Yards25[[#This Row],['# yards]]*INDEX(UnitCosts[],MATCH(Yards25[[#This Row],[WORK TYPE]],UnitCosts[Work Type],0),2))*(1+((Yards25[[#This Row],[est. CONS Year]]-YEAR(TODAY()))*$W$3))</f>
        <v>0</v>
      </c>
      <c r="X219" s="142">
        <f>IF(ISNUMBER(SEARCH("LLC",Yards25[[#This Row],[PROGRAM]])),IF(Yards25[[#This Row],[RAD/PACT by 2025]]="yes",0,1),0)</f>
        <v>0</v>
      </c>
      <c r="Y219" s="1"/>
      <c r="Z219" s="1"/>
      <c r="AA219" s="51">
        <f ca="1">COUNTIF($X$5:Yards25[[#This Row],['# yards]],"&gt;0")</f>
        <v>8</v>
      </c>
      <c r="AB219" s="1">
        <f ca="1">IF(ISBLANK(Yards25[[#This Row],[DSGN CALENDAR YEAR]]),ROUNDDOWN(Yards25[[#This Row],[Count]]/20,0)+$AB$1,Yards25[[#This Row],[DSGN CALENDAR YEAR]])</f>
        <v>2022</v>
      </c>
      <c r="AC219" s="16">
        <f ca="1">Yards25[[#This Row],[est. DSGN Year]]+1</f>
        <v>2023</v>
      </c>
    </row>
    <row r="220" spans="1:29" hidden="1">
      <c r="A220" s="13" t="s">
        <v>95</v>
      </c>
      <c r="B220" s="51" t="str">
        <f>VLOOKUP(Yards25[[#This Row],[DEVELOPMENT]],Data[],2,FALSE)</f>
        <v>MANHATTAN</v>
      </c>
      <c r="C220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20" s="51" t="str">
        <f>VLOOKUP(Yards25[[#This Row],[DEVELOPMENT]],Data[],52,FALSE)</f>
        <v>MIXED FINANCE/LLC1</v>
      </c>
      <c r="E220" s="50" t="str">
        <f>VLOOKUP(Yards25[[#This Row],[DEVELOPMENT]],Data[],8,FALSE)</f>
        <v>Zone 2</v>
      </c>
      <c r="F220" s="51" t="str">
        <f>VLOOKUP(Yards25[[#This Row],[DEVELOPMENT]],all[[DEVELOPMENT]:[MRST Ext. Comp. Priority]],6,FALSE)</f>
        <v>None</v>
      </c>
      <c r="G220" s="51">
        <f>VLOOKUP(Yards25[[#This Row],[DEVELOPMENT]],all[[DEVELOPMENT]:[MRST Ext. Comp. Priority]],13,FALSE)</f>
        <v>2</v>
      </c>
      <c r="H220" s="50">
        <f>IF(VLOOKUP(Yards25[[#This Row],[DEVELOPMENT]],Data[],9,FALSE)=0,5,VLOOKUP(Yards25[[#This Row],[DEVELOPMENT]],Data[],9,FALSE))</f>
        <v>3</v>
      </c>
      <c r="I220" s="51">
        <f>VLOOKUP(Yards25[[#This Row],[DEVELOPMENT]],Data[],33,FALSE)</f>
        <v>0</v>
      </c>
      <c r="J220" s="51">
        <f>VLOOKUP(Yards25[[#This Row],[DEVELOPMENT]],Data[],28,FALSE)</f>
        <v>0</v>
      </c>
      <c r="K220" s="51"/>
      <c r="L220" s="50"/>
      <c r="M220" s="51" t="str">
        <f ca="1">IFERROR(VLOOKUP(Yards25[[#This Row],[DEVELOPMENT]],Data[],4,FALSE),"")</f>
        <v>2020-2021</v>
      </c>
      <c r="N220" s="51" t="str">
        <f ca="1">IF(Yards25[[#This Row],[RAD/PACT]]="","",IF(OR(Yards25[[#This Row],[RAD/PACT]]="2022-2025",Yards25[[#This Row],[RAD/PACT]]=2019,Yards25[[#This Row],[RAD/PACT]]="2020-2021"),"Yes",""))</f>
        <v>Yes</v>
      </c>
      <c r="O220" s="51" t="str">
        <f ca="1">IFERROR(VLOOKUP(Yards25[[#This Row],[DEVELOPMENT]],ExtComp[],8,FALSE),"")</f>
        <v/>
      </c>
      <c r="P220" s="51"/>
      <c r="Q220" s="51"/>
      <c r="R220" s="51" t="str">
        <f>IF(ISBLANK(Yards25[[#This Row],[DSGN CALENDAR YEAR]]),"",Yards25[[#This Row],[DSGN CALENDAR YEAR]]+1)</f>
        <v/>
      </c>
      <c r="S220" s="51" t="str">
        <f>IF(ISBLANK(Yards25[[#This Row],[DSGN FISCAL YEAR]]),"",Yards25[[#This Row],[DSGN FISCAL YEAR]]+1)</f>
        <v/>
      </c>
      <c r="T220" s="51"/>
      <c r="U220" s="128">
        <f ca="1">Yards25[[#This Row],[Estimate]]*0.1</f>
        <v>0</v>
      </c>
      <c r="V220" s="47">
        <f ca="1">Yards25[[#This Row],[Estimate]]-Yards25[[#This Row],[Design Est.]]</f>
        <v>0</v>
      </c>
      <c r="W220" s="85">
        <f ca="1">(Yards25[[#This Row],['# yards]]*INDEX(UnitCosts[],MATCH(Yards25[[#This Row],[WORK TYPE]],UnitCosts[Work Type],0),2))*(1+((Yards25[[#This Row],[est. CONS Year]]-YEAR(TODAY()))*$W$3))</f>
        <v>0</v>
      </c>
      <c r="X220" s="142">
        <f ca="1">IF(ISNUMBER(SEARCH("LLC",Yards25[[#This Row],[PROGRAM]])),IF(Yards25[[#This Row],[RAD/PACT by 2025]]="yes",0,1),0)</f>
        <v>0</v>
      </c>
      <c r="Y220" s="1"/>
      <c r="Z220" s="1"/>
      <c r="AA220" s="51">
        <f ca="1">COUNTIF($X$5:Yards25[[#This Row],['# yards]],"&gt;0")</f>
        <v>8</v>
      </c>
      <c r="AB220" s="1">
        <f ca="1">IF(ISBLANK(Yards25[[#This Row],[DSGN CALENDAR YEAR]]),ROUNDDOWN(Yards25[[#This Row],[Count]]/20,0)+$AB$1,Yards25[[#This Row],[DSGN CALENDAR YEAR]])</f>
        <v>2022</v>
      </c>
      <c r="AC220" s="16">
        <f ca="1">Yards25[[#This Row],[est. DSGN Year]]+1</f>
        <v>2023</v>
      </c>
    </row>
    <row r="221" spans="1:29" hidden="1">
      <c r="A221" s="13" t="s">
        <v>96</v>
      </c>
      <c r="B221" s="51" t="str">
        <f>VLOOKUP(Yards25[[#This Row],[DEVELOPMENT]],Data[],2,FALSE)</f>
        <v>BRONX</v>
      </c>
      <c r="C22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21" s="51" t="str">
        <f>VLOOKUP(Yards25[[#This Row],[DEVELOPMENT]],Data[],52,FALSE)</f>
        <v>FEDERAL</v>
      </c>
      <c r="E221" s="50" t="str">
        <f>VLOOKUP(Yards25[[#This Row],[DEVELOPMENT]],Data[],8,FALSE)</f>
        <v>Zone 3</v>
      </c>
      <c r="F221" s="51" t="str">
        <f>VLOOKUP(Yards25[[#This Row],[DEVELOPMENT]],all[[DEVELOPMENT]:[MRST Ext. Comp. Priority]],6,FALSE)</f>
        <v>None</v>
      </c>
      <c r="G221" s="51">
        <f>VLOOKUP(Yards25[[#This Row],[DEVELOPMENT]],all[[DEVELOPMENT]:[MRST Ext. Comp. Priority]],13,FALSE)</f>
        <v>2</v>
      </c>
      <c r="H221" s="50">
        <f>IF(VLOOKUP(Yards25[[#This Row],[DEVELOPMENT]],Data[],9,FALSE)=0,5,VLOOKUP(Yards25[[#This Row],[DEVELOPMENT]],Data[],9,FALSE))</f>
        <v>3</v>
      </c>
      <c r="I221" s="51">
        <f>VLOOKUP(Yards25[[#This Row],[DEVELOPMENT]],Data[],33,FALSE)</f>
        <v>0</v>
      </c>
      <c r="J221" s="51">
        <f>VLOOKUP(Yards25[[#This Row],[DEVELOPMENT]],Data[],28,FALSE)</f>
        <v>0</v>
      </c>
      <c r="K221" s="51"/>
      <c r="L221" s="50"/>
      <c r="M221" s="51" t="str">
        <f ca="1">IFERROR(VLOOKUP(Yards25[[#This Row],[DEVELOPMENT]],Data[],4,FALSE),"")</f>
        <v>2026+</v>
      </c>
      <c r="N221" s="51" t="str">
        <f ca="1">IF(Yards25[[#This Row],[RAD/PACT]]="","",IF(OR(Yards25[[#This Row],[RAD/PACT]]="2022-2025",Yards25[[#This Row],[RAD/PACT]]=2019,Yards25[[#This Row],[RAD/PACT]]="2020-2021"),"Yes",""))</f>
        <v/>
      </c>
      <c r="O221" s="51" t="str">
        <f ca="1">IFERROR(VLOOKUP(Yards25[[#This Row],[DEVELOPMENT]],ExtComp[],8,FALSE),"")</f>
        <v/>
      </c>
      <c r="P221" s="51"/>
      <c r="Q221" s="51"/>
      <c r="R221" s="51" t="str">
        <f>IF(ISBLANK(Yards25[[#This Row],[DSGN CALENDAR YEAR]]),"",Yards25[[#This Row],[DSGN CALENDAR YEAR]]+1)</f>
        <v/>
      </c>
      <c r="S221" s="51" t="str">
        <f>IF(ISBLANK(Yards25[[#This Row],[DSGN FISCAL YEAR]]),"",Yards25[[#This Row],[DSGN FISCAL YEAR]]+1)</f>
        <v/>
      </c>
      <c r="T221" s="51"/>
      <c r="U221" s="128">
        <f ca="1">Yards25[[#This Row],[Estimate]]*0.1</f>
        <v>0</v>
      </c>
      <c r="V221" s="47">
        <f ca="1">Yards25[[#This Row],[Estimate]]-Yards25[[#This Row],[Design Est.]]</f>
        <v>0</v>
      </c>
      <c r="W221" s="85">
        <f ca="1">(Yards25[[#This Row],['# yards]]*INDEX(UnitCosts[],MATCH(Yards25[[#This Row],[WORK TYPE]],UnitCosts[Work Type],0),2))*(1+((Yards25[[#This Row],[est. CONS Year]]-YEAR(TODAY()))*$W$3))</f>
        <v>0</v>
      </c>
      <c r="X221" s="142">
        <f>IF(ISNUMBER(SEARCH("LLC",Yards25[[#This Row],[PROGRAM]])),IF(Yards25[[#This Row],[RAD/PACT by 2025]]="yes",0,1),0)</f>
        <v>0</v>
      </c>
      <c r="Y221" s="1"/>
      <c r="Z221" s="1"/>
      <c r="AA221" s="51">
        <f ca="1">COUNTIF($X$5:Yards25[[#This Row],['# yards]],"&gt;0")</f>
        <v>8</v>
      </c>
      <c r="AB221" s="1">
        <f ca="1">IF(ISBLANK(Yards25[[#This Row],[DSGN CALENDAR YEAR]]),ROUNDDOWN(Yards25[[#This Row],[Count]]/20,0)+$AB$1,Yards25[[#This Row],[DSGN CALENDAR YEAR]])</f>
        <v>2022</v>
      </c>
      <c r="AC221" s="16">
        <f ca="1">Yards25[[#This Row],[est. DSGN Year]]+1</f>
        <v>2023</v>
      </c>
    </row>
    <row r="222" spans="1:29" hidden="1">
      <c r="A222" s="13" t="s">
        <v>67</v>
      </c>
      <c r="B222" s="51" t="str">
        <f>VLOOKUP(Yards25[[#This Row],[DEVELOPMENT]],Data[],2,FALSE)</f>
        <v>MANHATTAN</v>
      </c>
      <c r="C222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22" s="51" t="str">
        <f>VLOOKUP(Yards25[[#This Row],[DEVELOPMENT]],Data[],52,FALSE)</f>
        <v>FEDERAL</v>
      </c>
      <c r="E222" s="50" t="str">
        <f>VLOOKUP(Yards25[[#This Row],[DEVELOPMENT]],Data[],8,FALSE)</f>
        <v>Zone 2</v>
      </c>
      <c r="F222" s="51" t="str">
        <f>VLOOKUP(Yards25[[#This Row],[DEVELOPMENT]],all[[DEVELOPMENT]:[MRST Ext. Comp. Priority]],6,FALSE)</f>
        <v>None</v>
      </c>
      <c r="G222" s="51">
        <f>VLOOKUP(Yards25[[#This Row],[DEVELOPMENT]],all[[DEVELOPMENT]:[MRST Ext. Comp. Priority]],13,FALSE)</f>
        <v>4</v>
      </c>
      <c r="H222" s="50">
        <f>IF(VLOOKUP(Yards25[[#This Row],[DEVELOPMENT]],Data[],9,FALSE)=0,5,VLOOKUP(Yards25[[#This Row],[DEVELOPMENT]],Data[],9,FALSE))</f>
        <v>4</v>
      </c>
      <c r="I222" s="51">
        <f>VLOOKUP(Yards25[[#This Row],[DEVELOPMENT]],Data[],33,FALSE)</f>
        <v>0</v>
      </c>
      <c r="J222" s="51">
        <f>VLOOKUP(Yards25[[#This Row],[DEVELOPMENT]],Data[],28,FALSE)</f>
        <v>0</v>
      </c>
      <c r="K222" s="51"/>
      <c r="L222" s="50"/>
      <c r="M222" s="51" t="str">
        <f ca="1">IFERROR(VLOOKUP(Yards25[[#This Row],[DEVELOPMENT]],Data[],4,FALSE),"")</f>
        <v>2026+</v>
      </c>
      <c r="N222" s="51" t="str">
        <f ca="1">IF(Yards25[[#This Row],[RAD/PACT]]="","",IF(OR(Yards25[[#This Row],[RAD/PACT]]="2022-2025",Yards25[[#This Row],[RAD/PACT]]=2019,Yards25[[#This Row],[RAD/PACT]]="2020-2021"),"Yes",""))</f>
        <v/>
      </c>
      <c r="O222" s="51" t="str">
        <f ca="1">IFERROR(VLOOKUP(Yards25[[#This Row],[DEVELOPMENT]],ExtComp[],8,FALSE),"")</f>
        <v/>
      </c>
      <c r="P222" s="51"/>
      <c r="Q222" s="51"/>
      <c r="R222" s="51" t="str">
        <f>IF(ISBLANK(Yards25[[#This Row],[DSGN CALENDAR YEAR]]),"",Yards25[[#This Row],[DSGN CALENDAR YEAR]]+1)</f>
        <v/>
      </c>
      <c r="S222" s="51" t="str">
        <f>IF(ISBLANK(Yards25[[#This Row],[DSGN FISCAL YEAR]]),"",Yards25[[#This Row],[DSGN FISCAL YEAR]]+1)</f>
        <v/>
      </c>
      <c r="T222" s="51"/>
      <c r="U222" s="128">
        <f ca="1">Yards25[[#This Row],[Estimate]]*0.1</f>
        <v>0</v>
      </c>
      <c r="V222" s="47">
        <f ca="1">Yards25[[#This Row],[Estimate]]-Yards25[[#This Row],[Design Est.]]</f>
        <v>0</v>
      </c>
      <c r="W222" s="85">
        <f ca="1">(Yards25[[#This Row],['# yards]]*INDEX(UnitCosts[],MATCH(Yards25[[#This Row],[WORK TYPE]],UnitCosts[Work Type],0),2))*(1+((Yards25[[#This Row],[est. CONS Year]]-YEAR(TODAY()))*$W$3))</f>
        <v>0</v>
      </c>
      <c r="X222" s="142">
        <f>IF(ISNUMBER(SEARCH("LLC",Yards25[[#This Row],[PROGRAM]])),IF(Yards25[[#This Row],[RAD/PACT by 2025]]="yes",0,1),0)</f>
        <v>0</v>
      </c>
      <c r="Y222" s="1"/>
      <c r="Z222" s="1"/>
      <c r="AA222" s="51">
        <f ca="1">COUNTIF($X$5:Yards25[[#This Row],['# yards]],"&gt;0")</f>
        <v>8</v>
      </c>
      <c r="AB222" s="1">
        <f ca="1">IF(ISBLANK(Yards25[[#This Row],[DSGN CALENDAR YEAR]]),ROUNDDOWN(Yards25[[#This Row],[Count]]/20,0)+$AB$1,Yards25[[#This Row],[DSGN CALENDAR YEAR]])</f>
        <v>2022</v>
      </c>
      <c r="AC222" s="16">
        <f ca="1">Yards25[[#This Row],[est. DSGN Year]]+1</f>
        <v>2023</v>
      </c>
    </row>
    <row r="223" spans="1:29" hidden="1">
      <c r="A223" s="13" t="s">
        <v>69</v>
      </c>
      <c r="B223" s="51" t="str">
        <f>VLOOKUP(Yards25[[#This Row],[DEVELOPMENT]],Data[],2,FALSE)</f>
        <v>MANHATTAN</v>
      </c>
      <c r="C22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23" s="51" t="str">
        <f>VLOOKUP(Yards25[[#This Row],[DEVELOPMENT]],Data[],52,FALSE)</f>
        <v>FEDERAL</v>
      </c>
      <c r="E223" s="50" t="str">
        <f>VLOOKUP(Yards25[[#This Row],[DEVELOPMENT]],Data[],8,FALSE)</f>
        <v>Zone 3</v>
      </c>
      <c r="F223" s="51" t="str">
        <f>VLOOKUP(Yards25[[#This Row],[DEVELOPMENT]],all[[DEVELOPMENT]:[MRST Ext. Comp. Priority]],6,FALSE)</f>
        <v>None</v>
      </c>
      <c r="G223" s="51">
        <f>VLOOKUP(Yards25[[#This Row],[DEVELOPMENT]],all[[DEVELOPMENT]:[MRST Ext. Comp. Priority]],13,FALSE)</f>
        <v>2</v>
      </c>
      <c r="H223" s="50">
        <f>IF(VLOOKUP(Yards25[[#This Row],[DEVELOPMENT]],Data[],9,FALSE)=0,5,VLOOKUP(Yards25[[#This Row],[DEVELOPMENT]],Data[],9,FALSE))</f>
        <v>4</v>
      </c>
      <c r="I223" s="51">
        <f>VLOOKUP(Yards25[[#This Row],[DEVELOPMENT]],Data[],33,FALSE)</f>
        <v>0</v>
      </c>
      <c r="J223" s="51">
        <f>VLOOKUP(Yards25[[#This Row],[DEVELOPMENT]],Data[],28,FALSE)</f>
        <v>0</v>
      </c>
      <c r="K223" s="51"/>
      <c r="L223" s="50"/>
      <c r="M223" s="51" t="str">
        <f ca="1">IFERROR(VLOOKUP(Yards25[[#This Row],[DEVELOPMENT]],Data[],4,FALSE),"")</f>
        <v>2020-2021</v>
      </c>
      <c r="N223" s="51" t="str">
        <f ca="1">IF(Yards25[[#This Row],[RAD/PACT]]="","",IF(OR(Yards25[[#This Row],[RAD/PACT]]="2022-2025",Yards25[[#This Row],[RAD/PACT]]=2019,Yards25[[#This Row],[RAD/PACT]]="2020-2021"),"Yes",""))</f>
        <v>Yes</v>
      </c>
      <c r="O223" s="51" t="str">
        <f ca="1">IFERROR(VLOOKUP(Yards25[[#This Row],[DEVELOPMENT]],ExtComp[],8,FALSE),"")</f>
        <v/>
      </c>
      <c r="P223" s="51"/>
      <c r="Q223" s="51"/>
      <c r="R223" s="51" t="str">
        <f>IF(ISBLANK(Yards25[[#This Row],[DSGN CALENDAR YEAR]]),"",Yards25[[#This Row],[DSGN CALENDAR YEAR]]+1)</f>
        <v/>
      </c>
      <c r="S223" s="51" t="str">
        <f>IF(ISBLANK(Yards25[[#This Row],[DSGN FISCAL YEAR]]),"",Yards25[[#This Row],[DSGN FISCAL YEAR]]+1)</f>
        <v/>
      </c>
      <c r="T223" s="51"/>
      <c r="U223" s="128">
        <f ca="1">Yards25[[#This Row],[Estimate]]*0.1</f>
        <v>0</v>
      </c>
      <c r="V223" s="47">
        <f ca="1">Yards25[[#This Row],[Estimate]]-Yards25[[#This Row],[Design Est.]]</f>
        <v>0</v>
      </c>
      <c r="W223" s="85">
        <f ca="1">(Yards25[[#This Row],['# yards]]*INDEX(UnitCosts[],MATCH(Yards25[[#This Row],[WORK TYPE]],UnitCosts[Work Type],0),2))*(1+((Yards25[[#This Row],[est. CONS Year]]-YEAR(TODAY()))*$W$3))</f>
        <v>0</v>
      </c>
      <c r="X223" s="142">
        <f>IF(ISNUMBER(SEARCH("LLC",Yards25[[#This Row],[PROGRAM]])),IF(Yards25[[#This Row],[RAD/PACT by 2025]]="yes",0,1),0)</f>
        <v>0</v>
      </c>
      <c r="Y223" s="1"/>
      <c r="Z223" s="1"/>
      <c r="AA223" s="51">
        <f ca="1">COUNTIF($X$5:Yards25[[#This Row],['# yards]],"&gt;0")</f>
        <v>8</v>
      </c>
      <c r="AB223" s="1">
        <f ca="1">IF(ISBLANK(Yards25[[#This Row],[DSGN CALENDAR YEAR]]),ROUNDDOWN(Yards25[[#This Row],[Count]]/20,0)+$AB$1,Yards25[[#This Row],[DSGN CALENDAR YEAR]])</f>
        <v>2022</v>
      </c>
      <c r="AC223" s="16">
        <f ca="1">Yards25[[#This Row],[est. DSGN Year]]+1</f>
        <v>2023</v>
      </c>
    </row>
    <row r="224" spans="1:29" hidden="1">
      <c r="A224" s="13" t="s">
        <v>298</v>
      </c>
      <c r="B224" s="51" t="str">
        <f>VLOOKUP(Yards25[[#This Row],[DEVELOPMENT]],Data[],2,FALSE)</f>
        <v>BROOKLYN</v>
      </c>
      <c r="C224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24" s="51" t="str">
        <f>VLOOKUP(Yards25[[#This Row],[DEVELOPMENT]],Data[],52,FALSE)</f>
        <v>FEDERAL</v>
      </c>
      <c r="E224" s="50" t="str">
        <f>VLOOKUP(Yards25[[#This Row],[DEVELOPMENT]],Data[],8,FALSE)</f>
        <v>Zone 1</v>
      </c>
      <c r="F224" s="51" t="str">
        <f>VLOOKUP(Yards25[[#This Row],[DEVELOPMENT]],all[[DEVELOPMENT]:[MRST Ext. Comp. Priority]],6,FALSE)</f>
        <v>None</v>
      </c>
      <c r="G224" s="51">
        <f>VLOOKUP(Yards25[[#This Row],[DEVELOPMENT]],all[[DEVELOPMENT]:[MRST Ext. Comp. Priority]],13,FALSE)</f>
        <v>2</v>
      </c>
      <c r="H224" s="50">
        <f>IF(VLOOKUP(Yards25[[#This Row],[DEVELOPMENT]],Data[],9,FALSE)=0,5,VLOOKUP(Yards25[[#This Row],[DEVELOPMENT]],Data[],9,FALSE))</f>
        <v>4</v>
      </c>
      <c r="I224" s="51">
        <f>VLOOKUP(Yards25[[#This Row],[DEVELOPMENT]],Data[],33,FALSE)</f>
        <v>0</v>
      </c>
      <c r="J224" s="51">
        <f>VLOOKUP(Yards25[[#This Row],[DEVELOPMENT]],Data[],28,FALSE)</f>
        <v>0</v>
      </c>
      <c r="K224" s="51"/>
      <c r="L224" s="50"/>
      <c r="M224" s="51">
        <f ca="1">IFERROR(VLOOKUP(Yards25[[#This Row],[DEVELOPMENT]],Data[],4,FALSE),"")</f>
        <v>2019</v>
      </c>
      <c r="N224" s="51" t="str">
        <f ca="1">IF(Yards25[[#This Row],[RAD/PACT]]="","",IF(OR(Yards25[[#This Row],[RAD/PACT]]="2022-2025",Yards25[[#This Row],[RAD/PACT]]=2019,Yards25[[#This Row],[RAD/PACT]]="2020-2021"),"Yes",""))</f>
        <v>Yes</v>
      </c>
      <c r="O224" s="51" t="str">
        <f ca="1">IFERROR(VLOOKUP(Yards25[[#This Row],[DEVELOPMENT]],ExtComp[],8,FALSE),"")</f>
        <v/>
      </c>
      <c r="P224" s="51"/>
      <c r="Q224" s="51"/>
      <c r="R224" s="51" t="str">
        <f>IF(ISBLANK(Yards25[[#This Row],[DSGN CALENDAR YEAR]]),"",Yards25[[#This Row],[DSGN CALENDAR YEAR]]+1)</f>
        <v/>
      </c>
      <c r="S224" s="51" t="str">
        <f>IF(ISBLANK(Yards25[[#This Row],[DSGN FISCAL YEAR]]),"",Yards25[[#This Row],[DSGN FISCAL YEAR]]+1)</f>
        <v/>
      </c>
      <c r="T224" s="51"/>
      <c r="U224" s="128">
        <f ca="1">Yards25[[#This Row],[Estimate]]*0.1</f>
        <v>0</v>
      </c>
      <c r="V224" s="47">
        <f ca="1">Yards25[[#This Row],[Estimate]]-Yards25[[#This Row],[Design Est.]]</f>
        <v>0</v>
      </c>
      <c r="W224" s="85">
        <f ca="1">(Yards25[[#This Row],['# yards]]*INDEX(UnitCosts[],MATCH(Yards25[[#This Row],[WORK TYPE]],UnitCosts[Work Type],0),2))*(1+((Yards25[[#This Row],[est. CONS Year]]-YEAR(TODAY()))*$W$3))</f>
        <v>0</v>
      </c>
      <c r="X224" s="142">
        <f>IF(ISNUMBER(SEARCH("LLC",Yards25[[#This Row],[PROGRAM]])),IF(Yards25[[#This Row],[RAD/PACT by 2025]]="yes",0,1),0)</f>
        <v>0</v>
      </c>
      <c r="Y224" s="1"/>
      <c r="Z224" s="1"/>
      <c r="AA224" s="51">
        <f ca="1">COUNTIF($X$5:Yards25[[#This Row],['# yards]],"&gt;0")</f>
        <v>8</v>
      </c>
      <c r="AB224" s="1">
        <f ca="1">IF(ISBLANK(Yards25[[#This Row],[DSGN CALENDAR YEAR]]),ROUNDDOWN(Yards25[[#This Row],[Count]]/20,0)+$AB$1,Yards25[[#This Row],[DSGN CALENDAR YEAR]])</f>
        <v>2022</v>
      </c>
      <c r="AC224" s="16">
        <f ca="1">Yards25[[#This Row],[est. DSGN Year]]+1</f>
        <v>2023</v>
      </c>
    </row>
    <row r="225" spans="1:29" hidden="1">
      <c r="A225" s="13" t="s">
        <v>48</v>
      </c>
      <c r="B225" s="51" t="str">
        <f>VLOOKUP(Yards25[[#This Row],[DEVELOPMENT]],Data[],2,FALSE)</f>
        <v>MANHATTAN</v>
      </c>
      <c r="C22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25" s="51" t="str">
        <f>VLOOKUP(Yards25[[#This Row],[DEVELOPMENT]],Data[],52,FALSE)</f>
        <v>FEDERAL</v>
      </c>
      <c r="E225" s="50" t="str">
        <f>VLOOKUP(Yards25[[#This Row],[DEVELOPMENT]],Data[],8,FALSE)</f>
        <v>Zone 1</v>
      </c>
      <c r="F225" s="51" t="str">
        <f>VLOOKUP(Yards25[[#This Row],[DEVELOPMENT]],all[[DEVELOPMENT]:[MRST Ext. Comp. Priority]],6,FALSE)</f>
        <v>None</v>
      </c>
      <c r="G225" s="51">
        <f>VLOOKUP(Yards25[[#This Row],[DEVELOPMENT]],all[[DEVELOPMENT]:[MRST Ext. Comp. Priority]],13,FALSE)</f>
        <v>2</v>
      </c>
      <c r="H225" s="50">
        <f>IF(VLOOKUP(Yards25[[#This Row],[DEVELOPMENT]],Data[],9,FALSE)=0,5,VLOOKUP(Yards25[[#This Row],[DEVELOPMENT]],Data[],9,FALSE))</f>
        <v>4</v>
      </c>
      <c r="I225" s="51">
        <f>VLOOKUP(Yards25[[#This Row],[DEVELOPMENT]],Data[],33,FALSE)</f>
        <v>0</v>
      </c>
      <c r="J225" s="51">
        <f>VLOOKUP(Yards25[[#This Row],[DEVELOPMENT]],Data[],28,FALSE)</f>
        <v>0</v>
      </c>
      <c r="K225" s="51"/>
      <c r="L225" s="50"/>
      <c r="M225" s="51" t="str">
        <f ca="1">IFERROR(VLOOKUP(Yards25[[#This Row],[DEVELOPMENT]],Data[],4,FALSE),"")</f>
        <v/>
      </c>
      <c r="N225" s="51" t="str">
        <f ca="1">IF(Yards25[[#This Row],[RAD/PACT]]="","",IF(OR(Yards25[[#This Row],[RAD/PACT]]="2022-2025",Yards25[[#This Row],[RAD/PACT]]=2019,Yards25[[#This Row],[RAD/PACT]]="2020-2021"),"Yes",""))</f>
        <v/>
      </c>
      <c r="O225" s="51" t="str">
        <f ca="1">IFERROR(VLOOKUP(Yards25[[#This Row],[DEVELOPMENT]],ExtComp[],8,FALSE),"")</f>
        <v/>
      </c>
      <c r="P225" s="51"/>
      <c r="Q225" s="51"/>
      <c r="R225" s="51" t="str">
        <f>IF(ISBLANK(Yards25[[#This Row],[DSGN CALENDAR YEAR]]),"",Yards25[[#This Row],[DSGN CALENDAR YEAR]]+1)</f>
        <v/>
      </c>
      <c r="S225" s="51" t="str">
        <f>IF(ISBLANK(Yards25[[#This Row],[DSGN FISCAL YEAR]]),"",Yards25[[#This Row],[DSGN FISCAL YEAR]]+1)</f>
        <v/>
      </c>
      <c r="T225" s="51"/>
      <c r="U225" s="128">
        <f ca="1">Yards25[[#This Row],[Estimate]]*0.1</f>
        <v>0</v>
      </c>
      <c r="V225" s="47">
        <f ca="1">Yards25[[#This Row],[Estimate]]-Yards25[[#This Row],[Design Est.]]</f>
        <v>0</v>
      </c>
      <c r="W225" s="85">
        <f ca="1">(Yards25[[#This Row],['# yards]]*INDEX(UnitCosts[],MATCH(Yards25[[#This Row],[WORK TYPE]],UnitCosts[Work Type],0),2))*(1+((Yards25[[#This Row],[est. CONS Year]]-YEAR(TODAY()))*$W$3))</f>
        <v>0</v>
      </c>
      <c r="X225" s="142">
        <f>IF(ISNUMBER(SEARCH("LLC",Yards25[[#This Row],[PROGRAM]])),IF(Yards25[[#This Row],[RAD/PACT by 2025]]="yes",0,1),0)</f>
        <v>0</v>
      </c>
      <c r="Y225" s="1"/>
      <c r="Z225" s="1"/>
      <c r="AA225" s="51">
        <f ca="1">COUNTIF($X$5:Yards25[[#This Row],['# yards]],"&gt;0")</f>
        <v>8</v>
      </c>
      <c r="AB225" s="1">
        <f ca="1">IF(ISBLANK(Yards25[[#This Row],[DSGN CALENDAR YEAR]]),ROUNDDOWN(Yards25[[#This Row],[Count]]/20,0)+$AB$1,Yards25[[#This Row],[DSGN CALENDAR YEAR]])</f>
        <v>2022</v>
      </c>
      <c r="AC225" s="16">
        <f ca="1">Yards25[[#This Row],[est. DSGN Year]]+1</f>
        <v>2023</v>
      </c>
    </row>
    <row r="226" spans="1:29" hidden="1">
      <c r="A226" s="13" t="s">
        <v>143</v>
      </c>
      <c r="B226" s="51" t="str">
        <f>VLOOKUP(Yards25[[#This Row],[DEVELOPMENT]],Data[],2,FALSE)</f>
        <v>BRONX</v>
      </c>
      <c r="C226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26" s="51" t="str">
        <f>VLOOKUP(Yards25[[#This Row],[DEVELOPMENT]],Data[],52,FALSE)</f>
        <v>FEDERAL</v>
      </c>
      <c r="E226" s="50" t="str">
        <f>VLOOKUP(Yards25[[#This Row],[DEVELOPMENT]],Data[],8,FALSE)</f>
        <v>Zone 1</v>
      </c>
      <c r="F226" s="51" t="str">
        <f>VLOOKUP(Yards25[[#This Row],[DEVELOPMENT]],all[[DEVELOPMENT]:[MRST Ext. Comp. Priority]],6,FALSE)</f>
        <v>None</v>
      </c>
      <c r="G226" s="51">
        <f>VLOOKUP(Yards25[[#This Row],[DEVELOPMENT]],all[[DEVELOPMENT]:[MRST Ext. Comp. Priority]],13,FALSE)</f>
        <v>4</v>
      </c>
      <c r="H226" s="50">
        <f>IF(VLOOKUP(Yards25[[#This Row],[DEVELOPMENT]],Data[],9,FALSE)=0,5,VLOOKUP(Yards25[[#This Row],[DEVELOPMENT]],Data[],9,FALSE))</f>
        <v>4</v>
      </c>
      <c r="I226" s="51">
        <f>VLOOKUP(Yards25[[#This Row],[DEVELOPMENT]],Data[],33,FALSE)</f>
        <v>0</v>
      </c>
      <c r="J226" s="51">
        <f>VLOOKUP(Yards25[[#This Row],[DEVELOPMENT]],Data[],28,FALSE)</f>
        <v>0</v>
      </c>
      <c r="K226" s="51"/>
      <c r="L226" s="50"/>
      <c r="M226" s="51" t="str">
        <f ca="1">IFERROR(VLOOKUP(Yards25[[#This Row],[DEVELOPMENT]],Data[],4,FALSE),"")</f>
        <v>2022-2025</v>
      </c>
      <c r="N226" s="51" t="str">
        <f ca="1">IF(Yards25[[#This Row],[RAD/PACT]]="","",IF(OR(Yards25[[#This Row],[RAD/PACT]]="2022-2025",Yards25[[#This Row],[RAD/PACT]]=2019,Yards25[[#This Row],[RAD/PACT]]="2020-2021"),"Yes",""))</f>
        <v>Yes</v>
      </c>
      <c r="O226" s="51">
        <f ca="1">IFERROR(VLOOKUP(Yards25[[#This Row],[DEVELOPMENT]],ExtComp[],8,FALSE),"")</f>
        <v>13</v>
      </c>
      <c r="P226" s="51"/>
      <c r="Q226" s="51"/>
      <c r="R226" s="51" t="str">
        <f>IF(ISBLANK(Yards25[[#This Row],[DSGN CALENDAR YEAR]]),"",Yards25[[#This Row],[DSGN CALENDAR YEAR]]+1)</f>
        <v/>
      </c>
      <c r="S226" s="51" t="str">
        <f>IF(ISBLANK(Yards25[[#This Row],[DSGN FISCAL YEAR]]),"",Yards25[[#This Row],[DSGN FISCAL YEAR]]+1)</f>
        <v/>
      </c>
      <c r="T226" s="51"/>
      <c r="U226" s="128">
        <f ca="1">Yards25[[#This Row],[Estimate]]*0.1</f>
        <v>0</v>
      </c>
      <c r="V226" s="47">
        <f ca="1">Yards25[[#This Row],[Estimate]]-Yards25[[#This Row],[Design Est.]]</f>
        <v>0</v>
      </c>
      <c r="W226" s="85">
        <f ca="1">(Yards25[[#This Row],['# yards]]*INDEX(UnitCosts[],MATCH(Yards25[[#This Row],[WORK TYPE]],UnitCosts[Work Type],0),2))*(1+((Yards25[[#This Row],[est. CONS Year]]-YEAR(TODAY()))*$W$3))</f>
        <v>0</v>
      </c>
      <c r="X226" s="142">
        <f>IF(ISNUMBER(SEARCH("LLC",Yards25[[#This Row],[PROGRAM]])),IF(Yards25[[#This Row],[RAD/PACT by 2025]]="yes",0,1),0)</f>
        <v>0</v>
      </c>
      <c r="Y226" s="1"/>
      <c r="Z226" s="1"/>
      <c r="AA226" s="51">
        <f ca="1">COUNTIF($X$5:Yards25[[#This Row],['# yards]],"&gt;0")</f>
        <v>8</v>
      </c>
      <c r="AB226" s="1">
        <f ca="1">IF(ISBLANK(Yards25[[#This Row],[DSGN CALENDAR YEAR]]),ROUNDDOWN(Yards25[[#This Row],[Count]]/20,0)+$AB$1,Yards25[[#This Row],[DSGN CALENDAR YEAR]])</f>
        <v>2022</v>
      </c>
      <c r="AC226" s="16">
        <f ca="1">Yards25[[#This Row],[est. DSGN Year]]+1</f>
        <v>2023</v>
      </c>
    </row>
    <row r="227" spans="1:29" hidden="1">
      <c r="A227" s="13" t="s">
        <v>34</v>
      </c>
      <c r="B227" s="51" t="str">
        <f>VLOOKUP(Yards25[[#This Row],[DEVELOPMENT]],Data[],2,FALSE)</f>
        <v>BRONX</v>
      </c>
      <c r="C227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27" s="51" t="str">
        <f>VLOOKUP(Yards25[[#This Row],[DEVELOPMENT]],Data[],52,FALSE)</f>
        <v>FEDERAL</v>
      </c>
      <c r="E227" s="50" t="str">
        <f>VLOOKUP(Yards25[[#This Row],[DEVELOPMENT]],Data[],8,FALSE)</f>
        <v>Zone 1</v>
      </c>
      <c r="F227" s="51" t="str">
        <f>VLOOKUP(Yards25[[#This Row],[DEVELOPMENT]],all[[DEVELOPMENT]:[MRST Ext. Comp. Priority]],6,FALSE)</f>
        <v>None</v>
      </c>
      <c r="G227" s="51">
        <f>VLOOKUP(Yards25[[#This Row],[DEVELOPMENT]],all[[DEVELOPMENT]:[MRST Ext. Comp. Priority]],13,FALSE)</f>
        <v>2</v>
      </c>
      <c r="H227" s="50">
        <f>IF(VLOOKUP(Yards25[[#This Row],[DEVELOPMENT]],Data[],9,FALSE)=0,5,VLOOKUP(Yards25[[#This Row],[DEVELOPMENT]],Data[],9,FALSE))</f>
        <v>4</v>
      </c>
      <c r="I227" s="51">
        <f>VLOOKUP(Yards25[[#This Row],[DEVELOPMENT]],Data[],33,FALSE)</f>
        <v>0</v>
      </c>
      <c r="J227" s="51">
        <f>VLOOKUP(Yards25[[#This Row],[DEVELOPMENT]],Data[],28,FALSE)</f>
        <v>0</v>
      </c>
      <c r="K227" s="51"/>
      <c r="L227" s="50"/>
      <c r="M227" s="51" t="str">
        <f ca="1">IFERROR(VLOOKUP(Yards25[[#This Row],[DEVELOPMENT]],Data[],4,FALSE),"")</f>
        <v>2022-2025</v>
      </c>
      <c r="N227" s="51" t="str">
        <f ca="1">IF(Yards25[[#This Row],[RAD/PACT]]="","",IF(OR(Yards25[[#This Row],[RAD/PACT]]="2022-2025",Yards25[[#This Row],[RAD/PACT]]=2019,Yards25[[#This Row],[RAD/PACT]]="2020-2021"),"Yes",""))</f>
        <v>Yes</v>
      </c>
      <c r="O227" s="51" t="str">
        <f ca="1">IFERROR(VLOOKUP(Yards25[[#This Row],[DEVELOPMENT]],ExtComp[],8,FALSE),"")</f>
        <v/>
      </c>
      <c r="P227" s="51"/>
      <c r="Q227" s="51"/>
      <c r="R227" s="51" t="str">
        <f>IF(ISBLANK(Yards25[[#This Row],[DSGN CALENDAR YEAR]]),"",Yards25[[#This Row],[DSGN CALENDAR YEAR]]+1)</f>
        <v/>
      </c>
      <c r="S227" s="51" t="str">
        <f>IF(ISBLANK(Yards25[[#This Row],[DSGN FISCAL YEAR]]),"",Yards25[[#This Row],[DSGN FISCAL YEAR]]+1)</f>
        <v/>
      </c>
      <c r="T227" s="51"/>
      <c r="U227" s="128">
        <f ca="1">Yards25[[#This Row],[Estimate]]*0.1</f>
        <v>0</v>
      </c>
      <c r="V227" s="47">
        <f ca="1">Yards25[[#This Row],[Estimate]]-Yards25[[#This Row],[Design Est.]]</f>
        <v>0</v>
      </c>
      <c r="W227" s="85">
        <f ca="1">(Yards25[[#This Row],['# yards]]*INDEX(UnitCosts[],MATCH(Yards25[[#This Row],[WORK TYPE]],UnitCosts[Work Type],0),2))*(1+((Yards25[[#This Row],[est. CONS Year]]-YEAR(TODAY()))*$W$3))</f>
        <v>0</v>
      </c>
      <c r="X227" s="142">
        <f>IF(ISNUMBER(SEARCH("LLC",Yards25[[#This Row],[PROGRAM]])),IF(Yards25[[#This Row],[RAD/PACT by 2025]]="yes",0,1),0)</f>
        <v>0</v>
      </c>
      <c r="Y227" s="1"/>
      <c r="Z227" s="1"/>
      <c r="AA227" s="51">
        <f ca="1">COUNTIF($X$5:Yards25[[#This Row],['# yards]],"&gt;0")</f>
        <v>8</v>
      </c>
      <c r="AB227" s="1">
        <f ca="1">IF(ISBLANK(Yards25[[#This Row],[DSGN CALENDAR YEAR]]),ROUNDDOWN(Yards25[[#This Row],[Count]]/20,0)+$AB$1,Yards25[[#This Row],[DSGN CALENDAR YEAR]])</f>
        <v>2022</v>
      </c>
      <c r="AC227" s="16">
        <f ca="1">Yards25[[#This Row],[est. DSGN Year]]+1</f>
        <v>2023</v>
      </c>
    </row>
    <row r="228" spans="1:29" hidden="1">
      <c r="A228" s="13" t="s">
        <v>144</v>
      </c>
      <c r="B228" s="51" t="str">
        <f>VLOOKUP(Yards25[[#This Row],[DEVELOPMENT]],Data[],2,FALSE)</f>
        <v>BRONX</v>
      </c>
      <c r="C228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28" s="51" t="str">
        <f>VLOOKUP(Yards25[[#This Row],[DEVELOPMENT]],Data[],52,FALSE)</f>
        <v>FEDERAL</v>
      </c>
      <c r="E228" s="50" t="str">
        <f>VLOOKUP(Yards25[[#This Row],[DEVELOPMENT]],Data[],8,FALSE)</f>
        <v>Zone 1</v>
      </c>
      <c r="F228" s="51" t="str">
        <f>VLOOKUP(Yards25[[#This Row],[DEVELOPMENT]],all[[DEVELOPMENT]:[MRST Ext. Comp. Priority]],6,FALSE)</f>
        <v>None</v>
      </c>
      <c r="G228" s="51">
        <f>VLOOKUP(Yards25[[#This Row],[DEVELOPMENT]],all[[DEVELOPMENT]:[MRST Ext. Comp. Priority]],13,FALSE)</f>
        <v>2</v>
      </c>
      <c r="H228" s="50">
        <f>IF(VLOOKUP(Yards25[[#This Row],[DEVELOPMENT]],Data[],9,FALSE)=0,5,VLOOKUP(Yards25[[#This Row],[DEVELOPMENT]],Data[],9,FALSE))</f>
        <v>4</v>
      </c>
      <c r="I228" s="51">
        <f>VLOOKUP(Yards25[[#This Row],[DEVELOPMENT]],Data[],33,FALSE)</f>
        <v>0</v>
      </c>
      <c r="J228" s="51">
        <f>VLOOKUP(Yards25[[#This Row],[DEVELOPMENT]],Data[],28,FALSE)</f>
        <v>0</v>
      </c>
      <c r="K228" s="51"/>
      <c r="L228" s="50"/>
      <c r="M228" s="51" t="str">
        <f ca="1">IFERROR(VLOOKUP(Yards25[[#This Row],[DEVELOPMENT]],Data[],4,FALSE),"")</f>
        <v>2022-2025</v>
      </c>
      <c r="N228" s="51" t="str">
        <f ca="1">IF(Yards25[[#This Row],[RAD/PACT]]="","",IF(OR(Yards25[[#This Row],[RAD/PACT]]="2022-2025",Yards25[[#This Row],[RAD/PACT]]=2019,Yards25[[#This Row],[RAD/PACT]]="2020-2021"),"Yes",""))</f>
        <v>Yes</v>
      </c>
      <c r="O228" s="51" t="str">
        <f ca="1">IFERROR(VLOOKUP(Yards25[[#This Row],[DEVELOPMENT]],ExtComp[],8,FALSE),"")</f>
        <v/>
      </c>
      <c r="P228" s="51"/>
      <c r="Q228" s="51"/>
      <c r="R228" s="51" t="str">
        <f>IF(ISBLANK(Yards25[[#This Row],[DSGN CALENDAR YEAR]]),"",Yards25[[#This Row],[DSGN CALENDAR YEAR]]+1)</f>
        <v/>
      </c>
      <c r="S228" s="51" t="str">
        <f>IF(ISBLANK(Yards25[[#This Row],[DSGN FISCAL YEAR]]),"",Yards25[[#This Row],[DSGN FISCAL YEAR]]+1)</f>
        <v/>
      </c>
      <c r="T228" s="51"/>
      <c r="U228" s="128">
        <f ca="1">Yards25[[#This Row],[Estimate]]*0.1</f>
        <v>0</v>
      </c>
      <c r="V228" s="47">
        <f ca="1">Yards25[[#This Row],[Estimate]]-Yards25[[#This Row],[Design Est.]]</f>
        <v>0</v>
      </c>
      <c r="W228" s="85">
        <f ca="1">(Yards25[[#This Row],['# yards]]*INDEX(UnitCosts[],MATCH(Yards25[[#This Row],[WORK TYPE]],UnitCosts[Work Type],0),2))*(1+((Yards25[[#This Row],[est. CONS Year]]-YEAR(TODAY()))*$W$3))</f>
        <v>0</v>
      </c>
      <c r="X228" s="142">
        <f>IF(ISNUMBER(SEARCH("LLC",Yards25[[#This Row],[PROGRAM]])),IF(Yards25[[#This Row],[RAD/PACT by 2025]]="yes",0,1),0)</f>
        <v>0</v>
      </c>
      <c r="Y228" s="1"/>
      <c r="Z228" s="1"/>
      <c r="AA228" s="51">
        <f ca="1">COUNTIF($X$5:Yards25[[#This Row],['# yards]],"&gt;0")</f>
        <v>8</v>
      </c>
      <c r="AB228" s="1">
        <f ca="1">IF(ISBLANK(Yards25[[#This Row],[DSGN CALENDAR YEAR]]),ROUNDDOWN(Yards25[[#This Row],[Count]]/20,0)+$AB$1,Yards25[[#This Row],[DSGN CALENDAR YEAR]])</f>
        <v>2022</v>
      </c>
      <c r="AC228" s="16">
        <f ca="1">Yards25[[#This Row],[est. DSGN Year]]+1</f>
        <v>2023</v>
      </c>
    </row>
    <row r="229" spans="1:29" hidden="1">
      <c r="A229" s="13" t="s">
        <v>74</v>
      </c>
      <c r="B229" s="51" t="str">
        <f>VLOOKUP(Yards25[[#This Row],[DEVELOPMENT]],Data[],2,FALSE)</f>
        <v>MANHATTAN</v>
      </c>
      <c r="C229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29" s="51" t="str">
        <f>VLOOKUP(Yards25[[#This Row],[DEVELOPMENT]],Data[],52,FALSE)</f>
        <v>FEDERAL</v>
      </c>
      <c r="E229" s="50" t="str">
        <f>VLOOKUP(Yards25[[#This Row],[DEVELOPMENT]],Data[],8,FALSE)</f>
        <v>Zone 2</v>
      </c>
      <c r="F229" s="51" t="str">
        <f>VLOOKUP(Yards25[[#This Row],[DEVELOPMENT]],all[[DEVELOPMENT]:[MRST Ext. Comp. Priority]],6,FALSE)</f>
        <v>None</v>
      </c>
      <c r="G229" s="51">
        <f>VLOOKUP(Yards25[[#This Row],[DEVELOPMENT]],all[[DEVELOPMENT]:[MRST Ext. Comp. Priority]],13,FALSE)</f>
        <v>3</v>
      </c>
      <c r="H229" s="50">
        <f>IF(VLOOKUP(Yards25[[#This Row],[DEVELOPMENT]],Data[],9,FALSE)=0,5,VLOOKUP(Yards25[[#This Row],[DEVELOPMENT]],Data[],9,FALSE))</f>
        <v>4</v>
      </c>
      <c r="I229" s="51">
        <f>VLOOKUP(Yards25[[#This Row],[DEVELOPMENT]],Data[],33,FALSE)</f>
        <v>0</v>
      </c>
      <c r="J229" s="51">
        <f>VLOOKUP(Yards25[[#This Row],[DEVELOPMENT]],Data[],28,FALSE)</f>
        <v>0</v>
      </c>
      <c r="K229" s="51"/>
      <c r="L229" s="50"/>
      <c r="M229" s="51" t="str">
        <f ca="1">IFERROR(VLOOKUP(Yards25[[#This Row],[DEVELOPMENT]],Data[],4,FALSE),"")</f>
        <v>2026+</v>
      </c>
      <c r="N229" s="51" t="str">
        <f ca="1">IF(Yards25[[#This Row],[RAD/PACT]]="","",IF(OR(Yards25[[#This Row],[RAD/PACT]]="2022-2025",Yards25[[#This Row],[RAD/PACT]]=2019,Yards25[[#This Row],[RAD/PACT]]="2020-2021"),"Yes",""))</f>
        <v/>
      </c>
      <c r="O229" s="51" t="str">
        <f ca="1">IFERROR(VLOOKUP(Yards25[[#This Row],[DEVELOPMENT]],ExtComp[],8,FALSE),"")</f>
        <v/>
      </c>
      <c r="P229" s="51"/>
      <c r="Q229" s="51"/>
      <c r="R229" s="51" t="str">
        <f>IF(ISBLANK(Yards25[[#This Row],[DSGN CALENDAR YEAR]]),"",Yards25[[#This Row],[DSGN CALENDAR YEAR]]+1)</f>
        <v/>
      </c>
      <c r="S229" s="51" t="str">
        <f>IF(ISBLANK(Yards25[[#This Row],[DSGN FISCAL YEAR]]),"",Yards25[[#This Row],[DSGN FISCAL YEAR]]+1)</f>
        <v/>
      </c>
      <c r="T229" s="51"/>
      <c r="U229" s="128">
        <f ca="1">Yards25[[#This Row],[Estimate]]*0.1</f>
        <v>0</v>
      </c>
      <c r="V229" s="47">
        <f ca="1">Yards25[[#This Row],[Estimate]]-Yards25[[#This Row],[Design Est.]]</f>
        <v>0</v>
      </c>
      <c r="W229" s="85">
        <f ca="1">(Yards25[[#This Row],['# yards]]*INDEX(UnitCosts[],MATCH(Yards25[[#This Row],[WORK TYPE]],UnitCosts[Work Type],0),2))*(1+((Yards25[[#This Row],[est. CONS Year]]-YEAR(TODAY()))*$W$3))</f>
        <v>0</v>
      </c>
      <c r="X229" s="142">
        <f>IF(ISNUMBER(SEARCH("LLC",Yards25[[#This Row],[PROGRAM]])),IF(Yards25[[#This Row],[RAD/PACT by 2025]]="yes",0,1),0)</f>
        <v>0</v>
      </c>
      <c r="Y229" s="1"/>
      <c r="Z229" s="1"/>
      <c r="AA229" s="51">
        <f ca="1">COUNTIF($X$5:Yards25[[#This Row],['# yards]],"&gt;0")</f>
        <v>8</v>
      </c>
      <c r="AB229" s="1">
        <f ca="1">IF(ISBLANK(Yards25[[#This Row],[DSGN CALENDAR YEAR]]),ROUNDDOWN(Yards25[[#This Row],[Count]]/20,0)+$AB$1,Yards25[[#This Row],[DSGN CALENDAR YEAR]])</f>
        <v>2022</v>
      </c>
      <c r="AC229" s="16">
        <f ca="1">Yards25[[#This Row],[est. DSGN Year]]+1</f>
        <v>2023</v>
      </c>
    </row>
    <row r="230" spans="1:29" hidden="1">
      <c r="A230" s="13" t="s">
        <v>75</v>
      </c>
      <c r="B230" s="51" t="str">
        <f>VLOOKUP(Yards25[[#This Row],[DEVELOPMENT]],Data[],2,FALSE)</f>
        <v>MANHATTAN</v>
      </c>
      <c r="C230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30" s="51" t="str">
        <f>VLOOKUP(Yards25[[#This Row],[DEVELOPMENT]],Data[],52,FALSE)</f>
        <v>FEDERAL</v>
      </c>
      <c r="E230" s="50" t="str">
        <f>VLOOKUP(Yards25[[#This Row],[DEVELOPMENT]],Data[],8,FALSE)</f>
        <v>Zone 3</v>
      </c>
      <c r="F230" s="51" t="str">
        <f>VLOOKUP(Yards25[[#This Row],[DEVELOPMENT]],all[[DEVELOPMENT]:[MRST Ext. Comp. Priority]],6,FALSE)</f>
        <v>None</v>
      </c>
      <c r="G230" s="51">
        <f>VLOOKUP(Yards25[[#This Row],[DEVELOPMENT]],all[[DEVELOPMENT]:[MRST Ext. Comp. Priority]],13,FALSE)</f>
        <v>2</v>
      </c>
      <c r="H230" s="50">
        <f>IF(VLOOKUP(Yards25[[#This Row],[DEVELOPMENT]],Data[],9,FALSE)=0,5,VLOOKUP(Yards25[[#This Row],[DEVELOPMENT]],Data[],9,FALSE))</f>
        <v>4</v>
      </c>
      <c r="I230" s="51">
        <f>VLOOKUP(Yards25[[#This Row],[DEVELOPMENT]],Data[],33,FALSE)</f>
        <v>0</v>
      </c>
      <c r="J230" s="51">
        <f>VLOOKUP(Yards25[[#This Row],[DEVELOPMENT]],Data[],28,FALSE)</f>
        <v>0</v>
      </c>
      <c r="K230" s="51"/>
      <c r="L230" s="50">
        <v>1</v>
      </c>
      <c r="M230" s="51" t="str">
        <f ca="1">IFERROR(VLOOKUP(Yards25[[#This Row],[DEVELOPMENT]],Data[],4,FALSE),"")</f>
        <v/>
      </c>
      <c r="N230" s="51" t="str">
        <f ca="1">IF(Yards25[[#This Row],[RAD/PACT]]="","",IF(OR(Yards25[[#This Row],[RAD/PACT]]="2022-2025",Yards25[[#This Row],[RAD/PACT]]=2019,Yards25[[#This Row],[RAD/PACT]]="2020-2021"),"Yes",""))</f>
        <v/>
      </c>
      <c r="O230" s="51" t="str">
        <f ca="1">IFERROR(VLOOKUP(Yards25[[#This Row],[DEVELOPMENT]],ExtComp[],8,FALSE),"")</f>
        <v/>
      </c>
      <c r="P230" s="51"/>
      <c r="Q230" s="51"/>
      <c r="R230" s="51" t="str">
        <f>IF(ISBLANK(Yards25[[#This Row],[DSGN CALENDAR YEAR]]),"",Yards25[[#This Row],[DSGN CALENDAR YEAR]]+1)</f>
        <v/>
      </c>
      <c r="S230" s="51" t="str">
        <f>IF(ISBLANK(Yards25[[#This Row],[DSGN FISCAL YEAR]]),"",Yards25[[#This Row],[DSGN FISCAL YEAR]]+1)</f>
        <v/>
      </c>
      <c r="T230" s="51"/>
      <c r="U230" s="128">
        <f ca="1">Yards25[[#This Row],[Estimate]]*0.1</f>
        <v>0</v>
      </c>
      <c r="V230" s="47">
        <f ca="1">Yards25[[#This Row],[Estimate]]-Yards25[[#This Row],[Design Est.]]</f>
        <v>0</v>
      </c>
      <c r="W230" s="85">
        <f ca="1">(Yards25[[#This Row],['# yards]]*INDEX(UnitCosts[],MATCH(Yards25[[#This Row],[WORK TYPE]],UnitCosts[Work Type],0),2))*(1+((Yards25[[#This Row],[est. CONS Year]]-YEAR(TODAY()))*$W$3))</f>
        <v>0</v>
      </c>
      <c r="X230" s="142">
        <f>IF(ISNUMBER(SEARCH("LLC",Yards25[[#This Row],[PROGRAM]])),IF(Yards25[[#This Row],[RAD/PACT by 2025]]="yes",0,1),0)</f>
        <v>0</v>
      </c>
      <c r="Y230" s="1"/>
      <c r="Z230" s="1"/>
      <c r="AA230" s="51">
        <f ca="1">COUNTIF($X$5:Yards25[[#This Row],['# yards]],"&gt;0")</f>
        <v>8</v>
      </c>
      <c r="AB230" s="1">
        <f ca="1">IF(ISBLANK(Yards25[[#This Row],[DSGN CALENDAR YEAR]]),ROUNDDOWN(Yards25[[#This Row],[Count]]/20,0)+$AB$1,Yards25[[#This Row],[DSGN CALENDAR YEAR]])</f>
        <v>2022</v>
      </c>
      <c r="AC230" s="16">
        <f ca="1">Yards25[[#This Row],[est. DSGN Year]]+1</f>
        <v>2023</v>
      </c>
    </row>
    <row r="231" spans="1:29" hidden="1">
      <c r="A231" s="13" t="s">
        <v>78</v>
      </c>
      <c r="B231" s="51" t="str">
        <f>VLOOKUP(Yards25[[#This Row],[DEVELOPMENT]],Data[],2,FALSE)</f>
        <v>MANHATTAN</v>
      </c>
      <c r="C231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31" s="51" t="str">
        <f>VLOOKUP(Yards25[[#This Row],[DEVELOPMENT]],Data[],52,FALSE)</f>
        <v>FEDERAL</v>
      </c>
      <c r="E231" s="50" t="str">
        <f>VLOOKUP(Yards25[[#This Row],[DEVELOPMENT]],Data[],8,FALSE)</f>
        <v>Zone 2</v>
      </c>
      <c r="F231" s="51" t="str">
        <f>VLOOKUP(Yards25[[#This Row],[DEVELOPMENT]],all[[DEVELOPMENT]:[MRST Ext. Comp. Priority]],6,FALSE)</f>
        <v>None</v>
      </c>
      <c r="G231" s="51">
        <f>VLOOKUP(Yards25[[#This Row],[DEVELOPMENT]],all[[DEVELOPMENT]:[MRST Ext. Comp. Priority]],13,FALSE)</f>
        <v>4</v>
      </c>
      <c r="H231" s="50">
        <f>IF(VLOOKUP(Yards25[[#This Row],[DEVELOPMENT]],Data[],9,FALSE)=0,5,VLOOKUP(Yards25[[#This Row],[DEVELOPMENT]],Data[],9,FALSE))</f>
        <v>4</v>
      </c>
      <c r="I231" s="51">
        <f>VLOOKUP(Yards25[[#This Row],[DEVELOPMENT]],Data[],33,FALSE)</f>
        <v>2</v>
      </c>
      <c r="J231" s="51">
        <f>VLOOKUP(Yards25[[#This Row],[DEVELOPMENT]],Data[],28,FALSE)</f>
        <v>0</v>
      </c>
      <c r="K231" s="51"/>
      <c r="L231" s="50"/>
      <c r="M231" s="51" t="str">
        <f ca="1">IFERROR(VLOOKUP(Yards25[[#This Row],[DEVELOPMENT]],Data[],4,FALSE),"")</f>
        <v>2022-2025</v>
      </c>
      <c r="N231" s="51" t="str">
        <f ca="1">IF(Yards25[[#This Row],[RAD/PACT]]="","",IF(OR(Yards25[[#This Row],[RAD/PACT]]="2022-2025",Yards25[[#This Row],[RAD/PACT]]=2019,Yards25[[#This Row],[RAD/PACT]]="2020-2021"),"Yes",""))</f>
        <v>Yes</v>
      </c>
      <c r="O231" s="1">
        <f ca="1">IFERROR(VLOOKUP(Yards25[[#This Row],[DEVELOPMENT]],ExtComp[],8,FALSE),"")</f>
        <v>21</v>
      </c>
      <c r="P231" s="1"/>
      <c r="Q231" s="1"/>
      <c r="R231" s="1" t="str">
        <f>IF(ISBLANK(Yards25[[#This Row],[DSGN CALENDAR YEAR]]),"",Yards25[[#This Row],[DSGN CALENDAR YEAR]]+1)</f>
        <v/>
      </c>
      <c r="S231" s="51" t="str">
        <f>IF(ISBLANK(Yards25[[#This Row],[DSGN FISCAL YEAR]]),"",Yards25[[#This Row],[DSGN FISCAL YEAR]]+1)</f>
        <v/>
      </c>
      <c r="T231" s="1"/>
      <c r="U231" s="128">
        <f ca="1">Yards25[[#This Row],[Estimate]]*0.1</f>
        <v>0</v>
      </c>
      <c r="V231" s="47">
        <f ca="1">Yards25[[#This Row],[Estimate]]-Yards25[[#This Row],[Design Est.]]</f>
        <v>0</v>
      </c>
      <c r="W231" s="85">
        <f ca="1">(Yards25[[#This Row],['# yards]]*INDEX(UnitCosts[],MATCH(Yards25[[#This Row],[WORK TYPE]],UnitCosts[Work Type],0),2))*(1+((Yards25[[#This Row],[est. CONS Year]]-YEAR(TODAY()))*$W$3))</f>
        <v>0</v>
      </c>
      <c r="X231" s="142">
        <f>IF(ISNUMBER(SEARCH("LLC",Yards25[[#This Row],[PROGRAM]])),IF(Yards25[[#This Row],[RAD/PACT by 2025]]="yes",0,1),0)</f>
        <v>0</v>
      </c>
      <c r="Y231" s="1"/>
      <c r="Z231" s="1"/>
      <c r="AA231" s="51">
        <f ca="1">COUNTIF($X$5:Yards25[[#This Row],['# yards]],"&gt;0")</f>
        <v>8</v>
      </c>
      <c r="AB231" s="1">
        <f ca="1">IF(ISBLANK(Yards25[[#This Row],[DSGN CALENDAR YEAR]]),ROUNDDOWN(Yards25[[#This Row],[Count]]/20,0)+$AB$1,Yards25[[#This Row],[DSGN CALENDAR YEAR]])</f>
        <v>2022</v>
      </c>
      <c r="AC231" s="16">
        <f ca="1">Yards25[[#This Row],[est. DSGN Year]]+1</f>
        <v>2023</v>
      </c>
    </row>
    <row r="232" spans="1:29" hidden="1">
      <c r="A232" s="13" t="s">
        <v>332</v>
      </c>
      <c r="B232" s="51" t="str">
        <f>VLOOKUP(Yards25[[#This Row],[DEVELOPMENT]],Data[],2,FALSE)</f>
        <v>BRONX</v>
      </c>
      <c r="C23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32" s="51" t="str">
        <f>VLOOKUP(Yards25[[#This Row],[DEVELOPMENT]],Data[],52,FALSE)</f>
        <v>FEDERAL</v>
      </c>
      <c r="E232" s="50" t="str">
        <f>VLOOKUP(Yards25[[#This Row],[DEVELOPMENT]],Data[],8,FALSE)</f>
        <v>Zone 1</v>
      </c>
      <c r="F232" s="51" t="str">
        <f>VLOOKUP(Yards25[[#This Row],[DEVELOPMENT]],all[[DEVELOPMENT]:[MRST Ext. Comp. Priority]],6,FALSE)</f>
        <v>None</v>
      </c>
      <c r="G232" s="51" t="str">
        <f>VLOOKUP(Yards25[[#This Row],[DEVELOPMENT]],all[[DEVELOPMENT]:[MRST Ext. Comp. Priority]],13,FALSE)</f>
        <v>None</v>
      </c>
      <c r="H232" s="50">
        <f>IF(VLOOKUP(Yards25[[#This Row],[DEVELOPMENT]],Data[],9,FALSE)=0,5,VLOOKUP(Yards25[[#This Row],[DEVELOPMENT]],Data[],9,FALSE))</f>
        <v>4</v>
      </c>
      <c r="I232" s="51">
        <f>VLOOKUP(Yards25[[#This Row],[DEVELOPMENT]],Data[],33,FALSE)</f>
        <v>2</v>
      </c>
      <c r="J232" s="51">
        <f>VLOOKUP(Yards25[[#This Row],[DEVELOPMENT]],Data[],28,FALSE)</f>
        <v>0</v>
      </c>
      <c r="K232" s="51"/>
      <c r="L232" s="50"/>
      <c r="M232" s="51" t="str">
        <f ca="1">IFERROR(VLOOKUP(Yards25[[#This Row],[DEVELOPMENT]],Data[],4,FALSE),"")</f>
        <v/>
      </c>
      <c r="N232" s="51" t="str">
        <f ca="1">IF(Yards25[[#This Row],[RAD/PACT]]="","",IF(OR(Yards25[[#This Row],[RAD/PACT]]="2022-2025",Yards25[[#This Row],[RAD/PACT]]=2019,Yards25[[#This Row],[RAD/PACT]]="2020-2021"),"Yes",""))</f>
        <v/>
      </c>
      <c r="O232" s="51">
        <f ca="1">IFERROR(VLOOKUP(Yards25[[#This Row],[DEVELOPMENT]],ExtComp[],8,FALSE),"")</f>
        <v>19</v>
      </c>
      <c r="P232" s="51"/>
      <c r="Q232" s="51"/>
      <c r="R232" s="51" t="str">
        <f>IF(ISBLANK(Yards25[[#This Row],[DSGN CALENDAR YEAR]]),"",Yards25[[#This Row],[DSGN CALENDAR YEAR]]+1)</f>
        <v/>
      </c>
      <c r="S232" s="51" t="str">
        <f>IF(ISBLANK(Yards25[[#This Row],[DSGN FISCAL YEAR]]),"",Yards25[[#This Row],[DSGN FISCAL YEAR]]+1)</f>
        <v/>
      </c>
      <c r="T232" s="51"/>
      <c r="U232" s="128">
        <f ca="1">Yards25[[#This Row],[Estimate]]*0.1</f>
        <v>0</v>
      </c>
      <c r="V232" s="47">
        <f ca="1">Yards25[[#This Row],[Estimate]]-Yards25[[#This Row],[Design Est.]]</f>
        <v>0</v>
      </c>
      <c r="W232" s="85">
        <f ca="1">(Yards25[[#This Row],['# yards]]*INDEX(UnitCosts[],MATCH(Yards25[[#This Row],[WORK TYPE]],UnitCosts[Work Type],0),2))*(1+((Yards25[[#This Row],[est. CONS Year]]-YEAR(TODAY()))*$W$3))</f>
        <v>0</v>
      </c>
      <c r="X232" s="142">
        <f>IF(ISNUMBER(SEARCH("LLC",Yards25[[#This Row],[PROGRAM]])),IF(Yards25[[#This Row],[RAD/PACT by 2025]]="yes",0,1),0)</f>
        <v>0</v>
      </c>
      <c r="Y232" s="1"/>
      <c r="Z232" s="1"/>
      <c r="AA232" s="51">
        <f ca="1">COUNTIF($X$5:Yards25[[#This Row],['# yards]],"&gt;0")</f>
        <v>8</v>
      </c>
      <c r="AB232" s="1">
        <f ca="1">IF(ISBLANK(Yards25[[#This Row],[DSGN CALENDAR YEAR]]),ROUNDDOWN(Yards25[[#This Row],[Count]]/20,0)+$AB$1,Yards25[[#This Row],[DSGN CALENDAR YEAR]])</f>
        <v>2022</v>
      </c>
      <c r="AC232" s="16">
        <f ca="1">Yards25[[#This Row],[est. DSGN Year]]+1</f>
        <v>2023</v>
      </c>
    </row>
    <row r="233" spans="1:29" hidden="1">
      <c r="A233" s="13" t="s">
        <v>63</v>
      </c>
      <c r="B233" s="51" t="str">
        <f>VLOOKUP(Yards25[[#This Row],[DEVELOPMENT]],Data[],2,FALSE)</f>
        <v>MANHATTAN</v>
      </c>
      <c r="C23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33" s="51" t="str">
        <f>VLOOKUP(Yards25[[#This Row],[DEVELOPMENT]],Data[],52,FALSE)</f>
        <v>FEDERAL</v>
      </c>
      <c r="E233" s="50" t="str">
        <f>VLOOKUP(Yards25[[#This Row],[DEVELOPMENT]],Data[],8,FALSE)</f>
        <v>Zone 1</v>
      </c>
      <c r="F233" s="51" t="str">
        <f>VLOOKUP(Yards25[[#This Row],[DEVELOPMENT]],all[[DEVELOPMENT]:[MRST Ext. Comp. Priority]],6,FALSE)</f>
        <v>None</v>
      </c>
      <c r="G233" s="51">
        <f>VLOOKUP(Yards25[[#This Row],[DEVELOPMENT]],all[[DEVELOPMENT]:[MRST Ext. Comp. Priority]],13,FALSE)</f>
        <v>3</v>
      </c>
      <c r="H233" s="50">
        <f>IF(VLOOKUP(Yards25[[#This Row],[DEVELOPMENT]],Data[],9,FALSE)=0,5,VLOOKUP(Yards25[[#This Row],[DEVELOPMENT]],Data[],9,FALSE))</f>
        <v>4</v>
      </c>
      <c r="I233" s="51">
        <f>VLOOKUP(Yards25[[#This Row],[DEVELOPMENT]],Data[],33,FALSE)</f>
        <v>0</v>
      </c>
      <c r="J233" s="51">
        <f>VLOOKUP(Yards25[[#This Row],[DEVELOPMENT]],Data[],28,FALSE)</f>
        <v>0</v>
      </c>
      <c r="K233" s="51"/>
      <c r="L233" s="50"/>
      <c r="M233" s="51" t="str">
        <f ca="1">IFERROR(VLOOKUP(Yards25[[#This Row],[DEVELOPMENT]],Data[],4,FALSE),"")</f>
        <v>2026+</v>
      </c>
      <c r="N233" s="51" t="str">
        <f ca="1">IF(Yards25[[#This Row],[RAD/PACT]]="","",IF(OR(Yards25[[#This Row],[RAD/PACT]]="2022-2025",Yards25[[#This Row],[RAD/PACT]]=2019,Yards25[[#This Row],[RAD/PACT]]="2020-2021"),"Yes",""))</f>
        <v/>
      </c>
      <c r="O233" s="51" t="str">
        <f ca="1">IFERROR(VLOOKUP(Yards25[[#This Row],[DEVELOPMENT]],ExtComp[],8,FALSE),"")</f>
        <v/>
      </c>
      <c r="P233" s="51"/>
      <c r="Q233" s="51"/>
      <c r="R233" s="51" t="str">
        <f>IF(ISBLANK(Yards25[[#This Row],[DSGN CALENDAR YEAR]]),"",Yards25[[#This Row],[DSGN CALENDAR YEAR]]+1)</f>
        <v/>
      </c>
      <c r="S233" s="51" t="str">
        <f>IF(ISBLANK(Yards25[[#This Row],[DSGN FISCAL YEAR]]),"",Yards25[[#This Row],[DSGN FISCAL YEAR]]+1)</f>
        <v/>
      </c>
      <c r="T233" s="51"/>
      <c r="U233" s="128">
        <f ca="1">Yards25[[#This Row],[Estimate]]*0.1</f>
        <v>0</v>
      </c>
      <c r="V233" s="47">
        <f ca="1">Yards25[[#This Row],[Estimate]]-Yards25[[#This Row],[Design Est.]]</f>
        <v>0</v>
      </c>
      <c r="W233" s="85">
        <f ca="1">(Yards25[[#This Row],['# yards]]*INDEX(UnitCosts[],MATCH(Yards25[[#This Row],[WORK TYPE]],UnitCosts[Work Type],0),2))*(1+((Yards25[[#This Row],[est. CONS Year]]-YEAR(TODAY()))*$W$3))</f>
        <v>0</v>
      </c>
      <c r="X233" s="142">
        <f>IF(ISNUMBER(SEARCH("LLC",Yards25[[#This Row],[PROGRAM]])),IF(Yards25[[#This Row],[RAD/PACT by 2025]]="yes",0,1),0)</f>
        <v>0</v>
      </c>
      <c r="Y233" s="1"/>
      <c r="Z233" s="1"/>
      <c r="AA233" s="51">
        <f ca="1">COUNTIF($X$5:Yards25[[#This Row],['# yards]],"&gt;0")</f>
        <v>8</v>
      </c>
      <c r="AB233" s="1">
        <f ca="1">IF(ISBLANK(Yards25[[#This Row],[DSGN CALENDAR YEAR]]),ROUNDDOWN(Yards25[[#This Row],[Count]]/20,0)+$AB$1,Yards25[[#This Row],[DSGN CALENDAR YEAR]])</f>
        <v>2022</v>
      </c>
      <c r="AC233" s="16">
        <f ca="1">Yards25[[#This Row],[est. DSGN Year]]+1</f>
        <v>2023</v>
      </c>
    </row>
    <row r="234" spans="1:29" hidden="1">
      <c r="A234" s="13" t="s">
        <v>87</v>
      </c>
      <c r="B234" s="51" t="str">
        <f>VLOOKUP(Yards25[[#This Row],[DEVELOPMENT]],Data[],2,FALSE)</f>
        <v>MANHATTAN</v>
      </c>
      <c r="C234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34" s="51" t="str">
        <f>VLOOKUP(Yards25[[#This Row],[DEVELOPMENT]],Data[],52,FALSE)</f>
        <v>FEDERAL</v>
      </c>
      <c r="E234" s="50" t="str">
        <f>VLOOKUP(Yards25[[#This Row],[DEVELOPMENT]],Data[],8,FALSE)</f>
        <v>Zone 3</v>
      </c>
      <c r="F234" s="51" t="str">
        <f>VLOOKUP(Yards25[[#This Row],[DEVELOPMENT]],all[[DEVELOPMENT]:[MRST Ext. Comp. Priority]],6,FALSE)</f>
        <v>None</v>
      </c>
      <c r="G234" s="51">
        <f>VLOOKUP(Yards25[[#This Row],[DEVELOPMENT]],all[[DEVELOPMENT]:[MRST Ext. Comp. Priority]],13,FALSE)</f>
        <v>4</v>
      </c>
      <c r="H234" s="50">
        <f>IF(VLOOKUP(Yards25[[#This Row],[DEVELOPMENT]],Data[],9,FALSE)=0,5,VLOOKUP(Yards25[[#This Row],[DEVELOPMENT]],Data[],9,FALSE))</f>
        <v>4</v>
      </c>
      <c r="I234" s="51">
        <f>VLOOKUP(Yards25[[#This Row],[DEVELOPMENT]],Data[],33,FALSE)</f>
        <v>0</v>
      </c>
      <c r="J234" s="51">
        <f>VLOOKUP(Yards25[[#This Row],[DEVELOPMENT]],Data[],28,FALSE)</f>
        <v>0</v>
      </c>
      <c r="K234" s="51"/>
      <c r="L234" s="50"/>
      <c r="M234" s="51" t="str">
        <f ca="1">IFERROR(VLOOKUP(Yards25[[#This Row],[DEVELOPMENT]],Data[],4,FALSE),"")</f>
        <v>2020-2021</v>
      </c>
      <c r="N234" s="51" t="str">
        <f ca="1">IF(Yards25[[#This Row],[RAD/PACT]]="","",IF(OR(Yards25[[#This Row],[RAD/PACT]]="2022-2025",Yards25[[#This Row],[RAD/PACT]]=2019,Yards25[[#This Row],[RAD/PACT]]="2020-2021"),"Yes",""))</f>
        <v>Yes</v>
      </c>
      <c r="O234" s="51" t="str">
        <f ca="1">IFERROR(VLOOKUP(Yards25[[#This Row],[DEVELOPMENT]],ExtComp[],8,FALSE),"")</f>
        <v/>
      </c>
      <c r="P234" s="51"/>
      <c r="Q234" s="51"/>
      <c r="R234" s="51" t="str">
        <f>IF(ISBLANK(Yards25[[#This Row],[DSGN CALENDAR YEAR]]),"",Yards25[[#This Row],[DSGN CALENDAR YEAR]]+1)</f>
        <v/>
      </c>
      <c r="S234" s="51" t="str">
        <f>IF(ISBLANK(Yards25[[#This Row],[DSGN FISCAL YEAR]]),"",Yards25[[#This Row],[DSGN FISCAL YEAR]]+1)</f>
        <v/>
      </c>
      <c r="T234" s="51"/>
      <c r="U234" s="128">
        <f ca="1">Yards25[[#This Row],[Estimate]]*0.1</f>
        <v>0</v>
      </c>
      <c r="V234" s="47">
        <f ca="1">Yards25[[#This Row],[Estimate]]-Yards25[[#This Row],[Design Est.]]</f>
        <v>0</v>
      </c>
      <c r="W234" s="85">
        <f ca="1">(Yards25[[#This Row],['# yards]]*INDEX(UnitCosts[],MATCH(Yards25[[#This Row],[WORK TYPE]],UnitCosts[Work Type],0),2))*(1+((Yards25[[#This Row],[est. CONS Year]]-YEAR(TODAY()))*$W$3))</f>
        <v>0</v>
      </c>
      <c r="X234" s="142">
        <f>IF(ISNUMBER(SEARCH("LLC",Yards25[[#This Row],[PROGRAM]])),IF(Yards25[[#This Row],[RAD/PACT by 2025]]="yes",0,1),0)</f>
        <v>0</v>
      </c>
      <c r="Y234" s="1"/>
      <c r="Z234" s="1"/>
      <c r="AA234" s="51">
        <f ca="1">COUNTIF($X$5:Yards25[[#This Row],['# yards]],"&gt;0")</f>
        <v>8</v>
      </c>
      <c r="AB234" s="1">
        <f ca="1">IF(ISBLANK(Yards25[[#This Row],[DSGN CALENDAR YEAR]]),ROUNDDOWN(Yards25[[#This Row],[Count]]/20,0)+$AB$1,Yards25[[#This Row],[DSGN CALENDAR YEAR]])</f>
        <v>2022</v>
      </c>
      <c r="AC234" s="16">
        <f ca="1">Yards25[[#This Row],[est. DSGN Year]]+1</f>
        <v>2023</v>
      </c>
    </row>
    <row r="235" spans="1:29" hidden="1">
      <c r="A235" s="13" t="s">
        <v>88</v>
      </c>
      <c r="B235" s="51" t="str">
        <f>VLOOKUP(Yards25[[#This Row],[DEVELOPMENT]],Data[],2,FALSE)</f>
        <v>MANHATTAN</v>
      </c>
      <c r="C235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35" s="51" t="str">
        <f>VLOOKUP(Yards25[[#This Row],[DEVELOPMENT]],Data[],52,FALSE)</f>
        <v>FEDERAL</v>
      </c>
      <c r="E235" s="50" t="str">
        <f>VLOOKUP(Yards25[[#This Row],[DEVELOPMENT]],Data[],8,FALSE)</f>
        <v>Zone 3</v>
      </c>
      <c r="F235" s="51" t="str">
        <f>VLOOKUP(Yards25[[#This Row],[DEVELOPMENT]],all[[DEVELOPMENT]:[MRST Ext. Comp. Priority]],6,FALSE)</f>
        <v>None</v>
      </c>
      <c r="G235" s="51">
        <f>VLOOKUP(Yards25[[#This Row],[DEVELOPMENT]],all[[DEVELOPMENT]:[MRST Ext. Comp. Priority]],13,FALSE)</f>
        <v>2</v>
      </c>
      <c r="H235" s="50">
        <f>IF(VLOOKUP(Yards25[[#This Row],[DEVELOPMENT]],Data[],9,FALSE)=0,5,VLOOKUP(Yards25[[#This Row],[DEVELOPMENT]],Data[],9,FALSE))</f>
        <v>4</v>
      </c>
      <c r="I235" s="51">
        <f>VLOOKUP(Yards25[[#This Row],[DEVELOPMENT]],Data[],33,FALSE)</f>
        <v>0</v>
      </c>
      <c r="J235" s="51">
        <f>VLOOKUP(Yards25[[#This Row],[DEVELOPMENT]],Data[],28,FALSE)</f>
        <v>0</v>
      </c>
      <c r="K235" s="51"/>
      <c r="L235" s="50"/>
      <c r="M235" s="51" t="str">
        <f ca="1">IFERROR(VLOOKUP(Yards25[[#This Row],[DEVELOPMENT]],Data[],4,FALSE),"")</f>
        <v>2020-2021</v>
      </c>
      <c r="N235" s="51" t="str">
        <f ca="1">IF(Yards25[[#This Row],[RAD/PACT]]="","",IF(OR(Yards25[[#This Row],[RAD/PACT]]="2022-2025",Yards25[[#This Row],[RAD/PACT]]=2019,Yards25[[#This Row],[RAD/PACT]]="2020-2021"),"Yes",""))</f>
        <v>Yes</v>
      </c>
      <c r="O235" s="51" t="str">
        <f ca="1">IFERROR(VLOOKUP(Yards25[[#This Row],[DEVELOPMENT]],ExtComp[],8,FALSE),"")</f>
        <v/>
      </c>
      <c r="P235" s="51"/>
      <c r="Q235" s="51"/>
      <c r="R235" s="51" t="str">
        <f>IF(ISBLANK(Yards25[[#This Row],[DSGN CALENDAR YEAR]]),"",Yards25[[#This Row],[DSGN CALENDAR YEAR]]+1)</f>
        <v/>
      </c>
      <c r="S235" s="51" t="str">
        <f>IF(ISBLANK(Yards25[[#This Row],[DSGN FISCAL YEAR]]),"",Yards25[[#This Row],[DSGN FISCAL YEAR]]+1)</f>
        <v/>
      </c>
      <c r="T235" s="51"/>
      <c r="U235" s="128">
        <f ca="1">Yards25[[#This Row],[Estimate]]*0.1</f>
        <v>0</v>
      </c>
      <c r="V235" s="47">
        <f ca="1">Yards25[[#This Row],[Estimate]]-Yards25[[#This Row],[Design Est.]]</f>
        <v>0</v>
      </c>
      <c r="W235" s="85">
        <f ca="1">(Yards25[[#This Row],['# yards]]*INDEX(UnitCosts[],MATCH(Yards25[[#This Row],[WORK TYPE]],UnitCosts[Work Type],0),2))*(1+((Yards25[[#This Row],[est. CONS Year]]-YEAR(TODAY()))*$W$3))</f>
        <v>0</v>
      </c>
      <c r="X235" s="142">
        <f>IF(ISNUMBER(SEARCH("LLC",Yards25[[#This Row],[PROGRAM]])),IF(Yards25[[#This Row],[RAD/PACT by 2025]]="yes",0,1),0)</f>
        <v>0</v>
      </c>
      <c r="Y235" s="1"/>
      <c r="Z235" s="1"/>
      <c r="AA235" s="51">
        <f ca="1">COUNTIF($X$5:Yards25[[#This Row],['# yards]],"&gt;0")</f>
        <v>8</v>
      </c>
      <c r="AB235" s="1">
        <f ca="1">IF(ISBLANK(Yards25[[#This Row],[DSGN CALENDAR YEAR]]),ROUNDDOWN(Yards25[[#This Row],[Count]]/20,0)+$AB$1,Yards25[[#This Row],[DSGN CALENDAR YEAR]])</f>
        <v>2022</v>
      </c>
      <c r="AC235" s="16">
        <f ca="1">Yards25[[#This Row],[est. DSGN Year]]+1</f>
        <v>2023</v>
      </c>
    </row>
    <row r="236" spans="1:29" hidden="1">
      <c r="A236" s="13" t="s">
        <v>343</v>
      </c>
      <c r="B236" s="51" t="str">
        <f>VLOOKUP(Yards25[[#This Row],[DEVELOPMENT]],Data[],2,FALSE)</f>
        <v>BROOKLYN</v>
      </c>
      <c r="C236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36" s="51" t="str">
        <f>VLOOKUP(Yards25[[#This Row],[DEVELOPMENT]],Data[],52,FALSE)</f>
        <v>FEDERAL</v>
      </c>
      <c r="E236" s="50" t="str">
        <f>VLOOKUP(Yards25[[#This Row],[DEVELOPMENT]],Data[],8,FALSE)</f>
        <v>Zone 1</v>
      </c>
      <c r="F236" s="51" t="str">
        <f>VLOOKUP(Yards25[[#This Row],[DEVELOPMENT]],all[[DEVELOPMENT]:[MRST Ext. Comp. Priority]],6,FALSE)</f>
        <v>None</v>
      </c>
      <c r="G236" s="51">
        <f>VLOOKUP(Yards25[[#This Row],[DEVELOPMENT]],all[[DEVELOPMENT]:[MRST Ext. Comp. Priority]],13,FALSE)</f>
        <v>2</v>
      </c>
      <c r="H236" s="50">
        <f>IF(VLOOKUP(Yards25[[#This Row],[DEVELOPMENT]],Data[],9,FALSE)=0,5,VLOOKUP(Yards25[[#This Row],[DEVELOPMENT]],Data[],9,FALSE))</f>
        <v>4</v>
      </c>
      <c r="I236" s="51">
        <f>VLOOKUP(Yards25[[#This Row],[DEVELOPMENT]],Data[],33,FALSE)</f>
        <v>0</v>
      </c>
      <c r="J236" s="51">
        <f>VLOOKUP(Yards25[[#This Row],[DEVELOPMENT]],Data[],28,FALSE)</f>
        <v>0</v>
      </c>
      <c r="K236" s="51"/>
      <c r="L236" s="50"/>
      <c r="M236" s="51">
        <f ca="1">IFERROR(VLOOKUP(Yards25[[#This Row],[DEVELOPMENT]],Data[],4,FALSE),"")</f>
        <v>2019</v>
      </c>
      <c r="N236" s="51" t="str">
        <f ca="1">IF(Yards25[[#This Row],[RAD/PACT]]="","",IF(OR(Yards25[[#This Row],[RAD/PACT]]="2022-2025",Yards25[[#This Row],[RAD/PACT]]=2019,Yards25[[#This Row],[RAD/PACT]]="2020-2021"),"Yes",""))</f>
        <v>Yes</v>
      </c>
      <c r="O236" s="51" t="str">
        <f ca="1">IFERROR(VLOOKUP(Yards25[[#This Row],[DEVELOPMENT]],ExtComp[],8,FALSE),"")</f>
        <v/>
      </c>
      <c r="P236" s="51"/>
      <c r="Q236" s="51"/>
      <c r="R236" s="51" t="str">
        <f>IF(ISBLANK(Yards25[[#This Row],[DSGN CALENDAR YEAR]]),"",Yards25[[#This Row],[DSGN CALENDAR YEAR]]+1)</f>
        <v/>
      </c>
      <c r="S236" s="51" t="str">
        <f>IF(ISBLANK(Yards25[[#This Row],[DSGN FISCAL YEAR]]),"",Yards25[[#This Row],[DSGN FISCAL YEAR]]+1)</f>
        <v/>
      </c>
      <c r="T236" s="51"/>
      <c r="U236" s="128">
        <f ca="1">Yards25[[#This Row],[Estimate]]*0.1</f>
        <v>0</v>
      </c>
      <c r="V236" s="47">
        <f ca="1">Yards25[[#This Row],[Estimate]]-Yards25[[#This Row],[Design Est.]]</f>
        <v>0</v>
      </c>
      <c r="W236" s="85">
        <f ca="1">(Yards25[[#This Row],['# yards]]*INDEX(UnitCosts[],MATCH(Yards25[[#This Row],[WORK TYPE]],UnitCosts[Work Type],0),2))*(1+((Yards25[[#This Row],[est. CONS Year]]-YEAR(TODAY()))*$W$3))</f>
        <v>0</v>
      </c>
      <c r="X236" s="142">
        <f>IF(ISNUMBER(SEARCH("LLC",Yards25[[#This Row],[PROGRAM]])),IF(Yards25[[#This Row],[RAD/PACT by 2025]]="yes",0,1),0)</f>
        <v>0</v>
      </c>
      <c r="Y236" s="1"/>
      <c r="Z236" s="1"/>
      <c r="AA236" s="51">
        <f ca="1">COUNTIF($X$5:Yards25[[#This Row],['# yards]],"&gt;0")</f>
        <v>8</v>
      </c>
      <c r="AB236" s="1">
        <f ca="1">IF(ISBLANK(Yards25[[#This Row],[DSGN CALENDAR YEAR]]),ROUNDDOWN(Yards25[[#This Row],[Count]]/20,0)+$AB$1,Yards25[[#This Row],[DSGN CALENDAR YEAR]])</f>
        <v>2022</v>
      </c>
      <c r="AC236" s="16">
        <f ca="1">Yards25[[#This Row],[est. DSGN Year]]+1</f>
        <v>2023</v>
      </c>
    </row>
    <row r="237" spans="1:29" hidden="1">
      <c r="A237" s="13" t="s">
        <v>90</v>
      </c>
      <c r="B237" s="51" t="str">
        <f>VLOOKUP(Yards25[[#This Row],[DEVELOPMENT]],Data[],2,FALSE)</f>
        <v>MANHATTAN</v>
      </c>
      <c r="C237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37" s="51" t="str">
        <f>VLOOKUP(Yards25[[#This Row],[DEVELOPMENT]],Data[],52,FALSE)</f>
        <v>FEDERAL</v>
      </c>
      <c r="E237" s="50" t="str">
        <f>VLOOKUP(Yards25[[#This Row],[DEVELOPMENT]],Data[],8,FALSE)</f>
        <v>Zone 2</v>
      </c>
      <c r="F237" s="51" t="str">
        <f>VLOOKUP(Yards25[[#This Row],[DEVELOPMENT]],all[[DEVELOPMENT]:[MRST Ext. Comp. Priority]],6,FALSE)</f>
        <v>None</v>
      </c>
      <c r="G237" s="51">
        <f>VLOOKUP(Yards25[[#This Row],[DEVELOPMENT]],all[[DEVELOPMENT]:[MRST Ext. Comp. Priority]],13,FALSE)</f>
        <v>2</v>
      </c>
      <c r="H237" s="50">
        <f>IF(VLOOKUP(Yards25[[#This Row],[DEVELOPMENT]],Data[],9,FALSE)=0,5,VLOOKUP(Yards25[[#This Row],[DEVELOPMENT]],Data[],9,FALSE))</f>
        <v>4</v>
      </c>
      <c r="I237" s="51">
        <f>VLOOKUP(Yards25[[#This Row],[DEVELOPMENT]],Data[],33,FALSE)</f>
        <v>0</v>
      </c>
      <c r="J237" s="51">
        <f>VLOOKUP(Yards25[[#This Row],[DEVELOPMENT]],Data[],28,FALSE)</f>
        <v>0</v>
      </c>
      <c r="K237" s="51"/>
      <c r="L237" s="50"/>
      <c r="M237" s="51" t="str">
        <f ca="1">IFERROR(VLOOKUP(Yards25[[#This Row],[DEVELOPMENT]],Data[],4,FALSE),"")</f>
        <v>2026+</v>
      </c>
      <c r="N237" s="51" t="str">
        <f ca="1">IF(Yards25[[#This Row],[RAD/PACT]]="","",IF(OR(Yards25[[#This Row],[RAD/PACT]]="2022-2025",Yards25[[#This Row],[RAD/PACT]]=2019,Yards25[[#This Row],[RAD/PACT]]="2020-2021"),"Yes",""))</f>
        <v/>
      </c>
      <c r="O237" s="1" t="str">
        <f ca="1">IFERROR(VLOOKUP(Yards25[[#This Row],[DEVELOPMENT]],ExtComp[],8,FALSE),"")</f>
        <v/>
      </c>
      <c r="P237" s="1"/>
      <c r="Q237" s="1"/>
      <c r="R237" s="1" t="str">
        <f>IF(ISBLANK(Yards25[[#This Row],[DSGN CALENDAR YEAR]]),"",Yards25[[#This Row],[DSGN CALENDAR YEAR]]+1)</f>
        <v/>
      </c>
      <c r="S237" s="51" t="str">
        <f>IF(ISBLANK(Yards25[[#This Row],[DSGN FISCAL YEAR]]),"",Yards25[[#This Row],[DSGN FISCAL YEAR]]+1)</f>
        <v/>
      </c>
      <c r="T237" s="1"/>
      <c r="U237" s="128">
        <f ca="1">Yards25[[#This Row],[Estimate]]*0.1</f>
        <v>0</v>
      </c>
      <c r="V237" s="47">
        <f ca="1">Yards25[[#This Row],[Estimate]]-Yards25[[#This Row],[Design Est.]]</f>
        <v>0</v>
      </c>
      <c r="W237" s="85">
        <f ca="1">(Yards25[[#This Row],['# yards]]*INDEX(UnitCosts[],MATCH(Yards25[[#This Row],[WORK TYPE]],UnitCosts[Work Type],0),2))*(1+((Yards25[[#This Row],[est. CONS Year]]-YEAR(TODAY()))*$W$3))</f>
        <v>0</v>
      </c>
      <c r="X237" s="142">
        <f>IF(ISNUMBER(SEARCH("LLC",Yards25[[#This Row],[PROGRAM]])),IF(Yards25[[#This Row],[RAD/PACT by 2025]]="yes",0,1),0)</f>
        <v>0</v>
      </c>
      <c r="Y237" s="1"/>
      <c r="Z237" s="1"/>
      <c r="AA237" s="51">
        <f ca="1">COUNTIF($X$5:Yards25[[#This Row],['# yards]],"&gt;0")</f>
        <v>8</v>
      </c>
      <c r="AB237" s="1">
        <f ca="1">IF(ISBLANK(Yards25[[#This Row],[DSGN CALENDAR YEAR]]),ROUNDDOWN(Yards25[[#This Row],[Count]]/20,0)+$AB$1,Yards25[[#This Row],[DSGN CALENDAR YEAR]])</f>
        <v>2022</v>
      </c>
      <c r="AC237" s="16">
        <f ca="1">Yards25[[#This Row],[est. DSGN Year]]+1</f>
        <v>2023</v>
      </c>
    </row>
    <row r="238" spans="1:29" hidden="1">
      <c r="A238" s="13" t="s">
        <v>148</v>
      </c>
      <c r="B238" s="51" t="str">
        <f>VLOOKUP(Yards25[[#This Row],[DEVELOPMENT]],Data[],2,FALSE)</f>
        <v>BROOKLYN</v>
      </c>
      <c r="C238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38" s="51" t="str">
        <f>VLOOKUP(Yards25[[#This Row],[DEVELOPMENT]],Data[],52,FALSE)</f>
        <v>FEDERAL</v>
      </c>
      <c r="E238" s="50" t="str">
        <f>VLOOKUP(Yards25[[#This Row],[DEVELOPMENT]],Data[],8,FALSE)</f>
        <v>Zone 1</v>
      </c>
      <c r="F238" s="51" t="str">
        <f>VLOOKUP(Yards25[[#This Row],[DEVELOPMENT]],all[[DEVELOPMENT]:[MRST Ext. Comp. Priority]],6,FALSE)</f>
        <v>None</v>
      </c>
      <c r="G238" s="51">
        <f>VLOOKUP(Yards25[[#This Row],[DEVELOPMENT]],all[[DEVELOPMENT]:[MRST Ext. Comp. Priority]],13,FALSE)</f>
        <v>3</v>
      </c>
      <c r="H238" s="50">
        <f>IF(VLOOKUP(Yards25[[#This Row],[DEVELOPMENT]],Data[],9,FALSE)=0,5,VLOOKUP(Yards25[[#This Row],[DEVELOPMENT]],Data[],9,FALSE))</f>
        <v>4</v>
      </c>
      <c r="I238" s="51">
        <f>VLOOKUP(Yards25[[#This Row],[DEVELOPMENT]],Data[],33,FALSE)</f>
        <v>2</v>
      </c>
      <c r="J238" s="51">
        <f>VLOOKUP(Yards25[[#This Row],[DEVELOPMENT]],Data[],28,FALSE)</f>
        <v>0</v>
      </c>
      <c r="K238" s="51"/>
      <c r="L238" s="50"/>
      <c r="M238" s="51" t="str">
        <f ca="1">IFERROR(VLOOKUP(Yards25[[#This Row],[DEVELOPMENT]],Data[],4,FALSE),"")</f>
        <v/>
      </c>
      <c r="N238" s="51" t="str">
        <f ca="1">IF(Yards25[[#This Row],[RAD/PACT]]="","",IF(OR(Yards25[[#This Row],[RAD/PACT]]="2022-2025",Yards25[[#This Row],[RAD/PACT]]=2019,Yards25[[#This Row],[RAD/PACT]]="2020-2021"),"Yes",""))</f>
        <v/>
      </c>
      <c r="O238" s="51" t="str">
        <f ca="1">IFERROR(VLOOKUP(Yards25[[#This Row],[DEVELOPMENT]],ExtComp[],8,FALSE),"")</f>
        <v/>
      </c>
      <c r="P238" s="51"/>
      <c r="Q238" s="51"/>
      <c r="R238" s="51" t="str">
        <f>IF(ISBLANK(Yards25[[#This Row],[DSGN CALENDAR YEAR]]),"",Yards25[[#This Row],[DSGN CALENDAR YEAR]]+1)</f>
        <v/>
      </c>
      <c r="S238" s="51" t="str">
        <f>IF(ISBLANK(Yards25[[#This Row],[DSGN FISCAL YEAR]]),"",Yards25[[#This Row],[DSGN FISCAL YEAR]]+1)</f>
        <v/>
      </c>
      <c r="T238" s="51"/>
      <c r="U238" s="128">
        <f ca="1">Yards25[[#This Row],[Estimate]]*0.1</f>
        <v>0</v>
      </c>
      <c r="V238" s="47">
        <f ca="1">Yards25[[#This Row],[Estimate]]-Yards25[[#This Row],[Design Est.]]</f>
        <v>0</v>
      </c>
      <c r="W238" s="85">
        <f ca="1">(Yards25[[#This Row],['# yards]]*INDEX(UnitCosts[],MATCH(Yards25[[#This Row],[WORK TYPE]],UnitCosts[Work Type],0),2))*(1+((Yards25[[#This Row],[est. CONS Year]]-YEAR(TODAY()))*$W$3))</f>
        <v>0</v>
      </c>
      <c r="X238" s="142">
        <f>IF(ISNUMBER(SEARCH("LLC",Yards25[[#This Row],[PROGRAM]])),IF(Yards25[[#This Row],[RAD/PACT by 2025]]="yes",0,1),0)</f>
        <v>0</v>
      </c>
      <c r="Y238" s="1"/>
      <c r="Z238" s="1"/>
      <c r="AA238" s="51">
        <f ca="1">COUNTIF($X$5:Yards25[[#This Row],['# yards]],"&gt;0")</f>
        <v>8</v>
      </c>
      <c r="AB238" s="1">
        <f ca="1">IF(ISBLANK(Yards25[[#This Row],[DSGN CALENDAR YEAR]]),ROUNDDOWN(Yards25[[#This Row],[Count]]/20,0)+$AB$1,Yards25[[#This Row],[DSGN CALENDAR YEAR]])</f>
        <v>2022</v>
      </c>
      <c r="AC238" s="16">
        <f ca="1">Yards25[[#This Row],[est. DSGN Year]]+1</f>
        <v>2023</v>
      </c>
    </row>
    <row r="239" spans="1:29">
      <c r="A239" s="13" t="s">
        <v>43</v>
      </c>
      <c r="B239" s="51" t="str">
        <f>VLOOKUP(Yards25[[#This Row],[DEVELOPMENT]],Data[],2,FALSE)</f>
        <v>MANHATTAN</v>
      </c>
      <c r="C239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39" s="51" t="str">
        <f>VLOOKUP(Yards25[[#This Row],[DEVELOPMENT]],Data[],52,FALSE)</f>
        <v>MIXED FINANCE/LLC1</v>
      </c>
      <c r="E239" s="50" t="str">
        <f>VLOOKUP(Yards25[[#This Row],[DEVELOPMENT]],Data[],8,FALSE)</f>
        <v>Zone 1</v>
      </c>
      <c r="F239" s="51" t="str">
        <f>VLOOKUP(Yards25[[#This Row],[DEVELOPMENT]],all[[DEVELOPMENT]:[MRST Ext. Comp. Priority]],6,FALSE)</f>
        <v>None</v>
      </c>
      <c r="G239" s="51">
        <f>VLOOKUP(Yards25[[#This Row],[DEVELOPMENT]],all[[DEVELOPMENT]:[MRST Ext. Comp. Priority]],13,FALSE)</f>
        <v>2</v>
      </c>
      <c r="H239" s="50">
        <f>IF(VLOOKUP(Yards25[[#This Row],[DEVELOPMENT]],Data[],9,FALSE)=0,5,VLOOKUP(Yards25[[#This Row],[DEVELOPMENT]],Data[],9,FALSE))</f>
        <v>4</v>
      </c>
      <c r="I239" s="51">
        <f>VLOOKUP(Yards25[[#This Row],[DEVELOPMENT]],Data[],33,FALSE)</f>
        <v>1</v>
      </c>
      <c r="J239" s="51">
        <f>VLOOKUP(Yards25[[#This Row],[DEVELOPMENT]],Data[],28,FALSE)</f>
        <v>0</v>
      </c>
      <c r="K239" s="51"/>
      <c r="L239" s="50"/>
      <c r="M239" s="51" t="str">
        <f ca="1">IFERROR(VLOOKUP(Yards25[[#This Row],[DEVELOPMENT]],Data[],4,FALSE),"")</f>
        <v/>
      </c>
      <c r="N239" s="51" t="str">
        <f ca="1">IF(Yards25[[#This Row],[RAD/PACT]]="","",IF(OR(Yards25[[#This Row],[RAD/PACT]]="2022-2025",Yards25[[#This Row],[RAD/PACT]]=2019,Yards25[[#This Row],[RAD/PACT]]="2020-2021"),"Yes",""))</f>
        <v/>
      </c>
      <c r="O239" s="51">
        <f ca="1">IFERROR(VLOOKUP(Yards25[[#This Row],[DEVELOPMENT]],ExtComp[],8,FALSE),"")</f>
        <v>14</v>
      </c>
      <c r="P239" s="51"/>
      <c r="Q239" s="51"/>
      <c r="R239" s="51" t="str">
        <f>IF(ISBLANK(Yards25[[#This Row],[DSGN CALENDAR YEAR]]),"",Yards25[[#This Row],[DSGN CALENDAR YEAR]]+1)</f>
        <v/>
      </c>
      <c r="S239" s="51" t="str">
        <f>IF(ISBLANK(Yards25[[#This Row],[DSGN FISCAL YEAR]]),"",Yards25[[#This Row],[DSGN FISCAL YEAR]]+1)</f>
        <v/>
      </c>
      <c r="T239" s="51"/>
      <c r="U239" s="128">
        <f ca="1">Yards25[[#This Row],[Estimate]]*0.1</f>
        <v>225039.4463730001</v>
      </c>
      <c r="V239" s="47">
        <f ca="1">Yards25[[#This Row],[Estimate]]-Yards25[[#This Row],[Design Est.]]</f>
        <v>2025355.0173570008</v>
      </c>
      <c r="W239" s="85">
        <f ca="1">(Yards25[[#This Row],['# yards]]*INDEX(UnitCosts[],MATCH(Yards25[[#This Row],[WORK TYPE]],UnitCosts[Work Type],0),2))*(1+((Yards25[[#This Row],[est. CONS Year]]-YEAR(TODAY()))*$W$3))</f>
        <v>2250394.4637300009</v>
      </c>
      <c r="X239" s="142">
        <f ca="1">IF(ISNUMBER(SEARCH("LLC",Yards25[[#This Row],[PROGRAM]])),IF(Yards25[[#This Row],[RAD/PACT by 2025]]="yes",0,1),0)</f>
        <v>1</v>
      </c>
      <c r="Y239" s="1"/>
      <c r="Z239" s="1"/>
      <c r="AA239" s="51">
        <f ca="1">COUNTIF($X$5:Yards25[[#This Row],['# yards]],"&gt;0")</f>
        <v>9</v>
      </c>
      <c r="AB239" s="1">
        <v>2026</v>
      </c>
      <c r="AC239" s="16">
        <f>Yards25[[#This Row],[est. DSGN Year]]+1</f>
        <v>2027</v>
      </c>
    </row>
    <row r="240" spans="1:29" hidden="1">
      <c r="A240" s="13" t="s">
        <v>136</v>
      </c>
      <c r="B240" s="51" t="str">
        <f>VLOOKUP(Yards25[[#This Row],[DEVELOPMENT]],Data[],2,FALSE)</f>
        <v>MANHATTAN</v>
      </c>
      <c r="C240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240" s="51" t="str">
        <f>VLOOKUP(Yards25[[#This Row],[DEVELOPMENT]],Data[],52,FALSE)</f>
        <v>FEDERAL</v>
      </c>
      <c r="E240" s="50" t="str">
        <f>VLOOKUP(Yards25[[#This Row],[DEVELOPMENT]],Data[],8,FALSE)</f>
        <v>Zone 2</v>
      </c>
      <c r="F240" s="51" t="str">
        <f>VLOOKUP(Yards25[[#This Row],[DEVELOPMENT]],all[[DEVELOPMENT]:[MRST Ext. Comp. Priority]],6,FALSE)</f>
        <v>None</v>
      </c>
      <c r="G240" s="51">
        <f>VLOOKUP(Yards25[[#This Row],[DEVELOPMENT]],all[[DEVELOPMENT]:[MRST Ext. Comp. Priority]],13,FALSE)</f>
        <v>2</v>
      </c>
      <c r="H240" s="50">
        <f>IF(VLOOKUP(Yards25[[#This Row],[DEVELOPMENT]],Data[],9,FALSE)=0,5,VLOOKUP(Yards25[[#This Row],[DEVELOPMENT]],Data[],9,FALSE))</f>
        <v>4</v>
      </c>
      <c r="I240" s="51">
        <f>VLOOKUP(Yards25[[#This Row],[DEVELOPMENT]],Data[],33,FALSE)</f>
        <v>3</v>
      </c>
      <c r="J240" s="51">
        <f>VLOOKUP(Yards25[[#This Row],[DEVELOPMENT]],Data[],28,FALSE)</f>
        <v>0</v>
      </c>
      <c r="K240" s="51"/>
      <c r="L240" s="50"/>
      <c r="M240" s="51" t="str">
        <f ca="1">IFERROR(VLOOKUP(Yards25[[#This Row],[DEVELOPMENT]],Data[],4,FALSE),"")</f>
        <v>2026+</v>
      </c>
      <c r="N240" s="51" t="str">
        <f ca="1">IF(Yards25[[#This Row],[RAD/PACT]]="","",IF(OR(Yards25[[#This Row],[RAD/PACT]]="2022-2025",Yards25[[#This Row],[RAD/PACT]]=2019,Yards25[[#This Row],[RAD/PACT]]="2020-2021"),"Yes",""))</f>
        <v/>
      </c>
      <c r="O240" s="1">
        <f ca="1">IFERROR(VLOOKUP(Yards25[[#This Row],[DEVELOPMENT]],ExtComp[],8,FALSE),"")</f>
        <v>2</v>
      </c>
      <c r="P240" s="1"/>
      <c r="Q240" s="1"/>
      <c r="R240" s="1" t="str">
        <f>IF(ISBLANK(Yards25[[#This Row],[DSGN CALENDAR YEAR]]),"",Yards25[[#This Row],[DSGN CALENDAR YEAR]]+1)</f>
        <v/>
      </c>
      <c r="S240" s="51" t="str">
        <f>IF(ISBLANK(Yards25[[#This Row],[DSGN FISCAL YEAR]]),"",Yards25[[#This Row],[DSGN FISCAL YEAR]]+1)</f>
        <v/>
      </c>
      <c r="T240" s="1"/>
      <c r="U240" s="128">
        <f ca="1">Yards25[[#This Row],[Estimate]]*0.1</f>
        <v>0</v>
      </c>
      <c r="V240" s="47">
        <f ca="1">Yards25[[#This Row],[Estimate]]-Yards25[[#This Row],[Design Est.]]</f>
        <v>0</v>
      </c>
      <c r="W240" s="85">
        <f ca="1">(Yards25[[#This Row],['# yards]]*INDEX(UnitCosts[],MATCH(Yards25[[#This Row],[WORK TYPE]],UnitCosts[Work Type],0),2))*(1+((Yards25[[#This Row],[est. CONS Year]]-YEAR(TODAY()))*$W$3))</f>
        <v>0</v>
      </c>
      <c r="X240" s="142">
        <f>IF(ISNUMBER(SEARCH("LLC",Yards25[[#This Row],[PROGRAM]])),IF(Yards25[[#This Row],[RAD/PACT by 2025]]="yes",0,1),0)</f>
        <v>0</v>
      </c>
      <c r="Y240" s="1"/>
      <c r="Z240" s="1"/>
      <c r="AA240" s="51">
        <f ca="1">COUNTIF($X$5:Yards25[[#This Row],['# yards]],"&gt;0")</f>
        <v>9</v>
      </c>
      <c r="AB240" s="1">
        <f ca="1">IF(ISBLANK(Yards25[[#This Row],[DSGN CALENDAR YEAR]]),ROUNDDOWN(Yards25[[#This Row],[Count]]/20,0)+$AB$1,Yards25[[#This Row],[DSGN CALENDAR YEAR]])</f>
        <v>2022</v>
      </c>
      <c r="AC240" s="16">
        <f ca="1">Yards25[[#This Row],[est. DSGN Year]]+1</f>
        <v>2023</v>
      </c>
    </row>
    <row r="241" spans="1:29" hidden="1">
      <c r="A241" s="13" t="s">
        <v>65</v>
      </c>
      <c r="B241" s="51" t="str">
        <f>VLOOKUP(Yards25[[#This Row],[DEVELOPMENT]],Data[],2,FALSE)</f>
        <v>MANHATTAN</v>
      </c>
      <c r="C24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41" s="51" t="str">
        <f>VLOOKUP(Yards25[[#This Row],[DEVELOPMENT]],Data[],52,FALSE)</f>
        <v>FEDERAL</v>
      </c>
      <c r="E241" s="50" t="str">
        <f>VLOOKUP(Yards25[[#This Row],[DEVELOPMENT]],Data[],8,FALSE)</f>
        <v>Zone 1</v>
      </c>
      <c r="F241" s="51" t="str">
        <f>VLOOKUP(Yards25[[#This Row],[DEVELOPMENT]],all[[DEVELOPMENT]:[MRST Ext. Comp. Priority]],6,FALSE)</f>
        <v>None</v>
      </c>
      <c r="G241" s="51" t="str">
        <f>VLOOKUP(Yards25[[#This Row],[DEVELOPMENT]],all[[DEVELOPMENT]:[MRST Ext. Comp. Priority]],13,FALSE)</f>
        <v>None</v>
      </c>
      <c r="H241" s="50">
        <f>IF(VLOOKUP(Yards25[[#This Row],[DEVELOPMENT]],Data[],9,FALSE)=0,5,VLOOKUP(Yards25[[#This Row],[DEVELOPMENT]],Data[],9,FALSE))</f>
        <v>4</v>
      </c>
      <c r="I241" s="51">
        <f>VLOOKUP(Yards25[[#This Row],[DEVELOPMENT]],Data[],33,FALSE)</f>
        <v>0</v>
      </c>
      <c r="J241" s="51">
        <f>VLOOKUP(Yards25[[#This Row],[DEVELOPMENT]],Data[],28,FALSE)</f>
        <v>0</v>
      </c>
      <c r="K241" s="51"/>
      <c r="L241" s="50"/>
      <c r="M241" s="51" t="str">
        <f ca="1">IFERROR(VLOOKUP(Yards25[[#This Row],[DEVELOPMENT]],Data[],4,FALSE),"")</f>
        <v/>
      </c>
      <c r="N241" s="51" t="str">
        <f ca="1">IF(Yards25[[#This Row],[RAD/PACT]]="","",IF(OR(Yards25[[#This Row],[RAD/PACT]]="2022-2025",Yards25[[#This Row],[RAD/PACT]]=2019,Yards25[[#This Row],[RAD/PACT]]="2020-2021"),"Yes",""))</f>
        <v/>
      </c>
      <c r="O241" s="51" t="str">
        <f ca="1">IFERROR(VLOOKUP(Yards25[[#This Row],[DEVELOPMENT]],ExtComp[],8,FALSE),"")</f>
        <v/>
      </c>
      <c r="P241" s="51"/>
      <c r="Q241" s="51"/>
      <c r="R241" s="51" t="str">
        <f>IF(ISBLANK(Yards25[[#This Row],[DSGN CALENDAR YEAR]]),"",Yards25[[#This Row],[DSGN CALENDAR YEAR]]+1)</f>
        <v/>
      </c>
      <c r="S241" s="51" t="str">
        <f>IF(ISBLANK(Yards25[[#This Row],[DSGN FISCAL YEAR]]),"",Yards25[[#This Row],[DSGN FISCAL YEAR]]+1)</f>
        <v/>
      </c>
      <c r="T241" s="51"/>
      <c r="U241" s="128">
        <f ca="1">Yards25[[#This Row],[Estimate]]*0.1</f>
        <v>0</v>
      </c>
      <c r="V241" s="47">
        <f ca="1">Yards25[[#This Row],[Estimate]]-Yards25[[#This Row],[Design Est.]]</f>
        <v>0</v>
      </c>
      <c r="W241" s="85">
        <f ca="1">(Yards25[[#This Row],['# yards]]*INDEX(UnitCosts[],MATCH(Yards25[[#This Row],[WORK TYPE]],UnitCosts[Work Type],0),2))*(1+((Yards25[[#This Row],[est. CONS Year]]-YEAR(TODAY()))*$W$3))</f>
        <v>0</v>
      </c>
      <c r="X241" s="142">
        <f>IF(ISNUMBER(SEARCH("LLC",Yards25[[#This Row],[PROGRAM]])),IF(Yards25[[#This Row],[RAD/PACT by 2025]]="yes",0,1),0)</f>
        <v>0</v>
      </c>
      <c r="Y241" s="1"/>
      <c r="Z241" s="1"/>
      <c r="AA241" s="51">
        <f ca="1">COUNTIF($X$5:Yards25[[#This Row],['# yards]],"&gt;0")</f>
        <v>9</v>
      </c>
      <c r="AB241" s="1">
        <f ca="1">IF(ISBLANK(Yards25[[#This Row],[DSGN CALENDAR YEAR]]),ROUNDDOWN(Yards25[[#This Row],[Count]]/20,0)+$AB$1,Yards25[[#This Row],[DSGN CALENDAR YEAR]])</f>
        <v>2022</v>
      </c>
      <c r="AC241" s="16">
        <f ca="1">Yards25[[#This Row],[est. DSGN Year]]+1</f>
        <v>2023</v>
      </c>
    </row>
    <row r="242" spans="1:29" hidden="1">
      <c r="A242" s="13" t="s">
        <v>149</v>
      </c>
      <c r="B242" s="51" t="str">
        <f>VLOOKUP(Yards25[[#This Row],[DEVELOPMENT]],Data[],2,FALSE)</f>
        <v>BRONX</v>
      </c>
      <c r="C242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42" s="51" t="str">
        <f>VLOOKUP(Yards25[[#This Row],[DEVELOPMENT]],Data[],52,FALSE)</f>
        <v>FEDERAL</v>
      </c>
      <c r="E242" s="50" t="str">
        <f>VLOOKUP(Yards25[[#This Row],[DEVELOPMENT]],Data[],8,FALSE)</f>
        <v>Zone 1</v>
      </c>
      <c r="F242" s="51" t="str">
        <f>VLOOKUP(Yards25[[#This Row],[DEVELOPMENT]],all[[DEVELOPMENT]:[MRST Ext. Comp. Priority]],6,FALSE)</f>
        <v>None</v>
      </c>
      <c r="G242" s="51">
        <f>VLOOKUP(Yards25[[#This Row],[DEVELOPMENT]],all[[DEVELOPMENT]:[MRST Ext. Comp. Priority]],13,FALSE)</f>
        <v>3</v>
      </c>
      <c r="H242" s="50">
        <f>IF(VLOOKUP(Yards25[[#This Row],[DEVELOPMENT]],Data[],9,FALSE)=0,5,VLOOKUP(Yards25[[#This Row],[DEVELOPMENT]],Data[],9,FALSE))</f>
        <v>4</v>
      </c>
      <c r="I242" s="51">
        <f>VLOOKUP(Yards25[[#This Row],[DEVELOPMENT]],Data[],33,FALSE)</f>
        <v>1</v>
      </c>
      <c r="J242" s="51">
        <f>VLOOKUP(Yards25[[#This Row],[DEVELOPMENT]],Data[],28,FALSE)</f>
        <v>0</v>
      </c>
      <c r="K242" s="51"/>
      <c r="L242" s="50"/>
      <c r="M242" s="51" t="str">
        <f ca="1">IFERROR(VLOOKUP(Yards25[[#This Row],[DEVELOPMENT]],Data[],4,FALSE),"")</f>
        <v>2022-2025</v>
      </c>
      <c r="N242" s="51" t="str">
        <f ca="1">IF(Yards25[[#This Row],[RAD/PACT]]="","",IF(OR(Yards25[[#This Row],[RAD/PACT]]="2022-2025",Yards25[[#This Row],[RAD/PACT]]=2019,Yards25[[#This Row],[RAD/PACT]]="2020-2021"),"Yes",""))</f>
        <v>Yes</v>
      </c>
      <c r="O242" s="51" t="str">
        <f ca="1">IFERROR(VLOOKUP(Yards25[[#This Row],[DEVELOPMENT]],ExtComp[],8,FALSE),"")</f>
        <v/>
      </c>
      <c r="P242" s="51"/>
      <c r="Q242" s="51"/>
      <c r="R242" s="51" t="str">
        <f>IF(ISBLANK(Yards25[[#This Row],[DSGN CALENDAR YEAR]]),"",Yards25[[#This Row],[DSGN CALENDAR YEAR]]+1)</f>
        <v/>
      </c>
      <c r="S242" s="51" t="str">
        <f>IF(ISBLANK(Yards25[[#This Row],[DSGN FISCAL YEAR]]),"",Yards25[[#This Row],[DSGN FISCAL YEAR]]+1)</f>
        <v/>
      </c>
      <c r="T242" s="51"/>
      <c r="U242" s="128">
        <f ca="1">Yards25[[#This Row],[Estimate]]*0.1</f>
        <v>0</v>
      </c>
      <c r="V242" s="47">
        <f ca="1">Yards25[[#This Row],[Estimate]]-Yards25[[#This Row],[Design Est.]]</f>
        <v>0</v>
      </c>
      <c r="W242" s="85">
        <f ca="1">(Yards25[[#This Row],['# yards]]*INDEX(UnitCosts[],MATCH(Yards25[[#This Row],[WORK TYPE]],UnitCosts[Work Type],0),2))*(1+((Yards25[[#This Row],[est. CONS Year]]-YEAR(TODAY()))*$W$3))</f>
        <v>0</v>
      </c>
      <c r="X242" s="142">
        <f>IF(ISNUMBER(SEARCH("LLC",Yards25[[#This Row],[PROGRAM]])),IF(Yards25[[#This Row],[RAD/PACT by 2025]]="yes",0,1),0)</f>
        <v>0</v>
      </c>
      <c r="Y242" s="1"/>
      <c r="Z242" s="1"/>
      <c r="AA242" s="51">
        <f ca="1">COUNTIF($X$5:Yards25[[#This Row],['# yards]],"&gt;0")</f>
        <v>9</v>
      </c>
      <c r="AB242" s="1">
        <f ca="1">IF(ISBLANK(Yards25[[#This Row],[DSGN CALENDAR YEAR]]),ROUNDDOWN(Yards25[[#This Row],[Count]]/20,0)+$AB$1,Yards25[[#This Row],[DSGN CALENDAR YEAR]])</f>
        <v>2022</v>
      </c>
      <c r="AC242" s="16">
        <f ca="1">Yards25[[#This Row],[est. DSGN Year]]+1</f>
        <v>2023</v>
      </c>
    </row>
    <row r="243" spans="1:29" hidden="1">
      <c r="A243" s="13" t="s">
        <v>46</v>
      </c>
      <c r="B243" s="51" t="str">
        <f>VLOOKUP(Yards25[[#This Row],[DEVELOPMENT]],Data[],2,FALSE)</f>
        <v>BROOKLYN</v>
      </c>
      <c r="C24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243" s="51" t="str">
        <f>VLOOKUP(Yards25[[#This Row],[DEVELOPMENT]],Data[],52,FALSE)</f>
        <v>FEDERAL</v>
      </c>
      <c r="E243" s="50" t="str">
        <f>VLOOKUP(Yards25[[#This Row],[DEVELOPMENT]],Data[],8,FALSE)</f>
        <v>Zone 1</v>
      </c>
      <c r="F243" s="51" t="str">
        <f>VLOOKUP(Yards25[[#This Row],[DEVELOPMENT]],all[[DEVELOPMENT]:[MRST Ext. Comp. Priority]],6,FALSE)</f>
        <v>None</v>
      </c>
      <c r="G243" s="51">
        <f>VLOOKUP(Yards25[[#This Row],[DEVELOPMENT]],all[[DEVELOPMENT]:[MRST Ext. Comp. Priority]],13,FALSE)</f>
        <v>3</v>
      </c>
      <c r="H243" s="50">
        <f>IF(VLOOKUP(Yards25[[#This Row],[DEVELOPMENT]],Data[],9,FALSE)=0,5,VLOOKUP(Yards25[[#This Row],[DEVELOPMENT]],Data[],9,FALSE))</f>
        <v>4</v>
      </c>
      <c r="I243" s="51">
        <f>VLOOKUP(Yards25[[#This Row],[DEVELOPMENT]],Data[],33,FALSE)</f>
        <v>2</v>
      </c>
      <c r="J243" s="51">
        <f>VLOOKUP(Yards25[[#This Row],[DEVELOPMENT]],Data[],28,FALSE)</f>
        <v>0</v>
      </c>
      <c r="K243" s="51"/>
      <c r="L243" s="50"/>
      <c r="M243" s="51" t="str">
        <f ca="1">IFERROR(VLOOKUP(Yards25[[#This Row],[DEVELOPMENT]],Data[],4,FALSE),"")</f>
        <v>2026+</v>
      </c>
      <c r="N243" s="51" t="str">
        <f ca="1">IF(Yards25[[#This Row],[RAD/PACT]]="","",IF(OR(Yards25[[#This Row],[RAD/PACT]]="2022-2025",Yards25[[#This Row],[RAD/PACT]]=2019,Yards25[[#This Row],[RAD/PACT]]="2020-2021"),"Yes",""))</f>
        <v/>
      </c>
      <c r="O243" s="51">
        <f ca="1">IFERROR(VLOOKUP(Yards25[[#This Row],[DEVELOPMENT]],ExtComp[],8,FALSE),"")</f>
        <v>1</v>
      </c>
      <c r="P243" s="51"/>
      <c r="Q243" s="51"/>
      <c r="R243" s="51" t="str">
        <f>IF(ISBLANK(Yards25[[#This Row],[DSGN CALENDAR YEAR]]),"",Yards25[[#This Row],[DSGN CALENDAR YEAR]]+1)</f>
        <v/>
      </c>
      <c r="S243" s="51" t="str">
        <f>IF(ISBLANK(Yards25[[#This Row],[DSGN FISCAL YEAR]]),"",Yards25[[#This Row],[DSGN FISCAL YEAR]]+1)</f>
        <v/>
      </c>
      <c r="T243" s="51"/>
      <c r="U243" s="128">
        <f ca="1">Yards25[[#This Row],[Estimate]]*0.1</f>
        <v>0</v>
      </c>
      <c r="V243" s="47">
        <f ca="1">Yards25[[#This Row],[Estimate]]-Yards25[[#This Row],[Design Est.]]</f>
        <v>0</v>
      </c>
      <c r="W243" s="85">
        <f ca="1">(Yards25[[#This Row],['# yards]]*INDEX(UnitCosts[],MATCH(Yards25[[#This Row],[WORK TYPE]],UnitCosts[Work Type],0),2))*(1+((Yards25[[#This Row],[est. CONS Year]]-YEAR(TODAY()))*$W$3))</f>
        <v>0</v>
      </c>
      <c r="X243" s="142">
        <f>IF(ISNUMBER(SEARCH("LLC",Yards25[[#This Row],[PROGRAM]])),IF(Yards25[[#This Row],[RAD/PACT by 2025]]="yes",0,1),0)</f>
        <v>0</v>
      </c>
      <c r="Y243" s="1"/>
      <c r="Z243" s="1"/>
      <c r="AA243" s="51">
        <f ca="1">COUNTIF($X$5:Yards25[[#This Row],['# yards]],"&gt;0")</f>
        <v>9</v>
      </c>
      <c r="AB243" s="1">
        <f ca="1">IF(ISBLANK(Yards25[[#This Row],[DSGN CALENDAR YEAR]]),ROUNDDOWN(Yards25[[#This Row],[Count]]/20,0)+$AB$1,Yards25[[#This Row],[DSGN CALENDAR YEAR]])</f>
        <v>2022</v>
      </c>
      <c r="AC243" s="16">
        <f ca="1">Yards25[[#This Row],[est. DSGN Year]]+1</f>
        <v>2023</v>
      </c>
    </row>
    <row r="244" spans="1:29" hidden="1">
      <c r="A244" s="13" t="s">
        <v>99</v>
      </c>
      <c r="B244" s="51" t="str">
        <f>VLOOKUP(Yards25[[#This Row],[DEVELOPMENT]],Data[],2,FALSE)</f>
        <v>BRONX</v>
      </c>
      <c r="C24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44" s="51" t="str">
        <f>VLOOKUP(Yards25[[#This Row],[DEVELOPMENT]],Data[],52,FALSE)</f>
        <v>FEDERAL</v>
      </c>
      <c r="E244" s="50" t="str">
        <f>VLOOKUP(Yards25[[#This Row],[DEVELOPMENT]],Data[],8,FALSE)</f>
        <v>Zone 3</v>
      </c>
      <c r="F244" s="51" t="str">
        <f>VLOOKUP(Yards25[[#This Row],[DEVELOPMENT]],all[[DEVELOPMENT]:[MRST Ext. Comp. Priority]],6,FALSE)</f>
        <v>None</v>
      </c>
      <c r="G244" s="51">
        <f>VLOOKUP(Yards25[[#This Row],[DEVELOPMENT]],all[[DEVELOPMENT]:[MRST Ext. Comp. Priority]],13,FALSE)</f>
        <v>3</v>
      </c>
      <c r="H244" s="50">
        <f>IF(VLOOKUP(Yards25[[#This Row],[DEVELOPMENT]],Data[],9,FALSE)=0,5,VLOOKUP(Yards25[[#This Row],[DEVELOPMENT]],Data[],9,FALSE))</f>
        <v>4</v>
      </c>
      <c r="I244" s="51">
        <f>VLOOKUP(Yards25[[#This Row],[DEVELOPMENT]],Data[],33,FALSE)</f>
        <v>1</v>
      </c>
      <c r="J244" s="51">
        <f>VLOOKUP(Yards25[[#This Row],[DEVELOPMENT]],Data[],28,FALSE)</f>
        <v>0</v>
      </c>
      <c r="K244" s="51"/>
      <c r="L244" s="50"/>
      <c r="M244" s="51" t="str">
        <f ca="1">IFERROR(VLOOKUP(Yards25[[#This Row],[DEVELOPMENT]],Data[],4,FALSE),"")</f>
        <v>2026+</v>
      </c>
      <c r="N244" s="51" t="str">
        <f ca="1">IF(Yards25[[#This Row],[RAD/PACT]]="","",IF(OR(Yards25[[#This Row],[RAD/PACT]]="2022-2025",Yards25[[#This Row],[RAD/PACT]]=2019,Yards25[[#This Row],[RAD/PACT]]="2020-2021"),"Yes",""))</f>
        <v/>
      </c>
      <c r="O244" s="51" t="str">
        <f ca="1">IFERROR(VLOOKUP(Yards25[[#This Row],[DEVELOPMENT]],ExtComp[],8,FALSE),"")</f>
        <v/>
      </c>
      <c r="P244" s="51"/>
      <c r="Q244" s="51"/>
      <c r="R244" s="51" t="str">
        <f>IF(ISBLANK(Yards25[[#This Row],[DSGN CALENDAR YEAR]]),"",Yards25[[#This Row],[DSGN CALENDAR YEAR]]+1)</f>
        <v/>
      </c>
      <c r="S244" s="51" t="str">
        <f>IF(ISBLANK(Yards25[[#This Row],[DSGN FISCAL YEAR]]),"",Yards25[[#This Row],[DSGN FISCAL YEAR]]+1)</f>
        <v/>
      </c>
      <c r="T244" s="51"/>
      <c r="U244" s="128">
        <f ca="1">Yards25[[#This Row],[Estimate]]*0.1</f>
        <v>0</v>
      </c>
      <c r="V244" s="47">
        <f ca="1">Yards25[[#This Row],[Estimate]]-Yards25[[#This Row],[Design Est.]]</f>
        <v>0</v>
      </c>
      <c r="W244" s="85">
        <f ca="1">(Yards25[[#This Row],['# yards]]*INDEX(UnitCosts[],MATCH(Yards25[[#This Row],[WORK TYPE]],UnitCosts[Work Type],0),2))*(1+((Yards25[[#This Row],[est. CONS Year]]-YEAR(TODAY()))*$W$3))</f>
        <v>0</v>
      </c>
      <c r="X244" s="142">
        <f>IF(ISNUMBER(SEARCH("LLC",Yards25[[#This Row],[PROGRAM]])),IF(Yards25[[#This Row],[RAD/PACT by 2025]]="yes",0,1),0)</f>
        <v>0</v>
      </c>
      <c r="Y244" s="1"/>
      <c r="Z244" s="1"/>
      <c r="AA244" s="51">
        <f ca="1">COUNTIF($X$5:Yards25[[#This Row],['# yards]],"&gt;0")</f>
        <v>9</v>
      </c>
      <c r="AB244" s="1">
        <f ca="1">IF(ISBLANK(Yards25[[#This Row],[DSGN CALENDAR YEAR]]),ROUNDDOWN(Yards25[[#This Row],[Count]]/20,0)+$AB$1,Yards25[[#This Row],[DSGN CALENDAR YEAR]])</f>
        <v>2022</v>
      </c>
      <c r="AC244" s="16">
        <f ca="1">Yards25[[#This Row],[est. DSGN Year]]+1</f>
        <v>2023</v>
      </c>
    </row>
    <row r="245" spans="1:29" hidden="1">
      <c r="A245" s="13" t="s">
        <v>127</v>
      </c>
      <c r="B245" s="51" t="str">
        <f>VLOOKUP(Yards25[[#This Row],[DEVELOPMENT]],Data[],2,FALSE)</f>
        <v>MANHATTAN</v>
      </c>
      <c r="C245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v6</v>
      </c>
      <c r="D245" s="51" t="str">
        <f>VLOOKUP(Yards25[[#This Row],[DEVELOPMENT]],Data[],52,FALSE)</f>
        <v>FEDERAL</v>
      </c>
      <c r="E245" s="50" t="str">
        <f>VLOOKUP(Yards25[[#This Row],[DEVELOPMENT]],Data[],8,FALSE)</f>
        <v>Zone 2</v>
      </c>
      <c r="F245" s="51" t="str">
        <f>VLOOKUP(Yards25[[#This Row],[DEVELOPMENT]],all[[DEVELOPMENT]:[MRST Ext. Comp. Priority]],6,FALSE)</f>
        <v>None</v>
      </c>
      <c r="G245" s="51">
        <f>VLOOKUP(Yards25[[#This Row],[DEVELOPMENT]],all[[DEVELOPMENT]:[MRST Ext. Comp. Priority]],13,FALSE)</f>
        <v>3</v>
      </c>
      <c r="H245" s="50">
        <f>IF(VLOOKUP(Yards25[[#This Row],[DEVELOPMENT]],Data[],9,FALSE)=0,5,VLOOKUP(Yards25[[#This Row],[DEVELOPMENT]],Data[],9,FALSE))</f>
        <v>4</v>
      </c>
      <c r="I245" s="51">
        <f>VLOOKUP(Yards25[[#This Row],[DEVELOPMENT]],Data[],33,FALSE)</f>
        <v>5</v>
      </c>
      <c r="J245" s="51">
        <f>VLOOKUP(Yards25[[#This Row],[DEVELOPMENT]],Data[],28,FALSE)</f>
        <v>0</v>
      </c>
      <c r="K245" s="51"/>
      <c r="L245" s="50"/>
      <c r="M245" s="51" t="str">
        <f ca="1">IFERROR(VLOOKUP(Yards25[[#This Row],[DEVELOPMENT]],Data[],4,FALSE),"")</f>
        <v>2026+</v>
      </c>
      <c r="N245" s="51" t="str">
        <f ca="1">IF(Yards25[[#This Row],[RAD/PACT]]="","",IF(OR(Yards25[[#This Row],[RAD/PACT]]="2022-2025",Yards25[[#This Row],[RAD/PACT]]=2019,Yards25[[#This Row],[RAD/PACT]]="2020-2021"),"Yes",""))</f>
        <v/>
      </c>
      <c r="O245" s="1">
        <f ca="1">IFERROR(VLOOKUP(Yards25[[#This Row],[DEVELOPMENT]],ExtComp[],8,FALSE),"")</f>
        <v>13</v>
      </c>
      <c r="P245" s="1"/>
      <c r="Q245" s="1"/>
      <c r="R245" s="1" t="str">
        <f>IF(ISBLANK(Yards25[[#This Row],[DSGN CALENDAR YEAR]]),"",Yards25[[#This Row],[DSGN CALENDAR YEAR]]+1)</f>
        <v/>
      </c>
      <c r="S245" s="51" t="str">
        <f>IF(ISBLANK(Yards25[[#This Row],[DSGN FISCAL YEAR]]),"",Yards25[[#This Row],[DSGN FISCAL YEAR]]+1)</f>
        <v/>
      </c>
      <c r="T245" s="1"/>
      <c r="U245" s="128">
        <f ca="1">Yards25[[#This Row],[Estimate]]*0.1</f>
        <v>0</v>
      </c>
      <c r="V245" s="47">
        <f ca="1">Yards25[[#This Row],[Estimate]]-Yards25[[#This Row],[Design Est.]]</f>
        <v>0</v>
      </c>
      <c r="W245" s="85">
        <f ca="1">(Yards25[[#This Row],['# yards]]*INDEX(UnitCosts[],MATCH(Yards25[[#This Row],[WORK TYPE]],UnitCosts[Work Type],0),2))*(1+((Yards25[[#This Row],[est. CONS Year]]-YEAR(TODAY()))*$W$3))</f>
        <v>0</v>
      </c>
      <c r="X245" s="142">
        <f>IF(ISNUMBER(SEARCH("LLC",Yards25[[#This Row],[PROGRAM]])),IF(Yards25[[#This Row],[RAD/PACT by 2025]]="yes",0,1),0)</f>
        <v>0</v>
      </c>
      <c r="Y245" s="1"/>
      <c r="Z245" s="1"/>
      <c r="AA245" s="51">
        <f ca="1">COUNTIF($X$5:Yards25[[#This Row],['# yards]],"&gt;0")</f>
        <v>9</v>
      </c>
      <c r="AB245" s="1">
        <f ca="1">IF(ISBLANK(Yards25[[#This Row],[DSGN CALENDAR YEAR]]),ROUNDDOWN(Yards25[[#This Row],[Count]]/20,0)+$AB$1,Yards25[[#This Row],[DSGN CALENDAR YEAR]])</f>
        <v>2022</v>
      </c>
      <c r="AC245" s="16">
        <f ca="1">Yards25[[#This Row],[est. DSGN Year]]+1</f>
        <v>2023</v>
      </c>
    </row>
    <row r="246" spans="1:29" hidden="1">
      <c r="A246" s="13" t="s">
        <v>371</v>
      </c>
      <c r="B246" s="51" t="str">
        <f>VLOOKUP(Yards25[[#This Row],[DEVELOPMENT]],Data[],2,FALSE)</f>
        <v>MANHATTAN</v>
      </c>
      <c r="C246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46" s="51" t="str">
        <f>VLOOKUP(Yards25[[#This Row],[DEVELOPMENT]],Data[],52,FALSE)</f>
        <v>FEDERAL</v>
      </c>
      <c r="E246" s="50" t="str">
        <f>VLOOKUP(Yards25[[#This Row],[DEVELOPMENT]],Data[],8,FALSE)</f>
        <v>Zone 4</v>
      </c>
      <c r="F246" s="51" t="str">
        <f>VLOOKUP(Yards25[[#This Row],[DEVELOPMENT]],all[[DEVELOPMENT]:[MRST Ext. Comp. Priority]],6,FALSE)</f>
        <v>None</v>
      </c>
      <c r="G246" s="51" t="str">
        <f>VLOOKUP(Yards25[[#This Row],[DEVELOPMENT]],all[[DEVELOPMENT]:[MRST Ext. Comp. Priority]],13,FALSE)</f>
        <v>None</v>
      </c>
      <c r="H246" s="50">
        <f>IF(VLOOKUP(Yards25[[#This Row],[DEVELOPMENT]],Data[],9,FALSE)=0,5,VLOOKUP(Yards25[[#This Row],[DEVELOPMENT]],Data[],9,FALSE))</f>
        <v>5</v>
      </c>
      <c r="I246" s="51">
        <f>VLOOKUP(Yards25[[#This Row],[DEVELOPMENT]],Data[],33,FALSE)</f>
        <v>0</v>
      </c>
      <c r="J246" s="51">
        <f>VLOOKUP(Yards25[[#This Row],[DEVELOPMENT]],Data[],28,FALSE)</f>
        <v>0</v>
      </c>
      <c r="K246" s="51"/>
      <c r="L246" s="50"/>
      <c r="M246" s="51" t="str">
        <f ca="1">IFERROR(VLOOKUP(Yards25[[#This Row],[DEVELOPMENT]],Data[],4,FALSE),"")</f>
        <v/>
      </c>
      <c r="N246" s="51" t="str">
        <f ca="1">IF(Yards25[[#This Row],[RAD/PACT]]="","",IF(OR(Yards25[[#This Row],[RAD/PACT]]="2022-2025",Yards25[[#This Row],[RAD/PACT]]=2019,Yards25[[#This Row],[RAD/PACT]]="2020-2021"),"Yes",""))</f>
        <v/>
      </c>
      <c r="O246" s="51" t="str">
        <f ca="1">IFERROR(VLOOKUP(Yards25[[#This Row],[DEVELOPMENT]],ExtComp[],8,FALSE),"")</f>
        <v/>
      </c>
      <c r="P246" s="51"/>
      <c r="Q246" s="51"/>
      <c r="R246" s="51" t="str">
        <f>IF(ISBLANK(Yards25[[#This Row],[DSGN CALENDAR YEAR]]),"",Yards25[[#This Row],[DSGN CALENDAR YEAR]]+1)</f>
        <v/>
      </c>
      <c r="S246" s="51" t="str">
        <f>IF(ISBLANK(Yards25[[#This Row],[DSGN FISCAL YEAR]]),"",Yards25[[#This Row],[DSGN FISCAL YEAR]]+1)</f>
        <v/>
      </c>
      <c r="T246" s="51"/>
      <c r="U246" s="128">
        <f>Yards25[[#This Row],[Estimate]]*0.1</f>
        <v>0</v>
      </c>
      <c r="V246" s="47">
        <f>Yards25[[#This Row],[Estimate]]-Yards25[[#This Row],[Design Est.]]</f>
        <v>0</v>
      </c>
      <c r="W246" s="85"/>
      <c r="X246" s="142"/>
      <c r="Y246" s="1"/>
      <c r="Z246" s="1"/>
      <c r="AA246" s="51">
        <f ca="1">COUNTIF($X$5:Yards25[[#This Row],['# yards]],"&gt;0")</f>
        <v>9</v>
      </c>
      <c r="AB246" s="1">
        <f ca="1">IF(ISBLANK(Yards25[[#This Row],[DSGN CALENDAR YEAR]]),ROUNDDOWN(Yards25[[#This Row],[Count]]/20,0)+$AB$1,Yards25[[#This Row],[DSGN CALENDAR YEAR]])</f>
        <v>2022</v>
      </c>
      <c r="AC246" s="16">
        <f ca="1">Yards25[[#This Row],[est. DSGN Year]]+1</f>
        <v>2023</v>
      </c>
    </row>
    <row r="247" spans="1:29" hidden="1">
      <c r="A247" s="13" t="s">
        <v>291</v>
      </c>
      <c r="B247" s="51" t="str">
        <f>VLOOKUP(Yards25[[#This Row],[DEVELOPMENT]],Data[],2,FALSE)</f>
        <v>BRONX</v>
      </c>
      <c r="C247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47" s="51" t="str">
        <f>VLOOKUP(Yards25[[#This Row],[DEVELOPMENT]],Data[],52,FALSE)</f>
        <v>FEDERAL</v>
      </c>
      <c r="E247" s="50">
        <f>VLOOKUP(Yards25[[#This Row],[DEVELOPMENT]],Data[],8,FALSE)</f>
        <v>0</v>
      </c>
      <c r="F247" s="51" t="str">
        <f>VLOOKUP(Yards25[[#This Row],[DEVELOPMENT]],all[[DEVELOPMENT]:[MRST Ext. Comp. Priority]],6,FALSE)</f>
        <v>None</v>
      </c>
      <c r="G247" s="51">
        <f>VLOOKUP(Yards25[[#This Row],[DEVELOPMENT]],all[[DEVELOPMENT]:[MRST Ext. Comp. Priority]],13,FALSE)</f>
        <v>4</v>
      </c>
      <c r="H247" s="50">
        <f>IF(VLOOKUP(Yards25[[#This Row],[DEVELOPMENT]],Data[],9,FALSE)=0,5,VLOOKUP(Yards25[[#This Row],[DEVELOPMENT]],Data[],9,FALSE))</f>
        <v>5</v>
      </c>
      <c r="I247" s="51">
        <f>VLOOKUP(Yards25[[#This Row],[DEVELOPMENT]],Data[],33,FALSE)</f>
        <v>0</v>
      </c>
      <c r="J247" s="51">
        <f>VLOOKUP(Yards25[[#This Row],[DEVELOPMENT]],Data[],28,FALSE)</f>
        <v>0</v>
      </c>
      <c r="K247" s="51"/>
      <c r="L247" s="50"/>
      <c r="M247" s="51" t="str">
        <f ca="1">IFERROR(VLOOKUP(Yards25[[#This Row],[DEVELOPMENT]],Data[],4,FALSE),"")</f>
        <v/>
      </c>
      <c r="N247" s="51" t="str">
        <f ca="1">IF(Yards25[[#This Row],[RAD/PACT]]="","",IF(OR(Yards25[[#This Row],[RAD/PACT]]="2022-2025",Yards25[[#This Row],[RAD/PACT]]=2019,Yards25[[#This Row],[RAD/PACT]]="2020-2021"),"Yes",""))</f>
        <v/>
      </c>
      <c r="O247" s="51" t="str">
        <f ca="1">IFERROR(VLOOKUP(Yards25[[#This Row],[DEVELOPMENT]],ExtComp[],8,FALSE),"")</f>
        <v/>
      </c>
      <c r="P247" s="51"/>
      <c r="Q247" s="51"/>
      <c r="R247" s="51" t="str">
        <f>IF(ISBLANK(Yards25[[#This Row],[DSGN CALENDAR YEAR]]),"",Yards25[[#This Row],[DSGN CALENDAR YEAR]]+1)</f>
        <v/>
      </c>
      <c r="S247" s="51" t="str">
        <f>IF(ISBLANK(Yards25[[#This Row],[DSGN FISCAL YEAR]]),"",Yards25[[#This Row],[DSGN FISCAL YEAR]]+1)</f>
        <v/>
      </c>
      <c r="T247" s="51"/>
      <c r="U247" s="128">
        <f ca="1">Yards25[[#This Row],[Estimate]]*0.1</f>
        <v>0</v>
      </c>
      <c r="V247" s="47">
        <f ca="1">Yards25[[#This Row],[Estimate]]-Yards25[[#This Row],[Design Est.]]</f>
        <v>0</v>
      </c>
      <c r="W247" s="85">
        <f ca="1">(Yards25[[#This Row],['# yards]]*INDEX(UnitCosts[],MATCH(Yards25[[#This Row],[WORK TYPE]],UnitCosts[Work Type],0),2))*(1+((Yards25[[#This Row],[est. CONS Year]]-YEAR(TODAY()))*$W$3))</f>
        <v>0</v>
      </c>
      <c r="X247" s="142">
        <f>IF(ISNUMBER(SEARCH("LLC",Yards25[[#This Row],[PROGRAM]])),IF(Yards25[[#This Row],[RAD/PACT by 2025]]="yes",0,1),0)</f>
        <v>0</v>
      </c>
      <c r="Y247" s="1"/>
      <c r="Z247" s="1"/>
      <c r="AA247" s="51">
        <f ca="1">COUNTIF($X$5:Yards25[[#This Row],['# yards]],"&gt;0")</f>
        <v>9</v>
      </c>
      <c r="AB247" s="1">
        <f ca="1">IF(ISBLANK(Yards25[[#This Row],[DSGN CALENDAR YEAR]]),ROUNDDOWN(Yards25[[#This Row],[Count]]/20,0)+$AB$1,Yards25[[#This Row],[DSGN CALENDAR YEAR]])</f>
        <v>2022</v>
      </c>
      <c r="AC247" s="16">
        <f ca="1">Yards25[[#This Row],[est. DSGN Year]]+1</f>
        <v>2023</v>
      </c>
    </row>
    <row r="248" spans="1:29" hidden="1">
      <c r="A248" s="13" t="s">
        <v>292</v>
      </c>
      <c r="B248" s="51" t="str">
        <f>VLOOKUP(Yards25[[#This Row],[DEVELOPMENT]],Data[],2,FALSE)</f>
        <v>BROOKLYN</v>
      </c>
      <c r="C248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48" s="51" t="str">
        <f>VLOOKUP(Yards25[[#This Row],[DEVELOPMENT]],Data[],52,FALSE)</f>
        <v>FEDERAL</v>
      </c>
      <c r="E248" s="50">
        <f>VLOOKUP(Yards25[[#This Row],[DEVELOPMENT]],Data[],8,FALSE)</f>
        <v>0</v>
      </c>
      <c r="F248" s="51" t="str">
        <f>VLOOKUP(Yards25[[#This Row],[DEVELOPMENT]],all[[DEVELOPMENT]:[MRST Ext. Comp. Priority]],6,FALSE)</f>
        <v>None</v>
      </c>
      <c r="G248" s="51">
        <f>VLOOKUP(Yards25[[#This Row],[DEVELOPMENT]],all[[DEVELOPMENT]:[MRST Ext. Comp. Priority]],13,FALSE)</f>
        <v>4</v>
      </c>
      <c r="H248" s="50">
        <f>IF(VLOOKUP(Yards25[[#This Row],[DEVELOPMENT]],Data[],9,FALSE)=0,5,VLOOKUP(Yards25[[#This Row],[DEVELOPMENT]],Data[],9,FALSE))</f>
        <v>5</v>
      </c>
      <c r="I248" s="51">
        <f>VLOOKUP(Yards25[[#This Row],[DEVELOPMENT]],Data[],33,FALSE)</f>
        <v>0</v>
      </c>
      <c r="J248" s="51">
        <f>VLOOKUP(Yards25[[#This Row],[DEVELOPMENT]],Data[],28,FALSE)</f>
        <v>0</v>
      </c>
      <c r="K248" s="51"/>
      <c r="L248" s="50"/>
      <c r="M248" s="51" t="str">
        <f ca="1">IFERROR(VLOOKUP(Yards25[[#This Row],[DEVELOPMENT]],Data[],4,FALSE),"")</f>
        <v>2020-2021</v>
      </c>
      <c r="N248" s="51" t="str">
        <f ca="1">IF(Yards25[[#This Row],[RAD/PACT]]="","",IF(OR(Yards25[[#This Row],[RAD/PACT]]="2022-2025",Yards25[[#This Row],[RAD/PACT]]=2019,Yards25[[#This Row],[RAD/PACT]]="2020-2021"),"Yes",""))</f>
        <v>Yes</v>
      </c>
      <c r="O248" s="51" t="str">
        <f ca="1">IFERROR(VLOOKUP(Yards25[[#This Row],[DEVELOPMENT]],ExtComp[],8,FALSE),"")</f>
        <v/>
      </c>
      <c r="P248" s="51"/>
      <c r="Q248" s="51"/>
      <c r="R248" s="51" t="str">
        <f>IF(ISBLANK(Yards25[[#This Row],[DSGN CALENDAR YEAR]]),"",Yards25[[#This Row],[DSGN CALENDAR YEAR]]+1)</f>
        <v/>
      </c>
      <c r="S248" s="51" t="str">
        <f>IF(ISBLANK(Yards25[[#This Row],[DSGN FISCAL YEAR]]),"",Yards25[[#This Row],[DSGN FISCAL YEAR]]+1)</f>
        <v/>
      </c>
      <c r="T248" s="51"/>
      <c r="U248" s="128">
        <f ca="1">Yards25[[#This Row],[Estimate]]*0.1</f>
        <v>0</v>
      </c>
      <c r="V248" s="47">
        <f ca="1">Yards25[[#This Row],[Estimate]]-Yards25[[#This Row],[Design Est.]]</f>
        <v>0</v>
      </c>
      <c r="W248" s="85">
        <f ca="1">(Yards25[[#This Row],['# yards]]*INDEX(UnitCosts[],MATCH(Yards25[[#This Row],[WORK TYPE]],UnitCosts[Work Type],0),2))*(1+((Yards25[[#This Row],[est. CONS Year]]-YEAR(TODAY()))*$W$3))</f>
        <v>0</v>
      </c>
      <c r="X248" s="142">
        <f>IF(ISNUMBER(SEARCH("LLC",Yards25[[#This Row],[PROGRAM]])),IF(Yards25[[#This Row],[RAD/PACT by 2025]]="yes",0,1),0)</f>
        <v>0</v>
      </c>
      <c r="Y248" s="1"/>
      <c r="Z248" s="1"/>
      <c r="AA248" s="51">
        <f ca="1">COUNTIF($X$5:Yards25[[#This Row],['# yards]],"&gt;0")</f>
        <v>9</v>
      </c>
      <c r="AB248" s="1">
        <f ca="1">IF(ISBLANK(Yards25[[#This Row],[DSGN CALENDAR YEAR]]),ROUNDDOWN(Yards25[[#This Row],[Count]]/20,0)+$AB$1,Yards25[[#This Row],[DSGN CALENDAR YEAR]])</f>
        <v>2022</v>
      </c>
      <c r="AC248" s="16">
        <f ca="1">Yards25[[#This Row],[est. DSGN Year]]+1</f>
        <v>2023</v>
      </c>
    </row>
    <row r="249" spans="1:29" hidden="1">
      <c r="A249" s="13" t="s">
        <v>293</v>
      </c>
      <c r="B249" s="51" t="str">
        <f>VLOOKUP(Yards25[[#This Row],[DEVELOPMENT]],Data[],2,FALSE)</f>
        <v>BRONX</v>
      </c>
      <c r="C249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49" s="51" t="str">
        <f>VLOOKUP(Yards25[[#This Row],[DEVELOPMENT]],Data[],52,FALSE)</f>
        <v>FEDERAL</v>
      </c>
      <c r="E249" s="50">
        <f>VLOOKUP(Yards25[[#This Row],[DEVELOPMENT]],Data[],8,FALSE)</f>
        <v>0</v>
      </c>
      <c r="F249" s="51" t="str">
        <f>VLOOKUP(Yards25[[#This Row],[DEVELOPMENT]],all[[DEVELOPMENT]:[MRST Ext. Comp. Priority]],6,FALSE)</f>
        <v>None</v>
      </c>
      <c r="G249" s="51">
        <f>VLOOKUP(Yards25[[#This Row],[DEVELOPMENT]],all[[DEVELOPMENT]:[MRST Ext. Comp. Priority]],13,FALSE)</f>
        <v>2</v>
      </c>
      <c r="H249" s="50">
        <f>IF(VLOOKUP(Yards25[[#This Row],[DEVELOPMENT]],Data[],9,FALSE)=0,5,VLOOKUP(Yards25[[#This Row],[DEVELOPMENT]],Data[],9,FALSE))</f>
        <v>5</v>
      </c>
      <c r="I249" s="51">
        <f>VLOOKUP(Yards25[[#This Row],[DEVELOPMENT]],Data[],33,FALSE)</f>
        <v>0</v>
      </c>
      <c r="J249" s="51">
        <f>VLOOKUP(Yards25[[#This Row],[DEVELOPMENT]],Data[],28,FALSE)</f>
        <v>0</v>
      </c>
      <c r="K249" s="51"/>
      <c r="L249" s="50"/>
      <c r="M249" s="51" t="str">
        <f ca="1">IFERROR(VLOOKUP(Yards25[[#This Row],[DEVELOPMENT]],Data[],4,FALSE),"")</f>
        <v>2022-2025</v>
      </c>
      <c r="N249" s="51" t="str">
        <f ca="1">IF(Yards25[[#This Row],[RAD/PACT]]="","",IF(OR(Yards25[[#This Row],[RAD/PACT]]="2022-2025",Yards25[[#This Row],[RAD/PACT]]=2019,Yards25[[#This Row],[RAD/PACT]]="2020-2021"),"Yes",""))</f>
        <v>Yes</v>
      </c>
      <c r="O249" s="51" t="str">
        <f ca="1">IFERROR(VLOOKUP(Yards25[[#This Row],[DEVELOPMENT]],ExtComp[],8,FALSE),"")</f>
        <v/>
      </c>
      <c r="P249" s="51"/>
      <c r="Q249" s="51"/>
      <c r="R249" s="51" t="str">
        <f>IF(ISBLANK(Yards25[[#This Row],[DSGN CALENDAR YEAR]]),"",Yards25[[#This Row],[DSGN CALENDAR YEAR]]+1)</f>
        <v/>
      </c>
      <c r="S249" s="51" t="str">
        <f>IF(ISBLANK(Yards25[[#This Row],[DSGN FISCAL YEAR]]),"",Yards25[[#This Row],[DSGN FISCAL YEAR]]+1)</f>
        <v/>
      </c>
      <c r="T249" s="51"/>
      <c r="U249" s="128">
        <f ca="1">Yards25[[#This Row],[Estimate]]*0.1</f>
        <v>0</v>
      </c>
      <c r="V249" s="47">
        <f ca="1">Yards25[[#This Row],[Estimate]]-Yards25[[#This Row],[Design Est.]]</f>
        <v>0</v>
      </c>
      <c r="W249" s="85">
        <f ca="1">(Yards25[[#This Row],['# yards]]*INDEX(UnitCosts[],MATCH(Yards25[[#This Row],[WORK TYPE]],UnitCosts[Work Type],0),2))*(1+((Yards25[[#This Row],[est. CONS Year]]-YEAR(TODAY()))*$W$3))</f>
        <v>0</v>
      </c>
      <c r="X249" s="142">
        <f>IF(ISNUMBER(SEARCH("LLC",Yards25[[#This Row],[PROGRAM]])),IF(Yards25[[#This Row],[RAD/PACT by 2025]]="yes",0,1),0)</f>
        <v>0</v>
      </c>
      <c r="Y249" s="1"/>
      <c r="Z249" s="1"/>
      <c r="AA249" s="51">
        <f ca="1">COUNTIF($X$5:Yards25[[#This Row],['# yards]],"&gt;0")</f>
        <v>9</v>
      </c>
      <c r="AB249" s="1">
        <f ca="1">IF(ISBLANK(Yards25[[#This Row],[DSGN CALENDAR YEAR]]),ROUNDDOWN(Yards25[[#This Row],[Count]]/20,0)+$AB$1,Yards25[[#This Row],[DSGN CALENDAR YEAR]])</f>
        <v>2022</v>
      </c>
      <c r="AC249" s="16">
        <f ca="1">Yards25[[#This Row],[est. DSGN Year]]+1</f>
        <v>2023</v>
      </c>
    </row>
    <row r="250" spans="1:29" hidden="1">
      <c r="A250" s="13" t="s">
        <v>294</v>
      </c>
      <c r="B250" s="51" t="str">
        <f>VLOOKUP(Yards25[[#This Row],[DEVELOPMENT]],Data[],2,FALSE)</f>
        <v>BROOKLYN</v>
      </c>
      <c r="C250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50" s="51" t="str">
        <f>VLOOKUP(Yards25[[#This Row],[DEVELOPMENT]],Data[],52,FALSE)</f>
        <v>FEDERAL</v>
      </c>
      <c r="E250" s="50">
        <f>VLOOKUP(Yards25[[#This Row],[DEVELOPMENT]],Data[],8,FALSE)</f>
        <v>0</v>
      </c>
      <c r="F250" s="51" t="str">
        <f>VLOOKUP(Yards25[[#This Row],[DEVELOPMENT]],all[[DEVELOPMENT]:[MRST Ext. Comp. Priority]],6,FALSE)</f>
        <v>None</v>
      </c>
      <c r="G250" s="51">
        <f>VLOOKUP(Yards25[[#This Row],[DEVELOPMENT]],all[[DEVELOPMENT]:[MRST Ext. Comp. Priority]],13,FALSE)</f>
        <v>2</v>
      </c>
      <c r="H250" s="50">
        <f>IF(VLOOKUP(Yards25[[#This Row],[DEVELOPMENT]],Data[],9,FALSE)=0,5,VLOOKUP(Yards25[[#This Row],[DEVELOPMENT]],Data[],9,FALSE))</f>
        <v>5</v>
      </c>
      <c r="I250" s="51">
        <f>VLOOKUP(Yards25[[#This Row],[DEVELOPMENT]],Data[],33,FALSE)</f>
        <v>0</v>
      </c>
      <c r="J250" s="51">
        <f>VLOOKUP(Yards25[[#This Row],[DEVELOPMENT]],Data[],28,FALSE)</f>
        <v>0</v>
      </c>
      <c r="K250" s="51"/>
      <c r="L250" s="50"/>
      <c r="M250" s="51">
        <f ca="1">IFERROR(VLOOKUP(Yards25[[#This Row],[DEVELOPMENT]],Data[],4,FALSE),"")</f>
        <v>2019</v>
      </c>
      <c r="N250" s="51" t="str">
        <f ca="1">IF(Yards25[[#This Row],[RAD/PACT]]="","",IF(OR(Yards25[[#This Row],[RAD/PACT]]="2022-2025",Yards25[[#This Row],[RAD/PACT]]=2019,Yards25[[#This Row],[RAD/PACT]]="2020-2021"),"Yes",""))</f>
        <v>Yes</v>
      </c>
      <c r="O250" s="51" t="str">
        <f ca="1">IFERROR(VLOOKUP(Yards25[[#This Row],[DEVELOPMENT]],ExtComp[],8,FALSE),"")</f>
        <v/>
      </c>
      <c r="P250" s="51"/>
      <c r="Q250" s="51"/>
      <c r="R250" s="51" t="str">
        <f>IF(ISBLANK(Yards25[[#This Row],[DSGN CALENDAR YEAR]]),"",Yards25[[#This Row],[DSGN CALENDAR YEAR]]+1)</f>
        <v/>
      </c>
      <c r="S250" s="51" t="str">
        <f>IF(ISBLANK(Yards25[[#This Row],[DSGN FISCAL YEAR]]),"",Yards25[[#This Row],[DSGN FISCAL YEAR]]+1)</f>
        <v/>
      </c>
      <c r="T250" s="51"/>
      <c r="U250" s="128">
        <f ca="1">Yards25[[#This Row],[Estimate]]*0.1</f>
        <v>0</v>
      </c>
      <c r="V250" s="47">
        <f ca="1">Yards25[[#This Row],[Estimate]]-Yards25[[#This Row],[Design Est.]]</f>
        <v>0</v>
      </c>
      <c r="W250" s="85">
        <f ca="1">(Yards25[[#This Row],['# yards]]*INDEX(UnitCosts[],MATCH(Yards25[[#This Row],[WORK TYPE]],UnitCosts[Work Type],0),2))*(1+((Yards25[[#This Row],[est. CONS Year]]-YEAR(TODAY()))*$W$3))</f>
        <v>0</v>
      </c>
      <c r="X250" s="142">
        <f>IF(ISNUMBER(SEARCH("LLC",Yards25[[#This Row],[PROGRAM]])),IF(Yards25[[#This Row],[RAD/PACT by 2025]]="yes",0,1),0)</f>
        <v>0</v>
      </c>
      <c r="Y250" s="1"/>
      <c r="Z250" s="1"/>
      <c r="AA250" s="51">
        <f ca="1">COUNTIF($X$5:Yards25[[#This Row],['# yards]],"&gt;0")</f>
        <v>9</v>
      </c>
      <c r="AB250" s="1">
        <f ca="1">IF(ISBLANK(Yards25[[#This Row],[DSGN CALENDAR YEAR]]),ROUNDDOWN(Yards25[[#This Row],[Count]]/20,0)+$AB$1,Yards25[[#This Row],[DSGN CALENDAR YEAR]])</f>
        <v>2022</v>
      </c>
      <c r="AC250" s="16">
        <f ca="1">Yards25[[#This Row],[est. DSGN Year]]+1</f>
        <v>2023</v>
      </c>
    </row>
    <row r="251" spans="1:29" hidden="1">
      <c r="A251" s="13" t="s">
        <v>296</v>
      </c>
      <c r="B251" s="51" t="str">
        <f>VLOOKUP(Yards25[[#This Row],[DEVELOPMENT]],Data[],2,FALSE)</f>
        <v>BROOKLYN</v>
      </c>
      <c r="C251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251" s="51" t="str">
        <f>VLOOKUP(Yards25[[#This Row],[DEVELOPMENT]],Data[],52,FALSE)</f>
        <v>FEDERAL</v>
      </c>
      <c r="E251" s="50">
        <f>VLOOKUP(Yards25[[#This Row],[DEVELOPMENT]],Data[],8,FALSE)</f>
        <v>0</v>
      </c>
      <c r="F251" s="51" t="str">
        <f>VLOOKUP(Yards25[[#This Row],[DEVELOPMENT]],all[[DEVELOPMENT]:[MRST Ext. Comp. Priority]],6,FALSE)</f>
        <v>None</v>
      </c>
      <c r="G251" s="51">
        <f>VLOOKUP(Yards25[[#This Row],[DEVELOPMENT]],all[[DEVELOPMENT]:[MRST Ext. Comp. Priority]],13,FALSE)</f>
        <v>2</v>
      </c>
      <c r="H251" s="50">
        <f>IF(VLOOKUP(Yards25[[#This Row],[DEVELOPMENT]],Data[],9,FALSE)=0,5,VLOOKUP(Yards25[[#This Row],[DEVELOPMENT]],Data[],9,FALSE))</f>
        <v>5</v>
      </c>
      <c r="I251" s="51">
        <f>VLOOKUP(Yards25[[#This Row],[DEVELOPMENT]],Data[],33,FALSE)</f>
        <v>3</v>
      </c>
      <c r="J251" s="51">
        <f>VLOOKUP(Yards25[[#This Row],[DEVELOPMENT]],Data[],28,FALSE)</f>
        <v>0</v>
      </c>
      <c r="K251" s="51"/>
      <c r="L251" s="50"/>
      <c r="M251" s="51" t="str">
        <f ca="1">IFERROR(VLOOKUP(Yards25[[#This Row],[DEVELOPMENT]],Data[],4,FALSE),"")</f>
        <v>2022-2025</v>
      </c>
      <c r="N251" s="51" t="str">
        <f ca="1">IF(Yards25[[#This Row],[RAD/PACT]]="","",IF(OR(Yards25[[#This Row],[RAD/PACT]]="2022-2025",Yards25[[#This Row],[RAD/PACT]]=2019,Yards25[[#This Row],[RAD/PACT]]="2020-2021"),"Yes",""))</f>
        <v>Yes</v>
      </c>
      <c r="O251" s="51">
        <f ca="1">IFERROR(VLOOKUP(Yards25[[#This Row],[DEVELOPMENT]],ExtComp[],8,FALSE),"")</f>
        <v>13</v>
      </c>
      <c r="P251" s="51"/>
      <c r="Q251" s="51"/>
      <c r="R251" s="51" t="str">
        <f>IF(ISBLANK(Yards25[[#This Row],[DSGN CALENDAR YEAR]]),"",Yards25[[#This Row],[DSGN CALENDAR YEAR]]+1)</f>
        <v/>
      </c>
      <c r="S251" s="51" t="str">
        <f>IF(ISBLANK(Yards25[[#This Row],[DSGN FISCAL YEAR]]),"",Yards25[[#This Row],[DSGN FISCAL YEAR]]+1)</f>
        <v/>
      </c>
      <c r="T251" s="51"/>
      <c r="U251" s="128">
        <f ca="1">Yards25[[#This Row],[Estimate]]*0.1</f>
        <v>0</v>
      </c>
      <c r="V251" s="47">
        <f ca="1">Yards25[[#This Row],[Estimate]]-Yards25[[#This Row],[Design Est.]]</f>
        <v>0</v>
      </c>
      <c r="W251" s="85">
        <f ca="1">(Yards25[[#This Row],['# yards]]*INDEX(UnitCosts[],MATCH(Yards25[[#This Row],[WORK TYPE]],UnitCosts[Work Type],0),2))*(1+((Yards25[[#This Row],[est. CONS Year]]-YEAR(TODAY()))*$W$3))</f>
        <v>0</v>
      </c>
      <c r="X251" s="142">
        <f>IF(ISNUMBER(SEARCH("LLC",Yards25[[#This Row],[PROGRAM]])),IF(Yards25[[#This Row],[RAD/PACT by 2025]]="yes",0,1),0)</f>
        <v>0</v>
      </c>
      <c r="Y251" s="1"/>
      <c r="Z251" s="1"/>
      <c r="AA251" s="51">
        <f ca="1">COUNTIF($X$5:Yards25[[#This Row],['# yards]],"&gt;0")</f>
        <v>9</v>
      </c>
      <c r="AB251" s="1">
        <f ca="1">IF(ISBLANK(Yards25[[#This Row],[DSGN CALENDAR YEAR]]),ROUNDDOWN(Yards25[[#This Row],[Count]]/20,0)+$AB$1,Yards25[[#This Row],[DSGN CALENDAR YEAR]])</f>
        <v>2022</v>
      </c>
      <c r="AC251" s="16">
        <f ca="1">Yards25[[#This Row],[est. DSGN Year]]+1</f>
        <v>2023</v>
      </c>
    </row>
    <row r="252" spans="1:29" hidden="1">
      <c r="A252" s="13" t="s">
        <v>297</v>
      </c>
      <c r="B252" s="51" t="str">
        <f>VLOOKUP(Yards25[[#This Row],[DEVELOPMENT]],Data[],2,FALSE)</f>
        <v>BROOKLYN</v>
      </c>
      <c r="C252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52" s="51" t="str">
        <f>VLOOKUP(Yards25[[#This Row],[DEVELOPMENT]],Data[],52,FALSE)</f>
        <v>FEDERAL</v>
      </c>
      <c r="E252" s="50">
        <f>VLOOKUP(Yards25[[#This Row],[DEVELOPMENT]],Data[],8,FALSE)</f>
        <v>0</v>
      </c>
      <c r="F252" s="51" t="str">
        <f>VLOOKUP(Yards25[[#This Row],[DEVELOPMENT]],all[[DEVELOPMENT]:[MRST Ext. Comp. Priority]],6,FALSE)</f>
        <v>None</v>
      </c>
      <c r="G252" s="51">
        <f>VLOOKUP(Yards25[[#This Row],[DEVELOPMENT]],all[[DEVELOPMENT]:[MRST Ext. Comp. Priority]],13,FALSE)</f>
        <v>2</v>
      </c>
      <c r="H252" s="50">
        <f>IF(VLOOKUP(Yards25[[#This Row],[DEVELOPMENT]],Data[],9,FALSE)=0,5,VLOOKUP(Yards25[[#This Row],[DEVELOPMENT]],Data[],9,FALSE))</f>
        <v>5</v>
      </c>
      <c r="I252" s="51">
        <f>VLOOKUP(Yards25[[#This Row],[DEVELOPMENT]],Data[],33,FALSE)</f>
        <v>0</v>
      </c>
      <c r="J252" s="51">
        <f>VLOOKUP(Yards25[[#This Row],[DEVELOPMENT]],Data[],28,FALSE)</f>
        <v>0</v>
      </c>
      <c r="K252" s="51"/>
      <c r="L252" s="50"/>
      <c r="M252" s="51" t="str">
        <f ca="1">IFERROR(VLOOKUP(Yards25[[#This Row],[DEVELOPMENT]],Data[],4,FALSE),"")</f>
        <v>2022-2025</v>
      </c>
      <c r="N252" s="51" t="str">
        <f ca="1">IF(Yards25[[#This Row],[RAD/PACT]]="","",IF(OR(Yards25[[#This Row],[RAD/PACT]]="2022-2025",Yards25[[#This Row],[RAD/PACT]]=2019,Yards25[[#This Row],[RAD/PACT]]="2020-2021"),"Yes",""))</f>
        <v>Yes</v>
      </c>
      <c r="O252" s="51" t="str">
        <f ca="1">IFERROR(VLOOKUP(Yards25[[#This Row],[DEVELOPMENT]],ExtComp[],8,FALSE),"")</f>
        <v/>
      </c>
      <c r="P252" s="51"/>
      <c r="Q252" s="51"/>
      <c r="R252" s="51" t="str">
        <f>IF(ISBLANK(Yards25[[#This Row],[DSGN CALENDAR YEAR]]),"",Yards25[[#This Row],[DSGN CALENDAR YEAR]]+1)</f>
        <v/>
      </c>
      <c r="S252" s="51" t="str">
        <f>IF(ISBLANK(Yards25[[#This Row],[DSGN FISCAL YEAR]]),"",Yards25[[#This Row],[DSGN FISCAL YEAR]]+1)</f>
        <v/>
      </c>
      <c r="T252" s="51"/>
      <c r="U252" s="128">
        <f ca="1">Yards25[[#This Row],[Estimate]]*0.1</f>
        <v>0</v>
      </c>
      <c r="V252" s="47">
        <f ca="1">Yards25[[#This Row],[Estimate]]-Yards25[[#This Row],[Design Est.]]</f>
        <v>0</v>
      </c>
      <c r="W252" s="85">
        <f ca="1">(Yards25[[#This Row],['# yards]]*INDEX(UnitCosts[],MATCH(Yards25[[#This Row],[WORK TYPE]],UnitCosts[Work Type],0),2))*(1+((Yards25[[#This Row],[est. CONS Year]]-YEAR(TODAY()))*$W$3))</f>
        <v>0</v>
      </c>
      <c r="X252" s="142">
        <f>IF(ISNUMBER(SEARCH("LLC",Yards25[[#This Row],[PROGRAM]])),IF(Yards25[[#This Row],[RAD/PACT by 2025]]="yes",0,1),0)</f>
        <v>0</v>
      </c>
      <c r="Y252" s="1"/>
      <c r="Z252" s="1"/>
      <c r="AA252" s="51">
        <f ca="1">COUNTIF($X$5:Yards25[[#This Row],['# yards]],"&gt;0")</f>
        <v>9</v>
      </c>
      <c r="AB252" s="1">
        <f ca="1">IF(ISBLANK(Yards25[[#This Row],[DSGN CALENDAR YEAR]]),ROUNDDOWN(Yards25[[#This Row],[Count]]/20,0)+$AB$1,Yards25[[#This Row],[DSGN CALENDAR YEAR]])</f>
        <v>2022</v>
      </c>
      <c r="AC252" s="16">
        <f ca="1">Yards25[[#This Row],[est. DSGN Year]]+1</f>
        <v>2023</v>
      </c>
    </row>
    <row r="253" spans="1:29" hidden="1">
      <c r="A253" s="13" t="s">
        <v>299</v>
      </c>
      <c r="B253" s="51" t="str">
        <f>VLOOKUP(Yards25[[#This Row],[DEVELOPMENT]],Data[],2,FALSE)</f>
        <v>BROOKLYN</v>
      </c>
      <c r="C25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53" s="51" t="str">
        <f>VLOOKUP(Yards25[[#This Row],[DEVELOPMENT]],Data[],52,FALSE)</f>
        <v>FEDERAL</v>
      </c>
      <c r="E253" s="50">
        <f>VLOOKUP(Yards25[[#This Row],[DEVELOPMENT]],Data[],8,FALSE)</f>
        <v>0</v>
      </c>
      <c r="F253" s="51" t="str">
        <f>VLOOKUP(Yards25[[#This Row],[DEVELOPMENT]],all[[DEVELOPMENT]:[MRST Ext. Comp. Priority]],6,FALSE)</f>
        <v>None</v>
      </c>
      <c r="G253" s="51">
        <f>VLOOKUP(Yards25[[#This Row],[DEVELOPMENT]],all[[DEVELOPMENT]:[MRST Ext. Comp. Priority]],13,FALSE)</f>
        <v>3</v>
      </c>
      <c r="H253" s="50">
        <f>IF(VLOOKUP(Yards25[[#This Row],[DEVELOPMENT]],Data[],9,FALSE)=0,5,VLOOKUP(Yards25[[#This Row],[DEVELOPMENT]],Data[],9,FALSE))</f>
        <v>5</v>
      </c>
      <c r="I253" s="51">
        <f>VLOOKUP(Yards25[[#This Row],[DEVELOPMENT]],Data[],33,FALSE)</f>
        <v>1</v>
      </c>
      <c r="J253" s="51">
        <f>VLOOKUP(Yards25[[#This Row],[DEVELOPMENT]],Data[],28,FALSE)</f>
        <v>0</v>
      </c>
      <c r="K253" s="51"/>
      <c r="L253" s="50"/>
      <c r="M253" s="51" t="str">
        <f ca="1">IFERROR(VLOOKUP(Yards25[[#This Row],[DEVELOPMENT]],Data[],4,FALSE),"")</f>
        <v/>
      </c>
      <c r="N253" s="51" t="str">
        <f ca="1">IF(Yards25[[#This Row],[RAD/PACT]]="","",IF(OR(Yards25[[#This Row],[RAD/PACT]]="2022-2025",Yards25[[#This Row],[RAD/PACT]]=2019,Yards25[[#This Row],[RAD/PACT]]="2020-2021"),"Yes",""))</f>
        <v/>
      </c>
      <c r="O253" s="51">
        <f ca="1">IFERROR(VLOOKUP(Yards25[[#This Row],[DEVELOPMENT]],ExtComp[],8,FALSE),"")</f>
        <v>15</v>
      </c>
      <c r="P253" s="51"/>
      <c r="Q253" s="51"/>
      <c r="R253" s="51" t="str">
        <f>IF(ISBLANK(Yards25[[#This Row],[DSGN CALENDAR YEAR]]),"",Yards25[[#This Row],[DSGN CALENDAR YEAR]]+1)</f>
        <v/>
      </c>
      <c r="S253" s="51" t="str">
        <f>IF(ISBLANK(Yards25[[#This Row],[DSGN FISCAL YEAR]]),"",Yards25[[#This Row],[DSGN FISCAL YEAR]]+1)</f>
        <v/>
      </c>
      <c r="T253" s="51"/>
      <c r="U253" s="128">
        <f ca="1">Yards25[[#This Row],[Estimate]]*0.1</f>
        <v>0</v>
      </c>
      <c r="V253" s="47">
        <f ca="1">Yards25[[#This Row],[Estimate]]-Yards25[[#This Row],[Design Est.]]</f>
        <v>0</v>
      </c>
      <c r="W253" s="85">
        <f ca="1">(Yards25[[#This Row],['# yards]]*INDEX(UnitCosts[],MATCH(Yards25[[#This Row],[WORK TYPE]],UnitCosts[Work Type],0),2))*(1+((Yards25[[#This Row],[est. CONS Year]]-YEAR(TODAY()))*$W$3))</f>
        <v>0</v>
      </c>
      <c r="X253" s="142">
        <f>IF(ISNUMBER(SEARCH("LLC",Yards25[[#This Row],[PROGRAM]])),IF(Yards25[[#This Row],[RAD/PACT by 2025]]="yes",0,1),0)</f>
        <v>0</v>
      </c>
      <c r="Y253" s="1"/>
      <c r="Z253" s="1"/>
      <c r="AA253" s="51">
        <f ca="1">COUNTIF($X$5:Yards25[[#This Row],['# yards]],"&gt;0")</f>
        <v>9</v>
      </c>
      <c r="AB253" s="1">
        <f ca="1">IF(ISBLANK(Yards25[[#This Row],[DSGN CALENDAR YEAR]]),ROUNDDOWN(Yards25[[#This Row],[Count]]/20,0)+$AB$1,Yards25[[#This Row],[DSGN CALENDAR YEAR]])</f>
        <v>2022</v>
      </c>
      <c r="AC253" s="16">
        <f ca="1">Yards25[[#This Row],[est. DSGN Year]]+1</f>
        <v>2023</v>
      </c>
    </row>
    <row r="254" spans="1:29" hidden="1">
      <c r="A254" s="13" t="s">
        <v>300</v>
      </c>
      <c r="B254" s="51" t="str">
        <f>VLOOKUP(Yards25[[#This Row],[DEVELOPMENT]],Data[],2,FALSE)</f>
        <v>QUEENS</v>
      </c>
      <c r="C25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54" s="51" t="str">
        <f>VLOOKUP(Yards25[[#This Row],[DEVELOPMENT]],Data[],52,FALSE)</f>
        <v>FEDERAL</v>
      </c>
      <c r="E254" s="50">
        <f>VLOOKUP(Yards25[[#This Row],[DEVELOPMENT]],Data[],8,FALSE)</f>
        <v>0</v>
      </c>
      <c r="F254" s="51" t="str">
        <f>VLOOKUP(Yards25[[#This Row],[DEVELOPMENT]],all[[DEVELOPMENT]:[MRST Ext. Comp. Priority]],6,FALSE)</f>
        <v>None</v>
      </c>
      <c r="G254" s="51">
        <f>VLOOKUP(Yards25[[#This Row],[DEVELOPMENT]],all[[DEVELOPMENT]:[MRST Ext. Comp. Priority]],13,FALSE)</f>
        <v>2</v>
      </c>
      <c r="H254" s="50">
        <f>IF(VLOOKUP(Yards25[[#This Row],[DEVELOPMENT]],Data[],9,FALSE)=0,5,VLOOKUP(Yards25[[#This Row],[DEVELOPMENT]],Data[],9,FALSE))</f>
        <v>5</v>
      </c>
      <c r="I254" s="51">
        <f>VLOOKUP(Yards25[[#This Row],[DEVELOPMENT]],Data[],33,FALSE)</f>
        <v>2</v>
      </c>
      <c r="J254" s="51">
        <f>VLOOKUP(Yards25[[#This Row],[DEVELOPMENT]],Data[],28,FALSE)</f>
        <v>0</v>
      </c>
      <c r="K254" s="51"/>
      <c r="L254" s="50"/>
      <c r="M254" s="51" t="str">
        <f ca="1">IFERROR(VLOOKUP(Yards25[[#This Row],[DEVELOPMENT]],Data[],4,FALSE),"")</f>
        <v/>
      </c>
      <c r="N254" s="51" t="str">
        <f ca="1">IF(Yards25[[#This Row],[RAD/PACT]]="","",IF(OR(Yards25[[#This Row],[RAD/PACT]]="2022-2025",Yards25[[#This Row],[RAD/PACT]]=2019,Yards25[[#This Row],[RAD/PACT]]="2020-2021"),"Yes",""))</f>
        <v/>
      </c>
      <c r="O254" s="51">
        <f ca="1">IFERROR(VLOOKUP(Yards25[[#This Row],[DEVELOPMENT]],ExtComp[],8,FALSE),"")</f>
        <v>20</v>
      </c>
      <c r="P254" s="51"/>
      <c r="Q254" s="51"/>
      <c r="R254" s="51" t="str">
        <f>IF(ISBLANK(Yards25[[#This Row],[DSGN CALENDAR YEAR]]),"",Yards25[[#This Row],[DSGN CALENDAR YEAR]]+1)</f>
        <v/>
      </c>
      <c r="S254" s="51" t="str">
        <f>IF(ISBLANK(Yards25[[#This Row],[DSGN FISCAL YEAR]]),"",Yards25[[#This Row],[DSGN FISCAL YEAR]]+1)</f>
        <v/>
      </c>
      <c r="T254" s="51"/>
      <c r="U254" s="128">
        <f ca="1">Yards25[[#This Row],[Estimate]]*0.1</f>
        <v>0</v>
      </c>
      <c r="V254" s="47">
        <f ca="1">Yards25[[#This Row],[Estimate]]-Yards25[[#This Row],[Design Est.]]</f>
        <v>0</v>
      </c>
      <c r="W254" s="85">
        <f ca="1">(Yards25[[#This Row],['# yards]]*INDEX(UnitCosts[],MATCH(Yards25[[#This Row],[WORK TYPE]],UnitCosts[Work Type],0),2))*(1+((Yards25[[#This Row],[est. CONS Year]]-YEAR(TODAY()))*$W$3))</f>
        <v>0</v>
      </c>
      <c r="X254" s="142">
        <f>IF(ISNUMBER(SEARCH("LLC",Yards25[[#This Row],[PROGRAM]])),IF(Yards25[[#This Row],[RAD/PACT by 2025]]="yes",0,1),0)</f>
        <v>0</v>
      </c>
      <c r="Y254" s="1"/>
      <c r="Z254" s="1"/>
      <c r="AA254" s="51">
        <f ca="1">COUNTIF($X$5:Yards25[[#This Row],['# yards]],"&gt;0")</f>
        <v>9</v>
      </c>
      <c r="AB254" s="1">
        <f ca="1">IF(ISBLANK(Yards25[[#This Row],[DSGN CALENDAR YEAR]]),ROUNDDOWN(Yards25[[#This Row],[Count]]/20,0)+$AB$1,Yards25[[#This Row],[DSGN CALENDAR YEAR]])</f>
        <v>2022</v>
      </c>
      <c r="AC254" s="16">
        <f ca="1">Yards25[[#This Row],[est. DSGN Year]]+1</f>
        <v>2023</v>
      </c>
    </row>
    <row r="255" spans="1:29" hidden="1">
      <c r="A255" s="13" t="s">
        <v>301</v>
      </c>
      <c r="B255" s="51" t="str">
        <f>VLOOKUP(Yards25[[#This Row],[DEVELOPMENT]],Data[],2,FALSE)</f>
        <v>QUEENS</v>
      </c>
      <c r="C255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255" s="51" t="str">
        <f>VLOOKUP(Yards25[[#This Row],[DEVELOPMENT]],Data[],52,FALSE)</f>
        <v>FEDERAL</v>
      </c>
      <c r="E255" s="50">
        <f>VLOOKUP(Yards25[[#This Row],[DEVELOPMENT]],Data[],8,FALSE)</f>
        <v>0</v>
      </c>
      <c r="F255" s="51" t="str">
        <f>VLOOKUP(Yards25[[#This Row],[DEVELOPMENT]],all[[DEVELOPMENT]:[MRST Ext. Comp. Priority]],6,FALSE)</f>
        <v>None</v>
      </c>
      <c r="G255" s="51" t="str">
        <f>VLOOKUP(Yards25[[#This Row],[DEVELOPMENT]],all[[DEVELOPMENT]:[MRST Ext. Comp. Priority]],13,FALSE)</f>
        <v>None</v>
      </c>
      <c r="H255" s="50">
        <f>IF(VLOOKUP(Yards25[[#This Row],[DEVELOPMENT]],Data[],9,FALSE)=0,5,VLOOKUP(Yards25[[#This Row],[DEVELOPMENT]],Data[],9,FALSE))</f>
        <v>5</v>
      </c>
      <c r="I255" s="51">
        <f>VLOOKUP(Yards25[[#This Row],[DEVELOPMENT]],Data[],33,FALSE)</f>
        <v>2</v>
      </c>
      <c r="J255" s="51">
        <f>VLOOKUP(Yards25[[#This Row],[DEVELOPMENT]],Data[],28,FALSE)</f>
        <v>0</v>
      </c>
      <c r="K255" s="51"/>
      <c r="L255" s="50"/>
      <c r="M255" s="51" t="str">
        <f ca="1">IFERROR(VLOOKUP(Yards25[[#This Row],[DEVELOPMENT]],Data[],4,FALSE),"")</f>
        <v>2026+</v>
      </c>
      <c r="N255" s="51" t="str">
        <f ca="1">IF(Yards25[[#This Row],[RAD/PACT]]="","",IF(OR(Yards25[[#This Row],[RAD/PACT]]="2022-2025",Yards25[[#This Row],[RAD/PACT]]=2019,Yards25[[#This Row],[RAD/PACT]]="2020-2021"),"Yes",""))</f>
        <v/>
      </c>
      <c r="O255" s="51">
        <f ca="1">IFERROR(VLOOKUP(Yards25[[#This Row],[DEVELOPMENT]],ExtComp[],8,FALSE),"")</f>
        <v>5</v>
      </c>
      <c r="P255" s="51"/>
      <c r="Q255" s="51"/>
      <c r="R255" s="51" t="str">
        <f>IF(ISBLANK(Yards25[[#This Row],[DSGN CALENDAR YEAR]]),"",Yards25[[#This Row],[DSGN CALENDAR YEAR]]+1)</f>
        <v/>
      </c>
      <c r="S255" s="51" t="str">
        <f>IF(ISBLANK(Yards25[[#This Row],[DSGN FISCAL YEAR]]),"",Yards25[[#This Row],[DSGN FISCAL YEAR]]+1)</f>
        <v/>
      </c>
      <c r="T255" s="51"/>
      <c r="U255" s="128">
        <f ca="1">Yards25[[#This Row],[Estimate]]*0.1</f>
        <v>0</v>
      </c>
      <c r="V255" s="47">
        <f ca="1">Yards25[[#This Row],[Estimate]]-Yards25[[#This Row],[Design Est.]]</f>
        <v>0</v>
      </c>
      <c r="W255" s="85">
        <f ca="1">(Yards25[[#This Row],['# yards]]*INDEX(UnitCosts[],MATCH(Yards25[[#This Row],[WORK TYPE]],UnitCosts[Work Type],0),2))*(1+((Yards25[[#This Row],[est. CONS Year]]-YEAR(TODAY()))*$W$3))</f>
        <v>0</v>
      </c>
      <c r="X255" s="142">
        <f>IF(ISNUMBER(SEARCH("LLC",Yards25[[#This Row],[PROGRAM]])),IF(Yards25[[#This Row],[RAD/PACT by 2025]]="yes",0,1),0)</f>
        <v>0</v>
      </c>
      <c r="Y255" s="1"/>
      <c r="Z255" s="1"/>
      <c r="AA255" s="51">
        <f ca="1">COUNTIF($X$5:Yards25[[#This Row],['# yards]],"&gt;0")</f>
        <v>9</v>
      </c>
      <c r="AB255" s="1">
        <f ca="1">IF(ISBLANK(Yards25[[#This Row],[DSGN CALENDAR YEAR]]),ROUNDDOWN(Yards25[[#This Row],[Count]]/20,0)+$AB$1,Yards25[[#This Row],[DSGN CALENDAR YEAR]])</f>
        <v>2022</v>
      </c>
      <c r="AC255" s="16">
        <f ca="1">Yards25[[#This Row],[est. DSGN Year]]+1</f>
        <v>2023</v>
      </c>
    </row>
    <row r="256" spans="1:29" hidden="1">
      <c r="A256" s="13" t="s">
        <v>302</v>
      </c>
      <c r="B256" s="51" t="str">
        <f>VLOOKUP(Yards25[[#This Row],[DEVELOPMENT]],Data[],2,FALSE)</f>
        <v>BROOKLYN</v>
      </c>
      <c r="C256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56" s="51" t="str">
        <f>VLOOKUP(Yards25[[#This Row],[DEVELOPMENT]],Data[],52,FALSE)</f>
        <v>FEDERAL</v>
      </c>
      <c r="E256" s="50">
        <f>VLOOKUP(Yards25[[#This Row],[DEVELOPMENT]],Data[],8,FALSE)</f>
        <v>0</v>
      </c>
      <c r="F256" s="51" t="str">
        <f>VLOOKUP(Yards25[[#This Row],[DEVELOPMENT]],all[[DEVELOPMENT]:[MRST Ext. Comp. Priority]],6,FALSE)</f>
        <v>None</v>
      </c>
      <c r="G256" s="51" t="str">
        <f>VLOOKUP(Yards25[[#This Row],[DEVELOPMENT]],all[[DEVELOPMENT]:[MRST Ext. Comp. Priority]],13,FALSE)</f>
        <v>None</v>
      </c>
      <c r="H256" s="50">
        <f>IF(VLOOKUP(Yards25[[#This Row],[DEVELOPMENT]],Data[],9,FALSE)=0,5,VLOOKUP(Yards25[[#This Row],[DEVELOPMENT]],Data[],9,FALSE))</f>
        <v>5</v>
      </c>
      <c r="I256" s="51">
        <f>VLOOKUP(Yards25[[#This Row],[DEVELOPMENT]],Data[],33,FALSE)</f>
        <v>0</v>
      </c>
      <c r="J256" s="51">
        <f>VLOOKUP(Yards25[[#This Row],[DEVELOPMENT]],Data[],28,FALSE)</f>
        <v>0</v>
      </c>
      <c r="K256" s="51"/>
      <c r="L256" s="50"/>
      <c r="M256" s="51" t="str">
        <f ca="1">IFERROR(VLOOKUP(Yards25[[#This Row],[DEVELOPMENT]],Data[],4,FALSE),"")</f>
        <v/>
      </c>
      <c r="N256" s="51" t="str">
        <f ca="1">IF(Yards25[[#This Row],[RAD/PACT]]="","",IF(OR(Yards25[[#This Row],[RAD/PACT]]="2022-2025",Yards25[[#This Row],[RAD/PACT]]=2019,Yards25[[#This Row],[RAD/PACT]]="2020-2021"),"Yes",""))</f>
        <v/>
      </c>
      <c r="O256" s="51" t="str">
        <f ca="1">IFERROR(VLOOKUP(Yards25[[#This Row],[DEVELOPMENT]],ExtComp[],8,FALSE),"")</f>
        <v/>
      </c>
      <c r="P256" s="51"/>
      <c r="Q256" s="51"/>
      <c r="R256" s="51" t="str">
        <f>IF(ISBLANK(Yards25[[#This Row],[DSGN CALENDAR YEAR]]),"",Yards25[[#This Row],[DSGN CALENDAR YEAR]]+1)</f>
        <v/>
      </c>
      <c r="S256" s="51" t="str">
        <f>IF(ISBLANK(Yards25[[#This Row],[DSGN FISCAL YEAR]]),"",Yards25[[#This Row],[DSGN FISCAL YEAR]]+1)</f>
        <v/>
      </c>
      <c r="T256" s="51"/>
      <c r="U256" s="128">
        <f ca="1">Yards25[[#This Row],[Estimate]]*0.1</f>
        <v>0</v>
      </c>
      <c r="V256" s="47">
        <f ca="1">Yards25[[#This Row],[Estimate]]-Yards25[[#This Row],[Design Est.]]</f>
        <v>0</v>
      </c>
      <c r="W256" s="85">
        <f ca="1">(Yards25[[#This Row],['# yards]]*INDEX(UnitCosts[],MATCH(Yards25[[#This Row],[WORK TYPE]],UnitCosts[Work Type],0),2))*(1+((Yards25[[#This Row],[est. CONS Year]]-YEAR(TODAY()))*$W$3))</f>
        <v>0</v>
      </c>
      <c r="X256" s="142">
        <f>IF(ISNUMBER(SEARCH("LLC",Yards25[[#This Row],[PROGRAM]])),IF(Yards25[[#This Row],[RAD/PACT by 2025]]="yes",0,1),0)</f>
        <v>0</v>
      </c>
      <c r="Y256" s="1"/>
      <c r="Z256" s="1"/>
      <c r="AA256" s="51">
        <f ca="1">COUNTIF($X$5:Yards25[[#This Row],['# yards]],"&gt;0")</f>
        <v>9</v>
      </c>
      <c r="AB256" s="1">
        <f ca="1">IF(ISBLANK(Yards25[[#This Row],[DSGN CALENDAR YEAR]]),ROUNDDOWN(Yards25[[#This Row],[Count]]/20,0)+$AB$1,Yards25[[#This Row],[DSGN CALENDAR YEAR]])</f>
        <v>2022</v>
      </c>
      <c r="AC256" s="16">
        <f ca="1">Yards25[[#This Row],[est. DSGN Year]]+1</f>
        <v>2023</v>
      </c>
    </row>
    <row r="257" spans="1:29" hidden="1">
      <c r="A257" s="13" t="s">
        <v>303</v>
      </c>
      <c r="B257" s="51" t="str">
        <f>VLOOKUP(Yards25[[#This Row],[DEVELOPMENT]],Data[],2,FALSE)</f>
        <v>BROOKLYN</v>
      </c>
      <c r="C25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57" s="51" t="str">
        <f>VLOOKUP(Yards25[[#This Row],[DEVELOPMENT]],Data[],52,FALSE)</f>
        <v>FEDERAL</v>
      </c>
      <c r="E257" s="50">
        <f>VLOOKUP(Yards25[[#This Row],[DEVELOPMENT]],Data[],8,FALSE)</f>
        <v>0</v>
      </c>
      <c r="F257" s="51" t="str">
        <f>VLOOKUP(Yards25[[#This Row],[DEVELOPMENT]],all[[DEVELOPMENT]:[MRST Ext. Comp. Priority]],6,FALSE)</f>
        <v>None</v>
      </c>
      <c r="G257" s="51">
        <f>VLOOKUP(Yards25[[#This Row],[DEVELOPMENT]],all[[DEVELOPMENT]:[MRST Ext. Comp. Priority]],13,FALSE)</f>
        <v>2</v>
      </c>
      <c r="H257" s="50">
        <f>IF(VLOOKUP(Yards25[[#This Row],[DEVELOPMENT]],Data[],9,FALSE)=0,5,VLOOKUP(Yards25[[#This Row],[DEVELOPMENT]],Data[],9,FALSE))</f>
        <v>5</v>
      </c>
      <c r="I257" s="51">
        <f>VLOOKUP(Yards25[[#This Row],[DEVELOPMENT]],Data[],33,FALSE)</f>
        <v>1</v>
      </c>
      <c r="J257" s="51">
        <f>VLOOKUP(Yards25[[#This Row],[DEVELOPMENT]],Data[],28,FALSE)</f>
        <v>0</v>
      </c>
      <c r="K257" s="51"/>
      <c r="L257" s="50"/>
      <c r="M257" s="51">
        <f ca="1">IFERROR(VLOOKUP(Yards25[[#This Row],[DEVELOPMENT]],Data[],4,FALSE),"")</f>
        <v>2019</v>
      </c>
      <c r="N257" s="51" t="str">
        <f ca="1">IF(Yards25[[#This Row],[RAD/PACT]]="","",IF(OR(Yards25[[#This Row],[RAD/PACT]]="2022-2025",Yards25[[#This Row],[RAD/PACT]]=2019,Yards25[[#This Row],[RAD/PACT]]="2020-2021"),"Yes",""))</f>
        <v>Yes</v>
      </c>
      <c r="O257" s="51">
        <f ca="1">IFERROR(VLOOKUP(Yards25[[#This Row],[DEVELOPMENT]],ExtComp[],8,FALSE),"")</f>
        <v>15</v>
      </c>
      <c r="P257" s="51"/>
      <c r="Q257" s="51"/>
      <c r="R257" s="51" t="str">
        <f>IF(ISBLANK(Yards25[[#This Row],[DSGN CALENDAR YEAR]]),"",Yards25[[#This Row],[DSGN CALENDAR YEAR]]+1)</f>
        <v/>
      </c>
      <c r="S257" s="51" t="str">
        <f>IF(ISBLANK(Yards25[[#This Row],[DSGN FISCAL YEAR]]),"",Yards25[[#This Row],[DSGN FISCAL YEAR]]+1)</f>
        <v/>
      </c>
      <c r="T257" s="51"/>
      <c r="U257" s="128">
        <f ca="1">Yards25[[#This Row],[Estimate]]*0.1</f>
        <v>0</v>
      </c>
      <c r="V257" s="47">
        <f ca="1">Yards25[[#This Row],[Estimate]]-Yards25[[#This Row],[Design Est.]]</f>
        <v>0</v>
      </c>
      <c r="W257" s="85">
        <f ca="1">(Yards25[[#This Row],['# yards]]*INDEX(UnitCosts[],MATCH(Yards25[[#This Row],[WORK TYPE]],UnitCosts[Work Type],0),2))*(1+((Yards25[[#This Row],[est. CONS Year]]-YEAR(TODAY()))*$W$3))</f>
        <v>0</v>
      </c>
      <c r="X257" s="142">
        <f>IF(ISNUMBER(SEARCH("LLC",Yards25[[#This Row],[PROGRAM]])),IF(Yards25[[#This Row],[RAD/PACT by 2025]]="yes",0,1),0)</f>
        <v>0</v>
      </c>
      <c r="Y257" s="1"/>
      <c r="Z257" s="1"/>
      <c r="AA257" s="51">
        <f ca="1">COUNTIF($X$5:Yards25[[#This Row],['# yards]],"&gt;0")</f>
        <v>9</v>
      </c>
      <c r="AB257" s="1">
        <f ca="1">IF(ISBLANK(Yards25[[#This Row],[DSGN CALENDAR YEAR]]),ROUNDDOWN(Yards25[[#This Row],[Count]]/20,0)+$AB$1,Yards25[[#This Row],[DSGN CALENDAR YEAR]])</f>
        <v>2022</v>
      </c>
      <c r="AC257" s="16">
        <f ca="1">Yards25[[#This Row],[est. DSGN Year]]+1</f>
        <v>2023</v>
      </c>
    </row>
    <row r="258" spans="1:29" hidden="1">
      <c r="A258" s="13" t="s">
        <v>305</v>
      </c>
      <c r="B258" s="51" t="str">
        <f>VLOOKUP(Yards25[[#This Row],[DEVELOPMENT]],Data[],2,FALSE)</f>
        <v>BROOKLYN</v>
      </c>
      <c r="C25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58" s="51" t="str">
        <f>VLOOKUP(Yards25[[#This Row],[DEVELOPMENT]],Data[],52,FALSE)</f>
        <v>FEDERAL</v>
      </c>
      <c r="E258" s="50">
        <f>VLOOKUP(Yards25[[#This Row],[DEVELOPMENT]],Data[],8,FALSE)</f>
        <v>0</v>
      </c>
      <c r="F258" s="51" t="str">
        <f>VLOOKUP(Yards25[[#This Row],[DEVELOPMENT]],all[[DEVELOPMENT]:[MRST Ext. Comp. Priority]],6,FALSE)</f>
        <v>None</v>
      </c>
      <c r="G258" s="51" t="str">
        <f>VLOOKUP(Yards25[[#This Row],[DEVELOPMENT]],all[[DEVELOPMENT]:[MRST Ext. Comp. Priority]],13,FALSE)</f>
        <v>None</v>
      </c>
      <c r="H258" s="50">
        <f>IF(VLOOKUP(Yards25[[#This Row],[DEVELOPMENT]],Data[],9,FALSE)=0,5,VLOOKUP(Yards25[[#This Row],[DEVELOPMENT]],Data[],9,FALSE))</f>
        <v>5</v>
      </c>
      <c r="I258" s="51">
        <f>VLOOKUP(Yards25[[#This Row],[DEVELOPMENT]],Data[],33,FALSE)</f>
        <v>0</v>
      </c>
      <c r="J258" s="51">
        <f>VLOOKUP(Yards25[[#This Row],[DEVELOPMENT]],Data[],28,FALSE)</f>
        <v>0</v>
      </c>
      <c r="K258" s="51"/>
      <c r="L258" s="50"/>
      <c r="M258" s="51" t="str">
        <f ca="1">IFERROR(VLOOKUP(Yards25[[#This Row],[DEVELOPMENT]],Data[],4,FALSE),"")</f>
        <v/>
      </c>
      <c r="N258" s="51" t="str">
        <f ca="1">IF(Yards25[[#This Row],[RAD/PACT]]="","",IF(OR(Yards25[[#This Row],[RAD/PACT]]="2022-2025",Yards25[[#This Row],[RAD/PACT]]=2019,Yards25[[#This Row],[RAD/PACT]]="2020-2021"),"Yes",""))</f>
        <v/>
      </c>
      <c r="O258" s="51" t="str">
        <f ca="1">IFERROR(VLOOKUP(Yards25[[#This Row],[DEVELOPMENT]],ExtComp[],8,FALSE),"")</f>
        <v/>
      </c>
      <c r="P258" s="51"/>
      <c r="Q258" s="51"/>
      <c r="R258" s="51" t="str">
        <f>IF(ISBLANK(Yards25[[#This Row],[DSGN CALENDAR YEAR]]),"",Yards25[[#This Row],[DSGN CALENDAR YEAR]]+1)</f>
        <v/>
      </c>
      <c r="S258" s="51" t="str">
        <f>IF(ISBLANK(Yards25[[#This Row],[DSGN FISCAL YEAR]]),"",Yards25[[#This Row],[DSGN FISCAL YEAR]]+1)</f>
        <v/>
      </c>
      <c r="T258" s="51"/>
      <c r="U258" s="128">
        <f ca="1">Yards25[[#This Row],[Estimate]]*0.1</f>
        <v>0</v>
      </c>
      <c r="V258" s="47">
        <f ca="1">Yards25[[#This Row],[Estimate]]-Yards25[[#This Row],[Design Est.]]</f>
        <v>0</v>
      </c>
      <c r="W258" s="85">
        <f ca="1">(Yards25[[#This Row],['# yards]]*INDEX(UnitCosts[],MATCH(Yards25[[#This Row],[WORK TYPE]],UnitCosts[Work Type],0),2))*(1+((Yards25[[#This Row],[est. CONS Year]]-YEAR(TODAY()))*$W$3))</f>
        <v>0</v>
      </c>
      <c r="X258" s="142">
        <f>IF(ISNUMBER(SEARCH("LLC",Yards25[[#This Row],[PROGRAM]])),IF(Yards25[[#This Row],[RAD/PACT by 2025]]="yes",0,1),0)</f>
        <v>0</v>
      </c>
      <c r="Y258" s="1"/>
      <c r="Z258" s="1"/>
      <c r="AA258" s="51">
        <f ca="1">COUNTIF($X$5:Yards25[[#This Row],['# yards]],"&gt;0")</f>
        <v>9</v>
      </c>
      <c r="AB258" s="1">
        <f ca="1">IF(ISBLANK(Yards25[[#This Row],[DSGN CALENDAR YEAR]]),ROUNDDOWN(Yards25[[#This Row],[Count]]/20,0)+$AB$1,Yards25[[#This Row],[DSGN CALENDAR YEAR]])</f>
        <v>2022</v>
      </c>
      <c r="AC258" s="16">
        <f ca="1">Yards25[[#This Row],[est. DSGN Year]]+1</f>
        <v>2023</v>
      </c>
    </row>
    <row r="259" spans="1:29" hidden="1">
      <c r="A259" s="13" t="s">
        <v>392</v>
      </c>
      <c r="B259" s="51" t="str">
        <f>VLOOKUP(Yards25[[#This Row],[DEVELOPMENT]],Data[],2,FALSE)</f>
        <v>BROOKLYN</v>
      </c>
      <c r="C259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259" s="51" t="str">
        <f>VLOOKUP(Yards25[[#This Row],[DEVELOPMENT]],Data[],52,FALSE)</f>
        <v>FEDERAL</v>
      </c>
      <c r="E259" s="50">
        <f>VLOOKUP(Yards25[[#This Row],[DEVELOPMENT]],Data[],8,FALSE)</f>
        <v>0</v>
      </c>
      <c r="F259" s="51" t="str">
        <f>VLOOKUP(Yards25[[#This Row],[DEVELOPMENT]],all[[DEVELOPMENT]:[MRST Ext. Comp. Priority]],6,FALSE)</f>
        <v>None</v>
      </c>
      <c r="G259" s="51" t="str">
        <f>VLOOKUP(Yards25[[#This Row],[DEVELOPMENT]],all[[DEVELOPMENT]:[MRST Ext. Comp. Priority]],13,FALSE)</f>
        <v>None</v>
      </c>
      <c r="H259" s="50">
        <f>IF(VLOOKUP(Yards25[[#This Row],[DEVELOPMENT]],Data[],9,FALSE)=0,5,VLOOKUP(Yards25[[#This Row],[DEVELOPMENT]],Data[],9,FALSE))</f>
        <v>5</v>
      </c>
      <c r="I259" s="51">
        <f>VLOOKUP(Yards25[[#This Row],[DEVELOPMENT]],Data[],33,FALSE)</f>
        <v>3</v>
      </c>
      <c r="J259" s="51">
        <f>VLOOKUP(Yards25[[#This Row],[DEVELOPMENT]],Data[],28,FALSE)</f>
        <v>0</v>
      </c>
      <c r="K259" s="51"/>
      <c r="L259" s="50"/>
      <c r="M259" s="51" t="str">
        <f ca="1">IFERROR(VLOOKUP(Yards25[[#This Row],[DEVELOPMENT]],Data[],4,FALSE),"")</f>
        <v>2026+</v>
      </c>
      <c r="N259" s="51" t="str">
        <f ca="1">IF(Yards25[[#This Row],[RAD/PACT]]="","",IF(OR(Yards25[[#This Row],[RAD/PACT]]="2022-2025",Yards25[[#This Row],[RAD/PACT]]=2019,Yards25[[#This Row],[RAD/PACT]]="2020-2021"),"Yes",""))</f>
        <v/>
      </c>
      <c r="O259" s="51">
        <f ca="1">IFERROR(VLOOKUP(Yards25[[#This Row],[DEVELOPMENT]],ExtComp[],8,FALSE),"")</f>
        <v>15</v>
      </c>
      <c r="P259" s="51"/>
      <c r="Q259" s="51"/>
      <c r="R259" s="51" t="str">
        <f>IF(ISBLANK(Yards25[[#This Row],[DSGN CALENDAR YEAR]]),"",Yards25[[#This Row],[DSGN CALENDAR YEAR]]+1)</f>
        <v/>
      </c>
      <c r="S259" s="51" t="str">
        <f>IF(ISBLANK(Yards25[[#This Row],[DSGN FISCAL YEAR]]),"",Yards25[[#This Row],[DSGN FISCAL YEAR]]+1)</f>
        <v/>
      </c>
      <c r="T259" s="51"/>
      <c r="U259" s="128">
        <f ca="1">Yards25[[#This Row],[Estimate]]*0.1</f>
        <v>0</v>
      </c>
      <c r="V259" s="47">
        <f ca="1">Yards25[[#This Row],[Estimate]]-Yards25[[#This Row],[Design Est.]]</f>
        <v>0</v>
      </c>
      <c r="W259" s="85">
        <f ca="1">(Yards25[[#This Row],['# yards]]*INDEX(UnitCosts[],MATCH(Yards25[[#This Row],[WORK TYPE]],UnitCosts[Work Type],0),2))*(1+((Yards25[[#This Row],[est. CONS Year]]-YEAR(TODAY()))*$W$3))</f>
        <v>0</v>
      </c>
      <c r="X259" s="142">
        <f>IF(ISNUMBER(SEARCH("LLC",Yards25[[#This Row],[PROGRAM]])),IF(Yards25[[#This Row],[RAD/PACT by 2025]]="yes",0,1),0)</f>
        <v>0</v>
      </c>
      <c r="Y259" s="1"/>
      <c r="Z259" s="1"/>
      <c r="AA259" s="51">
        <f ca="1">COUNTIF($X$5:Yards25[[#This Row],['# yards]],"&gt;0")</f>
        <v>9</v>
      </c>
      <c r="AB259" s="1">
        <f ca="1">IF(ISBLANK(Yards25[[#This Row],[DSGN CALENDAR YEAR]]),ROUNDDOWN(Yards25[[#This Row],[Count]]/20,0)+$AB$1,Yards25[[#This Row],[DSGN CALENDAR YEAR]])</f>
        <v>2022</v>
      </c>
      <c r="AC259" s="16">
        <f ca="1">Yards25[[#This Row],[est. DSGN Year]]+1</f>
        <v>2023</v>
      </c>
    </row>
    <row r="260" spans="1:29" hidden="1">
      <c r="A260" s="13" t="s">
        <v>306</v>
      </c>
      <c r="B260" s="51" t="str">
        <f>VLOOKUP(Yards25[[#This Row],[DEVELOPMENT]],Data[],2,FALSE)</f>
        <v>BROOKLYN</v>
      </c>
      <c r="C260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60" s="51" t="str">
        <f>VLOOKUP(Yards25[[#This Row],[DEVELOPMENT]],Data[],52,FALSE)</f>
        <v>FEDERAL</v>
      </c>
      <c r="E260" s="50">
        <f>VLOOKUP(Yards25[[#This Row],[DEVELOPMENT]],Data[],8,FALSE)</f>
        <v>0</v>
      </c>
      <c r="F260" s="51" t="str">
        <f>VLOOKUP(Yards25[[#This Row],[DEVELOPMENT]],all[[DEVELOPMENT]:[MRST Ext. Comp. Priority]],6,FALSE)</f>
        <v>None</v>
      </c>
      <c r="G260" s="51" t="str">
        <f>VLOOKUP(Yards25[[#This Row],[DEVELOPMENT]],all[[DEVELOPMENT]:[MRST Ext. Comp. Priority]],13,FALSE)</f>
        <v>None</v>
      </c>
      <c r="H260" s="50">
        <f>IF(VLOOKUP(Yards25[[#This Row],[DEVELOPMENT]],Data[],9,FALSE)=0,5,VLOOKUP(Yards25[[#This Row],[DEVELOPMENT]],Data[],9,FALSE))</f>
        <v>5</v>
      </c>
      <c r="I260" s="51">
        <f>VLOOKUP(Yards25[[#This Row],[DEVELOPMENT]],Data[],33,FALSE)</f>
        <v>2</v>
      </c>
      <c r="J260" s="51">
        <f>VLOOKUP(Yards25[[#This Row],[DEVELOPMENT]],Data[],28,FALSE)</f>
        <v>0</v>
      </c>
      <c r="K260" s="51"/>
      <c r="L260" s="50"/>
      <c r="M260" s="51" t="str">
        <f ca="1">IFERROR(VLOOKUP(Yards25[[#This Row],[DEVELOPMENT]],Data[],4,FALSE),"")</f>
        <v/>
      </c>
      <c r="N260" s="51" t="str">
        <f ca="1">IF(Yards25[[#This Row],[RAD/PACT]]="","",IF(OR(Yards25[[#This Row],[RAD/PACT]]="2022-2025",Yards25[[#This Row],[RAD/PACT]]=2019,Yards25[[#This Row],[RAD/PACT]]="2020-2021"),"Yes",""))</f>
        <v/>
      </c>
      <c r="O260" s="51">
        <f ca="1">IFERROR(VLOOKUP(Yards25[[#This Row],[DEVELOPMENT]],ExtComp[],8,FALSE),"")</f>
        <v>20</v>
      </c>
      <c r="P260" s="51"/>
      <c r="Q260" s="51"/>
      <c r="R260" s="51" t="str">
        <f>IF(ISBLANK(Yards25[[#This Row],[DSGN CALENDAR YEAR]]),"",Yards25[[#This Row],[DSGN CALENDAR YEAR]]+1)</f>
        <v/>
      </c>
      <c r="S260" s="51" t="str">
        <f>IF(ISBLANK(Yards25[[#This Row],[DSGN FISCAL YEAR]]),"",Yards25[[#This Row],[DSGN FISCAL YEAR]]+1)</f>
        <v/>
      </c>
      <c r="T260" s="51"/>
      <c r="U260" s="128">
        <f ca="1">Yards25[[#This Row],[Estimate]]*0.1</f>
        <v>0</v>
      </c>
      <c r="V260" s="47">
        <f ca="1">Yards25[[#This Row],[Estimate]]-Yards25[[#This Row],[Design Est.]]</f>
        <v>0</v>
      </c>
      <c r="W260" s="85">
        <f ca="1">(Yards25[[#This Row],['# yards]]*INDEX(UnitCosts[],MATCH(Yards25[[#This Row],[WORK TYPE]],UnitCosts[Work Type],0),2))*(1+((Yards25[[#This Row],[est. CONS Year]]-YEAR(TODAY()))*$W$3))</f>
        <v>0</v>
      </c>
      <c r="X260" s="142">
        <f>IF(ISNUMBER(SEARCH("LLC",Yards25[[#This Row],[PROGRAM]])),IF(Yards25[[#This Row],[RAD/PACT by 2025]]="yes",0,1),0)</f>
        <v>0</v>
      </c>
      <c r="Y260" s="1"/>
      <c r="Z260" s="1"/>
      <c r="AA260" s="51">
        <f ca="1">COUNTIF($X$5:Yards25[[#This Row],['# yards]],"&gt;0")</f>
        <v>9</v>
      </c>
      <c r="AB260" s="1">
        <f ca="1">IF(ISBLANK(Yards25[[#This Row],[DSGN CALENDAR YEAR]]),ROUNDDOWN(Yards25[[#This Row],[Count]]/20,0)+$AB$1,Yards25[[#This Row],[DSGN CALENDAR YEAR]])</f>
        <v>2022</v>
      </c>
      <c r="AC260" s="16">
        <f ca="1">Yards25[[#This Row],[est. DSGN Year]]+1</f>
        <v>2023</v>
      </c>
    </row>
    <row r="261" spans="1:29" hidden="1">
      <c r="A261" s="13" t="s">
        <v>307</v>
      </c>
      <c r="B261" s="51" t="str">
        <f>VLOOKUP(Yards25[[#This Row],[DEVELOPMENT]],Data[],2,FALSE)</f>
        <v>QUEENS</v>
      </c>
      <c r="C261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61" s="51" t="str">
        <f>VLOOKUP(Yards25[[#This Row],[DEVELOPMENT]],Data[],52,FALSE)</f>
        <v>FEDERAL</v>
      </c>
      <c r="E261" s="50">
        <f>VLOOKUP(Yards25[[#This Row],[DEVELOPMENT]],Data[],8,FALSE)</f>
        <v>0</v>
      </c>
      <c r="F261" s="51" t="str">
        <f>VLOOKUP(Yards25[[#This Row],[DEVELOPMENT]],all[[DEVELOPMENT]:[MRST Ext. Comp. Priority]],6,FALSE)</f>
        <v>None</v>
      </c>
      <c r="G261" s="51" t="str">
        <f>VLOOKUP(Yards25[[#This Row],[DEVELOPMENT]],all[[DEVELOPMENT]:[MRST Ext. Comp. Priority]],13,FALSE)</f>
        <v>None</v>
      </c>
      <c r="H261" s="50">
        <f>IF(VLOOKUP(Yards25[[#This Row],[DEVELOPMENT]],Data[],9,FALSE)=0,5,VLOOKUP(Yards25[[#This Row],[DEVELOPMENT]],Data[],9,FALSE))</f>
        <v>5</v>
      </c>
      <c r="I261" s="51">
        <f>VLOOKUP(Yards25[[#This Row],[DEVELOPMENT]],Data[],33,FALSE)</f>
        <v>1</v>
      </c>
      <c r="J261" s="51">
        <f>VLOOKUP(Yards25[[#This Row],[DEVELOPMENT]],Data[],28,FALSE)</f>
        <v>0</v>
      </c>
      <c r="K261" s="51"/>
      <c r="L261" s="50"/>
      <c r="M261" s="51" t="str">
        <f ca="1">IFERROR(VLOOKUP(Yards25[[#This Row],[DEVELOPMENT]],Data[],4,FALSE),"")</f>
        <v>2026+</v>
      </c>
      <c r="N261" s="51" t="str">
        <f ca="1">IF(Yards25[[#This Row],[RAD/PACT]]="","",IF(OR(Yards25[[#This Row],[RAD/PACT]]="2022-2025",Yards25[[#This Row],[RAD/PACT]]=2019,Yards25[[#This Row],[RAD/PACT]]="2020-2021"),"Yes",""))</f>
        <v/>
      </c>
      <c r="O261" s="51">
        <f ca="1">IFERROR(VLOOKUP(Yards25[[#This Row],[DEVELOPMENT]],ExtComp[],8,FALSE),"")</f>
        <v>23</v>
      </c>
      <c r="P261" s="51"/>
      <c r="Q261" s="51"/>
      <c r="R261" s="51" t="str">
        <f>IF(ISBLANK(Yards25[[#This Row],[DSGN CALENDAR YEAR]]),"",Yards25[[#This Row],[DSGN CALENDAR YEAR]]+1)</f>
        <v/>
      </c>
      <c r="S261" s="51" t="str">
        <f>IF(ISBLANK(Yards25[[#This Row],[DSGN FISCAL YEAR]]),"",Yards25[[#This Row],[DSGN FISCAL YEAR]]+1)</f>
        <v/>
      </c>
      <c r="T261" s="51"/>
      <c r="U261" s="128">
        <f ca="1">Yards25[[#This Row],[Estimate]]*0.1</f>
        <v>0</v>
      </c>
      <c r="V261" s="47">
        <f ca="1">Yards25[[#This Row],[Estimate]]-Yards25[[#This Row],[Design Est.]]</f>
        <v>0</v>
      </c>
      <c r="W261" s="85">
        <f ca="1">(Yards25[[#This Row],['# yards]]*INDEX(UnitCosts[],MATCH(Yards25[[#This Row],[WORK TYPE]],UnitCosts[Work Type],0),2))*(1+((Yards25[[#This Row],[est. CONS Year]]-YEAR(TODAY()))*$W$3))</f>
        <v>0</v>
      </c>
      <c r="X261" s="142">
        <f>IF(ISNUMBER(SEARCH("LLC",Yards25[[#This Row],[PROGRAM]])),IF(Yards25[[#This Row],[RAD/PACT by 2025]]="yes",0,1),0)</f>
        <v>0</v>
      </c>
      <c r="Y261" s="1"/>
      <c r="Z261" s="1"/>
      <c r="AA261" s="51">
        <f ca="1">COUNTIF($X$5:Yards25[[#This Row],['# yards]],"&gt;0")</f>
        <v>9</v>
      </c>
      <c r="AB261" s="1">
        <f ca="1">IF(ISBLANK(Yards25[[#This Row],[DSGN CALENDAR YEAR]]),ROUNDDOWN(Yards25[[#This Row],[Count]]/20,0)+$AB$1,Yards25[[#This Row],[DSGN CALENDAR YEAR]])</f>
        <v>2022</v>
      </c>
      <c r="AC261" s="16">
        <f ca="1">Yards25[[#This Row],[est. DSGN Year]]+1</f>
        <v>2023</v>
      </c>
    </row>
    <row r="262" spans="1:29" hidden="1">
      <c r="A262" s="13" t="s">
        <v>308</v>
      </c>
      <c r="B262" s="51" t="str">
        <f>VLOOKUP(Yards25[[#This Row],[DEVELOPMENT]],Data[],2,FALSE)</f>
        <v>STATEN ISLAND</v>
      </c>
      <c r="C26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62" s="51" t="str">
        <f>VLOOKUP(Yards25[[#This Row],[DEVELOPMENT]],Data[],52,FALSE)</f>
        <v>FEDERAL</v>
      </c>
      <c r="E262" s="50">
        <f>VLOOKUP(Yards25[[#This Row],[DEVELOPMENT]],Data[],8,FALSE)</f>
        <v>0</v>
      </c>
      <c r="F262" s="51" t="str">
        <f>VLOOKUP(Yards25[[#This Row],[DEVELOPMENT]],all[[DEVELOPMENT]:[MRST Ext. Comp. Priority]],6,FALSE)</f>
        <v>None</v>
      </c>
      <c r="G262" s="51" t="str">
        <f>VLOOKUP(Yards25[[#This Row],[DEVELOPMENT]],all[[DEVELOPMENT]:[MRST Ext. Comp. Priority]],13,FALSE)</f>
        <v>None</v>
      </c>
      <c r="H262" s="50">
        <f>IF(VLOOKUP(Yards25[[#This Row],[DEVELOPMENT]],Data[],9,FALSE)=0,5,VLOOKUP(Yards25[[#This Row],[DEVELOPMENT]],Data[],9,FALSE))</f>
        <v>5</v>
      </c>
      <c r="I262" s="51">
        <f>VLOOKUP(Yards25[[#This Row],[DEVELOPMENT]],Data[],33,FALSE)</f>
        <v>1</v>
      </c>
      <c r="J262" s="51">
        <f>VLOOKUP(Yards25[[#This Row],[DEVELOPMENT]],Data[],28,FALSE)</f>
        <v>0</v>
      </c>
      <c r="K262" s="51"/>
      <c r="L262" s="50"/>
      <c r="M262" s="51" t="str">
        <f ca="1">IFERROR(VLOOKUP(Yards25[[#This Row],[DEVELOPMENT]],Data[],4,FALSE),"")</f>
        <v/>
      </c>
      <c r="N262" s="51" t="str">
        <f ca="1">IF(Yards25[[#This Row],[RAD/PACT]]="","",IF(OR(Yards25[[#This Row],[RAD/PACT]]="2022-2025",Yards25[[#This Row],[RAD/PACT]]=2019,Yards25[[#This Row],[RAD/PACT]]="2020-2021"),"Yes",""))</f>
        <v/>
      </c>
      <c r="O262" s="51">
        <f ca="1">IFERROR(VLOOKUP(Yards25[[#This Row],[DEVELOPMENT]],ExtComp[],8,FALSE),"")</f>
        <v>17</v>
      </c>
      <c r="P262" s="51"/>
      <c r="Q262" s="51"/>
      <c r="R262" s="51" t="str">
        <f>IF(ISBLANK(Yards25[[#This Row],[DSGN CALENDAR YEAR]]),"",Yards25[[#This Row],[DSGN CALENDAR YEAR]]+1)</f>
        <v/>
      </c>
      <c r="S262" s="51" t="str">
        <f>IF(ISBLANK(Yards25[[#This Row],[DSGN FISCAL YEAR]]),"",Yards25[[#This Row],[DSGN FISCAL YEAR]]+1)</f>
        <v/>
      </c>
      <c r="T262" s="51"/>
      <c r="U262" s="128">
        <f ca="1">Yards25[[#This Row],[Estimate]]*0.1</f>
        <v>0</v>
      </c>
      <c r="V262" s="47">
        <f ca="1">Yards25[[#This Row],[Estimate]]-Yards25[[#This Row],[Design Est.]]</f>
        <v>0</v>
      </c>
      <c r="W262" s="85">
        <f ca="1">(Yards25[[#This Row],['# yards]]*INDEX(UnitCosts[],MATCH(Yards25[[#This Row],[WORK TYPE]],UnitCosts[Work Type],0),2))*(1+((Yards25[[#This Row],[est. CONS Year]]-YEAR(TODAY()))*$W$3))</f>
        <v>0</v>
      </c>
      <c r="X262" s="142">
        <f>IF(ISNUMBER(SEARCH("LLC",Yards25[[#This Row],[PROGRAM]])),IF(Yards25[[#This Row],[RAD/PACT by 2025]]="yes",0,1),0)</f>
        <v>0</v>
      </c>
      <c r="Y262" s="1"/>
      <c r="Z262" s="1"/>
      <c r="AA262" s="51">
        <f ca="1">COUNTIF($X$5:Yards25[[#This Row],['# yards]],"&gt;0")</f>
        <v>9</v>
      </c>
      <c r="AB262" s="1">
        <f ca="1">IF(ISBLANK(Yards25[[#This Row],[DSGN CALENDAR YEAR]]),ROUNDDOWN(Yards25[[#This Row],[Count]]/20,0)+$AB$1,Yards25[[#This Row],[DSGN CALENDAR YEAR]])</f>
        <v>2022</v>
      </c>
      <c r="AC262" s="16">
        <f ca="1">Yards25[[#This Row],[est. DSGN Year]]+1</f>
        <v>2023</v>
      </c>
    </row>
    <row r="263" spans="1:29">
      <c r="A263" s="13" t="s">
        <v>309</v>
      </c>
      <c r="B263" s="51" t="str">
        <f>VLOOKUP(Yards25[[#This Row],[DEVELOPMENT]],Data[],2,FALSE)</f>
        <v>MANHATTAN</v>
      </c>
      <c r="C26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263" s="51" t="str">
        <f>VLOOKUP(Yards25[[#This Row],[DEVELOPMENT]],Data[],52,FALSE)</f>
        <v>MIXED FINANCE/LLC1</v>
      </c>
      <c r="E263" s="50">
        <f>VLOOKUP(Yards25[[#This Row],[DEVELOPMENT]],Data[],8,FALSE)</f>
        <v>0</v>
      </c>
      <c r="F263" s="51" t="str">
        <f>VLOOKUP(Yards25[[#This Row],[DEVELOPMENT]],all[[DEVELOPMENT]:[MRST Ext. Comp. Priority]],6,FALSE)</f>
        <v>None</v>
      </c>
      <c r="G263" s="51">
        <f>VLOOKUP(Yards25[[#This Row],[DEVELOPMENT]],all[[DEVELOPMENT]:[MRST Ext. Comp. Priority]],13,FALSE)</f>
        <v>4</v>
      </c>
      <c r="H263" s="50">
        <f>IF(VLOOKUP(Yards25[[#This Row],[DEVELOPMENT]],Data[],9,FALSE)=0,5,VLOOKUP(Yards25[[#This Row],[DEVELOPMENT]],Data[],9,FALSE))</f>
        <v>5</v>
      </c>
      <c r="I263" s="51">
        <f>VLOOKUP(Yards25[[#This Row],[DEVELOPMENT]],Data[],33,FALSE)</f>
        <v>2</v>
      </c>
      <c r="J263" s="51">
        <f>VLOOKUP(Yards25[[#This Row],[DEVELOPMENT]],Data[],28,FALSE)</f>
        <v>0</v>
      </c>
      <c r="K263" s="51"/>
      <c r="L263" s="50"/>
      <c r="M263" s="51" t="str">
        <f ca="1">IFERROR(VLOOKUP(Yards25[[#This Row],[DEVELOPMENT]],Data[],4,FALSE),"")</f>
        <v/>
      </c>
      <c r="N263" s="51" t="str">
        <f ca="1">IF(Yards25[[#This Row],[RAD/PACT]]="","",IF(OR(Yards25[[#This Row],[RAD/PACT]]="2022-2025",Yards25[[#This Row],[RAD/PACT]]=2019,Yards25[[#This Row],[RAD/PACT]]="2020-2021"),"Yes",""))</f>
        <v/>
      </c>
      <c r="O263" s="51">
        <f ca="1">IFERROR(VLOOKUP(Yards25[[#This Row],[DEVELOPMENT]],ExtComp[],8,FALSE),"")</f>
        <v>10</v>
      </c>
      <c r="P263" s="51"/>
      <c r="Q263" s="51"/>
      <c r="R263" s="51" t="str">
        <f>IF(ISBLANK(Yards25[[#This Row],[DSGN CALENDAR YEAR]]),"",Yards25[[#This Row],[DSGN CALENDAR YEAR]]+1)</f>
        <v/>
      </c>
      <c r="S263" s="51" t="str">
        <f>IF(ISBLANK(Yards25[[#This Row],[DSGN FISCAL YEAR]]),"",Yards25[[#This Row],[DSGN FISCAL YEAR]]+1)</f>
        <v/>
      </c>
      <c r="T263" s="51"/>
      <c r="U263" s="128">
        <f ca="1">Yards25[[#This Row],[Estimate]]*0.1</f>
        <v>169601.84953665006</v>
      </c>
      <c r="V263" s="47">
        <f ca="1">Yards25[[#This Row],[Estimate]]-Yards25[[#This Row],[Design Est.]]</f>
        <v>1526416.6458298503</v>
      </c>
      <c r="W263" s="85">
        <f ca="1">(Yards25[[#This Row],['# yards]]*INDEX(UnitCosts[],MATCH(Yards25[[#This Row],[WORK TYPE]],UnitCosts[Work Type],0),2))*(1+((Yards25[[#This Row],[est. CONS Year]]-YEAR(TODAY()))*$W$3))</f>
        <v>1696018.4953665005</v>
      </c>
      <c r="X263" s="142">
        <f ca="1">IF(ISNUMBER(SEARCH("LLC",Yards25[[#This Row],[PROGRAM]])),IF(Yards25[[#This Row],[RAD/PACT by 2025]]="yes",0,1),0)</f>
        <v>1</v>
      </c>
      <c r="Y263" s="1"/>
      <c r="Z263" s="1"/>
      <c r="AA263" s="51">
        <f ca="1">COUNTIF($X$5:Yards25[[#This Row],['# yards]],"&gt;0")</f>
        <v>10</v>
      </c>
      <c r="AB263" s="1">
        <v>2026</v>
      </c>
      <c r="AC263" s="16">
        <f>Yards25[[#This Row],[est. DSGN Year]]+1</f>
        <v>2027</v>
      </c>
    </row>
    <row r="264" spans="1:29" hidden="1">
      <c r="A264" s="13" t="s">
        <v>310</v>
      </c>
      <c r="B264" s="51" t="str">
        <f>VLOOKUP(Yards25[[#This Row],[DEVELOPMENT]],Data[],2,FALSE)</f>
        <v>BRONX</v>
      </c>
      <c r="C264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64" s="51" t="str">
        <f>VLOOKUP(Yards25[[#This Row],[DEVELOPMENT]],Data[],52,FALSE)</f>
        <v>FEDERAL</v>
      </c>
      <c r="E264" s="50">
        <f>VLOOKUP(Yards25[[#This Row],[DEVELOPMENT]],Data[],8,FALSE)</f>
        <v>0</v>
      </c>
      <c r="F264" s="51" t="str">
        <f>VLOOKUP(Yards25[[#This Row],[DEVELOPMENT]],all[[DEVELOPMENT]:[MRST Ext. Comp. Priority]],6,FALSE)</f>
        <v>None</v>
      </c>
      <c r="G264" s="51">
        <f>VLOOKUP(Yards25[[#This Row],[DEVELOPMENT]],all[[DEVELOPMENT]:[MRST Ext. Comp. Priority]],13,FALSE)</f>
        <v>3</v>
      </c>
      <c r="H264" s="50">
        <f>IF(VLOOKUP(Yards25[[#This Row],[DEVELOPMENT]],Data[],9,FALSE)=0,5,VLOOKUP(Yards25[[#This Row],[DEVELOPMENT]],Data[],9,FALSE))</f>
        <v>5</v>
      </c>
      <c r="I264" s="51">
        <f>VLOOKUP(Yards25[[#This Row],[DEVELOPMENT]],Data[],33,FALSE)</f>
        <v>0</v>
      </c>
      <c r="J264" s="51">
        <f>VLOOKUP(Yards25[[#This Row],[DEVELOPMENT]],Data[],28,FALSE)</f>
        <v>0</v>
      </c>
      <c r="K264" s="51"/>
      <c r="L264" s="50"/>
      <c r="M264" s="51" t="str">
        <f ca="1">IFERROR(VLOOKUP(Yards25[[#This Row],[DEVELOPMENT]],Data[],4,FALSE),"")</f>
        <v>2022-2025</v>
      </c>
      <c r="N264" s="51" t="str">
        <f ca="1">IF(Yards25[[#This Row],[RAD/PACT]]="","",IF(OR(Yards25[[#This Row],[RAD/PACT]]="2022-2025",Yards25[[#This Row],[RAD/PACT]]=2019,Yards25[[#This Row],[RAD/PACT]]="2020-2021"),"Yes",""))</f>
        <v>Yes</v>
      </c>
      <c r="O264" s="51" t="str">
        <f ca="1">IFERROR(VLOOKUP(Yards25[[#This Row],[DEVELOPMENT]],ExtComp[],8,FALSE),"")</f>
        <v/>
      </c>
      <c r="P264" s="51"/>
      <c r="Q264" s="51"/>
      <c r="R264" s="51" t="str">
        <f>IF(ISBLANK(Yards25[[#This Row],[DSGN CALENDAR YEAR]]),"",Yards25[[#This Row],[DSGN CALENDAR YEAR]]+1)</f>
        <v/>
      </c>
      <c r="S264" s="51" t="str">
        <f>IF(ISBLANK(Yards25[[#This Row],[DSGN FISCAL YEAR]]),"",Yards25[[#This Row],[DSGN FISCAL YEAR]]+1)</f>
        <v/>
      </c>
      <c r="T264" s="51"/>
      <c r="U264" s="128">
        <f ca="1">Yards25[[#This Row],[Estimate]]*0.1</f>
        <v>0</v>
      </c>
      <c r="V264" s="47">
        <f ca="1">Yards25[[#This Row],[Estimate]]-Yards25[[#This Row],[Design Est.]]</f>
        <v>0</v>
      </c>
      <c r="W264" s="85">
        <f ca="1">(Yards25[[#This Row],['# yards]]*INDEX(UnitCosts[],MATCH(Yards25[[#This Row],[WORK TYPE]],UnitCosts[Work Type],0),2))*(1+((Yards25[[#This Row],[est. CONS Year]]-YEAR(TODAY()))*$W$3))</f>
        <v>0</v>
      </c>
      <c r="X264" s="142">
        <f>IF(ISNUMBER(SEARCH("LLC",Yards25[[#This Row],[PROGRAM]])),IF(Yards25[[#This Row],[RAD/PACT by 2025]]="yes",0,1),0)</f>
        <v>0</v>
      </c>
      <c r="Y264" s="1"/>
      <c r="Z264" s="1"/>
      <c r="AA264" s="51">
        <f ca="1">COUNTIF($X$5:Yards25[[#This Row],['# yards]],"&gt;0")</f>
        <v>10</v>
      </c>
      <c r="AB264" s="1">
        <f ca="1">IF(ISBLANK(Yards25[[#This Row],[DSGN CALENDAR YEAR]]),ROUNDDOWN(Yards25[[#This Row],[Count]]/20,0)+$AB$1,Yards25[[#This Row],[DSGN CALENDAR YEAR]])</f>
        <v>2022</v>
      </c>
      <c r="AC264" s="16">
        <f ca="1">Yards25[[#This Row],[est. DSGN Year]]+1</f>
        <v>2023</v>
      </c>
    </row>
    <row r="265" spans="1:29" hidden="1">
      <c r="A265" s="13" t="s">
        <v>311</v>
      </c>
      <c r="B265" s="51" t="str">
        <f>VLOOKUP(Yards25[[#This Row],[DEVELOPMENT]],Data[],2,FALSE)</f>
        <v>BROOKLYN</v>
      </c>
      <c r="C26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65" s="51" t="str">
        <f>VLOOKUP(Yards25[[#This Row],[DEVELOPMENT]],Data[],52,FALSE)</f>
        <v>FEDERAL</v>
      </c>
      <c r="E265" s="50">
        <f>VLOOKUP(Yards25[[#This Row],[DEVELOPMENT]],Data[],8,FALSE)</f>
        <v>0</v>
      </c>
      <c r="F265" s="51" t="str">
        <f>VLOOKUP(Yards25[[#This Row],[DEVELOPMENT]],all[[DEVELOPMENT]:[MRST Ext. Comp. Priority]],6,FALSE)</f>
        <v>None</v>
      </c>
      <c r="G265" s="51">
        <f>VLOOKUP(Yards25[[#This Row],[DEVELOPMENT]],all[[DEVELOPMENT]:[MRST Ext. Comp. Priority]],13,FALSE)</f>
        <v>2</v>
      </c>
      <c r="H265" s="50">
        <f>IF(VLOOKUP(Yards25[[#This Row],[DEVELOPMENT]],Data[],9,FALSE)=0,5,VLOOKUP(Yards25[[#This Row],[DEVELOPMENT]],Data[],9,FALSE))</f>
        <v>5</v>
      </c>
      <c r="I265" s="51">
        <f>VLOOKUP(Yards25[[#This Row],[DEVELOPMENT]],Data[],33,FALSE)</f>
        <v>0</v>
      </c>
      <c r="J265" s="51">
        <f>VLOOKUP(Yards25[[#This Row],[DEVELOPMENT]],Data[],28,FALSE)</f>
        <v>0</v>
      </c>
      <c r="K265" s="51"/>
      <c r="L265" s="50"/>
      <c r="M265" s="51" t="str">
        <f ca="1">IFERROR(VLOOKUP(Yards25[[#This Row],[DEVELOPMENT]],Data[],4,FALSE),"")</f>
        <v/>
      </c>
      <c r="N265" s="51" t="str">
        <f ca="1">IF(Yards25[[#This Row],[RAD/PACT]]="","",IF(OR(Yards25[[#This Row],[RAD/PACT]]="2022-2025",Yards25[[#This Row],[RAD/PACT]]=2019,Yards25[[#This Row],[RAD/PACT]]="2020-2021"),"Yes",""))</f>
        <v/>
      </c>
      <c r="O265" s="51" t="str">
        <f ca="1">IFERROR(VLOOKUP(Yards25[[#This Row],[DEVELOPMENT]],ExtComp[],8,FALSE),"")</f>
        <v/>
      </c>
      <c r="P265" s="51"/>
      <c r="Q265" s="51"/>
      <c r="R265" s="51" t="str">
        <f>IF(ISBLANK(Yards25[[#This Row],[DSGN CALENDAR YEAR]]),"",Yards25[[#This Row],[DSGN CALENDAR YEAR]]+1)</f>
        <v/>
      </c>
      <c r="S265" s="51" t="str">
        <f>IF(ISBLANK(Yards25[[#This Row],[DSGN FISCAL YEAR]]),"",Yards25[[#This Row],[DSGN FISCAL YEAR]]+1)</f>
        <v/>
      </c>
      <c r="T265" s="51"/>
      <c r="U265" s="128">
        <f ca="1">Yards25[[#This Row],[Estimate]]*0.1</f>
        <v>0</v>
      </c>
      <c r="V265" s="47">
        <f ca="1">Yards25[[#This Row],[Estimate]]-Yards25[[#This Row],[Design Est.]]</f>
        <v>0</v>
      </c>
      <c r="W265" s="85">
        <f ca="1">(Yards25[[#This Row],['# yards]]*INDEX(UnitCosts[],MATCH(Yards25[[#This Row],[WORK TYPE]],UnitCosts[Work Type],0),2))*(1+((Yards25[[#This Row],[est. CONS Year]]-YEAR(TODAY()))*$W$3))</f>
        <v>0</v>
      </c>
      <c r="X265" s="142">
        <f>IF(ISNUMBER(SEARCH("LLC",Yards25[[#This Row],[PROGRAM]])),IF(Yards25[[#This Row],[RAD/PACT by 2025]]="yes",0,1),0)</f>
        <v>0</v>
      </c>
      <c r="Y265" s="1"/>
      <c r="Z265" s="1"/>
      <c r="AA265" s="51">
        <f ca="1">COUNTIF($X$5:Yards25[[#This Row],['# yards]],"&gt;0")</f>
        <v>10</v>
      </c>
      <c r="AB265" s="1">
        <f ca="1">IF(ISBLANK(Yards25[[#This Row],[DSGN CALENDAR YEAR]]),ROUNDDOWN(Yards25[[#This Row],[Count]]/20,0)+$AB$1,Yards25[[#This Row],[DSGN CALENDAR YEAR]])</f>
        <v>2022</v>
      </c>
      <c r="AC265" s="16">
        <f ca="1">Yards25[[#This Row],[est. DSGN Year]]+1</f>
        <v>2023</v>
      </c>
    </row>
    <row r="266" spans="1:29" hidden="1">
      <c r="A266" s="13" t="s">
        <v>312</v>
      </c>
      <c r="B266" s="51" t="str">
        <f>VLOOKUP(Yards25[[#This Row],[DEVELOPMENT]],Data[],2,FALSE)</f>
        <v>BROOKLYN</v>
      </c>
      <c r="C26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66" s="51" t="str">
        <f>VLOOKUP(Yards25[[#This Row],[DEVELOPMENT]],Data[],52,FALSE)</f>
        <v>FEDERAL</v>
      </c>
      <c r="E266" s="50">
        <f>VLOOKUP(Yards25[[#This Row],[DEVELOPMENT]],Data[],8,FALSE)</f>
        <v>0</v>
      </c>
      <c r="F266" s="51" t="str">
        <f>VLOOKUP(Yards25[[#This Row],[DEVELOPMENT]],all[[DEVELOPMENT]:[MRST Ext. Comp. Priority]],6,FALSE)</f>
        <v>None</v>
      </c>
      <c r="G266" s="51">
        <f>VLOOKUP(Yards25[[#This Row],[DEVELOPMENT]],all[[DEVELOPMENT]:[MRST Ext. Comp. Priority]],13,FALSE)</f>
        <v>3</v>
      </c>
      <c r="H266" s="50">
        <f>IF(VLOOKUP(Yards25[[#This Row],[DEVELOPMENT]],Data[],9,FALSE)=0,5,VLOOKUP(Yards25[[#This Row],[DEVELOPMENT]],Data[],9,FALSE))</f>
        <v>5</v>
      </c>
      <c r="I266" s="51">
        <f>VLOOKUP(Yards25[[#This Row],[DEVELOPMENT]],Data[],33,FALSE)</f>
        <v>1</v>
      </c>
      <c r="J266" s="51">
        <f>VLOOKUP(Yards25[[#This Row],[DEVELOPMENT]],Data[],28,FALSE)</f>
        <v>1</v>
      </c>
      <c r="K266" s="51"/>
      <c r="L266" s="50"/>
      <c r="M266" s="51" t="str">
        <f ca="1">IFERROR(VLOOKUP(Yards25[[#This Row],[DEVELOPMENT]],Data[],4,FALSE),"")</f>
        <v/>
      </c>
      <c r="N266" s="51" t="str">
        <f ca="1">IF(Yards25[[#This Row],[RAD/PACT]]="","",IF(OR(Yards25[[#This Row],[RAD/PACT]]="2022-2025",Yards25[[#This Row],[RAD/PACT]]=2019,Yards25[[#This Row],[RAD/PACT]]="2020-2021"),"Yes",""))</f>
        <v/>
      </c>
      <c r="O266" s="51" t="str">
        <f ca="1">IFERROR(VLOOKUP(Yards25[[#This Row],[DEVELOPMENT]],ExtComp[],8,FALSE),"")</f>
        <v/>
      </c>
      <c r="P266" s="51"/>
      <c r="Q266" s="51"/>
      <c r="R266" s="51" t="str">
        <f>IF(ISBLANK(Yards25[[#This Row],[DSGN CALENDAR YEAR]]),"",Yards25[[#This Row],[DSGN CALENDAR YEAR]]+1)</f>
        <v/>
      </c>
      <c r="S266" s="51" t="str">
        <f>IF(ISBLANK(Yards25[[#This Row],[DSGN FISCAL YEAR]]),"",Yards25[[#This Row],[DSGN FISCAL YEAR]]+1)</f>
        <v/>
      </c>
      <c r="T266" s="51"/>
      <c r="U266" s="128">
        <f ca="1">Yards25[[#This Row],[Estimate]]*0.1</f>
        <v>0</v>
      </c>
      <c r="V266" s="47">
        <f ca="1">Yards25[[#This Row],[Estimate]]-Yards25[[#This Row],[Design Est.]]</f>
        <v>0</v>
      </c>
      <c r="W266" s="85">
        <f ca="1">(Yards25[[#This Row],['# yards]]*INDEX(UnitCosts[],MATCH(Yards25[[#This Row],[WORK TYPE]],UnitCosts[Work Type],0),2))*(1+((Yards25[[#This Row],[est. CONS Year]]-YEAR(TODAY()))*$W$3))</f>
        <v>0</v>
      </c>
      <c r="X266" s="142">
        <f>IF(ISNUMBER(SEARCH("LLC",Yards25[[#This Row],[PROGRAM]])),IF(Yards25[[#This Row],[RAD/PACT by 2025]]="yes",0,1),0)</f>
        <v>0</v>
      </c>
      <c r="Y266" s="1"/>
      <c r="Z266" s="1"/>
      <c r="AA266" s="51">
        <f ca="1">COUNTIF($X$5:Yards25[[#This Row],['# yards]],"&gt;0")</f>
        <v>10</v>
      </c>
      <c r="AB266" s="1">
        <f ca="1">IF(ISBLANK(Yards25[[#This Row],[DSGN CALENDAR YEAR]]),ROUNDDOWN(Yards25[[#This Row],[Count]]/20,0)+$AB$1,Yards25[[#This Row],[DSGN CALENDAR YEAR]])</f>
        <v>2022</v>
      </c>
      <c r="AC266" s="16">
        <f ca="1">Yards25[[#This Row],[est. DSGN Year]]+1</f>
        <v>2023</v>
      </c>
    </row>
    <row r="267" spans="1:29" hidden="1">
      <c r="A267" s="13" t="s">
        <v>314</v>
      </c>
      <c r="B267" s="51" t="str">
        <f>VLOOKUP(Yards25[[#This Row],[DEVELOPMENT]],Data[],2,FALSE)</f>
        <v>BROOKLYN</v>
      </c>
      <c r="C267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67" s="51" t="str">
        <f>VLOOKUP(Yards25[[#This Row],[DEVELOPMENT]],Data[],52,FALSE)</f>
        <v>FEDERAL</v>
      </c>
      <c r="E267" s="50" t="str">
        <f>VLOOKUP(Yards25[[#This Row],[DEVELOPMENT]],Data[],8,FALSE)</f>
        <v>Zone 4</v>
      </c>
      <c r="F267" s="51" t="str">
        <f>VLOOKUP(Yards25[[#This Row],[DEVELOPMENT]],all[[DEVELOPMENT]:[MRST Ext. Comp. Priority]],6,FALSE)</f>
        <v>None</v>
      </c>
      <c r="G267" s="51">
        <f>VLOOKUP(Yards25[[#This Row],[DEVELOPMENT]],all[[DEVELOPMENT]:[MRST Ext. Comp. Priority]],13,FALSE)</f>
        <v>3</v>
      </c>
      <c r="H267" s="50">
        <f>IF(VLOOKUP(Yards25[[#This Row],[DEVELOPMENT]],Data[],9,FALSE)=0,5,VLOOKUP(Yards25[[#This Row],[DEVELOPMENT]],Data[],9,FALSE))</f>
        <v>5</v>
      </c>
      <c r="I267" s="51">
        <f>VLOOKUP(Yards25[[#This Row],[DEVELOPMENT]],Data[],33,FALSE)</f>
        <v>0</v>
      </c>
      <c r="J267" s="51">
        <f>VLOOKUP(Yards25[[#This Row],[DEVELOPMENT]],Data[],28,FALSE)</f>
        <v>0</v>
      </c>
      <c r="K267" s="51"/>
      <c r="L267" s="50"/>
      <c r="M267" s="51" t="str">
        <f ca="1">IFERROR(VLOOKUP(Yards25[[#This Row],[DEVELOPMENT]],Data[],4,FALSE),"")</f>
        <v>2022-2025</v>
      </c>
      <c r="N267" s="51" t="str">
        <f ca="1">IF(Yards25[[#This Row],[RAD/PACT]]="","",IF(OR(Yards25[[#This Row],[RAD/PACT]]="2022-2025",Yards25[[#This Row],[RAD/PACT]]=2019,Yards25[[#This Row],[RAD/PACT]]="2020-2021"),"Yes",""))</f>
        <v>Yes</v>
      </c>
      <c r="O267" s="51" t="str">
        <f ca="1">IFERROR(VLOOKUP(Yards25[[#This Row],[DEVELOPMENT]],ExtComp[],8,FALSE),"")</f>
        <v/>
      </c>
      <c r="P267" s="51"/>
      <c r="Q267" s="51"/>
      <c r="R267" s="51" t="str">
        <f>IF(ISBLANK(Yards25[[#This Row],[DSGN CALENDAR YEAR]]),"",Yards25[[#This Row],[DSGN CALENDAR YEAR]]+1)</f>
        <v/>
      </c>
      <c r="S267" s="51" t="str">
        <f>IF(ISBLANK(Yards25[[#This Row],[DSGN FISCAL YEAR]]),"",Yards25[[#This Row],[DSGN FISCAL YEAR]]+1)</f>
        <v/>
      </c>
      <c r="T267" s="51"/>
      <c r="U267" s="128">
        <f ca="1">Yards25[[#This Row],[Estimate]]*0.1</f>
        <v>0</v>
      </c>
      <c r="V267" s="47">
        <f ca="1">Yards25[[#This Row],[Estimate]]-Yards25[[#This Row],[Design Est.]]</f>
        <v>0</v>
      </c>
      <c r="W267" s="85">
        <f ca="1">(Yards25[[#This Row],['# yards]]*INDEX(UnitCosts[],MATCH(Yards25[[#This Row],[WORK TYPE]],UnitCosts[Work Type],0),2))*(1+((Yards25[[#This Row],[est. CONS Year]]-YEAR(TODAY()))*$W$3))</f>
        <v>0</v>
      </c>
      <c r="X267" s="142">
        <f>IF(ISNUMBER(SEARCH("LLC",Yards25[[#This Row],[PROGRAM]])),IF(Yards25[[#This Row],[RAD/PACT by 2025]]="yes",0,1),0)</f>
        <v>0</v>
      </c>
      <c r="Y267" s="1"/>
      <c r="Z267" s="1"/>
      <c r="AA267" s="51">
        <f ca="1">COUNTIF($X$5:Yards25[[#This Row],['# yards]],"&gt;0")</f>
        <v>10</v>
      </c>
      <c r="AB267" s="1">
        <f ca="1">IF(ISBLANK(Yards25[[#This Row],[DSGN CALENDAR YEAR]]),ROUNDDOWN(Yards25[[#This Row],[Count]]/20,0)+$AB$1,Yards25[[#This Row],[DSGN CALENDAR YEAR]])</f>
        <v>2022</v>
      </c>
      <c r="AC267" s="16">
        <f ca="1">Yards25[[#This Row],[est. DSGN Year]]+1</f>
        <v>2023</v>
      </c>
    </row>
    <row r="268" spans="1:29" hidden="1">
      <c r="A268" s="13" t="s">
        <v>317</v>
      </c>
      <c r="B268" s="51" t="str">
        <f>VLOOKUP(Yards25[[#This Row],[DEVELOPMENT]],Data[],2,FALSE)</f>
        <v>BRONX</v>
      </c>
      <c r="C268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68" s="51" t="str">
        <f>VLOOKUP(Yards25[[#This Row],[DEVELOPMENT]],Data[],52,FALSE)</f>
        <v>FEDERAL</v>
      </c>
      <c r="E268" s="50">
        <f>VLOOKUP(Yards25[[#This Row],[DEVELOPMENT]],Data[],8,FALSE)</f>
        <v>0</v>
      </c>
      <c r="F268" s="51" t="str">
        <f>VLOOKUP(Yards25[[#This Row],[DEVELOPMENT]],all[[DEVELOPMENT]:[MRST Ext. Comp. Priority]],6,FALSE)</f>
        <v>None</v>
      </c>
      <c r="G268" s="51">
        <f>VLOOKUP(Yards25[[#This Row],[DEVELOPMENT]],all[[DEVELOPMENT]:[MRST Ext. Comp. Priority]],13,FALSE)</f>
        <v>3</v>
      </c>
      <c r="H268" s="50">
        <f>IF(VLOOKUP(Yards25[[#This Row],[DEVELOPMENT]],Data[],9,FALSE)=0,5,VLOOKUP(Yards25[[#This Row],[DEVELOPMENT]],Data[],9,FALSE))</f>
        <v>5</v>
      </c>
      <c r="I268" s="51">
        <f>VLOOKUP(Yards25[[#This Row],[DEVELOPMENT]],Data[],33,FALSE)</f>
        <v>2</v>
      </c>
      <c r="J268" s="51">
        <f>VLOOKUP(Yards25[[#This Row],[DEVELOPMENT]],Data[],28,FALSE)</f>
        <v>0</v>
      </c>
      <c r="K268" s="51"/>
      <c r="L268" s="50"/>
      <c r="M268" s="51" t="str">
        <f ca="1">IFERROR(VLOOKUP(Yards25[[#This Row],[DEVELOPMENT]],Data[],4,FALSE),"")</f>
        <v>2026+</v>
      </c>
      <c r="N268" s="51" t="str">
        <f ca="1">IF(Yards25[[#This Row],[RAD/PACT]]="","",IF(OR(Yards25[[#This Row],[RAD/PACT]]="2022-2025",Yards25[[#This Row],[RAD/PACT]]=2019,Yards25[[#This Row],[RAD/PACT]]="2020-2021"),"Yes",""))</f>
        <v/>
      </c>
      <c r="O268" s="51">
        <f ca="1">IFERROR(VLOOKUP(Yards25[[#This Row],[DEVELOPMENT]],ExtComp[],8,FALSE),"")</f>
        <v>16</v>
      </c>
      <c r="P268" s="51"/>
      <c r="Q268" s="51"/>
      <c r="R268" s="51" t="str">
        <f>IF(ISBLANK(Yards25[[#This Row],[DSGN CALENDAR YEAR]]),"",Yards25[[#This Row],[DSGN CALENDAR YEAR]]+1)</f>
        <v/>
      </c>
      <c r="S268" s="51" t="str">
        <f>IF(ISBLANK(Yards25[[#This Row],[DSGN FISCAL YEAR]]),"",Yards25[[#This Row],[DSGN FISCAL YEAR]]+1)</f>
        <v/>
      </c>
      <c r="T268" s="51"/>
      <c r="U268" s="128">
        <f ca="1">Yards25[[#This Row],[Estimate]]*0.1</f>
        <v>0</v>
      </c>
      <c r="V268" s="47">
        <f ca="1">Yards25[[#This Row],[Estimate]]-Yards25[[#This Row],[Design Est.]]</f>
        <v>0</v>
      </c>
      <c r="W268" s="85">
        <f ca="1">(Yards25[[#This Row],['# yards]]*INDEX(UnitCosts[],MATCH(Yards25[[#This Row],[WORK TYPE]],UnitCosts[Work Type],0),2))*(1+((Yards25[[#This Row],[est. CONS Year]]-YEAR(TODAY()))*$W$3))</f>
        <v>0</v>
      </c>
      <c r="X268" s="142">
        <f>IF(ISNUMBER(SEARCH("LLC",Yards25[[#This Row],[PROGRAM]])),IF(Yards25[[#This Row],[RAD/PACT by 2025]]="yes",0,1),0)</f>
        <v>0</v>
      </c>
      <c r="Y268" s="1"/>
      <c r="Z268" s="1"/>
      <c r="AA268" s="51">
        <f ca="1">COUNTIF($X$5:Yards25[[#This Row],['# yards]],"&gt;0")</f>
        <v>10</v>
      </c>
      <c r="AB268" s="1">
        <f ca="1">IF(ISBLANK(Yards25[[#This Row],[DSGN CALENDAR YEAR]]),ROUNDDOWN(Yards25[[#This Row],[Count]]/20,0)+$AB$1,Yards25[[#This Row],[DSGN CALENDAR YEAR]])</f>
        <v>2022</v>
      </c>
      <c r="AC268" s="16">
        <f ca="1">Yards25[[#This Row],[est. DSGN Year]]+1</f>
        <v>2023</v>
      </c>
    </row>
    <row r="269" spans="1:29" hidden="1">
      <c r="A269" s="13" t="s">
        <v>318</v>
      </c>
      <c r="B269" s="51" t="str">
        <f>VLOOKUP(Yards25[[#This Row],[DEVELOPMENT]],Data[],2,FALSE)</f>
        <v>BROOKLYN</v>
      </c>
      <c r="C269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69" s="51" t="str">
        <f>VLOOKUP(Yards25[[#This Row],[DEVELOPMENT]],Data[],52,FALSE)</f>
        <v>FEDERAL</v>
      </c>
      <c r="E269" s="50">
        <f>VLOOKUP(Yards25[[#This Row],[DEVELOPMENT]],Data[],8,FALSE)</f>
        <v>0</v>
      </c>
      <c r="F269" s="51" t="str">
        <f>VLOOKUP(Yards25[[#This Row],[DEVELOPMENT]],all[[DEVELOPMENT]:[MRST Ext. Comp. Priority]],6,FALSE)</f>
        <v>None</v>
      </c>
      <c r="G269" s="51">
        <f>VLOOKUP(Yards25[[#This Row],[DEVELOPMENT]],all[[DEVELOPMENT]:[MRST Ext. Comp. Priority]],13,FALSE)</f>
        <v>2</v>
      </c>
      <c r="H269" s="50">
        <f>IF(VLOOKUP(Yards25[[#This Row],[DEVELOPMENT]],Data[],9,FALSE)=0,5,VLOOKUP(Yards25[[#This Row],[DEVELOPMENT]],Data[],9,FALSE))</f>
        <v>5</v>
      </c>
      <c r="I269" s="51">
        <f>VLOOKUP(Yards25[[#This Row],[DEVELOPMENT]],Data[],33,FALSE)</f>
        <v>0</v>
      </c>
      <c r="J269" s="51">
        <f>VLOOKUP(Yards25[[#This Row],[DEVELOPMENT]],Data[],28,FALSE)</f>
        <v>0</v>
      </c>
      <c r="K269" s="51"/>
      <c r="L269" s="50"/>
      <c r="M269" s="51" t="str">
        <f ca="1">IFERROR(VLOOKUP(Yards25[[#This Row],[DEVELOPMENT]],Data[],4,FALSE),"")</f>
        <v>2020-2021</v>
      </c>
      <c r="N269" s="51" t="str">
        <f ca="1">IF(Yards25[[#This Row],[RAD/PACT]]="","",IF(OR(Yards25[[#This Row],[RAD/PACT]]="2022-2025",Yards25[[#This Row],[RAD/PACT]]=2019,Yards25[[#This Row],[RAD/PACT]]="2020-2021"),"Yes",""))</f>
        <v>Yes</v>
      </c>
      <c r="O269" s="51" t="str">
        <f ca="1">IFERROR(VLOOKUP(Yards25[[#This Row],[DEVELOPMENT]],ExtComp[],8,FALSE),"")</f>
        <v/>
      </c>
      <c r="P269" s="51"/>
      <c r="Q269" s="51"/>
      <c r="R269" s="51" t="str">
        <f>IF(ISBLANK(Yards25[[#This Row],[DSGN CALENDAR YEAR]]),"",Yards25[[#This Row],[DSGN CALENDAR YEAR]]+1)</f>
        <v/>
      </c>
      <c r="S269" s="51" t="str">
        <f>IF(ISBLANK(Yards25[[#This Row],[DSGN FISCAL YEAR]]),"",Yards25[[#This Row],[DSGN FISCAL YEAR]]+1)</f>
        <v/>
      </c>
      <c r="T269" s="51"/>
      <c r="U269" s="128">
        <f ca="1">Yards25[[#This Row],[Estimate]]*0.1</f>
        <v>0</v>
      </c>
      <c r="V269" s="47">
        <f ca="1">Yards25[[#This Row],[Estimate]]-Yards25[[#This Row],[Design Est.]]</f>
        <v>0</v>
      </c>
      <c r="W269" s="85">
        <f ca="1">(Yards25[[#This Row],['# yards]]*INDEX(UnitCosts[],MATCH(Yards25[[#This Row],[WORK TYPE]],UnitCosts[Work Type],0),2))*(1+((Yards25[[#This Row],[est. CONS Year]]-YEAR(TODAY()))*$W$3))</f>
        <v>0</v>
      </c>
      <c r="X269" s="142">
        <f>IF(ISNUMBER(SEARCH("LLC",Yards25[[#This Row],[PROGRAM]])),IF(Yards25[[#This Row],[RAD/PACT by 2025]]="yes",0,1),0)</f>
        <v>0</v>
      </c>
      <c r="Y269" s="1"/>
      <c r="Z269" s="1"/>
      <c r="AA269" s="51">
        <f ca="1">COUNTIF($X$5:Yards25[[#This Row],['# yards]],"&gt;0")</f>
        <v>10</v>
      </c>
      <c r="AB269" s="1">
        <f ca="1">IF(ISBLANK(Yards25[[#This Row],[DSGN CALENDAR YEAR]]),ROUNDDOWN(Yards25[[#This Row],[Count]]/20,0)+$AB$1,Yards25[[#This Row],[DSGN CALENDAR YEAR]])</f>
        <v>2022</v>
      </c>
      <c r="AC269" s="16">
        <f ca="1">Yards25[[#This Row],[est. DSGN Year]]+1</f>
        <v>2023</v>
      </c>
    </row>
    <row r="270" spans="1:29" hidden="1">
      <c r="A270" s="13" t="s">
        <v>321</v>
      </c>
      <c r="B270" s="51">
        <f>VLOOKUP(Yards25[[#This Row],[DEVELOPMENT]],Data[],2,FALSE)</f>
        <v>0</v>
      </c>
      <c r="C270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70" s="51" t="str">
        <f>VLOOKUP(Yards25[[#This Row],[DEVELOPMENT]],Data[],52,FALSE)</f>
        <v>FEDERAL</v>
      </c>
      <c r="E270" s="50">
        <f>VLOOKUP(Yards25[[#This Row],[DEVELOPMENT]],Data[],8,FALSE)</f>
        <v>0</v>
      </c>
      <c r="F270" s="51" t="str">
        <f>VLOOKUP(Yards25[[#This Row],[DEVELOPMENT]],all[[DEVELOPMENT]:[MRST Ext. Comp. Priority]],6,FALSE)</f>
        <v>None</v>
      </c>
      <c r="G270" s="51">
        <f>VLOOKUP(Yards25[[#This Row],[DEVELOPMENT]],all[[DEVELOPMENT]:[MRST Ext. Comp. Priority]],13,FALSE)</f>
        <v>2</v>
      </c>
      <c r="H270" s="50">
        <f>IF(VLOOKUP(Yards25[[#This Row],[DEVELOPMENT]],Data[],9,FALSE)=0,5,VLOOKUP(Yards25[[#This Row],[DEVELOPMENT]],Data[],9,FALSE))</f>
        <v>5</v>
      </c>
      <c r="I270" s="51">
        <f>VLOOKUP(Yards25[[#This Row],[DEVELOPMENT]],Data[],33,FALSE)</f>
        <v>0</v>
      </c>
      <c r="J270" s="51">
        <f>VLOOKUP(Yards25[[#This Row],[DEVELOPMENT]],Data[],28,FALSE)</f>
        <v>0</v>
      </c>
      <c r="K270" s="51"/>
      <c r="L270" s="50"/>
      <c r="M270" s="51" t="str">
        <f ca="1">IFERROR(VLOOKUP(Yards25[[#This Row],[DEVELOPMENT]],Data[],4,FALSE),"")</f>
        <v/>
      </c>
      <c r="N270" s="51" t="str">
        <f ca="1">IF(Yards25[[#This Row],[RAD/PACT]]="","",IF(OR(Yards25[[#This Row],[RAD/PACT]]="2022-2025",Yards25[[#This Row],[RAD/PACT]]=2019,Yards25[[#This Row],[RAD/PACT]]="2020-2021"),"Yes",""))</f>
        <v/>
      </c>
      <c r="O270" s="51" t="str">
        <f ca="1">IFERROR(VLOOKUP(Yards25[[#This Row],[DEVELOPMENT]],ExtComp[],8,FALSE),"")</f>
        <v/>
      </c>
      <c r="P270" s="51"/>
      <c r="Q270" s="51"/>
      <c r="R270" s="51" t="str">
        <f>IF(ISBLANK(Yards25[[#This Row],[DSGN CALENDAR YEAR]]),"",Yards25[[#This Row],[DSGN CALENDAR YEAR]]+1)</f>
        <v/>
      </c>
      <c r="S270" s="51" t="str">
        <f>IF(ISBLANK(Yards25[[#This Row],[DSGN FISCAL YEAR]]),"",Yards25[[#This Row],[DSGN FISCAL YEAR]]+1)</f>
        <v/>
      </c>
      <c r="T270" s="51"/>
      <c r="U270" s="128">
        <f>Yards25[[#This Row],[Estimate]]*0.1</f>
        <v>0</v>
      </c>
      <c r="V270" s="47">
        <f>Yards25[[#This Row],[Estimate]]-Yards25[[#This Row],[Design Est.]]</f>
        <v>0</v>
      </c>
      <c r="W270" s="85"/>
      <c r="X270" s="142"/>
      <c r="Y270" s="1"/>
      <c r="Z270" s="1" t="s">
        <v>2299</v>
      </c>
      <c r="AA270" s="51">
        <f ca="1">COUNTIF($X$5:Yards25[[#This Row],['# yards]],"&gt;0")</f>
        <v>10</v>
      </c>
      <c r="AB270" s="1">
        <f ca="1">IF(ISBLANK(Yards25[[#This Row],[DSGN CALENDAR YEAR]]),ROUNDDOWN(Yards25[[#This Row],[Count]]/20,0)+$AB$1,Yards25[[#This Row],[DSGN CALENDAR YEAR]])</f>
        <v>2022</v>
      </c>
      <c r="AC270" s="16">
        <f ca="1">Yards25[[#This Row],[est. DSGN Year]]+1</f>
        <v>2023</v>
      </c>
    </row>
    <row r="271" spans="1:29" hidden="1">
      <c r="A271" s="13" t="s">
        <v>322</v>
      </c>
      <c r="B271" s="51">
        <f>VLOOKUP(Yards25[[#This Row],[DEVELOPMENT]],Data[],2,FALSE)</f>
        <v>0</v>
      </c>
      <c r="C271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71" s="51" t="str">
        <f>VLOOKUP(Yards25[[#This Row],[DEVELOPMENT]],Data[],52,FALSE)</f>
        <v>FEDERAL</v>
      </c>
      <c r="E271" s="50">
        <f>VLOOKUP(Yards25[[#This Row],[DEVELOPMENT]],Data[],8,FALSE)</f>
        <v>0</v>
      </c>
      <c r="F271" s="51" t="str">
        <f>VLOOKUP(Yards25[[#This Row],[DEVELOPMENT]],all[[DEVELOPMENT]:[MRST Ext. Comp. Priority]],6,FALSE)</f>
        <v>None</v>
      </c>
      <c r="G271" s="51">
        <f>VLOOKUP(Yards25[[#This Row],[DEVELOPMENT]],all[[DEVELOPMENT]:[MRST Ext. Comp. Priority]],13,FALSE)</f>
        <v>3</v>
      </c>
      <c r="H271" s="50">
        <f>IF(VLOOKUP(Yards25[[#This Row],[DEVELOPMENT]],Data[],9,FALSE)=0,5,VLOOKUP(Yards25[[#This Row],[DEVELOPMENT]],Data[],9,FALSE))</f>
        <v>5</v>
      </c>
      <c r="I271" s="51">
        <f>VLOOKUP(Yards25[[#This Row],[DEVELOPMENT]],Data[],33,FALSE)</f>
        <v>0</v>
      </c>
      <c r="J271" s="51">
        <f>VLOOKUP(Yards25[[#This Row],[DEVELOPMENT]],Data[],28,FALSE)</f>
        <v>0</v>
      </c>
      <c r="K271" s="51"/>
      <c r="L271" s="50"/>
      <c r="M271" s="51" t="str">
        <f ca="1">IFERROR(VLOOKUP(Yards25[[#This Row],[DEVELOPMENT]],Data[],4,FALSE),"")</f>
        <v/>
      </c>
      <c r="N271" s="51" t="str">
        <f ca="1">IF(Yards25[[#This Row],[RAD/PACT]]="","",IF(OR(Yards25[[#This Row],[RAD/PACT]]="2022-2025",Yards25[[#This Row],[RAD/PACT]]=2019,Yards25[[#This Row],[RAD/PACT]]="2020-2021"),"Yes",""))</f>
        <v/>
      </c>
      <c r="O271" s="51" t="str">
        <f ca="1">IFERROR(VLOOKUP(Yards25[[#This Row],[DEVELOPMENT]],ExtComp[],8,FALSE),"")</f>
        <v/>
      </c>
      <c r="P271" s="51"/>
      <c r="Q271" s="51"/>
      <c r="R271" s="51" t="str">
        <f>IF(ISBLANK(Yards25[[#This Row],[DSGN CALENDAR YEAR]]),"",Yards25[[#This Row],[DSGN CALENDAR YEAR]]+1)</f>
        <v/>
      </c>
      <c r="S271" s="51" t="str">
        <f>IF(ISBLANK(Yards25[[#This Row],[DSGN FISCAL YEAR]]),"",Yards25[[#This Row],[DSGN FISCAL YEAR]]+1)</f>
        <v/>
      </c>
      <c r="T271" s="51"/>
      <c r="U271" s="128">
        <f>Yards25[[#This Row],[Estimate]]*0.1</f>
        <v>0</v>
      </c>
      <c r="V271" s="47">
        <f>Yards25[[#This Row],[Estimate]]-Yards25[[#This Row],[Design Est.]]</f>
        <v>0</v>
      </c>
      <c r="W271" s="85"/>
      <c r="X271" s="142"/>
      <c r="Y271" s="1"/>
      <c r="Z271" s="1" t="s">
        <v>2299</v>
      </c>
      <c r="AA271" s="51">
        <f ca="1">COUNTIF($X$5:Yards25[[#This Row],['# yards]],"&gt;0")</f>
        <v>10</v>
      </c>
      <c r="AB271" s="1">
        <f ca="1">IF(ISBLANK(Yards25[[#This Row],[DSGN CALENDAR YEAR]]),ROUNDDOWN(Yards25[[#This Row],[Count]]/20,0)+$AB$1,Yards25[[#This Row],[DSGN CALENDAR YEAR]])</f>
        <v>2022</v>
      </c>
      <c r="AC271" s="16">
        <f ca="1">Yards25[[#This Row],[est. DSGN Year]]+1</f>
        <v>2023</v>
      </c>
    </row>
    <row r="272" spans="1:29" hidden="1">
      <c r="A272" s="13" t="s">
        <v>323</v>
      </c>
      <c r="B272" s="51">
        <f>VLOOKUP(Yards25[[#This Row],[DEVELOPMENT]],Data[],2,FALSE)</f>
        <v>0</v>
      </c>
      <c r="C272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72" s="51" t="str">
        <f>VLOOKUP(Yards25[[#This Row],[DEVELOPMENT]],Data[],52,FALSE)</f>
        <v>FEDERAL</v>
      </c>
      <c r="E272" s="50">
        <f>VLOOKUP(Yards25[[#This Row],[DEVELOPMENT]],Data[],8,FALSE)</f>
        <v>0</v>
      </c>
      <c r="F272" s="51" t="str">
        <f>VLOOKUP(Yards25[[#This Row],[DEVELOPMENT]],all[[DEVELOPMENT]:[MRST Ext. Comp. Priority]],6,FALSE)</f>
        <v>None</v>
      </c>
      <c r="G272" s="51">
        <f>VLOOKUP(Yards25[[#This Row],[DEVELOPMENT]],all[[DEVELOPMENT]:[MRST Ext. Comp. Priority]],13,FALSE)</f>
        <v>2</v>
      </c>
      <c r="H272" s="50">
        <f>IF(VLOOKUP(Yards25[[#This Row],[DEVELOPMENT]],Data[],9,FALSE)=0,5,VLOOKUP(Yards25[[#This Row],[DEVELOPMENT]],Data[],9,FALSE))</f>
        <v>5</v>
      </c>
      <c r="I272" s="51">
        <f>VLOOKUP(Yards25[[#This Row],[DEVELOPMENT]],Data[],33,FALSE)</f>
        <v>0</v>
      </c>
      <c r="J272" s="51">
        <f>VLOOKUP(Yards25[[#This Row],[DEVELOPMENT]],Data[],28,FALSE)</f>
        <v>0</v>
      </c>
      <c r="K272" s="51"/>
      <c r="L272" s="50"/>
      <c r="M272" s="51" t="str">
        <f ca="1">IFERROR(VLOOKUP(Yards25[[#This Row],[DEVELOPMENT]],Data[],4,FALSE),"")</f>
        <v/>
      </c>
      <c r="N272" s="51" t="str">
        <f ca="1">IF(Yards25[[#This Row],[RAD/PACT]]="","",IF(OR(Yards25[[#This Row],[RAD/PACT]]="2022-2025",Yards25[[#This Row],[RAD/PACT]]=2019,Yards25[[#This Row],[RAD/PACT]]="2020-2021"),"Yes",""))</f>
        <v/>
      </c>
      <c r="O272" s="51" t="str">
        <f ca="1">IFERROR(VLOOKUP(Yards25[[#This Row],[DEVELOPMENT]],ExtComp[],8,FALSE),"")</f>
        <v/>
      </c>
      <c r="P272" s="51"/>
      <c r="Q272" s="51"/>
      <c r="R272" s="51" t="str">
        <f>IF(ISBLANK(Yards25[[#This Row],[DSGN CALENDAR YEAR]]),"",Yards25[[#This Row],[DSGN CALENDAR YEAR]]+1)</f>
        <v/>
      </c>
      <c r="S272" s="51" t="str">
        <f>IF(ISBLANK(Yards25[[#This Row],[DSGN FISCAL YEAR]]),"",Yards25[[#This Row],[DSGN FISCAL YEAR]]+1)</f>
        <v/>
      </c>
      <c r="T272" s="51"/>
      <c r="U272" s="128">
        <f>Yards25[[#This Row],[Estimate]]*0.1</f>
        <v>0</v>
      </c>
      <c r="V272" s="47">
        <f>Yards25[[#This Row],[Estimate]]-Yards25[[#This Row],[Design Est.]]</f>
        <v>0</v>
      </c>
      <c r="W272" s="85"/>
      <c r="X272" s="142"/>
      <c r="Y272" s="1"/>
      <c r="Z272" s="1" t="s">
        <v>2299</v>
      </c>
      <c r="AA272" s="51">
        <f ca="1">COUNTIF($X$5:Yards25[[#This Row],['# yards]],"&gt;0")</f>
        <v>10</v>
      </c>
      <c r="AB272" s="1">
        <f ca="1">IF(ISBLANK(Yards25[[#This Row],[DSGN CALENDAR YEAR]]),ROUNDDOWN(Yards25[[#This Row],[Count]]/20,0)+$AB$1,Yards25[[#This Row],[DSGN CALENDAR YEAR]])</f>
        <v>2022</v>
      </c>
      <c r="AC272" s="16">
        <f ca="1">Yards25[[#This Row],[est. DSGN Year]]+1</f>
        <v>2023</v>
      </c>
    </row>
    <row r="273" spans="1:29" hidden="1">
      <c r="A273" s="13" t="s">
        <v>325</v>
      </c>
      <c r="B273" s="51" t="str">
        <f>VLOOKUP(Yards25[[#This Row],[DEVELOPMENT]],Data[],2,FALSE)</f>
        <v>BROOKLYN</v>
      </c>
      <c r="C273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273" s="51" t="str">
        <f>VLOOKUP(Yards25[[#This Row],[DEVELOPMENT]],Data[],52,FALSE)</f>
        <v>FEDERAL</v>
      </c>
      <c r="E273" s="50">
        <f>VLOOKUP(Yards25[[#This Row],[DEVELOPMENT]],Data[],8,FALSE)</f>
        <v>0</v>
      </c>
      <c r="F273" s="51" t="str">
        <f>VLOOKUP(Yards25[[#This Row],[DEVELOPMENT]],all[[DEVELOPMENT]:[MRST Ext. Comp. Priority]],6,FALSE)</f>
        <v>None</v>
      </c>
      <c r="G273" s="51">
        <f>VLOOKUP(Yards25[[#This Row],[DEVELOPMENT]],all[[DEVELOPMENT]:[MRST Ext. Comp. Priority]],13,FALSE)</f>
        <v>2</v>
      </c>
      <c r="H273" s="50">
        <f>IF(VLOOKUP(Yards25[[#This Row],[DEVELOPMENT]],Data[],9,FALSE)=0,5,VLOOKUP(Yards25[[#This Row],[DEVELOPMENT]],Data[],9,FALSE))</f>
        <v>5</v>
      </c>
      <c r="I273" s="51">
        <f>VLOOKUP(Yards25[[#This Row],[DEVELOPMENT]],Data[],33,FALSE)</f>
        <v>3</v>
      </c>
      <c r="J273" s="51">
        <f>VLOOKUP(Yards25[[#This Row],[DEVELOPMENT]],Data[],28,FALSE)</f>
        <v>0</v>
      </c>
      <c r="K273" s="51"/>
      <c r="L273" s="50"/>
      <c r="M273" s="51" t="str">
        <f ca="1">IFERROR(VLOOKUP(Yards25[[#This Row],[DEVELOPMENT]],Data[],4,FALSE),"")</f>
        <v>2026+</v>
      </c>
      <c r="N273" s="51" t="str">
        <f ca="1">IF(Yards25[[#This Row],[RAD/PACT]]="","",IF(OR(Yards25[[#This Row],[RAD/PACT]]="2022-2025",Yards25[[#This Row],[RAD/PACT]]=2019,Yards25[[#This Row],[RAD/PACT]]="2020-2021"),"Yes",""))</f>
        <v/>
      </c>
      <c r="O273" s="51">
        <f ca="1">IFERROR(VLOOKUP(Yards25[[#This Row],[DEVELOPMENT]],ExtComp[],8,FALSE),"")</f>
        <v>2</v>
      </c>
      <c r="P273" s="51"/>
      <c r="Q273" s="51"/>
      <c r="R273" s="51" t="str">
        <f>IF(ISBLANK(Yards25[[#This Row],[DSGN CALENDAR YEAR]]),"",Yards25[[#This Row],[DSGN CALENDAR YEAR]]+1)</f>
        <v/>
      </c>
      <c r="S273" s="51" t="str">
        <f>IF(ISBLANK(Yards25[[#This Row],[DSGN FISCAL YEAR]]),"",Yards25[[#This Row],[DSGN FISCAL YEAR]]+1)</f>
        <v/>
      </c>
      <c r="T273" s="51"/>
      <c r="U273" s="128">
        <f ca="1">Yards25[[#This Row],[Estimate]]*0.1</f>
        <v>0</v>
      </c>
      <c r="V273" s="47">
        <f ca="1">Yards25[[#This Row],[Estimate]]-Yards25[[#This Row],[Design Est.]]</f>
        <v>0</v>
      </c>
      <c r="W273" s="85">
        <f ca="1">(Yards25[[#This Row],['# yards]]*INDEX(UnitCosts[],MATCH(Yards25[[#This Row],[WORK TYPE]],UnitCosts[Work Type],0),2))*(1+((Yards25[[#This Row],[est. CONS Year]]-YEAR(TODAY()))*$W$3))</f>
        <v>0</v>
      </c>
      <c r="X273" s="142">
        <f>IF(ISNUMBER(SEARCH("LLC",Yards25[[#This Row],[PROGRAM]])),IF(Yards25[[#This Row],[RAD/PACT by 2025]]="yes",0,1),0)</f>
        <v>0</v>
      </c>
      <c r="Y273" s="1"/>
      <c r="Z273" s="1"/>
      <c r="AA273" s="51">
        <f ca="1">COUNTIF($X$5:Yards25[[#This Row],['# yards]],"&gt;0")</f>
        <v>10</v>
      </c>
      <c r="AB273" s="1">
        <f ca="1">IF(ISBLANK(Yards25[[#This Row],[DSGN CALENDAR YEAR]]),ROUNDDOWN(Yards25[[#This Row],[Count]]/20,0)+$AB$1,Yards25[[#This Row],[DSGN CALENDAR YEAR]])</f>
        <v>2022</v>
      </c>
      <c r="AC273" s="16">
        <f ca="1">Yards25[[#This Row],[est. DSGN Year]]+1</f>
        <v>2023</v>
      </c>
    </row>
    <row r="274" spans="1:29" hidden="1">
      <c r="A274" s="13" t="s">
        <v>326</v>
      </c>
      <c r="B274" s="51" t="str">
        <f>VLOOKUP(Yards25[[#This Row],[DEVELOPMENT]],Data[],2,FALSE)</f>
        <v>BROOKLYN</v>
      </c>
      <c r="C27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274" s="51" t="str">
        <f>VLOOKUP(Yards25[[#This Row],[DEVELOPMENT]],Data[],52,FALSE)</f>
        <v>FEDERAL</v>
      </c>
      <c r="E274" s="50">
        <f>VLOOKUP(Yards25[[#This Row],[DEVELOPMENT]],Data[],8,FALSE)</f>
        <v>0</v>
      </c>
      <c r="F274" s="51" t="str">
        <f>VLOOKUP(Yards25[[#This Row],[DEVELOPMENT]],all[[DEVELOPMENT]:[MRST Ext. Comp. Priority]],6,FALSE)</f>
        <v>None</v>
      </c>
      <c r="G274" s="51">
        <f>VLOOKUP(Yards25[[#This Row],[DEVELOPMENT]],all[[DEVELOPMENT]:[MRST Ext. Comp. Priority]],13,FALSE)</f>
        <v>4</v>
      </c>
      <c r="H274" s="50">
        <f>IF(VLOOKUP(Yards25[[#This Row],[DEVELOPMENT]],Data[],9,FALSE)=0,5,VLOOKUP(Yards25[[#This Row],[DEVELOPMENT]],Data[],9,FALSE))</f>
        <v>5</v>
      </c>
      <c r="I274" s="51">
        <f>VLOOKUP(Yards25[[#This Row],[DEVELOPMENT]],Data[],33,FALSE)</f>
        <v>3</v>
      </c>
      <c r="J274" s="51">
        <f>VLOOKUP(Yards25[[#This Row],[DEVELOPMENT]],Data[],28,FALSE)</f>
        <v>0</v>
      </c>
      <c r="K274" s="51"/>
      <c r="L274" s="50"/>
      <c r="M274" s="51" t="str">
        <f ca="1">IFERROR(VLOOKUP(Yards25[[#This Row],[DEVELOPMENT]],Data[],4,FALSE),"")</f>
        <v>2026+</v>
      </c>
      <c r="N274" s="51" t="str">
        <f ca="1">IF(Yards25[[#This Row],[RAD/PACT]]="","",IF(OR(Yards25[[#This Row],[RAD/PACT]]="2022-2025",Yards25[[#This Row],[RAD/PACT]]=2019,Yards25[[#This Row],[RAD/PACT]]="2020-2021"),"Yes",""))</f>
        <v/>
      </c>
      <c r="O274" s="51">
        <f ca="1">IFERROR(VLOOKUP(Yards25[[#This Row],[DEVELOPMENT]],ExtComp[],8,FALSE),"")</f>
        <v>18</v>
      </c>
      <c r="P274" s="51"/>
      <c r="Q274" s="51"/>
      <c r="R274" s="51" t="str">
        <f>IF(ISBLANK(Yards25[[#This Row],[DSGN CALENDAR YEAR]]),"",Yards25[[#This Row],[DSGN CALENDAR YEAR]]+1)</f>
        <v/>
      </c>
      <c r="S274" s="51" t="str">
        <f>IF(ISBLANK(Yards25[[#This Row],[DSGN FISCAL YEAR]]),"",Yards25[[#This Row],[DSGN FISCAL YEAR]]+1)</f>
        <v/>
      </c>
      <c r="T274" s="51"/>
      <c r="U274" s="128">
        <f ca="1">Yards25[[#This Row],[Estimate]]*0.1</f>
        <v>0</v>
      </c>
      <c r="V274" s="47">
        <f ca="1">Yards25[[#This Row],[Estimate]]-Yards25[[#This Row],[Design Est.]]</f>
        <v>0</v>
      </c>
      <c r="W274" s="85">
        <f ca="1">(Yards25[[#This Row],['# yards]]*INDEX(UnitCosts[],MATCH(Yards25[[#This Row],[WORK TYPE]],UnitCosts[Work Type],0),2))*(1+((Yards25[[#This Row],[est. CONS Year]]-YEAR(TODAY()))*$W$3))</f>
        <v>0</v>
      </c>
      <c r="X274" s="142">
        <f>IF(ISNUMBER(SEARCH("LLC",Yards25[[#This Row],[PROGRAM]])),IF(Yards25[[#This Row],[RAD/PACT by 2025]]="yes",0,1),0)</f>
        <v>0</v>
      </c>
      <c r="Y274" s="1"/>
      <c r="Z274" s="1"/>
      <c r="AA274" s="51">
        <f ca="1">COUNTIF($X$5:Yards25[[#This Row],['# yards]],"&gt;0")</f>
        <v>10</v>
      </c>
      <c r="AB274" s="1">
        <f ca="1">IF(ISBLANK(Yards25[[#This Row],[DSGN CALENDAR YEAR]]),ROUNDDOWN(Yards25[[#This Row],[Count]]/20,0)+$AB$1,Yards25[[#This Row],[DSGN CALENDAR YEAR]])</f>
        <v>2022</v>
      </c>
      <c r="AC274" s="16">
        <f ca="1">Yards25[[#This Row],[est. DSGN Year]]+1</f>
        <v>2023</v>
      </c>
    </row>
    <row r="275" spans="1:29" hidden="1">
      <c r="A275" s="13" t="s">
        <v>327</v>
      </c>
      <c r="B275" s="51" t="str">
        <f>VLOOKUP(Yards25[[#This Row],[DEVELOPMENT]],Data[],2,FALSE)</f>
        <v>BROOKLYN</v>
      </c>
      <c r="C27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75" s="51" t="str">
        <f>VLOOKUP(Yards25[[#This Row],[DEVELOPMENT]],Data[],52,FALSE)</f>
        <v>FEDERAL</v>
      </c>
      <c r="E275" s="50">
        <f>VLOOKUP(Yards25[[#This Row],[DEVELOPMENT]],Data[],8,FALSE)</f>
        <v>0</v>
      </c>
      <c r="F275" s="51" t="str">
        <f>VLOOKUP(Yards25[[#This Row],[DEVELOPMENT]],all[[DEVELOPMENT]:[MRST Ext. Comp. Priority]],6,FALSE)</f>
        <v>None</v>
      </c>
      <c r="G275" s="51">
        <f>VLOOKUP(Yards25[[#This Row],[DEVELOPMENT]],all[[DEVELOPMENT]:[MRST Ext. Comp. Priority]],13,FALSE)</f>
        <v>2</v>
      </c>
      <c r="H275" s="50">
        <f>IF(VLOOKUP(Yards25[[#This Row],[DEVELOPMENT]],Data[],9,FALSE)=0,5,VLOOKUP(Yards25[[#This Row],[DEVELOPMENT]],Data[],9,FALSE))</f>
        <v>5</v>
      </c>
      <c r="I275" s="51">
        <f>VLOOKUP(Yards25[[#This Row],[DEVELOPMENT]],Data[],33,FALSE)</f>
        <v>0</v>
      </c>
      <c r="J275" s="51">
        <f>VLOOKUP(Yards25[[#This Row],[DEVELOPMENT]],Data[],28,FALSE)</f>
        <v>0</v>
      </c>
      <c r="K275" s="51"/>
      <c r="L275" s="50"/>
      <c r="M275" s="51" t="str">
        <f ca="1">IFERROR(VLOOKUP(Yards25[[#This Row],[DEVELOPMENT]],Data[],4,FALSE),"")</f>
        <v>2026+</v>
      </c>
      <c r="N275" s="51" t="str">
        <f ca="1">IF(Yards25[[#This Row],[RAD/PACT]]="","",IF(OR(Yards25[[#This Row],[RAD/PACT]]="2022-2025",Yards25[[#This Row],[RAD/PACT]]=2019,Yards25[[#This Row],[RAD/PACT]]="2020-2021"),"Yes",""))</f>
        <v/>
      </c>
      <c r="O275" s="51" t="str">
        <f ca="1">IFERROR(VLOOKUP(Yards25[[#This Row],[DEVELOPMENT]],ExtComp[],8,FALSE),"")</f>
        <v/>
      </c>
      <c r="P275" s="51"/>
      <c r="Q275" s="51"/>
      <c r="R275" s="51" t="str">
        <f>IF(ISBLANK(Yards25[[#This Row],[DSGN CALENDAR YEAR]]),"",Yards25[[#This Row],[DSGN CALENDAR YEAR]]+1)</f>
        <v/>
      </c>
      <c r="S275" s="51" t="str">
        <f>IF(ISBLANK(Yards25[[#This Row],[DSGN FISCAL YEAR]]),"",Yards25[[#This Row],[DSGN FISCAL YEAR]]+1)</f>
        <v/>
      </c>
      <c r="T275" s="51"/>
      <c r="U275" s="128">
        <f ca="1">Yards25[[#This Row],[Estimate]]*0.1</f>
        <v>0</v>
      </c>
      <c r="V275" s="47">
        <f ca="1">Yards25[[#This Row],[Estimate]]-Yards25[[#This Row],[Design Est.]]</f>
        <v>0</v>
      </c>
      <c r="W275" s="85">
        <f ca="1">(Yards25[[#This Row],['# yards]]*INDEX(UnitCosts[],MATCH(Yards25[[#This Row],[WORK TYPE]],UnitCosts[Work Type],0),2))*(1+((Yards25[[#This Row],[est. CONS Year]]-YEAR(TODAY()))*$W$3))</f>
        <v>0</v>
      </c>
      <c r="X275" s="142">
        <f>IF(ISNUMBER(SEARCH("LLC",Yards25[[#This Row],[PROGRAM]])),IF(Yards25[[#This Row],[RAD/PACT by 2025]]="yes",0,1),0)</f>
        <v>0</v>
      </c>
      <c r="Y275" s="1"/>
      <c r="Z275" s="1"/>
      <c r="AA275" s="51">
        <f ca="1">COUNTIF($X$5:Yards25[[#This Row],['# yards]],"&gt;0")</f>
        <v>10</v>
      </c>
      <c r="AB275" s="1">
        <f ca="1">IF(ISBLANK(Yards25[[#This Row],[DSGN CALENDAR YEAR]]),ROUNDDOWN(Yards25[[#This Row],[Count]]/20,0)+$AB$1,Yards25[[#This Row],[DSGN CALENDAR YEAR]])</f>
        <v>2022</v>
      </c>
      <c r="AC275" s="16">
        <f ca="1">Yards25[[#This Row],[est. DSGN Year]]+1</f>
        <v>2023</v>
      </c>
    </row>
    <row r="276" spans="1:29" hidden="1">
      <c r="A276" s="13" t="s">
        <v>328</v>
      </c>
      <c r="B276" s="51" t="str">
        <f>VLOOKUP(Yards25[[#This Row],[DEVELOPMENT]],Data[],2,FALSE)</f>
        <v>BRONX</v>
      </c>
      <c r="C27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76" s="51" t="str">
        <f>VLOOKUP(Yards25[[#This Row],[DEVELOPMENT]],Data[],52,FALSE)</f>
        <v>FEDERAL</v>
      </c>
      <c r="E276" s="50">
        <f>VLOOKUP(Yards25[[#This Row],[DEVELOPMENT]],Data[],8,FALSE)</f>
        <v>0</v>
      </c>
      <c r="F276" s="51" t="str">
        <f>VLOOKUP(Yards25[[#This Row],[DEVELOPMENT]],all[[DEVELOPMENT]:[MRST Ext. Comp. Priority]],6,FALSE)</f>
        <v>None</v>
      </c>
      <c r="G276" s="51" t="str">
        <f>VLOOKUP(Yards25[[#This Row],[DEVELOPMENT]],all[[DEVELOPMENT]:[MRST Ext. Comp. Priority]],13,FALSE)</f>
        <v>None</v>
      </c>
      <c r="H276" s="50">
        <f>IF(VLOOKUP(Yards25[[#This Row],[DEVELOPMENT]],Data[],9,FALSE)=0,5,VLOOKUP(Yards25[[#This Row],[DEVELOPMENT]],Data[],9,FALSE))</f>
        <v>5</v>
      </c>
      <c r="I276" s="51">
        <f>VLOOKUP(Yards25[[#This Row],[DEVELOPMENT]],Data[],33,FALSE)</f>
        <v>2</v>
      </c>
      <c r="J276" s="51">
        <f>VLOOKUP(Yards25[[#This Row],[DEVELOPMENT]],Data[],28,FALSE)</f>
        <v>0</v>
      </c>
      <c r="K276" s="51"/>
      <c r="L276" s="50"/>
      <c r="M276" s="51" t="str">
        <f ca="1">IFERROR(VLOOKUP(Yards25[[#This Row],[DEVELOPMENT]],Data[],4,FALSE),"")</f>
        <v/>
      </c>
      <c r="N276" s="51" t="str">
        <f ca="1">IF(Yards25[[#This Row],[RAD/PACT]]="","",IF(OR(Yards25[[#This Row],[RAD/PACT]]="2022-2025",Yards25[[#This Row],[RAD/PACT]]=2019,Yards25[[#This Row],[RAD/PACT]]="2020-2021"),"Yes",""))</f>
        <v/>
      </c>
      <c r="O276" s="51">
        <f ca="1">IFERROR(VLOOKUP(Yards25[[#This Row],[DEVELOPMENT]],ExtComp[],8,FALSE),"")</f>
        <v>11</v>
      </c>
      <c r="P276" s="51"/>
      <c r="Q276" s="51"/>
      <c r="R276" s="51" t="str">
        <f>IF(ISBLANK(Yards25[[#This Row],[DSGN CALENDAR YEAR]]),"",Yards25[[#This Row],[DSGN CALENDAR YEAR]]+1)</f>
        <v/>
      </c>
      <c r="S276" s="51" t="str">
        <f>IF(ISBLANK(Yards25[[#This Row],[DSGN FISCAL YEAR]]),"",Yards25[[#This Row],[DSGN FISCAL YEAR]]+1)</f>
        <v/>
      </c>
      <c r="T276" s="51"/>
      <c r="U276" s="128">
        <f ca="1">Yards25[[#This Row],[Estimate]]*0.1</f>
        <v>0</v>
      </c>
      <c r="V276" s="47">
        <f ca="1">Yards25[[#This Row],[Estimate]]-Yards25[[#This Row],[Design Est.]]</f>
        <v>0</v>
      </c>
      <c r="W276" s="85">
        <f ca="1">(Yards25[[#This Row],['# yards]]*INDEX(UnitCosts[],MATCH(Yards25[[#This Row],[WORK TYPE]],UnitCosts[Work Type],0),2))*(1+((Yards25[[#This Row],[est. CONS Year]]-YEAR(TODAY()))*$W$3))</f>
        <v>0</v>
      </c>
      <c r="X276" s="142">
        <f>IF(ISNUMBER(SEARCH("LLC",Yards25[[#This Row],[PROGRAM]])),IF(Yards25[[#This Row],[RAD/PACT by 2025]]="yes",0,1),0)</f>
        <v>0</v>
      </c>
      <c r="Y276" s="1"/>
      <c r="Z276" s="1"/>
      <c r="AA276" s="51">
        <f ca="1">COUNTIF($X$5:Yards25[[#This Row],['# yards]],"&gt;0")</f>
        <v>10</v>
      </c>
      <c r="AB276" s="1">
        <f ca="1">IF(ISBLANK(Yards25[[#This Row],[DSGN CALENDAR YEAR]]),ROUNDDOWN(Yards25[[#This Row],[Count]]/20,0)+$AB$1,Yards25[[#This Row],[DSGN CALENDAR YEAR]])</f>
        <v>2022</v>
      </c>
      <c r="AC276" s="16">
        <f ca="1">Yards25[[#This Row],[est. DSGN Year]]+1</f>
        <v>2023</v>
      </c>
    </row>
    <row r="277" spans="1:29" hidden="1">
      <c r="A277" s="13" t="s">
        <v>329</v>
      </c>
      <c r="B277" s="51" t="str">
        <f>VLOOKUP(Yards25[[#This Row],[DEVELOPMENT]],Data[],2,FALSE)</f>
        <v>BROOKLYN</v>
      </c>
      <c r="C277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77" s="51" t="str">
        <f>VLOOKUP(Yards25[[#This Row],[DEVELOPMENT]],Data[],52,FALSE)</f>
        <v>FEDERAL</v>
      </c>
      <c r="E277" s="50">
        <f>VLOOKUP(Yards25[[#This Row],[DEVELOPMENT]],Data[],8,FALSE)</f>
        <v>0</v>
      </c>
      <c r="F277" s="51" t="str">
        <f>VLOOKUP(Yards25[[#This Row],[DEVELOPMENT]],all[[DEVELOPMENT]:[MRST Ext. Comp. Priority]],6,FALSE)</f>
        <v>None</v>
      </c>
      <c r="G277" s="51">
        <f>VLOOKUP(Yards25[[#This Row],[DEVELOPMENT]],all[[DEVELOPMENT]:[MRST Ext. Comp. Priority]],13,FALSE)</f>
        <v>2</v>
      </c>
      <c r="H277" s="50">
        <f>IF(VLOOKUP(Yards25[[#This Row],[DEVELOPMENT]],Data[],9,FALSE)=0,5,VLOOKUP(Yards25[[#This Row],[DEVELOPMENT]],Data[],9,FALSE))</f>
        <v>5</v>
      </c>
      <c r="I277" s="51">
        <f>VLOOKUP(Yards25[[#This Row],[DEVELOPMENT]],Data[],33,FALSE)</f>
        <v>0</v>
      </c>
      <c r="J277" s="51">
        <f>VLOOKUP(Yards25[[#This Row],[DEVELOPMENT]],Data[],28,FALSE)</f>
        <v>0</v>
      </c>
      <c r="K277" s="51"/>
      <c r="L277" s="50"/>
      <c r="M277" s="51" t="str">
        <f ca="1">IFERROR(VLOOKUP(Yards25[[#This Row],[DEVELOPMENT]],Data[],4,FALSE),"")</f>
        <v/>
      </c>
      <c r="N277" s="51" t="str">
        <f ca="1">IF(Yards25[[#This Row],[RAD/PACT]]="","",IF(OR(Yards25[[#This Row],[RAD/PACT]]="2022-2025",Yards25[[#This Row],[RAD/PACT]]=2019,Yards25[[#This Row],[RAD/PACT]]="2020-2021"),"Yes",""))</f>
        <v/>
      </c>
      <c r="O277" s="51" t="str">
        <f ca="1">IFERROR(VLOOKUP(Yards25[[#This Row],[DEVELOPMENT]],ExtComp[],8,FALSE),"")</f>
        <v/>
      </c>
      <c r="P277" s="51"/>
      <c r="Q277" s="51"/>
      <c r="R277" s="51" t="str">
        <f>IF(ISBLANK(Yards25[[#This Row],[DSGN CALENDAR YEAR]]),"",Yards25[[#This Row],[DSGN CALENDAR YEAR]]+1)</f>
        <v/>
      </c>
      <c r="S277" s="51" t="str">
        <f>IF(ISBLANK(Yards25[[#This Row],[DSGN FISCAL YEAR]]),"",Yards25[[#This Row],[DSGN FISCAL YEAR]]+1)</f>
        <v/>
      </c>
      <c r="T277" s="51"/>
      <c r="U277" s="128">
        <f ca="1">Yards25[[#This Row],[Estimate]]*0.1</f>
        <v>0</v>
      </c>
      <c r="V277" s="47">
        <f ca="1">Yards25[[#This Row],[Estimate]]-Yards25[[#This Row],[Design Est.]]</f>
        <v>0</v>
      </c>
      <c r="W277" s="85">
        <f ca="1">(Yards25[[#This Row],['# yards]]*INDEX(UnitCosts[],MATCH(Yards25[[#This Row],[WORK TYPE]],UnitCosts[Work Type],0),2))*(1+((Yards25[[#This Row],[est. CONS Year]]-YEAR(TODAY()))*$W$3))</f>
        <v>0</v>
      </c>
      <c r="X277" s="142">
        <f>IF(ISNUMBER(SEARCH("LLC",Yards25[[#This Row],[PROGRAM]])),IF(Yards25[[#This Row],[RAD/PACT by 2025]]="yes",0,1),0)</f>
        <v>0</v>
      </c>
      <c r="Y277" s="1"/>
      <c r="Z277" s="1"/>
      <c r="AA277" s="51">
        <f ca="1">COUNTIF($X$5:Yards25[[#This Row],['# yards]],"&gt;0")</f>
        <v>10</v>
      </c>
      <c r="AB277" s="1">
        <f ca="1">IF(ISBLANK(Yards25[[#This Row],[DSGN CALENDAR YEAR]]),ROUNDDOWN(Yards25[[#This Row],[Count]]/20,0)+$AB$1,Yards25[[#This Row],[DSGN CALENDAR YEAR]])</f>
        <v>2022</v>
      </c>
      <c r="AC277" s="16">
        <f ca="1">Yards25[[#This Row],[est. DSGN Year]]+1</f>
        <v>2023</v>
      </c>
    </row>
    <row r="278" spans="1:29" hidden="1">
      <c r="A278" s="13" t="s">
        <v>331</v>
      </c>
      <c r="B278" s="51" t="str">
        <f>VLOOKUP(Yards25[[#This Row],[DEVELOPMENT]],Data[],2,FALSE)</f>
        <v>BRONX</v>
      </c>
      <c r="C27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78" s="51" t="str">
        <f>VLOOKUP(Yards25[[#This Row],[DEVELOPMENT]],Data[],52,FALSE)</f>
        <v>FEDERAL</v>
      </c>
      <c r="E278" s="50">
        <f>VLOOKUP(Yards25[[#This Row],[DEVELOPMENT]],Data[],8,FALSE)</f>
        <v>0</v>
      </c>
      <c r="F278" s="51" t="str">
        <f>VLOOKUP(Yards25[[#This Row],[DEVELOPMENT]],all[[DEVELOPMENT]:[MRST Ext. Comp. Priority]],6,FALSE)</f>
        <v>None</v>
      </c>
      <c r="G278" s="51" t="str">
        <f>VLOOKUP(Yards25[[#This Row],[DEVELOPMENT]],all[[DEVELOPMENT]:[MRST Ext. Comp. Priority]],13,FALSE)</f>
        <v>None</v>
      </c>
      <c r="H278" s="50">
        <f>IF(VLOOKUP(Yards25[[#This Row],[DEVELOPMENT]],Data[],9,FALSE)=0,5,VLOOKUP(Yards25[[#This Row],[DEVELOPMENT]],Data[],9,FALSE))</f>
        <v>5</v>
      </c>
      <c r="I278" s="51">
        <f>VLOOKUP(Yards25[[#This Row],[DEVELOPMENT]],Data[],33,FALSE)</f>
        <v>0</v>
      </c>
      <c r="J278" s="51">
        <f>VLOOKUP(Yards25[[#This Row],[DEVELOPMENT]],Data[],28,FALSE)</f>
        <v>0</v>
      </c>
      <c r="K278" s="51"/>
      <c r="L278" s="50"/>
      <c r="M278" s="51" t="str">
        <f ca="1">IFERROR(VLOOKUP(Yards25[[#This Row],[DEVELOPMENT]],Data[],4,FALSE),"")</f>
        <v/>
      </c>
      <c r="N278" s="51" t="str">
        <f ca="1">IF(Yards25[[#This Row],[RAD/PACT]]="","",IF(OR(Yards25[[#This Row],[RAD/PACT]]="2022-2025",Yards25[[#This Row],[RAD/PACT]]=2019,Yards25[[#This Row],[RAD/PACT]]="2020-2021"),"Yes",""))</f>
        <v/>
      </c>
      <c r="O278" s="51" t="str">
        <f ca="1">IFERROR(VLOOKUP(Yards25[[#This Row],[DEVELOPMENT]],ExtComp[],8,FALSE),"")</f>
        <v/>
      </c>
      <c r="P278" s="51"/>
      <c r="Q278" s="51"/>
      <c r="R278" s="51" t="str">
        <f>IF(ISBLANK(Yards25[[#This Row],[DSGN CALENDAR YEAR]]),"",Yards25[[#This Row],[DSGN CALENDAR YEAR]]+1)</f>
        <v/>
      </c>
      <c r="S278" s="51" t="str">
        <f>IF(ISBLANK(Yards25[[#This Row],[DSGN FISCAL YEAR]]),"",Yards25[[#This Row],[DSGN FISCAL YEAR]]+1)</f>
        <v/>
      </c>
      <c r="T278" s="51"/>
      <c r="U278" s="128">
        <f ca="1">Yards25[[#This Row],[Estimate]]*0.1</f>
        <v>0</v>
      </c>
      <c r="V278" s="47">
        <f ca="1">Yards25[[#This Row],[Estimate]]-Yards25[[#This Row],[Design Est.]]</f>
        <v>0</v>
      </c>
      <c r="W278" s="85">
        <f ca="1">(Yards25[[#This Row],['# yards]]*INDEX(UnitCosts[],MATCH(Yards25[[#This Row],[WORK TYPE]],UnitCosts[Work Type],0),2))*(1+((Yards25[[#This Row],[est. CONS Year]]-YEAR(TODAY()))*$W$3))</f>
        <v>0</v>
      </c>
      <c r="X278" s="142">
        <f>IF(ISNUMBER(SEARCH("LLC",Yards25[[#This Row],[PROGRAM]])),IF(Yards25[[#This Row],[RAD/PACT by 2025]]="yes",0,1),0)</f>
        <v>0</v>
      </c>
      <c r="Y278" s="1"/>
      <c r="Z278" s="1"/>
      <c r="AA278" s="51">
        <f ca="1">COUNTIF($X$5:Yards25[[#This Row],['# yards]],"&gt;0")</f>
        <v>10</v>
      </c>
      <c r="AB278" s="1">
        <f ca="1">IF(ISBLANK(Yards25[[#This Row],[DSGN CALENDAR YEAR]]),ROUNDDOWN(Yards25[[#This Row],[Count]]/20,0)+$AB$1,Yards25[[#This Row],[DSGN CALENDAR YEAR]])</f>
        <v>2022</v>
      </c>
      <c r="AC278" s="16">
        <f ca="1">Yards25[[#This Row],[est. DSGN Year]]+1</f>
        <v>2023</v>
      </c>
    </row>
    <row r="279" spans="1:29" hidden="1">
      <c r="A279" s="13" t="s">
        <v>334</v>
      </c>
      <c r="B279" s="51" t="str">
        <f>VLOOKUP(Yards25[[#This Row],[DEVELOPMENT]],Data[],2,FALSE)</f>
        <v>BROOKLYN</v>
      </c>
      <c r="C279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79" s="51" t="str">
        <f>VLOOKUP(Yards25[[#This Row],[DEVELOPMENT]],Data[],52,FALSE)</f>
        <v>FEDERAL</v>
      </c>
      <c r="E279" s="50">
        <f>VLOOKUP(Yards25[[#This Row],[DEVELOPMENT]],Data[],8,FALSE)</f>
        <v>0</v>
      </c>
      <c r="F279" s="51" t="str">
        <f>VLOOKUP(Yards25[[#This Row],[DEVELOPMENT]],all[[DEVELOPMENT]:[MRST Ext. Comp. Priority]],6,FALSE)</f>
        <v>None</v>
      </c>
      <c r="G279" s="51">
        <f>VLOOKUP(Yards25[[#This Row],[DEVELOPMENT]],all[[DEVELOPMENT]:[MRST Ext. Comp. Priority]],13,FALSE)</f>
        <v>2</v>
      </c>
      <c r="H279" s="50">
        <f>IF(VLOOKUP(Yards25[[#This Row],[DEVELOPMENT]],Data[],9,FALSE)=0,5,VLOOKUP(Yards25[[#This Row],[DEVELOPMENT]],Data[],9,FALSE))</f>
        <v>5</v>
      </c>
      <c r="I279" s="51">
        <f>VLOOKUP(Yards25[[#This Row],[DEVELOPMENT]],Data[],33,FALSE)</f>
        <v>1</v>
      </c>
      <c r="J279" s="51">
        <f>VLOOKUP(Yards25[[#This Row],[DEVELOPMENT]],Data[],28,FALSE)</f>
        <v>0</v>
      </c>
      <c r="K279" s="51"/>
      <c r="L279" s="50"/>
      <c r="M279" s="51" t="str">
        <f ca="1">IFERROR(VLOOKUP(Yards25[[#This Row],[DEVELOPMENT]],Data[],4,FALSE),"")</f>
        <v/>
      </c>
      <c r="N279" s="51" t="str">
        <f ca="1">IF(Yards25[[#This Row],[RAD/PACT]]="","",IF(OR(Yards25[[#This Row],[RAD/PACT]]="2022-2025",Yards25[[#This Row],[RAD/PACT]]=2019,Yards25[[#This Row],[RAD/PACT]]="2020-2021"),"Yes",""))</f>
        <v/>
      </c>
      <c r="O279" s="51">
        <f ca="1">IFERROR(VLOOKUP(Yards25[[#This Row],[DEVELOPMENT]],ExtComp[],8,FALSE),"")</f>
        <v>12</v>
      </c>
      <c r="P279" s="51"/>
      <c r="Q279" s="51"/>
      <c r="R279" s="51" t="str">
        <f>IF(ISBLANK(Yards25[[#This Row],[DSGN CALENDAR YEAR]]),"",Yards25[[#This Row],[DSGN CALENDAR YEAR]]+1)</f>
        <v/>
      </c>
      <c r="S279" s="51" t="str">
        <f>IF(ISBLANK(Yards25[[#This Row],[DSGN FISCAL YEAR]]),"",Yards25[[#This Row],[DSGN FISCAL YEAR]]+1)</f>
        <v/>
      </c>
      <c r="T279" s="51"/>
      <c r="U279" s="128">
        <f ca="1">Yards25[[#This Row],[Estimate]]*0.1</f>
        <v>0</v>
      </c>
      <c r="V279" s="47">
        <f ca="1">Yards25[[#This Row],[Estimate]]-Yards25[[#This Row],[Design Est.]]</f>
        <v>0</v>
      </c>
      <c r="W279" s="85">
        <f ca="1">(Yards25[[#This Row],['# yards]]*INDEX(UnitCosts[],MATCH(Yards25[[#This Row],[WORK TYPE]],UnitCosts[Work Type],0),2))*(1+((Yards25[[#This Row],[est. CONS Year]]-YEAR(TODAY()))*$W$3))</f>
        <v>0</v>
      </c>
      <c r="X279" s="142">
        <f>IF(ISNUMBER(SEARCH("LLC",Yards25[[#This Row],[PROGRAM]])),IF(Yards25[[#This Row],[RAD/PACT by 2025]]="yes",0,1),0)</f>
        <v>0</v>
      </c>
      <c r="Y279" s="1"/>
      <c r="Z279" s="1"/>
      <c r="AA279" s="51">
        <f ca="1">COUNTIF($X$5:Yards25[[#This Row],['# yards]],"&gt;0")</f>
        <v>10</v>
      </c>
      <c r="AB279" s="1">
        <f ca="1">IF(ISBLANK(Yards25[[#This Row],[DSGN CALENDAR YEAR]]),ROUNDDOWN(Yards25[[#This Row],[Count]]/20,0)+$AB$1,Yards25[[#This Row],[DSGN CALENDAR YEAR]])</f>
        <v>2022</v>
      </c>
      <c r="AC279" s="16">
        <f ca="1">Yards25[[#This Row],[est. DSGN Year]]+1</f>
        <v>2023</v>
      </c>
    </row>
    <row r="280" spans="1:29" hidden="1">
      <c r="A280" s="13" t="s">
        <v>335</v>
      </c>
      <c r="B280" s="51" t="str">
        <f>VLOOKUP(Yards25[[#This Row],[DEVELOPMENT]],Data[],2,FALSE)</f>
        <v>BROOKLYN</v>
      </c>
      <c r="C280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80" s="51" t="str">
        <f>VLOOKUP(Yards25[[#This Row],[DEVELOPMENT]],Data[],52,FALSE)</f>
        <v>MIXED FINANCE/LLC2</v>
      </c>
      <c r="E280" s="50">
        <f>VLOOKUP(Yards25[[#This Row],[DEVELOPMENT]],Data[],8,FALSE)</f>
        <v>0</v>
      </c>
      <c r="F280" s="51" t="str">
        <f>VLOOKUP(Yards25[[#This Row],[DEVELOPMENT]],all[[DEVELOPMENT]:[MRST Ext. Comp. Priority]],6,FALSE)</f>
        <v>None</v>
      </c>
      <c r="G280" s="51">
        <f>VLOOKUP(Yards25[[#This Row],[DEVELOPMENT]],all[[DEVELOPMENT]:[MRST Ext. Comp. Priority]],13,FALSE)</f>
        <v>4</v>
      </c>
      <c r="H280" s="50">
        <f>IF(VLOOKUP(Yards25[[#This Row],[DEVELOPMENT]],Data[],9,FALSE)=0,5,VLOOKUP(Yards25[[#This Row],[DEVELOPMENT]],Data[],9,FALSE))</f>
        <v>5</v>
      </c>
      <c r="I280" s="51">
        <f>VLOOKUP(Yards25[[#This Row],[DEVELOPMENT]],Data[],33,FALSE)</f>
        <v>0</v>
      </c>
      <c r="J280" s="51">
        <f>VLOOKUP(Yards25[[#This Row],[DEVELOPMENT]],Data[],28,FALSE)</f>
        <v>0</v>
      </c>
      <c r="K280" s="51"/>
      <c r="L280" s="50"/>
      <c r="M280" s="51">
        <f ca="1">IFERROR(VLOOKUP(Yards25[[#This Row],[DEVELOPMENT]],Data[],4,FALSE),"")</f>
        <v>2019</v>
      </c>
      <c r="N280" s="51" t="str">
        <f ca="1">IF(Yards25[[#This Row],[RAD/PACT]]="","",IF(OR(Yards25[[#This Row],[RAD/PACT]]="2022-2025",Yards25[[#This Row],[RAD/PACT]]=2019,Yards25[[#This Row],[RAD/PACT]]="2020-2021"),"Yes",""))</f>
        <v>Yes</v>
      </c>
      <c r="O280" s="51" t="str">
        <f ca="1">IFERROR(VLOOKUP(Yards25[[#This Row],[DEVELOPMENT]],ExtComp[],8,FALSE),"")</f>
        <v/>
      </c>
      <c r="P280" s="51"/>
      <c r="Q280" s="51"/>
      <c r="R280" s="51" t="str">
        <f>IF(ISBLANK(Yards25[[#This Row],[DSGN CALENDAR YEAR]]),"",Yards25[[#This Row],[DSGN CALENDAR YEAR]]+1)</f>
        <v/>
      </c>
      <c r="S280" s="51" t="str">
        <f>IF(ISBLANK(Yards25[[#This Row],[DSGN FISCAL YEAR]]),"",Yards25[[#This Row],[DSGN FISCAL YEAR]]+1)</f>
        <v/>
      </c>
      <c r="T280" s="51"/>
      <c r="U280" s="128">
        <f ca="1">Yards25[[#This Row],[Estimate]]*0.1</f>
        <v>0</v>
      </c>
      <c r="V280" s="47">
        <f ca="1">Yards25[[#This Row],[Estimate]]-Yards25[[#This Row],[Design Est.]]</f>
        <v>0</v>
      </c>
      <c r="W280" s="85">
        <f ca="1">(Yards25[[#This Row],['# yards]]*INDEX(UnitCosts[],MATCH(Yards25[[#This Row],[WORK TYPE]],UnitCosts[Work Type],0),2))*(1+((Yards25[[#This Row],[est. CONS Year]]-YEAR(TODAY()))*$W$3))</f>
        <v>0</v>
      </c>
      <c r="X280" s="142">
        <f ca="1">IF(ISNUMBER(SEARCH("LLC",Yards25[[#This Row],[PROGRAM]])),IF(Yards25[[#This Row],[RAD/PACT by 2025]]="yes",0,1),0)</f>
        <v>0</v>
      </c>
      <c r="Y280" s="1"/>
      <c r="Z280" s="1"/>
      <c r="AA280" s="51">
        <f ca="1">COUNTIF($X$5:Yards25[[#This Row],['# yards]],"&gt;0")</f>
        <v>10</v>
      </c>
      <c r="AB280" s="1">
        <f ca="1">IF(ISBLANK(Yards25[[#This Row],[DSGN CALENDAR YEAR]]),ROUNDDOWN(Yards25[[#This Row],[Count]]/20,0)+$AB$1,Yards25[[#This Row],[DSGN CALENDAR YEAR]])</f>
        <v>2022</v>
      </c>
      <c r="AC280" s="16">
        <f ca="1">Yards25[[#This Row],[est. DSGN Year]]+1</f>
        <v>2023</v>
      </c>
    </row>
    <row r="281" spans="1:29" hidden="1">
      <c r="A281" s="13" t="s">
        <v>336</v>
      </c>
      <c r="B281" s="51" t="str">
        <f>VLOOKUP(Yards25[[#This Row],[DEVELOPMENT]],Data[],2,FALSE)</f>
        <v>QUEENS</v>
      </c>
      <c r="C28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81" s="51" t="str">
        <f>VLOOKUP(Yards25[[#This Row],[DEVELOPMENT]],Data[],52,FALSE)</f>
        <v>FEDERAL</v>
      </c>
      <c r="E281" s="50">
        <f>VLOOKUP(Yards25[[#This Row],[DEVELOPMENT]],Data[],8,FALSE)</f>
        <v>0</v>
      </c>
      <c r="F281" s="51" t="str">
        <f>VLOOKUP(Yards25[[#This Row],[DEVELOPMENT]],all[[DEVELOPMENT]:[MRST Ext. Comp. Priority]],6,FALSE)</f>
        <v>None</v>
      </c>
      <c r="G281" s="51">
        <f>VLOOKUP(Yards25[[#This Row],[DEVELOPMENT]],all[[DEVELOPMENT]:[MRST Ext. Comp. Priority]],13,FALSE)</f>
        <v>2</v>
      </c>
      <c r="H281" s="50">
        <f>IF(VLOOKUP(Yards25[[#This Row],[DEVELOPMENT]],Data[],9,FALSE)=0,5,VLOOKUP(Yards25[[#This Row],[DEVELOPMENT]],Data[],9,FALSE))</f>
        <v>5</v>
      </c>
      <c r="I281" s="51">
        <f>VLOOKUP(Yards25[[#This Row],[DEVELOPMENT]],Data[],33,FALSE)</f>
        <v>0</v>
      </c>
      <c r="J281" s="51">
        <f>VLOOKUP(Yards25[[#This Row],[DEVELOPMENT]],Data[],28,FALSE)</f>
        <v>0</v>
      </c>
      <c r="K281" s="51"/>
      <c r="L281" s="50"/>
      <c r="M281" s="51" t="str">
        <f ca="1">IFERROR(VLOOKUP(Yards25[[#This Row],[DEVELOPMENT]],Data[],4,FALSE),"")</f>
        <v/>
      </c>
      <c r="N281" s="51" t="str">
        <f ca="1">IF(Yards25[[#This Row],[RAD/PACT]]="","",IF(OR(Yards25[[#This Row],[RAD/PACT]]="2022-2025",Yards25[[#This Row],[RAD/PACT]]=2019,Yards25[[#This Row],[RAD/PACT]]="2020-2021"),"Yes",""))</f>
        <v/>
      </c>
      <c r="O281" s="51" t="str">
        <f ca="1">IFERROR(VLOOKUP(Yards25[[#This Row],[DEVELOPMENT]],ExtComp[],8,FALSE),"")</f>
        <v/>
      </c>
      <c r="P281" s="51"/>
      <c r="Q281" s="51"/>
      <c r="R281" s="51" t="str">
        <f>IF(ISBLANK(Yards25[[#This Row],[DSGN CALENDAR YEAR]]),"",Yards25[[#This Row],[DSGN CALENDAR YEAR]]+1)</f>
        <v/>
      </c>
      <c r="S281" s="51" t="str">
        <f>IF(ISBLANK(Yards25[[#This Row],[DSGN FISCAL YEAR]]),"",Yards25[[#This Row],[DSGN FISCAL YEAR]]+1)</f>
        <v/>
      </c>
      <c r="T281" s="51"/>
      <c r="U281" s="128">
        <f ca="1">Yards25[[#This Row],[Estimate]]*0.1</f>
        <v>0</v>
      </c>
      <c r="V281" s="47">
        <f ca="1">Yards25[[#This Row],[Estimate]]-Yards25[[#This Row],[Design Est.]]</f>
        <v>0</v>
      </c>
      <c r="W281" s="85">
        <f ca="1">(Yards25[[#This Row],['# yards]]*INDEX(UnitCosts[],MATCH(Yards25[[#This Row],[WORK TYPE]],UnitCosts[Work Type],0),2))*(1+((Yards25[[#This Row],[est. CONS Year]]-YEAR(TODAY()))*$W$3))</f>
        <v>0</v>
      </c>
      <c r="X281" s="142">
        <f>IF(ISNUMBER(SEARCH("LLC",Yards25[[#This Row],[PROGRAM]])),IF(Yards25[[#This Row],[RAD/PACT by 2025]]="yes",0,1),0)</f>
        <v>0</v>
      </c>
      <c r="Y281" s="1"/>
      <c r="Z281" s="1"/>
      <c r="AA281" s="51">
        <f ca="1">COUNTIF($X$5:Yards25[[#This Row],['# yards]],"&gt;0")</f>
        <v>10</v>
      </c>
      <c r="AB281" s="1">
        <f ca="1">IF(ISBLANK(Yards25[[#This Row],[DSGN CALENDAR YEAR]]),ROUNDDOWN(Yards25[[#This Row],[Count]]/20,0)+$AB$1,Yards25[[#This Row],[DSGN CALENDAR YEAR]])</f>
        <v>2022</v>
      </c>
      <c r="AC281" s="16">
        <f ca="1">Yards25[[#This Row],[est. DSGN Year]]+1</f>
        <v>2023</v>
      </c>
    </row>
    <row r="282" spans="1:29" hidden="1">
      <c r="A282" s="13" t="s">
        <v>339</v>
      </c>
      <c r="B282" s="51" t="str">
        <f>VLOOKUP(Yards25[[#This Row],[DEVELOPMENT]],Data[],2,FALSE)</f>
        <v>QUEENS</v>
      </c>
      <c r="C282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82" s="51" t="str">
        <f>VLOOKUP(Yards25[[#This Row],[DEVELOPMENT]],Data[],52,FALSE)</f>
        <v>FEDERAL</v>
      </c>
      <c r="E282" s="50">
        <f>VLOOKUP(Yards25[[#This Row],[DEVELOPMENT]],Data[],8,FALSE)</f>
        <v>0</v>
      </c>
      <c r="F282" s="51" t="str">
        <f>VLOOKUP(Yards25[[#This Row],[DEVELOPMENT]],all[[DEVELOPMENT]:[MRST Ext. Comp. Priority]],6,FALSE)</f>
        <v>None</v>
      </c>
      <c r="G282" s="51" t="str">
        <f>VLOOKUP(Yards25[[#This Row],[DEVELOPMENT]],all[[DEVELOPMENT]:[MRST Ext. Comp. Priority]],13,FALSE)</f>
        <v>None</v>
      </c>
      <c r="H282" s="50">
        <f>IF(VLOOKUP(Yards25[[#This Row],[DEVELOPMENT]],Data[],9,FALSE)=0,5,VLOOKUP(Yards25[[#This Row],[DEVELOPMENT]],Data[],9,FALSE))</f>
        <v>5</v>
      </c>
      <c r="I282" s="51">
        <f>VLOOKUP(Yards25[[#This Row],[DEVELOPMENT]],Data[],33,FALSE)</f>
        <v>0</v>
      </c>
      <c r="J282" s="51">
        <f>VLOOKUP(Yards25[[#This Row],[DEVELOPMENT]],Data[],28,FALSE)</f>
        <v>0</v>
      </c>
      <c r="K282" s="51"/>
      <c r="L282" s="50"/>
      <c r="M282" s="51" t="str">
        <f ca="1">IFERROR(VLOOKUP(Yards25[[#This Row],[DEVELOPMENT]],Data[],4,FALSE),"")</f>
        <v/>
      </c>
      <c r="N282" s="51" t="str">
        <f ca="1">IF(Yards25[[#This Row],[RAD/PACT]]="","",IF(OR(Yards25[[#This Row],[RAD/PACT]]="2022-2025",Yards25[[#This Row],[RAD/PACT]]=2019,Yards25[[#This Row],[RAD/PACT]]="2020-2021"),"Yes",""))</f>
        <v/>
      </c>
      <c r="O282" s="51" t="str">
        <f ca="1">IFERROR(VLOOKUP(Yards25[[#This Row],[DEVELOPMENT]],ExtComp[],8,FALSE),"")</f>
        <v/>
      </c>
      <c r="P282" s="51"/>
      <c r="Q282" s="51"/>
      <c r="R282" s="51" t="str">
        <f>IF(ISBLANK(Yards25[[#This Row],[DSGN CALENDAR YEAR]]),"",Yards25[[#This Row],[DSGN CALENDAR YEAR]]+1)</f>
        <v/>
      </c>
      <c r="S282" s="51" t="str">
        <f>IF(ISBLANK(Yards25[[#This Row],[DSGN FISCAL YEAR]]),"",Yards25[[#This Row],[DSGN FISCAL YEAR]]+1)</f>
        <v/>
      </c>
      <c r="T282" s="51"/>
      <c r="U282" s="128">
        <f ca="1">Yards25[[#This Row],[Estimate]]*0.1</f>
        <v>0</v>
      </c>
      <c r="V282" s="47">
        <f ca="1">Yards25[[#This Row],[Estimate]]-Yards25[[#This Row],[Design Est.]]</f>
        <v>0</v>
      </c>
      <c r="W282" s="85">
        <f ca="1">(Yards25[[#This Row],['# yards]]*INDEX(UnitCosts[],MATCH(Yards25[[#This Row],[WORK TYPE]],UnitCosts[Work Type],0),2))*(1+((Yards25[[#This Row],[est. CONS Year]]-YEAR(TODAY()))*$W$3))</f>
        <v>0</v>
      </c>
      <c r="X282" s="142">
        <f>IF(ISNUMBER(SEARCH("LLC",Yards25[[#This Row],[PROGRAM]])),IF(Yards25[[#This Row],[RAD/PACT by 2025]]="yes",0,1),0)</f>
        <v>0</v>
      </c>
      <c r="Y282" s="1"/>
      <c r="Z282" s="1"/>
      <c r="AA282" s="51">
        <f ca="1">COUNTIF($X$5:Yards25[[#This Row],['# yards]],"&gt;0")</f>
        <v>10</v>
      </c>
      <c r="AB282" s="1">
        <f ca="1">IF(ISBLANK(Yards25[[#This Row],[DSGN CALENDAR YEAR]]),ROUNDDOWN(Yards25[[#This Row],[Count]]/20,0)+$AB$1,Yards25[[#This Row],[DSGN CALENDAR YEAR]])</f>
        <v>2022</v>
      </c>
      <c r="AC282" s="16">
        <f ca="1">Yards25[[#This Row],[est. DSGN Year]]+1</f>
        <v>2023</v>
      </c>
    </row>
    <row r="283" spans="1:29" hidden="1">
      <c r="A283" s="13" t="s">
        <v>340</v>
      </c>
      <c r="B283" s="51" t="str">
        <f>VLOOKUP(Yards25[[#This Row],[DEVELOPMENT]],Data[],2,FALSE)</f>
        <v>BROOKLYN</v>
      </c>
      <c r="C283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83" s="51" t="str">
        <f>VLOOKUP(Yards25[[#This Row],[DEVELOPMENT]],Data[],52,FALSE)</f>
        <v>FEDERAL</v>
      </c>
      <c r="E283" s="50">
        <f>VLOOKUP(Yards25[[#This Row],[DEVELOPMENT]],Data[],8,FALSE)</f>
        <v>0</v>
      </c>
      <c r="F283" s="51" t="str">
        <f>VLOOKUP(Yards25[[#This Row],[DEVELOPMENT]],all[[DEVELOPMENT]:[MRST Ext. Comp. Priority]],6,FALSE)</f>
        <v>None</v>
      </c>
      <c r="G283" s="51">
        <f>VLOOKUP(Yards25[[#This Row],[DEVELOPMENT]],all[[DEVELOPMENT]:[MRST Ext. Comp. Priority]],13,FALSE)</f>
        <v>3</v>
      </c>
      <c r="H283" s="50">
        <f>IF(VLOOKUP(Yards25[[#This Row],[DEVELOPMENT]],Data[],9,FALSE)=0,5,VLOOKUP(Yards25[[#This Row],[DEVELOPMENT]],Data[],9,FALSE))</f>
        <v>5</v>
      </c>
      <c r="I283" s="51">
        <f>VLOOKUP(Yards25[[#This Row],[DEVELOPMENT]],Data[],33,FALSE)</f>
        <v>0</v>
      </c>
      <c r="J283" s="51">
        <f>VLOOKUP(Yards25[[#This Row],[DEVELOPMENT]],Data[],28,FALSE)</f>
        <v>0</v>
      </c>
      <c r="K283" s="51"/>
      <c r="L283" s="50"/>
      <c r="M283" s="51" t="str">
        <f ca="1">IFERROR(VLOOKUP(Yards25[[#This Row],[DEVELOPMENT]],Data[],4,FALSE),"")</f>
        <v>2020-2021</v>
      </c>
      <c r="N283" s="51" t="str">
        <f ca="1">IF(Yards25[[#This Row],[RAD/PACT]]="","",IF(OR(Yards25[[#This Row],[RAD/PACT]]="2022-2025",Yards25[[#This Row],[RAD/PACT]]=2019,Yards25[[#This Row],[RAD/PACT]]="2020-2021"),"Yes",""))</f>
        <v>Yes</v>
      </c>
      <c r="O283" s="51" t="str">
        <f ca="1">IFERROR(VLOOKUP(Yards25[[#This Row],[DEVELOPMENT]],ExtComp[],8,FALSE),"")</f>
        <v/>
      </c>
      <c r="P283" s="51"/>
      <c r="Q283" s="51"/>
      <c r="R283" s="51" t="str">
        <f>IF(ISBLANK(Yards25[[#This Row],[DSGN CALENDAR YEAR]]),"",Yards25[[#This Row],[DSGN CALENDAR YEAR]]+1)</f>
        <v/>
      </c>
      <c r="S283" s="51" t="str">
        <f>IF(ISBLANK(Yards25[[#This Row],[DSGN FISCAL YEAR]]),"",Yards25[[#This Row],[DSGN FISCAL YEAR]]+1)</f>
        <v/>
      </c>
      <c r="T283" s="51"/>
      <c r="U283" s="128">
        <f ca="1">Yards25[[#This Row],[Estimate]]*0.1</f>
        <v>0</v>
      </c>
      <c r="V283" s="47">
        <f ca="1">Yards25[[#This Row],[Estimate]]-Yards25[[#This Row],[Design Est.]]</f>
        <v>0</v>
      </c>
      <c r="W283" s="85">
        <f ca="1">(Yards25[[#This Row],['# yards]]*INDEX(UnitCosts[],MATCH(Yards25[[#This Row],[WORK TYPE]],UnitCosts[Work Type],0),2))*(1+((Yards25[[#This Row],[est. CONS Year]]-YEAR(TODAY()))*$W$3))</f>
        <v>0</v>
      </c>
      <c r="X283" s="142">
        <f>IF(ISNUMBER(SEARCH("LLC",Yards25[[#This Row],[PROGRAM]])),IF(Yards25[[#This Row],[RAD/PACT by 2025]]="yes",0,1),0)</f>
        <v>0</v>
      </c>
      <c r="Y283" s="1"/>
      <c r="Z283" s="1"/>
      <c r="AA283" s="51">
        <f ca="1">COUNTIF($X$5:Yards25[[#This Row],['# yards]],"&gt;0")</f>
        <v>10</v>
      </c>
      <c r="AB283" s="1">
        <f ca="1">IF(ISBLANK(Yards25[[#This Row],[DSGN CALENDAR YEAR]]),ROUNDDOWN(Yards25[[#This Row],[Count]]/20,0)+$AB$1,Yards25[[#This Row],[DSGN CALENDAR YEAR]])</f>
        <v>2022</v>
      </c>
      <c r="AC283" s="16">
        <f ca="1">Yards25[[#This Row],[est. DSGN Year]]+1</f>
        <v>2023</v>
      </c>
    </row>
    <row r="284" spans="1:29" hidden="1">
      <c r="A284" s="13" t="s">
        <v>341</v>
      </c>
      <c r="B284" s="51" t="str">
        <f>VLOOKUP(Yards25[[#This Row],[DEVELOPMENT]],Data[],2,FALSE)</f>
        <v>BROOKLYN</v>
      </c>
      <c r="C284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284" s="51" t="str">
        <f>VLOOKUP(Yards25[[#This Row],[DEVELOPMENT]],Data[],52,FALSE)</f>
        <v>MIXED FINANCE/LLC2</v>
      </c>
      <c r="E284" s="50">
        <f>VLOOKUP(Yards25[[#This Row],[DEVELOPMENT]],Data[],8,FALSE)</f>
        <v>0</v>
      </c>
      <c r="F284" s="51" t="str">
        <f>VLOOKUP(Yards25[[#This Row],[DEVELOPMENT]],all[[DEVELOPMENT]:[MRST Ext. Comp. Priority]],6,FALSE)</f>
        <v>None</v>
      </c>
      <c r="G284" s="51">
        <f>VLOOKUP(Yards25[[#This Row],[DEVELOPMENT]],all[[DEVELOPMENT]:[MRST Ext. Comp. Priority]],13,FALSE)</f>
        <v>2</v>
      </c>
      <c r="H284" s="50">
        <f>IF(VLOOKUP(Yards25[[#This Row],[DEVELOPMENT]],Data[],9,FALSE)=0,5,VLOOKUP(Yards25[[#This Row],[DEVELOPMENT]],Data[],9,FALSE))</f>
        <v>5</v>
      </c>
      <c r="I284" s="51">
        <f>VLOOKUP(Yards25[[#This Row],[DEVELOPMENT]],Data[],33,FALSE)</f>
        <v>3</v>
      </c>
      <c r="J284" s="51">
        <f>VLOOKUP(Yards25[[#This Row],[DEVELOPMENT]],Data[],28,FALSE)</f>
        <v>1</v>
      </c>
      <c r="K284" s="51"/>
      <c r="L284" s="50"/>
      <c r="M284" s="51" t="str">
        <f ca="1">IFERROR(VLOOKUP(Yards25[[#This Row],[DEVELOPMENT]],Data[],4,FALSE),"")</f>
        <v>2020-2021</v>
      </c>
      <c r="N284" s="51" t="str">
        <f ca="1">IF(Yards25[[#This Row],[RAD/PACT]]="","",IF(OR(Yards25[[#This Row],[RAD/PACT]]="2022-2025",Yards25[[#This Row],[RAD/PACT]]=2019,Yards25[[#This Row],[RAD/PACT]]="2020-2021"),"Yes",""))</f>
        <v>Yes</v>
      </c>
      <c r="O284" s="51">
        <f ca="1">IFERROR(VLOOKUP(Yards25[[#This Row],[DEVELOPMENT]],ExtComp[],8,FALSE),"")</f>
        <v>13</v>
      </c>
      <c r="P284" s="51"/>
      <c r="Q284" s="51"/>
      <c r="R284" s="51" t="str">
        <f>IF(ISBLANK(Yards25[[#This Row],[DSGN CALENDAR YEAR]]),"",Yards25[[#This Row],[DSGN CALENDAR YEAR]]+1)</f>
        <v/>
      </c>
      <c r="S284" s="51" t="str">
        <f>IF(ISBLANK(Yards25[[#This Row],[DSGN FISCAL YEAR]]),"",Yards25[[#This Row],[DSGN FISCAL YEAR]]+1)</f>
        <v/>
      </c>
      <c r="T284" s="51"/>
      <c r="U284" s="128">
        <f ca="1">Yards25[[#This Row],[Estimate]]*0.1</f>
        <v>0</v>
      </c>
      <c r="V284" s="47">
        <f ca="1">Yards25[[#This Row],[Estimate]]-Yards25[[#This Row],[Design Est.]]</f>
        <v>0</v>
      </c>
      <c r="W284" s="85">
        <f ca="1">(Yards25[[#This Row],['# yards]]*INDEX(UnitCosts[],MATCH(Yards25[[#This Row],[WORK TYPE]],UnitCosts[Work Type],0),2))*(1+((Yards25[[#This Row],[est. CONS Year]]-YEAR(TODAY()))*$W$3))</f>
        <v>0</v>
      </c>
      <c r="X284" s="142">
        <f ca="1">IF(ISNUMBER(SEARCH("LLC",Yards25[[#This Row],[PROGRAM]])),IF(Yards25[[#This Row],[RAD/PACT by 2025]]="yes",0,1),0)</f>
        <v>0</v>
      </c>
      <c r="Y284" s="1"/>
      <c r="Z284" s="1"/>
      <c r="AA284" s="51">
        <f ca="1">COUNTIF($X$5:Yards25[[#This Row],['# yards]],"&gt;0")</f>
        <v>10</v>
      </c>
      <c r="AB284" s="1">
        <f ca="1">IF(ISBLANK(Yards25[[#This Row],[DSGN CALENDAR YEAR]]),ROUNDDOWN(Yards25[[#This Row],[Count]]/20,0)+$AB$1,Yards25[[#This Row],[DSGN CALENDAR YEAR]])</f>
        <v>2022</v>
      </c>
      <c r="AC284" s="16">
        <f ca="1">Yards25[[#This Row],[est. DSGN Year]]+1</f>
        <v>2023</v>
      </c>
    </row>
    <row r="285" spans="1:29">
      <c r="A285" s="13" t="s">
        <v>342</v>
      </c>
      <c r="B285" s="51" t="str">
        <f>VLOOKUP(Yards25[[#This Row],[DEVELOPMENT]],Data[],2,FALSE)</f>
        <v>BRONX</v>
      </c>
      <c r="C285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285" s="51" t="str">
        <f>VLOOKUP(Yards25[[#This Row],[DEVELOPMENT]],Data[],52,FALSE)</f>
        <v>MIXED FINANCE/LLC1</v>
      </c>
      <c r="E285" s="50">
        <f>VLOOKUP(Yards25[[#This Row],[DEVELOPMENT]],Data[],8,FALSE)</f>
        <v>0</v>
      </c>
      <c r="F285" s="51" t="str">
        <f>VLOOKUP(Yards25[[#This Row],[DEVELOPMENT]],all[[DEVELOPMENT]:[MRST Ext. Comp. Priority]],6,FALSE)</f>
        <v>None</v>
      </c>
      <c r="G285" s="51">
        <f>VLOOKUP(Yards25[[#This Row],[DEVELOPMENT]],all[[DEVELOPMENT]:[MRST Ext. Comp. Priority]],13,FALSE)</f>
        <v>2</v>
      </c>
      <c r="H285" s="50">
        <f>IF(VLOOKUP(Yards25[[#This Row],[DEVELOPMENT]],Data[],9,FALSE)=0,5,VLOOKUP(Yards25[[#This Row],[DEVELOPMENT]],Data[],9,FALSE))</f>
        <v>5</v>
      </c>
      <c r="I285" s="51">
        <f>VLOOKUP(Yards25[[#This Row],[DEVELOPMENT]],Data[],33,FALSE)</f>
        <v>3</v>
      </c>
      <c r="J285" s="51">
        <f>VLOOKUP(Yards25[[#This Row],[DEVELOPMENT]],Data[],28,FALSE)</f>
        <v>0</v>
      </c>
      <c r="K285" s="51"/>
      <c r="L285" s="50"/>
      <c r="M285" s="51" t="str">
        <f ca="1">IFERROR(VLOOKUP(Yards25[[#This Row],[DEVELOPMENT]],Data[],4,FALSE),"")</f>
        <v/>
      </c>
      <c r="N285" s="51" t="str">
        <f ca="1">IF(Yards25[[#This Row],[RAD/PACT]]="","",IF(OR(Yards25[[#This Row],[RAD/PACT]]="2022-2025",Yards25[[#This Row],[RAD/PACT]]=2019,Yards25[[#This Row],[RAD/PACT]]="2020-2021"),"Yes",""))</f>
        <v/>
      </c>
      <c r="O285" s="51">
        <f ca="1">IFERROR(VLOOKUP(Yards25[[#This Row],[DEVELOPMENT]],ExtComp[],8,FALSE),"")</f>
        <v>16</v>
      </c>
      <c r="P285" s="51"/>
      <c r="Q285" s="51"/>
      <c r="R285" s="51" t="str">
        <f>IF(ISBLANK(Yards25[[#This Row],[DSGN CALENDAR YEAR]]),"",Yards25[[#This Row],[DSGN CALENDAR YEAR]]+1)</f>
        <v/>
      </c>
      <c r="S285" s="51" t="str">
        <f>IF(ISBLANK(Yards25[[#This Row],[DSGN FISCAL YEAR]]),"",Yards25[[#This Row],[DSGN FISCAL YEAR]]+1)</f>
        <v/>
      </c>
      <c r="T285" s="51"/>
      <c r="U285" s="128">
        <f ca="1">Yards25[[#This Row],[Estimate]]*0.1</f>
        <v>292514.17538805003</v>
      </c>
      <c r="V285" s="47">
        <f ca="1">Yards25[[#This Row],[Estimate]]-Yards25[[#This Row],[Design Est.]]</f>
        <v>2632627.5784924505</v>
      </c>
      <c r="W285" s="85">
        <f ca="1">(Yards25[[#This Row],['# yards]]*INDEX(UnitCosts[],MATCH(Yards25[[#This Row],[WORK TYPE]],UnitCosts[Work Type],0),2))*(1+((Yards25[[#This Row],[est. CONS Year]]-YEAR(TODAY()))*$W$3))</f>
        <v>2925141.7538805003</v>
      </c>
      <c r="X285" s="142">
        <f ca="1">IF(ISNUMBER(SEARCH("LLC",Yards25[[#This Row],[PROGRAM]])),IF(Yards25[[#This Row],[RAD/PACT by 2025]]="yes",0,1),0)</f>
        <v>1</v>
      </c>
      <c r="Y285" s="1"/>
      <c r="Z285" s="1"/>
      <c r="AA285" s="51">
        <f ca="1">COUNTIF($X$5:Yards25[[#This Row],['# yards]],"&gt;0")</f>
        <v>11</v>
      </c>
      <c r="AB285" s="1">
        <v>2026</v>
      </c>
      <c r="AC285" s="16">
        <f>Yards25[[#This Row],[est. DSGN Year]]+1</f>
        <v>2027</v>
      </c>
    </row>
    <row r="286" spans="1:29" hidden="1">
      <c r="A286" s="13" t="s">
        <v>346</v>
      </c>
      <c r="B286" s="51" t="str">
        <f>VLOOKUP(Yards25[[#This Row],[DEVELOPMENT]],Data[],2,FALSE)</f>
        <v>BRONX</v>
      </c>
      <c r="C286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86" s="51" t="str">
        <f>VLOOKUP(Yards25[[#This Row],[DEVELOPMENT]],Data[],52,FALSE)</f>
        <v>FEDERAL</v>
      </c>
      <c r="E286" s="50">
        <f>VLOOKUP(Yards25[[#This Row],[DEVELOPMENT]],Data[],8,FALSE)</f>
        <v>0</v>
      </c>
      <c r="F286" s="51" t="str">
        <f>VLOOKUP(Yards25[[#This Row],[DEVELOPMENT]],all[[DEVELOPMENT]:[MRST Ext. Comp. Priority]],6,FALSE)</f>
        <v>None</v>
      </c>
      <c r="G286" s="51" t="str">
        <f>VLOOKUP(Yards25[[#This Row],[DEVELOPMENT]],all[[DEVELOPMENT]:[MRST Ext. Comp. Priority]],13,FALSE)</f>
        <v>None</v>
      </c>
      <c r="H286" s="50">
        <f>IF(VLOOKUP(Yards25[[#This Row],[DEVELOPMENT]],Data[],9,FALSE)=0,5,VLOOKUP(Yards25[[#This Row],[DEVELOPMENT]],Data[],9,FALSE))</f>
        <v>5</v>
      </c>
      <c r="I286" s="51">
        <f>VLOOKUP(Yards25[[#This Row],[DEVELOPMENT]],Data[],33,FALSE)</f>
        <v>2</v>
      </c>
      <c r="J286" s="51">
        <f>VLOOKUP(Yards25[[#This Row],[DEVELOPMENT]],Data[],28,FALSE)</f>
        <v>0</v>
      </c>
      <c r="K286" s="51"/>
      <c r="L286" s="50"/>
      <c r="M286" s="51" t="str">
        <f ca="1">IFERROR(VLOOKUP(Yards25[[#This Row],[DEVELOPMENT]],Data[],4,FALSE),"")</f>
        <v>2026+</v>
      </c>
      <c r="N286" s="51" t="str">
        <f ca="1">IF(Yards25[[#This Row],[RAD/PACT]]="","",IF(OR(Yards25[[#This Row],[RAD/PACT]]="2022-2025",Yards25[[#This Row],[RAD/PACT]]=2019,Yards25[[#This Row],[RAD/PACT]]="2020-2021"),"Yes",""))</f>
        <v/>
      </c>
      <c r="O286" s="51">
        <f ca="1">IFERROR(VLOOKUP(Yards25[[#This Row],[DEVELOPMENT]],ExtComp[],8,FALSE),"")</f>
        <v>15</v>
      </c>
      <c r="P286" s="51"/>
      <c r="Q286" s="51"/>
      <c r="R286" s="51" t="str">
        <f>IF(ISBLANK(Yards25[[#This Row],[DSGN CALENDAR YEAR]]),"",Yards25[[#This Row],[DSGN CALENDAR YEAR]]+1)</f>
        <v/>
      </c>
      <c r="S286" s="51" t="str">
        <f>IF(ISBLANK(Yards25[[#This Row],[DSGN FISCAL YEAR]]),"",Yards25[[#This Row],[DSGN FISCAL YEAR]]+1)</f>
        <v/>
      </c>
      <c r="T286" s="51"/>
      <c r="U286" s="128">
        <f ca="1">Yards25[[#This Row],[Estimate]]*0.1</f>
        <v>0</v>
      </c>
      <c r="V286" s="47">
        <f ca="1">Yards25[[#This Row],[Estimate]]-Yards25[[#This Row],[Design Est.]]</f>
        <v>0</v>
      </c>
      <c r="W286" s="85">
        <f ca="1">(Yards25[[#This Row],['# yards]]*INDEX(UnitCosts[],MATCH(Yards25[[#This Row],[WORK TYPE]],UnitCosts[Work Type],0),2))*(1+((Yards25[[#This Row],[est. CONS Year]]-YEAR(TODAY()))*$W$3))</f>
        <v>0</v>
      </c>
      <c r="X286" s="142">
        <f>IF(ISNUMBER(SEARCH("LLC",Yards25[[#This Row],[PROGRAM]])),IF(Yards25[[#This Row],[RAD/PACT by 2025]]="yes",0,1),0)</f>
        <v>0</v>
      </c>
      <c r="Y286" s="1"/>
      <c r="Z286" s="1"/>
      <c r="AA286" s="51">
        <f ca="1">COUNTIF($X$5:Yards25[[#This Row],['# yards]],"&gt;0")</f>
        <v>11</v>
      </c>
      <c r="AB286" s="1">
        <f ca="1">IF(ISBLANK(Yards25[[#This Row],[DSGN CALENDAR YEAR]]),ROUNDDOWN(Yards25[[#This Row],[Count]]/20,0)+$AB$1,Yards25[[#This Row],[DSGN CALENDAR YEAR]])</f>
        <v>2022</v>
      </c>
      <c r="AC286" s="16">
        <f ca="1">Yards25[[#This Row],[est. DSGN Year]]+1</f>
        <v>2023</v>
      </c>
    </row>
    <row r="287" spans="1:29" hidden="1">
      <c r="A287" s="13" t="s">
        <v>347</v>
      </c>
      <c r="B287" s="51" t="str">
        <f>VLOOKUP(Yards25[[#This Row],[DEVELOPMENT]],Data[],2,FALSE)</f>
        <v>STATEN ISLAND</v>
      </c>
      <c r="C287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87" s="51" t="str">
        <f>VLOOKUP(Yards25[[#This Row],[DEVELOPMENT]],Data[],52,FALSE)</f>
        <v>FEDERAL</v>
      </c>
      <c r="E287" s="50">
        <f>VLOOKUP(Yards25[[#This Row],[DEVELOPMENT]],Data[],8,FALSE)</f>
        <v>0</v>
      </c>
      <c r="F287" s="51" t="str">
        <f>VLOOKUP(Yards25[[#This Row],[DEVELOPMENT]],all[[DEVELOPMENT]:[MRST Ext. Comp. Priority]],6,FALSE)</f>
        <v>None</v>
      </c>
      <c r="G287" s="51">
        <f>VLOOKUP(Yards25[[#This Row],[DEVELOPMENT]],all[[DEVELOPMENT]:[MRST Ext. Comp. Priority]],13,FALSE)</f>
        <v>3</v>
      </c>
      <c r="H287" s="50">
        <f>IF(VLOOKUP(Yards25[[#This Row],[DEVELOPMENT]],Data[],9,FALSE)=0,5,VLOOKUP(Yards25[[#This Row],[DEVELOPMENT]],Data[],9,FALSE))</f>
        <v>5</v>
      </c>
      <c r="I287" s="51">
        <f>VLOOKUP(Yards25[[#This Row],[DEVELOPMENT]],Data[],33,FALSE)</f>
        <v>0</v>
      </c>
      <c r="J287" s="51">
        <f>VLOOKUP(Yards25[[#This Row],[DEVELOPMENT]],Data[],28,FALSE)</f>
        <v>0</v>
      </c>
      <c r="K287" s="51"/>
      <c r="L287" s="50"/>
      <c r="M287" s="51" t="str">
        <f ca="1">IFERROR(VLOOKUP(Yards25[[#This Row],[DEVELOPMENT]],Data[],4,FALSE),"")</f>
        <v/>
      </c>
      <c r="N287" s="51" t="str">
        <f ca="1">IF(Yards25[[#This Row],[RAD/PACT]]="","",IF(OR(Yards25[[#This Row],[RAD/PACT]]="2022-2025",Yards25[[#This Row],[RAD/PACT]]=2019,Yards25[[#This Row],[RAD/PACT]]="2020-2021"),"Yes",""))</f>
        <v/>
      </c>
      <c r="O287" s="51" t="str">
        <f ca="1">IFERROR(VLOOKUP(Yards25[[#This Row],[DEVELOPMENT]],ExtComp[],8,FALSE),"")</f>
        <v/>
      </c>
      <c r="P287" s="51"/>
      <c r="Q287" s="51"/>
      <c r="R287" s="51" t="str">
        <f>IF(ISBLANK(Yards25[[#This Row],[DSGN CALENDAR YEAR]]),"",Yards25[[#This Row],[DSGN CALENDAR YEAR]]+1)</f>
        <v/>
      </c>
      <c r="S287" s="51" t="str">
        <f>IF(ISBLANK(Yards25[[#This Row],[DSGN FISCAL YEAR]]),"",Yards25[[#This Row],[DSGN FISCAL YEAR]]+1)</f>
        <v/>
      </c>
      <c r="T287" s="51"/>
      <c r="U287" s="128">
        <f ca="1">Yards25[[#This Row],[Estimate]]*0.1</f>
        <v>0</v>
      </c>
      <c r="V287" s="47">
        <f ca="1">Yards25[[#This Row],[Estimate]]-Yards25[[#This Row],[Design Est.]]</f>
        <v>0</v>
      </c>
      <c r="W287" s="85">
        <f ca="1">(Yards25[[#This Row],['# yards]]*INDEX(UnitCosts[],MATCH(Yards25[[#This Row],[WORK TYPE]],UnitCosts[Work Type],0),2))*(1+((Yards25[[#This Row],[est. CONS Year]]-YEAR(TODAY()))*$W$3))</f>
        <v>0</v>
      </c>
      <c r="X287" s="142">
        <f>IF(ISNUMBER(SEARCH("LLC",Yards25[[#This Row],[PROGRAM]])),IF(Yards25[[#This Row],[RAD/PACT by 2025]]="yes",0,1),0)</f>
        <v>0</v>
      </c>
      <c r="Y287" s="1"/>
      <c r="Z287" s="1"/>
      <c r="AA287" s="51">
        <f ca="1">COUNTIF($X$5:Yards25[[#This Row],['# yards]],"&gt;0")</f>
        <v>11</v>
      </c>
      <c r="AB287" s="1">
        <f ca="1">IF(ISBLANK(Yards25[[#This Row],[DSGN CALENDAR YEAR]]),ROUNDDOWN(Yards25[[#This Row],[Count]]/20,0)+$AB$1,Yards25[[#This Row],[DSGN CALENDAR YEAR]])</f>
        <v>2022</v>
      </c>
      <c r="AC287" s="16">
        <f ca="1">Yards25[[#This Row],[est. DSGN Year]]+1</f>
        <v>2023</v>
      </c>
    </row>
    <row r="288" spans="1:29" hidden="1">
      <c r="A288" s="13" t="s">
        <v>349</v>
      </c>
      <c r="B288" s="51" t="str">
        <f>VLOOKUP(Yards25[[#This Row],[DEVELOPMENT]],Data[],2,FALSE)</f>
        <v>BROOKLYN</v>
      </c>
      <c r="C28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88" s="51" t="str">
        <f>VLOOKUP(Yards25[[#This Row],[DEVELOPMENT]],Data[],52,FALSE)</f>
        <v>FEDERAL</v>
      </c>
      <c r="E288" s="50">
        <f>VLOOKUP(Yards25[[#This Row],[DEVELOPMENT]],Data[],8,FALSE)</f>
        <v>0</v>
      </c>
      <c r="F288" s="51" t="str">
        <f>VLOOKUP(Yards25[[#This Row],[DEVELOPMENT]],all[[DEVELOPMENT]:[MRST Ext. Comp. Priority]],6,FALSE)</f>
        <v>None</v>
      </c>
      <c r="G288" s="51">
        <f>VLOOKUP(Yards25[[#This Row],[DEVELOPMENT]],all[[DEVELOPMENT]:[MRST Ext. Comp. Priority]],13,FALSE)</f>
        <v>4</v>
      </c>
      <c r="H288" s="50">
        <f>IF(VLOOKUP(Yards25[[#This Row],[DEVELOPMENT]],Data[],9,FALSE)=0,5,VLOOKUP(Yards25[[#This Row],[DEVELOPMENT]],Data[],9,FALSE))</f>
        <v>5</v>
      </c>
      <c r="I288" s="51">
        <f>VLOOKUP(Yards25[[#This Row],[DEVELOPMENT]],Data[],33,FALSE)</f>
        <v>0</v>
      </c>
      <c r="J288" s="51">
        <f>VLOOKUP(Yards25[[#This Row],[DEVELOPMENT]],Data[],28,FALSE)</f>
        <v>0</v>
      </c>
      <c r="K288" s="51"/>
      <c r="L288" s="50"/>
      <c r="M288" s="51" t="str">
        <f ca="1">IFERROR(VLOOKUP(Yards25[[#This Row],[DEVELOPMENT]],Data[],4,FALSE),"")</f>
        <v/>
      </c>
      <c r="N288" s="51" t="str">
        <f ca="1">IF(Yards25[[#This Row],[RAD/PACT]]="","",IF(OR(Yards25[[#This Row],[RAD/PACT]]="2022-2025",Yards25[[#This Row],[RAD/PACT]]=2019,Yards25[[#This Row],[RAD/PACT]]="2020-2021"),"Yes",""))</f>
        <v/>
      </c>
      <c r="O288" s="51" t="str">
        <f ca="1">IFERROR(VLOOKUP(Yards25[[#This Row],[DEVELOPMENT]],ExtComp[],8,FALSE),"")</f>
        <v/>
      </c>
      <c r="P288" s="51"/>
      <c r="Q288" s="51"/>
      <c r="R288" s="51" t="str">
        <f>IF(ISBLANK(Yards25[[#This Row],[DSGN CALENDAR YEAR]]),"",Yards25[[#This Row],[DSGN CALENDAR YEAR]]+1)</f>
        <v/>
      </c>
      <c r="S288" s="51" t="str">
        <f>IF(ISBLANK(Yards25[[#This Row],[DSGN FISCAL YEAR]]),"",Yards25[[#This Row],[DSGN FISCAL YEAR]]+1)</f>
        <v/>
      </c>
      <c r="T288" s="51"/>
      <c r="U288" s="128">
        <f ca="1">Yards25[[#This Row],[Estimate]]*0.1</f>
        <v>0</v>
      </c>
      <c r="V288" s="47">
        <f ca="1">Yards25[[#This Row],[Estimate]]-Yards25[[#This Row],[Design Est.]]</f>
        <v>0</v>
      </c>
      <c r="W288" s="85">
        <f ca="1">(Yards25[[#This Row],['# yards]]*INDEX(UnitCosts[],MATCH(Yards25[[#This Row],[WORK TYPE]],UnitCosts[Work Type],0),2))*(1+((Yards25[[#This Row],[est. CONS Year]]-YEAR(TODAY()))*$W$3))</f>
        <v>0</v>
      </c>
      <c r="X288" s="142">
        <f>IF(ISNUMBER(SEARCH("LLC",Yards25[[#This Row],[PROGRAM]])),IF(Yards25[[#This Row],[RAD/PACT by 2025]]="yes",0,1),0)</f>
        <v>0</v>
      </c>
      <c r="Y288" s="1"/>
      <c r="Z288" s="1"/>
      <c r="AA288" s="51">
        <f ca="1">COUNTIF($X$5:Yards25[[#This Row],['# yards]],"&gt;0")</f>
        <v>11</v>
      </c>
      <c r="AB288" s="1">
        <f ca="1">IF(ISBLANK(Yards25[[#This Row],[DSGN CALENDAR YEAR]]),ROUNDDOWN(Yards25[[#This Row],[Count]]/20,0)+$AB$1,Yards25[[#This Row],[DSGN CALENDAR YEAR]])</f>
        <v>2022</v>
      </c>
      <c r="AC288" s="16">
        <f ca="1">Yards25[[#This Row],[est. DSGN Year]]+1</f>
        <v>2023</v>
      </c>
    </row>
    <row r="289" spans="1:29" hidden="1">
      <c r="A289" s="13" t="s">
        <v>350</v>
      </c>
      <c r="B289" s="51" t="str">
        <f>VLOOKUP(Yards25[[#This Row],[DEVELOPMENT]],Data[],2,FALSE)</f>
        <v>BROOKLYN</v>
      </c>
      <c r="C289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89" s="51" t="str">
        <f>VLOOKUP(Yards25[[#This Row],[DEVELOPMENT]],Data[],52,FALSE)</f>
        <v>FEDERAL</v>
      </c>
      <c r="E289" s="50">
        <f>VLOOKUP(Yards25[[#This Row],[DEVELOPMENT]],Data[],8,FALSE)</f>
        <v>0</v>
      </c>
      <c r="F289" s="51" t="str">
        <f>VLOOKUP(Yards25[[#This Row],[DEVELOPMENT]],all[[DEVELOPMENT]:[MRST Ext. Comp. Priority]],6,FALSE)</f>
        <v>None</v>
      </c>
      <c r="G289" s="51">
        <f>VLOOKUP(Yards25[[#This Row],[DEVELOPMENT]],all[[DEVELOPMENT]:[MRST Ext. Comp. Priority]],13,FALSE)</f>
        <v>2</v>
      </c>
      <c r="H289" s="50">
        <f>IF(VLOOKUP(Yards25[[#This Row],[DEVELOPMENT]],Data[],9,FALSE)=0,5,VLOOKUP(Yards25[[#This Row],[DEVELOPMENT]],Data[],9,FALSE))</f>
        <v>5</v>
      </c>
      <c r="I289" s="51">
        <f>VLOOKUP(Yards25[[#This Row],[DEVELOPMENT]],Data[],33,FALSE)</f>
        <v>0</v>
      </c>
      <c r="J289" s="51">
        <f>VLOOKUP(Yards25[[#This Row],[DEVELOPMENT]],Data[],28,FALSE)</f>
        <v>0</v>
      </c>
      <c r="K289" s="51"/>
      <c r="L289" s="50"/>
      <c r="M289" s="51" t="str">
        <f ca="1">IFERROR(VLOOKUP(Yards25[[#This Row],[DEVELOPMENT]],Data[],4,FALSE),"")</f>
        <v>2022-2025</v>
      </c>
      <c r="N289" s="51" t="str">
        <f ca="1">IF(Yards25[[#This Row],[RAD/PACT]]="","",IF(OR(Yards25[[#This Row],[RAD/PACT]]="2022-2025",Yards25[[#This Row],[RAD/PACT]]=2019,Yards25[[#This Row],[RAD/PACT]]="2020-2021"),"Yes",""))</f>
        <v>Yes</v>
      </c>
      <c r="O289" s="51" t="str">
        <f ca="1">IFERROR(VLOOKUP(Yards25[[#This Row],[DEVELOPMENT]],ExtComp[],8,FALSE),"")</f>
        <v/>
      </c>
      <c r="P289" s="51"/>
      <c r="Q289" s="51"/>
      <c r="R289" s="51" t="str">
        <f>IF(ISBLANK(Yards25[[#This Row],[DSGN CALENDAR YEAR]]),"",Yards25[[#This Row],[DSGN CALENDAR YEAR]]+1)</f>
        <v/>
      </c>
      <c r="S289" s="51" t="str">
        <f>IF(ISBLANK(Yards25[[#This Row],[DSGN FISCAL YEAR]]),"",Yards25[[#This Row],[DSGN FISCAL YEAR]]+1)</f>
        <v/>
      </c>
      <c r="T289" s="51"/>
      <c r="U289" s="128">
        <f ca="1">Yards25[[#This Row],[Estimate]]*0.1</f>
        <v>0</v>
      </c>
      <c r="V289" s="47">
        <f ca="1">Yards25[[#This Row],[Estimate]]-Yards25[[#This Row],[Design Est.]]</f>
        <v>0</v>
      </c>
      <c r="W289" s="85">
        <f ca="1">(Yards25[[#This Row],['# yards]]*INDEX(UnitCosts[],MATCH(Yards25[[#This Row],[WORK TYPE]],UnitCosts[Work Type],0),2))*(1+((Yards25[[#This Row],[est. CONS Year]]-YEAR(TODAY()))*$W$3))</f>
        <v>0</v>
      </c>
      <c r="X289" s="142">
        <f>IF(ISNUMBER(SEARCH("LLC",Yards25[[#This Row],[PROGRAM]])),IF(Yards25[[#This Row],[RAD/PACT by 2025]]="yes",0,1),0)</f>
        <v>0</v>
      </c>
      <c r="Y289" s="1"/>
      <c r="Z289" s="1"/>
      <c r="AA289" s="51">
        <f ca="1">COUNTIF($X$5:Yards25[[#This Row],['# yards]],"&gt;0")</f>
        <v>11</v>
      </c>
      <c r="AB289" s="1">
        <f ca="1">IF(ISBLANK(Yards25[[#This Row],[DSGN CALENDAR YEAR]]),ROUNDDOWN(Yards25[[#This Row],[Count]]/20,0)+$AB$1,Yards25[[#This Row],[DSGN CALENDAR YEAR]])</f>
        <v>2022</v>
      </c>
      <c r="AC289" s="16">
        <f ca="1">Yards25[[#This Row],[est. DSGN Year]]+1</f>
        <v>2023</v>
      </c>
    </row>
    <row r="290" spans="1:29" hidden="1">
      <c r="A290" s="13" t="s">
        <v>352</v>
      </c>
      <c r="B290" s="51" t="str">
        <f>VLOOKUP(Yards25[[#This Row],[DEVELOPMENT]],Data[],2,FALSE)</f>
        <v>BROOKLYN</v>
      </c>
      <c r="C290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90" s="51" t="str">
        <f>VLOOKUP(Yards25[[#This Row],[DEVELOPMENT]],Data[],52,FALSE)</f>
        <v>FEDERAL</v>
      </c>
      <c r="E290" s="50">
        <f>VLOOKUP(Yards25[[#This Row],[DEVELOPMENT]],Data[],8,FALSE)</f>
        <v>0</v>
      </c>
      <c r="F290" s="51" t="str">
        <f>VLOOKUP(Yards25[[#This Row],[DEVELOPMENT]],all[[DEVELOPMENT]:[MRST Ext. Comp. Priority]],6,FALSE)</f>
        <v>None</v>
      </c>
      <c r="G290" s="51">
        <f>VLOOKUP(Yards25[[#This Row],[DEVELOPMENT]],all[[DEVELOPMENT]:[MRST Ext. Comp. Priority]],13,FALSE)</f>
        <v>3</v>
      </c>
      <c r="H290" s="50">
        <f>IF(VLOOKUP(Yards25[[#This Row],[DEVELOPMENT]],Data[],9,FALSE)=0,5,VLOOKUP(Yards25[[#This Row],[DEVELOPMENT]],Data[],9,FALSE))</f>
        <v>5</v>
      </c>
      <c r="I290" s="51">
        <f>VLOOKUP(Yards25[[#This Row],[DEVELOPMENT]],Data[],33,FALSE)</f>
        <v>0</v>
      </c>
      <c r="J290" s="51">
        <f>VLOOKUP(Yards25[[#This Row],[DEVELOPMENT]],Data[],28,FALSE)</f>
        <v>0</v>
      </c>
      <c r="K290" s="51"/>
      <c r="L290" s="50"/>
      <c r="M290" s="51" t="str">
        <f ca="1">IFERROR(VLOOKUP(Yards25[[#This Row],[DEVELOPMENT]],Data[],4,FALSE),"")</f>
        <v>2022-2025</v>
      </c>
      <c r="N290" s="51" t="str">
        <f ca="1">IF(Yards25[[#This Row],[RAD/PACT]]="","",IF(OR(Yards25[[#This Row],[RAD/PACT]]="2022-2025",Yards25[[#This Row],[RAD/PACT]]=2019,Yards25[[#This Row],[RAD/PACT]]="2020-2021"),"Yes",""))</f>
        <v>Yes</v>
      </c>
      <c r="O290" s="51" t="str">
        <f ca="1">IFERROR(VLOOKUP(Yards25[[#This Row],[DEVELOPMENT]],ExtComp[],8,FALSE),"")</f>
        <v/>
      </c>
      <c r="P290" s="51"/>
      <c r="Q290" s="51"/>
      <c r="R290" s="51" t="str">
        <f>IF(ISBLANK(Yards25[[#This Row],[DSGN CALENDAR YEAR]]),"",Yards25[[#This Row],[DSGN CALENDAR YEAR]]+1)</f>
        <v/>
      </c>
      <c r="S290" s="51" t="str">
        <f>IF(ISBLANK(Yards25[[#This Row],[DSGN FISCAL YEAR]]),"",Yards25[[#This Row],[DSGN FISCAL YEAR]]+1)</f>
        <v/>
      </c>
      <c r="T290" s="51"/>
      <c r="U290" s="128">
        <f ca="1">Yards25[[#This Row],[Estimate]]*0.1</f>
        <v>0</v>
      </c>
      <c r="V290" s="47">
        <f ca="1">Yards25[[#This Row],[Estimate]]-Yards25[[#This Row],[Design Est.]]</f>
        <v>0</v>
      </c>
      <c r="W290" s="85">
        <f ca="1">(Yards25[[#This Row],['# yards]]*INDEX(UnitCosts[],MATCH(Yards25[[#This Row],[WORK TYPE]],UnitCosts[Work Type],0),2))*(1+((Yards25[[#This Row],[est. CONS Year]]-YEAR(TODAY()))*$W$3))</f>
        <v>0</v>
      </c>
      <c r="X290" s="142">
        <f>IF(ISNUMBER(SEARCH("LLC",Yards25[[#This Row],[PROGRAM]])),IF(Yards25[[#This Row],[RAD/PACT by 2025]]="yes",0,1),0)</f>
        <v>0</v>
      </c>
      <c r="Y290" s="1"/>
      <c r="Z290" s="1"/>
      <c r="AA290" s="51">
        <f ca="1">COUNTIF($X$5:Yards25[[#This Row],['# yards]],"&gt;0")</f>
        <v>11</v>
      </c>
      <c r="AB290" s="1">
        <f ca="1">IF(ISBLANK(Yards25[[#This Row],[DSGN CALENDAR YEAR]]),ROUNDDOWN(Yards25[[#This Row],[Count]]/20,0)+$AB$1,Yards25[[#This Row],[DSGN CALENDAR YEAR]])</f>
        <v>2022</v>
      </c>
      <c r="AC290" s="16">
        <f ca="1">Yards25[[#This Row],[est. DSGN Year]]+1</f>
        <v>2023</v>
      </c>
    </row>
    <row r="291" spans="1:29" hidden="1">
      <c r="A291" s="13" t="s">
        <v>353</v>
      </c>
      <c r="B291" s="51" t="str">
        <f>VLOOKUP(Yards25[[#This Row],[DEVELOPMENT]],Data[],2,FALSE)</f>
        <v>BRONX</v>
      </c>
      <c r="C291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291" s="51" t="str">
        <f>VLOOKUP(Yards25[[#This Row],[DEVELOPMENT]],Data[],52,FALSE)</f>
        <v>FEDERAL</v>
      </c>
      <c r="E291" s="50">
        <f>VLOOKUP(Yards25[[#This Row],[DEVELOPMENT]],Data[],8,FALSE)</f>
        <v>0</v>
      </c>
      <c r="F291" s="51" t="str">
        <f>VLOOKUP(Yards25[[#This Row],[DEVELOPMENT]],all[[DEVELOPMENT]:[MRST Ext. Comp. Priority]],6,FALSE)</f>
        <v>None</v>
      </c>
      <c r="G291" s="51">
        <f>VLOOKUP(Yards25[[#This Row],[DEVELOPMENT]],all[[DEVELOPMENT]:[MRST Ext. Comp. Priority]],13,FALSE)</f>
        <v>3</v>
      </c>
      <c r="H291" s="50">
        <f>IF(VLOOKUP(Yards25[[#This Row],[DEVELOPMENT]],Data[],9,FALSE)=0,5,VLOOKUP(Yards25[[#This Row],[DEVELOPMENT]],Data[],9,FALSE))</f>
        <v>5</v>
      </c>
      <c r="I291" s="51">
        <f>VLOOKUP(Yards25[[#This Row],[DEVELOPMENT]],Data[],33,FALSE)</f>
        <v>2</v>
      </c>
      <c r="J291" s="51">
        <f>VLOOKUP(Yards25[[#This Row],[DEVELOPMENT]],Data[],28,FALSE)</f>
        <v>0</v>
      </c>
      <c r="K291" s="51"/>
      <c r="L291" s="50"/>
      <c r="M291" s="51" t="str">
        <f ca="1">IFERROR(VLOOKUP(Yards25[[#This Row],[DEVELOPMENT]],Data[],4,FALSE),"")</f>
        <v>2026+</v>
      </c>
      <c r="N291" s="51" t="str">
        <f ca="1">IF(Yards25[[#This Row],[RAD/PACT]]="","",IF(OR(Yards25[[#This Row],[RAD/PACT]]="2022-2025",Yards25[[#This Row],[RAD/PACT]]=2019,Yards25[[#This Row],[RAD/PACT]]="2020-2021"),"Yes",""))</f>
        <v/>
      </c>
      <c r="O291" s="51">
        <f ca="1">IFERROR(VLOOKUP(Yards25[[#This Row],[DEVELOPMENT]],ExtComp[],8,FALSE),"")</f>
        <v>18</v>
      </c>
      <c r="P291" s="51"/>
      <c r="Q291" s="51"/>
      <c r="R291" s="51" t="str">
        <f>IF(ISBLANK(Yards25[[#This Row],[DSGN CALENDAR YEAR]]),"",Yards25[[#This Row],[DSGN CALENDAR YEAR]]+1)</f>
        <v/>
      </c>
      <c r="S291" s="51" t="str">
        <f>IF(ISBLANK(Yards25[[#This Row],[DSGN FISCAL YEAR]]),"",Yards25[[#This Row],[DSGN FISCAL YEAR]]+1)</f>
        <v/>
      </c>
      <c r="T291" s="51"/>
      <c r="U291" s="128">
        <f ca="1">Yards25[[#This Row],[Estimate]]*0.1</f>
        <v>0</v>
      </c>
      <c r="V291" s="47">
        <f ca="1">Yards25[[#This Row],[Estimate]]-Yards25[[#This Row],[Design Est.]]</f>
        <v>0</v>
      </c>
      <c r="W291" s="85">
        <f ca="1">(Yards25[[#This Row],['# yards]]*INDEX(UnitCosts[],MATCH(Yards25[[#This Row],[WORK TYPE]],UnitCosts[Work Type],0),2))*(1+((Yards25[[#This Row],[est. CONS Year]]-YEAR(TODAY()))*$W$3))</f>
        <v>0</v>
      </c>
      <c r="X291" s="142">
        <f>IF(ISNUMBER(SEARCH("LLC",Yards25[[#This Row],[PROGRAM]])),IF(Yards25[[#This Row],[RAD/PACT by 2025]]="yes",0,1),0)</f>
        <v>0</v>
      </c>
      <c r="Y291" s="1"/>
      <c r="Z291" s="1"/>
      <c r="AA291" s="51">
        <f ca="1">COUNTIF($X$5:Yards25[[#This Row],['# yards]],"&gt;0")</f>
        <v>11</v>
      </c>
      <c r="AB291" s="1">
        <f ca="1">IF(ISBLANK(Yards25[[#This Row],[DSGN CALENDAR YEAR]]),ROUNDDOWN(Yards25[[#This Row],[Count]]/20,0)+$AB$1,Yards25[[#This Row],[DSGN CALENDAR YEAR]])</f>
        <v>2022</v>
      </c>
      <c r="AC291" s="16">
        <f ca="1">Yards25[[#This Row],[est. DSGN Year]]+1</f>
        <v>2023</v>
      </c>
    </row>
    <row r="292" spans="1:29" hidden="1">
      <c r="A292" s="13" t="s">
        <v>354</v>
      </c>
      <c r="B292" s="51" t="str">
        <f>VLOOKUP(Yards25[[#This Row],[DEVELOPMENT]],Data[],2,FALSE)</f>
        <v>BROOKLYN</v>
      </c>
      <c r="C292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92" s="51" t="str">
        <f>VLOOKUP(Yards25[[#This Row],[DEVELOPMENT]],Data[],52,FALSE)</f>
        <v>FEDERAL</v>
      </c>
      <c r="E292" s="50">
        <f>VLOOKUP(Yards25[[#This Row],[DEVELOPMENT]],Data[],8,FALSE)</f>
        <v>0</v>
      </c>
      <c r="F292" s="51" t="str">
        <f>VLOOKUP(Yards25[[#This Row],[DEVELOPMENT]],all[[DEVELOPMENT]:[MRST Ext. Comp. Priority]],6,FALSE)</f>
        <v>None</v>
      </c>
      <c r="G292" s="51">
        <f>VLOOKUP(Yards25[[#This Row],[DEVELOPMENT]],all[[DEVELOPMENT]:[MRST Ext. Comp. Priority]],13,FALSE)</f>
        <v>2</v>
      </c>
      <c r="H292" s="50">
        <f>IF(VLOOKUP(Yards25[[#This Row],[DEVELOPMENT]],Data[],9,FALSE)=0,5,VLOOKUP(Yards25[[#This Row],[DEVELOPMENT]],Data[],9,FALSE))</f>
        <v>5</v>
      </c>
      <c r="I292" s="51">
        <f>VLOOKUP(Yards25[[#This Row],[DEVELOPMENT]],Data[],33,FALSE)</f>
        <v>1</v>
      </c>
      <c r="J292" s="51">
        <f>VLOOKUP(Yards25[[#This Row],[DEVELOPMENT]],Data[],28,FALSE)</f>
        <v>0</v>
      </c>
      <c r="K292" s="51"/>
      <c r="L292" s="50"/>
      <c r="M292" s="51" t="str">
        <f ca="1">IFERROR(VLOOKUP(Yards25[[#This Row],[DEVELOPMENT]],Data[],4,FALSE),"")</f>
        <v/>
      </c>
      <c r="N292" s="51" t="str">
        <f ca="1">IF(Yards25[[#This Row],[RAD/PACT]]="","",IF(OR(Yards25[[#This Row],[RAD/PACT]]="2022-2025",Yards25[[#This Row],[RAD/PACT]]=2019,Yards25[[#This Row],[RAD/PACT]]="2020-2021"),"Yes",""))</f>
        <v/>
      </c>
      <c r="O292" s="51">
        <f ca="1">IFERROR(VLOOKUP(Yards25[[#This Row],[DEVELOPMENT]],ExtComp[],8,FALSE),"")</f>
        <v>17</v>
      </c>
      <c r="P292" s="51"/>
      <c r="Q292" s="51"/>
      <c r="R292" s="51" t="str">
        <f>IF(ISBLANK(Yards25[[#This Row],[DSGN CALENDAR YEAR]]),"",Yards25[[#This Row],[DSGN CALENDAR YEAR]]+1)</f>
        <v/>
      </c>
      <c r="S292" s="51" t="str">
        <f>IF(ISBLANK(Yards25[[#This Row],[DSGN FISCAL YEAR]]),"",Yards25[[#This Row],[DSGN FISCAL YEAR]]+1)</f>
        <v/>
      </c>
      <c r="T292" s="51"/>
      <c r="U292" s="128">
        <f ca="1">Yards25[[#This Row],[Estimate]]*0.1</f>
        <v>0</v>
      </c>
      <c r="V292" s="47">
        <f ca="1">Yards25[[#This Row],[Estimate]]-Yards25[[#This Row],[Design Est.]]</f>
        <v>0</v>
      </c>
      <c r="W292" s="85">
        <f ca="1">(Yards25[[#This Row],['# yards]]*INDEX(UnitCosts[],MATCH(Yards25[[#This Row],[WORK TYPE]],UnitCosts[Work Type],0),2))*(1+((Yards25[[#This Row],[est. CONS Year]]-YEAR(TODAY()))*$W$3))</f>
        <v>0</v>
      </c>
      <c r="X292" s="142">
        <f>IF(ISNUMBER(SEARCH("LLC",Yards25[[#This Row],[PROGRAM]])),IF(Yards25[[#This Row],[RAD/PACT by 2025]]="yes",0,1),0)</f>
        <v>0</v>
      </c>
      <c r="Y292" s="1"/>
      <c r="Z292" s="1"/>
      <c r="AA292" s="51">
        <f ca="1">COUNTIF($X$5:Yards25[[#This Row],['# yards]],"&gt;0")</f>
        <v>11</v>
      </c>
      <c r="AB292" s="1">
        <f ca="1">IF(ISBLANK(Yards25[[#This Row],[DSGN CALENDAR YEAR]]),ROUNDDOWN(Yards25[[#This Row],[Count]]/20,0)+$AB$1,Yards25[[#This Row],[DSGN CALENDAR YEAR]])</f>
        <v>2022</v>
      </c>
      <c r="AC292" s="16">
        <f ca="1">Yards25[[#This Row],[est. DSGN Year]]+1</f>
        <v>2023</v>
      </c>
    </row>
    <row r="293" spans="1:29" hidden="1">
      <c r="A293" s="13" t="s">
        <v>355</v>
      </c>
      <c r="B293" s="51" t="str">
        <f>VLOOKUP(Yards25[[#This Row],[DEVELOPMENT]],Data[],2,FALSE)</f>
        <v>BROOKLYN</v>
      </c>
      <c r="C293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93" s="51" t="str">
        <f>VLOOKUP(Yards25[[#This Row],[DEVELOPMENT]],Data[],52,FALSE)</f>
        <v>FEDERAL</v>
      </c>
      <c r="E293" s="50">
        <f>VLOOKUP(Yards25[[#This Row],[DEVELOPMENT]],Data[],8,FALSE)</f>
        <v>0</v>
      </c>
      <c r="F293" s="51" t="str">
        <f>VLOOKUP(Yards25[[#This Row],[DEVELOPMENT]],all[[DEVELOPMENT]:[MRST Ext. Comp. Priority]],6,FALSE)</f>
        <v>None</v>
      </c>
      <c r="G293" s="51">
        <f>VLOOKUP(Yards25[[#This Row],[DEVELOPMENT]],all[[DEVELOPMENT]:[MRST Ext. Comp. Priority]],13,FALSE)</f>
        <v>2</v>
      </c>
      <c r="H293" s="50">
        <f>IF(VLOOKUP(Yards25[[#This Row],[DEVELOPMENT]],Data[],9,FALSE)=0,5,VLOOKUP(Yards25[[#This Row],[DEVELOPMENT]],Data[],9,FALSE))</f>
        <v>5</v>
      </c>
      <c r="I293" s="51">
        <f>VLOOKUP(Yards25[[#This Row],[DEVELOPMENT]],Data[],33,FALSE)</f>
        <v>0</v>
      </c>
      <c r="J293" s="51">
        <f>VLOOKUP(Yards25[[#This Row],[DEVELOPMENT]],Data[],28,FALSE)</f>
        <v>0</v>
      </c>
      <c r="K293" s="51"/>
      <c r="L293" s="50"/>
      <c r="M293" s="51" t="str">
        <f ca="1">IFERROR(VLOOKUP(Yards25[[#This Row],[DEVELOPMENT]],Data[],4,FALSE),"")</f>
        <v>2020-2021</v>
      </c>
      <c r="N293" s="51" t="str">
        <f ca="1">IF(Yards25[[#This Row],[RAD/PACT]]="","",IF(OR(Yards25[[#This Row],[RAD/PACT]]="2022-2025",Yards25[[#This Row],[RAD/PACT]]=2019,Yards25[[#This Row],[RAD/PACT]]="2020-2021"),"Yes",""))</f>
        <v>Yes</v>
      </c>
      <c r="O293" s="51">
        <f ca="1">IFERROR(VLOOKUP(Yards25[[#This Row],[DEVELOPMENT]],ExtComp[],8,FALSE),"")</f>
        <v>19</v>
      </c>
      <c r="P293" s="51"/>
      <c r="Q293" s="51"/>
      <c r="R293" s="51" t="str">
        <f>IF(ISBLANK(Yards25[[#This Row],[DSGN CALENDAR YEAR]]),"",Yards25[[#This Row],[DSGN CALENDAR YEAR]]+1)</f>
        <v/>
      </c>
      <c r="S293" s="51" t="str">
        <f>IF(ISBLANK(Yards25[[#This Row],[DSGN FISCAL YEAR]]),"",Yards25[[#This Row],[DSGN FISCAL YEAR]]+1)</f>
        <v/>
      </c>
      <c r="T293" s="51"/>
      <c r="U293" s="128">
        <f ca="1">Yards25[[#This Row],[Estimate]]*0.1</f>
        <v>0</v>
      </c>
      <c r="V293" s="47">
        <f ca="1">Yards25[[#This Row],[Estimate]]-Yards25[[#This Row],[Design Est.]]</f>
        <v>0</v>
      </c>
      <c r="W293" s="85">
        <f ca="1">(Yards25[[#This Row],['# yards]]*INDEX(UnitCosts[],MATCH(Yards25[[#This Row],[WORK TYPE]],UnitCosts[Work Type],0),2))*(1+((Yards25[[#This Row],[est. CONS Year]]-YEAR(TODAY()))*$W$3))</f>
        <v>0</v>
      </c>
      <c r="X293" s="142">
        <f>IF(ISNUMBER(SEARCH("LLC",Yards25[[#This Row],[PROGRAM]])),IF(Yards25[[#This Row],[RAD/PACT by 2025]]="yes",0,1),0)</f>
        <v>0</v>
      </c>
      <c r="Y293" s="1"/>
      <c r="Z293" s="1"/>
      <c r="AA293" s="51">
        <f ca="1">COUNTIF($X$5:Yards25[[#This Row],['# yards]],"&gt;0")</f>
        <v>11</v>
      </c>
      <c r="AB293" s="1">
        <f ca="1">IF(ISBLANK(Yards25[[#This Row],[DSGN CALENDAR YEAR]]),ROUNDDOWN(Yards25[[#This Row],[Count]]/20,0)+$AB$1,Yards25[[#This Row],[DSGN CALENDAR YEAR]])</f>
        <v>2022</v>
      </c>
      <c r="AC293" s="16">
        <f ca="1">Yards25[[#This Row],[est. DSGN Year]]+1</f>
        <v>2023</v>
      </c>
    </row>
    <row r="294" spans="1:29" hidden="1">
      <c r="A294" s="13" t="s">
        <v>357</v>
      </c>
      <c r="B294" s="51" t="str">
        <f>VLOOKUP(Yards25[[#This Row],[DEVELOPMENT]],Data[],2,FALSE)</f>
        <v>STATEN ISLAND</v>
      </c>
      <c r="C294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v2</v>
      </c>
      <c r="D294" s="51" t="str">
        <f>VLOOKUP(Yards25[[#This Row],[DEVELOPMENT]],Data[],52,FALSE)</f>
        <v>FEDERAL</v>
      </c>
      <c r="E294" s="50">
        <f>VLOOKUP(Yards25[[#This Row],[DEVELOPMENT]],Data[],8,FALSE)</f>
        <v>0</v>
      </c>
      <c r="F294" s="51" t="str">
        <f>VLOOKUP(Yards25[[#This Row],[DEVELOPMENT]],all[[DEVELOPMENT]:[MRST Ext. Comp. Priority]],6,FALSE)</f>
        <v>None</v>
      </c>
      <c r="G294" s="51" t="str">
        <f>VLOOKUP(Yards25[[#This Row],[DEVELOPMENT]],all[[DEVELOPMENT]:[MRST Ext. Comp. Priority]],13,FALSE)</f>
        <v>None</v>
      </c>
      <c r="H294" s="50">
        <f>IF(VLOOKUP(Yards25[[#This Row],[DEVELOPMENT]],Data[],9,FALSE)=0,5,VLOOKUP(Yards25[[#This Row],[DEVELOPMENT]],Data[],9,FALSE))</f>
        <v>5</v>
      </c>
      <c r="I294" s="51">
        <f>VLOOKUP(Yards25[[#This Row],[DEVELOPMENT]],Data[],33,FALSE)</f>
        <v>2</v>
      </c>
      <c r="J294" s="51">
        <f>VLOOKUP(Yards25[[#This Row],[DEVELOPMENT]],Data[],28,FALSE)</f>
        <v>0</v>
      </c>
      <c r="K294" s="51"/>
      <c r="L294" s="50"/>
      <c r="M294" s="51" t="str">
        <f ca="1">IFERROR(VLOOKUP(Yards25[[#This Row],[DEVELOPMENT]],Data[],4,FALSE),"")</f>
        <v/>
      </c>
      <c r="N294" s="51" t="str">
        <f ca="1">IF(Yards25[[#This Row],[RAD/PACT]]="","",IF(OR(Yards25[[#This Row],[RAD/PACT]]="2022-2025",Yards25[[#This Row],[RAD/PACT]]=2019,Yards25[[#This Row],[RAD/PACT]]="2020-2021"),"Yes",""))</f>
        <v/>
      </c>
      <c r="O294" s="51">
        <f ca="1">IFERROR(VLOOKUP(Yards25[[#This Row],[DEVELOPMENT]],ExtComp[],8,FALSE),"")</f>
        <v>5</v>
      </c>
      <c r="P294" s="51"/>
      <c r="Q294" s="51"/>
      <c r="R294" s="51" t="str">
        <f>IF(ISBLANK(Yards25[[#This Row],[DSGN CALENDAR YEAR]]),"",Yards25[[#This Row],[DSGN CALENDAR YEAR]]+1)</f>
        <v/>
      </c>
      <c r="S294" s="51" t="str">
        <f>IF(ISBLANK(Yards25[[#This Row],[DSGN FISCAL YEAR]]),"",Yards25[[#This Row],[DSGN FISCAL YEAR]]+1)</f>
        <v/>
      </c>
      <c r="T294" s="51"/>
      <c r="U294" s="128">
        <f ca="1">Yards25[[#This Row],[Estimate]]*0.1</f>
        <v>0</v>
      </c>
      <c r="V294" s="47">
        <f ca="1">Yards25[[#This Row],[Estimate]]-Yards25[[#This Row],[Design Est.]]</f>
        <v>0</v>
      </c>
      <c r="W294" s="85">
        <f ca="1">(Yards25[[#This Row],['# yards]]*INDEX(UnitCosts[],MATCH(Yards25[[#This Row],[WORK TYPE]],UnitCosts[Work Type],0),2))*(1+((Yards25[[#This Row],[est. CONS Year]]-YEAR(TODAY()))*$W$3))</f>
        <v>0</v>
      </c>
      <c r="X294" s="142">
        <f>IF(ISNUMBER(SEARCH("LLC",Yards25[[#This Row],[PROGRAM]])),IF(Yards25[[#This Row],[RAD/PACT by 2025]]="yes",0,1),0)</f>
        <v>0</v>
      </c>
      <c r="Y294" s="1"/>
      <c r="Z294" s="1"/>
      <c r="AA294" s="51">
        <f ca="1">COUNTIF($X$5:Yards25[[#This Row],['# yards]],"&gt;0")</f>
        <v>11</v>
      </c>
      <c r="AB294" s="1">
        <f ca="1">IF(ISBLANK(Yards25[[#This Row],[DSGN CALENDAR YEAR]]),ROUNDDOWN(Yards25[[#This Row],[Count]]/20,0)+$AB$1,Yards25[[#This Row],[DSGN CALENDAR YEAR]])</f>
        <v>2022</v>
      </c>
      <c r="AC294" s="16">
        <f ca="1">Yards25[[#This Row],[est. DSGN Year]]+1</f>
        <v>2023</v>
      </c>
    </row>
    <row r="295" spans="1:29" hidden="1">
      <c r="A295" s="13" t="s">
        <v>358</v>
      </c>
      <c r="B295" s="51" t="str">
        <f>VLOOKUP(Yards25[[#This Row],[DEVELOPMENT]],Data[],2,FALSE)</f>
        <v>MANHATTAN</v>
      </c>
      <c r="C295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95" s="51" t="str">
        <f>VLOOKUP(Yards25[[#This Row],[DEVELOPMENT]],Data[],52,FALSE)</f>
        <v>MHOP</v>
      </c>
      <c r="E295" s="50">
        <f>VLOOKUP(Yards25[[#This Row],[DEVELOPMENT]],Data[],8,FALSE)</f>
        <v>0</v>
      </c>
      <c r="F295" s="51" t="str">
        <f>VLOOKUP(Yards25[[#This Row],[DEVELOPMENT]],all[[DEVELOPMENT]:[MRST Ext. Comp. Priority]],6,FALSE)</f>
        <v>None</v>
      </c>
      <c r="G295" s="51">
        <f>VLOOKUP(Yards25[[#This Row],[DEVELOPMENT]],all[[DEVELOPMENT]:[MRST Ext. Comp. Priority]],13,FALSE)</f>
        <v>4</v>
      </c>
      <c r="H295" s="50">
        <f>IF(VLOOKUP(Yards25[[#This Row],[DEVELOPMENT]],Data[],9,FALSE)=0,5,VLOOKUP(Yards25[[#This Row],[DEVELOPMENT]],Data[],9,FALSE))</f>
        <v>5</v>
      </c>
      <c r="I295" s="51">
        <f>VLOOKUP(Yards25[[#This Row],[DEVELOPMENT]],Data[],33,FALSE)</f>
        <v>0</v>
      </c>
      <c r="J295" s="51">
        <f>VLOOKUP(Yards25[[#This Row],[DEVELOPMENT]],Data[],28,FALSE)</f>
        <v>0</v>
      </c>
      <c r="K295" s="51"/>
      <c r="L295" s="50"/>
      <c r="M295" s="51" t="str">
        <f ca="1">IFERROR(VLOOKUP(Yards25[[#This Row],[DEVELOPMENT]],Data[],4,FALSE),"")</f>
        <v>2020-2021</v>
      </c>
      <c r="N295" s="51" t="str">
        <f ca="1">IF(Yards25[[#This Row],[RAD/PACT]]="","",IF(OR(Yards25[[#This Row],[RAD/PACT]]="2022-2025",Yards25[[#This Row],[RAD/PACT]]=2019,Yards25[[#This Row],[RAD/PACT]]="2020-2021"),"Yes",""))</f>
        <v>Yes</v>
      </c>
      <c r="O295" s="51" t="str">
        <f ca="1">IFERROR(VLOOKUP(Yards25[[#This Row],[DEVELOPMENT]],ExtComp[],8,FALSE),"")</f>
        <v/>
      </c>
      <c r="P295" s="51"/>
      <c r="Q295" s="51"/>
      <c r="R295" s="51" t="str">
        <f>IF(ISBLANK(Yards25[[#This Row],[DSGN CALENDAR YEAR]]),"",Yards25[[#This Row],[DSGN CALENDAR YEAR]]+1)</f>
        <v/>
      </c>
      <c r="S295" s="51" t="str">
        <f>IF(ISBLANK(Yards25[[#This Row],[DSGN FISCAL YEAR]]),"",Yards25[[#This Row],[DSGN FISCAL YEAR]]+1)</f>
        <v/>
      </c>
      <c r="T295" s="51"/>
      <c r="U295" s="128">
        <f ca="1">Yards25[[#This Row],[Estimate]]*0.1</f>
        <v>0</v>
      </c>
      <c r="V295" s="47">
        <f ca="1">Yards25[[#This Row],[Estimate]]-Yards25[[#This Row],[Design Est.]]</f>
        <v>0</v>
      </c>
      <c r="W295" s="85">
        <f ca="1">(Yards25[[#This Row],['# yards]]*INDEX(UnitCosts[],MATCH(Yards25[[#This Row],[WORK TYPE]],UnitCosts[Work Type],0),2))*(1+((Yards25[[#This Row],[est. CONS Year]]-YEAR(TODAY()))*$W$3))</f>
        <v>0</v>
      </c>
      <c r="X295" s="142">
        <f>IF(ISNUMBER(SEARCH("LLC",Yards25[[#This Row],[PROGRAM]])),IF(Yards25[[#This Row],[RAD/PACT by 2025]]="yes",0,1),0)</f>
        <v>0</v>
      </c>
      <c r="Y295" s="1"/>
      <c r="Z295" s="1"/>
      <c r="AA295" s="51">
        <f ca="1">COUNTIF($X$5:Yards25[[#This Row],['# yards]],"&gt;0")</f>
        <v>11</v>
      </c>
      <c r="AB295" s="1">
        <f ca="1">IF(ISBLANK(Yards25[[#This Row],[DSGN CALENDAR YEAR]]),ROUNDDOWN(Yards25[[#This Row],[Count]]/20,0)+$AB$1,Yards25[[#This Row],[DSGN CALENDAR YEAR]])</f>
        <v>2022</v>
      </c>
      <c r="AC295" s="16">
        <f ca="1">Yards25[[#This Row],[est. DSGN Year]]+1</f>
        <v>2023</v>
      </c>
    </row>
    <row r="296" spans="1:29" hidden="1">
      <c r="A296" s="13" t="s">
        <v>360</v>
      </c>
      <c r="B296" s="51" t="str">
        <f>VLOOKUP(Yards25[[#This Row],[DEVELOPMENT]],Data[],2,FALSE)</f>
        <v>MANHATTAN</v>
      </c>
      <c r="C296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96" s="51" t="str">
        <f>VLOOKUP(Yards25[[#This Row],[DEVELOPMENT]],Data[],52,FALSE)</f>
        <v>MHOP</v>
      </c>
      <c r="E296" s="50">
        <f>VLOOKUP(Yards25[[#This Row],[DEVELOPMENT]],Data[],8,FALSE)</f>
        <v>0</v>
      </c>
      <c r="F296" s="51" t="str">
        <f>VLOOKUP(Yards25[[#This Row],[DEVELOPMENT]],all[[DEVELOPMENT]:[MRST Ext. Comp. Priority]],6,FALSE)</f>
        <v>None</v>
      </c>
      <c r="G296" s="51">
        <f>VLOOKUP(Yards25[[#This Row],[DEVELOPMENT]],all[[DEVELOPMENT]:[MRST Ext. Comp. Priority]],13,FALSE)</f>
        <v>2</v>
      </c>
      <c r="H296" s="50">
        <f>IF(VLOOKUP(Yards25[[#This Row],[DEVELOPMENT]],Data[],9,FALSE)=0,5,VLOOKUP(Yards25[[#This Row],[DEVELOPMENT]],Data[],9,FALSE))</f>
        <v>5</v>
      </c>
      <c r="I296" s="51">
        <f>VLOOKUP(Yards25[[#This Row],[DEVELOPMENT]],Data[],33,FALSE)</f>
        <v>0</v>
      </c>
      <c r="J296" s="51">
        <f>VLOOKUP(Yards25[[#This Row],[DEVELOPMENT]],Data[],28,FALSE)</f>
        <v>0</v>
      </c>
      <c r="K296" s="51"/>
      <c r="L296" s="50"/>
      <c r="M296" s="51" t="str">
        <f ca="1">IFERROR(VLOOKUP(Yards25[[#This Row],[DEVELOPMENT]],Data[],4,FALSE),"")</f>
        <v>2020-2021</v>
      </c>
      <c r="N296" s="51" t="str">
        <f ca="1">IF(Yards25[[#This Row],[RAD/PACT]]="","",IF(OR(Yards25[[#This Row],[RAD/PACT]]="2022-2025",Yards25[[#This Row],[RAD/PACT]]=2019,Yards25[[#This Row],[RAD/PACT]]="2020-2021"),"Yes",""))</f>
        <v>Yes</v>
      </c>
      <c r="O296" s="51" t="str">
        <f ca="1">IFERROR(VLOOKUP(Yards25[[#This Row],[DEVELOPMENT]],ExtComp[],8,FALSE),"")</f>
        <v/>
      </c>
      <c r="P296" s="51"/>
      <c r="Q296" s="51"/>
      <c r="R296" s="51" t="str">
        <f>IF(ISBLANK(Yards25[[#This Row],[DSGN CALENDAR YEAR]]),"",Yards25[[#This Row],[DSGN CALENDAR YEAR]]+1)</f>
        <v/>
      </c>
      <c r="S296" s="51" t="str">
        <f>IF(ISBLANK(Yards25[[#This Row],[DSGN FISCAL YEAR]]),"",Yards25[[#This Row],[DSGN FISCAL YEAR]]+1)</f>
        <v/>
      </c>
      <c r="T296" s="51"/>
      <c r="U296" s="128">
        <f ca="1">Yards25[[#This Row],[Estimate]]*0.1</f>
        <v>0</v>
      </c>
      <c r="V296" s="47">
        <f ca="1">Yards25[[#This Row],[Estimate]]-Yards25[[#This Row],[Design Est.]]</f>
        <v>0</v>
      </c>
      <c r="W296" s="85">
        <f ca="1">(Yards25[[#This Row],['# yards]]*INDEX(UnitCosts[],MATCH(Yards25[[#This Row],[WORK TYPE]],UnitCosts[Work Type],0),2))*(1+((Yards25[[#This Row],[est. CONS Year]]-YEAR(TODAY()))*$W$3))</f>
        <v>0</v>
      </c>
      <c r="X296" s="142">
        <f>IF(ISNUMBER(SEARCH("LLC",Yards25[[#This Row],[PROGRAM]])),IF(Yards25[[#This Row],[RAD/PACT by 2025]]="yes",0,1),0)</f>
        <v>0</v>
      </c>
      <c r="Y296" s="1"/>
      <c r="Z296" s="1"/>
      <c r="AA296" s="51">
        <f ca="1">COUNTIF($X$5:Yards25[[#This Row],['# yards]],"&gt;0")</f>
        <v>11</v>
      </c>
      <c r="AB296" s="1">
        <f ca="1">IF(ISBLANK(Yards25[[#This Row],[DSGN CALENDAR YEAR]]),ROUNDDOWN(Yards25[[#This Row],[Count]]/20,0)+$AB$1,Yards25[[#This Row],[DSGN CALENDAR YEAR]])</f>
        <v>2022</v>
      </c>
      <c r="AC296" s="16">
        <f ca="1">Yards25[[#This Row],[est. DSGN Year]]+1</f>
        <v>2023</v>
      </c>
    </row>
    <row r="297" spans="1:29" hidden="1">
      <c r="A297" s="13" t="s">
        <v>362</v>
      </c>
      <c r="B297" s="51" t="str">
        <f>VLOOKUP(Yards25[[#This Row],[DEVELOPMENT]],Data[],2,FALSE)</f>
        <v>QUEENS</v>
      </c>
      <c r="C297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97" s="51" t="str">
        <f>VLOOKUP(Yards25[[#This Row],[DEVELOPMENT]],Data[],52,FALSE)</f>
        <v>FEDERAL</v>
      </c>
      <c r="E297" s="50">
        <f>VLOOKUP(Yards25[[#This Row],[DEVELOPMENT]],Data[],8,FALSE)</f>
        <v>0</v>
      </c>
      <c r="F297" s="51" t="str">
        <f>VLOOKUP(Yards25[[#This Row],[DEVELOPMENT]],all[[DEVELOPMENT]:[MRST Ext. Comp. Priority]],6,FALSE)</f>
        <v>None</v>
      </c>
      <c r="G297" s="51">
        <f>VLOOKUP(Yards25[[#This Row],[DEVELOPMENT]],all[[DEVELOPMENT]:[MRST Ext. Comp. Priority]],13,FALSE)</f>
        <v>2</v>
      </c>
      <c r="H297" s="50">
        <f>IF(VLOOKUP(Yards25[[#This Row],[DEVELOPMENT]],Data[],9,FALSE)=0,5,VLOOKUP(Yards25[[#This Row],[DEVELOPMENT]],Data[],9,FALSE))</f>
        <v>5</v>
      </c>
      <c r="I297" s="51">
        <f>VLOOKUP(Yards25[[#This Row],[DEVELOPMENT]],Data[],33,FALSE)</f>
        <v>0</v>
      </c>
      <c r="J297" s="51">
        <f>VLOOKUP(Yards25[[#This Row],[DEVELOPMENT]],Data[],28,FALSE)</f>
        <v>0</v>
      </c>
      <c r="K297" s="51"/>
      <c r="L297" s="50"/>
      <c r="M297" s="51" t="str">
        <f ca="1">IFERROR(VLOOKUP(Yards25[[#This Row],[DEVELOPMENT]],Data[],4,FALSE),"")</f>
        <v/>
      </c>
      <c r="N297" s="51" t="str">
        <f ca="1">IF(Yards25[[#This Row],[RAD/PACT]]="","",IF(OR(Yards25[[#This Row],[RAD/PACT]]="2022-2025",Yards25[[#This Row],[RAD/PACT]]=2019,Yards25[[#This Row],[RAD/PACT]]="2020-2021"),"Yes",""))</f>
        <v/>
      </c>
      <c r="O297" s="51" t="str">
        <f ca="1">IFERROR(VLOOKUP(Yards25[[#This Row],[DEVELOPMENT]],ExtComp[],8,FALSE),"")</f>
        <v/>
      </c>
      <c r="P297" s="51"/>
      <c r="Q297" s="51"/>
      <c r="R297" s="51" t="str">
        <f>IF(ISBLANK(Yards25[[#This Row],[DSGN CALENDAR YEAR]]),"",Yards25[[#This Row],[DSGN CALENDAR YEAR]]+1)</f>
        <v/>
      </c>
      <c r="S297" s="51" t="str">
        <f>IF(ISBLANK(Yards25[[#This Row],[DSGN FISCAL YEAR]]),"",Yards25[[#This Row],[DSGN FISCAL YEAR]]+1)</f>
        <v/>
      </c>
      <c r="T297" s="51"/>
      <c r="U297" s="128">
        <f ca="1">Yards25[[#This Row],[Estimate]]*0.1</f>
        <v>0</v>
      </c>
      <c r="V297" s="47">
        <f ca="1">Yards25[[#This Row],[Estimate]]-Yards25[[#This Row],[Design Est.]]</f>
        <v>0</v>
      </c>
      <c r="W297" s="85">
        <f ca="1">(Yards25[[#This Row],['# yards]]*INDEX(UnitCosts[],MATCH(Yards25[[#This Row],[WORK TYPE]],UnitCosts[Work Type],0),2))*(1+((Yards25[[#This Row],[est. CONS Year]]-YEAR(TODAY()))*$W$3))</f>
        <v>0</v>
      </c>
      <c r="X297" s="142">
        <f>IF(ISNUMBER(SEARCH("LLC",Yards25[[#This Row],[PROGRAM]])),IF(Yards25[[#This Row],[RAD/PACT by 2025]]="yes",0,1),0)</f>
        <v>0</v>
      </c>
      <c r="Y297" s="1"/>
      <c r="Z297" s="1"/>
      <c r="AA297" s="51">
        <f ca="1">COUNTIF($X$5:Yards25[[#This Row],['# yards]],"&gt;0")</f>
        <v>11</v>
      </c>
      <c r="AB297" s="1">
        <f ca="1">IF(ISBLANK(Yards25[[#This Row],[DSGN CALENDAR YEAR]]),ROUNDDOWN(Yards25[[#This Row],[Count]]/20,0)+$AB$1,Yards25[[#This Row],[DSGN CALENDAR YEAR]])</f>
        <v>2022</v>
      </c>
      <c r="AC297" s="16">
        <f ca="1">Yards25[[#This Row],[est. DSGN Year]]+1</f>
        <v>2023</v>
      </c>
    </row>
    <row r="298" spans="1:29" hidden="1">
      <c r="A298" s="13" t="s">
        <v>363</v>
      </c>
      <c r="B298" s="51" t="str">
        <f>VLOOKUP(Yards25[[#This Row],[DEVELOPMENT]],Data[],2,FALSE)</f>
        <v>BRONX</v>
      </c>
      <c r="C298" s="51" t="str">
        <f ca="1"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v5</v>
      </c>
      <c r="D298" s="51" t="str">
        <f>VLOOKUP(Yards25[[#This Row],[DEVELOPMENT]],Data[],52,FALSE)</f>
        <v>FEDERAL</v>
      </c>
      <c r="E298" s="50">
        <f>VLOOKUP(Yards25[[#This Row],[DEVELOPMENT]],Data[],8,FALSE)</f>
        <v>0</v>
      </c>
      <c r="F298" s="51" t="str">
        <f>VLOOKUP(Yards25[[#This Row],[DEVELOPMENT]],all[[DEVELOPMENT]:[MRST Ext. Comp. Priority]],6,FALSE)</f>
        <v>None</v>
      </c>
      <c r="G298" s="51">
        <f>VLOOKUP(Yards25[[#This Row],[DEVELOPMENT]],all[[DEVELOPMENT]:[MRST Ext. Comp. Priority]],13,FALSE)</f>
        <v>2</v>
      </c>
      <c r="H298" s="50">
        <f>IF(VLOOKUP(Yards25[[#This Row],[DEVELOPMENT]],Data[],9,FALSE)=0,5,VLOOKUP(Yards25[[#This Row],[DEVELOPMENT]],Data[],9,FALSE))</f>
        <v>5</v>
      </c>
      <c r="I298" s="51">
        <f>VLOOKUP(Yards25[[#This Row],[DEVELOPMENT]],Data[],33,FALSE)</f>
        <v>4</v>
      </c>
      <c r="J298" s="51">
        <f>VLOOKUP(Yards25[[#This Row],[DEVELOPMENT]],Data[],28,FALSE)</f>
        <v>0</v>
      </c>
      <c r="K298" s="51"/>
      <c r="L298" s="50"/>
      <c r="M298" s="51" t="str">
        <f ca="1">IFERROR(VLOOKUP(Yards25[[#This Row],[DEVELOPMENT]],Data[],4,FALSE),"")</f>
        <v>2022-2025</v>
      </c>
      <c r="N298" s="51" t="str">
        <f ca="1">IF(Yards25[[#This Row],[RAD/PACT]]="","",IF(OR(Yards25[[#This Row],[RAD/PACT]]="2022-2025",Yards25[[#This Row],[RAD/PACT]]=2019,Yards25[[#This Row],[RAD/PACT]]="2020-2021"),"Yes",""))</f>
        <v>Yes</v>
      </c>
      <c r="O298" s="51">
        <f ca="1">IFERROR(VLOOKUP(Yards25[[#This Row],[DEVELOPMENT]],ExtComp[],8,FALSE),"")</f>
        <v>15</v>
      </c>
      <c r="P298" s="51"/>
      <c r="Q298" s="51"/>
      <c r="R298" s="51" t="str">
        <f>IF(ISBLANK(Yards25[[#This Row],[DSGN CALENDAR YEAR]]),"",Yards25[[#This Row],[DSGN CALENDAR YEAR]]+1)</f>
        <v/>
      </c>
      <c r="S298" s="51" t="str">
        <f>IF(ISBLANK(Yards25[[#This Row],[DSGN FISCAL YEAR]]),"",Yards25[[#This Row],[DSGN FISCAL YEAR]]+1)</f>
        <v/>
      </c>
      <c r="T298" s="51"/>
      <c r="U298" s="128">
        <f ca="1">Yards25[[#This Row],[Estimate]]*0.1</f>
        <v>0</v>
      </c>
      <c r="V298" s="47">
        <f ca="1">Yards25[[#This Row],[Estimate]]-Yards25[[#This Row],[Design Est.]]</f>
        <v>0</v>
      </c>
      <c r="W298" s="85">
        <f ca="1">(Yards25[[#This Row],['# yards]]*INDEX(UnitCosts[],MATCH(Yards25[[#This Row],[WORK TYPE]],UnitCosts[Work Type],0),2))*(1+((Yards25[[#This Row],[est. CONS Year]]-YEAR(TODAY()))*$W$3))</f>
        <v>0</v>
      </c>
      <c r="X298" s="142">
        <f>IF(ISNUMBER(SEARCH("LLC",Yards25[[#This Row],[PROGRAM]])),IF(Yards25[[#This Row],[RAD/PACT by 2025]]="yes",0,1),0)</f>
        <v>0</v>
      </c>
      <c r="Y298" s="1"/>
      <c r="Z298" s="1"/>
      <c r="AA298" s="51">
        <f ca="1">COUNTIF($X$5:Yards25[[#This Row],['# yards]],"&gt;0")</f>
        <v>11</v>
      </c>
      <c r="AB298" s="1">
        <f ca="1">IF(ISBLANK(Yards25[[#This Row],[DSGN CALENDAR YEAR]]),ROUNDDOWN(Yards25[[#This Row],[Count]]/20,0)+$AB$1,Yards25[[#This Row],[DSGN CALENDAR YEAR]])</f>
        <v>2022</v>
      </c>
      <c r="AC298" s="16">
        <f ca="1">Yards25[[#This Row],[est. DSGN Year]]+1</f>
        <v>2023</v>
      </c>
    </row>
    <row r="299" spans="1:29" hidden="1">
      <c r="A299" s="13" t="s">
        <v>366</v>
      </c>
      <c r="B299" s="51" t="str">
        <f>VLOOKUP(Yards25[[#This Row],[DEVELOPMENT]],Data[],2,FALSE)</f>
        <v>BROOKLYN</v>
      </c>
      <c r="C299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299" s="51" t="str">
        <f>VLOOKUP(Yards25[[#This Row],[DEVELOPMENT]],Data[],52,FALSE)</f>
        <v>FEDERAL</v>
      </c>
      <c r="E299" s="50">
        <f>VLOOKUP(Yards25[[#This Row],[DEVELOPMENT]],Data[],8,FALSE)</f>
        <v>0</v>
      </c>
      <c r="F299" s="51" t="str">
        <f>VLOOKUP(Yards25[[#This Row],[DEVELOPMENT]],all[[DEVELOPMENT]:[MRST Ext. Comp. Priority]],6,FALSE)</f>
        <v>None</v>
      </c>
      <c r="G299" s="51">
        <f>VLOOKUP(Yards25[[#This Row],[DEVELOPMENT]],all[[DEVELOPMENT]:[MRST Ext. Comp. Priority]],13,FALSE)</f>
        <v>4</v>
      </c>
      <c r="H299" s="50">
        <f>IF(VLOOKUP(Yards25[[#This Row],[DEVELOPMENT]],Data[],9,FALSE)=0,5,VLOOKUP(Yards25[[#This Row],[DEVELOPMENT]],Data[],9,FALSE))</f>
        <v>5</v>
      </c>
      <c r="I299" s="51">
        <f>VLOOKUP(Yards25[[#This Row],[DEVELOPMENT]],Data[],33,FALSE)</f>
        <v>0</v>
      </c>
      <c r="J299" s="51">
        <f>VLOOKUP(Yards25[[#This Row],[DEVELOPMENT]],Data[],28,FALSE)</f>
        <v>0</v>
      </c>
      <c r="K299" s="51"/>
      <c r="L299" s="50"/>
      <c r="M299" s="51" t="str">
        <f ca="1">IFERROR(VLOOKUP(Yards25[[#This Row],[DEVELOPMENT]],Data[],4,FALSE),"")</f>
        <v>2022-2025</v>
      </c>
      <c r="N299" s="51" t="str">
        <f ca="1">IF(Yards25[[#This Row],[RAD/PACT]]="","",IF(OR(Yards25[[#This Row],[RAD/PACT]]="2022-2025",Yards25[[#This Row],[RAD/PACT]]=2019,Yards25[[#This Row],[RAD/PACT]]="2020-2021"),"Yes",""))</f>
        <v>Yes</v>
      </c>
      <c r="O299" s="51" t="str">
        <f ca="1">IFERROR(VLOOKUP(Yards25[[#This Row],[DEVELOPMENT]],ExtComp[],8,FALSE),"")</f>
        <v/>
      </c>
      <c r="P299" s="51"/>
      <c r="Q299" s="51"/>
      <c r="R299" s="51" t="str">
        <f>IF(ISBLANK(Yards25[[#This Row],[DSGN CALENDAR YEAR]]),"",Yards25[[#This Row],[DSGN CALENDAR YEAR]]+1)</f>
        <v/>
      </c>
      <c r="S299" s="51" t="str">
        <f>IF(ISBLANK(Yards25[[#This Row],[DSGN FISCAL YEAR]]),"",Yards25[[#This Row],[DSGN FISCAL YEAR]]+1)</f>
        <v/>
      </c>
      <c r="T299" s="51"/>
      <c r="U299" s="128">
        <f ca="1">Yards25[[#This Row],[Estimate]]*0.1</f>
        <v>0</v>
      </c>
      <c r="V299" s="47">
        <f ca="1">Yards25[[#This Row],[Estimate]]-Yards25[[#This Row],[Design Est.]]</f>
        <v>0</v>
      </c>
      <c r="W299" s="85">
        <f ca="1">(Yards25[[#This Row],['# yards]]*INDEX(UnitCosts[],MATCH(Yards25[[#This Row],[WORK TYPE]],UnitCosts[Work Type],0),2))*(1+((Yards25[[#This Row],[est. CONS Year]]-YEAR(TODAY()))*$W$3))</f>
        <v>0</v>
      </c>
      <c r="X299" s="142">
        <f>IF(ISNUMBER(SEARCH("LLC",Yards25[[#This Row],[PROGRAM]])),IF(Yards25[[#This Row],[RAD/PACT by 2025]]="yes",0,1),0)</f>
        <v>0</v>
      </c>
      <c r="Y299" s="1"/>
      <c r="Z299" s="1"/>
      <c r="AA299" s="51">
        <f ca="1">COUNTIF($X$5:Yards25[[#This Row],['# yards]],"&gt;0")</f>
        <v>11</v>
      </c>
      <c r="AB299" s="1">
        <f ca="1">IF(ISBLANK(Yards25[[#This Row],[DSGN CALENDAR YEAR]]),ROUNDDOWN(Yards25[[#This Row],[Count]]/20,0)+$AB$1,Yards25[[#This Row],[DSGN CALENDAR YEAR]])</f>
        <v>2022</v>
      </c>
      <c r="AC299" s="16">
        <f ca="1">Yards25[[#This Row],[est. DSGN Year]]+1</f>
        <v>2023</v>
      </c>
    </row>
    <row r="300" spans="1:29" hidden="1">
      <c r="A300" s="13" t="s">
        <v>369</v>
      </c>
      <c r="B300" s="51" t="str">
        <f>VLOOKUP(Yards25[[#This Row],[DEVELOPMENT]],Data[],2,FALSE)</f>
        <v>BROOKLYN</v>
      </c>
      <c r="C300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00" s="51" t="str">
        <f>VLOOKUP(Yards25[[#This Row],[DEVELOPMENT]],Data[],52,FALSE)</f>
        <v>FEDERAL</v>
      </c>
      <c r="E300" s="50">
        <f>VLOOKUP(Yards25[[#This Row],[DEVELOPMENT]],Data[],8,FALSE)</f>
        <v>0</v>
      </c>
      <c r="F300" s="51" t="str">
        <f>VLOOKUP(Yards25[[#This Row],[DEVELOPMENT]],all[[DEVELOPMENT]:[MRST Ext. Comp. Priority]],6,FALSE)</f>
        <v>None</v>
      </c>
      <c r="G300" s="51">
        <f>VLOOKUP(Yards25[[#This Row],[DEVELOPMENT]],all[[DEVELOPMENT]:[MRST Ext. Comp. Priority]],13,FALSE)</f>
        <v>4</v>
      </c>
      <c r="H300" s="50">
        <f>IF(VLOOKUP(Yards25[[#This Row],[DEVELOPMENT]],Data[],9,FALSE)=0,5,VLOOKUP(Yards25[[#This Row],[DEVELOPMENT]],Data[],9,FALSE))</f>
        <v>5</v>
      </c>
      <c r="I300" s="51">
        <f>VLOOKUP(Yards25[[#This Row],[DEVELOPMENT]],Data[],33,FALSE)</f>
        <v>0</v>
      </c>
      <c r="J300" s="51">
        <f>VLOOKUP(Yards25[[#This Row],[DEVELOPMENT]],Data[],28,FALSE)</f>
        <v>0</v>
      </c>
      <c r="K300" s="51"/>
      <c r="L300" s="50"/>
      <c r="M300" s="51" t="str">
        <f ca="1">IFERROR(VLOOKUP(Yards25[[#This Row],[DEVELOPMENT]],Data[],4,FALSE),"")</f>
        <v>2020-2021</v>
      </c>
      <c r="N300" s="51" t="str">
        <f ca="1">IF(Yards25[[#This Row],[RAD/PACT]]="","",IF(OR(Yards25[[#This Row],[RAD/PACT]]="2022-2025",Yards25[[#This Row],[RAD/PACT]]=2019,Yards25[[#This Row],[RAD/PACT]]="2020-2021"),"Yes",""))</f>
        <v>Yes</v>
      </c>
      <c r="O300" s="51" t="str">
        <f ca="1">IFERROR(VLOOKUP(Yards25[[#This Row],[DEVELOPMENT]],ExtComp[],8,FALSE),"")</f>
        <v/>
      </c>
      <c r="P300" s="51"/>
      <c r="Q300" s="51"/>
      <c r="R300" s="51" t="str">
        <f>IF(ISBLANK(Yards25[[#This Row],[DSGN CALENDAR YEAR]]),"",Yards25[[#This Row],[DSGN CALENDAR YEAR]]+1)</f>
        <v/>
      </c>
      <c r="S300" s="51" t="str">
        <f>IF(ISBLANK(Yards25[[#This Row],[DSGN FISCAL YEAR]]),"",Yards25[[#This Row],[DSGN FISCAL YEAR]]+1)</f>
        <v/>
      </c>
      <c r="T300" s="51"/>
      <c r="U300" s="128">
        <f ca="1">Yards25[[#This Row],[Estimate]]*0.1</f>
        <v>0</v>
      </c>
      <c r="V300" s="47">
        <f ca="1">Yards25[[#This Row],[Estimate]]-Yards25[[#This Row],[Design Est.]]</f>
        <v>0</v>
      </c>
      <c r="W300" s="85">
        <f ca="1">(Yards25[[#This Row],['# yards]]*INDEX(UnitCosts[],MATCH(Yards25[[#This Row],[WORK TYPE]],UnitCosts[Work Type],0),2))*(1+((Yards25[[#This Row],[est. CONS Year]]-YEAR(TODAY()))*$W$3))</f>
        <v>0</v>
      </c>
      <c r="X300" s="142">
        <f>IF(ISNUMBER(SEARCH("LLC",Yards25[[#This Row],[PROGRAM]])),IF(Yards25[[#This Row],[RAD/PACT by 2025]]="yes",0,1),0)</f>
        <v>0</v>
      </c>
      <c r="Y300" s="1"/>
      <c r="Z300" s="1"/>
      <c r="AA300" s="51">
        <f ca="1">COUNTIF($X$5:Yards25[[#This Row],['# yards]],"&gt;0")</f>
        <v>11</v>
      </c>
      <c r="AB300" s="1">
        <f ca="1">IF(ISBLANK(Yards25[[#This Row],[DSGN CALENDAR YEAR]]),ROUNDDOWN(Yards25[[#This Row],[Count]]/20,0)+$AB$1,Yards25[[#This Row],[DSGN CALENDAR YEAR]])</f>
        <v>2022</v>
      </c>
      <c r="AC300" s="16">
        <f ca="1">Yards25[[#This Row],[est. DSGN Year]]+1</f>
        <v>2023</v>
      </c>
    </row>
    <row r="301" spans="1:29" hidden="1">
      <c r="A301" s="13" t="s">
        <v>372</v>
      </c>
      <c r="B301" s="51" t="str">
        <f>VLOOKUP(Yards25[[#This Row],[DEVELOPMENT]],Data[],2,FALSE)</f>
        <v>BRONX</v>
      </c>
      <c r="C301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01" s="51" t="str">
        <f>VLOOKUP(Yards25[[#This Row],[DEVELOPMENT]],Data[],52,FALSE)</f>
        <v>FEDERAL</v>
      </c>
      <c r="E301" s="50">
        <f>VLOOKUP(Yards25[[#This Row],[DEVELOPMENT]],Data[],8,FALSE)</f>
        <v>0</v>
      </c>
      <c r="F301" s="51" t="str">
        <f>VLOOKUP(Yards25[[#This Row],[DEVELOPMENT]],all[[DEVELOPMENT]:[MRST Ext. Comp. Priority]],6,FALSE)</f>
        <v>None</v>
      </c>
      <c r="G301" s="51">
        <f>VLOOKUP(Yards25[[#This Row],[DEVELOPMENT]],all[[DEVELOPMENT]:[MRST Ext. Comp. Priority]],13,FALSE)</f>
        <v>3</v>
      </c>
      <c r="H301" s="50">
        <f>IF(VLOOKUP(Yards25[[#This Row],[DEVELOPMENT]],Data[],9,FALSE)=0,5,VLOOKUP(Yards25[[#This Row],[DEVELOPMENT]],Data[],9,FALSE))</f>
        <v>5</v>
      </c>
      <c r="I301" s="51">
        <f>VLOOKUP(Yards25[[#This Row],[DEVELOPMENT]],Data[],33,FALSE)</f>
        <v>0</v>
      </c>
      <c r="J301" s="51">
        <f>VLOOKUP(Yards25[[#This Row],[DEVELOPMENT]],Data[],28,FALSE)</f>
        <v>0</v>
      </c>
      <c r="K301" s="51"/>
      <c r="L301" s="50"/>
      <c r="M301" s="51" t="str">
        <f ca="1">IFERROR(VLOOKUP(Yards25[[#This Row],[DEVELOPMENT]],Data[],4,FALSE),"")</f>
        <v/>
      </c>
      <c r="N301" s="51" t="str">
        <f ca="1">IF(Yards25[[#This Row],[RAD/PACT]]="","",IF(OR(Yards25[[#This Row],[RAD/PACT]]="2022-2025",Yards25[[#This Row],[RAD/PACT]]=2019,Yards25[[#This Row],[RAD/PACT]]="2020-2021"),"Yes",""))</f>
        <v/>
      </c>
      <c r="O301" s="51" t="str">
        <f ca="1">IFERROR(VLOOKUP(Yards25[[#This Row],[DEVELOPMENT]],ExtComp[],8,FALSE),"")</f>
        <v/>
      </c>
      <c r="P301" s="51"/>
      <c r="Q301" s="51"/>
      <c r="R301" s="51" t="str">
        <f>IF(ISBLANK(Yards25[[#This Row],[DSGN CALENDAR YEAR]]),"",Yards25[[#This Row],[DSGN CALENDAR YEAR]]+1)</f>
        <v/>
      </c>
      <c r="S301" s="51" t="str">
        <f>IF(ISBLANK(Yards25[[#This Row],[DSGN FISCAL YEAR]]),"",Yards25[[#This Row],[DSGN FISCAL YEAR]]+1)</f>
        <v/>
      </c>
      <c r="T301" s="51"/>
      <c r="U301" s="128">
        <f ca="1">Yards25[[#This Row],[Estimate]]*0.1</f>
        <v>0</v>
      </c>
      <c r="V301" s="47">
        <f ca="1">Yards25[[#This Row],[Estimate]]-Yards25[[#This Row],[Design Est.]]</f>
        <v>0</v>
      </c>
      <c r="W301" s="85">
        <f ca="1">(Yards25[[#This Row],['# yards]]*INDEX(UnitCosts[],MATCH(Yards25[[#This Row],[WORK TYPE]],UnitCosts[Work Type],0),2))*(1+((Yards25[[#This Row],[est. CONS Year]]-YEAR(TODAY()))*$W$3))</f>
        <v>0</v>
      </c>
      <c r="X301" s="142">
        <f>IF(ISNUMBER(SEARCH("LLC",Yards25[[#This Row],[PROGRAM]])),IF(Yards25[[#This Row],[RAD/PACT by 2025]]="yes",0,1),0)</f>
        <v>0</v>
      </c>
      <c r="Y301" s="1"/>
      <c r="Z301" s="1"/>
      <c r="AA301" s="51">
        <f ca="1">COUNTIF($X$5:Yards25[[#This Row],['# yards]],"&gt;0")</f>
        <v>11</v>
      </c>
      <c r="AB301" s="1">
        <f ca="1">IF(ISBLANK(Yards25[[#This Row],[DSGN CALENDAR YEAR]]),ROUNDDOWN(Yards25[[#This Row],[Count]]/20,0)+$AB$1,Yards25[[#This Row],[DSGN CALENDAR YEAR]])</f>
        <v>2022</v>
      </c>
      <c r="AC301" s="16">
        <f ca="1">Yards25[[#This Row],[est. DSGN Year]]+1</f>
        <v>2023</v>
      </c>
    </row>
    <row r="302" spans="1:29" hidden="1">
      <c r="A302" s="13" t="s">
        <v>374</v>
      </c>
      <c r="B302" s="51" t="str">
        <f>VLOOKUP(Yards25[[#This Row],[DEVELOPMENT]],Data[],2,FALSE)</f>
        <v>BROOKLYN</v>
      </c>
      <c r="C302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02" s="51" t="str">
        <f>VLOOKUP(Yards25[[#This Row],[DEVELOPMENT]],Data[],52,FALSE)</f>
        <v>FEDERAL</v>
      </c>
      <c r="E302" s="50">
        <f>VLOOKUP(Yards25[[#This Row],[DEVELOPMENT]],Data[],8,FALSE)</f>
        <v>0</v>
      </c>
      <c r="F302" s="51" t="str">
        <f>VLOOKUP(Yards25[[#This Row],[DEVELOPMENT]],all[[DEVELOPMENT]:[MRST Ext. Comp. Priority]],6,FALSE)</f>
        <v>None</v>
      </c>
      <c r="G302" s="51">
        <f>VLOOKUP(Yards25[[#This Row],[DEVELOPMENT]],all[[DEVELOPMENT]:[MRST Ext. Comp. Priority]],13,FALSE)</f>
        <v>4</v>
      </c>
      <c r="H302" s="50">
        <f>IF(VLOOKUP(Yards25[[#This Row],[DEVELOPMENT]],Data[],9,FALSE)=0,5,VLOOKUP(Yards25[[#This Row],[DEVELOPMENT]],Data[],9,FALSE))</f>
        <v>5</v>
      </c>
      <c r="I302" s="51">
        <f>VLOOKUP(Yards25[[#This Row],[DEVELOPMENT]],Data[],33,FALSE)</f>
        <v>0</v>
      </c>
      <c r="J302" s="51">
        <f>VLOOKUP(Yards25[[#This Row],[DEVELOPMENT]],Data[],28,FALSE)</f>
        <v>0</v>
      </c>
      <c r="K302" s="51"/>
      <c r="L302" s="50"/>
      <c r="M302" s="51" t="str">
        <f ca="1">IFERROR(VLOOKUP(Yards25[[#This Row],[DEVELOPMENT]],Data[],4,FALSE),"")</f>
        <v/>
      </c>
      <c r="N302" s="51" t="str">
        <f ca="1">IF(Yards25[[#This Row],[RAD/PACT]]="","",IF(OR(Yards25[[#This Row],[RAD/PACT]]="2022-2025",Yards25[[#This Row],[RAD/PACT]]=2019,Yards25[[#This Row],[RAD/PACT]]="2020-2021"),"Yes",""))</f>
        <v/>
      </c>
      <c r="O302" s="51" t="str">
        <f ca="1">IFERROR(VLOOKUP(Yards25[[#This Row],[DEVELOPMENT]],ExtComp[],8,FALSE),"")</f>
        <v/>
      </c>
      <c r="P302" s="51"/>
      <c r="Q302" s="51"/>
      <c r="R302" s="51" t="str">
        <f>IF(ISBLANK(Yards25[[#This Row],[DSGN CALENDAR YEAR]]),"",Yards25[[#This Row],[DSGN CALENDAR YEAR]]+1)</f>
        <v/>
      </c>
      <c r="S302" s="51" t="str">
        <f>IF(ISBLANK(Yards25[[#This Row],[DSGN FISCAL YEAR]]),"",Yards25[[#This Row],[DSGN FISCAL YEAR]]+1)</f>
        <v/>
      </c>
      <c r="T302" s="51"/>
      <c r="U302" s="128">
        <f ca="1">Yards25[[#This Row],[Estimate]]*0.1</f>
        <v>0</v>
      </c>
      <c r="V302" s="47">
        <f ca="1">Yards25[[#This Row],[Estimate]]-Yards25[[#This Row],[Design Est.]]</f>
        <v>0</v>
      </c>
      <c r="W302" s="85">
        <f ca="1">(Yards25[[#This Row],['# yards]]*INDEX(UnitCosts[],MATCH(Yards25[[#This Row],[WORK TYPE]],UnitCosts[Work Type],0),2))*(1+((Yards25[[#This Row],[est. CONS Year]]-YEAR(TODAY()))*$W$3))</f>
        <v>0</v>
      </c>
      <c r="X302" s="142">
        <f>IF(ISNUMBER(SEARCH("LLC",Yards25[[#This Row],[PROGRAM]])),IF(Yards25[[#This Row],[RAD/PACT by 2025]]="yes",0,1),0)</f>
        <v>0</v>
      </c>
      <c r="Y302" s="1"/>
      <c r="Z302" s="1"/>
      <c r="AA302" s="51">
        <f ca="1">COUNTIF($X$5:Yards25[[#This Row],['# yards]],"&gt;0")</f>
        <v>11</v>
      </c>
      <c r="AB302" s="1">
        <f ca="1">IF(ISBLANK(Yards25[[#This Row],[DSGN CALENDAR YEAR]]),ROUNDDOWN(Yards25[[#This Row],[Count]]/20,0)+$AB$1,Yards25[[#This Row],[DSGN CALENDAR YEAR]])</f>
        <v>2022</v>
      </c>
      <c r="AC302" s="16">
        <f ca="1">Yards25[[#This Row],[est. DSGN Year]]+1</f>
        <v>2023</v>
      </c>
    </row>
    <row r="303" spans="1:29" hidden="1">
      <c r="A303" s="13" t="s">
        <v>375</v>
      </c>
      <c r="B303" s="51" t="str">
        <f>VLOOKUP(Yards25[[#This Row],[DEVELOPMENT]],Data[],2,FALSE)</f>
        <v>BROOKLYN</v>
      </c>
      <c r="C303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03" s="51" t="str">
        <f>VLOOKUP(Yards25[[#This Row],[DEVELOPMENT]],Data[],52,FALSE)</f>
        <v>FEDERAL</v>
      </c>
      <c r="E303" s="50">
        <f>VLOOKUP(Yards25[[#This Row],[DEVELOPMENT]],Data[],8,FALSE)</f>
        <v>0</v>
      </c>
      <c r="F303" s="51" t="str">
        <f>VLOOKUP(Yards25[[#This Row],[DEVELOPMENT]],all[[DEVELOPMENT]:[MRST Ext. Comp. Priority]],6,FALSE)</f>
        <v>None</v>
      </c>
      <c r="G303" s="51">
        <f>VLOOKUP(Yards25[[#This Row],[DEVELOPMENT]],all[[DEVELOPMENT]:[MRST Ext. Comp. Priority]],13,FALSE)</f>
        <v>3</v>
      </c>
      <c r="H303" s="50">
        <f>IF(VLOOKUP(Yards25[[#This Row],[DEVELOPMENT]],Data[],9,FALSE)=0,5,VLOOKUP(Yards25[[#This Row],[DEVELOPMENT]],Data[],9,FALSE))</f>
        <v>5</v>
      </c>
      <c r="I303" s="51">
        <f>VLOOKUP(Yards25[[#This Row],[DEVELOPMENT]],Data[],33,FALSE)</f>
        <v>0</v>
      </c>
      <c r="J303" s="51">
        <f>VLOOKUP(Yards25[[#This Row],[DEVELOPMENT]],Data[],28,FALSE)</f>
        <v>0</v>
      </c>
      <c r="K303" s="51"/>
      <c r="L303" s="50"/>
      <c r="M303" s="51" t="str">
        <f ca="1">IFERROR(VLOOKUP(Yards25[[#This Row],[DEVELOPMENT]],Data[],4,FALSE),"")</f>
        <v/>
      </c>
      <c r="N303" s="51" t="str">
        <f ca="1">IF(Yards25[[#This Row],[RAD/PACT]]="","",IF(OR(Yards25[[#This Row],[RAD/PACT]]="2022-2025",Yards25[[#This Row],[RAD/PACT]]=2019,Yards25[[#This Row],[RAD/PACT]]="2020-2021"),"Yes",""))</f>
        <v/>
      </c>
      <c r="O303" s="51" t="str">
        <f ca="1">IFERROR(VLOOKUP(Yards25[[#This Row],[DEVELOPMENT]],ExtComp[],8,FALSE),"")</f>
        <v/>
      </c>
      <c r="P303" s="51"/>
      <c r="Q303" s="51"/>
      <c r="R303" s="51" t="str">
        <f>IF(ISBLANK(Yards25[[#This Row],[DSGN CALENDAR YEAR]]),"",Yards25[[#This Row],[DSGN CALENDAR YEAR]]+1)</f>
        <v/>
      </c>
      <c r="S303" s="51" t="str">
        <f>IF(ISBLANK(Yards25[[#This Row],[DSGN FISCAL YEAR]]),"",Yards25[[#This Row],[DSGN FISCAL YEAR]]+1)</f>
        <v/>
      </c>
      <c r="T303" s="51"/>
      <c r="U303" s="128">
        <f ca="1">Yards25[[#This Row],[Estimate]]*0.1</f>
        <v>0</v>
      </c>
      <c r="V303" s="47">
        <f ca="1">Yards25[[#This Row],[Estimate]]-Yards25[[#This Row],[Design Est.]]</f>
        <v>0</v>
      </c>
      <c r="W303" s="85">
        <f ca="1">(Yards25[[#This Row],['# yards]]*INDEX(UnitCosts[],MATCH(Yards25[[#This Row],[WORK TYPE]],UnitCosts[Work Type],0),2))*(1+((Yards25[[#This Row],[est. CONS Year]]-YEAR(TODAY()))*$W$3))</f>
        <v>0</v>
      </c>
      <c r="X303" s="142">
        <f>IF(ISNUMBER(SEARCH("LLC",Yards25[[#This Row],[PROGRAM]])),IF(Yards25[[#This Row],[RAD/PACT by 2025]]="yes",0,1),0)</f>
        <v>0</v>
      </c>
      <c r="Y303" s="1"/>
      <c r="Z303" s="1"/>
      <c r="AA303" s="51">
        <f ca="1">COUNTIF($X$5:Yards25[[#This Row],['# yards]],"&gt;0")</f>
        <v>11</v>
      </c>
      <c r="AB303" s="1">
        <f ca="1">IF(ISBLANK(Yards25[[#This Row],[DSGN CALENDAR YEAR]]),ROUNDDOWN(Yards25[[#This Row],[Count]]/20,0)+$AB$1,Yards25[[#This Row],[DSGN CALENDAR YEAR]])</f>
        <v>2022</v>
      </c>
      <c r="AC303" s="16">
        <f ca="1">Yards25[[#This Row],[est. DSGN Year]]+1</f>
        <v>2023</v>
      </c>
    </row>
    <row r="304" spans="1:29" hidden="1">
      <c r="A304" s="13" t="s">
        <v>376</v>
      </c>
      <c r="B304" s="51" t="str">
        <f>VLOOKUP(Yards25[[#This Row],[DEVELOPMENT]],Data[],2,FALSE)</f>
        <v>MANHATTAN</v>
      </c>
      <c r="C304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04" s="51" t="str">
        <f>VLOOKUP(Yards25[[#This Row],[DEVELOPMENT]],Data[],52,FALSE)</f>
        <v>FEDERAL</v>
      </c>
      <c r="E304" s="50">
        <f>VLOOKUP(Yards25[[#This Row],[DEVELOPMENT]],Data[],8,FALSE)</f>
        <v>0</v>
      </c>
      <c r="F304" s="51" t="str">
        <f>VLOOKUP(Yards25[[#This Row],[DEVELOPMENT]],all[[DEVELOPMENT]:[MRST Ext. Comp. Priority]],6,FALSE)</f>
        <v>None</v>
      </c>
      <c r="G304" s="51">
        <f>VLOOKUP(Yards25[[#This Row],[DEVELOPMENT]],all[[DEVELOPMENT]:[MRST Ext. Comp. Priority]],13,FALSE)</f>
        <v>4</v>
      </c>
      <c r="H304" s="50">
        <f>IF(VLOOKUP(Yards25[[#This Row],[DEVELOPMENT]],Data[],9,FALSE)=0,5,VLOOKUP(Yards25[[#This Row],[DEVELOPMENT]],Data[],9,FALSE))</f>
        <v>5</v>
      </c>
      <c r="I304" s="51">
        <f>VLOOKUP(Yards25[[#This Row],[DEVELOPMENT]],Data[],33,FALSE)</f>
        <v>0</v>
      </c>
      <c r="J304" s="51">
        <f>VLOOKUP(Yards25[[#This Row],[DEVELOPMENT]],Data[],28,FALSE)</f>
        <v>0</v>
      </c>
      <c r="K304" s="51"/>
      <c r="L304" s="50"/>
      <c r="M304" s="51" t="str">
        <f ca="1">IFERROR(VLOOKUP(Yards25[[#This Row],[DEVELOPMENT]],Data[],4,FALSE),"")</f>
        <v>2020-2021</v>
      </c>
      <c r="N304" s="51" t="str">
        <f ca="1">IF(Yards25[[#This Row],[RAD/PACT]]="","",IF(OR(Yards25[[#This Row],[RAD/PACT]]="2022-2025",Yards25[[#This Row],[RAD/PACT]]=2019,Yards25[[#This Row],[RAD/PACT]]="2020-2021"),"Yes",""))</f>
        <v>Yes</v>
      </c>
      <c r="O304" s="51" t="str">
        <f ca="1">IFERROR(VLOOKUP(Yards25[[#This Row],[DEVELOPMENT]],ExtComp[],8,FALSE),"")</f>
        <v/>
      </c>
      <c r="P304" s="51"/>
      <c r="Q304" s="51"/>
      <c r="R304" s="51" t="str">
        <f>IF(ISBLANK(Yards25[[#This Row],[DSGN CALENDAR YEAR]]),"",Yards25[[#This Row],[DSGN CALENDAR YEAR]]+1)</f>
        <v/>
      </c>
      <c r="S304" s="51" t="str">
        <f>IF(ISBLANK(Yards25[[#This Row],[DSGN FISCAL YEAR]]),"",Yards25[[#This Row],[DSGN FISCAL YEAR]]+1)</f>
        <v/>
      </c>
      <c r="T304" s="51"/>
      <c r="U304" s="128">
        <f ca="1">Yards25[[#This Row],[Estimate]]*0.1</f>
        <v>0</v>
      </c>
      <c r="V304" s="47">
        <f ca="1">Yards25[[#This Row],[Estimate]]-Yards25[[#This Row],[Design Est.]]</f>
        <v>0</v>
      </c>
      <c r="W304" s="85">
        <f ca="1">(Yards25[[#This Row],['# yards]]*INDEX(UnitCosts[],MATCH(Yards25[[#This Row],[WORK TYPE]],UnitCosts[Work Type],0),2))*(1+((Yards25[[#This Row],[est. CONS Year]]-YEAR(TODAY()))*$W$3))</f>
        <v>0</v>
      </c>
      <c r="X304" s="142">
        <f>IF(ISNUMBER(SEARCH("LLC",Yards25[[#This Row],[PROGRAM]])),IF(Yards25[[#This Row],[RAD/PACT by 2025]]="yes",0,1),0)</f>
        <v>0</v>
      </c>
      <c r="Y304" s="1"/>
      <c r="Z304" s="1"/>
      <c r="AA304" s="51">
        <f ca="1">COUNTIF($X$5:Yards25[[#This Row],['# yards]],"&gt;0")</f>
        <v>11</v>
      </c>
      <c r="AB304" s="1">
        <f ca="1">IF(ISBLANK(Yards25[[#This Row],[DSGN CALENDAR YEAR]]),ROUNDDOWN(Yards25[[#This Row],[Count]]/20,0)+$AB$1,Yards25[[#This Row],[DSGN CALENDAR YEAR]])</f>
        <v>2022</v>
      </c>
      <c r="AC304" s="16">
        <f ca="1">Yards25[[#This Row],[est. DSGN Year]]+1</f>
        <v>2023</v>
      </c>
    </row>
    <row r="305" spans="1:29" hidden="1">
      <c r="A305" s="13" t="s">
        <v>378</v>
      </c>
      <c r="B305" s="51" t="str">
        <f>VLOOKUP(Yards25[[#This Row],[DEVELOPMENT]],Data[],2,FALSE)</f>
        <v>MANHATTAN</v>
      </c>
      <c r="C30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05" s="51" t="str">
        <f>VLOOKUP(Yards25[[#This Row],[DEVELOPMENT]],Data[],52,FALSE)</f>
        <v>FEDERAL</v>
      </c>
      <c r="E305" s="50">
        <f>VLOOKUP(Yards25[[#This Row],[DEVELOPMENT]],Data[],8,FALSE)</f>
        <v>0</v>
      </c>
      <c r="F305" s="51" t="str">
        <f>VLOOKUP(Yards25[[#This Row],[DEVELOPMENT]],all[[DEVELOPMENT]:[MRST Ext. Comp. Priority]],6,FALSE)</f>
        <v>None</v>
      </c>
      <c r="G305" s="51" t="str">
        <f>VLOOKUP(Yards25[[#This Row],[DEVELOPMENT]],all[[DEVELOPMENT]:[MRST Ext. Comp. Priority]],13,FALSE)</f>
        <v>None</v>
      </c>
      <c r="H305" s="50">
        <f>IF(VLOOKUP(Yards25[[#This Row],[DEVELOPMENT]],Data[],9,FALSE)=0,5,VLOOKUP(Yards25[[#This Row],[DEVELOPMENT]],Data[],9,FALSE))</f>
        <v>5</v>
      </c>
      <c r="I305" s="51">
        <f>VLOOKUP(Yards25[[#This Row],[DEVELOPMENT]],Data[],33,FALSE)</f>
        <v>0</v>
      </c>
      <c r="J305" s="51">
        <f>VLOOKUP(Yards25[[#This Row],[DEVELOPMENT]],Data[],28,FALSE)</f>
        <v>0</v>
      </c>
      <c r="K305" s="51"/>
      <c r="L305" s="50"/>
      <c r="M305" s="51" t="str">
        <f ca="1">IFERROR(VLOOKUP(Yards25[[#This Row],[DEVELOPMENT]],Data[],4,FALSE),"")</f>
        <v/>
      </c>
      <c r="N305" s="51" t="str">
        <f ca="1">IF(Yards25[[#This Row],[RAD/PACT]]="","",IF(OR(Yards25[[#This Row],[RAD/PACT]]="2022-2025",Yards25[[#This Row],[RAD/PACT]]=2019,Yards25[[#This Row],[RAD/PACT]]="2020-2021"),"Yes",""))</f>
        <v/>
      </c>
      <c r="O305" s="51" t="str">
        <f ca="1">IFERROR(VLOOKUP(Yards25[[#This Row],[DEVELOPMENT]],ExtComp[],8,FALSE),"")</f>
        <v/>
      </c>
      <c r="P305" s="51"/>
      <c r="Q305" s="51"/>
      <c r="R305" s="51" t="str">
        <f>IF(ISBLANK(Yards25[[#This Row],[DSGN CALENDAR YEAR]]),"",Yards25[[#This Row],[DSGN CALENDAR YEAR]]+1)</f>
        <v/>
      </c>
      <c r="S305" s="51" t="str">
        <f>IF(ISBLANK(Yards25[[#This Row],[DSGN FISCAL YEAR]]),"",Yards25[[#This Row],[DSGN FISCAL YEAR]]+1)</f>
        <v/>
      </c>
      <c r="T305" s="51"/>
      <c r="U305" s="128">
        <f ca="1">Yards25[[#This Row],[Estimate]]*0.1</f>
        <v>0</v>
      </c>
      <c r="V305" s="47">
        <f ca="1">Yards25[[#This Row],[Estimate]]-Yards25[[#This Row],[Design Est.]]</f>
        <v>0</v>
      </c>
      <c r="W305" s="85">
        <f ca="1">(Yards25[[#This Row],['# yards]]*INDEX(UnitCosts[],MATCH(Yards25[[#This Row],[WORK TYPE]],UnitCosts[Work Type],0),2))*(1+((Yards25[[#This Row],[est. CONS Year]]-YEAR(TODAY()))*$W$3))</f>
        <v>0</v>
      </c>
      <c r="X305" s="142">
        <f>IF(ISNUMBER(SEARCH("LLC",Yards25[[#This Row],[PROGRAM]])),IF(Yards25[[#This Row],[RAD/PACT by 2025]]="yes",0,1),0)</f>
        <v>0</v>
      </c>
      <c r="Y305" s="1"/>
      <c r="Z305" s="1"/>
      <c r="AA305" s="51">
        <f ca="1">COUNTIF($X$5:Yards25[[#This Row],['# yards]],"&gt;0")</f>
        <v>11</v>
      </c>
      <c r="AB305" s="1">
        <f ca="1">IF(ISBLANK(Yards25[[#This Row],[DSGN CALENDAR YEAR]]),ROUNDDOWN(Yards25[[#This Row],[Count]]/20,0)+$AB$1,Yards25[[#This Row],[DSGN CALENDAR YEAR]])</f>
        <v>2022</v>
      </c>
      <c r="AC305" s="16">
        <f ca="1">Yards25[[#This Row],[est. DSGN Year]]+1</f>
        <v>2023</v>
      </c>
    </row>
    <row r="306" spans="1:29" hidden="1">
      <c r="A306" s="13" t="s">
        <v>379</v>
      </c>
      <c r="B306" s="51" t="str">
        <f>VLOOKUP(Yards25[[#This Row],[DEVELOPMENT]],Data[],2,FALSE)</f>
        <v>MANHATTAN</v>
      </c>
      <c r="C306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06" s="51" t="str">
        <f>VLOOKUP(Yards25[[#This Row],[DEVELOPMENT]],Data[],52,FALSE)</f>
        <v>FEDERAL</v>
      </c>
      <c r="E306" s="50">
        <f>VLOOKUP(Yards25[[#This Row],[DEVELOPMENT]],Data[],8,FALSE)</f>
        <v>0</v>
      </c>
      <c r="F306" s="51" t="str">
        <f>VLOOKUP(Yards25[[#This Row],[DEVELOPMENT]],all[[DEVELOPMENT]:[MRST Ext. Comp. Priority]],6,FALSE)</f>
        <v>None</v>
      </c>
      <c r="G306" s="51" t="str">
        <f>VLOOKUP(Yards25[[#This Row],[DEVELOPMENT]],all[[DEVELOPMENT]:[MRST Ext. Comp. Priority]],13,FALSE)</f>
        <v>None</v>
      </c>
      <c r="H306" s="50">
        <f>IF(VLOOKUP(Yards25[[#This Row],[DEVELOPMENT]],Data[],9,FALSE)=0,5,VLOOKUP(Yards25[[#This Row],[DEVELOPMENT]],Data[],9,FALSE))</f>
        <v>5</v>
      </c>
      <c r="I306" s="51">
        <f>VLOOKUP(Yards25[[#This Row],[DEVELOPMENT]],Data[],33,FALSE)</f>
        <v>0</v>
      </c>
      <c r="J306" s="51">
        <f>VLOOKUP(Yards25[[#This Row],[DEVELOPMENT]],Data[],28,FALSE)</f>
        <v>0</v>
      </c>
      <c r="K306" s="51"/>
      <c r="L306" s="50"/>
      <c r="M306" s="51" t="str">
        <f ca="1">IFERROR(VLOOKUP(Yards25[[#This Row],[DEVELOPMENT]],Data[],4,FALSE),"")</f>
        <v>2020-2021</v>
      </c>
      <c r="N306" s="51" t="str">
        <f ca="1">IF(Yards25[[#This Row],[RAD/PACT]]="","",IF(OR(Yards25[[#This Row],[RAD/PACT]]="2022-2025",Yards25[[#This Row],[RAD/PACT]]=2019,Yards25[[#This Row],[RAD/PACT]]="2020-2021"),"Yes",""))</f>
        <v>Yes</v>
      </c>
      <c r="O306" s="51" t="str">
        <f ca="1">IFERROR(VLOOKUP(Yards25[[#This Row],[DEVELOPMENT]],ExtComp[],8,FALSE),"")</f>
        <v/>
      </c>
      <c r="P306" s="51"/>
      <c r="Q306" s="51"/>
      <c r="R306" s="51" t="str">
        <f>IF(ISBLANK(Yards25[[#This Row],[DSGN CALENDAR YEAR]]),"",Yards25[[#This Row],[DSGN CALENDAR YEAR]]+1)</f>
        <v/>
      </c>
      <c r="S306" s="51" t="str">
        <f>IF(ISBLANK(Yards25[[#This Row],[DSGN FISCAL YEAR]]),"",Yards25[[#This Row],[DSGN FISCAL YEAR]]+1)</f>
        <v/>
      </c>
      <c r="T306" s="51"/>
      <c r="U306" s="128">
        <f ca="1">Yards25[[#This Row],[Estimate]]*0.1</f>
        <v>0</v>
      </c>
      <c r="V306" s="47">
        <f ca="1">Yards25[[#This Row],[Estimate]]-Yards25[[#This Row],[Design Est.]]</f>
        <v>0</v>
      </c>
      <c r="W306" s="85">
        <f ca="1">(Yards25[[#This Row],['# yards]]*INDEX(UnitCosts[],MATCH(Yards25[[#This Row],[WORK TYPE]],UnitCosts[Work Type],0),2))*(1+((Yards25[[#This Row],[est. CONS Year]]-YEAR(TODAY()))*$W$3))</f>
        <v>0</v>
      </c>
      <c r="X306" s="142">
        <f>IF(ISNUMBER(SEARCH("LLC",Yards25[[#This Row],[PROGRAM]])),IF(Yards25[[#This Row],[RAD/PACT by 2025]]="yes",0,1),0)</f>
        <v>0</v>
      </c>
      <c r="Y306" s="1"/>
      <c r="Z306" s="1"/>
      <c r="AA306" s="51">
        <f ca="1">COUNTIF($X$5:Yards25[[#This Row],['# yards]],"&gt;0")</f>
        <v>11</v>
      </c>
      <c r="AB306" s="1">
        <f ca="1">IF(ISBLANK(Yards25[[#This Row],[DSGN CALENDAR YEAR]]),ROUNDDOWN(Yards25[[#This Row],[Count]]/20,0)+$AB$1,Yards25[[#This Row],[DSGN CALENDAR YEAR]])</f>
        <v>2022</v>
      </c>
      <c r="AC306" s="16">
        <f ca="1">Yards25[[#This Row],[est. DSGN Year]]+1</f>
        <v>2023</v>
      </c>
    </row>
    <row r="307" spans="1:29" hidden="1">
      <c r="A307" s="13" t="s">
        <v>380</v>
      </c>
      <c r="B307" s="51" t="str">
        <f>VLOOKUP(Yards25[[#This Row],[DEVELOPMENT]],Data[],2,FALSE)</f>
        <v>STATEN ISLAND</v>
      </c>
      <c r="C307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v3</v>
      </c>
      <c r="D307" s="51" t="str">
        <f>VLOOKUP(Yards25[[#This Row],[DEVELOPMENT]],Data[],52,FALSE)</f>
        <v>FEDERAL</v>
      </c>
      <c r="E307" s="50">
        <f>VLOOKUP(Yards25[[#This Row],[DEVELOPMENT]],Data[],8,FALSE)</f>
        <v>0</v>
      </c>
      <c r="F307" s="51" t="str">
        <f>VLOOKUP(Yards25[[#This Row],[DEVELOPMENT]],all[[DEVELOPMENT]:[MRST Ext. Comp. Priority]],6,FALSE)</f>
        <v>None</v>
      </c>
      <c r="G307" s="51">
        <f>VLOOKUP(Yards25[[#This Row],[DEVELOPMENT]],all[[DEVELOPMENT]:[MRST Ext. Comp. Priority]],13,FALSE)</f>
        <v>2</v>
      </c>
      <c r="H307" s="50">
        <f>IF(VLOOKUP(Yards25[[#This Row],[DEVELOPMENT]],Data[],9,FALSE)=0,5,VLOOKUP(Yards25[[#This Row],[DEVELOPMENT]],Data[],9,FALSE))</f>
        <v>5</v>
      </c>
      <c r="I307" s="51">
        <f>VLOOKUP(Yards25[[#This Row],[DEVELOPMENT]],Data[],33,FALSE)</f>
        <v>2</v>
      </c>
      <c r="J307" s="51">
        <f>VLOOKUP(Yards25[[#This Row],[DEVELOPMENT]],Data[],28,FALSE)</f>
        <v>0</v>
      </c>
      <c r="K307" s="51"/>
      <c r="L307" s="50"/>
      <c r="M307" s="51" t="str">
        <f ca="1">IFERROR(VLOOKUP(Yards25[[#This Row],[DEVELOPMENT]],Data[],4,FALSE),"")</f>
        <v/>
      </c>
      <c r="N307" s="51" t="str">
        <f ca="1">IF(Yards25[[#This Row],[RAD/PACT]]="","",IF(OR(Yards25[[#This Row],[RAD/PACT]]="2022-2025",Yards25[[#This Row],[RAD/PACT]]=2019,Yards25[[#This Row],[RAD/PACT]]="2020-2021"),"Yes",""))</f>
        <v/>
      </c>
      <c r="O307" s="51">
        <f ca="1">IFERROR(VLOOKUP(Yards25[[#This Row],[DEVELOPMENT]],ExtComp[],8,FALSE),"")</f>
        <v>20</v>
      </c>
      <c r="P307" s="51"/>
      <c r="Q307" s="51"/>
      <c r="R307" s="51" t="str">
        <f>IF(ISBLANK(Yards25[[#This Row],[DSGN CALENDAR YEAR]]),"",Yards25[[#This Row],[DSGN CALENDAR YEAR]]+1)</f>
        <v/>
      </c>
      <c r="S307" s="51" t="str">
        <f>IF(ISBLANK(Yards25[[#This Row],[DSGN FISCAL YEAR]]),"",Yards25[[#This Row],[DSGN FISCAL YEAR]]+1)</f>
        <v/>
      </c>
      <c r="T307" s="51"/>
      <c r="U307" s="128">
        <f ca="1">Yards25[[#This Row],[Estimate]]*0.1</f>
        <v>0</v>
      </c>
      <c r="V307" s="47">
        <f ca="1">Yards25[[#This Row],[Estimate]]-Yards25[[#This Row],[Design Est.]]</f>
        <v>0</v>
      </c>
      <c r="W307" s="85">
        <f ca="1">(Yards25[[#This Row],['# yards]]*INDEX(UnitCosts[],MATCH(Yards25[[#This Row],[WORK TYPE]],UnitCosts[Work Type],0),2))*(1+((Yards25[[#This Row],[est. CONS Year]]-YEAR(TODAY()))*$W$3))</f>
        <v>0</v>
      </c>
      <c r="X307" s="142">
        <f>IF(ISNUMBER(SEARCH("LLC",Yards25[[#This Row],[PROGRAM]])),IF(Yards25[[#This Row],[RAD/PACT by 2025]]="yes",0,1),0)</f>
        <v>0</v>
      </c>
      <c r="Y307" s="1"/>
      <c r="Z307" s="1"/>
      <c r="AA307" s="51">
        <f ca="1">COUNTIF($X$5:Yards25[[#This Row],['# yards]],"&gt;0")</f>
        <v>11</v>
      </c>
      <c r="AB307" s="1">
        <f ca="1">IF(ISBLANK(Yards25[[#This Row],[DSGN CALENDAR YEAR]]),ROUNDDOWN(Yards25[[#This Row],[Count]]/20,0)+$AB$1,Yards25[[#This Row],[DSGN CALENDAR YEAR]])</f>
        <v>2022</v>
      </c>
      <c r="AC307" s="16">
        <f ca="1">Yards25[[#This Row],[est. DSGN Year]]+1</f>
        <v>2023</v>
      </c>
    </row>
    <row r="308" spans="1:29" hidden="1">
      <c r="A308" s="13" t="s">
        <v>381</v>
      </c>
      <c r="B308" s="51" t="str">
        <f>VLOOKUP(Yards25[[#This Row],[DEVELOPMENT]],Data[],2,FALSE)</f>
        <v>STATEN ISLAND</v>
      </c>
      <c r="C308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08" s="51" t="str">
        <f>VLOOKUP(Yards25[[#This Row],[DEVELOPMENT]],Data[],52,FALSE)</f>
        <v>FEDERAL</v>
      </c>
      <c r="E308" s="50">
        <f>VLOOKUP(Yards25[[#This Row],[DEVELOPMENT]],Data[],8,FALSE)</f>
        <v>0</v>
      </c>
      <c r="F308" s="51" t="str">
        <f>VLOOKUP(Yards25[[#This Row],[DEVELOPMENT]],all[[DEVELOPMENT]:[MRST Ext. Comp. Priority]],6,FALSE)</f>
        <v>None</v>
      </c>
      <c r="G308" s="51">
        <f>VLOOKUP(Yards25[[#This Row],[DEVELOPMENT]],all[[DEVELOPMENT]:[MRST Ext. Comp. Priority]],13,FALSE)</f>
        <v>2</v>
      </c>
      <c r="H308" s="50">
        <f>IF(VLOOKUP(Yards25[[#This Row],[DEVELOPMENT]],Data[],9,FALSE)=0,5,VLOOKUP(Yards25[[#This Row],[DEVELOPMENT]],Data[],9,FALSE))</f>
        <v>5</v>
      </c>
      <c r="I308" s="51">
        <f>VLOOKUP(Yards25[[#This Row],[DEVELOPMENT]],Data[],33,FALSE)</f>
        <v>0</v>
      </c>
      <c r="J308" s="51">
        <f>VLOOKUP(Yards25[[#This Row],[DEVELOPMENT]],Data[],28,FALSE)</f>
        <v>0</v>
      </c>
      <c r="K308" s="51"/>
      <c r="L308" s="50"/>
      <c r="M308" s="51" t="str">
        <f ca="1">IFERROR(VLOOKUP(Yards25[[#This Row],[DEVELOPMENT]],Data[],4,FALSE),"")</f>
        <v/>
      </c>
      <c r="N308" s="51" t="str">
        <f ca="1">IF(Yards25[[#This Row],[RAD/PACT]]="","",IF(OR(Yards25[[#This Row],[RAD/PACT]]="2022-2025",Yards25[[#This Row],[RAD/PACT]]=2019,Yards25[[#This Row],[RAD/PACT]]="2020-2021"),"Yes",""))</f>
        <v/>
      </c>
      <c r="O308" s="51" t="str">
        <f ca="1">IFERROR(VLOOKUP(Yards25[[#This Row],[DEVELOPMENT]],ExtComp[],8,FALSE),"")</f>
        <v/>
      </c>
      <c r="P308" s="51"/>
      <c r="Q308" s="51"/>
      <c r="R308" s="51" t="str">
        <f>IF(ISBLANK(Yards25[[#This Row],[DSGN CALENDAR YEAR]]),"",Yards25[[#This Row],[DSGN CALENDAR YEAR]]+1)</f>
        <v/>
      </c>
      <c r="S308" s="51" t="str">
        <f>IF(ISBLANK(Yards25[[#This Row],[DSGN FISCAL YEAR]]),"",Yards25[[#This Row],[DSGN FISCAL YEAR]]+1)</f>
        <v/>
      </c>
      <c r="T308" s="51"/>
      <c r="U308" s="128">
        <f ca="1">Yards25[[#This Row],[Estimate]]*0.1</f>
        <v>0</v>
      </c>
      <c r="V308" s="47">
        <f ca="1">Yards25[[#This Row],[Estimate]]-Yards25[[#This Row],[Design Est.]]</f>
        <v>0</v>
      </c>
      <c r="W308" s="85">
        <f ca="1">(Yards25[[#This Row],['# yards]]*INDEX(UnitCosts[],MATCH(Yards25[[#This Row],[WORK TYPE]],UnitCosts[Work Type],0),2))*(1+((Yards25[[#This Row],[est. CONS Year]]-YEAR(TODAY()))*$W$3))</f>
        <v>0</v>
      </c>
      <c r="X308" s="142">
        <f>IF(ISNUMBER(SEARCH("LLC",Yards25[[#This Row],[PROGRAM]])),IF(Yards25[[#This Row],[RAD/PACT by 2025]]="yes",0,1),0)</f>
        <v>0</v>
      </c>
      <c r="Y308" s="1"/>
      <c r="Z308" s="1"/>
      <c r="AA308" s="51">
        <f ca="1">COUNTIF($X$5:Yards25[[#This Row],['# yards]],"&gt;0")</f>
        <v>11</v>
      </c>
      <c r="AB308" s="1">
        <f ca="1">IF(ISBLANK(Yards25[[#This Row],[DSGN CALENDAR YEAR]]),ROUNDDOWN(Yards25[[#This Row],[Count]]/20,0)+$AB$1,Yards25[[#This Row],[DSGN CALENDAR YEAR]])</f>
        <v>2022</v>
      </c>
      <c r="AC308" s="16">
        <f ca="1">Yards25[[#This Row],[est. DSGN Year]]+1</f>
        <v>2023</v>
      </c>
    </row>
    <row r="309" spans="1:29" hidden="1">
      <c r="A309" s="13" t="s">
        <v>383</v>
      </c>
      <c r="B309" s="51" t="str">
        <f>VLOOKUP(Yards25[[#This Row],[DEVELOPMENT]],Data[],2,FALSE)</f>
        <v>BROOKLYN</v>
      </c>
      <c r="C309" s="51" t="str">
        <f ca="1"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v4</v>
      </c>
      <c r="D309" s="51" t="str">
        <f>VLOOKUP(Yards25[[#This Row],[DEVELOPMENT]],Data[],52,FALSE)</f>
        <v>FEDERAL</v>
      </c>
      <c r="E309" s="50">
        <f>VLOOKUP(Yards25[[#This Row],[DEVELOPMENT]],Data[],8,FALSE)</f>
        <v>0</v>
      </c>
      <c r="F309" s="51" t="str">
        <f>VLOOKUP(Yards25[[#This Row],[DEVELOPMENT]],all[[DEVELOPMENT]:[MRST Ext. Comp. Priority]],6,FALSE)</f>
        <v>None</v>
      </c>
      <c r="G309" s="51" t="str">
        <f>VLOOKUP(Yards25[[#This Row],[DEVELOPMENT]],all[[DEVELOPMENT]:[MRST Ext. Comp. Priority]],13,FALSE)</f>
        <v>None</v>
      </c>
      <c r="H309" s="50">
        <f>IF(VLOOKUP(Yards25[[#This Row],[DEVELOPMENT]],Data[],9,FALSE)=0,5,VLOOKUP(Yards25[[#This Row],[DEVELOPMENT]],Data[],9,FALSE))</f>
        <v>5</v>
      </c>
      <c r="I309" s="51">
        <f>VLOOKUP(Yards25[[#This Row],[DEVELOPMENT]],Data[],33,FALSE)</f>
        <v>3</v>
      </c>
      <c r="J309" s="51">
        <f>VLOOKUP(Yards25[[#This Row],[DEVELOPMENT]],Data[],28,FALSE)</f>
        <v>0</v>
      </c>
      <c r="K309" s="51"/>
      <c r="L309" s="50"/>
      <c r="M309" s="51" t="str">
        <f ca="1">IFERROR(VLOOKUP(Yards25[[#This Row],[DEVELOPMENT]],Data[],4,FALSE),"")</f>
        <v/>
      </c>
      <c r="N309" s="51" t="str">
        <f ca="1">IF(Yards25[[#This Row],[RAD/PACT]]="","",IF(OR(Yards25[[#This Row],[RAD/PACT]]="2022-2025",Yards25[[#This Row],[RAD/PACT]]=2019,Yards25[[#This Row],[RAD/PACT]]="2020-2021"),"Yes",""))</f>
        <v/>
      </c>
      <c r="O309" s="51">
        <f ca="1">IFERROR(VLOOKUP(Yards25[[#This Row],[DEVELOPMENT]],ExtComp[],8,FALSE),"")</f>
        <v>11</v>
      </c>
      <c r="P309" s="51"/>
      <c r="Q309" s="51"/>
      <c r="R309" s="51" t="str">
        <f>IF(ISBLANK(Yards25[[#This Row],[DSGN CALENDAR YEAR]]),"",Yards25[[#This Row],[DSGN CALENDAR YEAR]]+1)</f>
        <v/>
      </c>
      <c r="S309" s="51" t="str">
        <f>IF(ISBLANK(Yards25[[#This Row],[DSGN FISCAL YEAR]]),"",Yards25[[#This Row],[DSGN FISCAL YEAR]]+1)</f>
        <v/>
      </c>
      <c r="T309" s="51"/>
      <c r="U309" s="128">
        <f ca="1">Yards25[[#This Row],[Estimate]]*0.1</f>
        <v>0</v>
      </c>
      <c r="V309" s="47">
        <f ca="1">Yards25[[#This Row],[Estimate]]-Yards25[[#This Row],[Design Est.]]</f>
        <v>0</v>
      </c>
      <c r="W309" s="85">
        <f ca="1">(Yards25[[#This Row],['# yards]]*INDEX(UnitCosts[],MATCH(Yards25[[#This Row],[WORK TYPE]],UnitCosts[Work Type],0),2))*(1+((Yards25[[#This Row],[est. CONS Year]]-YEAR(TODAY()))*$W$3))</f>
        <v>0</v>
      </c>
      <c r="X309" s="142">
        <f>IF(ISNUMBER(SEARCH("LLC",Yards25[[#This Row],[PROGRAM]])),IF(Yards25[[#This Row],[RAD/PACT by 2025]]="yes",0,1),0)</f>
        <v>0</v>
      </c>
      <c r="Y309" s="1"/>
      <c r="Z309" s="1"/>
      <c r="AA309" s="51">
        <f ca="1">COUNTIF($X$5:Yards25[[#This Row],['# yards]],"&gt;0")</f>
        <v>11</v>
      </c>
      <c r="AB309" s="1">
        <f ca="1">IF(ISBLANK(Yards25[[#This Row],[DSGN CALENDAR YEAR]]),ROUNDDOWN(Yards25[[#This Row],[Count]]/20,0)+$AB$1,Yards25[[#This Row],[DSGN CALENDAR YEAR]])</f>
        <v>2022</v>
      </c>
      <c r="AC309" s="16">
        <f ca="1">Yards25[[#This Row],[est. DSGN Year]]+1</f>
        <v>2023</v>
      </c>
    </row>
    <row r="310" spans="1:29" hidden="1">
      <c r="A310" s="13" t="s">
        <v>385</v>
      </c>
      <c r="B310" s="51" t="str">
        <f>VLOOKUP(Yards25[[#This Row],[DEVELOPMENT]],Data[],2,FALSE)</f>
        <v>BROOKLYN</v>
      </c>
      <c r="C310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10" s="51" t="str">
        <f>VLOOKUP(Yards25[[#This Row],[DEVELOPMENT]],Data[],52,FALSE)</f>
        <v>FEDERAL</v>
      </c>
      <c r="E310" s="50">
        <f>VLOOKUP(Yards25[[#This Row],[DEVELOPMENT]],Data[],8,FALSE)</f>
        <v>0</v>
      </c>
      <c r="F310" s="51" t="str">
        <f>VLOOKUP(Yards25[[#This Row],[DEVELOPMENT]],all[[DEVELOPMENT]:[MRST Ext. Comp. Priority]],6,FALSE)</f>
        <v>None</v>
      </c>
      <c r="G310" s="51">
        <f>VLOOKUP(Yards25[[#This Row],[DEVELOPMENT]],all[[DEVELOPMENT]:[MRST Ext. Comp. Priority]],13,FALSE)</f>
        <v>2</v>
      </c>
      <c r="H310" s="50">
        <f>IF(VLOOKUP(Yards25[[#This Row],[DEVELOPMENT]],Data[],9,FALSE)=0,5,VLOOKUP(Yards25[[#This Row],[DEVELOPMENT]],Data[],9,FALSE))</f>
        <v>5</v>
      </c>
      <c r="I310" s="51">
        <f>VLOOKUP(Yards25[[#This Row],[DEVELOPMENT]],Data[],33,FALSE)</f>
        <v>0</v>
      </c>
      <c r="J310" s="51">
        <f>VLOOKUP(Yards25[[#This Row],[DEVELOPMENT]],Data[],28,FALSE)</f>
        <v>0</v>
      </c>
      <c r="K310" s="51"/>
      <c r="L310" s="50"/>
      <c r="M310" s="51" t="str">
        <f ca="1">IFERROR(VLOOKUP(Yards25[[#This Row],[DEVELOPMENT]],Data[],4,FALSE),"")</f>
        <v>2020-2021</v>
      </c>
      <c r="N310" s="51" t="str">
        <f ca="1">IF(Yards25[[#This Row],[RAD/PACT]]="","",IF(OR(Yards25[[#This Row],[RAD/PACT]]="2022-2025",Yards25[[#This Row],[RAD/PACT]]=2019,Yards25[[#This Row],[RAD/PACT]]="2020-2021"),"Yes",""))</f>
        <v>Yes</v>
      </c>
      <c r="O310" s="51" t="str">
        <f ca="1">IFERROR(VLOOKUP(Yards25[[#This Row],[DEVELOPMENT]],ExtComp[],8,FALSE),"")</f>
        <v/>
      </c>
      <c r="P310" s="51"/>
      <c r="Q310" s="51"/>
      <c r="R310" s="51" t="str">
        <f>IF(ISBLANK(Yards25[[#This Row],[DSGN CALENDAR YEAR]]),"",Yards25[[#This Row],[DSGN CALENDAR YEAR]]+1)</f>
        <v/>
      </c>
      <c r="S310" s="51" t="str">
        <f>IF(ISBLANK(Yards25[[#This Row],[DSGN FISCAL YEAR]]),"",Yards25[[#This Row],[DSGN FISCAL YEAR]]+1)</f>
        <v/>
      </c>
      <c r="T310" s="51"/>
      <c r="U310" s="128">
        <f ca="1">Yards25[[#This Row],[Estimate]]*0.1</f>
        <v>0</v>
      </c>
      <c r="V310" s="47">
        <f ca="1">Yards25[[#This Row],[Estimate]]-Yards25[[#This Row],[Design Est.]]</f>
        <v>0</v>
      </c>
      <c r="W310" s="85">
        <f ca="1">(Yards25[[#This Row],['# yards]]*INDEX(UnitCosts[],MATCH(Yards25[[#This Row],[WORK TYPE]],UnitCosts[Work Type],0),2))*(1+((Yards25[[#This Row],[est. CONS Year]]-YEAR(TODAY()))*$W$3))</f>
        <v>0</v>
      </c>
      <c r="X310" s="142">
        <f>IF(ISNUMBER(SEARCH("LLC",Yards25[[#This Row],[PROGRAM]])),IF(Yards25[[#This Row],[RAD/PACT by 2025]]="yes",0,1),0)</f>
        <v>0</v>
      </c>
      <c r="Y310" s="1"/>
      <c r="Z310" s="1"/>
      <c r="AA310" s="51">
        <f ca="1">COUNTIF($X$5:Yards25[[#This Row],['# yards]],"&gt;0")</f>
        <v>11</v>
      </c>
      <c r="AB310" s="1">
        <f ca="1">IF(ISBLANK(Yards25[[#This Row],[DSGN CALENDAR YEAR]]),ROUNDDOWN(Yards25[[#This Row],[Count]]/20,0)+$AB$1,Yards25[[#This Row],[DSGN CALENDAR YEAR]])</f>
        <v>2022</v>
      </c>
      <c r="AC310" s="16">
        <f ca="1">Yards25[[#This Row],[est. DSGN Year]]+1</f>
        <v>2023</v>
      </c>
    </row>
    <row r="311" spans="1:29" hidden="1">
      <c r="A311" s="13" t="s">
        <v>386</v>
      </c>
      <c r="B311" s="51" t="str">
        <f>VLOOKUP(Yards25[[#This Row],[DEVELOPMENT]],Data[],2,FALSE)</f>
        <v>MANHATTAN</v>
      </c>
      <c r="C311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11" s="51" t="str">
        <f>VLOOKUP(Yards25[[#This Row],[DEVELOPMENT]],Data[],52,FALSE)</f>
        <v>MIXED FINANCE/LLC2</v>
      </c>
      <c r="E311" s="50" t="str">
        <f>VLOOKUP(Yards25[[#This Row],[DEVELOPMENT]],Data[],8,FALSE)</f>
        <v>Zone 4</v>
      </c>
      <c r="F311" s="51" t="str">
        <f>VLOOKUP(Yards25[[#This Row],[DEVELOPMENT]],all[[DEVELOPMENT]:[MRST Ext. Comp. Priority]],6,FALSE)</f>
        <v>None</v>
      </c>
      <c r="G311" s="51">
        <f>VLOOKUP(Yards25[[#This Row],[DEVELOPMENT]],all[[DEVELOPMENT]:[MRST Ext. Comp. Priority]],13,FALSE)</f>
        <v>3</v>
      </c>
      <c r="H311" s="50">
        <f>IF(VLOOKUP(Yards25[[#This Row],[DEVELOPMENT]],Data[],9,FALSE)=0,5,VLOOKUP(Yards25[[#This Row],[DEVELOPMENT]],Data[],9,FALSE))</f>
        <v>5</v>
      </c>
      <c r="I311" s="51">
        <f>VLOOKUP(Yards25[[#This Row],[DEVELOPMENT]],Data[],33,FALSE)</f>
        <v>0</v>
      </c>
      <c r="J311" s="51">
        <f>VLOOKUP(Yards25[[#This Row],[DEVELOPMENT]],Data[],28,FALSE)</f>
        <v>0</v>
      </c>
      <c r="K311" s="51"/>
      <c r="L311" s="50"/>
      <c r="M311" s="51" t="str">
        <f ca="1">IFERROR(VLOOKUP(Yards25[[#This Row],[DEVELOPMENT]],Data[],4,FALSE),"")</f>
        <v>2020-2021</v>
      </c>
      <c r="N311" s="51" t="str">
        <f ca="1">IF(Yards25[[#This Row],[RAD/PACT]]="","",IF(OR(Yards25[[#This Row],[RAD/PACT]]="2022-2025",Yards25[[#This Row],[RAD/PACT]]=2019,Yards25[[#This Row],[RAD/PACT]]="2020-2021"),"Yes",""))</f>
        <v>Yes</v>
      </c>
      <c r="O311" s="51" t="str">
        <f ca="1">IFERROR(VLOOKUP(Yards25[[#This Row],[DEVELOPMENT]],ExtComp[],8,FALSE),"")</f>
        <v/>
      </c>
      <c r="P311" s="51"/>
      <c r="Q311" s="51"/>
      <c r="R311" s="51" t="str">
        <f>IF(ISBLANK(Yards25[[#This Row],[DSGN CALENDAR YEAR]]),"",Yards25[[#This Row],[DSGN CALENDAR YEAR]]+1)</f>
        <v/>
      </c>
      <c r="S311" s="51" t="str">
        <f>IF(ISBLANK(Yards25[[#This Row],[DSGN FISCAL YEAR]]),"",Yards25[[#This Row],[DSGN FISCAL YEAR]]+1)</f>
        <v/>
      </c>
      <c r="T311" s="51"/>
      <c r="U311" s="128">
        <f ca="1">Yards25[[#This Row],[Estimate]]*0.1</f>
        <v>0</v>
      </c>
      <c r="V311" s="47">
        <f ca="1">Yards25[[#This Row],[Estimate]]-Yards25[[#This Row],[Design Est.]]</f>
        <v>0</v>
      </c>
      <c r="W311" s="85">
        <f ca="1">(Yards25[[#This Row],['# yards]]*INDEX(UnitCosts[],MATCH(Yards25[[#This Row],[WORK TYPE]],UnitCosts[Work Type],0),2))*(1+((Yards25[[#This Row],[est. CONS Year]]-YEAR(TODAY()))*$W$3))</f>
        <v>0</v>
      </c>
      <c r="X311" s="142">
        <f ca="1">IF(ISNUMBER(SEARCH("LLC",Yards25[[#This Row],[PROGRAM]])),IF(Yards25[[#This Row],[RAD/PACT by 2025]]="yes",0,1),0)</f>
        <v>0</v>
      </c>
      <c r="Y311" s="1"/>
      <c r="Z311" s="1"/>
      <c r="AA311" s="51">
        <f ca="1">COUNTIF($X$5:Yards25[[#This Row],['# yards]],"&gt;0")</f>
        <v>11</v>
      </c>
      <c r="AB311" s="1">
        <f ca="1">IF(ISBLANK(Yards25[[#This Row],[DSGN CALENDAR YEAR]]),ROUNDDOWN(Yards25[[#This Row],[Count]]/20,0)+$AB$1,Yards25[[#This Row],[DSGN CALENDAR YEAR]])</f>
        <v>2022</v>
      </c>
      <c r="AC311" s="16">
        <f ca="1">Yards25[[#This Row],[est. DSGN Year]]+1</f>
        <v>2023</v>
      </c>
    </row>
    <row r="312" spans="1:29" hidden="1">
      <c r="A312" s="13" t="s">
        <v>388</v>
      </c>
      <c r="B312" s="51" t="str">
        <f>VLOOKUP(Yards25[[#This Row],[DEVELOPMENT]],Data[],2,FALSE)</f>
        <v>MANHATTAN</v>
      </c>
      <c r="C312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12" s="51" t="str">
        <f>VLOOKUP(Yards25[[#This Row],[DEVELOPMENT]],Data[],52,FALSE)</f>
        <v>FEDERAL</v>
      </c>
      <c r="E312" s="50" t="str">
        <f>VLOOKUP(Yards25[[#This Row],[DEVELOPMENT]],Data[],8,FALSE)</f>
        <v>Zone 4</v>
      </c>
      <c r="F312" s="51" t="str">
        <f>VLOOKUP(Yards25[[#This Row],[DEVELOPMENT]],all[[DEVELOPMENT]:[MRST Ext. Comp. Priority]],6,FALSE)</f>
        <v>None</v>
      </c>
      <c r="G312" s="51" t="str">
        <f>VLOOKUP(Yards25[[#This Row],[DEVELOPMENT]],all[[DEVELOPMENT]:[MRST Ext. Comp. Priority]],13,FALSE)</f>
        <v>None</v>
      </c>
      <c r="H312" s="50">
        <f>IF(VLOOKUP(Yards25[[#This Row],[DEVELOPMENT]],Data[],9,FALSE)=0,5,VLOOKUP(Yards25[[#This Row],[DEVELOPMENT]],Data[],9,FALSE))</f>
        <v>5</v>
      </c>
      <c r="I312" s="51">
        <f>VLOOKUP(Yards25[[#This Row],[DEVELOPMENT]],Data[],33,FALSE)</f>
        <v>0</v>
      </c>
      <c r="J312" s="51">
        <f>VLOOKUP(Yards25[[#This Row],[DEVELOPMENT]],Data[],28,FALSE)</f>
        <v>0</v>
      </c>
      <c r="K312" s="51"/>
      <c r="L312" s="50"/>
      <c r="M312" s="51" t="str">
        <f ca="1">IFERROR(VLOOKUP(Yards25[[#This Row],[DEVELOPMENT]],Data[],4,FALSE),"")</f>
        <v/>
      </c>
      <c r="N312" s="51" t="str">
        <f ca="1">IF(Yards25[[#This Row],[RAD/PACT]]="","",IF(OR(Yards25[[#This Row],[RAD/PACT]]="2022-2025",Yards25[[#This Row],[RAD/PACT]]=2019,Yards25[[#This Row],[RAD/PACT]]="2020-2021"),"Yes",""))</f>
        <v/>
      </c>
      <c r="O312" s="51" t="str">
        <f ca="1">IFERROR(VLOOKUP(Yards25[[#This Row],[DEVELOPMENT]],ExtComp[],8,FALSE),"")</f>
        <v/>
      </c>
      <c r="P312" s="51"/>
      <c r="Q312" s="51"/>
      <c r="R312" s="51" t="str">
        <f>IF(ISBLANK(Yards25[[#This Row],[DSGN CALENDAR YEAR]]),"",Yards25[[#This Row],[DSGN CALENDAR YEAR]]+1)</f>
        <v/>
      </c>
      <c r="S312" s="51" t="str">
        <f>IF(ISBLANK(Yards25[[#This Row],[DSGN FISCAL YEAR]]),"",Yards25[[#This Row],[DSGN FISCAL YEAR]]+1)</f>
        <v/>
      </c>
      <c r="T312" s="51"/>
      <c r="U312" s="128">
        <f>Yards25[[#This Row],[Estimate]]*0.1</f>
        <v>0</v>
      </c>
      <c r="V312" s="47">
        <f>Yards25[[#This Row],[Estimate]]-Yards25[[#This Row],[Design Est.]]</f>
        <v>0</v>
      </c>
      <c r="W312" s="85"/>
      <c r="X312" s="142"/>
      <c r="Y312" s="1"/>
      <c r="Z312" s="1"/>
      <c r="AA312" s="51">
        <f ca="1">COUNTIF($X$5:Yards25[[#This Row],['# yards]],"&gt;0")</f>
        <v>11</v>
      </c>
      <c r="AB312" s="1">
        <f ca="1">IF(ISBLANK(Yards25[[#This Row],[DSGN CALENDAR YEAR]]),ROUNDDOWN(Yards25[[#This Row],[Count]]/20,0)+$AB$1,Yards25[[#This Row],[DSGN CALENDAR YEAR]])</f>
        <v>2022</v>
      </c>
      <c r="AC312" s="16">
        <f ca="1">Yards25[[#This Row],[est. DSGN Year]]+1</f>
        <v>2023</v>
      </c>
    </row>
    <row r="313" spans="1:29" hidden="1">
      <c r="A313" s="13" t="s">
        <v>389</v>
      </c>
      <c r="B313" s="51" t="str">
        <f>VLOOKUP(Yards25[[#This Row],[DEVELOPMENT]],Data[],2,FALSE)</f>
        <v>MANHATTAN</v>
      </c>
      <c r="C313" s="51" t="str">
        <f>IF(Yards25[[#This Row],['# Ext. Compactors to Replace]]=0,"New Waste Yard v1",IF(Yards25[[#This Row],[ext comp age?]]="new","New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13" s="51" t="str">
        <f>VLOOKUP(Yards25[[#This Row],[DEVELOPMENT]],Data[],52,FALSE)</f>
        <v>FEDERAL</v>
      </c>
      <c r="E313" s="50" t="str">
        <f>VLOOKUP(Yards25[[#This Row],[DEVELOPMENT]],Data[],8,FALSE)</f>
        <v>Zone 4</v>
      </c>
      <c r="F313" s="51" t="str">
        <f>VLOOKUP(Yards25[[#This Row],[DEVELOPMENT]],all[[DEVELOPMENT]:[MRST Ext. Comp. Priority]],6,FALSE)</f>
        <v>None</v>
      </c>
      <c r="G313" s="51">
        <f>VLOOKUP(Yards25[[#This Row],[DEVELOPMENT]],all[[DEVELOPMENT]:[MRST Ext. Comp. Priority]],13,FALSE)</f>
        <v>2</v>
      </c>
      <c r="H313" s="50">
        <f>IF(VLOOKUP(Yards25[[#This Row],[DEVELOPMENT]],Data[],9,FALSE)=0,5,VLOOKUP(Yards25[[#This Row],[DEVELOPMENT]],Data[],9,FALSE))</f>
        <v>5</v>
      </c>
      <c r="I313" s="51">
        <f>VLOOKUP(Yards25[[#This Row],[DEVELOPMENT]],Data[],33,FALSE)</f>
        <v>0</v>
      </c>
      <c r="J313" s="51">
        <f>VLOOKUP(Yards25[[#This Row],[DEVELOPMENT]],Data[],28,FALSE)</f>
        <v>0</v>
      </c>
      <c r="K313" s="51"/>
      <c r="L313" s="50"/>
      <c r="M313" s="51" t="str">
        <f ca="1">IFERROR(VLOOKUP(Yards25[[#This Row],[DEVELOPMENT]],Data[],4,FALSE),"")</f>
        <v/>
      </c>
      <c r="N313" s="51" t="str">
        <f ca="1">IF(Yards25[[#This Row],[RAD/PACT]]="","",IF(OR(Yards25[[#This Row],[RAD/PACT]]="2022-2025",Yards25[[#This Row],[RAD/PACT]]=2019,Yards25[[#This Row],[RAD/PACT]]="2020-2021"),"Yes",""))</f>
        <v/>
      </c>
      <c r="O313" s="51" t="str">
        <f ca="1">IFERROR(VLOOKUP(Yards25[[#This Row],[DEVELOPMENT]],ExtComp[],8,FALSE),"")</f>
        <v/>
      </c>
      <c r="P313" s="51"/>
      <c r="Q313" s="51"/>
      <c r="R313" s="51" t="str">
        <f>IF(ISBLANK(Yards25[[#This Row],[DSGN CALENDAR YEAR]]),"",Yards25[[#This Row],[DSGN CALENDAR YEAR]]+1)</f>
        <v/>
      </c>
      <c r="S313" s="51" t="str">
        <f>IF(ISBLANK(Yards25[[#This Row],[DSGN FISCAL YEAR]]),"",Yards25[[#This Row],[DSGN FISCAL YEAR]]+1)</f>
        <v/>
      </c>
      <c r="T313" s="51"/>
      <c r="U313" s="128">
        <f>Yards25[[#This Row],[Estimate]]*0.1</f>
        <v>0</v>
      </c>
      <c r="V313" s="47">
        <f>Yards25[[#This Row],[Estimate]]-Yards25[[#This Row],[Design Est.]]</f>
        <v>0</v>
      </c>
      <c r="W313" s="85"/>
      <c r="X313" s="142"/>
      <c r="Y313" s="1"/>
      <c r="Z313" s="1"/>
      <c r="AA313" s="51">
        <f ca="1">COUNTIF($X$5:Yards25[[#This Row],['# yards]],"&gt;0")</f>
        <v>11</v>
      </c>
      <c r="AB313" s="1">
        <f ca="1">IF(ISBLANK(Yards25[[#This Row],[DSGN CALENDAR YEAR]]),ROUNDDOWN(Yards25[[#This Row],[Count]]/20,0)+$AB$1,Yards25[[#This Row],[DSGN CALENDAR YEAR]])</f>
        <v>2022</v>
      </c>
      <c r="AC313" s="16">
        <f ca="1">Yards25[[#This Row],[est. DSGN Year]]+1</f>
        <v>2023</v>
      </c>
    </row>
    <row r="314" spans="1:29" hidden="1">
      <c r="A314" s="13" t="s">
        <v>390</v>
      </c>
      <c r="B314" s="51" t="str">
        <f>VLOOKUP(Yards25[[#This Row],[DEVELOPMENT]],Data[],2,FALSE)</f>
        <v>MANHATTAN</v>
      </c>
      <c r="C314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14" s="51" t="str">
        <f>VLOOKUP(Yards25[[#This Row],[DEVELOPMENT]],Data[],52,FALSE)</f>
        <v>FEDERAL</v>
      </c>
      <c r="E314" s="50" t="str">
        <f>VLOOKUP(Yards25[[#This Row],[DEVELOPMENT]],Data[],8,FALSE)</f>
        <v>Zone 4</v>
      </c>
      <c r="F314" s="51" t="str">
        <f>VLOOKUP(Yards25[[#This Row],[DEVELOPMENT]],all[[DEVELOPMENT]:[MRST Ext. Comp. Priority]],6,FALSE)</f>
        <v>None</v>
      </c>
      <c r="G314" s="51">
        <f>VLOOKUP(Yards25[[#This Row],[DEVELOPMENT]],all[[DEVELOPMENT]:[MRST Ext. Comp. Priority]],13,FALSE)</f>
        <v>2</v>
      </c>
      <c r="H314" s="50">
        <f>IF(VLOOKUP(Yards25[[#This Row],[DEVELOPMENT]],Data[],9,FALSE)=0,5,VLOOKUP(Yards25[[#This Row],[DEVELOPMENT]],Data[],9,FALSE))</f>
        <v>5</v>
      </c>
      <c r="I314" s="51">
        <f>VLOOKUP(Yards25[[#This Row],[DEVELOPMENT]],Data[],33,FALSE)</f>
        <v>0</v>
      </c>
      <c r="J314" s="51">
        <f>VLOOKUP(Yards25[[#This Row],[DEVELOPMENT]],Data[],28,FALSE)</f>
        <v>0</v>
      </c>
      <c r="K314" s="51"/>
      <c r="L314" s="50"/>
      <c r="M314" s="51" t="str">
        <f ca="1">IFERROR(VLOOKUP(Yards25[[#This Row],[DEVELOPMENT]],Data[],4,FALSE),"")</f>
        <v/>
      </c>
      <c r="N314" s="51" t="str">
        <f ca="1">IF(Yards25[[#This Row],[RAD/PACT]]="","",IF(OR(Yards25[[#This Row],[RAD/PACT]]="2022-2025",Yards25[[#This Row],[RAD/PACT]]=2019,Yards25[[#This Row],[RAD/PACT]]="2020-2021"),"Yes",""))</f>
        <v/>
      </c>
      <c r="O314" s="51" t="str">
        <f ca="1">IFERROR(VLOOKUP(Yards25[[#This Row],[DEVELOPMENT]],ExtComp[],8,FALSE),"")</f>
        <v/>
      </c>
      <c r="P314" s="51"/>
      <c r="Q314" s="51"/>
      <c r="R314" s="51" t="str">
        <f>IF(ISBLANK(Yards25[[#This Row],[DSGN CALENDAR YEAR]]),"",Yards25[[#This Row],[DSGN CALENDAR YEAR]]+1)</f>
        <v/>
      </c>
      <c r="S314" s="51" t="str">
        <f>IF(ISBLANK(Yards25[[#This Row],[DSGN FISCAL YEAR]]),"",Yards25[[#This Row],[DSGN FISCAL YEAR]]+1)</f>
        <v/>
      </c>
      <c r="T314" s="51"/>
      <c r="U314" s="128">
        <f ca="1">Yards25[[#This Row],[Estimate]]*0.1</f>
        <v>0</v>
      </c>
      <c r="V314" s="47">
        <f ca="1">Yards25[[#This Row],[Estimate]]-Yards25[[#This Row],[Design Est.]]</f>
        <v>0</v>
      </c>
      <c r="W314" s="85">
        <f ca="1">(Yards25[[#This Row],['# yards]]*INDEX(UnitCosts[],MATCH(Yards25[[#This Row],[WORK TYPE]],UnitCosts[Work Type],0),2))*(1+((Yards25[[#This Row],[est. CONS Year]]-YEAR(TODAY()))*$W$3))</f>
        <v>0</v>
      </c>
      <c r="X314" s="142">
        <f>IF(ISNUMBER(SEARCH("LLC",Yards25[[#This Row],[PROGRAM]])),IF(Yards25[[#This Row],[RAD/PACT by 2025]]="yes",0,1),0)</f>
        <v>0</v>
      </c>
      <c r="Y314" s="1"/>
      <c r="Z314" s="1"/>
      <c r="AA314" s="51">
        <f ca="1">COUNTIF($X$5:Yards25[[#This Row],['# yards]],"&gt;0")</f>
        <v>11</v>
      </c>
      <c r="AB314" s="1">
        <f ca="1">IF(ISBLANK(Yards25[[#This Row],[DSGN CALENDAR YEAR]]),ROUNDDOWN(Yards25[[#This Row],[Count]]/20,0)+$AB$1,Yards25[[#This Row],[DSGN CALENDAR YEAR]])</f>
        <v>2022</v>
      </c>
      <c r="AC314" s="16">
        <f ca="1">Yards25[[#This Row],[est. DSGN Year]]+1</f>
        <v>2023</v>
      </c>
    </row>
    <row r="315" spans="1:29" hidden="1">
      <c r="A315" s="13" t="s">
        <v>391</v>
      </c>
      <c r="B315" s="51" t="str">
        <f>VLOOKUP(Yards25[[#This Row],[DEVELOPMENT]],Data[],2,FALSE)</f>
        <v>MANHATTAN</v>
      </c>
      <c r="C315" s="51" t="str">
        <f>IF(Yards25[[#This Row],['# Ext. Compactors to Replace]]=0,"New Waste Yard v1",IF(Yards25[[#This Row],[ext comp age?]]&lt;=10,"New Waste Yard v2",IF(Yards25[[#This Row],['# Ext. Compactors to Replace]]=1,"New Waste Yard v1",IF(Yards25[[#This Row],['# Ext. Compactors to Replace]]=2,"New Waste Yard v3",IF(Yards25[[#This Row],['# Ext. Compactors to Replace]]=3,"New Waste Yard v4",IF(Yards25[[#This Row],['# Ext. Compactors to Replace]]=4,"New Waste Yard v5",IF(Yards25[[#This Row],['# Ext. Compactors to Replace]]=5,"New Waste Yard v6",IF(Yards25[[#This Row],['# Ext. Compactors to Replace]]=6,"New Waste Yard v7","Error"))))))))</f>
        <v>New Waste Yard v1</v>
      </c>
      <c r="D315" s="51" t="str">
        <f>VLOOKUP(Yards25[[#This Row],[DEVELOPMENT]],Data[],52,FALSE)</f>
        <v>FEDERAL</v>
      </c>
      <c r="E315" s="50">
        <f>VLOOKUP(Yards25[[#This Row],[DEVELOPMENT]],Data[],8,FALSE)</f>
        <v>0</v>
      </c>
      <c r="F315" s="51" t="str">
        <f>VLOOKUP(Yards25[[#This Row],[DEVELOPMENT]],all[[DEVELOPMENT]:[MRST Ext. Comp. Priority]],6,FALSE)</f>
        <v>None</v>
      </c>
      <c r="G315" s="51">
        <f>VLOOKUP(Yards25[[#This Row],[DEVELOPMENT]],all[[DEVELOPMENT]:[MRST Ext. Comp. Priority]],13,FALSE)</f>
        <v>2</v>
      </c>
      <c r="H315" s="50">
        <f>IF(VLOOKUP(Yards25[[#This Row],[DEVELOPMENT]],Data[],9,FALSE)=0,5,VLOOKUP(Yards25[[#This Row],[DEVELOPMENT]],Data[],9,FALSE))</f>
        <v>5</v>
      </c>
      <c r="I315" s="51">
        <f>VLOOKUP(Yards25[[#This Row],[DEVELOPMENT]],Data[],33,FALSE)</f>
        <v>0</v>
      </c>
      <c r="J315" s="51">
        <f>VLOOKUP(Yards25[[#This Row],[DEVELOPMENT]],Data[],28,FALSE)</f>
        <v>0</v>
      </c>
      <c r="K315" s="51"/>
      <c r="L315" s="50"/>
      <c r="M315" s="51" t="str">
        <f ca="1">IFERROR(VLOOKUP(Yards25[[#This Row],[DEVELOPMENT]],Data[],4,FALSE),"")</f>
        <v/>
      </c>
      <c r="N315" s="51" t="str">
        <f ca="1">IF(Yards25[[#This Row],[RAD/PACT]]="","",IF(OR(Yards25[[#This Row],[RAD/PACT]]="2022-2025",Yards25[[#This Row],[RAD/PACT]]=2019,Yards25[[#This Row],[RAD/PACT]]="2020-2021"),"Yes",""))</f>
        <v/>
      </c>
      <c r="O315" s="51" t="str">
        <f ca="1">IFERROR(VLOOKUP(Yards25[[#This Row],[DEVELOPMENT]],ExtComp[],8,FALSE),"")</f>
        <v/>
      </c>
      <c r="P315" s="51"/>
      <c r="Q315" s="51"/>
      <c r="R315" s="51" t="str">
        <f>IF(ISBLANK(Yards25[[#This Row],[DSGN CALENDAR YEAR]]),"",Yards25[[#This Row],[DSGN CALENDAR YEAR]]+1)</f>
        <v/>
      </c>
      <c r="S315" s="51" t="str">
        <f>IF(ISBLANK(Yards25[[#This Row],[DSGN FISCAL YEAR]]),"",Yards25[[#This Row],[DSGN FISCAL YEAR]]+1)</f>
        <v/>
      </c>
      <c r="T315" s="51"/>
      <c r="U315" s="128">
        <f ca="1">Yards25[[#This Row],[Estimate]]*0.1</f>
        <v>0</v>
      </c>
      <c r="V315" s="47">
        <f ca="1">Yards25[[#This Row],[Estimate]]-Yards25[[#This Row],[Design Est.]]</f>
        <v>0</v>
      </c>
      <c r="W315" s="85">
        <f ca="1">(Yards25[[#This Row],['# yards]]*INDEX(UnitCosts[],MATCH(Yards25[[#This Row],[WORK TYPE]],UnitCosts[Work Type],0),2))*(1+((Yards25[[#This Row],[est. CONS Year]]-YEAR(TODAY()))*$W$3))</f>
        <v>0</v>
      </c>
      <c r="X315" s="142">
        <f>IF(ISNUMBER(SEARCH("LLC",Yards25[[#This Row],[PROGRAM]])),IF(Yards25[[#This Row],[RAD/PACT by 2025]]="yes",0,1),0)</f>
        <v>0</v>
      </c>
      <c r="Y315" s="1"/>
      <c r="Z315" s="1"/>
      <c r="AA315" s="51">
        <f ca="1">COUNTIF($X$5:Yards25[[#This Row],['# yards]],"&gt;0")</f>
        <v>11</v>
      </c>
      <c r="AB315" s="1">
        <f ca="1">IF(ISBLANK(Yards25[[#This Row],[DSGN CALENDAR YEAR]]),ROUNDDOWN(Yards25[[#This Row],[Count]]/20,0)+$AB$1,Yards25[[#This Row],[DSGN CALENDAR YEAR]])</f>
        <v>2022</v>
      </c>
      <c r="AC315" s="16">
        <f ca="1">Yards25[[#This Row],[est. DSGN Year]]+1</f>
        <v>2023</v>
      </c>
    </row>
    <row r="316" spans="1:29">
      <c r="Y316"/>
      <c r="Z316" s="20"/>
    </row>
    <row r="317" spans="1:29">
      <c r="Y317"/>
      <c r="Z317" s="20"/>
    </row>
    <row r="318" spans="1:29">
      <c r="Y318"/>
      <c r="Z318" s="20"/>
    </row>
    <row r="319" spans="1:29">
      <c r="Y319"/>
      <c r="Z319" s="20"/>
    </row>
    <row r="320" spans="1:29">
      <c r="Y320"/>
      <c r="Z320" s="20"/>
    </row>
    <row r="321" spans="25:26">
      <c r="Y321"/>
      <c r="Z321" s="20"/>
    </row>
    <row r="322" spans="25:26">
      <c r="Y322"/>
      <c r="Z322" s="20"/>
    </row>
    <row r="323" spans="25:26">
      <c r="Y323"/>
      <c r="Z323" s="20"/>
    </row>
    <row r="324" spans="25:26">
      <c r="Y324"/>
      <c r="Z324" s="20"/>
    </row>
    <row r="325" spans="25:26">
      <c r="Y325"/>
      <c r="Z325" s="20"/>
    </row>
    <row r="326" spans="25:26">
      <c r="Y326"/>
      <c r="Z326" s="20"/>
    </row>
    <row r="327" spans="25:26">
      <c r="Y327"/>
      <c r="Z327" s="20"/>
    </row>
    <row r="328" spans="25:26">
      <c r="Y328"/>
      <c r="Z328" s="20"/>
    </row>
    <row r="329" spans="25:26">
      <c r="Y329"/>
      <c r="Z329" s="20"/>
    </row>
    <row r="330" spans="25:26">
      <c r="Y330"/>
      <c r="Z330" s="20"/>
    </row>
    <row r="331" spans="25:26">
      <c r="Y331"/>
      <c r="Z331" s="20"/>
    </row>
    <row r="332" spans="25:26">
      <c r="Y332"/>
      <c r="Z332" s="20"/>
    </row>
    <row r="333" spans="25:26">
      <c r="Y333"/>
      <c r="Z333" s="20"/>
    </row>
    <row r="334" spans="25:26">
      <c r="Y334"/>
      <c r="Z334" s="20"/>
    </row>
    <row r="335" spans="25:26">
      <c r="Y335"/>
      <c r="Z335" s="20"/>
    </row>
    <row r="336" spans="25:26">
      <c r="Y336"/>
      <c r="Z336" s="20"/>
    </row>
    <row r="337" spans="25:26">
      <c r="Y337"/>
      <c r="Z337" s="20"/>
    </row>
    <row r="338" spans="25:26">
      <c r="Y338"/>
      <c r="Z338" s="20"/>
    </row>
    <row r="339" spans="25:26">
      <c r="Y339"/>
      <c r="Z339" s="20"/>
    </row>
    <row r="340" spans="25:26">
      <c r="Y340"/>
      <c r="Z340" s="20"/>
    </row>
    <row r="341" spans="25:26">
      <c r="Y341"/>
      <c r="Z341" s="20"/>
    </row>
    <row r="342" spans="25:26">
      <c r="Y342"/>
      <c r="Z342" s="20"/>
    </row>
    <row r="343" spans="25:26">
      <c r="Y343"/>
      <c r="Z343" s="20"/>
    </row>
    <row r="344" spans="25:26">
      <c r="Y344"/>
      <c r="Z344" s="20"/>
    </row>
    <row r="345" spans="25:26">
      <c r="Y345"/>
      <c r="Z345" s="20"/>
    </row>
    <row r="346" spans="25:26">
      <c r="Y346"/>
      <c r="Z346" s="20"/>
    </row>
    <row r="347" spans="25:26">
      <c r="Y347"/>
      <c r="Z347" s="20"/>
    </row>
    <row r="348" spans="25:26">
      <c r="Y348"/>
      <c r="Z348" s="20"/>
    </row>
    <row r="349" spans="25:26">
      <c r="Y349"/>
      <c r="Z349" s="20"/>
    </row>
    <row r="350" spans="25:26">
      <c r="Y350"/>
      <c r="Z350" s="20"/>
    </row>
    <row r="351" spans="25:26">
      <c r="Y351"/>
      <c r="Z351" s="20"/>
    </row>
    <row r="352" spans="25:26">
      <c r="Y352"/>
      <c r="Z352" s="20"/>
    </row>
    <row r="353" spans="25:26">
      <c r="Y353"/>
      <c r="Z353" s="20"/>
    </row>
    <row r="354" spans="25:26">
      <c r="Y354"/>
      <c r="Z354" s="20"/>
    </row>
    <row r="355" spans="25:26">
      <c r="Y355"/>
      <c r="Z355" s="20"/>
    </row>
    <row r="356" spans="25:26">
      <c r="Y356"/>
      <c r="Z356" s="20"/>
    </row>
    <row r="357" spans="25:26">
      <c r="Y357"/>
      <c r="Z357" s="20"/>
    </row>
    <row r="358" spans="25:26">
      <c r="Y358"/>
      <c r="Z358" s="20"/>
    </row>
    <row r="359" spans="25:26">
      <c r="Y359"/>
      <c r="Z359" s="20"/>
    </row>
    <row r="360" spans="25:26">
      <c r="Y360"/>
      <c r="Z360" s="20"/>
    </row>
    <row r="361" spans="25:26">
      <c r="Y361"/>
      <c r="Z361" s="20"/>
    </row>
    <row r="362" spans="25:26">
      <c r="Y362"/>
      <c r="Z362" s="20"/>
    </row>
    <row r="363" spans="25:26">
      <c r="Y363"/>
      <c r="Z363" s="20"/>
    </row>
    <row r="364" spans="25:26">
      <c r="Y364"/>
      <c r="Z364" s="20"/>
    </row>
    <row r="365" spans="25:26">
      <c r="Y365"/>
      <c r="Z365" s="20"/>
    </row>
    <row r="366" spans="25:26">
      <c r="Y366"/>
      <c r="Z366" s="20"/>
    </row>
    <row r="367" spans="25:26">
      <c r="Y367"/>
      <c r="Z367" s="20"/>
    </row>
    <row r="368" spans="25:26">
      <c r="Y368"/>
      <c r="Z368" s="20"/>
    </row>
    <row r="369" spans="25:26">
      <c r="Y369"/>
      <c r="Z369" s="20"/>
    </row>
    <row r="370" spans="25:26">
      <c r="Y370"/>
      <c r="Z370" s="20"/>
    </row>
    <row r="371" spans="25:26">
      <c r="Y371"/>
      <c r="Z371" s="20"/>
    </row>
    <row r="372" spans="25:26">
      <c r="Y372"/>
      <c r="Z372" s="20"/>
    </row>
    <row r="373" spans="25:26">
      <c r="Y373"/>
      <c r="Z373" s="20"/>
    </row>
    <row r="374" spans="25:26">
      <c r="Y374"/>
      <c r="Z374" s="20"/>
    </row>
    <row r="375" spans="25:26">
      <c r="Y375"/>
      <c r="Z375" s="20"/>
    </row>
    <row r="376" spans="25:26">
      <c r="Y376"/>
      <c r="Z376" s="20"/>
    </row>
    <row r="377" spans="25:26">
      <c r="Y377"/>
      <c r="Z377" s="20"/>
    </row>
    <row r="378" spans="25:26">
      <c r="Y378"/>
      <c r="Z378" s="20"/>
    </row>
    <row r="379" spans="25:26">
      <c r="Y379"/>
      <c r="Z379" s="20"/>
    </row>
    <row r="380" spans="25:26">
      <c r="Y380"/>
      <c r="Z380" s="20"/>
    </row>
    <row r="381" spans="25:26">
      <c r="Y381"/>
      <c r="Z381" s="20"/>
    </row>
    <row r="382" spans="25:26">
      <c r="Y382"/>
      <c r="Z382" s="20"/>
    </row>
    <row r="383" spans="25:26">
      <c r="Y383"/>
      <c r="Z383" s="20"/>
    </row>
    <row r="384" spans="25:26">
      <c r="Y384"/>
      <c r="Z384" s="20"/>
    </row>
    <row r="385" spans="25:26">
      <c r="Y385"/>
      <c r="Z385" s="20"/>
    </row>
    <row r="386" spans="25:26">
      <c r="Y386"/>
      <c r="Z386" s="20"/>
    </row>
    <row r="387" spans="25:26">
      <c r="Y387"/>
      <c r="Z387" s="20"/>
    </row>
    <row r="388" spans="25:26">
      <c r="Y388"/>
      <c r="Z388" s="20"/>
    </row>
    <row r="389" spans="25:26">
      <c r="Y389"/>
      <c r="Z389" s="20"/>
    </row>
    <row r="390" spans="25:26">
      <c r="Y390"/>
      <c r="Z390" s="20"/>
    </row>
    <row r="391" spans="25:26">
      <c r="Y391"/>
      <c r="Z391" s="20"/>
    </row>
    <row r="392" spans="25:26">
      <c r="Y392"/>
      <c r="Z392" s="20"/>
    </row>
    <row r="393" spans="25:26">
      <c r="Y393"/>
      <c r="Z393" s="20"/>
    </row>
    <row r="394" spans="25:26">
      <c r="Y394"/>
      <c r="Z394" s="20"/>
    </row>
    <row r="395" spans="25:26">
      <c r="Y395"/>
      <c r="Z395" s="20"/>
    </row>
    <row r="396" spans="25:26">
      <c r="Y396"/>
      <c r="Z396" s="20"/>
    </row>
    <row r="397" spans="25:26">
      <c r="Y397"/>
      <c r="Z397" s="20"/>
    </row>
    <row r="398" spans="25:26">
      <c r="Y398"/>
      <c r="Z398" s="20"/>
    </row>
    <row r="399" spans="25:26">
      <c r="Y399"/>
      <c r="Z399" s="20"/>
    </row>
    <row r="400" spans="25:26">
      <c r="Y400"/>
      <c r="Z400" s="20"/>
    </row>
    <row r="401" spans="25:26">
      <c r="Y401"/>
      <c r="Z401" s="20"/>
    </row>
    <row r="402" spans="25:26">
      <c r="Y402"/>
      <c r="Z402" s="20"/>
    </row>
    <row r="403" spans="25:26">
      <c r="Y403"/>
      <c r="Z403" s="20"/>
    </row>
    <row r="404" spans="25:26">
      <c r="Y404"/>
      <c r="Z404" s="20"/>
    </row>
    <row r="405" spans="25:26">
      <c r="Y405"/>
      <c r="Z405" s="20"/>
    </row>
    <row r="406" spans="25:26">
      <c r="Y406"/>
      <c r="Z406" s="20"/>
    </row>
    <row r="407" spans="25:26">
      <c r="Y407"/>
      <c r="Z407" s="20"/>
    </row>
    <row r="408" spans="25:26">
      <c r="Y408"/>
      <c r="Z408" s="20"/>
    </row>
    <row r="409" spans="25:26">
      <c r="Y409"/>
      <c r="Z409" s="20"/>
    </row>
    <row r="410" spans="25:26">
      <c r="Y410"/>
      <c r="Z410" s="20"/>
    </row>
    <row r="411" spans="25:26">
      <c r="Y411"/>
      <c r="Z411" s="20"/>
    </row>
    <row r="412" spans="25:26">
      <c r="Y412"/>
      <c r="Z412" s="20"/>
    </row>
    <row r="413" spans="25:26">
      <c r="Y413"/>
      <c r="Z413" s="20"/>
    </row>
    <row r="414" spans="25:26">
      <c r="Y414"/>
      <c r="Z414" s="20"/>
    </row>
    <row r="415" spans="25:26">
      <c r="Y415"/>
      <c r="Z415" s="20"/>
    </row>
    <row r="416" spans="25:26">
      <c r="Y416"/>
      <c r="Z416" s="20"/>
    </row>
    <row r="417" spans="25:26">
      <c r="Y417"/>
      <c r="Z417" s="20"/>
    </row>
    <row r="418" spans="25:26">
      <c r="Y418"/>
      <c r="Z418" s="20"/>
    </row>
    <row r="419" spans="25:26">
      <c r="Y419"/>
      <c r="Z419" s="20"/>
    </row>
    <row r="420" spans="25:26">
      <c r="Y420"/>
      <c r="Z420" s="20"/>
    </row>
    <row r="421" spans="25:26">
      <c r="Y421"/>
      <c r="Z421" s="20"/>
    </row>
    <row r="422" spans="25:26">
      <c r="Y422"/>
      <c r="Z422" s="20"/>
    </row>
    <row r="423" spans="25:26">
      <c r="Y423"/>
      <c r="Z423" s="20"/>
    </row>
    <row r="424" spans="25:26">
      <c r="Y424"/>
      <c r="Z424" s="20"/>
    </row>
    <row r="425" spans="25:26">
      <c r="Y425"/>
      <c r="Z425" s="20"/>
    </row>
    <row r="426" spans="25:26">
      <c r="Y426"/>
      <c r="Z426" s="20"/>
    </row>
    <row r="427" spans="25:26">
      <c r="Y427"/>
      <c r="Z427" s="20"/>
    </row>
    <row r="428" spans="25:26">
      <c r="Y428"/>
      <c r="Z428" s="20"/>
    </row>
    <row r="429" spans="25:26">
      <c r="Y429"/>
      <c r="Z429" s="20"/>
    </row>
    <row r="430" spans="25:26">
      <c r="Y430"/>
      <c r="Z430" s="20"/>
    </row>
    <row r="431" spans="25:26">
      <c r="Y431"/>
      <c r="Z431" s="20"/>
    </row>
    <row r="432" spans="25:26">
      <c r="Y432"/>
      <c r="Z432" s="20"/>
    </row>
  </sheetData>
  <conditionalFormatting sqref="W4:Y4 E4:E315 L5:N315 L4:O4 H4:H315">
    <cfRule type="containsErrors" dxfId="164" priority="19">
      <formula>ISERROR(E4)</formula>
    </cfRule>
  </conditionalFormatting>
  <conditionalFormatting sqref="A4:K4 B5:K315">
    <cfRule type="containsErrors" dxfId="163" priority="18">
      <formula>ISERROR(A4)</formula>
    </cfRule>
  </conditionalFormatting>
  <conditionalFormatting sqref="Y4">
    <cfRule type="expression" dxfId="162" priority="20">
      <formula>Y4&gt;#REF!</formula>
    </cfRule>
  </conditionalFormatting>
  <conditionalFormatting sqref="A7">
    <cfRule type="containsErrors" dxfId="161" priority="17">
      <formula>ISERROR(A7)</formula>
    </cfRule>
  </conditionalFormatting>
  <conditionalFormatting sqref="A9">
    <cfRule type="containsErrors" dxfId="160" priority="15">
      <formula>ISERROR(A9)</formula>
    </cfRule>
  </conditionalFormatting>
  <conditionalFormatting sqref="A8">
    <cfRule type="containsErrors" dxfId="159" priority="16">
      <formula>ISERROR(A8)</formula>
    </cfRule>
  </conditionalFormatting>
  <conditionalFormatting sqref="A12">
    <cfRule type="containsErrors" dxfId="158" priority="14">
      <formula>ISERROR(A12)</formula>
    </cfRule>
  </conditionalFormatting>
  <conditionalFormatting sqref="A13">
    <cfRule type="containsErrors" dxfId="157" priority="13">
      <formula>ISERROR(A13)</formula>
    </cfRule>
  </conditionalFormatting>
  <conditionalFormatting sqref="A14">
    <cfRule type="containsErrors" dxfId="156" priority="12">
      <formula>ISERROR(A14)</formula>
    </cfRule>
  </conditionalFormatting>
  <conditionalFormatting sqref="A26">
    <cfRule type="containsErrors" dxfId="155" priority="3">
      <formula>ISERROR(A26)</formula>
    </cfRule>
  </conditionalFormatting>
  <conditionalFormatting sqref="A18">
    <cfRule type="containsErrors" dxfId="154" priority="11">
      <formula>ISERROR(A18)</formula>
    </cfRule>
  </conditionalFormatting>
  <conditionalFormatting sqref="A19">
    <cfRule type="containsErrors" dxfId="153" priority="10">
      <formula>ISERROR(A19)</formula>
    </cfRule>
  </conditionalFormatting>
  <conditionalFormatting sqref="A20">
    <cfRule type="containsErrors" dxfId="152" priority="9">
      <formula>ISERROR(A20)</formula>
    </cfRule>
  </conditionalFormatting>
  <conditionalFormatting sqref="A21">
    <cfRule type="containsErrors" dxfId="151" priority="8">
      <formula>ISERROR(A21)</formula>
    </cfRule>
  </conditionalFormatting>
  <conditionalFormatting sqref="A22">
    <cfRule type="containsErrors" dxfId="150" priority="7">
      <formula>ISERROR(A22)</formula>
    </cfRule>
  </conditionalFormatting>
  <conditionalFormatting sqref="A23">
    <cfRule type="containsErrors" dxfId="149" priority="6">
      <formula>ISERROR(A23)</formula>
    </cfRule>
  </conditionalFormatting>
  <conditionalFormatting sqref="A24">
    <cfRule type="containsErrors" dxfId="148" priority="5">
      <formula>ISERROR(A24)</formula>
    </cfRule>
  </conditionalFormatting>
  <conditionalFormatting sqref="A25">
    <cfRule type="containsErrors" dxfId="147" priority="4">
      <formula>ISERROR(A25)</formula>
    </cfRule>
  </conditionalFormatting>
  <conditionalFormatting sqref="P4:V4">
    <cfRule type="containsErrors" dxfId="146" priority="2">
      <formula>ISERROR(P4)</formula>
    </cfRule>
  </conditionalFormatting>
  <conditionalFormatting sqref="AB4:AC4">
    <cfRule type="containsErrors" dxfId="145" priority="1">
      <formula>ISERROR(AB4)</formula>
    </cfRule>
  </conditionalFormatting>
  <conditionalFormatting sqref="A5:A315">
    <cfRule type="duplicateValues" dxfId="144" priority="21"/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C8B7D-39F7-42B1-A5CB-C9A0E4E475C1}">
  <dimension ref="A1:W18"/>
  <sheetViews>
    <sheetView topLeftCell="I1" workbookViewId="0">
      <selection activeCell="D11" sqref="D11"/>
    </sheetView>
  </sheetViews>
  <sheetFormatPr defaultRowHeight="14.45"/>
  <cols>
    <col min="1" max="1" width="20" bestFit="1" customWidth="1"/>
    <col min="2" max="2" width="7.85546875" bestFit="1" customWidth="1"/>
    <col min="3" max="3" width="6.7109375" bestFit="1" customWidth="1"/>
    <col min="4" max="4" width="20.7109375" bestFit="1" customWidth="1"/>
    <col min="5" max="5" width="9.42578125" bestFit="1" customWidth="1"/>
    <col min="6" max="6" width="6.42578125" bestFit="1" customWidth="1"/>
    <col min="7" max="7" width="10.42578125" bestFit="1" customWidth="1"/>
    <col min="8" max="8" width="25.7109375" bestFit="1" customWidth="1"/>
    <col min="9" max="9" width="30.5703125" bestFit="1" customWidth="1"/>
    <col min="10" max="10" width="15.7109375" bestFit="1" customWidth="1"/>
    <col min="11" max="11" width="24.42578125" bestFit="1" customWidth="1"/>
    <col min="12" max="12" width="20.42578125" bestFit="1" customWidth="1"/>
    <col min="13" max="13" width="39.5703125" bestFit="1" customWidth="1"/>
    <col min="14" max="14" width="29" bestFit="1" customWidth="1"/>
    <col min="15" max="15" width="34" bestFit="1" customWidth="1"/>
    <col min="16" max="16" width="26.7109375" bestFit="1" customWidth="1"/>
    <col min="17" max="17" width="25.7109375" bestFit="1" customWidth="1"/>
    <col min="18" max="18" width="16.28515625" bestFit="1" customWidth="1"/>
    <col min="19" max="19" width="12.28515625" bestFit="1" customWidth="1"/>
    <col min="20" max="20" width="13.28515625" bestFit="1" customWidth="1"/>
    <col min="21" max="21" width="12.7109375" bestFit="1" customWidth="1"/>
    <col min="22" max="22" width="31.85546875" bestFit="1" customWidth="1"/>
    <col min="23" max="23" width="31.28515625" bestFit="1" customWidth="1"/>
  </cols>
  <sheetData>
    <row r="1" spans="1:23">
      <c r="A1" t="s">
        <v>497</v>
      </c>
      <c r="B1" t="s">
        <v>2250</v>
      </c>
      <c r="C1" t="s">
        <v>2251</v>
      </c>
      <c r="D1" t="s">
        <v>2252</v>
      </c>
      <c r="E1" t="s">
        <v>2253</v>
      </c>
      <c r="F1" t="s">
        <v>155</v>
      </c>
      <c r="G1" t="s">
        <v>500</v>
      </c>
      <c r="H1" t="s">
        <v>2254</v>
      </c>
      <c r="I1" t="s">
        <v>2255</v>
      </c>
      <c r="J1" t="s">
        <v>2256</v>
      </c>
      <c r="K1" t="s">
        <v>2257</v>
      </c>
      <c r="L1" t="s">
        <v>2258</v>
      </c>
      <c r="M1" t="s">
        <v>2259</v>
      </c>
      <c r="N1" t="s">
        <v>2260</v>
      </c>
      <c r="O1" t="s">
        <v>2261</v>
      </c>
      <c r="P1" t="s">
        <v>2262</v>
      </c>
      <c r="Q1" t="s">
        <v>2263</v>
      </c>
      <c r="R1" t="s">
        <v>2264</v>
      </c>
      <c r="S1" t="s">
        <v>2265</v>
      </c>
      <c r="T1" t="s">
        <v>2266</v>
      </c>
      <c r="U1" t="s">
        <v>2267</v>
      </c>
      <c r="V1" t="s">
        <v>24</v>
      </c>
      <c r="W1" t="s">
        <v>2268</v>
      </c>
    </row>
    <row r="2" spans="1:23">
      <c r="A2" s="20" t="s">
        <v>37</v>
      </c>
      <c r="B2" s="20" t="s">
        <v>2269</v>
      </c>
      <c r="D2">
        <v>10013</v>
      </c>
      <c r="E2" s="20"/>
      <c r="F2">
        <v>122</v>
      </c>
      <c r="G2" s="20" t="s">
        <v>2238</v>
      </c>
      <c r="H2" t="s">
        <v>2273</v>
      </c>
      <c r="I2" t="s">
        <v>2354</v>
      </c>
      <c r="J2">
        <v>304400</v>
      </c>
      <c r="K2">
        <v>480390</v>
      </c>
      <c r="M2" s="27">
        <v>43586</v>
      </c>
      <c r="N2" s="27">
        <v>43591</v>
      </c>
      <c r="O2" s="27">
        <v>43677</v>
      </c>
      <c r="P2" s="27">
        <v>43697</v>
      </c>
      <c r="R2">
        <v>2</v>
      </c>
      <c r="S2">
        <v>2</v>
      </c>
      <c r="T2">
        <v>1</v>
      </c>
      <c r="V2" s="20" t="s">
        <v>2271</v>
      </c>
      <c r="W2">
        <f>CPD_Ext[[#This Row],[% Complete]]*CPD_Ext[[#This Row],[City Funds Allocated]]</f>
        <v>0</v>
      </c>
    </row>
    <row r="3" spans="1:23">
      <c r="A3" s="20" t="s">
        <v>42</v>
      </c>
      <c r="B3" s="20" t="s">
        <v>2269</v>
      </c>
      <c r="E3" s="20"/>
      <c r="F3">
        <v>135</v>
      </c>
      <c r="G3" s="20" t="s">
        <v>2238</v>
      </c>
      <c r="H3" t="s">
        <v>2276</v>
      </c>
      <c r="I3" t="s">
        <v>2354</v>
      </c>
      <c r="J3">
        <v>304400</v>
      </c>
      <c r="K3">
        <v>509246</v>
      </c>
      <c r="M3" s="27">
        <v>43586</v>
      </c>
      <c r="N3" s="27">
        <v>43584</v>
      </c>
      <c r="O3" s="27">
        <v>43646</v>
      </c>
      <c r="P3" s="27">
        <v>43662</v>
      </c>
      <c r="R3">
        <v>2</v>
      </c>
      <c r="S3">
        <v>2</v>
      </c>
      <c r="T3">
        <v>1</v>
      </c>
      <c r="V3" s="20" t="s">
        <v>2271</v>
      </c>
      <c r="W3">
        <f>CPD_Ext[[#This Row],[% Complete]]*CPD_Ext[[#This Row],[City Funds Allocated]]</f>
        <v>0</v>
      </c>
    </row>
    <row r="4" spans="1:23">
      <c r="A4" s="20" t="s">
        <v>31</v>
      </c>
      <c r="B4" s="20" t="s">
        <v>2269</v>
      </c>
      <c r="D4">
        <v>10017</v>
      </c>
      <c r="E4" s="20"/>
      <c r="F4">
        <v>113</v>
      </c>
      <c r="G4" s="20" t="s">
        <v>2237</v>
      </c>
      <c r="H4" t="s">
        <v>2273</v>
      </c>
      <c r="I4" t="s">
        <v>2354</v>
      </c>
      <c r="J4">
        <v>1297554</v>
      </c>
      <c r="K4">
        <v>1741405</v>
      </c>
      <c r="M4" s="27">
        <v>43617</v>
      </c>
      <c r="N4" s="27">
        <v>43619</v>
      </c>
      <c r="O4" s="27">
        <v>43693</v>
      </c>
      <c r="P4" s="27">
        <v>43663</v>
      </c>
      <c r="R4">
        <v>4</v>
      </c>
      <c r="S4">
        <v>4</v>
      </c>
      <c r="T4">
        <v>1</v>
      </c>
      <c r="V4" s="20" t="s">
        <v>2271</v>
      </c>
      <c r="W4">
        <f>CPD_Ext[[#This Row],[% Complete]]*CPD_Ext[[#This Row],[City Funds Allocated]]</f>
        <v>0</v>
      </c>
    </row>
    <row r="5" spans="1:23">
      <c r="A5" s="20" t="s">
        <v>61</v>
      </c>
      <c r="B5" s="20" t="s">
        <v>2269</v>
      </c>
      <c r="D5">
        <v>10007</v>
      </c>
      <c r="E5" s="20"/>
      <c r="F5">
        <v>100</v>
      </c>
      <c r="G5" s="20" t="s">
        <v>2239</v>
      </c>
      <c r="H5" t="s">
        <v>2276</v>
      </c>
      <c r="I5" t="s">
        <v>2354</v>
      </c>
      <c r="J5">
        <v>152200</v>
      </c>
      <c r="K5">
        <v>263089</v>
      </c>
      <c r="L5">
        <v>243729</v>
      </c>
      <c r="M5" s="27"/>
      <c r="N5" s="27">
        <v>43762</v>
      </c>
      <c r="O5" s="27"/>
      <c r="P5" s="27">
        <v>43809</v>
      </c>
      <c r="R5">
        <v>1</v>
      </c>
      <c r="S5">
        <v>1</v>
      </c>
      <c r="T5">
        <v>1</v>
      </c>
      <c r="V5" s="20" t="s">
        <v>2271</v>
      </c>
      <c r="W5">
        <f>CPD_Ext[[#This Row],[% Complete]]*CPD_Ext[[#This Row],[City Funds Allocated]]</f>
        <v>243729</v>
      </c>
    </row>
    <row r="6" spans="1:23">
      <c r="A6" s="20" t="s">
        <v>46</v>
      </c>
      <c r="B6" s="20" t="s">
        <v>2269</v>
      </c>
      <c r="D6">
        <v>10014</v>
      </c>
      <c r="E6" s="20"/>
      <c r="F6">
        <v>131</v>
      </c>
      <c r="G6" s="20" t="s">
        <v>2238</v>
      </c>
      <c r="H6">
        <v>0</v>
      </c>
      <c r="I6" t="s">
        <v>2355</v>
      </c>
      <c r="J6">
        <v>304400</v>
      </c>
      <c r="K6">
        <v>485216</v>
      </c>
      <c r="M6" s="27">
        <v>43598</v>
      </c>
      <c r="N6" s="27">
        <v>43598</v>
      </c>
      <c r="O6" s="27">
        <v>43677</v>
      </c>
      <c r="P6" s="27">
        <v>43683</v>
      </c>
      <c r="R6">
        <v>2</v>
      </c>
      <c r="S6">
        <v>2</v>
      </c>
      <c r="T6">
        <v>1</v>
      </c>
      <c r="V6" s="20" t="s">
        <v>2271</v>
      </c>
      <c r="W6">
        <f>CPD_Ext[[#This Row],[% Complete]]*CPD_Ext[[#This Row],[City Funds Allocated]]</f>
        <v>0</v>
      </c>
    </row>
    <row r="7" spans="1:23">
      <c r="A7" s="20" t="s">
        <v>38</v>
      </c>
      <c r="B7" s="20" t="s">
        <v>2269</v>
      </c>
      <c r="D7">
        <v>10012</v>
      </c>
      <c r="E7" s="20"/>
      <c r="F7">
        <v>21</v>
      </c>
      <c r="G7" s="20" t="s">
        <v>2238</v>
      </c>
      <c r="H7" t="s">
        <v>2273</v>
      </c>
      <c r="I7" t="s">
        <v>2355</v>
      </c>
      <c r="J7">
        <v>456600</v>
      </c>
      <c r="K7">
        <v>1255768</v>
      </c>
      <c r="L7">
        <v>1255768</v>
      </c>
      <c r="M7" s="27">
        <v>43647</v>
      </c>
      <c r="N7" s="27">
        <v>43546</v>
      </c>
      <c r="O7" s="27">
        <v>43800</v>
      </c>
      <c r="P7" s="27">
        <v>43619</v>
      </c>
      <c r="R7">
        <v>3</v>
      </c>
      <c r="S7">
        <v>3</v>
      </c>
      <c r="T7">
        <v>1</v>
      </c>
      <c r="V7" s="20" t="s">
        <v>2271</v>
      </c>
      <c r="W7">
        <f>CPD_Ext[[#This Row],[% Complete]]*CPD_Ext[[#This Row],[City Funds Allocated]]</f>
        <v>1255768</v>
      </c>
    </row>
    <row r="8" spans="1:23">
      <c r="A8" s="20" t="s">
        <v>55</v>
      </c>
      <c r="B8" s="20" t="s">
        <v>2269</v>
      </c>
      <c r="D8">
        <v>10010</v>
      </c>
      <c r="E8" s="20"/>
      <c r="F8">
        <v>18</v>
      </c>
      <c r="G8" s="20" t="s">
        <v>2239</v>
      </c>
      <c r="H8" t="s">
        <v>2273</v>
      </c>
      <c r="I8" t="s">
        <v>2355</v>
      </c>
      <c r="J8">
        <v>456600</v>
      </c>
      <c r="K8">
        <v>957884</v>
      </c>
      <c r="M8" s="27">
        <v>43633</v>
      </c>
      <c r="N8" s="27">
        <v>43640</v>
      </c>
      <c r="O8" s="27">
        <v>43800</v>
      </c>
      <c r="P8" s="27">
        <v>43713</v>
      </c>
      <c r="R8">
        <v>3</v>
      </c>
      <c r="S8">
        <v>3</v>
      </c>
      <c r="T8">
        <v>1</v>
      </c>
      <c r="V8" s="20" t="s">
        <v>2271</v>
      </c>
      <c r="W8">
        <f>CPD_Ext[[#This Row],[% Complete]]*CPD_Ext[[#This Row],[City Funds Allocated]]</f>
        <v>0</v>
      </c>
    </row>
    <row r="9" spans="1:23">
      <c r="A9" s="20" t="s">
        <v>45</v>
      </c>
      <c r="B9" s="20" t="s">
        <v>2269</v>
      </c>
      <c r="E9" s="20"/>
      <c r="F9">
        <v>73</v>
      </c>
      <c r="G9" s="20" t="s">
        <v>2238</v>
      </c>
      <c r="H9" t="s">
        <v>2274</v>
      </c>
      <c r="I9" t="s">
        <v>2355</v>
      </c>
      <c r="J9">
        <v>456600</v>
      </c>
      <c r="K9">
        <v>2131742</v>
      </c>
      <c r="L9">
        <v>2131742</v>
      </c>
      <c r="M9" s="27">
        <v>43647</v>
      </c>
      <c r="N9" s="27">
        <v>43556</v>
      </c>
      <c r="O9" s="27">
        <v>43800</v>
      </c>
      <c r="P9" s="27">
        <v>43620</v>
      </c>
      <c r="R9">
        <v>3</v>
      </c>
      <c r="S9">
        <v>3</v>
      </c>
      <c r="T9">
        <v>1</v>
      </c>
      <c r="V9" s="20" t="s">
        <v>2271</v>
      </c>
      <c r="W9">
        <f>CPD_Ext[[#This Row],[% Complete]]*CPD_Ext[[#This Row],[City Funds Allocated]]</f>
        <v>2131742</v>
      </c>
    </row>
    <row r="10" spans="1:23">
      <c r="A10" s="20" t="s">
        <v>26</v>
      </c>
      <c r="B10" s="20" t="s">
        <v>2269</v>
      </c>
      <c r="E10" s="20"/>
      <c r="F10">
        <v>86</v>
      </c>
      <c r="G10" s="20" t="s">
        <v>2238</v>
      </c>
      <c r="H10" t="s">
        <v>2274</v>
      </c>
      <c r="I10" t="s">
        <v>2355</v>
      </c>
      <c r="J10">
        <v>993154</v>
      </c>
      <c r="M10" s="27">
        <v>43678</v>
      </c>
      <c r="N10" s="27">
        <v>43742</v>
      </c>
      <c r="O10" s="27">
        <v>43831</v>
      </c>
      <c r="P10" s="27">
        <v>43809</v>
      </c>
      <c r="R10">
        <v>2</v>
      </c>
      <c r="S10">
        <v>2</v>
      </c>
      <c r="T10">
        <v>1</v>
      </c>
      <c r="V10" s="20" t="s">
        <v>2271</v>
      </c>
      <c r="W10">
        <f>CPD_Ext[[#This Row],[% Complete]]*CPD_Ext[[#This Row],[City Funds Allocated]]</f>
        <v>0</v>
      </c>
    </row>
    <row r="11" spans="1:23">
      <c r="A11" s="20" t="s">
        <v>40</v>
      </c>
      <c r="B11" s="20" t="s">
        <v>2269</v>
      </c>
      <c r="D11">
        <v>10015</v>
      </c>
      <c r="E11" s="20"/>
      <c r="F11">
        <v>102</v>
      </c>
      <c r="G11" s="20" t="s">
        <v>2237</v>
      </c>
      <c r="H11" t="s">
        <v>2273</v>
      </c>
      <c r="I11" t="s">
        <v>2355</v>
      </c>
      <c r="J11">
        <v>761000</v>
      </c>
      <c r="K11">
        <v>630681</v>
      </c>
      <c r="L11">
        <v>761000</v>
      </c>
      <c r="M11" s="27">
        <v>43678</v>
      </c>
      <c r="N11" s="27">
        <v>43679</v>
      </c>
      <c r="O11" s="27">
        <v>43831</v>
      </c>
      <c r="P11" s="27">
        <v>43745</v>
      </c>
      <c r="R11">
        <v>3</v>
      </c>
      <c r="S11">
        <v>3</v>
      </c>
      <c r="T11">
        <v>1</v>
      </c>
      <c r="V11" s="20" t="s">
        <v>2271</v>
      </c>
      <c r="W11">
        <f>CPD_Ext[[#This Row],[% Complete]]*CPD_Ext[[#This Row],[City Funds Allocated]]</f>
        <v>761000</v>
      </c>
    </row>
    <row r="12" spans="1:23">
      <c r="A12" s="20" t="s">
        <v>140</v>
      </c>
      <c r="B12" s="20" t="s">
        <v>2269</v>
      </c>
      <c r="D12">
        <v>10015</v>
      </c>
      <c r="E12" s="20"/>
      <c r="F12">
        <v>502</v>
      </c>
      <c r="G12" s="20" t="s">
        <v>2237</v>
      </c>
      <c r="H12" t="s">
        <v>2274</v>
      </c>
      <c r="I12" t="s">
        <v>2355</v>
      </c>
      <c r="M12" s="27">
        <v>43678</v>
      </c>
      <c r="N12" s="27">
        <v>43679</v>
      </c>
      <c r="O12" s="27">
        <v>43831</v>
      </c>
      <c r="P12" s="27">
        <v>43745</v>
      </c>
      <c r="R12">
        <v>2</v>
      </c>
      <c r="S12">
        <v>2</v>
      </c>
      <c r="T12">
        <v>1</v>
      </c>
      <c r="V12" s="20" t="s">
        <v>2271</v>
      </c>
      <c r="W12">
        <f>CPD_Ext[[#This Row],[% Complete]]*CPD_Ext[[#This Row],[City Funds Allocated]]</f>
        <v>0</v>
      </c>
    </row>
    <row r="13" spans="1:23">
      <c r="A13" s="20" t="s">
        <v>43</v>
      </c>
      <c r="B13" s="20" t="s">
        <v>2269</v>
      </c>
      <c r="E13" s="20"/>
      <c r="F13">
        <v>99</v>
      </c>
      <c r="G13" s="20" t="s">
        <v>2239</v>
      </c>
      <c r="H13" t="s">
        <v>2276</v>
      </c>
      <c r="I13" t="s">
        <v>2355</v>
      </c>
      <c r="J13">
        <v>152200</v>
      </c>
      <c r="K13">
        <v>289378</v>
      </c>
      <c r="L13">
        <v>270018</v>
      </c>
      <c r="M13" s="27">
        <v>43678</v>
      </c>
      <c r="N13" s="27">
        <v>43786</v>
      </c>
      <c r="O13" s="27">
        <v>43831</v>
      </c>
      <c r="P13" s="27">
        <v>43818</v>
      </c>
      <c r="R13">
        <v>1</v>
      </c>
      <c r="S13">
        <v>1</v>
      </c>
      <c r="T13">
        <v>1</v>
      </c>
      <c r="V13" s="20" t="s">
        <v>2271</v>
      </c>
      <c r="W13">
        <f>CPD_Ext[[#This Row],[% Complete]]*CPD_Ext[[#This Row],[City Funds Allocated]]</f>
        <v>270018</v>
      </c>
    </row>
    <row r="14" spans="1:23">
      <c r="A14" s="20" t="s">
        <v>332</v>
      </c>
      <c r="B14" s="20" t="s">
        <v>2269</v>
      </c>
      <c r="D14">
        <v>10018</v>
      </c>
      <c r="E14" s="20"/>
      <c r="F14">
        <v>78</v>
      </c>
      <c r="G14" s="20" t="s">
        <v>2237</v>
      </c>
      <c r="H14">
        <v>0</v>
      </c>
      <c r="I14" t="s">
        <v>2355</v>
      </c>
      <c r="J14">
        <v>304400</v>
      </c>
      <c r="K14">
        <v>578570</v>
      </c>
      <c r="L14">
        <v>558090</v>
      </c>
      <c r="M14" s="27">
        <v>43709</v>
      </c>
      <c r="N14" s="27">
        <v>43702</v>
      </c>
      <c r="O14" s="27">
        <v>43862</v>
      </c>
      <c r="P14" s="27">
        <v>43760</v>
      </c>
      <c r="R14">
        <v>2</v>
      </c>
      <c r="S14">
        <v>2</v>
      </c>
      <c r="T14">
        <v>1</v>
      </c>
      <c r="V14" s="20" t="s">
        <v>2271</v>
      </c>
      <c r="W14">
        <f>CPD_Ext[[#This Row],[% Complete]]*CPD_Ext[[#This Row],[City Funds Allocated]]</f>
        <v>558090</v>
      </c>
    </row>
    <row r="15" spans="1:23">
      <c r="A15" s="20" t="s">
        <v>56</v>
      </c>
      <c r="B15" s="20" t="s">
        <v>2269</v>
      </c>
      <c r="D15">
        <v>10009</v>
      </c>
      <c r="E15" s="20"/>
      <c r="F15">
        <v>6</v>
      </c>
      <c r="G15" s="20" t="s">
        <v>2239</v>
      </c>
      <c r="H15" t="s">
        <v>2273</v>
      </c>
      <c r="I15" t="s">
        <v>2356</v>
      </c>
      <c r="J15">
        <v>868792.39</v>
      </c>
      <c r="K15">
        <v>572667</v>
      </c>
      <c r="L15">
        <v>552747</v>
      </c>
      <c r="M15" s="27">
        <v>44150</v>
      </c>
      <c r="N15" s="27"/>
      <c r="O15" s="27">
        <v>44180</v>
      </c>
      <c r="P15" s="27"/>
      <c r="R15">
        <v>0</v>
      </c>
      <c r="S15">
        <v>1</v>
      </c>
      <c r="T15">
        <v>0</v>
      </c>
      <c r="V15" s="20" t="s">
        <v>2357</v>
      </c>
      <c r="W15">
        <f>CPD_Ext[[#This Row],[% Complete]]*CPD_Ext[[#This Row],[City Funds Allocated]]</f>
        <v>0</v>
      </c>
    </row>
    <row r="16" spans="1:23">
      <c r="A16" s="20" t="s">
        <v>66</v>
      </c>
      <c r="B16" s="20" t="s">
        <v>2269</v>
      </c>
      <c r="D16">
        <v>10006</v>
      </c>
      <c r="E16" s="20"/>
      <c r="F16">
        <v>23</v>
      </c>
      <c r="G16" s="20" t="s">
        <v>2239</v>
      </c>
      <c r="H16" t="s">
        <v>2273</v>
      </c>
      <c r="I16" t="s">
        <v>2355</v>
      </c>
      <c r="J16">
        <v>1297554</v>
      </c>
      <c r="K16">
        <v>1324730</v>
      </c>
      <c r="L16">
        <v>1299470</v>
      </c>
      <c r="M16" s="27">
        <v>43709</v>
      </c>
      <c r="N16" s="27">
        <v>43720</v>
      </c>
      <c r="O16" s="27">
        <v>43862</v>
      </c>
      <c r="P16" s="27">
        <v>43783</v>
      </c>
      <c r="R16">
        <v>4</v>
      </c>
      <c r="S16">
        <v>4</v>
      </c>
      <c r="T16">
        <v>1</v>
      </c>
      <c r="V16" s="20" t="s">
        <v>2271</v>
      </c>
      <c r="W16">
        <f>CPD_Ext[[#This Row],[% Complete]]*CPD_Ext[[#This Row],[City Funds Allocated]]</f>
        <v>1299470</v>
      </c>
    </row>
    <row r="17" spans="1:23">
      <c r="A17" s="20" t="s">
        <v>44</v>
      </c>
      <c r="B17" s="20" t="s">
        <v>2269</v>
      </c>
      <c r="E17" s="20"/>
      <c r="F17">
        <v>27</v>
      </c>
      <c r="G17" s="20" t="s">
        <v>2239</v>
      </c>
      <c r="H17" t="s">
        <v>2273</v>
      </c>
      <c r="I17" t="s">
        <v>2355</v>
      </c>
      <c r="J17">
        <v>1297554</v>
      </c>
      <c r="M17" s="27">
        <v>43739</v>
      </c>
      <c r="N17" s="27">
        <v>43850</v>
      </c>
      <c r="O17" s="27">
        <v>43891</v>
      </c>
      <c r="P17" s="27">
        <v>43882</v>
      </c>
      <c r="R17">
        <v>4</v>
      </c>
      <c r="S17">
        <v>4</v>
      </c>
      <c r="T17">
        <v>1</v>
      </c>
      <c r="V17" s="20" t="s">
        <v>2271</v>
      </c>
      <c r="W17">
        <f>CPD_Ext[[#This Row],[% Complete]]*CPD_Ext[[#This Row],[City Funds Allocated]]</f>
        <v>0</v>
      </c>
    </row>
    <row r="18" spans="1:23">
      <c r="A18" s="20" t="s">
        <v>58</v>
      </c>
      <c r="B18" s="20" t="s">
        <v>2269</v>
      </c>
      <c r="D18">
        <v>10008</v>
      </c>
      <c r="E18" s="20"/>
      <c r="F18">
        <v>60</v>
      </c>
      <c r="G18" s="20" t="s">
        <v>2239</v>
      </c>
      <c r="H18" t="s">
        <v>2273</v>
      </c>
      <c r="I18" t="s">
        <v>2355</v>
      </c>
      <c r="J18">
        <v>1297554</v>
      </c>
      <c r="K18">
        <v>1159735</v>
      </c>
      <c r="L18">
        <v>1135335</v>
      </c>
      <c r="M18" s="27">
        <v>43770</v>
      </c>
      <c r="N18" s="27">
        <v>43875</v>
      </c>
      <c r="O18" s="27">
        <v>44044</v>
      </c>
      <c r="P18" s="27"/>
      <c r="R18">
        <v>0</v>
      </c>
      <c r="S18">
        <v>4</v>
      </c>
      <c r="T18">
        <v>0.5</v>
      </c>
      <c r="V18" s="20" t="s">
        <v>2358</v>
      </c>
      <c r="W18">
        <f>CPD_Ext[[#This Row],[% Complete]]*CPD_Ext[[#This Row],[City Funds Allocated]]</f>
        <v>567667.5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E90AC-25FC-441C-AC2D-0194BE3E87F9}">
  <dimension ref="A1:W6"/>
  <sheetViews>
    <sheetView topLeftCell="E1" workbookViewId="0">
      <selection activeCell="W1" sqref="W1:W2"/>
    </sheetView>
  </sheetViews>
  <sheetFormatPr defaultRowHeight="14.45"/>
  <cols>
    <col min="1" max="1" width="14.5703125" bestFit="1" customWidth="1"/>
    <col min="2" max="2" width="7.85546875" bestFit="1" customWidth="1"/>
    <col min="3" max="3" width="6.7109375" bestFit="1" customWidth="1"/>
    <col min="4" max="4" width="20.7109375" bestFit="1" customWidth="1"/>
    <col min="5" max="5" width="9.42578125" bestFit="1" customWidth="1"/>
    <col min="6" max="6" width="6.42578125" bestFit="1" customWidth="1"/>
    <col min="7" max="7" width="10.42578125" bestFit="1" customWidth="1"/>
    <col min="8" max="8" width="25.7109375" bestFit="1" customWidth="1"/>
    <col min="9" max="9" width="20.140625" bestFit="1" customWidth="1"/>
    <col min="10" max="10" width="15.7109375" bestFit="1" customWidth="1"/>
    <col min="11" max="11" width="24.42578125" bestFit="1" customWidth="1"/>
    <col min="12" max="12" width="20.42578125" bestFit="1" customWidth="1"/>
    <col min="13" max="13" width="39.5703125" bestFit="1" customWidth="1"/>
    <col min="14" max="14" width="29" bestFit="1" customWidth="1"/>
    <col min="15" max="15" width="34" bestFit="1" customWidth="1"/>
    <col min="16" max="16" width="26.7109375" bestFit="1" customWidth="1"/>
    <col min="17" max="17" width="25.7109375" bestFit="1" customWidth="1"/>
    <col min="18" max="18" width="16.28515625" bestFit="1" customWidth="1"/>
    <col min="19" max="19" width="12.28515625" bestFit="1" customWidth="1"/>
    <col min="20" max="20" width="13.28515625" bestFit="1" customWidth="1"/>
    <col min="21" max="21" width="12.7109375" bestFit="1" customWidth="1"/>
    <col min="22" max="22" width="31.85546875" bestFit="1" customWidth="1"/>
    <col min="23" max="23" width="31.28515625" bestFit="1" customWidth="1"/>
  </cols>
  <sheetData>
    <row r="1" spans="1:23">
      <c r="A1" t="s">
        <v>497</v>
      </c>
      <c r="B1" t="s">
        <v>2250</v>
      </c>
      <c r="C1" t="s">
        <v>2251</v>
      </c>
      <c r="D1" t="s">
        <v>2252</v>
      </c>
      <c r="E1" t="s">
        <v>2253</v>
      </c>
      <c r="F1" t="s">
        <v>155</v>
      </c>
      <c r="G1" t="s">
        <v>500</v>
      </c>
      <c r="H1" t="s">
        <v>2254</v>
      </c>
      <c r="I1" t="s">
        <v>2255</v>
      </c>
      <c r="J1" t="s">
        <v>2256</v>
      </c>
      <c r="K1" t="s">
        <v>2257</v>
      </c>
      <c r="L1" t="s">
        <v>2258</v>
      </c>
      <c r="M1" t="s">
        <v>2259</v>
      </c>
      <c r="N1" t="s">
        <v>2260</v>
      </c>
      <c r="O1" t="s">
        <v>2261</v>
      </c>
      <c r="P1" t="s">
        <v>2262</v>
      </c>
      <c r="Q1" t="s">
        <v>2263</v>
      </c>
      <c r="R1" t="s">
        <v>2264</v>
      </c>
      <c r="S1" t="s">
        <v>2265</v>
      </c>
      <c r="T1" t="s">
        <v>2266</v>
      </c>
      <c r="U1" t="s">
        <v>2267</v>
      </c>
      <c r="V1" t="s">
        <v>24</v>
      </c>
      <c r="W1" t="s">
        <v>2268</v>
      </c>
    </row>
    <row r="2" spans="1:23">
      <c r="A2" s="20" t="s">
        <v>31</v>
      </c>
      <c r="B2" s="20" t="s">
        <v>2269</v>
      </c>
      <c r="E2" s="20"/>
      <c r="F2">
        <v>113</v>
      </c>
      <c r="G2" s="20" t="s">
        <v>2237</v>
      </c>
      <c r="H2" t="s">
        <v>2273</v>
      </c>
      <c r="I2" t="s">
        <v>2359</v>
      </c>
      <c r="J2">
        <v>750000</v>
      </c>
      <c r="M2" s="27">
        <v>43678</v>
      </c>
      <c r="N2" s="27">
        <v>43671</v>
      </c>
      <c r="O2" s="27"/>
      <c r="P2" s="27">
        <v>43745</v>
      </c>
      <c r="R2">
        <v>1</v>
      </c>
      <c r="S2">
        <v>1</v>
      </c>
      <c r="T2">
        <v>1</v>
      </c>
      <c r="V2" s="20" t="s">
        <v>2205</v>
      </c>
      <c r="W2">
        <f>CPD_Bulk[[#This Row],[% Complete]]*CPD_Bulk[[#This Row],[City Funds Allocated]]</f>
        <v>0</v>
      </c>
    </row>
    <row r="3" spans="1:23">
      <c r="A3" s="20" t="s">
        <v>26</v>
      </c>
      <c r="B3" s="20" t="s">
        <v>2269</v>
      </c>
      <c r="D3">
        <v>9431</v>
      </c>
      <c r="E3" s="20"/>
      <c r="F3">
        <v>86</v>
      </c>
      <c r="G3" s="20" t="s">
        <v>2238</v>
      </c>
      <c r="H3" t="s">
        <v>2274</v>
      </c>
      <c r="I3" t="s">
        <v>2359</v>
      </c>
      <c r="J3">
        <v>750000</v>
      </c>
      <c r="K3">
        <v>1040080</v>
      </c>
      <c r="L3">
        <v>1000000</v>
      </c>
      <c r="M3" s="27">
        <v>43678</v>
      </c>
      <c r="N3" s="27">
        <v>43671</v>
      </c>
      <c r="O3" s="27">
        <v>43845</v>
      </c>
      <c r="P3" s="27">
        <v>43745</v>
      </c>
      <c r="R3">
        <v>1</v>
      </c>
      <c r="S3">
        <v>1</v>
      </c>
      <c r="T3">
        <v>1</v>
      </c>
      <c r="V3" s="20" t="s">
        <v>2205</v>
      </c>
      <c r="W3">
        <f>CPD_Bulk[[#This Row],[% Complete]]*CPD_Bulk[[#This Row],[City Funds Allocated]]</f>
        <v>1000000</v>
      </c>
    </row>
    <row r="4" spans="1:23">
      <c r="A4" s="20" t="s">
        <v>58</v>
      </c>
      <c r="B4" s="20" t="s">
        <v>2269</v>
      </c>
      <c r="D4">
        <v>9448</v>
      </c>
      <c r="E4" s="20"/>
      <c r="F4">
        <v>60</v>
      </c>
      <c r="G4" s="20" t="s">
        <v>2239</v>
      </c>
      <c r="H4" t="s">
        <v>2273</v>
      </c>
      <c r="I4" t="s">
        <v>2359</v>
      </c>
      <c r="J4">
        <v>750000</v>
      </c>
      <c r="M4" s="27">
        <v>43770</v>
      </c>
      <c r="N4" s="27">
        <v>43875</v>
      </c>
      <c r="O4" s="27">
        <v>44044</v>
      </c>
      <c r="P4" s="27"/>
      <c r="R4">
        <v>0</v>
      </c>
      <c r="S4">
        <v>1</v>
      </c>
      <c r="T4">
        <v>0</v>
      </c>
      <c r="V4" s="20" t="s">
        <v>2358</v>
      </c>
      <c r="W4">
        <f>CPD_Bulk[[#This Row],[% Complete]]*CPD_Bulk[[#This Row],[City Funds Allocated]]</f>
        <v>0</v>
      </c>
    </row>
    <row r="5" spans="1:23">
      <c r="A5" s="20" t="s">
        <v>44</v>
      </c>
      <c r="B5" s="20" t="s">
        <v>2269</v>
      </c>
      <c r="D5">
        <v>9445</v>
      </c>
      <c r="E5" s="20"/>
      <c r="F5">
        <v>27</v>
      </c>
      <c r="G5" s="20" t="s">
        <v>2239</v>
      </c>
      <c r="H5" t="s">
        <v>2273</v>
      </c>
      <c r="I5" t="s">
        <v>2359</v>
      </c>
      <c r="J5">
        <v>750000</v>
      </c>
      <c r="K5">
        <v>1320958</v>
      </c>
      <c r="L5">
        <v>1277638</v>
      </c>
      <c r="M5" s="27">
        <v>43739</v>
      </c>
      <c r="N5" s="27">
        <v>43850</v>
      </c>
      <c r="O5" s="27">
        <v>43889</v>
      </c>
      <c r="P5" s="27">
        <v>43882</v>
      </c>
      <c r="R5">
        <v>1</v>
      </c>
      <c r="S5">
        <v>1</v>
      </c>
      <c r="T5">
        <v>1</v>
      </c>
      <c r="U5">
        <v>43882</v>
      </c>
      <c r="V5" s="20" t="s">
        <v>2360</v>
      </c>
      <c r="W5">
        <f>CPD_Bulk[[#This Row],[% Complete]]*CPD_Bulk[[#This Row],[City Funds Allocated]]</f>
        <v>1277638</v>
      </c>
    </row>
    <row r="6" spans="1:23">
      <c r="A6" s="20" t="s">
        <v>66</v>
      </c>
      <c r="B6" s="20" t="s">
        <v>2269</v>
      </c>
      <c r="E6" s="20"/>
      <c r="F6">
        <v>23</v>
      </c>
      <c r="G6" s="20" t="s">
        <v>2239</v>
      </c>
      <c r="H6" t="s">
        <v>2273</v>
      </c>
      <c r="I6" t="s">
        <v>2359</v>
      </c>
      <c r="J6">
        <v>750000</v>
      </c>
      <c r="M6" s="27">
        <v>43709</v>
      </c>
      <c r="N6" s="27">
        <v>43710</v>
      </c>
      <c r="O6" s="27">
        <v>43889</v>
      </c>
      <c r="P6" s="27">
        <v>43783</v>
      </c>
      <c r="R6">
        <v>1</v>
      </c>
      <c r="S6">
        <v>1</v>
      </c>
      <c r="T6">
        <v>1</v>
      </c>
      <c r="V6" s="20" t="s">
        <v>2205</v>
      </c>
      <c r="W6">
        <f>CPD_Bulk[[#This Row],[% Complete]]*CPD_Bulk[[#This Row],[City Funds Allocated]]</f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C6DB3-A8EB-44F9-A9C1-3FB2875D1DA7}">
  <dimension ref="A1:W10"/>
  <sheetViews>
    <sheetView workbookViewId="0">
      <selection activeCell="D9" sqref="D9"/>
    </sheetView>
  </sheetViews>
  <sheetFormatPr defaultRowHeight="14.45"/>
  <cols>
    <col min="1" max="1" width="27.28515625" bestFit="1" customWidth="1"/>
    <col min="2" max="2" width="7.85546875" bestFit="1" customWidth="1"/>
    <col min="3" max="3" width="6.7109375" bestFit="1" customWidth="1"/>
    <col min="4" max="4" width="20.7109375" bestFit="1" customWidth="1"/>
    <col min="5" max="5" width="9.42578125" bestFit="1" customWidth="1"/>
    <col min="6" max="6" width="6.42578125" bestFit="1" customWidth="1"/>
    <col min="7" max="7" width="10.42578125" bestFit="1" customWidth="1"/>
    <col min="8" max="8" width="25.7109375" bestFit="1" customWidth="1"/>
    <col min="9" max="9" width="20.140625" bestFit="1" customWidth="1"/>
    <col min="10" max="10" width="15.7109375" bestFit="1" customWidth="1"/>
    <col min="11" max="11" width="24.42578125" bestFit="1" customWidth="1"/>
    <col min="12" max="12" width="20.42578125" bestFit="1" customWidth="1"/>
    <col min="13" max="13" width="39.5703125" bestFit="1" customWidth="1"/>
    <col min="14" max="14" width="29" bestFit="1" customWidth="1"/>
    <col min="15" max="15" width="34" bestFit="1" customWidth="1"/>
    <col min="16" max="16" width="26.7109375" bestFit="1" customWidth="1"/>
    <col min="17" max="17" width="25.7109375" bestFit="1" customWidth="1"/>
    <col min="18" max="18" width="16.28515625" bestFit="1" customWidth="1"/>
    <col min="19" max="19" width="12.28515625" bestFit="1" customWidth="1"/>
    <col min="20" max="20" width="13.28515625" bestFit="1" customWidth="1"/>
    <col min="21" max="21" width="12.7109375" bestFit="1" customWidth="1"/>
    <col min="22" max="22" width="57.140625" bestFit="1" customWidth="1"/>
    <col min="23" max="23" width="31.28515625" bestFit="1" customWidth="1"/>
  </cols>
  <sheetData>
    <row r="1" spans="1:23">
      <c r="A1" t="s">
        <v>497</v>
      </c>
      <c r="B1" t="s">
        <v>2250</v>
      </c>
      <c r="C1" t="s">
        <v>2251</v>
      </c>
      <c r="D1" t="s">
        <v>2252</v>
      </c>
      <c r="E1" t="s">
        <v>2253</v>
      </c>
      <c r="F1" t="s">
        <v>155</v>
      </c>
      <c r="G1" t="s">
        <v>500</v>
      </c>
      <c r="H1" t="s">
        <v>2254</v>
      </c>
      <c r="I1" t="s">
        <v>2255</v>
      </c>
      <c r="J1" t="s">
        <v>2256</v>
      </c>
      <c r="K1" t="s">
        <v>2257</v>
      </c>
      <c r="L1" t="s">
        <v>2258</v>
      </c>
      <c r="M1" t="s">
        <v>2259</v>
      </c>
      <c r="N1" t="s">
        <v>2260</v>
      </c>
      <c r="O1" t="s">
        <v>2261</v>
      </c>
      <c r="P1" t="s">
        <v>2262</v>
      </c>
      <c r="Q1" t="s">
        <v>2263</v>
      </c>
      <c r="R1" t="s">
        <v>2264</v>
      </c>
      <c r="S1" t="s">
        <v>2265</v>
      </c>
      <c r="T1" t="s">
        <v>2266</v>
      </c>
      <c r="U1" t="s">
        <v>2267</v>
      </c>
      <c r="V1" t="s">
        <v>24</v>
      </c>
      <c r="W1" t="s">
        <v>2268</v>
      </c>
    </row>
    <row r="2" spans="1:23">
      <c r="A2" s="20" t="s">
        <v>31</v>
      </c>
      <c r="B2" s="20" t="s">
        <v>2269</v>
      </c>
      <c r="D2">
        <v>9257</v>
      </c>
      <c r="E2" s="20"/>
      <c r="F2">
        <v>113</v>
      </c>
      <c r="G2" s="20" t="s">
        <v>2237</v>
      </c>
      <c r="H2" t="s">
        <v>2273</v>
      </c>
      <c r="I2" t="s">
        <v>2361</v>
      </c>
      <c r="J2">
        <v>978415.86270000006</v>
      </c>
      <c r="K2">
        <v>1056632</v>
      </c>
      <c r="L2">
        <v>978416</v>
      </c>
      <c r="M2" s="27">
        <v>43497</v>
      </c>
      <c r="N2" s="27">
        <v>43523</v>
      </c>
      <c r="O2" s="27">
        <v>43647</v>
      </c>
      <c r="P2" s="27">
        <v>43658</v>
      </c>
      <c r="Q2">
        <v>892526</v>
      </c>
      <c r="R2">
        <v>4</v>
      </c>
      <c r="S2">
        <v>4</v>
      </c>
      <c r="T2">
        <v>1</v>
      </c>
      <c r="U2" t="s">
        <v>183</v>
      </c>
      <c r="V2" s="20" t="s">
        <v>2362</v>
      </c>
      <c r="W2">
        <f>CPD_RatSlabs[[#This Row],[% Complete]]*CPD_RatSlabs[[#This Row],[City Funds Allocated]]</f>
        <v>978416</v>
      </c>
    </row>
    <row r="3" spans="1:23">
      <c r="A3" s="20" t="s">
        <v>2363</v>
      </c>
      <c r="B3" s="20" t="s">
        <v>2269</v>
      </c>
      <c r="C3">
        <v>0</v>
      </c>
      <c r="D3">
        <v>9257</v>
      </c>
      <c r="E3" s="20"/>
      <c r="F3">
        <v>208</v>
      </c>
      <c r="G3" s="20" t="s">
        <v>2237</v>
      </c>
      <c r="H3" t="s">
        <v>2274</v>
      </c>
      <c r="I3" t="s">
        <v>2361</v>
      </c>
      <c r="J3">
        <v>489207.4314</v>
      </c>
      <c r="K3">
        <v>508682</v>
      </c>
      <c r="L3">
        <v>489207</v>
      </c>
      <c r="M3" s="27">
        <v>43654</v>
      </c>
      <c r="N3" s="27">
        <v>43691</v>
      </c>
      <c r="O3" s="27">
        <v>43742</v>
      </c>
      <c r="P3" s="27">
        <v>43763</v>
      </c>
      <c r="Q3">
        <v>356353</v>
      </c>
      <c r="R3">
        <v>2</v>
      </c>
      <c r="S3">
        <v>2</v>
      </c>
      <c r="T3">
        <v>1</v>
      </c>
      <c r="U3" t="s">
        <v>183</v>
      </c>
      <c r="V3" s="20" t="s">
        <v>2362</v>
      </c>
      <c r="W3">
        <f>CPD_RatSlabs[[#This Row],[% Complete]]*CPD_RatSlabs[[#This Row],[City Funds Allocated]]</f>
        <v>489207</v>
      </c>
    </row>
    <row r="4" spans="1:23">
      <c r="A4" s="20" t="s">
        <v>332</v>
      </c>
      <c r="B4" s="20" t="s">
        <v>2269</v>
      </c>
      <c r="D4">
        <v>9257</v>
      </c>
      <c r="E4" s="20"/>
      <c r="F4">
        <v>78</v>
      </c>
      <c r="G4" s="20" t="s">
        <v>2237</v>
      </c>
      <c r="H4">
        <v>0</v>
      </c>
      <c r="I4" t="s">
        <v>2361</v>
      </c>
      <c r="J4">
        <v>733811.64709999994</v>
      </c>
      <c r="K4">
        <v>756425</v>
      </c>
      <c r="L4">
        <v>733812</v>
      </c>
      <c r="M4" s="27">
        <v>44136</v>
      </c>
      <c r="N4" s="27"/>
      <c r="O4" s="27">
        <v>44205</v>
      </c>
      <c r="P4" s="27"/>
      <c r="Q4">
        <v>5480</v>
      </c>
      <c r="R4">
        <v>0</v>
      </c>
      <c r="S4">
        <v>3</v>
      </c>
      <c r="T4">
        <v>0</v>
      </c>
      <c r="U4" t="s">
        <v>184</v>
      </c>
      <c r="V4" s="20" t="s">
        <v>2364</v>
      </c>
      <c r="W4">
        <f>CPD_RatSlabs[[#This Row],[% Complete]]*CPD_RatSlabs[[#This Row],[City Funds Allocated]]</f>
        <v>0</v>
      </c>
    </row>
    <row r="5" spans="1:23">
      <c r="A5" s="20" t="s">
        <v>35</v>
      </c>
      <c r="B5" s="20" t="s">
        <v>2269</v>
      </c>
      <c r="D5">
        <v>9257</v>
      </c>
      <c r="E5" s="20"/>
      <c r="F5">
        <v>120</v>
      </c>
      <c r="G5" s="20" t="s">
        <v>2237</v>
      </c>
      <c r="H5" t="s">
        <v>2273</v>
      </c>
      <c r="I5" t="s">
        <v>2361</v>
      </c>
      <c r="J5">
        <v>733811.65</v>
      </c>
      <c r="K5">
        <v>768198</v>
      </c>
      <c r="L5">
        <v>733812</v>
      </c>
      <c r="M5" s="27">
        <v>43617</v>
      </c>
      <c r="N5" s="27">
        <v>43606</v>
      </c>
      <c r="O5" s="27">
        <v>43738</v>
      </c>
      <c r="P5" s="27">
        <v>43735</v>
      </c>
      <c r="Q5">
        <v>657435</v>
      </c>
      <c r="R5">
        <v>3</v>
      </c>
      <c r="S5">
        <v>3</v>
      </c>
      <c r="T5">
        <v>1</v>
      </c>
      <c r="U5" t="s">
        <v>183</v>
      </c>
      <c r="V5" s="20" t="s">
        <v>2362</v>
      </c>
      <c r="W5">
        <f>CPD_RatSlabs[[#This Row],[% Complete]]*CPD_RatSlabs[[#This Row],[City Funds Allocated]]</f>
        <v>733812</v>
      </c>
    </row>
    <row r="6" spans="1:23">
      <c r="A6" s="20" t="s">
        <v>36</v>
      </c>
      <c r="B6" s="20" t="s">
        <v>2269</v>
      </c>
      <c r="D6">
        <v>9257</v>
      </c>
      <c r="E6" s="20"/>
      <c r="F6">
        <v>76</v>
      </c>
      <c r="G6" s="20" t="s">
        <v>2239</v>
      </c>
      <c r="H6" t="s">
        <v>2273</v>
      </c>
      <c r="I6" t="s">
        <v>2361</v>
      </c>
      <c r="J6">
        <v>489207.4314</v>
      </c>
      <c r="K6">
        <v>505376</v>
      </c>
      <c r="L6">
        <v>489207</v>
      </c>
      <c r="M6" s="27">
        <v>43647</v>
      </c>
      <c r="N6" s="27">
        <v>43664</v>
      </c>
      <c r="O6" s="27">
        <v>44205</v>
      </c>
      <c r="P6" s="27"/>
      <c r="Q6">
        <v>260073</v>
      </c>
      <c r="R6">
        <v>1</v>
      </c>
      <c r="S6">
        <v>2</v>
      </c>
      <c r="T6">
        <v>0.5</v>
      </c>
      <c r="U6" t="s">
        <v>184</v>
      </c>
      <c r="V6" s="20" t="s">
        <v>2364</v>
      </c>
      <c r="W6">
        <f>CPD_RatSlabs[[#This Row],[% Complete]]*CPD_RatSlabs[[#This Row],[City Funds Allocated]]</f>
        <v>244603.5</v>
      </c>
    </row>
    <row r="7" spans="1:23">
      <c r="A7" s="20" t="s">
        <v>44</v>
      </c>
      <c r="B7" s="20" t="s">
        <v>2269</v>
      </c>
      <c r="D7">
        <v>9257</v>
      </c>
      <c r="E7" s="20"/>
      <c r="F7">
        <v>27</v>
      </c>
      <c r="G7" s="20" t="s">
        <v>2239</v>
      </c>
      <c r="H7" t="s">
        <v>2273</v>
      </c>
      <c r="I7" t="s">
        <v>2361</v>
      </c>
      <c r="J7">
        <v>1467623</v>
      </c>
      <c r="K7">
        <v>1544496</v>
      </c>
      <c r="L7">
        <v>1467623</v>
      </c>
      <c r="M7" s="27">
        <v>43717</v>
      </c>
      <c r="N7" s="27">
        <v>43717</v>
      </c>
      <c r="O7" s="27">
        <v>43951</v>
      </c>
      <c r="P7" s="27">
        <v>43910</v>
      </c>
      <c r="Q7">
        <v>57941</v>
      </c>
      <c r="R7">
        <v>3</v>
      </c>
      <c r="S7">
        <v>3</v>
      </c>
      <c r="T7">
        <v>1</v>
      </c>
      <c r="U7" t="s">
        <v>183</v>
      </c>
      <c r="V7" s="20" t="s">
        <v>2362</v>
      </c>
      <c r="W7">
        <f>CPD_RatSlabs[[#This Row],[% Complete]]*CPD_RatSlabs[[#This Row],[City Funds Allocated]]</f>
        <v>1467623</v>
      </c>
    </row>
    <row r="8" spans="1:23">
      <c r="A8" s="20" t="s">
        <v>56</v>
      </c>
      <c r="B8" s="20" t="s">
        <v>2269</v>
      </c>
      <c r="D8">
        <v>9257</v>
      </c>
      <c r="E8" s="20"/>
      <c r="F8">
        <v>6</v>
      </c>
      <c r="G8" s="20" t="s">
        <v>2239</v>
      </c>
      <c r="H8" t="s">
        <v>2273</v>
      </c>
      <c r="I8" t="s">
        <v>2361</v>
      </c>
      <c r="J8">
        <v>4155268.67</v>
      </c>
      <c r="K8">
        <v>4213366</v>
      </c>
      <c r="L8">
        <v>4155269</v>
      </c>
      <c r="M8" s="27">
        <v>43766</v>
      </c>
      <c r="N8" s="27">
        <v>43766</v>
      </c>
      <c r="O8" s="27">
        <v>44205</v>
      </c>
      <c r="P8" s="27"/>
      <c r="Q8">
        <v>30143</v>
      </c>
      <c r="R8">
        <v>1</v>
      </c>
      <c r="S8">
        <v>17</v>
      </c>
      <c r="T8">
        <v>5.8823529411764705E-2</v>
      </c>
      <c r="U8" t="s">
        <v>184</v>
      </c>
      <c r="V8" s="20" t="s">
        <v>2364</v>
      </c>
      <c r="W8">
        <f>CPD_RatSlabs[[#This Row],[% Complete]]*CPD_RatSlabs[[#This Row],[City Funds Allocated]]</f>
        <v>244427.58823529413</v>
      </c>
    </row>
    <row r="9" spans="1:23">
      <c r="A9" s="20" t="s">
        <v>66</v>
      </c>
      <c r="B9" s="20" t="s">
        <v>2269</v>
      </c>
      <c r="D9">
        <v>9257</v>
      </c>
      <c r="E9" s="20"/>
      <c r="F9">
        <v>23</v>
      </c>
      <c r="G9" s="20" t="s">
        <v>2239</v>
      </c>
      <c r="H9" t="s">
        <v>2273</v>
      </c>
      <c r="I9" t="s">
        <v>2361</v>
      </c>
      <c r="J9">
        <v>1953830.7254999999</v>
      </c>
      <c r="K9">
        <v>2028852</v>
      </c>
      <c r="L9">
        <v>1953831</v>
      </c>
      <c r="M9" s="27">
        <v>44136</v>
      </c>
      <c r="N9" s="27"/>
      <c r="O9" s="27">
        <v>44205</v>
      </c>
      <c r="P9" s="27"/>
      <c r="Q9">
        <v>13701</v>
      </c>
      <c r="R9">
        <v>0</v>
      </c>
      <c r="S9">
        <v>8</v>
      </c>
      <c r="T9">
        <v>0</v>
      </c>
      <c r="U9" t="s">
        <v>184</v>
      </c>
      <c r="V9" s="20" t="s">
        <v>2364</v>
      </c>
      <c r="W9">
        <f>CPD_RatSlabs[[#This Row],[% Complete]]*CPD_RatSlabs[[#This Row],[City Funds Allocated]]</f>
        <v>0</v>
      </c>
    </row>
    <row r="10" spans="1:23">
      <c r="A10" s="20" t="s">
        <v>55</v>
      </c>
      <c r="B10" s="20" t="s">
        <v>2269</v>
      </c>
      <c r="D10">
        <v>9257</v>
      </c>
      <c r="E10" s="20"/>
      <c r="F10">
        <v>18</v>
      </c>
      <c r="G10" s="20" t="s">
        <v>2239</v>
      </c>
      <c r="H10" t="s">
        <v>2273</v>
      </c>
      <c r="I10" t="s">
        <v>2361</v>
      </c>
      <c r="J10">
        <v>1467623.2941000001</v>
      </c>
      <c r="K10">
        <v>1509654</v>
      </c>
      <c r="L10">
        <v>1467623</v>
      </c>
      <c r="M10" s="27">
        <v>44136</v>
      </c>
      <c r="N10" s="27"/>
      <c r="O10" s="27">
        <v>44205</v>
      </c>
      <c r="P10" s="27"/>
      <c r="Q10">
        <v>10961</v>
      </c>
      <c r="R10">
        <v>0</v>
      </c>
      <c r="S10">
        <v>5</v>
      </c>
      <c r="T10">
        <v>0</v>
      </c>
      <c r="U10" t="s">
        <v>184</v>
      </c>
      <c r="V10" s="20" t="s">
        <v>2364</v>
      </c>
      <c r="W10">
        <f>CPD_RatSlabs[[#This Row],[% Complete]]*CPD_RatSlabs[[#This Row],[City Funds Allocated]]</f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G20"/>
  <sheetViews>
    <sheetView workbookViewId="0">
      <selection activeCell="G13" sqref="G13:G20"/>
    </sheetView>
  </sheetViews>
  <sheetFormatPr defaultColWidth="8.7109375" defaultRowHeight="14.45"/>
  <cols>
    <col min="1" max="1" width="24.7109375" bestFit="1" customWidth="1"/>
    <col min="2" max="2" width="15.28515625" style="5" bestFit="1" customWidth="1"/>
    <col min="3" max="4" width="23.140625" style="5" customWidth="1"/>
    <col min="5" max="5" width="27.28515625" style="5" bestFit="1" customWidth="1"/>
    <col min="6" max="6" width="11.7109375" style="5" bestFit="1" customWidth="1"/>
  </cols>
  <sheetData>
    <row r="1" spans="1:7">
      <c r="A1" s="34" t="s">
        <v>464</v>
      </c>
      <c r="B1" s="23" t="s">
        <v>2365</v>
      </c>
      <c r="C1" s="23" t="s">
        <v>2366</v>
      </c>
      <c r="D1" s="23" t="s">
        <v>2367</v>
      </c>
      <c r="E1" s="23" t="s">
        <v>2368</v>
      </c>
      <c r="F1" s="23" t="s">
        <v>475</v>
      </c>
    </row>
    <row r="2" spans="1:7">
      <c r="A2" t="s">
        <v>109</v>
      </c>
      <c r="B2" s="5">
        <f>IFERROR(VLOOKUP(UnitCosts[[#This Row],[Work Type]],Unit_Costs[],12,FALSE),"$10,000,000.00")</f>
        <v>1307070</v>
      </c>
      <c r="C2" s="5">
        <v>1307070</v>
      </c>
      <c r="D2" s="5">
        <f>UnitCosts[[#This Row],[ Cost]]*7%</f>
        <v>91494.900000000009</v>
      </c>
      <c r="E2" s="5">
        <f>UnitCosts[[#This Row],[ Cost]]+UnitCosts[[#This Row],[PM Fee @ 7%]]</f>
        <v>1398564.9</v>
      </c>
      <c r="F2" s="5" t="s">
        <v>2369</v>
      </c>
    </row>
    <row r="3" spans="1:7">
      <c r="A3" s="35" t="s">
        <v>52</v>
      </c>
      <c r="B3" s="5">
        <f>IFERROR(VLOOKUP(UnitCosts[[#This Row],[Work Type]],Unit_Costs[],12,FALSE),"$10,000,000.00")</f>
        <v>38885.4</v>
      </c>
      <c r="C3" s="5">
        <v>38885.4</v>
      </c>
      <c r="D3" s="5">
        <f>UnitCosts[[#This Row],[ Cost]]*7%</f>
        <v>2721.9780000000005</v>
      </c>
      <c r="E3" s="5">
        <f>UnitCosts[[#This Row],[ Cost]]+UnitCosts[[#This Row],[PM Fee @ 7%]]</f>
        <v>41607.378000000004</v>
      </c>
      <c r="F3" s="5" t="s">
        <v>2369</v>
      </c>
    </row>
    <row r="4" spans="1:7">
      <c r="A4" s="37" t="s">
        <v>141</v>
      </c>
      <c r="B4" s="5">
        <f>IFERROR(VLOOKUP(UnitCosts[[#This Row],[Work Type]],Unit_Costs[],12,FALSE),"$10,000,000.00")</f>
        <v>37000</v>
      </c>
      <c r="C4" s="5">
        <v>37000</v>
      </c>
      <c r="D4" s="5">
        <f>UnitCosts[[#This Row],[ Cost]]*7%</f>
        <v>2590.0000000000005</v>
      </c>
      <c r="E4" s="5">
        <f>UnitCosts[[#This Row],[ Cost]]+UnitCosts[[#This Row],[PM Fee @ 7%]]</f>
        <v>39590</v>
      </c>
      <c r="F4" s="5" t="s">
        <v>2369</v>
      </c>
    </row>
    <row r="5" spans="1:7">
      <c r="A5" s="35" t="s">
        <v>27</v>
      </c>
      <c r="B5" s="5">
        <f>IFERROR(VLOOKUP(UnitCosts[[#This Row],[Work Type]],Unit_Costs[],12,FALSE),"$10,000,000.00")</f>
        <v>7435.6435000000001</v>
      </c>
      <c r="C5" s="5">
        <v>7435.6435000000001</v>
      </c>
      <c r="D5" s="5">
        <f>UnitCosts[[#This Row],[ Cost]]*7%</f>
        <v>520.495045</v>
      </c>
      <c r="E5" s="5">
        <f>UnitCosts[[#This Row],[ Cost]]+UnitCosts[[#This Row],[PM Fee @ 7%]]</f>
        <v>7956.1385449999998</v>
      </c>
      <c r="F5" s="5" t="s">
        <v>2370</v>
      </c>
    </row>
    <row r="6" spans="1:7">
      <c r="A6" s="35" t="s">
        <v>68</v>
      </c>
      <c r="B6" s="5">
        <f>IFERROR(VLOOKUP(UnitCosts[[#This Row],[Work Type]],Unit_Costs[],12,FALSE),"$10,000,000.00")</f>
        <v>188799</v>
      </c>
      <c r="C6" s="5">
        <v>188799</v>
      </c>
      <c r="D6" s="5">
        <f>UnitCosts[[#This Row],[ Cost]]*7%</f>
        <v>13215.930000000002</v>
      </c>
      <c r="E6" s="5">
        <f>UnitCosts[[#This Row],[ Cost]]+UnitCosts[[#This Row],[PM Fee @ 7%]]</f>
        <v>202014.93</v>
      </c>
      <c r="F6" s="5" t="s">
        <v>2369</v>
      </c>
    </row>
    <row r="7" spans="1:7">
      <c r="A7" t="s">
        <v>49</v>
      </c>
      <c r="B7" s="5">
        <f>IFERROR(VLOOKUP(UnitCosts[[#This Row],[Work Type]],Unit_Costs[],12,FALSE),"$10,000,000.00")</f>
        <v>1718.735947394297</v>
      </c>
      <c r="C7" s="5">
        <v>1718.735947394297</v>
      </c>
      <c r="D7" s="5">
        <f>UnitCosts[[#This Row],[ Cost]]*7%</f>
        <v>120.31151631760081</v>
      </c>
      <c r="E7" s="5">
        <f>UnitCosts[[#This Row],[ Cost]]+UnitCosts[[#This Row],[PM Fee @ 7%]]</f>
        <v>1839.0474637118978</v>
      </c>
      <c r="F7" s="5" t="s">
        <v>2370</v>
      </c>
    </row>
    <row r="8" spans="1:7">
      <c r="A8" s="35" t="s">
        <v>106</v>
      </c>
      <c r="B8" s="5">
        <f>IFERROR(VLOOKUP(UnitCosts[[#This Row],[Work Type]],Unit_Costs[],12,FALSE),"$10,000,000.00")</f>
        <v>63087.5</v>
      </c>
      <c r="C8" s="5">
        <v>71162.7</v>
      </c>
      <c r="D8" s="5">
        <f>UnitCosts[[#This Row],[ Cost]]*7%</f>
        <v>4981.3890000000001</v>
      </c>
      <c r="E8" s="5">
        <f>UnitCosts[[#This Row],[ Cost]]+UnitCosts[[#This Row],[PM Fee @ 7%]]</f>
        <v>76144.088999999993</v>
      </c>
      <c r="F8" s="5" t="s">
        <v>2369</v>
      </c>
    </row>
    <row r="9" spans="1:7">
      <c r="A9" s="37" t="s">
        <v>150</v>
      </c>
      <c r="B9" s="5">
        <f>IFERROR(VLOOKUP(UnitCosts[[#This Row],[Work Type]],Unit_Costs[],12,FALSE),"$10,000,000.00")</f>
        <v>13656</v>
      </c>
      <c r="C9" s="5">
        <v>13656</v>
      </c>
      <c r="D9" s="5">
        <f>UnitCosts[[#This Row],[ Cost]]*7%</f>
        <v>955.92000000000007</v>
      </c>
      <c r="E9" s="5">
        <f>UnitCosts[[#This Row],[ Cost]]+UnitCosts[[#This Row],[PM Fee @ 7%]]</f>
        <v>14611.92</v>
      </c>
      <c r="F9" s="5" t="s">
        <v>2370</v>
      </c>
      <c r="G9" t="s">
        <v>480</v>
      </c>
    </row>
    <row r="10" spans="1:7">
      <c r="A10" s="35" t="s">
        <v>151</v>
      </c>
      <c r="B10" s="5">
        <f>IFERROR(VLOOKUP(UnitCosts[[#This Row],[Work Type]],Unit_Costs[],12,FALSE),"$10,000,000.00")</f>
        <v>438851.6</v>
      </c>
      <c r="C10" s="5">
        <v>133611.6</v>
      </c>
      <c r="D10" s="5">
        <f>UnitCosts[[#This Row],[ Cost]]*7%</f>
        <v>9352.8120000000017</v>
      </c>
      <c r="E10" s="5">
        <f>UnitCosts[[#This Row],[ Cost]]+UnitCosts[[#This Row],[PM Fee @ 7%]]</f>
        <v>142964.41200000001</v>
      </c>
      <c r="F10" s="5" t="s">
        <v>2370</v>
      </c>
    </row>
    <row r="11" spans="1:7">
      <c r="A11" t="s">
        <v>478</v>
      </c>
      <c r="B11" s="5">
        <f>IFERROR(VLOOKUP(UnitCosts[[#This Row],[Work Type]],Unit_Costs[],12,FALSE),"$10,000,000.00")</f>
        <v>1000</v>
      </c>
      <c r="C11" s="5">
        <v>1000</v>
      </c>
      <c r="D11" s="5">
        <f>UnitCosts[[#This Row],[ Cost]]*7%</f>
        <v>70</v>
      </c>
      <c r="E11" s="5">
        <f>UnitCosts[[#This Row],[ Cost]]+UnitCosts[[#This Row],[PM Fee @ 7%]]</f>
        <v>1070</v>
      </c>
      <c r="F11" s="5" t="s">
        <v>2370</v>
      </c>
    </row>
    <row r="12" spans="1:7">
      <c r="A12" t="s">
        <v>476</v>
      </c>
      <c r="B12" s="5">
        <f>IFERROR(VLOOKUP(UnitCosts[[#This Row],[Work Type]],Unit_Costs[],12,FALSE),"$10,000,000.00")</f>
        <v>300</v>
      </c>
      <c r="C12" s="5">
        <v>300</v>
      </c>
      <c r="D12" s="5">
        <f>UnitCosts[[#This Row],[ Cost]]*7%</f>
        <v>21.000000000000004</v>
      </c>
      <c r="E12" s="5">
        <f>UnitCosts[[#This Row],[ Cost]]+UnitCosts[[#This Row],[PM Fee @ 7%]]</f>
        <v>321</v>
      </c>
      <c r="F12" s="5" t="s">
        <v>2370</v>
      </c>
    </row>
    <row r="13" spans="1:7">
      <c r="A13" t="s">
        <v>481</v>
      </c>
      <c r="B13" s="5">
        <f>IFERROR(VLOOKUP(UnitCosts[[#This Row],[Work Type]],Unit_Costs[],12,FALSE),"$10,000,000.00")</f>
        <v>1807545.7540000004</v>
      </c>
      <c r="C13" s="5">
        <v>1159792.78</v>
      </c>
      <c r="D13" s="5">
        <f>UnitCosts[[#This Row],[ Cost]]*7%</f>
        <v>81185.494600000005</v>
      </c>
      <c r="E13" s="5">
        <f>UnitCosts[[#This Row],[ Cost]]+UnitCosts[[#This Row],[PM Fee @ 7%]]</f>
        <v>1240978.2746000001</v>
      </c>
      <c r="F13" s="5" t="s">
        <v>2369</v>
      </c>
      <c r="G13" t="s">
        <v>482</v>
      </c>
    </row>
    <row r="14" spans="1:7">
      <c r="A14" t="s">
        <v>483</v>
      </c>
      <c r="B14" s="5">
        <f>IFERROR(VLOOKUP(UnitCosts[[#This Row],[Work Type]],Unit_Costs[],12,FALSE),"$10,000,000.00")</f>
        <v>1362263.8517000002</v>
      </c>
      <c r="C14" s="5">
        <v>728535.54</v>
      </c>
      <c r="D14" s="5">
        <f>UnitCosts[[#This Row],[ Cost]]*7%</f>
        <v>50997.48780000001</v>
      </c>
      <c r="E14" s="5">
        <f>UnitCosts[[#This Row],[ Cost]]+UnitCosts[[#This Row],[PM Fee @ 7%]]</f>
        <v>779533.02780000004</v>
      </c>
      <c r="F14" s="5" t="s">
        <v>2369</v>
      </c>
      <c r="G14" t="s">
        <v>484</v>
      </c>
    </row>
    <row r="15" spans="1:7">
      <c r="A15" t="s">
        <v>485</v>
      </c>
      <c r="B15" s="5">
        <f>IFERROR(VLOOKUP(UnitCosts[[#This Row],[Work Type]],Unit_Costs[],12,FALSE),"$10,000,000.00")</f>
        <v>2020428.9165000005</v>
      </c>
      <c r="C15" s="5">
        <v>1591050.0199999998</v>
      </c>
      <c r="D15" s="5">
        <f>UnitCosts[[#This Row],[ Cost]]*7%</f>
        <v>111373.50139999999</v>
      </c>
      <c r="E15" s="5">
        <f>UnitCosts[[#This Row],[ Cost]]+UnitCosts[[#This Row],[PM Fee @ 7%]]</f>
        <v>1702423.5213999997</v>
      </c>
      <c r="F15" s="5" t="s">
        <v>2369</v>
      </c>
      <c r="G15" t="s">
        <v>486</v>
      </c>
    </row>
    <row r="16" spans="1:7">
      <c r="A16" t="s">
        <v>487</v>
      </c>
      <c r="B16" s="5">
        <f>IFERROR(VLOOKUP(UnitCosts[[#This Row],[Work Type]],Unit_Costs[],12,FALSE),"$10,000,000.00")</f>
        <v>2349511.4489000002</v>
      </c>
      <c r="C16" s="5">
        <v>2022307.2600000005</v>
      </c>
      <c r="D16" s="5">
        <f>UnitCosts[[#This Row],[ Cost]]*7%</f>
        <v>141561.50820000004</v>
      </c>
      <c r="E16" s="5">
        <f>UnitCosts[[#This Row],[ Cost]]+UnitCosts[[#This Row],[PM Fee @ 7%]]</f>
        <v>2163868.7682000007</v>
      </c>
      <c r="F16" s="5" t="s">
        <v>2369</v>
      </c>
      <c r="G16" t="s">
        <v>488</v>
      </c>
    </row>
    <row r="17" spans="1:7">
      <c r="A17" t="s">
        <v>489</v>
      </c>
      <c r="B17" s="5">
        <f>IFERROR(VLOOKUP(UnitCosts[[#This Row],[Work Type]],Unit_Costs[],12,FALSE),"$10,000,000.00")</f>
        <v>2678593.9812999996</v>
      </c>
      <c r="C17" s="5">
        <v>2453564.4999999995</v>
      </c>
      <c r="D17" s="5">
        <f>UnitCosts[[#This Row],[ Cost]]*7%</f>
        <v>171749.51499999998</v>
      </c>
      <c r="E17" s="5">
        <f>UnitCosts[[#This Row],[ Cost]]+UnitCosts[[#This Row],[PM Fee @ 7%]]</f>
        <v>2625314.0149999997</v>
      </c>
      <c r="F17" s="5" t="s">
        <v>2369</v>
      </c>
      <c r="G17" t="s">
        <v>490</v>
      </c>
    </row>
    <row r="18" spans="1:7">
      <c r="A18" t="s">
        <v>491</v>
      </c>
      <c r="B18" s="5">
        <f>IFERROR(VLOOKUP(UnitCosts[[#This Row],[Work Type]],Unit_Costs[],12,FALSE),"$10,000,000.00")</f>
        <v>3007676.5136999995</v>
      </c>
      <c r="C18" s="5">
        <v>2884821.74</v>
      </c>
      <c r="D18" s="5">
        <f>UnitCosts[[#This Row],[ Cost]]*7%</f>
        <v>201937.52180000005</v>
      </c>
      <c r="E18" s="5">
        <f>UnitCosts[[#This Row],[ Cost]]+UnitCosts[[#This Row],[PM Fee @ 7%]]</f>
        <v>3086759.2618000004</v>
      </c>
      <c r="F18" s="5" t="s">
        <v>2369</v>
      </c>
      <c r="G18" t="s">
        <v>492</v>
      </c>
    </row>
    <row r="19" spans="1:7">
      <c r="A19" t="s">
        <v>493</v>
      </c>
      <c r="B19" s="5">
        <f>IFERROR(VLOOKUP(UnitCosts[[#This Row],[Work Type]],Unit_Costs[],12,FALSE),"$10,000,000.00")</f>
        <v>3336759.0461000004</v>
      </c>
      <c r="C19" s="5">
        <v>3316078.9799999995</v>
      </c>
      <c r="D19" s="5">
        <f>UnitCosts[[#This Row],[ Cost]]*7%</f>
        <v>232125.52859999999</v>
      </c>
      <c r="E19" s="5">
        <f>UnitCosts[[#This Row],[ Cost]]+UnitCosts[[#This Row],[PM Fee @ 7%]]</f>
        <v>3548204.5085999994</v>
      </c>
      <c r="F19" s="5" t="s">
        <v>2369</v>
      </c>
      <c r="G19" t="s">
        <v>494</v>
      </c>
    </row>
    <row r="20" spans="1:7">
      <c r="A20" t="s">
        <v>495</v>
      </c>
      <c r="B20" s="104">
        <f>IFERROR(VLOOKUP(UnitCosts[[#This Row],[Work Type]],Unit_Costs[],12,FALSE),"$10,000,000.00")</f>
        <v>15840000</v>
      </c>
      <c r="C20" s="5">
        <v>10000000</v>
      </c>
      <c r="D20" s="5">
        <f>UnitCosts[[#This Row],[ Cost]]*7%</f>
        <v>700000.00000000012</v>
      </c>
      <c r="E20" s="5">
        <f>UnitCosts[[#This Row],[ Cost]]+UnitCosts[[#This Row],[PM Fee @ 7%]]</f>
        <v>10700000</v>
      </c>
      <c r="F20" s="5" t="s">
        <v>2369</v>
      </c>
      <c r="G20" t="s">
        <v>496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U313"/>
  <sheetViews>
    <sheetView topLeftCell="A24" workbookViewId="0">
      <selection activeCell="R38" sqref="R38"/>
    </sheetView>
  </sheetViews>
  <sheetFormatPr defaultColWidth="8.7109375" defaultRowHeight="14.45"/>
  <cols>
    <col min="1" max="1" width="5.7109375" bestFit="1" customWidth="1"/>
    <col min="2" max="2" width="53.28515625" bestFit="1" customWidth="1"/>
    <col min="3" max="3" width="47" bestFit="1" customWidth="1"/>
    <col min="4" max="4" width="13.85546875" bestFit="1" customWidth="1"/>
    <col min="5" max="5" width="9.28515625" bestFit="1" customWidth="1"/>
    <col min="6" max="6" width="9.5703125" bestFit="1" customWidth="1"/>
    <col min="7" max="7" width="11.5703125" bestFit="1" customWidth="1"/>
    <col min="8" max="8" width="10.7109375" bestFit="1" customWidth="1"/>
    <col min="9" max="9" width="9.42578125" bestFit="1" customWidth="1"/>
    <col min="10" max="10" width="20.7109375" bestFit="1" customWidth="1"/>
    <col min="11" max="11" width="13.7109375" bestFit="1" customWidth="1"/>
    <col min="12" max="12" width="15.28515625" bestFit="1" customWidth="1"/>
    <col min="13" max="13" width="17.5703125" bestFit="1" customWidth="1"/>
    <col min="14" max="14" width="13.85546875" bestFit="1" customWidth="1"/>
    <col min="15" max="15" width="14.28515625" bestFit="1" customWidth="1"/>
    <col min="16" max="16" width="11.7109375" bestFit="1" customWidth="1"/>
    <col min="17" max="17" width="48.7109375" bestFit="1" customWidth="1"/>
    <col min="18" max="18" width="80.85546875" bestFit="1" customWidth="1"/>
    <col min="19" max="19" width="17.5703125" bestFit="1" customWidth="1"/>
    <col min="20" max="21" width="80.85546875" bestFit="1" customWidth="1"/>
  </cols>
  <sheetData>
    <row r="1" spans="1:21">
      <c r="B1" s="54">
        <v>1</v>
      </c>
      <c r="C1" s="54">
        <v>2</v>
      </c>
      <c r="D1" s="54">
        <v>3</v>
      </c>
      <c r="E1" s="54">
        <v>4</v>
      </c>
      <c r="F1" s="54">
        <v>5</v>
      </c>
      <c r="G1" s="54">
        <v>6</v>
      </c>
      <c r="H1" s="54">
        <v>7</v>
      </c>
      <c r="I1" s="54">
        <v>8</v>
      </c>
      <c r="J1" s="54">
        <v>9</v>
      </c>
      <c r="K1" s="54">
        <v>10</v>
      </c>
      <c r="L1" s="54">
        <v>11</v>
      </c>
      <c r="M1" s="54">
        <v>12</v>
      </c>
      <c r="N1" s="54">
        <v>13</v>
      </c>
      <c r="O1" s="54">
        <v>14</v>
      </c>
      <c r="P1" s="54">
        <v>15</v>
      </c>
      <c r="Q1" s="54">
        <v>16</v>
      </c>
      <c r="R1" s="54">
        <v>17</v>
      </c>
      <c r="S1" s="54">
        <v>18</v>
      </c>
      <c r="T1" s="54">
        <v>19</v>
      </c>
      <c r="U1" s="54">
        <v>20</v>
      </c>
    </row>
    <row r="2" spans="1:21">
      <c r="A2" t="s">
        <v>2371</v>
      </c>
      <c r="B2" t="s">
        <v>2372</v>
      </c>
      <c r="C2" t="s">
        <v>2373</v>
      </c>
      <c r="D2" t="s">
        <v>2374</v>
      </c>
      <c r="E2" t="s">
        <v>2375</v>
      </c>
      <c r="F2" t="s">
        <v>2376</v>
      </c>
      <c r="G2" t="s">
        <v>2377</v>
      </c>
      <c r="H2" t="s">
        <v>2378</v>
      </c>
      <c r="I2" t="s">
        <v>2379</v>
      </c>
      <c r="J2" t="s">
        <v>2380</v>
      </c>
      <c r="K2" t="s">
        <v>2381</v>
      </c>
      <c r="L2" t="s">
        <v>2382</v>
      </c>
      <c r="M2" t="s">
        <v>2383</v>
      </c>
      <c r="N2" t="s">
        <v>2384</v>
      </c>
      <c r="O2" t="s">
        <v>2385</v>
      </c>
      <c r="P2" t="s">
        <v>2386</v>
      </c>
      <c r="Q2" t="s">
        <v>2387</v>
      </c>
      <c r="R2" t="s">
        <v>2388</v>
      </c>
      <c r="S2" t="s">
        <v>2389</v>
      </c>
      <c r="T2" t="s">
        <v>2390</v>
      </c>
      <c r="U2" t="s">
        <v>2391</v>
      </c>
    </row>
    <row r="3" spans="1:21">
      <c r="A3">
        <v>180</v>
      </c>
      <c r="B3" s="20" t="s">
        <v>291</v>
      </c>
      <c r="C3" s="20" t="s">
        <v>291</v>
      </c>
      <c r="D3">
        <v>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 s="20" t="s">
        <v>2392</v>
      </c>
      <c r="R3" s="20" t="s">
        <v>2392</v>
      </c>
      <c r="S3" s="20" t="s">
        <v>2392</v>
      </c>
      <c r="T3" s="20" t="s">
        <v>2392</v>
      </c>
      <c r="U3" s="20" t="s">
        <v>2393</v>
      </c>
    </row>
    <row r="4" spans="1:21">
      <c r="A4">
        <v>242</v>
      </c>
      <c r="B4" s="20" t="s">
        <v>292</v>
      </c>
      <c r="C4" s="20" t="s">
        <v>356</v>
      </c>
      <c r="D4">
        <v>0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 s="20" t="s">
        <v>2392</v>
      </c>
      <c r="R4" s="20" t="s">
        <v>2392</v>
      </c>
      <c r="S4" s="20" t="s">
        <v>2392</v>
      </c>
      <c r="T4" s="20" t="s">
        <v>2392</v>
      </c>
      <c r="U4" s="20" t="s">
        <v>2392</v>
      </c>
    </row>
    <row r="5" spans="1:21">
      <c r="A5">
        <v>233</v>
      </c>
      <c r="B5" s="20" t="s">
        <v>293</v>
      </c>
      <c r="C5" s="20" t="s">
        <v>834</v>
      </c>
      <c r="D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 s="20" t="s">
        <v>2394</v>
      </c>
      <c r="R5" s="20" t="s">
        <v>2395</v>
      </c>
      <c r="S5" s="20" t="s">
        <v>2392</v>
      </c>
      <c r="T5" s="20" t="s">
        <v>2392</v>
      </c>
      <c r="U5" s="20" t="s">
        <v>2392</v>
      </c>
    </row>
    <row r="6" spans="1:21">
      <c r="A6">
        <v>154</v>
      </c>
      <c r="B6" s="20" t="s">
        <v>67</v>
      </c>
      <c r="C6" s="20" t="s">
        <v>128</v>
      </c>
      <c r="D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 s="20" t="s">
        <v>128</v>
      </c>
      <c r="R6" s="20" t="s">
        <v>2392</v>
      </c>
      <c r="S6" s="20" t="s">
        <v>2392</v>
      </c>
      <c r="T6" s="20" t="s">
        <v>2392</v>
      </c>
      <c r="U6" s="20" t="s">
        <v>2392</v>
      </c>
    </row>
    <row r="7" spans="1:21">
      <c r="A7">
        <v>214</v>
      </c>
      <c r="B7" s="20" t="s">
        <v>227</v>
      </c>
      <c r="C7" s="20" t="s">
        <v>197</v>
      </c>
      <c r="D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4</v>
      </c>
      <c r="L7">
        <v>0</v>
      </c>
      <c r="M7">
        <v>0</v>
      </c>
      <c r="N7">
        <v>0</v>
      </c>
      <c r="O7">
        <v>1</v>
      </c>
      <c r="P7">
        <v>0</v>
      </c>
      <c r="Q7" s="20" t="s">
        <v>2392</v>
      </c>
      <c r="R7" s="20" t="s">
        <v>2392</v>
      </c>
      <c r="S7" s="20" t="s">
        <v>2392</v>
      </c>
      <c r="T7" s="20" t="s">
        <v>2392</v>
      </c>
      <c r="U7" s="20" t="s">
        <v>2392</v>
      </c>
    </row>
    <row r="8" spans="1:21">
      <c r="A8">
        <v>359</v>
      </c>
      <c r="B8" s="20" t="s">
        <v>229</v>
      </c>
      <c r="C8" s="20" t="s">
        <v>2396</v>
      </c>
      <c r="D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 s="20" t="s">
        <v>2392</v>
      </c>
      <c r="R8" s="20" t="s">
        <v>2392</v>
      </c>
      <c r="S8" s="20" t="s">
        <v>2392</v>
      </c>
      <c r="T8" s="20" t="s">
        <v>2392</v>
      </c>
      <c r="U8" s="20" t="s">
        <v>2392</v>
      </c>
    </row>
    <row r="9" spans="1:21">
      <c r="A9">
        <v>156</v>
      </c>
      <c r="B9" s="20" t="s">
        <v>118</v>
      </c>
      <c r="C9" s="20" t="s">
        <v>45</v>
      </c>
      <c r="D9">
        <v>1</v>
      </c>
      <c r="E9">
        <v>1</v>
      </c>
      <c r="F9">
        <v>1</v>
      </c>
      <c r="G9">
        <v>0</v>
      </c>
      <c r="H9">
        <v>0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 s="20" t="s">
        <v>2392</v>
      </c>
      <c r="R9" s="20" t="s">
        <v>2392</v>
      </c>
      <c r="S9" s="20" t="s">
        <v>184</v>
      </c>
      <c r="T9" s="20" t="s">
        <v>2397</v>
      </c>
      <c r="U9" s="20" t="s">
        <v>2392</v>
      </c>
    </row>
    <row r="10" spans="1:21">
      <c r="A10">
        <v>203</v>
      </c>
      <c r="B10" s="20" t="s">
        <v>69</v>
      </c>
      <c r="C10" s="20" t="s">
        <v>112</v>
      </c>
      <c r="D10">
        <v>0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 s="20" t="s">
        <v>2398</v>
      </c>
      <c r="R10" s="20" t="s">
        <v>2392</v>
      </c>
      <c r="S10" s="20" t="s">
        <v>2270</v>
      </c>
      <c r="T10" s="20" t="s">
        <v>2399</v>
      </c>
      <c r="U10" s="20" t="s">
        <v>2392</v>
      </c>
    </row>
    <row r="11" spans="1:21">
      <c r="A11">
        <v>185</v>
      </c>
      <c r="B11" s="20" t="s">
        <v>282</v>
      </c>
      <c r="C11" s="20" t="s">
        <v>198</v>
      </c>
      <c r="D11">
        <v>0</v>
      </c>
      <c r="E11">
        <v>4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 s="20" t="s">
        <v>2392</v>
      </c>
      <c r="R11" s="20" t="s">
        <v>2392</v>
      </c>
      <c r="S11" s="20" t="s">
        <v>2270</v>
      </c>
      <c r="T11" s="20" t="s">
        <v>2400</v>
      </c>
      <c r="U11" s="20" t="s">
        <v>2392</v>
      </c>
    </row>
    <row r="12" spans="1:21">
      <c r="A12">
        <v>265</v>
      </c>
      <c r="B12" s="20" t="s">
        <v>57</v>
      </c>
      <c r="C12" s="20" t="s">
        <v>61</v>
      </c>
      <c r="D12">
        <v>0</v>
      </c>
      <c r="F12">
        <v>0</v>
      </c>
      <c r="G12">
        <v>0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 s="20" t="s">
        <v>2392</v>
      </c>
      <c r="R12" s="20" t="s">
        <v>2392</v>
      </c>
      <c r="S12" s="20" t="s">
        <v>2167</v>
      </c>
      <c r="T12" s="20" t="s">
        <v>2401</v>
      </c>
      <c r="U12" s="20" t="s">
        <v>2392</v>
      </c>
    </row>
    <row r="13" spans="1:21">
      <c r="A13">
        <v>196</v>
      </c>
      <c r="B13" s="20" t="s">
        <v>294</v>
      </c>
      <c r="C13" s="20" t="s">
        <v>260</v>
      </c>
      <c r="D13">
        <v>0</v>
      </c>
      <c r="F13">
        <v>0</v>
      </c>
      <c r="G13">
        <v>1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 s="20" t="s">
        <v>2402</v>
      </c>
      <c r="R13" s="20" t="s">
        <v>2392</v>
      </c>
      <c r="S13" s="20" t="s">
        <v>2278</v>
      </c>
      <c r="T13" s="20" t="s">
        <v>2403</v>
      </c>
      <c r="U13" s="20" t="s">
        <v>2392</v>
      </c>
    </row>
    <row r="14" spans="1:21">
      <c r="A14">
        <v>150</v>
      </c>
      <c r="B14" s="20" t="s">
        <v>295</v>
      </c>
      <c r="C14" s="20" t="s">
        <v>820</v>
      </c>
      <c r="D14">
        <v>0</v>
      </c>
      <c r="F14">
        <v>0</v>
      </c>
      <c r="G14">
        <v>0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 s="20" t="s">
        <v>2392</v>
      </c>
      <c r="R14" s="20" t="s">
        <v>2392</v>
      </c>
      <c r="S14" s="20" t="s">
        <v>2392</v>
      </c>
      <c r="T14" s="20" t="s">
        <v>2392</v>
      </c>
      <c r="U14" s="20" t="s">
        <v>2392</v>
      </c>
    </row>
    <row r="15" spans="1:21">
      <c r="A15">
        <v>118</v>
      </c>
      <c r="B15" s="20" t="s">
        <v>278</v>
      </c>
      <c r="C15" s="20" t="s">
        <v>278</v>
      </c>
      <c r="D15">
        <v>2</v>
      </c>
      <c r="E15">
        <v>4</v>
      </c>
      <c r="F15">
        <v>1</v>
      </c>
      <c r="G15">
        <v>0</v>
      </c>
      <c r="H15">
        <v>0</v>
      </c>
      <c r="I15">
        <v>1</v>
      </c>
      <c r="J15">
        <v>0</v>
      </c>
      <c r="K15">
        <v>2</v>
      </c>
      <c r="L15">
        <v>2</v>
      </c>
      <c r="M15">
        <v>2</v>
      </c>
      <c r="N15">
        <v>2</v>
      </c>
      <c r="O15">
        <v>0</v>
      </c>
      <c r="P15">
        <v>0</v>
      </c>
      <c r="Q15" s="20" t="s">
        <v>2392</v>
      </c>
      <c r="R15" s="20" t="s">
        <v>2392</v>
      </c>
      <c r="S15" s="20" t="s">
        <v>2392</v>
      </c>
      <c r="T15" s="20" t="s">
        <v>2392</v>
      </c>
      <c r="U15" s="20" t="s">
        <v>2404</v>
      </c>
    </row>
    <row r="16" spans="1:21">
      <c r="A16">
        <v>31</v>
      </c>
      <c r="B16" s="20" t="s">
        <v>296</v>
      </c>
      <c r="C16" s="20" t="s">
        <v>296</v>
      </c>
      <c r="D16">
        <v>3</v>
      </c>
      <c r="F16">
        <v>1</v>
      </c>
      <c r="G16">
        <v>0</v>
      </c>
      <c r="H16">
        <v>0</v>
      </c>
      <c r="I16">
        <v>1</v>
      </c>
      <c r="J16">
        <v>0</v>
      </c>
      <c r="K16">
        <v>2</v>
      </c>
      <c r="L16">
        <v>3</v>
      </c>
      <c r="M16">
        <v>3</v>
      </c>
      <c r="N16">
        <v>0</v>
      </c>
      <c r="O16">
        <v>0</v>
      </c>
      <c r="P16">
        <v>0</v>
      </c>
      <c r="Q16" s="20" t="s">
        <v>2392</v>
      </c>
      <c r="R16" s="20" t="s">
        <v>2392</v>
      </c>
      <c r="S16" s="20" t="s">
        <v>2392</v>
      </c>
      <c r="T16" s="20" t="s">
        <v>2392</v>
      </c>
      <c r="U16" s="20" t="s">
        <v>2405</v>
      </c>
    </row>
    <row r="17" spans="1:21">
      <c r="A17">
        <v>85</v>
      </c>
      <c r="B17" s="20" t="s">
        <v>297</v>
      </c>
      <c r="C17" s="20" t="s">
        <v>296</v>
      </c>
      <c r="D17">
        <v>0</v>
      </c>
      <c r="F17">
        <v>0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3</v>
      </c>
      <c r="O17">
        <v>0</v>
      </c>
      <c r="P17">
        <v>1</v>
      </c>
      <c r="Q17" s="20" t="s">
        <v>2406</v>
      </c>
      <c r="R17" s="20" t="s">
        <v>2392</v>
      </c>
      <c r="S17" s="20" t="s">
        <v>2392</v>
      </c>
      <c r="T17" s="20" t="s">
        <v>2392</v>
      </c>
      <c r="U17" s="20" t="s">
        <v>2392</v>
      </c>
    </row>
    <row r="18" spans="1:21">
      <c r="A18">
        <v>22</v>
      </c>
      <c r="B18" s="20" t="s">
        <v>261</v>
      </c>
      <c r="C18" s="20" t="s">
        <v>261</v>
      </c>
      <c r="D18">
        <v>3</v>
      </c>
      <c r="E18">
        <v>2</v>
      </c>
      <c r="F18">
        <v>1</v>
      </c>
      <c r="G18">
        <v>0</v>
      </c>
      <c r="H18">
        <v>0</v>
      </c>
      <c r="I18">
        <v>1</v>
      </c>
      <c r="J18">
        <v>0</v>
      </c>
      <c r="K18">
        <v>3</v>
      </c>
      <c r="L18">
        <v>3</v>
      </c>
      <c r="M18">
        <v>3</v>
      </c>
      <c r="N18">
        <v>3</v>
      </c>
      <c r="O18">
        <v>0</v>
      </c>
      <c r="P18">
        <v>0</v>
      </c>
      <c r="Q18" s="20" t="s">
        <v>2392</v>
      </c>
      <c r="R18" s="20" t="s">
        <v>2392</v>
      </c>
      <c r="S18" s="20" t="s">
        <v>2392</v>
      </c>
      <c r="T18" s="20" t="s">
        <v>2392</v>
      </c>
      <c r="U18" s="20" t="s">
        <v>2407</v>
      </c>
    </row>
    <row r="19" spans="1:21">
      <c r="A19">
        <v>187</v>
      </c>
      <c r="B19" s="20" t="s">
        <v>262</v>
      </c>
      <c r="C19" s="20" t="s">
        <v>261</v>
      </c>
      <c r="D19">
        <v>0</v>
      </c>
      <c r="E19">
        <v>2</v>
      </c>
      <c r="F19">
        <v>0</v>
      </c>
      <c r="G19">
        <v>1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 s="20" t="s">
        <v>2408</v>
      </c>
      <c r="R19" s="20" t="s">
        <v>2392</v>
      </c>
      <c r="S19" s="20" t="s">
        <v>2392</v>
      </c>
      <c r="T19" s="20" t="s">
        <v>2392</v>
      </c>
      <c r="U19" s="20" t="s">
        <v>2409</v>
      </c>
    </row>
    <row r="20" spans="1:21">
      <c r="A20">
        <v>210</v>
      </c>
      <c r="B20" s="20" t="s">
        <v>298</v>
      </c>
      <c r="C20" s="20" t="s">
        <v>298</v>
      </c>
      <c r="D20">
        <v>0</v>
      </c>
      <c r="F20">
        <v>0</v>
      </c>
      <c r="G20">
        <v>0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 s="20" t="s">
        <v>2392</v>
      </c>
      <c r="R20" s="20" t="s">
        <v>2392</v>
      </c>
      <c r="S20" s="20" t="s">
        <v>2270</v>
      </c>
      <c r="T20" s="20" t="s">
        <v>2399</v>
      </c>
      <c r="U20" s="20" t="s">
        <v>2410</v>
      </c>
    </row>
    <row r="21" spans="1:21">
      <c r="A21">
        <v>228</v>
      </c>
      <c r="B21" s="20" t="s">
        <v>230</v>
      </c>
      <c r="C21" s="20" t="s">
        <v>298</v>
      </c>
      <c r="D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 s="20" t="s">
        <v>2392</v>
      </c>
      <c r="R21" s="20" t="s">
        <v>2392</v>
      </c>
      <c r="S21" s="20" t="s">
        <v>2270</v>
      </c>
      <c r="T21" s="20" t="s">
        <v>2399</v>
      </c>
      <c r="U21" s="20" t="s">
        <v>2392</v>
      </c>
    </row>
    <row r="22" spans="1:21">
      <c r="A22">
        <v>26</v>
      </c>
      <c r="B22" s="20" t="s">
        <v>272</v>
      </c>
      <c r="C22" s="20" t="s">
        <v>272</v>
      </c>
      <c r="D22">
        <v>3</v>
      </c>
      <c r="E22">
        <v>3</v>
      </c>
      <c r="F22">
        <v>1</v>
      </c>
      <c r="G22">
        <v>0</v>
      </c>
      <c r="H22">
        <v>0</v>
      </c>
      <c r="I22">
        <v>1</v>
      </c>
      <c r="J22">
        <v>0</v>
      </c>
      <c r="K22">
        <v>3</v>
      </c>
      <c r="L22">
        <v>3</v>
      </c>
      <c r="M22">
        <v>3</v>
      </c>
      <c r="N22">
        <v>3</v>
      </c>
      <c r="O22">
        <v>0</v>
      </c>
      <c r="P22">
        <v>0</v>
      </c>
      <c r="Q22" s="20" t="s">
        <v>2392</v>
      </c>
      <c r="R22" s="20" t="s">
        <v>2392</v>
      </c>
      <c r="S22" s="20" t="s">
        <v>2392</v>
      </c>
      <c r="T22" s="20" t="s">
        <v>2392</v>
      </c>
      <c r="U22" s="20" t="s">
        <v>2411</v>
      </c>
    </row>
    <row r="23" spans="1:21">
      <c r="A23">
        <v>256</v>
      </c>
      <c r="B23" s="20" t="s">
        <v>299</v>
      </c>
      <c r="C23" s="20" t="s">
        <v>260</v>
      </c>
      <c r="D23">
        <v>1</v>
      </c>
      <c r="F23">
        <v>1</v>
      </c>
      <c r="G23">
        <v>0</v>
      </c>
      <c r="H23">
        <v>0</v>
      </c>
      <c r="I23">
        <v>1</v>
      </c>
      <c r="J23">
        <v>0</v>
      </c>
      <c r="K23">
        <v>1</v>
      </c>
      <c r="L23">
        <v>1</v>
      </c>
      <c r="M23">
        <v>1</v>
      </c>
      <c r="N23">
        <v>1</v>
      </c>
      <c r="O23">
        <v>0</v>
      </c>
      <c r="P23">
        <v>0</v>
      </c>
      <c r="Q23" s="20" t="s">
        <v>2392</v>
      </c>
      <c r="R23" s="20" t="s">
        <v>2392</v>
      </c>
      <c r="S23" s="20" t="s">
        <v>2392</v>
      </c>
      <c r="T23" s="20" t="s">
        <v>2392</v>
      </c>
      <c r="U23" s="20" t="s">
        <v>2392</v>
      </c>
    </row>
    <row r="24" spans="1:21">
      <c r="A24">
        <v>125</v>
      </c>
      <c r="B24" s="20" t="s">
        <v>70</v>
      </c>
      <c r="C24" s="20" t="s">
        <v>117</v>
      </c>
      <c r="D24">
        <v>0</v>
      </c>
      <c r="F24">
        <v>0</v>
      </c>
      <c r="G24">
        <v>1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0</v>
      </c>
      <c r="O24">
        <v>0</v>
      </c>
      <c r="P24">
        <v>1</v>
      </c>
      <c r="Q24" s="20" t="s">
        <v>2412</v>
      </c>
      <c r="R24" s="20" t="s">
        <v>2392</v>
      </c>
      <c r="S24" s="20" t="s">
        <v>2278</v>
      </c>
      <c r="T24" s="20" t="s">
        <v>2413</v>
      </c>
      <c r="U24" s="20" t="s">
        <v>2392</v>
      </c>
    </row>
    <row r="25" spans="1:21">
      <c r="A25">
        <v>202</v>
      </c>
      <c r="B25" s="20" t="s">
        <v>273</v>
      </c>
      <c r="C25" s="20" t="s">
        <v>2414</v>
      </c>
      <c r="D25">
        <v>1</v>
      </c>
      <c r="E25">
        <v>3</v>
      </c>
      <c r="F25">
        <v>1</v>
      </c>
      <c r="G25">
        <v>0</v>
      </c>
      <c r="H25">
        <v>0</v>
      </c>
      <c r="I25">
        <v>1</v>
      </c>
      <c r="J25">
        <v>0</v>
      </c>
      <c r="K25">
        <v>1</v>
      </c>
      <c r="L25">
        <v>1</v>
      </c>
      <c r="M25">
        <v>1</v>
      </c>
      <c r="N25">
        <v>1</v>
      </c>
      <c r="O25">
        <v>0</v>
      </c>
      <c r="P25">
        <v>0</v>
      </c>
      <c r="Q25" s="20" t="s">
        <v>2392</v>
      </c>
      <c r="R25" s="20" t="s">
        <v>2392</v>
      </c>
      <c r="S25" s="20" t="s">
        <v>2392</v>
      </c>
      <c r="T25" s="20" t="s">
        <v>2392</v>
      </c>
      <c r="U25" s="20" t="s">
        <v>2392</v>
      </c>
    </row>
    <row r="26" spans="1:21">
      <c r="A26">
        <v>91</v>
      </c>
      <c r="B26" s="20" t="s">
        <v>300</v>
      </c>
      <c r="C26" s="20" t="s">
        <v>300</v>
      </c>
      <c r="D26">
        <v>2</v>
      </c>
      <c r="F26">
        <v>1</v>
      </c>
      <c r="G26">
        <v>0</v>
      </c>
      <c r="H26">
        <v>0</v>
      </c>
      <c r="I26">
        <v>1</v>
      </c>
      <c r="J26">
        <v>0</v>
      </c>
      <c r="K26">
        <v>3</v>
      </c>
      <c r="L26">
        <v>2</v>
      </c>
      <c r="M26">
        <v>2</v>
      </c>
      <c r="N26">
        <v>0</v>
      </c>
      <c r="O26">
        <v>0</v>
      </c>
      <c r="P26">
        <v>0</v>
      </c>
      <c r="Q26" s="20" t="s">
        <v>2392</v>
      </c>
      <c r="R26" s="20" t="s">
        <v>2392</v>
      </c>
      <c r="S26" s="20" t="s">
        <v>2392</v>
      </c>
      <c r="T26" s="20" t="s">
        <v>2392</v>
      </c>
      <c r="U26" s="20" t="s">
        <v>2415</v>
      </c>
    </row>
    <row r="27" spans="1:21">
      <c r="A27">
        <v>60</v>
      </c>
      <c r="B27" s="20" t="s">
        <v>58</v>
      </c>
      <c r="C27" s="20" t="s">
        <v>58</v>
      </c>
      <c r="D27">
        <v>4</v>
      </c>
      <c r="F27">
        <v>1</v>
      </c>
      <c r="G27">
        <v>0</v>
      </c>
      <c r="H27">
        <v>0</v>
      </c>
      <c r="I27">
        <v>1</v>
      </c>
      <c r="J27">
        <v>0</v>
      </c>
      <c r="K27">
        <v>4</v>
      </c>
      <c r="L27">
        <v>4</v>
      </c>
      <c r="M27">
        <v>4</v>
      </c>
      <c r="N27">
        <v>0</v>
      </c>
      <c r="O27">
        <v>0</v>
      </c>
      <c r="P27">
        <v>0</v>
      </c>
      <c r="Q27" s="20" t="s">
        <v>2392</v>
      </c>
      <c r="R27" s="20" t="s">
        <v>2392</v>
      </c>
      <c r="S27" s="20" t="s">
        <v>184</v>
      </c>
      <c r="T27" s="20" t="s">
        <v>2416</v>
      </c>
      <c r="U27" s="20" t="s">
        <v>2417</v>
      </c>
    </row>
    <row r="28" spans="1:21">
      <c r="A28">
        <v>198</v>
      </c>
      <c r="B28" s="20" t="s">
        <v>48</v>
      </c>
      <c r="C28" s="20" t="s">
        <v>58</v>
      </c>
      <c r="D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s="20" t="s">
        <v>58</v>
      </c>
      <c r="R28" s="20" t="s">
        <v>2392</v>
      </c>
      <c r="S28" s="20" t="s">
        <v>184</v>
      </c>
      <c r="T28" s="20" t="s">
        <v>2418</v>
      </c>
      <c r="U28" s="20" t="s">
        <v>2392</v>
      </c>
    </row>
    <row r="29" spans="1:21">
      <c r="A29">
        <v>92</v>
      </c>
      <c r="B29" s="20" t="s">
        <v>231</v>
      </c>
      <c r="C29" s="20" t="s">
        <v>231</v>
      </c>
      <c r="D29">
        <v>4</v>
      </c>
      <c r="F29">
        <v>1</v>
      </c>
      <c r="G29">
        <v>0</v>
      </c>
      <c r="H29">
        <v>0</v>
      </c>
      <c r="I29">
        <v>1</v>
      </c>
      <c r="J29">
        <v>0</v>
      </c>
      <c r="K29">
        <v>4</v>
      </c>
      <c r="L29">
        <v>4</v>
      </c>
      <c r="M29">
        <v>4</v>
      </c>
      <c r="N29">
        <v>4</v>
      </c>
      <c r="O29">
        <v>0</v>
      </c>
      <c r="P29">
        <v>0</v>
      </c>
      <c r="Q29" s="20" t="s">
        <v>2392</v>
      </c>
      <c r="R29" s="20" t="s">
        <v>2392</v>
      </c>
      <c r="S29" s="20" t="s">
        <v>2392</v>
      </c>
      <c r="T29" s="20" t="s">
        <v>2392</v>
      </c>
      <c r="U29" s="20" t="s">
        <v>2417</v>
      </c>
    </row>
    <row r="30" spans="1:21">
      <c r="A30">
        <v>165</v>
      </c>
      <c r="B30" s="20" t="s">
        <v>301</v>
      </c>
      <c r="C30" s="20" t="s">
        <v>301</v>
      </c>
      <c r="D30">
        <v>2</v>
      </c>
      <c r="F30">
        <v>1</v>
      </c>
      <c r="G30">
        <v>0</v>
      </c>
      <c r="H30">
        <v>0</v>
      </c>
      <c r="I30">
        <v>1</v>
      </c>
      <c r="J30">
        <v>0</v>
      </c>
      <c r="K30">
        <v>2</v>
      </c>
      <c r="L30">
        <v>2</v>
      </c>
      <c r="M30">
        <v>2</v>
      </c>
      <c r="N30">
        <v>1</v>
      </c>
      <c r="O30">
        <v>0</v>
      </c>
      <c r="P30">
        <v>0</v>
      </c>
      <c r="Q30" s="20" t="s">
        <v>2392</v>
      </c>
      <c r="R30" s="20" t="s">
        <v>2392</v>
      </c>
      <c r="S30" s="20" t="s">
        <v>2392</v>
      </c>
      <c r="T30" s="20" t="s">
        <v>2392</v>
      </c>
      <c r="U30" s="20" t="s">
        <v>2392</v>
      </c>
    </row>
    <row r="31" spans="1:21">
      <c r="A31">
        <v>311</v>
      </c>
      <c r="B31" s="20" t="s">
        <v>142</v>
      </c>
      <c r="C31" s="20" t="s">
        <v>45</v>
      </c>
      <c r="D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s="20" t="s">
        <v>2324</v>
      </c>
      <c r="R31" s="20" t="s">
        <v>2392</v>
      </c>
      <c r="S31" s="20" t="s">
        <v>184</v>
      </c>
      <c r="T31" s="20" t="s">
        <v>2419</v>
      </c>
      <c r="U31" s="20" t="s">
        <v>2392</v>
      </c>
    </row>
    <row r="32" spans="1:21">
      <c r="A32">
        <v>345</v>
      </c>
      <c r="B32" s="20" t="s">
        <v>302</v>
      </c>
      <c r="C32" s="20" t="s">
        <v>226</v>
      </c>
      <c r="D32">
        <v>0</v>
      </c>
      <c r="F32">
        <v>0</v>
      </c>
      <c r="G32">
        <v>0</v>
      </c>
      <c r="H32">
        <v>1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 s="20" t="s">
        <v>2392</v>
      </c>
      <c r="R32" s="20" t="s">
        <v>2392</v>
      </c>
      <c r="S32" s="20" t="s">
        <v>2392</v>
      </c>
      <c r="T32" s="20" t="s">
        <v>2392</v>
      </c>
      <c r="U32" s="20" t="s">
        <v>2420</v>
      </c>
    </row>
    <row r="33" spans="1:21">
      <c r="A33">
        <v>52</v>
      </c>
      <c r="B33" s="20" t="s">
        <v>232</v>
      </c>
      <c r="C33" s="20" t="s">
        <v>232</v>
      </c>
      <c r="D33">
        <v>1</v>
      </c>
      <c r="F33">
        <v>1</v>
      </c>
      <c r="G33">
        <v>0</v>
      </c>
      <c r="H33">
        <v>0</v>
      </c>
      <c r="I33">
        <v>1</v>
      </c>
      <c r="J33">
        <v>0</v>
      </c>
      <c r="K33">
        <v>1</v>
      </c>
      <c r="L33">
        <v>1</v>
      </c>
      <c r="M33">
        <v>1</v>
      </c>
      <c r="N33">
        <v>1</v>
      </c>
      <c r="O33">
        <v>0</v>
      </c>
      <c r="P33">
        <v>0</v>
      </c>
      <c r="Q33" s="20" t="s">
        <v>2392</v>
      </c>
      <c r="R33" s="20" t="s">
        <v>2421</v>
      </c>
      <c r="S33" s="20" t="s">
        <v>2392</v>
      </c>
      <c r="T33" s="20" t="s">
        <v>2392</v>
      </c>
      <c r="U33" s="20" t="s">
        <v>2392</v>
      </c>
    </row>
    <row r="34" spans="1:21">
      <c r="A34">
        <v>357</v>
      </c>
      <c r="B34" s="20" t="s">
        <v>303</v>
      </c>
      <c r="C34" s="20" t="s">
        <v>46</v>
      </c>
      <c r="D34">
        <v>1</v>
      </c>
      <c r="F34">
        <v>1</v>
      </c>
      <c r="G34">
        <v>0</v>
      </c>
      <c r="H34">
        <v>0</v>
      </c>
      <c r="I34">
        <v>1</v>
      </c>
      <c r="J34">
        <v>0</v>
      </c>
      <c r="K34">
        <v>1</v>
      </c>
      <c r="L34">
        <v>1</v>
      </c>
      <c r="M34">
        <v>1</v>
      </c>
      <c r="N34">
        <v>1</v>
      </c>
      <c r="O34">
        <v>0</v>
      </c>
      <c r="P34">
        <v>0</v>
      </c>
      <c r="Q34" s="20" t="s">
        <v>2392</v>
      </c>
      <c r="R34" s="20" t="s">
        <v>2392</v>
      </c>
      <c r="S34" s="20" t="s">
        <v>2278</v>
      </c>
      <c r="T34" s="20" t="s">
        <v>2422</v>
      </c>
      <c r="U34" s="20" t="s">
        <v>2392</v>
      </c>
    </row>
    <row r="35" spans="1:21">
      <c r="A35">
        <v>160</v>
      </c>
      <c r="B35" s="20" t="s">
        <v>71</v>
      </c>
      <c r="C35" s="20" t="s">
        <v>117</v>
      </c>
      <c r="D35">
        <v>1</v>
      </c>
      <c r="F35">
        <v>1</v>
      </c>
      <c r="G35">
        <v>0</v>
      </c>
      <c r="H35">
        <v>0</v>
      </c>
      <c r="I35">
        <v>1</v>
      </c>
      <c r="J35">
        <v>0</v>
      </c>
      <c r="K35">
        <v>1</v>
      </c>
      <c r="L35">
        <v>1</v>
      </c>
      <c r="M35">
        <v>0</v>
      </c>
      <c r="N35">
        <v>1</v>
      </c>
      <c r="O35">
        <v>0</v>
      </c>
      <c r="P35">
        <v>0</v>
      </c>
      <c r="Q35" s="20" t="s">
        <v>2392</v>
      </c>
      <c r="R35" s="20" t="s">
        <v>2392</v>
      </c>
      <c r="S35" s="20" t="s">
        <v>2278</v>
      </c>
      <c r="T35" s="20" t="s">
        <v>2423</v>
      </c>
      <c r="U35" s="20" t="s">
        <v>2392</v>
      </c>
    </row>
    <row r="36" spans="1:21">
      <c r="A36">
        <v>54</v>
      </c>
      <c r="B36" s="20" t="s">
        <v>233</v>
      </c>
      <c r="C36" s="20" t="s">
        <v>338</v>
      </c>
      <c r="D36">
        <v>0</v>
      </c>
      <c r="F36">
        <v>0</v>
      </c>
      <c r="G36">
        <v>0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 s="20" t="s">
        <v>2392</v>
      </c>
      <c r="R36" s="20" t="s">
        <v>2392</v>
      </c>
      <c r="S36" s="20" t="s">
        <v>2392</v>
      </c>
      <c r="T36" s="20" t="s">
        <v>2392</v>
      </c>
      <c r="U36" s="20" t="s">
        <v>2392</v>
      </c>
    </row>
    <row r="37" spans="1:21">
      <c r="A37">
        <v>243</v>
      </c>
      <c r="B37" s="20" t="s">
        <v>119</v>
      </c>
      <c r="C37" s="20" t="s">
        <v>119</v>
      </c>
      <c r="D37">
        <v>2</v>
      </c>
      <c r="E37">
        <v>1</v>
      </c>
      <c r="F37">
        <v>1</v>
      </c>
      <c r="G37">
        <v>0</v>
      </c>
      <c r="H37">
        <v>0</v>
      </c>
      <c r="I37">
        <v>1</v>
      </c>
      <c r="J37">
        <v>0</v>
      </c>
      <c r="K37">
        <v>2</v>
      </c>
      <c r="L37">
        <v>2</v>
      </c>
      <c r="M37">
        <v>2</v>
      </c>
      <c r="N37">
        <v>2</v>
      </c>
      <c r="O37">
        <v>0</v>
      </c>
      <c r="P37">
        <v>0</v>
      </c>
      <c r="Q37" s="20" t="s">
        <v>2392</v>
      </c>
      <c r="R37" s="20" t="s">
        <v>2392</v>
      </c>
      <c r="S37" s="20" t="s">
        <v>2392</v>
      </c>
      <c r="T37" s="20" t="s">
        <v>2392</v>
      </c>
      <c r="U37" s="20" t="s">
        <v>2392</v>
      </c>
    </row>
    <row r="38" spans="1:21">
      <c r="A38">
        <v>271</v>
      </c>
      <c r="B38" s="20" t="s">
        <v>72</v>
      </c>
      <c r="C38" s="20" t="s">
        <v>119</v>
      </c>
      <c r="D38">
        <v>0</v>
      </c>
      <c r="E38">
        <v>3</v>
      </c>
      <c r="F38">
        <v>0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s="20" t="s">
        <v>2424</v>
      </c>
      <c r="R38" s="20" t="s">
        <v>2392</v>
      </c>
      <c r="S38" s="20" t="s">
        <v>2392</v>
      </c>
      <c r="T38" s="20" t="s">
        <v>2392</v>
      </c>
      <c r="U38" s="20" t="s">
        <v>2392</v>
      </c>
    </row>
    <row r="39" spans="1:21">
      <c r="A39">
        <v>189</v>
      </c>
      <c r="B39" s="20" t="s">
        <v>234</v>
      </c>
      <c r="C39" s="20" t="s">
        <v>210</v>
      </c>
      <c r="D39">
        <v>0</v>
      </c>
      <c r="F39">
        <v>0</v>
      </c>
      <c r="G39">
        <v>1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s="20" t="s">
        <v>210</v>
      </c>
      <c r="R39" s="20" t="s">
        <v>2425</v>
      </c>
      <c r="S39" s="20" t="s">
        <v>2392</v>
      </c>
      <c r="T39" s="20" t="s">
        <v>2392</v>
      </c>
      <c r="U39" s="20" t="s">
        <v>2392</v>
      </c>
    </row>
    <row r="40" spans="1:21">
      <c r="A40">
        <v>138</v>
      </c>
      <c r="B40" s="20" t="s">
        <v>304</v>
      </c>
      <c r="C40" s="20" t="s">
        <v>304</v>
      </c>
      <c r="D40">
        <v>2</v>
      </c>
      <c r="F40">
        <v>1</v>
      </c>
      <c r="G40">
        <v>0</v>
      </c>
      <c r="H40">
        <v>0</v>
      </c>
      <c r="I40">
        <v>1</v>
      </c>
      <c r="J40">
        <v>0</v>
      </c>
      <c r="K40">
        <v>2</v>
      </c>
      <c r="L40">
        <v>2</v>
      </c>
      <c r="M40">
        <v>2</v>
      </c>
      <c r="N40">
        <v>2</v>
      </c>
      <c r="O40">
        <v>0</v>
      </c>
      <c r="P40">
        <v>0</v>
      </c>
      <c r="Q40" s="20" t="s">
        <v>2392</v>
      </c>
      <c r="R40" s="20" t="s">
        <v>2392</v>
      </c>
      <c r="S40" s="20" t="s">
        <v>2392</v>
      </c>
      <c r="T40" s="20" t="s">
        <v>2392</v>
      </c>
      <c r="U40" s="20" t="s">
        <v>2392</v>
      </c>
    </row>
    <row r="41" spans="1:21">
      <c r="A41">
        <v>46</v>
      </c>
      <c r="B41" s="20" t="s">
        <v>226</v>
      </c>
      <c r="C41" s="20" t="s">
        <v>226</v>
      </c>
      <c r="D41">
        <v>0</v>
      </c>
      <c r="E41">
        <v>4</v>
      </c>
      <c r="F41">
        <v>0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 s="20" t="s">
        <v>2392</v>
      </c>
      <c r="R41" s="20" t="s">
        <v>2392</v>
      </c>
      <c r="S41" s="20" t="s">
        <v>2270</v>
      </c>
      <c r="T41" s="20" t="s">
        <v>2399</v>
      </c>
      <c r="U41" s="20" t="s">
        <v>2426</v>
      </c>
    </row>
    <row r="42" spans="1:21">
      <c r="A42">
        <v>346</v>
      </c>
      <c r="B42" s="20" t="s">
        <v>187</v>
      </c>
      <c r="C42" s="20" t="s">
        <v>73</v>
      </c>
      <c r="D42">
        <v>0</v>
      </c>
      <c r="F42">
        <v>0</v>
      </c>
      <c r="G42">
        <v>0</v>
      </c>
      <c r="H42">
        <v>1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 s="20" t="s">
        <v>2392</v>
      </c>
      <c r="R42" s="20" t="s">
        <v>2392</v>
      </c>
      <c r="S42" s="20" t="s">
        <v>2392</v>
      </c>
      <c r="T42" s="20" t="s">
        <v>2392</v>
      </c>
      <c r="U42" s="20" t="s">
        <v>2427</v>
      </c>
    </row>
    <row r="43" spans="1:21">
      <c r="A43">
        <v>264</v>
      </c>
      <c r="B43" s="20" t="s">
        <v>59</v>
      </c>
      <c r="C43" s="20" t="s">
        <v>2428</v>
      </c>
      <c r="D43">
        <v>0</v>
      </c>
      <c r="F43">
        <v>0</v>
      </c>
      <c r="G43">
        <v>0</v>
      </c>
      <c r="H43">
        <v>1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 s="20" t="s">
        <v>2392</v>
      </c>
      <c r="R43" s="20" t="s">
        <v>2392</v>
      </c>
      <c r="S43" s="20" t="s">
        <v>2167</v>
      </c>
      <c r="T43" s="20" t="s">
        <v>2429</v>
      </c>
      <c r="U43" s="20" t="s">
        <v>2392</v>
      </c>
    </row>
    <row r="44" spans="1:21">
      <c r="A44">
        <v>56</v>
      </c>
      <c r="B44" s="20" t="s">
        <v>188</v>
      </c>
      <c r="C44" s="20" t="s">
        <v>188</v>
      </c>
      <c r="D44">
        <v>4</v>
      </c>
      <c r="F44">
        <v>1</v>
      </c>
      <c r="G44">
        <v>0</v>
      </c>
      <c r="H44">
        <v>0</v>
      </c>
      <c r="I44">
        <v>1</v>
      </c>
      <c r="J44">
        <v>0</v>
      </c>
      <c r="K44">
        <v>4</v>
      </c>
      <c r="L44">
        <v>4</v>
      </c>
      <c r="M44">
        <v>4</v>
      </c>
      <c r="N44">
        <v>4</v>
      </c>
      <c r="O44">
        <v>0</v>
      </c>
      <c r="P44">
        <v>0</v>
      </c>
      <c r="Q44" s="20" t="s">
        <v>2392</v>
      </c>
      <c r="R44" s="20" t="s">
        <v>2392</v>
      </c>
      <c r="S44" s="20" t="s">
        <v>2392</v>
      </c>
      <c r="T44" s="20" t="s">
        <v>2392</v>
      </c>
      <c r="U44" s="20" t="s">
        <v>2392</v>
      </c>
    </row>
    <row r="45" spans="1:21">
      <c r="A45">
        <v>65</v>
      </c>
      <c r="B45" s="20" t="s">
        <v>199</v>
      </c>
      <c r="C45" s="20" t="s">
        <v>199</v>
      </c>
      <c r="D45">
        <v>2</v>
      </c>
      <c r="E45">
        <v>1</v>
      </c>
      <c r="F45">
        <v>1</v>
      </c>
      <c r="G45">
        <v>0</v>
      </c>
      <c r="H45">
        <v>0</v>
      </c>
      <c r="I45">
        <v>1</v>
      </c>
      <c r="J45">
        <v>0</v>
      </c>
      <c r="K45">
        <v>2</v>
      </c>
      <c r="L45">
        <v>2</v>
      </c>
      <c r="M45">
        <v>2</v>
      </c>
      <c r="N45">
        <v>2</v>
      </c>
      <c r="O45">
        <v>0</v>
      </c>
      <c r="P45">
        <v>0</v>
      </c>
      <c r="Q45" s="20" t="s">
        <v>2392</v>
      </c>
      <c r="R45" s="20" t="s">
        <v>2392</v>
      </c>
      <c r="S45" s="20" t="s">
        <v>2392</v>
      </c>
      <c r="T45" s="20" t="s">
        <v>2392</v>
      </c>
      <c r="U45" s="20" t="s">
        <v>2430</v>
      </c>
    </row>
    <row r="46" spans="1:21">
      <c r="A46">
        <v>32</v>
      </c>
      <c r="B46" s="20" t="s">
        <v>73</v>
      </c>
      <c r="C46" s="20" t="s">
        <v>73</v>
      </c>
      <c r="D46">
        <v>3</v>
      </c>
      <c r="E46">
        <v>1</v>
      </c>
      <c r="F46">
        <v>1</v>
      </c>
      <c r="G46">
        <v>0</v>
      </c>
      <c r="H46">
        <v>0</v>
      </c>
      <c r="I46">
        <v>1</v>
      </c>
      <c r="J46">
        <v>0</v>
      </c>
      <c r="K46">
        <v>3</v>
      </c>
      <c r="L46">
        <v>3</v>
      </c>
      <c r="M46">
        <v>3</v>
      </c>
      <c r="N46">
        <v>3</v>
      </c>
      <c r="O46">
        <v>0</v>
      </c>
      <c r="P46">
        <v>0</v>
      </c>
      <c r="Q46" s="20" t="s">
        <v>2392</v>
      </c>
      <c r="R46" s="20" t="s">
        <v>2392</v>
      </c>
      <c r="S46" s="20" t="s">
        <v>2392</v>
      </c>
      <c r="T46" s="20" t="s">
        <v>2392</v>
      </c>
      <c r="U46" s="20" t="s">
        <v>2431</v>
      </c>
    </row>
    <row r="47" spans="1:21">
      <c r="A47">
        <v>157</v>
      </c>
      <c r="B47" s="20" t="s">
        <v>189</v>
      </c>
      <c r="C47" s="20" t="s">
        <v>73</v>
      </c>
      <c r="D47">
        <v>0</v>
      </c>
      <c r="F47">
        <v>0</v>
      </c>
      <c r="G47">
        <v>1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 s="20" t="s">
        <v>2432</v>
      </c>
      <c r="R47" s="20" t="s">
        <v>2392</v>
      </c>
      <c r="S47" s="20" t="s">
        <v>2392</v>
      </c>
      <c r="T47" s="20" t="s">
        <v>2392</v>
      </c>
      <c r="U47" s="20" t="s">
        <v>2433</v>
      </c>
    </row>
    <row r="48" spans="1:21">
      <c r="A48">
        <v>325</v>
      </c>
      <c r="B48" s="20" t="s">
        <v>305</v>
      </c>
      <c r="C48" s="20" t="s">
        <v>2434</v>
      </c>
      <c r="D48">
        <v>0</v>
      </c>
      <c r="F48">
        <v>0</v>
      </c>
      <c r="G48">
        <v>0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 s="20" t="s">
        <v>2392</v>
      </c>
      <c r="R48" s="20" t="s">
        <v>2392</v>
      </c>
      <c r="S48" s="20" t="s">
        <v>2392</v>
      </c>
      <c r="T48" s="20" t="s">
        <v>2392</v>
      </c>
      <c r="U48" s="20" t="s">
        <v>2392</v>
      </c>
    </row>
    <row r="49" spans="1:21">
      <c r="A49">
        <v>16</v>
      </c>
      <c r="B49" s="20" t="s">
        <v>392</v>
      </c>
      <c r="C49" s="20" t="s">
        <v>392</v>
      </c>
      <c r="D49">
        <v>3</v>
      </c>
      <c r="E49">
        <v>2</v>
      </c>
      <c r="F49">
        <v>1</v>
      </c>
      <c r="G49">
        <v>0</v>
      </c>
      <c r="H49">
        <v>0</v>
      </c>
      <c r="I49">
        <v>1</v>
      </c>
      <c r="J49">
        <v>0</v>
      </c>
      <c r="K49">
        <v>3</v>
      </c>
      <c r="L49">
        <v>3</v>
      </c>
      <c r="M49">
        <v>3</v>
      </c>
      <c r="N49">
        <v>3</v>
      </c>
      <c r="O49">
        <v>0</v>
      </c>
      <c r="P49">
        <v>0</v>
      </c>
      <c r="Q49" s="20" t="s">
        <v>2392</v>
      </c>
      <c r="R49" s="20" t="s">
        <v>2392</v>
      </c>
      <c r="S49" s="20" t="s">
        <v>2392</v>
      </c>
      <c r="T49" s="20" t="s">
        <v>2392</v>
      </c>
      <c r="U49" s="20" t="s">
        <v>2435</v>
      </c>
    </row>
    <row r="50" spans="1:21">
      <c r="A50">
        <v>235</v>
      </c>
      <c r="B50" s="20" t="s">
        <v>283</v>
      </c>
      <c r="C50" s="20" t="s">
        <v>2436</v>
      </c>
      <c r="D50">
        <v>0</v>
      </c>
      <c r="E50">
        <v>4</v>
      </c>
      <c r="F50">
        <v>0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 s="20" t="s">
        <v>2392</v>
      </c>
      <c r="R50" s="20" t="s">
        <v>2392</v>
      </c>
      <c r="S50" s="20" t="s">
        <v>2392</v>
      </c>
      <c r="T50" s="20" t="s">
        <v>2392</v>
      </c>
      <c r="U50" s="20" t="s">
        <v>2437</v>
      </c>
    </row>
    <row r="51" spans="1:21">
      <c r="A51">
        <v>86</v>
      </c>
      <c r="B51" s="20" t="s">
        <v>26</v>
      </c>
      <c r="C51" s="20" t="s">
        <v>26</v>
      </c>
      <c r="D51">
        <v>2</v>
      </c>
      <c r="E51">
        <v>4</v>
      </c>
      <c r="F51">
        <v>1</v>
      </c>
      <c r="G51">
        <v>0</v>
      </c>
      <c r="H51">
        <v>0</v>
      </c>
      <c r="I51">
        <v>1</v>
      </c>
      <c r="J51">
        <v>0</v>
      </c>
      <c r="K51">
        <v>2</v>
      </c>
      <c r="L51">
        <v>2</v>
      </c>
      <c r="M51">
        <v>2</v>
      </c>
      <c r="N51">
        <v>2</v>
      </c>
      <c r="O51">
        <v>0</v>
      </c>
      <c r="P51">
        <v>0</v>
      </c>
      <c r="Q51" s="20" t="s">
        <v>2392</v>
      </c>
      <c r="R51" s="20" t="s">
        <v>2392</v>
      </c>
      <c r="S51" s="20" t="s">
        <v>184</v>
      </c>
      <c r="T51" s="20" t="s">
        <v>2416</v>
      </c>
      <c r="U51" s="20" t="s">
        <v>2392</v>
      </c>
    </row>
    <row r="52" spans="1:21">
      <c r="A52">
        <v>113</v>
      </c>
      <c r="B52" s="20" t="s">
        <v>31</v>
      </c>
      <c r="C52" s="20" t="s">
        <v>31</v>
      </c>
      <c r="D52">
        <v>4</v>
      </c>
      <c r="E52">
        <v>3</v>
      </c>
      <c r="F52">
        <v>1</v>
      </c>
      <c r="G52">
        <v>0</v>
      </c>
      <c r="H52">
        <v>0</v>
      </c>
      <c r="I52">
        <v>1</v>
      </c>
      <c r="J52">
        <v>0</v>
      </c>
      <c r="K52">
        <v>4</v>
      </c>
      <c r="L52">
        <v>4</v>
      </c>
      <c r="M52">
        <v>4</v>
      </c>
      <c r="N52">
        <v>2</v>
      </c>
      <c r="O52">
        <v>0</v>
      </c>
      <c r="P52">
        <v>0</v>
      </c>
      <c r="Q52" s="20" t="s">
        <v>2392</v>
      </c>
      <c r="R52" s="20" t="s">
        <v>2392</v>
      </c>
      <c r="S52" s="20" t="s">
        <v>184</v>
      </c>
      <c r="T52" s="20" t="s">
        <v>2416</v>
      </c>
      <c r="U52" s="20" t="s">
        <v>2392</v>
      </c>
    </row>
    <row r="53" spans="1:21">
      <c r="A53">
        <v>286</v>
      </c>
      <c r="B53" s="20" t="s">
        <v>60</v>
      </c>
      <c r="C53" s="20" t="s">
        <v>2428</v>
      </c>
      <c r="D53">
        <v>0</v>
      </c>
      <c r="F53">
        <v>0</v>
      </c>
      <c r="G53">
        <v>1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 s="20" t="s">
        <v>2438</v>
      </c>
      <c r="R53" s="20" t="s">
        <v>2392</v>
      </c>
      <c r="S53" s="20" t="s">
        <v>184</v>
      </c>
      <c r="T53" s="20" t="s">
        <v>2439</v>
      </c>
      <c r="U53" s="20" t="s">
        <v>2392</v>
      </c>
    </row>
    <row r="54" spans="1:21">
      <c r="A54">
        <v>166</v>
      </c>
      <c r="B54" s="20" t="s">
        <v>306</v>
      </c>
      <c r="C54" s="20" t="s">
        <v>306</v>
      </c>
      <c r="D54">
        <v>2</v>
      </c>
      <c r="F54">
        <v>1</v>
      </c>
      <c r="G54">
        <v>0</v>
      </c>
      <c r="H54">
        <v>0</v>
      </c>
      <c r="I54">
        <v>1</v>
      </c>
      <c r="J54">
        <v>0</v>
      </c>
      <c r="K54">
        <v>2</v>
      </c>
      <c r="L54">
        <v>2</v>
      </c>
      <c r="M54">
        <v>2</v>
      </c>
      <c r="N54">
        <v>2</v>
      </c>
      <c r="O54">
        <v>0</v>
      </c>
      <c r="P54">
        <v>0</v>
      </c>
      <c r="Q54" s="20" t="s">
        <v>2392</v>
      </c>
      <c r="R54" s="20" t="s">
        <v>2392</v>
      </c>
      <c r="S54" s="20" t="s">
        <v>2392</v>
      </c>
      <c r="T54" s="20" t="s">
        <v>2392</v>
      </c>
      <c r="U54" s="20" t="s">
        <v>2392</v>
      </c>
    </row>
    <row r="55" spans="1:21">
      <c r="A55">
        <v>164</v>
      </c>
      <c r="B55" s="20" t="s">
        <v>307</v>
      </c>
      <c r="C55" s="20" t="s">
        <v>244</v>
      </c>
      <c r="D55">
        <v>1</v>
      </c>
      <c r="F55">
        <v>1</v>
      </c>
      <c r="G55">
        <v>0</v>
      </c>
      <c r="H55">
        <v>0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 s="20" t="s">
        <v>2392</v>
      </c>
      <c r="R55" s="20" t="s">
        <v>2392</v>
      </c>
      <c r="S55" s="20" t="s">
        <v>2392</v>
      </c>
      <c r="T55" s="20" t="s">
        <v>2392</v>
      </c>
      <c r="U55" s="20" t="s">
        <v>2392</v>
      </c>
    </row>
    <row r="56" spans="1:21">
      <c r="A56">
        <v>58</v>
      </c>
      <c r="B56" s="20" t="s">
        <v>120</v>
      </c>
      <c r="C56" s="20" t="s">
        <v>120</v>
      </c>
      <c r="D56">
        <v>3</v>
      </c>
      <c r="E56">
        <v>4</v>
      </c>
      <c r="F56">
        <v>1</v>
      </c>
      <c r="G56">
        <v>0</v>
      </c>
      <c r="H56">
        <v>0</v>
      </c>
      <c r="I56">
        <v>1</v>
      </c>
      <c r="J56">
        <v>0</v>
      </c>
      <c r="K56">
        <v>3</v>
      </c>
      <c r="L56">
        <v>3</v>
      </c>
      <c r="M56">
        <v>3</v>
      </c>
      <c r="N56">
        <v>3</v>
      </c>
      <c r="O56">
        <v>0</v>
      </c>
      <c r="P56">
        <v>0</v>
      </c>
      <c r="Q56" s="20" t="s">
        <v>2392</v>
      </c>
      <c r="R56" s="20" t="s">
        <v>2392</v>
      </c>
      <c r="S56" s="20" t="s">
        <v>2392</v>
      </c>
      <c r="T56" s="20" t="s">
        <v>2392</v>
      </c>
      <c r="U56" s="20" t="s">
        <v>2392</v>
      </c>
    </row>
    <row r="57" spans="1:21">
      <c r="A57">
        <v>206</v>
      </c>
      <c r="B57" s="20" t="s">
        <v>308</v>
      </c>
      <c r="C57" s="20" t="s">
        <v>357</v>
      </c>
      <c r="D57">
        <v>1</v>
      </c>
      <c r="F57">
        <v>1</v>
      </c>
      <c r="G57">
        <v>0</v>
      </c>
      <c r="H57">
        <v>0</v>
      </c>
      <c r="I57">
        <v>1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 s="20" t="s">
        <v>2392</v>
      </c>
      <c r="R57" s="20" t="s">
        <v>2392</v>
      </c>
      <c r="S57" s="20" t="s">
        <v>2392</v>
      </c>
      <c r="T57" s="20" t="s">
        <v>2392</v>
      </c>
      <c r="U57" s="20" t="s">
        <v>2392</v>
      </c>
    </row>
    <row r="58" spans="1:21">
      <c r="A58">
        <v>80</v>
      </c>
      <c r="B58" s="20" t="s">
        <v>200</v>
      </c>
      <c r="C58" s="20" t="s">
        <v>200</v>
      </c>
      <c r="D58">
        <v>4</v>
      </c>
      <c r="E58">
        <v>1</v>
      </c>
      <c r="F58">
        <v>1</v>
      </c>
      <c r="G58">
        <v>0</v>
      </c>
      <c r="H58">
        <v>0</v>
      </c>
      <c r="I58">
        <v>1</v>
      </c>
      <c r="J58">
        <v>0</v>
      </c>
      <c r="K58">
        <v>4</v>
      </c>
      <c r="L58">
        <v>4</v>
      </c>
      <c r="M58">
        <v>4</v>
      </c>
      <c r="N58">
        <v>4</v>
      </c>
      <c r="O58">
        <v>0</v>
      </c>
      <c r="P58">
        <v>0</v>
      </c>
      <c r="Q58" s="20" t="s">
        <v>2392</v>
      </c>
      <c r="R58" s="20" t="s">
        <v>2392</v>
      </c>
      <c r="S58" s="20" t="s">
        <v>2392</v>
      </c>
      <c r="T58" s="20" t="s">
        <v>2392</v>
      </c>
      <c r="U58" s="20" t="s">
        <v>2440</v>
      </c>
    </row>
    <row r="59" spans="1:21">
      <c r="A59">
        <v>134</v>
      </c>
      <c r="B59" s="20" t="s">
        <v>309</v>
      </c>
      <c r="C59" s="20" t="s">
        <v>309</v>
      </c>
      <c r="D59">
        <v>2</v>
      </c>
      <c r="F59">
        <v>1</v>
      </c>
      <c r="G59">
        <v>0</v>
      </c>
      <c r="H59">
        <v>0</v>
      </c>
      <c r="I59">
        <v>1</v>
      </c>
      <c r="J59">
        <v>0</v>
      </c>
      <c r="K59">
        <v>2</v>
      </c>
      <c r="L59">
        <v>2</v>
      </c>
      <c r="M59">
        <v>2</v>
      </c>
      <c r="N59">
        <v>0</v>
      </c>
      <c r="O59">
        <v>0</v>
      </c>
      <c r="P59">
        <v>0</v>
      </c>
      <c r="Q59" s="20" t="s">
        <v>2392</v>
      </c>
      <c r="R59" s="20" t="s">
        <v>2392</v>
      </c>
      <c r="S59" s="20" t="s">
        <v>2392</v>
      </c>
      <c r="T59" s="20" t="s">
        <v>2392</v>
      </c>
      <c r="U59" s="20" t="s">
        <v>2392</v>
      </c>
    </row>
    <row r="60" spans="1:21">
      <c r="A60">
        <v>176</v>
      </c>
      <c r="B60" s="20" t="s">
        <v>274</v>
      </c>
      <c r="C60" s="20" t="s">
        <v>309</v>
      </c>
      <c r="D60">
        <v>0</v>
      </c>
      <c r="E60">
        <v>3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 s="20" t="s">
        <v>2441</v>
      </c>
      <c r="R60" s="20" t="s">
        <v>2392</v>
      </c>
      <c r="S60" s="20" t="s">
        <v>2392</v>
      </c>
      <c r="T60" s="20" t="s">
        <v>2392</v>
      </c>
      <c r="U60" s="20" t="s">
        <v>2392</v>
      </c>
    </row>
    <row r="61" spans="1:21">
      <c r="A61">
        <v>334</v>
      </c>
      <c r="B61" s="20" t="s">
        <v>124</v>
      </c>
      <c r="C61" s="20" t="s">
        <v>2162</v>
      </c>
      <c r="D61">
        <v>1</v>
      </c>
      <c r="F61">
        <v>1</v>
      </c>
      <c r="G61">
        <v>0</v>
      </c>
      <c r="H61">
        <v>0</v>
      </c>
      <c r="I61">
        <v>1</v>
      </c>
      <c r="J61">
        <v>0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 s="20" t="s">
        <v>2392</v>
      </c>
      <c r="R61" s="20" t="s">
        <v>2442</v>
      </c>
      <c r="S61" s="20" t="s">
        <v>2392</v>
      </c>
      <c r="T61" s="20" t="s">
        <v>2392</v>
      </c>
      <c r="U61" s="20" t="s">
        <v>2392</v>
      </c>
    </row>
    <row r="62" spans="1:21">
      <c r="A62">
        <v>307</v>
      </c>
      <c r="B62" s="20" t="s">
        <v>143</v>
      </c>
      <c r="C62" s="20" t="s">
        <v>834</v>
      </c>
      <c r="D62">
        <v>0</v>
      </c>
      <c r="F62">
        <v>0</v>
      </c>
      <c r="G62">
        <v>1</v>
      </c>
      <c r="H62">
        <v>0</v>
      </c>
      <c r="I62">
        <v>1</v>
      </c>
      <c r="J62">
        <v>0</v>
      </c>
      <c r="K62">
        <v>0</v>
      </c>
      <c r="L62">
        <v>2</v>
      </c>
      <c r="M62">
        <v>2</v>
      </c>
      <c r="N62">
        <v>0</v>
      </c>
      <c r="O62">
        <v>0</v>
      </c>
      <c r="P62">
        <v>1</v>
      </c>
      <c r="Q62" s="20" t="s">
        <v>2443</v>
      </c>
      <c r="R62" s="20" t="s">
        <v>2444</v>
      </c>
      <c r="S62" s="20" t="s">
        <v>184</v>
      </c>
      <c r="T62" s="20" t="s">
        <v>2445</v>
      </c>
      <c r="U62" s="20" t="s">
        <v>2392</v>
      </c>
    </row>
    <row r="63" spans="1:21">
      <c r="A63">
        <v>308</v>
      </c>
      <c r="B63" s="20" t="s">
        <v>32</v>
      </c>
      <c r="C63" s="20" t="s">
        <v>834</v>
      </c>
      <c r="D63">
        <v>0</v>
      </c>
      <c r="F63">
        <v>0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 s="20" t="s">
        <v>2443</v>
      </c>
      <c r="R63" s="20" t="s">
        <v>2444</v>
      </c>
      <c r="S63" s="20" t="s">
        <v>184</v>
      </c>
      <c r="T63" s="20" t="s">
        <v>2445</v>
      </c>
      <c r="U63" s="20" t="s">
        <v>2392</v>
      </c>
    </row>
    <row r="64" spans="1:21">
      <c r="A64">
        <v>335</v>
      </c>
      <c r="B64" s="20" t="s">
        <v>34</v>
      </c>
      <c r="C64" s="20" t="s">
        <v>834</v>
      </c>
      <c r="D64">
        <v>0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s="20" t="s">
        <v>2443</v>
      </c>
      <c r="R64" s="20" t="s">
        <v>2444</v>
      </c>
      <c r="S64" s="20" t="s">
        <v>184</v>
      </c>
      <c r="T64" s="20" t="s">
        <v>2445</v>
      </c>
      <c r="U64" s="20" t="s">
        <v>2392</v>
      </c>
    </row>
    <row r="65" spans="1:21">
      <c r="A65">
        <v>336</v>
      </c>
      <c r="B65" s="20" t="s">
        <v>144</v>
      </c>
      <c r="C65" s="20" t="s">
        <v>834</v>
      </c>
      <c r="D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 s="20" t="s">
        <v>2443</v>
      </c>
      <c r="R65" s="20" t="s">
        <v>2444</v>
      </c>
      <c r="S65" s="20" t="s">
        <v>184</v>
      </c>
      <c r="T65" s="20" t="s">
        <v>2445</v>
      </c>
      <c r="U65" s="20" t="s">
        <v>2392</v>
      </c>
    </row>
    <row r="66" spans="1:21">
      <c r="A66">
        <v>11</v>
      </c>
      <c r="B66" s="20" t="s">
        <v>310</v>
      </c>
      <c r="C66" s="20" t="s">
        <v>253</v>
      </c>
      <c r="D66">
        <v>0</v>
      </c>
      <c r="F66">
        <v>0</v>
      </c>
      <c r="G66">
        <v>0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 s="20" t="s">
        <v>2392</v>
      </c>
      <c r="R66" s="20" t="s">
        <v>2392</v>
      </c>
      <c r="S66" s="20" t="s">
        <v>2392</v>
      </c>
      <c r="T66" s="20" t="s">
        <v>2392</v>
      </c>
      <c r="U66" s="20" t="s">
        <v>2392</v>
      </c>
    </row>
    <row r="67" spans="1:21">
      <c r="A67">
        <v>123</v>
      </c>
      <c r="B67" s="20" t="s">
        <v>129</v>
      </c>
      <c r="C67" s="20" t="s">
        <v>129</v>
      </c>
      <c r="D67">
        <v>2</v>
      </c>
      <c r="E67">
        <v>4</v>
      </c>
      <c r="F67">
        <v>1</v>
      </c>
      <c r="G67">
        <v>0</v>
      </c>
      <c r="H67">
        <v>0</v>
      </c>
      <c r="I67">
        <v>1</v>
      </c>
      <c r="J67">
        <v>0</v>
      </c>
      <c r="K67">
        <v>2</v>
      </c>
      <c r="L67">
        <v>2</v>
      </c>
      <c r="M67">
        <v>2</v>
      </c>
      <c r="N67">
        <v>1</v>
      </c>
      <c r="O67">
        <v>0</v>
      </c>
      <c r="P67">
        <v>0</v>
      </c>
      <c r="Q67" s="20" t="s">
        <v>2392</v>
      </c>
      <c r="R67" s="20" t="s">
        <v>2392</v>
      </c>
      <c r="S67" s="20" t="s">
        <v>2392</v>
      </c>
      <c r="T67" s="20" t="s">
        <v>2392</v>
      </c>
      <c r="U67" s="20" t="s">
        <v>2392</v>
      </c>
    </row>
    <row r="68" spans="1:21">
      <c r="A68">
        <v>236</v>
      </c>
      <c r="B68" s="20" t="s">
        <v>145</v>
      </c>
      <c r="C68" s="20" t="s">
        <v>834</v>
      </c>
      <c r="D68">
        <v>1</v>
      </c>
      <c r="F68">
        <v>1</v>
      </c>
      <c r="G68">
        <v>0</v>
      </c>
      <c r="H68">
        <v>0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 s="20" t="s">
        <v>2392</v>
      </c>
      <c r="R68" s="20" t="s">
        <v>2392</v>
      </c>
      <c r="S68" s="20" t="s">
        <v>184</v>
      </c>
      <c r="T68" s="20" t="s">
        <v>2446</v>
      </c>
      <c r="U68" s="20" t="s">
        <v>2392</v>
      </c>
    </row>
    <row r="69" spans="1:21">
      <c r="A69">
        <v>94</v>
      </c>
      <c r="B69" s="20" t="s">
        <v>235</v>
      </c>
      <c r="C69" s="20" t="s">
        <v>367</v>
      </c>
      <c r="D69">
        <v>0</v>
      </c>
      <c r="F69">
        <v>0</v>
      </c>
      <c r="G69">
        <v>0</v>
      </c>
      <c r="H69">
        <v>1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 s="20" t="s">
        <v>2392</v>
      </c>
      <c r="R69" s="20" t="s">
        <v>2392</v>
      </c>
      <c r="S69" s="20" t="s">
        <v>2392</v>
      </c>
      <c r="T69" s="20" t="s">
        <v>2392</v>
      </c>
      <c r="U69" s="20" t="s">
        <v>2392</v>
      </c>
    </row>
    <row r="70" spans="1:21">
      <c r="A70">
        <v>239</v>
      </c>
      <c r="B70" s="20" t="s">
        <v>311</v>
      </c>
      <c r="C70" s="20" t="s">
        <v>306</v>
      </c>
      <c r="D70">
        <v>0</v>
      </c>
      <c r="F70">
        <v>0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 s="20" t="s">
        <v>2447</v>
      </c>
      <c r="R70" s="20" t="s">
        <v>2392</v>
      </c>
      <c r="S70" s="20" t="s">
        <v>2392</v>
      </c>
      <c r="T70" s="20" t="s">
        <v>2392</v>
      </c>
      <c r="U70" s="20" t="s">
        <v>2448</v>
      </c>
    </row>
    <row r="71" spans="1:21">
      <c r="A71">
        <v>238</v>
      </c>
      <c r="B71" s="20" t="s">
        <v>236</v>
      </c>
      <c r="C71" s="20" t="s">
        <v>351</v>
      </c>
      <c r="D71">
        <v>0</v>
      </c>
      <c r="F71">
        <v>0</v>
      </c>
      <c r="G71">
        <v>0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 s="20" t="s">
        <v>2392</v>
      </c>
      <c r="R71" s="20" t="s">
        <v>2392</v>
      </c>
      <c r="S71" s="20" t="s">
        <v>2392</v>
      </c>
      <c r="T71" s="20" t="s">
        <v>2392</v>
      </c>
      <c r="U71" s="20" t="s">
        <v>2392</v>
      </c>
    </row>
    <row r="72" spans="1:21">
      <c r="A72">
        <v>216</v>
      </c>
      <c r="B72" s="20" t="s">
        <v>312</v>
      </c>
      <c r="C72" s="20" t="s">
        <v>367</v>
      </c>
      <c r="D72">
        <v>1</v>
      </c>
      <c r="F72">
        <v>1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 s="20" t="s">
        <v>2392</v>
      </c>
      <c r="R72" s="20" t="s">
        <v>2392</v>
      </c>
      <c r="S72" s="20" t="s">
        <v>2392</v>
      </c>
      <c r="T72" s="20" t="s">
        <v>2392</v>
      </c>
      <c r="U72" s="20" t="s">
        <v>2449</v>
      </c>
    </row>
    <row r="73" spans="1:21">
      <c r="A73">
        <v>232</v>
      </c>
      <c r="B73" s="20" t="s">
        <v>313</v>
      </c>
      <c r="C73" s="20" t="s">
        <v>300</v>
      </c>
      <c r="D73">
        <v>1</v>
      </c>
      <c r="F73">
        <v>1</v>
      </c>
      <c r="G73">
        <v>0</v>
      </c>
      <c r="H73">
        <v>0</v>
      </c>
      <c r="I73">
        <v>1</v>
      </c>
      <c r="J73">
        <v>0</v>
      </c>
      <c r="K73">
        <v>1</v>
      </c>
      <c r="L73">
        <v>1</v>
      </c>
      <c r="M73">
        <v>1</v>
      </c>
      <c r="N73">
        <v>2</v>
      </c>
      <c r="O73">
        <v>0</v>
      </c>
      <c r="P73">
        <v>0</v>
      </c>
      <c r="Q73" s="20" t="s">
        <v>2392</v>
      </c>
      <c r="R73" s="20" t="s">
        <v>2392</v>
      </c>
      <c r="S73" s="20" t="s">
        <v>2392</v>
      </c>
      <c r="T73" s="20" t="s">
        <v>2392</v>
      </c>
      <c r="U73" s="20" t="s">
        <v>2450</v>
      </c>
    </row>
    <row r="74" spans="1:21">
      <c r="A74">
        <v>69</v>
      </c>
      <c r="B74" s="20" t="s">
        <v>190</v>
      </c>
      <c r="C74" s="20" t="s">
        <v>190</v>
      </c>
      <c r="D74">
        <v>2</v>
      </c>
      <c r="F74">
        <v>1</v>
      </c>
      <c r="G74">
        <v>0</v>
      </c>
      <c r="H74">
        <v>0</v>
      </c>
      <c r="I74">
        <v>1</v>
      </c>
      <c r="J74">
        <v>0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 s="20" t="s">
        <v>2392</v>
      </c>
      <c r="R74" s="20" t="s">
        <v>2392</v>
      </c>
      <c r="S74" s="20" t="s">
        <v>2392</v>
      </c>
      <c r="T74" s="20" t="s">
        <v>2392</v>
      </c>
      <c r="U74" s="20" t="s">
        <v>2392</v>
      </c>
    </row>
    <row r="75" spans="1:21">
      <c r="A75">
        <v>199</v>
      </c>
      <c r="B75" s="20" t="s">
        <v>74</v>
      </c>
      <c r="C75" s="20" t="s">
        <v>112</v>
      </c>
      <c r="D75">
        <v>0</v>
      </c>
      <c r="F75">
        <v>0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 s="20" t="s">
        <v>2398</v>
      </c>
      <c r="R75" s="20" t="s">
        <v>2392</v>
      </c>
      <c r="S75" s="20" t="s">
        <v>2392</v>
      </c>
      <c r="T75" s="20" t="s">
        <v>2392</v>
      </c>
      <c r="U75" s="20" t="s">
        <v>2392</v>
      </c>
    </row>
    <row r="76" spans="1:21">
      <c r="A76">
        <v>312</v>
      </c>
      <c r="B76" s="20" t="s">
        <v>314</v>
      </c>
      <c r="C76" s="20" t="s">
        <v>2451</v>
      </c>
      <c r="D76">
        <v>0</v>
      </c>
      <c r="F76">
        <v>0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 s="20" t="s">
        <v>2392</v>
      </c>
      <c r="R76" s="20" t="s">
        <v>2392</v>
      </c>
      <c r="S76" s="20" t="s">
        <v>2392</v>
      </c>
      <c r="T76" s="20" t="s">
        <v>2392</v>
      </c>
      <c r="U76" s="20" t="s">
        <v>2392</v>
      </c>
    </row>
    <row r="77" spans="1:21">
      <c r="A77">
        <v>70</v>
      </c>
      <c r="B77" s="20" t="s">
        <v>315</v>
      </c>
      <c r="C77" s="20" t="s">
        <v>315</v>
      </c>
      <c r="D77">
        <v>3</v>
      </c>
      <c r="F77">
        <v>1</v>
      </c>
      <c r="G77">
        <v>0</v>
      </c>
      <c r="H77">
        <v>0</v>
      </c>
      <c r="I77">
        <v>1</v>
      </c>
      <c r="J77">
        <v>0</v>
      </c>
      <c r="K77">
        <v>3</v>
      </c>
      <c r="L77">
        <v>3</v>
      </c>
      <c r="M77">
        <v>0</v>
      </c>
      <c r="N77">
        <v>3</v>
      </c>
      <c r="O77">
        <v>0</v>
      </c>
      <c r="P77">
        <v>0</v>
      </c>
      <c r="Q77" s="20" t="s">
        <v>2392</v>
      </c>
      <c r="R77" s="20" t="s">
        <v>2392</v>
      </c>
      <c r="S77" s="20" t="s">
        <v>2392</v>
      </c>
      <c r="T77" s="20" t="s">
        <v>2392</v>
      </c>
      <c r="U77" s="20" t="s">
        <v>2392</v>
      </c>
    </row>
    <row r="78" spans="1:21">
      <c r="A78">
        <v>190</v>
      </c>
      <c r="B78" s="20" t="s">
        <v>105</v>
      </c>
      <c r="C78" s="20" t="s">
        <v>2162</v>
      </c>
      <c r="D78">
        <v>1</v>
      </c>
      <c r="E78">
        <v>4</v>
      </c>
      <c r="F78">
        <v>1</v>
      </c>
      <c r="G78">
        <v>0</v>
      </c>
      <c r="H78">
        <v>0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 s="20" t="s">
        <v>2392</v>
      </c>
      <c r="R78" s="20" t="s">
        <v>2442</v>
      </c>
      <c r="S78" s="20" t="s">
        <v>2392</v>
      </c>
      <c r="T78" s="20" t="s">
        <v>2392</v>
      </c>
      <c r="U78" s="20" t="s">
        <v>2392</v>
      </c>
    </row>
    <row r="79" spans="1:21">
      <c r="A79">
        <v>155</v>
      </c>
      <c r="B79" s="20" t="s">
        <v>263</v>
      </c>
      <c r="C79" s="20" t="s">
        <v>386</v>
      </c>
      <c r="D79">
        <v>0</v>
      </c>
      <c r="E79">
        <v>2</v>
      </c>
      <c r="F79">
        <v>0</v>
      </c>
      <c r="G79">
        <v>0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 s="20" t="s">
        <v>2392</v>
      </c>
      <c r="R79" s="20" t="s">
        <v>2392</v>
      </c>
      <c r="S79" s="20" t="s">
        <v>2392</v>
      </c>
      <c r="T79" s="20" t="s">
        <v>2392</v>
      </c>
      <c r="U79" s="20" t="s">
        <v>2452</v>
      </c>
    </row>
    <row r="80" spans="1:21">
      <c r="A80">
        <v>148</v>
      </c>
      <c r="B80" s="20" t="s">
        <v>75</v>
      </c>
      <c r="C80" s="20" t="s">
        <v>820</v>
      </c>
      <c r="D80">
        <v>0</v>
      </c>
      <c r="F80">
        <v>0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3</v>
      </c>
      <c r="N80">
        <v>0</v>
      </c>
      <c r="O80">
        <v>0</v>
      </c>
      <c r="P80">
        <v>1</v>
      </c>
      <c r="Q80" s="20" t="s">
        <v>2453</v>
      </c>
      <c r="R80" s="20" t="s">
        <v>2392</v>
      </c>
      <c r="S80" s="20" t="s">
        <v>2392</v>
      </c>
      <c r="T80" s="20" t="s">
        <v>2392</v>
      </c>
      <c r="U80" s="20" t="s">
        <v>2392</v>
      </c>
    </row>
    <row r="81" spans="1:21">
      <c r="A81">
        <v>82</v>
      </c>
      <c r="B81" s="20" t="s">
        <v>130</v>
      </c>
      <c r="C81" s="20" t="s">
        <v>820</v>
      </c>
      <c r="D81">
        <v>3</v>
      </c>
      <c r="E81">
        <v>1</v>
      </c>
      <c r="F81">
        <v>1</v>
      </c>
      <c r="G81">
        <v>0</v>
      </c>
      <c r="H81">
        <v>0</v>
      </c>
      <c r="I81">
        <v>1</v>
      </c>
      <c r="J81">
        <v>0</v>
      </c>
      <c r="K81">
        <v>3</v>
      </c>
      <c r="L81">
        <v>3</v>
      </c>
      <c r="M81">
        <v>0</v>
      </c>
      <c r="N81">
        <v>0</v>
      </c>
      <c r="O81">
        <v>0</v>
      </c>
      <c r="P81">
        <v>0</v>
      </c>
      <c r="Q81" s="20" t="s">
        <v>2392</v>
      </c>
      <c r="R81" s="20" t="s">
        <v>2392</v>
      </c>
      <c r="S81" s="20" t="s">
        <v>2392</v>
      </c>
      <c r="T81" s="20" t="s">
        <v>2392</v>
      </c>
      <c r="U81" s="20" t="s">
        <v>2392</v>
      </c>
    </row>
    <row r="82" spans="1:21">
      <c r="A82">
        <v>582</v>
      </c>
      <c r="B82" s="20" t="s">
        <v>76</v>
      </c>
      <c r="C82" s="20" t="s">
        <v>820</v>
      </c>
      <c r="D82">
        <v>0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 s="20" t="s">
        <v>2453</v>
      </c>
      <c r="R82" s="20" t="s">
        <v>2392</v>
      </c>
      <c r="S82" s="20" t="s">
        <v>2392</v>
      </c>
      <c r="T82" s="20" t="s">
        <v>2392</v>
      </c>
      <c r="U82" s="20" t="s">
        <v>2392</v>
      </c>
    </row>
    <row r="83" spans="1:21">
      <c r="A83">
        <v>111</v>
      </c>
      <c r="B83" s="20" t="s">
        <v>77</v>
      </c>
      <c r="C83" s="20" t="s">
        <v>77</v>
      </c>
      <c r="D83">
        <v>2</v>
      </c>
      <c r="E83">
        <v>2</v>
      </c>
      <c r="F83">
        <v>1</v>
      </c>
      <c r="G83">
        <v>0</v>
      </c>
      <c r="H83">
        <v>0</v>
      </c>
      <c r="I83">
        <v>1</v>
      </c>
      <c r="J83">
        <v>0</v>
      </c>
      <c r="K83">
        <v>2</v>
      </c>
      <c r="L83">
        <v>2</v>
      </c>
      <c r="M83">
        <v>2</v>
      </c>
      <c r="N83">
        <v>2</v>
      </c>
      <c r="O83">
        <v>0</v>
      </c>
      <c r="P83">
        <v>0</v>
      </c>
      <c r="Q83" s="20" t="s">
        <v>2392</v>
      </c>
      <c r="R83" s="20" t="s">
        <v>2392</v>
      </c>
      <c r="S83" s="20" t="s">
        <v>2392</v>
      </c>
      <c r="T83" s="20" t="s">
        <v>2392</v>
      </c>
      <c r="U83" s="20" t="s">
        <v>2392</v>
      </c>
    </row>
    <row r="84" spans="1:21">
      <c r="A84">
        <v>41</v>
      </c>
      <c r="B84" s="20" t="s">
        <v>279</v>
      </c>
      <c r="C84" s="20" t="s">
        <v>279</v>
      </c>
      <c r="D84">
        <v>2</v>
      </c>
      <c r="E84">
        <v>4</v>
      </c>
      <c r="F84">
        <v>1</v>
      </c>
      <c r="G84">
        <v>0</v>
      </c>
      <c r="H84">
        <v>0</v>
      </c>
      <c r="I84">
        <v>1</v>
      </c>
      <c r="J84">
        <v>0</v>
      </c>
      <c r="K84">
        <v>2</v>
      </c>
      <c r="L84">
        <v>2</v>
      </c>
      <c r="M84">
        <v>2</v>
      </c>
      <c r="N84">
        <v>2</v>
      </c>
      <c r="O84">
        <v>0</v>
      </c>
      <c r="P84">
        <v>0</v>
      </c>
      <c r="Q84" s="20" t="s">
        <v>2392</v>
      </c>
      <c r="R84" s="20" t="s">
        <v>2392</v>
      </c>
      <c r="S84" s="20" t="s">
        <v>2392</v>
      </c>
      <c r="T84" s="20" t="s">
        <v>2392</v>
      </c>
      <c r="U84" s="20" t="s">
        <v>2392</v>
      </c>
    </row>
    <row r="85" spans="1:21">
      <c r="A85">
        <v>224</v>
      </c>
      <c r="B85" s="20" t="s">
        <v>264</v>
      </c>
      <c r="C85" s="20" t="s">
        <v>204</v>
      </c>
      <c r="D85">
        <v>0</v>
      </c>
      <c r="E85">
        <v>2</v>
      </c>
      <c r="F85">
        <v>0</v>
      </c>
      <c r="G85">
        <v>1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 s="20" t="s">
        <v>2454</v>
      </c>
      <c r="R85" s="20" t="s">
        <v>2392</v>
      </c>
      <c r="S85" s="20" t="s">
        <v>2392</v>
      </c>
      <c r="T85" s="20" t="s">
        <v>2392</v>
      </c>
      <c r="U85" s="20" t="s">
        <v>2392</v>
      </c>
    </row>
    <row r="86" spans="1:21">
      <c r="A86">
        <v>237</v>
      </c>
      <c r="B86" s="20" t="s">
        <v>275</v>
      </c>
      <c r="C86" s="20" t="s">
        <v>39</v>
      </c>
      <c r="D86">
        <v>1</v>
      </c>
      <c r="E86">
        <v>3</v>
      </c>
      <c r="F86">
        <v>1</v>
      </c>
      <c r="G86">
        <v>0</v>
      </c>
      <c r="H86">
        <v>0</v>
      </c>
      <c r="I86">
        <v>1</v>
      </c>
      <c r="J86">
        <v>0</v>
      </c>
      <c r="K86">
        <v>10</v>
      </c>
      <c r="L86">
        <v>1</v>
      </c>
      <c r="M86">
        <v>1</v>
      </c>
      <c r="N86">
        <v>1</v>
      </c>
      <c r="O86">
        <v>0</v>
      </c>
      <c r="P86">
        <v>0</v>
      </c>
      <c r="Q86" s="20" t="s">
        <v>2392</v>
      </c>
      <c r="R86" s="20" t="s">
        <v>2392</v>
      </c>
      <c r="S86" s="20" t="s">
        <v>2392</v>
      </c>
      <c r="T86" s="20" t="s">
        <v>2392</v>
      </c>
      <c r="U86" s="20" t="s">
        <v>2455</v>
      </c>
    </row>
    <row r="87" spans="1:21">
      <c r="A87">
        <v>304</v>
      </c>
      <c r="B87" s="20" t="s">
        <v>280</v>
      </c>
      <c r="C87" s="20" t="s">
        <v>2436</v>
      </c>
      <c r="D87">
        <v>0</v>
      </c>
      <c r="E87">
        <v>4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 s="20" t="s">
        <v>2392</v>
      </c>
      <c r="R87" s="20" t="s">
        <v>2392</v>
      </c>
      <c r="S87" s="20" t="s">
        <v>2392</v>
      </c>
      <c r="T87" s="20" t="s">
        <v>2392</v>
      </c>
      <c r="U87" s="20" t="s">
        <v>2456</v>
      </c>
    </row>
    <row r="88" spans="1:21">
      <c r="A88">
        <v>338</v>
      </c>
      <c r="B88" s="20" t="s">
        <v>284</v>
      </c>
      <c r="C88" s="20" t="s">
        <v>2436</v>
      </c>
      <c r="D88">
        <v>0</v>
      </c>
      <c r="E88">
        <v>4</v>
      </c>
      <c r="F88">
        <v>0</v>
      </c>
      <c r="G88">
        <v>0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 s="20" t="s">
        <v>2392</v>
      </c>
      <c r="R88" s="20" t="s">
        <v>2392</v>
      </c>
      <c r="S88" s="20" t="s">
        <v>2392</v>
      </c>
      <c r="T88" s="20" t="s">
        <v>2392</v>
      </c>
      <c r="U88" s="20" t="s">
        <v>2456</v>
      </c>
    </row>
    <row r="89" spans="1:21">
      <c r="A89">
        <v>208</v>
      </c>
      <c r="B89" s="20" t="s">
        <v>121</v>
      </c>
      <c r="C89" s="20" t="s">
        <v>291</v>
      </c>
      <c r="D89">
        <v>1</v>
      </c>
      <c r="F89">
        <v>1</v>
      </c>
      <c r="G89">
        <v>0</v>
      </c>
      <c r="H89">
        <v>0</v>
      </c>
      <c r="I89">
        <v>1</v>
      </c>
      <c r="J89">
        <v>0</v>
      </c>
      <c r="K89">
        <v>1</v>
      </c>
      <c r="L89">
        <v>1</v>
      </c>
      <c r="M89">
        <v>1</v>
      </c>
      <c r="N89">
        <v>1</v>
      </c>
      <c r="O89">
        <v>0</v>
      </c>
      <c r="P89">
        <v>0</v>
      </c>
      <c r="Q89" s="20" t="s">
        <v>2392</v>
      </c>
      <c r="R89" s="20" t="s">
        <v>2392</v>
      </c>
      <c r="S89" s="20" t="s">
        <v>184</v>
      </c>
      <c r="T89" s="20" t="s">
        <v>2416</v>
      </c>
      <c r="U89" s="20" t="s">
        <v>2457</v>
      </c>
    </row>
    <row r="90" spans="1:21">
      <c r="A90">
        <v>263</v>
      </c>
      <c r="B90" s="20" t="s">
        <v>316</v>
      </c>
      <c r="C90" s="20" t="s">
        <v>315</v>
      </c>
      <c r="D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 s="20" t="s">
        <v>2392</v>
      </c>
      <c r="R90" s="20" t="s">
        <v>2392</v>
      </c>
      <c r="S90" s="20" t="s">
        <v>2392</v>
      </c>
      <c r="T90" s="20" t="s">
        <v>2392</v>
      </c>
      <c r="U90" s="20" t="s">
        <v>2392</v>
      </c>
    </row>
    <row r="91" spans="1:21">
      <c r="A91">
        <v>9</v>
      </c>
      <c r="B91" s="20" t="s">
        <v>78</v>
      </c>
      <c r="C91" s="20" t="s">
        <v>78</v>
      </c>
      <c r="D91">
        <v>2</v>
      </c>
      <c r="F91">
        <v>1</v>
      </c>
      <c r="G91">
        <v>0</v>
      </c>
      <c r="H91">
        <v>0</v>
      </c>
      <c r="I91">
        <v>1</v>
      </c>
      <c r="J91">
        <v>0</v>
      </c>
      <c r="K91">
        <v>2</v>
      </c>
      <c r="L91">
        <v>2</v>
      </c>
      <c r="M91">
        <v>2</v>
      </c>
      <c r="N91">
        <v>2</v>
      </c>
      <c r="O91">
        <v>0</v>
      </c>
      <c r="P91">
        <v>0</v>
      </c>
      <c r="Q91" s="20" t="s">
        <v>2392</v>
      </c>
      <c r="R91" s="20" t="s">
        <v>2392</v>
      </c>
      <c r="S91" s="20" t="s">
        <v>2392</v>
      </c>
      <c r="T91" s="20" t="s">
        <v>2392</v>
      </c>
      <c r="U91" s="20" t="s">
        <v>2392</v>
      </c>
    </row>
    <row r="92" spans="1:21">
      <c r="A92">
        <v>34</v>
      </c>
      <c r="B92" s="20" t="s">
        <v>317</v>
      </c>
      <c r="C92" s="20" t="s">
        <v>317</v>
      </c>
      <c r="D92">
        <v>2</v>
      </c>
      <c r="F92">
        <v>1</v>
      </c>
      <c r="G92">
        <v>0</v>
      </c>
      <c r="H92">
        <v>0</v>
      </c>
      <c r="I92">
        <v>1</v>
      </c>
      <c r="J92">
        <v>0</v>
      </c>
      <c r="K92">
        <v>2</v>
      </c>
      <c r="L92">
        <v>2</v>
      </c>
      <c r="M92">
        <v>2</v>
      </c>
      <c r="N92">
        <v>2</v>
      </c>
      <c r="O92">
        <v>0</v>
      </c>
      <c r="P92">
        <v>0</v>
      </c>
      <c r="Q92" s="20" t="s">
        <v>2392</v>
      </c>
      <c r="R92" s="20" t="s">
        <v>2392</v>
      </c>
      <c r="S92" s="20" t="s">
        <v>2392</v>
      </c>
      <c r="T92" s="20" t="s">
        <v>2392</v>
      </c>
      <c r="U92" s="20" t="s">
        <v>2392</v>
      </c>
    </row>
    <row r="93" spans="1:21">
      <c r="A93">
        <v>57</v>
      </c>
      <c r="B93" s="20" t="s">
        <v>201</v>
      </c>
      <c r="C93" s="20" t="s">
        <v>201</v>
      </c>
      <c r="D93">
        <v>5</v>
      </c>
      <c r="E93">
        <v>1</v>
      </c>
      <c r="F93">
        <v>1</v>
      </c>
      <c r="G93">
        <v>0</v>
      </c>
      <c r="H93">
        <v>0</v>
      </c>
      <c r="I93">
        <v>1</v>
      </c>
      <c r="J93">
        <v>0</v>
      </c>
      <c r="K93">
        <v>5</v>
      </c>
      <c r="L93">
        <v>5</v>
      </c>
      <c r="M93">
        <v>5</v>
      </c>
      <c r="N93">
        <v>5</v>
      </c>
      <c r="O93">
        <v>0</v>
      </c>
      <c r="P93">
        <v>0</v>
      </c>
      <c r="Q93" s="20" t="s">
        <v>2392</v>
      </c>
      <c r="R93" s="20" t="s">
        <v>2392</v>
      </c>
      <c r="S93" s="20" t="s">
        <v>2392</v>
      </c>
      <c r="T93" s="20" t="s">
        <v>2392</v>
      </c>
      <c r="U93" s="20" t="s">
        <v>2392</v>
      </c>
    </row>
    <row r="94" spans="1:21">
      <c r="A94">
        <v>15</v>
      </c>
      <c r="B94" s="20" t="s">
        <v>221</v>
      </c>
      <c r="C94" s="20" t="s">
        <v>309</v>
      </c>
      <c r="D94">
        <v>0</v>
      </c>
      <c r="E94">
        <v>2</v>
      </c>
      <c r="F94">
        <v>0</v>
      </c>
      <c r="G94">
        <v>0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2</v>
      </c>
      <c r="O94">
        <v>1</v>
      </c>
      <c r="P94">
        <v>0</v>
      </c>
      <c r="Q94" s="20" t="s">
        <v>2392</v>
      </c>
      <c r="R94" s="20" t="s">
        <v>2392</v>
      </c>
      <c r="S94" s="20" t="s">
        <v>2392</v>
      </c>
      <c r="T94" s="20" t="s">
        <v>2392</v>
      </c>
      <c r="U94" s="20" t="s">
        <v>2392</v>
      </c>
    </row>
    <row r="95" spans="1:21">
      <c r="A95">
        <v>29</v>
      </c>
      <c r="B95" s="20" t="s">
        <v>202</v>
      </c>
      <c r="C95" s="20" t="s">
        <v>202</v>
      </c>
      <c r="D95">
        <v>3</v>
      </c>
      <c r="E95">
        <v>1</v>
      </c>
      <c r="F95">
        <v>1</v>
      </c>
      <c r="G95">
        <v>0</v>
      </c>
      <c r="H95">
        <v>0</v>
      </c>
      <c r="I95">
        <v>1</v>
      </c>
      <c r="J95">
        <v>0</v>
      </c>
      <c r="K95">
        <v>3</v>
      </c>
      <c r="L95">
        <v>3</v>
      </c>
      <c r="M95">
        <v>3</v>
      </c>
      <c r="N95">
        <v>1</v>
      </c>
      <c r="O95">
        <v>0</v>
      </c>
      <c r="P95">
        <v>0</v>
      </c>
      <c r="Q95" s="20" t="s">
        <v>2392</v>
      </c>
      <c r="R95" s="20" t="s">
        <v>2392</v>
      </c>
      <c r="S95" s="20" t="s">
        <v>2392</v>
      </c>
      <c r="T95" s="20" t="s">
        <v>2392</v>
      </c>
      <c r="U95" s="20" t="s">
        <v>2392</v>
      </c>
    </row>
    <row r="96" spans="1:21">
      <c r="A96">
        <v>205</v>
      </c>
      <c r="B96" s="20" t="s">
        <v>318</v>
      </c>
      <c r="C96" s="20" t="s">
        <v>356</v>
      </c>
      <c r="D96">
        <v>0</v>
      </c>
      <c r="F96">
        <v>0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 s="20" t="s">
        <v>2392</v>
      </c>
      <c r="R96" s="20" t="s">
        <v>2392</v>
      </c>
      <c r="S96" s="20" t="s">
        <v>2392</v>
      </c>
      <c r="T96" s="20" t="s">
        <v>2392</v>
      </c>
      <c r="U96" s="20" t="s">
        <v>2392</v>
      </c>
    </row>
    <row r="97" spans="1:21">
      <c r="A97">
        <v>209</v>
      </c>
      <c r="B97" s="20" t="s">
        <v>319</v>
      </c>
      <c r="C97" s="20" t="s">
        <v>300</v>
      </c>
      <c r="D97">
        <v>0</v>
      </c>
      <c r="F97">
        <v>0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 s="20" t="s">
        <v>2392</v>
      </c>
      <c r="R97" s="20" t="s">
        <v>2392</v>
      </c>
      <c r="S97" s="20" t="s">
        <v>2392</v>
      </c>
      <c r="T97" s="20" t="s">
        <v>2392</v>
      </c>
      <c r="U97" s="20" t="s">
        <v>2458</v>
      </c>
    </row>
    <row r="98" spans="1:21">
      <c r="A98">
        <v>212</v>
      </c>
      <c r="B98" s="20" t="s">
        <v>237</v>
      </c>
      <c r="C98" s="20" t="s">
        <v>300</v>
      </c>
      <c r="D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 s="20" t="s">
        <v>2392</v>
      </c>
      <c r="R98" s="20" t="s">
        <v>2392</v>
      </c>
      <c r="S98" s="20" t="s">
        <v>2392</v>
      </c>
      <c r="T98" s="20" t="s">
        <v>2392</v>
      </c>
      <c r="U98" s="20" t="s">
        <v>2458</v>
      </c>
    </row>
    <row r="99" spans="1:21">
      <c r="A99">
        <v>213</v>
      </c>
      <c r="B99" s="20" t="s">
        <v>238</v>
      </c>
      <c r="C99" s="20" t="s">
        <v>300</v>
      </c>
      <c r="D99">
        <v>0</v>
      </c>
      <c r="F99">
        <v>0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 s="20" t="s">
        <v>2392</v>
      </c>
      <c r="R99" s="20" t="s">
        <v>2392</v>
      </c>
      <c r="S99" s="20" t="s">
        <v>2392</v>
      </c>
      <c r="T99" s="20" t="s">
        <v>2392</v>
      </c>
      <c r="U99" s="20" t="s">
        <v>2459</v>
      </c>
    </row>
    <row r="100" spans="1:21">
      <c r="A100">
        <v>226</v>
      </c>
      <c r="B100" s="20" t="s">
        <v>239</v>
      </c>
      <c r="C100" s="20" t="s">
        <v>300</v>
      </c>
      <c r="D100">
        <v>0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 s="20" t="s">
        <v>2392</v>
      </c>
      <c r="R100" s="20" t="s">
        <v>2392</v>
      </c>
      <c r="S100" s="20" t="s">
        <v>2392</v>
      </c>
      <c r="T100" s="20" t="s">
        <v>2392</v>
      </c>
      <c r="U100" s="20" t="s">
        <v>2459</v>
      </c>
    </row>
    <row r="101" spans="1:21">
      <c r="A101">
        <v>283</v>
      </c>
      <c r="B101" s="20" t="s">
        <v>240</v>
      </c>
      <c r="C101" s="20" t="s">
        <v>300</v>
      </c>
      <c r="D101">
        <v>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 s="20" t="s">
        <v>2392</v>
      </c>
      <c r="R101" s="20" t="s">
        <v>2392</v>
      </c>
      <c r="S101" s="20" t="s">
        <v>2392</v>
      </c>
      <c r="T101" s="20" t="s">
        <v>2392</v>
      </c>
      <c r="U101" s="20" t="s">
        <v>2458</v>
      </c>
    </row>
    <row r="102" spans="1:21">
      <c r="A102">
        <v>260</v>
      </c>
      <c r="B102" s="20" t="s">
        <v>320</v>
      </c>
      <c r="C102" s="20" t="s">
        <v>300</v>
      </c>
      <c r="D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 s="20" t="s">
        <v>2392</v>
      </c>
      <c r="R102" s="20" t="s">
        <v>2392</v>
      </c>
      <c r="S102" s="20" t="s">
        <v>2392</v>
      </c>
      <c r="T102" s="20" t="s">
        <v>2392</v>
      </c>
      <c r="U102" s="20" t="s">
        <v>2458</v>
      </c>
    </row>
    <row r="103" spans="1:21">
      <c r="A103">
        <v>273</v>
      </c>
      <c r="B103" s="20" t="s">
        <v>321</v>
      </c>
      <c r="C103" s="20" t="s">
        <v>300</v>
      </c>
      <c r="D103">
        <v>0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 s="20" t="s">
        <v>2392</v>
      </c>
      <c r="R103" s="20" t="s">
        <v>2392</v>
      </c>
      <c r="S103" s="20" t="s">
        <v>2392</v>
      </c>
      <c r="T103" s="20" t="s">
        <v>2392</v>
      </c>
      <c r="U103" s="20" t="s">
        <v>2458</v>
      </c>
    </row>
    <row r="104" spans="1:21">
      <c r="A104">
        <v>274</v>
      </c>
      <c r="B104" s="20" t="s">
        <v>322</v>
      </c>
      <c r="C104" s="20" t="s">
        <v>300</v>
      </c>
      <c r="D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 s="20" t="s">
        <v>2392</v>
      </c>
      <c r="R104" s="20" t="s">
        <v>2392</v>
      </c>
      <c r="S104" s="20" t="s">
        <v>2392</v>
      </c>
      <c r="T104" s="20" t="s">
        <v>2392</v>
      </c>
      <c r="U104" s="20" t="s">
        <v>2458</v>
      </c>
    </row>
    <row r="105" spans="1:21">
      <c r="A105">
        <v>275</v>
      </c>
      <c r="B105" s="20" t="s">
        <v>241</v>
      </c>
      <c r="C105" s="20" t="s">
        <v>300</v>
      </c>
      <c r="D105">
        <v>0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 s="20" t="s">
        <v>2392</v>
      </c>
      <c r="R105" s="20" t="s">
        <v>2392</v>
      </c>
      <c r="S105" s="20" t="s">
        <v>2392</v>
      </c>
      <c r="T105" s="20" t="s">
        <v>2392</v>
      </c>
      <c r="U105" s="20" t="s">
        <v>2458</v>
      </c>
    </row>
    <row r="106" spans="1:21">
      <c r="A106">
        <v>284</v>
      </c>
      <c r="B106" s="20" t="s">
        <v>323</v>
      </c>
      <c r="C106" s="20" t="s">
        <v>300</v>
      </c>
      <c r="D106">
        <v>0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 s="20" t="s">
        <v>2392</v>
      </c>
      <c r="R106" s="20" t="s">
        <v>2392</v>
      </c>
      <c r="S106" s="20" t="s">
        <v>2392</v>
      </c>
      <c r="T106" s="20" t="s">
        <v>2392</v>
      </c>
      <c r="U106" s="20" t="s">
        <v>2392</v>
      </c>
    </row>
    <row r="107" spans="1:21">
      <c r="A107">
        <v>207</v>
      </c>
      <c r="B107" s="20" t="s">
        <v>203</v>
      </c>
      <c r="C107" s="20" t="s">
        <v>2161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 s="20" t="s">
        <v>2392</v>
      </c>
      <c r="R107" s="20" t="s">
        <v>2392</v>
      </c>
      <c r="S107" s="20" t="s">
        <v>2392</v>
      </c>
      <c r="T107" s="20" t="s">
        <v>2392</v>
      </c>
      <c r="U107" s="20" t="s">
        <v>2392</v>
      </c>
    </row>
    <row r="108" spans="1:21">
      <c r="A108">
        <v>1</v>
      </c>
      <c r="B108" s="20" t="s">
        <v>242</v>
      </c>
      <c r="C108" s="20" t="s">
        <v>2428</v>
      </c>
      <c r="D108">
        <v>0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 s="20" t="s">
        <v>2392</v>
      </c>
      <c r="R108" s="20" t="s">
        <v>2392</v>
      </c>
      <c r="S108" s="20" t="s">
        <v>2167</v>
      </c>
      <c r="T108" s="20" t="s">
        <v>2460</v>
      </c>
      <c r="U108" s="20" t="s">
        <v>2392</v>
      </c>
    </row>
    <row r="109" spans="1:21">
      <c r="A109">
        <v>59</v>
      </c>
      <c r="B109" s="20" t="s">
        <v>204</v>
      </c>
      <c r="C109" s="20" t="s">
        <v>204</v>
      </c>
      <c r="D109">
        <v>3</v>
      </c>
      <c r="E109">
        <v>1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3</v>
      </c>
      <c r="L109">
        <v>3</v>
      </c>
      <c r="M109">
        <v>3</v>
      </c>
      <c r="N109">
        <v>3</v>
      </c>
      <c r="O109">
        <v>0</v>
      </c>
      <c r="P109">
        <v>0</v>
      </c>
      <c r="Q109" s="20" t="s">
        <v>2392</v>
      </c>
      <c r="R109" s="20" t="s">
        <v>2392</v>
      </c>
      <c r="S109" s="20" t="s">
        <v>2392</v>
      </c>
      <c r="T109" s="20" t="s">
        <v>2392</v>
      </c>
      <c r="U109" s="20" t="s">
        <v>2392</v>
      </c>
    </row>
    <row r="110" spans="1:21">
      <c r="A110">
        <v>197</v>
      </c>
      <c r="B110" s="20" t="s">
        <v>276</v>
      </c>
      <c r="C110" s="20" t="s">
        <v>2414</v>
      </c>
      <c r="D110">
        <v>1</v>
      </c>
      <c r="E110">
        <v>3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2</v>
      </c>
      <c r="L110">
        <v>1</v>
      </c>
      <c r="M110">
        <v>1</v>
      </c>
      <c r="N110">
        <v>1</v>
      </c>
      <c r="O110">
        <v>0</v>
      </c>
      <c r="P110">
        <v>0</v>
      </c>
      <c r="Q110" s="20" t="s">
        <v>2392</v>
      </c>
      <c r="R110" s="20" t="s">
        <v>2392</v>
      </c>
      <c r="S110" s="20" t="s">
        <v>2392</v>
      </c>
      <c r="T110" s="20" t="s">
        <v>2392</v>
      </c>
      <c r="U110" s="20" t="s">
        <v>2392</v>
      </c>
    </row>
    <row r="111" spans="1:21">
      <c r="A111">
        <v>309</v>
      </c>
      <c r="B111" s="20" t="s">
        <v>79</v>
      </c>
      <c r="C111" s="20" t="s">
        <v>2461</v>
      </c>
      <c r="D111">
        <v>0</v>
      </c>
      <c r="F111">
        <v>0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 s="20" t="s">
        <v>2392</v>
      </c>
      <c r="R111" s="20" t="s">
        <v>2392</v>
      </c>
      <c r="S111" s="20" t="s">
        <v>2270</v>
      </c>
      <c r="T111" s="20" t="s">
        <v>2399</v>
      </c>
      <c r="U111" s="20" t="s">
        <v>2392</v>
      </c>
    </row>
    <row r="112" spans="1:21">
      <c r="A112">
        <v>136</v>
      </c>
      <c r="B112" s="20" t="s">
        <v>111</v>
      </c>
      <c r="C112" s="20" t="s">
        <v>111</v>
      </c>
      <c r="D112">
        <v>2</v>
      </c>
      <c r="E112">
        <v>4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2</v>
      </c>
      <c r="L112">
        <v>2</v>
      </c>
      <c r="M112">
        <v>2</v>
      </c>
      <c r="N112">
        <v>2</v>
      </c>
      <c r="O112">
        <v>0</v>
      </c>
      <c r="P112">
        <v>0</v>
      </c>
      <c r="Q112" s="20" t="s">
        <v>2392</v>
      </c>
      <c r="R112" s="20" t="s">
        <v>2392</v>
      </c>
      <c r="S112" s="20" t="s">
        <v>2392</v>
      </c>
      <c r="T112" s="20" t="s">
        <v>2392</v>
      </c>
      <c r="U112" s="20" t="s">
        <v>2392</v>
      </c>
    </row>
    <row r="113" spans="1:21">
      <c r="A113">
        <v>252</v>
      </c>
      <c r="B113" s="20" t="s">
        <v>324</v>
      </c>
      <c r="C113" s="20" t="s">
        <v>2434</v>
      </c>
      <c r="D113">
        <v>0</v>
      </c>
      <c r="F113">
        <v>0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 s="20" t="s">
        <v>2392</v>
      </c>
      <c r="R113" s="20" t="s">
        <v>2392</v>
      </c>
      <c r="S113" s="20" t="s">
        <v>2392</v>
      </c>
      <c r="T113" s="20" t="s">
        <v>2392</v>
      </c>
      <c r="U113" s="20" t="s">
        <v>2392</v>
      </c>
    </row>
    <row r="114" spans="1:21">
      <c r="A114">
        <v>225</v>
      </c>
      <c r="B114" s="20" t="s">
        <v>243</v>
      </c>
      <c r="C114" s="20" t="s">
        <v>197</v>
      </c>
      <c r="D114">
        <v>0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 s="20" t="s">
        <v>2462</v>
      </c>
      <c r="R114" s="20" t="s">
        <v>2392</v>
      </c>
      <c r="S114" s="20" t="s">
        <v>2392</v>
      </c>
      <c r="T114" s="20" t="s">
        <v>2392</v>
      </c>
      <c r="U114" s="20" t="s">
        <v>2392</v>
      </c>
    </row>
    <row r="115" spans="1:21">
      <c r="A115">
        <v>171</v>
      </c>
      <c r="B115" s="20" t="s">
        <v>205</v>
      </c>
      <c r="C115" s="20" t="s">
        <v>192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 s="20" t="s">
        <v>2392</v>
      </c>
      <c r="R115" s="20" t="s">
        <v>2392</v>
      </c>
      <c r="S115" s="20" t="s">
        <v>2392</v>
      </c>
      <c r="T115" s="20" t="s">
        <v>2392</v>
      </c>
      <c r="U115" s="20" t="s">
        <v>2392</v>
      </c>
    </row>
    <row r="116" spans="1:21">
      <c r="A116">
        <v>44</v>
      </c>
      <c r="B116" s="20" t="s">
        <v>325</v>
      </c>
      <c r="C116" s="20" t="s">
        <v>325</v>
      </c>
      <c r="D116">
        <v>3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3</v>
      </c>
      <c r="L116">
        <v>3</v>
      </c>
      <c r="M116">
        <v>3</v>
      </c>
      <c r="N116">
        <v>0</v>
      </c>
      <c r="O116">
        <v>0</v>
      </c>
      <c r="P116">
        <v>0</v>
      </c>
      <c r="Q116" s="20" t="s">
        <v>2392</v>
      </c>
      <c r="R116" s="20" t="s">
        <v>2392</v>
      </c>
      <c r="S116" s="20" t="s">
        <v>2392</v>
      </c>
      <c r="T116" s="20" t="s">
        <v>2392</v>
      </c>
      <c r="U116" s="20" t="s">
        <v>2392</v>
      </c>
    </row>
    <row r="117" spans="1:21">
      <c r="A117">
        <v>100</v>
      </c>
      <c r="B117" s="20" t="s">
        <v>61</v>
      </c>
      <c r="C117" s="20" t="s">
        <v>61</v>
      </c>
      <c r="D117">
        <v>1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0</v>
      </c>
      <c r="Q117" s="20" t="s">
        <v>2392</v>
      </c>
      <c r="R117" s="20" t="s">
        <v>2392</v>
      </c>
      <c r="S117" s="20" t="s">
        <v>2167</v>
      </c>
      <c r="T117" s="20" t="s">
        <v>2463</v>
      </c>
      <c r="U117" s="20" t="s">
        <v>2392</v>
      </c>
    </row>
    <row r="118" spans="1:21">
      <c r="A118">
        <v>25</v>
      </c>
      <c r="B118" s="20" t="s">
        <v>326</v>
      </c>
      <c r="C118" s="20" t="s">
        <v>326</v>
      </c>
      <c r="D118">
        <v>3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3</v>
      </c>
      <c r="L118">
        <v>3</v>
      </c>
      <c r="M118">
        <v>3</v>
      </c>
      <c r="N118">
        <v>3</v>
      </c>
      <c r="O118">
        <v>0</v>
      </c>
      <c r="P118">
        <v>0</v>
      </c>
      <c r="Q118" s="20" t="s">
        <v>2392</v>
      </c>
      <c r="R118" s="20" t="s">
        <v>2392</v>
      </c>
      <c r="S118" s="20" t="s">
        <v>2392</v>
      </c>
      <c r="T118" s="20" t="s">
        <v>2392</v>
      </c>
      <c r="U118" s="20" t="s">
        <v>2392</v>
      </c>
    </row>
    <row r="119" spans="1:21">
      <c r="A119">
        <v>281</v>
      </c>
      <c r="B119" s="20" t="s">
        <v>80</v>
      </c>
      <c r="C119" s="20" t="s">
        <v>131</v>
      </c>
      <c r="D119">
        <v>0</v>
      </c>
      <c r="E119" t="s">
        <v>2464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s="20" t="s">
        <v>2465</v>
      </c>
      <c r="R119" s="20" t="s">
        <v>2392</v>
      </c>
      <c r="S119" s="20" t="s">
        <v>2392</v>
      </c>
      <c r="T119" s="20" t="s">
        <v>2466</v>
      </c>
      <c r="U119" s="20" t="s">
        <v>2392</v>
      </c>
    </row>
    <row r="120" spans="1:21">
      <c r="A120">
        <v>87</v>
      </c>
      <c r="B120" s="20" t="s">
        <v>81</v>
      </c>
      <c r="C120" s="20" t="s">
        <v>81</v>
      </c>
      <c r="D120">
        <v>4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4</v>
      </c>
      <c r="L120">
        <v>4</v>
      </c>
      <c r="M120">
        <v>4</v>
      </c>
      <c r="N120">
        <v>2</v>
      </c>
      <c r="O120">
        <v>0</v>
      </c>
      <c r="P120">
        <v>0</v>
      </c>
      <c r="Q120" s="20" t="s">
        <v>2392</v>
      </c>
      <c r="R120" s="20" t="s">
        <v>2392</v>
      </c>
      <c r="S120" s="20" t="s">
        <v>2392</v>
      </c>
      <c r="T120" s="20" t="s">
        <v>2392</v>
      </c>
      <c r="U120" s="20" t="s">
        <v>2392</v>
      </c>
    </row>
    <row r="121" spans="1:21">
      <c r="A121">
        <v>68</v>
      </c>
      <c r="B121" s="20" t="s">
        <v>327</v>
      </c>
      <c r="C121" s="20" t="s">
        <v>351</v>
      </c>
      <c r="D121">
        <v>0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 s="20" t="s">
        <v>2392</v>
      </c>
      <c r="R121" s="20" t="s">
        <v>2392</v>
      </c>
      <c r="S121" s="20" t="s">
        <v>2392</v>
      </c>
      <c r="T121" s="20" t="s">
        <v>2392</v>
      </c>
      <c r="U121" s="20" t="s">
        <v>2392</v>
      </c>
    </row>
    <row r="122" spans="1:21">
      <c r="A122">
        <v>40</v>
      </c>
      <c r="B122" s="20" t="s">
        <v>328</v>
      </c>
      <c r="C122" s="20" t="s">
        <v>328</v>
      </c>
      <c r="D122">
        <v>2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2</v>
      </c>
      <c r="L122">
        <v>2</v>
      </c>
      <c r="M122">
        <v>2</v>
      </c>
      <c r="N122">
        <v>2</v>
      </c>
      <c r="O122">
        <v>0</v>
      </c>
      <c r="P122">
        <v>0</v>
      </c>
      <c r="Q122" s="20" t="s">
        <v>2392</v>
      </c>
      <c r="R122" s="20" t="s">
        <v>2392</v>
      </c>
      <c r="S122" s="20" t="s">
        <v>2392</v>
      </c>
      <c r="T122" s="20" t="s">
        <v>2392</v>
      </c>
      <c r="U122" s="20" t="s">
        <v>2392</v>
      </c>
    </row>
    <row r="123" spans="1:21">
      <c r="A123">
        <v>142</v>
      </c>
      <c r="B123" s="20" t="s">
        <v>329</v>
      </c>
      <c r="C123" s="20" t="s">
        <v>306</v>
      </c>
      <c r="D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 s="20" t="s">
        <v>2392</v>
      </c>
      <c r="R123" s="20" t="s">
        <v>2392</v>
      </c>
      <c r="S123" s="20" t="s">
        <v>2392</v>
      </c>
      <c r="T123" s="20" t="s">
        <v>2392</v>
      </c>
      <c r="U123" s="20" t="s">
        <v>2467</v>
      </c>
    </row>
    <row r="124" spans="1:21">
      <c r="A124">
        <v>75</v>
      </c>
      <c r="B124" s="20" t="s">
        <v>244</v>
      </c>
      <c r="C124" s="20" t="s">
        <v>244</v>
      </c>
      <c r="D124">
        <v>2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2</v>
      </c>
      <c r="L124">
        <v>2</v>
      </c>
      <c r="M124">
        <v>2</v>
      </c>
      <c r="N124">
        <v>2</v>
      </c>
      <c r="O124">
        <v>0</v>
      </c>
      <c r="P124">
        <v>0</v>
      </c>
      <c r="Q124" s="20" t="s">
        <v>2392</v>
      </c>
      <c r="R124" s="20" t="s">
        <v>2392</v>
      </c>
      <c r="S124" s="20" t="s">
        <v>2392</v>
      </c>
      <c r="T124" s="20" t="s">
        <v>2392</v>
      </c>
      <c r="U124" s="20" t="s">
        <v>2392</v>
      </c>
    </row>
    <row r="125" spans="1:21">
      <c r="A125">
        <v>262</v>
      </c>
      <c r="B125" s="20" t="s">
        <v>265</v>
      </c>
      <c r="C125" s="20" t="s">
        <v>261</v>
      </c>
      <c r="D125">
        <v>1</v>
      </c>
      <c r="E125">
        <v>2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1</v>
      </c>
      <c r="N125">
        <v>1</v>
      </c>
      <c r="O125">
        <v>0</v>
      </c>
      <c r="P125">
        <v>0</v>
      </c>
      <c r="Q125" s="20" t="s">
        <v>2392</v>
      </c>
      <c r="R125" s="20" t="s">
        <v>2392</v>
      </c>
      <c r="S125" s="20" t="s">
        <v>2392</v>
      </c>
      <c r="T125" s="20" t="s">
        <v>2392</v>
      </c>
      <c r="U125" s="20" t="s">
        <v>2392</v>
      </c>
    </row>
    <row r="126" spans="1:21">
      <c r="A126">
        <v>3</v>
      </c>
      <c r="B126" s="20" t="s">
        <v>117</v>
      </c>
      <c r="C126" s="20" t="s">
        <v>117</v>
      </c>
      <c r="D126">
        <v>2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2</v>
      </c>
      <c r="L126">
        <v>2</v>
      </c>
      <c r="M126">
        <v>0</v>
      </c>
      <c r="N126">
        <v>0</v>
      </c>
      <c r="O126">
        <v>0</v>
      </c>
      <c r="P126">
        <v>0</v>
      </c>
      <c r="Q126" s="20" t="s">
        <v>2392</v>
      </c>
      <c r="R126" s="20" t="s">
        <v>2392</v>
      </c>
      <c r="S126" s="20" t="s">
        <v>2278</v>
      </c>
      <c r="T126" s="20" t="s">
        <v>2468</v>
      </c>
      <c r="U126" s="20" t="s">
        <v>2392</v>
      </c>
    </row>
    <row r="127" spans="1:21">
      <c r="A127">
        <v>147</v>
      </c>
      <c r="B127" s="20" t="s">
        <v>82</v>
      </c>
      <c r="C127" s="20" t="s">
        <v>117</v>
      </c>
      <c r="D127">
        <v>0</v>
      </c>
      <c r="F127">
        <v>0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1</v>
      </c>
      <c r="Q127" s="20" t="s">
        <v>2469</v>
      </c>
      <c r="R127" s="20" t="s">
        <v>2392</v>
      </c>
      <c r="S127" s="20" t="s">
        <v>2278</v>
      </c>
      <c r="T127" s="20" t="s">
        <v>2470</v>
      </c>
      <c r="U127" s="20" t="s">
        <v>2392</v>
      </c>
    </row>
    <row r="128" spans="1:21">
      <c r="A128">
        <v>347</v>
      </c>
      <c r="B128" s="20" t="s">
        <v>330</v>
      </c>
      <c r="C128" s="20" t="s">
        <v>2471</v>
      </c>
      <c r="D128">
        <v>0</v>
      </c>
      <c r="F128">
        <v>0</v>
      </c>
      <c r="G128">
        <v>0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 s="20" t="s">
        <v>2392</v>
      </c>
      <c r="R128" s="20" t="s">
        <v>2392</v>
      </c>
      <c r="S128" s="20" t="s">
        <v>2392</v>
      </c>
      <c r="T128" s="20" t="s">
        <v>2392</v>
      </c>
      <c r="U128" s="20" t="s">
        <v>2392</v>
      </c>
    </row>
    <row r="129" spans="1:21">
      <c r="A129">
        <v>547</v>
      </c>
      <c r="B129" s="20" t="s">
        <v>331</v>
      </c>
      <c r="C129" s="20" t="s">
        <v>2471</v>
      </c>
      <c r="D129">
        <v>0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 s="20" t="s">
        <v>2392</v>
      </c>
      <c r="R129" s="20" t="s">
        <v>2392</v>
      </c>
      <c r="S129" s="20" t="s">
        <v>2392</v>
      </c>
      <c r="T129" s="20" t="s">
        <v>2392</v>
      </c>
      <c r="U129" s="20" t="s">
        <v>2392</v>
      </c>
    </row>
    <row r="130" spans="1:21">
      <c r="A130">
        <v>184</v>
      </c>
      <c r="B130" s="20" t="s">
        <v>266</v>
      </c>
      <c r="C130" s="20" t="s">
        <v>61</v>
      </c>
      <c r="D130">
        <v>0</v>
      </c>
      <c r="E130">
        <v>2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 s="20" t="s">
        <v>2392</v>
      </c>
      <c r="R130" s="20" t="s">
        <v>2392</v>
      </c>
      <c r="S130" s="20" t="s">
        <v>2167</v>
      </c>
      <c r="T130" s="20" t="s">
        <v>2401</v>
      </c>
      <c r="U130" s="20" t="s">
        <v>2392</v>
      </c>
    </row>
    <row r="131" spans="1:21">
      <c r="A131">
        <v>78</v>
      </c>
      <c r="B131" s="20" t="s">
        <v>332</v>
      </c>
      <c r="C131" s="20" t="s">
        <v>332</v>
      </c>
      <c r="D131">
        <v>2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2</v>
      </c>
      <c r="M131">
        <v>2</v>
      </c>
      <c r="N131">
        <v>2</v>
      </c>
      <c r="O131">
        <v>0</v>
      </c>
      <c r="P131">
        <v>1</v>
      </c>
      <c r="Q131" s="20" t="s">
        <v>2472</v>
      </c>
      <c r="R131" s="20" t="s">
        <v>2473</v>
      </c>
      <c r="S131" s="20" t="s">
        <v>184</v>
      </c>
      <c r="T131" s="20" t="s">
        <v>2416</v>
      </c>
      <c r="U131" s="20" t="s">
        <v>2392</v>
      </c>
    </row>
    <row r="132" spans="1:21">
      <c r="A132">
        <v>215</v>
      </c>
      <c r="B132" s="20" t="s">
        <v>285</v>
      </c>
      <c r="C132" s="20" t="s">
        <v>2436</v>
      </c>
      <c r="D132">
        <v>0</v>
      </c>
      <c r="E132">
        <v>4</v>
      </c>
      <c r="F132">
        <v>0</v>
      </c>
      <c r="G132">
        <v>0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 s="20" t="s">
        <v>2392</v>
      </c>
      <c r="R132" s="20" t="s">
        <v>2392</v>
      </c>
      <c r="S132" s="20" t="s">
        <v>2392</v>
      </c>
      <c r="T132" s="20" t="s">
        <v>2392</v>
      </c>
      <c r="U132" s="20" t="s">
        <v>2474</v>
      </c>
    </row>
    <row r="133" spans="1:21">
      <c r="A133">
        <v>159</v>
      </c>
      <c r="B133" s="20" t="s">
        <v>333</v>
      </c>
      <c r="C133" s="20" t="s">
        <v>337</v>
      </c>
      <c r="D133">
        <v>0</v>
      </c>
      <c r="F133">
        <v>0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s="20" t="s">
        <v>2475</v>
      </c>
      <c r="R133" s="20" t="s">
        <v>2392</v>
      </c>
      <c r="S133" s="20" t="s">
        <v>2392</v>
      </c>
      <c r="T133" s="20" t="s">
        <v>2392</v>
      </c>
      <c r="U133" s="20" t="s">
        <v>2392</v>
      </c>
    </row>
    <row r="134" spans="1:21">
      <c r="A134">
        <v>72</v>
      </c>
      <c r="B134" s="20" t="s">
        <v>206</v>
      </c>
      <c r="C134" s="20" t="s">
        <v>206</v>
      </c>
      <c r="D134">
        <v>2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2</v>
      </c>
      <c r="L134">
        <v>2</v>
      </c>
      <c r="M134">
        <v>2</v>
      </c>
      <c r="N134">
        <v>0</v>
      </c>
      <c r="O134">
        <v>0</v>
      </c>
      <c r="P134">
        <v>0</v>
      </c>
      <c r="Q134" s="20" t="s">
        <v>2392</v>
      </c>
      <c r="R134" s="20" t="s">
        <v>2392</v>
      </c>
      <c r="S134" s="20" t="s">
        <v>2392</v>
      </c>
      <c r="T134" s="20" t="s">
        <v>2392</v>
      </c>
      <c r="U134" s="20" t="s">
        <v>2392</v>
      </c>
    </row>
    <row r="135" spans="1:21">
      <c r="A135">
        <v>339</v>
      </c>
      <c r="B135" s="20" t="s">
        <v>245</v>
      </c>
      <c r="C135" s="20" t="s">
        <v>2451</v>
      </c>
      <c r="D135">
        <v>0</v>
      </c>
      <c r="F135">
        <v>0</v>
      </c>
      <c r="G135">
        <v>0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 s="20" t="s">
        <v>2392</v>
      </c>
      <c r="R135" s="20" t="s">
        <v>2392</v>
      </c>
      <c r="S135" s="20" t="s">
        <v>2392</v>
      </c>
      <c r="T135" s="20" t="s">
        <v>2392</v>
      </c>
      <c r="U135" s="20" t="s">
        <v>2392</v>
      </c>
    </row>
    <row r="136" spans="1:21">
      <c r="A136">
        <v>365</v>
      </c>
      <c r="B136" s="20" t="s">
        <v>246</v>
      </c>
      <c r="C136" s="20" t="s">
        <v>2451</v>
      </c>
      <c r="D136">
        <v>0</v>
      </c>
      <c r="F136">
        <v>0</v>
      </c>
      <c r="G136">
        <v>0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 s="20" t="s">
        <v>2392</v>
      </c>
      <c r="R136" s="20" t="s">
        <v>2392</v>
      </c>
      <c r="S136" s="20" t="s">
        <v>2392</v>
      </c>
      <c r="T136" s="20" t="s">
        <v>2392</v>
      </c>
      <c r="U136" s="20" t="s">
        <v>2392</v>
      </c>
    </row>
    <row r="137" spans="1:21">
      <c r="A137">
        <v>168</v>
      </c>
      <c r="B137" s="20" t="s">
        <v>334</v>
      </c>
      <c r="C137" s="20" t="s">
        <v>334</v>
      </c>
      <c r="D137">
        <v>1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0</v>
      </c>
      <c r="Q137" s="20" t="s">
        <v>2392</v>
      </c>
      <c r="R137" s="20" t="s">
        <v>2392</v>
      </c>
      <c r="S137" s="20" t="s">
        <v>2392</v>
      </c>
      <c r="T137" s="20" t="s">
        <v>2392</v>
      </c>
      <c r="U137" s="20" t="s">
        <v>2392</v>
      </c>
    </row>
    <row r="138" spans="1:21">
      <c r="A138">
        <v>367</v>
      </c>
      <c r="B138" s="20" t="s">
        <v>286</v>
      </c>
      <c r="C138" s="20" t="s">
        <v>2436</v>
      </c>
      <c r="D138">
        <v>0</v>
      </c>
      <c r="E138">
        <v>4</v>
      </c>
      <c r="F138">
        <v>0</v>
      </c>
      <c r="G138">
        <v>0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 s="20" t="s">
        <v>2392</v>
      </c>
      <c r="R138" s="20" t="s">
        <v>2392</v>
      </c>
      <c r="S138" s="20" t="s">
        <v>2392</v>
      </c>
      <c r="T138" s="20" t="s">
        <v>2392</v>
      </c>
      <c r="U138" s="20" t="s">
        <v>2476</v>
      </c>
    </row>
    <row r="139" spans="1:21">
      <c r="A139">
        <v>109</v>
      </c>
      <c r="B139" s="20" t="s">
        <v>139</v>
      </c>
      <c r="C139" s="20" t="s">
        <v>26</v>
      </c>
      <c r="D139">
        <v>0</v>
      </c>
      <c r="E139">
        <v>4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 s="20" t="s">
        <v>2477</v>
      </c>
      <c r="R139" s="20" t="s">
        <v>2392</v>
      </c>
      <c r="S139" s="20" t="s">
        <v>184</v>
      </c>
      <c r="T139" s="20" t="s">
        <v>2478</v>
      </c>
      <c r="U139" s="20" t="s">
        <v>2479</v>
      </c>
    </row>
    <row r="140" spans="1:21">
      <c r="A140">
        <v>140</v>
      </c>
      <c r="B140" s="20" t="s">
        <v>335</v>
      </c>
      <c r="C140" s="20" t="s">
        <v>370</v>
      </c>
      <c r="D140">
        <v>0</v>
      </c>
      <c r="F140">
        <v>0</v>
      </c>
      <c r="G140">
        <v>1</v>
      </c>
      <c r="H140">
        <v>0</v>
      </c>
      <c r="I140">
        <v>1</v>
      </c>
      <c r="J140">
        <v>1</v>
      </c>
      <c r="K140">
        <v>2</v>
      </c>
      <c r="L140">
        <v>0</v>
      </c>
      <c r="M140">
        <v>0</v>
      </c>
      <c r="N140">
        <v>2</v>
      </c>
      <c r="O140">
        <v>0</v>
      </c>
      <c r="P140">
        <v>0</v>
      </c>
      <c r="Q140" s="20" t="s">
        <v>370</v>
      </c>
      <c r="R140" s="20" t="s">
        <v>2392</v>
      </c>
      <c r="S140" s="20" t="s">
        <v>2278</v>
      </c>
      <c r="T140" s="20" t="s">
        <v>2480</v>
      </c>
      <c r="U140" s="20" t="s">
        <v>2481</v>
      </c>
    </row>
    <row r="141" spans="1:21">
      <c r="A141">
        <v>14</v>
      </c>
      <c r="B141" s="20" t="s">
        <v>207</v>
      </c>
      <c r="C141" s="20" t="s">
        <v>207</v>
      </c>
      <c r="D141">
        <v>3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4</v>
      </c>
      <c r="L141">
        <v>3</v>
      </c>
      <c r="M141">
        <v>3</v>
      </c>
      <c r="N141">
        <v>2</v>
      </c>
      <c r="O141">
        <v>0</v>
      </c>
      <c r="P141">
        <v>0</v>
      </c>
      <c r="Q141" s="20" t="s">
        <v>2392</v>
      </c>
      <c r="R141" s="20" t="s">
        <v>2392</v>
      </c>
      <c r="S141" s="20" t="s">
        <v>2392</v>
      </c>
      <c r="T141" s="20" t="s">
        <v>2392</v>
      </c>
      <c r="U141" s="20" t="s">
        <v>2392</v>
      </c>
    </row>
    <row r="142" spans="1:21">
      <c r="A142">
        <v>316</v>
      </c>
      <c r="B142" s="20" t="s">
        <v>336</v>
      </c>
      <c r="C142" s="20" t="s">
        <v>300</v>
      </c>
      <c r="D142">
        <v>0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 s="20" t="s">
        <v>2482</v>
      </c>
      <c r="R142" s="20" t="s">
        <v>2392</v>
      </c>
      <c r="S142" s="20" t="s">
        <v>2392</v>
      </c>
      <c r="T142" s="20" t="s">
        <v>2392</v>
      </c>
      <c r="U142" s="20" t="s">
        <v>2483</v>
      </c>
    </row>
    <row r="143" spans="1:21">
      <c r="A143">
        <v>139</v>
      </c>
      <c r="B143" s="20" t="s">
        <v>337</v>
      </c>
      <c r="C143" s="20" t="s">
        <v>337</v>
      </c>
      <c r="D143">
        <v>1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 s="20" t="s">
        <v>2392</v>
      </c>
      <c r="R143" s="20" t="s">
        <v>2392</v>
      </c>
      <c r="S143" s="20" t="s">
        <v>2392</v>
      </c>
      <c r="T143" s="20" t="s">
        <v>2392</v>
      </c>
      <c r="U143" s="20" t="s">
        <v>2392</v>
      </c>
    </row>
    <row r="144" spans="1:21">
      <c r="A144">
        <v>120</v>
      </c>
      <c r="B144" s="20" t="s">
        <v>35</v>
      </c>
      <c r="C144" s="20" t="s">
        <v>41</v>
      </c>
      <c r="D144">
        <v>2</v>
      </c>
      <c r="E144">
        <v>2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2</v>
      </c>
      <c r="L144">
        <v>2</v>
      </c>
      <c r="M144">
        <v>2</v>
      </c>
      <c r="N144">
        <v>2</v>
      </c>
      <c r="O144">
        <v>0</v>
      </c>
      <c r="P144">
        <v>0</v>
      </c>
      <c r="Q144" s="20" t="s">
        <v>2392</v>
      </c>
      <c r="R144" s="20" t="s">
        <v>2392</v>
      </c>
      <c r="S144" s="20" t="s">
        <v>184</v>
      </c>
      <c r="T144" s="20" t="s">
        <v>2416</v>
      </c>
      <c r="U144" s="20" t="s">
        <v>2484</v>
      </c>
    </row>
    <row r="145" spans="1:21">
      <c r="A145">
        <v>64</v>
      </c>
      <c r="B145" s="20" t="s">
        <v>112</v>
      </c>
      <c r="C145" s="20" t="s">
        <v>112</v>
      </c>
      <c r="D145">
        <v>4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4</v>
      </c>
      <c r="L145">
        <v>3</v>
      </c>
      <c r="M145">
        <v>3</v>
      </c>
      <c r="N145">
        <v>4</v>
      </c>
      <c r="O145">
        <v>0</v>
      </c>
      <c r="P145">
        <v>0</v>
      </c>
      <c r="Q145" s="20" t="s">
        <v>2392</v>
      </c>
      <c r="R145" s="20" t="s">
        <v>2392</v>
      </c>
      <c r="S145" s="20" t="s">
        <v>2392</v>
      </c>
      <c r="T145" s="20" t="s">
        <v>2392</v>
      </c>
      <c r="U145" s="20" t="s">
        <v>2392</v>
      </c>
    </row>
    <row r="146" spans="1:21">
      <c r="A146">
        <v>17</v>
      </c>
      <c r="B146" s="20" t="s">
        <v>83</v>
      </c>
      <c r="C146" s="20" t="s">
        <v>83</v>
      </c>
      <c r="D146">
        <v>2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2</v>
      </c>
      <c r="L146">
        <v>2</v>
      </c>
      <c r="M146">
        <v>2</v>
      </c>
      <c r="N146">
        <v>2</v>
      </c>
      <c r="O146">
        <v>0</v>
      </c>
      <c r="P146">
        <v>0</v>
      </c>
      <c r="Q146" s="20" t="s">
        <v>2392</v>
      </c>
      <c r="R146" s="20" t="s">
        <v>2392</v>
      </c>
      <c r="S146" s="20" t="s">
        <v>2392</v>
      </c>
      <c r="T146" s="20" t="s">
        <v>2392</v>
      </c>
      <c r="U146" s="20" t="s">
        <v>2392</v>
      </c>
    </row>
    <row r="147" spans="1:21">
      <c r="A147">
        <v>30</v>
      </c>
      <c r="B147" s="20" t="s">
        <v>131</v>
      </c>
      <c r="C147" s="20" t="s">
        <v>131</v>
      </c>
      <c r="D147">
        <v>2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2</v>
      </c>
      <c r="L147">
        <v>2</v>
      </c>
      <c r="M147">
        <v>2</v>
      </c>
      <c r="N147">
        <v>2</v>
      </c>
      <c r="O147">
        <v>0</v>
      </c>
      <c r="P147">
        <v>0</v>
      </c>
      <c r="Q147" s="20" t="s">
        <v>2392</v>
      </c>
      <c r="R147" s="20" t="s">
        <v>2392</v>
      </c>
      <c r="S147" s="20" t="s">
        <v>2392</v>
      </c>
      <c r="T147" s="20" t="s">
        <v>2392</v>
      </c>
      <c r="U147" s="20" t="s">
        <v>2392</v>
      </c>
    </row>
    <row r="148" spans="1:21">
      <c r="A148">
        <v>10</v>
      </c>
      <c r="B148" s="20" t="s">
        <v>84</v>
      </c>
      <c r="C148" s="20" t="s">
        <v>84</v>
      </c>
      <c r="D148">
        <v>0</v>
      </c>
      <c r="E148">
        <v>1</v>
      </c>
      <c r="F148">
        <v>0</v>
      </c>
      <c r="G148">
        <v>0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 s="20" t="s">
        <v>2392</v>
      </c>
      <c r="R148" s="20" t="s">
        <v>2392</v>
      </c>
      <c r="S148" s="20" t="s">
        <v>2392</v>
      </c>
      <c r="T148" s="20" t="s">
        <v>2392</v>
      </c>
      <c r="U148" s="20" t="s">
        <v>2392</v>
      </c>
    </row>
    <row r="149" spans="1:21">
      <c r="A149">
        <v>161</v>
      </c>
      <c r="B149" s="20" t="s">
        <v>191</v>
      </c>
      <c r="C149" s="20" t="s">
        <v>84</v>
      </c>
      <c r="D149">
        <v>0</v>
      </c>
      <c r="F149">
        <v>0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 s="20" t="s">
        <v>2392</v>
      </c>
      <c r="R149" s="20" t="s">
        <v>2392</v>
      </c>
      <c r="S149" s="20" t="s">
        <v>2392</v>
      </c>
      <c r="T149" s="20" t="s">
        <v>2392</v>
      </c>
      <c r="U149" s="20" t="s">
        <v>2392</v>
      </c>
    </row>
    <row r="150" spans="1:21">
      <c r="A150">
        <v>76</v>
      </c>
      <c r="B150" s="20" t="s">
        <v>36</v>
      </c>
      <c r="C150" s="20" t="s">
        <v>36</v>
      </c>
      <c r="D150">
        <v>2</v>
      </c>
      <c r="E150">
        <v>4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2</v>
      </c>
      <c r="M150">
        <v>2</v>
      </c>
      <c r="N150">
        <v>2</v>
      </c>
      <c r="O150">
        <v>0</v>
      </c>
      <c r="P150">
        <v>0</v>
      </c>
      <c r="Q150" s="20" t="s">
        <v>2392</v>
      </c>
      <c r="R150" s="20" t="s">
        <v>2392</v>
      </c>
      <c r="S150" s="20" t="s">
        <v>184</v>
      </c>
      <c r="T150" s="20" t="s">
        <v>2416</v>
      </c>
      <c r="U150" s="20" t="s">
        <v>2392</v>
      </c>
    </row>
    <row r="151" spans="1:21">
      <c r="A151">
        <v>152</v>
      </c>
      <c r="B151" s="20" t="s">
        <v>103</v>
      </c>
      <c r="C151" s="20" t="s">
        <v>36</v>
      </c>
      <c r="D151">
        <v>0</v>
      </c>
      <c r="E151">
        <v>4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s="20" t="s">
        <v>36</v>
      </c>
      <c r="R151" s="20" t="s">
        <v>2392</v>
      </c>
      <c r="S151" s="20" t="s">
        <v>184</v>
      </c>
      <c r="T151" s="20" t="s">
        <v>2485</v>
      </c>
      <c r="U151" s="20" t="s">
        <v>2392</v>
      </c>
    </row>
    <row r="152" spans="1:21">
      <c r="A152">
        <v>122</v>
      </c>
      <c r="B152" s="20" t="s">
        <v>37</v>
      </c>
      <c r="C152" s="20" t="s">
        <v>37</v>
      </c>
      <c r="D152">
        <v>2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2</v>
      </c>
      <c r="L152">
        <v>2</v>
      </c>
      <c r="M152">
        <v>2</v>
      </c>
      <c r="N152">
        <v>2</v>
      </c>
      <c r="O152">
        <v>0</v>
      </c>
      <c r="P152">
        <v>0</v>
      </c>
      <c r="Q152" s="20" t="s">
        <v>2392</v>
      </c>
      <c r="R152" s="20" t="s">
        <v>2392</v>
      </c>
      <c r="S152" s="20" t="s">
        <v>184</v>
      </c>
      <c r="T152" s="20" t="s">
        <v>2416</v>
      </c>
      <c r="U152" s="20" t="s">
        <v>2392</v>
      </c>
    </row>
    <row r="153" spans="1:21">
      <c r="A153">
        <v>186</v>
      </c>
      <c r="B153" s="20" t="s">
        <v>338</v>
      </c>
      <c r="C153" s="20" t="s">
        <v>338</v>
      </c>
      <c r="D153">
        <v>1</v>
      </c>
      <c r="F153">
        <v>1</v>
      </c>
      <c r="G153">
        <v>0</v>
      </c>
      <c r="H153">
        <v>0</v>
      </c>
      <c r="I153">
        <v>1</v>
      </c>
      <c r="J153">
        <v>0</v>
      </c>
      <c r="K153">
        <v>2</v>
      </c>
      <c r="L153">
        <v>1</v>
      </c>
      <c r="M153">
        <v>1</v>
      </c>
      <c r="N153">
        <v>1</v>
      </c>
      <c r="O153">
        <v>0</v>
      </c>
      <c r="P153">
        <v>0</v>
      </c>
      <c r="Q153" s="20" t="s">
        <v>2392</v>
      </c>
      <c r="R153" s="20" t="s">
        <v>2392</v>
      </c>
      <c r="S153" s="20" t="s">
        <v>2392</v>
      </c>
      <c r="T153" s="20" t="s">
        <v>2392</v>
      </c>
      <c r="U153" s="20" t="s">
        <v>2392</v>
      </c>
    </row>
    <row r="154" spans="1:21">
      <c r="A154">
        <v>201</v>
      </c>
      <c r="B154" s="20" t="s">
        <v>339</v>
      </c>
      <c r="C154" s="20" t="s">
        <v>338</v>
      </c>
      <c r="D154">
        <v>0</v>
      </c>
      <c r="F154">
        <v>0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s="20" t="s">
        <v>2486</v>
      </c>
      <c r="R154" s="20" t="s">
        <v>2392</v>
      </c>
      <c r="S154" s="20" t="s">
        <v>2392</v>
      </c>
      <c r="T154" s="20" t="s">
        <v>2392</v>
      </c>
      <c r="U154" s="20" t="s">
        <v>2392</v>
      </c>
    </row>
    <row r="155" spans="1:21">
      <c r="A155">
        <v>101</v>
      </c>
      <c r="B155" s="20" t="s">
        <v>146</v>
      </c>
      <c r="C155" s="20" t="s">
        <v>146</v>
      </c>
      <c r="D155">
        <v>2</v>
      </c>
      <c r="E155">
        <v>4</v>
      </c>
      <c r="F155">
        <v>1</v>
      </c>
      <c r="G155">
        <v>0</v>
      </c>
      <c r="H155">
        <v>0</v>
      </c>
      <c r="I155">
        <v>1</v>
      </c>
      <c r="J155">
        <v>0</v>
      </c>
      <c r="K155">
        <v>2</v>
      </c>
      <c r="L155">
        <v>2</v>
      </c>
      <c r="M155">
        <v>2</v>
      </c>
      <c r="N155">
        <v>2</v>
      </c>
      <c r="O155">
        <v>0</v>
      </c>
      <c r="P155">
        <v>0</v>
      </c>
      <c r="Q155" s="20" t="s">
        <v>2392</v>
      </c>
      <c r="R155" s="20" t="s">
        <v>2392</v>
      </c>
      <c r="S155" s="20" t="s">
        <v>2392</v>
      </c>
      <c r="T155" s="20" t="s">
        <v>2392</v>
      </c>
      <c r="U155" s="20" t="s">
        <v>2392</v>
      </c>
    </row>
    <row r="156" spans="1:21">
      <c r="A156">
        <v>348</v>
      </c>
      <c r="B156" s="20" t="s">
        <v>340</v>
      </c>
      <c r="C156" s="20" t="s">
        <v>356</v>
      </c>
      <c r="D156">
        <v>0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 s="20" t="s">
        <v>2392</v>
      </c>
      <c r="R156" s="20" t="s">
        <v>2392</v>
      </c>
      <c r="S156" s="20" t="s">
        <v>2392</v>
      </c>
      <c r="T156" s="20" t="s">
        <v>2392</v>
      </c>
      <c r="U156" s="20" t="s">
        <v>2392</v>
      </c>
    </row>
    <row r="157" spans="1:21">
      <c r="A157">
        <v>50</v>
      </c>
      <c r="B157" s="20" t="s">
        <v>125</v>
      </c>
      <c r="C157" s="20" t="s">
        <v>137</v>
      </c>
      <c r="D157">
        <v>1</v>
      </c>
      <c r="E157">
        <v>4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0</v>
      </c>
      <c r="Q157" s="20" t="s">
        <v>2392</v>
      </c>
      <c r="R157" s="20" t="s">
        <v>2392</v>
      </c>
      <c r="S157" s="20" t="s">
        <v>2392</v>
      </c>
      <c r="T157" s="20" t="s">
        <v>2392</v>
      </c>
      <c r="U157" s="20" t="s">
        <v>2392</v>
      </c>
    </row>
    <row r="158" spans="1:21">
      <c r="A158">
        <v>20</v>
      </c>
      <c r="B158" s="20" t="s">
        <v>113</v>
      </c>
      <c r="C158" s="20" t="s">
        <v>113</v>
      </c>
      <c r="D158">
        <v>2</v>
      </c>
      <c r="E158">
        <v>3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2</v>
      </c>
      <c r="L158">
        <v>2</v>
      </c>
      <c r="M158">
        <v>2</v>
      </c>
      <c r="N158">
        <v>2</v>
      </c>
      <c r="O158">
        <v>0</v>
      </c>
      <c r="P158">
        <v>0</v>
      </c>
      <c r="Q158" s="20" t="s">
        <v>2392</v>
      </c>
      <c r="R158" s="20" t="s">
        <v>2392</v>
      </c>
      <c r="S158" s="20" t="s">
        <v>2392</v>
      </c>
      <c r="T158" s="20" t="s">
        <v>2392</v>
      </c>
      <c r="U158" s="20" t="s">
        <v>2392</v>
      </c>
    </row>
    <row r="159" spans="1:21">
      <c r="A159">
        <v>95</v>
      </c>
      <c r="B159" s="20" t="s">
        <v>341</v>
      </c>
      <c r="C159" s="20" t="s">
        <v>341</v>
      </c>
      <c r="D159">
        <v>3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3</v>
      </c>
      <c r="L159">
        <v>3</v>
      </c>
      <c r="M159">
        <v>3</v>
      </c>
      <c r="N159">
        <v>0</v>
      </c>
      <c r="O159">
        <v>0</v>
      </c>
      <c r="P159">
        <v>0</v>
      </c>
      <c r="Q159" s="20" t="s">
        <v>2392</v>
      </c>
      <c r="R159" s="20" t="s">
        <v>2392</v>
      </c>
      <c r="S159" s="20" t="s">
        <v>2278</v>
      </c>
      <c r="T159" s="20" t="s">
        <v>2487</v>
      </c>
      <c r="U159" s="20" t="s">
        <v>2392</v>
      </c>
    </row>
    <row r="160" spans="1:21">
      <c r="A160">
        <v>276</v>
      </c>
      <c r="B160" s="20" t="s">
        <v>208</v>
      </c>
      <c r="C160" s="20" t="s">
        <v>2161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 s="20" t="s">
        <v>2392</v>
      </c>
      <c r="R160" s="20" t="s">
        <v>2392</v>
      </c>
      <c r="S160" s="20" t="s">
        <v>2392</v>
      </c>
      <c r="T160" s="20" t="s">
        <v>2392</v>
      </c>
      <c r="U160" s="20" t="s">
        <v>2392</v>
      </c>
    </row>
    <row r="161" spans="1:21">
      <c r="A161">
        <v>362</v>
      </c>
      <c r="B161" s="20" t="s">
        <v>287</v>
      </c>
      <c r="C161" s="20" t="s">
        <v>2436</v>
      </c>
      <c r="D161">
        <v>0</v>
      </c>
      <c r="E161">
        <v>4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 s="20" t="s">
        <v>2392</v>
      </c>
      <c r="R161" s="20" t="s">
        <v>2392</v>
      </c>
      <c r="S161" s="20" t="s">
        <v>2392</v>
      </c>
      <c r="T161" s="20" t="s">
        <v>2392</v>
      </c>
      <c r="U161" s="20" t="s">
        <v>2437</v>
      </c>
    </row>
    <row r="162" spans="1:21">
      <c r="A162">
        <v>169</v>
      </c>
      <c r="B162" s="20" t="s">
        <v>192</v>
      </c>
      <c r="C162" s="20" t="s">
        <v>192</v>
      </c>
      <c r="D162">
        <v>0</v>
      </c>
      <c r="F162">
        <v>0</v>
      </c>
      <c r="G162">
        <v>0</v>
      </c>
      <c r="H162">
        <v>1</v>
      </c>
      <c r="I162">
        <v>1</v>
      </c>
      <c r="J162">
        <v>1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 s="20" t="s">
        <v>2392</v>
      </c>
      <c r="R162" s="20" t="s">
        <v>2488</v>
      </c>
      <c r="S162" s="20" t="s">
        <v>2392</v>
      </c>
      <c r="T162" s="20" t="s">
        <v>2392</v>
      </c>
      <c r="U162" s="20" t="s">
        <v>2392</v>
      </c>
    </row>
    <row r="163" spans="1:21">
      <c r="A163">
        <v>326</v>
      </c>
      <c r="B163" s="20" t="s">
        <v>62</v>
      </c>
      <c r="C163" s="20" t="s">
        <v>61</v>
      </c>
      <c r="D163">
        <v>0</v>
      </c>
      <c r="E163">
        <v>2</v>
      </c>
      <c r="F163">
        <v>0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s="20" t="s">
        <v>2489</v>
      </c>
      <c r="R163" s="20" t="s">
        <v>2392</v>
      </c>
      <c r="S163" s="20" t="s">
        <v>2167</v>
      </c>
      <c r="T163" s="20" t="s">
        <v>2401</v>
      </c>
      <c r="U163" s="20" t="s">
        <v>2392</v>
      </c>
    </row>
    <row r="164" spans="1:21">
      <c r="A164">
        <v>337</v>
      </c>
      <c r="B164" s="20" t="s">
        <v>63</v>
      </c>
      <c r="C164" s="20" t="s">
        <v>2428</v>
      </c>
      <c r="D164">
        <v>0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 s="20" t="s">
        <v>2392</v>
      </c>
      <c r="R164" s="20" t="s">
        <v>2392</v>
      </c>
      <c r="S164" s="20" t="s">
        <v>2167</v>
      </c>
      <c r="T164" s="20" t="s">
        <v>2460</v>
      </c>
      <c r="U164" s="20" t="s">
        <v>2392</v>
      </c>
    </row>
    <row r="165" spans="1:21">
      <c r="A165">
        <v>364</v>
      </c>
      <c r="B165" s="20" t="s">
        <v>247</v>
      </c>
      <c r="C165" s="20" t="s">
        <v>2396</v>
      </c>
      <c r="D165">
        <v>0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 s="20" t="s">
        <v>2392</v>
      </c>
      <c r="R165" s="20" t="s">
        <v>2392</v>
      </c>
      <c r="S165" s="20" t="s">
        <v>2167</v>
      </c>
      <c r="T165" s="20" t="s">
        <v>2460</v>
      </c>
      <c r="U165" s="20" t="s">
        <v>2392</v>
      </c>
    </row>
    <row r="166" spans="1:21">
      <c r="A166">
        <v>292</v>
      </c>
      <c r="B166" s="20" t="s">
        <v>64</v>
      </c>
      <c r="C166" s="20" t="s">
        <v>2428</v>
      </c>
      <c r="D166">
        <v>0</v>
      </c>
      <c r="F166">
        <v>0</v>
      </c>
      <c r="G166">
        <v>0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 s="20" t="s">
        <v>2392</v>
      </c>
      <c r="R166" s="20" t="s">
        <v>2392</v>
      </c>
      <c r="S166" s="20" t="s">
        <v>183</v>
      </c>
      <c r="T166" s="20" t="s">
        <v>2490</v>
      </c>
      <c r="U166" s="20" t="s">
        <v>2392</v>
      </c>
    </row>
    <row r="167" spans="1:21">
      <c r="A167">
        <v>81</v>
      </c>
      <c r="B167" s="20" t="s">
        <v>122</v>
      </c>
      <c r="C167" s="20" t="s">
        <v>122</v>
      </c>
      <c r="D167">
        <v>3</v>
      </c>
      <c r="E167">
        <v>3</v>
      </c>
      <c r="F167">
        <v>1</v>
      </c>
      <c r="G167">
        <v>0</v>
      </c>
      <c r="H167">
        <v>0</v>
      </c>
      <c r="I167">
        <v>1</v>
      </c>
      <c r="J167">
        <v>0</v>
      </c>
      <c r="K167">
        <v>3</v>
      </c>
      <c r="L167">
        <v>3</v>
      </c>
      <c r="M167">
        <v>3</v>
      </c>
      <c r="N167">
        <v>3</v>
      </c>
      <c r="O167">
        <v>0</v>
      </c>
      <c r="P167">
        <v>0</v>
      </c>
      <c r="Q167" s="20" t="s">
        <v>2392</v>
      </c>
      <c r="R167" s="20" t="s">
        <v>2392</v>
      </c>
      <c r="S167" s="20" t="s">
        <v>2392</v>
      </c>
      <c r="T167" s="20" t="s">
        <v>2392</v>
      </c>
      <c r="U167" s="20" t="s">
        <v>2392</v>
      </c>
    </row>
    <row r="168" spans="1:21">
      <c r="A168">
        <v>296</v>
      </c>
      <c r="B168" s="20" t="s">
        <v>87</v>
      </c>
      <c r="C168" s="20" t="s">
        <v>122</v>
      </c>
      <c r="D168">
        <v>0</v>
      </c>
      <c r="F168">
        <v>0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 s="20" t="s">
        <v>2392</v>
      </c>
      <c r="R168" s="20" t="s">
        <v>2392</v>
      </c>
      <c r="S168" s="20" t="s">
        <v>2270</v>
      </c>
      <c r="T168" s="20" t="s">
        <v>2399</v>
      </c>
      <c r="U168" s="20" t="s">
        <v>2392</v>
      </c>
    </row>
    <row r="169" spans="1:21">
      <c r="A169">
        <v>297</v>
      </c>
      <c r="B169" s="20" t="s">
        <v>88</v>
      </c>
      <c r="C169" s="20" t="s">
        <v>122</v>
      </c>
      <c r="D169">
        <v>0</v>
      </c>
      <c r="F169">
        <v>0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 s="20" t="s">
        <v>2392</v>
      </c>
      <c r="R169" s="20" t="s">
        <v>2392</v>
      </c>
      <c r="S169" s="20" t="s">
        <v>2270</v>
      </c>
      <c r="T169" s="20" t="s">
        <v>2399</v>
      </c>
      <c r="U169" s="20" t="s">
        <v>2392</v>
      </c>
    </row>
    <row r="170" spans="1:21">
      <c r="A170">
        <v>49</v>
      </c>
      <c r="B170" s="20" t="s">
        <v>342</v>
      </c>
      <c r="C170" s="20" t="s">
        <v>342</v>
      </c>
      <c r="D170">
        <v>3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3</v>
      </c>
      <c r="L170">
        <v>3</v>
      </c>
      <c r="M170">
        <v>3</v>
      </c>
      <c r="N170">
        <v>3</v>
      </c>
      <c r="O170">
        <v>0</v>
      </c>
      <c r="P170">
        <v>0</v>
      </c>
      <c r="Q170" s="20" t="s">
        <v>2392</v>
      </c>
      <c r="R170" s="20" t="s">
        <v>2392</v>
      </c>
      <c r="S170" s="20" t="s">
        <v>2392</v>
      </c>
      <c r="T170" s="20" t="s">
        <v>2392</v>
      </c>
      <c r="U170" s="20" t="s">
        <v>2392</v>
      </c>
    </row>
    <row r="171" spans="1:21">
      <c r="A171">
        <v>21</v>
      </c>
      <c r="B171" s="20" t="s">
        <v>38</v>
      </c>
      <c r="C171" s="20" t="s">
        <v>38</v>
      </c>
      <c r="D171">
        <v>3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3</v>
      </c>
      <c r="L171">
        <v>3</v>
      </c>
      <c r="M171">
        <v>3</v>
      </c>
      <c r="N171">
        <v>3</v>
      </c>
      <c r="O171">
        <v>0</v>
      </c>
      <c r="P171">
        <v>0</v>
      </c>
      <c r="Q171" s="20" t="s">
        <v>2392</v>
      </c>
      <c r="R171" s="20" t="s">
        <v>2392</v>
      </c>
      <c r="S171" s="20" t="s">
        <v>184</v>
      </c>
      <c r="T171" s="20" t="s">
        <v>2416</v>
      </c>
      <c r="U171" s="20" t="s">
        <v>2392</v>
      </c>
    </row>
    <row r="172" spans="1:21">
      <c r="A172">
        <v>363</v>
      </c>
      <c r="B172" s="20" t="s">
        <v>343</v>
      </c>
      <c r="C172" s="20" t="s">
        <v>2396</v>
      </c>
      <c r="D172">
        <v>0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 s="20" t="s">
        <v>2392</v>
      </c>
      <c r="R172" s="20" t="s">
        <v>2392</v>
      </c>
      <c r="S172" s="20" t="s">
        <v>2270</v>
      </c>
      <c r="T172" s="20" t="s">
        <v>2399</v>
      </c>
      <c r="U172" s="20" t="s">
        <v>2491</v>
      </c>
    </row>
    <row r="173" spans="1:21">
      <c r="A173">
        <v>358</v>
      </c>
      <c r="B173" s="20" t="s">
        <v>248</v>
      </c>
      <c r="C173" s="20" t="s">
        <v>2396</v>
      </c>
      <c r="D173">
        <v>0</v>
      </c>
      <c r="F173">
        <v>0</v>
      </c>
      <c r="G173">
        <v>0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 s="20" t="s">
        <v>2392</v>
      </c>
      <c r="R173" s="20" t="s">
        <v>2392</v>
      </c>
      <c r="S173" s="20" t="s">
        <v>2270</v>
      </c>
      <c r="T173" s="20" t="s">
        <v>2399</v>
      </c>
      <c r="U173" s="20" t="s">
        <v>2392</v>
      </c>
    </row>
    <row r="174" spans="1:21">
      <c r="A174">
        <v>77</v>
      </c>
      <c r="B174" s="20" t="s">
        <v>344</v>
      </c>
      <c r="C174" s="20" t="s">
        <v>344</v>
      </c>
      <c r="D174">
        <v>2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2</v>
      </c>
      <c r="L174">
        <v>2</v>
      </c>
      <c r="M174">
        <v>2</v>
      </c>
      <c r="N174">
        <v>2</v>
      </c>
      <c r="O174">
        <v>0</v>
      </c>
      <c r="P174">
        <v>0</v>
      </c>
      <c r="Q174" s="20" t="s">
        <v>2392</v>
      </c>
      <c r="R174" s="20" t="s">
        <v>2392</v>
      </c>
      <c r="S174" s="20" t="s">
        <v>2392</v>
      </c>
      <c r="T174" s="20" t="s">
        <v>2392</v>
      </c>
      <c r="U174" s="20" t="s">
        <v>2392</v>
      </c>
    </row>
    <row r="175" spans="1:21">
      <c r="A175">
        <v>83</v>
      </c>
      <c r="B175" s="20" t="s">
        <v>193</v>
      </c>
      <c r="C175" s="20" t="s">
        <v>193</v>
      </c>
      <c r="D175">
        <v>4</v>
      </c>
      <c r="F175">
        <v>1</v>
      </c>
      <c r="G175">
        <v>0</v>
      </c>
      <c r="H175">
        <v>0</v>
      </c>
      <c r="I175">
        <v>1</v>
      </c>
      <c r="J175">
        <v>0</v>
      </c>
      <c r="K175">
        <v>4</v>
      </c>
      <c r="L175">
        <v>4</v>
      </c>
      <c r="M175">
        <v>4</v>
      </c>
      <c r="N175">
        <v>0</v>
      </c>
      <c r="O175">
        <v>0</v>
      </c>
      <c r="P175">
        <v>0</v>
      </c>
      <c r="Q175" s="20" t="s">
        <v>2392</v>
      </c>
      <c r="R175" s="20" t="s">
        <v>2392</v>
      </c>
      <c r="S175" s="20" t="s">
        <v>2392</v>
      </c>
      <c r="T175" s="20" t="s">
        <v>2392</v>
      </c>
      <c r="U175" s="20" t="s">
        <v>2392</v>
      </c>
    </row>
    <row r="176" spans="1:21">
      <c r="A176">
        <v>344</v>
      </c>
      <c r="B176" s="20" t="s">
        <v>89</v>
      </c>
      <c r="C176" s="20" t="s">
        <v>117</v>
      </c>
      <c r="D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s="20" t="s">
        <v>2412</v>
      </c>
      <c r="R176" s="20" t="s">
        <v>2392</v>
      </c>
      <c r="S176" s="20" t="s">
        <v>2278</v>
      </c>
      <c r="T176" s="20" t="s">
        <v>2413</v>
      </c>
      <c r="U176" s="20" t="s">
        <v>2392</v>
      </c>
    </row>
    <row r="177" spans="1:21">
      <c r="A177">
        <v>103</v>
      </c>
      <c r="B177" s="20" t="s">
        <v>222</v>
      </c>
      <c r="C177" s="20" t="s">
        <v>204</v>
      </c>
      <c r="D177">
        <v>2</v>
      </c>
      <c r="E177">
        <v>2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2</v>
      </c>
      <c r="L177">
        <v>2</v>
      </c>
      <c r="M177">
        <v>2</v>
      </c>
      <c r="N177">
        <v>2</v>
      </c>
      <c r="O177">
        <v>0</v>
      </c>
      <c r="P177">
        <v>0</v>
      </c>
      <c r="Q177" s="20" t="s">
        <v>2392</v>
      </c>
      <c r="R177" s="20" t="s">
        <v>2392</v>
      </c>
      <c r="S177" s="20" t="s">
        <v>2392</v>
      </c>
      <c r="T177" s="20" t="s">
        <v>2392</v>
      </c>
      <c r="U177" s="20" t="s">
        <v>2392</v>
      </c>
    </row>
    <row r="178" spans="1:21">
      <c r="A178">
        <v>28</v>
      </c>
      <c r="B178" s="20" t="s">
        <v>39</v>
      </c>
      <c r="C178" s="20" t="s">
        <v>39</v>
      </c>
      <c r="D178">
        <v>2</v>
      </c>
      <c r="E178">
        <v>2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3</v>
      </c>
      <c r="M178">
        <v>2</v>
      </c>
      <c r="N178">
        <v>2</v>
      </c>
      <c r="O178">
        <v>0</v>
      </c>
      <c r="P178">
        <v>0</v>
      </c>
      <c r="Q178" s="20" t="s">
        <v>2392</v>
      </c>
      <c r="R178" s="20" t="s">
        <v>2392</v>
      </c>
      <c r="S178" s="20" t="s">
        <v>184</v>
      </c>
      <c r="T178" s="20" t="s">
        <v>2416</v>
      </c>
      <c r="U178" s="20" t="s">
        <v>2492</v>
      </c>
    </row>
    <row r="179" spans="1:21">
      <c r="A179">
        <v>183</v>
      </c>
      <c r="B179" s="20" t="s">
        <v>50</v>
      </c>
      <c r="C179" s="20" t="s">
        <v>61</v>
      </c>
      <c r="D179">
        <v>0</v>
      </c>
      <c r="E179">
        <v>2</v>
      </c>
      <c r="F179">
        <v>0</v>
      </c>
      <c r="G179">
        <v>1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s="20" t="s">
        <v>2489</v>
      </c>
      <c r="R179" s="20" t="s">
        <v>2392</v>
      </c>
      <c r="S179" s="20" t="s">
        <v>2167</v>
      </c>
      <c r="T179" s="20" t="s">
        <v>2401</v>
      </c>
      <c r="U179" s="20" t="s">
        <v>2493</v>
      </c>
    </row>
    <row r="180" spans="1:21">
      <c r="A180">
        <v>181</v>
      </c>
      <c r="B180" s="20" t="s">
        <v>90</v>
      </c>
      <c r="C180" s="20" t="s">
        <v>116</v>
      </c>
      <c r="D180">
        <v>0</v>
      </c>
      <c r="F180">
        <v>0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s="20" t="s">
        <v>2494</v>
      </c>
      <c r="R180" s="20" t="s">
        <v>2392</v>
      </c>
      <c r="S180" s="20" t="s">
        <v>2392</v>
      </c>
      <c r="T180" s="20" t="s">
        <v>2392</v>
      </c>
      <c r="U180" s="20" t="s">
        <v>2392</v>
      </c>
    </row>
    <row r="181" spans="1:21">
      <c r="A181">
        <v>191</v>
      </c>
      <c r="B181" s="20" t="s">
        <v>345</v>
      </c>
      <c r="C181" s="20" t="s">
        <v>317</v>
      </c>
      <c r="D181">
        <v>0</v>
      </c>
      <c r="F181">
        <v>0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 s="20" t="s">
        <v>2392</v>
      </c>
      <c r="R181" s="20" t="s">
        <v>2392</v>
      </c>
      <c r="S181" s="20" t="s">
        <v>2392</v>
      </c>
      <c r="T181" s="20" t="s">
        <v>2392</v>
      </c>
      <c r="U181" s="20" t="s">
        <v>2392</v>
      </c>
    </row>
    <row r="182" spans="1:21">
      <c r="A182">
        <v>84</v>
      </c>
      <c r="B182" s="20" t="s">
        <v>267</v>
      </c>
      <c r="C182" s="20" t="s">
        <v>267</v>
      </c>
      <c r="D182">
        <v>2</v>
      </c>
      <c r="E182">
        <v>2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10</v>
      </c>
      <c r="L182">
        <v>3</v>
      </c>
      <c r="M182">
        <v>0</v>
      </c>
      <c r="N182">
        <v>3</v>
      </c>
      <c r="O182">
        <v>0</v>
      </c>
      <c r="P182">
        <v>0</v>
      </c>
      <c r="Q182" s="20" t="s">
        <v>2392</v>
      </c>
      <c r="R182" s="20" t="s">
        <v>2392</v>
      </c>
      <c r="S182" s="20" t="s">
        <v>2392</v>
      </c>
      <c r="T182" s="20" t="s">
        <v>2392</v>
      </c>
      <c r="U182" s="20" t="s">
        <v>2495</v>
      </c>
    </row>
    <row r="183" spans="1:21">
      <c r="A183">
        <v>132</v>
      </c>
      <c r="B183" s="20" t="s">
        <v>277</v>
      </c>
      <c r="C183" s="20" t="s">
        <v>267</v>
      </c>
      <c r="D183">
        <v>1</v>
      </c>
      <c r="E183">
        <v>3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2</v>
      </c>
      <c r="L183">
        <v>0</v>
      </c>
      <c r="M183">
        <v>3</v>
      </c>
      <c r="N183">
        <v>0</v>
      </c>
      <c r="O183">
        <v>0</v>
      </c>
      <c r="P183">
        <v>1</v>
      </c>
      <c r="Q183" s="20" t="s">
        <v>2496</v>
      </c>
      <c r="R183" s="20" t="s">
        <v>2392</v>
      </c>
      <c r="S183" s="20" t="s">
        <v>2392</v>
      </c>
      <c r="T183" s="20" t="s">
        <v>2392</v>
      </c>
      <c r="U183" s="20" t="s">
        <v>2455</v>
      </c>
    </row>
    <row r="184" spans="1:21">
      <c r="A184">
        <v>145</v>
      </c>
      <c r="B184" s="20" t="s">
        <v>223</v>
      </c>
      <c r="C184" s="20" t="s">
        <v>223</v>
      </c>
      <c r="D184">
        <v>4</v>
      </c>
      <c r="E184">
        <v>2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4</v>
      </c>
      <c r="M184">
        <v>4</v>
      </c>
      <c r="N184">
        <v>4</v>
      </c>
      <c r="O184">
        <v>0</v>
      </c>
      <c r="P184">
        <v>0</v>
      </c>
      <c r="Q184" s="20" t="s">
        <v>2392</v>
      </c>
      <c r="R184" s="20" t="s">
        <v>2392</v>
      </c>
      <c r="S184" s="20" t="s">
        <v>2392</v>
      </c>
      <c r="T184" s="20" t="s">
        <v>2392</v>
      </c>
      <c r="U184" s="20" t="s">
        <v>2392</v>
      </c>
    </row>
    <row r="185" spans="1:21">
      <c r="A185">
        <v>88</v>
      </c>
      <c r="B185" s="20" t="s">
        <v>114</v>
      </c>
      <c r="C185" s="20" t="s">
        <v>114</v>
      </c>
      <c r="D185">
        <v>2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0</v>
      </c>
      <c r="K185">
        <v>2</v>
      </c>
      <c r="L185">
        <v>2</v>
      </c>
      <c r="M185">
        <v>2</v>
      </c>
      <c r="N185">
        <v>2</v>
      </c>
      <c r="O185">
        <v>0</v>
      </c>
      <c r="P185">
        <v>0</v>
      </c>
      <c r="Q185" s="20" t="s">
        <v>2392</v>
      </c>
      <c r="R185" s="20" t="s">
        <v>2392</v>
      </c>
      <c r="S185" s="20" t="s">
        <v>2392</v>
      </c>
      <c r="T185" s="20" t="s">
        <v>2392</v>
      </c>
      <c r="U185" s="20" t="s">
        <v>2392</v>
      </c>
    </row>
    <row r="186" spans="1:21">
      <c r="A186">
        <v>129</v>
      </c>
      <c r="B186" s="20" t="s">
        <v>91</v>
      </c>
      <c r="C186" s="20" t="s">
        <v>123</v>
      </c>
      <c r="D186">
        <v>1</v>
      </c>
      <c r="E186">
        <v>4</v>
      </c>
      <c r="F186">
        <v>1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0</v>
      </c>
      <c r="Q186" s="20" t="s">
        <v>2392</v>
      </c>
      <c r="R186" s="20" t="s">
        <v>2392</v>
      </c>
      <c r="S186" s="20" t="s">
        <v>2392</v>
      </c>
      <c r="T186" s="20" t="s">
        <v>2392</v>
      </c>
      <c r="U186" s="20" t="s">
        <v>2392</v>
      </c>
    </row>
    <row r="187" spans="1:21">
      <c r="A187">
        <v>102</v>
      </c>
      <c r="B187" s="20" t="s">
        <v>40</v>
      </c>
      <c r="C187" s="20" t="s">
        <v>833</v>
      </c>
      <c r="D187">
        <v>3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5</v>
      </c>
      <c r="M187">
        <v>5</v>
      </c>
      <c r="N187">
        <v>3</v>
      </c>
      <c r="O187">
        <v>0</v>
      </c>
      <c r="P187">
        <v>1</v>
      </c>
      <c r="Q187" s="20" t="s">
        <v>2392</v>
      </c>
      <c r="R187" s="20" t="s">
        <v>2392</v>
      </c>
      <c r="S187" s="20" t="s">
        <v>184</v>
      </c>
      <c r="T187" s="20" t="s">
        <v>2416</v>
      </c>
      <c r="U187" s="20" t="s">
        <v>2392</v>
      </c>
    </row>
    <row r="188" spans="1:21">
      <c r="A188">
        <v>502</v>
      </c>
      <c r="B188" s="20" t="s">
        <v>140</v>
      </c>
      <c r="C188" s="20" t="s">
        <v>833</v>
      </c>
      <c r="D188">
        <v>2</v>
      </c>
      <c r="F188">
        <v>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1</v>
      </c>
      <c r="Q188" s="20" t="s">
        <v>2392</v>
      </c>
      <c r="R188" s="20" t="s">
        <v>2392</v>
      </c>
      <c r="S188" s="20" t="s">
        <v>184</v>
      </c>
      <c r="T188" s="20" t="s">
        <v>2416</v>
      </c>
      <c r="U188" s="20" t="s">
        <v>2392</v>
      </c>
    </row>
    <row r="189" spans="1:21">
      <c r="A189">
        <v>277</v>
      </c>
      <c r="B189" s="20" t="s">
        <v>92</v>
      </c>
      <c r="C189" s="20" t="s">
        <v>107</v>
      </c>
      <c r="D189">
        <v>0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s="20" t="s">
        <v>100</v>
      </c>
      <c r="R189" s="20" t="s">
        <v>2392</v>
      </c>
      <c r="S189" s="20" t="s">
        <v>2392</v>
      </c>
      <c r="T189" s="20" t="s">
        <v>2392</v>
      </c>
      <c r="U189" s="20" t="s">
        <v>2392</v>
      </c>
    </row>
    <row r="190" spans="1:21">
      <c r="A190">
        <v>130</v>
      </c>
      <c r="B190" s="20" t="s">
        <v>147</v>
      </c>
      <c r="C190" s="20" t="s">
        <v>47</v>
      </c>
      <c r="D190">
        <v>0</v>
      </c>
      <c r="E190">
        <v>3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s="20" t="s">
        <v>2497</v>
      </c>
      <c r="R190" s="20" t="s">
        <v>2392</v>
      </c>
      <c r="S190" s="20" t="s">
        <v>184</v>
      </c>
      <c r="T190" s="20" t="s">
        <v>2498</v>
      </c>
      <c r="U190" s="20" t="s">
        <v>2392</v>
      </c>
    </row>
    <row r="191" spans="1:21">
      <c r="A191">
        <v>267</v>
      </c>
      <c r="B191" s="20" t="s">
        <v>41</v>
      </c>
      <c r="C191" s="20" t="s">
        <v>41</v>
      </c>
      <c r="D191">
        <v>2</v>
      </c>
      <c r="E191">
        <v>1</v>
      </c>
      <c r="F191">
        <v>1</v>
      </c>
      <c r="G191">
        <v>0</v>
      </c>
      <c r="H191">
        <v>0</v>
      </c>
      <c r="I191">
        <v>1</v>
      </c>
      <c r="J191">
        <v>0</v>
      </c>
      <c r="K191">
        <v>2</v>
      </c>
      <c r="L191">
        <v>2</v>
      </c>
      <c r="M191">
        <v>0</v>
      </c>
      <c r="N191">
        <v>0</v>
      </c>
      <c r="O191">
        <v>0</v>
      </c>
      <c r="P191">
        <v>0</v>
      </c>
      <c r="Q191" s="20" t="s">
        <v>2392</v>
      </c>
      <c r="R191" s="20" t="s">
        <v>2392</v>
      </c>
      <c r="S191" s="20" t="s">
        <v>184</v>
      </c>
      <c r="T191" s="20" t="s">
        <v>2416</v>
      </c>
      <c r="U191" s="20" t="s">
        <v>2499</v>
      </c>
    </row>
    <row r="192" spans="1:21">
      <c r="A192">
        <v>121</v>
      </c>
      <c r="B192" s="20" t="s">
        <v>346</v>
      </c>
      <c r="C192" s="20" t="s">
        <v>346</v>
      </c>
      <c r="D192">
        <v>2</v>
      </c>
      <c r="F192">
        <v>1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2</v>
      </c>
      <c r="M192">
        <v>2</v>
      </c>
      <c r="N192">
        <v>2</v>
      </c>
      <c r="O192">
        <v>0</v>
      </c>
      <c r="P192">
        <v>0</v>
      </c>
      <c r="Q192" s="20" t="s">
        <v>2392</v>
      </c>
      <c r="R192" s="20" t="s">
        <v>2392</v>
      </c>
      <c r="S192" s="20" t="s">
        <v>2392</v>
      </c>
      <c r="T192" s="20" t="s">
        <v>2392</v>
      </c>
      <c r="U192" s="20" t="s">
        <v>2392</v>
      </c>
    </row>
    <row r="193" spans="1:21">
      <c r="A193">
        <v>314</v>
      </c>
      <c r="B193" s="20" t="s">
        <v>347</v>
      </c>
      <c r="C193" s="20" t="s">
        <v>255</v>
      </c>
      <c r="D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 s="20" t="s">
        <v>2392</v>
      </c>
      <c r="R193" s="20" t="s">
        <v>2392</v>
      </c>
      <c r="S193" s="20" t="s">
        <v>2392</v>
      </c>
      <c r="T193" s="20" t="s">
        <v>2392</v>
      </c>
      <c r="U193" s="20" t="s">
        <v>2392</v>
      </c>
    </row>
    <row r="194" spans="1:21">
      <c r="A194">
        <v>43</v>
      </c>
      <c r="B194" s="20" t="s">
        <v>209</v>
      </c>
      <c r="C194" s="20" t="s">
        <v>196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 s="20" t="s">
        <v>2500</v>
      </c>
      <c r="R194" s="20" t="s">
        <v>2392</v>
      </c>
      <c r="S194" s="20" t="s">
        <v>2392</v>
      </c>
      <c r="T194" s="20" t="s">
        <v>2392</v>
      </c>
      <c r="U194" s="20" t="s">
        <v>2392</v>
      </c>
    </row>
    <row r="195" spans="1:21">
      <c r="A195">
        <v>51</v>
      </c>
      <c r="B195" s="20" t="s">
        <v>348</v>
      </c>
      <c r="C195" s="20" t="s">
        <v>301</v>
      </c>
      <c r="D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 s="20" t="s">
        <v>2392</v>
      </c>
      <c r="R195" s="20" t="s">
        <v>2392</v>
      </c>
      <c r="S195" s="20" t="s">
        <v>2392</v>
      </c>
      <c r="T195" s="20" t="s">
        <v>2392</v>
      </c>
      <c r="U195" s="20" t="s">
        <v>2501</v>
      </c>
    </row>
    <row r="196" spans="1:21">
      <c r="A196">
        <v>162</v>
      </c>
      <c r="B196" s="20" t="s">
        <v>349</v>
      </c>
      <c r="C196" s="20" t="s">
        <v>349</v>
      </c>
      <c r="D196">
        <v>0</v>
      </c>
      <c r="F196">
        <v>0</v>
      </c>
      <c r="G196">
        <v>0</v>
      </c>
      <c r="H196">
        <v>1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 s="20" t="s">
        <v>2392</v>
      </c>
      <c r="R196" s="20" t="s">
        <v>2392</v>
      </c>
      <c r="S196" s="20" t="s">
        <v>2392</v>
      </c>
      <c r="T196" s="20" t="s">
        <v>2392</v>
      </c>
      <c r="U196" s="20" t="s">
        <v>2392</v>
      </c>
    </row>
    <row r="197" spans="1:21">
      <c r="A197">
        <v>313</v>
      </c>
      <c r="B197" s="20" t="s">
        <v>350</v>
      </c>
      <c r="C197" s="20" t="s">
        <v>2451</v>
      </c>
      <c r="D197">
        <v>0</v>
      </c>
      <c r="F197">
        <v>0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 s="20" t="s">
        <v>2392</v>
      </c>
      <c r="R197" s="20" t="s">
        <v>2392</v>
      </c>
      <c r="S197" s="20" t="s">
        <v>2392</v>
      </c>
      <c r="T197" s="20" t="s">
        <v>2392</v>
      </c>
      <c r="U197" s="20" t="s">
        <v>2392</v>
      </c>
    </row>
    <row r="198" spans="1:21">
      <c r="A198">
        <v>172</v>
      </c>
      <c r="B198" s="20" t="s">
        <v>351</v>
      </c>
      <c r="C198" s="20" t="s">
        <v>351</v>
      </c>
      <c r="D198">
        <v>0</v>
      </c>
      <c r="F198">
        <v>0</v>
      </c>
      <c r="G198">
        <v>0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 s="20" t="s">
        <v>2392</v>
      </c>
      <c r="R198" s="20" t="s">
        <v>2392</v>
      </c>
      <c r="S198" s="20" t="s">
        <v>2392</v>
      </c>
      <c r="T198" s="20" t="s">
        <v>2392</v>
      </c>
      <c r="U198" s="20" t="s">
        <v>2392</v>
      </c>
    </row>
    <row r="199" spans="1:21">
      <c r="A199">
        <v>204</v>
      </c>
      <c r="B199" s="20" t="s">
        <v>93</v>
      </c>
      <c r="C199" s="20" t="s">
        <v>107</v>
      </c>
      <c r="D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s="20" t="s">
        <v>100</v>
      </c>
      <c r="R199" s="20" t="s">
        <v>2392</v>
      </c>
      <c r="S199" s="20" t="s">
        <v>2278</v>
      </c>
      <c r="T199" s="20" t="s">
        <v>2487</v>
      </c>
      <c r="U199" s="20" t="s">
        <v>2392</v>
      </c>
    </row>
    <row r="200" spans="1:21">
      <c r="A200">
        <v>351</v>
      </c>
      <c r="B200" s="20" t="s">
        <v>352</v>
      </c>
      <c r="C200" s="20" t="s">
        <v>2451</v>
      </c>
      <c r="D200">
        <v>0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 s="20" t="s">
        <v>2392</v>
      </c>
      <c r="R200" s="20" t="s">
        <v>2392</v>
      </c>
      <c r="S200" s="20" t="s">
        <v>2392</v>
      </c>
      <c r="T200" s="20" t="s">
        <v>2392</v>
      </c>
      <c r="U200" s="20" t="s">
        <v>2392</v>
      </c>
    </row>
    <row r="201" spans="1:21">
      <c r="A201">
        <v>47</v>
      </c>
      <c r="B201" s="20" t="s">
        <v>353</v>
      </c>
      <c r="C201" s="20" t="s">
        <v>353</v>
      </c>
      <c r="D201">
        <v>2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2</v>
      </c>
      <c r="L201">
        <v>2</v>
      </c>
      <c r="M201">
        <v>2</v>
      </c>
      <c r="N201">
        <v>2</v>
      </c>
      <c r="O201">
        <v>0</v>
      </c>
      <c r="P201">
        <v>0</v>
      </c>
      <c r="Q201" s="20" t="s">
        <v>2392</v>
      </c>
      <c r="R201" s="20" t="s">
        <v>2392</v>
      </c>
      <c r="S201" s="20" t="s">
        <v>2392</v>
      </c>
      <c r="T201" s="20" t="s">
        <v>2392</v>
      </c>
      <c r="U201" s="20" t="s">
        <v>2392</v>
      </c>
    </row>
    <row r="202" spans="1:21">
      <c r="A202">
        <v>24</v>
      </c>
      <c r="B202" s="20" t="s">
        <v>132</v>
      </c>
      <c r="C202" s="20" t="s">
        <v>132</v>
      </c>
      <c r="D202">
        <v>4</v>
      </c>
      <c r="E202">
        <v>1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2</v>
      </c>
      <c r="L202">
        <v>3</v>
      </c>
      <c r="M202">
        <v>4</v>
      </c>
      <c r="N202">
        <v>4</v>
      </c>
      <c r="O202">
        <v>0</v>
      </c>
      <c r="P202">
        <v>0</v>
      </c>
      <c r="Q202" s="20" t="s">
        <v>2392</v>
      </c>
      <c r="R202" s="20" t="s">
        <v>2392</v>
      </c>
      <c r="S202" s="20" t="s">
        <v>2392</v>
      </c>
      <c r="T202" s="20" t="s">
        <v>2392</v>
      </c>
      <c r="U202" s="20" t="s">
        <v>2502</v>
      </c>
    </row>
    <row r="203" spans="1:21">
      <c r="A203">
        <v>39</v>
      </c>
      <c r="B203" s="20" t="s">
        <v>210</v>
      </c>
      <c r="C203" s="20" t="s">
        <v>210</v>
      </c>
      <c r="D203">
        <v>3</v>
      </c>
      <c r="E203">
        <v>1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3</v>
      </c>
      <c r="L203">
        <v>3</v>
      </c>
      <c r="M203">
        <v>3</v>
      </c>
      <c r="N203">
        <v>3</v>
      </c>
      <c r="O203">
        <v>0</v>
      </c>
      <c r="P203">
        <v>0</v>
      </c>
      <c r="Q203" s="20" t="s">
        <v>2392</v>
      </c>
      <c r="R203" s="20" t="s">
        <v>2392</v>
      </c>
      <c r="S203" s="20" t="s">
        <v>2392</v>
      </c>
      <c r="T203" s="20" t="s">
        <v>2392</v>
      </c>
      <c r="U203" s="20" t="s">
        <v>2392</v>
      </c>
    </row>
    <row r="204" spans="1:21">
      <c r="A204">
        <v>194</v>
      </c>
      <c r="B204" s="20" t="s">
        <v>354</v>
      </c>
      <c r="C204" s="20" t="s">
        <v>2503</v>
      </c>
      <c r="D204">
        <v>1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 s="20" t="s">
        <v>2392</v>
      </c>
      <c r="R204" s="20" t="s">
        <v>2392</v>
      </c>
      <c r="S204" s="20" t="s">
        <v>2392</v>
      </c>
      <c r="T204" s="20" t="s">
        <v>2392</v>
      </c>
      <c r="U204" s="20" t="s">
        <v>2504</v>
      </c>
    </row>
    <row r="205" spans="1:21">
      <c r="A205">
        <v>89</v>
      </c>
      <c r="B205" s="20" t="s">
        <v>249</v>
      </c>
      <c r="C205" s="20" t="s">
        <v>249</v>
      </c>
      <c r="D205">
        <v>4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4</v>
      </c>
      <c r="L205">
        <v>3</v>
      </c>
      <c r="M205">
        <v>0</v>
      </c>
      <c r="N205">
        <v>0</v>
      </c>
      <c r="O205">
        <v>0</v>
      </c>
      <c r="P205">
        <v>0</v>
      </c>
      <c r="Q205" s="20" t="s">
        <v>2392</v>
      </c>
      <c r="R205" s="20" t="s">
        <v>2392</v>
      </c>
      <c r="S205" s="20" t="s">
        <v>2392</v>
      </c>
      <c r="T205" s="20" t="s">
        <v>2392</v>
      </c>
      <c r="U205" s="20" t="s">
        <v>2505</v>
      </c>
    </row>
    <row r="206" spans="1:21">
      <c r="A206">
        <v>149</v>
      </c>
      <c r="B206" s="20" t="s">
        <v>133</v>
      </c>
      <c r="C206" s="20" t="s">
        <v>133</v>
      </c>
      <c r="D206">
        <v>3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3</v>
      </c>
      <c r="L206">
        <v>3</v>
      </c>
      <c r="M206">
        <v>3</v>
      </c>
      <c r="N206">
        <v>3</v>
      </c>
      <c r="O206">
        <v>0</v>
      </c>
      <c r="P206">
        <v>0</v>
      </c>
      <c r="Q206" s="20" t="s">
        <v>2392</v>
      </c>
      <c r="R206" s="20" t="s">
        <v>2392</v>
      </c>
      <c r="S206" s="20" t="s">
        <v>2392</v>
      </c>
      <c r="T206" s="20" t="s">
        <v>2392</v>
      </c>
      <c r="U206" s="20" t="s">
        <v>2392</v>
      </c>
    </row>
    <row r="207" spans="1:21">
      <c r="A207">
        <v>53</v>
      </c>
      <c r="B207" s="20" t="s">
        <v>211</v>
      </c>
      <c r="C207" s="20" t="s">
        <v>211</v>
      </c>
      <c r="D207">
        <v>5</v>
      </c>
      <c r="E207">
        <v>1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5</v>
      </c>
      <c r="L207">
        <v>5</v>
      </c>
      <c r="M207">
        <v>5</v>
      </c>
      <c r="N207">
        <v>5</v>
      </c>
      <c r="O207">
        <v>0</v>
      </c>
      <c r="P207">
        <v>0</v>
      </c>
      <c r="Q207" s="20" t="s">
        <v>2392</v>
      </c>
      <c r="R207" s="20" t="s">
        <v>2392</v>
      </c>
      <c r="S207" s="20" t="s">
        <v>2392</v>
      </c>
      <c r="T207" s="20" t="s">
        <v>2392</v>
      </c>
      <c r="U207" s="20" t="s">
        <v>2392</v>
      </c>
    </row>
    <row r="208" spans="1:21">
      <c r="A208">
        <v>340</v>
      </c>
      <c r="B208" s="20" t="s">
        <v>94</v>
      </c>
      <c r="C208" s="20" t="s">
        <v>77</v>
      </c>
      <c r="D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s="20" t="s">
        <v>77</v>
      </c>
      <c r="R208" s="20" t="s">
        <v>2392</v>
      </c>
      <c r="S208" s="20" t="s">
        <v>2270</v>
      </c>
      <c r="T208" s="20" t="s">
        <v>2399</v>
      </c>
      <c r="U208" s="20" t="s">
        <v>2392</v>
      </c>
    </row>
    <row r="209" spans="1:21">
      <c r="A209">
        <v>505</v>
      </c>
      <c r="B209" s="20" t="s">
        <v>134</v>
      </c>
      <c r="C209" s="20" t="s">
        <v>134</v>
      </c>
      <c r="D209">
        <v>3</v>
      </c>
      <c r="E209">
        <v>2</v>
      </c>
      <c r="F209">
        <v>1</v>
      </c>
      <c r="G209">
        <v>0</v>
      </c>
      <c r="H209">
        <v>0</v>
      </c>
      <c r="I209">
        <v>1</v>
      </c>
      <c r="J209">
        <v>0</v>
      </c>
      <c r="K209">
        <v>3</v>
      </c>
      <c r="L209">
        <v>3</v>
      </c>
      <c r="M209">
        <v>3</v>
      </c>
      <c r="N209">
        <v>0</v>
      </c>
      <c r="O209">
        <v>0</v>
      </c>
      <c r="P209">
        <v>0</v>
      </c>
      <c r="Q209" s="20" t="s">
        <v>2392</v>
      </c>
      <c r="R209" s="20" t="s">
        <v>2392</v>
      </c>
      <c r="S209" s="20" t="s">
        <v>2392</v>
      </c>
      <c r="T209" s="20" t="s">
        <v>2392</v>
      </c>
      <c r="U209" s="20" t="s">
        <v>2392</v>
      </c>
    </row>
    <row r="210" spans="1:21">
      <c r="A210">
        <v>5</v>
      </c>
      <c r="B210" s="20" t="s">
        <v>135</v>
      </c>
      <c r="C210" s="20" t="s">
        <v>135</v>
      </c>
      <c r="D210">
        <v>3</v>
      </c>
      <c r="E210">
        <v>2</v>
      </c>
      <c r="F210">
        <v>1</v>
      </c>
      <c r="G210">
        <v>0</v>
      </c>
      <c r="H210">
        <v>0</v>
      </c>
      <c r="I210">
        <v>1</v>
      </c>
      <c r="J210">
        <v>0</v>
      </c>
      <c r="K210">
        <v>3</v>
      </c>
      <c r="L210">
        <v>3</v>
      </c>
      <c r="M210">
        <v>3</v>
      </c>
      <c r="N210">
        <v>6</v>
      </c>
      <c r="O210">
        <v>0</v>
      </c>
      <c r="P210">
        <v>0</v>
      </c>
      <c r="Q210" s="20" t="s">
        <v>2392</v>
      </c>
      <c r="R210" s="20" t="s">
        <v>2392</v>
      </c>
      <c r="S210" s="20" t="s">
        <v>2392</v>
      </c>
      <c r="T210" s="20" t="s">
        <v>2392</v>
      </c>
      <c r="U210" s="20" t="s">
        <v>2392</v>
      </c>
    </row>
    <row r="211" spans="1:21">
      <c r="A211">
        <v>352</v>
      </c>
      <c r="B211" s="20" t="s">
        <v>355</v>
      </c>
      <c r="C211" s="20" t="s">
        <v>356</v>
      </c>
      <c r="D211">
        <v>0</v>
      </c>
      <c r="F211">
        <v>0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2</v>
      </c>
      <c r="M211">
        <v>0</v>
      </c>
      <c r="N211">
        <v>0</v>
      </c>
      <c r="O211">
        <v>1</v>
      </c>
      <c r="P211">
        <v>0</v>
      </c>
      <c r="Q211" s="20" t="s">
        <v>2392</v>
      </c>
      <c r="R211" s="20" t="s">
        <v>2392</v>
      </c>
      <c r="S211" s="20" t="s">
        <v>2392</v>
      </c>
      <c r="T211" s="20" t="s">
        <v>2392</v>
      </c>
      <c r="U211" s="20" t="s">
        <v>2392</v>
      </c>
    </row>
    <row r="212" spans="1:21">
      <c r="A212">
        <v>245</v>
      </c>
      <c r="B212" s="20" t="s">
        <v>268</v>
      </c>
      <c r="C212" s="20" t="s">
        <v>217</v>
      </c>
      <c r="D212">
        <v>1</v>
      </c>
      <c r="E212">
        <v>2</v>
      </c>
      <c r="F212">
        <v>1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 s="20" t="s">
        <v>2392</v>
      </c>
      <c r="R212" s="20" t="s">
        <v>2392</v>
      </c>
      <c r="S212" s="20" t="s">
        <v>2392</v>
      </c>
      <c r="T212" s="20" t="s">
        <v>2392</v>
      </c>
      <c r="U212" s="20" t="s">
        <v>2392</v>
      </c>
    </row>
    <row r="213" spans="1:21">
      <c r="A213">
        <v>37</v>
      </c>
      <c r="B213" s="20" t="s">
        <v>115</v>
      </c>
      <c r="C213" s="20" t="s">
        <v>115</v>
      </c>
      <c r="D213">
        <v>3</v>
      </c>
      <c r="E213">
        <v>4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3</v>
      </c>
      <c r="L213">
        <v>3</v>
      </c>
      <c r="M213">
        <v>3</v>
      </c>
      <c r="N213">
        <v>3</v>
      </c>
      <c r="O213">
        <v>0</v>
      </c>
      <c r="P213">
        <v>0</v>
      </c>
      <c r="Q213" s="20" t="s">
        <v>2392</v>
      </c>
      <c r="R213" s="20" t="s">
        <v>2392</v>
      </c>
      <c r="S213" s="20" t="s">
        <v>2392</v>
      </c>
      <c r="T213" s="20" t="s">
        <v>2392</v>
      </c>
      <c r="U213" s="20" t="s">
        <v>2392</v>
      </c>
    </row>
    <row r="214" spans="1:21">
      <c r="A214">
        <v>48</v>
      </c>
      <c r="B214" s="20" t="s">
        <v>212</v>
      </c>
      <c r="C214" s="20" t="s">
        <v>212</v>
      </c>
      <c r="D214">
        <v>4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4</v>
      </c>
      <c r="L214">
        <v>4</v>
      </c>
      <c r="M214">
        <v>4</v>
      </c>
      <c r="N214">
        <v>0</v>
      </c>
      <c r="O214">
        <v>0</v>
      </c>
      <c r="P214">
        <v>0</v>
      </c>
      <c r="Q214" s="20" t="s">
        <v>2392</v>
      </c>
      <c r="R214" s="20" t="s">
        <v>2392</v>
      </c>
      <c r="S214" s="20" t="s">
        <v>2392</v>
      </c>
      <c r="T214" s="20" t="s">
        <v>2392</v>
      </c>
      <c r="U214" s="20" t="s">
        <v>2392</v>
      </c>
    </row>
    <row r="215" spans="1:21">
      <c r="A215">
        <v>4</v>
      </c>
      <c r="B215" s="20" t="s">
        <v>213</v>
      </c>
      <c r="C215" s="20" t="s">
        <v>213</v>
      </c>
      <c r="D215">
        <v>2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0</v>
      </c>
      <c r="K215">
        <v>2</v>
      </c>
      <c r="L215">
        <v>2</v>
      </c>
      <c r="M215">
        <v>2</v>
      </c>
      <c r="N215">
        <v>0</v>
      </c>
      <c r="O215">
        <v>0</v>
      </c>
      <c r="P215">
        <v>0</v>
      </c>
      <c r="Q215" s="20" t="s">
        <v>2392</v>
      </c>
      <c r="R215" s="20" t="s">
        <v>2392</v>
      </c>
      <c r="S215" s="20" t="s">
        <v>2392</v>
      </c>
      <c r="T215" s="20" t="s">
        <v>2392</v>
      </c>
      <c r="U215" s="20" t="s">
        <v>2392</v>
      </c>
    </row>
    <row r="216" spans="1:21">
      <c r="A216">
        <v>79</v>
      </c>
      <c r="B216" s="20" t="s">
        <v>214</v>
      </c>
      <c r="C216" s="20" t="s">
        <v>214</v>
      </c>
      <c r="D216">
        <v>2</v>
      </c>
      <c r="E216">
        <v>1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3</v>
      </c>
      <c r="L216">
        <v>2</v>
      </c>
      <c r="M216">
        <v>2</v>
      </c>
      <c r="N216">
        <v>2</v>
      </c>
      <c r="O216">
        <v>0</v>
      </c>
      <c r="P216">
        <v>0</v>
      </c>
      <c r="Q216" s="20" t="s">
        <v>2392</v>
      </c>
      <c r="R216" s="20" t="s">
        <v>2392</v>
      </c>
      <c r="S216" s="20" t="s">
        <v>2392</v>
      </c>
      <c r="T216" s="20" t="s">
        <v>2392</v>
      </c>
      <c r="U216" s="20" t="s">
        <v>2392</v>
      </c>
    </row>
    <row r="217" spans="1:21">
      <c r="A217">
        <v>55</v>
      </c>
      <c r="B217" s="20" t="s">
        <v>194</v>
      </c>
      <c r="C217" s="20" t="s">
        <v>194</v>
      </c>
      <c r="D217">
        <v>2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4</v>
      </c>
      <c r="L217">
        <v>2</v>
      </c>
      <c r="M217">
        <v>2</v>
      </c>
      <c r="N217">
        <v>0</v>
      </c>
      <c r="O217">
        <v>0</v>
      </c>
      <c r="P217">
        <v>0</v>
      </c>
      <c r="Q217" s="20" t="s">
        <v>2392</v>
      </c>
      <c r="R217" s="20" t="s">
        <v>2392</v>
      </c>
      <c r="S217" s="20" t="s">
        <v>2392</v>
      </c>
      <c r="T217" s="20" t="s">
        <v>2392</v>
      </c>
      <c r="U217" s="20" t="s">
        <v>2392</v>
      </c>
    </row>
    <row r="218" spans="1:21">
      <c r="A218">
        <v>143</v>
      </c>
      <c r="B218" s="20" t="s">
        <v>215</v>
      </c>
      <c r="C218" s="20" t="s">
        <v>338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s="20" t="s">
        <v>2486</v>
      </c>
      <c r="R218" s="20" t="s">
        <v>2506</v>
      </c>
      <c r="S218" s="20" t="s">
        <v>2392</v>
      </c>
      <c r="T218" s="20" t="s">
        <v>2392</v>
      </c>
      <c r="U218" s="20" t="s">
        <v>2392</v>
      </c>
    </row>
    <row r="219" spans="1:21">
      <c r="A219">
        <v>515</v>
      </c>
      <c r="B219" s="20" t="s">
        <v>250</v>
      </c>
      <c r="C219" s="20" t="s">
        <v>2396</v>
      </c>
      <c r="D219">
        <v>0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 s="20" t="s">
        <v>2392</v>
      </c>
      <c r="R219" s="20" t="s">
        <v>2392</v>
      </c>
      <c r="S219" s="20" t="s">
        <v>2392</v>
      </c>
      <c r="T219" s="20" t="s">
        <v>2392</v>
      </c>
      <c r="U219" s="20" t="s">
        <v>2392</v>
      </c>
    </row>
    <row r="220" spans="1:21">
      <c r="A220">
        <v>516</v>
      </c>
      <c r="B220" s="20" t="s">
        <v>251</v>
      </c>
      <c r="C220" s="20" t="s">
        <v>2396</v>
      </c>
      <c r="D220">
        <v>0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 s="20" t="s">
        <v>2392</v>
      </c>
      <c r="R220" s="20" t="s">
        <v>2392</v>
      </c>
      <c r="S220" s="20" t="s">
        <v>2392</v>
      </c>
      <c r="T220" s="20" t="s">
        <v>2392</v>
      </c>
      <c r="U220" s="20" t="s">
        <v>2392</v>
      </c>
    </row>
    <row r="221" spans="1:21">
      <c r="A221">
        <v>517</v>
      </c>
      <c r="B221" s="20" t="s">
        <v>252</v>
      </c>
      <c r="C221" s="20" t="s">
        <v>386</v>
      </c>
      <c r="D221">
        <v>0</v>
      </c>
      <c r="F221">
        <v>0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 s="20" t="s">
        <v>2392</v>
      </c>
      <c r="R221" s="20" t="s">
        <v>2392</v>
      </c>
      <c r="S221" s="20" t="s">
        <v>2392</v>
      </c>
      <c r="T221" s="20" t="s">
        <v>2392</v>
      </c>
      <c r="U221" s="20" t="s">
        <v>2392</v>
      </c>
    </row>
    <row r="222" spans="1:21">
      <c r="A222">
        <v>167</v>
      </c>
      <c r="B222" s="20" t="s">
        <v>356</v>
      </c>
      <c r="C222" s="20" t="s">
        <v>356</v>
      </c>
      <c r="D222">
        <v>0</v>
      </c>
      <c r="F222">
        <v>0</v>
      </c>
      <c r="G222">
        <v>0</v>
      </c>
      <c r="H222">
        <v>1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 s="20" t="s">
        <v>2392</v>
      </c>
      <c r="R222" s="20" t="s">
        <v>2392</v>
      </c>
      <c r="S222" s="20" t="s">
        <v>2392</v>
      </c>
      <c r="T222" s="20" t="s">
        <v>2392</v>
      </c>
      <c r="U222" s="20" t="s">
        <v>2392</v>
      </c>
    </row>
    <row r="223" spans="1:21">
      <c r="A223">
        <v>117</v>
      </c>
      <c r="B223" s="20" t="s">
        <v>357</v>
      </c>
      <c r="C223" s="20" t="s">
        <v>357</v>
      </c>
      <c r="D223">
        <v>2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2</v>
      </c>
      <c r="M223">
        <v>2</v>
      </c>
      <c r="N223">
        <v>2</v>
      </c>
      <c r="O223">
        <v>0</v>
      </c>
      <c r="P223">
        <v>0</v>
      </c>
      <c r="Q223" s="20" t="s">
        <v>2392</v>
      </c>
      <c r="R223" s="20" t="s">
        <v>2392</v>
      </c>
      <c r="S223" s="20" t="s">
        <v>2392</v>
      </c>
      <c r="T223" s="20" t="s">
        <v>2392</v>
      </c>
      <c r="U223" s="20" t="s">
        <v>2392</v>
      </c>
    </row>
    <row r="224" spans="1:21">
      <c r="A224">
        <v>18</v>
      </c>
      <c r="B224" s="20" t="s">
        <v>55</v>
      </c>
      <c r="C224" s="20" t="s">
        <v>55</v>
      </c>
      <c r="D224">
        <v>2</v>
      </c>
      <c r="E224">
        <v>4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2</v>
      </c>
      <c r="L224">
        <v>3</v>
      </c>
      <c r="M224">
        <v>3</v>
      </c>
      <c r="N224">
        <v>2</v>
      </c>
      <c r="O224">
        <v>0</v>
      </c>
      <c r="P224">
        <v>0</v>
      </c>
      <c r="Q224" s="20" t="s">
        <v>2392</v>
      </c>
      <c r="R224" s="20" t="s">
        <v>2392</v>
      </c>
      <c r="S224" s="20" t="s">
        <v>184</v>
      </c>
      <c r="T224" s="20" t="s">
        <v>2416</v>
      </c>
      <c r="U224" s="20" t="s">
        <v>2392</v>
      </c>
    </row>
    <row r="225" spans="1:21">
      <c r="A225">
        <v>19</v>
      </c>
      <c r="B225" s="20" t="s">
        <v>104</v>
      </c>
      <c r="C225" s="20" t="s">
        <v>55</v>
      </c>
      <c r="D225">
        <v>1</v>
      </c>
      <c r="E225">
        <v>4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 s="20" t="s">
        <v>2392</v>
      </c>
      <c r="R225" s="20" t="s">
        <v>2392</v>
      </c>
      <c r="S225" s="20" t="s">
        <v>184</v>
      </c>
      <c r="T225" s="20" t="s">
        <v>2416</v>
      </c>
      <c r="U225" s="20" t="s">
        <v>2392</v>
      </c>
    </row>
    <row r="226" spans="1:21">
      <c r="A226">
        <v>218</v>
      </c>
      <c r="B226" s="20" t="s">
        <v>195</v>
      </c>
      <c r="C226" s="20" t="s">
        <v>337</v>
      </c>
      <c r="D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 s="20" t="s">
        <v>2392</v>
      </c>
      <c r="R226" s="20" t="s">
        <v>2392</v>
      </c>
      <c r="S226" s="20" t="s">
        <v>2392</v>
      </c>
      <c r="T226" s="20" t="s">
        <v>2392</v>
      </c>
      <c r="U226" s="20" t="s">
        <v>2392</v>
      </c>
    </row>
    <row r="227" spans="1:21">
      <c r="A227">
        <v>241</v>
      </c>
      <c r="B227" s="20" t="s">
        <v>107</v>
      </c>
      <c r="C227" s="20" t="s">
        <v>107</v>
      </c>
      <c r="D227">
        <v>0</v>
      </c>
      <c r="F227">
        <v>0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1</v>
      </c>
      <c r="Q227" s="20" t="s">
        <v>100</v>
      </c>
      <c r="R227" s="20" t="s">
        <v>2392</v>
      </c>
      <c r="S227" s="20" t="s">
        <v>2392</v>
      </c>
      <c r="T227" s="20" t="s">
        <v>2392</v>
      </c>
      <c r="U227" s="20" t="s">
        <v>2392</v>
      </c>
    </row>
    <row r="228" spans="1:21">
      <c r="A228">
        <v>135</v>
      </c>
      <c r="B228" s="20" t="s">
        <v>42</v>
      </c>
      <c r="C228" s="20" t="s">
        <v>2507</v>
      </c>
      <c r="D228">
        <v>0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2</v>
      </c>
      <c r="M228">
        <v>2</v>
      </c>
      <c r="N228">
        <v>0</v>
      </c>
      <c r="O228">
        <v>0</v>
      </c>
      <c r="P228">
        <v>1</v>
      </c>
      <c r="Q228" s="20" t="s">
        <v>2508</v>
      </c>
      <c r="R228" s="20" t="s">
        <v>2392</v>
      </c>
      <c r="S228" s="20" t="s">
        <v>184</v>
      </c>
      <c r="T228" s="20" t="s">
        <v>2509</v>
      </c>
      <c r="U228" s="20" t="s">
        <v>2392</v>
      </c>
    </row>
    <row r="229" spans="1:21">
      <c r="A229">
        <v>177</v>
      </c>
      <c r="B229" s="20" t="s">
        <v>148</v>
      </c>
      <c r="C229" s="20" t="s">
        <v>2507</v>
      </c>
      <c r="D229">
        <v>2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 s="20" t="s">
        <v>2392</v>
      </c>
      <c r="R229" s="20" t="s">
        <v>2392</v>
      </c>
      <c r="S229" s="20" t="s">
        <v>184</v>
      </c>
      <c r="T229" s="20" t="s">
        <v>2416</v>
      </c>
      <c r="U229" s="20" t="s">
        <v>2392</v>
      </c>
    </row>
    <row r="230" spans="1:21">
      <c r="A230">
        <v>99</v>
      </c>
      <c r="B230" s="20" t="s">
        <v>43</v>
      </c>
      <c r="C230" s="20" t="s">
        <v>43</v>
      </c>
      <c r="D230">
        <v>1</v>
      </c>
      <c r="F230">
        <v>1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0</v>
      </c>
      <c r="Q230" s="20" t="s">
        <v>2392</v>
      </c>
      <c r="R230" s="20" t="s">
        <v>2392</v>
      </c>
      <c r="S230" s="20" t="s">
        <v>184</v>
      </c>
      <c r="T230" s="20" t="s">
        <v>2416</v>
      </c>
      <c r="U230" s="20" t="s">
        <v>2392</v>
      </c>
    </row>
    <row r="231" spans="1:21">
      <c r="A231">
        <v>282</v>
      </c>
      <c r="B231" s="20" t="s">
        <v>216</v>
      </c>
      <c r="C231" s="20" t="s">
        <v>356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 s="20" t="s">
        <v>2392</v>
      </c>
      <c r="R231" s="20" t="s">
        <v>2392</v>
      </c>
      <c r="S231" s="20" t="s">
        <v>2392</v>
      </c>
      <c r="T231" s="20" t="s">
        <v>2392</v>
      </c>
      <c r="U231" s="20" t="s">
        <v>2392</v>
      </c>
    </row>
    <row r="232" spans="1:21">
      <c r="A232">
        <v>280</v>
      </c>
      <c r="B232" s="20" t="s">
        <v>253</v>
      </c>
      <c r="C232" s="20" t="s">
        <v>253</v>
      </c>
      <c r="D232">
        <v>0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 s="20" t="s">
        <v>2392</v>
      </c>
      <c r="R232" s="20" t="s">
        <v>2392</v>
      </c>
      <c r="S232" s="20" t="s">
        <v>2392</v>
      </c>
      <c r="T232" s="20" t="s">
        <v>2392</v>
      </c>
      <c r="U232" s="20" t="s">
        <v>2392</v>
      </c>
    </row>
    <row r="233" spans="1:21">
      <c r="A233">
        <v>93</v>
      </c>
      <c r="B233" s="20" t="s">
        <v>123</v>
      </c>
      <c r="C233" s="20" t="s">
        <v>123</v>
      </c>
      <c r="D233">
        <v>2</v>
      </c>
      <c r="E233">
        <v>4</v>
      </c>
      <c r="F233">
        <v>1</v>
      </c>
      <c r="G233">
        <v>0</v>
      </c>
      <c r="H233">
        <v>0</v>
      </c>
      <c r="I233">
        <v>1</v>
      </c>
      <c r="J233">
        <v>0</v>
      </c>
      <c r="K233">
        <v>3</v>
      </c>
      <c r="L233">
        <v>2</v>
      </c>
      <c r="M233">
        <v>2</v>
      </c>
      <c r="N233">
        <v>2</v>
      </c>
      <c r="O233">
        <v>0</v>
      </c>
      <c r="P233">
        <v>0</v>
      </c>
      <c r="Q233" s="20" t="s">
        <v>2392</v>
      </c>
      <c r="R233" s="20" t="s">
        <v>2392</v>
      </c>
      <c r="S233" s="20" t="s">
        <v>2392</v>
      </c>
      <c r="T233" s="20" t="s">
        <v>2392</v>
      </c>
      <c r="U233" s="20" t="s">
        <v>2392</v>
      </c>
    </row>
    <row r="234" spans="1:21">
      <c r="A234">
        <v>38</v>
      </c>
      <c r="B234" s="20" t="s">
        <v>136</v>
      </c>
      <c r="C234" s="20" t="s">
        <v>136</v>
      </c>
      <c r="D234">
        <v>3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3</v>
      </c>
      <c r="L234">
        <v>3</v>
      </c>
      <c r="M234">
        <v>3</v>
      </c>
      <c r="N234">
        <v>3</v>
      </c>
      <c r="O234">
        <v>0</v>
      </c>
      <c r="P234">
        <v>0</v>
      </c>
      <c r="Q234" s="20" t="s">
        <v>2392</v>
      </c>
      <c r="R234" s="20" t="s">
        <v>2392</v>
      </c>
      <c r="S234" s="20" t="s">
        <v>2392</v>
      </c>
      <c r="T234" s="20" t="s">
        <v>2392</v>
      </c>
      <c r="U234" s="20" t="s">
        <v>2392</v>
      </c>
    </row>
    <row r="235" spans="1:21">
      <c r="A235">
        <v>377</v>
      </c>
      <c r="B235" s="20" t="s">
        <v>95</v>
      </c>
      <c r="C235" s="20" t="s">
        <v>2510</v>
      </c>
      <c r="D235">
        <v>0</v>
      </c>
      <c r="E235" t="s">
        <v>2511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s="20" t="s">
        <v>2512</v>
      </c>
      <c r="R235" s="20" t="s">
        <v>2392</v>
      </c>
      <c r="S235" s="20" t="s">
        <v>2392</v>
      </c>
      <c r="T235" s="20" t="s">
        <v>2392</v>
      </c>
      <c r="U235" s="20" t="s">
        <v>2392</v>
      </c>
    </row>
    <row r="236" spans="1:21">
      <c r="A236">
        <v>389</v>
      </c>
      <c r="B236" s="20" t="s">
        <v>358</v>
      </c>
      <c r="C236" s="20" t="s">
        <v>2396</v>
      </c>
      <c r="D236">
        <v>0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 s="20" t="s">
        <v>2392</v>
      </c>
      <c r="R236" s="20" t="s">
        <v>2392</v>
      </c>
      <c r="S236" s="20" t="s">
        <v>2270</v>
      </c>
      <c r="T236" s="20" t="s">
        <v>2399</v>
      </c>
      <c r="U236" s="20" t="s">
        <v>2392</v>
      </c>
    </row>
    <row r="237" spans="1:21">
      <c r="A237">
        <v>398</v>
      </c>
      <c r="B237" s="20" t="s">
        <v>359</v>
      </c>
      <c r="C237" s="20" t="s">
        <v>2396</v>
      </c>
      <c r="D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 s="20" t="s">
        <v>2392</v>
      </c>
      <c r="R237" s="20" t="s">
        <v>2392</v>
      </c>
      <c r="S237" s="20" t="s">
        <v>2270</v>
      </c>
      <c r="T237" s="20" t="s">
        <v>2399</v>
      </c>
      <c r="U237" s="20" t="s">
        <v>2392</v>
      </c>
    </row>
    <row r="238" spans="1:21">
      <c r="A238">
        <v>399</v>
      </c>
      <c r="B238" s="20" t="s">
        <v>360</v>
      </c>
      <c r="C238" s="20" t="s">
        <v>2396</v>
      </c>
      <c r="D238">
        <v>0</v>
      </c>
      <c r="F238">
        <v>0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 s="20" t="s">
        <v>2392</v>
      </c>
      <c r="R238" s="20" t="s">
        <v>2392</v>
      </c>
      <c r="S238" s="20" t="s">
        <v>2270</v>
      </c>
      <c r="T238" s="20" t="s">
        <v>2399</v>
      </c>
      <c r="U238" s="20" t="s">
        <v>2392</v>
      </c>
    </row>
    <row r="239" spans="1:21">
      <c r="A239">
        <v>158</v>
      </c>
      <c r="B239" s="20" t="s">
        <v>254</v>
      </c>
      <c r="C239" s="20" t="s">
        <v>349</v>
      </c>
      <c r="D239">
        <v>0</v>
      </c>
      <c r="F239">
        <v>0</v>
      </c>
      <c r="G239">
        <v>0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 s="20" t="s">
        <v>2392</v>
      </c>
      <c r="R239" s="20" t="s">
        <v>2392</v>
      </c>
      <c r="S239" s="20" t="s">
        <v>2392</v>
      </c>
      <c r="T239" s="20" t="s">
        <v>2392</v>
      </c>
      <c r="U239" s="20" t="s">
        <v>2392</v>
      </c>
    </row>
    <row r="240" spans="1:21">
      <c r="A240">
        <v>45</v>
      </c>
      <c r="B240" s="20" t="s">
        <v>361</v>
      </c>
      <c r="C240" s="20" t="s">
        <v>361</v>
      </c>
      <c r="D240">
        <v>2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2</v>
      </c>
      <c r="L240">
        <v>2</v>
      </c>
      <c r="M240">
        <v>2</v>
      </c>
      <c r="N240">
        <v>2</v>
      </c>
      <c r="O240">
        <v>0</v>
      </c>
      <c r="P240">
        <v>0</v>
      </c>
      <c r="Q240" s="20" t="s">
        <v>2392</v>
      </c>
      <c r="R240" s="20" t="s">
        <v>2392</v>
      </c>
      <c r="S240" s="20" t="s">
        <v>2392</v>
      </c>
      <c r="T240" s="20" t="s">
        <v>2392</v>
      </c>
      <c r="U240" s="20" t="s">
        <v>2392</v>
      </c>
    </row>
    <row r="241" spans="1:21">
      <c r="A241">
        <v>192</v>
      </c>
      <c r="B241" s="20" t="s">
        <v>65</v>
      </c>
      <c r="C241" s="20" t="s">
        <v>61</v>
      </c>
      <c r="D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 s="20" t="s">
        <v>2489</v>
      </c>
      <c r="R241" s="20" t="s">
        <v>2392</v>
      </c>
      <c r="S241" s="20" t="s">
        <v>2167</v>
      </c>
      <c r="T241" s="20" t="s">
        <v>2401</v>
      </c>
      <c r="U241" s="20" t="s">
        <v>2392</v>
      </c>
    </row>
    <row r="242" spans="1:21">
      <c r="A242">
        <v>36</v>
      </c>
      <c r="B242" s="20" t="s">
        <v>196</v>
      </c>
      <c r="C242" s="20" t="s">
        <v>196</v>
      </c>
      <c r="D242">
        <v>5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</v>
      </c>
      <c r="L242">
        <v>4</v>
      </c>
      <c r="M242">
        <v>4</v>
      </c>
      <c r="N242">
        <v>6</v>
      </c>
      <c r="O242">
        <v>0</v>
      </c>
      <c r="P242">
        <v>0</v>
      </c>
      <c r="Q242" s="20" t="s">
        <v>2392</v>
      </c>
      <c r="R242" s="20" t="s">
        <v>2392</v>
      </c>
      <c r="S242" s="20" t="s">
        <v>2392</v>
      </c>
      <c r="T242" s="20" t="s">
        <v>2392</v>
      </c>
      <c r="U242" s="20" t="s">
        <v>2513</v>
      </c>
    </row>
    <row r="243" spans="1:21">
      <c r="A243">
        <v>279</v>
      </c>
      <c r="B243" s="20" t="s">
        <v>362</v>
      </c>
      <c r="C243" s="20" t="s">
        <v>300</v>
      </c>
      <c r="D243">
        <v>0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s="20" t="s">
        <v>2482</v>
      </c>
      <c r="R243" s="20" t="s">
        <v>2392</v>
      </c>
      <c r="S243" s="20" t="s">
        <v>2392</v>
      </c>
      <c r="T243" s="20" t="s">
        <v>2392</v>
      </c>
      <c r="U243" s="20" t="s">
        <v>2483</v>
      </c>
    </row>
    <row r="244" spans="1:21">
      <c r="A244">
        <v>27</v>
      </c>
      <c r="B244" s="20" t="s">
        <v>44</v>
      </c>
      <c r="C244" s="20" t="s">
        <v>44</v>
      </c>
      <c r="D244">
        <v>4</v>
      </c>
      <c r="F244">
        <v>1</v>
      </c>
      <c r="G244">
        <v>0</v>
      </c>
      <c r="H244">
        <v>0</v>
      </c>
      <c r="I244">
        <v>1</v>
      </c>
      <c r="J244">
        <v>0</v>
      </c>
      <c r="K244">
        <v>4</v>
      </c>
      <c r="L244">
        <v>4</v>
      </c>
      <c r="M244">
        <v>4</v>
      </c>
      <c r="N244">
        <v>4</v>
      </c>
      <c r="O244">
        <v>0</v>
      </c>
      <c r="P244">
        <v>0</v>
      </c>
      <c r="Q244" s="20" t="s">
        <v>2392</v>
      </c>
      <c r="R244" s="20" t="s">
        <v>2392</v>
      </c>
      <c r="S244" s="20" t="s">
        <v>184</v>
      </c>
      <c r="T244" s="20" t="s">
        <v>2416</v>
      </c>
      <c r="U244" s="20" t="s">
        <v>2392</v>
      </c>
    </row>
    <row r="245" spans="1:21">
      <c r="A245">
        <v>67</v>
      </c>
      <c r="B245" s="20" t="s">
        <v>197</v>
      </c>
      <c r="C245" s="20" t="s">
        <v>197</v>
      </c>
      <c r="D245">
        <v>4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4</v>
      </c>
      <c r="L245">
        <v>4</v>
      </c>
      <c r="M245">
        <v>4</v>
      </c>
      <c r="N245">
        <v>3</v>
      </c>
      <c r="O245">
        <v>0</v>
      </c>
      <c r="P245">
        <v>0</v>
      </c>
      <c r="Q245" s="20" t="s">
        <v>2392</v>
      </c>
      <c r="R245" s="20" t="s">
        <v>2392</v>
      </c>
      <c r="S245" s="20" t="s">
        <v>2392</v>
      </c>
      <c r="T245" s="20" t="s">
        <v>2392</v>
      </c>
      <c r="U245" s="20" t="s">
        <v>2392</v>
      </c>
    </row>
    <row r="246" spans="1:21">
      <c r="A246">
        <v>71</v>
      </c>
      <c r="B246" s="20" t="s">
        <v>363</v>
      </c>
      <c r="C246" s="20" t="s">
        <v>363</v>
      </c>
      <c r="D246">
        <v>4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4</v>
      </c>
      <c r="L246">
        <v>4</v>
      </c>
      <c r="M246">
        <v>4</v>
      </c>
      <c r="N246">
        <v>4</v>
      </c>
      <c r="O246">
        <v>0</v>
      </c>
      <c r="P246">
        <v>0</v>
      </c>
      <c r="Q246" s="20" t="s">
        <v>2392</v>
      </c>
      <c r="R246" s="20" t="s">
        <v>2392</v>
      </c>
      <c r="S246" s="20" t="s">
        <v>2392</v>
      </c>
      <c r="T246" s="20" t="s">
        <v>2392</v>
      </c>
      <c r="U246" s="20" t="s">
        <v>2392</v>
      </c>
    </row>
    <row r="247" spans="1:21">
      <c r="A247">
        <v>35</v>
      </c>
      <c r="B247" s="20" t="s">
        <v>255</v>
      </c>
      <c r="C247" s="20" t="s">
        <v>255</v>
      </c>
      <c r="D247">
        <v>1</v>
      </c>
      <c r="F247">
        <v>1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0</v>
      </c>
      <c r="Q247" s="20" t="s">
        <v>2392</v>
      </c>
      <c r="R247" s="20" t="s">
        <v>2392</v>
      </c>
      <c r="S247" s="20" t="s">
        <v>2392</v>
      </c>
      <c r="T247" s="20" t="s">
        <v>2392</v>
      </c>
      <c r="U247" s="20" t="s">
        <v>2392</v>
      </c>
    </row>
    <row r="248" spans="1:21">
      <c r="A248">
        <v>305</v>
      </c>
      <c r="B248" s="20" t="s">
        <v>96</v>
      </c>
      <c r="C248" s="20" t="s">
        <v>2162</v>
      </c>
      <c r="D248">
        <v>0</v>
      </c>
      <c r="F248">
        <v>0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 s="20" t="s">
        <v>2514</v>
      </c>
      <c r="R248" s="20" t="s">
        <v>2442</v>
      </c>
      <c r="S248" s="20" t="s">
        <v>2392</v>
      </c>
      <c r="T248" s="20" t="s">
        <v>2392</v>
      </c>
      <c r="U248" s="20" t="s">
        <v>2392</v>
      </c>
    </row>
    <row r="249" spans="1:21">
      <c r="A249">
        <v>8</v>
      </c>
      <c r="B249" s="20" t="s">
        <v>224</v>
      </c>
      <c r="C249" s="20" t="s">
        <v>224</v>
      </c>
      <c r="D249">
        <v>2</v>
      </c>
      <c r="E249">
        <v>2</v>
      </c>
      <c r="F249">
        <v>1</v>
      </c>
      <c r="G249">
        <v>0</v>
      </c>
      <c r="H249">
        <v>0</v>
      </c>
      <c r="I249">
        <v>1</v>
      </c>
      <c r="J249">
        <v>0</v>
      </c>
      <c r="K249">
        <v>4</v>
      </c>
      <c r="L249">
        <v>4</v>
      </c>
      <c r="M249">
        <v>4</v>
      </c>
      <c r="N249">
        <v>0</v>
      </c>
      <c r="O249">
        <v>0</v>
      </c>
      <c r="P249">
        <v>0</v>
      </c>
      <c r="Q249" s="20" t="s">
        <v>2392</v>
      </c>
      <c r="R249" s="20" t="s">
        <v>2392</v>
      </c>
      <c r="S249" s="20" t="s">
        <v>2392</v>
      </c>
      <c r="T249" s="20" t="s">
        <v>2392</v>
      </c>
      <c r="U249" s="20" t="s">
        <v>2392</v>
      </c>
    </row>
    <row r="250" spans="1:21">
      <c r="A250">
        <v>66</v>
      </c>
      <c r="B250" s="20" t="s">
        <v>269</v>
      </c>
      <c r="C250" s="20" t="s">
        <v>224</v>
      </c>
      <c r="D250">
        <v>2</v>
      </c>
      <c r="E250">
        <v>2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2</v>
      </c>
      <c r="L250">
        <v>0</v>
      </c>
      <c r="M250">
        <v>0</v>
      </c>
      <c r="N250">
        <v>4</v>
      </c>
      <c r="O250">
        <v>0</v>
      </c>
      <c r="P250">
        <v>0</v>
      </c>
      <c r="Q250" s="20" t="s">
        <v>2392</v>
      </c>
      <c r="R250" s="20" t="s">
        <v>2392</v>
      </c>
      <c r="S250" s="20" t="s">
        <v>2392</v>
      </c>
      <c r="T250" s="20" t="s">
        <v>2392</v>
      </c>
      <c r="U250" s="20" t="s">
        <v>2515</v>
      </c>
    </row>
    <row r="251" spans="1:21">
      <c r="A251">
        <v>559</v>
      </c>
      <c r="B251" s="20" t="s">
        <v>364</v>
      </c>
      <c r="C251" s="20" t="s">
        <v>2396</v>
      </c>
      <c r="D251">
        <v>0</v>
      </c>
      <c r="F251">
        <v>0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 s="20" t="s">
        <v>2392</v>
      </c>
      <c r="R251" s="20" t="s">
        <v>2392</v>
      </c>
      <c r="S251" s="20" t="s">
        <v>2392</v>
      </c>
      <c r="T251" s="20" t="s">
        <v>2392</v>
      </c>
      <c r="U251" s="20" t="s">
        <v>2392</v>
      </c>
    </row>
    <row r="252" spans="1:21">
      <c r="A252">
        <v>114</v>
      </c>
      <c r="B252" s="20" t="s">
        <v>365</v>
      </c>
      <c r="C252" s="20" t="s">
        <v>365</v>
      </c>
      <c r="D252">
        <v>2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2</v>
      </c>
      <c r="L252">
        <v>2</v>
      </c>
      <c r="M252">
        <v>2</v>
      </c>
      <c r="N252">
        <v>2</v>
      </c>
      <c r="O252">
        <v>0</v>
      </c>
      <c r="P252">
        <v>0</v>
      </c>
      <c r="Q252" s="20" t="s">
        <v>2392</v>
      </c>
      <c r="R252" s="20" t="s">
        <v>2392</v>
      </c>
      <c r="S252" s="20" t="s">
        <v>2392</v>
      </c>
      <c r="T252" s="20" t="s">
        <v>2392</v>
      </c>
      <c r="U252" s="20" t="s">
        <v>2392</v>
      </c>
    </row>
    <row r="253" spans="1:21">
      <c r="A253">
        <v>353</v>
      </c>
      <c r="B253" s="20" t="s">
        <v>97</v>
      </c>
      <c r="C253" s="20" t="s">
        <v>2162</v>
      </c>
      <c r="D253">
        <v>0</v>
      </c>
      <c r="F253">
        <v>0</v>
      </c>
      <c r="G253">
        <v>1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s="20" t="s">
        <v>2514</v>
      </c>
      <c r="R253" s="20" t="s">
        <v>2442</v>
      </c>
      <c r="S253" s="20" t="s">
        <v>2392</v>
      </c>
      <c r="T253" s="20" t="s">
        <v>2392</v>
      </c>
      <c r="U253" s="20" t="s">
        <v>2392</v>
      </c>
    </row>
    <row r="254" spans="1:21">
      <c r="A254">
        <v>366</v>
      </c>
      <c r="B254" s="20" t="s">
        <v>366</v>
      </c>
      <c r="C254" s="20" t="s">
        <v>2451</v>
      </c>
      <c r="D254">
        <v>0</v>
      </c>
      <c r="F254">
        <v>0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 s="20" t="s">
        <v>2392</v>
      </c>
      <c r="R254" s="20" t="s">
        <v>2392</v>
      </c>
      <c r="S254" s="20" t="s">
        <v>2392</v>
      </c>
      <c r="T254" s="20" t="s">
        <v>2392</v>
      </c>
      <c r="U254" s="20" t="s">
        <v>2392</v>
      </c>
    </row>
    <row r="255" spans="1:21">
      <c r="A255">
        <v>368</v>
      </c>
      <c r="B255" s="20" t="s">
        <v>256</v>
      </c>
      <c r="C255" s="20" t="s">
        <v>2451</v>
      </c>
      <c r="D255">
        <v>0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 s="20" t="s">
        <v>2392</v>
      </c>
      <c r="R255" s="20" t="s">
        <v>2392</v>
      </c>
      <c r="S255" s="20" t="s">
        <v>2392</v>
      </c>
      <c r="T255" s="20" t="s">
        <v>2392</v>
      </c>
      <c r="U255" s="20" t="s">
        <v>2392</v>
      </c>
    </row>
    <row r="256" spans="1:21">
      <c r="A256">
        <v>153</v>
      </c>
      <c r="B256" s="20" t="s">
        <v>198</v>
      </c>
      <c r="C256" s="20" t="s">
        <v>198</v>
      </c>
      <c r="D256">
        <v>0</v>
      </c>
      <c r="F256">
        <v>0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 s="20" t="s">
        <v>2392</v>
      </c>
      <c r="R256" s="20" t="s">
        <v>2392</v>
      </c>
      <c r="S256" s="20" t="s">
        <v>2392</v>
      </c>
      <c r="T256" s="20" t="s">
        <v>2392</v>
      </c>
      <c r="U256" s="20" t="s">
        <v>2392</v>
      </c>
    </row>
    <row r="257" spans="1:21">
      <c r="A257">
        <v>221</v>
      </c>
      <c r="B257" s="20" t="s">
        <v>257</v>
      </c>
      <c r="C257" s="20" t="s">
        <v>257</v>
      </c>
      <c r="D257">
        <v>1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0</v>
      </c>
      <c r="Q257" s="20" t="s">
        <v>2392</v>
      </c>
      <c r="R257" s="20" t="s">
        <v>2392</v>
      </c>
      <c r="S257" s="20" t="s">
        <v>184</v>
      </c>
      <c r="T257" s="20" t="s">
        <v>2416</v>
      </c>
      <c r="U257" s="20" t="s">
        <v>2392</v>
      </c>
    </row>
    <row r="258" spans="1:21">
      <c r="A258">
        <v>333</v>
      </c>
      <c r="B258" s="20" t="s">
        <v>258</v>
      </c>
      <c r="C258" s="20" t="s">
        <v>257</v>
      </c>
      <c r="D258">
        <v>0</v>
      </c>
      <c r="F258">
        <v>0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 s="20" t="s">
        <v>2516</v>
      </c>
      <c r="R258" s="20" t="s">
        <v>2392</v>
      </c>
      <c r="S258" s="20" t="s">
        <v>184</v>
      </c>
      <c r="T258" s="20" t="s">
        <v>2517</v>
      </c>
      <c r="U258" s="20" t="s">
        <v>2392</v>
      </c>
    </row>
    <row r="259" spans="1:21">
      <c r="A259">
        <v>73</v>
      </c>
      <c r="B259" s="20" t="s">
        <v>45</v>
      </c>
      <c r="C259" s="20" t="s">
        <v>45</v>
      </c>
      <c r="D259">
        <v>3</v>
      </c>
      <c r="E259">
        <v>2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3</v>
      </c>
      <c r="L259">
        <v>3</v>
      </c>
      <c r="M259">
        <v>3</v>
      </c>
      <c r="N259">
        <v>2</v>
      </c>
      <c r="O259">
        <v>0</v>
      </c>
      <c r="P259">
        <v>0</v>
      </c>
      <c r="Q259" s="20" t="s">
        <v>2392</v>
      </c>
      <c r="R259" s="20" t="s">
        <v>2392</v>
      </c>
      <c r="S259" s="20" t="s">
        <v>184</v>
      </c>
      <c r="T259" s="20" t="s">
        <v>2416</v>
      </c>
      <c r="U259" s="20" t="s">
        <v>2392</v>
      </c>
    </row>
    <row r="260" spans="1:21">
      <c r="A260">
        <v>170</v>
      </c>
      <c r="B260" s="20" t="s">
        <v>367</v>
      </c>
      <c r="C260" s="20" t="s">
        <v>367</v>
      </c>
      <c r="D260">
        <v>2</v>
      </c>
      <c r="F260">
        <v>1</v>
      </c>
      <c r="G260">
        <v>0</v>
      </c>
      <c r="H260">
        <v>0</v>
      </c>
      <c r="I260">
        <v>1</v>
      </c>
      <c r="J260">
        <v>0</v>
      </c>
      <c r="K260">
        <v>3</v>
      </c>
      <c r="L260">
        <v>2</v>
      </c>
      <c r="M260">
        <v>2</v>
      </c>
      <c r="N260">
        <v>1</v>
      </c>
      <c r="O260">
        <v>0</v>
      </c>
      <c r="P260">
        <v>0</v>
      </c>
      <c r="Q260" s="20" t="s">
        <v>2392</v>
      </c>
      <c r="R260" s="20" t="s">
        <v>2392</v>
      </c>
      <c r="S260" s="20" t="s">
        <v>2392</v>
      </c>
      <c r="T260" s="20" t="s">
        <v>2392</v>
      </c>
      <c r="U260" s="20" t="s">
        <v>2392</v>
      </c>
    </row>
    <row r="261" spans="1:21">
      <c r="A261">
        <v>369</v>
      </c>
      <c r="B261" s="20" t="s">
        <v>368</v>
      </c>
      <c r="C261" s="20" t="s">
        <v>356</v>
      </c>
      <c r="D261">
        <v>0</v>
      </c>
      <c r="F261">
        <v>0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 s="20" t="s">
        <v>2392</v>
      </c>
      <c r="R261" s="20" t="s">
        <v>2392</v>
      </c>
      <c r="S261" s="20" t="s">
        <v>2392</v>
      </c>
      <c r="T261" s="20" t="s">
        <v>2392</v>
      </c>
      <c r="U261" s="20" t="s">
        <v>2392</v>
      </c>
    </row>
    <row r="262" spans="1:21">
      <c r="A262">
        <v>97</v>
      </c>
      <c r="B262" s="20" t="s">
        <v>128</v>
      </c>
      <c r="C262" s="20" t="s">
        <v>128</v>
      </c>
      <c r="D262">
        <v>4</v>
      </c>
      <c r="F262">
        <v>1</v>
      </c>
      <c r="G262">
        <v>0</v>
      </c>
      <c r="H262">
        <v>0</v>
      </c>
      <c r="I262">
        <v>1</v>
      </c>
      <c r="J262">
        <v>0</v>
      </c>
      <c r="K262">
        <v>4</v>
      </c>
      <c r="L262">
        <v>4</v>
      </c>
      <c r="M262">
        <v>4</v>
      </c>
      <c r="N262">
        <v>4</v>
      </c>
      <c r="O262">
        <v>0</v>
      </c>
      <c r="P262">
        <v>0</v>
      </c>
      <c r="Q262" s="20" t="s">
        <v>2392</v>
      </c>
      <c r="R262" s="20" t="s">
        <v>2392</v>
      </c>
      <c r="S262" s="20" t="s">
        <v>2392</v>
      </c>
      <c r="T262" s="20" t="s">
        <v>2392</v>
      </c>
      <c r="U262" s="20" t="s">
        <v>2392</v>
      </c>
    </row>
    <row r="263" spans="1:21">
      <c r="A263">
        <v>354</v>
      </c>
      <c r="B263" s="20" t="s">
        <v>369</v>
      </c>
      <c r="C263" s="20" t="s">
        <v>356</v>
      </c>
      <c r="D263">
        <v>0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 s="20" t="s">
        <v>2392</v>
      </c>
      <c r="R263" s="20" t="s">
        <v>2392</v>
      </c>
      <c r="S263" s="20" t="s">
        <v>2392</v>
      </c>
      <c r="T263" s="20" t="s">
        <v>2392</v>
      </c>
      <c r="U263" s="20" t="s">
        <v>2392</v>
      </c>
    </row>
    <row r="264" spans="1:21">
      <c r="A264">
        <v>234</v>
      </c>
      <c r="B264" s="20" t="s">
        <v>370</v>
      </c>
      <c r="C264" s="20" t="s">
        <v>370</v>
      </c>
      <c r="D264">
        <v>2</v>
      </c>
      <c r="F264">
        <v>1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2</v>
      </c>
      <c r="M264">
        <v>2</v>
      </c>
      <c r="N264">
        <v>0</v>
      </c>
      <c r="O264">
        <v>0</v>
      </c>
      <c r="P264">
        <v>1</v>
      </c>
      <c r="Q264" s="20" t="s">
        <v>2518</v>
      </c>
      <c r="R264" s="20" t="s">
        <v>2392</v>
      </c>
      <c r="S264" s="20" t="s">
        <v>2392</v>
      </c>
      <c r="T264" s="20" t="s">
        <v>2392</v>
      </c>
      <c r="U264" s="20" t="s">
        <v>2481</v>
      </c>
    </row>
    <row r="265" spans="1:21">
      <c r="A265">
        <v>223</v>
      </c>
      <c r="B265" s="20" t="s">
        <v>149</v>
      </c>
      <c r="C265" s="20" t="s">
        <v>834</v>
      </c>
      <c r="D265">
        <v>1</v>
      </c>
      <c r="F265">
        <v>1</v>
      </c>
      <c r="G265">
        <v>0</v>
      </c>
      <c r="H265">
        <v>0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 s="20" t="s">
        <v>2392</v>
      </c>
      <c r="R265" s="20" t="s">
        <v>2392</v>
      </c>
      <c r="S265" s="20" t="s">
        <v>184</v>
      </c>
      <c r="T265" s="20" t="s">
        <v>2519</v>
      </c>
      <c r="U265" s="20" t="s">
        <v>2392</v>
      </c>
    </row>
    <row r="266" spans="1:21">
      <c r="A266">
        <v>268</v>
      </c>
      <c r="B266" s="20" t="s">
        <v>371</v>
      </c>
      <c r="C266" s="20" t="s">
        <v>386</v>
      </c>
      <c r="D266">
        <v>0</v>
      </c>
      <c r="F266">
        <v>0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 s="20" t="s">
        <v>2392</v>
      </c>
      <c r="R266" s="20" t="s">
        <v>2392</v>
      </c>
      <c r="S266" s="20" t="s">
        <v>2392</v>
      </c>
      <c r="T266" s="20" t="s">
        <v>2392</v>
      </c>
      <c r="U266" s="20" t="s">
        <v>2392</v>
      </c>
    </row>
    <row r="267" spans="1:21">
      <c r="A267">
        <v>63</v>
      </c>
      <c r="B267" s="20" t="s">
        <v>217</v>
      </c>
      <c r="C267" s="20" t="s">
        <v>217</v>
      </c>
      <c r="D267">
        <v>5</v>
      </c>
      <c r="E267">
        <v>1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5</v>
      </c>
      <c r="L267">
        <v>6</v>
      </c>
      <c r="M267">
        <v>6</v>
      </c>
      <c r="N267">
        <v>6</v>
      </c>
      <c r="O267">
        <v>0</v>
      </c>
      <c r="P267">
        <v>0</v>
      </c>
      <c r="Q267" s="20" t="s">
        <v>2392</v>
      </c>
      <c r="R267" s="20" t="s">
        <v>2392</v>
      </c>
      <c r="S267" s="20" t="s">
        <v>2392</v>
      </c>
      <c r="T267" s="20" t="s">
        <v>2392</v>
      </c>
      <c r="U267" s="20" t="s">
        <v>2392</v>
      </c>
    </row>
    <row r="268" spans="1:21">
      <c r="A268">
        <v>193</v>
      </c>
      <c r="B268" s="20" t="s">
        <v>225</v>
      </c>
      <c r="C268" s="20" t="s">
        <v>217</v>
      </c>
      <c r="D268">
        <v>0</v>
      </c>
      <c r="E268">
        <v>2</v>
      </c>
      <c r="F268">
        <v>0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s="20" t="s">
        <v>2520</v>
      </c>
      <c r="R268" s="20" t="s">
        <v>2392</v>
      </c>
      <c r="S268" s="20" t="s">
        <v>2392</v>
      </c>
      <c r="T268" s="20" t="s">
        <v>2392</v>
      </c>
      <c r="U268" s="20" t="s">
        <v>2392</v>
      </c>
    </row>
    <row r="269" spans="1:21">
      <c r="A269">
        <v>96</v>
      </c>
      <c r="B269" s="20" t="s">
        <v>270</v>
      </c>
      <c r="C269" s="20" t="s">
        <v>270</v>
      </c>
      <c r="D269">
        <v>2</v>
      </c>
      <c r="E269">
        <v>2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1</v>
      </c>
      <c r="L269">
        <v>2</v>
      </c>
      <c r="M269">
        <v>2</v>
      </c>
      <c r="N269">
        <v>2</v>
      </c>
      <c r="O269">
        <v>0</v>
      </c>
      <c r="P269">
        <v>0</v>
      </c>
      <c r="Q269" s="20" t="s">
        <v>2392</v>
      </c>
      <c r="R269" s="20" t="s">
        <v>2392</v>
      </c>
      <c r="S269" s="20" t="s">
        <v>2392</v>
      </c>
      <c r="T269" s="20" t="s">
        <v>2392</v>
      </c>
      <c r="U269" s="20" t="s">
        <v>2392</v>
      </c>
    </row>
    <row r="270" spans="1:21">
      <c r="A270">
        <v>42</v>
      </c>
      <c r="B270" s="20" t="s">
        <v>288</v>
      </c>
      <c r="C270" s="20" t="s">
        <v>288</v>
      </c>
      <c r="D270">
        <v>1</v>
      </c>
      <c r="E270">
        <v>4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 s="20" t="s">
        <v>2392</v>
      </c>
      <c r="R270" s="20" t="s">
        <v>2392</v>
      </c>
      <c r="S270" s="20" t="s">
        <v>2392</v>
      </c>
      <c r="T270" s="20" t="s">
        <v>2392</v>
      </c>
      <c r="U270" s="20" t="s">
        <v>2521</v>
      </c>
    </row>
    <row r="271" spans="1:21">
      <c r="A271">
        <v>131</v>
      </c>
      <c r="B271" s="20" t="s">
        <v>46</v>
      </c>
      <c r="C271" s="20" t="s">
        <v>46</v>
      </c>
      <c r="D271">
        <v>2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2</v>
      </c>
      <c r="L271">
        <v>2</v>
      </c>
      <c r="M271">
        <v>2</v>
      </c>
      <c r="N271">
        <v>0</v>
      </c>
      <c r="O271">
        <v>1</v>
      </c>
      <c r="P271">
        <v>1</v>
      </c>
      <c r="Q271" s="20" t="s">
        <v>2522</v>
      </c>
      <c r="R271" s="20" t="s">
        <v>2523</v>
      </c>
      <c r="S271" s="20" t="s">
        <v>184</v>
      </c>
      <c r="T271" s="20" t="s">
        <v>2416</v>
      </c>
      <c r="U271" s="20" t="s">
        <v>2392</v>
      </c>
    </row>
    <row r="272" spans="1:21">
      <c r="A272">
        <v>287</v>
      </c>
      <c r="B272" s="20" t="s">
        <v>138</v>
      </c>
      <c r="C272" s="20" t="s">
        <v>291</v>
      </c>
      <c r="D272">
        <v>0</v>
      </c>
      <c r="E272">
        <v>1</v>
      </c>
      <c r="F272">
        <v>0</v>
      </c>
      <c r="G272">
        <v>0</v>
      </c>
      <c r="H272">
        <v>1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 s="20" t="s">
        <v>2392</v>
      </c>
      <c r="R272" s="20" t="s">
        <v>2524</v>
      </c>
      <c r="S272" s="20" t="s">
        <v>183</v>
      </c>
      <c r="T272" s="20" t="s">
        <v>2525</v>
      </c>
      <c r="U272" s="20" t="s">
        <v>2393</v>
      </c>
    </row>
    <row r="273" spans="1:21">
      <c r="A273">
        <v>266</v>
      </c>
      <c r="B273" s="20" t="s">
        <v>51</v>
      </c>
      <c r="C273" s="20" t="s">
        <v>36</v>
      </c>
      <c r="D273">
        <v>0</v>
      </c>
      <c r="E273">
        <v>4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 s="20" t="s">
        <v>2392</v>
      </c>
      <c r="R273" s="20" t="s">
        <v>2392</v>
      </c>
      <c r="S273" s="20" t="s">
        <v>183</v>
      </c>
      <c r="T273" s="20" t="s">
        <v>2526</v>
      </c>
      <c r="U273" s="20" t="s">
        <v>2392</v>
      </c>
    </row>
    <row r="274" spans="1:21">
      <c r="A274">
        <v>342</v>
      </c>
      <c r="B274" s="20" t="s">
        <v>98</v>
      </c>
      <c r="C274" s="20" t="s">
        <v>2162</v>
      </c>
      <c r="D274">
        <v>0</v>
      </c>
      <c r="F274">
        <v>0</v>
      </c>
      <c r="G274">
        <v>1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s="20" t="s">
        <v>2514</v>
      </c>
      <c r="R274" s="20" t="s">
        <v>2442</v>
      </c>
      <c r="S274" s="20" t="s">
        <v>2392</v>
      </c>
      <c r="T274" s="20" t="s">
        <v>2392</v>
      </c>
      <c r="U274" s="20" t="s">
        <v>2392</v>
      </c>
    </row>
    <row r="275" spans="1:21">
      <c r="A275">
        <v>356</v>
      </c>
      <c r="B275" s="20" t="s">
        <v>99</v>
      </c>
      <c r="C275" s="20" t="s">
        <v>2162</v>
      </c>
      <c r="D275">
        <v>1</v>
      </c>
      <c r="F275">
        <v>1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 s="20" t="s">
        <v>2514</v>
      </c>
      <c r="R275" s="20" t="s">
        <v>2442</v>
      </c>
      <c r="S275" s="20" t="s">
        <v>2392</v>
      </c>
      <c r="T275" s="20" t="s">
        <v>2392</v>
      </c>
      <c r="U275" s="20" t="s">
        <v>2392</v>
      </c>
    </row>
    <row r="276" spans="1:21">
      <c r="A276">
        <v>240</v>
      </c>
      <c r="B276" s="20" t="s">
        <v>218</v>
      </c>
      <c r="C276" s="20" t="s">
        <v>2161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1</v>
      </c>
      <c r="J276">
        <v>1</v>
      </c>
      <c r="K276">
        <v>2</v>
      </c>
      <c r="L276">
        <v>0</v>
      </c>
      <c r="M276">
        <v>0</v>
      </c>
      <c r="N276">
        <v>0</v>
      </c>
      <c r="O276">
        <v>1</v>
      </c>
      <c r="P276">
        <v>0</v>
      </c>
      <c r="Q276" s="20" t="s">
        <v>2392</v>
      </c>
      <c r="R276" s="20" t="s">
        <v>2392</v>
      </c>
      <c r="S276" s="20" t="s">
        <v>2392</v>
      </c>
      <c r="T276" s="20" t="s">
        <v>2392</v>
      </c>
      <c r="U276" s="20" t="s">
        <v>2392</v>
      </c>
    </row>
    <row r="277" spans="1:21">
      <c r="A277">
        <v>261</v>
      </c>
      <c r="B277" s="20" t="s">
        <v>219</v>
      </c>
      <c r="C277" s="20" t="s">
        <v>2161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1</v>
      </c>
      <c r="K277">
        <v>4</v>
      </c>
      <c r="L277">
        <v>0</v>
      </c>
      <c r="M277">
        <v>0</v>
      </c>
      <c r="N277">
        <v>0</v>
      </c>
      <c r="O277">
        <v>1</v>
      </c>
      <c r="P277">
        <v>0</v>
      </c>
      <c r="Q277" s="20" t="s">
        <v>2392</v>
      </c>
      <c r="R277" s="20" t="s">
        <v>2392</v>
      </c>
      <c r="S277" s="20" t="s">
        <v>2392</v>
      </c>
      <c r="T277" s="20" t="s">
        <v>2392</v>
      </c>
      <c r="U277" s="20" t="s">
        <v>2392</v>
      </c>
    </row>
    <row r="278" spans="1:21">
      <c r="A278">
        <v>341</v>
      </c>
      <c r="B278" s="20" t="s">
        <v>372</v>
      </c>
      <c r="C278" s="20" t="s">
        <v>2471</v>
      </c>
      <c r="D278">
        <v>0</v>
      </c>
      <c r="F278">
        <v>0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 s="20" t="s">
        <v>2392</v>
      </c>
      <c r="R278" s="20" t="s">
        <v>2392</v>
      </c>
      <c r="S278" s="20" t="s">
        <v>2392</v>
      </c>
      <c r="T278" s="20" t="s">
        <v>2392</v>
      </c>
      <c r="U278" s="20" t="s">
        <v>2392</v>
      </c>
    </row>
    <row r="279" spans="1:21">
      <c r="A279">
        <v>343</v>
      </c>
      <c r="B279" s="20" t="s">
        <v>126</v>
      </c>
      <c r="C279" s="20" t="s">
        <v>107</v>
      </c>
      <c r="D279">
        <v>0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0</v>
      </c>
      <c r="L279">
        <v>2</v>
      </c>
      <c r="M279">
        <v>2</v>
      </c>
      <c r="N279">
        <v>0</v>
      </c>
      <c r="O279">
        <v>0</v>
      </c>
      <c r="P279">
        <v>1</v>
      </c>
      <c r="Q279" s="20" t="s">
        <v>100</v>
      </c>
      <c r="R279" s="20" t="s">
        <v>2392</v>
      </c>
      <c r="S279" s="20" t="s">
        <v>2392</v>
      </c>
      <c r="T279" s="20" t="s">
        <v>2392</v>
      </c>
      <c r="U279" s="20" t="s">
        <v>2392</v>
      </c>
    </row>
    <row r="280" spans="1:21">
      <c r="A280">
        <v>355</v>
      </c>
      <c r="B280" s="20" t="s">
        <v>100</v>
      </c>
      <c r="C280" s="20" t="s">
        <v>107</v>
      </c>
      <c r="D280">
        <v>2</v>
      </c>
      <c r="F280">
        <v>1</v>
      </c>
      <c r="G280">
        <v>0</v>
      </c>
      <c r="H280">
        <v>0</v>
      </c>
      <c r="I280">
        <v>1</v>
      </c>
      <c r="J280">
        <v>0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Q280" s="20" t="s">
        <v>2392</v>
      </c>
      <c r="R280" s="20" t="s">
        <v>2392</v>
      </c>
      <c r="S280" s="20" t="s">
        <v>2392</v>
      </c>
      <c r="T280" s="20" t="s">
        <v>2392</v>
      </c>
      <c r="U280" s="20" t="s">
        <v>2392</v>
      </c>
    </row>
    <row r="281" spans="1:21">
      <c r="A281">
        <v>61</v>
      </c>
      <c r="B281" s="20" t="s">
        <v>373</v>
      </c>
      <c r="C281" s="20" t="s">
        <v>373</v>
      </c>
      <c r="D281">
        <v>3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3</v>
      </c>
      <c r="M281">
        <v>3</v>
      </c>
      <c r="N281">
        <v>0</v>
      </c>
      <c r="O281">
        <v>0</v>
      </c>
      <c r="P281">
        <v>0</v>
      </c>
      <c r="Q281" s="20" t="s">
        <v>2392</v>
      </c>
      <c r="R281" s="20" t="s">
        <v>2392</v>
      </c>
      <c r="S281" s="20" t="s">
        <v>2392</v>
      </c>
      <c r="T281" s="20" t="s">
        <v>2392</v>
      </c>
      <c r="U281" s="20" t="s">
        <v>2392</v>
      </c>
    </row>
    <row r="282" spans="1:21">
      <c r="A282">
        <v>146</v>
      </c>
      <c r="B282" s="20" t="s">
        <v>374</v>
      </c>
      <c r="C282" s="20" t="s">
        <v>387</v>
      </c>
      <c r="D282">
        <v>0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 s="20" t="s">
        <v>2527</v>
      </c>
      <c r="R282" s="20" t="s">
        <v>2392</v>
      </c>
      <c r="S282" s="20" t="s">
        <v>2392</v>
      </c>
      <c r="T282" s="20" t="s">
        <v>2392</v>
      </c>
      <c r="U282" s="20" t="s">
        <v>2392</v>
      </c>
    </row>
    <row r="283" spans="1:21">
      <c r="A283">
        <v>315</v>
      </c>
      <c r="B283" s="20" t="s">
        <v>375</v>
      </c>
      <c r="C283" s="20" t="s">
        <v>2503</v>
      </c>
      <c r="D283">
        <v>0</v>
      </c>
      <c r="F283">
        <v>0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 s="20" t="s">
        <v>2392</v>
      </c>
      <c r="R283" s="20" t="s">
        <v>2392</v>
      </c>
      <c r="S283" s="20" t="s">
        <v>2392</v>
      </c>
      <c r="T283" s="20" t="s">
        <v>2392</v>
      </c>
      <c r="U283" s="20" t="s">
        <v>2392</v>
      </c>
    </row>
    <row r="284" spans="1:21">
      <c r="A284">
        <v>6</v>
      </c>
      <c r="B284" s="20" t="s">
        <v>56</v>
      </c>
      <c r="C284" s="20" t="s">
        <v>56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 s="20" t="s">
        <v>2392</v>
      </c>
      <c r="R284" s="20" t="s">
        <v>2392</v>
      </c>
      <c r="S284" s="20" t="s">
        <v>183</v>
      </c>
      <c r="T284" s="20" t="s">
        <v>2490</v>
      </c>
      <c r="U284" s="20" t="s">
        <v>2392</v>
      </c>
    </row>
    <row r="285" spans="1:21">
      <c r="A285">
        <v>7</v>
      </c>
      <c r="B285" s="20" t="s">
        <v>108</v>
      </c>
      <c r="C285" s="20" t="s">
        <v>56</v>
      </c>
      <c r="D285">
        <v>0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 s="20" t="s">
        <v>2392</v>
      </c>
      <c r="R285" s="20" t="s">
        <v>2392</v>
      </c>
      <c r="S285" s="20" t="s">
        <v>183</v>
      </c>
      <c r="T285" s="20" t="s">
        <v>2490</v>
      </c>
      <c r="U285" s="20" t="s">
        <v>2392</v>
      </c>
    </row>
    <row r="286" spans="1:21">
      <c r="A286">
        <v>74</v>
      </c>
      <c r="B286" s="20" t="s">
        <v>127</v>
      </c>
      <c r="C286" s="20" t="s">
        <v>127</v>
      </c>
      <c r="D286">
        <v>5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3</v>
      </c>
      <c r="L286">
        <v>5</v>
      </c>
      <c r="M286">
        <v>5</v>
      </c>
      <c r="N286">
        <v>4</v>
      </c>
      <c r="O286">
        <v>0</v>
      </c>
      <c r="P286">
        <v>0</v>
      </c>
      <c r="Q286" s="20" t="s">
        <v>2392</v>
      </c>
      <c r="R286" s="20" t="s">
        <v>2392</v>
      </c>
      <c r="S286" s="20" t="s">
        <v>2392</v>
      </c>
      <c r="T286" s="20" t="s">
        <v>2392</v>
      </c>
      <c r="U286" s="20" t="s">
        <v>2392</v>
      </c>
    </row>
    <row r="287" spans="1:21">
      <c r="A287">
        <v>23</v>
      </c>
      <c r="B287" s="20" t="s">
        <v>66</v>
      </c>
      <c r="C287" s="20" t="s">
        <v>66</v>
      </c>
      <c r="D287">
        <v>3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3</v>
      </c>
      <c r="L287">
        <v>3</v>
      </c>
      <c r="M287">
        <v>4</v>
      </c>
      <c r="N287">
        <v>3</v>
      </c>
      <c r="O287">
        <v>0</v>
      </c>
      <c r="P287">
        <v>0</v>
      </c>
      <c r="Q287" s="20" t="s">
        <v>2392</v>
      </c>
      <c r="R287" s="20" t="s">
        <v>2392</v>
      </c>
      <c r="S287" s="20" t="s">
        <v>184</v>
      </c>
      <c r="T287" s="20" t="s">
        <v>2416</v>
      </c>
      <c r="U287" s="20" t="s">
        <v>2392</v>
      </c>
    </row>
    <row r="288" spans="1:21">
      <c r="A288">
        <v>62</v>
      </c>
      <c r="B288" s="20" t="s">
        <v>137</v>
      </c>
      <c r="C288" s="20" t="s">
        <v>137</v>
      </c>
      <c r="D288">
        <v>4</v>
      </c>
      <c r="E288">
        <v>4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4</v>
      </c>
      <c r="L288">
        <v>4</v>
      </c>
      <c r="M288">
        <v>5</v>
      </c>
      <c r="N288">
        <v>1</v>
      </c>
      <c r="O288">
        <v>0</v>
      </c>
      <c r="P288">
        <v>0</v>
      </c>
      <c r="Q288" s="20" t="s">
        <v>2392</v>
      </c>
      <c r="R288" s="20" t="s">
        <v>2392</v>
      </c>
      <c r="S288" s="20" t="s">
        <v>2392</v>
      </c>
      <c r="T288" s="20" t="s">
        <v>2392</v>
      </c>
      <c r="U288" s="20" t="s">
        <v>2392</v>
      </c>
    </row>
    <row r="289" spans="1:21">
      <c r="A289">
        <v>293</v>
      </c>
      <c r="B289" s="20" t="s">
        <v>376</v>
      </c>
      <c r="C289" s="20" t="s">
        <v>2461</v>
      </c>
      <c r="D289">
        <v>0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 s="20" t="s">
        <v>2392</v>
      </c>
      <c r="R289" s="20" t="s">
        <v>2392</v>
      </c>
      <c r="S289" s="20" t="s">
        <v>2270</v>
      </c>
      <c r="T289" s="20" t="s">
        <v>2399</v>
      </c>
      <c r="U289" s="20" t="s">
        <v>2392</v>
      </c>
    </row>
    <row r="290" spans="1:21">
      <c r="A290">
        <v>523</v>
      </c>
      <c r="B290" s="20" t="s">
        <v>377</v>
      </c>
      <c r="C290" s="20" t="s">
        <v>2461</v>
      </c>
      <c r="D290">
        <v>0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 s="20" t="s">
        <v>2392</v>
      </c>
      <c r="R290" s="20" t="s">
        <v>2392</v>
      </c>
      <c r="S290" s="20" t="s">
        <v>2270</v>
      </c>
      <c r="T290" s="20" t="s">
        <v>2399</v>
      </c>
      <c r="U290" s="20" t="s">
        <v>2392</v>
      </c>
    </row>
    <row r="291" spans="1:21">
      <c r="A291">
        <v>329</v>
      </c>
      <c r="B291" s="20" t="s">
        <v>378</v>
      </c>
      <c r="C291" s="20" t="s">
        <v>117</v>
      </c>
      <c r="D291">
        <v>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s="20" t="s">
        <v>2412</v>
      </c>
      <c r="R291" s="20" t="s">
        <v>2392</v>
      </c>
      <c r="S291" s="20" t="s">
        <v>2392</v>
      </c>
      <c r="T291" s="20" t="s">
        <v>2392</v>
      </c>
      <c r="U291" s="20" t="s">
        <v>2392</v>
      </c>
    </row>
    <row r="292" spans="1:21">
      <c r="A292">
        <v>330</v>
      </c>
      <c r="B292" s="20" t="s">
        <v>259</v>
      </c>
      <c r="C292" s="20" t="s">
        <v>2461</v>
      </c>
      <c r="D292">
        <v>0</v>
      </c>
      <c r="F292">
        <v>0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 s="20" t="s">
        <v>2392</v>
      </c>
      <c r="R292" s="20" t="s">
        <v>2392</v>
      </c>
      <c r="S292" s="20" t="s">
        <v>2270</v>
      </c>
      <c r="T292" s="20" t="s">
        <v>2399</v>
      </c>
      <c r="U292" s="20" t="s">
        <v>2392</v>
      </c>
    </row>
    <row r="293" spans="1:21">
      <c r="A293">
        <v>331</v>
      </c>
      <c r="B293" s="20" t="s">
        <v>379</v>
      </c>
      <c r="C293" s="20" t="s">
        <v>2461</v>
      </c>
      <c r="D293">
        <v>0</v>
      </c>
      <c r="F293">
        <v>0</v>
      </c>
      <c r="G293">
        <v>0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 s="20" t="s">
        <v>2392</v>
      </c>
      <c r="R293" s="20" t="s">
        <v>2392</v>
      </c>
      <c r="S293" s="20" t="s">
        <v>2270</v>
      </c>
      <c r="T293" s="20" t="s">
        <v>2399</v>
      </c>
      <c r="U293" s="20" t="s">
        <v>2392</v>
      </c>
    </row>
    <row r="294" spans="1:21">
      <c r="A294">
        <v>141</v>
      </c>
      <c r="B294" s="20" t="s">
        <v>47</v>
      </c>
      <c r="C294" s="20" t="s">
        <v>47</v>
      </c>
      <c r="D294">
        <v>2</v>
      </c>
      <c r="E294">
        <v>3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2</v>
      </c>
      <c r="L294">
        <v>2</v>
      </c>
      <c r="M294">
        <v>2</v>
      </c>
      <c r="N294">
        <v>2</v>
      </c>
      <c r="O294">
        <v>0</v>
      </c>
      <c r="P294">
        <v>0</v>
      </c>
      <c r="Q294" s="20" t="s">
        <v>2392</v>
      </c>
      <c r="R294" s="20" t="s">
        <v>2392</v>
      </c>
      <c r="S294" s="20" t="s">
        <v>2528</v>
      </c>
      <c r="T294" s="20" t="s">
        <v>2416</v>
      </c>
      <c r="U294" s="20" t="s">
        <v>2392</v>
      </c>
    </row>
    <row r="295" spans="1:21">
      <c r="A295">
        <v>229</v>
      </c>
      <c r="B295" s="20" t="s">
        <v>220</v>
      </c>
      <c r="C295" s="20" t="s">
        <v>296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 s="20" t="s">
        <v>2392</v>
      </c>
      <c r="R295" s="20" t="s">
        <v>2392</v>
      </c>
      <c r="S295" s="20" t="s">
        <v>2270</v>
      </c>
      <c r="T295" s="20" t="s">
        <v>2399</v>
      </c>
      <c r="U295" s="20" t="s">
        <v>2529</v>
      </c>
    </row>
    <row r="296" spans="1:21">
      <c r="A296">
        <v>116</v>
      </c>
      <c r="B296" s="20" t="s">
        <v>380</v>
      </c>
      <c r="C296" s="20" t="s">
        <v>380</v>
      </c>
      <c r="D296">
        <v>2</v>
      </c>
      <c r="F296">
        <v>1</v>
      </c>
      <c r="G296">
        <v>0</v>
      </c>
      <c r="H296">
        <v>0</v>
      </c>
      <c r="I296">
        <v>1</v>
      </c>
      <c r="J296">
        <v>0</v>
      </c>
      <c r="K296">
        <v>2</v>
      </c>
      <c r="L296">
        <v>2</v>
      </c>
      <c r="M296">
        <v>2</v>
      </c>
      <c r="N296">
        <v>2</v>
      </c>
      <c r="O296">
        <v>0</v>
      </c>
      <c r="P296">
        <v>0</v>
      </c>
      <c r="Q296" s="20" t="s">
        <v>2392</v>
      </c>
      <c r="R296" s="20" t="s">
        <v>2530</v>
      </c>
      <c r="S296" s="20" t="s">
        <v>2392</v>
      </c>
      <c r="T296" s="20" t="s">
        <v>2392</v>
      </c>
      <c r="U296" s="20" t="s">
        <v>2392</v>
      </c>
    </row>
    <row r="297" spans="1:21">
      <c r="A297">
        <v>175</v>
      </c>
      <c r="B297" s="20" t="s">
        <v>381</v>
      </c>
      <c r="C297" s="20" t="s">
        <v>380</v>
      </c>
      <c r="D297">
        <v>0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s="20" t="s">
        <v>2531</v>
      </c>
      <c r="R297" s="20" t="s">
        <v>2392</v>
      </c>
      <c r="S297" s="20" t="s">
        <v>2392</v>
      </c>
      <c r="T297" s="20" t="s">
        <v>2392</v>
      </c>
      <c r="U297" s="20" t="s">
        <v>2392</v>
      </c>
    </row>
    <row r="298" spans="1:21">
      <c r="A298">
        <v>360</v>
      </c>
      <c r="B298" s="20" t="s">
        <v>289</v>
      </c>
      <c r="C298" s="20" t="s">
        <v>2436</v>
      </c>
      <c r="D298">
        <v>0</v>
      </c>
      <c r="E298">
        <v>4</v>
      </c>
      <c r="F298">
        <v>0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 s="20" t="s">
        <v>2392</v>
      </c>
      <c r="R298" s="20" t="s">
        <v>2392</v>
      </c>
      <c r="S298" s="20" t="s">
        <v>2392</v>
      </c>
      <c r="T298" s="20" t="s">
        <v>2392</v>
      </c>
      <c r="U298" s="20" t="s">
        <v>2476</v>
      </c>
    </row>
    <row r="299" spans="1:21">
      <c r="A299">
        <v>526</v>
      </c>
      <c r="B299" s="20" t="s">
        <v>290</v>
      </c>
      <c r="C299" s="20" t="s">
        <v>2436</v>
      </c>
      <c r="D299">
        <v>0</v>
      </c>
      <c r="E299">
        <v>4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 s="20" t="s">
        <v>2392</v>
      </c>
      <c r="R299" s="20" t="s">
        <v>2392</v>
      </c>
      <c r="S299" s="20" t="s">
        <v>2392</v>
      </c>
      <c r="T299" s="20" t="s">
        <v>2392</v>
      </c>
      <c r="U299" s="20" t="s">
        <v>2476</v>
      </c>
    </row>
    <row r="300" spans="1:21">
      <c r="A300">
        <v>246</v>
      </c>
      <c r="B300" s="20" t="s">
        <v>382</v>
      </c>
      <c r="C300" s="20" t="s">
        <v>361</v>
      </c>
      <c r="D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s="20" t="s">
        <v>2472</v>
      </c>
      <c r="R300" s="20" t="s">
        <v>2532</v>
      </c>
      <c r="S300" s="20" t="s">
        <v>2392</v>
      </c>
      <c r="T300" s="20" t="s">
        <v>2392</v>
      </c>
      <c r="U300" s="20" t="s">
        <v>2392</v>
      </c>
    </row>
    <row r="301" spans="1:21">
      <c r="A301">
        <v>124</v>
      </c>
      <c r="B301" s="20" t="s">
        <v>102</v>
      </c>
      <c r="C301" s="20" t="s">
        <v>116</v>
      </c>
      <c r="D301">
        <v>0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s="20" t="s">
        <v>2494</v>
      </c>
      <c r="R301" s="20" t="s">
        <v>2392</v>
      </c>
      <c r="S301" s="20" t="s">
        <v>2392</v>
      </c>
      <c r="T301" s="20" t="s">
        <v>2392</v>
      </c>
      <c r="U301" s="20" t="s">
        <v>2392</v>
      </c>
    </row>
    <row r="302" spans="1:21">
      <c r="A302">
        <v>514</v>
      </c>
      <c r="B302" s="20" t="s">
        <v>383</v>
      </c>
      <c r="C302" s="20" t="s">
        <v>383</v>
      </c>
      <c r="D302">
        <v>3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3</v>
      </c>
      <c r="L302">
        <v>3</v>
      </c>
      <c r="M302">
        <v>3</v>
      </c>
      <c r="N302">
        <v>3</v>
      </c>
      <c r="O302">
        <v>0</v>
      </c>
      <c r="P302">
        <v>0</v>
      </c>
      <c r="Q302" s="20" t="s">
        <v>2392</v>
      </c>
      <c r="R302" s="20" t="s">
        <v>2392</v>
      </c>
      <c r="S302" s="20" t="s">
        <v>2392</v>
      </c>
      <c r="T302" s="20" t="s">
        <v>2392</v>
      </c>
      <c r="U302" s="20" t="s">
        <v>2392</v>
      </c>
    </row>
    <row r="303" spans="1:21">
      <c r="A303">
        <v>128</v>
      </c>
      <c r="B303" s="20" t="s">
        <v>384</v>
      </c>
      <c r="C303" s="20" t="s">
        <v>384</v>
      </c>
      <c r="D303">
        <v>1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 s="20" t="s">
        <v>2392</v>
      </c>
      <c r="R303" s="20" t="s">
        <v>2392</v>
      </c>
      <c r="S303" s="20" t="s">
        <v>2278</v>
      </c>
      <c r="T303" s="20" t="s">
        <v>2533</v>
      </c>
      <c r="U303" s="20" t="s">
        <v>2392</v>
      </c>
    </row>
    <row r="304" spans="1:21">
      <c r="A304">
        <v>2</v>
      </c>
      <c r="B304" s="20" t="s">
        <v>385</v>
      </c>
      <c r="C304" s="20" t="s">
        <v>385</v>
      </c>
      <c r="D304">
        <v>0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 s="20" t="s">
        <v>2392</v>
      </c>
      <c r="R304" s="20" t="s">
        <v>2392</v>
      </c>
      <c r="S304" s="20" t="s">
        <v>2270</v>
      </c>
      <c r="T304" s="20" t="s">
        <v>2534</v>
      </c>
      <c r="U304" s="20" t="s">
        <v>2392</v>
      </c>
    </row>
    <row r="305" spans="1:21">
      <c r="A305">
        <v>112</v>
      </c>
      <c r="B305" s="20" t="s">
        <v>116</v>
      </c>
      <c r="C305" s="20" t="s">
        <v>116</v>
      </c>
      <c r="D305">
        <v>2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3</v>
      </c>
      <c r="L305">
        <v>2</v>
      </c>
      <c r="M305">
        <v>2</v>
      </c>
      <c r="N305">
        <v>2</v>
      </c>
      <c r="O305">
        <v>0</v>
      </c>
      <c r="P305">
        <v>0</v>
      </c>
      <c r="Q305" s="20" t="s">
        <v>2392</v>
      </c>
      <c r="R305" s="20" t="s">
        <v>2392</v>
      </c>
      <c r="S305" s="20" t="s">
        <v>2392</v>
      </c>
      <c r="T305" s="20" t="s">
        <v>2392</v>
      </c>
      <c r="U305" s="20" t="s">
        <v>2392</v>
      </c>
    </row>
    <row r="306" spans="1:21">
      <c r="A306">
        <v>127</v>
      </c>
      <c r="B306" s="20" t="s">
        <v>386</v>
      </c>
      <c r="C306" s="20" t="s">
        <v>386</v>
      </c>
      <c r="D306">
        <v>0</v>
      </c>
      <c r="F306">
        <v>0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 s="20" t="s">
        <v>2392</v>
      </c>
      <c r="R306" s="20" t="s">
        <v>2392</v>
      </c>
      <c r="S306" s="20" t="s">
        <v>2270</v>
      </c>
      <c r="T306" s="20" t="s">
        <v>2400</v>
      </c>
      <c r="U306" s="20" t="s">
        <v>2392</v>
      </c>
    </row>
    <row r="307" spans="1:21">
      <c r="A307">
        <v>33</v>
      </c>
      <c r="B307" s="20" t="s">
        <v>271</v>
      </c>
      <c r="C307" s="20" t="s">
        <v>271</v>
      </c>
      <c r="D307">
        <v>3</v>
      </c>
      <c r="E307">
        <v>2</v>
      </c>
      <c r="F307">
        <v>1</v>
      </c>
      <c r="G307">
        <v>0</v>
      </c>
      <c r="H307">
        <v>0</v>
      </c>
      <c r="I307">
        <v>1</v>
      </c>
      <c r="J307">
        <v>0</v>
      </c>
      <c r="K307">
        <v>3</v>
      </c>
      <c r="L307">
        <v>3</v>
      </c>
      <c r="M307">
        <v>3</v>
      </c>
      <c r="N307">
        <v>3</v>
      </c>
      <c r="O307">
        <v>0</v>
      </c>
      <c r="P307">
        <v>0</v>
      </c>
      <c r="Q307" s="20" t="s">
        <v>2392</v>
      </c>
      <c r="R307" s="20" t="s">
        <v>2392</v>
      </c>
      <c r="S307" s="20" t="s">
        <v>2392</v>
      </c>
      <c r="T307" s="20" t="s">
        <v>2392</v>
      </c>
      <c r="U307" s="20" t="s">
        <v>2392</v>
      </c>
    </row>
    <row r="308" spans="1:21">
      <c r="A308">
        <v>182</v>
      </c>
      <c r="B308" s="20" t="s">
        <v>387</v>
      </c>
      <c r="C308" s="20" t="s">
        <v>387</v>
      </c>
      <c r="D308">
        <v>1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 s="20" t="s">
        <v>2392</v>
      </c>
      <c r="R308" s="20" t="s">
        <v>2392</v>
      </c>
      <c r="S308" s="20" t="s">
        <v>2392</v>
      </c>
      <c r="T308" s="20" t="s">
        <v>2392</v>
      </c>
      <c r="U308" s="20" t="s">
        <v>2535</v>
      </c>
    </row>
    <row r="309" spans="1:21">
      <c r="A309">
        <v>178</v>
      </c>
      <c r="B309" s="20" t="s">
        <v>388</v>
      </c>
      <c r="C309" s="20" t="s">
        <v>386</v>
      </c>
      <c r="D309">
        <v>0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 s="20" t="s">
        <v>2392</v>
      </c>
      <c r="R309" s="20" t="s">
        <v>2392</v>
      </c>
      <c r="S309" s="20" t="s">
        <v>2392</v>
      </c>
      <c r="T309" s="20" t="s">
        <v>2392</v>
      </c>
      <c r="U309" s="20" t="s">
        <v>2392</v>
      </c>
    </row>
    <row r="310" spans="1:21">
      <c r="A310">
        <v>151</v>
      </c>
      <c r="B310" s="20" t="s">
        <v>389</v>
      </c>
      <c r="C310" s="20" t="s">
        <v>386</v>
      </c>
      <c r="D310">
        <v>0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 s="20" t="s">
        <v>2392</v>
      </c>
      <c r="R310" s="20" t="s">
        <v>2392</v>
      </c>
      <c r="S310" s="20" t="s">
        <v>2392</v>
      </c>
      <c r="T310" s="20" t="s">
        <v>2392</v>
      </c>
      <c r="U310" s="20" t="s">
        <v>2392</v>
      </c>
    </row>
    <row r="311" spans="1:21">
      <c r="A311">
        <v>173</v>
      </c>
      <c r="B311" s="20" t="s">
        <v>390</v>
      </c>
      <c r="C311" s="20" t="s">
        <v>386</v>
      </c>
      <c r="D311">
        <v>0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 s="20" t="s">
        <v>2392</v>
      </c>
      <c r="R311" s="20" t="s">
        <v>2392</v>
      </c>
      <c r="S311" s="20" t="s">
        <v>2392</v>
      </c>
      <c r="T311" s="20" t="s">
        <v>2392</v>
      </c>
      <c r="U311" s="20" t="s">
        <v>2392</v>
      </c>
    </row>
    <row r="312" spans="1:21">
      <c r="A312">
        <v>174</v>
      </c>
      <c r="B312" s="20" t="s">
        <v>391</v>
      </c>
      <c r="C312" s="20" t="s">
        <v>386</v>
      </c>
      <c r="D312">
        <v>0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 s="20" t="s">
        <v>2392</v>
      </c>
      <c r="R312" s="20" t="s">
        <v>2392</v>
      </c>
      <c r="S312" s="20" t="s">
        <v>2392</v>
      </c>
      <c r="T312" s="20" t="s">
        <v>2392</v>
      </c>
      <c r="U312" s="20" t="s">
        <v>2392</v>
      </c>
    </row>
    <row r="313" spans="1:21">
      <c r="A313">
        <v>163</v>
      </c>
      <c r="B313" s="20" t="s">
        <v>260</v>
      </c>
      <c r="C313" s="20" t="s">
        <v>260</v>
      </c>
      <c r="D313">
        <v>2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2</v>
      </c>
      <c r="L313">
        <v>2</v>
      </c>
      <c r="M313">
        <v>2</v>
      </c>
      <c r="N313">
        <v>0</v>
      </c>
      <c r="O313">
        <v>0</v>
      </c>
      <c r="P313">
        <v>0</v>
      </c>
      <c r="Q313" s="20" t="s">
        <v>2392</v>
      </c>
      <c r="R313" s="20" t="s">
        <v>2392</v>
      </c>
      <c r="S313" s="20" t="s">
        <v>2392</v>
      </c>
      <c r="T313" s="20" t="s">
        <v>2392</v>
      </c>
      <c r="U313" s="20" t="s">
        <v>2392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O380"/>
  <sheetViews>
    <sheetView workbookViewId="0">
      <pane xSplit="1" topLeftCell="AH5" activePane="topRight" state="frozen"/>
      <selection pane="topRight" activeCell="A46" sqref="A46"/>
      <selection activeCell="A2" sqref="A2"/>
    </sheetView>
  </sheetViews>
  <sheetFormatPr defaultColWidth="32.7109375" defaultRowHeight="14.45"/>
  <cols>
    <col min="1" max="1" width="34.85546875" customWidth="1"/>
    <col min="2" max="2" width="13.7109375" bestFit="1" customWidth="1"/>
    <col min="3" max="3" width="47" bestFit="1" customWidth="1"/>
    <col min="4" max="4" width="11.140625" customWidth="1"/>
    <col min="5" max="5" width="10.7109375" bestFit="1" customWidth="1"/>
    <col min="6" max="6" width="12.140625" bestFit="1" customWidth="1"/>
    <col min="7" max="7" width="6.42578125" bestFit="1" customWidth="1"/>
    <col min="8" max="8" width="6.7109375" bestFit="1" customWidth="1"/>
    <col min="9" max="9" width="10" bestFit="1" customWidth="1"/>
    <col min="10" max="11" width="13.28515625" bestFit="1" customWidth="1"/>
    <col min="12" max="12" width="12.42578125" style="27" bestFit="1" customWidth="1"/>
    <col min="13" max="13" width="12.7109375" style="28" bestFit="1" customWidth="1"/>
    <col min="14" max="14" width="9.7109375" bestFit="1" customWidth="1"/>
    <col min="15" max="15" width="10.140625" bestFit="1" customWidth="1"/>
    <col min="16" max="16" width="12.42578125" bestFit="1" customWidth="1"/>
    <col min="17" max="17" width="11.42578125" bestFit="1" customWidth="1"/>
    <col min="18" max="18" width="11.28515625" bestFit="1" customWidth="1"/>
    <col min="19" max="19" width="12.42578125" bestFit="1" customWidth="1"/>
    <col min="20" max="20" width="11" bestFit="1" customWidth="1"/>
    <col min="21" max="21" width="10.7109375" bestFit="1" customWidth="1"/>
    <col min="22" max="22" width="19.42578125" bestFit="1" customWidth="1"/>
    <col min="23" max="23" width="9.28515625" bestFit="1" customWidth="1"/>
    <col min="24" max="24" width="8" style="82" bestFit="1" customWidth="1"/>
    <col min="25" max="25" width="15.42578125" bestFit="1" customWidth="1"/>
    <col min="26" max="27" width="7.140625" bestFit="1" customWidth="1"/>
    <col min="28" max="28" width="11" bestFit="1" customWidth="1"/>
    <col min="29" max="29" width="8.7109375" bestFit="1" customWidth="1"/>
    <col min="30" max="30" width="9.7109375" bestFit="1" customWidth="1"/>
    <col min="31" max="31" width="9.42578125" bestFit="1" customWidth="1"/>
    <col min="32" max="32" width="57" bestFit="1" customWidth="1"/>
    <col min="33" max="33" width="17.28515625" bestFit="1" customWidth="1"/>
    <col min="34" max="34" width="8.28515625" customWidth="1"/>
    <col min="35" max="35" width="20.7109375" bestFit="1" customWidth="1"/>
    <col min="36" max="36" width="10.42578125" bestFit="1" customWidth="1"/>
    <col min="37" max="37" width="11.140625" bestFit="1" customWidth="1"/>
    <col min="38" max="38" width="21.7109375" bestFit="1" customWidth="1"/>
    <col min="39" max="39" width="23" bestFit="1" customWidth="1"/>
    <col min="40" max="40" width="21.42578125" bestFit="1" customWidth="1"/>
    <col min="41" max="42" width="12.7109375" bestFit="1" customWidth="1"/>
    <col min="43" max="43" width="13.140625" bestFit="1" customWidth="1"/>
    <col min="44" max="44" width="14.28515625" bestFit="1" customWidth="1"/>
    <col min="45" max="46" width="50.28515625" customWidth="1"/>
    <col min="47" max="47" width="11.42578125" bestFit="1" customWidth="1"/>
    <col min="48" max="49" width="50" customWidth="1"/>
    <col min="50" max="50" width="21.7109375" bestFit="1" customWidth="1"/>
    <col min="51" max="51" width="16.28515625" bestFit="1" customWidth="1"/>
    <col min="52" max="52" width="27.42578125" bestFit="1" customWidth="1"/>
    <col min="53" max="53" width="7.7109375" bestFit="1" customWidth="1"/>
    <col min="54" max="54" width="15.7109375" bestFit="1" customWidth="1"/>
    <col min="55" max="55" width="11.42578125" bestFit="1" customWidth="1"/>
    <col min="56" max="57" width="10.42578125" bestFit="1" customWidth="1"/>
    <col min="58" max="58" width="13" bestFit="1" customWidth="1"/>
    <col min="59" max="59" width="12.140625" bestFit="1" customWidth="1"/>
    <col min="60" max="60" width="21.42578125" bestFit="1" customWidth="1"/>
    <col min="61" max="61" width="7.42578125" bestFit="1" customWidth="1"/>
    <col min="62" max="62" width="15.140625" bestFit="1" customWidth="1"/>
    <col min="63" max="63" width="18.42578125" bestFit="1" customWidth="1"/>
    <col min="64" max="64" width="18.7109375" bestFit="1" customWidth="1"/>
    <col min="65" max="65" width="12.42578125" bestFit="1" customWidth="1"/>
    <col min="66" max="66" width="18.7109375" bestFit="1" customWidth="1"/>
  </cols>
  <sheetData>
    <row r="1" spans="1:67">
      <c r="J1" s="174">
        <f>COUNTIF(Data['# Interior Compactors MRST],"&gt;0")/311</f>
        <v>0.85209003215434087</v>
      </c>
    </row>
    <row r="3" spans="1:67" s="121" customFormat="1">
      <c r="A3" s="121" t="s">
        <v>2536</v>
      </c>
      <c r="B3" s="121">
        <v>2</v>
      </c>
      <c r="C3" s="121">
        <v>10</v>
      </c>
      <c r="D3" s="121">
        <v>5</v>
      </c>
      <c r="E3" s="121">
        <v>2</v>
      </c>
      <c r="F3" s="121">
        <v>2</v>
      </c>
      <c r="G3" s="121">
        <v>2</v>
      </c>
      <c r="H3" s="121">
        <v>3</v>
      </c>
      <c r="I3" s="121">
        <v>3</v>
      </c>
      <c r="J3" s="121">
        <v>9</v>
      </c>
      <c r="K3" s="121">
        <v>9</v>
      </c>
      <c r="L3" s="121">
        <v>9</v>
      </c>
      <c r="M3" s="121">
        <v>9</v>
      </c>
      <c r="N3" s="121">
        <v>6</v>
      </c>
      <c r="O3" s="121">
        <v>6</v>
      </c>
      <c r="P3" s="121">
        <v>6</v>
      </c>
      <c r="Q3" s="121">
        <v>6</v>
      </c>
      <c r="R3" s="121">
        <v>6</v>
      </c>
      <c r="S3" s="121">
        <v>6</v>
      </c>
      <c r="T3" s="121" t="s">
        <v>2537</v>
      </c>
      <c r="X3" s="121">
        <v>2</v>
      </c>
      <c r="Y3" s="121">
        <v>8</v>
      </c>
      <c r="Z3" s="121">
        <v>1</v>
      </c>
      <c r="AA3" s="121">
        <v>1</v>
      </c>
      <c r="AB3" s="121">
        <v>6</v>
      </c>
      <c r="AC3" s="121">
        <v>6</v>
      </c>
      <c r="AD3" s="121">
        <v>1</v>
      </c>
      <c r="AE3" s="121">
        <v>1</v>
      </c>
      <c r="AF3" s="121">
        <v>10</v>
      </c>
      <c r="AG3" s="121">
        <v>10</v>
      </c>
      <c r="AH3" s="121">
        <v>10</v>
      </c>
      <c r="AI3" s="121">
        <v>10</v>
      </c>
      <c r="AJ3" s="121">
        <v>10</v>
      </c>
      <c r="AK3" s="121">
        <v>10</v>
      </c>
      <c r="AL3" s="121">
        <v>10</v>
      </c>
      <c r="AM3" s="121">
        <v>10</v>
      </c>
      <c r="AN3" s="121">
        <v>10</v>
      </c>
      <c r="AO3" s="121">
        <v>10</v>
      </c>
      <c r="AP3" s="121">
        <v>10</v>
      </c>
      <c r="AQ3" s="121">
        <v>10</v>
      </c>
      <c r="AR3" s="121">
        <v>10</v>
      </c>
      <c r="AS3" s="121">
        <v>10</v>
      </c>
      <c r="AT3" s="121">
        <v>10</v>
      </c>
      <c r="AU3" s="121">
        <v>10</v>
      </c>
      <c r="AV3" s="121">
        <v>10</v>
      </c>
      <c r="AW3" s="121">
        <v>10</v>
      </c>
      <c r="AX3" s="121">
        <v>10</v>
      </c>
      <c r="AY3" s="121">
        <v>10</v>
      </c>
      <c r="AZ3" s="121">
        <v>2</v>
      </c>
      <c r="BA3" s="121">
        <v>10</v>
      </c>
      <c r="BB3" s="121">
        <v>2</v>
      </c>
      <c r="BC3" s="121">
        <v>2</v>
      </c>
      <c r="BD3" s="121">
        <v>2</v>
      </c>
      <c r="BE3" s="121">
        <v>10</v>
      </c>
      <c r="BF3" s="121">
        <v>2</v>
      </c>
      <c r="BG3" s="121">
        <v>2</v>
      </c>
      <c r="BH3" s="121">
        <v>10</v>
      </c>
      <c r="BI3" s="121">
        <v>2</v>
      </c>
      <c r="BJ3" s="121">
        <v>2</v>
      </c>
      <c r="BK3" s="121">
        <v>2</v>
      </c>
      <c r="BL3" s="121">
        <v>2</v>
      </c>
      <c r="BM3" s="121">
        <v>2</v>
      </c>
      <c r="BN3" s="121">
        <v>2</v>
      </c>
      <c r="BO3" s="121">
        <v>2</v>
      </c>
    </row>
    <row r="4" spans="1:67" s="54" customFormat="1">
      <c r="A4" s="54">
        <v>1</v>
      </c>
      <c r="B4" s="54">
        <v>2</v>
      </c>
      <c r="C4" s="54">
        <v>3</v>
      </c>
      <c r="D4" s="54">
        <v>4</v>
      </c>
      <c r="E4" s="54">
        <v>5</v>
      </c>
      <c r="F4" s="54">
        <v>6</v>
      </c>
      <c r="G4" s="54">
        <v>7</v>
      </c>
      <c r="H4" s="54">
        <v>8</v>
      </c>
      <c r="I4" s="54">
        <v>9</v>
      </c>
      <c r="J4" s="54">
        <v>10</v>
      </c>
      <c r="K4" s="54">
        <v>11</v>
      </c>
      <c r="L4" s="54">
        <v>12</v>
      </c>
      <c r="M4" s="54">
        <v>13</v>
      </c>
      <c r="N4" s="54">
        <v>14</v>
      </c>
      <c r="O4" s="54">
        <v>15</v>
      </c>
      <c r="P4" s="54">
        <v>16</v>
      </c>
      <c r="Q4" s="54">
        <v>17</v>
      </c>
      <c r="R4" s="54">
        <v>18</v>
      </c>
      <c r="S4" s="54">
        <v>19</v>
      </c>
      <c r="T4" s="54">
        <v>20</v>
      </c>
      <c r="U4" s="54">
        <v>21</v>
      </c>
      <c r="V4" s="54">
        <v>22</v>
      </c>
      <c r="W4" s="54">
        <v>23</v>
      </c>
      <c r="X4" s="54">
        <v>24</v>
      </c>
      <c r="Y4" s="54">
        <v>25</v>
      </c>
      <c r="Z4" s="54">
        <v>26</v>
      </c>
      <c r="AA4" s="54">
        <v>27</v>
      </c>
      <c r="AB4" s="54">
        <v>28</v>
      </c>
      <c r="AC4" s="54">
        <v>29</v>
      </c>
      <c r="AD4" s="54">
        <v>30</v>
      </c>
      <c r="AE4" s="54">
        <v>31</v>
      </c>
      <c r="AF4" s="54">
        <v>32</v>
      </c>
      <c r="AG4" s="54">
        <v>33</v>
      </c>
      <c r="AH4" s="54">
        <v>34</v>
      </c>
      <c r="AI4" s="54">
        <v>35</v>
      </c>
      <c r="AJ4" s="54">
        <v>36</v>
      </c>
      <c r="AK4" s="54">
        <v>37</v>
      </c>
      <c r="AL4" s="54">
        <v>38</v>
      </c>
      <c r="AM4" s="54">
        <v>39</v>
      </c>
      <c r="AN4" s="54">
        <v>40</v>
      </c>
      <c r="AO4" s="54">
        <v>41</v>
      </c>
      <c r="AP4" s="54">
        <v>42</v>
      </c>
      <c r="AQ4" s="54">
        <v>43</v>
      </c>
      <c r="AR4" s="54">
        <v>44</v>
      </c>
      <c r="AS4" s="54">
        <v>45</v>
      </c>
      <c r="AT4" s="54">
        <v>46</v>
      </c>
      <c r="AU4" s="54">
        <v>47</v>
      </c>
      <c r="AV4" s="54">
        <v>48</v>
      </c>
      <c r="AW4" s="54">
        <v>49</v>
      </c>
      <c r="AX4" s="54">
        <v>50</v>
      </c>
      <c r="AY4" s="54">
        <v>51</v>
      </c>
      <c r="AZ4" s="54">
        <v>52</v>
      </c>
      <c r="BA4" s="54">
        <v>53</v>
      </c>
      <c r="BB4" s="54">
        <v>54</v>
      </c>
      <c r="BC4" s="54">
        <v>55</v>
      </c>
      <c r="BD4" s="54">
        <v>56</v>
      </c>
      <c r="BE4" s="54">
        <v>57</v>
      </c>
      <c r="BF4" s="54">
        <v>58</v>
      </c>
      <c r="BG4" s="54">
        <v>59</v>
      </c>
      <c r="BH4" s="54">
        <v>60</v>
      </c>
      <c r="BI4" s="54">
        <v>61</v>
      </c>
      <c r="BJ4" s="54">
        <v>62</v>
      </c>
      <c r="BK4" s="54">
        <v>63</v>
      </c>
      <c r="BL4" s="54">
        <v>64</v>
      </c>
      <c r="BM4" s="54">
        <v>65</v>
      </c>
      <c r="BN4" s="54">
        <v>66</v>
      </c>
      <c r="BO4" s="54">
        <v>67</v>
      </c>
    </row>
    <row r="5" spans="1:67" s="117" customFormat="1" ht="43.15">
      <c r="A5" s="117" t="s">
        <v>7</v>
      </c>
      <c r="B5" s="117" t="s">
        <v>5</v>
      </c>
      <c r="C5" s="117" t="s">
        <v>2538</v>
      </c>
      <c r="D5" s="117" t="s">
        <v>2539</v>
      </c>
      <c r="E5" s="117" t="s">
        <v>2540</v>
      </c>
      <c r="F5" s="117" t="s">
        <v>2541</v>
      </c>
      <c r="G5" s="117" t="s">
        <v>168</v>
      </c>
      <c r="H5" s="117" t="s">
        <v>8</v>
      </c>
      <c r="I5" s="117" t="s">
        <v>2210</v>
      </c>
      <c r="J5" s="117" t="s">
        <v>2542</v>
      </c>
      <c r="K5" s="117" t="s">
        <v>2543</v>
      </c>
      <c r="L5" s="118" t="s">
        <v>2544</v>
      </c>
      <c r="M5" s="118" t="s">
        <v>2545</v>
      </c>
      <c r="N5" s="117" t="s">
        <v>27</v>
      </c>
      <c r="O5" s="117" t="s">
        <v>109</v>
      </c>
      <c r="P5" s="117" t="s">
        <v>52</v>
      </c>
      <c r="Q5" s="117" t="s">
        <v>150</v>
      </c>
      <c r="R5" s="117" t="s">
        <v>141</v>
      </c>
      <c r="S5" s="117" t="s">
        <v>479</v>
      </c>
      <c r="T5" s="117" t="s">
        <v>49</v>
      </c>
      <c r="U5" s="117" t="s">
        <v>2546</v>
      </c>
      <c r="V5" s="117" t="s">
        <v>2547</v>
      </c>
      <c r="W5" s="117" t="s">
        <v>2548</v>
      </c>
      <c r="X5" s="119" t="s">
        <v>155</v>
      </c>
      <c r="Y5" s="117" t="s">
        <v>169</v>
      </c>
      <c r="Z5" s="117" t="s">
        <v>2549</v>
      </c>
      <c r="AA5" s="117" t="s">
        <v>2550</v>
      </c>
      <c r="AB5" s="117" t="s">
        <v>175</v>
      </c>
      <c r="AC5" s="117" t="s">
        <v>2551</v>
      </c>
      <c r="AD5" s="117" t="s">
        <v>2552</v>
      </c>
      <c r="AE5" s="117" t="s">
        <v>2553</v>
      </c>
      <c r="AF5" s="117" t="s">
        <v>2554</v>
      </c>
      <c r="AG5" s="117" t="s">
        <v>2555</v>
      </c>
      <c r="AH5" s="117" t="s">
        <v>2556</v>
      </c>
      <c r="AI5" s="117" t="s">
        <v>2557</v>
      </c>
      <c r="AJ5" s="117" t="s">
        <v>2558</v>
      </c>
      <c r="AK5" s="117" t="s">
        <v>2559</v>
      </c>
      <c r="AL5" s="117" t="s">
        <v>2560</v>
      </c>
      <c r="AM5" s="117" t="s">
        <v>2561</v>
      </c>
      <c r="AN5" s="117" t="s">
        <v>2562</v>
      </c>
      <c r="AO5" s="117" t="s">
        <v>2563</v>
      </c>
      <c r="AP5" s="117" t="s">
        <v>2564</v>
      </c>
      <c r="AQ5" s="117" t="s">
        <v>2565</v>
      </c>
      <c r="AR5" s="117" t="s">
        <v>2566</v>
      </c>
      <c r="AS5" s="117" t="s">
        <v>2567</v>
      </c>
      <c r="AT5" s="117" t="s">
        <v>2568</v>
      </c>
      <c r="AU5" s="117" t="s">
        <v>2569</v>
      </c>
      <c r="AV5" s="117" t="s">
        <v>2570</v>
      </c>
      <c r="AW5" s="117" t="s">
        <v>2571</v>
      </c>
      <c r="AX5" s="117" t="s">
        <v>2572</v>
      </c>
      <c r="AY5" s="117" t="s">
        <v>2573</v>
      </c>
      <c r="AZ5" s="117" t="s">
        <v>2214</v>
      </c>
      <c r="BA5" s="117" t="s">
        <v>2574</v>
      </c>
      <c r="BB5" s="117" t="s">
        <v>2575</v>
      </c>
      <c r="BC5" s="117" t="s">
        <v>2576</v>
      </c>
      <c r="BD5" s="117" t="s">
        <v>2577</v>
      </c>
      <c r="BE5" s="120" t="s">
        <v>2578</v>
      </c>
      <c r="BF5" s="117" t="s">
        <v>2579</v>
      </c>
      <c r="BG5" s="117" t="s">
        <v>2580</v>
      </c>
      <c r="BH5" s="117" t="s">
        <v>2581</v>
      </c>
      <c r="BI5" s="117" t="s">
        <v>2582</v>
      </c>
      <c r="BJ5" s="117" t="s">
        <v>2583</v>
      </c>
      <c r="BK5" s="117" t="s">
        <v>924</v>
      </c>
      <c r="BL5" s="117" t="s">
        <v>925</v>
      </c>
      <c r="BM5" s="117" t="s">
        <v>926</v>
      </c>
      <c r="BN5" s="117" t="s">
        <v>927</v>
      </c>
      <c r="BO5" s="225" t="s">
        <v>2584</v>
      </c>
    </row>
    <row r="6" spans="1:67">
      <c r="A6" t="s">
        <v>291</v>
      </c>
      <c r="B6" s="20" t="str">
        <f>VLOOKUP(Data[[#This Row],[DEVELOPMENT]],Development_Data_Book[[DEVELOPMENT]:[BOROUGH]],MATCH("borough",Development_Data_Book[[#Headers],[DEVELOPMENT]:[BOROUGH]],0),FALSE)</f>
        <v>BRONX</v>
      </c>
      <c r="C6" s="20" t="e">
        <f>VLOOKUP(Data[[#This Row],[DEVELOPMENT]],'[1]Cheat-Sheet'!$D$2:$Q$341,2,FALSE)</f>
        <v>#N/A</v>
      </c>
      <c r="D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6" s="20">
        <f>VLOOKUP(Data[[#This Row],[DEVELOPMENT]],Development_Data_Book[[DEVELOPMENT]:[BOROUGH]],21,FALSE)</f>
        <v>1</v>
      </c>
      <c r="F6" s="20">
        <f>VLOOKUP(Data[[#This Row],[DEVELOPMENT]],Development_Data_Book[[DEVELOPMENT]:[BOROUGH]],23,FALSE)</f>
        <v>1</v>
      </c>
      <c r="G6" s="20">
        <f>VLOOKUP(Data[[#This Row],[DEVELOPMENT]],Development_Data_Book[[DEVELOPMENT]:[BOROUGH]],12,FALSE)</f>
        <v>218</v>
      </c>
      <c r="J6">
        <f>IFERROR(VLOOKUP(Data[[#This Row],[DEVELOPMENT]],IntCompactors_MRST[],4,FALSE),0)</f>
        <v>1</v>
      </c>
      <c r="K6" s="20">
        <f>IFERROR(VLOOKUP(Data[[#This Row],[DEVELOPMENT]],ExtCompactors_MRST[],4,FALSE),0)</f>
        <v>0</v>
      </c>
      <c r="L6" s="27">
        <f>IF(Data[[#This Row],['# Interior Compactors MRST]]=0,"",VLOOKUP(Data[[#This Row],[DEVELOPMENT]],IntCompactors_MRST[],5,FALSE))</f>
        <v>35796</v>
      </c>
      <c r="M6" s="28" t="str">
        <f>IF(Data[[#This Row],['# Exterior Compactors MRST]]=0,"",VLOOKUP(Data[[#This Row],[DEVELOPMENT]],ExtCompactors_MRST[],5,FALSE))</f>
        <v/>
      </c>
      <c r="N6" s="20">
        <f>Data[[#This Row],['# Interior Compactors MRST]]</f>
        <v>1</v>
      </c>
      <c r="O6" s="20">
        <f>IF(Data[[#This Row],['# Bulk Crushers]]=0,1,0)</f>
        <v>1</v>
      </c>
      <c r="P6" s="20">
        <f>1</f>
        <v>1</v>
      </c>
      <c r="Q6" s="20">
        <f>1</f>
        <v>1</v>
      </c>
      <c r="R6" s="20">
        <f>1</f>
        <v>1</v>
      </c>
      <c r="S6" s="20">
        <f>1</f>
        <v>1</v>
      </c>
      <c r="T6" s="20">
        <f>IF(Data[[#This Row],[Sewershed]]="Newtown Creek",Data[[#This Row],[DUs]],0)</f>
        <v>0</v>
      </c>
      <c r="U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6" s="82">
        <f>VLOOKUP(Data[[#This Row],[DEVELOPMENT]],Development_Data_Book[[DEVELOPMENT]:[BOROUGH]],3,FALSE)</f>
        <v>180</v>
      </c>
      <c r="Y6" s="20"/>
      <c r="Z6" s="20">
        <f>IFERROR(VLOOKUP(Data[[#This Row],[TDS]],ExtCompactors_PNA[[Development]:[0]],2,FALSE),0)</f>
        <v>0</v>
      </c>
      <c r="AA6" s="20">
        <f>IFERROR(VLOOKUP(Data[[#This Row],[TDS]],IntCompactors_PNA[[TDS]:[0]],2,FALSE),0)</f>
        <v>1</v>
      </c>
      <c r="AB6" s="20"/>
      <c r="AC6" s="20"/>
      <c r="AD6" s="20">
        <f>IFERROR(VLOOKUP(Data[[#This Row],[TDS]],ExtCompactors_PNA[[Development]:[0]],3,FALSE)+VLOOKUP(Data[[#This Row],[TDS]],ExtCompactors_PNA[[Development]:[0]],6,FALSE),0)</f>
        <v>0</v>
      </c>
      <c r="AE6" s="20">
        <f>IFERROR(VLOOKUP(Data[[#This Row],[TDS]],IntCompactors_PNA[[TDS]:[0]],3,FALSE)+VLOOKUP(Data[[#This Row],[TDS]],IntCompactors_PNA[[TDS]:[0]],6,FALSE),0)</f>
        <v>1</v>
      </c>
      <c r="AF6" s="20" t="str">
        <f>VLOOKUP(Data[[#This Row],[DEVELOPMENT]],[3]Developments!$A$2:$A$312,1,FALSE)</f>
        <v>1010 EAST 178TH STREET</v>
      </c>
      <c r="AG6" s="20">
        <f>IFERROR(VLOOKUP(Data[[#This Row],[DEVELOPMENT]],Ops_Priorities_and_Data_Clean[[development]:[ifnoext_comment]],3,FALSE),"")</f>
        <v>0</v>
      </c>
      <c r="AH6" s="20">
        <f>IFERROR(VLOOKUP(Data[[#This Row],[DEVELOPMENT]],Ops_Priorities_and_Data_Clean[[development]:[ifnoext_comment]],4,FALSE),"")</f>
        <v>0</v>
      </c>
      <c r="AI6" s="20">
        <f>IFERROR(VLOOKUP(Data[[#This Row],[DEVELOPMENT]],Ops_Priorities_and_Data_Clean[[development]:[ifnoext_comment]],5,FALSE),"")</f>
        <v>0</v>
      </c>
      <c r="AJ6" s="20">
        <f>IFERROR(VLOOKUP(Data[[#This Row],[DEVELOPMENT]],Ops_Priorities_and_Data_Clean[[development]:[ifnoext_comment]],6,FALSE),"")</f>
        <v>0</v>
      </c>
      <c r="AK6" s="20">
        <f>IFERROR(VLOOKUP(Data[[#This Row],[DEVELOPMENT]],Ops_Priorities_and_Data_Clean[[development]:[ifnoext_comment]],7,FALSE),"")</f>
        <v>1</v>
      </c>
      <c r="AL6" s="20">
        <f>IFERROR(VLOOKUP(Data[[#This Row],[DEVELOPMENT]],Ops_Priorities_and_Data_Clean[[development]:[ifnoext_comment]],8,FALSE),"")</f>
        <v>1</v>
      </c>
      <c r="AM6" s="20">
        <f>IFERROR(VLOOKUP(Data[[#This Row],[DEVELOPMENT]],Ops_Priorities_and_Data_Clean[[development]:[ifnoext_comment]],9,FALSE),"")</f>
        <v>1</v>
      </c>
      <c r="AN6" s="20">
        <f>IFERROR(VLOOKUP(Data[[#This Row],[DEVELOPMENT]],Ops_Priorities_and_Data_Clean[[development]:[ifnoext_comment]],10,FALSE),"")</f>
        <v>0</v>
      </c>
      <c r="AO6" s="20">
        <f>IFERROR(VLOOKUP(Data[[#This Row],[DEVELOPMENT]],Ops_Priorities_and_Data_Clean[[development]:[ifnoext_comment]],11,FALSE),"")</f>
        <v>0</v>
      </c>
      <c r="AP6" s="20">
        <f>IFERROR(VLOOKUP(Data[[#This Row],[DEVELOPMENT]],Ops_Priorities_and_Data_Clean[[development]:[ifnoext_comment]],12,FALSE),"")</f>
        <v>0</v>
      </c>
      <c r="AQ6" s="20">
        <f>VLOOKUP(Data[[#This Row],[DEVELOPMENT]],Ops_Priorities_and_Data_Clean[[development]:[ifnoext_comment]],14,FALSE)</f>
        <v>1</v>
      </c>
      <c r="AR6" s="20">
        <f>VLOOKUP(Data[[#This Row],[DEVELOPMENT]],Ops_Priorities_and_Data_Clean[[development]:[ifnoext_comment]],15,FALSE)</f>
        <v>0</v>
      </c>
      <c r="AS6" s="20" t="str">
        <f>VLOOKUP(Data[[#This Row],[DEVELOPMENT]],Ops_Priorities_and_Data_Clean[[development]:[ifnoext_comment]],16,FALSE)</f>
        <v>NULL</v>
      </c>
      <c r="AT6" s="20" t="str">
        <f>VLOOKUP(Data[[#This Row],[DEVELOPMENT]],Ops_Priorities_and_Data_Clean[[development]:[ifnoext_comment]],17,FALSE)</f>
        <v>NULL</v>
      </c>
      <c r="AU6" s="20" t="str">
        <f>VLOOKUP(Data[[#This Row],[DEVELOPMENT]],Ops_Priorities_and_Data_Clean[[development]:[ifnoext_comment]],18,FALSE)</f>
        <v>NULL</v>
      </c>
      <c r="AV6" s="20" t="str">
        <f>VLOOKUP(Data[[#This Row],[DEVELOPMENT]],Ops_Priorities_and_Data_Clean[[development]:[ifnoext_comment]],19,FALSE)</f>
        <v>NULL</v>
      </c>
      <c r="AW6" s="20" t="str">
        <f>VLOOKUP(Data[[#This Row],[DEVELOPMENT]],Ops_Priorities_and_Data_Clean[[development]:[ifnoext_comment]],20,FALSE)</f>
        <v>It is a curbside site that has room for a compactor.</v>
      </c>
      <c r="AX6" s="104" t="s">
        <v>2237</v>
      </c>
      <c r="AY6" s="104" t="s">
        <v>2585</v>
      </c>
      <c r="AZ6" s="20" t="str">
        <f>VLOOKUP(Data[[#This Row],[DEVELOPMENT]],Development_Data_Book[[DEVELOPMENT]:[PRIVATE MANAGEMENT]],8,FALSE)</f>
        <v>FEDERAL</v>
      </c>
      <c r="BA6" s="104" t="s">
        <v>2586</v>
      </c>
      <c r="BB6" s="20">
        <f>VLOOKUP(Data[[#This Row],[DEVELOPMENT]],Development_Data_Book[[DEVELOPMENT]:[PRIVATE MANAGEMENT]],22,FALSE)</f>
        <v>0</v>
      </c>
      <c r="BC6" s="20">
        <f>Data[[#This Row],[Non-Dwelling Buildings]]+Data[[#This Row],[Dwelling Buildings]]</f>
        <v>1</v>
      </c>
      <c r="BD6" s="20">
        <f>VLOOKUP(Data[[#This Row],[DEVELOPMENT]],Development_Data_Book[[DEVELOPMENT]:[PRIVATE MANAGEMENT]],26,FALSE)</f>
        <v>2.02</v>
      </c>
      <c r="BE6" s="106">
        <v>192600</v>
      </c>
      <c r="BF6" s="20">
        <f>VLOOKUP(Data[[#This Row],[DEVELOPMENT]],Development_Data_Book[[DEVELOPMENT]:[PRIVATE MANAGEMENT]],18,FALSE)</f>
        <v>450</v>
      </c>
      <c r="BG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6" s="104" t="s">
        <v>2587</v>
      </c>
      <c r="BI6" t="s">
        <v>184</v>
      </c>
      <c r="BJ6" s="20">
        <f>VLOOKUP(Data[[#This Row],[DEVELOPMENT]],Development_Data_Book[[DEVELOPMENT]:[PRIVATE MANAGEMENT]],41,FALSE)</f>
        <v>6</v>
      </c>
      <c r="BK6" s="20">
        <f>VLOOKUP(Data[[#This Row],[DEVELOPMENT]],Development_Data_Book[[DEVELOPMENT]:[PRIVATE MANAGEMENT]],42,FALSE)</f>
        <v>15</v>
      </c>
      <c r="BL6" s="20">
        <f>VLOOKUP(Data[[#This Row],[DEVELOPMENT]],Development_Data_Book[[DEVELOPMENT]:[PRIVATE MANAGEMENT]],43,FALSE)</f>
        <v>32</v>
      </c>
      <c r="BM6" s="20">
        <f>VLOOKUP(Data[[#This Row],[DEVELOPMENT]],Development_Data_Book[[DEVELOPMENT]:[PRIVATE MANAGEMENT]],44,FALSE)</f>
        <v>87</v>
      </c>
      <c r="BN6" s="20">
        <f>VLOOKUP(Data[[#This Row],[DEVELOPMENT]],Development_Data_Book[[DEVELOPMENT]:[PRIVATE MANAGEMENT]],45,FALSE)</f>
        <v>15</v>
      </c>
      <c r="BO6" s="20">
        <f>VLOOKUP(Data[[#This Row],[DEVELOPMENT]],Development_Data_Book[[DEVELOPMENT]:[PRIVATE MANAGEMENT]],24,FALSE)</f>
        <v>21</v>
      </c>
    </row>
    <row r="7" spans="1:67">
      <c r="A7" t="s">
        <v>292</v>
      </c>
      <c r="B7" s="20" t="str">
        <f>VLOOKUP(Data[[#This Row],[DEVELOPMENT]],Development_Data_Book[[DEVELOPMENT]:[BOROUGH]],MATCH("borough",Development_Data_Book[[#Headers],[DEVELOPMENT]:[BOROUGH]],0),FALSE)</f>
        <v>BROOKLYN</v>
      </c>
      <c r="C7" s="20" t="e">
        <f>VLOOKUP(Data[[#This Row],[DEVELOPMENT]],'[1]Cheat-Sheet'!$D$2:$Q$341,2,FALSE)</f>
        <v>#N/A</v>
      </c>
      <c r="D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7" s="20">
        <f>VLOOKUP(Data[[#This Row],[DEVELOPMENT]],Development_Data_Book[[DEVELOPMENT]:[BOROUGH]],21,FALSE)</f>
        <v>1</v>
      </c>
      <c r="F7" s="20">
        <f>VLOOKUP(Data[[#This Row],[DEVELOPMENT]],Development_Data_Book[[DEVELOPMENT]:[BOROUGH]],23,FALSE)</f>
        <v>1</v>
      </c>
      <c r="G7" s="20">
        <f>VLOOKUP(Data[[#This Row],[DEVELOPMENT]],Development_Data_Book[[DEVELOPMENT]:[BOROUGH]],12,FALSE)</f>
        <v>30</v>
      </c>
      <c r="J7">
        <f>IFERROR(VLOOKUP(Data[[#This Row],[DEVELOPMENT]],IntCompactors_MRST[],4,FALSE),0)</f>
        <v>1</v>
      </c>
      <c r="K7" s="20">
        <f>IFERROR(VLOOKUP(Data[[#This Row],[DEVELOPMENT]],ExtCompactors_MRST[],4,FALSE),0)</f>
        <v>0</v>
      </c>
      <c r="L7" s="27">
        <f>IF(Data[[#This Row],['# Interior Compactors MRST]]=0,"",VLOOKUP(Data[[#This Row],[DEVELOPMENT]],IntCompactors_MRST[],5,FALSE))</f>
        <v>35400</v>
      </c>
      <c r="M7" s="28" t="str">
        <f>IF(Data[[#This Row],['# Exterior Compactors MRST]]=0,"",VLOOKUP(Data[[#This Row],[DEVELOPMENT]],ExtCompactors_MRST[],5,FALSE))</f>
        <v/>
      </c>
      <c r="N7" s="20">
        <f>Data[[#This Row],['# Interior Compactors MRST]]</f>
        <v>1</v>
      </c>
      <c r="O7" s="20">
        <f>IF(Data[[#This Row],['# Bulk Crushers]]=0,1,0)</f>
        <v>1</v>
      </c>
      <c r="P7" s="20">
        <f>1</f>
        <v>1</v>
      </c>
      <c r="Q7" s="20">
        <f>1</f>
        <v>1</v>
      </c>
      <c r="R7" s="20">
        <f>1</f>
        <v>1</v>
      </c>
      <c r="S7" s="20">
        <f>1</f>
        <v>1</v>
      </c>
      <c r="T7" s="20">
        <f>IF(Data[[#This Row],[Sewershed]]="Newtown Creek",Data[[#This Row],[DUs]],0)</f>
        <v>0</v>
      </c>
      <c r="U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7" s="82">
        <f>VLOOKUP(Data[[#This Row],[DEVELOPMENT]],Development_Data_Book[[DEVELOPMENT]:[BOROUGH]],3,FALSE)</f>
        <v>242</v>
      </c>
      <c r="Y7" s="20"/>
      <c r="Z7" s="20">
        <f>IFERROR(VLOOKUP(Data[[#This Row],[TDS]],ExtCompactors_PNA[[Development]:[0]],2,FALSE),0)</f>
        <v>0</v>
      </c>
      <c r="AA7" s="20">
        <f>IFERROR(VLOOKUP(Data[[#This Row],[TDS]],IntCompactors_PNA[[TDS]:[0]],2,FALSE),0)</f>
        <v>2</v>
      </c>
      <c r="AB7" s="20"/>
      <c r="AC7" s="20"/>
      <c r="AD7" s="20">
        <f>IFERROR(VLOOKUP(Data[[#This Row],[TDS]],ExtCompactors_PNA[[Development]:[0]],3,FALSE)+VLOOKUP(Data[[#This Row],[TDS]],ExtCompactors_PNA[[Development]:[0]],6,FALSE),0)</f>
        <v>0</v>
      </c>
      <c r="AE7" s="20">
        <f>IFERROR(VLOOKUP(Data[[#This Row],[TDS]],IntCompactors_PNA[[TDS]:[0]],3,FALSE)+VLOOKUP(Data[[#This Row],[TDS]],IntCompactors_PNA[[TDS]:[0]],6,FALSE),0)</f>
        <v>2</v>
      </c>
      <c r="AF7" s="20" t="e">
        <f>VLOOKUP(Data[[#This Row],[DEVELOPMENT]],[3]Developments!$A$2:$A$312,1,FALSE)</f>
        <v>#N/A</v>
      </c>
      <c r="AG7" s="20">
        <f>IFERROR(VLOOKUP(Data[[#This Row],[DEVELOPMENT]],Ops_Priorities_and_Data_Clean[[development]:[ifnoext_comment]],3,FALSE),"")</f>
        <v>0</v>
      </c>
      <c r="AH7" s="20">
        <f>IFERROR(VLOOKUP(Data[[#This Row],[DEVELOPMENT]],Ops_Priorities_and_Data_Clean[[development]:[ifnoext_comment]],4,FALSE),"")</f>
        <v>0</v>
      </c>
      <c r="AI7" s="20">
        <f>IFERROR(VLOOKUP(Data[[#This Row],[DEVELOPMENT]],Ops_Priorities_and_Data_Clean[[development]:[ifnoext_comment]],5,FALSE),"")</f>
        <v>0</v>
      </c>
      <c r="AJ7" s="20">
        <f>IFERROR(VLOOKUP(Data[[#This Row],[DEVELOPMENT]],Ops_Priorities_and_Data_Clean[[development]:[ifnoext_comment]],6,FALSE),"")</f>
        <v>0</v>
      </c>
      <c r="AK7" s="20">
        <f>IFERROR(VLOOKUP(Data[[#This Row],[DEVELOPMENT]],Ops_Priorities_and_Data_Clean[[development]:[ifnoext_comment]],7,FALSE),"")</f>
        <v>1</v>
      </c>
      <c r="AL7" s="20">
        <f>IFERROR(VLOOKUP(Data[[#This Row],[DEVELOPMENT]],Ops_Priorities_and_Data_Clean[[development]:[ifnoext_comment]],8,FALSE),"")</f>
        <v>1</v>
      </c>
      <c r="AM7" s="20">
        <f>IFERROR(VLOOKUP(Data[[#This Row],[DEVELOPMENT]],Ops_Priorities_and_Data_Clean[[development]:[ifnoext_comment]],9,FALSE),"")</f>
        <v>0</v>
      </c>
      <c r="AN7" s="20">
        <f>IFERROR(VLOOKUP(Data[[#This Row],[DEVELOPMENT]],Ops_Priorities_and_Data_Clean[[development]:[ifnoext_comment]],10,FALSE),"")</f>
        <v>0</v>
      </c>
      <c r="AO7" s="20">
        <f>IFERROR(VLOOKUP(Data[[#This Row],[DEVELOPMENT]],Ops_Priorities_and_Data_Clean[[development]:[ifnoext_comment]],11,FALSE),"")</f>
        <v>0</v>
      </c>
      <c r="AP7" s="20">
        <f>IFERROR(VLOOKUP(Data[[#This Row],[DEVELOPMENT]],Ops_Priorities_and_Data_Clean[[development]:[ifnoext_comment]],12,FALSE),"")</f>
        <v>0</v>
      </c>
      <c r="AQ7" s="20">
        <f>VLOOKUP(Data[[#This Row],[DEVELOPMENT]],Ops_Priorities_and_Data_Clean[[development]:[ifnoext_comment]],14,FALSE)</f>
        <v>1</v>
      </c>
      <c r="AR7" s="20">
        <f>VLOOKUP(Data[[#This Row],[DEVELOPMENT]],Ops_Priorities_and_Data_Clean[[development]:[ifnoext_comment]],15,FALSE)</f>
        <v>0</v>
      </c>
      <c r="AS7" s="20" t="str">
        <f>VLOOKUP(Data[[#This Row],[DEVELOPMENT]],Ops_Priorities_and_Data_Clean[[development]:[ifnoext_comment]],16,FALSE)</f>
        <v>NULL</v>
      </c>
      <c r="AT7" s="20" t="str">
        <f>VLOOKUP(Data[[#This Row],[DEVELOPMENT]],Ops_Priorities_and_Data_Clean[[development]:[ifnoext_comment]],17,FALSE)</f>
        <v>NULL</v>
      </c>
      <c r="AU7" s="20" t="str">
        <f>VLOOKUP(Data[[#This Row],[DEVELOPMENT]],Ops_Priorities_and_Data_Clean[[development]:[ifnoext_comment]],18,FALSE)</f>
        <v>NULL</v>
      </c>
      <c r="AV7" s="20" t="str">
        <f>VLOOKUP(Data[[#This Row],[DEVELOPMENT]],Ops_Priorities_and_Data_Clean[[development]:[ifnoext_comment]],19,FALSE)</f>
        <v>NULL</v>
      </c>
      <c r="AW7" s="20" t="str">
        <f>VLOOKUP(Data[[#This Row],[DEVELOPMENT]],Ops_Priorities_and_Data_Clean[[development]:[ifnoext_comment]],20,FALSE)</f>
        <v>NULL</v>
      </c>
      <c r="AX7" s="104" t="s">
        <v>2238</v>
      </c>
      <c r="AY7" s="104" t="s">
        <v>392</v>
      </c>
      <c r="AZ7" s="20" t="str">
        <f>VLOOKUP(Data[[#This Row],[DEVELOPMENT]],Development_Data_Book[[DEVELOPMENT]:[PRIVATE MANAGEMENT]],8,FALSE)</f>
        <v>FEDERAL</v>
      </c>
      <c r="BA7" s="104" t="s">
        <v>2588</v>
      </c>
      <c r="BB7" s="20">
        <f>VLOOKUP(Data[[#This Row],[DEVELOPMENT]],Development_Data_Book[[DEVELOPMENT]:[PRIVATE MANAGEMENT]],22,FALSE)</f>
        <v>0</v>
      </c>
      <c r="BC7" s="20">
        <f>Data[[#This Row],[Non-Dwelling Buildings]]+Data[[#This Row],[Dwelling Buildings]]</f>
        <v>1</v>
      </c>
      <c r="BD7" s="20">
        <f>VLOOKUP(Data[[#This Row],[DEVELOPMENT]],Development_Data_Book[[DEVELOPMENT]:[PRIVATE MANAGEMENT]],26,FALSE)</f>
        <v>0.23</v>
      </c>
      <c r="BE7" s="106">
        <v>31000</v>
      </c>
      <c r="BF7" s="20">
        <f>VLOOKUP(Data[[#This Row],[DEVELOPMENT]],Development_Data_Book[[DEVELOPMENT]:[PRIVATE MANAGEMENT]],18,FALSE)</f>
        <v>65</v>
      </c>
      <c r="BG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7" s="104" t="s">
        <v>2589</v>
      </c>
      <c r="BI7" t="s">
        <v>184</v>
      </c>
      <c r="BJ7" s="20">
        <f>VLOOKUP(Data[[#This Row],[DEVELOPMENT]],Development_Data_Book[[DEVELOPMENT]:[PRIVATE MANAGEMENT]],41,FALSE)</f>
        <v>16</v>
      </c>
      <c r="BK7" s="20">
        <f>VLOOKUP(Data[[#This Row],[DEVELOPMENT]],Development_Data_Book[[DEVELOPMENT]:[PRIVATE MANAGEMENT]],42,FALSE)</f>
        <v>9</v>
      </c>
      <c r="BL7" s="20">
        <f>VLOOKUP(Data[[#This Row],[DEVELOPMENT]],Development_Data_Book[[DEVELOPMENT]:[PRIVATE MANAGEMENT]],43,FALSE)</f>
        <v>20</v>
      </c>
      <c r="BM7" s="20">
        <f>VLOOKUP(Data[[#This Row],[DEVELOPMENT]],Development_Data_Book[[DEVELOPMENT]:[PRIVATE MANAGEMENT]],44,FALSE)</f>
        <v>55</v>
      </c>
      <c r="BN7" s="20">
        <f>VLOOKUP(Data[[#This Row],[DEVELOPMENT]],Development_Data_Book[[DEVELOPMENT]:[PRIVATE MANAGEMENT]],45,FALSE)</f>
        <v>41</v>
      </c>
      <c r="BO7" s="20">
        <f>VLOOKUP(Data[[#This Row],[DEVELOPMENT]],Development_Data_Book[[DEVELOPMENT]:[PRIVATE MANAGEMENT]],24,FALSE)</f>
        <v>4</v>
      </c>
    </row>
    <row r="8" spans="1:67">
      <c r="A8" t="s">
        <v>293</v>
      </c>
      <c r="B8" s="20" t="str">
        <f>VLOOKUP(Data[[#This Row],[DEVELOPMENT]],Development_Data_Book[[DEVELOPMENT]:[BOROUGH]],MATCH("borough",Development_Data_Book[[#Headers],[DEVELOPMENT]:[BOROUGH]],0),FALSE)</f>
        <v>BRONX</v>
      </c>
      <c r="C8" s="20" t="e">
        <f>VLOOKUP(Data[[#This Row],[DEVELOPMENT]],'[1]Cheat-Sheet'!$D$2:$Q$341,2,FALSE)</f>
        <v>#N/A</v>
      </c>
      <c r="D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8" s="20">
        <f>VLOOKUP(Data[[#This Row],[DEVELOPMENT]],Development_Data_Book[[DEVELOPMENT]:[BOROUGH]],21,FALSE)</f>
        <v>1</v>
      </c>
      <c r="F8" s="20">
        <f>VLOOKUP(Data[[#This Row],[DEVELOPMENT]],Development_Data_Book[[DEVELOPMENT]:[BOROUGH]],23,FALSE)</f>
        <v>1</v>
      </c>
      <c r="G8" s="20">
        <f>VLOOKUP(Data[[#This Row],[DEVELOPMENT]],Development_Data_Book[[DEVELOPMENT]:[BOROUGH]],12,FALSE)</f>
        <v>65</v>
      </c>
      <c r="J8">
        <f>IFERROR(VLOOKUP(Data[[#This Row],[DEVELOPMENT]],IntCompactors_MRST[],4,FALSE),0)</f>
        <v>1</v>
      </c>
      <c r="K8" s="20">
        <f>IFERROR(VLOOKUP(Data[[#This Row],[DEVELOPMENT]],ExtCompactors_MRST[],4,FALSE),0)</f>
        <v>0</v>
      </c>
      <c r="L8" s="27">
        <f>IF(Data[[#This Row],['# Interior Compactors MRST]]=0,"",VLOOKUP(Data[[#This Row],[DEVELOPMENT]],IntCompactors_MRST[],5,FALSE))</f>
        <v>30682</v>
      </c>
      <c r="M8" s="28" t="str">
        <f>IF(Data[[#This Row],['# Exterior Compactors MRST]]=0,"",VLOOKUP(Data[[#This Row],[DEVELOPMENT]],ExtCompactors_MRST[],5,FALSE))</f>
        <v/>
      </c>
      <c r="N8" s="20">
        <f>Data[[#This Row],['# Interior Compactors MRST]]</f>
        <v>1</v>
      </c>
      <c r="O8" s="20">
        <f>IF(Data[[#This Row],['# Bulk Crushers]]=0,1,0)</f>
        <v>1</v>
      </c>
      <c r="P8" s="20">
        <f>1</f>
        <v>1</v>
      </c>
      <c r="Q8" s="20">
        <f>1</f>
        <v>1</v>
      </c>
      <c r="R8" s="20">
        <f>1</f>
        <v>1</v>
      </c>
      <c r="S8" s="20">
        <f>1</f>
        <v>1</v>
      </c>
      <c r="T8" s="20">
        <f>IF(Data[[#This Row],[Sewershed]]="Newtown Creek",Data[[#This Row],[DUs]],0)</f>
        <v>0</v>
      </c>
      <c r="U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8" s="82">
        <f>VLOOKUP(Data[[#This Row],[DEVELOPMENT]],Development_Data_Book[[DEVELOPMENT]:[BOROUGH]],3,FALSE)</f>
        <v>233</v>
      </c>
      <c r="Y8" s="20"/>
      <c r="Z8" s="20">
        <f>IFERROR(VLOOKUP(Data[[#This Row],[TDS]],ExtCompactors_PNA[[Development]:[0]],2,FALSE),0)</f>
        <v>0</v>
      </c>
      <c r="AA8" s="20">
        <f>IFERROR(VLOOKUP(Data[[#This Row],[TDS]],IntCompactors_PNA[[TDS]:[0]],2,FALSE),0)</f>
        <v>1</v>
      </c>
      <c r="AB8" s="20"/>
      <c r="AC8" s="20"/>
      <c r="AD8" s="20">
        <f>IFERROR(VLOOKUP(Data[[#This Row],[TDS]],ExtCompactors_PNA[[Development]:[0]],3,FALSE)+VLOOKUP(Data[[#This Row],[TDS]],ExtCompactors_PNA[[Development]:[0]],6,FALSE),0)</f>
        <v>0</v>
      </c>
      <c r="AE8" s="20">
        <f>IFERROR(VLOOKUP(Data[[#This Row],[TDS]],IntCompactors_PNA[[TDS]:[0]],3,FALSE)+VLOOKUP(Data[[#This Row],[TDS]],IntCompactors_PNA[[TDS]:[0]],6,FALSE),0)</f>
        <v>1</v>
      </c>
      <c r="AF8" s="20" t="e">
        <f>VLOOKUP(Data[[#This Row],[DEVELOPMENT]],[3]Developments!$A$2:$A$312,1,FALSE)</f>
        <v>#N/A</v>
      </c>
      <c r="AG8" s="20">
        <f>IFERROR(VLOOKUP(Data[[#This Row],[DEVELOPMENT]],Ops_Priorities_and_Data_Clean[[development]:[ifnoext_comment]],3,FALSE),"")</f>
        <v>0</v>
      </c>
      <c r="AH8" s="20">
        <f>IFERROR(VLOOKUP(Data[[#This Row],[DEVELOPMENT]],Ops_Priorities_and_Data_Clean[[development]:[ifnoext_comment]],4,FALSE),"")</f>
        <v>0</v>
      </c>
      <c r="AI8" s="20">
        <f>IFERROR(VLOOKUP(Data[[#This Row],[DEVELOPMENT]],Ops_Priorities_and_Data_Clean[[development]:[ifnoext_comment]],5,FALSE),"")</f>
        <v>0</v>
      </c>
      <c r="AJ8" s="20">
        <f>IFERROR(VLOOKUP(Data[[#This Row],[DEVELOPMENT]],Ops_Priorities_and_Data_Clean[[development]:[ifnoext_comment]],6,FALSE),"")</f>
        <v>1</v>
      </c>
      <c r="AK8" s="20">
        <f>IFERROR(VLOOKUP(Data[[#This Row],[DEVELOPMENT]],Ops_Priorities_and_Data_Clean[[development]:[ifnoext_comment]],7,FALSE),"")</f>
        <v>0</v>
      </c>
      <c r="AL8" s="20">
        <f>IFERROR(VLOOKUP(Data[[#This Row],[DEVELOPMENT]],Ops_Priorities_and_Data_Clean[[development]:[ifnoext_comment]],8,FALSE),"")</f>
        <v>1</v>
      </c>
      <c r="AM8" s="20">
        <f>IFERROR(VLOOKUP(Data[[#This Row],[DEVELOPMENT]],Ops_Priorities_and_Data_Clean[[development]:[ifnoext_comment]],9,FALSE),"")</f>
        <v>0</v>
      </c>
      <c r="AN8" s="20">
        <f>IFERROR(VLOOKUP(Data[[#This Row],[DEVELOPMENT]],Ops_Priorities_and_Data_Clean[[development]:[ifnoext_comment]],10,FALSE),"")</f>
        <v>0</v>
      </c>
      <c r="AO8" s="20">
        <f>IFERROR(VLOOKUP(Data[[#This Row],[DEVELOPMENT]],Ops_Priorities_and_Data_Clean[[development]:[ifnoext_comment]],11,FALSE),"")</f>
        <v>0</v>
      </c>
      <c r="AP8" s="20">
        <f>IFERROR(VLOOKUP(Data[[#This Row],[DEVELOPMENT]],Ops_Priorities_and_Data_Clean[[development]:[ifnoext_comment]],12,FALSE),"")</f>
        <v>0</v>
      </c>
      <c r="AQ8" s="20">
        <f>VLOOKUP(Data[[#This Row],[DEVELOPMENT]],Ops_Priorities_and_Data_Clean[[development]:[ifnoext_comment]],14,FALSE)</f>
        <v>0</v>
      </c>
      <c r="AR8" s="20">
        <f>VLOOKUP(Data[[#This Row],[DEVELOPMENT]],Ops_Priorities_and_Data_Clean[[development]:[ifnoext_comment]],15,FALSE)</f>
        <v>1</v>
      </c>
      <c r="AS8" s="20" t="str">
        <f>VLOOKUP(Data[[#This Row],[DEVELOPMENT]],Ops_Priorities_and_Data_Clean[[development]:[ifnoext_comment]],16,FALSE)</f>
        <v>Teller Avenue-East 166th Street</v>
      </c>
      <c r="AT8" s="20" t="str">
        <f>VLOOKUP(Data[[#This Row],[DEVELOPMENT]],Ops_Priorities_and_Data_Clean[[development]:[ifnoext_comment]],17,FALSE)</f>
        <v>Part of Claremont</v>
      </c>
      <c r="AU8" s="20" t="str">
        <f>VLOOKUP(Data[[#This Row],[DEVELOPMENT]],Ops_Priorities_and_Data_Clean[[development]:[ifnoext_comment]],18,FALSE)</f>
        <v>NULL</v>
      </c>
      <c r="AV8" s="20" t="str">
        <f>VLOOKUP(Data[[#This Row],[DEVELOPMENT]],Ops_Priorities_and_Data_Clean[[development]:[ifnoext_comment]],19,FALSE)</f>
        <v>NULL</v>
      </c>
      <c r="AW8" s="20" t="str">
        <f>VLOOKUP(Data[[#This Row],[DEVELOPMENT]],Ops_Priorities_and_Data_Clean[[development]:[ifnoext_comment]],20,FALSE)</f>
        <v>NULL</v>
      </c>
      <c r="AX8" s="104" t="s">
        <v>2237</v>
      </c>
      <c r="AY8" s="104" t="s">
        <v>2590</v>
      </c>
      <c r="AZ8" s="20" t="str">
        <f>VLOOKUP(Data[[#This Row],[DEVELOPMENT]],Development_Data_Book[[DEVELOPMENT]:[PRIVATE MANAGEMENT]],8,FALSE)</f>
        <v>FEDERAL</v>
      </c>
      <c r="BA8" s="104" t="s">
        <v>2586</v>
      </c>
      <c r="BB8" s="20">
        <f>VLOOKUP(Data[[#This Row],[DEVELOPMENT]],Development_Data_Book[[DEVELOPMENT]:[PRIVATE MANAGEMENT]],22,FALSE)</f>
        <v>0</v>
      </c>
      <c r="BC8" s="20">
        <f>Data[[#This Row],[Non-Dwelling Buildings]]+Data[[#This Row],[Dwelling Buildings]]</f>
        <v>1</v>
      </c>
      <c r="BD8" s="20">
        <f>VLOOKUP(Data[[#This Row],[DEVELOPMENT]],Development_Data_Book[[DEVELOPMENT]:[PRIVATE MANAGEMENT]],26,FALSE)</f>
        <v>0.44</v>
      </c>
      <c r="BE8" s="106">
        <v>67000</v>
      </c>
      <c r="BF8" s="20">
        <f>VLOOKUP(Data[[#This Row],[DEVELOPMENT]],Development_Data_Book[[DEVELOPMENT]:[PRIVATE MANAGEMENT]],18,FALSE)</f>
        <v>170</v>
      </c>
      <c r="BG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8" s="104" t="s">
        <v>2591</v>
      </c>
      <c r="BI8" t="s">
        <v>184</v>
      </c>
      <c r="BJ8" s="20">
        <f>VLOOKUP(Data[[#This Row],[DEVELOPMENT]],Development_Data_Book[[DEVELOPMENT]:[PRIVATE MANAGEMENT]],41,FALSE)</f>
        <v>3</v>
      </c>
      <c r="BK8" s="20">
        <f>VLOOKUP(Data[[#This Row],[DEVELOPMENT]],Development_Data_Book[[DEVELOPMENT]:[PRIVATE MANAGEMENT]],42,FALSE)</f>
        <v>15</v>
      </c>
      <c r="BL8" s="20">
        <f>VLOOKUP(Data[[#This Row],[DEVELOPMENT]],Development_Data_Book[[DEVELOPMENT]:[PRIVATE MANAGEMENT]],43,FALSE)</f>
        <v>32</v>
      </c>
      <c r="BM8" s="20">
        <f>VLOOKUP(Data[[#This Row],[DEVELOPMENT]],Development_Data_Book[[DEVELOPMENT]:[PRIVATE MANAGEMENT]],44,FALSE)</f>
        <v>79</v>
      </c>
      <c r="BN8" s="20">
        <f>VLOOKUP(Data[[#This Row],[DEVELOPMENT]],Development_Data_Book[[DEVELOPMENT]:[PRIVATE MANAGEMENT]],45,FALSE)</f>
        <v>16</v>
      </c>
      <c r="BO8" s="20">
        <f>VLOOKUP(Data[[#This Row],[DEVELOPMENT]],Development_Data_Book[[DEVELOPMENT]:[PRIVATE MANAGEMENT]],24,FALSE)</f>
        <v>6</v>
      </c>
    </row>
    <row r="9" spans="1:67">
      <c r="A9" t="s">
        <v>67</v>
      </c>
      <c r="B9" t="str">
        <f>VLOOKUP(Data[[#This Row],[DEVELOPMENT]],Development_Data_Book[[DEVELOPMENT]:[BOROUGH]],MATCH("borough",Development_Data_Book[[#Headers],[DEVELOPMENT]:[BOROUGH]],0),FALSE)</f>
        <v>MANHATTAN</v>
      </c>
      <c r="C9" t="e">
        <f>VLOOKUP(Data[[#This Row],[DEVELOPMENT]],'[1]Cheat-Sheet'!$D$2:$Q$341,2,FALSE)</f>
        <v>#N/A</v>
      </c>
      <c r="D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9">
        <f>VLOOKUP(Data[[#This Row],[DEVELOPMENT]],Development_Data_Book[[DEVELOPMENT]:[BOROUGH]],21,FALSE)</f>
        <v>1</v>
      </c>
      <c r="F9">
        <f>VLOOKUP(Data[[#This Row],[DEVELOPMENT]],Development_Data_Book[[DEVELOPMENT]:[BOROUGH]],23,FALSE)</f>
        <v>1</v>
      </c>
      <c r="G9">
        <f>VLOOKUP(Data[[#This Row],[DEVELOPMENT]],Development_Data_Book[[DEVELOPMENT]:[BOROUGH]],12,FALSE)</f>
        <v>98</v>
      </c>
      <c r="H9" t="s">
        <v>2247</v>
      </c>
      <c r="I9">
        <v>4</v>
      </c>
      <c r="J9">
        <f>IFERROR(VLOOKUP(Data[[#This Row],[DEVELOPMENT]],IntCompactors_MRST[],4,FALSE),0)</f>
        <v>1</v>
      </c>
      <c r="K9">
        <f>IFERROR(VLOOKUP(Data[[#This Row],[DEVELOPMENT]],ExtCompactors_MRST[],4,FALSE),0)</f>
        <v>0</v>
      </c>
      <c r="L9" s="27">
        <f>IF(Data[[#This Row],['# Interior Compactors MRST]]=0,"",VLOOKUP(Data[[#This Row],[DEVELOPMENT]],IntCompactors_MRST[],5,FALSE))</f>
        <v>35004</v>
      </c>
      <c r="M9" s="28" t="str">
        <f>IF(Data[[#This Row],['# Exterior Compactors MRST]]=0,"",VLOOKUP(Data[[#This Row],[DEVELOPMENT]],ExtCompactors_MRST[],5,FALSE))</f>
        <v/>
      </c>
      <c r="N9">
        <f>Data[[#This Row],['# Interior Compactors MRST]]</f>
        <v>1</v>
      </c>
      <c r="O9" s="20">
        <f>IF(Data[[#This Row],['# Bulk Crushers]]=0,1,0)</f>
        <v>1</v>
      </c>
      <c r="P9" s="20">
        <f>1</f>
        <v>1</v>
      </c>
      <c r="Q9" s="20">
        <f>1</f>
        <v>1</v>
      </c>
      <c r="R9" s="20">
        <f>1</f>
        <v>1</v>
      </c>
      <c r="S9" s="20">
        <f>1</f>
        <v>1</v>
      </c>
      <c r="T9" s="20">
        <f>IF(Data[[#This Row],[Sewershed]]="Newtown Creek",Data[[#This Row],[DUs]],0)</f>
        <v>0</v>
      </c>
      <c r="U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9" s="82">
        <f>VLOOKUP(Data[[#This Row],[DEVELOPMENT]],Development_Data_Book[[DEVELOPMENT]:[BOROUGH]],3,FALSE)</f>
        <v>154</v>
      </c>
      <c r="Y9" s="20"/>
      <c r="Z9" s="20">
        <f>IFERROR(VLOOKUP(Data[[#This Row],[TDS]],ExtCompactors_PNA[[Development]:[0]],2,FALSE),0)</f>
        <v>0</v>
      </c>
      <c r="AA9" s="20">
        <f>IFERROR(VLOOKUP(Data[[#This Row],[TDS]],IntCompactors_PNA[[TDS]:[0]],2,FALSE),0)</f>
        <v>1</v>
      </c>
      <c r="AB9" s="20"/>
      <c r="AC9" s="20"/>
      <c r="AD9" s="20">
        <f>IFERROR(VLOOKUP(Data[[#This Row],[TDS]],ExtCompactors_PNA[[Development]:[0]],3,FALSE)+VLOOKUP(Data[[#This Row],[TDS]],ExtCompactors_PNA[[Development]:[0]],6,FALSE),0)</f>
        <v>0</v>
      </c>
      <c r="AE9" s="20">
        <f>IFERROR(VLOOKUP(Data[[#This Row],[TDS]],IntCompactors_PNA[[TDS]:[0]],3,FALSE)+VLOOKUP(Data[[#This Row],[TDS]],IntCompactors_PNA[[TDS]:[0]],6,FALSE),0)</f>
        <v>1</v>
      </c>
      <c r="AF9" s="20" t="e">
        <f>VLOOKUP(Data[[#This Row],[DEVELOPMENT]],[3]Developments!$A$2:$A$312,1,FALSE)</f>
        <v>#N/A</v>
      </c>
      <c r="AG9" s="20">
        <f>IFERROR(VLOOKUP(Data[[#This Row],[DEVELOPMENT]],Ops_Priorities_and_Data_Clean[[development]:[ifnoext_comment]],3,FALSE),"")</f>
        <v>0</v>
      </c>
      <c r="AH9" s="20">
        <f>IFERROR(VLOOKUP(Data[[#This Row],[DEVELOPMENT]],Ops_Priorities_and_Data_Clean[[development]:[ifnoext_comment]],4,FALSE),"")</f>
        <v>0</v>
      </c>
      <c r="AI9" s="20">
        <f>IFERROR(VLOOKUP(Data[[#This Row],[DEVELOPMENT]],Ops_Priorities_and_Data_Clean[[development]:[ifnoext_comment]],5,FALSE),"")</f>
        <v>0</v>
      </c>
      <c r="AJ9" s="20">
        <f>IFERROR(VLOOKUP(Data[[#This Row],[DEVELOPMENT]],Ops_Priorities_and_Data_Clean[[development]:[ifnoext_comment]],6,FALSE),"")</f>
        <v>1</v>
      </c>
      <c r="AK9" s="20">
        <f>IFERROR(VLOOKUP(Data[[#This Row],[DEVELOPMENT]],Ops_Priorities_and_Data_Clean[[development]:[ifnoext_comment]],7,FALSE),"")</f>
        <v>0</v>
      </c>
      <c r="AL9" s="20">
        <f>IFERROR(VLOOKUP(Data[[#This Row],[DEVELOPMENT]],Ops_Priorities_and_Data_Clean[[development]:[ifnoext_comment]],8,FALSE),"")</f>
        <v>1</v>
      </c>
      <c r="AM9" s="20">
        <f>IFERROR(VLOOKUP(Data[[#This Row],[DEVELOPMENT]],Ops_Priorities_and_Data_Clean[[development]:[ifnoext_comment]],9,FALSE),"")</f>
        <v>0</v>
      </c>
      <c r="AN9" s="20">
        <f>IFERROR(VLOOKUP(Data[[#This Row],[DEVELOPMENT]],Ops_Priorities_and_Data_Clean[[development]:[ifnoext_comment]],10,FALSE),"")</f>
        <v>0</v>
      </c>
      <c r="AO9" s="20">
        <f>IFERROR(VLOOKUP(Data[[#This Row],[DEVELOPMENT]],Ops_Priorities_and_Data_Clean[[development]:[ifnoext_comment]],11,FALSE),"")</f>
        <v>0</v>
      </c>
      <c r="AP9" s="20">
        <f>IFERROR(VLOOKUP(Data[[#This Row],[DEVELOPMENT]],Ops_Priorities_and_Data_Clean[[development]:[ifnoext_comment]],12,FALSE),"")</f>
        <v>0</v>
      </c>
      <c r="AQ9" s="20">
        <f>VLOOKUP(Data[[#This Row],[DEVELOPMENT]],Ops_Priorities_and_Data_Clean[[development]:[ifnoext_comment]],14,FALSE)</f>
        <v>0</v>
      </c>
      <c r="AR9" s="20">
        <f>VLOOKUP(Data[[#This Row],[DEVELOPMENT]],Ops_Priorities_and_Data_Clean[[development]:[ifnoext_comment]],15,FALSE)</f>
        <v>1</v>
      </c>
      <c r="AS9" s="20" t="str">
        <f>VLOOKUP(Data[[#This Row],[DEVELOPMENT]],Ops_Priorities_and_Data_Clean[[development]:[ifnoext_comment]],16,FALSE)</f>
        <v>TAFT</v>
      </c>
      <c r="AT9" s="20" t="str">
        <f>VLOOKUP(Data[[#This Row],[DEVELOPMENT]],Ops_Priorities_and_Data_Clean[[development]:[ifnoext_comment]],17,FALSE)</f>
        <v>NULL</v>
      </c>
      <c r="AU9" s="20" t="str">
        <f>VLOOKUP(Data[[#This Row],[DEVELOPMENT]],Ops_Priorities_and_Data_Clean[[development]:[ifnoext_comment]],18,FALSE)</f>
        <v>NULL</v>
      </c>
      <c r="AV9" s="20" t="str">
        <f>VLOOKUP(Data[[#This Row],[DEVELOPMENT]],Ops_Priorities_and_Data_Clean[[development]:[ifnoext_comment]],19,FALSE)</f>
        <v>NULL</v>
      </c>
      <c r="AW9" s="20" t="str">
        <f>VLOOKUP(Data[[#This Row],[DEVELOPMENT]],Ops_Priorities_and_Data_Clean[[development]:[ifnoext_comment]],20,FALSE)</f>
        <v>NULL</v>
      </c>
      <c r="AX9" s="104" t="s">
        <v>2239</v>
      </c>
      <c r="AY9" s="104" t="s">
        <v>2592</v>
      </c>
      <c r="AZ9" s="20" t="str">
        <f>VLOOKUP(Data[[#This Row],[DEVELOPMENT]],Development_Data_Book[[DEVELOPMENT]:[PRIVATE MANAGEMENT]],8,FALSE)</f>
        <v>FEDERAL</v>
      </c>
      <c r="BA9" s="104" t="s">
        <v>2586</v>
      </c>
      <c r="BB9" s="20">
        <f>VLOOKUP(Data[[#This Row],[DEVELOPMENT]],Development_Data_Book[[DEVELOPMENT]:[PRIVATE MANAGEMENT]],22,FALSE)</f>
        <v>0</v>
      </c>
      <c r="BC9" s="20">
        <f>Data[[#This Row],[Non-Dwelling Buildings]]+Data[[#This Row],[Dwelling Buildings]]</f>
        <v>1</v>
      </c>
      <c r="BD9" s="20">
        <f>VLOOKUP(Data[[#This Row],[DEVELOPMENT]],Development_Data_Book[[DEVELOPMENT]:[PRIVATE MANAGEMENT]],26,FALSE)</f>
        <v>0.67</v>
      </c>
      <c r="BE9" s="106">
        <v>86500</v>
      </c>
      <c r="BF9" s="20">
        <f>VLOOKUP(Data[[#This Row],[DEVELOPMENT]],Development_Data_Book[[DEVELOPMENT]:[PRIVATE MANAGEMENT]],18,FALSE)</f>
        <v>165</v>
      </c>
      <c r="BG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9" s="104" t="s">
        <v>2593</v>
      </c>
      <c r="BI9" t="s">
        <v>184</v>
      </c>
      <c r="BJ9" s="20">
        <f>VLOOKUP(Data[[#This Row],[DEVELOPMENT]],Development_Data_Book[[DEVELOPMENT]:[PRIVATE MANAGEMENT]],41,FALSE)</f>
        <v>10</v>
      </c>
      <c r="BK9" s="20">
        <f>VLOOKUP(Data[[#This Row],[DEVELOPMENT]],Development_Data_Book[[DEVELOPMENT]:[PRIVATE MANAGEMENT]],42,FALSE)</f>
        <v>13</v>
      </c>
      <c r="BL9" s="20">
        <f>VLOOKUP(Data[[#This Row],[DEVELOPMENT]],Development_Data_Book[[DEVELOPMENT]:[PRIVATE MANAGEMENT]],43,FALSE)</f>
        <v>30</v>
      </c>
      <c r="BM9" s="20">
        <f>VLOOKUP(Data[[#This Row],[DEVELOPMENT]],Development_Data_Book[[DEVELOPMENT]:[PRIVATE MANAGEMENT]],44,FALSE)</f>
        <v>70</v>
      </c>
      <c r="BN9" s="20">
        <f>VLOOKUP(Data[[#This Row],[DEVELOPMENT]],Development_Data_Book[[DEVELOPMENT]:[PRIVATE MANAGEMENT]],45,FALSE)</f>
        <v>9</v>
      </c>
      <c r="BO9" s="20">
        <f>VLOOKUP(Data[[#This Row],[DEVELOPMENT]],Development_Data_Book[[DEVELOPMENT]:[PRIVATE MANAGEMENT]],24,FALSE)</f>
        <v>17</v>
      </c>
    </row>
    <row r="10" spans="1:67">
      <c r="A10" t="s">
        <v>227</v>
      </c>
      <c r="B10" s="20" t="str">
        <f>VLOOKUP(Data[[#This Row],[DEVELOPMENT]],Development_Data_Book[[DEVELOPMENT]:[BOROUGH]],MATCH("borough",Development_Data_Book[[#Headers],[DEVELOPMENT]:[BOROUGH]],0),FALSE)</f>
        <v>BRONX</v>
      </c>
      <c r="C10" s="20" t="e">
        <f>VLOOKUP(Data[[#This Row],[DEVELOPMENT]],'[1]Cheat-Sheet'!$D$2:$Q$341,2,FALSE)</f>
        <v>#N/A</v>
      </c>
      <c r="D1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0" s="20">
        <f>VLOOKUP(Data[[#This Row],[DEVELOPMENT]],Development_Data_Book[[DEVELOPMENT]:[BOROUGH]],21,FALSE)</f>
        <v>1</v>
      </c>
      <c r="F10" s="20">
        <f>VLOOKUP(Data[[#This Row],[DEVELOPMENT]],Development_Data_Book[[DEVELOPMENT]:[BOROUGH]],23,FALSE)</f>
        <v>1</v>
      </c>
      <c r="G10" s="20">
        <f>VLOOKUP(Data[[#This Row],[DEVELOPMENT]],Development_Data_Book[[DEVELOPMENT]:[BOROUGH]],12,FALSE)</f>
        <v>96</v>
      </c>
      <c r="H10" t="s">
        <v>2248</v>
      </c>
      <c r="J10">
        <f>IFERROR(VLOOKUP(Data[[#This Row],[DEVELOPMENT]],IntCompactors_MRST[],4,FALSE),0)</f>
        <v>2</v>
      </c>
      <c r="K10" s="20">
        <f>IFERROR(VLOOKUP(Data[[#This Row],[DEVELOPMENT]],ExtCompactors_MRST[],4,FALSE),0)</f>
        <v>0</v>
      </c>
      <c r="L10" s="27">
        <f>IF(Data[[#This Row],['# Interior Compactors MRST]]=0,"",VLOOKUP(Data[[#This Row],[DEVELOPMENT]],IntCompactors_MRST[],5,FALSE))</f>
        <v>35217</v>
      </c>
      <c r="M10" s="28" t="str">
        <f>IF(Data[[#This Row],['# Exterior Compactors MRST]]=0,"",VLOOKUP(Data[[#This Row],[DEVELOPMENT]],ExtCompactors_MRST[],5,FALSE))</f>
        <v/>
      </c>
      <c r="N10" s="20">
        <f>Data[[#This Row],['# Interior Compactors MRST]]</f>
        <v>2</v>
      </c>
      <c r="O10" s="20">
        <f>IF(Data[[#This Row],['# Bulk Crushers]]=0,1,0)</f>
        <v>1</v>
      </c>
      <c r="P10" s="20">
        <f>1</f>
        <v>1</v>
      </c>
      <c r="Q10" s="20">
        <f>1</f>
        <v>1</v>
      </c>
      <c r="R10" s="20">
        <f>1</f>
        <v>1</v>
      </c>
      <c r="S10" s="20">
        <f>1</f>
        <v>1</v>
      </c>
      <c r="T10" s="20">
        <f>IF(Data[[#This Row],[Sewershed]]="Newtown Creek",Data[[#This Row],[DUs]],0)</f>
        <v>0</v>
      </c>
      <c r="U1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0" s="82">
        <f>VLOOKUP(Data[[#This Row],[DEVELOPMENT]],Development_Data_Book[[DEVELOPMENT]:[BOROUGH]],3,FALSE)</f>
        <v>214</v>
      </c>
      <c r="Y10" s="20"/>
      <c r="Z10" s="20">
        <f>IFERROR(VLOOKUP(Data[[#This Row],[TDS]],ExtCompactors_PNA[[Development]:[0]],2,FALSE),0)</f>
        <v>0</v>
      </c>
      <c r="AA10" s="20">
        <f>IFERROR(VLOOKUP(Data[[#This Row],[TDS]],IntCompactors_PNA[[TDS]:[0]],2,FALSE),0)</f>
        <v>2</v>
      </c>
      <c r="AB10" s="20"/>
      <c r="AC10" s="20"/>
      <c r="AD10" s="20">
        <f>IFERROR(VLOOKUP(Data[[#This Row],[TDS]],ExtCompactors_PNA[[Development]:[0]],3,FALSE)+VLOOKUP(Data[[#This Row],[TDS]],ExtCompactors_PNA[[Development]:[0]],6,FALSE),0)</f>
        <v>0</v>
      </c>
      <c r="AE10" s="20">
        <f>IFERROR(VLOOKUP(Data[[#This Row],[TDS]],IntCompactors_PNA[[TDS]:[0]],3,FALSE)+VLOOKUP(Data[[#This Row],[TDS]],IntCompactors_PNA[[TDS]:[0]],6,FALSE),0)</f>
        <v>2</v>
      </c>
      <c r="AF10" s="20" t="e">
        <f>VLOOKUP(Data[[#This Row],[DEVELOPMENT]],[3]Developments!$A$2:$A$312,1,FALSE)</f>
        <v>#N/A</v>
      </c>
      <c r="AG10" s="20">
        <f>IFERROR(VLOOKUP(Data[[#This Row],[DEVELOPMENT]],Ops_Priorities_and_Data_Clean[[development]:[ifnoext_comment]],3,FALSE),"")</f>
        <v>0</v>
      </c>
      <c r="AH10" s="20">
        <f>IFERROR(VLOOKUP(Data[[#This Row],[DEVELOPMENT]],Ops_Priorities_and_Data_Clean[[development]:[ifnoext_comment]],4,FALSE),"")</f>
        <v>0</v>
      </c>
      <c r="AI10" s="20">
        <f>IFERROR(VLOOKUP(Data[[#This Row],[DEVELOPMENT]],Ops_Priorities_and_Data_Clean[[development]:[ifnoext_comment]],5,FALSE),"")</f>
        <v>0</v>
      </c>
      <c r="AJ10" s="20">
        <f>IFERROR(VLOOKUP(Data[[#This Row],[DEVELOPMENT]],Ops_Priorities_and_Data_Clean[[development]:[ifnoext_comment]],6,FALSE),"")</f>
        <v>0</v>
      </c>
      <c r="AK10" s="20">
        <f>IFERROR(VLOOKUP(Data[[#This Row],[DEVELOPMENT]],Ops_Priorities_and_Data_Clean[[development]:[ifnoext_comment]],7,FALSE),"")</f>
        <v>1</v>
      </c>
      <c r="AL10" s="20">
        <f>IFERROR(VLOOKUP(Data[[#This Row],[DEVELOPMENT]],Ops_Priorities_and_Data_Clean[[development]:[ifnoext_comment]],8,FALSE),"")</f>
        <v>1</v>
      </c>
      <c r="AM10" s="20">
        <f>IFERROR(VLOOKUP(Data[[#This Row],[DEVELOPMENT]],Ops_Priorities_and_Data_Clean[[development]:[ifnoext_comment]],9,FALSE),"")</f>
        <v>1</v>
      </c>
      <c r="AN10" s="20">
        <f>IFERROR(VLOOKUP(Data[[#This Row],[DEVELOPMENT]],Ops_Priorities_and_Data_Clean[[development]:[ifnoext_comment]],10,FALSE),"")</f>
        <v>4</v>
      </c>
      <c r="AO10" s="20">
        <f>IFERROR(VLOOKUP(Data[[#This Row],[DEVELOPMENT]],Ops_Priorities_and_Data_Clean[[development]:[ifnoext_comment]],11,FALSE),"")</f>
        <v>0</v>
      </c>
      <c r="AP10" s="20">
        <f>IFERROR(VLOOKUP(Data[[#This Row],[DEVELOPMENT]],Ops_Priorities_and_Data_Clean[[development]:[ifnoext_comment]],12,FALSE),"")</f>
        <v>0</v>
      </c>
      <c r="AQ10" s="20">
        <f>VLOOKUP(Data[[#This Row],[DEVELOPMENT]],Ops_Priorities_and_Data_Clean[[development]:[ifnoext_comment]],14,FALSE)</f>
        <v>1</v>
      </c>
      <c r="AR10" s="20">
        <f>VLOOKUP(Data[[#This Row],[DEVELOPMENT]],Ops_Priorities_and_Data_Clean[[development]:[ifnoext_comment]],15,FALSE)</f>
        <v>0</v>
      </c>
      <c r="AS10" s="20" t="str">
        <f>VLOOKUP(Data[[#This Row],[DEVELOPMENT]],Ops_Priorities_and_Data_Clean[[development]:[ifnoext_comment]],16,FALSE)</f>
        <v>NULL</v>
      </c>
      <c r="AT10" s="20" t="str">
        <f>VLOOKUP(Data[[#This Row],[DEVELOPMENT]],Ops_Priorities_and_Data_Clean[[development]:[ifnoext_comment]],17,FALSE)</f>
        <v>NULL</v>
      </c>
      <c r="AU10" s="20" t="str">
        <f>VLOOKUP(Data[[#This Row],[DEVELOPMENT]],Ops_Priorities_and_Data_Clean[[development]:[ifnoext_comment]],18,FALSE)</f>
        <v>NULL</v>
      </c>
      <c r="AV10" s="20" t="str">
        <f>VLOOKUP(Data[[#This Row],[DEVELOPMENT]],Ops_Priorities_and_Data_Clean[[development]:[ifnoext_comment]],19,FALSE)</f>
        <v>NULL</v>
      </c>
      <c r="AW10" s="20" t="str">
        <f>VLOOKUP(Data[[#This Row],[DEVELOPMENT]],Ops_Priorities_and_Data_Clean[[development]:[ifnoext_comment]],20,FALSE)</f>
        <v>NULL</v>
      </c>
      <c r="AX10" s="104" t="s">
        <v>2237</v>
      </c>
      <c r="AY10" s="104" t="s">
        <v>2594</v>
      </c>
      <c r="AZ10" s="20" t="str">
        <f>VLOOKUP(Data[[#This Row],[DEVELOPMENT]],Development_Data_Book[[DEVELOPMENT]:[PRIVATE MANAGEMENT]],8,FALSE)</f>
        <v>FEDERAL</v>
      </c>
      <c r="BA10" s="104" t="s">
        <v>2586</v>
      </c>
      <c r="BB10" s="20">
        <f>VLOOKUP(Data[[#This Row],[DEVELOPMENT]],Development_Data_Book[[DEVELOPMENT]:[PRIVATE MANAGEMENT]],22,FALSE)</f>
        <v>0</v>
      </c>
      <c r="BC10" s="20">
        <f>Data[[#This Row],[Non-Dwelling Buildings]]+Data[[#This Row],[Dwelling Buildings]]</f>
        <v>1</v>
      </c>
      <c r="BD10" s="20">
        <f>VLOOKUP(Data[[#This Row],[DEVELOPMENT]],Development_Data_Book[[DEVELOPMENT]:[PRIVATE MANAGEMENT]],26,FALSE)</f>
        <v>0.92</v>
      </c>
      <c r="BE10" s="106">
        <v>88100</v>
      </c>
      <c r="BF10" s="20">
        <f>VLOOKUP(Data[[#This Row],[DEVELOPMENT]],Development_Data_Book[[DEVELOPMENT]:[PRIVATE MANAGEMENT]],18,FALSE)</f>
        <v>156</v>
      </c>
      <c r="BG1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" s="104" t="s">
        <v>2595</v>
      </c>
      <c r="BI10" t="s">
        <v>184</v>
      </c>
      <c r="BJ10" s="20">
        <f>VLOOKUP(Data[[#This Row],[DEVELOPMENT]],Development_Data_Book[[DEVELOPMENT]:[PRIVATE MANAGEMENT]],41,FALSE)</f>
        <v>9</v>
      </c>
      <c r="BK10" s="20">
        <f>VLOOKUP(Data[[#This Row],[DEVELOPMENT]],Development_Data_Book[[DEVELOPMENT]:[PRIVATE MANAGEMENT]],42,FALSE)</f>
        <v>15</v>
      </c>
      <c r="BL10" s="20">
        <f>VLOOKUP(Data[[#This Row],[DEVELOPMENT]],Development_Data_Book[[DEVELOPMENT]:[PRIVATE MANAGEMENT]],43,FALSE)</f>
        <v>32</v>
      </c>
      <c r="BM10" s="20">
        <f>VLOOKUP(Data[[#This Row],[DEVELOPMENT]],Development_Data_Book[[DEVELOPMENT]:[PRIVATE MANAGEMENT]],44,FALSE)</f>
        <v>85</v>
      </c>
      <c r="BN10" s="20">
        <f>VLOOKUP(Data[[#This Row],[DEVELOPMENT]],Development_Data_Book[[DEVELOPMENT]:[PRIVATE MANAGEMENT]],45,FALSE)</f>
        <v>17</v>
      </c>
      <c r="BO10" s="20">
        <f>VLOOKUP(Data[[#This Row],[DEVELOPMENT]],Development_Data_Book[[DEVELOPMENT]:[PRIVATE MANAGEMENT]],24,FALSE)</f>
        <v>6</v>
      </c>
    </row>
    <row r="11" spans="1:67">
      <c r="A11" t="s">
        <v>229</v>
      </c>
      <c r="B11" s="20" t="str">
        <f>VLOOKUP(Data[[#This Row],[DEVELOPMENT]],Development_Data_Book[[DEVELOPMENT]:[BOROUGH]],MATCH("borough",Development_Data_Book[[#Headers],[DEVELOPMENT]:[BOROUGH]],0),FALSE)</f>
        <v>MANHATTAN</v>
      </c>
      <c r="C11" s="20" t="e">
        <f>VLOOKUP(Data[[#This Row],[DEVELOPMENT]],'[1]Cheat-Sheet'!$D$2:$Q$341,2,FALSE)</f>
        <v>#N/A</v>
      </c>
      <c r="D1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1" s="20">
        <f>VLOOKUP(Data[[#This Row],[DEVELOPMENT]],Development_Data_Book[[DEVELOPMENT]:[BOROUGH]],21,FALSE)</f>
        <v>1</v>
      </c>
      <c r="F11" s="20">
        <f>VLOOKUP(Data[[#This Row],[DEVELOPMENT]],Development_Data_Book[[DEVELOPMENT]:[BOROUGH]],23,FALSE)</f>
        <v>1</v>
      </c>
      <c r="G11" s="20">
        <f>VLOOKUP(Data[[#This Row],[DEVELOPMENT]],Development_Data_Book[[DEVELOPMENT]:[BOROUGH]],12,FALSE)</f>
        <v>35</v>
      </c>
      <c r="J11">
        <f>IFERROR(VLOOKUP(Data[[#This Row],[DEVELOPMENT]],IntCompactors_MRST[],4,FALSE),0)</f>
        <v>0</v>
      </c>
      <c r="K11" s="20">
        <f>IFERROR(VLOOKUP(Data[[#This Row],[DEVELOPMENT]],ExtCompactors_MRST[],4,FALSE),0)</f>
        <v>0</v>
      </c>
      <c r="L11" s="27" t="str">
        <f>IF(Data[[#This Row],['# Interior Compactors MRST]]=0,"",VLOOKUP(Data[[#This Row],[DEVELOPMENT]],IntCompactors_MRST[],5,FALSE))</f>
        <v/>
      </c>
      <c r="M11" s="28" t="str">
        <f>IF(Data[[#This Row],['# Exterior Compactors MRST]]=0,"",VLOOKUP(Data[[#This Row],[DEVELOPMENT]],ExtCompactors_MRST[],5,FALSE))</f>
        <v/>
      </c>
      <c r="N11" s="20">
        <f>Data[[#This Row],['# Interior Compactors MRST]]</f>
        <v>0</v>
      </c>
      <c r="O11" s="20">
        <f>IF(Data[[#This Row],['# Bulk Crushers]]=0,1,0)</f>
        <v>1</v>
      </c>
      <c r="P11" s="20">
        <f>1</f>
        <v>1</v>
      </c>
      <c r="Q11" s="20">
        <f>1</f>
        <v>1</v>
      </c>
      <c r="R11" s="20">
        <f>1</f>
        <v>1</v>
      </c>
      <c r="S11" s="20">
        <f>1</f>
        <v>1</v>
      </c>
      <c r="T11" s="20">
        <f>IF(Data[[#This Row],[Sewershed]]="Newtown Creek",Data[[#This Row],[DUs]],0)</f>
        <v>0</v>
      </c>
      <c r="U1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1" s="82">
        <f>VLOOKUP(Data[[#This Row],[DEVELOPMENT]],Development_Data_Book[[DEVELOPMENT]:[BOROUGH]],3,FALSE)</f>
        <v>359</v>
      </c>
      <c r="Y11" s="20"/>
      <c r="Z11" s="20">
        <f>IFERROR(VLOOKUP(Data[[#This Row],[TDS]],ExtCompactors_PNA[[Development]:[0]],2,FALSE),0)</f>
        <v>0</v>
      </c>
      <c r="AA11" s="20">
        <f>IFERROR(VLOOKUP(Data[[#This Row],[TDS]],IntCompactors_PNA[[TDS]:[0]],2,FALSE),0)</f>
        <v>1</v>
      </c>
      <c r="AB11" s="20"/>
      <c r="AC11" s="20"/>
      <c r="AD11" s="20">
        <f>IFERROR(VLOOKUP(Data[[#This Row],[TDS]],ExtCompactors_PNA[[Development]:[0]],3,FALSE)+VLOOKUP(Data[[#This Row],[TDS]],ExtCompactors_PNA[[Development]:[0]],6,FALSE),0)</f>
        <v>0</v>
      </c>
      <c r="AE11" s="20">
        <f>IFERROR(VLOOKUP(Data[[#This Row],[TDS]],IntCompactors_PNA[[TDS]:[0]],3,FALSE)+VLOOKUP(Data[[#This Row],[TDS]],IntCompactors_PNA[[TDS]:[0]],6,FALSE),0)</f>
        <v>1</v>
      </c>
      <c r="AF11" s="20" t="e">
        <f>VLOOKUP(Data[[#This Row],[DEVELOPMENT]],[3]Developments!$A$2:$A$312,1,FALSE)</f>
        <v>#N/A</v>
      </c>
      <c r="AG11" s="20">
        <f>IFERROR(VLOOKUP(Data[[#This Row],[DEVELOPMENT]],Ops_Priorities_and_Data_Clean[[development]:[ifnoext_comment]],3,FALSE),"")</f>
        <v>0</v>
      </c>
      <c r="AH11" s="20">
        <f>IFERROR(VLOOKUP(Data[[#This Row],[DEVELOPMENT]],Ops_Priorities_and_Data_Clean[[development]:[ifnoext_comment]],4,FALSE),"")</f>
        <v>0</v>
      </c>
      <c r="AI11" s="20">
        <f>IFERROR(VLOOKUP(Data[[#This Row],[DEVELOPMENT]],Ops_Priorities_and_Data_Clean[[development]:[ifnoext_comment]],5,FALSE),"")</f>
        <v>0</v>
      </c>
      <c r="AJ11" s="20">
        <f>IFERROR(VLOOKUP(Data[[#This Row],[DEVELOPMENT]],Ops_Priorities_and_Data_Clean[[development]:[ifnoext_comment]],6,FALSE),"")</f>
        <v>0</v>
      </c>
      <c r="AK11" s="20">
        <f>IFERROR(VLOOKUP(Data[[#This Row],[DEVELOPMENT]],Ops_Priorities_and_Data_Clean[[development]:[ifnoext_comment]],7,FALSE),"")</f>
        <v>1</v>
      </c>
      <c r="AL11" s="20">
        <f>IFERROR(VLOOKUP(Data[[#This Row],[DEVELOPMENT]],Ops_Priorities_and_Data_Clean[[development]:[ifnoext_comment]],8,FALSE),"")</f>
        <v>1</v>
      </c>
      <c r="AM11" s="20">
        <f>IFERROR(VLOOKUP(Data[[#This Row],[DEVELOPMENT]],Ops_Priorities_and_Data_Clean[[development]:[ifnoext_comment]],9,FALSE),"")</f>
        <v>0</v>
      </c>
      <c r="AN11" s="20">
        <f>IFERROR(VLOOKUP(Data[[#This Row],[DEVELOPMENT]],Ops_Priorities_and_Data_Clean[[development]:[ifnoext_comment]],10,FALSE),"")</f>
        <v>0</v>
      </c>
      <c r="AO11" s="20">
        <f>IFERROR(VLOOKUP(Data[[#This Row],[DEVELOPMENT]],Ops_Priorities_and_Data_Clean[[development]:[ifnoext_comment]],11,FALSE),"")</f>
        <v>0</v>
      </c>
      <c r="AP11" s="20">
        <f>IFERROR(VLOOKUP(Data[[#This Row],[DEVELOPMENT]],Ops_Priorities_and_Data_Clean[[development]:[ifnoext_comment]],12,FALSE),"")</f>
        <v>0</v>
      </c>
      <c r="AQ11" s="20">
        <f>VLOOKUP(Data[[#This Row],[DEVELOPMENT]],Ops_Priorities_and_Data_Clean[[development]:[ifnoext_comment]],14,FALSE)</f>
        <v>1</v>
      </c>
      <c r="AR11" s="20">
        <f>VLOOKUP(Data[[#This Row],[DEVELOPMENT]],Ops_Priorities_and_Data_Clean[[development]:[ifnoext_comment]],15,FALSE)</f>
        <v>0</v>
      </c>
      <c r="AS11" s="20" t="str">
        <f>VLOOKUP(Data[[#This Row],[DEVELOPMENT]],Ops_Priorities_and_Data_Clean[[development]:[ifnoext_comment]],16,FALSE)</f>
        <v>NULL</v>
      </c>
      <c r="AT11" s="20" t="str">
        <f>VLOOKUP(Data[[#This Row],[DEVELOPMENT]],Ops_Priorities_and_Data_Clean[[development]:[ifnoext_comment]],17,FALSE)</f>
        <v>NULL</v>
      </c>
      <c r="AU11" s="20" t="str">
        <f>VLOOKUP(Data[[#This Row],[DEVELOPMENT]],Ops_Priorities_and_Data_Clean[[development]:[ifnoext_comment]],18,FALSE)</f>
        <v>NULL</v>
      </c>
      <c r="AV11" s="20" t="str">
        <f>VLOOKUP(Data[[#This Row],[DEVELOPMENT]],Ops_Priorities_and_Data_Clean[[development]:[ifnoext_comment]],19,FALSE)</f>
        <v>NULL</v>
      </c>
      <c r="AW11" s="20" t="str">
        <f>VLOOKUP(Data[[#This Row],[DEVELOPMENT]],Ops_Priorities_and_Data_Clean[[development]:[ifnoext_comment]],20,FALSE)</f>
        <v>NULL</v>
      </c>
      <c r="AX11" s="104" t="s">
        <v>2596</v>
      </c>
      <c r="AY11" s="104" t="s">
        <v>2597</v>
      </c>
      <c r="AZ11" s="20" t="str">
        <f>VLOOKUP(Data[[#This Row],[DEVELOPMENT]],Development_Data_Book[[DEVELOPMENT]:[PRIVATE MANAGEMENT]],8,FALSE)</f>
        <v>FEDERAL</v>
      </c>
      <c r="BA11" s="104" t="s">
        <v>2586</v>
      </c>
      <c r="BB11" s="20">
        <f>VLOOKUP(Data[[#This Row],[DEVELOPMENT]],Development_Data_Book[[DEVELOPMENT]:[PRIVATE MANAGEMENT]],22,FALSE)</f>
        <v>0</v>
      </c>
      <c r="BC11" s="20">
        <f>Data[[#This Row],[Non-Dwelling Buildings]]+Data[[#This Row],[Dwelling Buildings]]</f>
        <v>1</v>
      </c>
      <c r="BD11" s="20">
        <f>VLOOKUP(Data[[#This Row],[DEVELOPMENT]],Development_Data_Book[[DEVELOPMENT]:[PRIVATE MANAGEMENT]],26,FALSE)</f>
        <v>0.22</v>
      </c>
      <c r="BE11" s="106">
        <v>41210</v>
      </c>
      <c r="BF11" s="20">
        <f>VLOOKUP(Data[[#This Row],[DEVELOPMENT]],Development_Data_Book[[DEVELOPMENT]:[PRIVATE MANAGEMENT]],18,FALSE)</f>
        <v>74</v>
      </c>
      <c r="BG1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1" s="104" t="s">
        <v>2598</v>
      </c>
      <c r="BI11" t="s">
        <v>184</v>
      </c>
      <c r="BJ11" s="20">
        <f>VLOOKUP(Data[[#This Row],[DEVELOPMENT]],Development_Data_Book[[DEVELOPMENT]:[PRIVATE MANAGEMENT]],41,FALSE)</f>
        <v>7</v>
      </c>
      <c r="BK11" s="20">
        <f>VLOOKUP(Data[[#This Row],[DEVELOPMENT]],Development_Data_Book[[DEVELOPMENT]:[PRIVATE MANAGEMENT]],42,FALSE)</f>
        <v>10</v>
      </c>
      <c r="BL11" s="20">
        <f>VLOOKUP(Data[[#This Row],[DEVELOPMENT]],Development_Data_Book[[DEVELOPMENT]:[PRIVATE MANAGEMENT]],43,FALSE)</f>
        <v>29</v>
      </c>
      <c r="BM11" s="20">
        <f>VLOOKUP(Data[[#This Row],[DEVELOPMENT]],Development_Data_Book[[DEVELOPMENT]:[PRIVATE MANAGEMENT]],44,FALSE)</f>
        <v>69</v>
      </c>
      <c r="BN11" s="20">
        <f>VLOOKUP(Data[[#This Row],[DEVELOPMENT]],Development_Data_Book[[DEVELOPMENT]:[PRIVATE MANAGEMENT]],45,FALSE)</f>
        <v>6</v>
      </c>
      <c r="BO11" s="20">
        <f>VLOOKUP(Data[[#This Row],[DEVELOPMENT]],Development_Data_Book[[DEVELOPMENT]:[PRIVATE MANAGEMENT]],24,FALSE)</f>
        <v>7</v>
      </c>
    </row>
    <row r="12" spans="1:67">
      <c r="A12" s="17" t="s">
        <v>118</v>
      </c>
      <c r="B12" s="17" t="str">
        <f>VLOOKUP(Data[[#This Row],[DEVELOPMENT]],Development_Data_Book[[DEVELOPMENT]:[BOROUGH]],MATCH("borough",Development_Data_Book[[#Headers],[DEVELOPMENT]:[BOROUGH]],0),FALSE)</f>
        <v>BROOKLYN</v>
      </c>
      <c r="C12" t="e">
        <f>VLOOKUP(Data[[#This Row],[DEVELOPMENT]],'[1]Cheat-Sheet'!$D$2:$Q$341,2,FALSE)</f>
        <v>#N/A</v>
      </c>
      <c r="D1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2">
        <f>VLOOKUP(Data[[#This Row],[DEVELOPMENT]],Development_Data_Book[[DEVELOPMENT]:[BOROUGH]],21,FALSE)</f>
        <v>1</v>
      </c>
      <c r="F12">
        <f>VLOOKUP(Data[[#This Row],[DEVELOPMENT]],Development_Data_Book[[DEVELOPMENT]:[BOROUGH]],23,FALSE)</f>
        <v>1</v>
      </c>
      <c r="G12">
        <f>VLOOKUP(Data[[#This Row],[DEVELOPMENT]],Development_Data_Book[[DEVELOPMENT]:[BOROUGH]],12,FALSE)</f>
        <v>234</v>
      </c>
      <c r="H12" t="s">
        <v>2246</v>
      </c>
      <c r="I12">
        <v>4</v>
      </c>
      <c r="J12">
        <f>IFERROR(VLOOKUP(Data[[#This Row],[DEVELOPMENT]],IntCompactors_MRST[],4,FALSE),0)</f>
        <v>1</v>
      </c>
      <c r="K12" s="20">
        <f>IFERROR(VLOOKUP(Data[[#This Row],[DEVELOPMENT]],ExtCompactors_MRST[],4,FALSE),0)</f>
        <v>1</v>
      </c>
      <c r="L12" s="27">
        <f>IF(Data[[#This Row],['# Interior Compactors MRST]]=0,"",VLOOKUP(Data[[#This Row],[DEVELOPMENT]],IntCompactors_MRST[],5,FALSE))</f>
        <v>37681</v>
      </c>
      <c r="M12" s="28">
        <f>IF(Data[[#This Row],['# Exterior Compactors MRST]]=0,"",VLOOKUP(Data[[#This Row],[DEVELOPMENT]],ExtCompactors_MRST[],5,FALSE))</f>
        <v>37897</v>
      </c>
      <c r="N12">
        <f>Data[[#This Row],['# Interior Compactors MRST]]</f>
        <v>1</v>
      </c>
      <c r="O12" s="20">
        <f>IF(Data[[#This Row],['# Bulk Crushers]]=0,1,0)</f>
        <v>1</v>
      </c>
      <c r="P12" s="20">
        <f>1</f>
        <v>1</v>
      </c>
      <c r="Q12" s="20">
        <f>1</f>
        <v>1</v>
      </c>
      <c r="R12" s="20">
        <f>1</f>
        <v>1</v>
      </c>
      <c r="S12" s="20">
        <f>1</f>
        <v>1</v>
      </c>
      <c r="T12" s="20">
        <f>IF(Data[[#This Row],[Sewershed]]="Newtown Creek",Data[[#This Row],[DUs]],0)</f>
        <v>234</v>
      </c>
      <c r="U1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2" s="82">
        <f>VLOOKUP(Data[[#This Row],[DEVELOPMENT]],Development_Data_Book[[DEVELOPMENT]:[BOROUGH]],3,FALSE)</f>
        <v>156</v>
      </c>
      <c r="Y12" s="20" t="s">
        <v>2599</v>
      </c>
      <c r="Z12" s="20">
        <f>IFERROR(VLOOKUP(Data[[#This Row],[TDS]],ExtCompactors_PNA[[Development]:[0]],2,FALSE),0)</f>
        <v>0</v>
      </c>
      <c r="AA12" s="20">
        <f>IFERROR(VLOOKUP(Data[[#This Row],[TDS]],IntCompactors_PNA[[TDS]:[0]],2,FALSE),0)</f>
        <v>2</v>
      </c>
      <c r="AB12" s="20"/>
      <c r="AC12" s="20"/>
      <c r="AD12" s="20">
        <f>IFERROR(VLOOKUP(Data[[#This Row],[TDS]],ExtCompactors_PNA[[Development]:[0]],3,FALSE)+VLOOKUP(Data[[#This Row],[TDS]],ExtCompactors_PNA[[Development]:[0]],6,FALSE),0)</f>
        <v>0</v>
      </c>
      <c r="AE12" s="20">
        <f>IFERROR(VLOOKUP(Data[[#This Row],[TDS]],IntCompactors_PNA[[TDS]:[0]],3,FALSE)+VLOOKUP(Data[[#This Row],[TDS]],IntCompactors_PNA[[TDS]:[0]],6,FALSE),0)</f>
        <v>2</v>
      </c>
      <c r="AF12" s="20" t="e">
        <f>VLOOKUP(Data[[#This Row],[DEVELOPMENT]],[3]Developments!$A$2:$A$312,1,FALSE)</f>
        <v>#N/A</v>
      </c>
      <c r="AG12" s="20">
        <f>IFERROR(VLOOKUP(Data[[#This Row],[DEVELOPMENT]],Ops_Priorities_and_Data_Clean[[development]:[ifnoext_comment]],3,FALSE),"")</f>
        <v>1</v>
      </c>
      <c r="AH12" s="20">
        <f>IFERROR(VLOOKUP(Data[[#This Row],[DEVELOPMENT]],Ops_Priorities_and_Data_Clean[[development]:[ifnoext_comment]],4,FALSE),"")</f>
        <v>1</v>
      </c>
      <c r="AI12" s="20">
        <f>IFERROR(VLOOKUP(Data[[#This Row],[DEVELOPMENT]],Ops_Priorities_and_Data_Clean[[development]:[ifnoext_comment]],5,FALSE),"")</f>
        <v>1</v>
      </c>
      <c r="AJ12" s="20">
        <f>IFERROR(VLOOKUP(Data[[#This Row],[DEVELOPMENT]],Ops_Priorities_and_Data_Clean[[development]:[ifnoext_comment]],6,FALSE),"")</f>
        <v>0</v>
      </c>
      <c r="AK12" s="20">
        <f>IFERROR(VLOOKUP(Data[[#This Row],[DEVELOPMENT]],Ops_Priorities_and_Data_Clean[[development]:[ifnoext_comment]],7,FALSE),"")</f>
        <v>0</v>
      </c>
      <c r="AL12" s="20">
        <f>IFERROR(VLOOKUP(Data[[#This Row],[DEVELOPMENT]],Ops_Priorities_and_Data_Clean[[development]:[ifnoext_comment]],8,FALSE),"")</f>
        <v>1</v>
      </c>
      <c r="AM12" s="20">
        <f>IFERROR(VLOOKUP(Data[[#This Row],[DEVELOPMENT]],Ops_Priorities_and_Data_Clean[[development]:[ifnoext_comment]],9,FALSE),"")</f>
        <v>0</v>
      </c>
      <c r="AN12" s="20">
        <f>IFERROR(VLOOKUP(Data[[#This Row],[DEVELOPMENT]],Ops_Priorities_and_Data_Clean[[development]:[ifnoext_comment]],10,FALSE),"")</f>
        <v>1</v>
      </c>
      <c r="AO12" s="20">
        <f>IFERROR(VLOOKUP(Data[[#This Row],[DEVELOPMENT]],Ops_Priorities_and_Data_Clean[[development]:[ifnoext_comment]],11,FALSE),"")</f>
        <v>1</v>
      </c>
      <c r="AP12" s="20">
        <f>IFERROR(VLOOKUP(Data[[#This Row],[DEVELOPMENT]],Ops_Priorities_and_Data_Clean[[development]:[ifnoext_comment]],12,FALSE),"")</f>
        <v>1</v>
      </c>
      <c r="AQ12" s="20">
        <f>VLOOKUP(Data[[#This Row],[DEVELOPMENT]],Ops_Priorities_and_Data_Clean[[development]:[ifnoext_comment]],14,FALSE)</f>
        <v>0</v>
      </c>
      <c r="AR12" s="20">
        <f>VLOOKUP(Data[[#This Row],[DEVELOPMENT]],Ops_Priorities_and_Data_Clean[[development]:[ifnoext_comment]],15,FALSE)</f>
        <v>0</v>
      </c>
      <c r="AS12" s="20" t="str">
        <f>VLOOKUP(Data[[#This Row],[DEVELOPMENT]],Ops_Priorities_and_Data_Clean[[development]:[ifnoext_comment]],16,FALSE)</f>
        <v>NULL</v>
      </c>
      <c r="AT12" s="20" t="str">
        <f>VLOOKUP(Data[[#This Row],[DEVELOPMENT]],Ops_Priorities_and_Data_Clean[[development]:[ifnoext_comment]],17,FALSE)</f>
        <v>NULL</v>
      </c>
      <c r="AU12" s="20" t="str">
        <f>VLOOKUP(Data[[#This Row],[DEVELOPMENT]],Ops_Priorities_and_Data_Clean[[development]:[ifnoext_comment]],18,FALSE)</f>
        <v>No</v>
      </c>
      <c r="AV12" s="20" t="str">
        <f>VLOOKUP(Data[[#This Row],[DEVELOPMENT]],Ops_Priorities_and_Data_Clean[[development]:[ifnoext_comment]],19,FALSE)</f>
        <v xml:space="preserve">container on-site </v>
      </c>
      <c r="AW12" s="20" t="str">
        <f>VLOOKUP(Data[[#This Row],[DEVELOPMENT]],Ops_Priorities_and_Data_Clean[[development]:[ifnoext_comment]],20,FALSE)</f>
        <v>NULL</v>
      </c>
      <c r="AX12" s="104" t="s">
        <v>2238</v>
      </c>
      <c r="AY12" s="104" t="s">
        <v>2600</v>
      </c>
      <c r="AZ12" s="20" t="str">
        <f>VLOOKUP(Data[[#This Row],[DEVELOPMENT]],Development_Data_Book[[DEVELOPMENT]:[PRIVATE MANAGEMENT]],8,FALSE)</f>
        <v>FEDERAL</v>
      </c>
      <c r="BA12" s="104" t="s">
        <v>2586</v>
      </c>
      <c r="BB12" s="20">
        <f>VLOOKUP(Data[[#This Row],[DEVELOPMENT]],Development_Data_Book[[DEVELOPMENT]:[PRIVATE MANAGEMENT]],22,FALSE)</f>
        <v>0</v>
      </c>
      <c r="BC12" s="20">
        <f>Data[[#This Row],[Non-Dwelling Buildings]]+Data[[#This Row],[Dwelling Buildings]]</f>
        <v>1</v>
      </c>
      <c r="BD12" s="20">
        <f>VLOOKUP(Data[[#This Row],[DEVELOPMENT]],Development_Data_Book[[DEVELOPMENT]:[PRIVATE MANAGEMENT]],26,FALSE)</f>
        <v>2.5299999999999998</v>
      </c>
      <c r="BE12" s="106">
        <v>237000</v>
      </c>
      <c r="BF12" s="20">
        <f>VLOOKUP(Data[[#This Row],[DEVELOPMENT]],Development_Data_Book[[DEVELOPMENT]:[PRIVATE MANAGEMENT]],18,FALSE)</f>
        <v>541</v>
      </c>
      <c r="BG1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2" s="104" t="s">
        <v>2601</v>
      </c>
      <c r="BI12" t="s">
        <v>184</v>
      </c>
      <c r="BJ12" s="20">
        <f>VLOOKUP(Data[[#This Row],[DEVELOPMENT]],Development_Data_Book[[DEVELOPMENT]:[PRIVATE MANAGEMENT]],41,FALSE)</f>
        <v>3</v>
      </c>
      <c r="BK12" s="20">
        <f>VLOOKUP(Data[[#This Row],[DEVELOPMENT]],Development_Data_Book[[DEVELOPMENT]:[PRIVATE MANAGEMENT]],42,FALSE)</f>
        <v>8</v>
      </c>
      <c r="BL12" s="20">
        <f>VLOOKUP(Data[[#This Row],[DEVELOPMENT]],Development_Data_Book[[DEVELOPMENT]:[PRIVATE MANAGEMENT]],43,FALSE)</f>
        <v>18</v>
      </c>
      <c r="BM12" s="20">
        <f>VLOOKUP(Data[[#This Row],[DEVELOPMENT]],Development_Data_Book[[DEVELOPMENT]:[PRIVATE MANAGEMENT]],44,FALSE)</f>
        <v>54</v>
      </c>
      <c r="BN12" s="20">
        <f>VLOOKUP(Data[[#This Row],[DEVELOPMENT]],Development_Data_Book[[DEVELOPMENT]:[PRIVATE MANAGEMENT]],45,FALSE)</f>
        <v>36</v>
      </c>
      <c r="BO12" s="20">
        <f>VLOOKUP(Data[[#This Row],[DEVELOPMENT]],Development_Data_Book[[DEVELOPMENT]:[PRIVATE MANAGEMENT]],24,FALSE)</f>
        <v>24</v>
      </c>
    </row>
    <row r="13" spans="1:67">
      <c r="A13" t="s">
        <v>69</v>
      </c>
      <c r="B13" t="str">
        <f>VLOOKUP(Data[[#This Row],[DEVELOPMENT]],Development_Data_Book[[DEVELOPMENT]:[BOROUGH]],MATCH("borough",Development_Data_Book[[#Headers],[DEVELOPMENT]:[BOROUGH]],0),FALSE)</f>
        <v>MANHATTAN</v>
      </c>
      <c r="C13" t="e">
        <f>VLOOKUP(Data[[#This Row],[DEVELOPMENT]],'[1]Cheat-Sheet'!$D$2:$Q$341,2,FALSE)</f>
        <v>#N/A</v>
      </c>
      <c r="D1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3">
        <f>VLOOKUP(Data[[#This Row],[DEVELOPMENT]],Development_Data_Book[[DEVELOPMENT]:[BOROUGH]],21,FALSE)</f>
        <v>1</v>
      </c>
      <c r="F13">
        <f>VLOOKUP(Data[[#This Row],[DEVELOPMENT]],Development_Data_Book[[DEVELOPMENT]:[BOROUGH]],23,FALSE)</f>
        <v>1</v>
      </c>
      <c r="G13">
        <f>VLOOKUP(Data[[#This Row],[DEVELOPMENT]],Development_Data_Book[[DEVELOPMENT]:[BOROUGH]],12,FALSE)</f>
        <v>66</v>
      </c>
      <c r="H13" t="s">
        <v>2248</v>
      </c>
      <c r="I13">
        <v>4</v>
      </c>
      <c r="J13">
        <f>IFERROR(VLOOKUP(Data[[#This Row],[DEVELOPMENT]],IntCompactors_MRST[],4,FALSE),0)</f>
        <v>1</v>
      </c>
      <c r="K13" s="20">
        <f>IFERROR(VLOOKUP(Data[[#This Row],[DEVELOPMENT]],ExtCompactors_MRST[],4,FALSE),0)</f>
        <v>0</v>
      </c>
      <c r="L13" s="27">
        <f>IF(Data[[#This Row],['# Interior Compactors MRST]]=0,"",VLOOKUP(Data[[#This Row],[DEVELOPMENT]],IntCompactors_MRST[],5,FALSE))</f>
        <v>34912</v>
      </c>
      <c r="M13" s="28" t="str">
        <f>IF(Data[[#This Row],['# Exterior Compactors MRST]]=0,"",VLOOKUP(Data[[#This Row],[DEVELOPMENT]],ExtCompactors_MRST[],5,FALSE))</f>
        <v/>
      </c>
      <c r="N13">
        <f>Data[[#This Row],['# Interior Compactors MRST]]</f>
        <v>1</v>
      </c>
      <c r="O13" s="20">
        <f>IF(Data[[#This Row],['# Bulk Crushers]]=0,1,0)</f>
        <v>1</v>
      </c>
      <c r="P13" s="20">
        <f>1</f>
        <v>1</v>
      </c>
      <c r="Q13" s="20">
        <f>1</f>
        <v>1</v>
      </c>
      <c r="R13" s="20">
        <f>1</f>
        <v>1</v>
      </c>
      <c r="S13" s="20">
        <f>1</f>
        <v>1</v>
      </c>
      <c r="T13" s="20">
        <f>IF(Data[[#This Row],[Sewershed]]="Newtown Creek",Data[[#This Row],[DUs]],0)</f>
        <v>0</v>
      </c>
      <c r="U1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3" s="82">
        <f>VLOOKUP(Data[[#This Row],[DEVELOPMENT]],Development_Data_Book[[DEVELOPMENT]:[BOROUGH]],3,FALSE)</f>
        <v>203</v>
      </c>
      <c r="Y13" s="20"/>
      <c r="Z13" s="20">
        <f>IFERROR(VLOOKUP(Data[[#This Row],[TDS]],ExtCompactors_PNA[[Development]:[0]],2,FALSE),0)</f>
        <v>0</v>
      </c>
      <c r="AA13" s="20">
        <f>IFERROR(VLOOKUP(Data[[#This Row],[TDS]],IntCompactors_PNA[[TDS]:[0]],2,FALSE),0)</f>
        <v>1</v>
      </c>
      <c r="AB13" s="20"/>
      <c r="AC13" s="20"/>
      <c r="AD13" s="20">
        <f>IFERROR(VLOOKUP(Data[[#This Row],[TDS]],ExtCompactors_PNA[[Development]:[0]],3,FALSE)+VLOOKUP(Data[[#This Row],[TDS]],ExtCompactors_PNA[[Development]:[0]],6,FALSE),0)</f>
        <v>0</v>
      </c>
      <c r="AE13" s="20">
        <f>IFERROR(VLOOKUP(Data[[#This Row],[TDS]],IntCompactors_PNA[[TDS]:[0]],3,FALSE)+VLOOKUP(Data[[#This Row],[TDS]],IntCompactors_PNA[[TDS]:[0]],6,FALSE),0)</f>
        <v>1</v>
      </c>
      <c r="AF13" s="20" t="e">
        <f>VLOOKUP(Data[[#This Row],[DEVELOPMENT]],[3]Developments!$A$2:$A$312,1,FALSE)</f>
        <v>#N/A</v>
      </c>
      <c r="AG13" s="20">
        <f>IFERROR(VLOOKUP(Data[[#This Row],[DEVELOPMENT]],Ops_Priorities_and_Data_Clean[[development]:[ifnoext_comment]],3,FALSE),"")</f>
        <v>0</v>
      </c>
      <c r="AH13" s="20">
        <f>IFERROR(VLOOKUP(Data[[#This Row],[DEVELOPMENT]],Ops_Priorities_and_Data_Clean[[development]:[ifnoext_comment]],4,FALSE),"")</f>
        <v>0</v>
      </c>
      <c r="AI13" s="20">
        <f>IFERROR(VLOOKUP(Data[[#This Row],[DEVELOPMENT]],Ops_Priorities_and_Data_Clean[[development]:[ifnoext_comment]],5,FALSE),"")</f>
        <v>0</v>
      </c>
      <c r="AJ13" s="20">
        <f>IFERROR(VLOOKUP(Data[[#This Row],[DEVELOPMENT]],Ops_Priorities_and_Data_Clean[[development]:[ifnoext_comment]],6,FALSE),"")</f>
        <v>1</v>
      </c>
      <c r="AK13" s="20">
        <f>IFERROR(VLOOKUP(Data[[#This Row],[DEVELOPMENT]],Ops_Priorities_and_Data_Clean[[development]:[ifnoext_comment]],7,FALSE),"")</f>
        <v>0</v>
      </c>
      <c r="AL13" s="20">
        <f>IFERROR(VLOOKUP(Data[[#This Row],[DEVELOPMENT]],Ops_Priorities_and_Data_Clean[[development]:[ifnoext_comment]],8,FALSE),"")</f>
        <v>1</v>
      </c>
      <c r="AM13" s="20">
        <f>IFERROR(VLOOKUP(Data[[#This Row],[DEVELOPMENT]],Ops_Priorities_and_Data_Clean[[development]:[ifnoext_comment]],9,FALSE),"")</f>
        <v>0</v>
      </c>
      <c r="AN13" s="20">
        <f>IFERROR(VLOOKUP(Data[[#This Row],[DEVELOPMENT]],Ops_Priorities_and_Data_Clean[[development]:[ifnoext_comment]],10,FALSE),"")</f>
        <v>0</v>
      </c>
      <c r="AO13" s="20">
        <f>IFERROR(VLOOKUP(Data[[#This Row],[DEVELOPMENT]],Ops_Priorities_and_Data_Clean[[development]:[ifnoext_comment]],11,FALSE),"")</f>
        <v>0</v>
      </c>
      <c r="AP13" s="20">
        <f>IFERROR(VLOOKUP(Data[[#This Row],[DEVELOPMENT]],Ops_Priorities_and_Data_Clean[[development]:[ifnoext_comment]],12,FALSE),"")</f>
        <v>0</v>
      </c>
      <c r="AQ13" s="20">
        <f>VLOOKUP(Data[[#This Row],[DEVELOPMENT]],Ops_Priorities_and_Data_Clean[[development]:[ifnoext_comment]],14,FALSE)</f>
        <v>0</v>
      </c>
      <c r="AR13" s="20">
        <f>VLOOKUP(Data[[#This Row],[DEVELOPMENT]],Ops_Priorities_and_Data_Clean[[development]:[ifnoext_comment]],15,FALSE)</f>
        <v>1</v>
      </c>
      <c r="AS13" s="20" t="str">
        <f>VLOOKUP(Data[[#This Row],[DEVELOPMENT]],Ops_Priorities_and_Data_Clean[[development]:[ifnoext_comment]],16,FALSE)</f>
        <v>Jefferson</v>
      </c>
      <c r="AT13" s="20" t="str">
        <f>VLOOKUP(Data[[#This Row],[DEVELOPMENT]],Ops_Priorities_and_Data_Clean[[development]:[ifnoext_comment]],17,FALSE)</f>
        <v>NULL</v>
      </c>
      <c r="AU13" s="20" t="str">
        <f>VLOOKUP(Data[[#This Row],[DEVELOPMENT]],Ops_Priorities_and_Data_Clean[[development]:[ifnoext_comment]],18,FALSE)</f>
        <v>yes</v>
      </c>
      <c r="AV13" s="20" t="str">
        <f>VLOOKUP(Data[[#This Row],[DEVELOPMENT]],Ops_Priorities_and_Data_Clean[[development]:[ifnoext_comment]],19,FALSE)</f>
        <v>Curbside pickup for DSNY</v>
      </c>
      <c r="AW13" s="20" t="str">
        <f>VLOOKUP(Data[[#This Row],[DEVELOPMENT]],Ops_Priorities_and_Data_Clean[[development]:[ifnoext_comment]],20,FALSE)</f>
        <v>NULL</v>
      </c>
      <c r="AX13" s="104" t="s">
        <v>2602</v>
      </c>
      <c r="AY13" s="104" t="s">
        <v>2603</v>
      </c>
      <c r="AZ13" s="20" t="str">
        <f>VLOOKUP(Data[[#This Row],[DEVELOPMENT]],Development_Data_Book[[DEVELOPMENT]:[PRIVATE MANAGEMENT]],8,FALSE)</f>
        <v>FEDERAL</v>
      </c>
      <c r="BA13" s="104" t="s">
        <v>2586</v>
      </c>
      <c r="BB13" s="20">
        <f>VLOOKUP(Data[[#This Row],[DEVELOPMENT]],Development_Data_Book[[DEVELOPMENT]:[PRIVATE MANAGEMENT]],22,FALSE)</f>
        <v>0</v>
      </c>
      <c r="BC13" s="20">
        <f>Data[[#This Row],[Non-Dwelling Buildings]]+Data[[#This Row],[Dwelling Buildings]]</f>
        <v>1</v>
      </c>
      <c r="BD13" s="20">
        <f>VLOOKUP(Data[[#This Row],[DEVELOPMENT]],Development_Data_Book[[DEVELOPMENT]:[PRIVATE MANAGEMENT]],26,FALSE)</f>
        <v>0.46</v>
      </c>
      <c r="BE13" s="106">
        <v>57000</v>
      </c>
      <c r="BF13" s="20">
        <f>VLOOKUP(Data[[#This Row],[DEVELOPMENT]],Development_Data_Book[[DEVELOPMENT]:[PRIVATE MANAGEMENT]],18,FALSE)</f>
        <v>114</v>
      </c>
      <c r="BG1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3" s="104" t="s">
        <v>2604</v>
      </c>
      <c r="BI13" t="s">
        <v>184</v>
      </c>
      <c r="BJ13" s="20">
        <f>VLOOKUP(Data[[#This Row],[DEVELOPMENT]],Development_Data_Book[[DEVELOPMENT]:[PRIVATE MANAGEMENT]],41,FALSE)</f>
        <v>11</v>
      </c>
      <c r="BK13" s="20">
        <f>VLOOKUP(Data[[#This Row],[DEVELOPMENT]],Development_Data_Book[[DEVELOPMENT]:[PRIVATE MANAGEMENT]],42,FALSE)</f>
        <v>13</v>
      </c>
      <c r="BL13" s="20">
        <f>VLOOKUP(Data[[#This Row],[DEVELOPMENT]],Development_Data_Book[[DEVELOPMENT]:[PRIVATE MANAGEMENT]],43,FALSE)</f>
        <v>29</v>
      </c>
      <c r="BM13" s="20">
        <f>VLOOKUP(Data[[#This Row],[DEVELOPMENT]],Development_Data_Book[[DEVELOPMENT]:[PRIVATE MANAGEMENT]],44,FALSE)</f>
        <v>68</v>
      </c>
      <c r="BN13" s="20">
        <f>VLOOKUP(Data[[#This Row],[DEVELOPMENT]],Development_Data_Book[[DEVELOPMENT]:[PRIVATE MANAGEMENT]],45,FALSE)</f>
        <v>8</v>
      </c>
      <c r="BO13" s="20">
        <f>VLOOKUP(Data[[#This Row],[DEVELOPMENT]],Development_Data_Book[[DEVELOPMENT]:[PRIVATE MANAGEMENT]],24,FALSE)</f>
        <v>6</v>
      </c>
    </row>
    <row r="14" spans="1:67">
      <c r="A14" t="s">
        <v>282</v>
      </c>
      <c r="B14" s="20" t="str">
        <f>VLOOKUP(Data[[#This Row],[DEVELOPMENT]],Development_Data_Book[[DEVELOPMENT]:[BOROUGH]],MATCH("borough",Development_Data_Book[[#Headers],[DEVELOPMENT]:[BOROUGH]],0),FALSE)</f>
        <v>MANHATTAN</v>
      </c>
      <c r="C14" s="20" t="e">
        <f>VLOOKUP(Data[[#This Row],[DEVELOPMENT]],'[1]Cheat-Sheet'!$D$2:$Q$341,2,FALSE)</f>
        <v>#N/A</v>
      </c>
      <c r="D1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4" s="20">
        <f>VLOOKUP(Data[[#This Row],[DEVELOPMENT]],Development_Data_Book[[DEVELOPMENT]:[BOROUGH]],21,FALSE)</f>
        <v>1</v>
      </c>
      <c r="F14" s="20">
        <f>VLOOKUP(Data[[#This Row],[DEVELOPMENT]],Development_Data_Book[[DEVELOPMENT]:[BOROUGH]],23,FALSE)</f>
        <v>1</v>
      </c>
      <c r="G14" s="20">
        <f>VLOOKUP(Data[[#This Row],[DEVELOPMENT]],Development_Data_Book[[DEVELOPMENT]:[BOROUGH]],12,FALSE)</f>
        <v>225</v>
      </c>
      <c r="J14">
        <f>IFERROR(VLOOKUP(Data[[#This Row],[DEVELOPMENT]],IntCompactors_MRST[],4,FALSE),0)</f>
        <v>1</v>
      </c>
      <c r="K14" s="20">
        <f>IFERROR(VLOOKUP(Data[[#This Row],[DEVELOPMENT]],ExtCompactors_MRST[],4,FALSE),0)</f>
        <v>0</v>
      </c>
      <c r="L14" s="27">
        <f>IF(Data[[#This Row],['# Interior Compactors MRST]]=0,"",VLOOKUP(Data[[#This Row],[DEVELOPMENT]],IntCompactors_MRST[],5,FALSE))</f>
        <v>34973</v>
      </c>
      <c r="M14" s="28" t="str">
        <f>IF(Data[[#This Row],['# Exterior Compactors MRST]]=0,"",VLOOKUP(Data[[#This Row],[DEVELOPMENT]],ExtCompactors_MRST[],5,FALSE))</f>
        <v/>
      </c>
      <c r="N14" s="20">
        <f>Data[[#This Row],['# Interior Compactors MRST]]</f>
        <v>1</v>
      </c>
      <c r="O14" s="20">
        <f>IF(Data[[#This Row],['# Bulk Crushers]]=0,1,0)</f>
        <v>1</v>
      </c>
      <c r="P14" s="20">
        <f>1</f>
        <v>1</v>
      </c>
      <c r="Q14" s="20">
        <f>1</f>
        <v>1</v>
      </c>
      <c r="R14" s="20">
        <f>1</f>
        <v>1</v>
      </c>
      <c r="S14" s="20">
        <f>1</f>
        <v>1</v>
      </c>
      <c r="T14" s="20">
        <f>IF(Data[[#This Row],[Sewershed]]="Newtown Creek",Data[[#This Row],[DUs]],0)</f>
        <v>225</v>
      </c>
      <c r="U1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4" s="82">
        <f>VLOOKUP(Data[[#This Row],[DEVELOPMENT]],Development_Data_Book[[DEVELOPMENT]:[BOROUGH]],3,FALSE)</f>
        <v>185</v>
      </c>
      <c r="Y14" s="20" t="s">
        <v>2599</v>
      </c>
      <c r="Z14" s="20">
        <f>IFERROR(VLOOKUP(Data[[#This Row],[TDS]],ExtCompactors_PNA[[Development]:[0]],2,FALSE),0)</f>
        <v>0</v>
      </c>
      <c r="AA14" s="20">
        <f>IFERROR(VLOOKUP(Data[[#This Row],[TDS]],IntCompactors_PNA[[TDS]:[0]],2,FALSE),0)</f>
        <v>1</v>
      </c>
      <c r="AB14" s="20"/>
      <c r="AC14" s="20"/>
      <c r="AD14" s="20">
        <f>IFERROR(VLOOKUP(Data[[#This Row],[TDS]],ExtCompactors_PNA[[Development]:[0]],3,FALSE)+VLOOKUP(Data[[#This Row],[TDS]],ExtCompactors_PNA[[Development]:[0]],6,FALSE),0)</f>
        <v>0</v>
      </c>
      <c r="AE14" s="20">
        <f>IFERROR(VLOOKUP(Data[[#This Row],[TDS]],IntCompactors_PNA[[TDS]:[0]],3,FALSE)+VLOOKUP(Data[[#This Row],[TDS]],IntCompactors_PNA[[TDS]:[0]],6,FALSE),0)</f>
        <v>1</v>
      </c>
      <c r="AF14" s="20" t="e">
        <f>VLOOKUP(Data[[#This Row],[DEVELOPMENT]],[3]Developments!$A$2:$A$312,1,FALSE)</f>
        <v>#N/A</v>
      </c>
      <c r="AG14" s="20">
        <f>IFERROR(VLOOKUP(Data[[#This Row],[DEVELOPMENT]],Ops_Priorities_and_Data_Clean[[development]:[ifnoext_comment]],3,FALSE),"")</f>
        <v>0</v>
      </c>
      <c r="AH14" s="20">
        <f>IFERROR(VLOOKUP(Data[[#This Row],[DEVELOPMENT]],Ops_Priorities_and_Data_Clean[[development]:[ifnoext_comment]],4,FALSE),"")</f>
        <v>4</v>
      </c>
      <c r="AI14" s="20">
        <f>IFERROR(VLOOKUP(Data[[#This Row],[DEVELOPMENT]],Ops_Priorities_and_Data_Clean[[development]:[ifnoext_comment]],5,FALSE),"")</f>
        <v>0</v>
      </c>
      <c r="AJ14" s="20">
        <f>IFERROR(VLOOKUP(Data[[#This Row],[DEVELOPMENT]],Ops_Priorities_and_Data_Clean[[development]:[ifnoext_comment]],6,FALSE),"")</f>
        <v>0</v>
      </c>
      <c r="AK14" s="20">
        <f>IFERROR(VLOOKUP(Data[[#This Row],[DEVELOPMENT]],Ops_Priorities_and_Data_Clean[[development]:[ifnoext_comment]],7,FALSE),"")</f>
        <v>1</v>
      </c>
      <c r="AL14" s="20">
        <f>IFERROR(VLOOKUP(Data[[#This Row],[DEVELOPMENT]],Ops_Priorities_and_Data_Clean[[development]:[ifnoext_comment]],8,FALSE),"")</f>
        <v>1</v>
      </c>
      <c r="AM14" s="20">
        <f>IFERROR(VLOOKUP(Data[[#This Row],[DEVELOPMENT]],Ops_Priorities_and_Data_Clean[[development]:[ifnoext_comment]],9,FALSE),"")</f>
        <v>0</v>
      </c>
      <c r="AN14" s="20">
        <f>IFERROR(VLOOKUP(Data[[#This Row],[DEVELOPMENT]],Ops_Priorities_and_Data_Clean[[development]:[ifnoext_comment]],10,FALSE),"")</f>
        <v>0</v>
      </c>
      <c r="AO14" s="20">
        <f>IFERROR(VLOOKUP(Data[[#This Row],[DEVELOPMENT]],Ops_Priorities_and_Data_Clean[[development]:[ifnoext_comment]],11,FALSE),"")</f>
        <v>0</v>
      </c>
      <c r="AP14" s="20">
        <f>IFERROR(VLOOKUP(Data[[#This Row],[DEVELOPMENT]],Ops_Priorities_and_Data_Clean[[development]:[ifnoext_comment]],12,FALSE),"")</f>
        <v>0</v>
      </c>
      <c r="AQ14" s="20">
        <f>VLOOKUP(Data[[#This Row],[DEVELOPMENT]],Ops_Priorities_and_Data_Clean[[development]:[ifnoext_comment]],14,FALSE)</f>
        <v>1</v>
      </c>
      <c r="AR14" s="20">
        <f>VLOOKUP(Data[[#This Row],[DEVELOPMENT]],Ops_Priorities_and_Data_Clean[[development]:[ifnoext_comment]],15,FALSE)</f>
        <v>0</v>
      </c>
      <c r="AS14" s="20" t="str">
        <f>VLOOKUP(Data[[#This Row],[DEVELOPMENT]],Ops_Priorities_and_Data_Clean[[development]:[ifnoext_comment]],16,FALSE)</f>
        <v>NULL</v>
      </c>
      <c r="AT14" s="20" t="str">
        <f>VLOOKUP(Data[[#This Row],[DEVELOPMENT]],Ops_Priorities_and_Data_Clean[[development]:[ifnoext_comment]],17,FALSE)</f>
        <v>NULL</v>
      </c>
      <c r="AU14" s="20" t="str">
        <f>VLOOKUP(Data[[#This Row],[DEVELOPMENT]],Ops_Priorities_and_Data_Clean[[development]:[ifnoext_comment]],18,FALSE)</f>
        <v>yes</v>
      </c>
      <c r="AV14" s="20" t="str">
        <f>VLOOKUP(Data[[#This Row],[DEVELOPMENT]],Ops_Priorities_and_Data_Clean[[development]:[ifnoext_comment]],19,FALSE)</f>
        <v>Curbside pickup for DSNY.</v>
      </c>
      <c r="AW14" s="20" t="str">
        <f>VLOOKUP(Data[[#This Row],[DEVELOPMENT]],Ops_Priorities_and_Data_Clean[[development]:[ifnoext_comment]],20,FALSE)</f>
        <v>NULL</v>
      </c>
      <c r="AX14" s="104" t="s">
        <v>2605</v>
      </c>
      <c r="AY14" s="104" t="s">
        <v>2606</v>
      </c>
      <c r="AZ14" s="20" t="str">
        <f>VLOOKUP(Data[[#This Row],[DEVELOPMENT]],Development_Data_Book[[DEVELOPMENT]:[PRIVATE MANAGEMENT]],8,FALSE)</f>
        <v>MIXED FINANCE/LLC2</v>
      </c>
      <c r="BA14" s="104" t="s">
        <v>2586</v>
      </c>
      <c r="BB14" s="20">
        <f>VLOOKUP(Data[[#This Row],[DEVELOPMENT]],Development_Data_Book[[DEVELOPMENT]:[PRIVATE MANAGEMENT]],22,FALSE)</f>
        <v>0</v>
      </c>
      <c r="BC14" s="20">
        <f>Data[[#This Row],[Non-Dwelling Buildings]]+Data[[#This Row],[Dwelling Buildings]]</f>
        <v>1</v>
      </c>
      <c r="BD14" s="20">
        <f>VLOOKUP(Data[[#This Row],[DEVELOPMENT]],Development_Data_Book[[DEVELOPMENT]:[PRIVATE MANAGEMENT]],26,FALSE)</f>
        <v>1.02</v>
      </c>
      <c r="BE14" s="106">
        <v>209802</v>
      </c>
      <c r="BF14" s="20">
        <f>VLOOKUP(Data[[#This Row],[DEVELOPMENT]],Development_Data_Book[[DEVELOPMENT]:[PRIVATE MANAGEMENT]],18,FALSE)</f>
        <v>427</v>
      </c>
      <c r="BG1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4" s="104" t="s">
        <v>2607</v>
      </c>
      <c r="BI14" t="s">
        <v>184</v>
      </c>
      <c r="BJ14" s="20">
        <f>VLOOKUP(Data[[#This Row],[DEVELOPMENT]],Development_Data_Book[[DEVELOPMENT]:[PRIVATE MANAGEMENT]],41,FALSE)</f>
        <v>6</v>
      </c>
      <c r="BK14" s="20">
        <f>VLOOKUP(Data[[#This Row],[DEVELOPMENT]],Development_Data_Book[[DEVELOPMENT]:[PRIVATE MANAGEMENT]],42,FALSE)</f>
        <v>12</v>
      </c>
      <c r="BL14" s="20">
        <f>VLOOKUP(Data[[#This Row],[DEVELOPMENT]],Development_Data_Book[[DEVELOPMENT]:[PRIVATE MANAGEMENT]],43,FALSE)</f>
        <v>27</v>
      </c>
      <c r="BM14" s="20">
        <f>VLOOKUP(Data[[#This Row],[DEVELOPMENT]],Development_Data_Book[[DEVELOPMENT]:[PRIVATE MANAGEMENT]],44,FALSE)</f>
        <v>74</v>
      </c>
      <c r="BN14" s="20">
        <f>VLOOKUP(Data[[#This Row],[DEVELOPMENT]],Development_Data_Book[[DEVELOPMENT]:[PRIVATE MANAGEMENT]],45,FALSE)</f>
        <v>2</v>
      </c>
      <c r="BO14" s="20">
        <f>VLOOKUP(Data[[#This Row],[DEVELOPMENT]],Development_Data_Book[[DEVELOPMENT]:[PRIVATE MANAGEMENT]],24,FALSE)</f>
        <v>26</v>
      </c>
    </row>
    <row r="15" spans="1:67">
      <c r="A15" s="17" t="s">
        <v>57</v>
      </c>
      <c r="B15" s="17" t="str">
        <f>VLOOKUP(Data[[#This Row],[DEVELOPMENT]],Development_Data_Book[[DEVELOPMENT]:[BOROUGH]],MATCH("borough",Development_Data_Book[[#Headers],[DEVELOPMENT]:[BOROUGH]],0),FALSE)</f>
        <v>MANHATTAN</v>
      </c>
      <c r="C15" t="e">
        <f>VLOOKUP(Data[[#This Row],[DEVELOPMENT]],'[1]Cheat-Sheet'!$D$2:$Q$341,2,FALSE)</f>
        <v>#N/A</v>
      </c>
      <c r="D1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5">
        <f>VLOOKUP(Data[[#This Row],[DEVELOPMENT]],Development_Data_Book[[DEVELOPMENT]:[BOROUGH]],21,FALSE)</f>
        <v>1</v>
      </c>
      <c r="F15">
        <f>VLOOKUP(Data[[#This Row],[DEVELOPMENT]],Development_Data_Book[[DEVELOPMENT]:[BOROUGH]],23,FALSE)</f>
        <v>2</v>
      </c>
      <c r="G15">
        <f>VLOOKUP(Data[[#This Row],[DEVELOPMENT]],Development_Data_Book[[DEVELOPMENT]:[BOROUGH]],12,FALSE)</f>
        <v>107</v>
      </c>
      <c r="H15" t="s">
        <v>2246</v>
      </c>
      <c r="I15">
        <v>3</v>
      </c>
      <c r="J15">
        <f>IFERROR(VLOOKUP(Data[[#This Row],[DEVELOPMENT]],IntCompactors_MRST[],4,FALSE),0)</f>
        <v>1</v>
      </c>
      <c r="K15" s="20">
        <f>IFERROR(VLOOKUP(Data[[#This Row],[DEVELOPMENT]],ExtCompactors_MRST[],4,FALSE),0)</f>
        <v>0</v>
      </c>
      <c r="L15" s="27">
        <f>IF(Data[[#This Row],['# Interior Compactors MRST]]=0,"",VLOOKUP(Data[[#This Row],[DEVELOPMENT]],IntCompactors_MRST[],5,FALSE))</f>
        <v>36586</v>
      </c>
      <c r="M15" s="28" t="str">
        <f>IF(Data[[#This Row],['# Exterior Compactors MRST]]=0,"",VLOOKUP(Data[[#This Row],[DEVELOPMENT]],ExtCompactors_MRST[],5,FALSE))</f>
        <v/>
      </c>
      <c r="N15">
        <f>Data[[#This Row],['# Interior Compactors MRST]]</f>
        <v>1</v>
      </c>
      <c r="O15" s="20">
        <f>IF(Data[[#This Row],['# Bulk Crushers]]=0,1,0)</f>
        <v>1</v>
      </c>
      <c r="P15" s="20">
        <f>1</f>
        <v>1</v>
      </c>
      <c r="Q15" s="20">
        <f>1</f>
        <v>1</v>
      </c>
      <c r="R15" s="20">
        <f>1</f>
        <v>1</v>
      </c>
      <c r="S15" s="20">
        <f>1</f>
        <v>1</v>
      </c>
      <c r="T15" s="20">
        <f>IF(Data[[#This Row],[Sewershed]]="Newtown Creek",Data[[#This Row],[DUs]],0)</f>
        <v>107</v>
      </c>
      <c r="U1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5" s="82">
        <f>VLOOKUP(Data[[#This Row],[DEVELOPMENT]],Development_Data_Book[[DEVELOPMENT]:[BOROUGH]],3,FALSE)</f>
        <v>265</v>
      </c>
      <c r="Y15" s="20" t="s">
        <v>2599</v>
      </c>
      <c r="Z15" s="20">
        <f>IFERROR(VLOOKUP(Data[[#This Row],[TDS]],ExtCompactors_PNA[[Development]:[0]],2,FALSE),0)</f>
        <v>0</v>
      </c>
      <c r="AA15" s="20">
        <f>IFERROR(VLOOKUP(Data[[#This Row],[TDS]],IntCompactors_PNA[[TDS]:[0]],2,FALSE),0)</f>
        <v>1</v>
      </c>
      <c r="AB15" s="20"/>
      <c r="AC15" s="20"/>
      <c r="AD15" s="20">
        <f>IFERROR(VLOOKUP(Data[[#This Row],[TDS]],ExtCompactors_PNA[[Development]:[0]],3,FALSE)+VLOOKUP(Data[[#This Row],[TDS]],ExtCompactors_PNA[[Development]:[0]],6,FALSE),0)</f>
        <v>0</v>
      </c>
      <c r="AE15" s="20">
        <f>IFERROR(VLOOKUP(Data[[#This Row],[TDS]],IntCompactors_PNA[[TDS]:[0]],3,FALSE)+VLOOKUP(Data[[#This Row],[TDS]],IntCompactors_PNA[[TDS]:[0]],6,FALSE),0)</f>
        <v>1</v>
      </c>
      <c r="AF15" s="20" t="e">
        <f>VLOOKUP(Data[[#This Row],[DEVELOPMENT]],[3]Developments!$A$2:$A$312,1,FALSE)</f>
        <v>#N/A</v>
      </c>
      <c r="AG15" s="20">
        <f>IFERROR(VLOOKUP(Data[[#This Row],[DEVELOPMENT]],Ops_Priorities_and_Data_Clean[[development]:[ifnoext_comment]],3,FALSE),"")</f>
        <v>0</v>
      </c>
      <c r="AH15" s="20">
        <f>IFERROR(VLOOKUP(Data[[#This Row],[DEVELOPMENT]],Ops_Priorities_and_Data_Clean[[development]:[ifnoext_comment]],4,FALSE),"")</f>
        <v>0</v>
      </c>
      <c r="AI15" s="20">
        <f>IFERROR(VLOOKUP(Data[[#This Row],[DEVELOPMENT]],Ops_Priorities_and_Data_Clean[[development]:[ifnoext_comment]],5,FALSE),"")</f>
        <v>0</v>
      </c>
      <c r="AJ15" s="20">
        <f>IFERROR(VLOOKUP(Data[[#This Row],[DEVELOPMENT]],Ops_Priorities_and_Data_Clean[[development]:[ifnoext_comment]],6,FALSE),"")</f>
        <v>0</v>
      </c>
      <c r="AK15" s="20">
        <f>IFERROR(VLOOKUP(Data[[#This Row],[DEVELOPMENT]],Ops_Priorities_and_Data_Clean[[development]:[ifnoext_comment]],7,FALSE),"")</f>
        <v>1</v>
      </c>
      <c r="AL15" s="20">
        <f>IFERROR(VLOOKUP(Data[[#This Row],[DEVELOPMENT]],Ops_Priorities_and_Data_Clean[[development]:[ifnoext_comment]],8,FALSE),"")</f>
        <v>1</v>
      </c>
      <c r="AM15" s="20">
        <f>IFERROR(VLOOKUP(Data[[#This Row],[DEVELOPMENT]],Ops_Priorities_and_Data_Clean[[development]:[ifnoext_comment]],9,FALSE),"")</f>
        <v>1</v>
      </c>
      <c r="AN15" s="20">
        <f>IFERROR(VLOOKUP(Data[[#This Row],[DEVELOPMENT]],Ops_Priorities_and_Data_Clean[[development]:[ifnoext_comment]],10,FALSE),"")</f>
        <v>0</v>
      </c>
      <c r="AO15" s="20">
        <f>IFERROR(VLOOKUP(Data[[#This Row],[DEVELOPMENT]],Ops_Priorities_and_Data_Clean[[development]:[ifnoext_comment]],11,FALSE),"")</f>
        <v>0</v>
      </c>
      <c r="AP15" s="20">
        <f>IFERROR(VLOOKUP(Data[[#This Row],[DEVELOPMENT]],Ops_Priorities_and_Data_Clean[[development]:[ifnoext_comment]],12,FALSE),"")</f>
        <v>0</v>
      </c>
      <c r="AQ15" s="20">
        <f>VLOOKUP(Data[[#This Row],[DEVELOPMENT]],Ops_Priorities_and_Data_Clean[[development]:[ifnoext_comment]],14,FALSE)</f>
        <v>1</v>
      </c>
      <c r="AR15" s="20">
        <f>VLOOKUP(Data[[#This Row],[DEVELOPMENT]],Ops_Priorities_and_Data_Clean[[development]:[ifnoext_comment]],15,FALSE)</f>
        <v>0</v>
      </c>
      <c r="AS15" s="20" t="str">
        <f>VLOOKUP(Data[[#This Row],[DEVELOPMENT]],Ops_Priorities_and_Data_Clean[[development]:[ifnoext_comment]],16,FALSE)</f>
        <v>NULL</v>
      </c>
      <c r="AT15" s="20" t="str">
        <f>VLOOKUP(Data[[#This Row],[DEVELOPMENT]],Ops_Priorities_and_Data_Clean[[development]:[ifnoext_comment]],17,FALSE)</f>
        <v>NULL</v>
      </c>
      <c r="AU15" s="20" t="str">
        <f>VLOOKUP(Data[[#This Row],[DEVELOPMENT]],Ops_Priorities_and_Data_Clean[[development]:[ifnoext_comment]],18,FALSE)</f>
        <v>TBD</v>
      </c>
      <c r="AV15" s="20" t="str">
        <f>VLOOKUP(Data[[#This Row],[DEVELOPMENT]],Ops_Priorities_and_Data_Clean[[development]:[ifnoext_comment]],19,FALSE)</f>
        <v>left on curb for pickup to Gompers twice a day.  One truck for entire consolidation, all uses</v>
      </c>
      <c r="AW15" s="20" t="str">
        <f>VLOOKUP(Data[[#This Row],[DEVELOPMENT]],Ops_Priorities_and_Data_Clean[[development]:[ifnoext_comment]],20,FALSE)</f>
        <v>NULL</v>
      </c>
      <c r="AX15" s="104" t="s">
        <v>2239</v>
      </c>
      <c r="AY15" s="104" t="s">
        <v>2160</v>
      </c>
      <c r="AZ15" s="20" t="str">
        <f>VLOOKUP(Data[[#This Row],[DEVELOPMENT]],Development_Data_Book[[DEVELOPMENT]:[PRIVATE MANAGEMENT]],8,FALSE)</f>
        <v>FEDERAL</v>
      </c>
      <c r="BA15" s="104" t="s">
        <v>2586</v>
      </c>
      <c r="BB15" s="20">
        <f>VLOOKUP(Data[[#This Row],[DEVELOPMENT]],Development_Data_Book[[DEVELOPMENT]:[PRIVATE MANAGEMENT]],22,FALSE)</f>
        <v>1</v>
      </c>
      <c r="BC15" s="20">
        <f>Data[[#This Row],[Non-Dwelling Buildings]]+Data[[#This Row],[Dwelling Buildings]]</f>
        <v>2</v>
      </c>
      <c r="BD15" s="20">
        <f>VLOOKUP(Data[[#This Row],[DEVELOPMENT]],Development_Data_Book[[DEVELOPMENT]:[PRIVATE MANAGEMENT]],26,FALSE)</f>
        <v>0.91</v>
      </c>
      <c r="BE15" s="106">
        <v>129653</v>
      </c>
      <c r="BF15" s="20">
        <f>VLOOKUP(Data[[#This Row],[DEVELOPMENT]],Development_Data_Book[[DEVELOPMENT]:[PRIVATE MANAGEMENT]],18,FALSE)</f>
        <v>237</v>
      </c>
      <c r="BG1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5" s="104" t="s">
        <v>2607</v>
      </c>
      <c r="BI15" t="s">
        <v>184</v>
      </c>
      <c r="BJ15" s="20">
        <f>VLOOKUP(Data[[#This Row],[DEVELOPMENT]],Development_Data_Book[[DEVELOPMENT]:[PRIVATE MANAGEMENT]],41,FALSE)</f>
        <v>3</v>
      </c>
      <c r="BK15" s="20">
        <f>VLOOKUP(Data[[#This Row],[DEVELOPMENT]],Development_Data_Book[[DEVELOPMENT]:[PRIVATE MANAGEMENT]],42,FALSE)</f>
        <v>7</v>
      </c>
      <c r="BL15" s="20">
        <f>VLOOKUP(Data[[#This Row],[DEVELOPMENT]],Development_Data_Book[[DEVELOPMENT]:[PRIVATE MANAGEMENT]],43,FALSE)</f>
        <v>26</v>
      </c>
      <c r="BM15" s="20">
        <f>VLOOKUP(Data[[#This Row],[DEVELOPMENT]],Development_Data_Book[[DEVELOPMENT]:[PRIVATE MANAGEMENT]],44,FALSE)</f>
        <v>65</v>
      </c>
      <c r="BN15" s="20">
        <f>VLOOKUP(Data[[#This Row],[DEVELOPMENT]],Development_Data_Book[[DEVELOPMENT]:[PRIVATE MANAGEMENT]],45,FALSE)</f>
        <v>1</v>
      </c>
      <c r="BO15" s="20">
        <f>VLOOKUP(Data[[#This Row],[DEVELOPMENT]],Development_Data_Book[[DEVELOPMENT]:[PRIVATE MANAGEMENT]],24,FALSE)</f>
        <v>14</v>
      </c>
    </row>
    <row r="16" spans="1:67">
      <c r="A16" t="s">
        <v>294</v>
      </c>
      <c r="B16" s="20" t="str">
        <f>VLOOKUP(Data[[#This Row],[DEVELOPMENT]],Development_Data_Book[[DEVELOPMENT]:[BOROUGH]],MATCH("borough",Development_Data_Book[[#Headers],[DEVELOPMENT]:[BOROUGH]],0),FALSE)</f>
        <v>BROOKLYN</v>
      </c>
      <c r="C16" s="20" t="e">
        <f>VLOOKUP(Data[[#This Row],[DEVELOPMENT]],'[1]Cheat-Sheet'!$D$2:$Q$341,2,FALSE)</f>
        <v>#N/A</v>
      </c>
      <c r="D16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16" s="20">
        <f>VLOOKUP(Data[[#This Row],[DEVELOPMENT]],Development_Data_Book[[DEVELOPMENT]:[BOROUGH]],21,FALSE)</f>
        <v>1</v>
      </c>
      <c r="F16" s="20">
        <f>VLOOKUP(Data[[#This Row],[DEVELOPMENT]],Development_Data_Book[[DEVELOPMENT]:[BOROUGH]],23,FALSE)</f>
        <v>2</v>
      </c>
      <c r="G16" s="20">
        <f>VLOOKUP(Data[[#This Row],[DEVELOPMENT]],Development_Data_Book[[DEVELOPMENT]:[BOROUGH]],12,FALSE)</f>
        <v>200</v>
      </c>
      <c r="J16">
        <f>IFERROR(VLOOKUP(Data[[#This Row],[DEVELOPMENT]],IntCompactors_MRST[],4,FALSE),0)</f>
        <v>2</v>
      </c>
      <c r="K16" s="20">
        <f>IFERROR(VLOOKUP(Data[[#This Row],[DEVELOPMENT]],ExtCompactors_MRST[],4,FALSE),0)</f>
        <v>0</v>
      </c>
      <c r="L16" s="27">
        <f>IF(Data[[#This Row],['# Interior Compactors MRST]]=0,"",VLOOKUP(Data[[#This Row],[DEVELOPMENT]],IntCompactors_MRST[],5,FALSE))</f>
        <v>34425</v>
      </c>
      <c r="M16" s="28" t="str">
        <f>IF(Data[[#This Row],['# Exterior Compactors MRST]]=0,"",VLOOKUP(Data[[#This Row],[DEVELOPMENT]],ExtCompactors_MRST[],5,FALSE))</f>
        <v/>
      </c>
      <c r="N16" s="20">
        <f>Data[[#This Row],['# Interior Compactors MRST]]</f>
        <v>2</v>
      </c>
      <c r="O16" s="20">
        <f>IF(Data[[#This Row],['# Bulk Crushers]]=0,1,0)</f>
        <v>1</v>
      </c>
      <c r="P16" s="20">
        <f>1</f>
        <v>1</v>
      </c>
      <c r="Q16" s="20">
        <f>1</f>
        <v>1</v>
      </c>
      <c r="R16" s="20">
        <f>1</f>
        <v>1</v>
      </c>
      <c r="S16" s="20">
        <f>1</f>
        <v>1</v>
      </c>
      <c r="T16" s="20">
        <f>IF(Data[[#This Row],[Sewershed]]="Newtown Creek",Data[[#This Row],[DUs]],0)</f>
        <v>0</v>
      </c>
      <c r="U1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6" s="82">
        <f>VLOOKUP(Data[[#This Row],[DEVELOPMENT]],Development_Data_Book[[DEVELOPMENT]:[BOROUGH]],3,FALSE)</f>
        <v>196</v>
      </c>
      <c r="Y16" s="20"/>
      <c r="Z16" s="20">
        <f>IFERROR(VLOOKUP(Data[[#This Row],[TDS]],ExtCompactors_PNA[[Development]:[0]],2,FALSE),0)</f>
        <v>0</v>
      </c>
      <c r="AA16" s="20">
        <f>IFERROR(VLOOKUP(Data[[#This Row],[TDS]],IntCompactors_PNA[[TDS]:[0]],2,FALSE),0)</f>
        <v>2</v>
      </c>
      <c r="AB16" s="20"/>
      <c r="AC16" s="20"/>
      <c r="AD16" s="20">
        <f>IFERROR(VLOOKUP(Data[[#This Row],[TDS]],ExtCompactors_PNA[[Development]:[0]],3,FALSE)+VLOOKUP(Data[[#This Row],[TDS]],ExtCompactors_PNA[[Development]:[0]],6,FALSE),0)</f>
        <v>0</v>
      </c>
      <c r="AE16" s="20">
        <f>IFERROR(VLOOKUP(Data[[#This Row],[TDS]],IntCompactors_PNA[[TDS]:[0]],3,FALSE)+VLOOKUP(Data[[#This Row],[TDS]],IntCompactors_PNA[[TDS]:[0]],6,FALSE),0)</f>
        <v>2</v>
      </c>
      <c r="AF16" s="20" t="e">
        <f>VLOOKUP(Data[[#This Row],[DEVELOPMENT]],[3]Developments!$A$2:$A$312,1,FALSE)</f>
        <v>#N/A</v>
      </c>
      <c r="AG16" s="20">
        <f>IFERROR(VLOOKUP(Data[[#This Row],[DEVELOPMENT]],Ops_Priorities_and_Data_Clean[[development]:[ifnoext_comment]],3,FALSE),"")</f>
        <v>0</v>
      </c>
      <c r="AH16" s="20">
        <f>IFERROR(VLOOKUP(Data[[#This Row],[DEVELOPMENT]],Ops_Priorities_and_Data_Clean[[development]:[ifnoext_comment]],4,FALSE),"")</f>
        <v>0</v>
      </c>
      <c r="AI16" s="20">
        <f>IFERROR(VLOOKUP(Data[[#This Row],[DEVELOPMENT]],Ops_Priorities_and_Data_Clean[[development]:[ifnoext_comment]],5,FALSE),"")</f>
        <v>0</v>
      </c>
      <c r="AJ16" s="20">
        <f>IFERROR(VLOOKUP(Data[[#This Row],[DEVELOPMENT]],Ops_Priorities_and_Data_Clean[[development]:[ifnoext_comment]],6,FALSE),"")</f>
        <v>1</v>
      </c>
      <c r="AK16" s="20">
        <f>IFERROR(VLOOKUP(Data[[#This Row],[DEVELOPMENT]],Ops_Priorities_and_Data_Clean[[development]:[ifnoext_comment]],7,FALSE),"")</f>
        <v>0</v>
      </c>
      <c r="AL16" s="20">
        <f>IFERROR(VLOOKUP(Data[[#This Row],[DEVELOPMENT]],Ops_Priorities_and_Data_Clean[[development]:[ifnoext_comment]],8,FALSE),"")</f>
        <v>1</v>
      </c>
      <c r="AM16" s="20">
        <f>IFERROR(VLOOKUP(Data[[#This Row],[DEVELOPMENT]],Ops_Priorities_and_Data_Clean[[development]:[ifnoext_comment]],9,FALSE),"")</f>
        <v>1</v>
      </c>
      <c r="AN16" s="20">
        <f>IFERROR(VLOOKUP(Data[[#This Row],[DEVELOPMENT]],Ops_Priorities_and_Data_Clean[[development]:[ifnoext_comment]],10,FALSE),"")</f>
        <v>0</v>
      </c>
      <c r="AO16" s="20">
        <f>IFERROR(VLOOKUP(Data[[#This Row],[DEVELOPMENT]],Ops_Priorities_and_Data_Clean[[development]:[ifnoext_comment]],11,FALSE),"")</f>
        <v>0</v>
      </c>
      <c r="AP16" s="20">
        <f>IFERROR(VLOOKUP(Data[[#This Row],[DEVELOPMENT]],Ops_Priorities_and_Data_Clean[[development]:[ifnoext_comment]],12,FALSE),"")</f>
        <v>0</v>
      </c>
      <c r="AQ16" s="20">
        <f>VLOOKUP(Data[[#This Row],[DEVELOPMENT]],Ops_Priorities_and_Data_Clean[[development]:[ifnoext_comment]],14,FALSE)</f>
        <v>0</v>
      </c>
      <c r="AR16" s="20">
        <f>VLOOKUP(Data[[#This Row],[DEVELOPMENT]],Ops_Priorities_and_Data_Clean[[development]:[ifnoext_comment]],15,FALSE)</f>
        <v>1</v>
      </c>
      <c r="AS16" s="20" t="str">
        <f>VLOOKUP(Data[[#This Row],[DEVELOPMENT]],Ops_Priorities_and_Data_Clean[[development]:[ifnoext_comment]],16,FALSE)</f>
        <v>Wyckoff Gardens</v>
      </c>
      <c r="AT16" s="20" t="str">
        <f>VLOOKUP(Data[[#This Row],[DEVELOPMENT]],Ops_Priorities_and_Data_Clean[[development]:[ifnoext_comment]],17,FALSE)</f>
        <v>NULL</v>
      </c>
      <c r="AU16" s="20" t="str">
        <f>VLOOKUP(Data[[#This Row],[DEVELOPMENT]],Ops_Priorities_and_Data_Clean[[development]:[ifnoext_comment]],18,FALSE)</f>
        <v>no</v>
      </c>
      <c r="AV16" s="20" t="str">
        <f>VLOOKUP(Data[[#This Row],[DEVELOPMENT]],Ops_Priorities_and_Data_Clean[[development]:[ifnoext_comment]],19,FALSE)</f>
        <v>Wyckoff's exterior compactor is used for both Wyckoff and 572 Warren Street; No room for an exterior compactor; curbside is needed.</v>
      </c>
      <c r="AW16" s="20" t="str">
        <f>VLOOKUP(Data[[#This Row],[DEVELOPMENT]],Ops_Priorities_and_Data_Clean[[development]:[ifnoext_comment]],20,FALSE)</f>
        <v>NULL</v>
      </c>
      <c r="AX16" s="104" t="s">
        <v>2238</v>
      </c>
      <c r="AY16" s="104" t="s">
        <v>326</v>
      </c>
      <c r="AZ16" s="20" t="str">
        <f>VLOOKUP(Data[[#This Row],[DEVELOPMENT]],Development_Data_Book[[DEVELOPMENT]:[PRIVATE MANAGEMENT]],8,FALSE)</f>
        <v>FEDERAL</v>
      </c>
      <c r="BA16" s="104" t="s">
        <v>2586</v>
      </c>
      <c r="BB16" s="20">
        <f>VLOOKUP(Data[[#This Row],[DEVELOPMENT]],Development_Data_Book[[DEVELOPMENT]:[PRIVATE MANAGEMENT]],22,FALSE)</f>
        <v>1</v>
      </c>
      <c r="BC16" s="20">
        <f>Data[[#This Row],[Non-Dwelling Buildings]]+Data[[#This Row],[Dwelling Buildings]]</f>
        <v>2</v>
      </c>
      <c r="BD16" s="20">
        <f>VLOOKUP(Data[[#This Row],[DEVELOPMENT]],Development_Data_Book[[DEVELOPMENT]:[PRIVATE MANAGEMENT]],26,FALSE)</f>
        <v>1.88</v>
      </c>
      <c r="BE16" s="106">
        <v>196130</v>
      </c>
      <c r="BF16" s="20">
        <f>VLOOKUP(Data[[#This Row],[DEVELOPMENT]],Development_Data_Book[[DEVELOPMENT]:[PRIVATE MANAGEMENT]],18,FALSE)</f>
        <v>375</v>
      </c>
      <c r="BG1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6" s="104" t="s">
        <v>2608</v>
      </c>
      <c r="BI16" t="s">
        <v>184</v>
      </c>
      <c r="BJ16" s="20">
        <f>VLOOKUP(Data[[#This Row],[DEVELOPMENT]],Development_Data_Book[[DEVELOPMENT]:[PRIVATE MANAGEMENT]],41,FALSE)</f>
        <v>6</v>
      </c>
      <c r="BK16" s="20">
        <f>VLOOKUP(Data[[#This Row],[DEVELOPMENT]],Development_Data_Book[[DEVELOPMENT]:[PRIVATE MANAGEMENT]],42,FALSE)</f>
        <v>7</v>
      </c>
      <c r="BL16" s="20">
        <f>VLOOKUP(Data[[#This Row],[DEVELOPMENT]],Development_Data_Book[[DEVELOPMENT]:[PRIVATE MANAGEMENT]],43,FALSE)</f>
        <v>25</v>
      </c>
      <c r="BM16" s="20">
        <f>VLOOKUP(Data[[#This Row],[DEVELOPMENT]],Development_Data_Book[[DEVELOPMENT]:[PRIVATE MANAGEMENT]],44,FALSE)</f>
        <v>52</v>
      </c>
      <c r="BN16" s="20">
        <f>VLOOKUP(Data[[#This Row],[DEVELOPMENT]],Development_Data_Book[[DEVELOPMENT]:[PRIVATE MANAGEMENT]],45,FALSE)</f>
        <v>33</v>
      </c>
      <c r="BO16" s="20">
        <f>VLOOKUP(Data[[#This Row],[DEVELOPMENT]],Development_Data_Book[[DEVELOPMENT]:[PRIVATE MANAGEMENT]],24,FALSE)</f>
        <v>6</v>
      </c>
    </row>
    <row r="17" spans="1:67">
      <c r="A17" t="s">
        <v>295</v>
      </c>
      <c r="B17" s="20" t="str">
        <f>VLOOKUP(Data[[#This Row],[DEVELOPMENT]],Development_Data_Book[[DEVELOPMENT]:[BOROUGH]],MATCH("borough",Development_Data_Book[[#Headers],[DEVELOPMENT]:[BOROUGH]],0),FALSE)</f>
        <v>MANHATTAN</v>
      </c>
      <c r="C17" s="20" t="e">
        <f>VLOOKUP(Data[[#This Row],[DEVELOPMENT]],'[1]Cheat-Sheet'!$D$2:$Q$341,2,FALSE)</f>
        <v>#N/A</v>
      </c>
      <c r="D1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7" s="20">
        <f>VLOOKUP(Data[[#This Row],[DEVELOPMENT]],Development_Data_Book[[DEVELOPMENT]:[BOROUGH]],21,FALSE)</f>
        <v>1</v>
      </c>
      <c r="F17" s="20">
        <f>VLOOKUP(Data[[#This Row],[DEVELOPMENT]],Development_Data_Book[[DEVELOPMENT]:[BOROUGH]],23,FALSE)</f>
        <v>1</v>
      </c>
      <c r="G17" s="20">
        <f>VLOOKUP(Data[[#This Row],[DEVELOPMENT]],Development_Data_Book[[DEVELOPMENT]:[BOROUGH]],12,FALSE)</f>
        <v>158</v>
      </c>
      <c r="J17">
        <f>IFERROR(VLOOKUP(Data[[#This Row],[DEVELOPMENT]],IntCompactors_MRST[],4,FALSE),0)</f>
        <v>1</v>
      </c>
      <c r="K17" s="20">
        <f>IFERROR(VLOOKUP(Data[[#This Row],[DEVELOPMENT]],ExtCompactors_MRST[],4,FALSE),0)</f>
        <v>0</v>
      </c>
      <c r="L17" s="27">
        <f>IF(Data[[#This Row],['# Interior Compactors MRST]]=0,"",VLOOKUP(Data[[#This Row],[DEVELOPMENT]],IntCompactors_MRST[],5,FALSE))</f>
        <v>35004</v>
      </c>
      <c r="M17" s="28" t="str">
        <f>IF(Data[[#This Row],['# Exterior Compactors MRST]]=0,"",VLOOKUP(Data[[#This Row],[DEVELOPMENT]],ExtCompactors_MRST[],5,FALSE))</f>
        <v/>
      </c>
      <c r="N17" s="20">
        <f>Data[[#This Row],['# Interior Compactors MRST]]</f>
        <v>1</v>
      </c>
      <c r="O17" s="20">
        <f>IF(Data[[#This Row],['# Bulk Crushers]]=0,1,0)</f>
        <v>1</v>
      </c>
      <c r="P17" s="20">
        <f>1</f>
        <v>1</v>
      </c>
      <c r="Q17" s="20">
        <f>1</f>
        <v>1</v>
      </c>
      <c r="R17" s="20">
        <f>1</f>
        <v>1</v>
      </c>
      <c r="S17" s="20">
        <f>1</f>
        <v>1</v>
      </c>
      <c r="T17" s="20">
        <f>IF(Data[[#This Row],[Sewershed]]="Newtown Creek",Data[[#This Row],[DUs]],0)</f>
        <v>0</v>
      </c>
      <c r="U1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7" s="82">
        <f>VLOOKUP(Data[[#This Row],[DEVELOPMENT]],Development_Data_Book[[DEVELOPMENT]:[BOROUGH]],3,FALSE)</f>
        <v>150</v>
      </c>
      <c r="Y17" s="20"/>
      <c r="Z17" s="20">
        <f>IFERROR(VLOOKUP(Data[[#This Row],[TDS]],ExtCompactors_PNA[[Development]:[0]],2,FALSE),0)</f>
        <v>0</v>
      </c>
      <c r="AA17" s="20">
        <f>IFERROR(VLOOKUP(Data[[#This Row],[TDS]],IntCompactors_PNA[[TDS]:[0]],2,FALSE),0)</f>
        <v>2</v>
      </c>
      <c r="AB17" s="20"/>
      <c r="AC17" s="20"/>
      <c r="AD17" s="20">
        <f>IFERROR(VLOOKUP(Data[[#This Row],[TDS]],ExtCompactors_PNA[[Development]:[0]],3,FALSE)+VLOOKUP(Data[[#This Row],[TDS]],ExtCompactors_PNA[[Development]:[0]],6,FALSE),0)</f>
        <v>0</v>
      </c>
      <c r="AE17" s="20">
        <f>IFERROR(VLOOKUP(Data[[#This Row],[TDS]],IntCompactors_PNA[[TDS]:[0]],3,FALSE)+VLOOKUP(Data[[#This Row],[TDS]],IntCompactors_PNA[[TDS]:[0]],6,FALSE),0)</f>
        <v>2</v>
      </c>
      <c r="AF17" s="20" t="e">
        <f>VLOOKUP(Data[[#This Row],[DEVELOPMENT]],[3]Developments!$A$2:$A$312,1,FALSE)</f>
        <v>#N/A</v>
      </c>
      <c r="AG17" s="20">
        <f>IFERROR(VLOOKUP(Data[[#This Row],[DEVELOPMENT]],Ops_Priorities_and_Data_Clean[[development]:[ifnoext_comment]],3,FALSE),"")</f>
        <v>0</v>
      </c>
      <c r="AH17" s="20">
        <f>IFERROR(VLOOKUP(Data[[#This Row],[DEVELOPMENT]],Ops_Priorities_and_Data_Clean[[development]:[ifnoext_comment]],4,FALSE),"")</f>
        <v>0</v>
      </c>
      <c r="AI17" s="20">
        <f>IFERROR(VLOOKUP(Data[[#This Row],[DEVELOPMENT]],Ops_Priorities_and_Data_Clean[[development]:[ifnoext_comment]],5,FALSE),"")</f>
        <v>0</v>
      </c>
      <c r="AJ17" s="20">
        <f>IFERROR(VLOOKUP(Data[[#This Row],[DEVELOPMENT]],Ops_Priorities_and_Data_Clean[[development]:[ifnoext_comment]],6,FALSE),"")</f>
        <v>0</v>
      </c>
      <c r="AK17" s="20">
        <f>IFERROR(VLOOKUP(Data[[#This Row],[DEVELOPMENT]],Ops_Priorities_and_Data_Clean[[development]:[ifnoext_comment]],7,FALSE),"")</f>
        <v>1</v>
      </c>
      <c r="AL17" s="20">
        <f>IFERROR(VLOOKUP(Data[[#This Row],[DEVELOPMENT]],Ops_Priorities_and_Data_Clean[[development]:[ifnoext_comment]],8,FALSE),"")</f>
        <v>1</v>
      </c>
      <c r="AM17" s="20">
        <f>IFERROR(VLOOKUP(Data[[#This Row],[DEVELOPMENT]],Ops_Priorities_and_Data_Clean[[development]:[ifnoext_comment]],9,FALSE),"")</f>
        <v>1</v>
      </c>
      <c r="AN17" s="20">
        <f>IFERROR(VLOOKUP(Data[[#This Row],[DEVELOPMENT]],Ops_Priorities_and_Data_Clean[[development]:[ifnoext_comment]],10,FALSE),"")</f>
        <v>0</v>
      </c>
      <c r="AO17" s="20">
        <f>IFERROR(VLOOKUP(Data[[#This Row],[DEVELOPMENT]],Ops_Priorities_and_Data_Clean[[development]:[ifnoext_comment]],11,FALSE),"")</f>
        <v>0</v>
      </c>
      <c r="AP17" s="20">
        <f>IFERROR(VLOOKUP(Data[[#This Row],[DEVELOPMENT]],Ops_Priorities_and_Data_Clean[[development]:[ifnoext_comment]],12,FALSE),"")</f>
        <v>0</v>
      </c>
      <c r="AQ17" s="20">
        <f>VLOOKUP(Data[[#This Row],[DEVELOPMENT]],Ops_Priorities_and_Data_Clean[[development]:[ifnoext_comment]],14,FALSE)</f>
        <v>1</v>
      </c>
      <c r="AR17" s="20">
        <f>VLOOKUP(Data[[#This Row],[DEVELOPMENT]],Ops_Priorities_and_Data_Clean[[development]:[ifnoext_comment]],15,FALSE)</f>
        <v>0</v>
      </c>
      <c r="AS17" s="20" t="str">
        <f>VLOOKUP(Data[[#This Row],[DEVELOPMENT]],Ops_Priorities_and_Data_Clean[[development]:[ifnoext_comment]],16,FALSE)</f>
        <v>NULL</v>
      </c>
      <c r="AT17" s="20" t="str">
        <f>VLOOKUP(Data[[#This Row],[DEVELOPMENT]],Ops_Priorities_and_Data_Clean[[development]:[ifnoext_comment]],17,FALSE)</f>
        <v>NULL</v>
      </c>
      <c r="AU17" s="20" t="str">
        <f>VLOOKUP(Data[[#This Row],[DEVELOPMENT]],Ops_Priorities_and_Data_Clean[[development]:[ifnoext_comment]],18,FALSE)</f>
        <v>NULL</v>
      </c>
      <c r="AV17" s="20" t="str">
        <f>VLOOKUP(Data[[#This Row],[DEVELOPMENT]],Ops_Priorities_and_Data_Clean[[development]:[ifnoext_comment]],19,FALSE)</f>
        <v>NULL</v>
      </c>
      <c r="AW17" s="20" t="str">
        <f>VLOOKUP(Data[[#This Row],[DEVELOPMENT]],Ops_Priorities_and_Data_Clean[[development]:[ifnoext_comment]],20,FALSE)</f>
        <v>NULL</v>
      </c>
      <c r="AX17" s="104" t="s">
        <v>2239</v>
      </c>
      <c r="AY17" s="104" t="s">
        <v>2609</v>
      </c>
      <c r="AZ17" s="20" t="str">
        <f>VLOOKUP(Data[[#This Row],[DEVELOPMENT]],Development_Data_Book[[DEVELOPMENT]:[PRIVATE MANAGEMENT]],8,FALSE)</f>
        <v>FEDERAL</v>
      </c>
      <c r="BA17" s="104" t="s">
        <v>2586</v>
      </c>
      <c r="BB17" s="20">
        <f>VLOOKUP(Data[[#This Row],[DEVELOPMENT]],Development_Data_Book[[DEVELOPMENT]:[PRIVATE MANAGEMENT]],22,FALSE)</f>
        <v>0</v>
      </c>
      <c r="BC17" s="20">
        <f>Data[[#This Row],[Non-Dwelling Buildings]]+Data[[#This Row],[Dwelling Buildings]]</f>
        <v>1</v>
      </c>
      <c r="BD17" s="20">
        <f>VLOOKUP(Data[[#This Row],[DEVELOPMENT]],Development_Data_Book[[DEVELOPMENT]:[PRIVATE MANAGEMENT]],26,FALSE)</f>
        <v>0.66</v>
      </c>
      <c r="BE17" s="106">
        <v>159080</v>
      </c>
      <c r="BF17" s="20">
        <f>VLOOKUP(Data[[#This Row],[DEVELOPMENT]],Development_Data_Book[[DEVELOPMENT]:[PRIVATE MANAGEMENT]],18,FALSE)</f>
        <v>351</v>
      </c>
      <c r="BG1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7" s="104" t="s">
        <v>2598</v>
      </c>
      <c r="BI17" t="s">
        <v>184</v>
      </c>
      <c r="BJ17" s="20">
        <f>VLOOKUP(Data[[#This Row],[DEVELOPMENT]],Development_Data_Book[[DEVELOPMENT]:[PRIVATE MANAGEMENT]],41,FALSE)</f>
        <v>7</v>
      </c>
      <c r="BK17" s="20">
        <f>VLOOKUP(Data[[#This Row],[DEVELOPMENT]],Development_Data_Book[[DEVELOPMENT]:[PRIVATE MANAGEMENT]],42,FALSE)</f>
        <v>10</v>
      </c>
      <c r="BL17" s="20">
        <f>VLOOKUP(Data[[#This Row],[DEVELOPMENT]],Development_Data_Book[[DEVELOPMENT]:[PRIVATE MANAGEMENT]],43,FALSE)</f>
        <v>30</v>
      </c>
      <c r="BM17" s="20">
        <f>VLOOKUP(Data[[#This Row],[DEVELOPMENT]],Development_Data_Book[[DEVELOPMENT]:[PRIVATE MANAGEMENT]],44,FALSE)</f>
        <v>69</v>
      </c>
      <c r="BN17" s="20">
        <f>VLOOKUP(Data[[#This Row],[DEVELOPMENT]],Development_Data_Book[[DEVELOPMENT]:[PRIVATE MANAGEMENT]],45,FALSE)</f>
        <v>7</v>
      </c>
      <c r="BO17" s="20">
        <f>VLOOKUP(Data[[#This Row],[DEVELOPMENT]],Development_Data_Book[[DEVELOPMENT]:[PRIVATE MANAGEMENT]],24,FALSE)</f>
        <v>20</v>
      </c>
    </row>
    <row r="18" spans="1:67">
      <c r="A18" t="s">
        <v>278</v>
      </c>
      <c r="B18" s="20" t="str">
        <f>VLOOKUP(Data[[#This Row],[DEVELOPMENT]],Development_Data_Book[[DEVELOPMENT]:[BOROUGH]],MATCH("borough",Development_Data_Book[[#Headers],[DEVELOPMENT]:[BOROUGH]],0),FALSE)</f>
        <v>BRONX</v>
      </c>
      <c r="C18" s="20" t="e">
        <f>VLOOKUP(Data[[#This Row],[DEVELOPMENT]],'[1]Cheat-Sheet'!$D$2:$Q$341,2,FALSE)</f>
        <v>#N/A</v>
      </c>
      <c r="D1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8" s="20">
        <f>VLOOKUP(Data[[#This Row],[DEVELOPMENT]],Development_Data_Book[[DEVELOPMENT]:[BOROUGH]],21,FALSE)</f>
        <v>7</v>
      </c>
      <c r="F18" s="20">
        <f>VLOOKUP(Data[[#This Row],[DEVELOPMENT]],Development_Data_Book[[DEVELOPMENT]:[BOROUGH]],23,FALSE)</f>
        <v>7</v>
      </c>
      <c r="G18" s="20">
        <f>VLOOKUP(Data[[#This Row],[DEVELOPMENT]],Development_Data_Book[[DEVELOPMENT]:[BOROUGH]],12,FALSE)</f>
        <v>924</v>
      </c>
      <c r="J18">
        <f>IFERROR(VLOOKUP(Data[[#This Row],[DEVELOPMENT]],IntCompactors_MRST[],4,FALSE),0)</f>
        <v>7</v>
      </c>
      <c r="K18" s="20">
        <f>IFERROR(VLOOKUP(Data[[#This Row],[DEVELOPMENT]],ExtCompactors_MRST[],4,FALSE),0)</f>
        <v>2</v>
      </c>
      <c r="L18" s="27">
        <f>IF(Data[[#This Row],['# Interior Compactors MRST]]=0,"",VLOOKUP(Data[[#This Row],[DEVELOPMENT]],IntCompactors_MRST[],5,FALSE))</f>
        <v>37438</v>
      </c>
      <c r="M18" s="28">
        <f>IF(Data[[#This Row],['# Exterior Compactors MRST]]=0,"",VLOOKUP(Data[[#This Row],[DEVELOPMENT]],ExtCompactors_MRST[],5,FALSE))</f>
        <v>36628</v>
      </c>
      <c r="N18" s="20">
        <f>Data[[#This Row],['# Interior Compactors MRST]]</f>
        <v>7</v>
      </c>
      <c r="O18" s="20">
        <f>IF(Data[[#This Row],['# Bulk Crushers]]=0,1,0)</f>
        <v>1</v>
      </c>
      <c r="P18" s="20">
        <f>1</f>
        <v>1</v>
      </c>
      <c r="Q18" s="20">
        <f>1</f>
        <v>1</v>
      </c>
      <c r="R18" s="20">
        <f>1</f>
        <v>1</v>
      </c>
      <c r="S18" s="20">
        <f>1</f>
        <v>1</v>
      </c>
      <c r="T18" s="20">
        <f>IF(Data[[#This Row],[Sewershed]]="Newtown Creek",Data[[#This Row],[DUs]],0)</f>
        <v>0</v>
      </c>
      <c r="U1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8" s="82">
        <f>VLOOKUP(Data[[#This Row],[DEVELOPMENT]],Development_Data_Book[[DEVELOPMENT]:[BOROUGH]],3,FALSE)</f>
        <v>118</v>
      </c>
      <c r="Y18" s="20"/>
      <c r="Z18" s="20">
        <f>IFERROR(VLOOKUP(Data[[#This Row],[TDS]],ExtCompactors_PNA[[Development]:[0]],2,FALSE),0)</f>
        <v>2</v>
      </c>
      <c r="AA18" s="20">
        <f>IFERROR(VLOOKUP(Data[[#This Row],[TDS]],IntCompactors_PNA[[TDS]:[0]],2,FALSE),0)</f>
        <v>7</v>
      </c>
      <c r="AB18" s="20"/>
      <c r="AC18" s="20"/>
      <c r="AD18" s="20">
        <f>IFERROR(VLOOKUP(Data[[#This Row],[TDS]],ExtCompactors_PNA[[Development]:[0]],3,FALSE)+VLOOKUP(Data[[#This Row],[TDS]],ExtCompactors_PNA[[Development]:[0]],6,FALSE),0)</f>
        <v>2</v>
      </c>
      <c r="AE18" s="20">
        <f>IFERROR(VLOOKUP(Data[[#This Row],[TDS]],IntCompactors_PNA[[TDS]:[0]],3,FALSE)+VLOOKUP(Data[[#This Row],[TDS]],IntCompactors_PNA[[TDS]:[0]],6,FALSE),0)</f>
        <v>7</v>
      </c>
      <c r="AF18" s="20" t="e">
        <f>VLOOKUP(Data[[#This Row],[DEVELOPMENT]],[3]Developments!$A$2:$A$312,1,FALSE)</f>
        <v>#N/A</v>
      </c>
      <c r="AG18" s="20">
        <f>IFERROR(VLOOKUP(Data[[#This Row],[DEVELOPMENT]],Ops_Priorities_and_Data_Clean[[development]:[ifnoext_comment]],3,FALSE),"")</f>
        <v>2</v>
      </c>
      <c r="AH18" s="20">
        <f>IFERROR(VLOOKUP(Data[[#This Row],[DEVELOPMENT]],Ops_Priorities_and_Data_Clean[[development]:[ifnoext_comment]],4,FALSE),"")</f>
        <v>4</v>
      </c>
      <c r="AI18" s="20">
        <f>IFERROR(VLOOKUP(Data[[#This Row],[DEVELOPMENT]],Ops_Priorities_and_Data_Clean[[development]:[ifnoext_comment]],5,FALSE),"")</f>
        <v>1</v>
      </c>
      <c r="AJ18" s="20">
        <f>IFERROR(VLOOKUP(Data[[#This Row],[DEVELOPMENT]],Ops_Priorities_and_Data_Clean[[development]:[ifnoext_comment]],6,FALSE),"")</f>
        <v>0</v>
      </c>
      <c r="AK18" s="20">
        <f>IFERROR(VLOOKUP(Data[[#This Row],[DEVELOPMENT]],Ops_Priorities_and_Data_Clean[[development]:[ifnoext_comment]],7,FALSE),"")</f>
        <v>0</v>
      </c>
      <c r="AL18" s="20">
        <f>IFERROR(VLOOKUP(Data[[#This Row],[DEVELOPMENT]],Ops_Priorities_and_Data_Clean[[development]:[ifnoext_comment]],8,FALSE),"")</f>
        <v>1</v>
      </c>
      <c r="AM18" s="20">
        <f>IFERROR(VLOOKUP(Data[[#This Row],[DEVELOPMENT]],Ops_Priorities_and_Data_Clean[[development]:[ifnoext_comment]],9,FALSE),"")</f>
        <v>0</v>
      </c>
      <c r="AN18" s="20">
        <f>IFERROR(VLOOKUP(Data[[#This Row],[DEVELOPMENT]],Ops_Priorities_and_Data_Clean[[development]:[ifnoext_comment]],10,FALSE),"")</f>
        <v>2</v>
      </c>
      <c r="AO18" s="20">
        <f>IFERROR(VLOOKUP(Data[[#This Row],[DEVELOPMENT]],Ops_Priorities_and_Data_Clean[[development]:[ifnoext_comment]],11,FALSE),"")</f>
        <v>2</v>
      </c>
      <c r="AP18" s="20">
        <f>IFERROR(VLOOKUP(Data[[#This Row],[DEVELOPMENT]],Ops_Priorities_and_Data_Clean[[development]:[ifnoext_comment]],12,FALSE),"")</f>
        <v>2</v>
      </c>
      <c r="AQ18" s="20">
        <f>VLOOKUP(Data[[#This Row],[DEVELOPMENT]],Ops_Priorities_and_Data_Clean[[development]:[ifnoext_comment]],14,FALSE)</f>
        <v>0</v>
      </c>
      <c r="AR18" s="20">
        <f>VLOOKUP(Data[[#This Row],[DEVELOPMENT]],Ops_Priorities_and_Data_Clean[[development]:[ifnoext_comment]],15,FALSE)</f>
        <v>0</v>
      </c>
      <c r="AS18" s="20" t="str">
        <f>VLOOKUP(Data[[#This Row],[DEVELOPMENT]],Ops_Priorities_and_Data_Clean[[development]:[ifnoext_comment]],16,FALSE)</f>
        <v>NULL</v>
      </c>
      <c r="AT18" s="20" t="str">
        <f>VLOOKUP(Data[[#This Row],[DEVELOPMENT]],Ops_Priorities_and_Data_Clean[[development]:[ifnoext_comment]],17,FALSE)</f>
        <v>NULL</v>
      </c>
      <c r="AU18" s="20" t="str">
        <f>VLOOKUP(Data[[#This Row],[DEVELOPMENT]],Ops_Priorities_and_Data_Clean[[development]:[ifnoext_comment]],18,FALSE)</f>
        <v>NULL</v>
      </c>
      <c r="AV18" s="20" t="str">
        <f>VLOOKUP(Data[[#This Row],[DEVELOPMENT]],Ops_Priorities_and_Data_Clean[[development]:[ifnoext_comment]],19,FALSE)</f>
        <v>NULL</v>
      </c>
      <c r="AW18" s="20" t="str">
        <f>VLOOKUP(Data[[#This Row],[DEVELOPMENT]],Ops_Priorities_and_Data_Clean[[development]:[ifnoext_comment]],20,FALSE)</f>
        <v xml:space="preserve">It already has external compactors. </v>
      </c>
      <c r="AX18" s="104" t="s">
        <v>2237</v>
      </c>
      <c r="AY18" s="104" t="s">
        <v>39</v>
      </c>
      <c r="AZ18" s="20" t="str">
        <f>VLOOKUP(Data[[#This Row],[DEVELOPMENT]],Development_Data_Book[[DEVELOPMENT]:[PRIVATE MANAGEMENT]],8,FALSE)</f>
        <v>FEDERAL</v>
      </c>
      <c r="BA18" s="104" t="s">
        <v>2586</v>
      </c>
      <c r="BB18" s="20">
        <f>VLOOKUP(Data[[#This Row],[DEVELOPMENT]],Development_Data_Book[[DEVELOPMENT]:[PRIVATE MANAGEMENT]],22,FALSE)</f>
        <v>0</v>
      </c>
      <c r="BC18" s="20">
        <f>Data[[#This Row],[Non-Dwelling Buildings]]+Data[[#This Row],[Dwelling Buildings]]</f>
        <v>7</v>
      </c>
      <c r="BD18" s="20">
        <f>VLOOKUP(Data[[#This Row],[DEVELOPMENT]],Development_Data_Book[[DEVELOPMENT]:[PRIVATE MANAGEMENT]],26,FALSE)</f>
        <v>9.39</v>
      </c>
      <c r="BE18" s="106">
        <v>906500</v>
      </c>
      <c r="BF18" s="20">
        <f>VLOOKUP(Data[[#This Row],[DEVELOPMENT]],Development_Data_Book[[DEVELOPMENT]:[PRIVATE MANAGEMENT]],18,FALSE)</f>
        <v>2310</v>
      </c>
      <c r="BG1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8" s="104" t="s">
        <v>2610</v>
      </c>
      <c r="BI18" t="s">
        <v>184</v>
      </c>
      <c r="BJ18" s="20">
        <f>VLOOKUP(Data[[#This Row],[DEVELOPMENT]],Development_Data_Book[[DEVELOPMENT]:[PRIVATE MANAGEMENT]],41,FALSE)</f>
        <v>1</v>
      </c>
      <c r="BK18" s="20">
        <f>VLOOKUP(Data[[#This Row],[DEVELOPMENT]],Development_Data_Book[[DEVELOPMENT]:[PRIVATE MANAGEMENT]],42,FALSE)</f>
        <v>15</v>
      </c>
      <c r="BL18" s="20">
        <f>VLOOKUP(Data[[#This Row],[DEVELOPMENT]],Development_Data_Book[[DEVELOPMENT]:[PRIVATE MANAGEMENT]],43,FALSE)</f>
        <v>29</v>
      </c>
      <c r="BM18" s="20">
        <f>VLOOKUP(Data[[#This Row],[DEVELOPMENT]],Development_Data_Book[[DEVELOPMENT]:[PRIVATE MANAGEMENT]],44,FALSE)</f>
        <v>84</v>
      </c>
      <c r="BN18" s="20">
        <f>VLOOKUP(Data[[#This Row],[DEVELOPMENT]],Development_Data_Book[[DEVELOPMENT]:[PRIVATE MANAGEMENT]],45,FALSE)</f>
        <v>17</v>
      </c>
      <c r="BO18" s="20" t="str">
        <f>VLOOKUP(Data[[#This Row],[DEVELOPMENT]],Development_Data_Book[[DEVELOPMENT]:[PRIVATE MANAGEMENT]],24,FALSE)</f>
        <v>15-21</v>
      </c>
    </row>
    <row r="19" spans="1:67">
      <c r="A19" t="s">
        <v>296</v>
      </c>
      <c r="B19" s="20" t="str">
        <f>VLOOKUP(Data[[#This Row],[DEVELOPMENT]],Development_Data_Book[[DEVELOPMENT]:[BOROUGH]],MATCH("borough",Development_Data_Book[[#Headers],[DEVELOPMENT]:[BOROUGH]],0),FALSE)</f>
        <v>BROOKLYN</v>
      </c>
      <c r="C19" s="20" t="e">
        <f>VLOOKUP(Data[[#This Row],[DEVELOPMENT]],'[1]Cheat-Sheet'!$D$2:$Q$341,2,FALSE)</f>
        <v>#N/A</v>
      </c>
      <c r="D1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19" s="20">
        <f>VLOOKUP(Data[[#This Row],[DEVELOPMENT]],Development_Data_Book[[DEVELOPMENT]:[BOROUGH]],21,FALSE)</f>
        <v>6</v>
      </c>
      <c r="F19" s="20">
        <f>VLOOKUP(Data[[#This Row],[DEVELOPMENT]],Development_Data_Book[[DEVELOPMENT]:[BOROUGH]],23,FALSE)</f>
        <v>6</v>
      </c>
      <c r="G19" s="20">
        <f>VLOOKUP(Data[[#This Row],[DEVELOPMENT]],Development_Data_Book[[DEVELOPMENT]:[BOROUGH]],12,FALSE)</f>
        <v>823</v>
      </c>
      <c r="J19">
        <f>IFERROR(VLOOKUP(Data[[#This Row],[DEVELOPMENT]],IntCompactors_MRST[],4,FALSE),0)</f>
        <v>6</v>
      </c>
      <c r="K19" s="20">
        <f>IFERROR(VLOOKUP(Data[[#This Row],[DEVELOPMENT]],ExtCompactors_MRST[],4,FALSE),0)</f>
        <v>3</v>
      </c>
      <c r="L19" s="27">
        <f>IF(Data[[#This Row],['# Interior Compactors MRST]]=0,"",VLOOKUP(Data[[#This Row],[DEVELOPMENT]],IntCompactors_MRST[],5,FALSE))</f>
        <v>37773</v>
      </c>
      <c r="M19" s="28">
        <f>IF(Data[[#This Row],['# Exterior Compactors MRST]]=0,"",VLOOKUP(Data[[#This Row],[DEVELOPMENT]],ExtCompactors_MRST[],5,FALSE))</f>
        <v>38957</v>
      </c>
      <c r="N19" s="20">
        <f>Data[[#This Row],['# Interior Compactors MRST]]</f>
        <v>6</v>
      </c>
      <c r="O19" s="20">
        <f>IF(Data[[#This Row],['# Bulk Crushers]]=0,1,0)</f>
        <v>1</v>
      </c>
      <c r="P19" s="20">
        <f>1</f>
        <v>1</v>
      </c>
      <c r="Q19" s="20">
        <f>1</f>
        <v>1</v>
      </c>
      <c r="R19" s="20">
        <f>1</f>
        <v>1</v>
      </c>
      <c r="S19" s="20">
        <f>1</f>
        <v>1</v>
      </c>
      <c r="T19" s="20">
        <f>IF(Data[[#This Row],[Sewershed]]="Newtown Creek",Data[[#This Row],[DUs]],0)</f>
        <v>823</v>
      </c>
      <c r="U1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9" s="82">
        <f>VLOOKUP(Data[[#This Row],[DEVELOPMENT]],Development_Data_Book[[DEVELOPMENT]:[BOROUGH]],3,FALSE)</f>
        <v>31</v>
      </c>
      <c r="Y19" s="20" t="s">
        <v>2599</v>
      </c>
      <c r="Z19" s="20">
        <f>IFERROR(VLOOKUP(Data[[#This Row],[TDS]],ExtCompactors_PNA[[Development]:[0]],2,FALSE),0)</f>
        <v>0</v>
      </c>
      <c r="AA19" s="20">
        <f>IFERROR(VLOOKUP(Data[[#This Row],[TDS]],IntCompactors_PNA[[TDS]:[0]],2,FALSE),0)</f>
        <v>6</v>
      </c>
      <c r="AB19" s="20"/>
      <c r="AC19" s="20"/>
      <c r="AD19" s="20">
        <f>IFERROR(VLOOKUP(Data[[#This Row],[TDS]],ExtCompactors_PNA[[Development]:[0]],3,FALSE)+VLOOKUP(Data[[#This Row],[TDS]],ExtCompactors_PNA[[Development]:[0]],6,FALSE),0)</f>
        <v>0</v>
      </c>
      <c r="AE19" s="20">
        <f>IFERROR(VLOOKUP(Data[[#This Row],[TDS]],IntCompactors_PNA[[TDS]:[0]],3,FALSE)+VLOOKUP(Data[[#This Row],[TDS]],IntCompactors_PNA[[TDS]:[0]],6,FALSE),0)</f>
        <v>6</v>
      </c>
      <c r="AF19" s="20" t="e">
        <f>VLOOKUP(Data[[#This Row],[DEVELOPMENT]],[3]Developments!$A$2:$A$312,1,FALSE)</f>
        <v>#N/A</v>
      </c>
      <c r="AG19" s="20">
        <f>IFERROR(VLOOKUP(Data[[#This Row],[DEVELOPMENT]],Ops_Priorities_and_Data_Clean[[development]:[ifnoext_comment]],3,FALSE),"")</f>
        <v>3</v>
      </c>
      <c r="AH19" s="20">
        <f>IFERROR(VLOOKUP(Data[[#This Row],[DEVELOPMENT]],Ops_Priorities_and_Data_Clean[[development]:[ifnoext_comment]],4,FALSE),"")</f>
        <v>0</v>
      </c>
      <c r="AI19" s="20">
        <f>IFERROR(VLOOKUP(Data[[#This Row],[DEVELOPMENT]],Ops_Priorities_and_Data_Clean[[development]:[ifnoext_comment]],5,FALSE),"")</f>
        <v>1</v>
      </c>
      <c r="AJ19" s="20">
        <f>IFERROR(VLOOKUP(Data[[#This Row],[DEVELOPMENT]],Ops_Priorities_and_Data_Clean[[development]:[ifnoext_comment]],6,FALSE),"")</f>
        <v>0</v>
      </c>
      <c r="AK19" s="20">
        <f>IFERROR(VLOOKUP(Data[[#This Row],[DEVELOPMENT]],Ops_Priorities_and_Data_Clean[[development]:[ifnoext_comment]],7,FALSE),"")</f>
        <v>0</v>
      </c>
      <c r="AL19" s="20">
        <f>IFERROR(VLOOKUP(Data[[#This Row],[DEVELOPMENT]],Ops_Priorities_and_Data_Clean[[development]:[ifnoext_comment]],8,FALSE),"")</f>
        <v>1</v>
      </c>
      <c r="AM19" s="20">
        <f>IFERROR(VLOOKUP(Data[[#This Row],[DEVELOPMENT]],Ops_Priorities_and_Data_Clean[[development]:[ifnoext_comment]],9,FALSE),"")</f>
        <v>0</v>
      </c>
      <c r="AN19" s="20">
        <f>IFERROR(VLOOKUP(Data[[#This Row],[DEVELOPMENT]],Ops_Priorities_and_Data_Clean[[development]:[ifnoext_comment]],10,FALSE),"")</f>
        <v>2</v>
      </c>
      <c r="AO19" s="20">
        <f>IFERROR(VLOOKUP(Data[[#This Row],[DEVELOPMENT]],Ops_Priorities_and_Data_Clean[[development]:[ifnoext_comment]],11,FALSE),"")</f>
        <v>3</v>
      </c>
      <c r="AP19" s="20">
        <f>IFERROR(VLOOKUP(Data[[#This Row],[DEVELOPMENT]],Ops_Priorities_and_Data_Clean[[development]:[ifnoext_comment]],12,FALSE),"")</f>
        <v>3</v>
      </c>
      <c r="AQ19" s="20">
        <f>VLOOKUP(Data[[#This Row],[DEVELOPMENT]],Ops_Priorities_and_Data_Clean[[development]:[ifnoext_comment]],14,FALSE)</f>
        <v>0</v>
      </c>
      <c r="AR19" s="20">
        <f>VLOOKUP(Data[[#This Row],[DEVELOPMENT]],Ops_Priorities_and_Data_Clean[[development]:[ifnoext_comment]],15,FALSE)</f>
        <v>0</v>
      </c>
      <c r="AS19" s="20" t="str">
        <f>VLOOKUP(Data[[#This Row],[DEVELOPMENT]],Ops_Priorities_and_Data_Clean[[development]:[ifnoext_comment]],16,FALSE)</f>
        <v>NULL</v>
      </c>
      <c r="AT19" s="20" t="str">
        <f>VLOOKUP(Data[[#This Row],[DEVELOPMENT]],Ops_Priorities_and_Data_Clean[[development]:[ifnoext_comment]],17,FALSE)</f>
        <v>NULL</v>
      </c>
      <c r="AU19" s="20" t="str">
        <f>VLOOKUP(Data[[#This Row],[DEVELOPMENT]],Ops_Priorities_and_Data_Clean[[development]:[ifnoext_comment]],18,FALSE)</f>
        <v>NULL</v>
      </c>
      <c r="AV19" s="20" t="str">
        <f>VLOOKUP(Data[[#This Row],[DEVELOPMENT]],Ops_Priorities_and_Data_Clean[[development]:[ifnoext_comment]],19,FALSE)</f>
        <v>NULL</v>
      </c>
      <c r="AW19" s="20" t="str">
        <f>VLOOKUP(Data[[#This Row],[DEVELOPMENT]],Ops_Priorities_and_Data_Clean[[development]:[ifnoext_comment]],20,FALSE)</f>
        <v>They already have compactors</v>
      </c>
      <c r="AX19" s="104" t="s">
        <v>2238</v>
      </c>
      <c r="AY19" s="104" t="s">
        <v>314</v>
      </c>
      <c r="AZ19" s="20" t="str">
        <f>VLOOKUP(Data[[#This Row],[DEVELOPMENT]],Development_Data_Book[[DEVELOPMENT]:[PRIVATE MANAGEMENT]],8,FALSE)</f>
        <v>FEDERAL</v>
      </c>
      <c r="BA19" s="104" t="s">
        <v>2586</v>
      </c>
      <c r="BB19" s="20">
        <f>VLOOKUP(Data[[#This Row],[DEVELOPMENT]],Development_Data_Book[[DEVELOPMENT]:[PRIVATE MANAGEMENT]],22,FALSE)</f>
        <v>0</v>
      </c>
      <c r="BC19" s="20">
        <f>Data[[#This Row],[Non-Dwelling Buildings]]+Data[[#This Row],[Dwelling Buildings]]</f>
        <v>6</v>
      </c>
      <c r="BD19" s="20">
        <f>VLOOKUP(Data[[#This Row],[DEVELOPMENT]],Development_Data_Book[[DEVELOPMENT]:[PRIVATE MANAGEMENT]],26,FALSE)</f>
        <v>8.92</v>
      </c>
      <c r="BE19" s="106">
        <v>753400</v>
      </c>
      <c r="BF19" s="20">
        <f>VLOOKUP(Data[[#This Row],[DEVELOPMENT]],Development_Data_Book[[DEVELOPMENT]:[PRIVATE MANAGEMENT]],18,FALSE)</f>
        <v>1886</v>
      </c>
      <c r="BG1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9" s="104" t="s">
        <v>2608</v>
      </c>
      <c r="BI19" t="s">
        <v>184</v>
      </c>
      <c r="BJ19" s="20">
        <f>VLOOKUP(Data[[#This Row],[DEVELOPMENT]],Development_Data_Book[[DEVELOPMENT]:[PRIVATE MANAGEMENT]],41,FALSE)</f>
        <v>8</v>
      </c>
      <c r="BK19" s="20">
        <f>VLOOKUP(Data[[#This Row],[DEVELOPMENT]],Development_Data_Book[[DEVELOPMENT]:[PRIVATE MANAGEMENT]],42,FALSE)</f>
        <v>9</v>
      </c>
      <c r="BL19" s="20">
        <f>VLOOKUP(Data[[#This Row],[DEVELOPMENT]],Development_Data_Book[[DEVELOPMENT]:[PRIVATE MANAGEMENT]],43,FALSE)</f>
        <v>25</v>
      </c>
      <c r="BM19" s="20">
        <f>VLOOKUP(Data[[#This Row],[DEVELOPMENT]],Development_Data_Book[[DEVELOPMENT]:[PRIVATE MANAGEMENT]],44,FALSE)</f>
        <v>56</v>
      </c>
      <c r="BN19" s="20">
        <f>VLOOKUP(Data[[#This Row],[DEVELOPMENT]],Development_Data_Book[[DEVELOPMENT]:[PRIVATE MANAGEMENT]],45,FALSE)</f>
        <v>36</v>
      </c>
      <c r="BO19" s="20">
        <f>VLOOKUP(Data[[#This Row],[DEVELOPMENT]],Development_Data_Book[[DEVELOPMENT]:[PRIVATE MANAGEMENT]],24,FALSE)</f>
        <v>14</v>
      </c>
    </row>
    <row r="20" spans="1:67">
      <c r="A20" t="s">
        <v>297</v>
      </c>
      <c r="B20" s="20" t="str">
        <f>VLOOKUP(Data[[#This Row],[DEVELOPMENT]],Development_Data_Book[[DEVELOPMENT]:[BOROUGH]],MATCH("borough",Development_Data_Book[[#Headers],[DEVELOPMENT]:[BOROUGH]],0),FALSE)</f>
        <v>BROOKLYN</v>
      </c>
      <c r="C20" s="20" t="e">
        <f>VLOOKUP(Data[[#This Row],[DEVELOPMENT]],'[1]Cheat-Sheet'!$D$2:$Q$341,2,FALSE)</f>
        <v>#N/A</v>
      </c>
      <c r="D2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0" s="20">
        <f>VLOOKUP(Data[[#This Row],[DEVELOPMENT]],Development_Data_Book[[DEVELOPMENT]:[BOROUGH]],21,FALSE)</f>
        <v>3</v>
      </c>
      <c r="F20" s="20">
        <f>VLOOKUP(Data[[#This Row],[DEVELOPMENT]],Development_Data_Book[[DEVELOPMENT]:[BOROUGH]],23,FALSE)</f>
        <v>3</v>
      </c>
      <c r="G20" s="20">
        <f>VLOOKUP(Data[[#This Row],[DEVELOPMENT]],Development_Data_Book[[DEVELOPMENT]:[BOROUGH]],12,FALSE)</f>
        <v>400</v>
      </c>
      <c r="J20">
        <f>IFERROR(VLOOKUP(Data[[#This Row],[DEVELOPMENT]],IntCompactors_MRST[],4,FALSE),0)</f>
        <v>3</v>
      </c>
      <c r="K20" s="20">
        <f>IFERROR(VLOOKUP(Data[[#This Row],[DEVELOPMENT]],ExtCompactors_MRST[],4,FALSE),0)</f>
        <v>0</v>
      </c>
      <c r="L20" s="27">
        <f>IF(Data[[#This Row],['# Interior Compactors MRST]]=0,"",VLOOKUP(Data[[#This Row],[DEVELOPMENT]],IntCompactors_MRST[],5,FALSE))</f>
        <v>37773</v>
      </c>
      <c r="M20" s="28" t="str">
        <f>IF(Data[[#This Row],['# Exterior Compactors MRST]]=0,"",VLOOKUP(Data[[#This Row],[DEVELOPMENT]],ExtCompactors_MRST[],5,FALSE))</f>
        <v/>
      </c>
      <c r="N20" s="20">
        <f>Data[[#This Row],['# Interior Compactors MRST]]</f>
        <v>3</v>
      </c>
      <c r="O20" s="20">
        <f>IF(Data[[#This Row],['# Bulk Crushers]]=0,1,0)</f>
        <v>1</v>
      </c>
      <c r="P20" s="20">
        <f>1</f>
        <v>1</v>
      </c>
      <c r="Q20" s="20">
        <f>1</f>
        <v>1</v>
      </c>
      <c r="R20" s="20">
        <f>1</f>
        <v>1</v>
      </c>
      <c r="S20" s="20">
        <f>1</f>
        <v>1</v>
      </c>
      <c r="T20" s="20">
        <f>IF(Data[[#This Row],[Sewershed]]="Newtown Creek",Data[[#This Row],[DUs]],0)</f>
        <v>400</v>
      </c>
      <c r="U2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0" s="82">
        <f>VLOOKUP(Data[[#This Row],[DEVELOPMENT]],Development_Data_Book[[DEVELOPMENT]:[BOROUGH]],3,FALSE)</f>
        <v>85</v>
      </c>
      <c r="Y20" s="20" t="s">
        <v>2599</v>
      </c>
      <c r="Z20" s="20">
        <f>IFERROR(VLOOKUP(Data[[#This Row],[TDS]],ExtCompactors_PNA[[Development]:[0]],2,FALSE),0)</f>
        <v>3</v>
      </c>
      <c r="AA20" s="20">
        <f>IFERROR(VLOOKUP(Data[[#This Row],[TDS]],IntCompactors_PNA[[TDS]:[0]],2,FALSE),0)</f>
        <v>3</v>
      </c>
      <c r="AB20" s="20"/>
      <c r="AC20" s="20"/>
      <c r="AD20" s="20">
        <f>IFERROR(VLOOKUP(Data[[#This Row],[TDS]],ExtCompactors_PNA[[Development]:[0]],3,FALSE)+VLOOKUP(Data[[#This Row],[TDS]],ExtCompactors_PNA[[Development]:[0]],6,FALSE),0)</f>
        <v>3</v>
      </c>
      <c r="AE20" s="20">
        <f>IFERROR(VLOOKUP(Data[[#This Row],[TDS]],IntCompactors_PNA[[TDS]:[0]],3,FALSE)+VLOOKUP(Data[[#This Row],[TDS]],IntCompactors_PNA[[TDS]:[0]],6,FALSE),0)</f>
        <v>3</v>
      </c>
      <c r="AF20" s="20" t="e">
        <f>VLOOKUP(Data[[#This Row],[DEVELOPMENT]],[3]Developments!$A$2:$A$312,1,FALSE)</f>
        <v>#N/A</v>
      </c>
      <c r="AG20" s="20">
        <f>IFERROR(VLOOKUP(Data[[#This Row],[DEVELOPMENT]],Ops_Priorities_and_Data_Clean[[development]:[ifnoext_comment]],3,FALSE),"")</f>
        <v>0</v>
      </c>
      <c r="AH20" s="20">
        <f>IFERROR(VLOOKUP(Data[[#This Row],[DEVELOPMENT]],Ops_Priorities_and_Data_Clean[[development]:[ifnoext_comment]],4,FALSE),"")</f>
        <v>0</v>
      </c>
      <c r="AI20" s="20">
        <f>IFERROR(VLOOKUP(Data[[#This Row],[DEVELOPMENT]],Ops_Priorities_and_Data_Clean[[development]:[ifnoext_comment]],5,FALSE),"")</f>
        <v>0</v>
      </c>
      <c r="AJ20" s="20">
        <f>IFERROR(VLOOKUP(Data[[#This Row],[DEVELOPMENT]],Ops_Priorities_and_Data_Clean[[development]:[ifnoext_comment]],6,FALSE),"")</f>
        <v>1</v>
      </c>
      <c r="AK20" s="20">
        <f>IFERROR(VLOOKUP(Data[[#This Row],[DEVELOPMENT]],Ops_Priorities_and_Data_Clean[[development]:[ifnoext_comment]],7,FALSE),"")</f>
        <v>0</v>
      </c>
      <c r="AL20" s="20">
        <f>IFERROR(VLOOKUP(Data[[#This Row],[DEVELOPMENT]],Ops_Priorities_and_Data_Clean[[development]:[ifnoext_comment]],8,FALSE),"")</f>
        <v>1</v>
      </c>
      <c r="AM20" s="20">
        <f>IFERROR(VLOOKUP(Data[[#This Row],[DEVELOPMENT]],Ops_Priorities_and_Data_Clean[[development]:[ifnoext_comment]],9,FALSE),"")</f>
        <v>0</v>
      </c>
      <c r="AN20" s="20">
        <f>IFERROR(VLOOKUP(Data[[#This Row],[DEVELOPMENT]],Ops_Priorities_and_Data_Clean[[development]:[ifnoext_comment]],10,FALSE),"")</f>
        <v>1</v>
      </c>
      <c r="AO20" s="20">
        <f>IFERROR(VLOOKUP(Data[[#This Row],[DEVELOPMENT]],Ops_Priorities_and_Data_Clean[[development]:[ifnoext_comment]],11,FALSE),"")</f>
        <v>0</v>
      </c>
      <c r="AP20" s="20">
        <f>IFERROR(VLOOKUP(Data[[#This Row],[DEVELOPMENT]],Ops_Priorities_and_Data_Clean[[development]:[ifnoext_comment]],12,FALSE),"")</f>
        <v>0</v>
      </c>
      <c r="AQ20" s="20">
        <f>VLOOKUP(Data[[#This Row],[DEVELOPMENT]],Ops_Priorities_and_Data_Clean[[development]:[ifnoext_comment]],14,FALSE)</f>
        <v>0</v>
      </c>
      <c r="AR20" s="20">
        <f>VLOOKUP(Data[[#This Row],[DEVELOPMENT]],Ops_Priorities_and_Data_Clean[[development]:[ifnoext_comment]],15,FALSE)</f>
        <v>1</v>
      </c>
      <c r="AS20" s="20" t="str">
        <f>VLOOKUP(Data[[#This Row],[DEVELOPMENT]],Ops_Priorities_and_Data_Clean[[development]:[ifnoext_comment]],16,FALSE)</f>
        <v>Albany</v>
      </c>
      <c r="AT20" s="20" t="str">
        <f>VLOOKUP(Data[[#This Row],[DEVELOPMENT]],Ops_Priorities_and_Data_Clean[[development]:[ifnoext_comment]],17,FALSE)</f>
        <v>NULL</v>
      </c>
      <c r="AU20" s="20" t="str">
        <f>VLOOKUP(Data[[#This Row],[DEVELOPMENT]],Ops_Priorities_and_Data_Clean[[development]:[ifnoext_comment]],18,FALSE)</f>
        <v>NULL</v>
      </c>
      <c r="AV20" s="20" t="str">
        <f>VLOOKUP(Data[[#This Row],[DEVELOPMENT]],Ops_Priorities_and_Data_Clean[[development]:[ifnoext_comment]],19,FALSE)</f>
        <v>NULL</v>
      </c>
      <c r="AW20" s="20" t="str">
        <f>VLOOKUP(Data[[#This Row],[DEVELOPMENT]],Ops_Priorities_and_Data_Clean[[development]:[ifnoext_comment]],20,FALSE)</f>
        <v>NULL</v>
      </c>
      <c r="AX20" s="104" t="s">
        <v>2238</v>
      </c>
      <c r="AY20" s="104" t="s">
        <v>314</v>
      </c>
      <c r="AZ20" s="20" t="str">
        <f>VLOOKUP(Data[[#This Row],[DEVELOPMENT]],Development_Data_Book[[DEVELOPMENT]:[PRIVATE MANAGEMENT]],8,FALSE)</f>
        <v>FEDERAL</v>
      </c>
      <c r="BA20" s="104" t="s">
        <v>2586</v>
      </c>
      <c r="BB20" s="20">
        <f>VLOOKUP(Data[[#This Row],[DEVELOPMENT]],Development_Data_Book[[DEVELOPMENT]:[PRIVATE MANAGEMENT]],22,FALSE)</f>
        <v>0</v>
      </c>
      <c r="BC20" s="20">
        <f>Data[[#This Row],[Non-Dwelling Buildings]]+Data[[#This Row],[Dwelling Buildings]]</f>
        <v>3</v>
      </c>
      <c r="BD20" s="20">
        <f>VLOOKUP(Data[[#This Row],[DEVELOPMENT]],Development_Data_Book[[DEVELOPMENT]:[PRIVATE MANAGEMENT]],26,FALSE)</f>
        <v>4.93</v>
      </c>
      <c r="BE20" s="106">
        <v>375000</v>
      </c>
      <c r="BF20" s="20">
        <f>VLOOKUP(Data[[#This Row],[DEVELOPMENT]],Development_Data_Book[[DEVELOPMENT]:[PRIVATE MANAGEMENT]],18,FALSE)</f>
        <v>985</v>
      </c>
      <c r="BG2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0" s="104" t="s">
        <v>2608</v>
      </c>
      <c r="BI20" t="s">
        <v>184</v>
      </c>
      <c r="BJ20" s="20">
        <f>VLOOKUP(Data[[#This Row],[DEVELOPMENT]],Development_Data_Book[[DEVELOPMENT]:[PRIVATE MANAGEMENT]],41,FALSE)</f>
        <v>8</v>
      </c>
      <c r="BK20" s="20">
        <f>VLOOKUP(Data[[#This Row],[DEVELOPMENT]],Development_Data_Book[[DEVELOPMENT]:[PRIVATE MANAGEMENT]],42,FALSE)</f>
        <v>9</v>
      </c>
      <c r="BL20" s="20">
        <f>VLOOKUP(Data[[#This Row],[DEVELOPMENT]],Development_Data_Book[[DEVELOPMENT]:[PRIVATE MANAGEMENT]],43,FALSE)</f>
        <v>25</v>
      </c>
      <c r="BM20" s="20">
        <f>VLOOKUP(Data[[#This Row],[DEVELOPMENT]],Development_Data_Book[[DEVELOPMENT]:[PRIVATE MANAGEMENT]],44,FALSE)</f>
        <v>56</v>
      </c>
      <c r="BN20" s="20">
        <f>VLOOKUP(Data[[#This Row],[DEVELOPMENT]],Development_Data_Book[[DEVELOPMENT]:[PRIVATE MANAGEMENT]],45,FALSE)</f>
        <v>36</v>
      </c>
      <c r="BO20" s="20" t="str">
        <f>VLOOKUP(Data[[#This Row],[DEVELOPMENT]],Development_Data_Book[[DEVELOPMENT]:[PRIVATE MANAGEMENT]],24,FALSE)</f>
        <v>13-14</v>
      </c>
    </row>
    <row r="21" spans="1:67">
      <c r="A21" t="s">
        <v>261</v>
      </c>
      <c r="B21" s="20" t="str">
        <f>VLOOKUP(Data[[#This Row],[DEVELOPMENT]],Development_Data_Book[[DEVELOPMENT]:[BOROUGH]],MATCH("borough",Development_Data_Book[[#Headers],[DEVELOPMENT]:[BOROUGH]],0),FALSE)</f>
        <v>MANHATTAN</v>
      </c>
      <c r="C21" s="20" t="e">
        <f>VLOOKUP(Data[[#This Row],[DEVELOPMENT]],'[1]Cheat-Sheet'!$D$2:$Q$341,2,FALSE)</f>
        <v>#N/A</v>
      </c>
      <c r="D2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1" s="20">
        <f>VLOOKUP(Data[[#This Row],[DEVELOPMENT]],Development_Data_Book[[DEVELOPMENT]:[BOROUGH]],21,FALSE)</f>
        <v>13</v>
      </c>
      <c r="F21" s="20">
        <f>VLOOKUP(Data[[#This Row],[DEVELOPMENT]],Development_Data_Book[[DEVELOPMENT]:[BOROUGH]],23,FALSE)</f>
        <v>24</v>
      </c>
      <c r="G21" s="20">
        <f>VLOOKUP(Data[[#This Row],[DEVELOPMENT]],Development_Data_Book[[DEVELOPMENT]:[BOROUGH]],12,FALSE)</f>
        <v>1084</v>
      </c>
      <c r="H21" t="s">
        <v>2611</v>
      </c>
      <c r="J21">
        <f>IFERROR(VLOOKUP(Data[[#This Row],[DEVELOPMENT]],IntCompactors_MRST[],4,FALSE),0)</f>
        <v>24</v>
      </c>
      <c r="K21" s="20">
        <f>IFERROR(VLOOKUP(Data[[#This Row],[DEVELOPMENT]],ExtCompactors_MRST[],4,FALSE),0)</f>
        <v>3</v>
      </c>
      <c r="L21" s="27">
        <f>IF(Data[[#This Row],['# Interior Compactors MRST]]=0,"",VLOOKUP(Data[[#This Row],[DEVELOPMENT]],IntCompactors_MRST[],5,FALSE))</f>
        <v>36495</v>
      </c>
      <c r="M21" s="28">
        <f>IF(Data[[#This Row],['# Exterior Compactors MRST]]=0,"",VLOOKUP(Data[[#This Row],[DEVELOPMENT]],ExtCompactors_MRST[],5,FALSE))</f>
        <v>39188</v>
      </c>
      <c r="N21" s="20">
        <f>Data[[#This Row],['# Interior Compactors MRST]]</f>
        <v>24</v>
      </c>
      <c r="O21" s="20">
        <f>IF(Data[[#This Row],['# Bulk Crushers]]=0,1,0)</f>
        <v>1</v>
      </c>
      <c r="P21" s="20">
        <f>1</f>
        <v>1</v>
      </c>
      <c r="Q21" s="20">
        <f>1</f>
        <v>1</v>
      </c>
      <c r="R21" s="20">
        <f>1</f>
        <v>1</v>
      </c>
      <c r="S21" s="20">
        <f>1</f>
        <v>1</v>
      </c>
      <c r="T21" s="20">
        <f>IF(Data[[#This Row],[Sewershed]]="Newtown Creek",Data[[#This Row],[DUs]],0)</f>
        <v>0</v>
      </c>
      <c r="U2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1" s="82">
        <f>VLOOKUP(Data[[#This Row],[DEVELOPMENT]],Development_Data_Book[[DEVELOPMENT]:[BOROUGH]],3,FALSE)</f>
        <v>22</v>
      </c>
      <c r="Y21" s="20"/>
      <c r="Z21" s="20">
        <f>IFERROR(VLOOKUP(Data[[#This Row],[TDS]],ExtCompactors_PNA[[Development]:[0]],2,FALSE),0)</f>
        <v>3</v>
      </c>
      <c r="AA21" s="20">
        <f>IFERROR(VLOOKUP(Data[[#This Row],[TDS]],IntCompactors_PNA[[TDS]:[0]],2,FALSE),0)</f>
        <v>24</v>
      </c>
      <c r="AB21" s="20"/>
      <c r="AC21" s="20"/>
      <c r="AD21" s="20">
        <f>IFERROR(VLOOKUP(Data[[#This Row],[TDS]],ExtCompactors_PNA[[Development]:[0]],3,FALSE)+VLOOKUP(Data[[#This Row],[TDS]],ExtCompactors_PNA[[Development]:[0]],6,FALSE),0)</f>
        <v>3</v>
      </c>
      <c r="AE21" s="20">
        <f>IFERROR(VLOOKUP(Data[[#This Row],[TDS]],IntCompactors_PNA[[TDS]:[0]],3,FALSE)+VLOOKUP(Data[[#This Row],[TDS]],IntCompactors_PNA[[TDS]:[0]],6,FALSE),0)</f>
        <v>24</v>
      </c>
      <c r="AF21" s="20" t="e">
        <f>VLOOKUP(Data[[#This Row],[DEVELOPMENT]],[3]Developments!$A$2:$A$312,1,FALSE)</f>
        <v>#N/A</v>
      </c>
      <c r="AG21" s="20">
        <f>IFERROR(VLOOKUP(Data[[#This Row],[DEVELOPMENT]],Ops_Priorities_and_Data_Clean[[development]:[ifnoext_comment]],3,FALSE),"")</f>
        <v>3</v>
      </c>
      <c r="AH21" s="20">
        <f>IFERROR(VLOOKUP(Data[[#This Row],[DEVELOPMENT]],Ops_Priorities_and_Data_Clean[[development]:[ifnoext_comment]],4,FALSE),"")</f>
        <v>2</v>
      </c>
      <c r="AI21" s="20">
        <f>IFERROR(VLOOKUP(Data[[#This Row],[DEVELOPMENT]],Ops_Priorities_and_Data_Clean[[development]:[ifnoext_comment]],5,FALSE),"")</f>
        <v>1</v>
      </c>
      <c r="AJ21" s="20">
        <f>IFERROR(VLOOKUP(Data[[#This Row],[DEVELOPMENT]],Ops_Priorities_and_Data_Clean[[development]:[ifnoext_comment]],6,FALSE),"")</f>
        <v>0</v>
      </c>
      <c r="AK21" s="20">
        <f>IFERROR(VLOOKUP(Data[[#This Row],[DEVELOPMENT]],Ops_Priorities_and_Data_Clean[[development]:[ifnoext_comment]],7,FALSE),"")</f>
        <v>0</v>
      </c>
      <c r="AL21" s="20">
        <f>IFERROR(VLOOKUP(Data[[#This Row],[DEVELOPMENT]],Ops_Priorities_and_Data_Clean[[development]:[ifnoext_comment]],8,FALSE),"")</f>
        <v>1</v>
      </c>
      <c r="AM21" s="20">
        <f>IFERROR(VLOOKUP(Data[[#This Row],[DEVELOPMENT]],Ops_Priorities_and_Data_Clean[[development]:[ifnoext_comment]],9,FALSE),"")</f>
        <v>0</v>
      </c>
      <c r="AN21" s="20">
        <f>IFERROR(VLOOKUP(Data[[#This Row],[DEVELOPMENT]],Ops_Priorities_and_Data_Clean[[development]:[ifnoext_comment]],10,FALSE),"")</f>
        <v>3</v>
      </c>
      <c r="AO21" s="20">
        <f>IFERROR(VLOOKUP(Data[[#This Row],[DEVELOPMENT]],Ops_Priorities_and_Data_Clean[[development]:[ifnoext_comment]],11,FALSE),"")</f>
        <v>3</v>
      </c>
      <c r="AP21" s="20">
        <f>IFERROR(VLOOKUP(Data[[#This Row],[DEVELOPMENT]],Ops_Priorities_and_Data_Clean[[development]:[ifnoext_comment]],12,FALSE),"")</f>
        <v>3</v>
      </c>
      <c r="AQ21" s="20">
        <f>VLOOKUP(Data[[#This Row],[DEVELOPMENT]],Ops_Priorities_and_Data_Clean[[development]:[ifnoext_comment]],14,FALSE)</f>
        <v>0</v>
      </c>
      <c r="AR21" s="20">
        <f>VLOOKUP(Data[[#This Row],[DEVELOPMENT]],Ops_Priorities_and_Data_Clean[[development]:[ifnoext_comment]],15,FALSE)</f>
        <v>0</v>
      </c>
      <c r="AS21" s="20" t="str">
        <f>VLOOKUP(Data[[#This Row],[DEVELOPMENT]],Ops_Priorities_and_Data_Clean[[development]:[ifnoext_comment]],16,FALSE)</f>
        <v>NULL</v>
      </c>
      <c r="AT21" s="20" t="str">
        <f>VLOOKUP(Data[[#This Row],[DEVELOPMENT]],Ops_Priorities_and_Data_Clean[[development]:[ifnoext_comment]],17,FALSE)</f>
        <v>NULL</v>
      </c>
      <c r="AU21" s="20" t="str">
        <f>VLOOKUP(Data[[#This Row],[DEVELOPMENT]],Ops_Priorities_and_Data_Clean[[development]:[ifnoext_comment]],18,FALSE)</f>
        <v>NULL</v>
      </c>
      <c r="AV21" s="20" t="str">
        <f>VLOOKUP(Data[[#This Row],[DEVELOPMENT]],Ops_Priorities_and_Data_Clean[[development]:[ifnoext_comment]],19,FALSE)</f>
        <v>NULL</v>
      </c>
      <c r="AW21" s="20" t="str">
        <f>VLOOKUP(Data[[#This Row],[DEVELOPMENT]],Ops_Priorities_and_Data_Clean[[development]:[ifnoext_comment]],20,FALSE)</f>
        <v xml:space="preserve">They have compactors but they receive significant amount of bulk that they cannot account for. They need an auger/bulk crusher for at least one of their compactors. They are willing to switch out one compactor for an auger. </v>
      </c>
      <c r="AX21" s="104" t="s">
        <v>2605</v>
      </c>
      <c r="AY21" s="104" t="s">
        <v>2612</v>
      </c>
      <c r="AZ21" s="20" t="str">
        <f>VLOOKUP(Data[[#This Row],[DEVELOPMENT]],Development_Data_Book[[DEVELOPMENT]:[PRIVATE MANAGEMENT]],8,FALSE)</f>
        <v>FEDERAL</v>
      </c>
      <c r="BA21" s="104" t="s">
        <v>2586</v>
      </c>
      <c r="BB21" s="20">
        <f>VLOOKUP(Data[[#This Row],[DEVELOPMENT]],Development_Data_Book[[DEVELOPMENT]:[PRIVATE MANAGEMENT]],22,FALSE)</f>
        <v>0</v>
      </c>
      <c r="BC21" s="20">
        <f>Data[[#This Row],[Non-Dwelling Buildings]]+Data[[#This Row],[Dwelling Buildings]]</f>
        <v>13</v>
      </c>
      <c r="BD21" s="20">
        <f>VLOOKUP(Data[[#This Row],[DEVELOPMENT]],Development_Data_Book[[DEVELOPMENT]:[PRIVATE MANAGEMENT]],26,FALSE)</f>
        <v>10.24</v>
      </c>
      <c r="BE21" s="106">
        <v>900123</v>
      </c>
      <c r="BF21" s="20">
        <f>VLOOKUP(Data[[#This Row],[DEVELOPMENT]],Development_Data_Book[[DEVELOPMENT]:[PRIVATE MANAGEMENT]],18,FALSE)</f>
        <v>2270</v>
      </c>
      <c r="BG2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1" s="104" t="s">
        <v>2598</v>
      </c>
      <c r="BI21" t="s">
        <v>184</v>
      </c>
      <c r="BJ21" s="20">
        <f>VLOOKUP(Data[[#This Row],[DEVELOPMENT]],Development_Data_Book[[DEVELOPMENT]:[PRIVATE MANAGEMENT]],41,FALSE)</f>
        <v>7</v>
      </c>
      <c r="BK21" s="20">
        <f>VLOOKUP(Data[[#This Row],[DEVELOPMENT]],Development_Data_Book[[DEVELOPMENT]:[PRIVATE MANAGEMENT]],42,FALSE)</f>
        <v>10</v>
      </c>
      <c r="BL21" s="20">
        <f>VLOOKUP(Data[[#This Row],[DEVELOPMENT]],Development_Data_Book[[DEVELOPMENT]:[PRIVATE MANAGEMENT]],43,FALSE)</f>
        <v>31</v>
      </c>
      <c r="BM21" s="20">
        <f>VLOOKUP(Data[[#This Row],[DEVELOPMENT]],Development_Data_Book[[DEVELOPMENT]:[PRIVATE MANAGEMENT]],44,FALSE)</f>
        <v>67</v>
      </c>
      <c r="BN21" s="20">
        <f>VLOOKUP(Data[[#This Row],[DEVELOPMENT]],Development_Data_Book[[DEVELOPMENT]:[PRIVATE MANAGEMENT]],45,FALSE)</f>
        <v>6</v>
      </c>
      <c r="BO21" s="20">
        <f>VLOOKUP(Data[[#This Row],[DEVELOPMENT]],Development_Data_Book[[DEVELOPMENT]:[PRIVATE MANAGEMENT]],24,FALSE)</f>
        <v>43629</v>
      </c>
    </row>
    <row r="22" spans="1:67">
      <c r="A22" t="s">
        <v>262</v>
      </c>
      <c r="B22" s="20" t="str">
        <f>VLOOKUP(Data[[#This Row],[DEVELOPMENT]],Development_Data_Book[[DEVELOPMENT]:[BOROUGH]],MATCH("borough",Development_Data_Book[[#Headers],[DEVELOPMENT]:[BOROUGH]],0),FALSE)</f>
        <v>MANHATTAN</v>
      </c>
      <c r="C22" s="20" t="e">
        <f>VLOOKUP(Data[[#This Row],[DEVELOPMENT]],'[1]Cheat-Sheet'!$D$2:$Q$341,2,FALSE)</f>
        <v>#N/A</v>
      </c>
      <c r="D2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2" s="20">
        <f>VLOOKUP(Data[[#This Row],[DEVELOPMENT]],Development_Data_Book[[DEVELOPMENT]:[BOROUGH]],21,FALSE)</f>
        <v>1</v>
      </c>
      <c r="F22" s="20">
        <f>VLOOKUP(Data[[#This Row],[DEVELOPMENT]],Development_Data_Book[[DEVELOPMENT]:[BOROUGH]],23,FALSE)</f>
        <v>1</v>
      </c>
      <c r="G22" s="20">
        <f>VLOOKUP(Data[[#This Row],[DEVELOPMENT]],Development_Data_Book[[DEVELOPMENT]:[BOROUGH]],12,FALSE)</f>
        <v>175</v>
      </c>
      <c r="J22">
        <f>IFERROR(VLOOKUP(Data[[#This Row],[DEVELOPMENT]],IntCompactors_MRST[],4,FALSE),0)</f>
        <v>1</v>
      </c>
      <c r="K22" s="20">
        <f>IFERROR(VLOOKUP(Data[[#This Row],[DEVELOPMENT]],ExtCompactors_MRST[],4,FALSE),0)</f>
        <v>0</v>
      </c>
      <c r="L22" s="27">
        <f>IF(Data[[#This Row],['# Interior Compactors MRST]]=0,"",VLOOKUP(Data[[#This Row],[DEVELOPMENT]],IntCompactors_MRST[],5,FALSE))</f>
        <v>36465</v>
      </c>
      <c r="M22" s="28" t="str">
        <f>IF(Data[[#This Row],['# Exterior Compactors MRST]]=0,"",VLOOKUP(Data[[#This Row],[DEVELOPMENT]],ExtCompactors_MRST[],5,FALSE))</f>
        <v/>
      </c>
      <c r="N22" s="20">
        <f>Data[[#This Row],['# Interior Compactors MRST]]</f>
        <v>1</v>
      </c>
      <c r="O22" s="20">
        <f>IF(Data[[#This Row],['# Bulk Crushers]]=0,1,0)</f>
        <v>1</v>
      </c>
      <c r="P22" s="20">
        <f>1</f>
        <v>1</v>
      </c>
      <c r="Q22" s="20">
        <f>1</f>
        <v>1</v>
      </c>
      <c r="R22" s="20">
        <f>1</f>
        <v>1</v>
      </c>
      <c r="S22" s="20">
        <f>1</f>
        <v>1</v>
      </c>
      <c r="T22" s="20">
        <f>IF(Data[[#This Row],[Sewershed]]="Newtown Creek",Data[[#This Row],[DUs]],0)</f>
        <v>0</v>
      </c>
      <c r="U2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2" s="82">
        <f>VLOOKUP(Data[[#This Row],[DEVELOPMENT]],Development_Data_Book[[DEVELOPMENT]:[BOROUGH]],3,FALSE)</f>
        <v>187</v>
      </c>
      <c r="Y22" s="20"/>
      <c r="Z22" s="20">
        <f>IFERROR(VLOOKUP(Data[[#This Row],[TDS]],ExtCompactors_PNA[[Development]:[0]],2,FALSE),0)</f>
        <v>0</v>
      </c>
      <c r="AA22" s="20">
        <f>IFERROR(VLOOKUP(Data[[#This Row],[TDS]],IntCompactors_PNA[[TDS]:[0]],2,FALSE),0)</f>
        <v>2</v>
      </c>
      <c r="AB22" s="20"/>
      <c r="AC22" s="20"/>
      <c r="AD22" s="20">
        <f>IFERROR(VLOOKUP(Data[[#This Row],[TDS]],ExtCompactors_PNA[[Development]:[0]],3,FALSE)+VLOOKUP(Data[[#This Row],[TDS]],ExtCompactors_PNA[[Development]:[0]],6,FALSE),0)</f>
        <v>0</v>
      </c>
      <c r="AE22" s="20">
        <f>IFERROR(VLOOKUP(Data[[#This Row],[TDS]],IntCompactors_PNA[[TDS]:[0]],3,FALSE)+VLOOKUP(Data[[#This Row],[TDS]],IntCompactors_PNA[[TDS]:[0]],6,FALSE),0)</f>
        <v>2</v>
      </c>
      <c r="AF22" s="20" t="e">
        <f>VLOOKUP(Data[[#This Row],[DEVELOPMENT]],[3]Developments!$A$2:$A$312,1,FALSE)</f>
        <v>#N/A</v>
      </c>
      <c r="AG22" s="20">
        <f>IFERROR(VLOOKUP(Data[[#This Row],[DEVELOPMENT]],Ops_Priorities_and_Data_Clean[[development]:[ifnoext_comment]],3,FALSE),"")</f>
        <v>0</v>
      </c>
      <c r="AH22" s="20">
        <f>IFERROR(VLOOKUP(Data[[#This Row],[DEVELOPMENT]],Ops_Priorities_and_Data_Clean[[development]:[ifnoext_comment]],4,FALSE),"")</f>
        <v>2</v>
      </c>
      <c r="AI22" s="20">
        <f>IFERROR(VLOOKUP(Data[[#This Row],[DEVELOPMENT]],Ops_Priorities_and_Data_Clean[[development]:[ifnoext_comment]],5,FALSE),"")</f>
        <v>0</v>
      </c>
      <c r="AJ22" s="20">
        <f>IFERROR(VLOOKUP(Data[[#This Row],[DEVELOPMENT]],Ops_Priorities_and_Data_Clean[[development]:[ifnoext_comment]],6,FALSE),"")</f>
        <v>1</v>
      </c>
      <c r="AK22" s="20">
        <f>IFERROR(VLOOKUP(Data[[#This Row],[DEVELOPMENT]],Ops_Priorities_and_Data_Clean[[development]:[ifnoext_comment]],7,FALSE),"")</f>
        <v>0</v>
      </c>
      <c r="AL22" s="20">
        <f>IFERROR(VLOOKUP(Data[[#This Row],[DEVELOPMENT]],Ops_Priorities_and_Data_Clean[[development]:[ifnoext_comment]],8,FALSE),"")</f>
        <v>1</v>
      </c>
      <c r="AM22" s="20">
        <f>IFERROR(VLOOKUP(Data[[#This Row],[DEVELOPMENT]],Ops_Priorities_and_Data_Clean[[development]:[ifnoext_comment]],9,FALSE),"")</f>
        <v>0</v>
      </c>
      <c r="AN22" s="20">
        <f>IFERROR(VLOOKUP(Data[[#This Row],[DEVELOPMENT]],Ops_Priorities_and_Data_Clean[[development]:[ifnoext_comment]],10,FALSE),"")</f>
        <v>1</v>
      </c>
      <c r="AO22" s="20">
        <f>IFERROR(VLOOKUP(Data[[#This Row],[DEVELOPMENT]],Ops_Priorities_and_Data_Clean[[development]:[ifnoext_comment]],11,FALSE),"")</f>
        <v>0</v>
      </c>
      <c r="AP22" s="20">
        <f>IFERROR(VLOOKUP(Data[[#This Row],[DEVELOPMENT]],Ops_Priorities_and_Data_Clean[[development]:[ifnoext_comment]],12,FALSE),"")</f>
        <v>0</v>
      </c>
      <c r="AQ22" s="20">
        <f>VLOOKUP(Data[[#This Row],[DEVELOPMENT]],Ops_Priorities_and_Data_Clean[[development]:[ifnoext_comment]],14,FALSE)</f>
        <v>0</v>
      </c>
      <c r="AR22" s="20">
        <f>VLOOKUP(Data[[#This Row],[DEVELOPMENT]],Ops_Priorities_and_Data_Clean[[development]:[ifnoext_comment]],15,FALSE)</f>
        <v>1</v>
      </c>
      <c r="AS22" s="20" t="str">
        <f>VLOOKUP(Data[[#This Row],[DEVELOPMENT]],Ops_Priorities_and_Data_Clean[[development]:[ifnoext_comment]],16,FALSE)</f>
        <v>Amsterdam</v>
      </c>
      <c r="AT22" s="20" t="str">
        <f>VLOOKUP(Data[[#This Row],[DEVELOPMENT]],Ops_Priorities_and_Data_Clean[[development]:[ifnoext_comment]],17,FALSE)</f>
        <v>NULL</v>
      </c>
      <c r="AU22" s="20" t="str">
        <f>VLOOKUP(Data[[#This Row],[DEVELOPMENT]],Ops_Priorities_and_Data_Clean[[development]:[ifnoext_comment]],18,FALSE)</f>
        <v>NULL</v>
      </c>
      <c r="AV22" s="20" t="str">
        <f>VLOOKUP(Data[[#This Row],[DEVELOPMENT]],Ops_Priorities_and_Data_Clean[[development]:[ifnoext_comment]],19,FALSE)</f>
        <v>NULL</v>
      </c>
      <c r="AW22" s="20" t="str">
        <f>VLOOKUP(Data[[#This Row],[DEVELOPMENT]],Ops_Priorities_and_Data_Clean[[development]:[ifnoext_comment]],20,FALSE)</f>
        <v>They are a share with Amsterdam.</v>
      </c>
      <c r="AX22" s="104" t="s">
        <v>2605</v>
      </c>
      <c r="AY22" s="104" t="s">
        <v>2612</v>
      </c>
      <c r="AZ22" s="20" t="str">
        <f>VLOOKUP(Data[[#This Row],[DEVELOPMENT]],Development_Data_Book[[DEVELOPMENT]:[PRIVATE MANAGEMENT]],8,FALSE)</f>
        <v>MIXED FINANCE/LLC1</v>
      </c>
      <c r="BA22" s="104" t="s">
        <v>2586</v>
      </c>
      <c r="BB22" s="20">
        <f>VLOOKUP(Data[[#This Row],[DEVELOPMENT]],Development_Data_Book[[DEVELOPMENT]:[PRIVATE MANAGEMENT]],22,FALSE)</f>
        <v>0</v>
      </c>
      <c r="BC22" s="20">
        <f>Data[[#This Row],[Non-Dwelling Buildings]]+Data[[#This Row],[Dwelling Buildings]]</f>
        <v>1</v>
      </c>
      <c r="BD22" s="20">
        <f>VLOOKUP(Data[[#This Row],[DEVELOPMENT]],Development_Data_Book[[DEVELOPMENT]:[PRIVATE MANAGEMENT]],26,FALSE)</f>
        <v>0.83</v>
      </c>
      <c r="BE22" s="106">
        <v>162599</v>
      </c>
      <c r="BF22" s="20">
        <f>VLOOKUP(Data[[#This Row],[DEVELOPMENT]],Development_Data_Book[[DEVELOPMENT]:[PRIVATE MANAGEMENT]],18,FALSE)</f>
        <v>353</v>
      </c>
      <c r="BG2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2" s="104" t="s">
        <v>2598</v>
      </c>
      <c r="BI22" t="s">
        <v>184</v>
      </c>
      <c r="BJ22" s="20">
        <f>VLOOKUP(Data[[#This Row],[DEVELOPMENT]],Development_Data_Book[[DEVELOPMENT]:[PRIVATE MANAGEMENT]],41,FALSE)</f>
        <v>7</v>
      </c>
      <c r="BK22" s="20">
        <f>VLOOKUP(Data[[#This Row],[DEVELOPMENT]],Development_Data_Book[[DEVELOPMENT]:[PRIVATE MANAGEMENT]],42,FALSE)</f>
        <v>10</v>
      </c>
      <c r="BL22" s="20">
        <f>VLOOKUP(Data[[#This Row],[DEVELOPMENT]],Development_Data_Book[[DEVELOPMENT]:[PRIVATE MANAGEMENT]],43,FALSE)</f>
        <v>31</v>
      </c>
      <c r="BM22" s="20">
        <f>VLOOKUP(Data[[#This Row],[DEVELOPMENT]],Development_Data_Book[[DEVELOPMENT]:[PRIVATE MANAGEMENT]],44,FALSE)</f>
        <v>67</v>
      </c>
      <c r="BN22" s="20">
        <f>VLOOKUP(Data[[#This Row],[DEVELOPMENT]],Development_Data_Book[[DEVELOPMENT]:[PRIVATE MANAGEMENT]],45,FALSE)</f>
        <v>6</v>
      </c>
      <c r="BO22" s="20">
        <f>VLOOKUP(Data[[#This Row],[DEVELOPMENT]],Development_Data_Book[[DEVELOPMENT]:[PRIVATE MANAGEMENT]],24,FALSE)</f>
        <v>27</v>
      </c>
    </row>
    <row r="23" spans="1:67">
      <c r="A23" s="17" t="s">
        <v>298</v>
      </c>
      <c r="B23" t="str">
        <f>VLOOKUP(Data[[#This Row],[DEVELOPMENT]],Development_Data_Book[[DEVELOPMENT]:[BOROUGH]],MATCH("borough",Development_Data_Book[[#Headers],[DEVELOPMENT]:[BOROUGH]],0),FALSE)</f>
        <v>BROOKLYN</v>
      </c>
      <c r="C23" t="e">
        <f>VLOOKUP(Data[[#This Row],[DEVELOPMENT]],'[1]Cheat-Sheet'!$D$2:$Q$341,2,FALSE)</f>
        <v>#N/A</v>
      </c>
      <c r="D23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23">
        <f>VLOOKUP(Data[[#This Row],[DEVELOPMENT]],Development_Data_Book[[DEVELOPMENT]:[BOROUGH]],21,FALSE)</f>
        <v>11</v>
      </c>
      <c r="F23">
        <f>VLOOKUP(Data[[#This Row],[DEVELOPMENT]],Development_Data_Book[[DEVELOPMENT]:[BOROUGH]],23,FALSE)</f>
        <v>58</v>
      </c>
      <c r="G23">
        <f>VLOOKUP(Data[[#This Row],[DEVELOPMENT]],Development_Data_Book[[DEVELOPMENT]:[BOROUGH]],12,FALSE)</f>
        <v>369</v>
      </c>
      <c r="H23" t="s">
        <v>2246</v>
      </c>
      <c r="I23">
        <v>4</v>
      </c>
      <c r="J23">
        <f>IFERROR(VLOOKUP(Data[[#This Row],[DEVELOPMENT]],IntCompactors_MRST[],4,FALSE),0)</f>
        <v>7</v>
      </c>
      <c r="K23" s="20">
        <f>IFERROR(VLOOKUP(Data[[#This Row],[DEVELOPMENT]],ExtCompactors_MRST[],4,FALSE),0)</f>
        <v>0</v>
      </c>
      <c r="L23" s="27">
        <f>IF(Data[[#This Row],['# Interior Compactors MRST]]=0,"",VLOOKUP(Data[[#This Row],[DEVELOPMENT]],IntCompactors_MRST[],5,FALSE))</f>
        <v>36251</v>
      </c>
      <c r="M23" s="28" t="str">
        <f>IF(Data[[#This Row],['# Exterior Compactors MRST]]=0,"",VLOOKUP(Data[[#This Row],[DEVELOPMENT]],ExtCompactors_MRST[],5,FALSE))</f>
        <v/>
      </c>
      <c r="N23">
        <f>Data[[#This Row],['# Interior Compactors MRST]]</f>
        <v>7</v>
      </c>
      <c r="O23" s="20">
        <f>IF(Data[[#This Row],['# Bulk Crushers]]=0,1,0)</f>
        <v>1</v>
      </c>
      <c r="P23" s="20">
        <f>1</f>
        <v>1</v>
      </c>
      <c r="Q23" s="20">
        <f>1</f>
        <v>1</v>
      </c>
      <c r="R23" s="20">
        <f>1</f>
        <v>1</v>
      </c>
      <c r="S23" s="20">
        <f>1</f>
        <v>1</v>
      </c>
      <c r="T23" s="20">
        <f>IF(Data[[#This Row],[Sewershed]]="Newtown Creek",Data[[#This Row],[DUs]],0)</f>
        <v>369</v>
      </c>
      <c r="U2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3" s="82">
        <f>VLOOKUP(Data[[#This Row],[DEVELOPMENT]],Development_Data_Book[[DEVELOPMENT]:[BOROUGH]],3,FALSE)</f>
        <v>210</v>
      </c>
      <c r="Y23" s="20" t="s">
        <v>2599</v>
      </c>
      <c r="Z23" s="20">
        <f>IFERROR(VLOOKUP(Data[[#This Row],[TDS]],ExtCompactors_PNA[[Development]:[0]],2,FALSE),0)</f>
        <v>0</v>
      </c>
      <c r="AA23" s="20">
        <f>IFERROR(VLOOKUP(Data[[#This Row],[TDS]],IntCompactors_PNA[[TDS]:[0]],2,FALSE),0)</f>
        <v>6</v>
      </c>
      <c r="AB23" s="20"/>
      <c r="AC23" s="20"/>
      <c r="AD23" s="20">
        <f>IFERROR(VLOOKUP(Data[[#This Row],[TDS]],ExtCompactors_PNA[[Development]:[0]],3,FALSE)+VLOOKUP(Data[[#This Row],[TDS]],ExtCompactors_PNA[[Development]:[0]],6,FALSE),0)</f>
        <v>0</v>
      </c>
      <c r="AE23" s="20">
        <f>IFERROR(VLOOKUP(Data[[#This Row],[TDS]],IntCompactors_PNA[[TDS]:[0]],3,FALSE)+VLOOKUP(Data[[#This Row],[TDS]],IntCompactors_PNA[[TDS]:[0]],6,FALSE),0)</f>
        <v>6</v>
      </c>
      <c r="AF23" s="20" t="e">
        <f>VLOOKUP(Data[[#This Row],[DEVELOPMENT]],[3]Developments!$A$2:$A$312,1,FALSE)</f>
        <v>#N/A</v>
      </c>
      <c r="AG23" s="20">
        <f>IFERROR(VLOOKUP(Data[[#This Row],[DEVELOPMENT]],Ops_Priorities_and_Data_Clean[[development]:[ifnoext_comment]],3,FALSE),"")</f>
        <v>0</v>
      </c>
      <c r="AH23" s="20">
        <f>IFERROR(VLOOKUP(Data[[#This Row],[DEVELOPMENT]],Ops_Priorities_and_Data_Clean[[development]:[ifnoext_comment]],4,FALSE),"")</f>
        <v>0</v>
      </c>
      <c r="AI23" s="20">
        <f>IFERROR(VLOOKUP(Data[[#This Row],[DEVELOPMENT]],Ops_Priorities_and_Data_Clean[[development]:[ifnoext_comment]],5,FALSE),"")</f>
        <v>0</v>
      </c>
      <c r="AJ23" s="20">
        <f>IFERROR(VLOOKUP(Data[[#This Row],[DEVELOPMENT]],Ops_Priorities_and_Data_Clean[[development]:[ifnoext_comment]],6,FALSE),"")</f>
        <v>0</v>
      </c>
      <c r="AK23" s="20">
        <f>IFERROR(VLOOKUP(Data[[#This Row],[DEVELOPMENT]],Ops_Priorities_and_Data_Clean[[development]:[ifnoext_comment]],7,FALSE),"")</f>
        <v>1</v>
      </c>
      <c r="AL23" s="20">
        <f>IFERROR(VLOOKUP(Data[[#This Row],[DEVELOPMENT]],Ops_Priorities_and_Data_Clean[[development]:[ifnoext_comment]],8,FALSE),"")</f>
        <v>1</v>
      </c>
      <c r="AM23" s="20">
        <f>IFERROR(VLOOKUP(Data[[#This Row],[DEVELOPMENT]],Ops_Priorities_and_Data_Clean[[development]:[ifnoext_comment]],9,FALSE),"")</f>
        <v>1</v>
      </c>
      <c r="AN23" s="20">
        <f>IFERROR(VLOOKUP(Data[[#This Row],[DEVELOPMENT]],Ops_Priorities_and_Data_Clean[[development]:[ifnoext_comment]],10,FALSE),"")</f>
        <v>0</v>
      </c>
      <c r="AO23" s="20">
        <f>IFERROR(VLOOKUP(Data[[#This Row],[DEVELOPMENT]],Ops_Priorities_and_Data_Clean[[development]:[ifnoext_comment]],11,FALSE),"")</f>
        <v>0</v>
      </c>
      <c r="AP23" s="20">
        <f>IFERROR(VLOOKUP(Data[[#This Row],[DEVELOPMENT]],Ops_Priorities_and_Data_Clean[[development]:[ifnoext_comment]],12,FALSE),"")</f>
        <v>0</v>
      </c>
      <c r="AQ23" s="20">
        <f>VLOOKUP(Data[[#This Row],[DEVELOPMENT]],Ops_Priorities_and_Data_Clean[[development]:[ifnoext_comment]],14,FALSE)</f>
        <v>1</v>
      </c>
      <c r="AR23" s="20">
        <f>VLOOKUP(Data[[#This Row],[DEVELOPMENT]],Ops_Priorities_and_Data_Clean[[development]:[ifnoext_comment]],15,FALSE)</f>
        <v>0</v>
      </c>
      <c r="AS23" s="20" t="str">
        <f>VLOOKUP(Data[[#This Row],[DEVELOPMENT]],Ops_Priorities_and_Data_Clean[[development]:[ifnoext_comment]],16,FALSE)</f>
        <v>NULL</v>
      </c>
      <c r="AT23" s="20" t="str">
        <f>VLOOKUP(Data[[#This Row],[DEVELOPMENT]],Ops_Priorities_and_Data_Clean[[development]:[ifnoext_comment]],17,FALSE)</f>
        <v>NULL</v>
      </c>
      <c r="AU23" s="20" t="str">
        <f>VLOOKUP(Data[[#This Row],[DEVELOPMENT]],Ops_Priorities_and_Data_Clean[[development]:[ifnoext_comment]],18,FALSE)</f>
        <v>yes</v>
      </c>
      <c r="AV23" s="20" t="str">
        <f>VLOOKUP(Data[[#This Row],[DEVELOPMENT]],Ops_Priorities_and_Data_Clean[[development]:[ifnoext_comment]],19,FALSE)</f>
        <v>Curbside pickup for DSNY</v>
      </c>
      <c r="AW23" s="20" t="str">
        <f>VLOOKUP(Data[[#This Row],[DEVELOPMENT]],Ops_Priorities_and_Data_Clean[[development]:[ifnoext_comment]],20,FALSE)</f>
        <v xml:space="preserve">They are a scattered site but you could put an exterior compactor at 396 and 388 Clifton where there's a gated parking lot, but the rest of them would have to still be DSNY curbside. </v>
      </c>
      <c r="AX23" s="104" t="s">
        <v>2238</v>
      </c>
      <c r="AY23" s="104" t="s">
        <v>2600</v>
      </c>
      <c r="AZ23" s="20" t="str">
        <f>VLOOKUP(Data[[#This Row],[DEVELOPMENT]],Development_Data_Book[[DEVELOPMENT]:[PRIVATE MANAGEMENT]],8,FALSE)</f>
        <v>FEDERAL</v>
      </c>
      <c r="BA23" s="104" t="s">
        <v>2613</v>
      </c>
      <c r="BB23" s="20">
        <f>VLOOKUP(Data[[#This Row],[DEVELOPMENT]],Development_Data_Book[[DEVELOPMENT]:[PRIVATE MANAGEMENT]],22,FALSE)</f>
        <v>1</v>
      </c>
      <c r="BC23" s="20">
        <f>Data[[#This Row],[Non-Dwelling Buildings]]+Data[[#This Row],[Dwelling Buildings]]</f>
        <v>12</v>
      </c>
      <c r="BD23" s="20">
        <f>VLOOKUP(Data[[#This Row],[DEVELOPMENT]],Development_Data_Book[[DEVELOPMENT]:[PRIVATE MANAGEMENT]],26,FALSE)</f>
        <v>5.64</v>
      </c>
      <c r="BE23" s="106">
        <v>399300</v>
      </c>
      <c r="BF23" s="20">
        <f>VLOOKUP(Data[[#This Row],[DEVELOPMENT]],Development_Data_Book[[DEVELOPMENT]:[PRIVATE MANAGEMENT]],18,FALSE)</f>
        <v>977</v>
      </c>
      <c r="BG23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23" s="104" t="s">
        <v>2601</v>
      </c>
      <c r="BI23" t="s">
        <v>184</v>
      </c>
      <c r="BJ23" s="20">
        <f>VLOOKUP(Data[[#This Row],[DEVELOPMENT]],Development_Data_Book[[DEVELOPMENT]:[PRIVATE MANAGEMENT]],41,FALSE)</f>
        <v>3</v>
      </c>
      <c r="BK23" s="20">
        <f>VLOOKUP(Data[[#This Row],[DEVELOPMENT]],Development_Data_Book[[DEVELOPMENT]:[PRIVATE MANAGEMENT]],42,FALSE)</f>
        <v>8</v>
      </c>
      <c r="BL23" s="20">
        <f>VLOOKUP(Data[[#This Row],[DEVELOPMENT]],Development_Data_Book[[DEVELOPMENT]:[PRIVATE MANAGEMENT]],43,FALSE)</f>
        <v>25</v>
      </c>
      <c r="BM23" s="20" t="str">
        <f>VLOOKUP(Data[[#This Row],[DEVELOPMENT]],Development_Data_Book[[DEVELOPMENT]:[PRIVATE MANAGEMENT]],44,FALSE)</f>
        <v>56, 57</v>
      </c>
      <c r="BN23" s="20">
        <f>VLOOKUP(Data[[#This Row],[DEVELOPMENT]],Development_Data_Book[[DEVELOPMENT]:[PRIVATE MANAGEMENT]],45,FALSE)</f>
        <v>36</v>
      </c>
      <c r="BO23" s="20">
        <f>VLOOKUP(Data[[#This Row],[DEVELOPMENT]],Development_Data_Book[[DEVELOPMENT]:[PRIVATE MANAGEMENT]],24,FALSE)</f>
        <v>38780</v>
      </c>
    </row>
    <row r="24" spans="1:67">
      <c r="A24" s="17" t="s">
        <v>230</v>
      </c>
      <c r="B24" t="str">
        <f>VLOOKUP(Data[[#This Row],[DEVELOPMENT]],Development_Data_Book[[DEVELOPMENT]:[BOROUGH]],MATCH("borough",Development_Data_Book[[#Headers],[DEVELOPMENT]:[BOROUGH]],0),FALSE)</f>
        <v>BROOKLYN</v>
      </c>
      <c r="C24" t="e">
        <f>VLOOKUP(Data[[#This Row],[DEVELOPMENT]],'[1]Cheat-Sheet'!$D$2:$Q$341,2,FALSE)</f>
        <v>#N/A</v>
      </c>
      <c r="D24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24">
        <f>VLOOKUP(Data[[#This Row],[DEVELOPMENT]],Development_Data_Book[[DEVELOPMENT]:[BOROUGH]],21,FALSE)</f>
        <v>5</v>
      </c>
      <c r="F24">
        <f>VLOOKUP(Data[[#This Row],[DEVELOPMENT]],Development_Data_Book[[DEVELOPMENT]:[BOROUGH]],23,FALSE)</f>
        <v>17</v>
      </c>
      <c r="G24">
        <f>VLOOKUP(Data[[#This Row],[DEVELOPMENT]],Development_Data_Book[[DEVELOPMENT]:[BOROUGH]],12,FALSE)</f>
        <v>248</v>
      </c>
      <c r="H24" t="s">
        <v>2246</v>
      </c>
      <c r="I24">
        <v>4</v>
      </c>
      <c r="J24">
        <f>IFERROR(VLOOKUP(Data[[#This Row],[DEVELOPMENT]],IntCompactors_MRST[],4,FALSE),0)</f>
        <v>9</v>
      </c>
      <c r="K24" s="20">
        <f>IFERROR(VLOOKUP(Data[[#This Row],[DEVELOPMENT]],ExtCompactors_MRST[],4,FALSE),0)</f>
        <v>0</v>
      </c>
      <c r="L24" s="27">
        <f>IF(Data[[#This Row],['# Interior Compactors MRST]]=0,"",VLOOKUP(Data[[#This Row],[DEVELOPMENT]],IntCompactors_MRST[],5,FALSE))</f>
        <v>38077</v>
      </c>
      <c r="M24" s="28" t="str">
        <f>IF(Data[[#This Row],['# Exterior Compactors MRST]]=0,"",VLOOKUP(Data[[#This Row],[DEVELOPMENT]],ExtCompactors_MRST[],5,FALSE))</f>
        <v/>
      </c>
      <c r="N24">
        <f>Data[[#This Row],['# Interior Compactors MRST]]</f>
        <v>9</v>
      </c>
      <c r="O24" s="20">
        <f>IF(Data[[#This Row],['# Bulk Crushers]]=0,1,0)</f>
        <v>1</v>
      </c>
      <c r="P24" s="20">
        <f>1</f>
        <v>1</v>
      </c>
      <c r="Q24" s="20">
        <f>1</f>
        <v>1</v>
      </c>
      <c r="R24" s="20">
        <f>1</f>
        <v>1</v>
      </c>
      <c r="S24" s="20">
        <f>1</f>
        <v>1</v>
      </c>
      <c r="T24" s="20">
        <f>IF(Data[[#This Row],[Sewershed]]="Newtown Creek",Data[[#This Row],[DUs]],0)</f>
        <v>248</v>
      </c>
      <c r="U2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4" s="82">
        <f>VLOOKUP(Data[[#This Row],[DEVELOPMENT]],Development_Data_Book[[DEVELOPMENT]:[BOROUGH]],3,FALSE)</f>
        <v>228</v>
      </c>
      <c r="Y24" s="20" t="s">
        <v>2599</v>
      </c>
      <c r="Z24" s="20">
        <f>IFERROR(VLOOKUP(Data[[#This Row],[TDS]],ExtCompactors_PNA[[Development]:[0]],2,FALSE),0)</f>
        <v>0</v>
      </c>
      <c r="AA24" s="20">
        <f>IFERROR(VLOOKUP(Data[[#This Row],[TDS]],IntCompactors_PNA[[TDS]:[0]],2,FALSE),0)</f>
        <v>10</v>
      </c>
      <c r="AB24" s="20"/>
      <c r="AC24" s="20"/>
      <c r="AD24" s="20">
        <f>IFERROR(VLOOKUP(Data[[#This Row],[TDS]],ExtCompactors_PNA[[Development]:[0]],3,FALSE)+VLOOKUP(Data[[#This Row],[TDS]],ExtCompactors_PNA[[Development]:[0]],6,FALSE),0)</f>
        <v>0</v>
      </c>
      <c r="AE24" s="20">
        <f>IFERROR(VLOOKUP(Data[[#This Row],[TDS]],IntCompactors_PNA[[TDS]:[0]],3,FALSE)+VLOOKUP(Data[[#This Row],[TDS]],IntCompactors_PNA[[TDS]:[0]],6,FALSE),0)</f>
        <v>10</v>
      </c>
      <c r="AF24" s="20" t="e">
        <f>VLOOKUP(Data[[#This Row],[DEVELOPMENT]],[3]Developments!$A$2:$A$312,1,FALSE)</f>
        <v>#N/A</v>
      </c>
      <c r="AG24" s="20">
        <f>IFERROR(VLOOKUP(Data[[#This Row],[DEVELOPMENT]],Ops_Priorities_and_Data_Clean[[development]:[ifnoext_comment]],3,FALSE),"")</f>
        <v>0</v>
      </c>
      <c r="AH24" s="20">
        <f>IFERROR(VLOOKUP(Data[[#This Row],[DEVELOPMENT]],Ops_Priorities_and_Data_Clean[[development]:[ifnoext_comment]],4,FALSE),"")</f>
        <v>0</v>
      </c>
      <c r="AI24" s="20">
        <f>IFERROR(VLOOKUP(Data[[#This Row],[DEVELOPMENT]],Ops_Priorities_and_Data_Clean[[development]:[ifnoext_comment]],5,FALSE),"")</f>
        <v>0</v>
      </c>
      <c r="AJ24" s="20">
        <f>IFERROR(VLOOKUP(Data[[#This Row],[DEVELOPMENT]],Ops_Priorities_and_Data_Clean[[development]:[ifnoext_comment]],6,FALSE),"")</f>
        <v>0</v>
      </c>
      <c r="AK24" s="20">
        <f>IFERROR(VLOOKUP(Data[[#This Row],[DEVELOPMENT]],Ops_Priorities_and_Data_Clean[[development]:[ifnoext_comment]],7,FALSE),"")</f>
        <v>1</v>
      </c>
      <c r="AL24" s="20">
        <f>IFERROR(VLOOKUP(Data[[#This Row],[DEVELOPMENT]],Ops_Priorities_and_Data_Clean[[development]:[ifnoext_comment]],8,FALSE),"")</f>
        <v>1</v>
      </c>
      <c r="AM24" s="20">
        <f>IFERROR(VLOOKUP(Data[[#This Row],[DEVELOPMENT]],Ops_Priorities_and_Data_Clean[[development]:[ifnoext_comment]],9,FALSE),"")</f>
        <v>0</v>
      </c>
      <c r="AN24" s="20">
        <f>IFERROR(VLOOKUP(Data[[#This Row],[DEVELOPMENT]],Ops_Priorities_and_Data_Clean[[development]:[ifnoext_comment]],10,FALSE),"")</f>
        <v>0</v>
      </c>
      <c r="AO24" s="20">
        <f>IFERROR(VLOOKUP(Data[[#This Row],[DEVELOPMENT]],Ops_Priorities_and_Data_Clean[[development]:[ifnoext_comment]],11,FALSE),"")</f>
        <v>0</v>
      </c>
      <c r="AP24" s="20">
        <f>IFERROR(VLOOKUP(Data[[#This Row],[DEVELOPMENT]],Ops_Priorities_and_Data_Clean[[development]:[ifnoext_comment]],12,FALSE),"")</f>
        <v>0</v>
      </c>
      <c r="AQ24" s="20">
        <f>VLOOKUP(Data[[#This Row],[DEVELOPMENT]],Ops_Priorities_and_Data_Clean[[development]:[ifnoext_comment]],14,FALSE)</f>
        <v>1</v>
      </c>
      <c r="AR24" s="20">
        <f>VLOOKUP(Data[[#This Row],[DEVELOPMENT]],Ops_Priorities_and_Data_Clean[[development]:[ifnoext_comment]],15,FALSE)</f>
        <v>0</v>
      </c>
      <c r="AS24" s="20" t="str">
        <f>VLOOKUP(Data[[#This Row],[DEVELOPMENT]],Ops_Priorities_and_Data_Clean[[development]:[ifnoext_comment]],16,FALSE)</f>
        <v>NULL</v>
      </c>
      <c r="AT24" s="20" t="str">
        <f>VLOOKUP(Data[[#This Row],[DEVELOPMENT]],Ops_Priorities_and_Data_Clean[[development]:[ifnoext_comment]],17,FALSE)</f>
        <v>NULL</v>
      </c>
      <c r="AU24" s="20" t="str">
        <f>VLOOKUP(Data[[#This Row],[DEVELOPMENT]],Ops_Priorities_and_Data_Clean[[development]:[ifnoext_comment]],18,FALSE)</f>
        <v>yes</v>
      </c>
      <c r="AV24" s="20" t="str">
        <f>VLOOKUP(Data[[#This Row],[DEVELOPMENT]],Ops_Priorities_and_Data_Clean[[development]:[ifnoext_comment]],19,FALSE)</f>
        <v>Curbside pickup for DSNY</v>
      </c>
      <c r="AW24" s="20" t="str">
        <f>VLOOKUP(Data[[#This Row],[DEVELOPMENT]],Ops_Priorities_and_Data_Clean[[development]:[ifnoext_comment]],20,FALSE)</f>
        <v>NULL</v>
      </c>
      <c r="AX24" s="104" t="s">
        <v>2238</v>
      </c>
      <c r="AY24" s="104" t="s">
        <v>2600</v>
      </c>
      <c r="AZ24" s="20" t="str">
        <f>VLOOKUP(Data[[#This Row],[DEVELOPMENT]],Development_Data_Book[[DEVELOPMENT]:[PRIVATE MANAGEMENT]],8,FALSE)</f>
        <v>FEDERAL</v>
      </c>
      <c r="BA24" s="104" t="s">
        <v>2588</v>
      </c>
      <c r="BB24" s="20">
        <f>VLOOKUP(Data[[#This Row],[DEVELOPMENT]],Development_Data_Book[[DEVELOPMENT]:[PRIVATE MANAGEMENT]],22,FALSE)</f>
        <v>1</v>
      </c>
      <c r="BC24" s="20">
        <f>Data[[#This Row],[Non-Dwelling Buildings]]+Data[[#This Row],[Dwelling Buildings]]</f>
        <v>6</v>
      </c>
      <c r="BD24" s="20">
        <f>VLOOKUP(Data[[#This Row],[DEVELOPMENT]],Development_Data_Book[[DEVELOPMENT]:[PRIVATE MANAGEMENT]],26,FALSE)</f>
        <v>3.72</v>
      </c>
      <c r="BE24" s="106">
        <v>306100</v>
      </c>
      <c r="BF24" s="20">
        <f>VLOOKUP(Data[[#This Row],[DEVELOPMENT]],Development_Data_Book[[DEVELOPMENT]:[PRIVATE MANAGEMENT]],18,FALSE)</f>
        <v>702</v>
      </c>
      <c r="BG2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" s="104" t="s">
        <v>2601</v>
      </c>
      <c r="BI24" t="s">
        <v>184</v>
      </c>
      <c r="BJ24" s="20">
        <f>VLOOKUP(Data[[#This Row],[DEVELOPMENT]],Development_Data_Book[[DEVELOPMENT]:[PRIVATE MANAGEMENT]],41,FALSE)</f>
        <v>3</v>
      </c>
      <c r="BK24" s="20">
        <f>VLOOKUP(Data[[#This Row],[DEVELOPMENT]],Development_Data_Book[[DEVELOPMENT]:[PRIVATE MANAGEMENT]],42,FALSE)</f>
        <v>8</v>
      </c>
      <c r="BL24" s="20">
        <f>VLOOKUP(Data[[#This Row],[DEVELOPMENT]],Development_Data_Book[[DEVELOPMENT]:[PRIVATE MANAGEMENT]],43,FALSE)</f>
        <v>25</v>
      </c>
      <c r="BM24" s="20">
        <f>VLOOKUP(Data[[#This Row],[DEVELOPMENT]],Development_Data_Book[[DEVELOPMENT]:[PRIVATE MANAGEMENT]],44,FALSE)</f>
        <v>56</v>
      </c>
      <c r="BN24" s="20">
        <f>VLOOKUP(Data[[#This Row],[DEVELOPMENT]],Development_Data_Book[[DEVELOPMENT]:[PRIVATE MANAGEMENT]],45,FALSE)</f>
        <v>36</v>
      </c>
      <c r="BO24" s="20">
        <f>VLOOKUP(Data[[#This Row],[DEVELOPMENT]],Development_Data_Book[[DEVELOPMENT]:[PRIVATE MANAGEMENT]],24,FALSE)</f>
        <v>4</v>
      </c>
    </row>
    <row r="25" spans="1:67">
      <c r="A25" t="s">
        <v>272</v>
      </c>
      <c r="B25" s="20" t="str">
        <f>VLOOKUP(Data[[#This Row],[DEVELOPMENT]],Development_Data_Book[[DEVELOPMENT]:[BOROUGH]],MATCH("borough",Development_Data_Book[[#Headers],[DEVELOPMENT]:[BOROUGH]],0),FALSE)</f>
        <v>QUEENS</v>
      </c>
      <c r="C25" s="20" t="e">
        <f>VLOOKUP(Data[[#This Row],[DEVELOPMENT]],'[1]Cheat-Sheet'!$D$2:$Q$341,2,FALSE)</f>
        <v>#N/A</v>
      </c>
      <c r="D2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5" s="20">
        <f>VLOOKUP(Data[[#This Row],[DEVELOPMENT]],Development_Data_Book[[DEVELOPMENT]:[BOROUGH]],21,FALSE)</f>
        <v>22</v>
      </c>
      <c r="F25" s="20">
        <f>VLOOKUP(Data[[#This Row],[DEVELOPMENT]],Development_Data_Book[[DEVELOPMENT]:[BOROUGH]],23,FALSE)</f>
        <v>22</v>
      </c>
      <c r="G25" s="20">
        <f>VLOOKUP(Data[[#This Row],[DEVELOPMENT]],Development_Data_Book[[DEVELOPMENT]:[BOROUGH]],12,FALSE)</f>
        <v>1104</v>
      </c>
      <c r="J25">
        <f>IFERROR(VLOOKUP(Data[[#This Row],[DEVELOPMENT]],IntCompactors_MRST[],4,FALSE),0)</f>
        <v>22</v>
      </c>
      <c r="K25" s="20">
        <f>IFERROR(VLOOKUP(Data[[#This Row],[DEVELOPMENT]],ExtCompactors_MRST[],4,FALSE),0)</f>
        <v>3</v>
      </c>
      <c r="L25" s="27">
        <f>IF(Data[[#This Row],['# Interior Compactors MRST]]=0,"",VLOOKUP(Data[[#This Row],[DEVELOPMENT]],IntCompactors_MRST[],5,FALSE))</f>
        <v>37257</v>
      </c>
      <c r="M25" s="28">
        <f>IF(Data[[#This Row],['# Exterior Compactors MRST]]=0,"",VLOOKUP(Data[[#This Row],[DEVELOPMENT]],ExtCompactors_MRST[],5,FALSE))</f>
        <v>37705</v>
      </c>
      <c r="N25" s="20">
        <f>Data[[#This Row],['# Interior Compactors MRST]]</f>
        <v>22</v>
      </c>
      <c r="O25" s="20">
        <f>IF(Data[[#This Row],['# Bulk Crushers]]=0,1,0)</f>
        <v>1</v>
      </c>
      <c r="P25" s="20">
        <f>1</f>
        <v>1</v>
      </c>
      <c r="Q25" s="20">
        <f>1</f>
        <v>1</v>
      </c>
      <c r="R25" s="20">
        <f>1</f>
        <v>1</v>
      </c>
      <c r="S25" s="20">
        <f>1</f>
        <v>1</v>
      </c>
      <c r="T25" s="20">
        <f>IF(Data[[#This Row],[Sewershed]]="Newtown Creek",Data[[#This Row],[DUs]],0)</f>
        <v>0</v>
      </c>
      <c r="U2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5" s="82">
        <f>VLOOKUP(Data[[#This Row],[DEVELOPMENT]],Development_Data_Book[[DEVELOPMENT]:[BOROUGH]],3,FALSE)</f>
        <v>26</v>
      </c>
      <c r="Y25" s="20"/>
      <c r="Z25" s="20">
        <f>IFERROR(VLOOKUP(Data[[#This Row],[TDS]],ExtCompactors_PNA[[Development]:[0]],2,FALSE),0)</f>
        <v>3</v>
      </c>
      <c r="AA25" s="20">
        <f>IFERROR(VLOOKUP(Data[[#This Row],[TDS]],IntCompactors_PNA[[TDS]:[0]],2,FALSE),0)</f>
        <v>22</v>
      </c>
      <c r="AB25" s="20"/>
      <c r="AC25" s="20"/>
      <c r="AD25" s="20">
        <f>IFERROR(VLOOKUP(Data[[#This Row],[TDS]],ExtCompactors_PNA[[Development]:[0]],3,FALSE)+VLOOKUP(Data[[#This Row],[TDS]],ExtCompactors_PNA[[Development]:[0]],6,FALSE),0)</f>
        <v>3</v>
      </c>
      <c r="AE25" s="20">
        <f>IFERROR(VLOOKUP(Data[[#This Row],[TDS]],IntCompactors_PNA[[TDS]:[0]],3,FALSE)+VLOOKUP(Data[[#This Row],[TDS]],IntCompactors_PNA[[TDS]:[0]],6,FALSE),0)</f>
        <v>22</v>
      </c>
      <c r="AF25" s="20" t="e">
        <f>VLOOKUP(Data[[#This Row],[DEVELOPMENT]],[3]Developments!$A$2:$A$312,1,FALSE)</f>
        <v>#N/A</v>
      </c>
      <c r="AG25" s="20">
        <f>IFERROR(VLOOKUP(Data[[#This Row],[DEVELOPMENT]],Ops_Priorities_and_Data_Clean[[development]:[ifnoext_comment]],3,FALSE),"")</f>
        <v>3</v>
      </c>
      <c r="AH25" s="20">
        <f>IFERROR(VLOOKUP(Data[[#This Row],[DEVELOPMENT]],Ops_Priorities_and_Data_Clean[[development]:[ifnoext_comment]],4,FALSE),"")</f>
        <v>3</v>
      </c>
      <c r="AI25" s="20">
        <f>IFERROR(VLOOKUP(Data[[#This Row],[DEVELOPMENT]],Ops_Priorities_and_Data_Clean[[development]:[ifnoext_comment]],5,FALSE),"")</f>
        <v>1</v>
      </c>
      <c r="AJ25" s="20">
        <f>IFERROR(VLOOKUP(Data[[#This Row],[DEVELOPMENT]],Ops_Priorities_and_Data_Clean[[development]:[ifnoext_comment]],6,FALSE),"")</f>
        <v>0</v>
      </c>
      <c r="AK25" s="20">
        <f>IFERROR(VLOOKUP(Data[[#This Row],[DEVELOPMENT]],Ops_Priorities_and_Data_Clean[[development]:[ifnoext_comment]],7,FALSE),"")</f>
        <v>0</v>
      </c>
      <c r="AL25" s="20">
        <f>IFERROR(VLOOKUP(Data[[#This Row],[DEVELOPMENT]],Ops_Priorities_and_Data_Clean[[development]:[ifnoext_comment]],8,FALSE),"")</f>
        <v>1</v>
      </c>
      <c r="AM25" s="20">
        <f>IFERROR(VLOOKUP(Data[[#This Row],[DEVELOPMENT]],Ops_Priorities_and_Data_Clean[[development]:[ifnoext_comment]],9,FALSE),"")</f>
        <v>0</v>
      </c>
      <c r="AN25" s="20">
        <f>IFERROR(VLOOKUP(Data[[#This Row],[DEVELOPMENT]],Ops_Priorities_and_Data_Clean[[development]:[ifnoext_comment]],10,FALSE),"")</f>
        <v>3</v>
      </c>
      <c r="AO25" s="20">
        <f>IFERROR(VLOOKUP(Data[[#This Row],[DEVELOPMENT]],Ops_Priorities_and_Data_Clean[[development]:[ifnoext_comment]],11,FALSE),"")</f>
        <v>3</v>
      </c>
      <c r="AP25" s="20">
        <f>IFERROR(VLOOKUP(Data[[#This Row],[DEVELOPMENT]],Ops_Priorities_and_Data_Clean[[development]:[ifnoext_comment]],12,FALSE),"")</f>
        <v>3</v>
      </c>
      <c r="AQ25" s="20">
        <f>VLOOKUP(Data[[#This Row],[DEVELOPMENT]],Ops_Priorities_and_Data_Clean[[development]:[ifnoext_comment]],14,FALSE)</f>
        <v>0</v>
      </c>
      <c r="AR25" s="20">
        <f>VLOOKUP(Data[[#This Row],[DEVELOPMENT]],Ops_Priorities_and_Data_Clean[[development]:[ifnoext_comment]],15,FALSE)</f>
        <v>0</v>
      </c>
      <c r="AS25" s="20" t="str">
        <f>VLOOKUP(Data[[#This Row],[DEVELOPMENT]],Ops_Priorities_and_Data_Clean[[development]:[ifnoext_comment]],16,FALSE)</f>
        <v>NULL</v>
      </c>
      <c r="AT25" s="20" t="str">
        <f>VLOOKUP(Data[[#This Row],[DEVELOPMENT]],Ops_Priorities_and_Data_Clean[[development]:[ifnoext_comment]],17,FALSE)</f>
        <v>NULL</v>
      </c>
      <c r="AU25" s="20" t="str">
        <f>VLOOKUP(Data[[#This Row],[DEVELOPMENT]],Ops_Priorities_and_Data_Clean[[development]:[ifnoext_comment]],18,FALSE)</f>
        <v>NULL</v>
      </c>
      <c r="AV25" s="20" t="str">
        <f>VLOOKUP(Data[[#This Row],[DEVELOPMENT]],Ops_Priorities_and_Data_Clean[[development]:[ifnoext_comment]],19,FALSE)</f>
        <v>NULL</v>
      </c>
      <c r="AW25" s="20" t="str">
        <f>VLOOKUP(Data[[#This Row],[DEVELOPMENT]],Ops_Priorities_and_Data_Clean[[development]:[ifnoext_comment]],20,FALSE)</f>
        <v xml:space="preserve">They already have three compactors </v>
      </c>
      <c r="AX25" s="104" t="s">
        <v>2614</v>
      </c>
      <c r="AY25" s="104" t="s">
        <v>272</v>
      </c>
      <c r="AZ25" s="20" t="str">
        <f>VLOOKUP(Data[[#This Row],[DEVELOPMENT]],Development_Data_Book[[DEVELOPMENT]:[PRIVATE MANAGEMENT]],8,FALSE)</f>
        <v>FEDERAL</v>
      </c>
      <c r="BA25" s="104" t="s">
        <v>2586</v>
      </c>
      <c r="BB25" s="20">
        <f>VLOOKUP(Data[[#This Row],[DEVELOPMENT]],Development_Data_Book[[DEVELOPMENT]:[PRIVATE MANAGEMENT]],22,FALSE)</f>
        <v>1</v>
      </c>
      <c r="BC25" s="20">
        <f>Data[[#This Row],[Non-Dwelling Buildings]]+Data[[#This Row],[Dwelling Buildings]]</f>
        <v>23</v>
      </c>
      <c r="BD25" s="20">
        <f>VLOOKUP(Data[[#This Row],[DEVELOPMENT]],Development_Data_Book[[DEVELOPMENT]:[PRIVATE MANAGEMENT]],26,FALSE)</f>
        <v>32.299999999999997</v>
      </c>
      <c r="BE25" s="106">
        <v>1211610</v>
      </c>
      <c r="BF25" s="20">
        <f>VLOOKUP(Data[[#This Row],[DEVELOPMENT]],Development_Data_Book[[DEVELOPMENT]:[PRIVATE MANAGEMENT]],18,FALSE)</f>
        <v>3032</v>
      </c>
      <c r="BG2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5" s="104" t="s">
        <v>2615</v>
      </c>
      <c r="BI25" t="s">
        <v>184</v>
      </c>
      <c r="BJ25" s="20">
        <f>VLOOKUP(Data[[#This Row],[DEVELOPMENT]],Development_Data_Book[[DEVELOPMENT]:[PRIVATE MANAGEMENT]],41,FALSE)</f>
        <v>1</v>
      </c>
      <c r="BK25" s="20">
        <f>VLOOKUP(Data[[#This Row],[DEVELOPMENT]],Development_Data_Book[[DEVELOPMENT]:[PRIVATE MANAGEMENT]],42,FALSE)</f>
        <v>12</v>
      </c>
      <c r="BL25" s="20">
        <f>VLOOKUP(Data[[#This Row],[DEVELOPMENT]],Development_Data_Book[[DEVELOPMENT]:[PRIVATE MANAGEMENT]],43,FALSE)</f>
        <v>12</v>
      </c>
      <c r="BM25" s="20">
        <f>VLOOKUP(Data[[#This Row],[DEVELOPMENT]],Development_Data_Book[[DEVELOPMENT]:[PRIVATE MANAGEMENT]],44,FALSE)</f>
        <v>37</v>
      </c>
      <c r="BN25" s="20">
        <f>VLOOKUP(Data[[#This Row],[DEVELOPMENT]],Development_Data_Book[[DEVELOPMENT]:[PRIVATE MANAGEMENT]],45,FALSE)</f>
        <v>22</v>
      </c>
      <c r="BO25" s="20">
        <f>VLOOKUP(Data[[#This Row],[DEVELOPMENT]],Development_Data_Book[[DEVELOPMENT]:[PRIVATE MANAGEMENT]],24,FALSE)</f>
        <v>43623</v>
      </c>
    </row>
    <row r="26" spans="1:67">
      <c r="A26" t="s">
        <v>299</v>
      </c>
      <c r="B26" s="20" t="str">
        <f>VLOOKUP(Data[[#This Row],[DEVELOPMENT]],Development_Data_Book[[DEVELOPMENT]:[BOROUGH]],MATCH("borough",Development_Data_Book[[#Headers],[DEVELOPMENT]:[BOROUGH]],0),FALSE)</f>
        <v>BROOKLYN</v>
      </c>
      <c r="C26" s="20" t="e">
        <f>VLOOKUP(Data[[#This Row],[DEVELOPMENT]],'[1]Cheat-Sheet'!$D$2:$Q$341,2,FALSE)</f>
        <v>#N/A</v>
      </c>
      <c r="D2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6" s="20">
        <f>VLOOKUP(Data[[#This Row],[DEVELOPMENT]],Development_Data_Book[[DEVELOPMENT]:[BOROUGH]],21,FALSE)</f>
        <v>1</v>
      </c>
      <c r="F26" s="20">
        <f>VLOOKUP(Data[[#This Row],[DEVELOPMENT]],Development_Data_Book[[DEVELOPMENT]:[BOROUGH]],23,FALSE)</f>
        <v>1</v>
      </c>
      <c r="G26" s="20">
        <f>VLOOKUP(Data[[#This Row],[DEVELOPMENT]],Development_Data_Book[[DEVELOPMENT]:[BOROUGH]],12,FALSE)</f>
        <v>299</v>
      </c>
      <c r="J26">
        <f>IFERROR(VLOOKUP(Data[[#This Row],[DEVELOPMENT]],IntCompactors_MRST[],4,FALSE),0)</f>
        <v>1</v>
      </c>
      <c r="K26" s="20">
        <f>IFERROR(VLOOKUP(Data[[#This Row],[DEVELOPMENT]],ExtCompactors_MRST[],4,FALSE),0)</f>
        <v>1</v>
      </c>
      <c r="L26" s="27">
        <f>IF(Data[[#This Row],['# Interior Compactors MRST]]=0,"",VLOOKUP(Data[[#This Row],[DEVELOPMENT]],IntCompactors_MRST[],5,FALSE))</f>
        <v>37987</v>
      </c>
      <c r="M26" s="28">
        <f>IF(Data[[#This Row],['# Exterior Compactors MRST]]=0,"",VLOOKUP(Data[[#This Row],[DEVELOPMENT]],ExtCompactors_MRST[],5,FALSE))</f>
        <v>38395</v>
      </c>
      <c r="N26" s="20">
        <f>Data[[#This Row],['# Interior Compactors MRST]]</f>
        <v>1</v>
      </c>
      <c r="O26" s="20">
        <f>IF(Data[[#This Row],['# Bulk Crushers]]=0,1,0)</f>
        <v>1</v>
      </c>
      <c r="P26" s="20">
        <f>1</f>
        <v>1</v>
      </c>
      <c r="Q26" s="20">
        <f>1</f>
        <v>1</v>
      </c>
      <c r="R26" s="20">
        <f>1</f>
        <v>1</v>
      </c>
      <c r="S26" s="20">
        <f>1</f>
        <v>1</v>
      </c>
      <c r="T26" s="20">
        <f>IF(Data[[#This Row],[Sewershed]]="Newtown Creek",Data[[#This Row],[DUs]],0)</f>
        <v>0</v>
      </c>
      <c r="U26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6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6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6" s="82">
        <f>VLOOKUP(Data[[#This Row],[DEVELOPMENT]],Development_Data_Book[[DEVELOPMENT]:[BOROUGH]],3,FALSE)</f>
        <v>256</v>
      </c>
      <c r="Y26" s="20"/>
      <c r="Z26" s="20">
        <f>IFERROR(VLOOKUP(Data[[#This Row],[TDS]],ExtCompactors_PNA[[Development]:[0]],2,FALSE),0)</f>
        <v>1</v>
      </c>
      <c r="AA26" s="20">
        <f>IFERROR(VLOOKUP(Data[[#This Row],[TDS]],IntCompactors_PNA[[TDS]:[0]],2,FALSE),0)</f>
        <v>2</v>
      </c>
      <c r="AB26" s="20"/>
      <c r="AC26" s="20"/>
      <c r="AD26" s="20">
        <f>IFERROR(VLOOKUP(Data[[#This Row],[TDS]],ExtCompactors_PNA[[Development]:[0]],3,FALSE)+VLOOKUP(Data[[#This Row],[TDS]],ExtCompactors_PNA[[Development]:[0]],6,FALSE),0)</f>
        <v>1</v>
      </c>
      <c r="AE26" s="20">
        <f>IFERROR(VLOOKUP(Data[[#This Row],[TDS]],IntCompactors_PNA[[TDS]:[0]],3,FALSE)+VLOOKUP(Data[[#This Row],[TDS]],IntCompactors_PNA[[TDS]:[0]],6,FALSE),0)</f>
        <v>2</v>
      </c>
      <c r="AF26" s="20" t="e">
        <f>VLOOKUP(Data[[#This Row],[DEVELOPMENT]],[3]Developments!$A$2:$A$312,1,FALSE)</f>
        <v>#N/A</v>
      </c>
      <c r="AG26" s="20">
        <f>IFERROR(VLOOKUP(Data[[#This Row],[DEVELOPMENT]],Ops_Priorities_and_Data_Clean[[development]:[ifnoext_comment]],3,FALSE),"")</f>
        <v>1</v>
      </c>
      <c r="AH26" s="20">
        <f>IFERROR(VLOOKUP(Data[[#This Row],[DEVELOPMENT]],Ops_Priorities_and_Data_Clean[[development]:[ifnoext_comment]],4,FALSE),"")</f>
        <v>0</v>
      </c>
      <c r="AI26" s="20">
        <f>IFERROR(VLOOKUP(Data[[#This Row],[DEVELOPMENT]],Ops_Priorities_and_Data_Clean[[development]:[ifnoext_comment]],5,FALSE),"")</f>
        <v>1</v>
      </c>
      <c r="AJ26" s="20">
        <f>IFERROR(VLOOKUP(Data[[#This Row],[DEVELOPMENT]],Ops_Priorities_and_Data_Clean[[development]:[ifnoext_comment]],6,FALSE),"")</f>
        <v>0</v>
      </c>
      <c r="AK26" s="20">
        <f>IFERROR(VLOOKUP(Data[[#This Row],[DEVELOPMENT]],Ops_Priorities_and_Data_Clean[[development]:[ifnoext_comment]],7,FALSE),"")</f>
        <v>0</v>
      </c>
      <c r="AL26" s="20">
        <f>IFERROR(VLOOKUP(Data[[#This Row],[DEVELOPMENT]],Ops_Priorities_and_Data_Clean[[development]:[ifnoext_comment]],8,FALSE),"")</f>
        <v>1</v>
      </c>
      <c r="AM26" s="20">
        <f>IFERROR(VLOOKUP(Data[[#This Row],[DEVELOPMENT]],Ops_Priorities_and_Data_Clean[[development]:[ifnoext_comment]],9,FALSE),"")</f>
        <v>0</v>
      </c>
      <c r="AN26" s="20">
        <f>IFERROR(VLOOKUP(Data[[#This Row],[DEVELOPMENT]],Ops_Priorities_and_Data_Clean[[development]:[ifnoext_comment]],10,FALSE),"")</f>
        <v>1</v>
      </c>
      <c r="AO26" s="20">
        <f>IFERROR(VLOOKUP(Data[[#This Row],[DEVELOPMENT]],Ops_Priorities_and_Data_Clean[[development]:[ifnoext_comment]],11,FALSE),"")</f>
        <v>1</v>
      </c>
      <c r="AP26" s="20">
        <f>IFERROR(VLOOKUP(Data[[#This Row],[DEVELOPMENT]],Ops_Priorities_and_Data_Clean[[development]:[ifnoext_comment]],12,FALSE),"")</f>
        <v>1</v>
      </c>
      <c r="AQ26" s="20">
        <f>VLOOKUP(Data[[#This Row],[DEVELOPMENT]],Ops_Priorities_and_Data_Clean[[development]:[ifnoext_comment]],14,FALSE)</f>
        <v>0</v>
      </c>
      <c r="AR26" s="20">
        <f>VLOOKUP(Data[[#This Row],[DEVELOPMENT]],Ops_Priorities_and_Data_Clean[[development]:[ifnoext_comment]],15,FALSE)</f>
        <v>0</v>
      </c>
      <c r="AS26" s="20" t="str">
        <f>VLOOKUP(Data[[#This Row],[DEVELOPMENT]],Ops_Priorities_and_Data_Clean[[development]:[ifnoext_comment]],16,FALSE)</f>
        <v>NULL</v>
      </c>
      <c r="AT26" s="20" t="str">
        <f>VLOOKUP(Data[[#This Row],[DEVELOPMENT]],Ops_Priorities_and_Data_Clean[[development]:[ifnoext_comment]],17,FALSE)</f>
        <v>NULL</v>
      </c>
      <c r="AU26" s="20" t="str">
        <f>VLOOKUP(Data[[#This Row],[DEVELOPMENT]],Ops_Priorities_and_Data_Clean[[development]:[ifnoext_comment]],18,FALSE)</f>
        <v>NULL</v>
      </c>
      <c r="AV26" s="20" t="str">
        <f>VLOOKUP(Data[[#This Row],[DEVELOPMENT]],Ops_Priorities_and_Data_Clean[[development]:[ifnoext_comment]],19,FALSE)</f>
        <v>NULL</v>
      </c>
      <c r="AW26" s="20" t="str">
        <f>VLOOKUP(Data[[#This Row],[DEVELOPMENT]],Ops_Priorities_and_Data_Clean[[development]:[ifnoext_comment]],20,FALSE)</f>
        <v>NULL</v>
      </c>
      <c r="AX26" s="104" t="s">
        <v>2238</v>
      </c>
      <c r="AY26" s="104" t="s">
        <v>2616</v>
      </c>
      <c r="AZ26" s="20" t="str">
        <f>VLOOKUP(Data[[#This Row],[DEVELOPMENT]],Development_Data_Book[[DEVELOPMENT]:[PRIVATE MANAGEMENT]],8,FALSE)</f>
        <v>FEDERAL</v>
      </c>
      <c r="BA26" s="104" t="s">
        <v>2586</v>
      </c>
      <c r="BB26" s="20">
        <f>VLOOKUP(Data[[#This Row],[DEVELOPMENT]],Development_Data_Book[[DEVELOPMENT]:[PRIVATE MANAGEMENT]],22,FALSE)</f>
        <v>0</v>
      </c>
      <c r="BC26" s="20">
        <f>Data[[#This Row],[Non-Dwelling Buildings]]+Data[[#This Row],[Dwelling Buildings]]</f>
        <v>1</v>
      </c>
      <c r="BD26" s="20">
        <f>VLOOKUP(Data[[#This Row],[DEVELOPMENT]],Development_Data_Book[[DEVELOPMENT]:[PRIVATE MANAGEMENT]],26,FALSE)</f>
        <v>2.02</v>
      </c>
      <c r="BE26" s="106">
        <v>271380</v>
      </c>
      <c r="BF26" s="20">
        <f>VLOOKUP(Data[[#This Row],[DEVELOPMENT]],Development_Data_Book[[DEVELOPMENT]:[PRIVATE MANAGEMENT]],18,FALSE)</f>
        <v>582</v>
      </c>
      <c r="BG2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6" s="104" t="s">
        <v>2608</v>
      </c>
      <c r="BI26" t="s">
        <v>184</v>
      </c>
      <c r="BJ26" s="20">
        <f>VLOOKUP(Data[[#This Row],[DEVELOPMENT]],Development_Data_Book[[DEVELOPMENT]:[PRIVATE MANAGEMENT]],41,FALSE)</f>
        <v>2</v>
      </c>
      <c r="BK26" s="20">
        <f>VLOOKUP(Data[[#This Row],[DEVELOPMENT]],Development_Data_Book[[DEVELOPMENT]:[PRIVATE MANAGEMENT]],42,FALSE)</f>
        <v>8</v>
      </c>
      <c r="BL26" s="20">
        <f>VLOOKUP(Data[[#This Row],[DEVELOPMENT]],Development_Data_Book[[DEVELOPMENT]:[PRIVATE MANAGEMENT]],43,FALSE)</f>
        <v>25</v>
      </c>
      <c r="BM26" s="20">
        <f>VLOOKUP(Data[[#This Row],[DEVELOPMENT]],Development_Data_Book[[DEVELOPMENT]:[PRIVATE MANAGEMENT]],44,FALSE)</f>
        <v>57</v>
      </c>
      <c r="BN26" s="20">
        <f>VLOOKUP(Data[[#This Row],[DEVELOPMENT]],Development_Data_Book[[DEVELOPMENT]:[PRIVATE MANAGEMENT]],45,FALSE)</f>
        <v>35</v>
      </c>
      <c r="BO26" s="20">
        <f>VLOOKUP(Data[[#This Row],[DEVELOPMENT]],Development_Data_Book[[DEVELOPMENT]:[PRIVATE MANAGEMENT]],24,FALSE)</f>
        <v>31</v>
      </c>
    </row>
    <row r="27" spans="1:67">
      <c r="A27" t="s">
        <v>70</v>
      </c>
      <c r="B27" t="str">
        <f>VLOOKUP(Data[[#This Row],[DEVELOPMENT]],Development_Data_Book[[DEVELOPMENT]:[BOROUGH]],MATCH("borough",Development_Data_Book[[#Headers],[DEVELOPMENT]:[BOROUGH]],0),FALSE)</f>
        <v>MANHATTAN</v>
      </c>
      <c r="C27" t="e">
        <f>VLOOKUP(Data[[#This Row],[DEVELOPMENT]],'[1]Cheat-Sheet'!$D$2:$Q$341,2,FALSE)</f>
        <v>#N/A</v>
      </c>
      <c r="D2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7">
        <f>VLOOKUP(Data[[#This Row],[DEVELOPMENT]],Development_Data_Book[[DEVELOPMENT]:[BOROUGH]],21,FALSE)</f>
        <v>1</v>
      </c>
      <c r="F27">
        <f>VLOOKUP(Data[[#This Row],[DEVELOPMENT]],Development_Data_Book[[DEVELOPMENT]:[BOROUGH]],23,FALSE)</f>
        <v>1</v>
      </c>
      <c r="G27">
        <f>VLOOKUP(Data[[#This Row],[DEVELOPMENT]],Development_Data_Book[[DEVELOPMENT]:[BOROUGH]],12,FALSE)</f>
        <v>167</v>
      </c>
      <c r="H27" t="s">
        <v>2248</v>
      </c>
      <c r="I27">
        <v>1</v>
      </c>
      <c r="J27">
        <f>IFERROR(VLOOKUP(Data[[#This Row],[DEVELOPMENT]],IntCompactors_MRST[],4,FALSE),0)</f>
        <v>1</v>
      </c>
      <c r="K27" s="20">
        <f>IFERROR(VLOOKUP(Data[[#This Row],[DEVELOPMENT]],ExtCompactors_MRST[],4,FALSE),0)</f>
        <v>1</v>
      </c>
      <c r="L27" s="27">
        <f>IF(Data[[#This Row],['# Interior Compactors MRST]]=0,"",VLOOKUP(Data[[#This Row],[DEVELOPMENT]],IntCompactors_MRST[],5,FALSE))</f>
        <v>40878</v>
      </c>
      <c r="M27" s="28">
        <f>IF(Data[[#This Row],['# Exterior Compactors MRST]]=0,"",VLOOKUP(Data[[#This Row],[DEVELOPMENT]],ExtCompactors_MRST[],5,FALSE))</f>
        <v>36639</v>
      </c>
      <c r="N27">
        <f>Data[[#This Row],['# Interior Compactors MRST]]</f>
        <v>1</v>
      </c>
      <c r="O27" s="20">
        <f>IF(Data[[#This Row],['# Bulk Crushers]]=0,1,0)</f>
        <v>1</v>
      </c>
      <c r="P27" s="20">
        <f>1</f>
        <v>1</v>
      </c>
      <c r="Q27" s="20">
        <f>1</f>
        <v>1</v>
      </c>
      <c r="R27" s="20">
        <f>1</f>
        <v>1</v>
      </c>
      <c r="S27" s="20">
        <f>1</f>
        <v>1</v>
      </c>
      <c r="T27" s="20">
        <f>IF(Data[[#This Row],[Sewershed]]="Newtown Creek",Data[[#This Row],[DUs]],0)</f>
        <v>0</v>
      </c>
      <c r="U2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7" s="82">
        <f>VLOOKUP(Data[[#This Row],[DEVELOPMENT]],Development_Data_Book[[DEVELOPMENT]:[BOROUGH]],3,FALSE)</f>
        <v>125</v>
      </c>
      <c r="Y27" s="20"/>
      <c r="Z27" s="20">
        <f>IFERROR(VLOOKUP(Data[[#This Row],[TDS]],ExtCompactors_PNA[[Development]:[0]],2,FALSE),0)</f>
        <v>0</v>
      </c>
      <c r="AA27" s="20">
        <f>IFERROR(VLOOKUP(Data[[#This Row],[TDS]],IntCompactors_PNA[[TDS]:[0]],2,FALSE),0)</f>
        <v>2</v>
      </c>
      <c r="AB27" s="20"/>
      <c r="AC27" s="20"/>
      <c r="AD27" s="20">
        <f>IFERROR(VLOOKUP(Data[[#This Row],[TDS]],ExtCompactors_PNA[[Development]:[0]],3,FALSE)+VLOOKUP(Data[[#This Row],[TDS]],ExtCompactors_PNA[[Development]:[0]],6,FALSE),0)</f>
        <v>0</v>
      </c>
      <c r="AE27" s="20">
        <f>IFERROR(VLOOKUP(Data[[#This Row],[TDS]],IntCompactors_PNA[[TDS]:[0]],3,FALSE)+VLOOKUP(Data[[#This Row],[TDS]],IntCompactors_PNA[[TDS]:[0]],6,FALSE),0)</f>
        <v>2</v>
      </c>
      <c r="AF27" s="20" t="e">
        <f>VLOOKUP(Data[[#This Row],[DEVELOPMENT]],[3]Developments!$A$2:$A$312,1,FALSE)</f>
        <v>#N/A</v>
      </c>
      <c r="AG27" s="20">
        <f>IFERROR(VLOOKUP(Data[[#This Row],[DEVELOPMENT]],Ops_Priorities_and_Data_Clean[[development]:[ifnoext_comment]],3,FALSE),"")</f>
        <v>0</v>
      </c>
      <c r="AH27" s="20">
        <f>IFERROR(VLOOKUP(Data[[#This Row],[DEVELOPMENT]],Ops_Priorities_and_Data_Clean[[development]:[ifnoext_comment]],4,FALSE),"")</f>
        <v>0</v>
      </c>
      <c r="AI27" s="20">
        <f>IFERROR(VLOOKUP(Data[[#This Row],[DEVELOPMENT]],Ops_Priorities_and_Data_Clean[[development]:[ifnoext_comment]],5,FALSE),"")</f>
        <v>0</v>
      </c>
      <c r="AJ27" s="20">
        <f>IFERROR(VLOOKUP(Data[[#This Row],[DEVELOPMENT]],Ops_Priorities_and_Data_Clean[[development]:[ifnoext_comment]],6,FALSE),"")</f>
        <v>1</v>
      </c>
      <c r="AK27" s="20">
        <f>IFERROR(VLOOKUP(Data[[#This Row],[DEVELOPMENT]],Ops_Priorities_and_Data_Clean[[development]:[ifnoext_comment]],7,FALSE),"")</f>
        <v>0</v>
      </c>
      <c r="AL27" s="20">
        <f>IFERROR(VLOOKUP(Data[[#This Row],[DEVELOPMENT]],Ops_Priorities_and_Data_Clean[[development]:[ifnoext_comment]],8,FALSE),"")</f>
        <v>1</v>
      </c>
      <c r="AM27" s="20">
        <f>IFERROR(VLOOKUP(Data[[#This Row],[DEVELOPMENT]],Ops_Priorities_and_Data_Clean[[development]:[ifnoext_comment]],9,FALSE),"")</f>
        <v>1</v>
      </c>
      <c r="AN27" s="20">
        <f>IFERROR(VLOOKUP(Data[[#This Row],[DEVELOPMENT]],Ops_Priorities_and_Data_Clean[[development]:[ifnoext_comment]],10,FALSE),"")</f>
        <v>0</v>
      </c>
      <c r="AO27" s="20">
        <f>IFERROR(VLOOKUP(Data[[#This Row],[DEVELOPMENT]],Ops_Priorities_and_Data_Clean[[development]:[ifnoext_comment]],11,FALSE),"")</f>
        <v>1</v>
      </c>
      <c r="AP27" s="20">
        <f>IFERROR(VLOOKUP(Data[[#This Row],[DEVELOPMENT]],Ops_Priorities_and_Data_Clean[[development]:[ifnoext_comment]],12,FALSE),"")</f>
        <v>1</v>
      </c>
      <c r="AQ27" s="20">
        <f>VLOOKUP(Data[[#This Row],[DEVELOPMENT]],Ops_Priorities_and_Data_Clean[[development]:[ifnoext_comment]],14,FALSE)</f>
        <v>0</v>
      </c>
      <c r="AR27" s="20">
        <f>VLOOKUP(Data[[#This Row],[DEVELOPMENT]],Ops_Priorities_and_Data_Clean[[development]:[ifnoext_comment]],15,FALSE)</f>
        <v>1</v>
      </c>
      <c r="AS27" s="20" t="str">
        <f>VLOOKUP(Data[[#This Row],[DEVELOPMENT]],Ops_Priorities_and_Data_Clean[[development]:[ifnoext_comment]],16,FALSE)</f>
        <v>Bethune Gardens</v>
      </c>
      <c r="AT27" s="20" t="str">
        <f>VLOOKUP(Data[[#This Row],[DEVELOPMENT]],Ops_Priorities_and_Data_Clean[[development]:[ifnoext_comment]],17,FALSE)</f>
        <v>NULL</v>
      </c>
      <c r="AU27" s="20" t="str">
        <f>VLOOKUP(Data[[#This Row],[DEVELOPMENT]],Ops_Priorities_and_Data_Clean[[development]:[ifnoext_comment]],18,FALSE)</f>
        <v>no</v>
      </c>
      <c r="AV27" s="20" t="str">
        <f>VLOOKUP(Data[[#This Row],[DEVELOPMENT]],Ops_Priorities_and_Data_Clean[[development]:[ifnoext_comment]],19,FALSE)</f>
        <v>Serviced by Bethune</v>
      </c>
      <c r="AW27" s="20" t="str">
        <f>VLOOKUP(Data[[#This Row],[DEVELOPMENT]],Ops_Priorities_and_Data_Clean[[development]:[ifnoext_comment]],20,FALSE)</f>
        <v>NULL</v>
      </c>
      <c r="AX27" s="104" t="s">
        <v>2239</v>
      </c>
      <c r="AY27" s="104" t="s">
        <v>2617</v>
      </c>
      <c r="AZ27" s="20" t="str">
        <f>VLOOKUP(Data[[#This Row],[DEVELOPMENT]],Development_Data_Book[[DEVELOPMENT]:[PRIVATE MANAGEMENT]],8,FALSE)</f>
        <v>FEDERAL</v>
      </c>
      <c r="BA27" s="104" t="s">
        <v>2586</v>
      </c>
      <c r="BB27" s="20">
        <f>VLOOKUP(Data[[#This Row],[DEVELOPMENT]],Development_Data_Book[[DEVELOPMENT]:[PRIVATE MANAGEMENT]],22,FALSE)</f>
        <v>0</v>
      </c>
      <c r="BC27" s="20">
        <f>Data[[#This Row],[Non-Dwelling Buildings]]+Data[[#This Row],[Dwelling Buildings]]</f>
        <v>1</v>
      </c>
      <c r="BD27" s="20">
        <f>VLOOKUP(Data[[#This Row],[DEVELOPMENT]],Development_Data_Book[[DEVELOPMENT]:[PRIVATE MANAGEMENT]],26,FALSE)</f>
        <v>0.63</v>
      </c>
      <c r="BE27" s="106">
        <v>178300</v>
      </c>
      <c r="BF27" s="20">
        <f>VLOOKUP(Data[[#This Row],[DEVELOPMENT]],Development_Data_Book[[DEVELOPMENT]:[PRIVATE MANAGEMENT]],18,FALSE)</f>
        <v>446</v>
      </c>
      <c r="BG2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7" s="104" t="s">
        <v>2593</v>
      </c>
      <c r="BI27" t="s">
        <v>184</v>
      </c>
      <c r="BJ27" s="20">
        <f>VLOOKUP(Data[[#This Row],[DEVELOPMENT]],Development_Data_Book[[DEVELOPMENT]:[PRIVATE MANAGEMENT]],41,FALSE)</f>
        <v>9</v>
      </c>
      <c r="BK27" s="20">
        <f>VLOOKUP(Data[[#This Row],[DEVELOPMENT]],Development_Data_Book[[DEVELOPMENT]:[PRIVATE MANAGEMENT]],42,FALSE)</f>
        <v>13</v>
      </c>
      <c r="BL27" s="20">
        <f>VLOOKUP(Data[[#This Row],[DEVELOPMENT]],Development_Data_Book[[DEVELOPMENT]:[PRIVATE MANAGEMENT]],43,FALSE)</f>
        <v>30</v>
      </c>
      <c r="BM27" s="20">
        <f>VLOOKUP(Data[[#This Row],[DEVELOPMENT]],Development_Data_Book[[DEVELOPMENT]:[PRIVATE MANAGEMENT]],44,FALSE)</f>
        <v>71</v>
      </c>
      <c r="BN27" s="20">
        <f>VLOOKUP(Data[[#This Row],[DEVELOPMENT]],Development_Data_Book[[DEVELOPMENT]:[PRIVATE MANAGEMENT]],45,FALSE)</f>
        <v>7</v>
      </c>
      <c r="BO27" s="20">
        <f>VLOOKUP(Data[[#This Row],[DEVELOPMENT]],Development_Data_Book[[DEVELOPMENT]:[PRIVATE MANAGEMENT]],24,FALSE)</f>
        <v>20</v>
      </c>
    </row>
    <row r="28" spans="1:67">
      <c r="A28" t="s">
        <v>273</v>
      </c>
      <c r="B28" s="20" t="str">
        <f>VLOOKUP(Data[[#This Row],[DEVELOPMENT]],Development_Data_Book[[DEVELOPMENT]:[BOROUGH]],MATCH("borough",Development_Data_Book[[#Headers],[DEVELOPMENT]:[BOROUGH]],0),FALSE)</f>
        <v>BRONX</v>
      </c>
      <c r="C28" s="20" t="e">
        <f>VLOOKUP(Data[[#This Row],[DEVELOPMENT]],'[1]Cheat-Sheet'!$D$2:$Q$341,2,FALSE)</f>
        <v>#N/A</v>
      </c>
      <c r="D2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8" s="20">
        <f>VLOOKUP(Data[[#This Row],[DEVELOPMENT]],Development_Data_Book[[DEVELOPMENT]:[BOROUGH]],21,FALSE)</f>
        <v>1</v>
      </c>
      <c r="F28" s="20">
        <f>VLOOKUP(Data[[#This Row],[DEVELOPMENT]],Development_Data_Book[[DEVELOPMENT]:[BOROUGH]],23,FALSE)</f>
        <v>1</v>
      </c>
      <c r="G28" s="20">
        <f>VLOOKUP(Data[[#This Row],[DEVELOPMENT]],Development_Data_Book[[DEVELOPMENT]:[BOROUGH]],12,FALSE)</f>
        <v>232</v>
      </c>
      <c r="J28">
        <f>IFERROR(VLOOKUP(Data[[#This Row],[DEVELOPMENT]],IntCompactors_MRST[],4,FALSE),0)</f>
        <v>1</v>
      </c>
      <c r="K28" s="20">
        <f>IFERROR(VLOOKUP(Data[[#This Row],[DEVELOPMENT]],ExtCompactors_MRST[],4,FALSE),0)</f>
        <v>1</v>
      </c>
      <c r="L28" s="27">
        <f>IF(Data[[#This Row],['# Interior Compactors MRST]]=0,"",VLOOKUP(Data[[#This Row],[DEVELOPMENT]],IntCompactors_MRST[],5,FALSE))</f>
        <v>37800</v>
      </c>
      <c r="M28" s="28">
        <f>IF(Data[[#This Row],['# Exterior Compactors MRST]]=0,"",VLOOKUP(Data[[#This Row],[DEVELOPMENT]],ExtCompactors_MRST[],5,FALSE))</f>
        <v>38070</v>
      </c>
      <c r="N28" s="20">
        <f>Data[[#This Row],['# Interior Compactors MRST]]</f>
        <v>1</v>
      </c>
      <c r="O28" s="20">
        <f>IF(Data[[#This Row],['# Bulk Crushers]]=0,1,0)</f>
        <v>1</v>
      </c>
      <c r="P28" s="20">
        <f>1</f>
        <v>1</v>
      </c>
      <c r="Q28" s="20">
        <f>1</f>
        <v>1</v>
      </c>
      <c r="R28" s="20">
        <f>1</f>
        <v>1</v>
      </c>
      <c r="S28" s="20">
        <f>1</f>
        <v>1</v>
      </c>
      <c r="T28" s="20">
        <f>IF(Data[[#This Row],[Sewershed]]="Newtown Creek",Data[[#This Row],[DUs]],0)</f>
        <v>0</v>
      </c>
      <c r="U2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8" s="82">
        <f>VLOOKUP(Data[[#This Row],[DEVELOPMENT]],Development_Data_Book[[DEVELOPMENT]:[BOROUGH]],3,FALSE)</f>
        <v>202</v>
      </c>
      <c r="Y28" s="20"/>
      <c r="Z28" s="20">
        <f>IFERROR(VLOOKUP(Data[[#This Row],[TDS]],ExtCompactors_PNA[[Development]:[0]],2,FALSE),0)</f>
        <v>1</v>
      </c>
      <c r="AA28" s="20">
        <f>IFERROR(VLOOKUP(Data[[#This Row],[TDS]],IntCompactors_PNA[[TDS]:[0]],2,FALSE),0)</f>
        <v>1</v>
      </c>
      <c r="AB28" s="20"/>
      <c r="AC28" s="20"/>
      <c r="AD28" s="20">
        <f>IFERROR(VLOOKUP(Data[[#This Row],[TDS]],ExtCompactors_PNA[[Development]:[0]],3,FALSE)+VLOOKUP(Data[[#This Row],[TDS]],ExtCompactors_PNA[[Development]:[0]],6,FALSE),0)</f>
        <v>1</v>
      </c>
      <c r="AE28" s="20">
        <f>IFERROR(VLOOKUP(Data[[#This Row],[TDS]],IntCompactors_PNA[[TDS]:[0]],3,FALSE)+VLOOKUP(Data[[#This Row],[TDS]],IntCompactors_PNA[[TDS]:[0]],6,FALSE),0)</f>
        <v>1</v>
      </c>
      <c r="AF28" s="20" t="e">
        <f>VLOOKUP(Data[[#This Row],[DEVELOPMENT]],[3]Developments!$A$2:$A$312,1,FALSE)</f>
        <v>#N/A</v>
      </c>
      <c r="AG28" s="20">
        <f>IFERROR(VLOOKUP(Data[[#This Row],[DEVELOPMENT]],Ops_Priorities_and_Data_Clean[[development]:[ifnoext_comment]],3,FALSE),"")</f>
        <v>1</v>
      </c>
      <c r="AH28" s="20">
        <f>IFERROR(VLOOKUP(Data[[#This Row],[DEVELOPMENT]],Ops_Priorities_and_Data_Clean[[development]:[ifnoext_comment]],4,FALSE),"")</f>
        <v>3</v>
      </c>
      <c r="AI28" s="20">
        <f>IFERROR(VLOOKUP(Data[[#This Row],[DEVELOPMENT]],Ops_Priorities_and_Data_Clean[[development]:[ifnoext_comment]],5,FALSE),"")</f>
        <v>1</v>
      </c>
      <c r="AJ28" s="20">
        <f>IFERROR(VLOOKUP(Data[[#This Row],[DEVELOPMENT]],Ops_Priorities_and_Data_Clean[[development]:[ifnoext_comment]],6,FALSE),"")</f>
        <v>0</v>
      </c>
      <c r="AK28" s="20">
        <f>IFERROR(VLOOKUP(Data[[#This Row],[DEVELOPMENT]],Ops_Priorities_and_Data_Clean[[development]:[ifnoext_comment]],7,FALSE),"")</f>
        <v>0</v>
      </c>
      <c r="AL28" s="20">
        <f>IFERROR(VLOOKUP(Data[[#This Row],[DEVELOPMENT]],Ops_Priorities_and_Data_Clean[[development]:[ifnoext_comment]],8,FALSE),"")</f>
        <v>1</v>
      </c>
      <c r="AM28" s="20">
        <f>IFERROR(VLOOKUP(Data[[#This Row],[DEVELOPMENT]],Ops_Priorities_and_Data_Clean[[development]:[ifnoext_comment]],9,FALSE),"")</f>
        <v>0</v>
      </c>
      <c r="AN28" s="20">
        <f>IFERROR(VLOOKUP(Data[[#This Row],[DEVELOPMENT]],Ops_Priorities_and_Data_Clean[[development]:[ifnoext_comment]],10,FALSE),"")</f>
        <v>1</v>
      </c>
      <c r="AO28" s="20">
        <f>IFERROR(VLOOKUP(Data[[#This Row],[DEVELOPMENT]],Ops_Priorities_and_Data_Clean[[development]:[ifnoext_comment]],11,FALSE),"")</f>
        <v>1</v>
      </c>
      <c r="AP28" s="20">
        <f>IFERROR(VLOOKUP(Data[[#This Row],[DEVELOPMENT]],Ops_Priorities_and_Data_Clean[[development]:[ifnoext_comment]],12,FALSE),"")</f>
        <v>1</v>
      </c>
      <c r="AQ28" s="20">
        <f>VLOOKUP(Data[[#This Row],[DEVELOPMENT]],Ops_Priorities_and_Data_Clean[[development]:[ifnoext_comment]],14,FALSE)</f>
        <v>0</v>
      </c>
      <c r="AR28" s="20">
        <f>VLOOKUP(Data[[#This Row],[DEVELOPMENT]],Ops_Priorities_and_Data_Clean[[development]:[ifnoext_comment]],15,FALSE)</f>
        <v>0</v>
      </c>
      <c r="AS28" s="20" t="str">
        <f>VLOOKUP(Data[[#This Row],[DEVELOPMENT]],Ops_Priorities_and_Data_Clean[[development]:[ifnoext_comment]],16,FALSE)</f>
        <v>NULL</v>
      </c>
      <c r="AT28" s="20" t="str">
        <f>VLOOKUP(Data[[#This Row],[DEVELOPMENT]],Ops_Priorities_and_Data_Clean[[development]:[ifnoext_comment]],17,FALSE)</f>
        <v>NULL</v>
      </c>
      <c r="AU28" s="20" t="str">
        <f>VLOOKUP(Data[[#This Row],[DEVELOPMENT]],Ops_Priorities_and_Data_Clean[[development]:[ifnoext_comment]],18,FALSE)</f>
        <v>NULL</v>
      </c>
      <c r="AV28" s="20" t="str">
        <f>VLOOKUP(Data[[#This Row],[DEVELOPMENT]],Ops_Priorities_and_Data_Clean[[development]:[ifnoext_comment]],19,FALSE)</f>
        <v>NULL</v>
      </c>
      <c r="AW28" s="20" t="str">
        <f>VLOOKUP(Data[[#This Row],[DEVELOPMENT]],Ops_Priorities_and_Data_Clean[[development]:[ifnoext_comment]],20,FALSE)</f>
        <v>NULL</v>
      </c>
      <c r="AX28" s="104" t="s">
        <v>2237</v>
      </c>
      <c r="AY28" s="104" t="s">
        <v>2618</v>
      </c>
      <c r="AZ28" s="20" t="str">
        <f>VLOOKUP(Data[[#This Row],[DEVELOPMENT]],Development_Data_Book[[DEVELOPMENT]:[PRIVATE MANAGEMENT]],8,FALSE)</f>
        <v>FEDERAL</v>
      </c>
      <c r="BA28" s="104" t="s">
        <v>2586</v>
      </c>
      <c r="BB28" s="20">
        <f>VLOOKUP(Data[[#This Row],[DEVELOPMENT]],Development_Data_Book[[DEVELOPMENT]:[PRIVATE MANAGEMENT]],22,FALSE)</f>
        <v>0</v>
      </c>
      <c r="BC28" s="20">
        <f>Data[[#This Row],[Non-Dwelling Buildings]]+Data[[#This Row],[Dwelling Buildings]]</f>
        <v>1</v>
      </c>
      <c r="BD28" s="20">
        <f>VLOOKUP(Data[[#This Row],[DEVELOPMENT]],Development_Data_Book[[DEVELOPMENT]:[PRIVATE MANAGEMENT]],26,FALSE)</f>
        <v>2.29</v>
      </c>
      <c r="BE28" s="106">
        <v>99600</v>
      </c>
      <c r="BF28" s="20">
        <f>VLOOKUP(Data[[#This Row],[DEVELOPMENT]],Development_Data_Book[[DEVELOPMENT]:[PRIVATE MANAGEMENT]],18,FALSE)</f>
        <v>455</v>
      </c>
      <c r="BG2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8" s="104" t="s">
        <v>2587</v>
      </c>
      <c r="BI28" t="s">
        <v>184</v>
      </c>
      <c r="BJ28" s="20">
        <f>VLOOKUP(Data[[#This Row],[DEVELOPMENT]],Development_Data_Book[[DEVELOPMENT]:[PRIVATE MANAGEMENT]],41,FALSE)</f>
        <v>7</v>
      </c>
      <c r="BK28" s="20">
        <f>VLOOKUP(Data[[#This Row],[DEVELOPMENT]],Development_Data_Book[[DEVELOPMENT]:[PRIVATE MANAGEMENT]],42,FALSE)</f>
        <v>13</v>
      </c>
      <c r="BL28" s="20">
        <f>VLOOKUP(Data[[#This Row],[DEVELOPMENT]],Development_Data_Book[[DEVELOPMENT]:[PRIVATE MANAGEMENT]],43,FALSE)</f>
        <v>33</v>
      </c>
      <c r="BM28" s="20">
        <f>VLOOKUP(Data[[#This Row],[DEVELOPMENT]],Development_Data_Book[[DEVELOPMENT]:[PRIVATE MANAGEMENT]],44,FALSE)</f>
        <v>86</v>
      </c>
      <c r="BN28" s="20">
        <f>VLOOKUP(Data[[#This Row],[DEVELOPMENT]],Development_Data_Book[[DEVELOPMENT]:[PRIVATE MANAGEMENT]],45,FALSE)</f>
        <v>14</v>
      </c>
      <c r="BO28" s="20">
        <f>VLOOKUP(Data[[#This Row],[DEVELOPMENT]],Development_Data_Book[[DEVELOPMENT]:[PRIVATE MANAGEMENT]],24,FALSE)</f>
        <v>20</v>
      </c>
    </row>
    <row r="29" spans="1:67" ht="14.25" customHeight="1">
      <c r="A29" t="s">
        <v>300</v>
      </c>
      <c r="B29" s="20" t="str">
        <f>VLOOKUP(Data[[#This Row],[DEVELOPMENT]],Development_Data_Book[[DEVELOPMENT]:[BOROUGH]],MATCH("borough",Development_Data_Book[[#Headers],[DEVELOPMENT]:[BOROUGH]],0),FALSE)</f>
        <v>QUEENS</v>
      </c>
      <c r="C29" s="20" t="e">
        <f>VLOOKUP(Data[[#This Row],[DEVELOPMENT]],'[1]Cheat-Sheet'!$D$2:$Q$341,2,FALSE)</f>
        <v>#N/A</v>
      </c>
      <c r="D2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9" s="20">
        <f>VLOOKUP(Data[[#This Row],[DEVELOPMENT]],Development_Data_Book[[DEVELOPMENT]:[BOROUGH]],21,FALSE)</f>
        <v>5</v>
      </c>
      <c r="F29" s="20">
        <f>VLOOKUP(Data[[#This Row],[DEVELOPMENT]],Development_Data_Book[[DEVELOPMENT]:[BOROUGH]],23,FALSE)</f>
        <v>8</v>
      </c>
      <c r="G29" s="20">
        <f>VLOOKUP(Data[[#This Row],[DEVELOPMENT]],Development_Data_Book[[DEVELOPMENT]:[BOROUGH]],12,FALSE)</f>
        <v>381</v>
      </c>
      <c r="J29">
        <f>IFERROR(VLOOKUP(Data[[#This Row],[DEVELOPMENT]],IntCompactors_MRST[],4,FALSE),0)</f>
        <v>5</v>
      </c>
      <c r="K29" s="20">
        <f>IFERROR(VLOOKUP(Data[[#This Row],[DEVELOPMENT]],ExtCompactors_MRST[],4,FALSE),0)</f>
        <v>2</v>
      </c>
      <c r="L29" s="27">
        <f>IF(Data[[#This Row],['# Interior Compactors MRST]]=0,"",VLOOKUP(Data[[#This Row],[DEVELOPMENT]],IntCompactors_MRST[],5,FALSE))</f>
        <v>38626</v>
      </c>
      <c r="M29" s="28">
        <f>IF(Data[[#This Row],['# Exterior Compactors MRST]]=0,"",VLOOKUP(Data[[#This Row],[DEVELOPMENT]],ExtCompactors_MRST[],5,FALSE))</f>
        <v>36385</v>
      </c>
      <c r="N29" s="20">
        <f>Data[[#This Row],['# Interior Compactors MRST]]</f>
        <v>5</v>
      </c>
      <c r="O29" s="20">
        <f>IF(Data[[#This Row],['# Bulk Crushers]]=0,1,0)</f>
        <v>1</v>
      </c>
      <c r="P29" s="20">
        <f>1</f>
        <v>1</v>
      </c>
      <c r="Q29" s="20">
        <f>1</f>
        <v>1</v>
      </c>
      <c r="R29" s="20">
        <f>1</f>
        <v>1</v>
      </c>
      <c r="S29" s="20">
        <f>1</f>
        <v>1</v>
      </c>
      <c r="T29" s="20">
        <f>IF(Data[[#This Row],[Sewershed]]="Newtown Creek",Data[[#This Row],[DUs]],0)</f>
        <v>0</v>
      </c>
      <c r="U2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9" s="82">
        <f>VLOOKUP(Data[[#This Row],[DEVELOPMENT]],Development_Data_Book[[DEVELOPMENT]:[BOROUGH]],3,FALSE)</f>
        <v>91</v>
      </c>
      <c r="Y29" s="20"/>
      <c r="Z29" s="20">
        <f>IFERROR(VLOOKUP(Data[[#This Row],[TDS]],ExtCompactors_PNA[[Development]:[0]],2,FALSE),0)</f>
        <v>0</v>
      </c>
      <c r="AA29" s="20">
        <f>IFERROR(VLOOKUP(Data[[#This Row],[TDS]],IntCompactors_PNA[[TDS]:[0]],2,FALSE),0)</f>
        <v>5</v>
      </c>
      <c r="AB29" s="20"/>
      <c r="AC29" s="20"/>
      <c r="AD29" s="20">
        <f>IFERROR(VLOOKUP(Data[[#This Row],[TDS]],ExtCompactors_PNA[[Development]:[0]],3,FALSE)+VLOOKUP(Data[[#This Row],[TDS]],ExtCompactors_PNA[[Development]:[0]],6,FALSE),0)</f>
        <v>0</v>
      </c>
      <c r="AE29" s="20">
        <f>IFERROR(VLOOKUP(Data[[#This Row],[TDS]],IntCompactors_PNA[[TDS]:[0]],3,FALSE)+VLOOKUP(Data[[#This Row],[TDS]],IntCompactors_PNA[[TDS]:[0]],6,FALSE),0)</f>
        <v>5</v>
      </c>
      <c r="AF29" s="20" t="e">
        <f>VLOOKUP(Data[[#This Row],[DEVELOPMENT]],[3]Developments!$A$2:$A$312,1,FALSE)</f>
        <v>#N/A</v>
      </c>
      <c r="AG29" s="20">
        <f>IFERROR(VLOOKUP(Data[[#This Row],[DEVELOPMENT]],Ops_Priorities_and_Data_Clean[[development]:[ifnoext_comment]],3,FALSE),"")</f>
        <v>2</v>
      </c>
      <c r="AH29" s="20">
        <f>IFERROR(VLOOKUP(Data[[#This Row],[DEVELOPMENT]],Ops_Priorities_and_Data_Clean[[development]:[ifnoext_comment]],4,FALSE),"")</f>
        <v>0</v>
      </c>
      <c r="AI29" s="20">
        <f>IFERROR(VLOOKUP(Data[[#This Row],[DEVELOPMENT]],Ops_Priorities_and_Data_Clean[[development]:[ifnoext_comment]],5,FALSE),"")</f>
        <v>1</v>
      </c>
      <c r="AJ29" s="20">
        <f>IFERROR(VLOOKUP(Data[[#This Row],[DEVELOPMENT]],Ops_Priorities_and_Data_Clean[[development]:[ifnoext_comment]],6,FALSE),"")</f>
        <v>0</v>
      </c>
      <c r="AK29" s="20">
        <f>IFERROR(VLOOKUP(Data[[#This Row],[DEVELOPMENT]],Ops_Priorities_and_Data_Clean[[development]:[ifnoext_comment]],7,FALSE),"")</f>
        <v>0</v>
      </c>
      <c r="AL29" s="20">
        <f>IFERROR(VLOOKUP(Data[[#This Row],[DEVELOPMENT]],Ops_Priorities_and_Data_Clean[[development]:[ifnoext_comment]],8,FALSE),"")</f>
        <v>1</v>
      </c>
      <c r="AM29" s="20">
        <f>IFERROR(VLOOKUP(Data[[#This Row],[DEVELOPMENT]],Ops_Priorities_and_Data_Clean[[development]:[ifnoext_comment]],9,FALSE),"")</f>
        <v>0</v>
      </c>
      <c r="AN29" s="20">
        <f>IFERROR(VLOOKUP(Data[[#This Row],[DEVELOPMENT]],Ops_Priorities_and_Data_Clean[[development]:[ifnoext_comment]],10,FALSE),"")</f>
        <v>3</v>
      </c>
      <c r="AO29" s="20">
        <f>IFERROR(VLOOKUP(Data[[#This Row],[DEVELOPMENT]],Ops_Priorities_and_Data_Clean[[development]:[ifnoext_comment]],11,FALSE),"")</f>
        <v>2</v>
      </c>
      <c r="AP29" s="20">
        <f>IFERROR(VLOOKUP(Data[[#This Row],[DEVELOPMENT]],Ops_Priorities_and_Data_Clean[[development]:[ifnoext_comment]],12,FALSE),"")</f>
        <v>2</v>
      </c>
      <c r="AQ29" s="20">
        <f>VLOOKUP(Data[[#This Row],[DEVELOPMENT]],Ops_Priorities_and_Data_Clean[[development]:[ifnoext_comment]],14,FALSE)</f>
        <v>0</v>
      </c>
      <c r="AR29" s="20">
        <f>VLOOKUP(Data[[#This Row],[DEVELOPMENT]],Ops_Priorities_and_Data_Clean[[development]:[ifnoext_comment]],15,FALSE)</f>
        <v>0</v>
      </c>
      <c r="AS29" s="20" t="str">
        <f>VLOOKUP(Data[[#This Row],[DEVELOPMENT]],Ops_Priorities_and_Data_Clean[[development]:[ifnoext_comment]],16,FALSE)</f>
        <v>NULL</v>
      </c>
      <c r="AT29" s="20" t="str">
        <f>VLOOKUP(Data[[#This Row],[DEVELOPMENT]],Ops_Priorities_and_Data_Clean[[development]:[ifnoext_comment]],17,FALSE)</f>
        <v>NULL</v>
      </c>
      <c r="AU29" s="20" t="str">
        <f>VLOOKUP(Data[[#This Row],[DEVELOPMENT]],Ops_Priorities_and_Data_Clean[[development]:[ifnoext_comment]],18,FALSE)</f>
        <v>NULL</v>
      </c>
      <c r="AV29" s="20" t="str">
        <f>VLOOKUP(Data[[#This Row],[DEVELOPMENT]],Ops_Priorities_and_Data_Clean[[development]:[ifnoext_comment]],19,FALSE)</f>
        <v>NULL</v>
      </c>
      <c r="AW29" s="20" t="str">
        <f>VLOOKUP(Data[[#This Row],[DEVELOPMENT]],Ops_Priorities_and_Data_Clean[[development]:[ifnoext_comment]],20,FALSE)</f>
        <v>They already have two externals.</v>
      </c>
      <c r="AX29" s="104" t="s">
        <v>2614</v>
      </c>
      <c r="AY29" s="104" t="s">
        <v>2168</v>
      </c>
      <c r="AZ29" s="20" t="str">
        <f>VLOOKUP(Data[[#This Row],[DEVELOPMENT]],Development_Data_Book[[DEVELOPMENT]:[PRIVATE MANAGEMENT]],8,FALSE)</f>
        <v>FEDERAL</v>
      </c>
      <c r="BA29" s="104" t="s">
        <v>2586</v>
      </c>
      <c r="BB29" s="20">
        <f>VLOOKUP(Data[[#This Row],[DEVELOPMENT]],Development_Data_Book[[DEVELOPMENT]:[PRIVATE MANAGEMENT]],22,FALSE)</f>
        <v>1</v>
      </c>
      <c r="BC29" s="20">
        <f>Data[[#This Row],[Non-Dwelling Buildings]]+Data[[#This Row],[Dwelling Buildings]]</f>
        <v>6</v>
      </c>
      <c r="BD29" s="20">
        <f>VLOOKUP(Data[[#This Row],[DEVELOPMENT]],Development_Data_Book[[DEVELOPMENT]:[PRIVATE MANAGEMENT]],26,FALSE)</f>
        <v>7.48</v>
      </c>
      <c r="BE29" s="106">
        <v>402700</v>
      </c>
      <c r="BF29" s="20">
        <f>VLOOKUP(Data[[#This Row],[DEVELOPMENT]],Development_Data_Book[[DEVELOPMENT]:[PRIVATE MANAGEMENT]],18,FALSE)</f>
        <v>947</v>
      </c>
      <c r="BG2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9" s="104" t="s">
        <v>2619</v>
      </c>
      <c r="BI29" t="s">
        <v>184</v>
      </c>
      <c r="BJ29" s="20">
        <f>VLOOKUP(Data[[#This Row],[DEVELOPMENT]],Development_Data_Book[[DEVELOPMENT]:[PRIVATE MANAGEMENT]],41,FALSE)</f>
        <v>12</v>
      </c>
      <c r="BK29" s="20">
        <f>VLOOKUP(Data[[#This Row],[DEVELOPMENT]],Development_Data_Book[[DEVELOPMENT]:[PRIVATE MANAGEMENT]],42,FALSE)</f>
        <v>5</v>
      </c>
      <c r="BL29" s="20" t="str">
        <f>VLOOKUP(Data[[#This Row],[DEVELOPMENT]],Development_Data_Book[[DEVELOPMENT]:[PRIVATE MANAGEMENT]],43,FALSE)</f>
        <v>10, 14</v>
      </c>
      <c r="BM29" s="20">
        <f>VLOOKUP(Data[[#This Row],[DEVELOPMENT]],Development_Data_Book[[DEVELOPMENT]:[PRIVATE MANAGEMENT]],44,FALSE)</f>
        <v>32</v>
      </c>
      <c r="BN29" s="20">
        <f>VLOOKUP(Data[[#This Row],[DEVELOPMENT]],Development_Data_Book[[DEVELOPMENT]:[PRIVATE MANAGEMENT]],45,FALSE)</f>
        <v>28</v>
      </c>
      <c r="BO29" s="20">
        <f>VLOOKUP(Data[[#This Row],[DEVELOPMENT]],Development_Data_Book[[DEVELOPMENT]:[PRIVATE MANAGEMENT]],24,FALSE)</f>
        <v>8</v>
      </c>
    </row>
    <row r="30" spans="1:67">
      <c r="A30" s="17" t="s">
        <v>58</v>
      </c>
      <c r="B30" s="17" t="str">
        <f>VLOOKUP(Data[[#This Row],[DEVELOPMENT]],Development_Data_Book[[DEVELOPMENT]:[BOROUGH]],MATCH("borough",Development_Data_Book[[#Headers],[DEVELOPMENT]:[BOROUGH]],0),FALSE)</f>
        <v>MANHATTAN</v>
      </c>
      <c r="C30" t="e">
        <f>VLOOKUP(Data[[#This Row],[DEVELOPMENT]],'[1]Cheat-Sheet'!$D$2:$Q$341,2,FALSE)</f>
        <v>#N/A</v>
      </c>
      <c r="D3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0">
        <f>VLOOKUP(Data[[#This Row],[DEVELOPMENT]],Development_Data_Book[[DEVELOPMENT]:[BOROUGH]],21,FALSE)</f>
        <v>17</v>
      </c>
      <c r="F30">
        <f>VLOOKUP(Data[[#This Row],[DEVELOPMENT]],Development_Data_Book[[DEVELOPMENT]:[BOROUGH]],23,FALSE)</f>
        <v>35</v>
      </c>
      <c r="G30">
        <f>VLOOKUP(Data[[#This Row],[DEVELOPMENT]],Development_Data_Book[[DEVELOPMENT]:[BOROUGH]],12,FALSE)</f>
        <v>2193</v>
      </c>
      <c r="H30" t="s">
        <v>2246</v>
      </c>
      <c r="I30">
        <v>4</v>
      </c>
      <c r="J30">
        <f>IFERROR(VLOOKUP(Data[[#This Row],[DEVELOPMENT]],IntCompactors_MRST[],4,FALSE),0)</f>
        <v>17</v>
      </c>
      <c r="K30" s="20">
        <f>IFERROR(VLOOKUP(Data[[#This Row],[DEVELOPMENT]],ExtCompactors_MRST[],4,FALSE),0)</f>
        <v>4</v>
      </c>
      <c r="L30" s="27">
        <f>IF(Data[[#This Row],['# Interior Compactors MRST]]=0,"",VLOOKUP(Data[[#This Row],[DEVELOPMENT]],IntCompactors_MRST[],5,FALSE))</f>
        <v>40182</v>
      </c>
      <c r="M30" s="28">
        <f>IF(Data[[#This Row],['# Exterior Compactors MRST]]=0,"",VLOOKUP(Data[[#This Row],[DEVELOPMENT]],ExtCompactors_MRST[],5,FALSE))</f>
        <v>37088</v>
      </c>
      <c r="N30">
        <f>Data[[#This Row],['# Interior Compactors MRST]]</f>
        <v>17</v>
      </c>
      <c r="O30" s="20">
        <f>IF(Data[[#This Row],['# Bulk Crushers]]=0,1,0)</f>
        <v>1</v>
      </c>
      <c r="P30" s="20">
        <f>1</f>
        <v>1</v>
      </c>
      <c r="Q30" s="20">
        <f>1</f>
        <v>1</v>
      </c>
      <c r="R30" s="20">
        <f>1</f>
        <v>1</v>
      </c>
      <c r="S30" s="20">
        <f>1</f>
        <v>1</v>
      </c>
      <c r="T30" s="20">
        <f>IF(Data[[#This Row],[Sewershed]]="Newtown Creek",Data[[#This Row],[DUs]],0)</f>
        <v>2193</v>
      </c>
      <c r="U3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0" s="82">
        <f>VLOOKUP(Data[[#This Row],[DEVELOPMENT]],Development_Data_Book[[DEVELOPMENT]:[BOROUGH]],3,FALSE)</f>
        <v>60</v>
      </c>
      <c r="Y30" s="20" t="s">
        <v>2599</v>
      </c>
      <c r="Z30" s="20">
        <f>IFERROR(VLOOKUP(Data[[#This Row],[TDS]],ExtCompactors_PNA[[Development]:[0]],2,FALSE),0)</f>
        <v>0</v>
      </c>
      <c r="AA30" s="20">
        <f>IFERROR(VLOOKUP(Data[[#This Row],[TDS]],IntCompactors_PNA[[TDS]:[0]],2,FALSE),0)</f>
        <v>17</v>
      </c>
      <c r="AB30" s="20"/>
      <c r="AC30" s="20"/>
      <c r="AD30" s="20">
        <f>IFERROR(VLOOKUP(Data[[#This Row],[TDS]],ExtCompactors_PNA[[Development]:[0]],3,FALSE)+VLOOKUP(Data[[#This Row],[TDS]],ExtCompactors_PNA[[Development]:[0]],6,FALSE),0)</f>
        <v>0</v>
      </c>
      <c r="AE30" s="20">
        <f>IFERROR(VLOOKUP(Data[[#This Row],[TDS]],IntCompactors_PNA[[TDS]:[0]],3,FALSE)+VLOOKUP(Data[[#This Row],[TDS]],IntCompactors_PNA[[TDS]:[0]],6,FALSE),0)</f>
        <v>0</v>
      </c>
      <c r="AF30" s="20" t="e">
        <f>VLOOKUP(Data[[#This Row],[DEVELOPMENT]],[3]Developments!$A$2:$A$312,1,FALSE)</f>
        <v>#N/A</v>
      </c>
      <c r="AG30" s="20">
        <f>IFERROR(VLOOKUP(Data[[#This Row],[DEVELOPMENT]],Ops_Priorities_and_Data_Clean[[development]:[ifnoext_comment]],3,FALSE),"")</f>
        <v>4</v>
      </c>
      <c r="AH30" s="20">
        <f>IFERROR(VLOOKUP(Data[[#This Row],[DEVELOPMENT]],Ops_Priorities_and_Data_Clean[[development]:[ifnoext_comment]],4,FALSE),"")</f>
        <v>0</v>
      </c>
      <c r="AI30" s="20">
        <f>IFERROR(VLOOKUP(Data[[#This Row],[DEVELOPMENT]],Ops_Priorities_and_Data_Clean[[development]:[ifnoext_comment]],5,FALSE),"")</f>
        <v>1</v>
      </c>
      <c r="AJ30" s="20">
        <f>IFERROR(VLOOKUP(Data[[#This Row],[DEVELOPMENT]],Ops_Priorities_and_Data_Clean[[development]:[ifnoext_comment]],6,FALSE),"")</f>
        <v>0</v>
      </c>
      <c r="AK30" s="20">
        <f>IFERROR(VLOOKUP(Data[[#This Row],[DEVELOPMENT]],Ops_Priorities_and_Data_Clean[[development]:[ifnoext_comment]],7,FALSE),"")</f>
        <v>0</v>
      </c>
      <c r="AL30" s="20">
        <f>IFERROR(VLOOKUP(Data[[#This Row],[DEVELOPMENT]],Ops_Priorities_and_Data_Clean[[development]:[ifnoext_comment]],8,FALSE),"")</f>
        <v>1</v>
      </c>
      <c r="AM30" s="20">
        <f>IFERROR(VLOOKUP(Data[[#This Row],[DEVELOPMENT]],Ops_Priorities_and_Data_Clean[[development]:[ifnoext_comment]],9,FALSE),"")</f>
        <v>0</v>
      </c>
      <c r="AN30" s="20">
        <f>IFERROR(VLOOKUP(Data[[#This Row],[DEVELOPMENT]],Ops_Priorities_and_Data_Clean[[development]:[ifnoext_comment]],10,FALSE),"")</f>
        <v>4</v>
      </c>
      <c r="AO30" s="20">
        <f>IFERROR(VLOOKUP(Data[[#This Row],[DEVELOPMENT]],Ops_Priorities_and_Data_Clean[[development]:[ifnoext_comment]],11,FALSE),"")</f>
        <v>4</v>
      </c>
      <c r="AP30" s="20">
        <f>IFERROR(VLOOKUP(Data[[#This Row],[DEVELOPMENT]],Ops_Priorities_and_Data_Clean[[development]:[ifnoext_comment]],12,FALSE),"")</f>
        <v>4</v>
      </c>
      <c r="AQ30" s="20">
        <f>VLOOKUP(Data[[#This Row],[DEVELOPMENT]],Ops_Priorities_and_Data_Clean[[development]:[ifnoext_comment]],14,FALSE)</f>
        <v>0</v>
      </c>
      <c r="AR30" s="20">
        <f>VLOOKUP(Data[[#This Row],[DEVELOPMENT]],Ops_Priorities_and_Data_Clean[[development]:[ifnoext_comment]],15,FALSE)</f>
        <v>0</v>
      </c>
      <c r="AS30" s="20" t="str">
        <f>VLOOKUP(Data[[#This Row],[DEVELOPMENT]],Ops_Priorities_and_Data_Clean[[development]:[ifnoext_comment]],16,FALSE)</f>
        <v>NULL</v>
      </c>
      <c r="AT30" s="20" t="str">
        <f>VLOOKUP(Data[[#This Row],[DEVELOPMENT]],Ops_Priorities_and_Data_Clean[[development]:[ifnoext_comment]],17,FALSE)</f>
        <v>NULL</v>
      </c>
      <c r="AU30" s="20" t="str">
        <f>VLOOKUP(Data[[#This Row],[DEVELOPMENT]],Ops_Priorities_and_Data_Clean[[development]:[ifnoext_comment]],18,FALSE)</f>
        <v>No</v>
      </c>
      <c r="AV30" s="20" t="str">
        <f>VLOOKUP(Data[[#This Row],[DEVELOPMENT]],Ops_Priorities_and_Data_Clean[[development]:[ifnoext_comment]],19,FALSE)</f>
        <v>container on-site</v>
      </c>
      <c r="AW30" s="20" t="str">
        <f>VLOOKUP(Data[[#This Row],[DEVELOPMENT]],Ops_Priorities_and_Data_Clean[[development]:[ifnoext_comment]],20,FALSE)</f>
        <v>They already have externals.</v>
      </c>
      <c r="AX30" s="104" t="s">
        <v>2239</v>
      </c>
      <c r="AY30" s="104" t="s">
        <v>2160</v>
      </c>
      <c r="AZ30" s="20" t="str">
        <f>VLOOKUP(Data[[#This Row],[DEVELOPMENT]],Development_Data_Book[[DEVELOPMENT]:[PRIVATE MANAGEMENT]],8,FALSE)</f>
        <v>FEDERAL</v>
      </c>
      <c r="BA30" s="104" t="s">
        <v>2586</v>
      </c>
      <c r="BB30" s="20">
        <f>VLOOKUP(Data[[#This Row],[DEVELOPMENT]],Development_Data_Book[[DEVELOPMENT]:[PRIVATE MANAGEMENT]],22,FALSE)</f>
        <v>1</v>
      </c>
      <c r="BC30" s="20">
        <f>Data[[#This Row],[Non-Dwelling Buildings]]+Data[[#This Row],[Dwelling Buildings]]</f>
        <v>18</v>
      </c>
      <c r="BD30" s="20">
        <f>VLOOKUP(Data[[#This Row],[DEVELOPMENT]],Development_Data_Book[[DEVELOPMENT]:[PRIVATE MANAGEMENT]],26,FALSE)</f>
        <v>27.46</v>
      </c>
      <c r="BE30" s="106">
        <v>1994601</v>
      </c>
      <c r="BF30" s="20">
        <f>VLOOKUP(Data[[#This Row],[DEVELOPMENT]],Development_Data_Book[[DEVELOPMENT]:[PRIVATE MANAGEMENT]],18,FALSE)</f>
        <v>4872</v>
      </c>
      <c r="BG3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0" s="104" t="s">
        <v>2607</v>
      </c>
      <c r="BI30" t="s">
        <v>184</v>
      </c>
      <c r="BJ30" s="20">
        <f>VLOOKUP(Data[[#This Row],[DEVELOPMENT]],Development_Data_Book[[DEVELOPMENT]:[PRIVATE MANAGEMENT]],41,FALSE)</f>
        <v>3</v>
      </c>
      <c r="BK30" s="20">
        <f>VLOOKUP(Data[[#This Row],[DEVELOPMENT]],Development_Data_Book[[DEVELOPMENT]:[PRIVATE MANAGEMENT]],42,FALSE)</f>
        <v>7</v>
      </c>
      <c r="BL30" s="20">
        <f>VLOOKUP(Data[[#This Row],[DEVELOPMENT]],Development_Data_Book[[DEVELOPMENT]:[PRIVATE MANAGEMENT]],43,FALSE)</f>
        <v>26</v>
      </c>
      <c r="BM30" s="20">
        <f>VLOOKUP(Data[[#This Row],[DEVELOPMENT]],Development_Data_Book[[DEVELOPMENT]:[PRIVATE MANAGEMENT]],44,FALSE)</f>
        <v>74</v>
      </c>
      <c r="BN30" s="20">
        <f>VLOOKUP(Data[[#This Row],[DEVELOPMENT]],Development_Data_Book[[DEVELOPMENT]:[PRIVATE MANAGEMENT]],45,FALSE)</f>
        <v>2</v>
      </c>
      <c r="BO30" s="20">
        <f>VLOOKUP(Data[[#This Row],[DEVELOPMENT]],Development_Data_Book[[DEVELOPMENT]:[PRIVATE MANAGEMENT]],24,FALSE)</f>
        <v>41833</v>
      </c>
    </row>
    <row r="31" spans="1:67">
      <c r="A31" s="17" t="s">
        <v>48</v>
      </c>
      <c r="B31" s="17" t="str">
        <f>VLOOKUP(Data[[#This Row],[DEVELOPMENT]],Development_Data_Book[[DEVELOPMENT]:[BOROUGH]],MATCH("borough",Development_Data_Book[[#Headers],[DEVELOPMENT]:[BOROUGH]],0),FALSE)</f>
        <v>MANHATTAN</v>
      </c>
      <c r="C31" t="e">
        <f>VLOOKUP(Data[[#This Row],[DEVELOPMENT]],'[1]Cheat-Sheet'!$D$2:$Q$341,2,FALSE)</f>
        <v>#N/A</v>
      </c>
      <c r="D3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1">
        <f>VLOOKUP(Data[[#This Row],[DEVELOPMENT]],Development_Data_Book[[DEVELOPMENT]:[BOROUGH]],21,FALSE)</f>
        <v>1</v>
      </c>
      <c r="F31">
        <f>VLOOKUP(Data[[#This Row],[DEVELOPMENT]],Development_Data_Book[[DEVELOPMENT]:[BOROUGH]],23,FALSE)</f>
        <v>1</v>
      </c>
      <c r="G31">
        <f>VLOOKUP(Data[[#This Row],[DEVELOPMENT]],Development_Data_Book[[DEVELOPMENT]:[BOROUGH]],12,FALSE)</f>
        <v>197</v>
      </c>
      <c r="H31" t="s">
        <v>2246</v>
      </c>
      <c r="I31">
        <v>4</v>
      </c>
      <c r="J31">
        <f>IFERROR(VLOOKUP(Data[[#This Row],[DEVELOPMENT]],IntCompactors_MRST[],4,FALSE),0)</f>
        <v>1</v>
      </c>
      <c r="K31" s="20">
        <f>IFERROR(VLOOKUP(Data[[#This Row],[DEVELOPMENT]],ExtCompactors_MRST[],4,FALSE),0)</f>
        <v>0</v>
      </c>
      <c r="L31" s="27">
        <f>IF(Data[[#This Row],['# Interior Compactors MRST]]=0,"",VLOOKUP(Data[[#This Row],[DEVELOPMENT]],IntCompactors_MRST[],5,FALSE))</f>
        <v>40182</v>
      </c>
      <c r="M31" s="28" t="str">
        <f>IF(Data[[#This Row],['# Exterior Compactors MRST]]=0,"",VLOOKUP(Data[[#This Row],[DEVELOPMENT]],ExtCompactors_MRST[],5,FALSE))</f>
        <v/>
      </c>
      <c r="N31">
        <f>Data[[#This Row],['# Interior Compactors MRST]]</f>
        <v>1</v>
      </c>
      <c r="O31" s="20">
        <f>IF(Data[[#This Row],['# Bulk Crushers]]=0,1,0)</f>
        <v>1</v>
      </c>
      <c r="P31" s="20">
        <f>1</f>
        <v>1</v>
      </c>
      <c r="Q31" s="20">
        <f>1</f>
        <v>1</v>
      </c>
      <c r="R31" s="20">
        <f>1</f>
        <v>1</v>
      </c>
      <c r="S31" s="20">
        <f>1</f>
        <v>1</v>
      </c>
      <c r="T31" s="20">
        <f>IF(Data[[#This Row],[Sewershed]]="Newtown Creek",Data[[#This Row],[DUs]],0)</f>
        <v>197</v>
      </c>
      <c r="U3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1" s="82">
        <f>VLOOKUP(Data[[#This Row],[DEVELOPMENT]],Development_Data_Book[[DEVELOPMENT]:[BOROUGH]],3,FALSE)</f>
        <v>198</v>
      </c>
      <c r="Y31" s="20" t="s">
        <v>2599</v>
      </c>
      <c r="Z31" s="20">
        <f>IFERROR(VLOOKUP(Data[[#This Row],[TDS]],ExtCompactors_PNA[[Development]:[0]],2,FALSE),0)</f>
        <v>0</v>
      </c>
      <c r="AA31" s="20">
        <f>IFERROR(VLOOKUP(Data[[#This Row],[TDS]],IntCompactors_PNA[[TDS]:[0]],2,FALSE),0)</f>
        <v>1</v>
      </c>
      <c r="AB31" s="20"/>
      <c r="AC31" s="20"/>
      <c r="AD31" s="20">
        <f>IFERROR(VLOOKUP(Data[[#This Row],[TDS]],ExtCompactors_PNA[[Development]:[0]],3,FALSE)+VLOOKUP(Data[[#This Row],[TDS]],ExtCompactors_PNA[[Development]:[0]],6,FALSE),0)</f>
        <v>0</v>
      </c>
      <c r="AE31" s="20">
        <f>IFERROR(VLOOKUP(Data[[#This Row],[TDS]],IntCompactors_PNA[[TDS]:[0]],3,FALSE)+VLOOKUP(Data[[#This Row],[TDS]],IntCompactors_PNA[[TDS]:[0]],6,FALSE),0)</f>
        <v>0</v>
      </c>
      <c r="AF31" s="20" t="e">
        <f>VLOOKUP(Data[[#This Row],[DEVELOPMENT]],[3]Developments!$A$2:$A$312,1,FALSE)</f>
        <v>#N/A</v>
      </c>
      <c r="AG31" s="20">
        <f>IFERROR(VLOOKUP(Data[[#This Row],[DEVELOPMENT]],Ops_Priorities_and_Data_Clean[[development]:[ifnoext_comment]],3,FALSE),"")</f>
        <v>0</v>
      </c>
      <c r="AH31" s="20">
        <f>IFERROR(VLOOKUP(Data[[#This Row],[DEVELOPMENT]],Ops_Priorities_and_Data_Clean[[development]:[ifnoext_comment]],4,FALSE),"")</f>
        <v>0</v>
      </c>
      <c r="AI31" s="20">
        <f>IFERROR(VLOOKUP(Data[[#This Row],[DEVELOPMENT]],Ops_Priorities_and_Data_Clean[[development]:[ifnoext_comment]],5,FALSE),"")</f>
        <v>0</v>
      </c>
      <c r="AJ31" s="20">
        <f>IFERROR(VLOOKUP(Data[[#This Row],[DEVELOPMENT]],Ops_Priorities_and_Data_Clean[[development]:[ifnoext_comment]],6,FALSE),"")</f>
        <v>1</v>
      </c>
      <c r="AK31" s="20">
        <f>IFERROR(VLOOKUP(Data[[#This Row],[DEVELOPMENT]],Ops_Priorities_and_Data_Clean[[development]:[ifnoext_comment]],7,FALSE),"")</f>
        <v>0</v>
      </c>
      <c r="AL31" s="20">
        <f>IFERROR(VLOOKUP(Data[[#This Row],[DEVELOPMENT]],Ops_Priorities_and_Data_Clean[[development]:[ifnoext_comment]],8,FALSE),"")</f>
        <v>1</v>
      </c>
      <c r="AM31" s="20">
        <f>IFERROR(VLOOKUP(Data[[#This Row],[DEVELOPMENT]],Ops_Priorities_and_Data_Clean[[development]:[ifnoext_comment]],9,FALSE),"")</f>
        <v>0</v>
      </c>
      <c r="AN31" s="20">
        <f>IFERROR(VLOOKUP(Data[[#This Row],[DEVELOPMENT]],Ops_Priorities_and_Data_Clean[[development]:[ifnoext_comment]],10,FALSE),"")</f>
        <v>0</v>
      </c>
      <c r="AO31" s="20">
        <f>IFERROR(VLOOKUP(Data[[#This Row],[DEVELOPMENT]],Ops_Priorities_and_Data_Clean[[development]:[ifnoext_comment]],11,FALSE),"")</f>
        <v>0</v>
      </c>
      <c r="AP31" s="20">
        <f>IFERROR(VLOOKUP(Data[[#This Row],[DEVELOPMENT]],Ops_Priorities_and_Data_Clean[[development]:[ifnoext_comment]],12,FALSE),"")</f>
        <v>0</v>
      </c>
      <c r="AQ31" s="20">
        <f>VLOOKUP(Data[[#This Row],[DEVELOPMENT]],Ops_Priorities_and_Data_Clean[[development]:[ifnoext_comment]],14,FALSE)</f>
        <v>0</v>
      </c>
      <c r="AR31" s="20">
        <f>VLOOKUP(Data[[#This Row],[DEVELOPMENT]],Ops_Priorities_and_Data_Clean[[development]:[ifnoext_comment]],15,FALSE)</f>
        <v>1</v>
      </c>
      <c r="AS31" s="20" t="str">
        <f>VLOOKUP(Data[[#This Row],[DEVELOPMENT]],Ops_Priorities_and_Data_Clean[[development]:[ifnoext_comment]],16,FALSE)</f>
        <v>BARUCH</v>
      </c>
      <c r="AT31" s="20" t="str">
        <f>VLOOKUP(Data[[#This Row],[DEVELOPMENT]],Ops_Priorities_and_Data_Clean[[development]:[ifnoext_comment]],17,FALSE)</f>
        <v>NULL</v>
      </c>
      <c r="AU31" s="20" t="str">
        <f>VLOOKUP(Data[[#This Row],[DEVELOPMENT]],Ops_Priorities_and_Data_Clean[[development]:[ifnoext_comment]],18,FALSE)</f>
        <v>No</v>
      </c>
      <c r="AV31" s="20" t="str">
        <f>VLOOKUP(Data[[#This Row],[DEVELOPMENT]],Ops_Priorities_and_Data_Clean[[development]:[ifnoext_comment]],19,FALSE)</f>
        <v>served by Baruch</v>
      </c>
      <c r="AW31" s="20" t="str">
        <f>VLOOKUP(Data[[#This Row],[DEVELOPMENT]],Ops_Priorities_and_Data_Clean[[development]:[ifnoext_comment]],20,FALSE)</f>
        <v>NULL</v>
      </c>
      <c r="AX31" s="104" t="s">
        <v>2239</v>
      </c>
      <c r="AY31" s="104" t="s">
        <v>2160</v>
      </c>
      <c r="AZ31" s="20" t="str">
        <f>VLOOKUP(Data[[#This Row],[DEVELOPMENT]],Development_Data_Book[[DEVELOPMENT]:[PRIVATE MANAGEMENT]],8,FALSE)</f>
        <v>FEDERAL</v>
      </c>
      <c r="BA31" s="104" t="s">
        <v>2586</v>
      </c>
      <c r="BB31" s="20">
        <f>VLOOKUP(Data[[#This Row],[DEVELOPMENT]],Development_Data_Book[[DEVELOPMENT]:[PRIVATE MANAGEMENT]],22,FALSE)</f>
        <v>0</v>
      </c>
      <c r="BC31" s="20">
        <f>Data[[#This Row],[Non-Dwelling Buildings]]+Data[[#This Row],[Dwelling Buildings]]</f>
        <v>1</v>
      </c>
      <c r="BD31" s="20">
        <f>VLOOKUP(Data[[#This Row],[DEVELOPMENT]],Development_Data_Book[[DEVELOPMENT]:[PRIVATE MANAGEMENT]],26,FALSE)</f>
        <v>1.08</v>
      </c>
      <c r="BE31" s="106">
        <v>140963</v>
      </c>
      <c r="BF31" s="20">
        <f>VLOOKUP(Data[[#This Row],[DEVELOPMENT]],Development_Data_Book[[DEVELOPMENT]:[PRIVATE MANAGEMENT]],18,FALSE)</f>
        <v>242</v>
      </c>
      <c r="BG31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31" s="104" t="s">
        <v>2607</v>
      </c>
      <c r="BI31" t="s">
        <v>184</v>
      </c>
      <c r="BJ31" s="20">
        <f>VLOOKUP(Data[[#This Row],[DEVELOPMENT]],Development_Data_Book[[DEVELOPMENT]:[PRIVATE MANAGEMENT]],41,FALSE)</f>
        <v>3</v>
      </c>
      <c r="BK31" s="20">
        <f>VLOOKUP(Data[[#This Row],[DEVELOPMENT]],Development_Data_Book[[DEVELOPMENT]:[PRIVATE MANAGEMENT]],42,FALSE)</f>
        <v>7</v>
      </c>
      <c r="BL31" s="20">
        <f>VLOOKUP(Data[[#This Row],[DEVELOPMENT]],Development_Data_Book[[DEVELOPMENT]:[PRIVATE MANAGEMENT]],43,FALSE)</f>
        <v>26</v>
      </c>
      <c r="BM31" s="20">
        <f>VLOOKUP(Data[[#This Row],[DEVELOPMENT]],Development_Data_Book[[DEVELOPMENT]:[PRIVATE MANAGEMENT]],44,FALSE)</f>
        <v>74</v>
      </c>
      <c r="BN31" s="20">
        <f>VLOOKUP(Data[[#This Row],[DEVELOPMENT]],Development_Data_Book[[DEVELOPMENT]:[PRIVATE MANAGEMENT]],45,FALSE)</f>
        <v>2</v>
      </c>
      <c r="BO31" s="20">
        <f>VLOOKUP(Data[[#This Row],[DEVELOPMENT]],Development_Data_Book[[DEVELOPMENT]:[PRIVATE MANAGEMENT]],24,FALSE)</f>
        <v>23</v>
      </c>
    </row>
    <row r="32" spans="1:67">
      <c r="A32" t="s">
        <v>231</v>
      </c>
      <c r="B32" s="20" t="str">
        <f>VLOOKUP(Data[[#This Row],[DEVELOPMENT]],Development_Data_Book[[DEVELOPMENT]:[BOROUGH]],MATCH("borough",Development_Data_Book[[#Headers],[DEVELOPMENT]:[BOROUGH]],0),FALSE)</f>
        <v>BROOKLYN</v>
      </c>
      <c r="C32" s="20" t="e">
        <f>VLOOKUP(Data[[#This Row],[DEVELOPMENT]],'[1]Cheat-Sheet'!$D$2:$Q$341,2,FALSE)</f>
        <v>#N/A</v>
      </c>
      <c r="D3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32" s="20">
        <f>VLOOKUP(Data[[#This Row],[DEVELOPMENT]],Development_Data_Book[[DEVELOPMENT]:[BOROUGH]],21,FALSE)</f>
        <v>23</v>
      </c>
      <c r="F32" s="20">
        <f>VLOOKUP(Data[[#This Row],[DEVELOPMENT]],Development_Data_Book[[DEVELOPMENT]:[BOROUGH]],23,FALSE)</f>
        <v>26</v>
      </c>
      <c r="G32" s="20">
        <f>VLOOKUP(Data[[#This Row],[DEVELOPMENT]],Development_Data_Book[[DEVELOPMENT]:[BOROUGH]],12,FALSE)</f>
        <v>1609</v>
      </c>
      <c r="J32">
        <f>IFERROR(VLOOKUP(Data[[#This Row],[DEVELOPMENT]],IntCompactors_MRST[],4,FALSE),0)</f>
        <v>23</v>
      </c>
      <c r="K32" s="20">
        <f>IFERROR(VLOOKUP(Data[[#This Row],[DEVELOPMENT]],ExtCompactors_MRST[],4,FALSE),0)</f>
        <v>4</v>
      </c>
      <c r="L32" s="27">
        <f>IF(Data[[#This Row],['# Interior Compactors MRST]]=0,"",VLOOKUP(Data[[#This Row],[DEVELOPMENT]],IntCompactors_MRST[],5,FALSE))</f>
        <v>37347</v>
      </c>
      <c r="M32" s="28">
        <f>IF(Data[[#This Row],['# Exterior Compactors MRST]]=0,"",VLOOKUP(Data[[#This Row],[DEVELOPMENT]],ExtCompactors_MRST[],5,FALSE))</f>
        <v>38051</v>
      </c>
      <c r="N32" s="20">
        <f>Data[[#This Row],['# Interior Compactors MRST]]</f>
        <v>23</v>
      </c>
      <c r="O32" s="20">
        <f>IF(Data[[#This Row],['# Bulk Crushers]]=0,1,0)</f>
        <v>1</v>
      </c>
      <c r="P32" s="20">
        <f>1</f>
        <v>1</v>
      </c>
      <c r="Q32" s="20">
        <f>1</f>
        <v>1</v>
      </c>
      <c r="R32" s="20">
        <f>1</f>
        <v>1</v>
      </c>
      <c r="S32" s="20">
        <f>1</f>
        <v>1</v>
      </c>
      <c r="T32" s="20">
        <f>IF(Data[[#This Row],[Sewershed]]="Newtown Creek",Data[[#This Row],[DUs]],0)</f>
        <v>0</v>
      </c>
      <c r="U3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2" s="82">
        <f>VLOOKUP(Data[[#This Row],[DEVELOPMENT]],Development_Data_Book[[DEVELOPMENT]:[BOROUGH]],3,FALSE)</f>
        <v>92</v>
      </c>
      <c r="Y32" s="20"/>
      <c r="Z32" s="20">
        <f>IFERROR(VLOOKUP(Data[[#This Row],[TDS]],ExtCompactors_PNA[[Development]:[0]],2,FALSE),0)</f>
        <v>4</v>
      </c>
      <c r="AA32" s="20">
        <f>IFERROR(VLOOKUP(Data[[#This Row],[TDS]],IntCompactors_PNA[[TDS]:[0]],2,FALSE),0)</f>
        <v>23</v>
      </c>
      <c r="AB32" s="20"/>
      <c r="AC32" s="20"/>
      <c r="AD32" s="20">
        <f>IFERROR(VLOOKUP(Data[[#This Row],[TDS]],ExtCompactors_PNA[[Development]:[0]],3,FALSE)+VLOOKUP(Data[[#This Row],[TDS]],ExtCompactors_PNA[[Development]:[0]],6,FALSE),0)</f>
        <v>4</v>
      </c>
      <c r="AE32" s="20">
        <f>IFERROR(VLOOKUP(Data[[#This Row],[TDS]],IntCompactors_PNA[[TDS]:[0]],3,FALSE)+VLOOKUP(Data[[#This Row],[TDS]],IntCompactors_PNA[[TDS]:[0]],6,FALSE),0)</f>
        <v>23</v>
      </c>
      <c r="AF32" s="20" t="e">
        <f>VLOOKUP(Data[[#This Row],[DEVELOPMENT]],[3]Developments!$A$2:$A$312,1,FALSE)</f>
        <v>#N/A</v>
      </c>
      <c r="AG32" s="20">
        <f>IFERROR(VLOOKUP(Data[[#This Row],[DEVELOPMENT]],Ops_Priorities_and_Data_Clean[[development]:[ifnoext_comment]],3,FALSE),"")</f>
        <v>4</v>
      </c>
      <c r="AH32" s="20">
        <f>IFERROR(VLOOKUP(Data[[#This Row],[DEVELOPMENT]],Ops_Priorities_and_Data_Clean[[development]:[ifnoext_comment]],4,FALSE),"")</f>
        <v>0</v>
      </c>
      <c r="AI32" s="20">
        <f>IFERROR(VLOOKUP(Data[[#This Row],[DEVELOPMENT]],Ops_Priorities_and_Data_Clean[[development]:[ifnoext_comment]],5,FALSE),"")</f>
        <v>1</v>
      </c>
      <c r="AJ32" s="20">
        <f>IFERROR(VLOOKUP(Data[[#This Row],[DEVELOPMENT]],Ops_Priorities_and_Data_Clean[[development]:[ifnoext_comment]],6,FALSE),"")</f>
        <v>0</v>
      </c>
      <c r="AK32" s="20">
        <f>IFERROR(VLOOKUP(Data[[#This Row],[DEVELOPMENT]],Ops_Priorities_and_Data_Clean[[development]:[ifnoext_comment]],7,FALSE),"")</f>
        <v>0</v>
      </c>
      <c r="AL32" s="20">
        <f>IFERROR(VLOOKUP(Data[[#This Row],[DEVELOPMENT]],Ops_Priorities_and_Data_Clean[[development]:[ifnoext_comment]],8,FALSE),"")</f>
        <v>1</v>
      </c>
      <c r="AM32" s="20">
        <f>IFERROR(VLOOKUP(Data[[#This Row],[DEVELOPMENT]],Ops_Priorities_and_Data_Clean[[development]:[ifnoext_comment]],9,FALSE),"")</f>
        <v>0</v>
      </c>
      <c r="AN32" s="20">
        <f>IFERROR(VLOOKUP(Data[[#This Row],[DEVELOPMENT]],Ops_Priorities_and_Data_Clean[[development]:[ifnoext_comment]],10,FALSE),"")</f>
        <v>4</v>
      </c>
      <c r="AO32" s="20">
        <f>IFERROR(VLOOKUP(Data[[#This Row],[DEVELOPMENT]],Ops_Priorities_and_Data_Clean[[development]:[ifnoext_comment]],11,FALSE),"")</f>
        <v>4</v>
      </c>
      <c r="AP32" s="20">
        <f>IFERROR(VLOOKUP(Data[[#This Row],[DEVELOPMENT]],Ops_Priorities_and_Data_Clean[[development]:[ifnoext_comment]],12,FALSE),"")</f>
        <v>4</v>
      </c>
      <c r="AQ32" s="20">
        <f>VLOOKUP(Data[[#This Row],[DEVELOPMENT]],Ops_Priorities_and_Data_Clean[[development]:[ifnoext_comment]],14,FALSE)</f>
        <v>0</v>
      </c>
      <c r="AR32" s="20">
        <f>VLOOKUP(Data[[#This Row],[DEVELOPMENT]],Ops_Priorities_and_Data_Clean[[development]:[ifnoext_comment]],15,FALSE)</f>
        <v>0</v>
      </c>
      <c r="AS32" s="20" t="str">
        <f>VLOOKUP(Data[[#This Row],[DEVELOPMENT]],Ops_Priorities_and_Data_Clean[[development]:[ifnoext_comment]],16,FALSE)</f>
        <v>NULL</v>
      </c>
      <c r="AT32" s="20" t="str">
        <f>VLOOKUP(Data[[#This Row],[DEVELOPMENT]],Ops_Priorities_and_Data_Clean[[development]:[ifnoext_comment]],17,FALSE)</f>
        <v>NULL</v>
      </c>
      <c r="AU32" s="20" t="str">
        <f>VLOOKUP(Data[[#This Row],[DEVELOPMENT]],Ops_Priorities_and_Data_Clean[[development]:[ifnoext_comment]],18,FALSE)</f>
        <v>NULL</v>
      </c>
      <c r="AV32" s="20" t="str">
        <f>VLOOKUP(Data[[#This Row],[DEVELOPMENT]],Ops_Priorities_and_Data_Clean[[development]:[ifnoext_comment]],19,FALSE)</f>
        <v>NULL</v>
      </c>
      <c r="AW32" s="20" t="str">
        <f>VLOOKUP(Data[[#This Row],[DEVELOPMENT]],Ops_Priorities_and_Data_Clean[[development]:[ifnoext_comment]],20,FALSE)</f>
        <v>They already have externals.</v>
      </c>
      <c r="AX32" s="104" t="s">
        <v>2605</v>
      </c>
      <c r="AY32" s="104" t="s">
        <v>2620</v>
      </c>
      <c r="AZ32" s="20" t="str">
        <f>VLOOKUP(Data[[#This Row],[DEVELOPMENT]],Development_Data_Book[[DEVELOPMENT]:[PRIVATE MANAGEMENT]],8,FALSE)</f>
        <v>MIXED FINANCE/LLC1</v>
      </c>
      <c r="BA32" s="104" t="s">
        <v>2586</v>
      </c>
      <c r="BB32" s="20">
        <f>VLOOKUP(Data[[#This Row],[DEVELOPMENT]],Development_Data_Book[[DEVELOPMENT]:[PRIVATE MANAGEMENT]],22,FALSE)</f>
        <v>2</v>
      </c>
      <c r="BC32" s="20">
        <f>Data[[#This Row],[Non-Dwelling Buildings]]+Data[[#This Row],[Dwelling Buildings]]</f>
        <v>25</v>
      </c>
      <c r="BD32" s="20">
        <f>VLOOKUP(Data[[#This Row],[DEVELOPMENT]],Development_Data_Book[[DEVELOPMENT]:[PRIVATE MANAGEMENT]],26,FALSE)</f>
        <v>34.020000000000003</v>
      </c>
      <c r="BE32" s="106">
        <v>1795600</v>
      </c>
      <c r="BF32" s="20">
        <f>VLOOKUP(Data[[#This Row],[DEVELOPMENT]],Development_Data_Book[[DEVELOPMENT]:[PRIVATE MANAGEMENT]],18,FALSE)</f>
        <v>3506</v>
      </c>
      <c r="BG3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2" s="104" t="s">
        <v>2621</v>
      </c>
      <c r="BI32" t="s">
        <v>184</v>
      </c>
      <c r="BJ32" s="20">
        <f>VLOOKUP(Data[[#This Row],[DEVELOPMENT]],Development_Data_Book[[DEVELOPMENT]:[PRIVATE MANAGEMENT]],41,FALSE)</f>
        <v>18</v>
      </c>
      <c r="BK32" s="20">
        <f>VLOOKUP(Data[[#This Row],[DEVELOPMENT]],Development_Data_Book[[DEVELOPMENT]:[PRIVATE MANAGEMENT]],42,FALSE)</f>
        <v>8</v>
      </c>
      <c r="BL32" s="20">
        <f>VLOOKUP(Data[[#This Row],[DEVELOPMENT]],Development_Data_Book[[DEVELOPMENT]:[PRIVATE MANAGEMENT]],43,FALSE)</f>
        <v>19</v>
      </c>
      <c r="BM32" s="20">
        <f>VLOOKUP(Data[[#This Row],[DEVELOPMENT]],Development_Data_Book[[DEVELOPMENT]:[PRIVATE MANAGEMENT]],44,FALSE)</f>
        <v>59</v>
      </c>
      <c r="BN32" s="20">
        <f>VLOOKUP(Data[[#This Row],[DEVELOPMENT]],Development_Data_Book[[DEVELOPMENT]:[PRIVATE MANAGEMENT]],45,FALSE)</f>
        <v>46</v>
      </c>
      <c r="BO32" s="20">
        <f>VLOOKUP(Data[[#This Row],[DEVELOPMENT]],Development_Data_Book[[DEVELOPMENT]:[PRIVATE MANAGEMENT]],24,FALSE)</f>
        <v>8</v>
      </c>
    </row>
    <row r="33" spans="1:67">
      <c r="A33" t="s">
        <v>301</v>
      </c>
      <c r="B33" s="20" t="str">
        <f>VLOOKUP(Data[[#This Row],[DEVELOPMENT]],Development_Data_Book[[DEVELOPMENT]:[BOROUGH]],MATCH("borough",Development_Data_Book[[#Headers],[DEVELOPMENT]:[BOROUGH]],0),FALSE)</f>
        <v>QUEENS</v>
      </c>
      <c r="C33" s="20" t="e">
        <f>VLOOKUP(Data[[#This Row],[DEVELOPMENT]],'[1]Cheat-Sheet'!$D$2:$Q$341,2,FALSE)</f>
        <v>#N/A</v>
      </c>
      <c r="D3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33" s="20">
        <f>VLOOKUP(Data[[#This Row],[DEVELOPMENT]],Development_Data_Book[[DEVELOPMENT]:[BOROUGH]],21,FALSE)</f>
        <v>4</v>
      </c>
      <c r="F33" s="20">
        <f>VLOOKUP(Data[[#This Row],[DEVELOPMENT]],Development_Data_Book[[DEVELOPMENT]:[BOROUGH]],23,FALSE)</f>
        <v>7</v>
      </c>
      <c r="G33" s="20">
        <f>VLOOKUP(Data[[#This Row],[DEVELOPMENT]],Development_Data_Book[[DEVELOPMENT]:[BOROUGH]],12,FALSE)</f>
        <v>712</v>
      </c>
      <c r="J33">
        <f>IFERROR(VLOOKUP(Data[[#This Row],[DEVELOPMENT]],IntCompactors_MRST[],4,FALSE),0)</f>
        <v>6</v>
      </c>
      <c r="K33" s="20">
        <f>IFERROR(VLOOKUP(Data[[#This Row],[DEVELOPMENT]],ExtCompactors_MRST[],4,FALSE),0)</f>
        <v>2</v>
      </c>
      <c r="L33" s="27">
        <f>IF(Data[[#This Row],['# Interior Compactors MRST]]=0,"",VLOOKUP(Data[[#This Row],[DEVELOPMENT]],IntCompactors_MRST[],5,FALSE))</f>
        <v>37641</v>
      </c>
      <c r="M33" s="28">
        <f>IF(Data[[#This Row],['# Exterior Compactors MRST]]=0,"",VLOOKUP(Data[[#This Row],[DEVELOPMENT]],ExtCompactors_MRST[],5,FALSE))</f>
        <v>41896</v>
      </c>
      <c r="N33" s="20">
        <f>Data[[#This Row],['# Interior Compactors MRST]]</f>
        <v>6</v>
      </c>
      <c r="O33" s="20">
        <f>IF(Data[[#This Row],['# Bulk Crushers]]=0,1,0)</f>
        <v>1</v>
      </c>
      <c r="P33" s="20">
        <f>1</f>
        <v>1</v>
      </c>
      <c r="Q33" s="20">
        <f>1</f>
        <v>1</v>
      </c>
      <c r="R33" s="20">
        <f>1</f>
        <v>1</v>
      </c>
      <c r="S33" s="20">
        <f>1</f>
        <v>1</v>
      </c>
      <c r="T33" s="20">
        <f>IF(Data[[#This Row],[Sewershed]]="Newtown Creek",Data[[#This Row],[DUs]],0)</f>
        <v>0</v>
      </c>
      <c r="U3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3" s="82">
        <f>VLOOKUP(Data[[#This Row],[DEVELOPMENT]],Development_Data_Book[[DEVELOPMENT]:[BOROUGH]],3,FALSE)</f>
        <v>165</v>
      </c>
      <c r="Y33" s="20"/>
      <c r="Z33" s="20">
        <f>IFERROR(VLOOKUP(Data[[#This Row],[TDS]],ExtCompactors_PNA[[Development]:[0]],2,FALSE),0)</f>
        <v>1</v>
      </c>
      <c r="AA33" s="20">
        <f>IFERROR(VLOOKUP(Data[[#This Row],[TDS]],IntCompactors_PNA[[TDS]:[0]],2,FALSE),0)</f>
        <v>6</v>
      </c>
      <c r="AB33" s="20"/>
      <c r="AC33" s="20"/>
      <c r="AD33" s="20">
        <f>IFERROR(VLOOKUP(Data[[#This Row],[TDS]],ExtCompactors_PNA[[Development]:[0]],3,FALSE)+VLOOKUP(Data[[#This Row],[TDS]],ExtCompactors_PNA[[Development]:[0]],6,FALSE),0)</f>
        <v>1</v>
      </c>
      <c r="AE33" s="20">
        <f>IFERROR(VLOOKUP(Data[[#This Row],[TDS]],IntCompactors_PNA[[TDS]:[0]],3,FALSE)+VLOOKUP(Data[[#This Row],[TDS]],IntCompactors_PNA[[TDS]:[0]],6,FALSE),0)</f>
        <v>6</v>
      </c>
      <c r="AF33" s="20" t="e">
        <f>VLOOKUP(Data[[#This Row],[DEVELOPMENT]],[3]Developments!$A$2:$A$312,1,FALSE)</f>
        <v>#N/A</v>
      </c>
      <c r="AG33" s="20">
        <f>IFERROR(VLOOKUP(Data[[#This Row],[DEVELOPMENT]],Ops_Priorities_and_Data_Clean[[development]:[ifnoext_comment]],3,FALSE),"")</f>
        <v>2</v>
      </c>
      <c r="AH33" s="20">
        <f>IFERROR(VLOOKUP(Data[[#This Row],[DEVELOPMENT]],Ops_Priorities_and_Data_Clean[[development]:[ifnoext_comment]],4,FALSE),"")</f>
        <v>0</v>
      </c>
      <c r="AI33" s="20">
        <f>IFERROR(VLOOKUP(Data[[#This Row],[DEVELOPMENT]],Ops_Priorities_and_Data_Clean[[development]:[ifnoext_comment]],5,FALSE),"")</f>
        <v>1</v>
      </c>
      <c r="AJ33" s="20">
        <f>IFERROR(VLOOKUP(Data[[#This Row],[DEVELOPMENT]],Ops_Priorities_and_Data_Clean[[development]:[ifnoext_comment]],6,FALSE),"")</f>
        <v>0</v>
      </c>
      <c r="AK33" s="20">
        <f>IFERROR(VLOOKUP(Data[[#This Row],[DEVELOPMENT]],Ops_Priorities_and_Data_Clean[[development]:[ifnoext_comment]],7,FALSE),"")</f>
        <v>0</v>
      </c>
      <c r="AL33" s="20">
        <f>IFERROR(VLOOKUP(Data[[#This Row],[DEVELOPMENT]],Ops_Priorities_and_Data_Clean[[development]:[ifnoext_comment]],8,FALSE),"")</f>
        <v>1</v>
      </c>
      <c r="AM33" s="20">
        <f>IFERROR(VLOOKUP(Data[[#This Row],[DEVELOPMENT]],Ops_Priorities_and_Data_Clean[[development]:[ifnoext_comment]],9,FALSE),"")</f>
        <v>0</v>
      </c>
      <c r="AN33" s="20">
        <f>IFERROR(VLOOKUP(Data[[#This Row],[DEVELOPMENT]],Ops_Priorities_and_Data_Clean[[development]:[ifnoext_comment]],10,FALSE),"")</f>
        <v>2</v>
      </c>
      <c r="AO33" s="20">
        <f>IFERROR(VLOOKUP(Data[[#This Row],[DEVELOPMENT]],Ops_Priorities_and_Data_Clean[[development]:[ifnoext_comment]],11,FALSE),"")</f>
        <v>2</v>
      </c>
      <c r="AP33" s="20">
        <f>IFERROR(VLOOKUP(Data[[#This Row],[DEVELOPMENT]],Ops_Priorities_and_Data_Clean[[development]:[ifnoext_comment]],12,FALSE),"")</f>
        <v>2</v>
      </c>
      <c r="AQ33" s="20">
        <f>VLOOKUP(Data[[#This Row],[DEVELOPMENT]],Ops_Priorities_and_Data_Clean[[development]:[ifnoext_comment]],14,FALSE)</f>
        <v>0</v>
      </c>
      <c r="AR33" s="20">
        <f>VLOOKUP(Data[[#This Row],[DEVELOPMENT]],Ops_Priorities_and_Data_Clean[[development]:[ifnoext_comment]],15,FALSE)</f>
        <v>0</v>
      </c>
      <c r="AS33" s="20" t="str">
        <f>VLOOKUP(Data[[#This Row],[DEVELOPMENT]],Ops_Priorities_and_Data_Clean[[development]:[ifnoext_comment]],16,FALSE)</f>
        <v>NULL</v>
      </c>
      <c r="AT33" s="20" t="str">
        <f>VLOOKUP(Data[[#This Row],[DEVELOPMENT]],Ops_Priorities_and_Data_Clean[[development]:[ifnoext_comment]],17,FALSE)</f>
        <v>NULL</v>
      </c>
      <c r="AU33" s="20" t="str">
        <f>VLOOKUP(Data[[#This Row],[DEVELOPMENT]],Ops_Priorities_and_Data_Clean[[development]:[ifnoext_comment]],18,FALSE)</f>
        <v>NULL</v>
      </c>
      <c r="AV33" s="20" t="str">
        <f>VLOOKUP(Data[[#This Row],[DEVELOPMENT]],Ops_Priorities_and_Data_Clean[[development]:[ifnoext_comment]],19,FALSE)</f>
        <v>NULL</v>
      </c>
      <c r="AW33" s="20" t="str">
        <f>VLOOKUP(Data[[#This Row],[DEVELOPMENT]],Ops_Priorities_and_Data_Clean[[development]:[ifnoext_comment]],20,FALSE)</f>
        <v>NULL</v>
      </c>
      <c r="AX33" s="104" t="s">
        <v>2614</v>
      </c>
      <c r="AY33" s="104" t="s">
        <v>2622</v>
      </c>
      <c r="AZ33" s="20" t="str">
        <f>VLOOKUP(Data[[#This Row],[DEVELOPMENT]],Development_Data_Book[[DEVELOPMENT]:[PRIVATE MANAGEMENT]],8,FALSE)</f>
        <v>FEDERAL</v>
      </c>
      <c r="BA33" s="104" t="s">
        <v>2586</v>
      </c>
      <c r="BB33" s="20">
        <f>VLOOKUP(Data[[#This Row],[DEVELOPMENT]],Development_Data_Book[[DEVELOPMENT]:[PRIVATE MANAGEMENT]],22,FALSE)</f>
        <v>1</v>
      </c>
      <c r="BC33" s="20">
        <f>Data[[#This Row],[Non-Dwelling Buildings]]+Data[[#This Row],[Dwelling Buildings]]</f>
        <v>5</v>
      </c>
      <c r="BD33" s="20">
        <f>VLOOKUP(Data[[#This Row],[DEVELOPMENT]],Development_Data_Book[[DEVELOPMENT]:[PRIVATE MANAGEMENT]],26,FALSE)</f>
        <v>13.31</v>
      </c>
      <c r="BE33" s="106">
        <v>688239</v>
      </c>
      <c r="BF33" s="20">
        <f>VLOOKUP(Data[[#This Row],[DEVELOPMENT]],Development_Data_Book[[DEVELOPMENT]:[PRIVATE MANAGEMENT]],18,FALSE)</f>
        <v>1622</v>
      </c>
      <c r="BG3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3" s="104" t="s">
        <v>2619</v>
      </c>
      <c r="BI33" t="s">
        <v>184</v>
      </c>
      <c r="BJ33" s="20">
        <f>VLOOKUP(Data[[#This Row],[DEVELOPMENT]],Development_Data_Book[[DEVELOPMENT]:[PRIVATE MANAGEMENT]],41,FALSE)</f>
        <v>14</v>
      </c>
      <c r="BK33" s="20">
        <f>VLOOKUP(Data[[#This Row],[DEVELOPMENT]],Development_Data_Book[[DEVELOPMENT]:[PRIVATE MANAGEMENT]],42,FALSE)</f>
        <v>5</v>
      </c>
      <c r="BL33" s="20">
        <f>VLOOKUP(Data[[#This Row],[DEVELOPMENT]],Development_Data_Book[[DEVELOPMENT]:[PRIVATE MANAGEMENT]],43,FALSE)</f>
        <v>10</v>
      </c>
      <c r="BM33" s="20">
        <f>VLOOKUP(Data[[#This Row],[DEVELOPMENT]],Development_Data_Book[[DEVELOPMENT]:[PRIVATE MANAGEMENT]],44,FALSE)</f>
        <v>31</v>
      </c>
      <c r="BN33" s="20">
        <f>VLOOKUP(Data[[#This Row],[DEVELOPMENT]],Development_Data_Book[[DEVELOPMENT]:[PRIVATE MANAGEMENT]],45,FALSE)</f>
        <v>31</v>
      </c>
      <c r="BO33" s="20">
        <f>VLOOKUP(Data[[#This Row],[DEVELOPMENT]],Development_Data_Book[[DEVELOPMENT]:[PRIVATE MANAGEMENT]],24,FALSE)</f>
        <v>13</v>
      </c>
    </row>
    <row r="34" spans="1:67">
      <c r="A34" s="17" t="s">
        <v>142</v>
      </c>
      <c r="B34" s="17" t="str">
        <f>VLOOKUP(Data[[#This Row],[DEVELOPMENT]],Development_Data_Book[[DEVELOPMENT]:[BOROUGH]],MATCH("borough",Development_Data_Book[[#Headers],[DEVELOPMENT]:[BOROUGH]],0),FALSE)</f>
        <v>BROOKLYN</v>
      </c>
      <c r="C34" t="e">
        <f>VLOOKUP(Data[[#This Row],[DEVELOPMENT]],'[1]Cheat-Sheet'!$D$2:$Q$341,2,FALSE)</f>
        <v>#N/A</v>
      </c>
      <c r="D3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4">
        <f>VLOOKUP(Data[[#This Row],[DEVELOPMENT]],Development_Data_Book[[DEVELOPMENT]:[BOROUGH]],21,FALSE)</f>
        <v>3</v>
      </c>
      <c r="F34">
        <f>VLOOKUP(Data[[#This Row],[DEVELOPMENT]],Development_Data_Book[[DEVELOPMENT]:[BOROUGH]],23,FALSE)</f>
        <v>5</v>
      </c>
      <c r="G34">
        <f>VLOOKUP(Data[[#This Row],[DEVELOPMENT]],Development_Data_Book[[DEVELOPMENT]:[BOROUGH]],12,FALSE)</f>
        <v>84</v>
      </c>
      <c r="H34" t="s">
        <v>2246</v>
      </c>
      <c r="I34">
        <v>4</v>
      </c>
      <c r="J34">
        <f>IFERROR(VLOOKUP(Data[[#This Row],[DEVELOPMENT]],IntCompactors_MRST[],4,FALSE),0)</f>
        <v>5</v>
      </c>
      <c r="K34" s="20">
        <f>IFERROR(VLOOKUP(Data[[#This Row],[DEVELOPMENT]],ExtCompactors_MRST[],4,FALSE),0)</f>
        <v>0</v>
      </c>
      <c r="L34" s="27">
        <f>IF(Data[[#This Row],['# Interior Compactors MRST]]=0,"",VLOOKUP(Data[[#This Row],[DEVELOPMENT]],IntCompactors_MRST[],5,FALSE))</f>
        <v>30317</v>
      </c>
      <c r="M34" s="28" t="str">
        <f>IF(Data[[#This Row],['# Exterior Compactors MRST]]=0,"",VLOOKUP(Data[[#This Row],[DEVELOPMENT]],ExtCompactors_MRST[],5,FALSE))</f>
        <v/>
      </c>
      <c r="N34">
        <f>Data[[#This Row],['# Interior Compactors MRST]]</f>
        <v>5</v>
      </c>
      <c r="O34" s="20">
        <f>IF(Data[[#This Row],['# Bulk Crushers]]=0,1,0)</f>
        <v>1</v>
      </c>
      <c r="P34" s="20">
        <f>1</f>
        <v>1</v>
      </c>
      <c r="Q34" s="20">
        <f>1</f>
        <v>1</v>
      </c>
      <c r="R34" s="20">
        <f>1</f>
        <v>1</v>
      </c>
      <c r="S34" s="20">
        <f>1</f>
        <v>1</v>
      </c>
      <c r="T34" s="20">
        <f>IF(Data[[#This Row],[Sewershed]]="Newtown Creek",Data[[#This Row],[DUs]],0)</f>
        <v>84</v>
      </c>
      <c r="U3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4" s="82">
        <f>VLOOKUP(Data[[#This Row],[DEVELOPMENT]],Development_Data_Book[[DEVELOPMENT]:[BOROUGH]],3,FALSE)</f>
        <v>311</v>
      </c>
      <c r="Y34" s="20" t="s">
        <v>2599</v>
      </c>
      <c r="Z34" s="20">
        <f>IFERROR(VLOOKUP(Data[[#This Row],[TDS]],ExtCompactors_PNA[[Development]:[0]],2,FALSE),0)</f>
        <v>0</v>
      </c>
      <c r="AA34" s="20">
        <f>IFERROR(VLOOKUP(Data[[#This Row],[TDS]],IntCompactors_PNA[[TDS]:[0]],2,FALSE),0)</f>
        <v>5</v>
      </c>
      <c r="AB34" s="20"/>
      <c r="AC34" s="20"/>
      <c r="AD34" s="20">
        <f>IFERROR(VLOOKUP(Data[[#This Row],[TDS]],ExtCompactors_PNA[[Development]:[0]],3,FALSE)+VLOOKUP(Data[[#This Row],[TDS]],ExtCompactors_PNA[[Development]:[0]],6,FALSE),0)</f>
        <v>0</v>
      </c>
      <c r="AE34" s="20">
        <f>IFERROR(VLOOKUP(Data[[#This Row],[TDS]],IntCompactors_PNA[[TDS]:[0]],3,FALSE)+VLOOKUP(Data[[#This Row],[TDS]],IntCompactors_PNA[[TDS]:[0]],6,FALSE),0)</f>
        <v>5</v>
      </c>
      <c r="AF34" s="20" t="e">
        <f>VLOOKUP(Data[[#This Row],[DEVELOPMENT]],[3]Developments!$A$2:$A$312,1,FALSE)</f>
        <v>#N/A</v>
      </c>
      <c r="AG34" s="20">
        <f>IFERROR(VLOOKUP(Data[[#This Row],[DEVELOPMENT]],Ops_Priorities_and_Data_Clean[[development]:[ifnoext_comment]],3,FALSE),"")</f>
        <v>0</v>
      </c>
      <c r="AH34" s="20">
        <f>IFERROR(VLOOKUP(Data[[#This Row],[DEVELOPMENT]],Ops_Priorities_and_Data_Clean[[development]:[ifnoext_comment]],4,FALSE),"")</f>
        <v>0</v>
      </c>
      <c r="AI34" s="20">
        <f>IFERROR(VLOOKUP(Data[[#This Row],[DEVELOPMENT]],Ops_Priorities_and_Data_Clean[[development]:[ifnoext_comment]],5,FALSE),"")</f>
        <v>0</v>
      </c>
      <c r="AJ34" s="20">
        <f>IFERROR(VLOOKUP(Data[[#This Row],[DEVELOPMENT]],Ops_Priorities_and_Data_Clean[[development]:[ifnoext_comment]],6,FALSE),"")</f>
        <v>1</v>
      </c>
      <c r="AK34" s="20">
        <f>IFERROR(VLOOKUP(Data[[#This Row],[DEVELOPMENT]],Ops_Priorities_and_Data_Clean[[development]:[ifnoext_comment]],7,FALSE),"")</f>
        <v>0</v>
      </c>
      <c r="AL34" s="20">
        <f>IFERROR(VLOOKUP(Data[[#This Row],[DEVELOPMENT]],Ops_Priorities_and_Data_Clean[[development]:[ifnoext_comment]],8,FALSE),"")</f>
        <v>1</v>
      </c>
      <c r="AM34" s="20">
        <f>IFERROR(VLOOKUP(Data[[#This Row],[DEVELOPMENT]],Ops_Priorities_and_Data_Clean[[development]:[ifnoext_comment]],9,FALSE),"")</f>
        <v>0</v>
      </c>
      <c r="AN34" s="20">
        <f>IFERROR(VLOOKUP(Data[[#This Row],[DEVELOPMENT]],Ops_Priorities_and_Data_Clean[[development]:[ifnoext_comment]],10,FALSE),"")</f>
        <v>0</v>
      </c>
      <c r="AO34" s="20">
        <f>IFERROR(VLOOKUP(Data[[#This Row],[DEVELOPMENT]],Ops_Priorities_and_Data_Clean[[development]:[ifnoext_comment]],11,FALSE),"")</f>
        <v>0</v>
      </c>
      <c r="AP34" s="20">
        <f>IFERROR(VLOOKUP(Data[[#This Row],[DEVELOPMENT]],Ops_Priorities_and_Data_Clean[[development]:[ifnoext_comment]],12,FALSE),"")</f>
        <v>0</v>
      </c>
      <c r="AQ34" s="20">
        <f>VLOOKUP(Data[[#This Row],[DEVELOPMENT]],Ops_Priorities_and_Data_Clean[[development]:[ifnoext_comment]],14,FALSE)</f>
        <v>0</v>
      </c>
      <c r="AR34" s="20">
        <f>VLOOKUP(Data[[#This Row],[DEVELOPMENT]],Ops_Priorities_and_Data_Clean[[development]:[ifnoext_comment]],15,FALSE)</f>
        <v>1</v>
      </c>
      <c r="AS34" s="20" t="str">
        <f>VLOOKUP(Data[[#This Row],[DEVELOPMENT]],Ops_Priorities_and_Data_Clean[[development]:[ifnoext_comment]],16,FALSE)</f>
        <v>Sumner</v>
      </c>
      <c r="AT34" s="20" t="str">
        <f>VLOOKUP(Data[[#This Row],[DEVELOPMENT]],Ops_Priorities_and_Data_Clean[[development]:[ifnoext_comment]],17,FALSE)</f>
        <v>NULL</v>
      </c>
      <c r="AU34" s="20" t="str">
        <f>VLOOKUP(Data[[#This Row],[DEVELOPMENT]],Ops_Priorities_and_Data_Clean[[development]:[ifnoext_comment]],18,FALSE)</f>
        <v>No</v>
      </c>
      <c r="AV34" s="20" t="str">
        <f>VLOOKUP(Data[[#This Row],[DEVELOPMENT]],Ops_Priorities_and_Data_Clean[[development]:[ifnoext_comment]],19,FALSE)</f>
        <v>driven to Sumner daily- the consolidation has an F-150 and F-250 that are used as appropriate (not dedicated solely to that purpose).  Trash left outside while waiting for pickup.</v>
      </c>
      <c r="AW34" s="20" t="str">
        <f>VLOOKUP(Data[[#This Row],[DEVELOPMENT]],Ops_Priorities_and_Data_Clean[[development]:[ifnoext_comment]],20,FALSE)</f>
        <v>NULL</v>
      </c>
      <c r="AX34" s="104" t="s">
        <v>2238</v>
      </c>
      <c r="AY34" s="104" t="s">
        <v>2600</v>
      </c>
      <c r="AZ34" s="20" t="str">
        <f>VLOOKUP(Data[[#This Row],[DEVELOPMENT]],Development_Data_Book[[DEVELOPMENT]:[PRIVATE MANAGEMENT]],8,FALSE)</f>
        <v>FEDERAL</v>
      </c>
      <c r="BA34" s="104" t="s">
        <v>2613</v>
      </c>
      <c r="BB34" s="20">
        <f>VLOOKUP(Data[[#This Row],[DEVELOPMENT]],Development_Data_Book[[DEVELOPMENT]:[PRIVATE MANAGEMENT]],22,FALSE)</f>
        <v>0</v>
      </c>
      <c r="BC34" s="20">
        <f>Data[[#This Row],[Non-Dwelling Buildings]]+Data[[#This Row],[Dwelling Buildings]]</f>
        <v>3</v>
      </c>
      <c r="BD34" s="20">
        <f>VLOOKUP(Data[[#This Row],[DEVELOPMENT]],Development_Data_Book[[DEVELOPMENT]:[PRIVATE MANAGEMENT]],26,FALSE)</f>
        <v>0.6</v>
      </c>
      <c r="BE34" s="106">
        <v>104000</v>
      </c>
      <c r="BF34" s="20">
        <f>VLOOKUP(Data[[#This Row],[DEVELOPMENT]],Development_Data_Book[[DEVELOPMENT]:[PRIVATE MANAGEMENT]],18,FALSE)</f>
        <v>180</v>
      </c>
      <c r="BG3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4" s="104" t="s">
        <v>2601</v>
      </c>
      <c r="BI34" t="s">
        <v>184</v>
      </c>
      <c r="BJ34" s="20">
        <f>VLOOKUP(Data[[#This Row],[DEVELOPMENT]],Development_Data_Book[[DEVELOPMENT]:[PRIVATE MANAGEMENT]],41,FALSE)</f>
        <v>3</v>
      </c>
      <c r="BK34" s="20">
        <f>VLOOKUP(Data[[#This Row],[DEVELOPMENT]],Development_Data_Book[[DEVELOPMENT]:[PRIVATE MANAGEMENT]],42,FALSE)</f>
        <v>8</v>
      </c>
      <c r="BL34" s="20">
        <f>VLOOKUP(Data[[#This Row],[DEVELOPMENT]],Development_Data_Book[[DEVELOPMENT]:[PRIVATE MANAGEMENT]],43,FALSE)</f>
        <v>18</v>
      </c>
      <c r="BM34" s="20">
        <f>VLOOKUP(Data[[#This Row],[DEVELOPMENT]],Development_Data_Book[[DEVELOPMENT]:[PRIVATE MANAGEMENT]],44,FALSE)</f>
        <v>54</v>
      </c>
      <c r="BN34" s="20">
        <f>VLOOKUP(Data[[#This Row],[DEVELOPMENT]],Development_Data_Book[[DEVELOPMENT]:[PRIVATE MANAGEMENT]],45,FALSE)</f>
        <v>36</v>
      </c>
      <c r="BO34" s="20">
        <f>VLOOKUP(Data[[#This Row],[DEVELOPMENT]],Development_Data_Book[[DEVELOPMENT]:[PRIVATE MANAGEMENT]],24,FALSE)</f>
        <v>43561</v>
      </c>
    </row>
    <row r="35" spans="1:67">
      <c r="A35" t="s">
        <v>302</v>
      </c>
      <c r="B35" s="20" t="str">
        <f>VLOOKUP(Data[[#This Row],[DEVELOPMENT]],Development_Data_Book[[DEVELOPMENT]:[BOROUGH]],MATCH("borough",Development_Data_Book[[#Headers],[DEVELOPMENT]:[BOROUGH]],0),FALSE)</f>
        <v>BROOKLYN</v>
      </c>
      <c r="C35" s="20" t="e">
        <f>VLOOKUP(Data[[#This Row],[DEVELOPMENT]],'[1]Cheat-Sheet'!$D$2:$Q$341,2,FALSE)</f>
        <v>#N/A</v>
      </c>
      <c r="D3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5" s="20">
        <f>VLOOKUP(Data[[#This Row],[DEVELOPMENT]],Development_Data_Book[[DEVELOPMENT]:[BOROUGH]],21,FALSE)</f>
        <v>3</v>
      </c>
      <c r="F35" s="20">
        <f>VLOOKUP(Data[[#This Row],[DEVELOPMENT]],Development_Data_Book[[DEVELOPMENT]:[BOROUGH]],23,FALSE)</f>
        <v>8</v>
      </c>
      <c r="G35" s="20">
        <f>VLOOKUP(Data[[#This Row],[DEVELOPMENT]],Development_Data_Book[[DEVELOPMENT]:[BOROUGH]],12,FALSE)</f>
        <v>72</v>
      </c>
      <c r="J35">
        <f>IFERROR(VLOOKUP(Data[[#This Row],[DEVELOPMENT]],IntCompactors_MRST[],4,FALSE),0)</f>
        <v>0</v>
      </c>
      <c r="K35" s="20">
        <f>IFERROR(VLOOKUP(Data[[#This Row],[DEVELOPMENT]],ExtCompactors_MRST[],4,FALSE),0)</f>
        <v>0</v>
      </c>
      <c r="L35" s="27" t="str">
        <f>IF(Data[[#This Row],['# Interior Compactors MRST]]=0,"",VLOOKUP(Data[[#This Row],[DEVELOPMENT]],IntCompactors_MRST[],5,FALSE))</f>
        <v/>
      </c>
      <c r="M35" s="28" t="str">
        <f>IF(Data[[#This Row],['# Exterior Compactors MRST]]=0,"",VLOOKUP(Data[[#This Row],[DEVELOPMENT]],ExtCompactors_MRST[],5,FALSE))</f>
        <v/>
      </c>
      <c r="N35" s="20">
        <f>Data[[#This Row],['# Interior Compactors MRST]]</f>
        <v>0</v>
      </c>
      <c r="O35" s="20">
        <f>IF(Data[[#This Row],['# Bulk Crushers]]=0,1,0)</f>
        <v>1</v>
      </c>
      <c r="P35" s="20">
        <f>1</f>
        <v>1</v>
      </c>
      <c r="Q35" s="20">
        <f>1</f>
        <v>1</v>
      </c>
      <c r="R35" s="20">
        <f>1</f>
        <v>1</v>
      </c>
      <c r="S35" s="20">
        <f>1</f>
        <v>1</v>
      </c>
      <c r="T35" s="20">
        <f>IF(Data[[#This Row],[Sewershed]]="Newtown Creek",Data[[#This Row],[DUs]],0)</f>
        <v>0</v>
      </c>
      <c r="U3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5" s="82">
        <f>VLOOKUP(Data[[#This Row],[DEVELOPMENT]],Development_Data_Book[[DEVELOPMENT]:[BOROUGH]],3,FALSE)</f>
        <v>345</v>
      </c>
      <c r="Y35" s="20"/>
      <c r="Z35" s="20">
        <f>IFERROR(VLOOKUP(Data[[#This Row],[TDS]],ExtCompactors_PNA[[Development]:[0]],2,FALSE),0)</f>
        <v>0</v>
      </c>
      <c r="AA35" s="20">
        <f>IFERROR(VLOOKUP(Data[[#This Row],[TDS]],IntCompactors_PNA[[TDS]:[0]],2,FALSE),0)</f>
        <v>0</v>
      </c>
      <c r="AB35" s="20"/>
      <c r="AC35" s="20"/>
      <c r="AD35" s="20">
        <f>IFERROR(VLOOKUP(Data[[#This Row],[TDS]],ExtCompactors_PNA[[Development]:[0]],3,FALSE)+VLOOKUP(Data[[#This Row],[TDS]],ExtCompactors_PNA[[Development]:[0]],6,FALSE),0)</f>
        <v>0</v>
      </c>
      <c r="AE35" s="20">
        <f>IFERROR(VLOOKUP(Data[[#This Row],[TDS]],IntCompactors_PNA[[TDS]:[0]],3,FALSE)+VLOOKUP(Data[[#This Row],[TDS]],IntCompactors_PNA[[TDS]:[0]],6,FALSE),0)</f>
        <v>0</v>
      </c>
      <c r="AF35" s="20" t="e">
        <f>VLOOKUP(Data[[#This Row],[DEVELOPMENT]],[3]Developments!$A$2:$A$312,1,FALSE)</f>
        <v>#N/A</v>
      </c>
      <c r="AG35" s="20">
        <f>IFERROR(VLOOKUP(Data[[#This Row],[DEVELOPMENT]],Ops_Priorities_and_Data_Clean[[development]:[ifnoext_comment]],3,FALSE),"")</f>
        <v>0</v>
      </c>
      <c r="AH35" s="20">
        <f>IFERROR(VLOOKUP(Data[[#This Row],[DEVELOPMENT]],Ops_Priorities_and_Data_Clean[[development]:[ifnoext_comment]],4,FALSE),"")</f>
        <v>0</v>
      </c>
      <c r="AI35" s="20">
        <f>IFERROR(VLOOKUP(Data[[#This Row],[DEVELOPMENT]],Ops_Priorities_and_Data_Clean[[development]:[ifnoext_comment]],5,FALSE),"")</f>
        <v>0</v>
      </c>
      <c r="AJ35" s="20">
        <f>IFERROR(VLOOKUP(Data[[#This Row],[DEVELOPMENT]],Ops_Priorities_and_Data_Clean[[development]:[ifnoext_comment]],6,FALSE),"")</f>
        <v>0</v>
      </c>
      <c r="AK35" s="20">
        <f>IFERROR(VLOOKUP(Data[[#This Row],[DEVELOPMENT]],Ops_Priorities_and_Data_Clean[[development]:[ifnoext_comment]],7,FALSE),"")</f>
        <v>1</v>
      </c>
      <c r="AL35" s="20">
        <f>IFERROR(VLOOKUP(Data[[#This Row],[DEVELOPMENT]],Ops_Priorities_and_Data_Clean[[development]:[ifnoext_comment]],8,FALSE),"")</f>
        <v>1</v>
      </c>
      <c r="AM35" s="20">
        <f>IFERROR(VLOOKUP(Data[[#This Row],[DEVELOPMENT]],Ops_Priorities_and_Data_Clean[[development]:[ifnoext_comment]],9,FALSE),"")</f>
        <v>1</v>
      </c>
      <c r="AN35" s="20">
        <f>IFERROR(VLOOKUP(Data[[#This Row],[DEVELOPMENT]],Ops_Priorities_and_Data_Clean[[development]:[ifnoext_comment]],10,FALSE),"")</f>
        <v>0</v>
      </c>
      <c r="AO35" s="20">
        <f>IFERROR(VLOOKUP(Data[[#This Row],[DEVELOPMENT]],Ops_Priorities_and_Data_Clean[[development]:[ifnoext_comment]],11,FALSE),"")</f>
        <v>0</v>
      </c>
      <c r="AP35" s="20">
        <f>IFERROR(VLOOKUP(Data[[#This Row],[DEVELOPMENT]],Ops_Priorities_and_Data_Clean[[development]:[ifnoext_comment]],12,FALSE),"")</f>
        <v>0</v>
      </c>
      <c r="AQ35" s="20">
        <f>VLOOKUP(Data[[#This Row],[DEVELOPMENT]],Ops_Priorities_and_Data_Clean[[development]:[ifnoext_comment]],14,FALSE)</f>
        <v>1</v>
      </c>
      <c r="AR35" s="20">
        <f>VLOOKUP(Data[[#This Row],[DEVELOPMENT]],Ops_Priorities_and_Data_Clean[[development]:[ifnoext_comment]],15,FALSE)</f>
        <v>0</v>
      </c>
      <c r="AS35" s="20" t="str">
        <f>VLOOKUP(Data[[#This Row],[DEVELOPMENT]],Ops_Priorities_and_Data_Clean[[development]:[ifnoext_comment]],16,FALSE)</f>
        <v>NULL</v>
      </c>
      <c r="AT35" s="20" t="str">
        <f>VLOOKUP(Data[[#This Row],[DEVELOPMENT]],Ops_Priorities_and_Data_Clean[[development]:[ifnoext_comment]],17,FALSE)</f>
        <v>NULL</v>
      </c>
      <c r="AU35" s="20" t="str">
        <f>VLOOKUP(Data[[#This Row],[DEVELOPMENT]],Ops_Priorities_and_Data_Clean[[development]:[ifnoext_comment]],18,FALSE)</f>
        <v>NULL</v>
      </c>
      <c r="AV35" s="20" t="str">
        <f>VLOOKUP(Data[[#This Row],[DEVELOPMENT]],Ops_Priorities_and_Data_Clean[[development]:[ifnoext_comment]],19,FALSE)</f>
        <v>NULL</v>
      </c>
      <c r="AW35" s="20" t="str">
        <f>VLOOKUP(Data[[#This Row],[DEVELOPMENT]],Ops_Priorities_and_Data_Clean[[development]:[ifnoext_comment]],20,FALSE)</f>
        <v>They have a parking lot where an exterior compactor could go</v>
      </c>
      <c r="AX35" s="104" t="s">
        <v>2605</v>
      </c>
      <c r="AY35" s="104" t="s">
        <v>2623</v>
      </c>
      <c r="AZ35" s="20" t="str">
        <f>VLOOKUP(Data[[#This Row],[DEVELOPMENT]],Development_Data_Book[[DEVELOPMENT]:[PRIVATE MANAGEMENT]],8,FALSE)</f>
        <v>FEDERAL</v>
      </c>
      <c r="BA35" s="104" t="s">
        <v>2588</v>
      </c>
      <c r="BB35" s="20">
        <f>VLOOKUP(Data[[#This Row],[DEVELOPMENT]],Development_Data_Book[[DEVELOPMENT]:[PRIVATE MANAGEMENT]],22,FALSE)</f>
        <v>0</v>
      </c>
      <c r="BC35" s="20">
        <f>Data[[#This Row],[Non-Dwelling Buildings]]+Data[[#This Row],[Dwelling Buildings]]</f>
        <v>3</v>
      </c>
      <c r="BD35" s="20">
        <f>VLOOKUP(Data[[#This Row],[DEVELOPMENT]],Development_Data_Book[[DEVELOPMENT]:[PRIVATE MANAGEMENT]],26,FALSE)</f>
        <v>1.84</v>
      </c>
      <c r="BE35" s="106">
        <v>109166</v>
      </c>
      <c r="BF35" s="20">
        <f>VLOOKUP(Data[[#This Row],[DEVELOPMENT]],Development_Data_Book[[DEVELOPMENT]:[PRIVATE MANAGEMENT]],18,FALSE)</f>
        <v>189</v>
      </c>
      <c r="BG3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5" s="104" t="s">
        <v>2589</v>
      </c>
      <c r="BI35" t="s">
        <v>184</v>
      </c>
      <c r="BJ35" s="20">
        <f>VLOOKUP(Data[[#This Row],[DEVELOPMENT]],Development_Data_Book[[DEVELOPMENT]:[PRIVATE MANAGEMENT]],41,FALSE)</f>
        <v>5</v>
      </c>
      <c r="BK35" s="20">
        <f>VLOOKUP(Data[[#This Row],[DEVELOPMENT]],Development_Data_Book[[DEVELOPMENT]:[PRIVATE MANAGEMENT]],42,FALSE)</f>
        <v>8</v>
      </c>
      <c r="BL35" s="20">
        <f>VLOOKUP(Data[[#This Row],[DEVELOPMENT]],Development_Data_Book[[DEVELOPMENT]:[PRIVATE MANAGEMENT]],43,FALSE)</f>
        <v>19</v>
      </c>
      <c r="BM35" s="20">
        <f>VLOOKUP(Data[[#This Row],[DEVELOPMENT]],Development_Data_Book[[DEVELOPMENT]:[PRIVATE MANAGEMENT]],44,FALSE)</f>
        <v>60</v>
      </c>
      <c r="BN35" s="20">
        <f>VLOOKUP(Data[[#This Row],[DEVELOPMENT]],Development_Data_Book[[DEVELOPMENT]:[PRIVATE MANAGEMENT]],45,FALSE)</f>
        <v>42</v>
      </c>
      <c r="BO35" s="20">
        <f>VLOOKUP(Data[[#This Row],[DEVELOPMENT]],Development_Data_Book[[DEVELOPMENT]:[PRIVATE MANAGEMENT]],24,FALSE)</f>
        <v>3</v>
      </c>
    </row>
    <row r="36" spans="1:67">
      <c r="A36" t="s">
        <v>232</v>
      </c>
      <c r="B36" s="20" t="str">
        <f>VLOOKUP(Data[[#This Row],[DEVELOPMENT]],Development_Data_Book[[DEVELOPMENT]:[BOROUGH]],MATCH("borough",Development_Data_Book[[#Headers],[DEVELOPMENT]:[BOROUGH]],0),FALSE)</f>
        <v>STATEN ISLAND</v>
      </c>
      <c r="C36" s="20" t="e">
        <f>VLOOKUP(Data[[#This Row],[DEVELOPMENT]],'[1]Cheat-Sheet'!$D$2:$Q$341,2,FALSE)</f>
        <v>#N/A</v>
      </c>
      <c r="D3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6" s="20">
        <f>VLOOKUP(Data[[#This Row],[DEVELOPMENT]],Development_Data_Book[[DEVELOPMENT]:[BOROUGH]],21,FALSE)</f>
        <v>8</v>
      </c>
      <c r="F36" s="20">
        <f>VLOOKUP(Data[[#This Row],[DEVELOPMENT]],Development_Data_Book[[DEVELOPMENT]:[BOROUGH]],23,FALSE)</f>
        <v>17</v>
      </c>
      <c r="G36" s="20">
        <f>VLOOKUP(Data[[#This Row],[DEVELOPMENT]],Development_Data_Book[[DEVELOPMENT]:[BOROUGH]],12,FALSE)</f>
        <v>506</v>
      </c>
      <c r="J36">
        <f>IFERROR(VLOOKUP(Data[[#This Row],[DEVELOPMENT]],IntCompactors_MRST[],4,FALSE),0)</f>
        <v>16</v>
      </c>
      <c r="K36" s="20">
        <f>IFERROR(VLOOKUP(Data[[#This Row],[DEVELOPMENT]],ExtCompactors_MRST[],4,FALSE),0)</f>
        <v>1</v>
      </c>
      <c r="L36" s="27">
        <f>IF(Data[[#This Row],['# Interior Compactors MRST]]=0,"",VLOOKUP(Data[[#This Row],[DEVELOPMENT]],IntCompactors_MRST[],5,FALSE))</f>
        <v>38200</v>
      </c>
      <c r="M36" s="28">
        <f>IF(Data[[#This Row],['# Exterior Compactors MRST]]=0,"",VLOOKUP(Data[[#This Row],[DEVELOPMENT]],ExtCompactors_MRST[],5,FALSE))</f>
        <v>37723</v>
      </c>
      <c r="N36" s="20">
        <f>Data[[#This Row],['# Interior Compactors MRST]]</f>
        <v>16</v>
      </c>
      <c r="O36" s="20">
        <f>IF(Data[[#This Row],['# Bulk Crushers]]=0,1,0)</f>
        <v>1</v>
      </c>
      <c r="P36" s="20">
        <f>1</f>
        <v>1</v>
      </c>
      <c r="Q36" s="20">
        <f>1</f>
        <v>1</v>
      </c>
      <c r="R36" s="20">
        <f>1</f>
        <v>1</v>
      </c>
      <c r="S36" s="20">
        <f>1</f>
        <v>1</v>
      </c>
      <c r="T36" s="20">
        <f>IF(Data[[#This Row],[Sewershed]]="Newtown Creek",Data[[#This Row],[DUs]],0)</f>
        <v>0</v>
      </c>
      <c r="U36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6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6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6" s="82">
        <f>VLOOKUP(Data[[#This Row],[DEVELOPMENT]],Development_Data_Book[[DEVELOPMENT]:[BOROUGH]],3,FALSE)</f>
        <v>52</v>
      </c>
      <c r="Y36" s="20"/>
      <c r="Z36" s="20">
        <f>IFERROR(VLOOKUP(Data[[#This Row],[TDS]],ExtCompactors_PNA[[Development]:[0]],2,FALSE),0)</f>
        <v>1</v>
      </c>
      <c r="AA36" s="20">
        <f>IFERROR(VLOOKUP(Data[[#This Row],[TDS]],IntCompactors_PNA[[TDS]:[0]],2,FALSE),0)</f>
        <v>15</v>
      </c>
      <c r="AB36" s="20"/>
      <c r="AC36" s="20"/>
      <c r="AD36" s="20">
        <f>IFERROR(VLOOKUP(Data[[#This Row],[TDS]],ExtCompactors_PNA[[Development]:[0]],3,FALSE)+VLOOKUP(Data[[#This Row],[TDS]],ExtCompactors_PNA[[Development]:[0]],6,FALSE),0)</f>
        <v>1</v>
      </c>
      <c r="AE36" s="20">
        <f>IFERROR(VLOOKUP(Data[[#This Row],[TDS]],IntCompactors_PNA[[TDS]:[0]],3,FALSE)+VLOOKUP(Data[[#This Row],[TDS]],IntCompactors_PNA[[TDS]:[0]],6,FALSE),0)</f>
        <v>15</v>
      </c>
      <c r="AF36" s="20" t="e">
        <f>VLOOKUP(Data[[#This Row],[DEVELOPMENT]],[3]Developments!$A$2:$A$312,1,FALSE)</f>
        <v>#N/A</v>
      </c>
      <c r="AG36" s="20">
        <f>IFERROR(VLOOKUP(Data[[#This Row],[DEVELOPMENT]],Ops_Priorities_and_Data_Clean[[development]:[ifnoext_comment]],3,FALSE),"")</f>
        <v>1</v>
      </c>
      <c r="AH36" s="20">
        <f>IFERROR(VLOOKUP(Data[[#This Row],[DEVELOPMENT]],Ops_Priorities_and_Data_Clean[[development]:[ifnoext_comment]],4,FALSE),"")</f>
        <v>0</v>
      </c>
      <c r="AI36" s="20">
        <f>IFERROR(VLOOKUP(Data[[#This Row],[DEVELOPMENT]],Ops_Priorities_and_Data_Clean[[development]:[ifnoext_comment]],5,FALSE),"")</f>
        <v>1</v>
      </c>
      <c r="AJ36" s="20">
        <f>IFERROR(VLOOKUP(Data[[#This Row],[DEVELOPMENT]],Ops_Priorities_and_Data_Clean[[development]:[ifnoext_comment]],6,FALSE),"")</f>
        <v>0</v>
      </c>
      <c r="AK36" s="20">
        <f>IFERROR(VLOOKUP(Data[[#This Row],[DEVELOPMENT]],Ops_Priorities_and_Data_Clean[[development]:[ifnoext_comment]],7,FALSE),"")</f>
        <v>0</v>
      </c>
      <c r="AL36" s="20">
        <f>IFERROR(VLOOKUP(Data[[#This Row],[DEVELOPMENT]],Ops_Priorities_and_Data_Clean[[development]:[ifnoext_comment]],8,FALSE),"")</f>
        <v>1</v>
      </c>
      <c r="AM36" s="20">
        <f>IFERROR(VLOOKUP(Data[[#This Row],[DEVELOPMENT]],Ops_Priorities_and_Data_Clean[[development]:[ifnoext_comment]],9,FALSE),"")</f>
        <v>0</v>
      </c>
      <c r="AN36" s="20">
        <f>IFERROR(VLOOKUP(Data[[#This Row],[DEVELOPMENT]],Ops_Priorities_and_Data_Clean[[development]:[ifnoext_comment]],10,FALSE),"")</f>
        <v>1</v>
      </c>
      <c r="AO36" s="20">
        <f>IFERROR(VLOOKUP(Data[[#This Row],[DEVELOPMENT]],Ops_Priorities_and_Data_Clean[[development]:[ifnoext_comment]],11,FALSE),"")</f>
        <v>1</v>
      </c>
      <c r="AP36" s="20">
        <f>IFERROR(VLOOKUP(Data[[#This Row],[DEVELOPMENT]],Ops_Priorities_and_Data_Clean[[development]:[ifnoext_comment]],12,FALSE),"")</f>
        <v>1</v>
      </c>
      <c r="AQ36" s="20">
        <f>VLOOKUP(Data[[#This Row],[DEVELOPMENT]],Ops_Priorities_and_Data_Clean[[development]:[ifnoext_comment]],14,FALSE)</f>
        <v>0</v>
      </c>
      <c r="AR36" s="20">
        <f>VLOOKUP(Data[[#This Row],[DEVELOPMENT]],Ops_Priorities_and_Data_Clean[[development]:[ifnoext_comment]],15,FALSE)</f>
        <v>0</v>
      </c>
      <c r="AS36" s="20" t="str">
        <f>VLOOKUP(Data[[#This Row],[DEVELOPMENT]],Ops_Priorities_and_Data_Clean[[development]:[ifnoext_comment]],16,FALSE)</f>
        <v>NULL</v>
      </c>
      <c r="AT36" s="20" t="str">
        <f>VLOOKUP(Data[[#This Row],[DEVELOPMENT]],Ops_Priorities_and_Data_Clean[[development]:[ifnoext_comment]],17,FALSE)</f>
        <v>Dev't could use a second external unit but we only have one.</v>
      </c>
      <c r="AU36" s="20" t="str">
        <f>VLOOKUP(Data[[#This Row],[DEVELOPMENT]],Ops_Priorities_and_Data_Clean[[development]:[ifnoext_comment]],18,FALSE)</f>
        <v>NULL</v>
      </c>
      <c r="AV36" s="20" t="str">
        <f>VLOOKUP(Data[[#This Row],[DEVELOPMENT]],Ops_Priorities_and_Data_Clean[[development]:[ifnoext_comment]],19,FALSE)</f>
        <v>NULL</v>
      </c>
      <c r="AW36" s="20" t="str">
        <f>VLOOKUP(Data[[#This Row],[DEVELOPMENT]],Ops_Priorities_and_Data_Clean[[development]:[ifnoext_comment]],20,FALSE)</f>
        <v>NULL</v>
      </c>
      <c r="AX36" s="104" t="s">
        <v>2614</v>
      </c>
      <c r="AY36" s="104" t="s">
        <v>2624</v>
      </c>
      <c r="AZ36" s="20" t="str">
        <f>VLOOKUP(Data[[#This Row],[DEVELOPMENT]],Development_Data_Book[[DEVELOPMENT]:[PRIVATE MANAGEMENT]],8,FALSE)</f>
        <v>FEDERAL</v>
      </c>
      <c r="BA36" s="104" t="s">
        <v>2586</v>
      </c>
      <c r="BB36" s="20">
        <f>VLOOKUP(Data[[#This Row],[DEVELOPMENT]],Development_Data_Book[[DEVELOPMENT]:[PRIVATE MANAGEMENT]],22,FALSE)</f>
        <v>1</v>
      </c>
      <c r="BC36" s="20">
        <f>Data[[#This Row],[Non-Dwelling Buildings]]+Data[[#This Row],[Dwelling Buildings]]</f>
        <v>9</v>
      </c>
      <c r="BD36" s="20">
        <f>VLOOKUP(Data[[#This Row],[DEVELOPMENT]],Development_Data_Book[[DEVELOPMENT]:[PRIVATE MANAGEMENT]],26,FALSE)</f>
        <v>13.89</v>
      </c>
      <c r="BE36" s="106">
        <v>486056</v>
      </c>
      <c r="BF36" s="20">
        <f>VLOOKUP(Data[[#This Row],[DEVELOPMENT]],Development_Data_Book[[DEVELOPMENT]:[PRIVATE MANAGEMENT]],18,FALSE)</f>
        <v>944</v>
      </c>
      <c r="BG3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6" s="104" t="s">
        <v>2591</v>
      </c>
      <c r="BI36" t="s">
        <v>184</v>
      </c>
      <c r="BJ36" s="20">
        <f>VLOOKUP(Data[[#This Row],[DEVELOPMENT]],Development_Data_Book[[DEVELOPMENT]:[PRIVATE MANAGEMENT]],41,FALSE)</f>
        <v>2</v>
      </c>
      <c r="BK36" s="20">
        <f>VLOOKUP(Data[[#This Row],[DEVELOPMENT]],Development_Data_Book[[DEVELOPMENT]:[PRIVATE MANAGEMENT]],42,FALSE)</f>
        <v>11</v>
      </c>
      <c r="BL36" s="20">
        <f>VLOOKUP(Data[[#This Row],[DEVELOPMENT]],Development_Data_Book[[DEVELOPMENT]:[PRIVATE MANAGEMENT]],43,FALSE)</f>
        <v>24</v>
      </c>
      <c r="BM36" s="20">
        <f>VLOOKUP(Data[[#This Row],[DEVELOPMENT]],Development_Data_Book[[DEVELOPMENT]:[PRIVATE MANAGEMENT]],44,FALSE)</f>
        <v>63</v>
      </c>
      <c r="BN36" s="20">
        <f>VLOOKUP(Data[[#This Row],[DEVELOPMENT]],Development_Data_Book[[DEVELOPMENT]:[PRIVATE MANAGEMENT]],45,FALSE)</f>
        <v>50</v>
      </c>
      <c r="BO36" s="20">
        <f>VLOOKUP(Data[[#This Row],[DEVELOPMENT]],Development_Data_Book[[DEVELOPMENT]:[PRIVATE MANAGEMENT]],24,FALSE)</f>
        <v>6</v>
      </c>
    </row>
    <row r="37" spans="1:67">
      <c r="A37" t="s">
        <v>303</v>
      </c>
      <c r="B37" s="20" t="str">
        <f>VLOOKUP(Data[[#This Row],[DEVELOPMENT]],Development_Data_Book[[DEVELOPMENT]:[BOROUGH]],MATCH("borough",Development_Data_Book[[#Headers],[DEVELOPMENT]:[BOROUGH]],0),FALSE)</f>
        <v>BROOKLYN</v>
      </c>
      <c r="C37" s="20" t="e">
        <f>VLOOKUP(Data[[#This Row],[DEVELOPMENT]],'[1]Cheat-Sheet'!$D$2:$Q$341,2,FALSE)</f>
        <v>#N/A</v>
      </c>
      <c r="D37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37" s="20">
        <f>VLOOKUP(Data[[#This Row],[DEVELOPMENT]],Development_Data_Book[[DEVELOPMENT]:[BOROUGH]],21,FALSE)</f>
        <v>4</v>
      </c>
      <c r="F37" s="20">
        <f>VLOOKUP(Data[[#This Row],[DEVELOPMENT]],Development_Data_Book[[DEVELOPMENT]:[BOROUGH]],23,FALSE)</f>
        <v>15</v>
      </c>
      <c r="G37" s="20">
        <f>VLOOKUP(Data[[#This Row],[DEVELOPMENT]],Development_Data_Book[[DEVELOPMENT]:[BOROUGH]],12,FALSE)</f>
        <v>150</v>
      </c>
      <c r="J37">
        <f>IFERROR(VLOOKUP(Data[[#This Row],[DEVELOPMENT]],IntCompactors_MRST[],4,FALSE),0)</f>
        <v>1</v>
      </c>
      <c r="K37" s="20">
        <f>IFERROR(VLOOKUP(Data[[#This Row],[DEVELOPMENT]],ExtCompactors_MRST[],4,FALSE),0)</f>
        <v>1</v>
      </c>
      <c r="L37" s="27">
        <f>IF(Data[[#This Row],['# Interior Compactors MRST]]=0,"",VLOOKUP(Data[[#This Row],[DEVELOPMENT]],IntCompactors_MRST[],5,FALSE))</f>
        <v>32874</v>
      </c>
      <c r="M37" s="28">
        <f>IF(Data[[#This Row],['# Exterior Compactors MRST]]=0,"",VLOOKUP(Data[[#This Row],[DEVELOPMENT]],ExtCompactors_MRST[],5,FALSE))</f>
        <v>38540</v>
      </c>
      <c r="N37" s="20">
        <f>Data[[#This Row],['# Interior Compactors MRST]]</f>
        <v>1</v>
      </c>
      <c r="O37" s="20">
        <f>IF(Data[[#This Row],['# Bulk Crushers]]=0,1,0)</f>
        <v>1</v>
      </c>
      <c r="P37" s="20">
        <f>1</f>
        <v>1</v>
      </c>
      <c r="Q37" s="20">
        <f>1</f>
        <v>1</v>
      </c>
      <c r="R37" s="20">
        <f>1</f>
        <v>1</v>
      </c>
      <c r="S37" s="20">
        <f>1</f>
        <v>1</v>
      </c>
      <c r="T37" s="20">
        <f>IF(Data[[#This Row],[Sewershed]]="Newtown Creek",Data[[#This Row],[DUs]],0)</f>
        <v>150</v>
      </c>
      <c r="U3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7" s="82">
        <f>VLOOKUP(Data[[#This Row],[DEVELOPMENT]],Development_Data_Book[[DEVELOPMENT]:[BOROUGH]],3,FALSE)</f>
        <v>357</v>
      </c>
      <c r="Y37" s="20" t="s">
        <v>2599</v>
      </c>
      <c r="Z37" s="20">
        <f>IFERROR(VLOOKUP(Data[[#This Row],[TDS]],ExtCompactors_PNA[[Development]:[0]],2,FALSE),0)</f>
        <v>1</v>
      </c>
      <c r="AA37" s="20">
        <f>IFERROR(VLOOKUP(Data[[#This Row],[TDS]],IntCompactors_PNA[[TDS]:[0]],2,FALSE),0)</f>
        <v>1</v>
      </c>
      <c r="AB37" s="20"/>
      <c r="AC37" s="20"/>
      <c r="AD37" s="20">
        <f>IFERROR(VLOOKUP(Data[[#This Row],[TDS]],ExtCompactors_PNA[[Development]:[0]],3,FALSE)+VLOOKUP(Data[[#This Row],[TDS]],ExtCompactors_PNA[[Development]:[0]],6,FALSE),0)</f>
        <v>1</v>
      </c>
      <c r="AE37" s="20">
        <f>IFERROR(VLOOKUP(Data[[#This Row],[TDS]],IntCompactors_PNA[[TDS]:[0]],3,FALSE)+VLOOKUP(Data[[#This Row],[TDS]],IntCompactors_PNA[[TDS]:[0]],6,FALSE),0)</f>
        <v>1</v>
      </c>
      <c r="AF37" s="20" t="e">
        <f>VLOOKUP(Data[[#This Row],[DEVELOPMENT]],[3]Developments!$A$2:$A$312,1,FALSE)</f>
        <v>#N/A</v>
      </c>
      <c r="AG37" s="20">
        <f>IFERROR(VLOOKUP(Data[[#This Row],[DEVELOPMENT]],Ops_Priorities_and_Data_Clean[[development]:[ifnoext_comment]],3,FALSE),"")</f>
        <v>1</v>
      </c>
      <c r="AH37" s="20">
        <f>IFERROR(VLOOKUP(Data[[#This Row],[DEVELOPMENT]],Ops_Priorities_and_Data_Clean[[development]:[ifnoext_comment]],4,FALSE),"")</f>
        <v>0</v>
      </c>
      <c r="AI37" s="20">
        <f>IFERROR(VLOOKUP(Data[[#This Row],[DEVELOPMENT]],Ops_Priorities_and_Data_Clean[[development]:[ifnoext_comment]],5,FALSE),"")</f>
        <v>1</v>
      </c>
      <c r="AJ37" s="20">
        <f>IFERROR(VLOOKUP(Data[[#This Row],[DEVELOPMENT]],Ops_Priorities_and_Data_Clean[[development]:[ifnoext_comment]],6,FALSE),"")</f>
        <v>0</v>
      </c>
      <c r="AK37" s="20">
        <f>IFERROR(VLOOKUP(Data[[#This Row],[DEVELOPMENT]],Ops_Priorities_and_Data_Clean[[development]:[ifnoext_comment]],7,FALSE),"")</f>
        <v>0</v>
      </c>
      <c r="AL37" s="20">
        <f>IFERROR(VLOOKUP(Data[[#This Row],[DEVELOPMENT]],Ops_Priorities_and_Data_Clean[[development]:[ifnoext_comment]],8,FALSE),"")</f>
        <v>1</v>
      </c>
      <c r="AM37" s="20">
        <f>IFERROR(VLOOKUP(Data[[#This Row],[DEVELOPMENT]],Ops_Priorities_and_Data_Clean[[development]:[ifnoext_comment]],9,FALSE),"")</f>
        <v>0</v>
      </c>
      <c r="AN37" s="20">
        <f>IFERROR(VLOOKUP(Data[[#This Row],[DEVELOPMENT]],Ops_Priorities_and_Data_Clean[[development]:[ifnoext_comment]],10,FALSE),"")</f>
        <v>1</v>
      </c>
      <c r="AO37" s="20">
        <f>IFERROR(VLOOKUP(Data[[#This Row],[DEVELOPMENT]],Ops_Priorities_and_Data_Clean[[development]:[ifnoext_comment]],11,FALSE),"")</f>
        <v>1</v>
      </c>
      <c r="AP37" s="20">
        <f>IFERROR(VLOOKUP(Data[[#This Row],[DEVELOPMENT]],Ops_Priorities_and_Data_Clean[[development]:[ifnoext_comment]],12,FALSE),"")</f>
        <v>1</v>
      </c>
      <c r="AQ37" s="20">
        <f>VLOOKUP(Data[[#This Row],[DEVELOPMENT]],Ops_Priorities_and_Data_Clean[[development]:[ifnoext_comment]],14,FALSE)</f>
        <v>0</v>
      </c>
      <c r="AR37" s="20">
        <f>VLOOKUP(Data[[#This Row],[DEVELOPMENT]],Ops_Priorities_and_Data_Clean[[development]:[ifnoext_comment]],15,FALSE)</f>
        <v>0</v>
      </c>
      <c r="AS37" s="20" t="str">
        <f>VLOOKUP(Data[[#This Row],[DEVELOPMENT]],Ops_Priorities_and_Data_Clean[[development]:[ifnoext_comment]],16,FALSE)</f>
        <v>NULL</v>
      </c>
      <c r="AT37" s="20" t="str">
        <f>VLOOKUP(Data[[#This Row],[DEVELOPMENT]],Ops_Priorities_and_Data_Clean[[development]:[ifnoext_comment]],17,FALSE)</f>
        <v>NULL</v>
      </c>
      <c r="AU37" s="20" t="str">
        <f>VLOOKUP(Data[[#This Row],[DEVELOPMENT]],Ops_Priorities_and_Data_Clean[[development]:[ifnoext_comment]],18,FALSE)</f>
        <v>no</v>
      </c>
      <c r="AV37" s="20" t="str">
        <f>VLOOKUP(Data[[#This Row],[DEVELOPMENT]],Ops_Priorities_and_Data_Clean[[development]:[ifnoext_comment]],19,FALSE)</f>
        <v>Berry St -South 9th Street has one exterior compactor.</v>
      </c>
      <c r="AW37" s="20" t="str">
        <f>VLOOKUP(Data[[#This Row],[DEVELOPMENT]],Ops_Priorities_and_Data_Clean[[development]:[ifnoext_comment]],20,FALSE)</f>
        <v>NULL</v>
      </c>
      <c r="AX37" s="104" t="s">
        <v>2238</v>
      </c>
      <c r="AY37" s="104" t="s">
        <v>385</v>
      </c>
      <c r="AZ37" s="20" t="str">
        <f>VLOOKUP(Data[[#This Row],[DEVELOPMENT]],Development_Data_Book[[DEVELOPMENT]:[PRIVATE MANAGEMENT]],8,FALSE)</f>
        <v>FEDERAL</v>
      </c>
      <c r="BA37" s="104" t="s">
        <v>2613</v>
      </c>
      <c r="BB37" s="20">
        <f>VLOOKUP(Data[[#This Row],[DEVELOPMENT]],Development_Data_Book[[DEVELOPMENT]:[PRIVATE MANAGEMENT]],22,FALSE)</f>
        <v>0</v>
      </c>
      <c r="BC37" s="20">
        <f>Data[[#This Row],[Non-Dwelling Buildings]]+Data[[#This Row],[Dwelling Buildings]]</f>
        <v>4</v>
      </c>
      <c r="BD37" s="20">
        <f>VLOOKUP(Data[[#This Row],[DEVELOPMENT]],Development_Data_Book[[DEVELOPMENT]:[PRIVATE MANAGEMENT]],26,FALSE)</f>
        <v>2.97</v>
      </c>
      <c r="BE37" s="106">
        <v>161000</v>
      </c>
      <c r="BF37" s="20">
        <f>VLOOKUP(Data[[#This Row],[DEVELOPMENT]],Development_Data_Book[[DEVELOPMENT]:[PRIVATE MANAGEMENT]],18,FALSE)</f>
        <v>370</v>
      </c>
      <c r="BG3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7" s="104" t="s">
        <v>2601</v>
      </c>
      <c r="BI37" t="s">
        <v>184</v>
      </c>
      <c r="BJ37" s="20">
        <f>VLOOKUP(Data[[#This Row],[DEVELOPMENT]],Development_Data_Book[[DEVELOPMENT]:[PRIVATE MANAGEMENT]],41,FALSE)</f>
        <v>1</v>
      </c>
      <c r="BK37" s="20">
        <f>VLOOKUP(Data[[#This Row],[DEVELOPMENT]],Development_Data_Book[[DEVELOPMENT]:[PRIVATE MANAGEMENT]],42,FALSE)</f>
        <v>7</v>
      </c>
      <c r="BL37" s="20">
        <f>VLOOKUP(Data[[#This Row],[DEVELOPMENT]],Development_Data_Book[[DEVELOPMENT]:[PRIVATE MANAGEMENT]],43,FALSE)</f>
        <v>18</v>
      </c>
      <c r="BM37" s="20">
        <f>VLOOKUP(Data[[#This Row],[DEVELOPMENT]],Development_Data_Book[[DEVELOPMENT]:[PRIVATE MANAGEMENT]],44,FALSE)</f>
        <v>50</v>
      </c>
      <c r="BN37" s="20">
        <f>VLOOKUP(Data[[#This Row],[DEVELOPMENT]],Development_Data_Book[[DEVELOPMENT]:[PRIVATE MANAGEMENT]],45,FALSE)</f>
        <v>33</v>
      </c>
      <c r="BO37" s="20">
        <f>VLOOKUP(Data[[#This Row],[DEVELOPMENT]],Development_Data_Book[[DEVELOPMENT]:[PRIVATE MANAGEMENT]],24,FALSE)</f>
        <v>43530</v>
      </c>
    </row>
    <row r="38" spans="1:67">
      <c r="A38" t="s">
        <v>71</v>
      </c>
      <c r="B38" t="str">
        <f>VLOOKUP(Data[[#This Row],[DEVELOPMENT]],Development_Data_Book[[DEVELOPMENT]:[BOROUGH]],MATCH("borough",Development_Data_Book[[#Headers],[DEVELOPMENT]:[BOROUGH]],0),FALSE)</f>
        <v>MANHATTAN</v>
      </c>
      <c r="C38" t="e">
        <f>VLOOKUP(Data[[#This Row],[DEVELOPMENT]],'[1]Cheat-Sheet'!$D$2:$Q$341,2,FALSE)</f>
        <v>#N/A</v>
      </c>
      <c r="D3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38">
        <f>VLOOKUP(Data[[#This Row],[DEVELOPMENT]],Development_Data_Book[[DEVELOPMENT]:[BOROUGH]],21,FALSE)</f>
        <v>1</v>
      </c>
      <c r="F38">
        <f>VLOOKUP(Data[[#This Row],[DEVELOPMENT]],Development_Data_Book[[DEVELOPMENT]:[BOROUGH]],23,FALSE)</f>
        <v>1</v>
      </c>
      <c r="G38">
        <f>VLOOKUP(Data[[#This Row],[DEVELOPMENT]],Development_Data_Book[[DEVELOPMENT]:[BOROUGH]],12,FALSE)</f>
        <v>210</v>
      </c>
      <c r="H38" t="s">
        <v>2248</v>
      </c>
      <c r="I38">
        <v>3</v>
      </c>
      <c r="J38">
        <f>IFERROR(VLOOKUP(Data[[#This Row],[DEVELOPMENT]],IntCompactors_MRST[],4,FALSE),0)</f>
        <v>1</v>
      </c>
      <c r="K38" s="20">
        <f>IFERROR(VLOOKUP(Data[[#This Row],[DEVELOPMENT]],ExtCompactors_MRST[],4,FALSE),0)</f>
        <v>1</v>
      </c>
      <c r="L38" s="27">
        <f>IF(Data[[#This Row],['# Interior Compactors MRST]]=0,"",VLOOKUP(Data[[#This Row],[DEVELOPMENT]],IntCompactors_MRST[],5,FALSE))</f>
        <v>36830</v>
      </c>
      <c r="M38" s="28">
        <f>IF(Data[[#This Row],['# Exterior Compactors MRST]]=0,"",VLOOKUP(Data[[#This Row],[DEVELOPMENT]],ExtCompactors_MRST[],5,FALSE))</f>
        <v>36526</v>
      </c>
      <c r="N38">
        <f>Data[[#This Row],['# Interior Compactors MRST]]</f>
        <v>1</v>
      </c>
      <c r="O38" s="20">
        <f>IF(Data[[#This Row],['# Bulk Crushers]]=0,1,0)</f>
        <v>1</v>
      </c>
      <c r="P38" s="20">
        <f>1</f>
        <v>1</v>
      </c>
      <c r="Q38" s="20">
        <f>1</f>
        <v>1</v>
      </c>
      <c r="R38" s="20">
        <f>1</f>
        <v>1</v>
      </c>
      <c r="S38" s="20">
        <f>1</f>
        <v>1</v>
      </c>
      <c r="T38" s="20">
        <f>IF(Data[[#This Row],[Sewershed]]="Newtown Creek",Data[[#This Row],[DUs]],0)</f>
        <v>0</v>
      </c>
      <c r="U3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8" s="82">
        <f>VLOOKUP(Data[[#This Row],[DEVELOPMENT]],Development_Data_Book[[DEVELOPMENT]:[BOROUGH]],3,FALSE)</f>
        <v>160</v>
      </c>
      <c r="Y38" s="20"/>
      <c r="Z38" s="20">
        <f>IFERROR(VLOOKUP(Data[[#This Row],[TDS]],ExtCompactors_PNA[[Development]:[0]],2,FALSE),0)</f>
        <v>1</v>
      </c>
      <c r="AA38" s="20">
        <f>IFERROR(VLOOKUP(Data[[#This Row],[TDS]],IntCompactors_PNA[[TDS]:[0]],2,FALSE),0)</f>
        <v>1</v>
      </c>
      <c r="AB38" s="20"/>
      <c r="AC38" s="20"/>
      <c r="AD38" s="20">
        <f>IFERROR(VLOOKUP(Data[[#This Row],[TDS]],ExtCompactors_PNA[[Development]:[0]],3,FALSE)+VLOOKUP(Data[[#This Row],[TDS]],ExtCompactors_PNA[[Development]:[0]],6,FALSE),0)</f>
        <v>1</v>
      </c>
      <c r="AE38" s="20">
        <f>IFERROR(VLOOKUP(Data[[#This Row],[TDS]],IntCompactors_PNA[[TDS]:[0]],3,FALSE)+VLOOKUP(Data[[#This Row],[TDS]],IntCompactors_PNA[[TDS]:[0]],6,FALSE),0)</f>
        <v>1</v>
      </c>
      <c r="AF38" s="20" t="e">
        <f>VLOOKUP(Data[[#This Row],[DEVELOPMENT]],[3]Developments!$A$2:$A$312,1,FALSE)</f>
        <v>#N/A</v>
      </c>
      <c r="AG38" s="20">
        <f>IFERROR(VLOOKUP(Data[[#This Row],[DEVELOPMENT]],Ops_Priorities_and_Data_Clean[[development]:[ifnoext_comment]],3,FALSE),"")</f>
        <v>1</v>
      </c>
      <c r="AH38" s="20">
        <f>IFERROR(VLOOKUP(Data[[#This Row],[DEVELOPMENT]],Ops_Priorities_and_Data_Clean[[development]:[ifnoext_comment]],4,FALSE),"")</f>
        <v>0</v>
      </c>
      <c r="AI38" s="20">
        <f>IFERROR(VLOOKUP(Data[[#This Row],[DEVELOPMENT]],Ops_Priorities_and_Data_Clean[[development]:[ifnoext_comment]],5,FALSE),"")</f>
        <v>1</v>
      </c>
      <c r="AJ38" s="20">
        <f>IFERROR(VLOOKUP(Data[[#This Row],[DEVELOPMENT]],Ops_Priorities_and_Data_Clean[[development]:[ifnoext_comment]],6,FALSE),"")</f>
        <v>0</v>
      </c>
      <c r="AK38" s="20">
        <f>IFERROR(VLOOKUP(Data[[#This Row],[DEVELOPMENT]],Ops_Priorities_and_Data_Clean[[development]:[ifnoext_comment]],7,FALSE),"")</f>
        <v>0</v>
      </c>
      <c r="AL38" s="20">
        <f>IFERROR(VLOOKUP(Data[[#This Row],[DEVELOPMENT]],Ops_Priorities_and_Data_Clean[[development]:[ifnoext_comment]],8,FALSE),"")</f>
        <v>1</v>
      </c>
      <c r="AM38" s="20">
        <f>IFERROR(VLOOKUP(Data[[#This Row],[DEVELOPMENT]],Ops_Priorities_and_Data_Clean[[development]:[ifnoext_comment]],9,FALSE),"")</f>
        <v>0</v>
      </c>
      <c r="AN38" s="20">
        <f>IFERROR(VLOOKUP(Data[[#This Row],[DEVELOPMENT]],Ops_Priorities_and_Data_Clean[[development]:[ifnoext_comment]],10,FALSE),"")</f>
        <v>1</v>
      </c>
      <c r="AO38" s="20">
        <f>IFERROR(VLOOKUP(Data[[#This Row],[DEVELOPMENT]],Ops_Priorities_and_Data_Clean[[development]:[ifnoext_comment]],11,FALSE),"")</f>
        <v>1</v>
      </c>
      <c r="AP38" s="20">
        <f>IFERROR(VLOOKUP(Data[[#This Row],[DEVELOPMENT]],Ops_Priorities_and_Data_Clean[[development]:[ifnoext_comment]],12,FALSE),"")</f>
        <v>0</v>
      </c>
      <c r="AQ38" s="20">
        <f>VLOOKUP(Data[[#This Row],[DEVELOPMENT]],Ops_Priorities_and_Data_Clean[[development]:[ifnoext_comment]],14,FALSE)</f>
        <v>0</v>
      </c>
      <c r="AR38" s="20">
        <f>VLOOKUP(Data[[#This Row],[DEVELOPMENT]],Ops_Priorities_and_Data_Clean[[development]:[ifnoext_comment]],15,FALSE)</f>
        <v>0</v>
      </c>
      <c r="AS38" s="20" t="str">
        <f>VLOOKUP(Data[[#This Row],[DEVELOPMENT]],Ops_Priorities_and_Data_Clean[[development]:[ifnoext_comment]],16,FALSE)</f>
        <v>NULL</v>
      </c>
      <c r="AT38" s="20" t="str">
        <f>VLOOKUP(Data[[#This Row],[DEVELOPMENT]],Ops_Priorities_and_Data_Clean[[development]:[ifnoext_comment]],17,FALSE)</f>
        <v>NULL</v>
      </c>
      <c r="AU38" s="20" t="str">
        <f>VLOOKUP(Data[[#This Row],[DEVELOPMENT]],Ops_Priorities_and_Data_Clean[[development]:[ifnoext_comment]],18,FALSE)</f>
        <v>no</v>
      </c>
      <c r="AV38" s="20" t="str">
        <f>VLOOKUP(Data[[#This Row],[DEVELOPMENT]],Ops_Priorities_and_Data_Clean[[development]:[ifnoext_comment]],19,FALSE)</f>
        <v>One Exterior compactor located at  Bethune at 1945 Amsterdam Avenue  - services Audubon &amp; Marshall Plaza</v>
      </c>
      <c r="AW38" s="20" t="str">
        <f>VLOOKUP(Data[[#This Row],[DEVELOPMENT]],Ops_Priorities_and_Data_Clean[[development]:[ifnoext_comment]],20,FALSE)</f>
        <v>NULL</v>
      </c>
      <c r="AX38" s="104" t="s">
        <v>2239</v>
      </c>
      <c r="AY38" s="104" t="s">
        <v>2625</v>
      </c>
      <c r="AZ38" s="20" t="str">
        <f>VLOOKUP(Data[[#This Row],[DEVELOPMENT]],Development_Data_Book[[DEVELOPMENT]:[PRIVATE MANAGEMENT]],8,FALSE)</f>
        <v>FEDERAL</v>
      </c>
      <c r="BA38" s="104" t="s">
        <v>2586</v>
      </c>
      <c r="BB38" s="20">
        <f>VLOOKUP(Data[[#This Row],[DEVELOPMENT]],Development_Data_Book[[DEVELOPMENT]:[PRIVATE MANAGEMENT]],22,FALSE)</f>
        <v>0</v>
      </c>
      <c r="BC38" s="20">
        <f>Data[[#This Row],[Non-Dwelling Buildings]]+Data[[#This Row],[Dwelling Buildings]]</f>
        <v>1</v>
      </c>
      <c r="BD38" s="20">
        <f>VLOOKUP(Data[[#This Row],[DEVELOPMENT]],Development_Data_Book[[DEVELOPMENT]:[PRIVATE MANAGEMENT]],26,FALSE)</f>
        <v>1.46</v>
      </c>
      <c r="BE38" s="106">
        <v>179600</v>
      </c>
      <c r="BF38" s="20">
        <f>VLOOKUP(Data[[#This Row],[DEVELOPMENT]],Development_Data_Book[[DEVELOPMENT]:[PRIVATE MANAGEMENT]],18,FALSE)</f>
        <v>260</v>
      </c>
      <c r="BG38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38" s="104" t="s">
        <v>2593</v>
      </c>
      <c r="BI38" t="s">
        <v>184</v>
      </c>
      <c r="BJ38" s="20">
        <f>VLOOKUP(Data[[#This Row],[DEVELOPMENT]],Development_Data_Book[[DEVELOPMENT]:[PRIVATE MANAGEMENT]],41,FALSE)</f>
        <v>12</v>
      </c>
      <c r="BK38" s="20">
        <f>VLOOKUP(Data[[#This Row],[DEVELOPMENT]],Development_Data_Book[[DEVELOPMENT]:[PRIVATE MANAGEMENT]],42,FALSE)</f>
        <v>13</v>
      </c>
      <c r="BL38" s="20">
        <f>VLOOKUP(Data[[#This Row],[DEVELOPMENT]],Development_Data_Book[[DEVELOPMENT]:[PRIVATE MANAGEMENT]],43,FALSE)</f>
        <v>30</v>
      </c>
      <c r="BM38" s="20">
        <f>VLOOKUP(Data[[#This Row],[DEVELOPMENT]],Development_Data_Book[[DEVELOPMENT]:[PRIVATE MANAGEMENT]],44,FALSE)</f>
        <v>71</v>
      </c>
      <c r="BN38" s="20">
        <f>VLOOKUP(Data[[#This Row],[DEVELOPMENT]],Development_Data_Book[[DEVELOPMENT]:[PRIVATE MANAGEMENT]],45,FALSE)</f>
        <v>7</v>
      </c>
      <c r="BO38" s="20">
        <f>VLOOKUP(Data[[#This Row],[DEVELOPMENT]],Development_Data_Book[[DEVELOPMENT]:[PRIVATE MANAGEMENT]],24,FALSE)</f>
        <v>22</v>
      </c>
    </row>
    <row r="39" spans="1:67">
      <c r="A39" t="s">
        <v>233</v>
      </c>
      <c r="B39" s="20" t="str">
        <f>VLOOKUP(Data[[#This Row],[DEVELOPMENT]],Development_Data_Book[[DEVELOPMENT]:[BOROUGH]],MATCH("borough",Development_Data_Book[[#Headers],[DEVELOPMENT]:[BOROUGH]],0),FALSE)</f>
        <v>QUEENS</v>
      </c>
      <c r="C39" s="20" t="e">
        <f>VLOOKUP(Data[[#This Row],[DEVELOPMENT]],'[1]Cheat-Sheet'!$D$2:$Q$341,2,FALSE)</f>
        <v>#N/A</v>
      </c>
      <c r="D3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9" s="20">
        <f>VLOOKUP(Data[[#This Row],[DEVELOPMENT]],Development_Data_Book[[DEVELOPMENT]:[BOROUGH]],21,FALSE)</f>
        <v>5</v>
      </c>
      <c r="F39" s="20">
        <f>VLOOKUP(Data[[#This Row],[DEVELOPMENT]],Development_Data_Book[[DEVELOPMENT]:[BOROUGH]],23,FALSE)</f>
        <v>5</v>
      </c>
      <c r="G39" s="20">
        <f>VLOOKUP(Data[[#This Row],[DEVELOPMENT]],Development_Data_Book[[DEVELOPMENT]:[BOROUGH]],12,FALSE)</f>
        <v>399</v>
      </c>
      <c r="J39">
        <f>IFERROR(VLOOKUP(Data[[#This Row],[DEVELOPMENT]],IntCompactors_MRST[],4,FALSE),0)</f>
        <v>5</v>
      </c>
      <c r="K39" s="20">
        <f>IFERROR(VLOOKUP(Data[[#This Row],[DEVELOPMENT]],ExtCompactors_MRST[],4,FALSE),0)</f>
        <v>0</v>
      </c>
      <c r="L39" s="27">
        <f>IF(Data[[#This Row],['# Interior Compactors MRST]]=0,"",VLOOKUP(Data[[#This Row],[DEVELOPMENT]],IntCompactors_MRST[],5,FALSE))</f>
        <v>36755</v>
      </c>
      <c r="M39" s="28" t="str">
        <f>IF(Data[[#This Row],['# Exterior Compactors MRST]]=0,"",VLOOKUP(Data[[#This Row],[DEVELOPMENT]],ExtCompactors_MRST[],5,FALSE))</f>
        <v/>
      </c>
      <c r="N39" s="20">
        <f>Data[[#This Row],['# Interior Compactors MRST]]</f>
        <v>5</v>
      </c>
      <c r="O39" s="20">
        <f>IF(Data[[#This Row],['# Bulk Crushers]]=0,1,0)</f>
        <v>1</v>
      </c>
      <c r="P39" s="20">
        <f>1</f>
        <v>1</v>
      </c>
      <c r="Q39" s="20">
        <f>1</f>
        <v>1</v>
      </c>
      <c r="R39" s="20">
        <f>1</f>
        <v>1</v>
      </c>
      <c r="S39" s="20">
        <f>1</f>
        <v>1</v>
      </c>
      <c r="T39" s="20">
        <f>IF(Data[[#This Row],[Sewershed]]="Newtown Creek",Data[[#This Row],[DUs]],0)</f>
        <v>0</v>
      </c>
      <c r="U3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9" s="82">
        <f>VLOOKUP(Data[[#This Row],[DEVELOPMENT]],Development_Data_Book[[DEVELOPMENT]:[BOROUGH]],3,FALSE)</f>
        <v>54</v>
      </c>
      <c r="Y39" s="20"/>
      <c r="Z39" s="20">
        <f>IFERROR(VLOOKUP(Data[[#This Row],[TDS]],ExtCompactors_PNA[[Development]:[0]],2,FALSE),0)</f>
        <v>0</v>
      </c>
      <c r="AA39" s="20">
        <f>IFERROR(VLOOKUP(Data[[#This Row],[TDS]],IntCompactors_PNA[[TDS]:[0]],2,FALSE),0)</f>
        <v>5</v>
      </c>
      <c r="AB39" s="20"/>
      <c r="AC39" s="20"/>
      <c r="AD39" s="20">
        <f>IFERROR(VLOOKUP(Data[[#This Row],[TDS]],ExtCompactors_PNA[[Development]:[0]],3,FALSE)+VLOOKUP(Data[[#This Row],[TDS]],ExtCompactors_PNA[[Development]:[0]],6,FALSE),0)</f>
        <v>0</v>
      </c>
      <c r="AE39" s="20">
        <f>IFERROR(VLOOKUP(Data[[#This Row],[TDS]],IntCompactors_PNA[[TDS]:[0]],3,FALSE)+VLOOKUP(Data[[#This Row],[TDS]],IntCompactors_PNA[[TDS]:[0]],6,FALSE),0)</f>
        <v>5</v>
      </c>
      <c r="AF39" s="20" t="e">
        <f>VLOOKUP(Data[[#This Row],[DEVELOPMENT]],[3]Developments!$A$2:$A$312,1,FALSE)</f>
        <v>#N/A</v>
      </c>
      <c r="AG39" s="20">
        <f>IFERROR(VLOOKUP(Data[[#This Row],[DEVELOPMENT]],Ops_Priorities_and_Data_Clean[[development]:[ifnoext_comment]],3,FALSE),"")</f>
        <v>0</v>
      </c>
      <c r="AH39" s="20">
        <f>IFERROR(VLOOKUP(Data[[#This Row],[DEVELOPMENT]],Ops_Priorities_and_Data_Clean[[development]:[ifnoext_comment]],4,FALSE),"")</f>
        <v>0</v>
      </c>
      <c r="AI39" s="20">
        <f>IFERROR(VLOOKUP(Data[[#This Row],[DEVELOPMENT]],Ops_Priorities_and_Data_Clean[[development]:[ifnoext_comment]],5,FALSE),"")</f>
        <v>0</v>
      </c>
      <c r="AJ39" s="20">
        <f>IFERROR(VLOOKUP(Data[[#This Row],[DEVELOPMENT]],Ops_Priorities_and_Data_Clean[[development]:[ifnoext_comment]],6,FALSE),"")</f>
        <v>0</v>
      </c>
      <c r="AK39" s="20">
        <f>IFERROR(VLOOKUP(Data[[#This Row],[DEVELOPMENT]],Ops_Priorities_and_Data_Clean[[development]:[ifnoext_comment]],7,FALSE),"")</f>
        <v>1</v>
      </c>
      <c r="AL39" s="20">
        <f>IFERROR(VLOOKUP(Data[[#This Row],[DEVELOPMENT]],Ops_Priorities_and_Data_Clean[[development]:[ifnoext_comment]],8,FALSE),"")</f>
        <v>1</v>
      </c>
      <c r="AM39" s="20">
        <f>IFERROR(VLOOKUP(Data[[#This Row],[DEVELOPMENT]],Ops_Priorities_and_Data_Clean[[development]:[ifnoext_comment]],9,FALSE),"")</f>
        <v>1</v>
      </c>
      <c r="AN39" s="20">
        <f>IFERROR(VLOOKUP(Data[[#This Row],[DEVELOPMENT]],Ops_Priorities_and_Data_Clean[[development]:[ifnoext_comment]],10,FALSE),"")</f>
        <v>0</v>
      </c>
      <c r="AO39" s="20">
        <f>IFERROR(VLOOKUP(Data[[#This Row],[DEVELOPMENT]],Ops_Priorities_and_Data_Clean[[development]:[ifnoext_comment]],11,FALSE),"")</f>
        <v>0</v>
      </c>
      <c r="AP39" s="20">
        <f>IFERROR(VLOOKUP(Data[[#This Row],[DEVELOPMENT]],Ops_Priorities_and_Data_Clean[[development]:[ifnoext_comment]],12,FALSE),"")</f>
        <v>0</v>
      </c>
      <c r="AQ39" s="20">
        <f>VLOOKUP(Data[[#This Row],[DEVELOPMENT]],Ops_Priorities_and_Data_Clean[[development]:[ifnoext_comment]],14,FALSE)</f>
        <v>1</v>
      </c>
      <c r="AR39" s="20">
        <f>VLOOKUP(Data[[#This Row],[DEVELOPMENT]],Ops_Priorities_and_Data_Clean[[development]:[ifnoext_comment]],15,FALSE)</f>
        <v>0</v>
      </c>
      <c r="AS39" s="20" t="str">
        <f>VLOOKUP(Data[[#This Row],[DEVELOPMENT]],Ops_Priorities_and_Data_Clean[[development]:[ifnoext_comment]],16,FALSE)</f>
        <v>NULL</v>
      </c>
      <c r="AT39" s="20" t="str">
        <f>VLOOKUP(Data[[#This Row],[DEVELOPMENT]],Ops_Priorities_and_Data_Clean[[development]:[ifnoext_comment]],17,FALSE)</f>
        <v>NULL</v>
      </c>
      <c r="AU39" s="20" t="str">
        <f>VLOOKUP(Data[[#This Row],[DEVELOPMENT]],Ops_Priorities_and_Data_Clean[[development]:[ifnoext_comment]],18,FALSE)</f>
        <v>NULL</v>
      </c>
      <c r="AV39" s="20" t="str">
        <f>VLOOKUP(Data[[#This Row],[DEVELOPMENT]],Ops_Priorities_and_Data_Clean[[development]:[ifnoext_comment]],19,FALSE)</f>
        <v>NULL</v>
      </c>
      <c r="AW39" s="20" t="str">
        <f>VLOOKUP(Data[[#This Row],[DEVELOPMENT]],Ops_Priorities_and_Data_Clean[[development]:[ifnoext_comment]],20,FALSE)</f>
        <v>NULL</v>
      </c>
      <c r="AX39" s="104" t="s">
        <v>2614</v>
      </c>
      <c r="AY39" s="104" t="s">
        <v>2626</v>
      </c>
      <c r="AZ39" s="20" t="str">
        <f>VLOOKUP(Data[[#This Row],[DEVELOPMENT]],Development_Data_Book[[DEVELOPMENT]:[PRIVATE MANAGEMENT]],8,FALSE)</f>
        <v>FEDERAL</v>
      </c>
      <c r="BA39" s="104" t="s">
        <v>2586</v>
      </c>
      <c r="BB39" s="20">
        <f>VLOOKUP(Data[[#This Row],[DEVELOPMENT]],Development_Data_Book[[DEVELOPMENT]:[PRIVATE MANAGEMENT]],22,FALSE)</f>
        <v>0</v>
      </c>
      <c r="BC39" s="20">
        <f>Data[[#This Row],[Non-Dwelling Buildings]]+Data[[#This Row],[Dwelling Buildings]]</f>
        <v>5</v>
      </c>
      <c r="BD39" s="20">
        <f>VLOOKUP(Data[[#This Row],[DEVELOPMENT]],Development_Data_Book[[DEVELOPMENT]:[PRIVATE MANAGEMENT]],26,FALSE)</f>
        <v>6.19</v>
      </c>
      <c r="BE39" s="106">
        <v>432500</v>
      </c>
      <c r="BF39" s="20">
        <f>VLOOKUP(Data[[#This Row],[DEVELOPMENT]],Development_Data_Book[[DEVELOPMENT]:[PRIVATE MANAGEMENT]],18,FALSE)</f>
        <v>863</v>
      </c>
      <c r="BG3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9" s="104" t="s">
        <v>2615</v>
      </c>
      <c r="BI39" t="s">
        <v>184</v>
      </c>
      <c r="BJ39" s="20">
        <f>VLOOKUP(Data[[#This Row],[DEVELOPMENT]],Development_Data_Book[[DEVELOPMENT]:[PRIVATE MANAGEMENT]],41,FALSE)</f>
        <v>7</v>
      </c>
      <c r="BK39" s="20">
        <f>VLOOKUP(Data[[#This Row],[DEVELOPMENT]],Development_Data_Book[[DEVELOPMENT]:[PRIVATE MANAGEMENT]],42,FALSE)</f>
        <v>6</v>
      </c>
      <c r="BL39" s="20">
        <f>VLOOKUP(Data[[#This Row],[DEVELOPMENT]],Development_Data_Book[[DEVELOPMENT]:[PRIVATE MANAGEMENT]],43,FALSE)</f>
        <v>11</v>
      </c>
      <c r="BM39" s="20">
        <f>VLOOKUP(Data[[#This Row],[DEVELOPMENT]],Development_Data_Book[[DEVELOPMENT]:[PRIVATE MANAGEMENT]],44,FALSE)</f>
        <v>40</v>
      </c>
      <c r="BN39" s="20">
        <f>VLOOKUP(Data[[#This Row],[DEVELOPMENT]],Development_Data_Book[[DEVELOPMENT]:[PRIVATE MANAGEMENT]],45,FALSE)</f>
        <v>20</v>
      </c>
      <c r="BO39" s="20">
        <f>VLOOKUP(Data[[#This Row],[DEVELOPMENT]],Development_Data_Book[[DEVELOPMENT]:[PRIVATE MANAGEMENT]],24,FALSE)</f>
        <v>10</v>
      </c>
    </row>
    <row r="40" spans="1:67">
      <c r="A40" t="s">
        <v>119</v>
      </c>
      <c r="B40" t="str">
        <f>VLOOKUP(Data[[#This Row],[DEVELOPMENT]],Development_Data_Book[[DEVELOPMENT]:[BOROUGH]],MATCH("borough",Development_Data_Book[[#Headers],[DEVELOPMENT]:[BOROUGH]],0),FALSE)</f>
        <v>BROOKLYN</v>
      </c>
      <c r="C40" t="e">
        <f>VLOOKUP(Data[[#This Row],[DEVELOPMENT]],'[1]Cheat-Sheet'!$D$2:$Q$341,2,FALSE)</f>
        <v>#N/A</v>
      </c>
      <c r="D4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40">
        <f>VLOOKUP(Data[[#This Row],[DEVELOPMENT]],Development_Data_Book[[DEVELOPMENT]:[BOROUGH]],21,FALSE)</f>
        <v>8</v>
      </c>
      <c r="F40">
        <f>VLOOKUP(Data[[#This Row],[DEVELOPMENT]],Development_Data_Book[[DEVELOPMENT]:[BOROUGH]],23,FALSE)</f>
        <v>10</v>
      </c>
      <c r="G40">
        <f>VLOOKUP(Data[[#This Row],[DEVELOPMENT]],Development_Data_Book[[DEVELOPMENT]:[BOROUGH]],12,FALSE)</f>
        <v>509</v>
      </c>
      <c r="H40" t="s">
        <v>2248</v>
      </c>
      <c r="I40">
        <v>1</v>
      </c>
      <c r="J40">
        <f>IFERROR(VLOOKUP(Data[[#This Row],[DEVELOPMENT]],IntCompactors_MRST[],4,FALSE),0)</f>
        <v>8</v>
      </c>
      <c r="K40" s="20">
        <f>IFERROR(VLOOKUP(Data[[#This Row],[DEVELOPMENT]],ExtCompactors_MRST[],4,FALSE),0)</f>
        <v>2</v>
      </c>
      <c r="L40" s="27">
        <f>IF(Data[[#This Row],['# Interior Compactors MRST]]=0,"",VLOOKUP(Data[[#This Row],[DEVELOPMENT]],IntCompactors_MRST[],5,FALSE))</f>
        <v>40909</v>
      </c>
      <c r="M40" s="28">
        <f>IF(Data[[#This Row],['# Exterior Compactors MRST]]=0,"",VLOOKUP(Data[[#This Row],[DEVELOPMENT]],ExtCompactors_MRST[],5,FALSE))</f>
        <v>38530</v>
      </c>
      <c r="N40">
        <f>Data[[#This Row],['# Interior Compactors MRST]]</f>
        <v>8</v>
      </c>
      <c r="O40" s="20">
        <f>IF(Data[[#This Row],['# Bulk Crushers]]=0,1,0)</f>
        <v>1</v>
      </c>
      <c r="P40" s="20">
        <f>1</f>
        <v>1</v>
      </c>
      <c r="Q40" s="20">
        <f>1</f>
        <v>1</v>
      </c>
      <c r="R40" s="20">
        <f>1</f>
        <v>1</v>
      </c>
      <c r="S40" s="20">
        <f>1</f>
        <v>1</v>
      </c>
      <c r="T40" s="20">
        <f>IF(Data[[#This Row],[Sewershed]]="Newtown Creek",Data[[#This Row],[DUs]],0)</f>
        <v>509</v>
      </c>
      <c r="U4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4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4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40" s="82">
        <f>VLOOKUP(Data[[#This Row],[DEVELOPMENT]],Development_Data_Book[[DEVELOPMENT]:[BOROUGH]],3,FALSE)</f>
        <v>243</v>
      </c>
      <c r="Y40" s="20" t="s">
        <v>2599</v>
      </c>
      <c r="Z40" s="20">
        <f>IFERROR(VLOOKUP(Data[[#This Row],[TDS]],ExtCompactors_PNA[[Development]:[0]],2,FALSE),0)</f>
        <v>2</v>
      </c>
      <c r="AA40" s="20">
        <f>IFERROR(VLOOKUP(Data[[#This Row],[TDS]],IntCompactors_PNA[[TDS]:[0]],2,FALSE),0)</f>
        <v>8</v>
      </c>
      <c r="AB40" s="20"/>
      <c r="AC40" s="20"/>
      <c r="AD40" s="20">
        <f>IFERROR(VLOOKUP(Data[[#This Row],[TDS]],ExtCompactors_PNA[[Development]:[0]],3,FALSE)+VLOOKUP(Data[[#This Row],[TDS]],ExtCompactors_PNA[[Development]:[0]],6,FALSE),0)</f>
        <v>2</v>
      </c>
      <c r="AE40" s="20">
        <f>IFERROR(VLOOKUP(Data[[#This Row],[TDS]],IntCompactors_PNA[[TDS]:[0]],3,FALSE)+VLOOKUP(Data[[#This Row],[TDS]],IntCompactors_PNA[[TDS]:[0]],6,FALSE),0)</f>
        <v>8</v>
      </c>
      <c r="AF40" s="20" t="e">
        <f>VLOOKUP(Data[[#This Row],[DEVELOPMENT]],[3]Developments!$A$2:$A$312,1,FALSE)</f>
        <v>#N/A</v>
      </c>
      <c r="AG40" s="20">
        <f>IFERROR(VLOOKUP(Data[[#This Row],[DEVELOPMENT]],Ops_Priorities_and_Data_Clean[[development]:[ifnoext_comment]],3,FALSE),"")</f>
        <v>2</v>
      </c>
      <c r="AH40" s="20">
        <f>IFERROR(VLOOKUP(Data[[#This Row],[DEVELOPMENT]],Ops_Priorities_and_Data_Clean[[development]:[ifnoext_comment]],4,FALSE),"")</f>
        <v>1</v>
      </c>
      <c r="AI40" s="20">
        <f>IFERROR(VLOOKUP(Data[[#This Row],[DEVELOPMENT]],Ops_Priorities_and_Data_Clean[[development]:[ifnoext_comment]],5,FALSE),"")</f>
        <v>1</v>
      </c>
      <c r="AJ40" s="20">
        <f>IFERROR(VLOOKUP(Data[[#This Row],[DEVELOPMENT]],Ops_Priorities_and_Data_Clean[[development]:[ifnoext_comment]],6,FALSE),"")</f>
        <v>0</v>
      </c>
      <c r="AK40" s="20">
        <f>IFERROR(VLOOKUP(Data[[#This Row],[DEVELOPMENT]],Ops_Priorities_and_Data_Clean[[development]:[ifnoext_comment]],7,FALSE),"")</f>
        <v>0</v>
      </c>
      <c r="AL40" s="20">
        <f>IFERROR(VLOOKUP(Data[[#This Row],[DEVELOPMENT]],Ops_Priorities_and_Data_Clean[[development]:[ifnoext_comment]],8,FALSE),"")</f>
        <v>1</v>
      </c>
      <c r="AM40" s="20">
        <f>IFERROR(VLOOKUP(Data[[#This Row],[DEVELOPMENT]],Ops_Priorities_and_Data_Clean[[development]:[ifnoext_comment]],9,FALSE),"")</f>
        <v>0</v>
      </c>
      <c r="AN40" s="20">
        <f>IFERROR(VLOOKUP(Data[[#This Row],[DEVELOPMENT]],Ops_Priorities_and_Data_Clean[[development]:[ifnoext_comment]],10,FALSE),"")</f>
        <v>2</v>
      </c>
      <c r="AO40" s="20">
        <f>IFERROR(VLOOKUP(Data[[#This Row],[DEVELOPMENT]],Ops_Priorities_and_Data_Clean[[development]:[ifnoext_comment]],11,FALSE),"")</f>
        <v>2</v>
      </c>
      <c r="AP40" s="20">
        <f>IFERROR(VLOOKUP(Data[[#This Row],[DEVELOPMENT]],Ops_Priorities_and_Data_Clean[[development]:[ifnoext_comment]],12,FALSE),"")</f>
        <v>2</v>
      </c>
      <c r="AQ40" s="20">
        <f>VLOOKUP(Data[[#This Row],[DEVELOPMENT]],Ops_Priorities_and_Data_Clean[[development]:[ifnoext_comment]],14,FALSE)</f>
        <v>0</v>
      </c>
      <c r="AR40" s="20">
        <f>VLOOKUP(Data[[#This Row],[DEVELOPMENT]],Ops_Priorities_and_Data_Clean[[development]:[ifnoext_comment]],15,FALSE)</f>
        <v>0</v>
      </c>
      <c r="AS40" s="20" t="str">
        <f>VLOOKUP(Data[[#This Row],[DEVELOPMENT]],Ops_Priorities_and_Data_Clean[[development]:[ifnoext_comment]],16,FALSE)</f>
        <v>NULL</v>
      </c>
      <c r="AT40" s="20" t="str">
        <f>VLOOKUP(Data[[#This Row],[DEVELOPMENT]],Ops_Priorities_and_Data_Clean[[development]:[ifnoext_comment]],17,FALSE)</f>
        <v>NULL</v>
      </c>
      <c r="AU40" s="20" t="str">
        <f>VLOOKUP(Data[[#This Row],[DEVELOPMENT]],Ops_Priorities_and_Data_Clean[[development]:[ifnoext_comment]],18,FALSE)</f>
        <v>NULL</v>
      </c>
      <c r="AV40" s="20" t="str">
        <f>VLOOKUP(Data[[#This Row],[DEVELOPMENT]],Ops_Priorities_and_Data_Clean[[development]:[ifnoext_comment]],19,FALSE)</f>
        <v>NULL</v>
      </c>
      <c r="AW40" s="20" t="str">
        <f>VLOOKUP(Data[[#This Row],[DEVELOPMENT]],Ops_Priorities_and_Data_Clean[[development]:[ifnoext_comment]],20,FALSE)</f>
        <v>NULL</v>
      </c>
      <c r="AX40" s="104" t="s">
        <v>2238</v>
      </c>
      <c r="AY40" s="104" t="s">
        <v>26</v>
      </c>
      <c r="AZ40" s="20" t="str">
        <f>VLOOKUP(Data[[#This Row],[DEVELOPMENT]],Development_Data_Book[[DEVELOPMENT]:[PRIVATE MANAGEMENT]],8,FALSE)</f>
        <v>FEDERAL</v>
      </c>
      <c r="BA40" s="104" t="s">
        <v>2586</v>
      </c>
      <c r="BB40" s="20">
        <f>VLOOKUP(Data[[#This Row],[DEVELOPMENT]],Development_Data_Book[[DEVELOPMENT]:[PRIVATE MANAGEMENT]],22,FALSE)</f>
        <v>2</v>
      </c>
      <c r="BC40" s="20">
        <f>Data[[#This Row],[Non-Dwelling Buildings]]+Data[[#This Row],[Dwelling Buildings]]</f>
        <v>10</v>
      </c>
      <c r="BD40" s="20">
        <f>VLOOKUP(Data[[#This Row],[DEVELOPMENT]],Development_Data_Book[[DEVELOPMENT]:[PRIVATE MANAGEMENT]],26,FALSE)</f>
        <v>5.76</v>
      </c>
      <c r="BE40" s="106">
        <v>510300</v>
      </c>
      <c r="BF40" s="20">
        <f>VLOOKUP(Data[[#This Row],[DEVELOPMENT]],Development_Data_Book[[DEVELOPMENT]:[PRIVATE MANAGEMENT]],18,FALSE)</f>
        <v>1123</v>
      </c>
      <c r="BG40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40" s="104" t="s">
        <v>2601</v>
      </c>
      <c r="BI40" t="s">
        <v>184</v>
      </c>
      <c r="BJ40" s="20">
        <f>VLOOKUP(Data[[#This Row],[DEVELOPMENT]],Development_Data_Book[[DEVELOPMENT]:[PRIVATE MANAGEMENT]],41,FALSE)</f>
        <v>1</v>
      </c>
      <c r="BK40" s="20">
        <f>VLOOKUP(Data[[#This Row],[DEVELOPMENT]],Development_Data_Book[[DEVELOPMENT]:[PRIVATE MANAGEMENT]],42,FALSE)</f>
        <v>7</v>
      </c>
      <c r="BL40" s="20">
        <f>VLOOKUP(Data[[#This Row],[DEVELOPMENT]],Development_Data_Book[[DEVELOPMENT]:[PRIVATE MANAGEMENT]],43,FALSE)</f>
        <v>18</v>
      </c>
      <c r="BM40" s="20">
        <f>VLOOKUP(Data[[#This Row],[DEVELOPMENT]],Development_Data_Book[[DEVELOPMENT]:[PRIVATE MANAGEMENT]],44,FALSE)</f>
        <v>53</v>
      </c>
      <c r="BN40" s="20">
        <f>VLOOKUP(Data[[#This Row],[DEVELOPMENT]],Development_Data_Book[[DEVELOPMENT]:[PRIVATE MANAGEMENT]],45,FALSE)</f>
        <v>34</v>
      </c>
      <c r="BO40" s="20">
        <f>VLOOKUP(Data[[#This Row],[DEVELOPMENT]],Development_Data_Book[[DEVELOPMENT]:[PRIVATE MANAGEMENT]],24,FALSE)</f>
        <v>7</v>
      </c>
    </row>
    <row r="41" spans="1:67">
      <c r="A41" t="s">
        <v>72</v>
      </c>
      <c r="B41" t="str">
        <f>VLOOKUP(Data[[#This Row],[DEVELOPMENT]],Development_Data_Book[[DEVELOPMENT]:[BOROUGH]],MATCH("borough",Development_Data_Book[[#Headers],[DEVELOPMENT]:[BOROUGH]],0),FALSE)</f>
        <v>BROOKLYN</v>
      </c>
      <c r="C41" t="e">
        <f>VLOOKUP(Data[[#This Row],[DEVELOPMENT]],'[1]Cheat-Sheet'!$D$2:$Q$341,2,FALSE)</f>
        <v>#N/A</v>
      </c>
      <c r="D4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41">
        <f>VLOOKUP(Data[[#This Row],[DEVELOPMENT]],Development_Data_Book[[DEVELOPMENT]:[BOROUGH]],21,FALSE)</f>
        <v>7</v>
      </c>
      <c r="F41">
        <f>VLOOKUP(Data[[#This Row],[DEVELOPMENT]],Development_Data_Book[[DEVELOPMENT]:[BOROUGH]],23,FALSE)</f>
        <v>7</v>
      </c>
      <c r="G41">
        <f>VLOOKUP(Data[[#This Row],[DEVELOPMENT]],Development_Data_Book[[DEVELOPMENT]:[BOROUGH]],12,FALSE)</f>
        <v>425</v>
      </c>
      <c r="H41" t="s">
        <v>2248</v>
      </c>
      <c r="I41">
        <v>2</v>
      </c>
      <c r="J41">
        <f>IFERROR(VLOOKUP(Data[[#This Row],[DEVELOPMENT]],IntCompactors_MRST[],4,FALSE),0)</f>
        <v>7</v>
      </c>
      <c r="K41" s="20">
        <f>IFERROR(VLOOKUP(Data[[#This Row],[DEVELOPMENT]],ExtCompactors_MRST[],4,FALSE),0)</f>
        <v>0</v>
      </c>
      <c r="L41" s="27">
        <f>IF(Data[[#This Row],['# Interior Compactors MRST]]=0,"",VLOOKUP(Data[[#This Row],[DEVELOPMENT]],IntCompactors_MRST[],5,FALSE))</f>
        <v>40909</v>
      </c>
      <c r="M41" s="28" t="str">
        <f>IF(Data[[#This Row],['# Exterior Compactors MRST]]=0,"",VLOOKUP(Data[[#This Row],[DEVELOPMENT]],ExtCompactors_MRST[],5,FALSE))</f>
        <v/>
      </c>
      <c r="N41">
        <f>Data[[#This Row],['# Interior Compactors MRST]]</f>
        <v>7</v>
      </c>
      <c r="O41" s="20">
        <f>IF(Data[[#This Row],['# Bulk Crushers]]=0,1,0)</f>
        <v>1</v>
      </c>
      <c r="P41" s="20">
        <f>1</f>
        <v>1</v>
      </c>
      <c r="Q41" s="20">
        <f>1</f>
        <v>1</v>
      </c>
      <c r="R41" s="20">
        <f>1</f>
        <v>1</v>
      </c>
      <c r="S41" s="20">
        <f>1</f>
        <v>1</v>
      </c>
      <c r="T41" s="20">
        <f>IF(Data[[#This Row],[Sewershed]]="Newtown Creek",Data[[#This Row],[DUs]],0)</f>
        <v>425</v>
      </c>
      <c r="U4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4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4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41" s="82">
        <f>VLOOKUP(Data[[#This Row],[DEVELOPMENT]],Development_Data_Book[[DEVELOPMENT]:[BOROUGH]],3,FALSE)</f>
        <v>271</v>
      </c>
      <c r="Y41" s="20" t="s">
        <v>2599</v>
      </c>
      <c r="Z41" s="20">
        <f>IFERROR(VLOOKUP(Data[[#This Row],[TDS]],ExtCompactors_PNA[[Development]:[0]],2,FALSE),0)</f>
        <v>0</v>
      </c>
      <c r="AA41" s="20">
        <f>IFERROR(VLOOKUP(Data[[#This Row],[TDS]],IntCompactors_PNA[[TDS]:[0]],2,FALSE),0)</f>
        <v>7</v>
      </c>
      <c r="AB41" s="20"/>
      <c r="AC41" s="20"/>
      <c r="AD41" s="20">
        <f>IFERROR(VLOOKUP(Data[[#This Row],[TDS]],ExtCompactors_PNA[[Development]:[0]],3,FALSE)+VLOOKUP(Data[[#This Row],[TDS]],ExtCompactors_PNA[[Development]:[0]],6,FALSE),0)</f>
        <v>0</v>
      </c>
      <c r="AE41" s="20">
        <f>IFERROR(VLOOKUP(Data[[#This Row],[TDS]],IntCompactors_PNA[[TDS]:[0]],3,FALSE)+VLOOKUP(Data[[#This Row],[TDS]],IntCompactors_PNA[[TDS]:[0]],6,FALSE),0)</f>
        <v>7</v>
      </c>
      <c r="AF41" s="20" t="e">
        <f>VLOOKUP(Data[[#This Row],[DEVELOPMENT]],[3]Developments!$A$2:$A$312,1,FALSE)</f>
        <v>#N/A</v>
      </c>
      <c r="AG41" s="20">
        <f>IFERROR(VLOOKUP(Data[[#This Row],[DEVELOPMENT]],Ops_Priorities_and_Data_Clean[[development]:[ifnoext_comment]],3,FALSE),"")</f>
        <v>0</v>
      </c>
      <c r="AH41" s="20">
        <f>IFERROR(VLOOKUP(Data[[#This Row],[DEVELOPMENT]],Ops_Priorities_and_Data_Clean[[development]:[ifnoext_comment]],4,FALSE),"")</f>
        <v>3</v>
      </c>
      <c r="AI41" s="20">
        <f>IFERROR(VLOOKUP(Data[[#This Row],[DEVELOPMENT]],Ops_Priorities_and_Data_Clean[[development]:[ifnoext_comment]],5,FALSE),"")</f>
        <v>0</v>
      </c>
      <c r="AJ41" s="20">
        <f>IFERROR(VLOOKUP(Data[[#This Row],[DEVELOPMENT]],Ops_Priorities_and_Data_Clean[[development]:[ifnoext_comment]],6,FALSE),"")</f>
        <v>1</v>
      </c>
      <c r="AK41" s="20">
        <f>IFERROR(VLOOKUP(Data[[#This Row],[DEVELOPMENT]],Ops_Priorities_and_Data_Clean[[development]:[ifnoext_comment]],7,FALSE),"")</f>
        <v>0</v>
      </c>
      <c r="AL41" s="20">
        <f>IFERROR(VLOOKUP(Data[[#This Row],[DEVELOPMENT]],Ops_Priorities_and_Data_Clean[[development]:[ifnoext_comment]],8,FALSE),"")</f>
        <v>1</v>
      </c>
      <c r="AM41" s="20">
        <f>IFERROR(VLOOKUP(Data[[#This Row],[DEVELOPMENT]],Ops_Priorities_and_Data_Clean[[development]:[ifnoext_comment]],9,FALSE),"")</f>
        <v>0</v>
      </c>
      <c r="AN41" s="20">
        <f>IFERROR(VLOOKUP(Data[[#This Row],[DEVELOPMENT]],Ops_Priorities_and_Data_Clean[[development]:[ifnoext_comment]],10,FALSE),"")</f>
        <v>0</v>
      </c>
      <c r="AO41" s="20">
        <f>IFERROR(VLOOKUP(Data[[#This Row],[DEVELOPMENT]],Ops_Priorities_and_Data_Clean[[development]:[ifnoext_comment]],11,FALSE),"")</f>
        <v>0</v>
      </c>
      <c r="AP41" s="20">
        <f>IFERROR(VLOOKUP(Data[[#This Row],[DEVELOPMENT]],Ops_Priorities_and_Data_Clean[[development]:[ifnoext_comment]],12,FALSE),"")</f>
        <v>0</v>
      </c>
      <c r="AQ41" s="20">
        <f>VLOOKUP(Data[[#This Row],[DEVELOPMENT]],Ops_Priorities_and_Data_Clean[[development]:[ifnoext_comment]],14,FALSE)</f>
        <v>0</v>
      </c>
      <c r="AR41" s="20">
        <f>VLOOKUP(Data[[#This Row],[DEVELOPMENT]],Ops_Priorities_and_Data_Clean[[development]:[ifnoext_comment]],15,FALSE)</f>
        <v>1</v>
      </c>
      <c r="AS41" s="20" t="str">
        <f>VLOOKUP(Data[[#This Row],[DEVELOPMENT]],Ops_Priorities_and_Data_Clean[[development]:[ifnoext_comment]],16,FALSE)</f>
        <v>Borinquen Plaza I</v>
      </c>
      <c r="AT41" s="20" t="str">
        <f>VLOOKUP(Data[[#This Row],[DEVELOPMENT]],Ops_Priorities_and_Data_Clean[[development]:[ifnoext_comment]],17,FALSE)</f>
        <v>NULL</v>
      </c>
      <c r="AU41" s="20" t="str">
        <f>VLOOKUP(Data[[#This Row],[DEVELOPMENT]],Ops_Priorities_and_Data_Clean[[development]:[ifnoext_comment]],18,FALSE)</f>
        <v>NULL</v>
      </c>
      <c r="AV41" s="20" t="str">
        <f>VLOOKUP(Data[[#This Row],[DEVELOPMENT]],Ops_Priorities_and_Data_Clean[[development]:[ifnoext_comment]],19,FALSE)</f>
        <v>NULL</v>
      </c>
      <c r="AW41" s="20" t="str">
        <f>VLOOKUP(Data[[#This Row],[DEVELOPMENT]],Ops_Priorities_and_Data_Clean[[development]:[ifnoext_comment]],20,FALSE)</f>
        <v>NULL</v>
      </c>
      <c r="AX41" s="104" t="s">
        <v>2238</v>
      </c>
      <c r="AY41" s="104" t="s">
        <v>26</v>
      </c>
      <c r="AZ41" s="20" t="str">
        <f>VLOOKUP(Data[[#This Row],[DEVELOPMENT]],Development_Data_Book[[DEVELOPMENT]:[PRIVATE MANAGEMENT]],8,FALSE)</f>
        <v>FEDERAL</v>
      </c>
      <c r="BA41" s="104" t="s">
        <v>2586</v>
      </c>
      <c r="BB41" s="20">
        <f>VLOOKUP(Data[[#This Row],[DEVELOPMENT]],Development_Data_Book[[DEVELOPMENT]:[PRIVATE MANAGEMENT]],22,FALSE)</f>
        <v>0</v>
      </c>
      <c r="BC41" s="20">
        <f>Data[[#This Row],[Non-Dwelling Buildings]]+Data[[#This Row],[Dwelling Buildings]]</f>
        <v>7</v>
      </c>
      <c r="BD41" s="20">
        <f>VLOOKUP(Data[[#This Row],[DEVELOPMENT]],Development_Data_Book[[DEVELOPMENT]:[PRIVATE MANAGEMENT]],26,FALSE)</f>
        <v>4.22</v>
      </c>
      <c r="BE41" s="106">
        <v>466200</v>
      </c>
      <c r="BF41" s="20">
        <f>VLOOKUP(Data[[#This Row],[DEVELOPMENT]],Development_Data_Book[[DEVELOPMENT]:[PRIVATE MANAGEMENT]],18,FALSE)</f>
        <v>1123</v>
      </c>
      <c r="BG4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41" s="104" t="s">
        <v>2601</v>
      </c>
      <c r="BI41" t="s">
        <v>184</v>
      </c>
      <c r="BJ41" s="20">
        <f>VLOOKUP(Data[[#This Row],[DEVELOPMENT]],Development_Data_Book[[DEVELOPMENT]:[PRIVATE MANAGEMENT]],41,FALSE)</f>
        <v>1</v>
      </c>
      <c r="BK41" s="20">
        <f>VLOOKUP(Data[[#This Row],[DEVELOPMENT]],Development_Data_Book[[DEVELOPMENT]:[PRIVATE MANAGEMENT]],42,FALSE)</f>
        <v>7</v>
      </c>
      <c r="BL41" s="20">
        <f>VLOOKUP(Data[[#This Row],[DEVELOPMENT]],Development_Data_Book[[DEVELOPMENT]:[PRIVATE MANAGEMENT]],43,FALSE)</f>
        <v>18</v>
      </c>
      <c r="BM41" s="20">
        <f>VLOOKUP(Data[[#This Row],[DEVELOPMENT]],Development_Data_Book[[DEVELOPMENT]:[PRIVATE MANAGEMENT]],44,FALSE)</f>
        <v>53</v>
      </c>
      <c r="BN41" s="20">
        <f>VLOOKUP(Data[[#This Row],[DEVELOPMENT]],Development_Data_Book[[DEVELOPMENT]:[PRIVATE MANAGEMENT]],45,FALSE)</f>
        <v>34</v>
      </c>
      <c r="BO41" s="20">
        <f>VLOOKUP(Data[[#This Row],[DEVELOPMENT]],Development_Data_Book[[DEVELOPMENT]:[PRIVATE MANAGEMENT]],24,FALSE)</f>
        <v>7</v>
      </c>
    </row>
    <row r="42" spans="1:67">
      <c r="A42" t="s">
        <v>234</v>
      </c>
      <c r="B42" s="20" t="str">
        <f>VLOOKUP(Data[[#This Row],[DEVELOPMENT]],Development_Data_Book[[DEVELOPMENT]:[BOROUGH]],MATCH("borough",Development_Data_Book[[#Headers],[DEVELOPMENT]:[BOROUGH]],0),FALSE)</f>
        <v>BRONX</v>
      </c>
      <c r="C42" s="20" t="e">
        <f>VLOOKUP(Data[[#This Row],[DEVELOPMENT]],'[1]Cheat-Sheet'!$D$2:$Q$341,2,FALSE)</f>
        <v>#N/A</v>
      </c>
      <c r="D4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42" s="20">
        <f>VLOOKUP(Data[[#This Row],[DEVELOPMENT]],Development_Data_Book[[DEVELOPMENT]:[BOROUGH]],21,FALSE)</f>
        <v>1</v>
      </c>
      <c r="F42" s="20">
        <f>VLOOKUP(Data[[#This Row],[DEVELOPMENT]],Development_Data_Book[[DEVELOPMENT]:[BOROUGH]],23,FALSE)</f>
        <v>2</v>
      </c>
      <c r="G42" s="20">
        <f>VLOOKUP(Data[[#This Row],[DEVELOPMENT]],Development_Data_Book[[DEVELOPMENT]:[BOROUGH]],12,FALSE)</f>
        <v>232</v>
      </c>
      <c r="J42">
        <f>IFERROR(VLOOKUP(Data[[#This Row],[DEVELOPMENT]],IntCompactors_MRST[],4,FALSE),0)</f>
        <v>1</v>
      </c>
      <c r="K42" s="20">
        <f>IFERROR(VLOOKUP(Data[[#This Row],[DEVELOPMENT]],ExtCompactors_MRST[],4,FALSE),0)</f>
        <v>0</v>
      </c>
      <c r="L42" s="27">
        <f>IF(Data[[#This Row],['# Interior Compactors MRST]]=0,"",VLOOKUP(Data[[#This Row],[DEVELOPMENT]],IntCompactors_MRST[],5,FALSE))</f>
        <v>37803</v>
      </c>
      <c r="M42" s="28" t="str">
        <f>IF(Data[[#This Row],['# Exterior Compactors MRST]]=0,"",VLOOKUP(Data[[#This Row],[DEVELOPMENT]],ExtCompactors_MRST[],5,FALSE))</f>
        <v/>
      </c>
      <c r="N42" s="20">
        <f>Data[[#This Row],['# Interior Compactors MRST]]</f>
        <v>1</v>
      </c>
      <c r="O42" s="20">
        <f>IF(Data[[#This Row],['# Bulk Crushers]]=0,1,0)</f>
        <v>1</v>
      </c>
      <c r="P42" s="20">
        <f>1</f>
        <v>1</v>
      </c>
      <c r="Q42" s="20">
        <f>1</f>
        <v>1</v>
      </c>
      <c r="R42" s="20">
        <f>1</f>
        <v>1</v>
      </c>
      <c r="S42" s="20">
        <f>1</f>
        <v>1</v>
      </c>
      <c r="T42" s="20">
        <f>IF(Data[[#This Row],[Sewershed]]="Newtown Creek",Data[[#This Row],[DUs]],0)</f>
        <v>0</v>
      </c>
      <c r="U4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4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4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42" s="82">
        <f>VLOOKUP(Data[[#This Row],[DEVELOPMENT]],Development_Data_Book[[DEVELOPMENT]:[BOROUGH]],3,FALSE)</f>
        <v>189</v>
      </c>
      <c r="Y42" s="20"/>
      <c r="Z42" s="20">
        <f>IFERROR(VLOOKUP(Data[[#This Row],[TDS]],ExtCompactors_PNA[[Development]:[0]],2,FALSE),0)</f>
        <v>0</v>
      </c>
      <c r="AA42" s="20">
        <f>IFERROR(VLOOKUP(Data[[#This Row],[TDS]],IntCompactors_PNA[[TDS]:[0]],2,FALSE),0)</f>
        <v>1</v>
      </c>
      <c r="AB42" s="20"/>
      <c r="AC42" s="20"/>
      <c r="AD42" s="20">
        <f>IFERROR(VLOOKUP(Data[[#This Row],[TDS]],ExtCompactors_PNA[[Development]:[0]],3,FALSE)+VLOOKUP(Data[[#This Row],[TDS]],ExtCompactors_PNA[[Development]:[0]],6,FALSE),0)</f>
        <v>0</v>
      </c>
      <c r="AE42" s="20">
        <f>IFERROR(VLOOKUP(Data[[#This Row],[TDS]],IntCompactors_PNA[[TDS]:[0]],3,FALSE)+VLOOKUP(Data[[#This Row],[TDS]],IntCompactors_PNA[[TDS]:[0]],6,FALSE),0)</f>
        <v>1</v>
      </c>
      <c r="AF42" s="20" t="e">
        <f>VLOOKUP(Data[[#This Row],[DEVELOPMENT]],[3]Developments!$A$2:$A$312,1,FALSE)</f>
        <v>#N/A</v>
      </c>
      <c r="AG42" s="20">
        <f>IFERROR(VLOOKUP(Data[[#This Row],[DEVELOPMENT]],Ops_Priorities_and_Data_Clean[[development]:[ifnoext_comment]],3,FALSE),"")</f>
        <v>0</v>
      </c>
      <c r="AH42" s="20">
        <f>IFERROR(VLOOKUP(Data[[#This Row],[DEVELOPMENT]],Ops_Priorities_and_Data_Clean[[development]:[ifnoext_comment]],4,FALSE),"")</f>
        <v>0</v>
      </c>
      <c r="AI42" s="20">
        <f>IFERROR(VLOOKUP(Data[[#This Row],[DEVELOPMENT]],Ops_Priorities_and_Data_Clean[[development]:[ifnoext_comment]],5,FALSE),"")</f>
        <v>0</v>
      </c>
      <c r="AJ42" s="20">
        <f>IFERROR(VLOOKUP(Data[[#This Row],[DEVELOPMENT]],Ops_Priorities_and_Data_Clean[[development]:[ifnoext_comment]],6,FALSE),"")</f>
        <v>1</v>
      </c>
      <c r="AK42" s="20">
        <f>IFERROR(VLOOKUP(Data[[#This Row],[DEVELOPMENT]],Ops_Priorities_and_Data_Clean[[development]:[ifnoext_comment]],7,FALSE),"")</f>
        <v>0</v>
      </c>
      <c r="AL42" s="20">
        <f>IFERROR(VLOOKUP(Data[[#This Row],[DEVELOPMENT]],Ops_Priorities_and_Data_Clean[[development]:[ifnoext_comment]],8,FALSE),"")</f>
        <v>1</v>
      </c>
      <c r="AM42" s="20">
        <f>IFERROR(VLOOKUP(Data[[#This Row],[DEVELOPMENT]],Ops_Priorities_and_Data_Clean[[development]:[ifnoext_comment]],9,FALSE),"")</f>
        <v>1</v>
      </c>
      <c r="AN42" s="20">
        <f>IFERROR(VLOOKUP(Data[[#This Row],[DEVELOPMENT]],Ops_Priorities_and_Data_Clean[[development]:[ifnoext_comment]],10,FALSE),"")</f>
        <v>0</v>
      </c>
      <c r="AO42" s="20">
        <f>IFERROR(VLOOKUP(Data[[#This Row],[DEVELOPMENT]],Ops_Priorities_and_Data_Clean[[development]:[ifnoext_comment]],11,FALSE),"")</f>
        <v>0</v>
      </c>
      <c r="AP42" s="20">
        <f>IFERROR(VLOOKUP(Data[[#This Row],[DEVELOPMENT]],Ops_Priorities_and_Data_Clean[[development]:[ifnoext_comment]],12,FALSE),"")</f>
        <v>0</v>
      </c>
      <c r="AQ42" s="20">
        <f>VLOOKUP(Data[[#This Row],[DEVELOPMENT]],Ops_Priorities_and_Data_Clean[[development]:[ifnoext_comment]],14,FALSE)</f>
        <v>0</v>
      </c>
      <c r="AR42" s="20">
        <f>VLOOKUP(Data[[#This Row],[DEVELOPMENT]],Ops_Priorities_and_Data_Clean[[development]:[ifnoext_comment]],15,FALSE)</f>
        <v>1</v>
      </c>
      <c r="AS42" s="20" t="str">
        <f>VLOOKUP(Data[[#This Row],[DEVELOPMENT]],Ops_Priorities_and_Data_Clean[[development]:[ifnoext_comment]],16,FALSE)</f>
        <v>PELHAM PARKWAY</v>
      </c>
      <c r="AT42" s="20" t="str">
        <f>VLOOKUP(Data[[#This Row],[DEVELOPMENT]],Ops_Priorities_and_Data_Clean[[development]:[ifnoext_comment]],17,FALSE)</f>
        <v>Boston Rd. Plza is apart of Pelham Parkway</v>
      </c>
      <c r="AU42" s="20" t="str">
        <f>VLOOKUP(Data[[#This Row],[DEVELOPMENT]],Ops_Priorities_and_Data_Clean[[development]:[ifnoext_comment]],18,FALSE)</f>
        <v>NULL</v>
      </c>
      <c r="AV42" s="20" t="str">
        <f>VLOOKUP(Data[[#This Row],[DEVELOPMENT]],Ops_Priorities_and_Data_Clean[[development]:[ifnoext_comment]],19,FALSE)</f>
        <v>NULL</v>
      </c>
      <c r="AW42" s="20" t="str">
        <f>VLOOKUP(Data[[#This Row],[DEVELOPMENT]],Ops_Priorities_and_Data_Clean[[development]:[ifnoext_comment]],20,FALSE)</f>
        <v>NULL</v>
      </c>
      <c r="AX42" s="104" t="s">
        <v>2237</v>
      </c>
      <c r="AY42" s="104" t="s">
        <v>2627</v>
      </c>
      <c r="AZ42" s="20" t="str">
        <f>VLOOKUP(Data[[#This Row],[DEVELOPMENT]],Development_Data_Book[[DEVELOPMENT]:[PRIVATE MANAGEMENT]],8,FALSE)</f>
        <v>FEDERAL</v>
      </c>
      <c r="BA42" s="104" t="s">
        <v>2586</v>
      </c>
      <c r="BB42" s="20">
        <f>VLOOKUP(Data[[#This Row],[DEVELOPMENT]],Development_Data_Book[[DEVELOPMENT]:[PRIVATE MANAGEMENT]],22,FALSE)</f>
        <v>1</v>
      </c>
      <c r="BC42" s="20">
        <f>Data[[#This Row],[Non-Dwelling Buildings]]+Data[[#This Row],[Dwelling Buildings]]</f>
        <v>2</v>
      </c>
      <c r="BD42" s="20">
        <f>VLOOKUP(Data[[#This Row],[DEVELOPMENT]],Development_Data_Book[[DEVELOPMENT]:[PRIVATE MANAGEMENT]],26,FALSE)</f>
        <v>1.94</v>
      </c>
      <c r="BE42" s="106">
        <v>183900</v>
      </c>
      <c r="BF42" s="20">
        <f>VLOOKUP(Data[[#This Row],[DEVELOPMENT]],Development_Data_Book[[DEVELOPMENT]:[PRIVATE MANAGEMENT]],18,FALSE)</f>
        <v>276</v>
      </c>
      <c r="BG42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42" s="104" t="s">
        <v>2595</v>
      </c>
      <c r="BI42" t="s">
        <v>184</v>
      </c>
      <c r="BJ42" s="20">
        <f>VLOOKUP(Data[[#This Row],[DEVELOPMENT]],Development_Data_Book[[DEVELOPMENT]:[PRIVATE MANAGEMENT]],41,FALSE)</f>
        <v>11</v>
      </c>
      <c r="BK42" s="20">
        <f>VLOOKUP(Data[[#This Row],[DEVELOPMENT]],Development_Data_Book[[DEVELOPMENT]:[PRIVATE MANAGEMENT]],42,FALSE)</f>
        <v>14</v>
      </c>
      <c r="BL42" s="20">
        <f>VLOOKUP(Data[[#This Row],[DEVELOPMENT]],Development_Data_Book[[DEVELOPMENT]:[PRIVATE MANAGEMENT]],43,FALSE)</f>
        <v>34</v>
      </c>
      <c r="BM42" s="20">
        <f>VLOOKUP(Data[[#This Row],[DEVELOPMENT]],Development_Data_Book[[DEVELOPMENT]:[PRIVATE MANAGEMENT]],44,FALSE)</f>
        <v>80</v>
      </c>
      <c r="BN42" s="20">
        <f>VLOOKUP(Data[[#This Row],[DEVELOPMENT]],Development_Data_Book[[DEVELOPMENT]:[PRIVATE MANAGEMENT]],45,FALSE)</f>
        <v>13</v>
      </c>
      <c r="BO42" s="20">
        <f>VLOOKUP(Data[[#This Row],[DEVELOPMENT]],Development_Data_Book[[DEVELOPMENT]:[PRIVATE MANAGEMENT]],24,FALSE)</f>
        <v>20</v>
      </c>
    </row>
    <row r="43" spans="1:67">
      <c r="A43" t="s">
        <v>304</v>
      </c>
      <c r="B43" s="20" t="str">
        <f>VLOOKUP(Data[[#This Row],[DEVELOPMENT]],Development_Data_Book[[DEVELOPMENT]:[BOROUGH]],MATCH("borough",Development_Data_Book[[#Headers],[DEVELOPMENT]:[BOROUGH]],0),FALSE)</f>
        <v>BRONX</v>
      </c>
      <c r="C43" s="20" t="e">
        <f>VLOOKUP(Data[[#This Row],[DEVELOPMENT]],'[1]Cheat-Sheet'!$D$2:$Q$341,2,FALSE)</f>
        <v>#N/A</v>
      </c>
      <c r="D4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43" s="20">
        <f>VLOOKUP(Data[[#This Row],[DEVELOPMENT]],Development_Data_Book[[DEVELOPMENT]:[BOROUGH]],21,FALSE)</f>
        <v>4</v>
      </c>
      <c r="F43" s="20">
        <f>VLOOKUP(Data[[#This Row],[DEVELOPMENT]],Development_Data_Book[[DEVELOPMENT]:[BOROUGH]],23,FALSE)</f>
        <v>5</v>
      </c>
      <c r="G43" s="20">
        <f>VLOOKUP(Data[[#This Row],[DEVELOPMENT]],Development_Data_Book[[DEVELOPMENT]:[BOROUGH]],12,FALSE)</f>
        <v>538</v>
      </c>
      <c r="J43">
        <f>IFERROR(VLOOKUP(Data[[#This Row],[DEVELOPMENT]],IntCompactors_MRST[],4,FALSE),0)</f>
        <v>4</v>
      </c>
      <c r="K43" s="20">
        <f>IFERROR(VLOOKUP(Data[[#This Row],[DEVELOPMENT]],ExtCompactors_MRST[],4,FALSE),0)</f>
        <v>2</v>
      </c>
      <c r="L43" s="27">
        <f>IF(Data[[#This Row],['# Interior Compactors MRST]]=0,"",VLOOKUP(Data[[#This Row],[DEVELOPMENT]],IntCompactors_MRST[],5,FALSE))</f>
        <v>37803</v>
      </c>
      <c r="M43" s="28">
        <f>IF(Data[[#This Row],['# Exterior Compactors MRST]]=0,"",VLOOKUP(Data[[#This Row],[DEVELOPMENT]],ExtCompactors_MRST[],5,FALSE))</f>
        <v>36852</v>
      </c>
      <c r="N43" s="20">
        <f>Data[[#This Row],['# Interior Compactors MRST]]</f>
        <v>4</v>
      </c>
      <c r="O43" s="20">
        <f>IF(Data[[#This Row],['# Bulk Crushers]]=0,1,0)</f>
        <v>1</v>
      </c>
      <c r="P43" s="20">
        <f>1</f>
        <v>1</v>
      </c>
      <c r="Q43" s="20">
        <f>1</f>
        <v>1</v>
      </c>
      <c r="R43" s="20">
        <f>1</f>
        <v>1</v>
      </c>
      <c r="S43" s="20">
        <f>1</f>
        <v>1</v>
      </c>
      <c r="T43" s="20">
        <f>IF(Data[[#This Row],[Sewershed]]="Newtown Creek",Data[[#This Row],[DUs]],0)</f>
        <v>0</v>
      </c>
      <c r="U4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4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4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43" s="82">
        <f>VLOOKUP(Data[[#This Row],[DEVELOPMENT]],Development_Data_Book[[DEVELOPMENT]:[BOROUGH]],3,FALSE)</f>
        <v>138</v>
      </c>
      <c r="Y43" s="20"/>
      <c r="Z43" s="20">
        <f>IFERROR(VLOOKUP(Data[[#This Row],[TDS]],ExtCompactors_PNA[[Development]:[0]],2,FALSE),0)</f>
        <v>2</v>
      </c>
      <c r="AA43" s="20">
        <f>IFERROR(VLOOKUP(Data[[#This Row],[TDS]],IntCompactors_PNA[[TDS]:[0]],2,FALSE),0)</f>
        <v>4</v>
      </c>
      <c r="AB43" s="20"/>
      <c r="AC43" s="20"/>
      <c r="AD43" s="20">
        <f>IFERROR(VLOOKUP(Data[[#This Row],[TDS]],ExtCompactors_PNA[[Development]:[0]],3,FALSE)+VLOOKUP(Data[[#This Row],[TDS]],ExtCompactors_PNA[[Development]:[0]],6,FALSE),0)</f>
        <v>2</v>
      </c>
      <c r="AE43" s="20">
        <f>IFERROR(VLOOKUP(Data[[#This Row],[TDS]],IntCompactors_PNA[[TDS]:[0]],3,FALSE)+VLOOKUP(Data[[#This Row],[TDS]],IntCompactors_PNA[[TDS]:[0]],6,FALSE),0)</f>
        <v>4</v>
      </c>
      <c r="AF43" s="20" t="e">
        <f>VLOOKUP(Data[[#This Row],[DEVELOPMENT]],[3]Developments!$A$2:$A$312,1,FALSE)</f>
        <v>#N/A</v>
      </c>
      <c r="AG43" s="20">
        <f>IFERROR(VLOOKUP(Data[[#This Row],[DEVELOPMENT]],Ops_Priorities_and_Data_Clean[[development]:[ifnoext_comment]],3,FALSE),"")</f>
        <v>2</v>
      </c>
      <c r="AH43" s="20">
        <f>IFERROR(VLOOKUP(Data[[#This Row],[DEVELOPMENT]],Ops_Priorities_and_Data_Clean[[development]:[ifnoext_comment]],4,FALSE),"")</f>
        <v>0</v>
      </c>
      <c r="AI43" s="20">
        <f>IFERROR(VLOOKUP(Data[[#This Row],[DEVELOPMENT]],Ops_Priorities_and_Data_Clean[[development]:[ifnoext_comment]],5,FALSE),"")</f>
        <v>1</v>
      </c>
      <c r="AJ43" s="20">
        <f>IFERROR(VLOOKUP(Data[[#This Row],[DEVELOPMENT]],Ops_Priorities_and_Data_Clean[[development]:[ifnoext_comment]],6,FALSE),"")</f>
        <v>0</v>
      </c>
      <c r="AK43" s="20">
        <f>IFERROR(VLOOKUP(Data[[#This Row],[DEVELOPMENT]],Ops_Priorities_and_Data_Clean[[development]:[ifnoext_comment]],7,FALSE),"")</f>
        <v>0</v>
      </c>
      <c r="AL43" s="20">
        <f>IFERROR(VLOOKUP(Data[[#This Row],[DEVELOPMENT]],Ops_Priorities_and_Data_Clean[[development]:[ifnoext_comment]],8,FALSE),"")</f>
        <v>1</v>
      </c>
      <c r="AM43" s="20">
        <f>IFERROR(VLOOKUP(Data[[#This Row],[DEVELOPMENT]],Ops_Priorities_and_Data_Clean[[development]:[ifnoext_comment]],9,FALSE),"")</f>
        <v>0</v>
      </c>
      <c r="AN43" s="20">
        <f>IFERROR(VLOOKUP(Data[[#This Row],[DEVELOPMENT]],Ops_Priorities_and_Data_Clean[[development]:[ifnoext_comment]],10,FALSE),"")</f>
        <v>2</v>
      </c>
      <c r="AO43" s="20">
        <f>IFERROR(VLOOKUP(Data[[#This Row],[DEVELOPMENT]],Ops_Priorities_and_Data_Clean[[development]:[ifnoext_comment]],11,FALSE),"")</f>
        <v>2</v>
      </c>
      <c r="AP43" s="20">
        <f>IFERROR(VLOOKUP(Data[[#This Row],[DEVELOPMENT]],Ops_Priorities_and_Data_Clean[[development]:[ifnoext_comment]],12,FALSE),"")</f>
        <v>2</v>
      </c>
      <c r="AQ43" s="20">
        <f>VLOOKUP(Data[[#This Row],[DEVELOPMENT]],Ops_Priorities_and_Data_Clean[[development]:[ifnoext_comment]],14,FALSE)</f>
        <v>0</v>
      </c>
      <c r="AR43" s="20">
        <f>VLOOKUP(Data[[#This Row],[DEVELOPMENT]],Ops_Priorities_and_Data_Clean[[development]:[ifnoext_comment]],15,FALSE)</f>
        <v>0</v>
      </c>
      <c r="AS43" s="20" t="str">
        <f>VLOOKUP(Data[[#This Row],[DEVELOPMENT]],Ops_Priorities_and_Data_Clean[[development]:[ifnoext_comment]],16,FALSE)</f>
        <v>NULL</v>
      </c>
      <c r="AT43" s="20" t="str">
        <f>VLOOKUP(Data[[#This Row],[DEVELOPMENT]],Ops_Priorities_and_Data_Clean[[development]:[ifnoext_comment]],17,FALSE)</f>
        <v>NULL</v>
      </c>
      <c r="AU43" s="20" t="str">
        <f>VLOOKUP(Data[[#This Row],[DEVELOPMENT]],Ops_Priorities_and_Data_Clean[[development]:[ifnoext_comment]],18,FALSE)</f>
        <v>NULL</v>
      </c>
      <c r="AV43" s="20" t="str">
        <f>VLOOKUP(Data[[#This Row],[DEVELOPMENT]],Ops_Priorities_and_Data_Clean[[development]:[ifnoext_comment]],19,FALSE)</f>
        <v>NULL</v>
      </c>
      <c r="AW43" s="20" t="str">
        <f>VLOOKUP(Data[[#This Row],[DEVELOPMENT]],Ops_Priorities_and_Data_Clean[[development]:[ifnoext_comment]],20,FALSE)</f>
        <v>NULL</v>
      </c>
      <c r="AX43" s="104" t="s">
        <v>2237</v>
      </c>
      <c r="AY43" s="104" t="s">
        <v>2628</v>
      </c>
      <c r="AZ43" s="20" t="str">
        <f>VLOOKUP(Data[[#This Row],[DEVELOPMENT]],Development_Data_Book[[DEVELOPMENT]:[PRIVATE MANAGEMENT]],8,FALSE)</f>
        <v>FEDERAL</v>
      </c>
      <c r="BA43" s="104" t="s">
        <v>2586</v>
      </c>
      <c r="BB43" s="20">
        <f>VLOOKUP(Data[[#This Row],[DEVELOPMENT]],Development_Data_Book[[DEVELOPMENT]:[PRIVATE MANAGEMENT]],22,FALSE)</f>
        <v>2</v>
      </c>
      <c r="BC43" s="20">
        <f>Data[[#This Row],[Non-Dwelling Buildings]]+Data[[#This Row],[Dwelling Buildings]]</f>
        <v>6</v>
      </c>
      <c r="BD43" s="20">
        <f>VLOOKUP(Data[[#This Row],[DEVELOPMENT]],Development_Data_Book[[DEVELOPMENT]:[PRIVATE MANAGEMENT]],26,FALSE)</f>
        <v>14.07</v>
      </c>
      <c r="BE43" s="106">
        <v>569000</v>
      </c>
      <c r="BF43" s="20">
        <f>VLOOKUP(Data[[#This Row],[DEVELOPMENT]],Development_Data_Book[[DEVELOPMENT]:[PRIVATE MANAGEMENT]],18,FALSE)</f>
        <v>1322</v>
      </c>
      <c r="BG4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43" s="104" t="s">
        <v>2587</v>
      </c>
      <c r="BI43" t="s">
        <v>184</v>
      </c>
      <c r="BJ43" s="20">
        <f>VLOOKUP(Data[[#This Row],[DEVELOPMENT]],Development_Data_Book[[DEVELOPMENT]:[PRIVATE MANAGEMENT]],41,FALSE)</f>
        <v>12</v>
      </c>
      <c r="BK43" s="20">
        <f>VLOOKUP(Data[[#This Row],[DEVELOPMENT]],Development_Data_Book[[DEVELOPMENT]:[PRIVATE MANAGEMENT]],42,FALSE)</f>
        <v>16</v>
      </c>
      <c r="BL43" s="20">
        <f>VLOOKUP(Data[[#This Row],[DEVELOPMENT]],Development_Data_Book[[DEVELOPMENT]:[PRIVATE MANAGEMENT]],43,FALSE)</f>
        <v>36</v>
      </c>
      <c r="BM43" s="20">
        <f>VLOOKUP(Data[[#This Row],[DEVELOPMENT]],Development_Data_Book[[DEVELOPMENT]:[PRIVATE MANAGEMENT]],44,FALSE)</f>
        <v>83</v>
      </c>
      <c r="BN43" s="20">
        <f>VLOOKUP(Data[[#This Row],[DEVELOPMENT]],Development_Data_Book[[DEVELOPMENT]:[PRIVATE MANAGEMENT]],45,FALSE)</f>
        <v>12</v>
      </c>
      <c r="BO43" s="20" t="str">
        <f>VLOOKUP(Data[[#This Row],[DEVELOPMENT]],Development_Data_Book[[DEVELOPMENT]:[PRIVATE MANAGEMENT]],24,FALSE)</f>
        <v>13-14-17-18</v>
      </c>
    </row>
    <row r="44" spans="1:67">
      <c r="A44" t="s">
        <v>226</v>
      </c>
      <c r="B44" s="20" t="str">
        <f>VLOOKUP(Data[[#This Row],[DEVELOPMENT]],Development_Data_Book[[DEVELOPMENT]:[BOROUGH]],MATCH("borough",Development_Data_Book[[#Headers],[DEVELOPMENT]:[BOROUGH]],0),FALSE)</f>
        <v>BROOKLYN</v>
      </c>
      <c r="C44" s="20" t="e">
        <f>VLOOKUP(Data[[#This Row],[DEVELOPMENT]],'[1]Cheat-Sheet'!$D$2:$Q$341,2,FALSE)</f>
        <v>#N/A</v>
      </c>
      <c r="D4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44" s="20">
        <f>VLOOKUP(Data[[#This Row],[DEVELOPMENT]],Development_Data_Book[[DEVELOPMENT]:[BOROUGH]],21,FALSE)</f>
        <v>18</v>
      </c>
      <c r="F44" s="20">
        <f>VLOOKUP(Data[[#This Row],[DEVELOPMENT]],Development_Data_Book[[DEVELOPMENT]:[BOROUGH]],23,FALSE)</f>
        <v>30</v>
      </c>
      <c r="G44" s="20">
        <f>VLOOKUP(Data[[#This Row],[DEVELOPMENT]],Development_Data_Book[[DEVELOPMENT]:[BOROUGH]],12,FALSE)</f>
        <v>1424</v>
      </c>
      <c r="J44">
        <f>IFERROR(VLOOKUP(Data[[#This Row],[DEVELOPMENT]],IntCompactors_MRST[],4,FALSE),0)</f>
        <v>30</v>
      </c>
      <c r="K44" s="20">
        <f>IFERROR(VLOOKUP(Data[[#This Row],[DEVELOPMENT]],ExtCompactors_MRST[],4,FALSE),0)</f>
        <v>0</v>
      </c>
      <c r="L44" s="27">
        <f>IF(Data[[#This Row],['# Interior Compactors MRST]]=0,"",VLOOKUP(Data[[#This Row],[DEVELOPMENT]],IntCompactors_MRST[],5,FALSE))</f>
        <v>41609</v>
      </c>
      <c r="M44" s="28" t="str">
        <f>IF(Data[[#This Row],['# Exterior Compactors MRST]]=0,"",VLOOKUP(Data[[#This Row],[DEVELOPMENT]],ExtCompactors_MRST[],5,FALSE))</f>
        <v/>
      </c>
      <c r="N44" s="20">
        <f>Data[[#This Row],['# Interior Compactors MRST]]</f>
        <v>30</v>
      </c>
      <c r="O44" s="20">
        <f>IF(Data[[#This Row],['# Bulk Crushers]]=0,1,0)</f>
        <v>1</v>
      </c>
      <c r="P44" s="20">
        <f>1</f>
        <v>1</v>
      </c>
      <c r="Q44" s="20">
        <f>1</f>
        <v>1</v>
      </c>
      <c r="R44" s="20">
        <f>1</f>
        <v>1</v>
      </c>
      <c r="S44" s="20">
        <f>1</f>
        <v>1</v>
      </c>
      <c r="T44" s="20">
        <f>IF(Data[[#This Row],[Sewershed]]="Newtown Creek",Data[[#This Row],[DUs]],0)</f>
        <v>0</v>
      </c>
      <c r="U4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4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4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44" s="82">
        <f>VLOOKUP(Data[[#This Row],[DEVELOPMENT]],Development_Data_Book[[DEVELOPMENT]:[BOROUGH]],3,FALSE)</f>
        <v>46</v>
      </c>
      <c r="Y44" s="20"/>
      <c r="Z44" s="20">
        <f>IFERROR(VLOOKUP(Data[[#This Row],[TDS]],ExtCompactors_PNA[[Development]:[0]],2,FALSE),0)</f>
        <v>0</v>
      </c>
      <c r="AA44" s="20">
        <f>IFERROR(VLOOKUP(Data[[#This Row],[TDS]],IntCompactors_PNA[[TDS]:[0]],2,FALSE),0)</f>
        <v>29</v>
      </c>
      <c r="AB44" s="20"/>
      <c r="AC44" s="20"/>
      <c r="AD44" s="20">
        <f>IFERROR(VLOOKUP(Data[[#This Row],[TDS]],ExtCompactors_PNA[[Development]:[0]],3,FALSE)+VLOOKUP(Data[[#This Row],[TDS]],ExtCompactors_PNA[[Development]:[0]],6,FALSE),0)</f>
        <v>0</v>
      </c>
      <c r="AE44" s="20">
        <f>IFERROR(VLOOKUP(Data[[#This Row],[TDS]],IntCompactors_PNA[[TDS]:[0]],3,FALSE)+VLOOKUP(Data[[#This Row],[TDS]],IntCompactors_PNA[[TDS]:[0]],6,FALSE),0)</f>
        <v>29</v>
      </c>
      <c r="AF44" s="20" t="e">
        <f>VLOOKUP(Data[[#This Row],[DEVELOPMENT]],[3]Developments!$A$2:$A$312,1,FALSE)</f>
        <v>#N/A</v>
      </c>
      <c r="AG44" s="20">
        <f>IFERROR(VLOOKUP(Data[[#This Row],[DEVELOPMENT]],Ops_Priorities_and_Data_Clean[[development]:[ifnoext_comment]],3,FALSE),"")</f>
        <v>0</v>
      </c>
      <c r="AH44" s="20">
        <f>IFERROR(VLOOKUP(Data[[#This Row],[DEVELOPMENT]],Ops_Priorities_and_Data_Clean[[development]:[ifnoext_comment]],4,FALSE),"")</f>
        <v>4</v>
      </c>
      <c r="AI44" s="20">
        <f>IFERROR(VLOOKUP(Data[[#This Row],[DEVELOPMENT]],Ops_Priorities_and_Data_Clean[[development]:[ifnoext_comment]],5,FALSE),"")</f>
        <v>0</v>
      </c>
      <c r="AJ44" s="20">
        <f>IFERROR(VLOOKUP(Data[[#This Row],[DEVELOPMENT]],Ops_Priorities_and_Data_Clean[[development]:[ifnoext_comment]],6,FALSE),"")</f>
        <v>0</v>
      </c>
      <c r="AK44" s="20">
        <f>IFERROR(VLOOKUP(Data[[#This Row],[DEVELOPMENT]],Ops_Priorities_and_Data_Clean[[development]:[ifnoext_comment]],7,FALSE),"")</f>
        <v>1</v>
      </c>
      <c r="AL44" s="20">
        <f>IFERROR(VLOOKUP(Data[[#This Row],[DEVELOPMENT]],Ops_Priorities_and_Data_Clean[[development]:[ifnoext_comment]],8,FALSE),"")</f>
        <v>1</v>
      </c>
      <c r="AM44" s="20">
        <f>IFERROR(VLOOKUP(Data[[#This Row],[DEVELOPMENT]],Ops_Priorities_and_Data_Clean[[development]:[ifnoext_comment]],9,FALSE),"")</f>
        <v>1</v>
      </c>
      <c r="AN44" s="20">
        <f>IFERROR(VLOOKUP(Data[[#This Row],[DEVELOPMENT]],Ops_Priorities_and_Data_Clean[[development]:[ifnoext_comment]],10,FALSE),"")</f>
        <v>0</v>
      </c>
      <c r="AO44" s="20">
        <f>IFERROR(VLOOKUP(Data[[#This Row],[DEVELOPMENT]],Ops_Priorities_and_Data_Clean[[development]:[ifnoext_comment]],11,FALSE),"")</f>
        <v>0</v>
      </c>
      <c r="AP44" s="20">
        <f>IFERROR(VLOOKUP(Data[[#This Row],[DEVELOPMENT]],Ops_Priorities_and_Data_Clean[[development]:[ifnoext_comment]],12,FALSE),"")</f>
        <v>0</v>
      </c>
      <c r="AQ44" s="20">
        <f>VLOOKUP(Data[[#This Row],[DEVELOPMENT]],Ops_Priorities_and_Data_Clean[[development]:[ifnoext_comment]],14,FALSE)</f>
        <v>1</v>
      </c>
      <c r="AR44" s="20">
        <f>VLOOKUP(Data[[#This Row],[DEVELOPMENT]],Ops_Priorities_and_Data_Clean[[development]:[ifnoext_comment]],15,FALSE)</f>
        <v>0</v>
      </c>
      <c r="AS44" s="20" t="str">
        <f>VLOOKUP(Data[[#This Row],[DEVELOPMENT]],Ops_Priorities_and_Data_Clean[[development]:[ifnoext_comment]],16,FALSE)</f>
        <v>NULL</v>
      </c>
      <c r="AT44" s="20" t="str">
        <f>VLOOKUP(Data[[#This Row],[DEVELOPMENT]],Ops_Priorities_and_Data_Clean[[development]:[ifnoext_comment]],17,FALSE)</f>
        <v>NULL</v>
      </c>
      <c r="AU44" s="20" t="str">
        <f>VLOOKUP(Data[[#This Row],[DEVELOPMENT]],Ops_Priorities_and_Data_Clean[[development]:[ifnoext_comment]],18,FALSE)</f>
        <v>yes</v>
      </c>
      <c r="AV44" s="20" t="str">
        <f>VLOOKUP(Data[[#This Row],[DEVELOPMENT]],Ops_Priorities_and_Data_Clean[[development]:[ifnoext_comment]],19,FALSE)</f>
        <v>Curbside pickup for DSNY</v>
      </c>
      <c r="AW44" s="20" t="str">
        <f>VLOOKUP(Data[[#This Row],[DEVELOPMENT]],Ops_Priorities_and_Data_Clean[[development]:[ifnoext_comment]],20,FALSE)</f>
        <v>This is a huge development with lots of room for exterior compactors. It's been identified as one of the sites most in need.</v>
      </c>
      <c r="AX44" s="104" t="s">
        <v>2605</v>
      </c>
      <c r="AY44" s="104" t="s">
        <v>2629</v>
      </c>
      <c r="AZ44" s="20" t="str">
        <f>VLOOKUP(Data[[#This Row],[DEVELOPMENT]],Development_Data_Book[[DEVELOPMENT]:[PRIVATE MANAGEMENT]],8,FALSE)</f>
        <v>MIXED FINANCE/LLC2</v>
      </c>
      <c r="BA44" s="104" t="s">
        <v>2586</v>
      </c>
      <c r="BB44" s="20">
        <f>VLOOKUP(Data[[#This Row],[DEVELOPMENT]],Development_Data_Book[[DEVELOPMENT]:[PRIVATE MANAGEMENT]],22,FALSE)</f>
        <v>0</v>
      </c>
      <c r="BC44" s="20">
        <f>Data[[#This Row],[Non-Dwelling Buildings]]+Data[[#This Row],[Dwelling Buildings]]</f>
        <v>18</v>
      </c>
      <c r="BD44" s="20">
        <f>VLOOKUP(Data[[#This Row],[DEVELOPMENT]],Development_Data_Book[[DEVELOPMENT]:[PRIVATE MANAGEMENT]],26,FALSE)</f>
        <v>25.89</v>
      </c>
      <c r="BE44" s="106">
        <v>1472675</v>
      </c>
      <c r="BF44" s="20">
        <f>VLOOKUP(Data[[#This Row],[DEVELOPMENT]],Development_Data_Book[[DEVELOPMENT]:[PRIVATE MANAGEMENT]],18,FALSE)</f>
        <v>2696</v>
      </c>
      <c r="BG4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44" s="104" t="s">
        <v>2589</v>
      </c>
      <c r="BI44" t="s">
        <v>183</v>
      </c>
      <c r="BJ44" s="20">
        <f>VLOOKUP(Data[[#This Row],[DEVELOPMENT]],Development_Data_Book[[DEVELOPMENT]:[PRIVATE MANAGEMENT]],41,FALSE)</f>
        <v>5</v>
      </c>
      <c r="BK44" s="20">
        <f>VLOOKUP(Data[[#This Row],[DEVELOPMENT]],Development_Data_Book[[DEVELOPMENT]:[PRIVATE MANAGEMENT]],42,FALSE)</f>
        <v>8</v>
      </c>
      <c r="BL44" s="20">
        <f>VLOOKUP(Data[[#This Row],[DEVELOPMENT]],Development_Data_Book[[DEVELOPMENT]:[PRIVATE MANAGEMENT]],43,FALSE)</f>
        <v>19</v>
      </c>
      <c r="BM44" s="20">
        <f>VLOOKUP(Data[[#This Row],[DEVELOPMENT]],Development_Data_Book[[DEVELOPMENT]:[PRIVATE MANAGEMENT]],44,FALSE)</f>
        <v>60</v>
      </c>
      <c r="BN44" s="20">
        <f>VLOOKUP(Data[[#This Row],[DEVELOPMENT]],Development_Data_Book[[DEVELOPMENT]:[PRIVATE MANAGEMENT]],45,FALSE)</f>
        <v>42</v>
      </c>
      <c r="BO44" s="20">
        <f>VLOOKUP(Data[[#This Row],[DEVELOPMENT]],Development_Data_Book[[DEVELOPMENT]:[PRIVATE MANAGEMENT]],24,FALSE)</f>
        <v>43630</v>
      </c>
    </row>
    <row r="45" spans="1:67">
      <c r="A45" t="s">
        <v>187</v>
      </c>
      <c r="B45" s="20" t="str">
        <f>VLOOKUP(Data[[#This Row],[DEVELOPMENT]],Development_Data_Book[[DEVELOPMENT]:[BOROUGH]],MATCH("borough",Development_Data_Book[[#Headers],[DEVELOPMENT]:[BOROUGH]],0),FALSE)</f>
        <v>BRONX</v>
      </c>
      <c r="C45" s="20" t="e">
        <f>VLOOKUP(Data[[#This Row],[DEVELOPMENT]],'[1]Cheat-Sheet'!$D$2:$Q$341,2,FALSE)</f>
        <v>#N/A</v>
      </c>
      <c r="D4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45" s="20">
        <f>VLOOKUP(Data[[#This Row],[DEVELOPMENT]],Development_Data_Book[[DEVELOPMENT]:[BOROUGH]],21,FALSE)</f>
        <v>3</v>
      </c>
      <c r="F45" s="20">
        <f>VLOOKUP(Data[[#This Row],[DEVELOPMENT]],Development_Data_Book[[DEVELOPMENT]:[BOROUGH]],23,FALSE)</f>
        <v>3</v>
      </c>
      <c r="G45" s="20">
        <f>VLOOKUP(Data[[#This Row],[DEVELOPMENT]],Development_Data_Book[[DEVELOPMENT]:[BOROUGH]],12,FALSE)</f>
        <v>82</v>
      </c>
      <c r="H45" t="s">
        <v>2248</v>
      </c>
      <c r="J45">
        <f>IFERROR(VLOOKUP(Data[[#This Row],[DEVELOPMENT]],IntCompactors_MRST[],4,FALSE),0)</f>
        <v>3</v>
      </c>
      <c r="K45" s="20">
        <f>IFERROR(VLOOKUP(Data[[#This Row],[DEVELOPMENT]],ExtCompactors_MRST[],4,FALSE),0)</f>
        <v>0</v>
      </c>
      <c r="L45" s="27">
        <f>IF(Data[[#This Row],['# Interior Compactors MRST]]=0,"",VLOOKUP(Data[[#This Row],[DEVELOPMENT]],IntCompactors_MRST[],5,FALSE))</f>
        <v>31048</v>
      </c>
      <c r="M45" s="28" t="str">
        <f>IF(Data[[#This Row],['# Exterior Compactors MRST]]=0,"",VLOOKUP(Data[[#This Row],[DEVELOPMENT]],ExtCompactors_MRST[],5,FALSE))</f>
        <v/>
      </c>
      <c r="N45" s="20">
        <f>Data[[#This Row],['# Interior Compactors MRST]]</f>
        <v>3</v>
      </c>
      <c r="O45" s="20">
        <f>IF(Data[[#This Row],['# Bulk Crushers]]=0,1,0)</f>
        <v>1</v>
      </c>
      <c r="P45" s="20">
        <f>1</f>
        <v>1</v>
      </c>
      <c r="Q45" s="20">
        <f>1</f>
        <v>1</v>
      </c>
      <c r="R45" s="20">
        <f>1</f>
        <v>1</v>
      </c>
      <c r="S45" s="20">
        <f>1</f>
        <v>1</v>
      </c>
      <c r="T45" s="20">
        <f>IF(Data[[#This Row],[Sewershed]]="Newtown Creek",Data[[#This Row],[DUs]],0)</f>
        <v>0</v>
      </c>
      <c r="U4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4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4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45" s="82">
        <f>VLOOKUP(Data[[#This Row],[DEVELOPMENT]],Development_Data_Book[[DEVELOPMENT]:[BOROUGH]],3,FALSE)</f>
        <v>346</v>
      </c>
      <c r="Y45" s="20"/>
      <c r="Z45" s="20">
        <f>IFERROR(VLOOKUP(Data[[#This Row],[TDS]],ExtCompactors_PNA[[Development]:[0]],2,FALSE),0)</f>
        <v>0</v>
      </c>
      <c r="AA45" s="20">
        <f>IFERROR(VLOOKUP(Data[[#This Row],[TDS]],IntCompactors_PNA[[TDS]:[0]],2,FALSE),0)</f>
        <v>3</v>
      </c>
      <c r="AB45" s="20"/>
      <c r="AC45" s="20"/>
      <c r="AD45" s="20">
        <f>IFERROR(VLOOKUP(Data[[#This Row],[TDS]],ExtCompactors_PNA[[Development]:[0]],3,FALSE)+VLOOKUP(Data[[#This Row],[TDS]],ExtCompactors_PNA[[Development]:[0]],6,FALSE),0)</f>
        <v>0</v>
      </c>
      <c r="AE45" s="20">
        <f>IFERROR(VLOOKUP(Data[[#This Row],[TDS]],IntCompactors_PNA[[TDS]:[0]],3,FALSE)+VLOOKUP(Data[[#This Row],[TDS]],IntCompactors_PNA[[TDS]:[0]],6,FALSE),0)</f>
        <v>3</v>
      </c>
      <c r="AF45" s="20" t="e">
        <f>VLOOKUP(Data[[#This Row],[DEVELOPMENT]],[3]Developments!$A$2:$A$312,1,FALSE)</f>
        <v>#N/A</v>
      </c>
      <c r="AG45" s="20">
        <f>IFERROR(VLOOKUP(Data[[#This Row],[DEVELOPMENT]],Ops_Priorities_and_Data_Clean[[development]:[ifnoext_comment]],3,FALSE),"")</f>
        <v>0</v>
      </c>
      <c r="AH45" s="20">
        <f>IFERROR(VLOOKUP(Data[[#This Row],[DEVELOPMENT]],Ops_Priorities_and_Data_Clean[[development]:[ifnoext_comment]],4,FALSE),"")</f>
        <v>0</v>
      </c>
      <c r="AI45" s="20">
        <f>IFERROR(VLOOKUP(Data[[#This Row],[DEVELOPMENT]],Ops_Priorities_and_Data_Clean[[development]:[ifnoext_comment]],5,FALSE),"")</f>
        <v>0</v>
      </c>
      <c r="AJ45" s="20">
        <f>IFERROR(VLOOKUP(Data[[#This Row],[DEVELOPMENT]],Ops_Priorities_and_Data_Clean[[development]:[ifnoext_comment]],6,FALSE),"")</f>
        <v>0</v>
      </c>
      <c r="AK45" s="20">
        <f>IFERROR(VLOOKUP(Data[[#This Row],[DEVELOPMENT]],Ops_Priorities_and_Data_Clean[[development]:[ifnoext_comment]],7,FALSE),"")</f>
        <v>1</v>
      </c>
      <c r="AL45" s="20">
        <f>IFERROR(VLOOKUP(Data[[#This Row],[DEVELOPMENT]],Ops_Priorities_and_Data_Clean[[development]:[ifnoext_comment]],8,FALSE),"")</f>
        <v>1</v>
      </c>
      <c r="AM45" s="20">
        <f>IFERROR(VLOOKUP(Data[[#This Row],[DEVELOPMENT]],Ops_Priorities_and_Data_Clean[[development]:[ifnoext_comment]],9,FALSE),"")</f>
        <v>1</v>
      </c>
      <c r="AN45" s="20">
        <f>IFERROR(VLOOKUP(Data[[#This Row],[DEVELOPMENT]],Ops_Priorities_and_Data_Clean[[development]:[ifnoext_comment]],10,FALSE),"")</f>
        <v>0</v>
      </c>
      <c r="AO45" s="20">
        <f>IFERROR(VLOOKUP(Data[[#This Row],[DEVELOPMENT]],Ops_Priorities_and_Data_Clean[[development]:[ifnoext_comment]],11,FALSE),"")</f>
        <v>0</v>
      </c>
      <c r="AP45" s="20">
        <f>IFERROR(VLOOKUP(Data[[#This Row],[DEVELOPMENT]],Ops_Priorities_and_Data_Clean[[development]:[ifnoext_comment]],12,FALSE),"")</f>
        <v>0</v>
      </c>
      <c r="AQ45" s="20">
        <f>VLOOKUP(Data[[#This Row],[DEVELOPMENT]],Ops_Priorities_and_Data_Clean[[development]:[ifnoext_comment]],14,FALSE)</f>
        <v>1</v>
      </c>
      <c r="AR45" s="20">
        <f>VLOOKUP(Data[[#This Row],[DEVELOPMENT]],Ops_Priorities_and_Data_Clean[[development]:[ifnoext_comment]],15,FALSE)</f>
        <v>0</v>
      </c>
      <c r="AS45" s="20" t="str">
        <f>VLOOKUP(Data[[#This Row],[DEVELOPMENT]],Ops_Priorities_and_Data_Clean[[development]:[ifnoext_comment]],16,FALSE)</f>
        <v>NULL</v>
      </c>
      <c r="AT45" s="20" t="str">
        <f>VLOOKUP(Data[[#This Row],[DEVELOPMENT]],Ops_Priorities_and_Data_Clean[[development]:[ifnoext_comment]],17,FALSE)</f>
        <v>NULL</v>
      </c>
      <c r="AU45" s="20" t="str">
        <f>VLOOKUP(Data[[#This Row],[DEVELOPMENT]],Ops_Priorities_and_Data_Clean[[development]:[ifnoext_comment]],18,FALSE)</f>
        <v>NULL</v>
      </c>
      <c r="AV45" s="20" t="str">
        <f>VLOOKUP(Data[[#This Row],[DEVELOPMENT]],Ops_Priorities_and_Data_Clean[[development]:[ifnoext_comment]],19,FALSE)</f>
        <v>NULL</v>
      </c>
      <c r="AW45" s="20" t="str">
        <f>VLOOKUP(Data[[#This Row],[DEVELOPMENT]],Ops_Priorities_and_Data_Clean[[development]:[ifnoext_comment]],20,FALSE)</f>
        <v>You have an empty lot next to the rehab which could hold an exterior compactor</v>
      </c>
      <c r="AX45" s="104" t="s">
        <v>2237</v>
      </c>
      <c r="AY45" s="104" t="s">
        <v>2594</v>
      </c>
      <c r="AZ45" s="20" t="str">
        <f>VLOOKUP(Data[[#This Row],[DEVELOPMENT]],Development_Data_Book[[DEVELOPMENT]:[PRIVATE MANAGEMENT]],8,FALSE)</f>
        <v>FEDERAL</v>
      </c>
      <c r="BA45" s="104" t="s">
        <v>2613</v>
      </c>
      <c r="BB45" s="20">
        <f>VLOOKUP(Data[[#This Row],[DEVELOPMENT]],Development_Data_Book[[DEVELOPMENT]:[PRIVATE MANAGEMENT]],22,FALSE)</f>
        <v>0</v>
      </c>
      <c r="BC45" s="20">
        <f>Data[[#This Row],[Non-Dwelling Buildings]]+Data[[#This Row],[Dwelling Buildings]]</f>
        <v>3</v>
      </c>
      <c r="BD45" s="20">
        <f>VLOOKUP(Data[[#This Row],[DEVELOPMENT]],Development_Data_Book[[DEVELOPMENT]:[PRIVATE MANAGEMENT]],26,FALSE)</f>
        <v>0.69</v>
      </c>
      <c r="BE45" s="106">
        <v>103400</v>
      </c>
      <c r="BF45" s="20">
        <f>VLOOKUP(Data[[#This Row],[DEVELOPMENT]],Development_Data_Book[[DEVELOPMENT]:[PRIVATE MANAGEMENT]],18,FALSE)</f>
        <v>182</v>
      </c>
      <c r="BG4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45" s="104" t="s">
        <v>2595</v>
      </c>
      <c r="BI45" t="s">
        <v>184</v>
      </c>
      <c r="BJ45" s="20">
        <f>VLOOKUP(Data[[#This Row],[DEVELOPMENT]],Development_Data_Book[[DEVELOPMENT]:[PRIVATE MANAGEMENT]],41,FALSE)</f>
        <v>9</v>
      </c>
      <c r="BK45" s="20">
        <f>VLOOKUP(Data[[#This Row],[DEVELOPMENT]],Development_Data_Book[[DEVELOPMENT]:[PRIVATE MANAGEMENT]],42,FALSE)</f>
        <v>15</v>
      </c>
      <c r="BL45" s="20">
        <f>VLOOKUP(Data[[#This Row],[DEVELOPMENT]],Development_Data_Book[[DEVELOPMENT]:[PRIVATE MANAGEMENT]],43,FALSE)</f>
        <v>32</v>
      </c>
      <c r="BM45" s="20">
        <f>VLOOKUP(Data[[#This Row],[DEVELOPMENT]],Development_Data_Book[[DEVELOPMENT]:[PRIVATE MANAGEMENT]],44,FALSE)</f>
        <v>85</v>
      </c>
      <c r="BN45" s="20">
        <f>VLOOKUP(Data[[#This Row],[DEVELOPMENT]],Development_Data_Book[[DEVELOPMENT]:[PRIVATE MANAGEMENT]],45,FALSE)</f>
        <v>18</v>
      </c>
      <c r="BO45" s="20">
        <f>VLOOKUP(Data[[#This Row],[DEVELOPMENT]],Development_Data_Book[[DEVELOPMENT]:[PRIVATE MANAGEMENT]],24,FALSE)</f>
        <v>43561</v>
      </c>
    </row>
    <row r="46" spans="1:67">
      <c r="A46" s="17" t="s">
        <v>59</v>
      </c>
      <c r="B46" s="17" t="str">
        <f>VLOOKUP(Data[[#This Row],[DEVELOPMENT]],Development_Data_Book[[DEVELOPMENT]:[BOROUGH]],MATCH("borough",Development_Data_Book[[#Headers],[DEVELOPMENT]:[BOROUGH]],0),FALSE)</f>
        <v>MANHATTAN</v>
      </c>
      <c r="C46" t="e">
        <f>VLOOKUP(Data[[#This Row],[DEVELOPMENT]],'[1]Cheat-Sheet'!$D$2:$Q$341,2,FALSE)</f>
        <v>#N/A</v>
      </c>
      <c r="D4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46">
        <f>VLOOKUP(Data[[#This Row],[DEVELOPMENT]],Development_Data_Book[[DEVELOPMENT]:[BOROUGH]],21,FALSE)</f>
        <v>1</v>
      </c>
      <c r="F46">
        <f>VLOOKUP(Data[[#This Row],[DEVELOPMENT]],Development_Data_Book[[DEVELOPMENT]:[BOROUGH]],23,FALSE)</f>
        <v>2</v>
      </c>
      <c r="G46">
        <f>VLOOKUP(Data[[#This Row],[DEVELOPMENT]],Development_Data_Book[[DEVELOPMENT]:[BOROUGH]],12,FALSE)</f>
        <v>108</v>
      </c>
      <c r="H46" t="s">
        <v>2246</v>
      </c>
      <c r="I46">
        <v>4</v>
      </c>
      <c r="J46">
        <f>IFERROR(VLOOKUP(Data[[#This Row],[DEVELOPMENT]],IntCompactors_MRST[],4,FALSE),0)</f>
        <v>2</v>
      </c>
      <c r="K46" s="20">
        <f>IFERROR(VLOOKUP(Data[[#This Row],[DEVELOPMENT]],ExtCompactors_MRST[],4,FALSE),0)</f>
        <v>0</v>
      </c>
      <c r="L46" s="27">
        <f>IF(Data[[#This Row],['# Interior Compactors MRST]]=0,"",VLOOKUP(Data[[#This Row],[DEVELOPMENT]],IntCompactors_MRST[],5,FALSE))</f>
        <v>36251</v>
      </c>
      <c r="M46" s="28" t="str">
        <f>IF(Data[[#This Row],['# Exterior Compactors MRST]]=0,"",VLOOKUP(Data[[#This Row],[DEVELOPMENT]],ExtCompactors_MRST[],5,FALSE))</f>
        <v/>
      </c>
      <c r="N46">
        <f>Data[[#This Row],['# Interior Compactors MRST]]</f>
        <v>2</v>
      </c>
      <c r="O46" s="20">
        <f>IF(Data[[#This Row],['# Bulk Crushers]]=0,1,0)</f>
        <v>1</v>
      </c>
      <c r="P46" s="20">
        <f>1</f>
        <v>1</v>
      </c>
      <c r="Q46" s="20">
        <f>1</f>
        <v>1</v>
      </c>
      <c r="R46" s="20">
        <f>1</f>
        <v>1</v>
      </c>
      <c r="S46" s="20">
        <f>1</f>
        <v>1</v>
      </c>
      <c r="T46" s="20">
        <f>IF(Data[[#This Row],[Sewershed]]="Newtown Creek",Data[[#This Row],[DUs]],0)</f>
        <v>108</v>
      </c>
      <c r="U4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4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4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46" s="82">
        <f>VLOOKUP(Data[[#This Row],[DEVELOPMENT]],Development_Data_Book[[DEVELOPMENT]:[BOROUGH]],3,FALSE)</f>
        <v>264</v>
      </c>
      <c r="Y46" s="20" t="s">
        <v>2599</v>
      </c>
      <c r="Z46" s="20">
        <f>IFERROR(VLOOKUP(Data[[#This Row],[TDS]],ExtCompactors_PNA[[Development]:[0]],2,FALSE),0)</f>
        <v>0</v>
      </c>
      <c r="AA46" s="20">
        <f>IFERROR(VLOOKUP(Data[[#This Row],[TDS]],IntCompactors_PNA[[TDS]:[0]],2,FALSE),0)</f>
        <v>2</v>
      </c>
      <c r="AB46" s="20"/>
      <c r="AC46" s="20"/>
      <c r="AD46" s="20">
        <f>IFERROR(VLOOKUP(Data[[#This Row],[TDS]],ExtCompactors_PNA[[Development]:[0]],3,FALSE)+VLOOKUP(Data[[#This Row],[TDS]],ExtCompactors_PNA[[Development]:[0]],6,FALSE),0)</f>
        <v>0</v>
      </c>
      <c r="AE46" s="20">
        <f>IFERROR(VLOOKUP(Data[[#This Row],[TDS]],IntCompactors_PNA[[TDS]:[0]],3,FALSE)+VLOOKUP(Data[[#This Row],[TDS]],IntCompactors_PNA[[TDS]:[0]],6,FALSE),0)</f>
        <v>2</v>
      </c>
      <c r="AF46" s="20" t="e">
        <f>VLOOKUP(Data[[#This Row],[DEVELOPMENT]],[3]Developments!$A$2:$A$312,1,FALSE)</f>
        <v>#N/A</v>
      </c>
      <c r="AG46" s="20">
        <f>IFERROR(VLOOKUP(Data[[#This Row],[DEVELOPMENT]],Ops_Priorities_and_Data_Clean[[development]:[ifnoext_comment]],3,FALSE),"")</f>
        <v>0</v>
      </c>
      <c r="AH46" s="20">
        <f>IFERROR(VLOOKUP(Data[[#This Row],[DEVELOPMENT]],Ops_Priorities_and_Data_Clean[[development]:[ifnoext_comment]],4,FALSE),"")</f>
        <v>0</v>
      </c>
      <c r="AI46" s="20">
        <f>IFERROR(VLOOKUP(Data[[#This Row],[DEVELOPMENT]],Ops_Priorities_and_Data_Clean[[development]:[ifnoext_comment]],5,FALSE),"")</f>
        <v>0</v>
      </c>
      <c r="AJ46" s="20">
        <f>IFERROR(VLOOKUP(Data[[#This Row],[DEVELOPMENT]],Ops_Priorities_and_Data_Clean[[development]:[ifnoext_comment]],6,FALSE),"")</f>
        <v>0</v>
      </c>
      <c r="AK46" s="20">
        <f>IFERROR(VLOOKUP(Data[[#This Row],[DEVELOPMENT]],Ops_Priorities_and_Data_Clean[[development]:[ifnoext_comment]],7,FALSE),"")</f>
        <v>1</v>
      </c>
      <c r="AL46" s="20">
        <f>IFERROR(VLOOKUP(Data[[#This Row],[DEVELOPMENT]],Ops_Priorities_and_Data_Clean[[development]:[ifnoext_comment]],8,FALSE),"")</f>
        <v>1</v>
      </c>
      <c r="AM46" s="20">
        <f>IFERROR(VLOOKUP(Data[[#This Row],[DEVELOPMENT]],Ops_Priorities_and_Data_Clean[[development]:[ifnoext_comment]],9,FALSE),"")</f>
        <v>1</v>
      </c>
      <c r="AN46" s="20">
        <f>IFERROR(VLOOKUP(Data[[#This Row],[DEVELOPMENT]],Ops_Priorities_and_Data_Clean[[development]:[ifnoext_comment]],10,FALSE),"")</f>
        <v>0</v>
      </c>
      <c r="AO46" s="20">
        <f>IFERROR(VLOOKUP(Data[[#This Row],[DEVELOPMENT]],Ops_Priorities_and_Data_Clean[[development]:[ifnoext_comment]],11,FALSE),"")</f>
        <v>0</v>
      </c>
      <c r="AP46" s="20">
        <f>IFERROR(VLOOKUP(Data[[#This Row],[DEVELOPMENT]],Ops_Priorities_and_Data_Clean[[development]:[ifnoext_comment]],12,FALSE),"")</f>
        <v>0</v>
      </c>
      <c r="AQ46" s="20">
        <f>VLOOKUP(Data[[#This Row],[DEVELOPMENT]],Ops_Priorities_and_Data_Clean[[development]:[ifnoext_comment]],14,FALSE)</f>
        <v>1</v>
      </c>
      <c r="AR46" s="20">
        <f>VLOOKUP(Data[[#This Row],[DEVELOPMENT]],Ops_Priorities_and_Data_Clean[[development]:[ifnoext_comment]],15,FALSE)</f>
        <v>0</v>
      </c>
      <c r="AS46" s="20" t="str">
        <f>VLOOKUP(Data[[#This Row],[DEVELOPMENT]],Ops_Priorities_and_Data_Clean[[development]:[ifnoext_comment]],16,FALSE)</f>
        <v>NULL</v>
      </c>
      <c r="AT46" s="20" t="str">
        <f>VLOOKUP(Data[[#This Row],[DEVELOPMENT]],Ops_Priorities_and_Data_Clean[[development]:[ifnoext_comment]],17,FALSE)</f>
        <v>NULL</v>
      </c>
      <c r="AU46" s="20" t="str">
        <f>VLOOKUP(Data[[#This Row],[DEVELOPMENT]],Ops_Priorities_and_Data_Clean[[development]:[ifnoext_comment]],18,FALSE)</f>
        <v>TBD</v>
      </c>
      <c r="AV46" s="20" t="str">
        <f>VLOOKUP(Data[[#This Row],[DEVELOPMENT]],Ops_Priorities_and_Data_Clean[[development]:[ifnoext_comment]],19,FALSE)</f>
        <v>CHECK</v>
      </c>
      <c r="AW46" s="20" t="str">
        <f>VLOOKUP(Data[[#This Row],[DEVELOPMENT]],Ops_Priorities_and_Data_Clean[[development]:[ifnoext_comment]],20,FALSE)</f>
        <v>NULL</v>
      </c>
      <c r="AX46" s="104" t="s">
        <v>2239</v>
      </c>
      <c r="AY46" s="104" t="s">
        <v>2160</v>
      </c>
      <c r="AZ46" s="20" t="str">
        <f>VLOOKUP(Data[[#This Row],[DEVELOPMENT]],Development_Data_Book[[DEVELOPMENT]:[PRIVATE MANAGEMENT]],8,FALSE)</f>
        <v>FEDERAL</v>
      </c>
      <c r="BA46" s="104" t="s">
        <v>2586</v>
      </c>
      <c r="BB46" s="20">
        <f>VLOOKUP(Data[[#This Row],[DEVELOPMENT]],Development_Data_Book[[DEVELOPMENT]:[PRIVATE MANAGEMENT]],22,FALSE)</f>
        <v>0</v>
      </c>
      <c r="BC46" s="20">
        <f>Data[[#This Row],[Non-Dwelling Buildings]]+Data[[#This Row],[Dwelling Buildings]]</f>
        <v>1</v>
      </c>
      <c r="BD46" s="20">
        <f>VLOOKUP(Data[[#This Row],[DEVELOPMENT]],Development_Data_Book[[DEVELOPMENT]:[PRIVATE MANAGEMENT]],26,FALSE)</f>
        <v>1.02</v>
      </c>
      <c r="BE46" s="106">
        <v>128654</v>
      </c>
      <c r="BF46" s="20">
        <f>VLOOKUP(Data[[#This Row],[DEVELOPMENT]],Development_Data_Book[[DEVELOPMENT]:[PRIVATE MANAGEMENT]],18,FALSE)</f>
        <v>257</v>
      </c>
      <c r="BG4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46" s="104" t="s">
        <v>2607</v>
      </c>
      <c r="BI46" t="s">
        <v>184</v>
      </c>
      <c r="BJ46" s="20">
        <f>VLOOKUP(Data[[#This Row],[DEVELOPMENT]],Development_Data_Book[[DEVELOPMENT]:[PRIVATE MANAGEMENT]],41,FALSE)</f>
        <v>3</v>
      </c>
      <c r="BK46" s="20">
        <f>VLOOKUP(Data[[#This Row],[DEVELOPMENT]],Development_Data_Book[[DEVELOPMENT]:[PRIVATE MANAGEMENT]],42,FALSE)</f>
        <v>12</v>
      </c>
      <c r="BL46" s="20">
        <f>VLOOKUP(Data[[#This Row],[DEVELOPMENT]],Development_Data_Book[[DEVELOPMENT]:[PRIVATE MANAGEMENT]],43,FALSE)</f>
        <v>26</v>
      </c>
      <c r="BM46" s="20">
        <f>VLOOKUP(Data[[#This Row],[DEVELOPMENT]],Development_Data_Book[[DEVELOPMENT]:[PRIVATE MANAGEMENT]],44,FALSE)</f>
        <v>74</v>
      </c>
      <c r="BN46" s="20">
        <f>VLOOKUP(Data[[#This Row],[DEVELOPMENT]],Development_Data_Book[[DEVELOPMENT]:[PRIVATE MANAGEMENT]],45,FALSE)</f>
        <v>2</v>
      </c>
      <c r="BO46" s="20">
        <f>VLOOKUP(Data[[#This Row],[DEVELOPMENT]],Development_Data_Book[[DEVELOPMENT]:[PRIVATE MANAGEMENT]],24,FALSE)</f>
        <v>7</v>
      </c>
    </row>
    <row r="47" spans="1:67">
      <c r="A47" t="s">
        <v>188</v>
      </c>
      <c r="B47" s="20" t="str">
        <f>VLOOKUP(Data[[#This Row],[DEVELOPMENT]],Development_Data_Book[[DEVELOPMENT]:[BOROUGH]],MATCH("borough",Development_Data_Book[[#Headers],[DEVELOPMENT]:[BOROUGH]],0),FALSE)</f>
        <v>BROOKLYN</v>
      </c>
      <c r="C47" s="20" t="e">
        <f>VLOOKUP(Data[[#This Row],[DEVELOPMENT]],'[1]Cheat-Sheet'!$D$2:$Q$341,2,FALSE)</f>
        <v>#N/A</v>
      </c>
      <c r="D4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47" s="20">
        <f>VLOOKUP(Data[[#This Row],[DEVELOPMENT]],Development_Data_Book[[DEVELOPMENT]:[BOROUGH]],21,FALSE)</f>
        <v>30</v>
      </c>
      <c r="F47" s="20">
        <f>VLOOKUP(Data[[#This Row],[DEVELOPMENT]],Development_Data_Book[[DEVELOPMENT]:[BOROUGH]],23,FALSE)</f>
        <v>97</v>
      </c>
      <c r="G47" s="20">
        <f>VLOOKUP(Data[[#This Row],[DEVELOPMENT]],Development_Data_Book[[DEVELOPMENT]:[BOROUGH]],12,FALSE)</f>
        <v>1592</v>
      </c>
      <c r="J47">
        <f>IFERROR(VLOOKUP(Data[[#This Row],[DEVELOPMENT]],IntCompactors_MRST[],4,FALSE),0)</f>
        <v>94</v>
      </c>
      <c r="K47" s="20">
        <f>IFERROR(VLOOKUP(Data[[#This Row],[DEVELOPMENT]],ExtCompactors_MRST[],4,FALSE),0)</f>
        <v>4</v>
      </c>
      <c r="L47" s="27">
        <f>IF(Data[[#This Row],['# Interior Compactors MRST]]=0,"",VLOOKUP(Data[[#This Row],[DEVELOPMENT]],IntCompactors_MRST[],5,FALSE))</f>
        <v>38139</v>
      </c>
      <c r="M47" s="28">
        <f>IF(Data[[#This Row],['# Exterior Compactors MRST]]=0,"",VLOOKUP(Data[[#This Row],[DEVELOPMENT]],ExtCompactors_MRST[],5,FALSE))</f>
        <v>37292</v>
      </c>
      <c r="N47" s="20">
        <f>Data[[#This Row],['# Interior Compactors MRST]]</f>
        <v>94</v>
      </c>
      <c r="O47" s="20">
        <f>IF(Data[[#This Row],['# Bulk Crushers]]=0,1,0)</f>
        <v>1</v>
      </c>
      <c r="P47" s="20">
        <f>1</f>
        <v>1</v>
      </c>
      <c r="Q47" s="20">
        <f>1</f>
        <v>1</v>
      </c>
      <c r="R47" s="20">
        <f>1</f>
        <v>1</v>
      </c>
      <c r="S47" s="20">
        <f>1</f>
        <v>1</v>
      </c>
      <c r="T47" s="20">
        <f>IF(Data[[#This Row],[Sewershed]]="Newtown Creek",Data[[#This Row],[DUs]],0)</f>
        <v>0</v>
      </c>
      <c r="U4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4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4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47" s="82">
        <f>VLOOKUP(Data[[#This Row],[DEVELOPMENT]],Development_Data_Book[[DEVELOPMENT]:[BOROUGH]],3,FALSE)</f>
        <v>56</v>
      </c>
      <c r="Y47" s="20"/>
      <c r="Z47" s="20">
        <f>IFERROR(VLOOKUP(Data[[#This Row],[TDS]],ExtCompactors_PNA[[Development]:[0]],2,FALSE),0)</f>
        <v>4</v>
      </c>
      <c r="AA47" s="20">
        <f>IFERROR(VLOOKUP(Data[[#This Row],[TDS]],IntCompactors_PNA[[TDS]:[0]],2,FALSE),0)</f>
        <v>89</v>
      </c>
      <c r="AB47" s="20"/>
      <c r="AC47" s="20"/>
      <c r="AD47" s="20">
        <f>IFERROR(VLOOKUP(Data[[#This Row],[TDS]],ExtCompactors_PNA[[Development]:[0]],3,FALSE)+VLOOKUP(Data[[#This Row],[TDS]],ExtCompactors_PNA[[Development]:[0]],6,FALSE),0)</f>
        <v>4</v>
      </c>
      <c r="AE47" s="20">
        <f>IFERROR(VLOOKUP(Data[[#This Row],[TDS]],IntCompactors_PNA[[TDS]:[0]],3,FALSE)+VLOOKUP(Data[[#This Row],[TDS]],IntCompactors_PNA[[TDS]:[0]],6,FALSE),0)</f>
        <v>89</v>
      </c>
      <c r="AF47" s="20" t="e">
        <f>VLOOKUP(Data[[#This Row],[DEVELOPMENT]],[3]Developments!$A$2:$A$312,1,FALSE)</f>
        <v>#N/A</v>
      </c>
      <c r="AG47" s="20">
        <f>IFERROR(VLOOKUP(Data[[#This Row],[DEVELOPMENT]],Ops_Priorities_and_Data_Clean[[development]:[ifnoext_comment]],3,FALSE),"")</f>
        <v>4</v>
      </c>
      <c r="AH47" s="20">
        <f>IFERROR(VLOOKUP(Data[[#This Row],[DEVELOPMENT]],Ops_Priorities_and_Data_Clean[[development]:[ifnoext_comment]],4,FALSE),"")</f>
        <v>0</v>
      </c>
      <c r="AI47" s="20">
        <f>IFERROR(VLOOKUP(Data[[#This Row],[DEVELOPMENT]],Ops_Priorities_and_Data_Clean[[development]:[ifnoext_comment]],5,FALSE),"")</f>
        <v>1</v>
      </c>
      <c r="AJ47" s="20">
        <f>IFERROR(VLOOKUP(Data[[#This Row],[DEVELOPMENT]],Ops_Priorities_and_Data_Clean[[development]:[ifnoext_comment]],6,FALSE),"")</f>
        <v>0</v>
      </c>
      <c r="AK47" s="20">
        <f>IFERROR(VLOOKUP(Data[[#This Row],[DEVELOPMENT]],Ops_Priorities_and_Data_Clean[[development]:[ifnoext_comment]],7,FALSE),"")</f>
        <v>0</v>
      </c>
      <c r="AL47" s="20">
        <f>IFERROR(VLOOKUP(Data[[#This Row],[DEVELOPMENT]],Ops_Priorities_and_Data_Clean[[development]:[ifnoext_comment]],8,FALSE),"")</f>
        <v>1</v>
      </c>
      <c r="AM47" s="20">
        <f>IFERROR(VLOOKUP(Data[[#This Row],[DEVELOPMENT]],Ops_Priorities_and_Data_Clean[[development]:[ifnoext_comment]],9,FALSE),"")</f>
        <v>0</v>
      </c>
      <c r="AN47" s="20">
        <f>IFERROR(VLOOKUP(Data[[#This Row],[DEVELOPMENT]],Ops_Priorities_and_Data_Clean[[development]:[ifnoext_comment]],10,FALSE),"")</f>
        <v>4</v>
      </c>
      <c r="AO47" s="20">
        <f>IFERROR(VLOOKUP(Data[[#This Row],[DEVELOPMENT]],Ops_Priorities_and_Data_Clean[[development]:[ifnoext_comment]],11,FALSE),"")</f>
        <v>4</v>
      </c>
      <c r="AP47" s="20">
        <f>IFERROR(VLOOKUP(Data[[#This Row],[DEVELOPMENT]],Ops_Priorities_and_Data_Clean[[development]:[ifnoext_comment]],12,FALSE),"")</f>
        <v>4</v>
      </c>
      <c r="AQ47" s="20">
        <f>VLOOKUP(Data[[#This Row],[DEVELOPMENT]],Ops_Priorities_and_Data_Clean[[development]:[ifnoext_comment]],14,FALSE)</f>
        <v>0</v>
      </c>
      <c r="AR47" s="20">
        <f>VLOOKUP(Data[[#This Row],[DEVELOPMENT]],Ops_Priorities_and_Data_Clean[[development]:[ifnoext_comment]],15,FALSE)</f>
        <v>0</v>
      </c>
      <c r="AS47" s="20" t="str">
        <f>VLOOKUP(Data[[#This Row],[DEVELOPMENT]],Ops_Priorities_and_Data_Clean[[development]:[ifnoext_comment]],16,FALSE)</f>
        <v>NULL</v>
      </c>
      <c r="AT47" s="20" t="str">
        <f>VLOOKUP(Data[[#This Row],[DEVELOPMENT]],Ops_Priorities_and_Data_Clean[[development]:[ifnoext_comment]],17,FALSE)</f>
        <v>NULL</v>
      </c>
      <c r="AU47" s="20" t="str">
        <f>VLOOKUP(Data[[#This Row],[DEVELOPMENT]],Ops_Priorities_and_Data_Clean[[development]:[ifnoext_comment]],18,FALSE)</f>
        <v>NULL</v>
      </c>
      <c r="AV47" s="20" t="str">
        <f>VLOOKUP(Data[[#This Row],[DEVELOPMENT]],Ops_Priorities_and_Data_Clean[[development]:[ifnoext_comment]],19,FALSE)</f>
        <v>NULL</v>
      </c>
      <c r="AW47" s="20" t="str">
        <f>VLOOKUP(Data[[#This Row],[DEVELOPMENT]],Ops_Priorities_and_Data_Clean[[development]:[ifnoext_comment]],20,FALSE)</f>
        <v>NULL</v>
      </c>
      <c r="AX47" s="104" t="s">
        <v>2238</v>
      </c>
      <c r="AY47" s="104" t="s">
        <v>2620</v>
      </c>
      <c r="AZ47" s="20" t="str">
        <f>VLOOKUP(Data[[#This Row],[DEVELOPMENT]],Development_Data_Book[[DEVELOPMENT]:[PRIVATE MANAGEMENT]],8,FALSE)</f>
        <v>FEDERAL</v>
      </c>
      <c r="BA47" s="104" t="s">
        <v>2613</v>
      </c>
      <c r="BB47" s="20">
        <f>VLOOKUP(Data[[#This Row],[DEVELOPMENT]],Development_Data_Book[[DEVELOPMENT]:[PRIVATE MANAGEMENT]],22,FALSE)</f>
        <v>2</v>
      </c>
      <c r="BC47" s="20">
        <f>Data[[#This Row],[Non-Dwelling Buildings]]+Data[[#This Row],[Dwelling Buildings]]</f>
        <v>32</v>
      </c>
      <c r="BD47" s="20">
        <f>VLOOKUP(Data[[#This Row],[DEVELOPMENT]],Development_Data_Book[[DEVELOPMENT]:[PRIVATE MANAGEMENT]],26,FALSE)</f>
        <v>64.98</v>
      </c>
      <c r="BE47" s="106">
        <v>1709000</v>
      </c>
      <c r="BF47" s="20">
        <f>VLOOKUP(Data[[#This Row],[DEVELOPMENT]],Development_Data_Book[[DEVELOPMENT]:[PRIVATE MANAGEMENT]],18,FALSE)</f>
        <v>3476</v>
      </c>
      <c r="BG4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47" s="104" t="s">
        <v>2589</v>
      </c>
      <c r="BI47" t="s">
        <v>184</v>
      </c>
      <c r="BJ47" s="20">
        <f>VLOOKUP(Data[[#This Row],[DEVELOPMENT]],Development_Data_Book[[DEVELOPMENT]:[PRIVATE MANAGEMENT]],41,FALSE)</f>
        <v>18</v>
      </c>
      <c r="BK47" s="20">
        <f>VLOOKUP(Data[[#This Row],[DEVELOPMENT]],Development_Data_Book[[DEVELOPMENT]:[PRIVATE MANAGEMENT]],42,FALSE)</f>
        <v>8</v>
      </c>
      <c r="BL47" s="20">
        <f>VLOOKUP(Data[[#This Row],[DEVELOPMENT]],Development_Data_Book[[DEVELOPMENT]:[PRIVATE MANAGEMENT]],43,FALSE)</f>
        <v>19</v>
      </c>
      <c r="BM47" s="20" t="str">
        <f>VLOOKUP(Data[[#This Row],[DEVELOPMENT]],Development_Data_Book[[DEVELOPMENT]:[PRIVATE MANAGEMENT]],44,FALSE)</f>
        <v>58, 60</v>
      </c>
      <c r="BN47" s="20">
        <f>VLOOKUP(Data[[#This Row],[DEVELOPMENT]],Development_Data_Book[[DEVELOPMENT]:[PRIVATE MANAGEMENT]],45,FALSE)</f>
        <v>42</v>
      </c>
      <c r="BO47" s="20">
        <f>VLOOKUP(Data[[#This Row],[DEVELOPMENT]],Development_Data_Book[[DEVELOPMENT]:[PRIVATE MANAGEMENT]],24,FALSE)</f>
        <v>43531</v>
      </c>
    </row>
    <row r="48" spans="1:67">
      <c r="A48" t="s">
        <v>199</v>
      </c>
      <c r="B48" s="20" t="str">
        <f>VLOOKUP(Data[[#This Row],[DEVELOPMENT]],Development_Data_Book[[DEVELOPMENT]:[BOROUGH]],MATCH("borough",Development_Data_Book[[#Headers],[DEVELOPMENT]:[BOROUGH]],0),FALSE)</f>
        <v>BROOKLYN</v>
      </c>
      <c r="C48" s="20" t="e">
        <f>VLOOKUP(Data[[#This Row],[DEVELOPMENT]],'[1]Cheat-Sheet'!$D$2:$Q$341,2,FALSE)</f>
        <v>#N/A</v>
      </c>
      <c r="D4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48" s="20">
        <f>VLOOKUP(Data[[#This Row],[DEVELOPMENT]],Development_Data_Book[[DEVELOPMENT]:[BOROUGH]],21,FALSE)</f>
        <v>13</v>
      </c>
      <c r="F48" s="20">
        <f>VLOOKUP(Data[[#This Row],[DEVELOPMENT]],Development_Data_Book[[DEVELOPMENT]:[BOROUGH]],23,FALSE)</f>
        <v>27</v>
      </c>
      <c r="G48" s="20">
        <f>VLOOKUP(Data[[#This Row],[DEVELOPMENT]],Development_Data_Book[[DEVELOPMENT]:[BOROUGH]],12,FALSE)</f>
        <v>894</v>
      </c>
      <c r="J48">
        <f>IFERROR(VLOOKUP(Data[[#This Row],[DEVELOPMENT]],IntCompactors_MRST[],4,FALSE),0)</f>
        <v>26</v>
      </c>
      <c r="K48" s="20">
        <f>IFERROR(VLOOKUP(Data[[#This Row],[DEVELOPMENT]],ExtCompactors_MRST[],4,FALSE),0)</f>
        <v>2</v>
      </c>
      <c r="L48" s="27">
        <f>IF(Data[[#This Row],['# Interior Compactors MRST]]=0,"",VLOOKUP(Data[[#This Row],[DEVELOPMENT]],IntCompactors_MRST[],5,FALSE))</f>
        <v>34608</v>
      </c>
      <c r="M48" s="28">
        <f>IF(Data[[#This Row],['# Exterior Compactors MRST]]=0,"",VLOOKUP(Data[[#This Row],[DEVELOPMENT]],ExtCompactors_MRST[],5,FALSE))</f>
        <v>39043</v>
      </c>
      <c r="N48" s="20">
        <f>Data[[#This Row],['# Interior Compactors MRST]]</f>
        <v>26</v>
      </c>
      <c r="O48" s="20">
        <f>IF(Data[[#This Row],['# Bulk Crushers]]=0,1,0)</f>
        <v>1</v>
      </c>
      <c r="P48" s="20">
        <f>1</f>
        <v>1</v>
      </c>
      <c r="Q48" s="20">
        <f>1</f>
        <v>1</v>
      </c>
      <c r="R48" s="20">
        <f>1</f>
        <v>1</v>
      </c>
      <c r="S48" s="20">
        <f>1</f>
        <v>1</v>
      </c>
      <c r="T48" s="20">
        <f>IF(Data[[#This Row],[Sewershed]]="Newtown Creek",Data[[#This Row],[DUs]],0)</f>
        <v>894</v>
      </c>
      <c r="U4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4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4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48" s="82">
        <f>VLOOKUP(Data[[#This Row],[DEVELOPMENT]],Development_Data_Book[[DEVELOPMENT]:[BOROUGH]],3,FALSE)</f>
        <v>65</v>
      </c>
      <c r="Y48" s="20" t="s">
        <v>2599</v>
      </c>
      <c r="Z48" s="20">
        <f>IFERROR(VLOOKUP(Data[[#This Row],[TDS]],ExtCompactors_PNA[[Development]:[0]],2,FALSE),0)</f>
        <v>2</v>
      </c>
      <c r="AA48" s="20">
        <f>IFERROR(VLOOKUP(Data[[#This Row],[TDS]],IntCompactors_PNA[[TDS]:[0]],2,FALSE),0)</f>
        <v>26</v>
      </c>
      <c r="AB48" s="20"/>
      <c r="AC48" s="20"/>
      <c r="AD48" s="20">
        <f>IFERROR(VLOOKUP(Data[[#This Row],[TDS]],ExtCompactors_PNA[[Development]:[0]],3,FALSE)+VLOOKUP(Data[[#This Row],[TDS]],ExtCompactors_PNA[[Development]:[0]],6,FALSE),0)</f>
        <v>2</v>
      </c>
      <c r="AE48" s="20">
        <f>IFERROR(VLOOKUP(Data[[#This Row],[TDS]],IntCompactors_PNA[[TDS]:[0]],3,FALSE)+VLOOKUP(Data[[#This Row],[TDS]],IntCompactors_PNA[[TDS]:[0]],6,FALSE),0)</f>
        <v>26</v>
      </c>
      <c r="AF48" s="20" t="e">
        <f>VLOOKUP(Data[[#This Row],[DEVELOPMENT]],[3]Developments!$A$2:$A$312,1,FALSE)</f>
        <v>#N/A</v>
      </c>
      <c r="AG48" s="20">
        <f>IFERROR(VLOOKUP(Data[[#This Row],[DEVELOPMENT]],Ops_Priorities_and_Data_Clean[[development]:[ifnoext_comment]],3,FALSE),"")</f>
        <v>2</v>
      </c>
      <c r="AH48" s="20">
        <f>IFERROR(VLOOKUP(Data[[#This Row],[DEVELOPMENT]],Ops_Priorities_and_Data_Clean[[development]:[ifnoext_comment]],4,FALSE),"")</f>
        <v>1</v>
      </c>
      <c r="AI48" s="20">
        <f>IFERROR(VLOOKUP(Data[[#This Row],[DEVELOPMENT]],Ops_Priorities_and_Data_Clean[[development]:[ifnoext_comment]],5,FALSE),"")</f>
        <v>1</v>
      </c>
      <c r="AJ48" s="20">
        <f>IFERROR(VLOOKUP(Data[[#This Row],[DEVELOPMENT]],Ops_Priorities_and_Data_Clean[[development]:[ifnoext_comment]],6,FALSE),"")</f>
        <v>0</v>
      </c>
      <c r="AK48" s="20">
        <f>IFERROR(VLOOKUP(Data[[#This Row],[DEVELOPMENT]],Ops_Priorities_and_Data_Clean[[development]:[ifnoext_comment]],7,FALSE),"")</f>
        <v>0</v>
      </c>
      <c r="AL48" s="20">
        <f>IFERROR(VLOOKUP(Data[[#This Row],[DEVELOPMENT]],Ops_Priorities_and_Data_Clean[[development]:[ifnoext_comment]],8,FALSE),"")</f>
        <v>1</v>
      </c>
      <c r="AM48" s="20">
        <f>IFERROR(VLOOKUP(Data[[#This Row],[DEVELOPMENT]],Ops_Priorities_and_Data_Clean[[development]:[ifnoext_comment]],9,FALSE),"")</f>
        <v>0</v>
      </c>
      <c r="AN48" s="20">
        <f>IFERROR(VLOOKUP(Data[[#This Row],[DEVELOPMENT]],Ops_Priorities_and_Data_Clean[[development]:[ifnoext_comment]],10,FALSE),"")</f>
        <v>2</v>
      </c>
      <c r="AO48" s="20">
        <f>IFERROR(VLOOKUP(Data[[#This Row],[DEVELOPMENT]],Ops_Priorities_and_Data_Clean[[development]:[ifnoext_comment]],11,FALSE),"")</f>
        <v>2</v>
      </c>
      <c r="AP48" s="20">
        <f>IFERROR(VLOOKUP(Data[[#This Row],[DEVELOPMENT]],Ops_Priorities_and_Data_Clean[[development]:[ifnoext_comment]],12,FALSE),"")</f>
        <v>2</v>
      </c>
      <c r="AQ48" s="20">
        <f>VLOOKUP(Data[[#This Row],[DEVELOPMENT]],Ops_Priorities_and_Data_Clean[[development]:[ifnoext_comment]],14,FALSE)</f>
        <v>0</v>
      </c>
      <c r="AR48" s="20">
        <f>VLOOKUP(Data[[#This Row],[DEVELOPMENT]],Ops_Priorities_and_Data_Clean[[development]:[ifnoext_comment]],15,FALSE)</f>
        <v>0</v>
      </c>
      <c r="AS48" s="20" t="str">
        <f>VLOOKUP(Data[[#This Row],[DEVELOPMENT]],Ops_Priorities_and_Data_Clean[[development]:[ifnoext_comment]],16,FALSE)</f>
        <v>NULL</v>
      </c>
      <c r="AT48" s="20" t="str">
        <f>VLOOKUP(Data[[#This Row],[DEVELOPMENT]],Ops_Priorities_and_Data_Clean[[development]:[ifnoext_comment]],17,FALSE)</f>
        <v>NULL</v>
      </c>
      <c r="AU48" s="20" t="str">
        <f>VLOOKUP(Data[[#This Row],[DEVELOPMENT]],Ops_Priorities_and_Data_Clean[[development]:[ifnoext_comment]],18,FALSE)</f>
        <v>NULL</v>
      </c>
      <c r="AV48" s="20" t="str">
        <f>VLOOKUP(Data[[#This Row],[DEVELOPMENT]],Ops_Priorities_and_Data_Clean[[development]:[ifnoext_comment]],19,FALSE)</f>
        <v>NULL</v>
      </c>
      <c r="AW48" s="20" t="str">
        <f>VLOOKUP(Data[[#This Row],[DEVELOPMENT]],Ops_Priorities_and_Data_Clean[[development]:[ifnoext_comment]],20,FALSE)</f>
        <v xml:space="preserve">it looks like they have a signifcant amount of bulk and need a bulk crusher </v>
      </c>
      <c r="AX48" s="104" t="s">
        <v>2238</v>
      </c>
      <c r="AY48" s="104" t="s">
        <v>2600</v>
      </c>
      <c r="AZ48" s="20" t="str">
        <f>VLOOKUP(Data[[#This Row],[DEVELOPMENT]],Development_Data_Book[[DEVELOPMENT]:[PRIVATE MANAGEMENT]],8,FALSE)</f>
        <v>FEDERAL</v>
      </c>
      <c r="BA48" s="104" t="s">
        <v>2586</v>
      </c>
      <c r="BB48" s="20">
        <f>VLOOKUP(Data[[#This Row],[DEVELOPMENT]],Development_Data_Book[[DEVELOPMENT]:[PRIVATE MANAGEMENT]],22,FALSE)</f>
        <v>1</v>
      </c>
      <c r="BC48" s="20">
        <f>Data[[#This Row],[Non-Dwelling Buildings]]+Data[[#This Row],[Dwelling Buildings]]</f>
        <v>14</v>
      </c>
      <c r="BD48" s="20">
        <f>VLOOKUP(Data[[#This Row],[DEVELOPMENT]],Development_Data_Book[[DEVELOPMENT]:[PRIVATE MANAGEMENT]],26,FALSE)</f>
        <v>17.260000000000002</v>
      </c>
      <c r="BE48" s="106">
        <v>886818</v>
      </c>
      <c r="BF48" s="20">
        <f>VLOOKUP(Data[[#This Row],[DEVELOPMENT]],Development_Data_Book[[DEVELOPMENT]:[PRIVATE MANAGEMENT]],18,FALSE)</f>
        <v>1918</v>
      </c>
      <c r="BG4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48" s="104" t="s">
        <v>2601</v>
      </c>
      <c r="BI48" t="s">
        <v>184</v>
      </c>
      <c r="BJ48" s="20">
        <f>VLOOKUP(Data[[#This Row],[DEVELOPMENT]],Development_Data_Book[[DEVELOPMENT]:[PRIVATE MANAGEMENT]],41,FALSE)</f>
        <v>3</v>
      </c>
      <c r="BK48" s="20">
        <f>VLOOKUP(Data[[#This Row],[DEVELOPMENT]],Development_Data_Book[[DEVELOPMENT]:[PRIVATE MANAGEMENT]],42,FALSE)</f>
        <v>8</v>
      </c>
      <c r="BL48" s="20">
        <f>VLOOKUP(Data[[#This Row],[DEVELOPMENT]],Development_Data_Book[[DEVELOPMENT]:[PRIVATE MANAGEMENT]],43,FALSE)</f>
        <v>25</v>
      </c>
      <c r="BM48" s="20">
        <f>VLOOKUP(Data[[#This Row],[DEVELOPMENT]],Development_Data_Book[[DEVELOPMENT]:[PRIVATE MANAGEMENT]],44,FALSE)</f>
        <v>55</v>
      </c>
      <c r="BN48" s="20">
        <f>VLOOKUP(Data[[#This Row],[DEVELOPMENT]],Development_Data_Book[[DEVELOPMENT]:[PRIVATE MANAGEMENT]],45,FALSE)</f>
        <v>41</v>
      </c>
      <c r="BO48" s="20">
        <f>VLOOKUP(Data[[#This Row],[DEVELOPMENT]],Development_Data_Book[[DEVELOPMENT]:[PRIVATE MANAGEMENT]],24,FALSE)</f>
        <v>7</v>
      </c>
    </row>
    <row r="49" spans="1:67">
      <c r="A49" t="s">
        <v>73</v>
      </c>
      <c r="B49" t="str">
        <f>VLOOKUP(Data[[#This Row],[DEVELOPMENT]],Development_Data_Book[[DEVELOPMENT]:[BOROUGH]],MATCH("borough",Development_Data_Book[[#Headers],[DEVELOPMENT]:[BOROUGH]],0),FALSE)</f>
        <v>BRONX</v>
      </c>
      <c r="C49" t="e">
        <f>VLOOKUP(Data[[#This Row],[DEVELOPMENT]],'[1]Cheat-Sheet'!$D$2:$Q$341,2,FALSE)</f>
        <v>#N/A</v>
      </c>
      <c r="D4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49">
        <f>VLOOKUP(Data[[#This Row],[DEVELOPMENT]],Development_Data_Book[[DEVELOPMENT]:[BOROUGH]],21,FALSE)</f>
        <v>9</v>
      </c>
      <c r="F49">
        <f>VLOOKUP(Data[[#This Row],[DEVELOPMENT]],Development_Data_Book[[DEVELOPMENT]:[BOROUGH]],23,FALSE)</f>
        <v>10</v>
      </c>
      <c r="G49">
        <f>VLOOKUP(Data[[#This Row],[DEVELOPMENT]],Development_Data_Book[[DEVELOPMENT]:[BOROUGH]],12,FALSE)</f>
        <v>1245</v>
      </c>
      <c r="H49" t="s">
        <v>2248</v>
      </c>
      <c r="I49">
        <v>4</v>
      </c>
      <c r="J49">
        <f>IFERROR(VLOOKUP(Data[[#This Row],[DEVELOPMENT]],IntCompactors_MRST[],4,FALSE),0)</f>
        <v>9</v>
      </c>
      <c r="K49" s="20">
        <f>IFERROR(VLOOKUP(Data[[#This Row],[DEVELOPMENT]],ExtCompactors_MRST[],4,FALSE),0)</f>
        <v>3</v>
      </c>
      <c r="L49" s="27">
        <f>IF(Data[[#This Row],['# Interior Compactors MRST]]=0,"",VLOOKUP(Data[[#This Row],[DEVELOPMENT]],IntCompactors_MRST[],5,FALSE))</f>
        <v>37712</v>
      </c>
      <c r="M49" s="28">
        <f>IF(Data[[#This Row],['# Exterior Compactors MRST]]=0,"",VLOOKUP(Data[[#This Row],[DEVELOPMENT]],ExtCompactors_MRST[],5,FALSE))</f>
        <v>36358</v>
      </c>
      <c r="N49">
        <f>Data[[#This Row],['# Interior Compactors MRST]]</f>
        <v>9</v>
      </c>
      <c r="O49" s="20">
        <f>IF(Data[[#This Row],['# Bulk Crushers]]=0,1,0)</f>
        <v>1</v>
      </c>
      <c r="P49" s="20">
        <f>1</f>
        <v>1</v>
      </c>
      <c r="Q49" s="20">
        <f>1</f>
        <v>1</v>
      </c>
      <c r="R49" s="20">
        <f>1</f>
        <v>1</v>
      </c>
      <c r="S49" s="20">
        <f>1</f>
        <v>1</v>
      </c>
      <c r="T49" s="20">
        <f>IF(Data[[#This Row],[Sewershed]]="Newtown Creek",Data[[#This Row],[DUs]],0)</f>
        <v>0</v>
      </c>
      <c r="U4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4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4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49" s="82">
        <f>VLOOKUP(Data[[#This Row],[DEVELOPMENT]],Development_Data_Book[[DEVELOPMENT]:[BOROUGH]],3,FALSE)</f>
        <v>32</v>
      </c>
      <c r="Y49" s="20"/>
      <c r="Z49" s="20">
        <f>IFERROR(VLOOKUP(Data[[#This Row],[TDS]],ExtCompactors_PNA[[Development]:[0]],2,FALSE),0)</f>
        <v>3</v>
      </c>
      <c r="AA49" s="20">
        <f>IFERROR(VLOOKUP(Data[[#This Row],[TDS]],IntCompactors_PNA[[TDS]:[0]],2,FALSE),0)</f>
        <v>9</v>
      </c>
      <c r="AB49" s="20"/>
      <c r="AC49" s="20"/>
      <c r="AD49" s="20">
        <f>IFERROR(VLOOKUP(Data[[#This Row],[TDS]],ExtCompactors_PNA[[Development]:[0]],3,FALSE)+VLOOKUP(Data[[#This Row],[TDS]],ExtCompactors_PNA[[Development]:[0]],6,FALSE),0)</f>
        <v>3</v>
      </c>
      <c r="AE49" s="20">
        <f>IFERROR(VLOOKUP(Data[[#This Row],[TDS]],IntCompactors_PNA[[TDS]:[0]],3,FALSE)+VLOOKUP(Data[[#This Row],[TDS]],IntCompactors_PNA[[TDS]:[0]],6,FALSE),0)</f>
        <v>9</v>
      </c>
      <c r="AF49" s="20" t="e">
        <f>VLOOKUP(Data[[#This Row],[DEVELOPMENT]],[3]Developments!$A$2:$A$312,1,FALSE)</f>
        <v>#N/A</v>
      </c>
      <c r="AG49" s="20">
        <f>IFERROR(VLOOKUP(Data[[#This Row],[DEVELOPMENT]],Ops_Priorities_and_Data_Clean[[development]:[ifnoext_comment]],3,FALSE),"")</f>
        <v>3</v>
      </c>
      <c r="AH49" s="20">
        <f>IFERROR(VLOOKUP(Data[[#This Row],[DEVELOPMENT]],Ops_Priorities_and_Data_Clean[[development]:[ifnoext_comment]],4,FALSE),"")</f>
        <v>1</v>
      </c>
      <c r="AI49" s="20">
        <f>IFERROR(VLOOKUP(Data[[#This Row],[DEVELOPMENT]],Ops_Priorities_and_Data_Clean[[development]:[ifnoext_comment]],5,FALSE),"")</f>
        <v>1</v>
      </c>
      <c r="AJ49" s="20">
        <f>IFERROR(VLOOKUP(Data[[#This Row],[DEVELOPMENT]],Ops_Priorities_and_Data_Clean[[development]:[ifnoext_comment]],6,FALSE),"")</f>
        <v>0</v>
      </c>
      <c r="AK49" s="20">
        <f>IFERROR(VLOOKUP(Data[[#This Row],[DEVELOPMENT]],Ops_Priorities_and_Data_Clean[[development]:[ifnoext_comment]],7,FALSE),"")</f>
        <v>0</v>
      </c>
      <c r="AL49" s="20">
        <f>IFERROR(VLOOKUP(Data[[#This Row],[DEVELOPMENT]],Ops_Priorities_and_Data_Clean[[development]:[ifnoext_comment]],8,FALSE),"")</f>
        <v>1</v>
      </c>
      <c r="AM49" s="20">
        <f>IFERROR(VLOOKUP(Data[[#This Row],[DEVELOPMENT]],Ops_Priorities_and_Data_Clean[[development]:[ifnoext_comment]],9,FALSE),"")</f>
        <v>0</v>
      </c>
      <c r="AN49" s="20">
        <f>IFERROR(VLOOKUP(Data[[#This Row],[DEVELOPMENT]],Ops_Priorities_and_Data_Clean[[development]:[ifnoext_comment]],10,FALSE),"")</f>
        <v>3</v>
      </c>
      <c r="AO49" s="20">
        <f>IFERROR(VLOOKUP(Data[[#This Row],[DEVELOPMENT]],Ops_Priorities_and_Data_Clean[[development]:[ifnoext_comment]],11,FALSE),"")</f>
        <v>3</v>
      </c>
      <c r="AP49" s="20">
        <f>IFERROR(VLOOKUP(Data[[#This Row],[DEVELOPMENT]],Ops_Priorities_and_Data_Clean[[development]:[ifnoext_comment]],12,FALSE),"")</f>
        <v>3</v>
      </c>
      <c r="AQ49" s="20">
        <f>VLOOKUP(Data[[#This Row],[DEVELOPMENT]],Ops_Priorities_and_Data_Clean[[development]:[ifnoext_comment]],14,FALSE)</f>
        <v>0</v>
      </c>
      <c r="AR49" s="20">
        <f>VLOOKUP(Data[[#This Row],[DEVELOPMENT]],Ops_Priorities_and_Data_Clean[[development]:[ifnoext_comment]],15,FALSE)</f>
        <v>0</v>
      </c>
      <c r="AS49" s="20" t="str">
        <f>VLOOKUP(Data[[#This Row],[DEVELOPMENT]],Ops_Priorities_and_Data_Clean[[development]:[ifnoext_comment]],16,FALSE)</f>
        <v>NULL</v>
      </c>
      <c r="AT49" s="20" t="str">
        <f>VLOOKUP(Data[[#This Row],[DEVELOPMENT]],Ops_Priorities_and_Data_Clean[[development]:[ifnoext_comment]],17,FALSE)</f>
        <v>NULL</v>
      </c>
      <c r="AU49" s="20" t="str">
        <f>VLOOKUP(Data[[#This Row],[DEVELOPMENT]],Ops_Priorities_and_Data_Clean[[development]:[ifnoext_comment]],18,FALSE)</f>
        <v>NULL</v>
      </c>
      <c r="AV49" s="20" t="str">
        <f>VLOOKUP(Data[[#This Row],[DEVELOPMENT]],Ops_Priorities_and_Data_Clean[[development]:[ifnoext_comment]],19,FALSE)</f>
        <v>NULL</v>
      </c>
      <c r="AW49" s="20" t="str">
        <f>VLOOKUP(Data[[#This Row],[DEVELOPMENT]],Ops_Priorities_and_Data_Clean[[development]:[ifnoext_comment]],20,FALSE)</f>
        <v xml:space="preserve">You can see a significant amoun tof bulk in the aerial view and its clear that they need a bulk crusher </v>
      </c>
      <c r="AX49" s="104" t="s">
        <v>2237</v>
      </c>
      <c r="AY49" s="104" t="s">
        <v>73</v>
      </c>
      <c r="AZ49" s="20" t="str">
        <f>VLOOKUP(Data[[#This Row],[DEVELOPMENT]],Development_Data_Book[[DEVELOPMENT]:[PRIVATE MANAGEMENT]],8,FALSE)</f>
        <v>FEDERAL</v>
      </c>
      <c r="BA49" s="104" t="s">
        <v>2586</v>
      </c>
      <c r="BB49" s="20">
        <f>VLOOKUP(Data[[#This Row],[DEVELOPMENT]],Development_Data_Book[[DEVELOPMENT]:[PRIVATE MANAGEMENT]],22,FALSE)</f>
        <v>1</v>
      </c>
      <c r="BC49" s="20">
        <f>Data[[#This Row],[Non-Dwelling Buildings]]+Data[[#This Row],[Dwelling Buildings]]</f>
        <v>10</v>
      </c>
      <c r="BD49" s="20">
        <f>VLOOKUP(Data[[#This Row],[DEVELOPMENT]],Development_Data_Book[[DEVELOPMENT]:[PRIVATE MANAGEMENT]],26,FALSE)</f>
        <v>13.94</v>
      </c>
      <c r="BE49" s="106">
        <v>1244450</v>
      </c>
      <c r="BF49" s="20">
        <f>VLOOKUP(Data[[#This Row],[DEVELOPMENT]],Development_Data_Book[[DEVELOPMENT]:[PRIVATE MANAGEMENT]],18,FALSE)</f>
        <v>2998</v>
      </c>
      <c r="BG4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49" s="104" t="s">
        <v>2595</v>
      </c>
      <c r="BI49" t="s">
        <v>184</v>
      </c>
      <c r="BJ49" s="20">
        <f>VLOOKUP(Data[[#This Row],[DEVELOPMENT]],Development_Data_Book[[DEVELOPMENT]:[PRIVATE MANAGEMENT]],41,FALSE)</f>
        <v>9</v>
      </c>
      <c r="BK49" s="20">
        <f>VLOOKUP(Data[[#This Row],[DEVELOPMENT]],Development_Data_Book[[DEVELOPMENT]:[PRIVATE MANAGEMENT]],42,FALSE)</f>
        <v>15</v>
      </c>
      <c r="BL49" s="20">
        <f>VLOOKUP(Data[[#This Row],[DEVELOPMENT]],Development_Data_Book[[DEVELOPMENT]:[PRIVATE MANAGEMENT]],43,FALSE)</f>
        <v>32</v>
      </c>
      <c r="BM49" s="20">
        <f>VLOOKUP(Data[[#This Row],[DEVELOPMENT]],Development_Data_Book[[DEVELOPMENT]:[PRIVATE MANAGEMENT]],44,FALSE)</f>
        <v>85</v>
      </c>
      <c r="BN49" s="20">
        <f>VLOOKUP(Data[[#This Row],[DEVELOPMENT]],Development_Data_Book[[DEVELOPMENT]:[PRIVATE MANAGEMENT]],45,FALSE)</f>
        <v>18</v>
      </c>
      <c r="BO49" s="20">
        <f>VLOOKUP(Data[[#This Row],[DEVELOPMENT]],Development_Data_Book[[DEVELOPMENT]:[PRIVATE MANAGEMENT]],24,FALSE)</f>
        <v>14</v>
      </c>
    </row>
    <row r="50" spans="1:67">
      <c r="A50" t="s">
        <v>189</v>
      </c>
      <c r="B50" s="20" t="str">
        <f>VLOOKUP(Data[[#This Row],[DEVELOPMENT]],Development_Data_Book[[DEVELOPMENT]:[BOROUGH]],MATCH("borough",Development_Data_Book[[#Headers],[DEVELOPMENT]:[BOROUGH]],0),FALSE)</f>
        <v>BRONX</v>
      </c>
      <c r="C50" s="20" t="e">
        <f>VLOOKUP(Data[[#This Row],[DEVELOPMENT]],'[1]Cheat-Sheet'!$D$2:$Q$341,2,FALSE)</f>
        <v>#N/A</v>
      </c>
      <c r="D5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50" s="20">
        <f>VLOOKUP(Data[[#This Row],[DEVELOPMENT]],Development_Data_Book[[DEVELOPMENT]:[BOROUGH]],21,FALSE)</f>
        <v>2</v>
      </c>
      <c r="F50" s="20">
        <f>VLOOKUP(Data[[#This Row],[DEVELOPMENT]],Development_Data_Book[[DEVELOPMENT]:[BOROUGH]],23,FALSE)</f>
        <v>2</v>
      </c>
      <c r="G50" s="20">
        <f>VLOOKUP(Data[[#This Row],[DEVELOPMENT]],Development_Data_Book[[DEVELOPMENT]:[BOROUGH]],12,FALSE)</f>
        <v>226</v>
      </c>
      <c r="H50" t="s">
        <v>2248</v>
      </c>
      <c r="J50">
        <f>IFERROR(VLOOKUP(Data[[#This Row],[DEVELOPMENT]],IntCompactors_MRST[],4,FALSE),0)</f>
        <v>2</v>
      </c>
      <c r="K50" s="20">
        <f>IFERROR(VLOOKUP(Data[[#This Row],[DEVELOPMENT]],ExtCompactors_MRST[],4,FALSE),0)</f>
        <v>0</v>
      </c>
      <c r="L50" s="27">
        <f>IF(Data[[#This Row],['# Interior Compactors MRST]]=0,"",VLOOKUP(Data[[#This Row],[DEVELOPMENT]],IntCompactors_MRST[],5,FALSE))</f>
        <v>37713</v>
      </c>
      <c r="M50" s="28" t="str">
        <f>IF(Data[[#This Row],['# Exterior Compactors MRST]]=0,"",VLOOKUP(Data[[#This Row],[DEVELOPMENT]],ExtCompactors_MRST[],5,FALSE))</f>
        <v/>
      </c>
      <c r="N50" s="20">
        <f>Data[[#This Row],['# Interior Compactors MRST]]</f>
        <v>2</v>
      </c>
      <c r="O50" s="20">
        <f>IF(Data[[#This Row],['# Bulk Crushers]]=0,1,0)</f>
        <v>1</v>
      </c>
      <c r="P50" s="20">
        <f>1</f>
        <v>1</v>
      </c>
      <c r="Q50" s="20">
        <f>1</f>
        <v>1</v>
      </c>
      <c r="R50" s="20">
        <f>1</f>
        <v>1</v>
      </c>
      <c r="S50" s="20">
        <f>1</f>
        <v>1</v>
      </c>
      <c r="T50" s="20">
        <f>IF(Data[[#This Row],[Sewershed]]="Newtown Creek",Data[[#This Row],[DUs]],0)</f>
        <v>0</v>
      </c>
      <c r="U5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5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5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50" s="82">
        <f>VLOOKUP(Data[[#This Row],[DEVELOPMENT]],Development_Data_Book[[DEVELOPMENT]:[BOROUGH]],3,FALSE)</f>
        <v>157</v>
      </c>
      <c r="Y50" s="20"/>
      <c r="Z50" s="20">
        <f>IFERROR(VLOOKUP(Data[[#This Row],[TDS]],ExtCompactors_PNA[[Development]:[0]],2,FALSE),0)</f>
        <v>0</v>
      </c>
      <c r="AA50" s="20">
        <f>IFERROR(VLOOKUP(Data[[#This Row],[TDS]],IntCompactors_PNA[[TDS]:[0]],2,FALSE),0)</f>
        <v>2</v>
      </c>
      <c r="AB50" s="20"/>
      <c r="AC50" s="20"/>
      <c r="AD50" s="20">
        <f>IFERROR(VLOOKUP(Data[[#This Row],[TDS]],ExtCompactors_PNA[[Development]:[0]],3,FALSE)+VLOOKUP(Data[[#This Row],[TDS]],ExtCompactors_PNA[[Development]:[0]],6,FALSE),0)</f>
        <v>0</v>
      </c>
      <c r="AE50" s="20">
        <f>IFERROR(VLOOKUP(Data[[#This Row],[TDS]],IntCompactors_PNA[[TDS]:[0]],3,FALSE)+VLOOKUP(Data[[#This Row],[TDS]],IntCompactors_PNA[[TDS]:[0]],6,FALSE),0)</f>
        <v>2</v>
      </c>
      <c r="AF50" s="20" t="e">
        <f>VLOOKUP(Data[[#This Row],[DEVELOPMENT]],[3]Developments!$A$2:$A$312,1,FALSE)</f>
        <v>#N/A</v>
      </c>
      <c r="AG50" s="20">
        <f>IFERROR(VLOOKUP(Data[[#This Row],[DEVELOPMENT]],Ops_Priorities_and_Data_Clean[[development]:[ifnoext_comment]],3,FALSE),"")</f>
        <v>0</v>
      </c>
      <c r="AH50" s="20">
        <f>IFERROR(VLOOKUP(Data[[#This Row],[DEVELOPMENT]],Ops_Priorities_and_Data_Clean[[development]:[ifnoext_comment]],4,FALSE),"")</f>
        <v>0</v>
      </c>
      <c r="AI50" s="20">
        <f>IFERROR(VLOOKUP(Data[[#This Row],[DEVELOPMENT]],Ops_Priorities_and_Data_Clean[[development]:[ifnoext_comment]],5,FALSE),"")</f>
        <v>0</v>
      </c>
      <c r="AJ50" s="20">
        <f>IFERROR(VLOOKUP(Data[[#This Row],[DEVELOPMENT]],Ops_Priorities_and_Data_Clean[[development]:[ifnoext_comment]],6,FALSE),"")</f>
        <v>1</v>
      </c>
      <c r="AK50" s="20">
        <f>IFERROR(VLOOKUP(Data[[#This Row],[DEVELOPMENT]],Ops_Priorities_and_Data_Clean[[development]:[ifnoext_comment]],7,FALSE),"")</f>
        <v>0</v>
      </c>
      <c r="AL50" s="20">
        <f>IFERROR(VLOOKUP(Data[[#This Row],[DEVELOPMENT]],Ops_Priorities_and_Data_Clean[[development]:[ifnoext_comment]],8,FALSE),"")</f>
        <v>1</v>
      </c>
      <c r="AM50" s="20">
        <f>IFERROR(VLOOKUP(Data[[#This Row],[DEVELOPMENT]],Ops_Priorities_and_Data_Clean[[development]:[ifnoext_comment]],9,FALSE),"")</f>
        <v>1</v>
      </c>
      <c r="AN50" s="20">
        <f>IFERROR(VLOOKUP(Data[[#This Row],[DEVELOPMENT]],Ops_Priorities_and_Data_Clean[[development]:[ifnoext_comment]],10,FALSE),"")</f>
        <v>0</v>
      </c>
      <c r="AO50" s="20">
        <f>IFERROR(VLOOKUP(Data[[#This Row],[DEVELOPMENT]],Ops_Priorities_and_Data_Clean[[development]:[ifnoext_comment]],11,FALSE),"")</f>
        <v>0</v>
      </c>
      <c r="AP50" s="20">
        <f>IFERROR(VLOOKUP(Data[[#This Row],[DEVELOPMENT]],Ops_Priorities_and_Data_Clean[[development]:[ifnoext_comment]],12,FALSE),"")</f>
        <v>0</v>
      </c>
      <c r="AQ50" s="20">
        <f>VLOOKUP(Data[[#This Row],[DEVELOPMENT]],Ops_Priorities_and_Data_Clean[[development]:[ifnoext_comment]],14,FALSE)</f>
        <v>0</v>
      </c>
      <c r="AR50" s="20">
        <f>VLOOKUP(Data[[#This Row],[DEVELOPMENT]],Ops_Priorities_and_Data_Clean[[development]:[ifnoext_comment]],15,FALSE)</f>
        <v>1</v>
      </c>
      <c r="AS50" s="20" t="str">
        <f>VLOOKUP(Data[[#This Row],[DEVELOPMENT]],Ops_Priorities_and_Data_Clean[[development]:[ifnoext_comment]],16,FALSE)</f>
        <v>Bronx River</v>
      </c>
      <c r="AT50" s="20" t="str">
        <f>VLOOKUP(Data[[#This Row],[DEVELOPMENT]],Ops_Priorities_and_Data_Clean[[development]:[ifnoext_comment]],17,FALSE)</f>
        <v>NULL</v>
      </c>
      <c r="AU50" s="20" t="str">
        <f>VLOOKUP(Data[[#This Row],[DEVELOPMENT]],Ops_Priorities_and_Data_Clean[[development]:[ifnoext_comment]],18,FALSE)</f>
        <v>NULL</v>
      </c>
      <c r="AV50" s="20" t="str">
        <f>VLOOKUP(Data[[#This Row],[DEVELOPMENT]],Ops_Priorities_and_Data_Clean[[development]:[ifnoext_comment]],19,FALSE)</f>
        <v>NULL</v>
      </c>
      <c r="AW50" s="20" t="str">
        <f>VLOOKUP(Data[[#This Row],[DEVELOPMENT]],Ops_Priorities_and_Data_Clean[[development]:[ifnoext_comment]],20,FALSE)</f>
        <v>Even though there is a development across the street, there is plenty of room and there is a significant amount of bulk</v>
      </c>
      <c r="AX50" s="104" t="s">
        <v>2237</v>
      </c>
      <c r="AY50" s="104" t="s">
        <v>73</v>
      </c>
      <c r="AZ50" s="20" t="str">
        <f>VLOOKUP(Data[[#This Row],[DEVELOPMENT]],Development_Data_Book[[DEVELOPMENT]:[PRIVATE MANAGEMENT]],8,FALSE)</f>
        <v>FEDERAL</v>
      </c>
      <c r="BA50" s="104" t="s">
        <v>2586</v>
      </c>
      <c r="BB50" s="20">
        <f>VLOOKUP(Data[[#This Row],[DEVELOPMENT]],Development_Data_Book[[DEVELOPMENT]:[PRIVATE MANAGEMENT]],22,FALSE)</f>
        <v>0</v>
      </c>
      <c r="BC50" s="20">
        <f>Data[[#This Row],[Non-Dwelling Buildings]]+Data[[#This Row],[Dwelling Buildings]]</f>
        <v>2</v>
      </c>
      <c r="BD50" s="20">
        <f>VLOOKUP(Data[[#This Row],[DEVELOPMENT]],Development_Data_Book[[DEVELOPMENT]:[PRIVATE MANAGEMENT]],26,FALSE)</f>
        <v>1.43</v>
      </c>
      <c r="BE50" s="106">
        <v>126670</v>
      </c>
      <c r="BF50" s="20">
        <f>VLOOKUP(Data[[#This Row],[DEVELOPMENT]],Development_Data_Book[[DEVELOPMENT]:[PRIVATE MANAGEMENT]],18,FALSE)</f>
        <v>241</v>
      </c>
      <c r="BG50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50" s="104" t="s">
        <v>2595</v>
      </c>
      <c r="BI50" t="s">
        <v>184</v>
      </c>
      <c r="BJ50" s="20">
        <f>VLOOKUP(Data[[#This Row],[DEVELOPMENT]],Development_Data_Book[[DEVELOPMENT]:[PRIVATE MANAGEMENT]],41,FALSE)</f>
        <v>9</v>
      </c>
      <c r="BK50" s="20">
        <f>VLOOKUP(Data[[#This Row],[DEVELOPMENT]],Development_Data_Book[[DEVELOPMENT]:[PRIVATE MANAGEMENT]],42,FALSE)</f>
        <v>15</v>
      </c>
      <c r="BL50" s="20">
        <f>VLOOKUP(Data[[#This Row],[DEVELOPMENT]],Development_Data_Book[[DEVELOPMENT]:[PRIVATE MANAGEMENT]],43,FALSE)</f>
        <v>32</v>
      </c>
      <c r="BM50" s="20">
        <f>VLOOKUP(Data[[#This Row],[DEVELOPMENT]],Development_Data_Book[[DEVELOPMENT]:[PRIVATE MANAGEMENT]],44,FALSE)</f>
        <v>85</v>
      </c>
      <c r="BN50" s="20">
        <f>VLOOKUP(Data[[#This Row],[DEVELOPMENT]],Development_Data_Book[[DEVELOPMENT]:[PRIVATE MANAGEMENT]],45,FALSE)</f>
        <v>18</v>
      </c>
      <c r="BO50" s="20">
        <f>VLOOKUP(Data[[#This Row],[DEVELOPMENT]],Development_Data_Book[[DEVELOPMENT]:[PRIVATE MANAGEMENT]],24,FALSE)</f>
        <v>43630</v>
      </c>
    </row>
    <row r="51" spans="1:67">
      <c r="A51" t="s">
        <v>305</v>
      </c>
      <c r="B51" s="20" t="str">
        <f>VLOOKUP(Data[[#This Row],[DEVELOPMENT]],Development_Data_Book[[DEVELOPMENT]:[BOROUGH]],MATCH("borough",Development_Data_Book[[#Headers],[DEVELOPMENT]:[BOROUGH]],0),FALSE)</f>
        <v>BROOKLYN</v>
      </c>
      <c r="C51" s="20" t="e">
        <f>VLOOKUP(Data[[#This Row],[DEVELOPMENT]],'[1]Cheat-Sheet'!$D$2:$Q$341,2,FALSE)</f>
        <v>#N/A</v>
      </c>
      <c r="D5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51" s="20">
        <f>VLOOKUP(Data[[#This Row],[DEVELOPMENT]],Development_Data_Book[[DEVELOPMENT]:[BOROUGH]],21,FALSE)</f>
        <v>2</v>
      </c>
      <c r="F51" s="20">
        <f>VLOOKUP(Data[[#This Row],[DEVELOPMENT]],Development_Data_Book[[DEVELOPMENT]:[BOROUGH]],23,FALSE)</f>
        <v>2</v>
      </c>
      <c r="G51" s="20">
        <f>VLOOKUP(Data[[#This Row],[DEVELOPMENT]],Development_Data_Book[[DEVELOPMENT]:[BOROUGH]],12,FALSE)</f>
        <v>200</v>
      </c>
      <c r="J51">
        <f>IFERROR(VLOOKUP(Data[[#This Row],[DEVELOPMENT]],IntCompactors_MRST[],4,FALSE),0)</f>
        <v>2</v>
      </c>
      <c r="K51" s="20">
        <f>IFERROR(VLOOKUP(Data[[#This Row],[DEVELOPMENT]],ExtCompactors_MRST[],4,FALSE),0)</f>
        <v>0</v>
      </c>
      <c r="L51" s="27">
        <f>IF(Data[[#This Row],['# Interior Compactors MRST]]=0,"",VLOOKUP(Data[[#This Row],[DEVELOPMENT]],IntCompactors_MRST[],5,FALSE))</f>
        <v>31048</v>
      </c>
      <c r="M51" s="28" t="str">
        <f>IF(Data[[#This Row],['# Exterior Compactors MRST]]=0,"",VLOOKUP(Data[[#This Row],[DEVELOPMENT]],ExtCompactors_MRST[],5,FALSE))</f>
        <v/>
      </c>
      <c r="N51" s="20">
        <f>Data[[#This Row],['# Interior Compactors MRST]]</f>
        <v>2</v>
      </c>
      <c r="O51" s="20">
        <f>IF(Data[[#This Row],['# Bulk Crushers]]=0,1,0)</f>
        <v>1</v>
      </c>
      <c r="P51" s="20">
        <f>1</f>
        <v>1</v>
      </c>
      <c r="Q51" s="20">
        <f>1</f>
        <v>1</v>
      </c>
      <c r="R51" s="20">
        <f>1</f>
        <v>1</v>
      </c>
      <c r="S51" s="20">
        <f>1</f>
        <v>1</v>
      </c>
      <c r="T51" s="20">
        <f>IF(Data[[#This Row],[Sewershed]]="Newtown Creek",Data[[#This Row],[DUs]],0)</f>
        <v>0</v>
      </c>
      <c r="U5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5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5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51" s="82">
        <f>VLOOKUP(Data[[#This Row],[DEVELOPMENT]],Development_Data_Book[[DEVELOPMENT]:[BOROUGH]],3,FALSE)</f>
        <v>325</v>
      </c>
      <c r="Y51" s="20"/>
      <c r="Z51" s="20">
        <f>IFERROR(VLOOKUP(Data[[#This Row],[TDS]],ExtCompactors_PNA[[Development]:[0]],2,FALSE),0)</f>
        <v>0</v>
      </c>
      <c r="AA51" s="20">
        <f>IFERROR(VLOOKUP(Data[[#This Row],[TDS]],IntCompactors_PNA[[TDS]:[0]],2,FALSE),0)</f>
        <v>2</v>
      </c>
      <c r="AB51" s="20"/>
      <c r="AC51" s="20"/>
      <c r="AD51" s="20">
        <f>IFERROR(VLOOKUP(Data[[#This Row],[TDS]],ExtCompactors_PNA[[Development]:[0]],3,FALSE)+VLOOKUP(Data[[#This Row],[TDS]],ExtCompactors_PNA[[Development]:[0]],6,FALSE),0)</f>
        <v>0</v>
      </c>
      <c r="AE51" s="20">
        <f>IFERROR(VLOOKUP(Data[[#This Row],[TDS]],IntCompactors_PNA[[TDS]:[0]],3,FALSE)+VLOOKUP(Data[[#This Row],[TDS]],IntCompactors_PNA[[TDS]:[0]],6,FALSE),0)</f>
        <v>2</v>
      </c>
      <c r="AF51" s="20" t="e">
        <f>VLOOKUP(Data[[#This Row],[DEVELOPMENT]],[3]Developments!$A$2:$A$312,1,FALSE)</f>
        <v>#N/A</v>
      </c>
      <c r="AG51" s="20">
        <f>IFERROR(VLOOKUP(Data[[#This Row],[DEVELOPMENT]],Ops_Priorities_and_Data_Clean[[development]:[ifnoext_comment]],3,FALSE),"")</f>
        <v>0</v>
      </c>
      <c r="AH51" s="20">
        <f>IFERROR(VLOOKUP(Data[[#This Row],[DEVELOPMENT]],Ops_Priorities_and_Data_Clean[[development]:[ifnoext_comment]],4,FALSE),"")</f>
        <v>0</v>
      </c>
      <c r="AI51" s="20">
        <f>IFERROR(VLOOKUP(Data[[#This Row],[DEVELOPMENT]],Ops_Priorities_and_Data_Clean[[development]:[ifnoext_comment]],5,FALSE),"")</f>
        <v>0</v>
      </c>
      <c r="AJ51" s="20">
        <f>IFERROR(VLOOKUP(Data[[#This Row],[DEVELOPMENT]],Ops_Priorities_and_Data_Clean[[development]:[ifnoext_comment]],6,FALSE),"")</f>
        <v>0</v>
      </c>
      <c r="AK51" s="20">
        <f>IFERROR(VLOOKUP(Data[[#This Row],[DEVELOPMENT]],Ops_Priorities_and_Data_Clean[[development]:[ifnoext_comment]],7,FALSE),"")</f>
        <v>1</v>
      </c>
      <c r="AL51" s="20">
        <f>IFERROR(VLOOKUP(Data[[#This Row],[DEVELOPMENT]],Ops_Priorities_and_Data_Clean[[development]:[ifnoext_comment]],8,FALSE),"")</f>
        <v>1</v>
      </c>
      <c r="AM51" s="20">
        <f>IFERROR(VLOOKUP(Data[[#This Row],[DEVELOPMENT]],Ops_Priorities_and_Data_Clean[[development]:[ifnoext_comment]],9,FALSE),"")</f>
        <v>1</v>
      </c>
      <c r="AN51" s="20">
        <f>IFERROR(VLOOKUP(Data[[#This Row],[DEVELOPMENT]],Ops_Priorities_and_Data_Clean[[development]:[ifnoext_comment]],10,FALSE),"")</f>
        <v>0</v>
      </c>
      <c r="AO51" s="20">
        <f>IFERROR(VLOOKUP(Data[[#This Row],[DEVELOPMENT]],Ops_Priorities_and_Data_Clean[[development]:[ifnoext_comment]],11,FALSE),"")</f>
        <v>0</v>
      </c>
      <c r="AP51" s="20">
        <f>IFERROR(VLOOKUP(Data[[#This Row],[DEVELOPMENT]],Ops_Priorities_and_Data_Clean[[development]:[ifnoext_comment]],12,FALSE),"")</f>
        <v>0</v>
      </c>
      <c r="AQ51" s="20">
        <f>VLOOKUP(Data[[#This Row],[DEVELOPMENT]],Ops_Priorities_and_Data_Clean[[development]:[ifnoext_comment]],14,FALSE)</f>
        <v>1</v>
      </c>
      <c r="AR51" s="20">
        <f>VLOOKUP(Data[[#This Row],[DEVELOPMENT]],Ops_Priorities_and_Data_Clean[[development]:[ifnoext_comment]],15,FALSE)</f>
        <v>0</v>
      </c>
      <c r="AS51" s="20" t="str">
        <f>VLOOKUP(Data[[#This Row],[DEVELOPMENT]],Ops_Priorities_and_Data_Clean[[development]:[ifnoext_comment]],16,FALSE)</f>
        <v>NULL</v>
      </c>
      <c r="AT51" s="20" t="str">
        <f>VLOOKUP(Data[[#This Row],[DEVELOPMENT]],Ops_Priorities_and_Data_Clean[[development]:[ifnoext_comment]],17,FALSE)</f>
        <v>NULL</v>
      </c>
      <c r="AU51" s="20" t="str">
        <f>VLOOKUP(Data[[#This Row],[DEVELOPMENT]],Ops_Priorities_and_Data_Clean[[development]:[ifnoext_comment]],18,FALSE)</f>
        <v>NULL</v>
      </c>
      <c r="AV51" s="20" t="str">
        <f>VLOOKUP(Data[[#This Row],[DEVELOPMENT]],Ops_Priorities_and_Data_Clean[[development]:[ifnoext_comment]],19,FALSE)</f>
        <v>NULL</v>
      </c>
      <c r="AW51" s="20" t="str">
        <f>VLOOKUP(Data[[#This Row],[DEVELOPMENT]],Ops_Priorities_and_Data_Clean[[development]:[ifnoext_comment]],20,FALSE)</f>
        <v>NULL</v>
      </c>
      <c r="AX51" s="104" t="s">
        <v>2238</v>
      </c>
      <c r="AY51" s="104" t="s">
        <v>392</v>
      </c>
      <c r="AZ51" s="20" t="str">
        <f>VLOOKUP(Data[[#This Row],[DEVELOPMENT]],Development_Data_Book[[DEVELOPMENT]:[PRIVATE MANAGEMENT]],8,FALSE)</f>
        <v>FEDERAL</v>
      </c>
      <c r="BA51" s="104" t="s">
        <v>2586</v>
      </c>
      <c r="BB51" s="20">
        <f>VLOOKUP(Data[[#This Row],[DEVELOPMENT]],Development_Data_Book[[DEVELOPMENT]:[PRIVATE MANAGEMENT]],22,FALSE)</f>
        <v>0</v>
      </c>
      <c r="BC51" s="20">
        <f>Data[[#This Row],[Non-Dwelling Buildings]]+Data[[#This Row],[Dwelling Buildings]]</f>
        <v>2</v>
      </c>
      <c r="BD51" s="20">
        <f>VLOOKUP(Data[[#This Row],[DEVELOPMENT]],Development_Data_Book[[DEVELOPMENT]:[PRIVATE MANAGEMENT]],26,FALSE)</f>
        <v>2.2799999999999998</v>
      </c>
      <c r="BE51" s="106">
        <v>162300</v>
      </c>
      <c r="BF51" s="20">
        <f>VLOOKUP(Data[[#This Row],[DEVELOPMENT]],Development_Data_Book[[DEVELOPMENT]:[PRIVATE MANAGEMENT]],18,FALSE)</f>
        <v>220</v>
      </c>
      <c r="BG51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51" s="104" t="s">
        <v>2589</v>
      </c>
      <c r="BI51" t="s">
        <v>184</v>
      </c>
      <c r="BJ51" s="20">
        <f>VLOOKUP(Data[[#This Row],[DEVELOPMENT]],Development_Data_Book[[DEVELOPMENT]:[PRIVATE MANAGEMENT]],41,FALSE)</f>
        <v>16</v>
      </c>
      <c r="BK51" s="20">
        <f>VLOOKUP(Data[[#This Row],[DEVELOPMENT]],Development_Data_Book[[DEVELOPMENT]:[PRIVATE MANAGEMENT]],42,FALSE)</f>
        <v>8</v>
      </c>
      <c r="BL51" s="20">
        <f>VLOOKUP(Data[[#This Row],[DEVELOPMENT]],Development_Data_Book[[DEVELOPMENT]:[PRIVATE MANAGEMENT]],43,FALSE)</f>
        <v>20</v>
      </c>
      <c r="BM51" s="20">
        <f>VLOOKUP(Data[[#This Row],[DEVELOPMENT]],Development_Data_Book[[DEVELOPMENT]:[PRIVATE MANAGEMENT]],44,FALSE)</f>
        <v>55</v>
      </c>
      <c r="BN51" s="20">
        <f>VLOOKUP(Data[[#This Row],[DEVELOPMENT]],Development_Data_Book[[DEVELOPMENT]:[PRIVATE MANAGEMENT]],45,FALSE)</f>
        <v>41</v>
      </c>
      <c r="BO51" s="20">
        <f>VLOOKUP(Data[[#This Row],[DEVELOPMENT]],Development_Data_Book[[DEVELOPMENT]:[PRIVATE MANAGEMENT]],24,FALSE)</f>
        <v>6</v>
      </c>
    </row>
    <row r="52" spans="1:67">
      <c r="A52" t="s">
        <v>392</v>
      </c>
      <c r="B52" s="20" t="str">
        <f>VLOOKUP(Data[[#This Row],[DEVELOPMENT]],Development_Data_Book[[DEVELOPMENT]:[BOROUGH]],MATCH("borough",Development_Data_Book[[#Headers],[DEVELOPMENT]:[BOROUGH]],0),FALSE)</f>
        <v>BROOKLYN</v>
      </c>
      <c r="C52" s="20" t="e">
        <f>VLOOKUP(Data[[#This Row],[DEVELOPMENT]],'[1]Cheat-Sheet'!$D$2:$Q$341,2,FALSE)</f>
        <v>#N/A</v>
      </c>
      <c r="D5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52" s="20">
        <f>VLOOKUP(Data[[#This Row],[DEVELOPMENT]],Development_Data_Book[[DEVELOPMENT]:[BOROUGH]],21,FALSE)</f>
        <v>27</v>
      </c>
      <c r="F52" s="20">
        <f>VLOOKUP(Data[[#This Row],[DEVELOPMENT]],Development_Data_Book[[DEVELOPMENT]:[BOROUGH]],23,FALSE)</f>
        <v>46</v>
      </c>
      <c r="G52" s="20">
        <f>VLOOKUP(Data[[#This Row],[DEVELOPMENT]],Development_Data_Book[[DEVELOPMENT]:[BOROUGH]],12,FALSE)</f>
        <v>1336</v>
      </c>
      <c r="J52">
        <f>IFERROR(VLOOKUP(Data[[#This Row],[DEVELOPMENT]],IntCompactors_MRST[],4,FALSE),0)</f>
        <v>46</v>
      </c>
      <c r="K52" s="20">
        <f>IFERROR(VLOOKUP(Data[[#This Row],[DEVELOPMENT]],ExtCompactors_MRST[],4,FALSE),0)</f>
        <v>3</v>
      </c>
      <c r="L52" s="27">
        <f>IF(Data[[#This Row],['# Interior Compactors MRST]]=0,"",VLOOKUP(Data[[#This Row],[DEVELOPMENT]],IntCompactors_MRST[],5,FALSE))</f>
        <v>37257</v>
      </c>
      <c r="M52" s="28">
        <f>IF(Data[[#This Row],['# Exterior Compactors MRST]]=0,"",VLOOKUP(Data[[#This Row],[DEVELOPMENT]],ExtCompactors_MRST[],5,FALSE))</f>
        <v>38495</v>
      </c>
      <c r="N52" s="20">
        <f>Data[[#This Row],['# Interior Compactors MRST]]</f>
        <v>46</v>
      </c>
      <c r="O52" s="20">
        <f>IF(Data[[#This Row],['# Bulk Crushers]]=0,1,0)</f>
        <v>1</v>
      </c>
      <c r="P52" s="20">
        <f>1</f>
        <v>1</v>
      </c>
      <c r="Q52" s="20">
        <f>1</f>
        <v>1</v>
      </c>
      <c r="R52" s="20">
        <f>1</f>
        <v>1</v>
      </c>
      <c r="S52" s="20">
        <f>1</f>
        <v>1</v>
      </c>
      <c r="T52" s="20">
        <f>IF(Data[[#This Row],[Sewershed]]="Newtown Creek",Data[[#This Row],[DUs]],0)</f>
        <v>0</v>
      </c>
      <c r="U5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5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5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52" s="82">
        <f>VLOOKUP(Data[[#This Row],[DEVELOPMENT]],Development_Data_Book[[DEVELOPMENT]:[BOROUGH]],3,FALSE)</f>
        <v>16</v>
      </c>
      <c r="Y52" s="20"/>
      <c r="Z52" s="20">
        <f>IFERROR(VLOOKUP(Data[[#This Row],[TDS]],ExtCompactors_PNA[[Development]:[0]],2,FALSE),0)</f>
        <v>3</v>
      </c>
      <c r="AA52" s="20">
        <f>IFERROR(VLOOKUP(Data[[#This Row],[TDS]],IntCompactors_PNA[[TDS]:[0]],2,FALSE),0)</f>
        <v>46</v>
      </c>
      <c r="AB52" s="20"/>
      <c r="AC52" s="20"/>
      <c r="AD52" s="20">
        <f>IFERROR(VLOOKUP(Data[[#This Row],[TDS]],ExtCompactors_PNA[[Development]:[0]],3,FALSE)+VLOOKUP(Data[[#This Row],[TDS]],ExtCompactors_PNA[[Development]:[0]],6,FALSE),0)</f>
        <v>3</v>
      </c>
      <c r="AE52" s="20">
        <f>IFERROR(VLOOKUP(Data[[#This Row],[TDS]],IntCompactors_PNA[[TDS]:[0]],3,FALSE)+VLOOKUP(Data[[#This Row],[TDS]],IntCompactors_PNA[[TDS]:[0]],6,FALSE),0)</f>
        <v>46</v>
      </c>
      <c r="AF52" s="20" t="e">
        <f>VLOOKUP(Data[[#This Row],[DEVELOPMENT]],[3]Developments!$A$2:$A$312,1,FALSE)</f>
        <v>#N/A</v>
      </c>
      <c r="AG52" s="20">
        <f>IFERROR(VLOOKUP(Data[[#This Row],[DEVELOPMENT]],Ops_Priorities_and_Data_Clean[[development]:[ifnoext_comment]],3,FALSE),"")</f>
        <v>3</v>
      </c>
      <c r="AH52" s="20">
        <f>IFERROR(VLOOKUP(Data[[#This Row],[DEVELOPMENT]],Ops_Priorities_and_Data_Clean[[development]:[ifnoext_comment]],4,FALSE),"")</f>
        <v>2</v>
      </c>
      <c r="AI52" s="20">
        <f>IFERROR(VLOOKUP(Data[[#This Row],[DEVELOPMENT]],Ops_Priorities_and_Data_Clean[[development]:[ifnoext_comment]],5,FALSE),"")</f>
        <v>1</v>
      </c>
      <c r="AJ52" s="20">
        <f>IFERROR(VLOOKUP(Data[[#This Row],[DEVELOPMENT]],Ops_Priorities_and_Data_Clean[[development]:[ifnoext_comment]],6,FALSE),"")</f>
        <v>0</v>
      </c>
      <c r="AK52" s="20">
        <f>IFERROR(VLOOKUP(Data[[#This Row],[DEVELOPMENT]],Ops_Priorities_and_Data_Clean[[development]:[ifnoext_comment]],7,FALSE),"")</f>
        <v>0</v>
      </c>
      <c r="AL52" s="20">
        <f>IFERROR(VLOOKUP(Data[[#This Row],[DEVELOPMENT]],Ops_Priorities_and_Data_Clean[[development]:[ifnoext_comment]],8,FALSE),"")</f>
        <v>1</v>
      </c>
      <c r="AM52" s="20">
        <f>IFERROR(VLOOKUP(Data[[#This Row],[DEVELOPMENT]],Ops_Priorities_and_Data_Clean[[development]:[ifnoext_comment]],9,FALSE),"")</f>
        <v>0</v>
      </c>
      <c r="AN52" s="20">
        <f>IFERROR(VLOOKUP(Data[[#This Row],[DEVELOPMENT]],Ops_Priorities_and_Data_Clean[[development]:[ifnoext_comment]],10,FALSE),"")</f>
        <v>3</v>
      </c>
      <c r="AO52" s="20">
        <f>IFERROR(VLOOKUP(Data[[#This Row],[DEVELOPMENT]],Ops_Priorities_and_Data_Clean[[development]:[ifnoext_comment]],11,FALSE),"")</f>
        <v>3</v>
      </c>
      <c r="AP52" s="20">
        <f>IFERROR(VLOOKUP(Data[[#This Row],[DEVELOPMENT]],Ops_Priorities_and_Data_Clean[[development]:[ifnoext_comment]],12,FALSE),"")</f>
        <v>3</v>
      </c>
      <c r="AQ52" s="20">
        <f>VLOOKUP(Data[[#This Row],[DEVELOPMENT]],Ops_Priorities_and_Data_Clean[[development]:[ifnoext_comment]],14,FALSE)</f>
        <v>0</v>
      </c>
      <c r="AR52" s="20">
        <f>VLOOKUP(Data[[#This Row],[DEVELOPMENT]],Ops_Priorities_and_Data_Clean[[development]:[ifnoext_comment]],15,FALSE)</f>
        <v>0</v>
      </c>
      <c r="AS52" s="20" t="str">
        <f>VLOOKUP(Data[[#This Row],[DEVELOPMENT]],Ops_Priorities_and_Data_Clean[[development]:[ifnoext_comment]],16,FALSE)</f>
        <v>NULL</v>
      </c>
      <c r="AT52" s="20" t="str">
        <f>VLOOKUP(Data[[#This Row],[DEVELOPMENT]],Ops_Priorities_and_Data_Clean[[development]:[ifnoext_comment]],17,FALSE)</f>
        <v>NULL</v>
      </c>
      <c r="AU52" s="20" t="str">
        <f>VLOOKUP(Data[[#This Row],[DEVELOPMENT]],Ops_Priorities_and_Data_Clean[[development]:[ifnoext_comment]],18,FALSE)</f>
        <v>NULL</v>
      </c>
      <c r="AV52" s="20" t="str">
        <f>VLOOKUP(Data[[#This Row],[DEVELOPMENT]],Ops_Priorities_and_Data_Clean[[development]:[ifnoext_comment]],19,FALSE)</f>
        <v>NULL</v>
      </c>
      <c r="AW52" s="20" t="str">
        <f>VLOOKUP(Data[[#This Row],[DEVELOPMENT]],Ops_Priorities_and_Data_Clean[[development]:[ifnoext_comment]],20,FALSE)</f>
        <v xml:space="preserve">They have a significant amount of bulk </v>
      </c>
      <c r="AX52" s="104" t="s">
        <v>2602</v>
      </c>
      <c r="AY52" s="104" t="s">
        <v>392</v>
      </c>
      <c r="AZ52" s="20" t="str">
        <f>VLOOKUP(Data[[#This Row],[DEVELOPMENT]],Development_Data_Book[[DEVELOPMENT]:[PRIVATE MANAGEMENT]],8,FALSE)</f>
        <v>FEDERAL</v>
      </c>
      <c r="BA52" s="104" t="s">
        <v>2586</v>
      </c>
      <c r="BB52" s="20">
        <f>VLOOKUP(Data[[#This Row],[DEVELOPMENT]],Development_Data_Book[[DEVELOPMENT]:[PRIVATE MANAGEMENT]],22,FALSE)</f>
        <v>0</v>
      </c>
      <c r="BC52" s="20">
        <f>Data[[#This Row],[Non-Dwelling Buildings]]+Data[[#This Row],[Dwelling Buildings]]</f>
        <v>27</v>
      </c>
      <c r="BD52" s="20">
        <f>VLOOKUP(Data[[#This Row],[DEVELOPMENT]],Development_Data_Book[[DEVELOPMENT]:[PRIVATE MANAGEMENT]],26,FALSE)</f>
        <v>18.82</v>
      </c>
      <c r="BE52" s="106">
        <v>1233950</v>
      </c>
      <c r="BF52" s="20">
        <f>VLOOKUP(Data[[#This Row],[DEVELOPMENT]],Development_Data_Book[[DEVELOPMENT]:[PRIVATE MANAGEMENT]],18,FALSE)</f>
        <v>3166</v>
      </c>
      <c r="BG5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52" s="104" t="s">
        <v>2589</v>
      </c>
      <c r="BI52" t="s">
        <v>183</v>
      </c>
      <c r="BJ52" s="20">
        <f>VLOOKUP(Data[[#This Row],[DEVELOPMENT]],Development_Data_Book[[DEVELOPMENT]:[PRIVATE MANAGEMENT]],41,FALSE)</f>
        <v>16</v>
      </c>
      <c r="BK52" s="20">
        <f>VLOOKUP(Data[[#This Row],[DEVELOPMENT]],Development_Data_Book[[DEVELOPMENT]:[PRIVATE MANAGEMENT]],42,FALSE)</f>
        <v>9</v>
      </c>
      <c r="BL52" s="20">
        <f>VLOOKUP(Data[[#This Row],[DEVELOPMENT]],Development_Data_Book[[DEVELOPMENT]:[PRIVATE MANAGEMENT]],43,FALSE)</f>
        <v>20</v>
      </c>
      <c r="BM52" s="20">
        <f>VLOOKUP(Data[[#This Row],[DEVELOPMENT]],Development_Data_Book[[DEVELOPMENT]:[PRIVATE MANAGEMENT]],44,FALSE)</f>
        <v>55</v>
      </c>
      <c r="BN52" s="20">
        <f>VLOOKUP(Data[[#This Row],[DEVELOPMENT]],Development_Data_Book[[DEVELOPMENT]:[PRIVATE MANAGEMENT]],45,FALSE)</f>
        <v>41</v>
      </c>
      <c r="BO52" s="20">
        <f>VLOOKUP(Data[[#This Row],[DEVELOPMENT]],Development_Data_Book[[DEVELOPMENT]:[PRIVATE MANAGEMENT]],24,FALSE)</f>
        <v>43623</v>
      </c>
    </row>
    <row r="53" spans="1:67">
      <c r="A53" t="s">
        <v>283</v>
      </c>
      <c r="B53" s="20" t="str">
        <f>VLOOKUP(Data[[#This Row],[DEVELOPMENT]],Development_Data_Book[[DEVELOPMENT]:[BOROUGH]],MATCH("borough",Development_Data_Book[[#Headers],[DEVELOPMENT]:[BOROUGH]],0),FALSE)</f>
        <v>BRONX</v>
      </c>
      <c r="C53" s="20" t="e">
        <f>VLOOKUP(Data[[#This Row],[DEVELOPMENT]],'[1]Cheat-Sheet'!$D$2:$Q$341,2,FALSE)</f>
        <v>#N/A</v>
      </c>
      <c r="D5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53" s="20">
        <f>VLOOKUP(Data[[#This Row],[DEVELOPMENT]],Development_Data_Book[[DEVELOPMENT]:[BOROUGH]],21,FALSE)</f>
        <v>1</v>
      </c>
      <c r="F53" s="20">
        <f>VLOOKUP(Data[[#This Row],[DEVELOPMENT]],Development_Data_Book[[DEVELOPMENT]:[BOROUGH]],23,FALSE)</f>
        <v>1</v>
      </c>
      <c r="G53" s="20">
        <f>VLOOKUP(Data[[#This Row],[DEVELOPMENT]],Development_Data_Book[[DEVELOPMENT]:[BOROUGH]],12,FALSE)</f>
        <v>72</v>
      </c>
      <c r="J53">
        <f>IFERROR(VLOOKUP(Data[[#This Row],[DEVELOPMENT]],IntCompactors_MRST[],4,FALSE),0)</f>
        <v>0</v>
      </c>
      <c r="K53" s="20">
        <f>IFERROR(VLOOKUP(Data[[#This Row],[DEVELOPMENT]],ExtCompactors_MRST[],4,FALSE),0)</f>
        <v>0</v>
      </c>
      <c r="L53" s="27" t="str">
        <f>IF(Data[[#This Row],['# Interior Compactors MRST]]=0,"",VLOOKUP(Data[[#This Row],[DEVELOPMENT]],IntCompactors_MRST[],5,FALSE))</f>
        <v/>
      </c>
      <c r="M53" s="28" t="str">
        <f>IF(Data[[#This Row],['# Exterior Compactors MRST]]=0,"",VLOOKUP(Data[[#This Row],[DEVELOPMENT]],ExtCompactors_MRST[],5,FALSE))</f>
        <v/>
      </c>
      <c r="N53" s="20">
        <f>Data[[#This Row],['# Interior Compactors MRST]]</f>
        <v>0</v>
      </c>
      <c r="O53" s="20">
        <f>IF(Data[[#This Row],['# Bulk Crushers]]=0,1,0)</f>
        <v>1</v>
      </c>
      <c r="P53" s="20">
        <f>1</f>
        <v>1</v>
      </c>
      <c r="Q53" s="20">
        <f>1</f>
        <v>1</v>
      </c>
      <c r="R53" s="20">
        <f>1</f>
        <v>1</v>
      </c>
      <c r="S53" s="20">
        <f>1</f>
        <v>1</v>
      </c>
      <c r="T53" s="20">
        <f>IF(Data[[#This Row],[Sewershed]]="Newtown Creek",Data[[#This Row],[DUs]],0)</f>
        <v>0</v>
      </c>
      <c r="U5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5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5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53" s="82">
        <f>VLOOKUP(Data[[#This Row],[DEVELOPMENT]],Development_Data_Book[[DEVELOPMENT]:[BOROUGH]],3,FALSE)</f>
        <v>235</v>
      </c>
      <c r="Y53" s="20"/>
      <c r="Z53" s="20">
        <f>IFERROR(VLOOKUP(Data[[#This Row],[TDS]],ExtCompactors_PNA[[Development]:[0]],2,FALSE),0)</f>
        <v>0</v>
      </c>
      <c r="AA53" s="20">
        <f>IFERROR(VLOOKUP(Data[[#This Row],[TDS]],IntCompactors_PNA[[TDS]:[0]],2,FALSE),0)</f>
        <v>1</v>
      </c>
      <c r="AB53" s="20"/>
      <c r="AC53" s="20"/>
      <c r="AD53" s="20">
        <f>IFERROR(VLOOKUP(Data[[#This Row],[TDS]],ExtCompactors_PNA[[Development]:[0]],3,FALSE)+VLOOKUP(Data[[#This Row],[TDS]],ExtCompactors_PNA[[Development]:[0]],6,FALSE),0)</f>
        <v>0</v>
      </c>
      <c r="AE53" s="20">
        <f>IFERROR(VLOOKUP(Data[[#This Row],[TDS]],IntCompactors_PNA[[TDS]:[0]],3,FALSE)+VLOOKUP(Data[[#This Row],[TDS]],IntCompactors_PNA[[TDS]:[0]],6,FALSE),0)</f>
        <v>1</v>
      </c>
      <c r="AF53" s="20" t="e">
        <f>VLOOKUP(Data[[#This Row],[DEVELOPMENT]],[3]Developments!$A$2:$A$312,1,FALSE)</f>
        <v>#N/A</v>
      </c>
      <c r="AG53" s="20">
        <f>IFERROR(VLOOKUP(Data[[#This Row],[DEVELOPMENT]],Ops_Priorities_and_Data_Clean[[development]:[ifnoext_comment]],3,FALSE),"")</f>
        <v>0</v>
      </c>
      <c r="AH53" s="20">
        <f>IFERROR(VLOOKUP(Data[[#This Row],[DEVELOPMENT]],Ops_Priorities_and_Data_Clean[[development]:[ifnoext_comment]],4,FALSE),"")</f>
        <v>4</v>
      </c>
      <c r="AI53" s="20">
        <f>IFERROR(VLOOKUP(Data[[#This Row],[DEVELOPMENT]],Ops_Priorities_and_Data_Clean[[development]:[ifnoext_comment]],5,FALSE),"")</f>
        <v>0</v>
      </c>
      <c r="AJ53" s="20">
        <f>IFERROR(VLOOKUP(Data[[#This Row],[DEVELOPMENT]],Ops_Priorities_and_Data_Clean[[development]:[ifnoext_comment]],6,FALSE),"")</f>
        <v>0</v>
      </c>
      <c r="AK53" s="20">
        <f>IFERROR(VLOOKUP(Data[[#This Row],[DEVELOPMENT]],Ops_Priorities_and_Data_Clean[[development]:[ifnoext_comment]],7,FALSE),"")</f>
        <v>1</v>
      </c>
      <c r="AL53" s="20">
        <f>IFERROR(VLOOKUP(Data[[#This Row],[DEVELOPMENT]],Ops_Priorities_and_Data_Clean[[development]:[ifnoext_comment]],8,FALSE),"")</f>
        <v>1</v>
      </c>
      <c r="AM53" s="20">
        <f>IFERROR(VLOOKUP(Data[[#This Row],[DEVELOPMENT]],Ops_Priorities_and_Data_Clean[[development]:[ifnoext_comment]],9,FALSE),"")</f>
        <v>0</v>
      </c>
      <c r="AN53" s="20">
        <f>IFERROR(VLOOKUP(Data[[#This Row],[DEVELOPMENT]],Ops_Priorities_and_Data_Clean[[development]:[ifnoext_comment]],10,FALSE),"")</f>
        <v>0</v>
      </c>
      <c r="AO53" s="20">
        <f>IFERROR(VLOOKUP(Data[[#This Row],[DEVELOPMENT]],Ops_Priorities_and_Data_Clean[[development]:[ifnoext_comment]],11,FALSE),"")</f>
        <v>0</v>
      </c>
      <c r="AP53" s="20">
        <f>IFERROR(VLOOKUP(Data[[#This Row],[DEVELOPMENT]],Ops_Priorities_and_Data_Clean[[development]:[ifnoext_comment]],12,FALSE),"")</f>
        <v>0</v>
      </c>
      <c r="AQ53" s="20">
        <f>VLOOKUP(Data[[#This Row],[DEVELOPMENT]],Ops_Priorities_and_Data_Clean[[development]:[ifnoext_comment]],14,FALSE)</f>
        <v>1</v>
      </c>
      <c r="AR53" s="20">
        <f>VLOOKUP(Data[[#This Row],[DEVELOPMENT]],Ops_Priorities_and_Data_Clean[[development]:[ifnoext_comment]],15,FALSE)</f>
        <v>0</v>
      </c>
      <c r="AS53" s="20" t="str">
        <f>VLOOKUP(Data[[#This Row],[DEVELOPMENT]],Ops_Priorities_and_Data_Clean[[development]:[ifnoext_comment]],16,FALSE)</f>
        <v>NULL</v>
      </c>
      <c r="AT53" s="20" t="str">
        <f>VLOOKUP(Data[[#This Row],[DEVELOPMENT]],Ops_Priorities_and_Data_Clean[[development]:[ifnoext_comment]],17,FALSE)</f>
        <v>NULL</v>
      </c>
      <c r="AU53" s="20" t="str">
        <f>VLOOKUP(Data[[#This Row],[DEVELOPMENT]],Ops_Priorities_and_Data_Clean[[development]:[ifnoext_comment]],18,FALSE)</f>
        <v>NULL</v>
      </c>
      <c r="AV53" s="20" t="str">
        <f>VLOOKUP(Data[[#This Row],[DEVELOPMENT]],Ops_Priorities_and_Data_Clean[[development]:[ifnoext_comment]],19,FALSE)</f>
        <v>NULL</v>
      </c>
      <c r="AW53" s="20" t="str">
        <f>VLOOKUP(Data[[#This Row],[DEVELOPMENT]],Ops_Priorities_and_Data_Clean[[development]:[ifnoext_comment]],20,FALSE)</f>
        <v>No room</v>
      </c>
      <c r="AX53" s="104" t="s">
        <v>2596</v>
      </c>
      <c r="AY53" s="104" t="s">
        <v>2630</v>
      </c>
      <c r="AZ53" s="20" t="str">
        <f>VLOOKUP(Data[[#This Row],[DEVELOPMENT]],Development_Data_Book[[DEVELOPMENT]:[PRIVATE MANAGEMENT]],8,FALSE)</f>
        <v>FEDERAL</v>
      </c>
      <c r="BA53" s="104" t="s">
        <v>2586</v>
      </c>
      <c r="BB53" s="20">
        <f>VLOOKUP(Data[[#This Row],[DEVELOPMENT]],Development_Data_Book[[DEVELOPMENT]:[PRIVATE MANAGEMENT]],22,FALSE)</f>
        <v>0</v>
      </c>
      <c r="BC53" s="20">
        <f>Data[[#This Row],[Non-Dwelling Buildings]]+Data[[#This Row],[Dwelling Buildings]]</f>
        <v>1</v>
      </c>
      <c r="BD53" s="20">
        <f>VLOOKUP(Data[[#This Row],[DEVELOPMENT]],Development_Data_Book[[DEVELOPMENT]:[PRIVATE MANAGEMENT]],26,FALSE)</f>
        <v>0.52</v>
      </c>
      <c r="BE53" s="106">
        <v>72380</v>
      </c>
      <c r="BF53" s="20">
        <f>VLOOKUP(Data[[#This Row],[DEVELOPMENT]],Development_Data_Book[[DEVELOPMENT]:[PRIVATE MANAGEMENT]],18,FALSE)</f>
        <v>135</v>
      </c>
      <c r="BG5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53" s="104" t="s">
        <v>2631</v>
      </c>
      <c r="BI53" t="s">
        <v>184</v>
      </c>
      <c r="BJ53" s="20">
        <f>VLOOKUP(Data[[#This Row],[DEVELOPMENT]],Development_Data_Book[[DEVELOPMENT]:[PRIVATE MANAGEMENT]],41,FALSE)</f>
        <v>3</v>
      </c>
      <c r="BK53" s="20">
        <f>VLOOKUP(Data[[#This Row],[DEVELOPMENT]],Development_Data_Book[[DEVELOPMENT]:[PRIVATE MANAGEMENT]],42,FALSE)</f>
        <v>15</v>
      </c>
      <c r="BL53" s="20">
        <f>VLOOKUP(Data[[#This Row],[DEVELOPMENT]],Development_Data_Book[[DEVELOPMENT]:[PRIVATE MANAGEMENT]],43,FALSE)</f>
        <v>32</v>
      </c>
      <c r="BM53" s="20">
        <f>VLOOKUP(Data[[#This Row],[DEVELOPMENT]],Development_Data_Book[[DEVELOPMENT]:[PRIVATE MANAGEMENT]],44,FALSE)</f>
        <v>79</v>
      </c>
      <c r="BN53" s="20">
        <f>VLOOKUP(Data[[#This Row],[DEVELOPMENT]],Development_Data_Book[[DEVELOPMENT]:[PRIVATE MANAGEMENT]],45,FALSE)</f>
        <v>17</v>
      </c>
      <c r="BO53" s="20">
        <f>VLOOKUP(Data[[#This Row],[DEVELOPMENT]],Development_Data_Book[[DEVELOPMENT]:[PRIVATE MANAGEMENT]],24,FALSE)</f>
        <v>6</v>
      </c>
    </row>
    <row r="54" spans="1:67">
      <c r="A54" s="17" t="s">
        <v>26</v>
      </c>
      <c r="B54" s="17" t="str">
        <f>VLOOKUP(Data[[#This Row],[DEVELOPMENT]],Development_Data_Book[[DEVELOPMENT]:[BOROUGH]],MATCH("borough",Development_Data_Book[[#Headers],[DEVELOPMENT]:[BOROUGH]],0),FALSE)</f>
        <v>BROOKLYN</v>
      </c>
      <c r="C54" t="e">
        <f>VLOOKUP(Data[[#This Row],[DEVELOPMENT]],'[1]Cheat-Sheet'!$D$2:$Q$341,2,FALSE)</f>
        <v>#N/A</v>
      </c>
      <c r="D5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54">
        <f>VLOOKUP(Data[[#This Row],[DEVELOPMENT]],Development_Data_Book[[DEVELOPMENT]:[BOROUGH]],21,FALSE)</f>
        <v>8</v>
      </c>
      <c r="F54">
        <f>VLOOKUP(Data[[#This Row],[DEVELOPMENT]],Development_Data_Book[[DEVELOPMENT]:[BOROUGH]],23,FALSE)</f>
        <v>8</v>
      </c>
      <c r="G54">
        <f>VLOOKUP(Data[[#This Row],[DEVELOPMENT]],Development_Data_Book[[DEVELOPMENT]:[BOROUGH]],12,FALSE)</f>
        <v>1219</v>
      </c>
      <c r="H54" t="s">
        <v>2246</v>
      </c>
      <c r="I54">
        <v>3</v>
      </c>
      <c r="J54">
        <f>IFERROR(VLOOKUP(Data[[#This Row],[DEVELOPMENT]],IntCompactors_MRST[],4,FALSE),0)</f>
        <v>8</v>
      </c>
      <c r="K54" s="20">
        <f>IFERROR(VLOOKUP(Data[[#This Row],[DEVELOPMENT]],ExtCompactors_MRST[],4,FALSE),0)</f>
        <v>2</v>
      </c>
      <c r="L54" s="27">
        <f>IF(Data[[#This Row],['# Interior Compactors MRST]]=0,"",VLOOKUP(Data[[#This Row],[DEVELOPMENT]],IntCompactors_MRST[],5,FALSE))</f>
        <v>36495</v>
      </c>
      <c r="M54" s="28">
        <f>IF(Data[[#This Row],['# Exterior Compactors MRST]]=0,"",VLOOKUP(Data[[#This Row],[DEVELOPMENT]],ExtCompactors_MRST[],5,FALSE))</f>
        <v>37933</v>
      </c>
      <c r="N54">
        <f>Data[[#This Row],['# Interior Compactors MRST]]</f>
        <v>8</v>
      </c>
      <c r="O54" s="20">
        <f>IF(Data[[#This Row],['# Bulk Crushers]]=0,1,0)</f>
        <v>1</v>
      </c>
      <c r="P54" s="20">
        <f>1</f>
        <v>1</v>
      </c>
      <c r="Q54" s="20">
        <f>1</f>
        <v>1</v>
      </c>
      <c r="R54" s="20">
        <f>1</f>
        <v>1</v>
      </c>
      <c r="S54" s="20">
        <f>1</f>
        <v>1</v>
      </c>
      <c r="T54" s="20">
        <f>IF(Data[[#This Row],[Sewershed]]="Newtown Creek",Data[[#This Row],[DUs]],0)</f>
        <v>1219</v>
      </c>
      <c r="U5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5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5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54" s="82">
        <f>VLOOKUP(Data[[#This Row],[DEVELOPMENT]],Development_Data_Book[[DEVELOPMENT]:[BOROUGH]],3,FALSE)</f>
        <v>86</v>
      </c>
      <c r="Y54" s="20" t="s">
        <v>2599</v>
      </c>
      <c r="Z54" s="20">
        <f>IFERROR(VLOOKUP(Data[[#This Row],[TDS]],ExtCompactors_PNA[[Development]:[0]],2,FALSE),0)</f>
        <v>2</v>
      </c>
      <c r="AA54" s="20">
        <f>IFERROR(VLOOKUP(Data[[#This Row],[TDS]],IntCompactors_PNA[[TDS]:[0]],2,FALSE),0)</f>
        <v>8</v>
      </c>
      <c r="AB54" s="20"/>
      <c r="AC54" s="20"/>
      <c r="AD54" s="20">
        <f>IFERROR(VLOOKUP(Data[[#This Row],[TDS]],ExtCompactors_PNA[[Development]:[0]],3,FALSE)+VLOOKUP(Data[[#This Row],[TDS]],ExtCompactors_PNA[[Development]:[0]],6,FALSE),0)</f>
        <v>2</v>
      </c>
      <c r="AE54" s="20">
        <f>IFERROR(VLOOKUP(Data[[#This Row],[TDS]],IntCompactors_PNA[[TDS]:[0]],3,FALSE)+VLOOKUP(Data[[#This Row],[TDS]],IntCompactors_PNA[[TDS]:[0]],6,FALSE),0)</f>
        <v>8</v>
      </c>
      <c r="AF54" s="20" t="e">
        <f>VLOOKUP(Data[[#This Row],[DEVELOPMENT]],[3]Developments!$A$2:$A$312,1,FALSE)</f>
        <v>#N/A</v>
      </c>
      <c r="AG54" s="20">
        <f>IFERROR(VLOOKUP(Data[[#This Row],[DEVELOPMENT]],Ops_Priorities_and_Data_Clean[[development]:[ifnoext_comment]],3,FALSE),"")</f>
        <v>2</v>
      </c>
      <c r="AH54" s="20">
        <f>IFERROR(VLOOKUP(Data[[#This Row],[DEVELOPMENT]],Ops_Priorities_and_Data_Clean[[development]:[ifnoext_comment]],4,FALSE),"")</f>
        <v>4</v>
      </c>
      <c r="AI54" s="20">
        <f>IFERROR(VLOOKUP(Data[[#This Row],[DEVELOPMENT]],Ops_Priorities_and_Data_Clean[[development]:[ifnoext_comment]],5,FALSE),"")</f>
        <v>1</v>
      </c>
      <c r="AJ54" s="20">
        <f>IFERROR(VLOOKUP(Data[[#This Row],[DEVELOPMENT]],Ops_Priorities_and_Data_Clean[[development]:[ifnoext_comment]],6,FALSE),"")</f>
        <v>0</v>
      </c>
      <c r="AK54" s="20">
        <f>IFERROR(VLOOKUP(Data[[#This Row],[DEVELOPMENT]],Ops_Priorities_and_Data_Clean[[development]:[ifnoext_comment]],7,FALSE),"")</f>
        <v>0</v>
      </c>
      <c r="AL54" s="20">
        <f>IFERROR(VLOOKUP(Data[[#This Row],[DEVELOPMENT]],Ops_Priorities_and_Data_Clean[[development]:[ifnoext_comment]],8,FALSE),"")</f>
        <v>1</v>
      </c>
      <c r="AM54" s="20">
        <f>IFERROR(VLOOKUP(Data[[#This Row],[DEVELOPMENT]],Ops_Priorities_and_Data_Clean[[development]:[ifnoext_comment]],9,FALSE),"")</f>
        <v>0</v>
      </c>
      <c r="AN54" s="20">
        <f>IFERROR(VLOOKUP(Data[[#This Row],[DEVELOPMENT]],Ops_Priorities_and_Data_Clean[[development]:[ifnoext_comment]],10,FALSE),"")</f>
        <v>2</v>
      </c>
      <c r="AO54" s="20">
        <f>IFERROR(VLOOKUP(Data[[#This Row],[DEVELOPMENT]],Ops_Priorities_and_Data_Clean[[development]:[ifnoext_comment]],11,FALSE),"")</f>
        <v>2</v>
      </c>
      <c r="AP54" s="20">
        <f>IFERROR(VLOOKUP(Data[[#This Row],[DEVELOPMENT]],Ops_Priorities_and_Data_Clean[[development]:[ifnoext_comment]],12,FALSE),"")</f>
        <v>2</v>
      </c>
      <c r="AQ54" s="20">
        <f>VLOOKUP(Data[[#This Row],[DEVELOPMENT]],Ops_Priorities_and_Data_Clean[[development]:[ifnoext_comment]],14,FALSE)</f>
        <v>0</v>
      </c>
      <c r="AR54" s="20">
        <f>VLOOKUP(Data[[#This Row],[DEVELOPMENT]],Ops_Priorities_and_Data_Clean[[development]:[ifnoext_comment]],15,FALSE)</f>
        <v>0</v>
      </c>
      <c r="AS54" s="20" t="str">
        <f>VLOOKUP(Data[[#This Row],[DEVELOPMENT]],Ops_Priorities_and_Data_Clean[[development]:[ifnoext_comment]],16,FALSE)</f>
        <v>NULL</v>
      </c>
      <c r="AT54" s="20" t="str">
        <f>VLOOKUP(Data[[#This Row],[DEVELOPMENT]],Ops_Priorities_and_Data_Clean[[development]:[ifnoext_comment]],17,FALSE)</f>
        <v>NULL</v>
      </c>
      <c r="AU54" s="20" t="str">
        <f>VLOOKUP(Data[[#This Row],[DEVELOPMENT]],Ops_Priorities_and_Data_Clean[[development]:[ifnoext_comment]],18,FALSE)</f>
        <v>No</v>
      </c>
      <c r="AV54" s="20" t="str">
        <f>VLOOKUP(Data[[#This Row],[DEVELOPMENT]],Ops_Priorities_and_Data_Clean[[development]:[ifnoext_comment]],19,FALSE)</f>
        <v>container on-site</v>
      </c>
      <c r="AW54" s="20" t="str">
        <f>VLOOKUP(Data[[#This Row],[DEVELOPMENT]],Ops_Priorities_and_Data_Clean[[development]:[ifnoext_comment]],20,FALSE)</f>
        <v>NULL</v>
      </c>
      <c r="AX54" s="104" t="s">
        <v>2605</v>
      </c>
      <c r="AY54" s="104" t="s">
        <v>26</v>
      </c>
      <c r="AZ54" s="20" t="str">
        <f>VLOOKUP(Data[[#This Row],[DEVELOPMENT]],Development_Data_Book[[DEVELOPMENT]:[PRIVATE MANAGEMENT]],8,FALSE)</f>
        <v>MIXED FINANCE/LLC1</v>
      </c>
      <c r="BA54" s="104" t="s">
        <v>2586</v>
      </c>
      <c r="BB54" s="20">
        <f>VLOOKUP(Data[[#This Row],[DEVELOPMENT]],Development_Data_Book[[DEVELOPMENT]:[PRIVATE MANAGEMENT]],22,FALSE)</f>
        <v>0</v>
      </c>
      <c r="BC54" s="20">
        <f>Data[[#This Row],[Non-Dwelling Buildings]]+Data[[#This Row],[Dwelling Buildings]]</f>
        <v>8</v>
      </c>
      <c r="BD54" s="20">
        <f>VLOOKUP(Data[[#This Row],[DEVELOPMENT]],Development_Data_Book[[DEVELOPMENT]:[PRIVATE MANAGEMENT]],26,FALSE)</f>
        <v>16.02</v>
      </c>
      <c r="BE54" s="106">
        <v>1327600</v>
      </c>
      <c r="BF54" s="20">
        <f>VLOOKUP(Data[[#This Row],[DEVELOPMENT]],Development_Data_Book[[DEVELOPMENT]:[PRIVATE MANAGEMENT]],18,FALSE)</f>
        <v>2843</v>
      </c>
      <c r="BG5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54" s="104" t="s">
        <v>2601</v>
      </c>
      <c r="BI54" t="s">
        <v>183</v>
      </c>
      <c r="BJ54" s="20">
        <f>VLOOKUP(Data[[#This Row],[DEVELOPMENT]],Development_Data_Book[[DEVELOPMENT]:[PRIVATE MANAGEMENT]],41,FALSE)</f>
        <v>1</v>
      </c>
      <c r="BK54" s="20">
        <f>VLOOKUP(Data[[#This Row],[DEVELOPMENT]],Development_Data_Book[[DEVELOPMENT]:[PRIVATE MANAGEMENT]],42,FALSE)</f>
        <v>7</v>
      </c>
      <c r="BL54" s="20">
        <f>VLOOKUP(Data[[#This Row],[DEVELOPMENT]],Development_Data_Book[[DEVELOPMENT]:[PRIVATE MANAGEMENT]],43,FALSE)</f>
        <v>18</v>
      </c>
      <c r="BM54" s="20">
        <f>VLOOKUP(Data[[#This Row],[DEVELOPMENT]],Development_Data_Book[[DEVELOPMENT]:[PRIVATE MANAGEMENT]],44,FALSE)</f>
        <v>53</v>
      </c>
      <c r="BN54" s="20">
        <f>VLOOKUP(Data[[#This Row],[DEVELOPMENT]],Development_Data_Book[[DEVELOPMENT]:[PRIVATE MANAGEMENT]],45,FALSE)</f>
        <v>34</v>
      </c>
      <c r="BO54" s="20" t="str">
        <f>VLOOKUP(Data[[#This Row],[DEVELOPMENT]],Development_Data_Book[[DEVELOPMENT]:[PRIVATE MANAGEMENT]],24,FALSE)</f>
        <v>13-20</v>
      </c>
    </row>
    <row r="55" spans="1:67">
      <c r="A55" s="17" t="s">
        <v>1196</v>
      </c>
      <c r="B55" t="str">
        <f>VLOOKUP(Data[[#This Row],[DEVELOPMENT]],Development_Data_Book[[DEVELOPMENT]:[BOROUGH]],MATCH("borough",Development_Data_Book[[#Headers],[DEVELOPMENT]:[BOROUGH]],0),FALSE)</f>
        <v>BROOKLYN</v>
      </c>
      <c r="C55" t="e">
        <f>VLOOKUP(Data[[#This Row],[DEVELOPMENT]],'[1]Cheat-Sheet'!$D$2:$Q$341,2,FALSE)</f>
        <v>#N/A</v>
      </c>
      <c r="D55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55">
        <f>VLOOKUP(Data[[#This Row],[DEVELOPMENT]],Development_Data_Book[[DEVELOPMENT]:[BOROUGH]],21,FALSE)</f>
        <v>25</v>
      </c>
      <c r="F55">
        <f>VLOOKUP(Data[[#This Row],[DEVELOPMENT]],Development_Data_Book[[DEVELOPMENT]:[BOROUGH]],23,FALSE)</f>
        <v>25</v>
      </c>
      <c r="G55">
        <f>VLOOKUP(Data[[#This Row],[DEVELOPMENT]],Development_Data_Book[[DEVELOPMENT]:[BOROUGH]],12,FALSE)</f>
        <v>299</v>
      </c>
      <c r="H55" t="s">
        <v>2246</v>
      </c>
      <c r="J55">
        <f>IFERROR(VLOOKUP(Data[[#This Row],[DEVELOPMENT]],IntCompactors_MRST[],4,FALSE),0)</f>
        <v>0</v>
      </c>
      <c r="K55" s="20">
        <f>IFERROR(VLOOKUP(Data[[#This Row],[DEVELOPMENT]],ExtCompactors_MRST[],4,FALSE),0)</f>
        <v>0</v>
      </c>
      <c r="L55" s="27" t="str">
        <f>IF(Data[[#This Row],['# Interior Compactors MRST]]=0,"",VLOOKUP(Data[[#This Row],[DEVELOPMENT]],IntCompactors_MRST[],5,FALSE))</f>
        <v/>
      </c>
      <c r="M55" s="28" t="str">
        <f>IF(Data[[#This Row],['# Exterior Compactors MRST]]=0,"",VLOOKUP(Data[[#This Row],[DEVELOPMENT]],ExtCompactors_MRST[],5,FALSE))</f>
        <v/>
      </c>
      <c r="N55">
        <f>Data[[#This Row],['# Interior Compactors MRST]]</f>
        <v>0</v>
      </c>
      <c r="O55" s="20">
        <f>IF(Data[[#This Row],['# Bulk Crushers]]=0,1,0)</f>
        <v>1</v>
      </c>
      <c r="P55" s="20">
        <f>1</f>
        <v>1</v>
      </c>
      <c r="Q55" s="20">
        <f>1</f>
        <v>1</v>
      </c>
      <c r="R55" s="20">
        <f>1</f>
        <v>1</v>
      </c>
      <c r="S55" s="20">
        <f>1</f>
        <v>1</v>
      </c>
      <c r="T55" s="20">
        <f>IF(Data[[#This Row],[Sewershed]]="Newtown Creek",Data[[#This Row],[DUs]],0)</f>
        <v>299</v>
      </c>
      <c r="U5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5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5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55" s="82">
        <f>VLOOKUP(Data[[#This Row],[DEVELOPMENT]],Development_Data_Book[[DEVELOPMENT]:[BOROUGH]],3,FALSE)</f>
        <v>302</v>
      </c>
      <c r="Y55" s="20" t="s">
        <v>2599</v>
      </c>
      <c r="Z55" s="20">
        <f>IFERROR(VLOOKUP(Data[[#This Row],[TDS]],ExtCompactors_PNA[[Development]:[0]],2,FALSE),0)</f>
        <v>0</v>
      </c>
      <c r="AA55" s="20">
        <f>IFERROR(VLOOKUP(Data[[#This Row],[TDS]],IntCompactors_PNA[[TDS]:[0]],2,FALSE),0)</f>
        <v>25</v>
      </c>
      <c r="AB55" s="20"/>
      <c r="AC55" s="20"/>
      <c r="AD55" s="20">
        <f>IFERROR(VLOOKUP(Data[[#This Row],[TDS]],ExtCompactors_PNA[[Development]:[0]],3,FALSE)+VLOOKUP(Data[[#This Row],[TDS]],ExtCompactors_PNA[[Development]:[0]],6,FALSE),0)</f>
        <v>0</v>
      </c>
      <c r="AE55" s="20">
        <f>IFERROR(VLOOKUP(Data[[#This Row],[TDS]],IntCompactors_PNA[[TDS]:[0]],3,FALSE)+VLOOKUP(Data[[#This Row],[TDS]],IntCompactors_PNA[[TDS]:[0]],6,FALSE),0)</f>
        <v>25</v>
      </c>
      <c r="AF55" s="20" t="e">
        <f>VLOOKUP(Data[[#This Row],[DEVELOPMENT]],[3]Developments!$A$2:$A$312,1,FALSE)</f>
        <v>#N/A</v>
      </c>
      <c r="AG55" s="20" t="str">
        <f>IFERROR(VLOOKUP(Data[[#This Row],[DEVELOPMENT]],Ops_Priorities_and_Data_Clean[[development]:[ifnoext_comment]],3,FALSE),"")</f>
        <v/>
      </c>
      <c r="AH55" s="20" t="str">
        <f>IFERROR(VLOOKUP(Data[[#This Row],[DEVELOPMENT]],Ops_Priorities_and_Data_Clean[[development]:[ifnoext_comment]],4,FALSE),"")</f>
        <v/>
      </c>
      <c r="AI55" s="20" t="str">
        <f>IFERROR(VLOOKUP(Data[[#This Row],[DEVELOPMENT]],Ops_Priorities_and_Data_Clean[[development]:[ifnoext_comment]],5,FALSE),"")</f>
        <v/>
      </c>
      <c r="AJ55" s="20" t="str">
        <f>IFERROR(VLOOKUP(Data[[#This Row],[DEVELOPMENT]],Ops_Priorities_and_Data_Clean[[development]:[ifnoext_comment]],6,FALSE),"")</f>
        <v/>
      </c>
      <c r="AK55" s="20" t="str">
        <f>IFERROR(VLOOKUP(Data[[#This Row],[DEVELOPMENT]],Ops_Priorities_and_Data_Clean[[development]:[ifnoext_comment]],7,FALSE),"")</f>
        <v/>
      </c>
      <c r="AL55" s="20" t="str">
        <f>IFERROR(VLOOKUP(Data[[#This Row],[DEVELOPMENT]],Ops_Priorities_and_Data_Clean[[development]:[ifnoext_comment]],8,FALSE),"")</f>
        <v/>
      </c>
      <c r="AM55" s="20" t="str">
        <f>IFERROR(VLOOKUP(Data[[#This Row],[DEVELOPMENT]],Ops_Priorities_and_Data_Clean[[development]:[ifnoext_comment]],9,FALSE),"")</f>
        <v/>
      </c>
      <c r="AN55" s="20" t="str">
        <f>IFERROR(VLOOKUP(Data[[#This Row],[DEVELOPMENT]],Ops_Priorities_and_Data_Clean[[development]:[ifnoext_comment]],10,FALSE),"")</f>
        <v/>
      </c>
      <c r="AO55" s="20" t="str">
        <f>IFERROR(VLOOKUP(Data[[#This Row],[DEVELOPMENT]],Ops_Priorities_and_Data_Clean[[development]:[ifnoext_comment]],11,FALSE),"")</f>
        <v/>
      </c>
      <c r="AP55" s="20" t="str">
        <f>IFERROR(VLOOKUP(Data[[#This Row],[DEVELOPMENT]],Ops_Priorities_and_Data_Clean[[development]:[ifnoext_comment]],12,FALSE),"")</f>
        <v/>
      </c>
      <c r="AQ55" s="20" t="e">
        <f>VLOOKUP(Data[[#This Row],[DEVELOPMENT]],Ops_Priorities_and_Data_Clean[[development]:[ifnoext_comment]],14,FALSE)</f>
        <v>#N/A</v>
      </c>
      <c r="AR55" s="20" t="e">
        <f>VLOOKUP(Data[[#This Row],[DEVELOPMENT]],Ops_Priorities_and_Data_Clean[[development]:[ifnoext_comment]],15,FALSE)</f>
        <v>#N/A</v>
      </c>
      <c r="AS55" s="20" t="e">
        <f>VLOOKUP(Data[[#This Row],[DEVELOPMENT]],Ops_Priorities_and_Data_Clean[[development]:[ifnoext_comment]],16,FALSE)</f>
        <v>#N/A</v>
      </c>
      <c r="AT55" s="20" t="e">
        <f>VLOOKUP(Data[[#This Row],[DEVELOPMENT]],Ops_Priorities_and_Data_Clean[[development]:[ifnoext_comment]],17,FALSE)</f>
        <v>#N/A</v>
      </c>
      <c r="AU55" s="20" t="e">
        <f>VLOOKUP(Data[[#This Row],[DEVELOPMENT]],Ops_Priorities_and_Data_Clean[[development]:[ifnoext_comment]],18,FALSE)</f>
        <v>#N/A</v>
      </c>
      <c r="AV55" s="20" t="e">
        <f>VLOOKUP(Data[[#This Row],[DEVELOPMENT]],Ops_Priorities_and_Data_Clean[[development]:[ifnoext_comment]],19,FALSE)</f>
        <v>#N/A</v>
      </c>
      <c r="AW55" s="20" t="e">
        <f>VLOOKUP(Data[[#This Row],[DEVELOPMENT]],Ops_Priorities_and_Data_Clean[[development]:[ifnoext_comment]],20,FALSE)</f>
        <v>#N/A</v>
      </c>
      <c r="AX55" s="20"/>
      <c r="AY55" s="20"/>
      <c r="AZ55" s="20" t="str">
        <f>VLOOKUP(Data[[#This Row],[DEVELOPMENT]],Development_Data_Book[[DEVELOPMENT]:[PRIVATE MANAGEMENT]],8,FALSE)</f>
        <v>FEDERAL</v>
      </c>
      <c r="BA55" s="20"/>
      <c r="BB55" s="20">
        <f>VLOOKUP(Data[[#This Row],[DEVELOPMENT]],Development_Data_Book[[DEVELOPMENT]:[PRIVATE MANAGEMENT]],22,FALSE)</f>
        <v>0</v>
      </c>
      <c r="BC55" s="20">
        <f>Data[[#This Row],[Non-Dwelling Buildings]]+Data[[#This Row],[Dwelling Buildings]]</f>
        <v>25</v>
      </c>
      <c r="BD55" s="20">
        <f>VLOOKUP(Data[[#This Row],[DEVELOPMENT]],Development_Data_Book[[DEVELOPMENT]:[PRIVATE MANAGEMENT]],26,FALSE)</f>
        <v>9.25</v>
      </c>
      <c r="BE55" s="20"/>
      <c r="BF55" s="20">
        <f>VLOOKUP(Data[[#This Row],[DEVELOPMENT]],Development_Data_Book[[DEVELOPMENT]:[PRIVATE MANAGEMENT]],18,FALSE)</f>
        <v>716</v>
      </c>
      <c r="BG5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55" s="20"/>
      <c r="BI55" s="20"/>
      <c r="BJ55" s="20">
        <f>VLOOKUP(Data[[#This Row],[DEVELOPMENT]],Development_Data_Book[[DEVELOPMENT]:[PRIVATE MANAGEMENT]],41,FALSE)</f>
        <v>4</v>
      </c>
      <c r="BK55" s="20" t="str">
        <f>VLOOKUP(Data[[#This Row],[DEVELOPMENT]],Development_Data_Book[[DEVELOPMENT]:[PRIVATE MANAGEMENT]],42,FALSE)</f>
        <v>7, 8</v>
      </c>
      <c r="BL55" s="20">
        <f>VLOOKUP(Data[[#This Row],[DEVELOPMENT]],Development_Data_Book[[DEVELOPMENT]:[PRIVATE MANAGEMENT]],43,FALSE)</f>
        <v>18</v>
      </c>
      <c r="BM55" s="20" t="str">
        <f>VLOOKUP(Data[[#This Row],[DEVELOPMENT]],Development_Data_Book[[DEVELOPMENT]:[PRIVATE MANAGEMENT]],44,FALSE)</f>
        <v>53, 54</v>
      </c>
      <c r="BN55" s="20" t="str">
        <f>VLOOKUP(Data[[#This Row],[DEVELOPMENT]],Development_Data_Book[[DEVELOPMENT]:[PRIVATE MANAGEMENT]],45,FALSE)</f>
        <v>34, 37</v>
      </c>
      <c r="BO55" s="20">
        <f>VLOOKUP(Data[[#This Row],[DEVELOPMENT]],Development_Data_Book[[DEVELOPMENT]:[PRIVATE MANAGEMENT]],24,FALSE)</f>
        <v>3</v>
      </c>
    </row>
    <row r="56" spans="1:67">
      <c r="A56" t="s">
        <v>1206</v>
      </c>
      <c r="B56" s="20" t="str">
        <f>VLOOKUP(Data[[#This Row],[DEVELOPMENT]],Development_Data_Book[[DEVELOPMENT]:[BOROUGH]],MATCH("borough",Development_Data_Book[[#Headers],[DEVELOPMENT]:[BOROUGH]],0),FALSE)</f>
        <v>BROOKLYN</v>
      </c>
      <c r="C56" s="20" t="e">
        <f>VLOOKUP(Data[[#This Row],[DEVELOPMENT]],'[1]Cheat-Sheet'!$D$2:$Q$341,2,FALSE)</f>
        <v>#N/A</v>
      </c>
      <c r="D56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56" s="20">
        <f>VLOOKUP(Data[[#This Row],[DEVELOPMENT]],Development_Data_Book[[DEVELOPMENT]:[BOROUGH]],21,FALSE)</f>
        <v>25</v>
      </c>
      <c r="F56" s="20">
        <f>VLOOKUP(Data[[#This Row],[DEVELOPMENT]],Development_Data_Book[[DEVELOPMENT]:[BOROUGH]],23,FALSE)</f>
        <v>27</v>
      </c>
      <c r="G56" s="20">
        <f>VLOOKUP(Data[[#This Row],[DEVELOPMENT]],Development_Data_Book[[DEVELOPMENT]:[BOROUGH]],12,FALSE)</f>
        <v>300</v>
      </c>
      <c r="J56">
        <f>IFERROR(VLOOKUP(Data[[#This Row],[DEVELOPMENT]],IntCompactors_MRST[],4,FALSE),0)</f>
        <v>0</v>
      </c>
      <c r="K56" s="20">
        <f>IFERROR(VLOOKUP(Data[[#This Row],[DEVELOPMENT]],ExtCompactors_MRST[],4,FALSE),0)</f>
        <v>0</v>
      </c>
      <c r="L56" s="27" t="str">
        <f>IF(Data[[#This Row],['# Interior Compactors MRST]]=0,"",VLOOKUP(Data[[#This Row],[DEVELOPMENT]],IntCompactors_MRST[],5,FALSE))</f>
        <v/>
      </c>
      <c r="M56" s="28" t="str">
        <f>IF(Data[[#This Row],['# Exterior Compactors MRST]]=0,"",VLOOKUP(Data[[#This Row],[DEVELOPMENT]],ExtCompactors_MRST[],5,FALSE))</f>
        <v/>
      </c>
      <c r="N56" s="20">
        <f>Data[[#This Row],['# Interior Compactors MRST]]</f>
        <v>0</v>
      </c>
      <c r="O56" s="20">
        <f>IF(Data[[#This Row],['# Bulk Crushers]]=0,1,0)</f>
        <v>1</v>
      </c>
      <c r="P56" s="20">
        <f>1</f>
        <v>1</v>
      </c>
      <c r="Q56" s="20">
        <f>1</f>
        <v>1</v>
      </c>
      <c r="R56" s="20">
        <f>1</f>
        <v>1</v>
      </c>
      <c r="S56" s="20">
        <f>1</f>
        <v>1</v>
      </c>
      <c r="T56" s="20">
        <f>IF(Data[[#This Row],[Sewershed]]="Newtown Creek",Data[[#This Row],[DUs]],0)</f>
        <v>300</v>
      </c>
      <c r="U5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5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5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56" s="82">
        <f>VLOOKUP(Data[[#This Row],[DEVELOPMENT]],Development_Data_Book[[DEVELOPMENT]:[BOROUGH]],3,FALSE)</f>
        <v>303</v>
      </c>
      <c r="Y56" s="20" t="s">
        <v>2599</v>
      </c>
      <c r="Z56" s="20">
        <f>IFERROR(VLOOKUP(Data[[#This Row],[TDS]],ExtCompactors_PNA[[Development]:[0]],2,FALSE),0)</f>
        <v>0</v>
      </c>
      <c r="AA56" s="20">
        <f>IFERROR(VLOOKUP(Data[[#This Row],[TDS]],IntCompactors_PNA[[TDS]:[0]],2,FALSE),0)</f>
        <v>25</v>
      </c>
      <c r="AB56" s="20"/>
      <c r="AC56" s="20"/>
      <c r="AD56" s="20">
        <f>IFERROR(VLOOKUP(Data[[#This Row],[TDS]],ExtCompactors_PNA[[Development]:[0]],3,FALSE)+VLOOKUP(Data[[#This Row],[TDS]],ExtCompactors_PNA[[Development]:[0]],6,FALSE),0)</f>
        <v>0</v>
      </c>
      <c r="AE56" s="20">
        <f>IFERROR(VLOOKUP(Data[[#This Row],[TDS]],IntCompactors_PNA[[TDS]:[0]],3,FALSE)+VLOOKUP(Data[[#This Row],[TDS]],IntCompactors_PNA[[TDS]:[0]],6,FALSE),0)</f>
        <v>25</v>
      </c>
      <c r="AF56" s="20" t="e">
        <f>VLOOKUP(Data[[#This Row],[DEVELOPMENT]],[3]Developments!$A$2:$A$312,1,FALSE)</f>
        <v>#N/A</v>
      </c>
      <c r="AG56" s="20" t="str">
        <f>IFERROR(VLOOKUP(Data[[#This Row],[DEVELOPMENT]],Ops_Priorities_and_Data_Clean[[development]:[ifnoext_comment]],3,FALSE),"")</f>
        <v/>
      </c>
      <c r="AH56" s="20" t="str">
        <f>IFERROR(VLOOKUP(Data[[#This Row],[DEVELOPMENT]],Ops_Priorities_and_Data_Clean[[development]:[ifnoext_comment]],4,FALSE),"")</f>
        <v/>
      </c>
      <c r="AI56" s="20" t="str">
        <f>IFERROR(VLOOKUP(Data[[#This Row],[DEVELOPMENT]],Ops_Priorities_and_Data_Clean[[development]:[ifnoext_comment]],5,FALSE),"")</f>
        <v/>
      </c>
      <c r="AJ56" s="20" t="str">
        <f>IFERROR(VLOOKUP(Data[[#This Row],[DEVELOPMENT]],Ops_Priorities_and_Data_Clean[[development]:[ifnoext_comment]],6,FALSE),"")</f>
        <v/>
      </c>
      <c r="AK56" s="20" t="str">
        <f>IFERROR(VLOOKUP(Data[[#This Row],[DEVELOPMENT]],Ops_Priorities_and_Data_Clean[[development]:[ifnoext_comment]],7,FALSE),"")</f>
        <v/>
      </c>
      <c r="AL56" s="20" t="str">
        <f>IFERROR(VLOOKUP(Data[[#This Row],[DEVELOPMENT]],Ops_Priorities_and_Data_Clean[[development]:[ifnoext_comment]],8,FALSE),"")</f>
        <v/>
      </c>
      <c r="AM56" s="20" t="str">
        <f>IFERROR(VLOOKUP(Data[[#This Row],[DEVELOPMENT]],Ops_Priorities_and_Data_Clean[[development]:[ifnoext_comment]],9,FALSE),"")</f>
        <v/>
      </c>
      <c r="AN56" s="20" t="str">
        <f>IFERROR(VLOOKUP(Data[[#This Row],[DEVELOPMENT]],Ops_Priorities_and_Data_Clean[[development]:[ifnoext_comment]],10,FALSE),"")</f>
        <v/>
      </c>
      <c r="AO56" s="20" t="str">
        <f>IFERROR(VLOOKUP(Data[[#This Row],[DEVELOPMENT]],Ops_Priorities_and_Data_Clean[[development]:[ifnoext_comment]],11,FALSE),"")</f>
        <v/>
      </c>
      <c r="AP56" s="20" t="str">
        <f>IFERROR(VLOOKUP(Data[[#This Row],[DEVELOPMENT]],Ops_Priorities_and_Data_Clean[[development]:[ifnoext_comment]],12,FALSE),"")</f>
        <v/>
      </c>
      <c r="AQ56" s="20" t="e">
        <f>VLOOKUP(Data[[#This Row],[DEVELOPMENT]],Ops_Priorities_and_Data_Clean[[development]:[ifnoext_comment]],14,FALSE)</f>
        <v>#N/A</v>
      </c>
      <c r="AR56" s="20" t="e">
        <f>VLOOKUP(Data[[#This Row],[DEVELOPMENT]],Ops_Priorities_and_Data_Clean[[development]:[ifnoext_comment]],15,FALSE)</f>
        <v>#N/A</v>
      </c>
      <c r="AS56" s="20" t="e">
        <f>VLOOKUP(Data[[#This Row],[DEVELOPMENT]],Ops_Priorities_and_Data_Clean[[development]:[ifnoext_comment]],16,FALSE)</f>
        <v>#N/A</v>
      </c>
      <c r="AT56" s="20" t="e">
        <f>VLOOKUP(Data[[#This Row],[DEVELOPMENT]],Ops_Priorities_and_Data_Clean[[development]:[ifnoext_comment]],17,FALSE)</f>
        <v>#N/A</v>
      </c>
      <c r="AU56" s="20" t="e">
        <f>VLOOKUP(Data[[#This Row],[DEVELOPMENT]],Ops_Priorities_and_Data_Clean[[development]:[ifnoext_comment]],18,FALSE)</f>
        <v>#N/A</v>
      </c>
      <c r="AV56" s="20" t="e">
        <f>VLOOKUP(Data[[#This Row],[DEVELOPMENT]],Ops_Priorities_and_Data_Clean[[development]:[ifnoext_comment]],19,FALSE)</f>
        <v>#N/A</v>
      </c>
      <c r="AW56" s="20" t="e">
        <f>VLOOKUP(Data[[#This Row],[DEVELOPMENT]],Ops_Priorities_and_Data_Clean[[development]:[ifnoext_comment]],20,FALSE)</f>
        <v>#N/A</v>
      </c>
      <c r="AX56" s="20"/>
      <c r="AY56" s="20"/>
      <c r="AZ56" s="20" t="str">
        <f>VLOOKUP(Data[[#This Row],[DEVELOPMENT]],Development_Data_Book[[DEVELOPMENT]:[PRIVATE MANAGEMENT]],8,FALSE)</f>
        <v>FEDERAL</v>
      </c>
      <c r="BA56" s="20"/>
      <c r="BB56" s="20">
        <f>VLOOKUP(Data[[#This Row],[DEVELOPMENT]],Development_Data_Book[[DEVELOPMENT]:[PRIVATE MANAGEMENT]],22,FALSE)</f>
        <v>1</v>
      </c>
      <c r="BC56" s="20">
        <f>Data[[#This Row],[Non-Dwelling Buildings]]+Data[[#This Row],[Dwelling Buildings]]</f>
        <v>26</v>
      </c>
      <c r="BD56" s="20">
        <f>VLOOKUP(Data[[#This Row],[DEVELOPMENT]],Development_Data_Book[[DEVELOPMENT]:[PRIVATE MANAGEMENT]],26,FALSE)</f>
        <v>10.11</v>
      </c>
      <c r="BE56" s="20"/>
      <c r="BF56" s="20">
        <f>VLOOKUP(Data[[#This Row],[DEVELOPMENT]],Development_Data_Book[[DEVELOPMENT]:[PRIVATE MANAGEMENT]],18,FALSE)</f>
        <v>702</v>
      </c>
      <c r="BG5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56" s="20"/>
      <c r="BI56" s="20"/>
      <c r="BJ56" s="20">
        <f>VLOOKUP(Data[[#This Row],[DEVELOPMENT]],Development_Data_Book[[DEVELOPMENT]:[PRIVATE MANAGEMENT]],41,FALSE)</f>
        <v>4</v>
      </c>
      <c r="BK56" s="20">
        <f>VLOOKUP(Data[[#This Row],[DEVELOPMENT]],Development_Data_Book[[DEVELOPMENT]:[PRIVATE MANAGEMENT]],42,FALSE)</f>
        <v>7</v>
      </c>
      <c r="BL56" s="20">
        <f>VLOOKUP(Data[[#This Row],[DEVELOPMENT]],Development_Data_Book[[DEVELOPMENT]:[PRIVATE MANAGEMENT]],43,FALSE)</f>
        <v>18</v>
      </c>
      <c r="BM56" s="20" t="str">
        <f>VLOOKUP(Data[[#This Row],[DEVELOPMENT]],Development_Data_Book[[DEVELOPMENT]:[PRIVATE MANAGEMENT]],44,FALSE)</f>
        <v>53, 54</v>
      </c>
      <c r="BN56" s="20" t="str">
        <f>VLOOKUP(Data[[#This Row],[DEVELOPMENT]],Development_Data_Book[[DEVELOPMENT]:[PRIVATE MANAGEMENT]],45,FALSE)</f>
        <v>34, 37</v>
      </c>
      <c r="BO56" s="20">
        <f>VLOOKUP(Data[[#This Row],[DEVELOPMENT]],Development_Data_Book[[DEVELOPMENT]:[PRIVATE MANAGEMENT]],24,FALSE)</f>
        <v>3</v>
      </c>
    </row>
    <row r="57" spans="1:67">
      <c r="A57" s="17" t="s">
        <v>1210</v>
      </c>
      <c r="B57" t="str">
        <f>VLOOKUP(Data[[#This Row],[DEVELOPMENT]],Development_Data_Book[[DEVELOPMENT]:[BOROUGH]],MATCH("borough",Development_Data_Book[[#Headers],[DEVELOPMENT]:[BOROUGH]],0),FALSE)</f>
        <v>BROOKLYN</v>
      </c>
      <c r="C57" t="e">
        <f>VLOOKUP(Data[[#This Row],[DEVELOPMENT]],'[1]Cheat-Sheet'!$D$2:$Q$341,2,FALSE)</f>
        <v>#N/A</v>
      </c>
      <c r="D57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57">
        <f>VLOOKUP(Data[[#This Row],[DEVELOPMENT]],Development_Data_Book[[DEVELOPMENT]:[BOROUGH]],21,FALSE)</f>
        <v>5</v>
      </c>
      <c r="F57">
        <f>VLOOKUP(Data[[#This Row],[DEVELOPMENT]],Development_Data_Book[[DEVELOPMENT]:[BOROUGH]],23,FALSE)</f>
        <v>37</v>
      </c>
      <c r="G57">
        <f>VLOOKUP(Data[[#This Row],[DEVELOPMENT]],Development_Data_Book[[DEVELOPMENT]:[BOROUGH]],12,FALSE)</f>
        <v>276</v>
      </c>
      <c r="H57" t="s">
        <v>2246</v>
      </c>
      <c r="J57">
        <f>IFERROR(VLOOKUP(Data[[#This Row],[DEVELOPMENT]],IntCompactors_MRST[],4,FALSE),0)</f>
        <v>0</v>
      </c>
      <c r="K57" s="20">
        <f>IFERROR(VLOOKUP(Data[[#This Row],[DEVELOPMENT]],ExtCompactors_MRST[],4,FALSE),0)</f>
        <v>0</v>
      </c>
      <c r="L57" s="27" t="str">
        <f>IF(Data[[#This Row],['# Interior Compactors MRST]]=0,"",VLOOKUP(Data[[#This Row],[DEVELOPMENT]],IntCompactors_MRST[],5,FALSE))</f>
        <v/>
      </c>
      <c r="M57" s="28" t="str">
        <f>IF(Data[[#This Row],['# Exterior Compactors MRST]]=0,"",VLOOKUP(Data[[#This Row],[DEVELOPMENT]],ExtCompactors_MRST[],5,FALSE))</f>
        <v/>
      </c>
      <c r="N57">
        <f>Data[[#This Row],['# Interior Compactors MRST]]</f>
        <v>0</v>
      </c>
      <c r="O57" s="20">
        <f>IF(Data[[#This Row],['# Bulk Crushers]]=0,1,0)</f>
        <v>1</v>
      </c>
      <c r="P57" s="20">
        <f>1</f>
        <v>1</v>
      </c>
      <c r="Q57" s="20">
        <f>1</f>
        <v>1</v>
      </c>
      <c r="R57" s="20">
        <f>1</f>
        <v>1</v>
      </c>
      <c r="S57" s="20">
        <f>1</f>
        <v>1</v>
      </c>
      <c r="T57" s="20">
        <f>IF(Data[[#This Row],[Sewershed]]="Newtown Creek",Data[[#This Row],[DUs]],0)</f>
        <v>276</v>
      </c>
      <c r="U5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5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5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57" s="82">
        <f>VLOOKUP(Data[[#This Row],[DEVELOPMENT]],Development_Data_Book[[DEVELOPMENT]:[BOROUGH]],3,FALSE)</f>
        <v>324</v>
      </c>
      <c r="Y57" s="20" t="s">
        <v>2599</v>
      </c>
      <c r="Z57" s="20">
        <f>IFERROR(VLOOKUP(Data[[#This Row],[TDS]],ExtCompactors_PNA[[Development]:[0]],2,FALSE),0)</f>
        <v>0</v>
      </c>
      <c r="AA57" s="20">
        <f>IFERROR(VLOOKUP(Data[[#This Row],[TDS]],IntCompactors_PNA[[TDS]:[0]],2,FALSE),0)</f>
        <v>0</v>
      </c>
      <c r="AB57" s="20"/>
      <c r="AC57" s="20"/>
      <c r="AD57" s="20">
        <f>IFERROR(VLOOKUP(Data[[#This Row],[TDS]],ExtCompactors_PNA[[Development]:[0]],3,FALSE)+VLOOKUP(Data[[#This Row],[TDS]],ExtCompactors_PNA[[Development]:[0]],6,FALSE),0)</f>
        <v>0</v>
      </c>
      <c r="AE57" s="20">
        <f>IFERROR(VLOOKUP(Data[[#This Row],[TDS]],IntCompactors_PNA[[TDS]:[0]],3,FALSE)+VLOOKUP(Data[[#This Row],[TDS]],IntCompactors_PNA[[TDS]:[0]],6,FALSE),0)</f>
        <v>0</v>
      </c>
      <c r="AF57" s="20" t="e">
        <f>VLOOKUP(Data[[#This Row],[DEVELOPMENT]],[3]Developments!$A$2:$A$312,1,FALSE)</f>
        <v>#N/A</v>
      </c>
      <c r="AG57" s="20" t="str">
        <f>IFERROR(VLOOKUP(Data[[#This Row],[DEVELOPMENT]],Ops_Priorities_and_Data_Clean[[development]:[ifnoext_comment]],3,FALSE),"")</f>
        <v/>
      </c>
      <c r="AH57" s="20" t="str">
        <f>IFERROR(VLOOKUP(Data[[#This Row],[DEVELOPMENT]],Ops_Priorities_and_Data_Clean[[development]:[ifnoext_comment]],4,FALSE),"")</f>
        <v/>
      </c>
      <c r="AI57" s="20" t="str">
        <f>IFERROR(VLOOKUP(Data[[#This Row],[DEVELOPMENT]],Ops_Priorities_and_Data_Clean[[development]:[ifnoext_comment]],5,FALSE),"")</f>
        <v/>
      </c>
      <c r="AJ57" s="20" t="str">
        <f>IFERROR(VLOOKUP(Data[[#This Row],[DEVELOPMENT]],Ops_Priorities_and_Data_Clean[[development]:[ifnoext_comment]],6,FALSE),"")</f>
        <v/>
      </c>
      <c r="AK57" s="20" t="str">
        <f>IFERROR(VLOOKUP(Data[[#This Row],[DEVELOPMENT]],Ops_Priorities_and_Data_Clean[[development]:[ifnoext_comment]],7,FALSE),"")</f>
        <v/>
      </c>
      <c r="AL57" s="20" t="str">
        <f>IFERROR(VLOOKUP(Data[[#This Row],[DEVELOPMENT]],Ops_Priorities_and_Data_Clean[[development]:[ifnoext_comment]],8,FALSE),"")</f>
        <v/>
      </c>
      <c r="AM57" s="20" t="str">
        <f>IFERROR(VLOOKUP(Data[[#This Row],[DEVELOPMENT]],Ops_Priorities_and_Data_Clean[[development]:[ifnoext_comment]],9,FALSE),"")</f>
        <v/>
      </c>
      <c r="AN57" s="20" t="str">
        <f>IFERROR(VLOOKUP(Data[[#This Row],[DEVELOPMENT]],Ops_Priorities_and_Data_Clean[[development]:[ifnoext_comment]],10,FALSE),"")</f>
        <v/>
      </c>
      <c r="AO57" s="20" t="str">
        <f>IFERROR(VLOOKUP(Data[[#This Row],[DEVELOPMENT]],Ops_Priorities_and_Data_Clean[[development]:[ifnoext_comment]],11,FALSE),"")</f>
        <v/>
      </c>
      <c r="AP57" s="20" t="str">
        <f>IFERROR(VLOOKUP(Data[[#This Row],[DEVELOPMENT]],Ops_Priorities_and_Data_Clean[[development]:[ifnoext_comment]],12,FALSE),"")</f>
        <v/>
      </c>
      <c r="AQ57" s="20" t="e">
        <f>VLOOKUP(Data[[#This Row],[DEVELOPMENT]],Ops_Priorities_and_Data_Clean[[development]:[ifnoext_comment]],14,FALSE)</f>
        <v>#N/A</v>
      </c>
      <c r="AR57" s="20" t="e">
        <f>VLOOKUP(Data[[#This Row],[DEVELOPMENT]],Ops_Priorities_and_Data_Clean[[development]:[ifnoext_comment]],15,FALSE)</f>
        <v>#N/A</v>
      </c>
      <c r="AS57" s="20" t="e">
        <f>VLOOKUP(Data[[#This Row],[DEVELOPMENT]],Ops_Priorities_and_Data_Clean[[development]:[ifnoext_comment]],16,FALSE)</f>
        <v>#N/A</v>
      </c>
      <c r="AT57" s="20" t="e">
        <f>VLOOKUP(Data[[#This Row],[DEVELOPMENT]],Ops_Priorities_and_Data_Clean[[development]:[ifnoext_comment]],17,FALSE)</f>
        <v>#N/A</v>
      </c>
      <c r="AU57" s="20" t="e">
        <f>VLOOKUP(Data[[#This Row],[DEVELOPMENT]],Ops_Priorities_and_Data_Clean[[development]:[ifnoext_comment]],18,FALSE)</f>
        <v>#N/A</v>
      </c>
      <c r="AV57" s="20" t="e">
        <f>VLOOKUP(Data[[#This Row],[DEVELOPMENT]],Ops_Priorities_and_Data_Clean[[development]:[ifnoext_comment]],19,FALSE)</f>
        <v>#N/A</v>
      </c>
      <c r="AW57" s="20" t="e">
        <f>VLOOKUP(Data[[#This Row],[DEVELOPMENT]],Ops_Priorities_and_Data_Clean[[development]:[ifnoext_comment]],20,FALSE)</f>
        <v>#N/A</v>
      </c>
      <c r="AX57" s="20"/>
      <c r="AY57" s="20"/>
      <c r="AZ57" s="20" t="str">
        <f>VLOOKUP(Data[[#This Row],[DEVELOPMENT]],Development_Data_Book[[DEVELOPMENT]:[PRIVATE MANAGEMENT]],8,FALSE)</f>
        <v>FEDERAL</v>
      </c>
      <c r="BA57" s="20"/>
      <c r="BB57" s="20">
        <f>VLOOKUP(Data[[#This Row],[DEVELOPMENT]],Development_Data_Book[[DEVELOPMENT]:[PRIVATE MANAGEMENT]],22,FALSE)</f>
        <v>0</v>
      </c>
      <c r="BC57" s="20">
        <f>Data[[#This Row],[Non-Dwelling Buildings]]+Data[[#This Row],[Dwelling Buildings]]</f>
        <v>5</v>
      </c>
      <c r="BD57" s="20">
        <f>VLOOKUP(Data[[#This Row],[DEVELOPMENT]],Development_Data_Book[[DEVELOPMENT]:[PRIVATE MANAGEMENT]],26,FALSE)</f>
        <v>6.89</v>
      </c>
      <c r="BE57" s="20"/>
      <c r="BF57" s="20">
        <f>VLOOKUP(Data[[#This Row],[DEVELOPMENT]],Development_Data_Book[[DEVELOPMENT]:[PRIVATE MANAGEMENT]],18,FALSE)</f>
        <v>555</v>
      </c>
      <c r="BG5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57" s="20"/>
      <c r="BI57" s="20"/>
      <c r="BJ57" s="20">
        <f>VLOOKUP(Data[[#This Row],[DEVELOPMENT]],Development_Data_Book[[DEVELOPMENT]:[PRIVATE MANAGEMENT]],41,FALSE)</f>
        <v>4</v>
      </c>
      <c r="BK57" s="20">
        <f>VLOOKUP(Data[[#This Row],[DEVELOPMENT]],Development_Data_Book[[DEVELOPMENT]:[PRIVATE MANAGEMENT]],42,FALSE)</f>
        <v>7</v>
      </c>
      <c r="BL57" s="20">
        <f>VLOOKUP(Data[[#This Row],[DEVELOPMENT]],Development_Data_Book[[DEVELOPMENT]:[PRIVATE MANAGEMENT]],43,FALSE)</f>
        <v>18</v>
      </c>
      <c r="BM57" s="20">
        <f>VLOOKUP(Data[[#This Row],[DEVELOPMENT]],Development_Data_Book[[DEVELOPMENT]:[PRIVATE MANAGEMENT]],44,FALSE)</f>
        <v>53</v>
      </c>
      <c r="BN57" s="20">
        <f>VLOOKUP(Data[[#This Row],[DEVELOPMENT]],Development_Data_Book[[DEVELOPMENT]:[PRIVATE MANAGEMENT]],45,FALSE)</f>
        <v>37</v>
      </c>
      <c r="BO57" s="20">
        <f>VLOOKUP(Data[[#This Row],[DEVELOPMENT]],Development_Data_Book[[DEVELOPMENT]:[PRIVATE MANAGEMENT]],24,FALSE)</f>
        <v>3</v>
      </c>
    </row>
    <row r="58" spans="1:67">
      <c r="A58" s="17" t="s">
        <v>31</v>
      </c>
      <c r="B58" s="17" t="str">
        <f>VLOOKUP(Data[[#This Row],[DEVELOPMENT]],Development_Data_Book[[DEVELOPMENT]:[BOROUGH]],MATCH("borough",Development_Data_Book[[#Headers],[DEVELOPMENT]:[BOROUGH]],0),FALSE)</f>
        <v>BRONX</v>
      </c>
      <c r="C58" t="e">
        <f>VLOOKUP(Data[[#This Row],[DEVELOPMENT]],'[1]Cheat-Sheet'!$D$2:$Q$341,2,FALSE)</f>
        <v>#N/A</v>
      </c>
      <c r="D5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58">
        <f>VLOOKUP(Data[[#This Row],[DEVELOPMENT]],Development_Data_Book[[DEVELOPMENT]:[BOROUGH]],21,FALSE)</f>
        <v>6</v>
      </c>
      <c r="F58">
        <f>VLOOKUP(Data[[#This Row],[DEVELOPMENT]],Development_Data_Book[[DEVELOPMENT]:[BOROUGH]],23,FALSE)</f>
        <v>7</v>
      </c>
      <c r="G58">
        <f>VLOOKUP(Data[[#This Row],[DEVELOPMENT]],Development_Data_Book[[DEVELOPMENT]:[BOROUGH]],12,FALSE)</f>
        <v>1476</v>
      </c>
      <c r="H58" t="s">
        <v>2246</v>
      </c>
      <c r="I58">
        <v>3</v>
      </c>
      <c r="J58">
        <f>IFERROR(VLOOKUP(Data[[#This Row],[DEVELOPMENT]],IntCompactors_MRST[],4,FALSE),0)</f>
        <v>6</v>
      </c>
      <c r="K58" s="20">
        <f>IFERROR(VLOOKUP(Data[[#This Row],[DEVELOPMENT]],ExtCompactors_MRST[],4,FALSE),0)</f>
        <v>4</v>
      </c>
      <c r="L58" s="27">
        <f>IF(Data[[#This Row],['# Interior Compactors MRST]]=0,"",VLOOKUP(Data[[#This Row],[DEVELOPMENT]],IntCompactors_MRST[],5,FALSE))</f>
        <v>36312</v>
      </c>
      <c r="M58" s="28">
        <f>IF(Data[[#This Row],['# Exterior Compactors MRST]]=0,"",VLOOKUP(Data[[#This Row],[DEVELOPMENT]],ExtCompactors_MRST[],5,FALSE))</f>
        <v>43665</v>
      </c>
      <c r="N58">
        <f>Data[[#This Row],['# Interior Compactors MRST]]</f>
        <v>6</v>
      </c>
      <c r="O58" s="20">
        <f>IF(Data[[#This Row],['# Bulk Crushers]]=0,1,0)</f>
        <v>1</v>
      </c>
      <c r="P58" s="20">
        <f>1</f>
        <v>1</v>
      </c>
      <c r="Q58" s="20">
        <f>1</f>
        <v>1</v>
      </c>
      <c r="R58" s="20">
        <f>1</f>
        <v>1</v>
      </c>
      <c r="S58" s="20">
        <f>1</f>
        <v>1</v>
      </c>
      <c r="T58" s="20">
        <f>IF(Data[[#This Row],[Sewershed]]="Newtown Creek",Data[[#This Row],[DUs]],0)</f>
        <v>0</v>
      </c>
      <c r="U5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5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5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58" s="82">
        <f>VLOOKUP(Data[[#This Row],[DEVELOPMENT]],Development_Data_Book[[DEVELOPMENT]:[BOROUGH]],3,FALSE)</f>
        <v>113</v>
      </c>
      <c r="Y58" s="20"/>
      <c r="Z58" s="20">
        <f>IFERROR(VLOOKUP(Data[[#This Row],[TDS]],ExtCompactors_PNA[[Development]:[0]],2,FALSE),0)</f>
        <v>2</v>
      </c>
      <c r="AA58" s="20">
        <f>IFERROR(VLOOKUP(Data[[#This Row],[TDS]],IntCompactors_PNA[[TDS]:[0]],2,FALSE),0)</f>
        <v>12</v>
      </c>
      <c r="AB58" s="20"/>
      <c r="AC58" s="20"/>
      <c r="AD58" s="20">
        <f>IFERROR(VLOOKUP(Data[[#This Row],[TDS]],ExtCompactors_PNA[[Development]:[0]],3,FALSE)+VLOOKUP(Data[[#This Row],[TDS]],ExtCompactors_PNA[[Development]:[0]],6,FALSE),0)</f>
        <v>2</v>
      </c>
      <c r="AE58" s="20">
        <f>IFERROR(VLOOKUP(Data[[#This Row],[TDS]],IntCompactors_PNA[[TDS]:[0]],3,FALSE)+VLOOKUP(Data[[#This Row],[TDS]],IntCompactors_PNA[[TDS]:[0]],6,FALSE),0)</f>
        <v>12</v>
      </c>
      <c r="AF58" s="20" t="e">
        <f>VLOOKUP(Data[[#This Row],[DEVELOPMENT]],[3]Developments!$A$2:$A$312,1,FALSE)</f>
        <v>#N/A</v>
      </c>
      <c r="AG58" s="20">
        <f>IFERROR(VLOOKUP(Data[[#This Row],[DEVELOPMENT]],Ops_Priorities_and_Data_Clean[[development]:[ifnoext_comment]],3,FALSE),"")</f>
        <v>4</v>
      </c>
      <c r="AH58" s="20">
        <f>IFERROR(VLOOKUP(Data[[#This Row],[DEVELOPMENT]],Ops_Priorities_and_Data_Clean[[development]:[ifnoext_comment]],4,FALSE),"")</f>
        <v>3</v>
      </c>
      <c r="AI58" s="20">
        <f>IFERROR(VLOOKUP(Data[[#This Row],[DEVELOPMENT]],Ops_Priorities_and_Data_Clean[[development]:[ifnoext_comment]],5,FALSE),"")</f>
        <v>1</v>
      </c>
      <c r="AJ58" s="20">
        <f>IFERROR(VLOOKUP(Data[[#This Row],[DEVELOPMENT]],Ops_Priorities_and_Data_Clean[[development]:[ifnoext_comment]],6,FALSE),"")</f>
        <v>0</v>
      </c>
      <c r="AK58" s="20">
        <f>IFERROR(VLOOKUP(Data[[#This Row],[DEVELOPMENT]],Ops_Priorities_and_Data_Clean[[development]:[ifnoext_comment]],7,FALSE),"")</f>
        <v>0</v>
      </c>
      <c r="AL58" s="20">
        <f>IFERROR(VLOOKUP(Data[[#This Row],[DEVELOPMENT]],Ops_Priorities_and_Data_Clean[[development]:[ifnoext_comment]],8,FALSE),"")</f>
        <v>1</v>
      </c>
      <c r="AM58" s="20">
        <f>IFERROR(VLOOKUP(Data[[#This Row],[DEVELOPMENT]],Ops_Priorities_and_Data_Clean[[development]:[ifnoext_comment]],9,FALSE),"")</f>
        <v>0</v>
      </c>
      <c r="AN58" s="20">
        <f>IFERROR(VLOOKUP(Data[[#This Row],[DEVELOPMENT]],Ops_Priorities_and_Data_Clean[[development]:[ifnoext_comment]],10,FALSE),"")</f>
        <v>4</v>
      </c>
      <c r="AO58" s="20">
        <f>IFERROR(VLOOKUP(Data[[#This Row],[DEVELOPMENT]],Ops_Priorities_and_Data_Clean[[development]:[ifnoext_comment]],11,FALSE),"")</f>
        <v>4</v>
      </c>
      <c r="AP58" s="20">
        <f>IFERROR(VLOOKUP(Data[[#This Row],[DEVELOPMENT]],Ops_Priorities_and_Data_Clean[[development]:[ifnoext_comment]],12,FALSE),"")</f>
        <v>4</v>
      </c>
      <c r="AQ58" s="20">
        <f>VLOOKUP(Data[[#This Row],[DEVELOPMENT]],Ops_Priorities_and_Data_Clean[[development]:[ifnoext_comment]],14,FALSE)</f>
        <v>0</v>
      </c>
      <c r="AR58" s="20">
        <f>VLOOKUP(Data[[#This Row],[DEVELOPMENT]],Ops_Priorities_and_Data_Clean[[development]:[ifnoext_comment]],15,FALSE)</f>
        <v>0</v>
      </c>
      <c r="AS58" s="20" t="str">
        <f>VLOOKUP(Data[[#This Row],[DEVELOPMENT]],Ops_Priorities_and_Data_Clean[[development]:[ifnoext_comment]],16,FALSE)</f>
        <v>NULL</v>
      </c>
      <c r="AT58" s="20" t="str">
        <f>VLOOKUP(Data[[#This Row],[DEVELOPMENT]],Ops_Priorities_and_Data_Clean[[development]:[ifnoext_comment]],17,FALSE)</f>
        <v>NULL</v>
      </c>
      <c r="AU58" s="20" t="str">
        <f>VLOOKUP(Data[[#This Row],[DEVELOPMENT]],Ops_Priorities_and_Data_Clean[[development]:[ifnoext_comment]],18,FALSE)</f>
        <v>No</v>
      </c>
      <c r="AV58" s="20" t="str">
        <f>VLOOKUP(Data[[#This Row],[DEVELOPMENT]],Ops_Priorities_and_Data_Clean[[development]:[ifnoext_comment]],19,FALSE)</f>
        <v>container on-site</v>
      </c>
      <c r="AW58" s="20" t="str">
        <f>VLOOKUP(Data[[#This Row],[DEVELOPMENT]],Ops_Priorities_and_Data_Clean[[development]:[ifnoext_comment]],20,FALSE)</f>
        <v>NULL</v>
      </c>
      <c r="AX58" s="104" t="s">
        <v>2237</v>
      </c>
      <c r="AY58" s="104" t="s">
        <v>2590</v>
      </c>
      <c r="AZ58" s="20" t="str">
        <f>VLOOKUP(Data[[#This Row],[DEVELOPMENT]],Development_Data_Book[[DEVELOPMENT]:[PRIVATE MANAGEMENT]],8,FALSE)</f>
        <v>FEDERAL</v>
      </c>
      <c r="BA58" s="104" t="s">
        <v>2586</v>
      </c>
      <c r="BB58" s="20">
        <f>VLOOKUP(Data[[#This Row],[DEVELOPMENT]],Development_Data_Book[[DEVELOPMENT]:[PRIVATE MANAGEMENT]],22,FALSE)</f>
        <v>1</v>
      </c>
      <c r="BC58" s="20">
        <f>Data[[#This Row],[Non-Dwelling Buildings]]+Data[[#This Row],[Dwelling Buildings]]</f>
        <v>7</v>
      </c>
      <c r="BD58" s="20">
        <f>VLOOKUP(Data[[#This Row],[DEVELOPMENT]],Development_Data_Book[[DEVELOPMENT]:[PRIVATE MANAGEMENT]],26,FALSE)</f>
        <v>12.81</v>
      </c>
      <c r="BE58" s="106">
        <v>1504200</v>
      </c>
      <c r="BF58" s="20">
        <f>VLOOKUP(Data[[#This Row],[DEVELOPMENT]],Development_Data_Book[[DEVELOPMENT]:[PRIVATE MANAGEMENT]],18,FALSE)</f>
        <v>4297</v>
      </c>
      <c r="BG5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58" s="104" t="s">
        <v>2631</v>
      </c>
      <c r="BI58" t="s">
        <v>183</v>
      </c>
      <c r="BJ58" s="20">
        <f>VLOOKUP(Data[[#This Row],[DEVELOPMENT]],Development_Data_Book[[DEVELOPMENT]:[PRIVATE MANAGEMENT]],41,FALSE)</f>
        <v>3</v>
      </c>
      <c r="BK58" s="20">
        <f>VLOOKUP(Data[[#This Row],[DEVELOPMENT]],Development_Data_Book[[DEVELOPMENT]:[PRIVATE MANAGEMENT]],42,FALSE)</f>
        <v>15</v>
      </c>
      <c r="BL58" s="20">
        <f>VLOOKUP(Data[[#This Row],[DEVELOPMENT]],Development_Data_Book[[DEVELOPMENT]:[PRIVATE MANAGEMENT]],43,FALSE)</f>
        <v>33</v>
      </c>
      <c r="BM58" s="20">
        <f>VLOOKUP(Data[[#This Row],[DEVELOPMENT]],Development_Data_Book[[DEVELOPMENT]:[PRIVATE MANAGEMENT]],44,FALSE)</f>
        <v>79</v>
      </c>
      <c r="BN58" s="20">
        <f>VLOOKUP(Data[[#This Row],[DEVELOPMENT]],Development_Data_Book[[DEVELOPMENT]:[PRIVATE MANAGEMENT]],45,FALSE)</f>
        <v>16</v>
      </c>
      <c r="BO58" s="20">
        <f>VLOOKUP(Data[[#This Row],[DEVELOPMENT]],Development_Data_Book[[DEVELOPMENT]:[PRIVATE MANAGEMENT]],24,FALSE)</f>
        <v>21</v>
      </c>
    </row>
    <row r="59" spans="1:67">
      <c r="A59" s="17" t="s">
        <v>60</v>
      </c>
      <c r="B59" s="17" t="str">
        <f>VLOOKUP(Data[[#This Row],[DEVELOPMENT]],Development_Data_Book[[DEVELOPMENT]:[BOROUGH]],MATCH("borough",Development_Data_Book[[#Headers],[DEVELOPMENT]:[BOROUGH]],0),FALSE)</f>
        <v>MANHATTAN</v>
      </c>
      <c r="C59" t="e">
        <f>VLOOKUP(Data[[#This Row],[DEVELOPMENT]],'[1]Cheat-Sheet'!$D$2:$Q$341,2,FALSE)</f>
        <v>#N/A</v>
      </c>
      <c r="D5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59">
        <f>VLOOKUP(Data[[#This Row],[DEVELOPMENT]],Development_Data_Book[[DEVELOPMENT]:[BOROUGH]],21,FALSE)</f>
        <v>2</v>
      </c>
      <c r="F59">
        <f>VLOOKUP(Data[[#This Row],[DEVELOPMENT]],Development_Data_Book[[DEVELOPMENT]:[BOROUGH]],23,FALSE)</f>
        <v>3</v>
      </c>
      <c r="G59">
        <f>VLOOKUP(Data[[#This Row],[DEVELOPMENT]],Development_Data_Book[[DEVELOPMENT]:[BOROUGH]],12,FALSE)</f>
        <v>224</v>
      </c>
      <c r="H59" t="s">
        <v>2246</v>
      </c>
      <c r="I59">
        <v>3</v>
      </c>
      <c r="J59">
        <f>IFERROR(VLOOKUP(Data[[#This Row],[DEVELOPMENT]],IntCompactors_MRST[],4,FALSE),0)</f>
        <v>3</v>
      </c>
      <c r="K59" s="20">
        <f>IFERROR(VLOOKUP(Data[[#This Row],[DEVELOPMENT]],ExtCompactors_MRST[],4,FALSE),0)</f>
        <v>0</v>
      </c>
      <c r="L59" s="27">
        <f>IF(Data[[#This Row],['# Interior Compactors MRST]]=0,"",VLOOKUP(Data[[#This Row],[DEVELOPMENT]],IntCompactors_MRST[],5,FALSE))</f>
        <v>43009</v>
      </c>
      <c r="M59" s="28" t="str">
        <f>IF(Data[[#This Row],['# Exterior Compactors MRST]]=0,"",VLOOKUP(Data[[#This Row],[DEVELOPMENT]],ExtCompactors_MRST[],5,FALSE))</f>
        <v/>
      </c>
      <c r="N59">
        <f>Data[[#This Row],['# Interior Compactors MRST]]</f>
        <v>3</v>
      </c>
      <c r="O59" s="20">
        <f>IF(Data[[#This Row],['# Bulk Crushers]]=0,1,0)</f>
        <v>1</v>
      </c>
      <c r="P59" s="20">
        <f>1</f>
        <v>1</v>
      </c>
      <c r="Q59" s="20">
        <f>1</f>
        <v>1</v>
      </c>
      <c r="R59" s="20">
        <f>1</f>
        <v>1</v>
      </c>
      <c r="S59" s="20">
        <f>1</f>
        <v>1</v>
      </c>
      <c r="T59" s="20">
        <f>IF(Data[[#This Row],[Sewershed]]="Newtown Creek",Data[[#This Row],[DUs]],0)</f>
        <v>224</v>
      </c>
      <c r="U5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5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5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59" s="82">
        <f>VLOOKUP(Data[[#This Row],[DEVELOPMENT]],Development_Data_Book[[DEVELOPMENT]:[BOROUGH]],3,FALSE)</f>
        <v>286</v>
      </c>
      <c r="Y59" s="20" t="s">
        <v>2599</v>
      </c>
      <c r="Z59" s="20">
        <f>IFERROR(VLOOKUP(Data[[#This Row],[TDS]],ExtCompactors_PNA[[Development]:[0]],2,FALSE),0)</f>
        <v>0</v>
      </c>
      <c r="AA59" s="20">
        <f>IFERROR(VLOOKUP(Data[[#This Row],[TDS]],IntCompactors_PNA[[TDS]:[0]],2,FALSE),0)</f>
        <v>3</v>
      </c>
      <c r="AB59" s="20"/>
      <c r="AC59" s="20"/>
      <c r="AD59" s="20">
        <f>IFERROR(VLOOKUP(Data[[#This Row],[TDS]],ExtCompactors_PNA[[Development]:[0]],3,FALSE)+VLOOKUP(Data[[#This Row],[TDS]],ExtCompactors_PNA[[Development]:[0]],6,FALSE),0)</f>
        <v>0</v>
      </c>
      <c r="AE59" s="20">
        <f>IFERROR(VLOOKUP(Data[[#This Row],[TDS]],IntCompactors_PNA[[TDS]:[0]],3,FALSE)+VLOOKUP(Data[[#This Row],[TDS]],IntCompactors_PNA[[TDS]:[0]],6,FALSE),0)</f>
        <v>3</v>
      </c>
      <c r="AF59" s="20" t="e">
        <f>VLOOKUP(Data[[#This Row],[DEVELOPMENT]],[3]Developments!$A$2:$A$312,1,FALSE)</f>
        <v>#N/A</v>
      </c>
      <c r="AG59" s="20">
        <f>IFERROR(VLOOKUP(Data[[#This Row],[DEVELOPMENT]],Ops_Priorities_and_Data_Clean[[development]:[ifnoext_comment]],3,FALSE),"")</f>
        <v>0</v>
      </c>
      <c r="AH59" s="20">
        <f>IFERROR(VLOOKUP(Data[[#This Row],[DEVELOPMENT]],Ops_Priorities_and_Data_Clean[[development]:[ifnoext_comment]],4,FALSE),"")</f>
        <v>0</v>
      </c>
      <c r="AI59" s="20">
        <f>IFERROR(VLOOKUP(Data[[#This Row],[DEVELOPMENT]],Ops_Priorities_and_Data_Clean[[development]:[ifnoext_comment]],5,FALSE),"")</f>
        <v>0</v>
      </c>
      <c r="AJ59" s="20">
        <f>IFERROR(VLOOKUP(Data[[#This Row],[DEVELOPMENT]],Ops_Priorities_and_Data_Clean[[development]:[ifnoext_comment]],6,FALSE),"")</f>
        <v>1</v>
      </c>
      <c r="AK59" s="20">
        <f>IFERROR(VLOOKUP(Data[[#This Row],[DEVELOPMENT]],Ops_Priorities_and_Data_Clean[[development]:[ifnoext_comment]],7,FALSE),"")</f>
        <v>0</v>
      </c>
      <c r="AL59" s="20">
        <f>IFERROR(VLOOKUP(Data[[#This Row],[DEVELOPMENT]],Ops_Priorities_and_Data_Clean[[development]:[ifnoext_comment]],8,FALSE),"")</f>
        <v>1</v>
      </c>
      <c r="AM59" s="20">
        <f>IFERROR(VLOOKUP(Data[[#This Row],[DEVELOPMENT]],Ops_Priorities_and_Data_Clean[[development]:[ifnoext_comment]],9,FALSE),"")</f>
        <v>1</v>
      </c>
      <c r="AN59" s="20">
        <f>IFERROR(VLOOKUP(Data[[#This Row],[DEVELOPMENT]],Ops_Priorities_and_Data_Clean[[development]:[ifnoext_comment]],10,FALSE),"")</f>
        <v>0</v>
      </c>
      <c r="AO59" s="20">
        <f>IFERROR(VLOOKUP(Data[[#This Row],[DEVELOPMENT]],Ops_Priorities_and_Data_Clean[[development]:[ifnoext_comment]],11,FALSE),"")</f>
        <v>0</v>
      </c>
      <c r="AP59" s="20">
        <f>IFERROR(VLOOKUP(Data[[#This Row],[DEVELOPMENT]],Ops_Priorities_and_Data_Clean[[development]:[ifnoext_comment]],12,FALSE),"")</f>
        <v>1</v>
      </c>
      <c r="AQ59" s="20">
        <f>VLOOKUP(Data[[#This Row],[DEVELOPMENT]],Ops_Priorities_and_Data_Clean[[development]:[ifnoext_comment]],14,FALSE)</f>
        <v>0</v>
      </c>
      <c r="AR59" s="20">
        <f>VLOOKUP(Data[[#This Row],[DEVELOPMENT]],Ops_Priorities_and_Data_Clean[[development]:[ifnoext_comment]],15,FALSE)</f>
        <v>1</v>
      </c>
      <c r="AS59" s="20" t="str">
        <f>VLOOKUP(Data[[#This Row],[DEVELOPMENT]],Ops_Priorities_and_Data_Clean[[development]:[ifnoext_comment]],16,FALSE)</f>
        <v>CAMPOS I</v>
      </c>
      <c r="AT59" s="20" t="str">
        <f>VLOOKUP(Data[[#This Row],[DEVELOPMENT]],Ops_Priorities_and_Data_Clean[[development]:[ifnoext_comment]],17,FALSE)</f>
        <v>NULL</v>
      </c>
      <c r="AU59" s="20" t="str">
        <f>VLOOKUP(Data[[#This Row],[DEVELOPMENT]],Ops_Priorities_and_Data_Clean[[development]:[ifnoext_comment]],18,FALSE)</f>
        <v>No</v>
      </c>
      <c r="AV59" s="20" t="str">
        <f>VLOOKUP(Data[[#This Row],[DEVELOPMENT]],Ops_Priorities_and_Data_Clean[[development]:[ifnoext_comment]],19,FALSE)</f>
        <v>served by Campos Plaza I</v>
      </c>
      <c r="AW59" s="20" t="str">
        <f>VLOOKUP(Data[[#This Row],[DEVELOPMENT]],Ops_Priorities_and_Data_Clean[[development]:[ifnoext_comment]],20,FALSE)</f>
        <v>NULL</v>
      </c>
      <c r="AX59" s="104" t="s">
        <v>2239</v>
      </c>
      <c r="AY59" s="104" t="s">
        <v>2632</v>
      </c>
      <c r="AZ59" s="20" t="str">
        <f>VLOOKUP(Data[[#This Row],[DEVELOPMENT]],Development_Data_Book[[DEVELOPMENT]:[PRIVATE MANAGEMENT]],8,FALSE)</f>
        <v>FEDERAL</v>
      </c>
      <c r="BA59" s="104" t="s">
        <v>2586</v>
      </c>
      <c r="BB59" s="20">
        <f>VLOOKUP(Data[[#This Row],[DEVELOPMENT]],Development_Data_Book[[DEVELOPMENT]:[PRIVATE MANAGEMENT]],22,FALSE)</f>
        <v>0</v>
      </c>
      <c r="BC59" s="20">
        <f>Data[[#This Row],[Non-Dwelling Buildings]]+Data[[#This Row],[Dwelling Buildings]]</f>
        <v>2</v>
      </c>
      <c r="BD59" s="20">
        <f>VLOOKUP(Data[[#This Row],[DEVELOPMENT]],Development_Data_Book[[DEVELOPMENT]:[PRIVATE MANAGEMENT]],26,FALSE)</f>
        <v>2.14</v>
      </c>
      <c r="BE59" s="106">
        <v>335728</v>
      </c>
      <c r="BF59" s="20">
        <f>VLOOKUP(Data[[#This Row],[DEVELOPMENT]],Development_Data_Book[[DEVELOPMENT]:[PRIVATE MANAGEMENT]],18,FALSE)</f>
        <v>508</v>
      </c>
      <c r="BG5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59" s="104" t="s">
        <v>2607</v>
      </c>
      <c r="BI59" t="s">
        <v>184</v>
      </c>
      <c r="BJ59" s="20">
        <f>VLOOKUP(Data[[#This Row],[DEVELOPMENT]],Development_Data_Book[[DEVELOPMENT]:[PRIVATE MANAGEMENT]],41,FALSE)</f>
        <v>3</v>
      </c>
      <c r="BK59" s="20">
        <f>VLOOKUP(Data[[#This Row],[DEVELOPMENT]],Development_Data_Book[[DEVELOPMENT]:[PRIVATE MANAGEMENT]],42,FALSE)</f>
        <v>12</v>
      </c>
      <c r="BL59" s="20">
        <f>VLOOKUP(Data[[#This Row],[DEVELOPMENT]],Development_Data_Book[[DEVELOPMENT]:[PRIVATE MANAGEMENT]],43,FALSE)</f>
        <v>27</v>
      </c>
      <c r="BM59" s="20">
        <f>VLOOKUP(Data[[#This Row],[DEVELOPMENT]],Development_Data_Book[[DEVELOPMENT]:[PRIVATE MANAGEMENT]],44,FALSE)</f>
        <v>74</v>
      </c>
      <c r="BN59" s="20">
        <f>VLOOKUP(Data[[#This Row],[DEVELOPMENT]],Development_Data_Book[[DEVELOPMENT]:[PRIVATE MANAGEMENT]],45,FALSE)</f>
        <v>2</v>
      </c>
      <c r="BO59" s="20">
        <f>VLOOKUP(Data[[#This Row],[DEVELOPMENT]],Development_Data_Book[[DEVELOPMENT]:[PRIVATE MANAGEMENT]],24,FALSE)</f>
        <v>43725</v>
      </c>
    </row>
    <row r="60" spans="1:67">
      <c r="A60" t="s">
        <v>306</v>
      </c>
      <c r="B60" s="20" t="str">
        <f>VLOOKUP(Data[[#This Row],[DEVELOPMENT]],Development_Data_Book[[DEVELOPMENT]:[BOROUGH]],MATCH("borough",Development_Data_Book[[#Headers],[DEVELOPMENT]:[BOROUGH]],0),FALSE)</f>
        <v>BROOKLYN</v>
      </c>
      <c r="C60" s="20" t="e">
        <f>VLOOKUP(Data[[#This Row],[DEVELOPMENT]],'[1]Cheat-Sheet'!$D$2:$Q$341,2,FALSE)</f>
        <v>#N/A</v>
      </c>
      <c r="D6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60" s="20">
        <f>VLOOKUP(Data[[#This Row],[DEVELOPMENT]],Development_Data_Book[[DEVELOPMENT]:[BOROUGH]],21,FALSE)</f>
        <v>3</v>
      </c>
      <c r="F60" s="20">
        <f>VLOOKUP(Data[[#This Row],[DEVELOPMENT]],Development_Data_Book[[DEVELOPMENT]:[BOROUGH]],23,FALSE)</f>
        <v>5</v>
      </c>
      <c r="G60" s="20">
        <f>VLOOKUP(Data[[#This Row],[DEVELOPMENT]],Development_Data_Book[[DEVELOPMENT]:[BOROUGH]],12,FALSE)</f>
        <v>682</v>
      </c>
      <c r="J60">
        <f>IFERROR(VLOOKUP(Data[[#This Row],[DEVELOPMENT]],IntCompactors_MRST[],4,FALSE),0)</f>
        <v>3</v>
      </c>
      <c r="K60" s="20">
        <f>IFERROR(VLOOKUP(Data[[#This Row],[DEVELOPMENT]],ExtCompactors_MRST[],4,FALSE),0)</f>
        <v>2</v>
      </c>
      <c r="L60" s="27">
        <f>IF(Data[[#This Row],['# Interior Compactors MRST]]=0,"",VLOOKUP(Data[[#This Row],[DEVELOPMENT]],IntCompactors_MRST[],5,FALSE))</f>
        <v>37500</v>
      </c>
      <c r="M60" s="28">
        <f>IF(Data[[#This Row],['# Exterior Compactors MRST]]=0,"",VLOOKUP(Data[[#This Row],[DEVELOPMENT]],ExtCompactors_MRST[],5,FALSE))</f>
        <v>36688</v>
      </c>
      <c r="N60" s="20">
        <f>Data[[#This Row],['# Interior Compactors MRST]]</f>
        <v>3</v>
      </c>
      <c r="O60" s="20">
        <f>IF(Data[[#This Row],['# Bulk Crushers]]=0,1,0)</f>
        <v>1</v>
      </c>
      <c r="P60" s="20">
        <f>1</f>
        <v>1</v>
      </c>
      <c r="Q60" s="20">
        <f>1</f>
        <v>1</v>
      </c>
      <c r="R60" s="20">
        <f>1</f>
        <v>1</v>
      </c>
      <c r="S60" s="20">
        <f>1</f>
        <v>1</v>
      </c>
      <c r="T60" s="20">
        <f>IF(Data[[#This Row],[Sewershed]]="Newtown Creek",Data[[#This Row],[DUs]],0)</f>
        <v>0</v>
      </c>
      <c r="U6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6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6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60" s="82">
        <f>VLOOKUP(Data[[#This Row],[DEVELOPMENT]],Development_Data_Book[[DEVELOPMENT]:[BOROUGH]],3,FALSE)</f>
        <v>166</v>
      </c>
      <c r="Y60" s="20"/>
      <c r="Z60" s="20">
        <f>IFERROR(VLOOKUP(Data[[#This Row],[TDS]],ExtCompactors_PNA[[Development]:[0]],2,FALSE),0)</f>
        <v>2</v>
      </c>
      <c r="AA60" s="20">
        <f>IFERROR(VLOOKUP(Data[[#This Row],[TDS]],IntCompactors_PNA[[TDS]:[0]],2,FALSE),0)</f>
        <v>3</v>
      </c>
      <c r="AB60" s="20"/>
      <c r="AC60" s="20"/>
      <c r="AD60" s="20">
        <f>IFERROR(VLOOKUP(Data[[#This Row],[TDS]],ExtCompactors_PNA[[Development]:[0]],3,FALSE)+VLOOKUP(Data[[#This Row],[TDS]],ExtCompactors_PNA[[Development]:[0]],6,FALSE),0)</f>
        <v>2</v>
      </c>
      <c r="AE60" s="20">
        <f>IFERROR(VLOOKUP(Data[[#This Row],[TDS]],IntCompactors_PNA[[TDS]:[0]],3,FALSE)+VLOOKUP(Data[[#This Row],[TDS]],IntCompactors_PNA[[TDS]:[0]],6,FALSE),0)</f>
        <v>3</v>
      </c>
      <c r="AF60" s="20" t="e">
        <f>VLOOKUP(Data[[#This Row],[DEVELOPMENT]],[3]Developments!$A$2:$A$312,1,FALSE)</f>
        <v>#N/A</v>
      </c>
      <c r="AG60" s="20">
        <f>IFERROR(VLOOKUP(Data[[#This Row],[DEVELOPMENT]],Ops_Priorities_and_Data_Clean[[development]:[ifnoext_comment]],3,FALSE),"")</f>
        <v>2</v>
      </c>
      <c r="AH60" s="20">
        <f>IFERROR(VLOOKUP(Data[[#This Row],[DEVELOPMENT]],Ops_Priorities_and_Data_Clean[[development]:[ifnoext_comment]],4,FALSE),"")</f>
        <v>0</v>
      </c>
      <c r="AI60" s="20">
        <f>IFERROR(VLOOKUP(Data[[#This Row],[DEVELOPMENT]],Ops_Priorities_and_Data_Clean[[development]:[ifnoext_comment]],5,FALSE),"")</f>
        <v>1</v>
      </c>
      <c r="AJ60" s="20">
        <f>IFERROR(VLOOKUP(Data[[#This Row],[DEVELOPMENT]],Ops_Priorities_and_Data_Clean[[development]:[ifnoext_comment]],6,FALSE),"")</f>
        <v>0</v>
      </c>
      <c r="AK60" s="20">
        <f>IFERROR(VLOOKUP(Data[[#This Row],[DEVELOPMENT]],Ops_Priorities_and_Data_Clean[[development]:[ifnoext_comment]],7,FALSE),"")</f>
        <v>0</v>
      </c>
      <c r="AL60" s="20">
        <f>IFERROR(VLOOKUP(Data[[#This Row],[DEVELOPMENT]],Ops_Priorities_and_Data_Clean[[development]:[ifnoext_comment]],8,FALSE),"")</f>
        <v>1</v>
      </c>
      <c r="AM60" s="20">
        <f>IFERROR(VLOOKUP(Data[[#This Row],[DEVELOPMENT]],Ops_Priorities_and_Data_Clean[[development]:[ifnoext_comment]],9,FALSE),"")</f>
        <v>0</v>
      </c>
      <c r="AN60" s="20">
        <f>IFERROR(VLOOKUP(Data[[#This Row],[DEVELOPMENT]],Ops_Priorities_and_Data_Clean[[development]:[ifnoext_comment]],10,FALSE),"")</f>
        <v>2</v>
      </c>
      <c r="AO60" s="20">
        <f>IFERROR(VLOOKUP(Data[[#This Row],[DEVELOPMENT]],Ops_Priorities_and_Data_Clean[[development]:[ifnoext_comment]],11,FALSE),"")</f>
        <v>2</v>
      </c>
      <c r="AP60" s="20">
        <f>IFERROR(VLOOKUP(Data[[#This Row],[DEVELOPMENT]],Ops_Priorities_and_Data_Clean[[development]:[ifnoext_comment]],12,FALSE),"")</f>
        <v>2</v>
      </c>
      <c r="AQ60" s="20">
        <f>VLOOKUP(Data[[#This Row],[DEVELOPMENT]],Ops_Priorities_and_Data_Clean[[development]:[ifnoext_comment]],14,FALSE)</f>
        <v>0</v>
      </c>
      <c r="AR60" s="20">
        <f>VLOOKUP(Data[[#This Row],[DEVELOPMENT]],Ops_Priorities_and_Data_Clean[[development]:[ifnoext_comment]],15,FALSE)</f>
        <v>0</v>
      </c>
      <c r="AS60" s="20" t="str">
        <f>VLOOKUP(Data[[#This Row],[DEVELOPMENT]],Ops_Priorities_and_Data_Clean[[development]:[ifnoext_comment]],16,FALSE)</f>
        <v>NULL</v>
      </c>
      <c r="AT60" s="20" t="str">
        <f>VLOOKUP(Data[[#This Row],[DEVELOPMENT]],Ops_Priorities_and_Data_Clean[[development]:[ifnoext_comment]],17,FALSE)</f>
        <v>NULL</v>
      </c>
      <c r="AU60" s="20" t="str">
        <f>VLOOKUP(Data[[#This Row],[DEVELOPMENT]],Ops_Priorities_and_Data_Clean[[development]:[ifnoext_comment]],18,FALSE)</f>
        <v>NULL</v>
      </c>
      <c r="AV60" s="20" t="str">
        <f>VLOOKUP(Data[[#This Row],[DEVELOPMENT]],Ops_Priorities_and_Data_Clean[[development]:[ifnoext_comment]],19,FALSE)</f>
        <v>NULL</v>
      </c>
      <c r="AW60" s="20" t="str">
        <f>VLOOKUP(Data[[#This Row],[DEVELOPMENT]],Ops_Priorities_and_Data_Clean[[development]:[ifnoext_comment]],20,FALSE)</f>
        <v>NULL</v>
      </c>
      <c r="AX60" s="104" t="s">
        <v>2238</v>
      </c>
      <c r="AY60" s="104" t="s">
        <v>235</v>
      </c>
      <c r="AZ60" s="20" t="str">
        <f>VLOOKUP(Data[[#This Row],[DEVELOPMENT]],Development_Data_Book[[DEVELOPMENT]:[PRIVATE MANAGEMENT]],8,FALSE)</f>
        <v>FEDERAL</v>
      </c>
      <c r="BA60" s="104" t="s">
        <v>2586</v>
      </c>
      <c r="BB60" s="20">
        <f>VLOOKUP(Data[[#This Row],[DEVELOPMENT]],Development_Data_Book[[DEVELOPMENT]:[PRIVATE MANAGEMENT]],22,FALSE)</f>
        <v>2</v>
      </c>
      <c r="BC60" s="20">
        <f>Data[[#This Row],[Non-Dwelling Buildings]]+Data[[#This Row],[Dwelling Buildings]]</f>
        <v>5</v>
      </c>
      <c r="BD60" s="20">
        <f>VLOOKUP(Data[[#This Row],[DEVELOPMENT]],Development_Data_Book[[DEVELOPMENT]:[PRIVATE MANAGEMENT]],26,FALSE)</f>
        <v>8.3699999999999992</v>
      </c>
      <c r="BE60" s="106">
        <v>736900</v>
      </c>
      <c r="BF60" s="20">
        <f>VLOOKUP(Data[[#This Row],[DEVELOPMENT]],Development_Data_Book[[DEVELOPMENT]:[PRIVATE MANAGEMENT]],18,FALSE)</f>
        <v>1632</v>
      </c>
      <c r="BG6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60" s="104" t="s">
        <v>2621</v>
      </c>
      <c r="BI60" t="s">
        <v>184</v>
      </c>
      <c r="BJ60" s="20">
        <f>VLOOKUP(Data[[#This Row],[DEVELOPMENT]],Development_Data_Book[[DEVELOPMENT]:[PRIVATE MANAGEMENT]],41,FALSE)</f>
        <v>13</v>
      </c>
      <c r="BK60" s="20">
        <f>VLOOKUP(Data[[#This Row],[DEVELOPMENT]],Development_Data_Book[[DEVELOPMENT]:[PRIVATE MANAGEMENT]],42,FALSE)</f>
        <v>8</v>
      </c>
      <c r="BL60" s="20">
        <f>VLOOKUP(Data[[#This Row],[DEVELOPMENT]],Development_Data_Book[[DEVELOPMENT]:[PRIVATE MANAGEMENT]],43,FALSE)</f>
        <v>23</v>
      </c>
      <c r="BM60" s="20">
        <f>VLOOKUP(Data[[#This Row],[DEVELOPMENT]],Development_Data_Book[[DEVELOPMENT]:[PRIVATE MANAGEMENT]],44,FALSE)</f>
        <v>46</v>
      </c>
      <c r="BN60" s="20">
        <f>VLOOKUP(Data[[#This Row],[DEVELOPMENT]],Development_Data_Book[[DEVELOPMENT]:[PRIVATE MANAGEMENT]],45,FALSE)</f>
        <v>47</v>
      </c>
      <c r="BO60" s="20" t="str">
        <f>VLOOKUP(Data[[#This Row],[DEVELOPMENT]],Development_Data_Book[[DEVELOPMENT]:[PRIVATE MANAGEMENT]],24,FALSE)</f>
        <v>15-17</v>
      </c>
    </row>
    <row r="61" spans="1:67">
      <c r="A61" t="s">
        <v>307</v>
      </c>
      <c r="B61" s="20" t="str">
        <f>VLOOKUP(Data[[#This Row],[DEVELOPMENT]],Development_Data_Book[[DEVELOPMENT]:[BOROUGH]],MATCH("borough",Development_Data_Book[[#Headers],[DEVELOPMENT]:[BOROUGH]],0),FALSE)</f>
        <v>QUEENS</v>
      </c>
      <c r="C61" s="20" t="e">
        <f>VLOOKUP(Data[[#This Row],[DEVELOPMENT]],'[1]Cheat-Sheet'!$D$2:$Q$341,2,FALSE)</f>
        <v>#N/A</v>
      </c>
      <c r="D6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61" s="20">
        <f>VLOOKUP(Data[[#This Row],[DEVELOPMENT]],Development_Data_Book[[DEVELOPMENT]:[BOROUGH]],21,FALSE)</f>
        <v>1</v>
      </c>
      <c r="F61" s="20">
        <f>VLOOKUP(Data[[#This Row],[DEVELOPMENT]],Development_Data_Book[[DEVELOPMENT]:[BOROUGH]],23,FALSE)</f>
        <v>1</v>
      </c>
      <c r="G61" s="20">
        <f>VLOOKUP(Data[[#This Row],[DEVELOPMENT]],Development_Data_Book[[DEVELOPMENT]:[BOROUGH]],12,FALSE)</f>
        <v>169</v>
      </c>
      <c r="J61">
        <f>IFERROR(VLOOKUP(Data[[#This Row],[DEVELOPMENT]],IntCompactors_MRST[],4,FALSE),0)</f>
        <v>1</v>
      </c>
      <c r="K61" s="20">
        <f>IFERROR(VLOOKUP(Data[[#This Row],[DEVELOPMENT]],ExtCompactors_MRST[],4,FALSE),0)</f>
        <v>1</v>
      </c>
      <c r="L61" s="27">
        <f>IF(Data[[#This Row],['# Interior Compactors MRST]]=0,"",VLOOKUP(Data[[#This Row],[DEVELOPMENT]],IntCompactors_MRST[],5,FALSE))</f>
        <v>35247</v>
      </c>
      <c r="M61" s="28">
        <f>IF(Data[[#This Row],['# Exterior Compactors MRST]]=0,"",VLOOKUP(Data[[#This Row],[DEVELOPMENT]],ExtCompactors_MRST[],5,FALSE))</f>
        <v>35502</v>
      </c>
      <c r="N61" s="20">
        <f>Data[[#This Row],['# Interior Compactors MRST]]</f>
        <v>1</v>
      </c>
      <c r="O61" s="20">
        <f>IF(Data[[#This Row],['# Bulk Crushers]]=0,1,0)</f>
        <v>1</v>
      </c>
      <c r="P61" s="20">
        <f>1</f>
        <v>1</v>
      </c>
      <c r="Q61" s="20">
        <f>1</f>
        <v>1</v>
      </c>
      <c r="R61" s="20">
        <f>1</f>
        <v>1</v>
      </c>
      <c r="S61" s="20">
        <f>1</f>
        <v>1</v>
      </c>
      <c r="T61" s="20">
        <f>IF(Data[[#This Row],[Sewershed]]="Newtown Creek",Data[[#This Row],[DUs]],0)</f>
        <v>0</v>
      </c>
      <c r="U6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6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6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61" s="82">
        <f>VLOOKUP(Data[[#This Row],[DEVELOPMENT]],Development_Data_Book[[DEVELOPMENT]:[BOROUGH]],3,FALSE)</f>
        <v>164</v>
      </c>
      <c r="Y61" s="20"/>
      <c r="Z61" s="20">
        <f>IFERROR(VLOOKUP(Data[[#This Row],[TDS]],ExtCompactors_PNA[[Development]:[0]],2,FALSE),0)</f>
        <v>0</v>
      </c>
      <c r="AA61" s="20">
        <f>IFERROR(VLOOKUP(Data[[#This Row],[TDS]],IntCompactors_PNA[[TDS]:[0]],2,FALSE),0)</f>
        <v>1</v>
      </c>
      <c r="AB61" s="20"/>
      <c r="AC61" s="20"/>
      <c r="AD61" s="20">
        <f>IFERROR(VLOOKUP(Data[[#This Row],[TDS]],ExtCompactors_PNA[[Development]:[0]],3,FALSE)+VLOOKUP(Data[[#This Row],[TDS]],ExtCompactors_PNA[[Development]:[0]],6,FALSE),0)</f>
        <v>0</v>
      </c>
      <c r="AE61" s="20">
        <f>IFERROR(VLOOKUP(Data[[#This Row],[TDS]],IntCompactors_PNA[[TDS]:[0]],3,FALSE)+VLOOKUP(Data[[#This Row],[TDS]],IntCompactors_PNA[[TDS]:[0]],6,FALSE),0)</f>
        <v>1</v>
      </c>
      <c r="AF61" s="20" t="e">
        <f>VLOOKUP(Data[[#This Row],[DEVELOPMENT]],[3]Developments!$A$2:$A$312,1,FALSE)</f>
        <v>#N/A</v>
      </c>
      <c r="AG61" s="20">
        <f>IFERROR(VLOOKUP(Data[[#This Row],[DEVELOPMENT]],Ops_Priorities_and_Data_Clean[[development]:[ifnoext_comment]],3,FALSE),"")</f>
        <v>1</v>
      </c>
      <c r="AH61" s="20">
        <f>IFERROR(VLOOKUP(Data[[#This Row],[DEVELOPMENT]],Ops_Priorities_and_Data_Clean[[development]:[ifnoext_comment]],4,FALSE),"")</f>
        <v>0</v>
      </c>
      <c r="AI61" s="20">
        <f>IFERROR(VLOOKUP(Data[[#This Row],[DEVELOPMENT]],Ops_Priorities_and_Data_Clean[[development]:[ifnoext_comment]],5,FALSE),"")</f>
        <v>1</v>
      </c>
      <c r="AJ61" s="20">
        <f>IFERROR(VLOOKUP(Data[[#This Row],[DEVELOPMENT]],Ops_Priorities_and_Data_Clean[[development]:[ifnoext_comment]],6,FALSE),"")</f>
        <v>0</v>
      </c>
      <c r="AK61" s="20">
        <f>IFERROR(VLOOKUP(Data[[#This Row],[DEVELOPMENT]],Ops_Priorities_and_Data_Clean[[development]:[ifnoext_comment]],7,FALSE),"")</f>
        <v>0</v>
      </c>
      <c r="AL61" s="20">
        <f>IFERROR(VLOOKUP(Data[[#This Row],[DEVELOPMENT]],Ops_Priorities_and_Data_Clean[[development]:[ifnoext_comment]],8,FALSE),"")</f>
        <v>1</v>
      </c>
      <c r="AM61" s="20">
        <f>IFERROR(VLOOKUP(Data[[#This Row],[DEVELOPMENT]],Ops_Priorities_and_Data_Clean[[development]:[ifnoext_comment]],9,FALSE),"")</f>
        <v>0</v>
      </c>
      <c r="AN61" s="20">
        <f>IFERROR(VLOOKUP(Data[[#This Row],[DEVELOPMENT]],Ops_Priorities_and_Data_Clean[[development]:[ifnoext_comment]],10,FALSE),"")</f>
        <v>1</v>
      </c>
      <c r="AO61" s="20">
        <f>IFERROR(VLOOKUP(Data[[#This Row],[DEVELOPMENT]],Ops_Priorities_and_Data_Clean[[development]:[ifnoext_comment]],11,FALSE),"")</f>
        <v>1</v>
      </c>
      <c r="AP61" s="20">
        <f>IFERROR(VLOOKUP(Data[[#This Row],[DEVELOPMENT]],Ops_Priorities_and_Data_Clean[[development]:[ifnoext_comment]],12,FALSE),"")</f>
        <v>1</v>
      </c>
      <c r="AQ61" s="20">
        <f>VLOOKUP(Data[[#This Row],[DEVELOPMENT]],Ops_Priorities_and_Data_Clean[[development]:[ifnoext_comment]],14,FALSE)</f>
        <v>0</v>
      </c>
      <c r="AR61" s="20">
        <f>VLOOKUP(Data[[#This Row],[DEVELOPMENT]],Ops_Priorities_and_Data_Clean[[development]:[ifnoext_comment]],15,FALSE)</f>
        <v>0</v>
      </c>
      <c r="AS61" s="20" t="str">
        <f>VLOOKUP(Data[[#This Row],[DEVELOPMENT]],Ops_Priorities_and_Data_Clean[[development]:[ifnoext_comment]],16,FALSE)</f>
        <v>NULL</v>
      </c>
      <c r="AT61" s="20" t="str">
        <f>VLOOKUP(Data[[#This Row],[DEVELOPMENT]],Ops_Priorities_and_Data_Clean[[development]:[ifnoext_comment]],17,FALSE)</f>
        <v>NULL</v>
      </c>
      <c r="AU61" s="20" t="str">
        <f>VLOOKUP(Data[[#This Row],[DEVELOPMENT]],Ops_Priorities_and_Data_Clean[[development]:[ifnoext_comment]],18,FALSE)</f>
        <v>NULL</v>
      </c>
      <c r="AV61" s="20" t="str">
        <f>VLOOKUP(Data[[#This Row],[DEVELOPMENT]],Ops_Priorities_and_Data_Clean[[development]:[ifnoext_comment]],19,FALSE)</f>
        <v>NULL</v>
      </c>
      <c r="AW61" s="20" t="str">
        <f>VLOOKUP(Data[[#This Row],[DEVELOPMENT]],Ops_Priorities_and_Data_Clean[[development]:[ifnoext_comment]],20,FALSE)</f>
        <v>NULL</v>
      </c>
      <c r="AX61" s="104" t="s">
        <v>2614</v>
      </c>
      <c r="AY61" s="104" t="s">
        <v>2633</v>
      </c>
      <c r="AZ61" s="20" t="str">
        <f>VLOOKUP(Data[[#This Row],[DEVELOPMENT]],Development_Data_Book[[DEVELOPMENT]:[PRIVATE MANAGEMENT]],8,FALSE)</f>
        <v>FEDERAL</v>
      </c>
      <c r="BA61" s="104" t="s">
        <v>2586</v>
      </c>
      <c r="BB61" s="20">
        <f>VLOOKUP(Data[[#This Row],[DEVELOPMENT]],Development_Data_Book[[DEVELOPMENT]:[PRIVATE MANAGEMENT]],22,FALSE)</f>
        <v>0</v>
      </c>
      <c r="BC61" s="20">
        <f>Data[[#This Row],[Non-Dwelling Buildings]]+Data[[#This Row],[Dwelling Buildings]]</f>
        <v>1</v>
      </c>
      <c r="BD61" s="20">
        <f>VLOOKUP(Data[[#This Row],[DEVELOPMENT]],Development_Data_Book[[DEVELOPMENT]:[PRIVATE MANAGEMENT]],26,FALSE)</f>
        <v>3.33</v>
      </c>
      <c r="BE61" s="106">
        <v>158100</v>
      </c>
      <c r="BF61" s="20">
        <f>VLOOKUP(Data[[#This Row],[DEVELOPMENT]],Development_Data_Book[[DEVELOPMENT]:[PRIVATE MANAGEMENT]],18,FALSE)</f>
        <v>357</v>
      </c>
      <c r="BG6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61" s="104" t="s">
        <v>2619</v>
      </c>
      <c r="BI61" t="s">
        <v>184</v>
      </c>
      <c r="BJ61" s="20">
        <f>VLOOKUP(Data[[#This Row],[DEVELOPMENT]],Development_Data_Book[[DEVELOPMENT]:[PRIVATE MANAGEMENT]],41,FALSE)</f>
        <v>14</v>
      </c>
      <c r="BK61" s="20">
        <f>VLOOKUP(Data[[#This Row],[DEVELOPMENT]],Development_Data_Book[[DEVELOPMENT]:[PRIVATE MANAGEMENT]],42,FALSE)</f>
        <v>5</v>
      </c>
      <c r="BL61" s="20">
        <f>VLOOKUP(Data[[#This Row],[DEVELOPMENT]],Development_Data_Book[[DEVELOPMENT]:[PRIVATE MANAGEMENT]],43,FALSE)</f>
        <v>10</v>
      </c>
      <c r="BM61" s="20">
        <f>VLOOKUP(Data[[#This Row],[DEVELOPMENT]],Development_Data_Book[[DEVELOPMENT]:[PRIVATE MANAGEMENT]],44,FALSE)</f>
        <v>31</v>
      </c>
      <c r="BN61" s="20">
        <f>VLOOKUP(Data[[#This Row],[DEVELOPMENT]],Development_Data_Book[[DEVELOPMENT]:[PRIVATE MANAGEMENT]],45,FALSE)</f>
        <v>31</v>
      </c>
      <c r="BO61" s="20">
        <f>VLOOKUP(Data[[#This Row],[DEVELOPMENT]],Development_Data_Book[[DEVELOPMENT]:[PRIVATE MANAGEMENT]],24,FALSE)</f>
        <v>11</v>
      </c>
    </row>
    <row r="62" spans="1:67">
      <c r="A62" t="s">
        <v>120</v>
      </c>
      <c r="B62" t="str">
        <f>VLOOKUP(Data[[#This Row],[DEVELOPMENT]],Development_Data_Book[[DEVELOPMENT]:[BOROUGH]],MATCH("borough",Development_Data_Book[[#Headers],[DEVELOPMENT]:[BOROUGH]],0),FALSE)</f>
        <v>MANHATTAN</v>
      </c>
      <c r="C62" t="e">
        <f>VLOOKUP(Data[[#This Row],[DEVELOPMENT]],'[1]Cheat-Sheet'!$D$2:$Q$341,2,FALSE)</f>
        <v>#N/A</v>
      </c>
      <c r="D6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62">
        <f>VLOOKUP(Data[[#This Row],[DEVELOPMENT]],Development_Data_Book[[DEVELOPMENT]:[BOROUGH]],21,FALSE)</f>
        <v>13</v>
      </c>
      <c r="F62">
        <f>VLOOKUP(Data[[#This Row],[DEVELOPMENT]],Development_Data_Book[[DEVELOPMENT]:[BOROUGH]],23,FALSE)</f>
        <v>13</v>
      </c>
      <c r="G62">
        <f>VLOOKUP(Data[[#This Row],[DEVELOPMENT]],Development_Data_Book[[DEVELOPMENT]:[BOROUGH]],12,FALSE)</f>
        <v>1244</v>
      </c>
      <c r="H62" t="s">
        <v>2247</v>
      </c>
      <c r="I62">
        <v>3</v>
      </c>
      <c r="J62">
        <f>IFERROR(VLOOKUP(Data[[#This Row],[DEVELOPMENT]],IntCompactors_MRST[],4,FALSE),0)</f>
        <v>13</v>
      </c>
      <c r="K62" s="20">
        <f>IFERROR(VLOOKUP(Data[[#This Row],[DEVELOPMENT]],ExtCompactors_MRST[],4,FALSE),0)</f>
        <v>3</v>
      </c>
      <c r="L62" s="27">
        <f>IF(Data[[#This Row],['# Interior Compactors MRST]]=0,"",VLOOKUP(Data[[#This Row],[DEVELOPMENT]],IntCompactors_MRST[],5,FALSE))</f>
        <v>36892</v>
      </c>
      <c r="M62" s="28">
        <f>IF(Data[[#This Row],['# Exterior Compactors MRST]]=0,"",VLOOKUP(Data[[#This Row],[DEVELOPMENT]],ExtCompactors_MRST[],5,FALSE))</f>
        <v>38558</v>
      </c>
      <c r="N62">
        <f>Data[[#This Row],['# Interior Compactors MRST]]</f>
        <v>13</v>
      </c>
      <c r="O62" s="20">
        <f>IF(Data[[#This Row],['# Bulk Crushers]]=0,1,0)</f>
        <v>1</v>
      </c>
      <c r="P62" s="20">
        <f>1</f>
        <v>1</v>
      </c>
      <c r="Q62" s="20">
        <f>1</f>
        <v>1</v>
      </c>
      <c r="R62" s="20">
        <f>1</f>
        <v>1</v>
      </c>
      <c r="S62" s="20">
        <f>1</f>
        <v>1</v>
      </c>
      <c r="T62" s="20">
        <f>IF(Data[[#This Row],[Sewershed]]="Newtown Creek",Data[[#This Row],[DUs]],0)</f>
        <v>0</v>
      </c>
      <c r="U6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6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6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62" s="82">
        <f>VLOOKUP(Data[[#This Row],[DEVELOPMENT]],Development_Data_Book[[DEVELOPMENT]:[BOROUGH]],3,FALSE)</f>
        <v>58</v>
      </c>
      <c r="Y62" s="20"/>
      <c r="Z62" s="20">
        <f>IFERROR(VLOOKUP(Data[[#This Row],[TDS]],ExtCompactors_PNA[[Development]:[0]],2,FALSE),0)</f>
        <v>3</v>
      </c>
      <c r="AA62" s="20">
        <f>IFERROR(VLOOKUP(Data[[#This Row],[TDS]],IntCompactors_PNA[[TDS]:[0]],2,FALSE),0)</f>
        <v>13</v>
      </c>
      <c r="AB62" s="20"/>
      <c r="AC62" s="20"/>
      <c r="AD62" s="20">
        <f>IFERROR(VLOOKUP(Data[[#This Row],[TDS]],ExtCompactors_PNA[[Development]:[0]],3,FALSE)+VLOOKUP(Data[[#This Row],[TDS]],ExtCompactors_PNA[[Development]:[0]],6,FALSE),0)</f>
        <v>3</v>
      </c>
      <c r="AE62" s="20">
        <f>IFERROR(VLOOKUP(Data[[#This Row],[TDS]],IntCompactors_PNA[[TDS]:[0]],3,FALSE)+VLOOKUP(Data[[#This Row],[TDS]],IntCompactors_PNA[[TDS]:[0]],6,FALSE),0)</f>
        <v>13</v>
      </c>
      <c r="AF62" s="20" t="e">
        <f>VLOOKUP(Data[[#This Row],[DEVELOPMENT]],[3]Developments!$A$2:$A$312,1,FALSE)</f>
        <v>#N/A</v>
      </c>
      <c r="AG62" s="20">
        <f>IFERROR(VLOOKUP(Data[[#This Row],[DEVELOPMENT]],Ops_Priorities_and_Data_Clean[[development]:[ifnoext_comment]],3,FALSE),"")</f>
        <v>3</v>
      </c>
      <c r="AH62" s="20">
        <f>IFERROR(VLOOKUP(Data[[#This Row],[DEVELOPMENT]],Ops_Priorities_and_Data_Clean[[development]:[ifnoext_comment]],4,FALSE),"")</f>
        <v>4</v>
      </c>
      <c r="AI62" s="20">
        <f>IFERROR(VLOOKUP(Data[[#This Row],[DEVELOPMENT]],Ops_Priorities_and_Data_Clean[[development]:[ifnoext_comment]],5,FALSE),"")</f>
        <v>1</v>
      </c>
      <c r="AJ62" s="20">
        <f>IFERROR(VLOOKUP(Data[[#This Row],[DEVELOPMENT]],Ops_Priorities_and_Data_Clean[[development]:[ifnoext_comment]],6,FALSE),"")</f>
        <v>0</v>
      </c>
      <c r="AK62" s="20">
        <f>IFERROR(VLOOKUP(Data[[#This Row],[DEVELOPMENT]],Ops_Priorities_and_Data_Clean[[development]:[ifnoext_comment]],7,FALSE),"")</f>
        <v>0</v>
      </c>
      <c r="AL62" s="20">
        <f>IFERROR(VLOOKUP(Data[[#This Row],[DEVELOPMENT]],Ops_Priorities_and_Data_Clean[[development]:[ifnoext_comment]],8,FALSE),"")</f>
        <v>1</v>
      </c>
      <c r="AM62" s="20">
        <f>IFERROR(VLOOKUP(Data[[#This Row],[DEVELOPMENT]],Ops_Priorities_and_Data_Clean[[development]:[ifnoext_comment]],9,FALSE),"")</f>
        <v>0</v>
      </c>
      <c r="AN62" s="20">
        <f>IFERROR(VLOOKUP(Data[[#This Row],[DEVELOPMENT]],Ops_Priorities_and_Data_Clean[[development]:[ifnoext_comment]],10,FALSE),"")</f>
        <v>3</v>
      </c>
      <c r="AO62" s="20">
        <f>IFERROR(VLOOKUP(Data[[#This Row],[DEVELOPMENT]],Ops_Priorities_and_Data_Clean[[development]:[ifnoext_comment]],11,FALSE),"")</f>
        <v>3</v>
      </c>
      <c r="AP62" s="20">
        <f>IFERROR(VLOOKUP(Data[[#This Row],[DEVELOPMENT]],Ops_Priorities_and_Data_Clean[[development]:[ifnoext_comment]],12,FALSE),"")</f>
        <v>3</v>
      </c>
      <c r="AQ62" s="20">
        <f>VLOOKUP(Data[[#This Row],[DEVELOPMENT]],Ops_Priorities_and_Data_Clean[[development]:[ifnoext_comment]],14,FALSE)</f>
        <v>0</v>
      </c>
      <c r="AR62" s="20">
        <f>VLOOKUP(Data[[#This Row],[DEVELOPMENT]],Ops_Priorities_and_Data_Clean[[development]:[ifnoext_comment]],15,FALSE)</f>
        <v>0</v>
      </c>
      <c r="AS62" s="20" t="str">
        <f>VLOOKUP(Data[[#This Row],[DEVELOPMENT]],Ops_Priorities_and_Data_Clean[[development]:[ifnoext_comment]],16,FALSE)</f>
        <v>NULL</v>
      </c>
      <c r="AT62" s="20" t="str">
        <f>VLOOKUP(Data[[#This Row],[DEVELOPMENT]],Ops_Priorities_and_Data_Clean[[development]:[ifnoext_comment]],17,FALSE)</f>
        <v>NULL</v>
      </c>
      <c r="AU62" s="20" t="str">
        <f>VLOOKUP(Data[[#This Row],[DEVELOPMENT]],Ops_Priorities_and_Data_Clean[[development]:[ifnoext_comment]],18,FALSE)</f>
        <v>NULL</v>
      </c>
      <c r="AV62" s="20" t="str">
        <f>VLOOKUP(Data[[#This Row],[DEVELOPMENT]],Ops_Priorities_and_Data_Clean[[development]:[ifnoext_comment]],19,FALSE)</f>
        <v>NULL</v>
      </c>
      <c r="AW62" s="20" t="str">
        <f>VLOOKUP(Data[[#This Row],[DEVELOPMENT]],Ops_Priorities_and_Data_Clean[[development]:[ifnoext_comment]],20,FALSE)</f>
        <v>NULL</v>
      </c>
      <c r="AX62" s="104" t="s">
        <v>2239</v>
      </c>
      <c r="AY62" s="104" t="s">
        <v>2603</v>
      </c>
      <c r="AZ62" s="20" t="str">
        <f>VLOOKUP(Data[[#This Row],[DEVELOPMENT]],Development_Data_Book[[DEVELOPMENT]:[PRIVATE MANAGEMENT]],8,FALSE)</f>
        <v>FEDERAL</v>
      </c>
      <c r="BA62" s="104" t="s">
        <v>2586</v>
      </c>
      <c r="BB62" s="20">
        <f>VLOOKUP(Data[[#This Row],[DEVELOPMENT]],Development_Data_Book[[DEVELOPMENT]:[PRIVATE MANAGEMENT]],22,FALSE)</f>
        <v>0</v>
      </c>
      <c r="BC62" s="20">
        <f>Data[[#This Row],[Non-Dwelling Buildings]]+Data[[#This Row],[Dwelling Buildings]]</f>
        <v>13</v>
      </c>
      <c r="BD62" s="20">
        <f>VLOOKUP(Data[[#This Row],[DEVELOPMENT]],Development_Data_Book[[DEVELOPMENT]:[PRIVATE MANAGEMENT]],26,FALSE)</f>
        <v>14.63</v>
      </c>
      <c r="BE62" s="106">
        <v>1164050</v>
      </c>
      <c r="BF62" s="20">
        <f>VLOOKUP(Data[[#This Row],[DEVELOPMENT]],Development_Data_Book[[DEVELOPMENT]:[PRIVATE MANAGEMENT]],18,FALSE)</f>
        <v>2586</v>
      </c>
      <c r="BG6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62" s="104" t="s">
        <v>2604</v>
      </c>
      <c r="BI62" t="s">
        <v>184</v>
      </c>
      <c r="BJ62" s="20">
        <f>VLOOKUP(Data[[#This Row],[DEVELOPMENT]],Development_Data_Book[[DEVELOPMENT]:[PRIVATE MANAGEMENT]],41,FALSE)</f>
        <v>11</v>
      </c>
      <c r="BK62" s="20">
        <f>VLOOKUP(Data[[#This Row],[DEVELOPMENT]],Development_Data_Book[[DEVELOPMENT]:[PRIVATE MANAGEMENT]],42,FALSE)</f>
        <v>13</v>
      </c>
      <c r="BL62" s="20">
        <f>VLOOKUP(Data[[#This Row],[DEVELOPMENT]],Development_Data_Book[[DEVELOPMENT]:[PRIVATE MANAGEMENT]],43,FALSE)</f>
        <v>30</v>
      </c>
      <c r="BM62" s="20">
        <f>VLOOKUP(Data[[#This Row],[DEVELOPMENT]],Development_Data_Book[[DEVELOPMENT]:[PRIVATE MANAGEMENT]],44,FALSE)</f>
        <v>68</v>
      </c>
      <c r="BN62" s="20">
        <f>VLOOKUP(Data[[#This Row],[DEVELOPMENT]],Development_Data_Book[[DEVELOPMENT]:[PRIVATE MANAGEMENT]],45,FALSE)</f>
        <v>8</v>
      </c>
      <c r="BO62" s="20">
        <f>VLOOKUP(Data[[#This Row],[DEVELOPMENT]],Development_Data_Book[[DEVELOPMENT]:[PRIVATE MANAGEMENT]],24,FALSE)</f>
        <v>43631</v>
      </c>
    </row>
    <row r="63" spans="1:67">
      <c r="A63" t="s">
        <v>308</v>
      </c>
      <c r="B63" s="20" t="str">
        <f>VLOOKUP(Data[[#This Row],[DEVELOPMENT]],Development_Data_Book[[DEVELOPMENT]:[BOROUGH]],MATCH("borough",Development_Data_Book[[#Headers],[DEVELOPMENT]:[BOROUGH]],0),FALSE)</f>
        <v>STATEN ISLAND</v>
      </c>
      <c r="C63" s="20" t="e">
        <f>VLOOKUP(Data[[#This Row],[DEVELOPMENT]],'[1]Cheat-Sheet'!$D$2:$Q$341,2,FALSE)</f>
        <v>#N/A</v>
      </c>
      <c r="D6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63" s="20">
        <f>VLOOKUP(Data[[#This Row],[DEVELOPMENT]],Development_Data_Book[[DEVELOPMENT]:[BOROUGH]],21,FALSE)</f>
        <v>4</v>
      </c>
      <c r="F63" s="20">
        <f>VLOOKUP(Data[[#This Row],[DEVELOPMENT]],Development_Data_Book[[DEVELOPMENT]:[BOROUGH]],23,FALSE)</f>
        <v>5</v>
      </c>
      <c r="G63" s="20">
        <f>VLOOKUP(Data[[#This Row],[DEVELOPMENT]],Development_Data_Book[[DEVELOPMENT]:[BOROUGH]],12,FALSE)</f>
        <v>378</v>
      </c>
      <c r="J63">
        <f>IFERROR(VLOOKUP(Data[[#This Row],[DEVELOPMENT]],IntCompactors_MRST[],4,FALSE),0)</f>
        <v>4</v>
      </c>
      <c r="K63" s="20">
        <f>IFERROR(VLOOKUP(Data[[#This Row],[DEVELOPMENT]],ExtCompactors_MRST[],4,FALSE),0)</f>
        <v>1</v>
      </c>
      <c r="L63" s="27">
        <f>IF(Data[[#This Row],['# Interior Compactors MRST]]=0,"",VLOOKUP(Data[[#This Row],[DEVELOPMENT]],IntCompactors_MRST[],5,FALSE))</f>
        <v>40909</v>
      </c>
      <c r="M63" s="28">
        <f>IF(Data[[#This Row],['# Exterior Compactors MRST]]=0,"",VLOOKUP(Data[[#This Row],[DEVELOPMENT]],ExtCompactors_MRST[],5,FALSE))</f>
        <v>37449</v>
      </c>
      <c r="N63" s="20">
        <f>Data[[#This Row],['# Interior Compactors MRST]]</f>
        <v>4</v>
      </c>
      <c r="O63" s="20">
        <f>IF(Data[[#This Row],['# Bulk Crushers]]=0,1,0)</f>
        <v>1</v>
      </c>
      <c r="P63" s="20">
        <f>1</f>
        <v>1</v>
      </c>
      <c r="Q63" s="20">
        <f>1</f>
        <v>1</v>
      </c>
      <c r="R63" s="20">
        <f>1</f>
        <v>1</v>
      </c>
      <c r="S63" s="20">
        <f>1</f>
        <v>1</v>
      </c>
      <c r="T63" s="20">
        <f>IF(Data[[#This Row],[Sewershed]]="Newtown Creek",Data[[#This Row],[DUs]],0)</f>
        <v>0</v>
      </c>
      <c r="U6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6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6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63" s="82">
        <f>VLOOKUP(Data[[#This Row],[DEVELOPMENT]],Development_Data_Book[[DEVELOPMENT]:[BOROUGH]],3,FALSE)</f>
        <v>206</v>
      </c>
      <c r="Y63" s="20"/>
      <c r="Z63" s="20">
        <f>IFERROR(VLOOKUP(Data[[#This Row],[TDS]],ExtCompactors_PNA[[Development]:[0]],2,FALSE),0)</f>
        <v>1</v>
      </c>
      <c r="AA63" s="20">
        <f>IFERROR(VLOOKUP(Data[[#This Row],[TDS]],IntCompactors_PNA[[TDS]:[0]],2,FALSE),0)</f>
        <v>4</v>
      </c>
      <c r="AB63" s="20"/>
      <c r="AC63" s="20"/>
      <c r="AD63" s="20">
        <f>IFERROR(VLOOKUP(Data[[#This Row],[TDS]],ExtCompactors_PNA[[Development]:[0]],3,FALSE)+VLOOKUP(Data[[#This Row],[TDS]],ExtCompactors_PNA[[Development]:[0]],6,FALSE),0)</f>
        <v>1</v>
      </c>
      <c r="AE63" s="20">
        <f>IFERROR(VLOOKUP(Data[[#This Row],[TDS]],IntCompactors_PNA[[TDS]:[0]],3,FALSE)+VLOOKUP(Data[[#This Row],[TDS]],IntCompactors_PNA[[TDS]:[0]],6,FALSE),0)</f>
        <v>4</v>
      </c>
      <c r="AF63" s="20" t="e">
        <f>VLOOKUP(Data[[#This Row],[DEVELOPMENT]],[3]Developments!$A$2:$A$312,1,FALSE)</f>
        <v>#N/A</v>
      </c>
      <c r="AG63" s="20">
        <f>IFERROR(VLOOKUP(Data[[#This Row],[DEVELOPMENT]],Ops_Priorities_and_Data_Clean[[development]:[ifnoext_comment]],3,FALSE),"")</f>
        <v>1</v>
      </c>
      <c r="AH63" s="20">
        <f>IFERROR(VLOOKUP(Data[[#This Row],[DEVELOPMENT]],Ops_Priorities_and_Data_Clean[[development]:[ifnoext_comment]],4,FALSE),"")</f>
        <v>0</v>
      </c>
      <c r="AI63" s="20">
        <f>IFERROR(VLOOKUP(Data[[#This Row],[DEVELOPMENT]],Ops_Priorities_and_Data_Clean[[development]:[ifnoext_comment]],5,FALSE),"")</f>
        <v>1</v>
      </c>
      <c r="AJ63" s="20">
        <f>IFERROR(VLOOKUP(Data[[#This Row],[DEVELOPMENT]],Ops_Priorities_and_Data_Clean[[development]:[ifnoext_comment]],6,FALSE),"")</f>
        <v>0</v>
      </c>
      <c r="AK63" s="20">
        <f>IFERROR(VLOOKUP(Data[[#This Row],[DEVELOPMENT]],Ops_Priorities_and_Data_Clean[[development]:[ifnoext_comment]],7,FALSE),"")</f>
        <v>0</v>
      </c>
      <c r="AL63" s="20">
        <f>IFERROR(VLOOKUP(Data[[#This Row],[DEVELOPMENT]],Ops_Priorities_and_Data_Clean[[development]:[ifnoext_comment]],8,FALSE),"")</f>
        <v>1</v>
      </c>
      <c r="AM63" s="20">
        <f>IFERROR(VLOOKUP(Data[[#This Row],[DEVELOPMENT]],Ops_Priorities_and_Data_Clean[[development]:[ifnoext_comment]],9,FALSE),"")</f>
        <v>0</v>
      </c>
      <c r="AN63" s="20">
        <f>IFERROR(VLOOKUP(Data[[#This Row],[DEVELOPMENT]],Ops_Priorities_and_Data_Clean[[development]:[ifnoext_comment]],10,FALSE),"")</f>
        <v>1</v>
      </c>
      <c r="AO63" s="20">
        <f>IFERROR(VLOOKUP(Data[[#This Row],[DEVELOPMENT]],Ops_Priorities_and_Data_Clean[[development]:[ifnoext_comment]],11,FALSE),"")</f>
        <v>1</v>
      </c>
      <c r="AP63" s="20">
        <f>IFERROR(VLOOKUP(Data[[#This Row],[DEVELOPMENT]],Ops_Priorities_and_Data_Clean[[development]:[ifnoext_comment]],12,FALSE),"")</f>
        <v>1</v>
      </c>
      <c r="AQ63" s="20">
        <f>VLOOKUP(Data[[#This Row],[DEVELOPMENT]],Ops_Priorities_and_Data_Clean[[development]:[ifnoext_comment]],14,FALSE)</f>
        <v>0</v>
      </c>
      <c r="AR63" s="20">
        <f>VLOOKUP(Data[[#This Row],[DEVELOPMENT]],Ops_Priorities_and_Data_Clean[[development]:[ifnoext_comment]],15,FALSE)</f>
        <v>0</v>
      </c>
      <c r="AS63" s="20" t="str">
        <f>VLOOKUP(Data[[#This Row],[DEVELOPMENT]],Ops_Priorities_and_Data_Clean[[development]:[ifnoext_comment]],16,FALSE)</f>
        <v>NULL</v>
      </c>
      <c r="AT63" s="20" t="str">
        <f>VLOOKUP(Data[[#This Row],[DEVELOPMENT]],Ops_Priorities_and_Data_Clean[[development]:[ifnoext_comment]],17,FALSE)</f>
        <v>NULL</v>
      </c>
      <c r="AU63" s="20" t="str">
        <f>VLOOKUP(Data[[#This Row],[DEVELOPMENT]],Ops_Priorities_and_Data_Clean[[development]:[ifnoext_comment]],18,FALSE)</f>
        <v>NULL</v>
      </c>
      <c r="AV63" s="20" t="str">
        <f>VLOOKUP(Data[[#This Row],[DEVELOPMENT]],Ops_Priorities_and_Data_Clean[[development]:[ifnoext_comment]],19,FALSE)</f>
        <v>NULL</v>
      </c>
      <c r="AW63" s="20" t="str">
        <f>VLOOKUP(Data[[#This Row],[DEVELOPMENT]],Ops_Priorities_and_Data_Clean[[development]:[ifnoext_comment]],20,FALSE)</f>
        <v>NULL</v>
      </c>
      <c r="AX63" s="104" t="s">
        <v>2614</v>
      </c>
      <c r="AY63" s="104" t="s">
        <v>2634</v>
      </c>
      <c r="AZ63" s="20" t="str">
        <f>VLOOKUP(Data[[#This Row],[DEVELOPMENT]],Development_Data_Book[[DEVELOPMENT]:[PRIVATE MANAGEMENT]],8,FALSE)</f>
        <v>FEDERAL</v>
      </c>
      <c r="BA63" s="104" t="s">
        <v>2586</v>
      </c>
      <c r="BB63" s="20">
        <f>VLOOKUP(Data[[#This Row],[DEVELOPMENT]],Development_Data_Book[[DEVELOPMENT]:[PRIVATE MANAGEMENT]],22,FALSE)</f>
        <v>1</v>
      </c>
      <c r="BC63" s="20">
        <f>Data[[#This Row],[Non-Dwelling Buildings]]+Data[[#This Row],[Dwelling Buildings]]</f>
        <v>5</v>
      </c>
      <c r="BD63" s="20">
        <f>VLOOKUP(Data[[#This Row],[DEVELOPMENT]],Development_Data_Book[[DEVELOPMENT]:[PRIVATE MANAGEMENT]],26,FALSE)</f>
        <v>5.15</v>
      </c>
      <c r="BE63" s="106">
        <v>251380</v>
      </c>
      <c r="BF63" s="20">
        <f>VLOOKUP(Data[[#This Row],[DEVELOPMENT]],Development_Data_Book[[DEVELOPMENT]:[PRIVATE MANAGEMENT]],18,FALSE)</f>
        <v>439</v>
      </c>
      <c r="BG63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63" s="104" t="s">
        <v>2591</v>
      </c>
      <c r="BI63" t="s">
        <v>184</v>
      </c>
      <c r="BJ63" s="20">
        <f>VLOOKUP(Data[[#This Row],[DEVELOPMENT]],Development_Data_Book[[DEVELOPMENT]:[PRIVATE MANAGEMENT]],41,FALSE)</f>
        <v>1</v>
      </c>
      <c r="BK63" s="20">
        <f>VLOOKUP(Data[[#This Row],[DEVELOPMENT]],Development_Data_Book[[DEVELOPMENT]:[PRIVATE MANAGEMENT]],42,FALSE)</f>
        <v>11</v>
      </c>
      <c r="BL63" s="20">
        <f>VLOOKUP(Data[[#This Row],[DEVELOPMENT]],Development_Data_Book[[DEVELOPMENT]:[PRIVATE MANAGEMENT]],43,FALSE)</f>
        <v>23</v>
      </c>
      <c r="BM63" s="20">
        <f>VLOOKUP(Data[[#This Row],[DEVELOPMENT]],Development_Data_Book[[DEVELOPMENT]:[PRIVATE MANAGEMENT]],44,FALSE)</f>
        <v>61</v>
      </c>
      <c r="BN63" s="20">
        <f>VLOOKUP(Data[[#This Row],[DEVELOPMENT]],Development_Data_Book[[DEVELOPMENT]:[PRIVATE MANAGEMENT]],45,FALSE)</f>
        <v>49</v>
      </c>
      <c r="BO63" s="20">
        <f>VLOOKUP(Data[[#This Row],[DEVELOPMENT]],Development_Data_Book[[DEVELOPMENT]:[PRIVATE MANAGEMENT]],24,FALSE)</f>
        <v>6</v>
      </c>
    </row>
    <row r="64" spans="1:67">
      <c r="A64" t="s">
        <v>200</v>
      </c>
      <c r="B64" s="20" t="str">
        <f>VLOOKUP(Data[[#This Row],[DEVELOPMENT]],Development_Data_Book[[DEVELOPMENT]:[BOROUGH]],MATCH("borough",Development_Data_Book[[#Headers],[DEVELOPMENT]:[BOROUGH]],0),FALSE)</f>
        <v>BRONX</v>
      </c>
      <c r="C64" s="20" t="e">
        <f>VLOOKUP(Data[[#This Row],[DEVELOPMENT]],'[1]Cheat-Sheet'!$D$2:$Q$341,2,FALSE)</f>
        <v>#N/A</v>
      </c>
      <c r="D6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64" s="20">
        <f>VLOOKUP(Data[[#This Row],[DEVELOPMENT]],Development_Data_Book[[DEVELOPMENT]:[BOROUGH]],21,FALSE)</f>
        <v>14</v>
      </c>
      <c r="F64" s="20">
        <f>VLOOKUP(Data[[#This Row],[DEVELOPMENT]],Development_Data_Book[[DEVELOPMENT]:[BOROUGH]],23,FALSE)</f>
        <v>14</v>
      </c>
      <c r="G64" s="20">
        <f>VLOOKUP(Data[[#This Row],[DEVELOPMENT]],Development_Data_Book[[DEVELOPMENT]:[BOROUGH]],12,FALSE)</f>
        <v>2022</v>
      </c>
      <c r="J64">
        <f>IFERROR(VLOOKUP(Data[[#This Row],[DEVELOPMENT]],IntCompactors_MRST[],4,FALSE),0)</f>
        <v>14</v>
      </c>
      <c r="K64" s="20">
        <f>IFERROR(VLOOKUP(Data[[#This Row],[DEVELOPMENT]],ExtCompactors_MRST[],4,FALSE),0)</f>
        <v>4</v>
      </c>
      <c r="L64" s="27">
        <f>IF(Data[[#This Row],['# Interior Compactors MRST]]=0,"",VLOOKUP(Data[[#This Row],[DEVELOPMENT]],IntCompactors_MRST[],5,FALSE))</f>
        <v>37712</v>
      </c>
      <c r="M64" s="28">
        <f>IF(Data[[#This Row],['# Exterior Compactors MRST]]=0,"",VLOOKUP(Data[[#This Row],[DEVELOPMENT]],ExtCompactors_MRST[],5,FALSE))</f>
        <v>43040</v>
      </c>
      <c r="N64" s="20">
        <f>Data[[#This Row],['# Interior Compactors MRST]]</f>
        <v>14</v>
      </c>
      <c r="O64" s="20">
        <f>IF(Data[[#This Row],['# Bulk Crushers]]=0,1,0)</f>
        <v>1</v>
      </c>
      <c r="P64" s="20">
        <f>1</f>
        <v>1</v>
      </c>
      <c r="Q64" s="20">
        <f>1</f>
        <v>1</v>
      </c>
      <c r="R64" s="20">
        <f>1</f>
        <v>1</v>
      </c>
      <c r="S64" s="20">
        <f>1</f>
        <v>1</v>
      </c>
      <c r="T64" s="20">
        <f>IF(Data[[#This Row],[Sewershed]]="Newtown Creek",Data[[#This Row],[DUs]],0)</f>
        <v>0</v>
      </c>
      <c r="U6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6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6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64" s="82">
        <f>VLOOKUP(Data[[#This Row],[DEVELOPMENT]],Development_Data_Book[[DEVELOPMENT]:[BOROUGH]],3,FALSE)</f>
        <v>80</v>
      </c>
      <c r="Y64" s="20"/>
      <c r="Z64" s="20">
        <f>IFERROR(VLOOKUP(Data[[#This Row],[TDS]],ExtCompactors_PNA[[Development]:[0]],2,FALSE),0)</f>
        <v>4</v>
      </c>
      <c r="AA64" s="20">
        <f>IFERROR(VLOOKUP(Data[[#This Row],[TDS]],IntCompactors_PNA[[TDS]:[0]],2,FALSE),0)</f>
        <v>14</v>
      </c>
      <c r="AB64" s="20"/>
      <c r="AC64" s="20"/>
      <c r="AD64" s="20">
        <f>IFERROR(VLOOKUP(Data[[#This Row],[TDS]],ExtCompactors_PNA[[Development]:[0]],3,FALSE)+VLOOKUP(Data[[#This Row],[TDS]],ExtCompactors_PNA[[Development]:[0]],6,FALSE),0)</f>
        <v>4</v>
      </c>
      <c r="AE64" s="20">
        <f>IFERROR(VLOOKUP(Data[[#This Row],[TDS]],IntCompactors_PNA[[TDS]:[0]],3,FALSE)+VLOOKUP(Data[[#This Row],[TDS]],IntCompactors_PNA[[TDS]:[0]],6,FALSE),0)</f>
        <v>14</v>
      </c>
      <c r="AF64" s="20" t="e">
        <f>VLOOKUP(Data[[#This Row],[DEVELOPMENT]],[3]Developments!$A$2:$A$312,1,FALSE)</f>
        <v>#N/A</v>
      </c>
      <c r="AG64" s="20">
        <f>IFERROR(VLOOKUP(Data[[#This Row],[DEVELOPMENT]],Ops_Priorities_and_Data_Clean[[development]:[ifnoext_comment]],3,FALSE),"")</f>
        <v>4</v>
      </c>
      <c r="AH64" s="20">
        <f>IFERROR(VLOOKUP(Data[[#This Row],[DEVELOPMENT]],Ops_Priorities_and_Data_Clean[[development]:[ifnoext_comment]],4,FALSE),"")</f>
        <v>1</v>
      </c>
      <c r="AI64" s="20">
        <f>IFERROR(VLOOKUP(Data[[#This Row],[DEVELOPMENT]],Ops_Priorities_and_Data_Clean[[development]:[ifnoext_comment]],5,FALSE),"")</f>
        <v>1</v>
      </c>
      <c r="AJ64" s="20">
        <f>IFERROR(VLOOKUP(Data[[#This Row],[DEVELOPMENT]],Ops_Priorities_and_Data_Clean[[development]:[ifnoext_comment]],6,FALSE),"")</f>
        <v>0</v>
      </c>
      <c r="AK64" s="20">
        <f>IFERROR(VLOOKUP(Data[[#This Row],[DEVELOPMENT]],Ops_Priorities_and_Data_Clean[[development]:[ifnoext_comment]],7,FALSE),"")</f>
        <v>0</v>
      </c>
      <c r="AL64" s="20">
        <f>IFERROR(VLOOKUP(Data[[#This Row],[DEVELOPMENT]],Ops_Priorities_and_Data_Clean[[development]:[ifnoext_comment]],8,FALSE),"")</f>
        <v>1</v>
      </c>
      <c r="AM64" s="20">
        <f>IFERROR(VLOOKUP(Data[[#This Row],[DEVELOPMENT]],Ops_Priorities_and_Data_Clean[[development]:[ifnoext_comment]],9,FALSE),"")</f>
        <v>0</v>
      </c>
      <c r="AN64" s="20">
        <f>IFERROR(VLOOKUP(Data[[#This Row],[DEVELOPMENT]],Ops_Priorities_and_Data_Clean[[development]:[ifnoext_comment]],10,FALSE),"")</f>
        <v>4</v>
      </c>
      <c r="AO64" s="20">
        <f>IFERROR(VLOOKUP(Data[[#This Row],[DEVELOPMENT]],Ops_Priorities_and_Data_Clean[[development]:[ifnoext_comment]],11,FALSE),"")</f>
        <v>4</v>
      </c>
      <c r="AP64" s="20">
        <f>IFERROR(VLOOKUP(Data[[#This Row],[DEVELOPMENT]],Ops_Priorities_and_Data_Clean[[development]:[ifnoext_comment]],12,FALSE),"")</f>
        <v>4</v>
      </c>
      <c r="AQ64" s="20">
        <f>VLOOKUP(Data[[#This Row],[DEVELOPMENT]],Ops_Priorities_and_Data_Clean[[development]:[ifnoext_comment]],14,FALSE)</f>
        <v>0</v>
      </c>
      <c r="AR64" s="20">
        <f>VLOOKUP(Data[[#This Row],[DEVELOPMENT]],Ops_Priorities_and_Data_Clean[[development]:[ifnoext_comment]],15,FALSE)</f>
        <v>0</v>
      </c>
      <c r="AS64" s="20" t="str">
        <f>VLOOKUP(Data[[#This Row],[DEVELOPMENT]],Ops_Priorities_and_Data_Clean[[development]:[ifnoext_comment]],16,FALSE)</f>
        <v>NULL</v>
      </c>
      <c r="AT64" s="20" t="str">
        <f>VLOOKUP(Data[[#This Row],[DEVELOPMENT]],Ops_Priorities_and_Data_Clean[[development]:[ifnoext_comment]],17,FALSE)</f>
        <v>NULL</v>
      </c>
      <c r="AU64" s="20" t="str">
        <f>VLOOKUP(Data[[#This Row],[DEVELOPMENT]],Ops_Priorities_and_Data_Clean[[development]:[ifnoext_comment]],18,FALSE)</f>
        <v>NULL</v>
      </c>
      <c r="AV64" s="20" t="str">
        <f>VLOOKUP(Data[[#This Row],[DEVELOPMENT]],Ops_Priorities_and_Data_Clean[[development]:[ifnoext_comment]],19,FALSE)</f>
        <v>NULL</v>
      </c>
      <c r="AW64" s="20" t="str">
        <f>VLOOKUP(Data[[#This Row],[DEVELOPMENT]],Ops_Priorities_and_Data_Clean[[development]:[ifnoext_comment]],20,FALSE)</f>
        <v>They already have four but they need a lot of help. They should be prioritized.</v>
      </c>
      <c r="AX64" s="104" t="s">
        <v>2605</v>
      </c>
      <c r="AY64" s="104" t="s">
        <v>200</v>
      </c>
      <c r="AZ64" s="20" t="str">
        <f>VLOOKUP(Data[[#This Row],[DEVELOPMENT]],Development_Data_Book[[DEVELOPMENT]:[PRIVATE MANAGEMENT]],8,FALSE)</f>
        <v>MIXED FINANCE/LLC1</v>
      </c>
      <c r="BA64" s="104" t="s">
        <v>2586</v>
      </c>
      <c r="BB64" s="20">
        <f>VLOOKUP(Data[[#This Row],[DEVELOPMENT]],Development_Data_Book[[DEVELOPMENT]:[PRIVATE MANAGEMENT]],22,FALSE)</f>
        <v>0</v>
      </c>
      <c r="BC64" s="20">
        <f>Data[[#This Row],[Non-Dwelling Buildings]]+Data[[#This Row],[Dwelling Buildings]]</f>
        <v>14</v>
      </c>
      <c r="BD64" s="20">
        <f>VLOOKUP(Data[[#This Row],[DEVELOPMENT]],Development_Data_Book[[DEVELOPMENT]:[PRIVATE MANAGEMENT]],26,FALSE)</f>
        <v>41.35</v>
      </c>
      <c r="BE64" s="106">
        <v>2213014</v>
      </c>
      <c r="BF64" s="20">
        <f>VLOOKUP(Data[[#This Row],[DEVELOPMENT]],Development_Data_Book[[DEVELOPMENT]:[PRIVATE MANAGEMENT]],18,FALSE)</f>
        <v>4880</v>
      </c>
      <c r="BG6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64" s="104" t="s">
        <v>2595</v>
      </c>
      <c r="BI64" t="s">
        <v>183</v>
      </c>
      <c r="BJ64" s="20">
        <f>VLOOKUP(Data[[#This Row],[DEVELOPMENT]],Development_Data_Book[[DEVELOPMENT]:[PRIVATE MANAGEMENT]],41,FALSE)</f>
        <v>9</v>
      </c>
      <c r="BK64" s="20">
        <f>VLOOKUP(Data[[#This Row],[DEVELOPMENT]],Development_Data_Book[[DEVELOPMENT]:[PRIVATE MANAGEMENT]],42,FALSE)</f>
        <v>15</v>
      </c>
      <c r="BL64" s="20">
        <f>VLOOKUP(Data[[#This Row],[DEVELOPMENT]],Development_Data_Book[[DEVELOPMENT]:[PRIVATE MANAGEMENT]],43,FALSE)</f>
        <v>32</v>
      </c>
      <c r="BM64" s="20">
        <f>VLOOKUP(Data[[#This Row],[DEVELOPMENT]],Development_Data_Book[[DEVELOPMENT]:[PRIVATE MANAGEMENT]],44,FALSE)</f>
        <v>87</v>
      </c>
      <c r="BN64" s="20">
        <f>VLOOKUP(Data[[#This Row],[DEVELOPMENT]],Development_Data_Book[[DEVELOPMENT]:[PRIVATE MANAGEMENT]],45,FALSE)</f>
        <v>18</v>
      </c>
      <c r="BO64" s="20">
        <f>VLOOKUP(Data[[#This Row],[DEVELOPMENT]],Development_Data_Book[[DEVELOPMENT]:[PRIVATE MANAGEMENT]],24,FALSE)</f>
        <v>43819</v>
      </c>
    </row>
    <row r="65" spans="1:67">
      <c r="A65" t="s">
        <v>309</v>
      </c>
      <c r="B65" s="20" t="str">
        <f>VLOOKUP(Data[[#This Row],[DEVELOPMENT]],Development_Data_Book[[DEVELOPMENT]:[BOROUGH]],MATCH("borough",Development_Data_Book[[#Headers],[DEVELOPMENT]:[BOROUGH]],0),FALSE)</f>
        <v>MANHATTAN</v>
      </c>
      <c r="C65" s="20" t="e">
        <f>VLOOKUP(Data[[#This Row],[DEVELOPMENT]],'[1]Cheat-Sheet'!$D$2:$Q$341,2,FALSE)</f>
        <v>#N/A</v>
      </c>
      <c r="D6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65" s="20">
        <f>VLOOKUP(Data[[#This Row],[DEVELOPMENT]],Development_Data_Book[[DEVELOPMENT]:[BOROUGH]],21,FALSE)</f>
        <v>2</v>
      </c>
      <c r="F65" s="20">
        <f>VLOOKUP(Data[[#This Row],[DEVELOPMENT]],Development_Data_Book[[DEVELOPMENT]:[BOROUGH]],23,FALSE)</f>
        <v>4</v>
      </c>
      <c r="G65" s="20">
        <f>VLOOKUP(Data[[#This Row],[DEVELOPMENT]],Development_Data_Book[[DEVELOPMENT]:[BOROUGH]],12,FALSE)</f>
        <v>425</v>
      </c>
      <c r="J65">
        <f>IFERROR(VLOOKUP(Data[[#This Row],[DEVELOPMENT]],IntCompactors_MRST[],4,FALSE),0)</f>
        <v>4</v>
      </c>
      <c r="K65" s="20">
        <f>IFERROR(VLOOKUP(Data[[#This Row],[DEVELOPMENT]],ExtCompactors_MRST[],4,FALSE),0)</f>
        <v>2</v>
      </c>
      <c r="L65" s="27">
        <f>IF(Data[[#This Row],['# Interior Compactors MRST]]=0,"",VLOOKUP(Data[[#This Row],[DEVELOPMENT]],IntCompactors_MRST[],5,FALSE))</f>
        <v>36434</v>
      </c>
      <c r="M65" s="28">
        <f>IF(Data[[#This Row],['# Exterior Compactors MRST]]=0,"",VLOOKUP(Data[[#This Row],[DEVELOPMENT]],ExtCompactors_MRST[],5,FALSE))</f>
        <v>40179</v>
      </c>
      <c r="N65" s="20">
        <f>Data[[#This Row],['# Interior Compactors MRST]]</f>
        <v>4</v>
      </c>
      <c r="O65" s="20">
        <f>IF(Data[[#This Row],['# Bulk Crushers]]=0,1,0)</f>
        <v>1</v>
      </c>
      <c r="P65" s="20">
        <f>1</f>
        <v>1</v>
      </c>
      <c r="Q65" s="20">
        <f>1</f>
        <v>1</v>
      </c>
      <c r="R65" s="20">
        <f>1</f>
        <v>1</v>
      </c>
      <c r="S65" s="20">
        <f>1</f>
        <v>1</v>
      </c>
      <c r="T65" s="20">
        <f>IF(Data[[#This Row],[Sewershed]]="Newtown Creek",Data[[#This Row],[DUs]],0)</f>
        <v>0</v>
      </c>
      <c r="U6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6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6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65" s="82">
        <f>VLOOKUP(Data[[#This Row],[DEVELOPMENT]],Development_Data_Book[[DEVELOPMENT]:[BOROUGH]],3,FALSE)</f>
        <v>134</v>
      </c>
      <c r="Y65" s="20"/>
      <c r="Z65" s="20">
        <f>IFERROR(VLOOKUP(Data[[#This Row],[TDS]],ExtCompactors_PNA[[Development]:[0]],2,FALSE),0)</f>
        <v>0</v>
      </c>
      <c r="AA65" s="20">
        <f>IFERROR(VLOOKUP(Data[[#This Row],[TDS]],IntCompactors_PNA[[TDS]:[0]],2,FALSE),0)</f>
        <v>4</v>
      </c>
      <c r="AB65" s="20"/>
      <c r="AC65" s="20"/>
      <c r="AD65" s="20">
        <f>IFERROR(VLOOKUP(Data[[#This Row],[TDS]],ExtCompactors_PNA[[Development]:[0]],3,FALSE)+VLOOKUP(Data[[#This Row],[TDS]],ExtCompactors_PNA[[Development]:[0]],6,FALSE),0)</f>
        <v>0</v>
      </c>
      <c r="AE65" s="20">
        <f>IFERROR(VLOOKUP(Data[[#This Row],[TDS]],IntCompactors_PNA[[TDS]:[0]],3,FALSE)+VLOOKUP(Data[[#This Row],[TDS]],IntCompactors_PNA[[TDS]:[0]],6,FALSE),0)</f>
        <v>4</v>
      </c>
      <c r="AF65" s="20" t="e">
        <f>VLOOKUP(Data[[#This Row],[DEVELOPMENT]],[3]Developments!$A$2:$A$312,1,FALSE)</f>
        <v>#N/A</v>
      </c>
      <c r="AG65" s="20">
        <f>IFERROR(VLOOKUP(Data[[#This Row],[DEVELOPMENT]],Ops_Priorities_and_Data_Clean[[development]:[ifnoext_comment]],3,FALSE),"")</f>
        <v>2</v>
      </c>
      <c r="AH65" s="20">
        <f>IFERROR(VLOOKUP(Data[[#This Row],[DEVELOPMENT]],Ops_Priorities_and_Data_Clean[[development]:[ifnoext_comment]],4,FALSE),"")</f>
        <v>0</v>
      </c>
      <c r="AI65" s="20">
        <f>IFERROR(VLOOKUP(Data[[#This Row],[DEVELOPMENT]],Ops_Priorities_and_Data_Clean[[development]:[ifnoext_comment]],5,FALSE),"")</f>
        <v>1</v>
      </c>
      <c r="AJ65" s="20">
        <f>IFERROR(VLOOKUP(Data[[#This Row],[DEVELOPMENT]],Ops_Priorities_and_Data_Clean[[development]:[ifnoext_comment]],6,FALSE),"")</f>
        <v>0</v>
      </c>
      <c r="AK65" s="20">
        <f>IFERROR(VLOOKUP(Data[[#This Row],[DEVELOPMENT]],Ops_Priorities_and_Data_Clean[[development]:[ifnoext_comment]],7,FALSE),"")</f>
        <v>0</v>
      </c>
      <c r="AL65" s="20">
        <f>IFERROR(VLOOKUP(Data[[#This Row],[DEVELOPMENT]],Ops_Priorities_and_Data_Clean[[development]:[ifnoext_comment]],8,FALSE),"")</f>
        <v>1</v>
      </c>
      <c r="AM65" s="20">
        <f>IFERROR(VLOOKUP(Data[[#This Row],[DEVELOPMENT]],Ops_Priorities_and_Data_Clean[[development]:[ifnoext_comment]],9,FALSE),"")</f>
        <v>0</v>
      </c>
      <c r="AN65" s="20">
        <f>IFERROR(VLOOKUP(Data[[#This Row],[DEVELOPMENT]],Ops_Priorities_and_Data_Clean[[development]:[ifnoext_comment]],10,FALSE),"")</f>
        <v>2</v>
      </c>
      <c r="AO65" s="20">
        <f>IFERROR(VLOOKUP(Data[[#This Row],[DEVELOPMENT]],Ops_Priorities_and_Data_Clean[[development]:[ifnoext_comment]],11,FALSE),"")</f>
        <v>2</v>
      </c>
      <c r="AP65" s="20">
        <f>IFERROR(VLOOKUP(Data[[#This Row],[DEVELOPMENT]],Ops_Priorities_and_Data_Clean[[development]:[ifnoext_comment]],12,FALSE),"")</f>
        <v>2</v>
      </c>
      <c r="AQ65" s="20">
        <f>VLOOKUP(Data[[#This Row],[DEVELOPMENT]],Ops_Priorities_and_Data_Clean[[development]:[ifnoext_comment]],14,FALSE)</f>
        <v>0</v>
      </c>
      <c r="AR65" s="20">
        <f>VLOOKUP(Data[[#This Row],[DEVELOPMENT]],Ops_Priorities_and_Data_Clean[[development]:[ifnoext_comment]],15,FALSE)</f>
        <v>0</v>
      </c>
      <c r="AS65" s="20" t="str">
        <f>VLOOKUP(Data[[#This Row],[DEVELOPMENT]],Ops_Priorities_and_Data_Clean[[development]:[ifnoext_comment]],16,FALSE)</f>
        <v>NULL</v>
      </c>
      <c r="AT65" s="20" t="str">
        <f>VLOOKUP(Data[[#This Row],[DEVELOPMENT]],Ops_Priorities_and_Data_Clean[[development]:[ifnoext_comment]],17,FALSE)</f>
        <v>NULL</v>
      </c>
      <c r="AU65" s="20" t="str">
        <f>VLOOKUP(Data[[#This Row],[DEVELOPMENT]],Ops_Priorities_and_Data_Clean[[development]:[ifnoext_comment]],18,FALSE)</f>
        <v>NULL</v>
      </c>
      <c r="AV65" s="20" t="str">
        <f>VLOOKUP(Data[[#This Row],[DEVELOPMENT]],Ops_Priorities_and_Data_Clean[[development]:[ifnoext_comment]],19,FALSE)</f>
        <v>NULL</v>
      </c>
      <c r="AW65" s="20" t="str">
        <f>VLOOKUP(Data[[#This Row],[DEVELOPMENT]],Ops_Priorities_and_Data_Clean[[development]:[ifnoext_comment]],20,FALSE)</f>
        <v>NULL</v>
      </c>
      <c r="AX65" s="104" t="s">
        <v>2605</v>
      </c>
      <c r="AY65" s="104" t="s">
        <v>309</v>
      </c>
      <c r="AZ65" s="20" t="str">
        <f>VLOOKUP(Data[[#This Row],[DEVELOPMENT]],Development_Data_Book[[DEVELOPMENT]:[PRIVATE MANAGEMENT]],8,FALSE)</f>
        <v>MIXED FINANCE/LLC1</v>
      </c>
      <c r="BA65" s="104" t="s">
        <v>2586</v>
      </c>
      <c r="BB65" s="20">
        <f>VLOOKUP(Data[[#This Row],[DEVELOPMENT]],Development_Data_Book[[DEVELOPMENT]:[PRIVATE MANAGEMENT]],22,FALSE)</f>
        <v>0</v>
      </c>
      <c r="BC65" s="20">
        <f>Data[[#This Row],[Non-Dwelling Buildings]]+Data[[#This Row],[Dwelling Buildings]]</f>
        <v>2</v>
      </c>
      <c r="BD65" s="20">
        <f>VLOOKUP(Data[[#This Row],[DEVELOPMENT]],Development_Data_Book[[DEVELOPMENT]:[PRIVATE MANAGEMENT]],26,FALSE)</f>
        <v>1.71</v>
      </c>
      <c r="BE65" s="106">
        <v>398836</v>
      </c>
      <c r="BF65" s="20">
        <f>VLOOKUP(Data[[#This Row],[DEVELOPMENT]],Development_Data_Book[[DEVELOPMENT]:[PRIVATE MANAGEMENT]],18,FALSE)</f>
        <v>910</v>
      </c>
      <c r="BG6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65" s="104" t="s">
        <v>2598</v>
      </c>
      <c r="BI65" t="s">
        <v>184</v>
      </c>
      <c r="BJ65" s="20">
        <f>VLOOKUP(Data[[#This Row],[DEVELOPMENT]],Development_Data_Book[[DEVELOPMENT]:[PRIVATE MANAGEMENT]],41,FALSE)</f>
        <v>4</v>
      </c>
      <c r="BK65" s="20">
        <f>VLOOKUP(Data[[#This Row],[DEVELOPMENT]],Development_Data_Book[[DEVELOPMENT]:[PRIVATE MANAGEMENT]],42,FALSE)</f>
        <v>10</v>
      </c>
      <c r="BL65" s="20">
        <f>VLOOKUP(Data[[#This Row],[DEVELOPMENT]],Development_Data_Book[[DEVELOPMENT]:[PRIVATE MANAGEMENT]],43,FALSE)</f>
        <v>27</v>
      </c>
      <c r="BM65" s="20">
        <f>VLOOKUP(Data[[#This Row],[DEVELOPMENT]],Development_Data_Book[[DEVELOPMENT]:[PRIVATE MANAGEMENT]],44,FALSE)</f>
        <v>75</v>
      </c>
      <c r="BN65" s="20">
        <f>VLOOKUP(Data[[#This Row],[DEVELOPMENT]],Development_Data_Book[[DEVELOPMENT]:[PRIVATE MANAGEMENT]],45,FALSE)</f>
        <v>3</v>
      </c>
      <c r="BO65" s="20">
        <f>VLOOKUP(Data[[#This Row],[DEVELOPMENT]],Development_Data_Book[[DEVELOPMENT]:[PRIVATE MANAGEMENT]],24,FALSE)</f>
        <v>21</v>
      </c>
    </row>
    <row r="66" spans="1:67">
      <c r="A66" t="s">
        <v>274</v>
      </c>
      <c r="B66" s="20" t="str">
        <f>VLOOKUP(Data[[#This Row],[DEVELOPMENT]],Development_Data_Book[[DEVELOPMENT]:[BOROUGH]],MATCH("borough",Development_Data_Book[[#Headers],[DEVELOPMENT]:[BOROUGH]],0),FALSE)</f>
        <v>MANHATTAN</v>
      </c>
      <c r="C66" s="20" t="e">
        <f>VLOOKUP(Data[[#This Row],[DEVELOPMENT]],'[1]Cheat-Sheet'!$D$2:$Q$341,2,FALSE)</f>
        <v>#N/A</v>
      </c>
      <c r="D6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66" s="20">
        <f>VLOOKUP(Data[[#This Row],[DEVELOPMENT]],Development_Data_Book[[DEVELOPMENT]:[BOROUGH]],21,FALSE)</f>
        <v>1</v>
      </c>
      <c r="F66" s="20">
        <f>VLOOKUP(Data[[#This Row],[DEVELOPMENT]],Development_Data_Book[[DEVELOPMENT]:[BOROUGH]],23,FALSE)</f>
        <v>1</v>
      </c>
      <c r="G66" s="20">
        <f>VLOOKUP(Data[[#This Row],[DEVELOPMENT]],Development_Data_Book[[DEVELOPMENT]:[BOROUGH]],12,FALSE)</f>
        <v>96</v>
      </c>
      <c r="H66" t="s">
        <v>2248</v>
      </c>
      <c r="J66">
        <f>IFERROR(VLOOKUP(Data[[#This Row],[DEVELOPMENT]],IntCompactors_MRST[],4,FALSE),0)</f>
        <v>1</v>
      </c>
      <c r="K66" s="20">
        <f>IFERROR(VLOOKUP(Data[[#This Row],[DEVELOPMENT]],ExtCompactors_MRST[],4,FALSE),0)</f>
        <v>0</v>
      </c>
      <c r="L66" s="27">
        <f>IF(Data[[#This Row],['# Interior Compactors MRST]]=0,"",VLOOKUP(Data[[#This Row],[DEVELOPMENT]],IntCompactors_MRST[],5,FALSE))</f>
        <v>37469</v>
      </c>
      <c r="M66" s="28" t="str">
        <f>IF(Data[[#This Row],['# Exterior Compactors MRST]]=0,"",VLOOKUP(Data[[#This Row],[DEVELOPMENT]],ExtCompactors_MRST[],5,FALSE))</f>
        <v/>
      </c>
      <c r="N66" s="20">
        <f>Data[[#This Row],['# Interior Compactors MRST]]</f>
        <v>1</v>
      </c>
      <c r="O66" s="20">
        <f>IF(Data[[#This Row],['# Bulk Crushers]]=0,1,0)</f>
        <v>1</v>
      </c>
      <c r="P66" s="20">
        <f>1</f>
        <v>1</v>
      </c>
      <c r="Q66" s="20">
        <f>1</f>
        <v>1</v>
      </c>
      <c r="R66" s="20">
        <f>1</f>
        <v>1</v>
      </c>
      <c r="S66" s="20">
        <f>1</f>
        <v>1</v>
      </c>
      <c r="T66" s="20">
        <f>IF(Data[[#This Row],[Sewershed]]="Newtown Creek",Data[[#This Row],[DUs]],0)</f>
        <v>0</v>
      </c>
      <c r="U6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6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6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66" s="82">
        <f>VLOOKUP(Data[[#This Row],[DEVELOPMENT]],Development_Data_Book[[DEVELOPMENT]:[BOROUGH]],3,FALSE)</f>
        <v>176</v>
      </c>
      <c r="Y66" s="20"/>
      <c r="Z66" s="20">
        <f>IFERROR(VLOOKUP(Data[[#This Row],[TDS]],ExtCompactors_PNA[[Development]:[0]],2,FALSE),0)</f>
        <v>0</v>
      </c>
      <c r="AA66" s="20">
        <f>IFERROR(VLOOKUP(Data[[#This Row],[TDS]],IntCompactors_PNA[[TDS]:[0]],2,FALSE),0)</f>
        <v>1</v>
      </c>
      <c r="AB66" s="20"/>
      <c r="AC66" s="20"/>
      <c r="AD66" s="20">
        <f>IFERROR(VLOOKUP(Data[[#This Row],[TDS]],ExtCompactors_PNA[[Development]:[0]],3,FALSE)+VLOOKUP(Data[[#This Row],[TDS]],ExtCompactors_PNA[[Development]:[0]],6,FALSE),0)</f>
        <v>0</v>
      </c>
      <c r="AE66" s="20">
        <f>IFERROR(VLOOKUP(Data[[#This Row],[TDS]],IntCompactors_PNA[[TDS]:[0]],3,FALSE)+VLOOKUP(Data[[#This Row],[TDS]],IntCompactors_PNA[[TDS]:[0]],6,FALSE),0)</f>
        <v>1</v>
      </c>
      <c r="AF66" s="20" t="e">
        <f>VLOOKUP(Data[[#This Row],[DEVELOPMENT]],[3]Developments!$A$2:$A$312,1,FALSE)</f>
        <v>#N/A</v>
      </c>
      <c r="AG66" s="20">
        <f>IFERROR(VLOOKUP(Data[[#This Row],[DEVELOPMENT]],Ops_Priorities_and_Data_Clean[[development]:[ifnoext_comment]],3,FALSE),"")</f>
        <v>0</v>
      </c>
      <c r="AH66" s="20">
        <f>IFERROR(VLOOKUP(Data[[#This Row],[DEVELOPMENT]],Ops_Priorities_and_Data_Clean[[development]:[ifnoext_comment]],4,FALSE),"")</f>
        <v>3</v>
      </c>
      <c r="AI66" s="20">
        <f>IFERROR(VLOOKUP(Data[[#This Row],[DEVELOPMENT]],Ops_Priorities_and_Data_Clean[[development]:[ifnoext_comment]],5,FALSE),"")</f>
        <v>0</v>
      </c>
      <c r="AJ66" s="20">
        <f>IFERROR(VLOOKUP(Data[[#This Row],[DEVELOPMENT]],Ops_Priorities_and_Data_Clean[[development]:[ifnoext_comment]],6,FALSE),"")</f>
        <v>1</v>
      </c>
      <c r="AK66" s="20">
        <f>IFERROR(VLOOKUP(Data[[#This Row],[DEVELOPMENT]],Ops_Priorities_and_Data_Clean[[development]:[ifnoext_comment]],7,FALSE),"")</f>
        <v>0</v>
      </c>
      <c r="AL66" s="20">
        <f>IFERROR(VLOOKUP(Data[[#This Row],[DEVELOPMENT]],Ops_Priorities_and_Data_Clean[[development]:[ifnoext_comment]],8,FALSE),"")</f>
        <v>1</v>
      </c>
      <c r="AM66" s="20">
        <f>IFERROR(VLOOKUP(Data[[#This Row],[DEVELOPMENT]],Ops_Priorities_and_Data_Clean[[development]:[ifnoext_comment]],9,FALSE),"")</f>
        <v>0</v>
      </c>
      <c r="AN66" s="20">
        <f>IFERROR(VLOOKUP(Data[[#This Row],[DEVELOPMENT]],Ops_Priorities_and_Data_Clean[[development]:[ifnoext_comment]],10,FALSE),"")</f>
        <v>0</v>
      </c>
      <c r="AO66" s="20">
        <f>IFERROR(VLOOKUP(Data[[#This Row],[DEVELOPMENT]],Ops_Priorities_and_Data_Clean[[development]:[ifnoext_comment]],11,FALSE),"")</f>
        <v>0</v>
      </c>
      <c r="AP66" s="20">
        <f>IFERROR(VLOOKUP(Data[[#This Row],[DEVELOPMENT]],Ops_Priorities_and_Data_Clean[[development]:[ifnoext_comment]],12,FALSE),"")</f>
        <v>0</v>
      </c>
      <c r="AQ66" s="20">
        <f>VLOOKUP(Data[[#This Row],[DEVELOPMENT]],Ops_Priorities_and_Data_Clean[[development]:[ifnoext_comment]],14,FALSE)</f>
        <v>0</v>
      </c>
      <c r="AR66" s="20">
        <f>VLOOKUP(Data[[#This Row],[DEVELOPMENT]],Ops_Priorities_and_Data_Clean[[development]:[ifnoext_comment]],15,FALSE)</f>
        <v>1</v>
      </c>
      <c r="AS66" s="20" t="str">
        <f>VLOOKUP(Data[[#This Row],[DEVELOPMENT]],Ops_Priorities_and_Data_Clean[[development]:[ifnoext_comment]],16,FALSE)</f>
        <v>Chelsea</v>
      </c>
      <c r="AT66" s="20" t="str">
        <f>VLOOKUP(Data[[#This Row],[DEVELOPMENT]],Ops_Priorities_and_Data_Clean[[development]:[ifnoext_comment]],17,FALSE)</f>
        <v>NULL</v>
      </c>
      <c r="AU66" s="20" t="str">
        <f>VLOOKUP(Data[[#This Row],[DEVELOPMENT]],Ops_Priorities_and_Data_Clean[[development]:[ifnoext_comment]],18,FALSE)</f>
        <v>NULL</v>
      </c>
      <c r="AV66" s="20" t="str">
        <f>VLOOKUP(Data[[#This Row],[DEVELOPMENT]],Ops_Priorities_and_Data_Clean[[development]:[ifnoext_comment]],19,FALSE)</f>
        <v>NULL</v>
      </c>
      <c r="AW66" s="20" t="str">
        <f>VLOOKUP(Data[[#This Row],[DEVELOPMENT]],Ops_Priorities_and_Data_Clean[[development]:[ifnoext_comment]],20,FALSE)</f>
        <v>NULL</v>
      </c>
      <c r="AX66" s="104" t="s">
        <v>2605</v>
      </c>
      <c r="AY66" s="104" t="s">
        <v>309</v>
      </c>
      <c r="AZ66" s="20" t="str">
        <f>VLOOKUP(Data[[#This Row],[DEVELOPMENT]],Development_Data_Book[[DEVELOPMENT]:[PRIVATE MANAGEMENT]],8,FALSE)</f>
        <v>FEDERAL</v>
      </c>
      <c r="BA66" s="104" t="s">
        <v>2586</v>
      </c>
      <c r="BB66" s="20">
        <f>VLOOKUP(Data[[#This Row],[DEVELOPMENT]],Development_Data_Book[[DEVELOPMENT]:[PRIVATE MANAGEMENT]],22,FALSE)</f>
        <v>0</v>
      </c>
      <c r="BC66" s="20">
        <f>Data[[#This Row],[Non-Dwelling Buildings]]+Data[[#This Row],[Dwelling Buildings]]</f>
        <v>1</v>
      </c>
      <c r="BD66" s="20">
        <f>VLOOKUP(Data[[#This Row],[DEVELOPMENT]],Development_Data_Book[[DEVELOPMENT]:[PRIVATE MANAGEMENT]],26,FALSE)</f>
        <v>1.03</v>
      </c>
      <c r="BE66" s="106">
        <v>131916</v>
      </c>
      <c r="BF66" s="20">
        <f>VLOOKUP(Data[[#This Row],[DEVELOPMENT]],Development_Data_Book[[DEVELOPMENT]:[PRIVATE MANAGEMENT]],18,FALSE)</f>
        <v>114</v>
      </c>
      <c r="BG66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66" s="104" t="s">
        <v>2598</v>
      </c>
      <c r="BI66" t="s">
        <v>184</v>
      </c>
      <c r="BJ66" s="20">
        <f>VLOOKUP(Data[[#This Row],[DEVELOPMENT]],Development_Data_Book[[DEVELOPMENT]:[PRIVATE MANAGEMENT]],41,FALSE)</f>
        <v>4</v>
      </c>
      <c r="BK66" s="20">
        <f>VLOOKUP(Data[[#This Row],[DEVELOPMENT]],Development_Data_Book[[DEVELOPMENT]:[PRIVATE MANAGEMENT]],42,FALSE)</f>
        <v>10</v>
      </c>
      <c r="BL66" s="20">
        <f>VLOOKUP(Data[[#This Row],[DEVELOPMENT]],Development_Data_Book[[DEVELOPMENT]:[PRIVATE MANAGEMENT]],43,FALSE)</f>
        <v>31</v>
      </c>
      <c r="BM66" s="20">
        <f>VLOOKUP(Data[[#This Row],[DEVELOPMENT]],Development_Data_Book[[DEVELOPMENT]:[PRIVATE MANAGEMENT]],44,FALSE)</f>
        <v>75</v>
      </c>
      <c r="BN66" s="20">
        <f>VLOOKUP(Data[[#This Row],[DEVELOPMENT]],Development_Data_Book[[DEVELOPMENT]:[PRIVATE MANAGEMENT]],45,FALSE)</f>
        <v>3</v>
      </c>
      <c r="BO66" s="20">
        <f>VLOOKUP(Data[[#This Row],[DEVELOPMENT]],Development_Data_Book[[DEVELOPMENT]:[PRIVATE MANAGEMENT]],24,FALSE)</f>
        <v>14</v>
      </c>
    </row>
    <row r="67" spans="1:67">
      <c r="A67" t="s">
        <v>124</v>
      </c>
      <c r="B67" t="str">
        <f>VLOOKUP(Data[[#This Row],[DEVELOPMENT]],Development_Data_Book[[DEVELOPMENT]:[BOROUGH]],MATCH("borough",Development_Data_Book[[#Headers],[DEVELOPMENT]:[BOROUGH]],0),FALSE)</f>
        <v>BRONX</v>
      </c>
      <c r="C67" t="e">
        <f>VLOOKUP(Data[[#This Row],[DEVELOPMENT]],'[1]Cheat-Sheet'!$D$2:$Q$341,2,FALSE)</f>
        <v>#N/A</v>
      </c>
      <c r="D6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67">
        <f>VLOOKUP(Data[[#This Row],[DEVELOPMENT]],Development_Data_Book[[DEVELOPMENT]:[BOROUGH]],21,FALSE)</f>
        <v>3</v>
      </c>
      <c r="F67">
        <f>VLOOKUP(Data[[#This Row],[DEVELOPMENT]],Development_Data_Book[[DEVELOPMENT]:[BOROUGH]],23,FALSE)</f>
        <v>13</v>
      </c>
      <c r="G67">
        <f>VLOOKUP(Data[[#This Row],[DEVELOPMENT]],Development_Data_Book[[DEVELOPMENT]:[BOROUGH]],12,FALSE)</f>
        <v>187</v>
      </c>
      <c r="H67" t="s">
        <v>2248</v>
      </c>
      <c r="I67">
        <v>4</v>
      </c>
      <c r="J67">
        <f>IFERROR(VLOOKUP(Data[[#This Row],[DEVELOPMENT]],IntCompactors_MRST[],4,FALSE),0)</f>
        <v>3</v>
      </c>
      <c r="K67" s="20">
        <f>IFERROR(VLOOKUP(Data[[#This Row],[DEVELOPMENT]],ExtCompactors_MRST[],4,FALSE),0)</f>
        <v>1</v>
      </c>
      <c r="L67" s="27">
        <f>IF(Data[[#This Row],['# Interior Compactors MRST]]=0,"",VLOOKUP(Data[[#This Row],[DEVELOPMENT]],IntCompactors_MRST[],5,FALSE))</f>
        <v>35217</v>
      </c>
      <c r="M67" s="28">
        <f>IF(Data[[#This Row],['# Exterior Compactors MRST]]=0,"",VLOOKUP(Data[[#This Row],[DEVELOPMENT]],ExtCompactors_MRST[],5,FALSE))</f>
        <v>39325</v>
      </c>
      <c r="N67">
        <f>Data[[#This Row],['# Interior Compactors MRST]]</f>
        <v>3</v>
      </c>
      <c r="O67" s="20">
        <f>IF(Data[[#This Row],['# Bulk Crushers]]=0,1,0)</f>
        <v>1</v>
      </c>
      <c r="P67" s="20">
        <f>1</f>
        <v>1</v>
      </c>
      <c r="Q67" s="20">
        <f>1</f>
        <v>1</v>
      </c>
      <c r="R67" s="20">
        <f>1</f>
        <v>1</v>
      </c>
      <c r="S67" s="20">
        <f>1</f>
        <v>1</v>
      </c>
      <c r="T67" s="20">
        <f>IF(Data[[#This Row],[Sewershed]]="Newtown Creek",Data[[#This Row],[DUs]],0)</f>
        <v>0</v>
      </c>
      <c r="U6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6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6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67" s="82">
        <f>VLOOKUP(Data[[#This Row],[DEVELOPMENT]],Development_Data_Book[[DEVELOPMENT]:[BOROUGH]],3,FALSE)</f>
        <v>334</v>
      </c>
      <c r="Y67" s="20"/>
      <c r="Z67" s="20">
        <f>IFERROR(VLOOKUP(Data[[#This Row],[TDS]],ExtCompactors_PNA[[Development]:[0]],2,FALSE),0)</f>
        <v>1</v>
      </c>
      <c r="AA67" s="20">
        <f>IFERROR(VLOOKUP(Data[[#This Row],[TDS]],IntCompactors_PNA[[TDS]:[0]],2,FALSE),0)</f>
        <v>1</v>
      </c>
      <c r="AB67" s="20"/>
      <c r="AC67" s="20"/>
      <c r="AD67" s="20">
        <f>IFERROR(VLOOKUP(Data[[#This Row],[TDS]],ExtCompactors_PNA[[Development]:[0]],3,FALSE)+VLOOKUP(Data[[#This Row],[TDS]],ExtCompactors_PNA[[Development]:[0]],6,FALSE),0)</f>
        <v>1</v>
      </c>
      <c r="AE67" s="20">
        <f>IFERROR(VLOOKUP(Data[[#This Row],[TDS]],IntCompactors_PNA[[TDS]:[0]],3,FALSE)+VLOOKUP(Data[[#This Row],[TDS]],IntCompactors_PNA[[TDS]:[0]],6,FALSE),0)</f>
        <v>1</v>
      </c>
      <c r="AF67" s="20" t="e">
        <f>VLOOKUP(Data[[#This Row],[DEVELOPMENT]],[3]Developments!$A$2:$A$312,1,FALSE)</f>
        <v>#N/A</v>
      </c>
      <c r="AG67" s="20">
        <f>IFERROR(VLOOKUP(Data[[#This Row],[DEVELOPMENT]],Ops_Priorities_and_Data_Clean[[development]:[ifnoext_comment]],3,FALSE),"")</f>
        <v>1</v>
      </c>
      <c r="AH67" s="20">
        <f>IFERROR(VLOOKUP(Data[[#This Row],[DEVELOPMENT]],Ops_Priorities_and_Data_Clean[[development]:[ifnoext_comment]],4,FALSE),"")</f>
        <v>0</v>
      </c>
      <c r="AI67" s="20">
        <f>IFERROR(VLOOKUP(Data[[#This Row],[DEVELOPMENT]],Ops_Priorities_and_Data_Clean[[development]:[ifnoext_comment]],5,FALSE),"")</f>
        <v>1</v>
      </c>
      <c r="AJ67" s="20">
        <f>IFERROR(VLOOKUP(Data[[#This Row],[DEVELOPMENT]],Ops_Priorities_and_Data_Clean[[development]:[ifnoext_comment]],6,FALSE),"")</f>
        <v>0</v>
      </c>
      <c r="AK67" s="20">
        <f>IFERROR(VLOOKUP(Data[[#This Row],[DEVELOPMENT]],Ops_Priorities_and_Data_Clean[[development]:[ifnoext_comment]],7,FALSE),"")</f>
        <v>0</v>
      </c>
      <c r="AL67" s="20">
        <f>IFERROR(VLOOKUP(Data[[#This Row],[DEVELOPMENT]],Ops_Priorities_and_Data_Clean[[development]:[ifnoext_comment]],8,FALSE),"")</f>
        <v>1</v>
      </c>
      <c r="AM67" s="20">
        <f>IFERROR(VLOOKUP(Data[[#This Row],[DEVELOPMENT]],Ops_Priorities_and_Data_Clean[[development]:[ifnoext_comment]],9,FALSE),"")</f>
        <v>0</v>
      </c>
      <c r="AN67" s="20">
        <f>IFERROR(VLOOKUP(Data[[#This Row],[DEVELOPMENT]],Ops_Priorities_and_Data_Clean[[development]:[ifnoext_comment]],10,FALSE),"")</f>
        <v>1</v>
      </c>
      <c r="AO67" s="20">
        <f>IFERROR(VLOOKUP(Data[[#This Row],[DEVELOPMENT]],Ops_Priorities_and_Data_Clean[[development]:[ifnoext_comment]],11,FALSE),"")</f>
        <v>1</v>
      </c>
      <c r="AP67" s="20">
        <f>IFERROR(VLOOKUP(Data[[#This Row],[DEVELOPMENT]],Ops_Priorities_and_Data_Clean[[development]:[ifnoext_comment]],12,FALSE),"")</f>
        <v>1</v>
      </c>
      <c r="AQ67" s="20">
        <f>VLOOKUP(Data[[#This Row],[DEVELOPMENT]],Ops_Priorities_and_Data_Clean[[development]:[ifnoext_comment]],14,FALSE)</f>
        <v>0</v>
      </c>
      <c r="AR67" s="20">
        <f>VLOOKUP(Data[[#This Row],[DEVELOPMENT]],Ops_Priorities_and_Data_Clean[[development]:[ifnoext_comment]],15,FALSE)</f>
        <v>0</v>
      </c>
      <c r="AS67" s="20" t="str">
        <f>VLOOKUP(Data[[#This Row],[DEVELOPMENT]],Ops_Priorities_and_Data_Clean[[development]:[ifnoext_comment]],16,FALSE)</f>
        <v>NULL</v>
      </c>
      <c r="AT67" s="20" t="str">
        <f>VLOOKUP(Data[[#This Row],[DEVELOPMENT]],Ops_Priorities_and_Data_Clean[[development]:[ifnoext_comment]],17,FALSE)</f>
        <v>Part of Union Cons.</v>
      </c>
      <c r="AU67" s="20" t="str">
        <f>VLOOKUP(Data[[#This Row],[DEVELOPMENT]],Ops_Priorities_and_Data_Clean[[development]:[ifnoext_comment]],18,FALSE)</f>
        <v>NULL</v>
      </c>
      <c r="AV67" s="20" t="str">
        <f>VLOOKUP(Data[[#This Row],[DEVELOPMENT]],Ops_Priorities_and_Data_Clean[[development]:[ifnoext_comment]],19,FALSE)</f>
        <v>NULL</v>
      </c>
      <c r="AW67" s="20" t="str">
        <f>VLOOKUP(Data[[#This Row],[DEVELOPMENT]],Ops_Priorities_and_Data_Clean[[development]:[ifnoext_comment]],20,FALSE)</f>
        <v>NULL</v>
      </c>
      <c r="AX67" s="104" t="s">
        <v>2237</v>
      </c>
      <c r="AY67" s="104" t="s">
        <v>2590</v>
      </c>
      <c r="AZ67" s="20" t="str">
        <f>VLOOKUP(Data[[#This Row],[DEVELOPMENT]],Development_Data_Book[[DEVELOPMENT]:[PRIVATE MANAGEMENT]],8,FALSE)</f>
        <v>FEDERAL</v>
      </c>
      <c r="BA67" s="104" t="s">
        <v>2613</v>
      </c>
      <c r="BB67" s="20">
        <f>VLOOKUP(Data[[#This Row],[DEVELOPMENT]],Development_Data_Book[[DEVELOPMENT]:[PRIVATE MANAGEMENT]],22,FALSE)</f>
        <v>0</v>
      </c>
      <c r="BC67" s="20">
        <f>Data[[#This Row],[Non-Dwelling Buildings]]+Data[[#This Row],[Dwelling Buildings]]</f>
        <v>3</v>
      </c>
      <c r="BD67" s="20">
        <f>VLOOKUP(Data[[#This Row],[DEVELOPMENT]],Development_Data_Book[[DEVELOPMENT]:[PRIVATE MANAGEMENT]],26,FALSE)</f>
        <v>3.09</v>
      </c>
      <c r="BE67" s="106">
        <v>182200</v>
      </c>
      <c r="BF67" s="20">
        <f>VLOOKUP(Data[[#This Row],[DEVELOPMENT]],Development_Data_Book[[DEVELOPMENT]:[PRIVATE MANAGEMENT]],18,FALSE)</f>
        <v>279</v>
      </c>
      <c r="BG67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67" s="104" t="s">
        <v>2631</v>
      </c>
      <c r="BI67" t="s">
        <v>184</v>
      </c>
      <c r="BJ67" s="20">
        <f>VLOOKUP(Data[[#This Row],[DEVELOPMENT]],Development_Data_Book[[DEVELOPMENT]:[PRIVATE MANAGEMENT]],41,FALSE)</f>
        <v>3</v>
      </c>
      <c r="BK67" s="20">
        <f>VLOOKUP(Data[[#This Row],[DEVELOPMENT]],Development_Data_Book[[DEVELOPMENT]:[PRIVATE MANAGEMENT]],42,FALSE)</f>
        <v>15</v>
      </c>
      <c r="BL67" s="20">
        <f>VLOOKUP(Data[[#This Row],[DEVELOPMENT]],Development_Data_Book[[DEVELOPMENT]:[PRIVATE MANAGEMENT]],43,FALSE)</f>
        <v>33</v>
      </c>
      <c r="BM67" s="20">
        <f>VLOOKUP(Data[[#This Row],[DEVELOPMENT]],Development_Data_Book[[DEVELOPMENT]:[PRIVATE MANAGEMENT]],44,FALSE)</f>
        <v>79</v>
      </c>
      <c r="BN67" s="20">
        <f>VLOOKUP(Data[[#This Row],[DEVELOPMENT]],Development_Data_Book[[DEVELOPMENT]:[PRIVATE MANAGEMENT]],45,FALSE)</f>
        <v>16</v>
      </c>
      <c r="BO67" s="20">
        <f>VLOOKUP(Data[[#This Row],[DEVELOPMENT]],Development_Data_Book[[DEVELOPMENT]:[PRIVATE MANAGEMENT]],24,FALSE)</f>
        <v>43531</v>
      </c>
    </row>
    <row r="68" spans="1:67">
      <c r="A68" s="17" t="s">
        <v>143</v>
      </c>
      <c r="B68" s="17" t="str">
        <f>VLOOKUP(Data[[#This Row],[DEVELOPMENT]],Development_Data_Book[[DEVELOPMENT]:[BOROUGH]],MATCH("borough",Development_Data_Book[[#Headers],[DEVELOPMENT]:[BOROUGH]],0),FALSE)</f>
        <v>BRONX</v>
      </c>
      <c r="C68" t="e">
        <f>VLOOKUP(Data[[#This Row],[DEVELOPMENT]],'[1]Cheat-Sheet'!$D$2:$Q$341,2,FALSE)</f>
        <v>#N/A</v>
      </c>
      <c r="D6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68">
        <f>VLOOKUP(Data[[#This Row],[DEVELOPMENT]],Development_Data_Book[[DEVELOPMENT]:[BOROUGH]],21,FALSE)</f>
        <v>6</v>
      </c>
      <c r="F68">
        <f>VLOOKUP(Data[[#This Row],[DEVELOPMENT]],Development_Data_Book[[DEVELOPMENT]:[BOROUGH]],23,FALSE)</f>
        <v>6</v>
      </c>
      <c r="G68">
        <f>VLOOKUP(Data[[#This Row],[DEVELOPMENT]],Development_Data_Book[[DEVELOPMENT]:[BOROUGH]],12,FALSE)</f>
        <v>106</v>
      </c>
      <c r="H68" t="s">
        <v>2246</v>
      </c>
      <c r="I68">
        <v>4</v>
      </c>
      <c r="J68">
        <f>IFERROR(VLOOKUP(Data[[#This Row],[DEVELOPMENT]],IntCompactors_MRST[],4,FALSE),0)</f>
        <v>4</v>
      </c>
      <c r="K68" s="20">
        <f>IFERROR(VLOOKUP(Data[[#This Row],[DEVELOPMENT]],ExtCompactors_MRST[],4,FALSE),0)</f>
        <v>2</v>
      </c>
      <c r="L68" s="27">
        <f>IF(Data[[#This Row],['# Interior Compactors MRST]]=0,"",VLOOKUP(Data[[#This Row],[DEVELOPMENT]],IntCompactors_MRST[],5,FALSE))</f>
        <v>43420</v>
      </c>
      <c r="M68" s="28">
        <f>IF(Data[[#This Row],['# Exterior Compactors MRST]]=0,"",VLOOKUP(Data[[#This Row],[DEVELOPMENT]],ExtCompactors_MRST[],5,FALSE))</f>
        <v>39141</v>
      </c>
      <c r="N68">
        <f>Data[[#This Row],['# Interior Compactors MRST]]</f>
        <v>4</v>
      </c>
      <c r="O68" s="20">
        <f>IF(Data[[#This Row],['# Bulk Crushers]]=0,1,0)</f>
        <v>1</v>
      </c>
      <c r="P68" s="20">
        <f>1</f>
        <v>1</v>
      </c>
      <c r="Q68" s="20">
        <f>1</f>
        <v>1</v>
      </c>
      <c r="R68" s="20">
        <f>1</f>
        <v>1</v>
      </c>
      <c r="S68" s="20">
        <f>1</f>
        <v>1</v>
      </c>
      <c r="T68" s="20">
        <f>IF(Data[[#This Row],[Sewershed]]="Newtown Creek",Data[[#This Row],[DUs]],0)</f>
        <v>0</v>
      </c>
      <c r="U6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6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6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68" s="82">
        <f>VLOOKUP(Data[[#This Row],[DEVELOPMENT]],Development_Data_Book[[DEVELOPMENT]:[BOROUGH]],3,FALSE)</f>
        <v>307</v>
      </c>
      <c r="Y68" s="20"/>
      <c r="Z68" s="20">
        <f>IFERROR(VLOOKUP(Data[[#This Row],[TDS]],ExtCompactors_PNA[[Development]:[0]],2,FALSE),0)</f>
        <v>0</v>
      </c>
      <c r="AA68" s="20">
        <f>IFERROR(VLOOKUP(Data[[#This Row],[TDS]],IntCompactors_PNA[[TDS]:[0]],2,FALSE),0)</f>
        <v>5</v>
      </c>
      <c r="AB68" s="20"/>
      <c r="AC68" s="20"/>
      <c r="AD68" s="20">
        <f>IFERROR(VLOOKUP(Data[[#This Row],[TDS]],ExtCompactors_PNA[[Development]:[0]],3,FALSE)+VLOOKUP(Data[[#This Row],[TDS]],ExtCompactors_PNA[[Development]:[0]],6,FALSE),0)</f>
        <v>0</v>
      </c>
      <c r="AE68" s="20">
        <f>IFERROR(VLOOKUP(Data[[#This Row],[TDS]],IntCompactors_PNA[[TDS]:[0]],3,FALSE)+VLOOKUP(Data[[#This Row],[TDS]],IntCompactors_PNA[[TDS]:[0]],6,FALSE),0)</f>
        <v>5</v>
      </c>
      <c r="AF68" s="20" t="e">
        <f>VLOOKUP(Data[[#This Row],[DEVELOPMENT]],[3]Developments!$A$2:$A$312,1,FALSE)</f>
        <v>#N/A</v>
      </c>
      <c r="AG68" s="20">
        <f>IFERROR(VLOOKUP(Data[[#This Row],[DEVELOPMENT]],Ops_Priorities_and_Data_Clean[[development]:[ifnoext_comment]],3,FALSE),"")</f>
        <v>0</v>
      </c>
      <c r="AH68" s="20">
        <f>IFERROR(VLOOKUP(Data[[#This Row],[DEVELOPMENT]],Ops_Priorities_and_Data_Clean[[development]:[ifnoext_comment]],4,FALSE),"")</f>
        <v>0</v>
      </c>
      <c r="AI68" s="20">
        <f>IFERROR(VLOOKUP(Data[[#This Row],[DEVELOPMENT]],Ops_Priorities_and_Data_Clean[[development]:[ifnoext_comment]],5,FALSE),"")</f>
        <v>0</v>
      </c>
      <c r="AJ68" s="20">
        <f>IFERROR(VLOOKUP(Data[[#This Row],[DEVELOPMENT]],Ops_Priorities_and_Data_Clean[[development]:[ifnoext_comment]],6,FALSE),"")</f>
        <v>1</v>
      </c>
      <c r="AK68" s="20">
        <f>IFERROR(VLOOKUP(Data[[#This Row],[DEVELOPMENT]],Ops_Priorities_and_Data_Clean[[development]:[ifnoext_comment]],7,FALSE),"")</f>
        <v>0</v>
      </c>
      <c r="AL68" s="20">
        <f>IFERROR(VLOOKUP(Data[[#This Row],[DEVELOPMENT]],Ops_Priorities_and_Data_Clean[[development]:[ifnoext_comment]],8,FALSE),"")</f>
        <v>1</v>
      </c>
      <c r="AM68" s="20">
        <f>IFERROR(VLOOKUP(Data[[#This Row],[DEVELOPMENT]],Ops_Priorities_and_Data_Clean[[development]:[ifnoext_comment]],9,FALSE),"")</f>
        <v>0</v>
      </c>
      <c r="AN68" s="20">
        <f>IFERROR(VLOOKUP(Data[[#This Row],[DEVELOPMENT]],Ops_Priorities_and_Data_Clean[[development]:[ifnoext_comment]],10,FALSE),"")</f>
        <v>0</v>
      </c>
      <c r="AO68" s="20">
        <f>IFERROR(VLOOKUP(Data[[#This Row],[DEVELOPMENT]],Ops_Priorities_and_Data_Clean[[development]:[ifnoext_comment]],11,FALSE),"")</f>
        <v>2</v>
      </c>
      <c r="AP68" s="20">
        <f>IFERROR(VLOOKUP(Data[[#This Row],[DEVELOPMENT]],Ops_Priorities_and_Data_Clean[[development]:[ifnoext_comment]],12,FALSE),"")</f>
        <v>2</v>
      </c>
      <c r="AQ68" s="20">
        <f>VLOOKUP(Data[[#This Row],[DEVELOPMENT]],Ops_Priorities_and_Data_Clean[[development]:[ifnoext_comment]],14,FALSE)</f>
        <v>0</v>
      </c>
      <c r="AR68" s="20">
        <f>VLOOKUP(Data[[#This Row],[DEVELOPMENT]],Ops_Priorities_and_Data_Clean[[development]:[ifnoext_comment]],15,FALSE)</f>
        <v>1</v>
      </c>
      <c r="AS68" s="20" t="str">
        <f>VLOOKUP(Data[[#This Row],[DEVELOPMENT]],Ops_Priorities_and_Data_Clean[[development]:[ifnoext_comment]],16,FALSE)</f>
        <v>College Ave. E. 165th St, &amp; Teller Avenue E. 166th St.</v>
      </c>
      <c r="AT68" s="20" t="str">
        <f>VLOOKUP(Data[[#This Row],[DEVELOPMENT]],Ops_Priorities_and_Data_Clean[[development]:[ifnoext_comment]],17,FALSE)</f>
        <v>Consoliation development with College Ave. E. 165th St, &amp; Teller Avenue E. 166th St.</v>
      </c>
      <c r="AU68" s="20" t="str">
        <f>VLOOKUP(Data[[#This Row],[DEVELOPMENT]],Ops_Priorities_and_Data_Clean[[development]:[ifnoext_comment]],18,FALSE)</f>
        <v>No</v>
      </c>
      <c r="AV68" s="20" t="str">
        <f>VLOOKUP(Data[[#This Row],[DEVELOPMENT]],Ops_Priorities_and_Data_Clean[[development]:[ifnoext_comment]],19,FALSE)</f>
        <v>Claremont Consolidated is served by container</v>
      </c>
      <c r="AW68" s="20" t="str">
        <f>VLOOKUP(Data[[#This Row],[DEVELOPMENT]],Ops_Priorities_and_Data_Clean[[development]:[ifnoext_comment]],20,FALSE)</f>
        <v>NULL</v>
      </c>
      <c r="AX68" s="104" t="s">
        <v>2237</v>
      </c>
      <c r="AY68" s="104" t="s">
        <v>2590</v>
      </c>
      <c r="AZ68" s="20" t="str">
        <f>VLOOKUP(Data[[#This Row],[DEVELOPMENT]],Development_Data_Book[[DEVELOPMENT]:[PRIVATE MANAGEMENT]],8,FALSE)</f>
        <v>FEDERAL</v>
      </c>
      <c r="BA68" s="104" t="s">
        <v>2613</v>
      </c>
      <c r="BB68" s="20">
        <f>VLOOKUP(Data[[#This Row],[DEVELOPMENT]],Development_Data_Book[[DEVELOPMENT]:[PRIVATE MANAGEMENT]],22,FALSE)</f>
        <v>0</v>
      </c>
      <c r="BC68" s="20">
        <f>Data[[#This Row],[Non-Dwelling Buildings]]+Data[[#This Row],[Dwelling Buildings]]</f>
        <v>6</v>
      </c>
      <c r="BD68" s="20">
        <f>VLOOKUP(Data[[#This Row],[DEVELOPMENT]],Development_Data_Book[[DEVELOPMENT]:[PRIVATE MANAGEMENT]],26,FALSE)</f>
        <v>0.73</v>
      </c>
      <c r="BE68" s="106">
        <v>115750</v>
      </c>
      <c r="BF68" s="20">
        <f>VLOOKUP(Data[[#This Row],[DEVELOPMENT]],Development_Data_Book[[DEVELOPMENT]:[PRIVATE MANAGEMENT]],18,FALSE)</f>
        <v>251</v>
      </c>
      <c r="BG6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68" s="104" t="s">
        <v>2631</v>
      </c>
      <c r="BI68" t="s">
        <v>184</v>
      </c>
      <c r="BJ68" s="20">
        <f>VLOOKUP(Data[[#This Row],[DEVELOPMENT]],Development_Data_Book[[DEVELOPMENT]:[PRIVATE MANAGEMENT]],41,FALSE)</f>
        <v>4</v>
      </c>
      <c r="BK68" s="20">
        <f>VLOOKUP(Data[[#This Row],[DEVELOPMENT]],Development_Data_Book[[DEVELOPMENT]:[PRIVATE MANAGEMENT]],42,FALSE)</f>
        <v>15</v>
      </c>
      <c r="BL68" s="20">
        <f>VLOOKUP(Data[[#This Row],[DEVELOPMENT]],Development_Data_Book[[DEVELOPMENT]:[PRIVATE MANAGEMENT]],43,FALSE)</f>
        <v>32</v>
      </c>
      <c r="BM68" s="20">
        <f>VLOOKUP(Data[[#This Row],[DEVELOPMENT]],Development_Data_Book[[DEVELOPMENT]:[PRIVATE MANAGEMENT]],44,FALSE)</f>
        <v>77</v>
      </c>
      <c r="BN68" s="20">
        <f>VLOOKUP(Data[[#This Row],[DEVELOPMENT]],Development_Data_Book[[DEVELOPMENT]:[PRIVATE MANAGEMENT]],45,FALSE)</f>
        <v>16</v>
      </c>
      <c r="BO68" s="20">
        <f>VLOOKUP(Data[[#This Row],[DEVELOPMENT]],Development_Data_Book[[DEVELOPMENT]:[PRIVATE MANAGEMENT]],24,FALSE)</f>
        <v>43591</v>
      </c>
    </row>
    <row r="69" spans="1:67">
      <c r="A69" s="17" t="s">
        <v>32</v>
      </c>
      <c r="B69" s="17" t="str">
        <f>VLOOKUP(Data[[#This Row],[DEVELOPMENT]],Development_Data_Book[[DEVELOPMENT]:[BOROUGH]],MATCH("borough",Development_Data_Book[[#Headers],[DEVELOPMENT]:[BOROUGH]],0),FALSE)</f>
        <v>BRONX</v>
      </c>
      <c r="C69" t="e">
        <f>VLOOKUP(Data[[#This Row],[DEVELOPMENT]],'[1]Cheat-Sheet'!$D$2:$Q$341,2,FALSE)</f>
        <v>#N/A</v>
      </c>
      <c r="D6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69">
        <f>VLOOKUP(Data[[#This Row],[DEVELOPMENT]],Development_Data_Book[[DEVELOPMENT]:[BOROUGH]],21,FALSE)</f>
        <v>5</v>
      </c>
      <c r="F69">
        <f>VLOOKUP(Data[[#This Row],[DEVELOPMENT]],Development_Data_Book[[DEVELOPMENT]:[BOROUGH]],23,FALSE)</f>
        <v>5</v>
      </c>
      <c r="G69">
        <f>VLOOKUP(Data[[#This Row],[DEVELOPMENT]],Development_Data_Book[[DEVELOPMENT]:[BOROUGH]],12,FALSE)</f>
        <v>107</v>
      </c>
      <c r="H69" t="s">
        <v>2246</v>
      </c>
      <c r="I69">
        <v>4</v>
      </c>
      <c r="J69">
        <f>IFERROR(VLOOKUP(Data[[#This Row],[DEVELOPMENT]],IntCompactors_MRST[],4,FALSE),0)</f>
        <v>8</v>
      </c>
      <c r="K69" s="20">
        <f>IFERROR(VLOOKUP(Data[[#This Row],[DEVELOPMENT]],ExtCompactors_MRST[],4,FALSE),0)</f>
        <v>0</v>
      </c>
      <c r="L69" s="27">
        <f>IF(Data[[#This Row],['# Interior Compactors MRST]]=0,"",VLOOKUP(Data[[#This Row],[DEVELOPMENT]],IntCompactors_MRST[],5,FALSE))</f>
        <v>35431</v>
      </c>
      <c r="M69" s="28" t="str">
        <f>IF(Data[[#This Row],['# Exterior Compactors MRST]]=0,"",VLOOKUP(Data[[#This Row],[DEVELOPMENT]],ExtCompactors_MRST[],5,FALSE))</f>
        <v/>
      </c>
      <c r="N69">
        <f>Data[[#This Row],['# Interior Compactors MRST]]</f>
        <v>8</v>
      </c>
      <c r="O69" s="20">
        <f>IF(Data[[#This Row],['# Bulk Crushers]]=0,1,0)</f>
        <v>1</v>
      </c>
      <c r="P69" s="20">
        <f>1</f>
        <v>1</v>
      </c>
      <c r="Q69" s="20">
        <f>1</f>
        <v>1</v>
      </c>
      <c r="R69" s="20">
        <f>1</f>
        <v>1</v>
      </c>
      <c r="S69" s="20">
        <f>1</f>
        <v>1</v>
      </c>
      <c r="T69" s="20">
        <f>IF(Data[[#This Row],[Sewershed]]="Newtown Creek",Data[[#This Row],[DUs]],0)</f>
        <v>0</v>
      </c>
      <c r="U6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6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6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69" s="82">
        <f>VLOOKUP(Data[[#This Row],[DEVELOPMENT]],Development_Data_Book[[DEVELOPMENT]:[BOROUGH]],3,FALSE)</f>
        <v>308</v>
      </c>
      <c r="Y69" s="20"/>
      <c r="Z69" s="20">
        <f>IFERROR(VLOOKUP(Data[[#This Row],[TDS]],ExtCompactors_PNA[[Development]:[0]],2,FALSE),0)</f>
        <v>0</v>
      </c>
      <c r="AA69" s="20">
        <f>IFERROR(VLOOKUP(Data[[#This Row],[TDS]],IntCompactors_PNA[[TDS]:[0]],2,FALSE),0)</f>
        <v>4</v>
      </c>
      <c r="AB69" s="20"/>
      <c r="AC69" s="20"/>
      <c r="AD69" s="20">
        <f>IFERROR(VLOOKUP(Data[[#This Row],[TDS]],ExtCompactors_PNA[[Development]:[0]],3,FALSE)+VLOOKUP(Data[[#This Row],[TDS]],ExtCompactors_PNA[[Development]:[0]],6,FALSE),0)</f>
        <v>0</v>
      </c>
      <c r="AE69" s="20">
        <f>IFERROR(VLOOKUP(Data[[#This Row],[TDS]],IntCompactors_PNA[[TDS]:[0]],3,FALSE)+VLOOKUP(Data[[#This Row],[TDS]],IntCompactors_PNA[[TDS]:[0]],6,FALSE),0)</f>
        <v>4</v>
      </c>
      <c r="AF69" s="20" t="e">
        <f>VLOOKUP(Data[[#This Row],[DEVELOPMENT]],[3]Developments!$A$2:$A$312,1,FALSE)</f>
        <v>#N/A</v>
      </c>
      <c r="AG69" s="20">
        <f>IFERROR(VLOOKUP(Data[[#This Row],[DEVELOPMENT]],Ops_Priorities_and_Data_Clean[[development]:[ifnoext_comment]],3,FALSE),"")</f>
        <v>0</v>
      </c>
      <c r="AH69" s="20">
        <f>IFERROR(VLOOKUP(Data[[#This Row],[DEVELOPMENT]],Ops_Priorities_and_Data_Clean[[development]:[ifnoext_comment]],4,FALSE),"")</f>
        <v>0</v>
      </c>
      <c r="AI69" s="20">
        <f>IFERROR(VLOOKUP(Data[[#This Row],[DEVELOPMENT]],Ops_Priorities_and_Data_Clean[[development]:[ifnoext_comment]],5,FALSE),"")</f>
        <v>0</v>
      </c>
      <c r="AJ69" s="20">
        <f>IFERROR(VLOOKUP(Data[[#This Row],[DEVELOPMENT]],Ops_Priorities_and_Data_Clean[[development]:[ifnoext_comment]],6,FALSE),"")</f>
        <v>1</v>
      </c>
      <c r="AK69" s="20">
        <f>IFERROR(VLOOKUP(Data[[#This Row],[DEVELOPMENT]],Ops_Priorities_and_Data_Clean[[development]:[ifnoext_comment]],7,FALSE),"")</f>
        <v>0</v>
      </c>
      <c r="AL69" s="20">
        <f>IFERROR(VLOOKUP(Data[[#This Row],[DEVELOPMENT]],Ops_Priorities_and_Data_Clean[[development]:[ifnoext_comment]],8,FALSE),"")</f>
        <v>1</v>
      </c>
      <c r="AM69" s="20">
        <f>IFERROR(VLOOKUP(Data[[#This Row],[DEVELOPMENT]],Ops_Priorities_and_Data_Clean[[development]:[ifnoext_comment]],9,FALSE),"")</f>
        <v>0</v>
      </c>
      <c r="AN69" s="20">
        <f>IFERROR(VLOOKUP(Data[[#This Row],[DEVELOPMENT]],Ops_Priorities_and_Data_Clean[[development]:[ifnoext_comment]],10,FALSE),"")</f>
        <v>0</v>
      </c>
      <c r="AO69" s="20">
        <f>IFERROR(VLOOKUP(Data[[#This Row],[DEVELOPMENT]],Ops_Priorities_and_Data_Clean[[development]:[ifnoext_comment]],11,FALSE),"")</f>
        <v>0</v>
      </c>
      <c r="AP69" s="20">
        <f>IFERROR(VLOOKUP(Data[[#This Row],[DEVELOPMENT]],Ops_Priorities_and_Data_Clean[[development]:[ifnoext_comment]],12,FALSE),"")</f>
        <v>0</v>
      </c>
      <c r="AQ69" s="20">
        <f>VLOOKUP(Data[[#This Row],[DEVELOPMENT]],Ops_Priorities_and_Data_Clean[[development]:[ifnoext_comment]],14,FALSE)</f>
        <v>0</v>
      </c>
      <c r="AR69" s="20">
        <f>VLOOKUP(Data[[#This Row],[DEVELOPMENT]],Ops_Priorities_and_Data_Clean[[development]:[ifnoext_comment]],15,FALSE)</f>
        <v>1</v>
      </c>
      <c r="AS69" s="20" t="str">
        <f>VLOOKUP(Data[[#This Row],[DEVELOPMENT]],Ops_Priorities_and_Data_Clean[[development]:[ifnoext_comment]],16,FALSE)</f>
        <v>College Ave. E. 165th St, &amp; Teller Avenue E. 166th St.</v>
      </c>
      <c r="AT69" s="20" t="str">
        <f>VLOOKUP(Data[[#This Row],[DEVELOPMENT]],Ops_Priorities_and_Data_Clean[[development]:[ifnoext_comment]],17,FALSE)</f>
        <v>Consoliation development with College Ave. E. 165th St, &amp; Teller Avenue E. 166th St.</v>
      </c>
      <c r="AU69" s="20" t="str">
        <f>VLOOKUP(Data[[#This Row],[DEVELOPMENT]],Ops_Priorities_and_Data_Clean[[development]:[ifnoext_comment]],18,FALSE)</f>
        <v>No</v>
      </c>
      <c r="AV69" s="20" t="str">
        <f>VLOOKUP(Data[[#This Row],[DEVELOPMENT]],Ops_Priorities_and_Data_Clean[[development]:[ifnoext_comment]],19,FALSE)</f>
        <v>Claremont Consolidated is served by container</v>
      </c>
      <c r="AW69" s="20" t="str">
        <f>VLOOKUP(Data[[#This Row],[DEVELOPMENT]],Ops_Priorities_and_Data_Clean[[development]:[ifnoext_comment]],20,FALSE)</f>
        <v>NULL</v>
      </c>
      <c r="AX69" s="104" t="s">
        <v>2237</v>
      </c>
      <c r="AY69" s="104" t="s">
        <v>2590</v>
      </c>
      <c r="AZ69" s="20" t="str">
        <f>VLOOKUP(Data[[#This Row],[DEVELOPMENT]],Development_Data_Book[[DEVELOPMENT]:[PRIVATE MANAGEMENT]],8,FALSE)</f>
        <v>FEDERAL</v>
      </c>
      <c r="BA69" s="104" t="s">
        <v>2613</v>
      </c>
      <c r="BB69" s="20">
        <f>VLOOKUP(Data[[#This Row],[DEVELOPMENT]],Development_Data_Book[[DEVELOPMENT]:[PRIVATE MANAGEMENT]],22,FALSE)</f>
        <v>0</v>
      </c>
      <c r="BC69" s="20">
        <f>Data[[#This Row],[Non-Dwelling Buildings]]+Data[[#This Row],[Dwelling Buildings]]</f>
        <v>5</v>
      </c>
      <c r="BD69" s="20">
        <f>VLOOKUP(Data[[#This Row],[DEVELOPMENT]],Development_Data_Book[[DEVELOPMENT]:[PRIVATE MANAGEMENT]],26,FALSE)</f>
        <v>0.81</v>
      </c>
      <c r="BE69" s="106">
        <v>111400</v>
      </c>
      <c r="BF69" s="20">
        <f>VLOOKUP(Data[[#This Row],[DEVELOPMENT]],Development_Data_Book[[DEVELOPMENT]:[PRIVATE MANAGEMENT]],18,FALSE)</f>
        <v>263</v>
      </c>
      <c r="BG6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69" s="104" t="s">
        <v>2631</v>
      </c>
      <c r="BI69" t="s">
        <v>184</v>
      </c>
      <c r="BJ69" s="20">
        <f>VLOOKUP(Data[[#This Row],[DEVELOPMENT]],Development_Data_Book[[DEVELOPMENT]:[PRIVATE MANAGEMENT]],41,FALSE)</f>
        <v>4</v>
      </c>
      <c r="BK69" s="20">
        <f>VLOOKUP(Data[[#This Row],[DEVELOPMENT]],Development_Data_Book[[DEVELOPMENT]:[PRIVATE MANAGEMENT]],42,FALSE)</f>
        <v>15</v>
      </c>
      <c r="BL69" s="20">
        <f>VLOOKUP(Data[[#This Row],[DEVELOPMENT]],Development_Data_Book[[DEVELOPMENT]:[PRIVATE MANAGEMENT]],43,FALSE)</f>
        <v>32</v>
      </c>
      <c r="BM69" s="20">
        <f>VLOOKUP(Data[[#This Row],[DEVELOPMENT]],Development_Data_Book[[DEVELOPMENT]:[PRIVATE MANAGEMENT]],44,FALSE)</f>
        <v>77</v>
      </c>
      <c r="BN69" s="20">
        <f>VLOOKUP(Data[[#This Row],[DEVELOPMENT]],Development_Data_Book[[DEVELOPMENT]:[PRIVATE MANAGEMENT]],45,FALSE)</f>
        <v>16</v>
      </c>
      <c r="BO69" s="20">
        <f>VLOOKUP(Data[[#This Row],[DEVELOPMENT]],Development_Data_Book[[DEVELOPMENT]:[PRIVATE MANAGEMENT]],24,FALSE)</f>
        <v>5</v>
      </c>
    </row>
    <row r="70" spans="1:67">
      <c r="A70" s="17" t="s">
        <v>34</v>
      </c>
      <c r="B70" s="17" t="str">
        <f>VLOOKUP(Data[[#This Row],[DEVELOPMENT]],Development_Data_Book[[DEVELOPMENT]:[BOROUGH]],MATCH("borough",Development_Data_Book[[#Headers],[DEVELOPMENT]:[BOROUGH]],0),FALSE)</f>
        <v>BRONX</v>
      </c>
      <c r="C70" t="e">
        <f>VLOOKUP(Data[[#This Row],[DEVELOPMENT]],'[1]Cheat-Sheet'!$D$2:$Q$341,2,FALSE)</f>
        <v>#N/A</v>
      </c>
      <c r="D7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70">
        <f>VLOOKUP(Data[[#This Row],[DEVELOPMENT]],Development_Data_Book[[DEVELOPMENT]:[BOROUGH]],21,FALSE)</f>
        <v>9</v>
      </c>
      <c r="F70">
        <f>VLOOKUP(Data[[#This Row],[DEVELOPMENT]],Development_Data_Book[[DEVELOPMENT]:[BOROUGH]],23,FALSE)</f>
        <v>9</v>
      </c>
      <c r="G70">
        <f>VLOOKUP(Data[[#This Row],[DEVELOPMENT]],Development_Data_Book[[DEVELOPMENT]:[BOROUGH]],12,FALSE)</f>
        <v>147</v>
      </c>
      <c r="H70" t="s">
        <v>2246</v>
      </c>
      <c r="I70">
        <v>4</v>
      </c>
      <c r="J70">
        <f>IFERROR(VLOOKUP(Data[[#This Row],[DEVELOPMENT]],IntCompactors_MRST[],4,FALSE),0)</f>
        <v>9</v>
      </c>
      <c r="K70" s="20">
        <f>IFERROR(VLOOKUP(Data[[#This Row],[DEVELOPMENT]],ExtCompactors_MRST[],4,FALSE),0)</f>
        <v>0</v>
      </c>
      <c r="L70" s="27">
        <f>IF(Data[[#This Row],['# Interior Compactors MRST]]=0,"",VLOOKUP(Data[[#This Row],[DEVELOPMENT]],IntCompactors_MRST[],5,FALSE))</f>
        <v>35217</v>
      </c>
      <c r="M70" s="28" t="str">
        <f>IF(Data[[#This Row],['# Exterior Compactors MRST]]=0,"",VLOOKUP(Data[[#This Row],[DEVELOPMENT]],ExtCompactors_MRST[],5,FALSE))</f>
        <v/>
      </c>
      <c r="N70">
        <f>Data[[#This Row],['# Interior Compactors MRST]]</f>
        <v>9</v>
      </c>
      <c r="O70" s="20">
        <f>IF(Data[[#This Row],['# Bulk Crushers]]=0,1,0)</f>
        <v>1</v>
      </c>
      <c r="P70" s="20">
        <f>1</f>
        <v>1</v>
      </c>
      <c r="Q70" s="20">
        <f>1</f>
        <v>1</v>
      </c>
      <c r="R70" s="20">
        <f>1</f>
        <v>1</v>
      </c>
      <c r="S70" s="20">
        <f>1</f>
        <v>1</v>
      </c>
      <c r="T70" s="20">
        <f>IF(Data[[#This Row],[Sewershed]]="Newtown Creek",Data[[#This Row],[DUs]],0)</f>
        <v>0</v>
      </c>
      <c r="U7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7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7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70" s="82">
        <f>VLOOKUP(Data[[#This Row],[DEVELOPMENT]],Development_Data_Book[[DEVELOPMENT]:[BOROUGH]],3,FALSE)</f>
        <v>335</v>
      </c>
      <c r="Y70" s="20"/>
      <c r="Z70" s="20">
        <f>IFERROR(VLOOKUP(Data[[#This Row],[TDS]],ExtCompactors_PNA[[Development]:[0]],2,FALSE),0)</f>
        <v>0</v>
      </c>
      <c r="AA70" s="20">
        <f>IFERROR(VLOOKUP(Data[[#This Row],[TDS]],IntCompactors_PNA[[TDS]:[0]],2,FALSE),0)</f>
        <v>9</v>
      </c>
      <c r="AB70" s="20"/>
      <c r="AC70" s="20"/>
      <c r="AD70" s="20">
        <f>IFERROR(VLOOKUP(Data[[#This Row],[TDS]],ExtCompactors_PNA[[Development]:[0]],3,FALSE)+VLOOKUP(Data[[#This Row],[TDS]],ExtCompactors_PNA[[Development]:[0]],6,FALSE),0)</f>
        <v>0</v>
      </c>
      <c r="AE70" s="20">
        <f>IFERROR(VLOOKUP(Data[[#This Row],[TDS]],IntCompactors_PNA[[TDS]:[0]],3,FALSE)+VLOOKUP(Data[[#This Row],[TDS]],IntCompactors_PNA[[TDS]:[0]],6,FALSE),0)</f>
        <v>9</v>
      </c>
      <c r="AF70" s="20" t="e">
        <f>VLOOKUP(Data[[#This Row],[DEVELOPMENT]],[3]Developments!$A$2:$A$312,1,FALSE)</f>
        <v>#N/A</v>
      </c>
      <c r="AG70" s="20">
        <f>IFERROR(VLOOKUP(Data[[#This Row],[DEVELOPMENT]],Ops_Priorities_and_Data_Clean[[development]:[ifnoext_comment]],3,FALSE),"")</f>
        <v>0</v>
      </c>
      <c r="AH70" s="20">
        <f>IFERROR(VLOOKUP(Data[[#This Row],[DEVELOPMENT]],Ops_Priorities_and_Data_Clean[[development]:[ifnoext_comment]],4,FALSE),"")</f>
        <v>0</v>
      </c>
      <c r="AI70" s="20">
        <f>IFERROR(VLOOKUP(Data[[#This Row],[DEVELOPMENT]],Ops_Priorities_and_Data_Clean[[development]:[ifnoext_comment]],5,FALSE),"")</f>
        <v>0</v>
      </c>
      <c r="AJ70" s="20">
        <f>IFERROR(VLOOKUP(Data[[#This Row],[DEVELOPMENT]],Ops_Priorities_and_Data_Clean[[development]:[ifnoext_comment]],6,FALSE),"")</f>
        <v>1</v>
      </c>
      <c r="AK70" s="20">
        <f>IFERROR(VLOOKUP(Data[[#This Row],[DEVELOPMENT]],Ops_Priorities_and_Data_Clean[[development]:[ifnoext_comment]],7,FALSE),"")</f>
        <v>0</v>
      </c>
      <c r="AL70" s="20">
        <f>IFERROR(VLOOKUP(Data[[#This Row],[DEVELOPMENT]],Ops_Priorities_and_Data_Clean[[development]:[ifnoext_comment]],8,FALSE),"")</f>
        <v>1</v>
      </c>
      <c r="AM70" s="20">
        <f>IFERROR(VLOOKUP(Data[[#This Row],[DEVELOPMENT]],Ops_Priorities_and_Data_Clean[[development]:[ifnoext_comment]],9,FALSE),"")</f>
        <v>0</v>
      </c>
      <c r="AN70" s="20">
        <f>IFERROR(VLOOKUP(Data[[#This Row],[DEVELOPMENT]],Ops_Priorities_and_Data_Clean[[development]:[ifnoext_comment]],10,FALSE),"")</f>
        <v>0</v>
      </c>
      <c r="AO70" s="20">
        <f>IFERROR(VLOOKUP(Data[[#This Row],[DEVELOPMENT]],Ops_Priorities_and_Data_Clean[[development]:[ifnoext_comment]],11,FALSE),"")</f>
        <v>0</v>
      </c>
      <c r="AP70" s="20">
        <f>IFERROR(VLOOKUP(Data[[#This Row],[DEVELOPMENT]],Ops_Priorities_and_Data_Clean[[development]:[ifnoext_comment]],12,FALSE),"")</f>
        <v>0</v>
      </c>
      <c r="AQ70" s="20">
        <f>VLOOKUP(Data[[#This Row],[DEVELOPMENT]],Ops_Priorities_and_Data_Clean[[development]:[ifnoext_comment]],14,FALSE)</f>
        <v>0</v>
      </c>
      <c r="AR70" s="20">
        <f>VLOOKUP(Data[[#This Row],[DEVELOPMENT]],Ops_Priorities_and_Data_Clean[[development]:[ifnoext_comment]],15,FALSE)</f>
        <v>1</v>
      </c>
      <c r="AS70" s="20" t="str">
        <f>VLOOKUP(Data[[#This Row],[DEVELOPMENT]],Ops_Priorities_and_Data_Clean[[development]:[ifnoext_comment]],16,FALSE)</f>
        <v>College Ave. E. 165th St, &amp; Teller Avenue E. 166th St.</v>
      </c>
      <c r="AT70" s="20" t="str">
        <f>VLOOKUP(Data[[#This Row],[DEVELOPMENT]],Ops_Priorities_and_Data_Clean[[development]:[ifnoext_comment]],17,FALSE)</f>
        <v>Consoliation development with College Ave. E. 165th St, &amp; Teller Avenue E. 166th St.</v>
      </c>
      <c r="AU70" s="20" t="str">
        <f>VLOOKUP(Data[[#This Row],[DEVELOPMENT]],Ops_Priorities_and_Data_Clean[[development]:[ifnoext_comment]],18,FALSE)</f>
        <v>No</v>
      </c>
      <c r="AV70" s="20" t="str">
        <f>VLOOKUP(Data[[#This Row],[DEVELOPMENT]],Ops_Priorities_and_Data_Clean[[development]:[ifnoext_comment]],19,FALSE)</f>
        <v>Claremont Consolidated is served by container</v>
      </c>
      <c r="AW70" s="20" t="str">
        <f>VLOOKUP(Data[[#This Row],[DEVELOPMENT]],Ops_Priorities_and_Data_Clean[[development]:[ifnoext_comment]],20,FALSE)</f>
        <v>NULL</v>
      </c>
      <c r="AX70" s="104" t="s">
        <v>2237</v>
      </c>
      <c r="AY70" s="104" t="s">
        <v>2590</v>
      </c>
      <c r="AZ70" s="20" t="str">
        <f>VLOOKUP(Data[[#This Row],[DEVELOPMENT]],Development_Data_Book[[DEVELOPMENT]:[PRIVATE MANAGEMENT]],8,FALSE)</f>
        <v>FEDERAL</v>
      </c>
      <c r="BA70" s="104" t="s">
        <v>2613</v>
      </c>
      <c r="BB70" s="20">
        <f>VLOOKUP(Data[[#This Row],[DEVELOPMENT]],Development_Data_Book[[DEVELOPMENT]:[PRIVATE MANAGEMENT]],22,FALSE)</f>
        <v>0</v>
      </c>
      <c r="BC70" s="20">
        <f>Data[[#This Row],[Non-Dwelling Buildings]]+Data[[#This Row],[Dwelling Buildings]]</f>
        <v>9</v>
      </c>
      <c r="BD70" s="20">
        <f>VLOOKUP(Data[[#This Row],[DEVELOPMENT]],Development_Data_Book[[DEVELOPMENT]:[PRIVATE MANAGEMENT]],26,FALSE)</f>
        <v>1.05</v>
      </c>
      <c r="BE70" s="106">
        <v>154150</v>
      </c>
      <c r="BF70" s="20">
        <f>VLOOKUP(Data[[#This Row],[DEVELOPMENT]],Development_Data_Book[[DEVELOPMENT]:[PRIVATE MANAGEMENT]],18,FALSE)</f>
        <v>342</v>
      </c>
      <c r="BG7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70" s="104" t="s">
        <v>2631</v>
      </c>
      <c r="BI70" t="s">
        <v>184</v>
      </c>
      <c r="BJ70" s="20">
        <f>VLOOKUP(Data[[#This Row],[DEVELOPMENT]],Development_Data_Book[[DEVELOPMENT]:[PRIVATE MANAGEMENT]],41,FALSE)</f>
        <v>4</v>
      </c>
      <c r="BK70" s="20">
        <f>VLOOKUP(Data[[#This Row],[DEVELOPMENT]],Development_Data_Book[[DEVELOPMENT]:[PRIVATE MANAGEMENT]],42,FALSE)</f>
        <v>15</v>
      </c>
      <c r="BL70" s="20">
        <f>VLOOKUP(Data[[#This Row],[DEVELOPMENT]],Development_Data_Book[[DEVELOPMENT]:[PRIVATE MANAGEMENT]],43,FALSE)</f>
        <v>32</v>
      </c>
      <c r="BM70" s="20">
        <f>VLOOKUP(Data[[#This Row],[DEVELOPMENT]],Development_Data_Book[[DEVELOPMENT]:[PRIVATE MANAGEMENT]],44,FALSE)</f>
        <v>77</v>
      </c>
      <c r="BN70" s="20">
        <f>VLOOKUP(Data[[#This Row],[DEVELOPMENT]],Development_Data_Book[[DEVELOPMENT]:[PRIVATE MANAGEMENT]],45,FALSE)</f>
        <v>16</v>
      </c>
      <c r="BO70" s="20">
        <f>VLOOKUP(Data[[#This Row],[DEVELOPMENT]],Development_Data_Book[[DEVELOPMENT]:[PRIVATE MANAGEMENT]],24,FALSE)</f>
        <v>43560</v>
      </c>
    </row>
    <row r="71" spans="1:67">
      <c r="A71" s="17" t="s">
        <v>144</v>
      </c>
      <c r="B71" s="17" t="str">
        <f>VLOOKUP(Data[[#This Row],[DEVELOPMENT]],Development_Data_Book[[DEVELOPMENT]:[BOROUGH]],MATCH("borough",Development_Data_Book[[#Headers],[DEVELOPMENT]:[BOROUGH]],0),FALSE)</f>
        <v>BRONX</v>
      </c>
      <c r="C71" t="e">
        <f>VLOOKUP(Data[[#This Row],[DEVELOPMENT]],'[1]Cheat-Sheet'!$D$2:$Q$341,2,FALSE)</f>
        <v>#N/A</v>
      </c>
      <c r="D7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71">
        <f>VLOOKUP(Data[[#This Row],[DEVELOPMENT]],Development_Data_Book[[DEVELOPMENT]:[BOROUGH]],21,FALSE)</f>
        <v>3</v>
      </c>
      <c r="F71">
        <f>VLOOKUP(Data[[#This Row],[DEVELOPMENT]],Development_Data_Book[[DEVELOPMENT]:[BOROUGH]],23,FALSE)</f>
        <v>3</v>
      </c>
      <c r="G71">
        <f>VLOOKUP(Data[[#This Row],[DEVELOPMENT]],Development_Data_Book[[DEVELOPMENT]:[BOROUGH]],12,FALSE)</f>
        <v>129</v>
      </c>
      <c r="H71" t="s">
        <v>2246</v>
      </c>
      <c r="I71">
        <v>4</v>
      </c>
      <c r="J71">
        <f>IFERROR(VLOOKUP(Data[[#This Row],[DEVELOPMENT]],IntCompactors_MRST[],4,FALSE),0)</f>
        <v>3</v>
      </c>
      <c r="K71" s="20">
        <f>IFERROR(VLOOKUP(Data[[#This Row],[DEVELOPMENT]],ExtCompactors_MRST[],4,FALSE),0)</f>
        <v>0</v>
      </c>
      <c r="L71" s="27">
        <f>IF(Data[[#This Row],['# Interior Compactors MRST]]=0,"",VLOOKUP(Data[[#This Row],[DEVELOPMENT]],IntCompactors_MRST[],5,FALSE))</f>
        <v>35217</v>
      </c>
      <c r="M71" s="28" t="str">
        <f>IF(Data[[#This Row],['# Exterior Compactors MRST]]=0,"",VLOOKUP(Data[[#This Row],[DEVELOPMENT]],ExtCompactors_MRST[],5,FALSE))</f>
        <v/>
      </c>
      <c r="N71">
        <f>Data[[#This Row],['# Interior Compactors MRST]]</f>
        <v>3</v>
      </c>
      <c r="O71" s="20">
        <f>IF(Data[[#This Row],['# Bulk Crushers]]=0,1,0)</f>
        <v>1</v>
      </c>
      <c r="P71" s="20">
        <f>1</f>
        <v>1</v>
      </c>
      <c r="Q71" s="20">
        <f>1</f>
        <v>1</v>
      </c>
      <c r="R71" s="20">
        <f>1</f>
        <v>1</v>
      </c>
      <c r="S71" s="20">
        <f>1</f>
        <v>1</v>
      </c>
      <c r="T71" s="20">
        <f>IF(Data[[#This Row],[Sewershed]]="Newtown Creek",Data[[#This Row],[DUs]],0)</f>
        <v>0</v>
      </c>
      <c r="U7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7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7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71" s="82">
        <f>VLOOKUP(Data[[#This Row],[DEVELOPMENT]],Development_Data_Book[[DEVELOPMENT]:[BOROUGH]],3,FALSE)</f>
        <v>336</v>
      </c>
      <c r="Y71" s="20"/>
      <c r="Z71" s="20">
        <f>IFERROR(VLOOKUP(Data[[#This Row],[TDS]],ExtCompactors_PNA[[Development]:[0]],2,FALSE),0)</f>
        <v>0</v>
      </c>
      <c r="AA71" s="20">
        <f>IFERROR(VLOOKUP(Data[[#This Row],[TDS]],IntCompactors_PNA[[TDS]:[0]],2,FALSE),0)</f>
        <v>4</v>
      </c>
      <c r="AB71" s="20"/>
      <c r="AC71" s="20"/>
      <c r="AD71" s="20">
        <f>IFERROR(VLOOKUP(Data[[#This Row],[TDS]],ExtCompactors_PNA[[Development]:[0]],3,FALSE)+VLOOKUP(Data[[#This Row],[TDS]],ExtCompactors_PNA[[Development]:[0]],6,FALSE),0)</f>
        <v>0</v>
      </c>
      <c r="AE71" s="20">
        <f>IFERROR(VLOOKUP(Data[[#This Row],[TDS]],IntCompactors_PNA[[TDS]:[0]],3,FALSE)+VLOOKUP(Data[[#This Row],[TDS]],IntCompactors_PNA[[TDS]:[0]],6,FALSE),0)</f>
        <v>4</v>
      </c>
      <c r="AF71" s="20" t="e">
        <f>VLOOKUP(Data[[#This Row],[DEVELOPMENT]],[3]Developments!$A$2:$A$312,1,FALSE)</f>
        <v>#N/A</v>
      </c>
      <c r="AG71" s="20">
        <f>IFERROR(VLOOKUP(Data[[#This Row],[DEVELOPMENT]],Ops_Priorities_and_Data_Clean[[development]:[ifnoext_comment]],3,FALSE),"")</f>
        <v>0</v>
      </c>
      <c r="AH71" s="20">
        <f>IFERROR(VLOOKUP(Data[[#This Row],[DEVELOPMENT]],Ops_Priorities_and_Data_Clean[[development]:[ifnoext_comment]],4,FALSE),"")</f>
        <v>0</v>
      </c>
      <c r="AI71" s="20">
        <f>IFERROR(VLOOKUP(Data[[#This Row],[DEVELOPMENT]],Ops_Priorities_and_Data_Clean[[development]:[ifnoext_comment]],5,FALSE),"")</f>
        <v>0</v>
      </c>
      <c r="AJ71" s="20">
        <f>IFERROR(VLOOKUP(Data[[#This Row],[DEVELOPMENT]],Ops_Priorities_and_Data_Clean[[development]:[ifnoext_comment]],6,FALSE),"")</f>
        <v>1</v>
      </c>
      <c r="AK71" s="20">
        <f>IFERROR(VLOOKUP(Data[[#This Row],[DEVELOPMENT]],Ops_Priorities_and_Data_Clean[[development]:[ifnoext_comment]],7,FALSE),"")</f>
        <v>0</v>
      </c>
      <c r="AL71" s="20">
        <f>IFERROR(VLOOKUP(Data[[#This Row],[DEVELOPMENT]],Ops_Priorities_and_Data_Clean[[development]:[ifnoext_comment]],8,FALSE),"")</f>
        <v>1</v>
      </c>
      <c r="AM71" s="20">
        <f>IFERROR(VLOOKUP(Data[[#This Row],[DEVELOPMENT]],Ops_Priorities_and_Data_Clean[[development]:[ifnoext_comment]],9,FALSE),"")</f>
        <v>0</v>
      </c>
      <c r="AN71" s="20">
        <f>IFERROR(VLOOKUP(Data[[#This Row],[DEVELOPMENT]],Ops_Priorities_and_Data_Clean[[development]:[ifnoext_comment]],10,FALSE),"")</f>
        <v>0</v>
      </c>
      <c r="AO71" s="20">
        <f>IFERROR(VLOOKUP(Data[[#This Row],[DEVELOPMENT]],Ops_Priorities_and_Data_Clean[[development]:[ifnoext_comment]],11,FALSE),"")</f>
        <v>0</v>
      </c>
      <c r="AP71" s="20">
        <f>IFERROR(VLOOKUP(Data[[#This Row],[DEVELOPMENT]],Ops_Priorities_and_Data_Clean[[development]:[ifnoext_comment]],12,FALSE),"")</f>
        <v>0</v>
      </c>
      <c r="AQ71" s="20">
        <f>VLOOKUP(Data[[#This Row],[DEVELOPMENT]],Ops_Priorities_and_Data_Clean[[development]:[ifnoext_comment]],14,FALSE)</f>
        <v>0</v>
      </c>
      <c r="AR71" s="20">
        <f>VLOOKUP(Data[[#This Row],[DEVELOPMENT]],Ops_Priorities_and_Data_Clean[[development]:[ifnoext_comment]],15,FALSE)</f>
        <v>1</v>
      </c>
      <c r="AS71" s="20" t="str">
        <f>VLOOKUP(Data[[#This Row],[DEVELOPMENT]],Ops_Priorities_and_Data_Clean[[development]:[ifnoext_comment]],16,FALSE)</f>
        <v>College Ave. E. 165th St, &amp; Teller Avenue E. 166th St.</v>
      </c>
      <c r="AT71" s="20" t="str">
        <f>VLOOKUP(Data[[#This Row],[DEVELOPMENT]],Ops_Priorities_and_Data_Clean[[development]:[ifnoext_comment]],17,FALSE)</f>
        <v>Consoliation development with College Ave. E. 165th St, &amp; Teller Avenue E. 166th St.</v>
      </c>
      <c r="AU71" s="20" t="str">
        <f>VLOOKUP(Data[[#This Row],[DEVELOPMENT]],Ops_Priorities_and_Data_Clean[[development]:[ifnoext_comment]],18,FALSE)</f>
        <v>No</v>
      </c>
      <c r="AV71" s="20" t="str">
        <f>VLOOKUP(Data[[#This Row],[DEVELOPMENT]],Ops_Priorities_and_Data_Clean[[development]:[ifnoext_comment]],19,FALSE)</f>
        <v>Claremont Consolidated is served by container</v>
      </c>
      <c r="AW71" s="20" t="str">
        <f>VLOOKUP(Data[[#This Row],[DEVELOPMENT]],Ops_Priorities_and_Data_Clean[[development]:[ifnoext_comment]],20,FALSE)</f>
        <v>NULL</v>
      </c>
      <c r="AX71" s="104" t="s">
        <v>2237</v>
      </c>
      <c r="AY71" s="104" t="s">
        <v>2590</v>
      </c>
      <c r="AZ71" s="20" t="str">
        <f>VLOOKUP(Data[[#This Row],[DEVELOPMENT]],Development_Data_Book[[DEVELOPMENT]:[PRIVATE MANAGEMENT]],8,FALSE)</f>
        <v>FEDERAL</v>
      </c>
      <c r="BA71" s="104" t="s">
        <v>2586</v>
      </c>
      <c r="BB71" s="20">
        <f>VLOOKUP(Data[[#This Row],[DEVELOPMENT]],Development_Data_Book[[DEVELOPMENT]:[PRIVATE MANAGEMENT]],22,FALSE)</f>
        <v>0</v>
      </c>
      <c r="BC71" s="20">
        <f>Data[[#This Row],[Non-Dwelling Buildings]]+Data[[#This Row],[Dwelling Buildings]]</f>
        <v>3</v>
      </c>
      <c r="BD71" s="20">
        <f>VLOOKUP(Data[[#This Row],[DEVELOPMENT]],Development_Data_Book[[DEVELOPMENT]:[PRIVATE MANAGEMENT]],26,FALSE)</f>
        <v>1.24</v>
      </c>
      <c r="BE71" s="106">
        <v>141200</v>
      </c>
      <c r="BF71" s="20">
        <f>VLOOKUP(Data[[#This Row],[DEVELOPMENT]],Development_Data_Book[[DEVELOPMENT]:[PRIVATE MANAGEMENT]],18,FALSE)</f>
        <v>304</v>
      </c>
      <c r="BG7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71" s="104" t="s">
        <v>2631</v>
      </c>
      <c r="BI71" t="s">
        <v>184</v>
      </c>
      <c r="BJ71" s="20">
        <f>VLOOKUP(Data[[#This Row],[DEVELOPMENT]],Development_Data_Book[[DEVELOPMENT]:[PRIVATE MANAGEMENT]],41,FALSE)</f>
        <v>4</v>
      </c>
      <c r="BK71" s="20">
        <f>VLOOKUP(Data[[#This Row],[DEVELOPMENT]],Development_Data_Book[[DEVELOPMENT]:[PRIVATE MANAGEMENT]],42,FALSE)</f>
        <v>15</v>
      </c>
      <c r="BL71" s="20">
        <f>VLOOKUP(Data[[#This Row],[DEVELOPMENT]],Development_Data_Book[[DEVELOPMENT]:[PRIVATE MANAGEMENT]],43,FALSE)</f>
        <v>32</v>
      </c>
      <c r="BM71" s="20">
        <f>VLOOKUP(Data[[#This Row],[DEVELOPMENT]],Development_Data_Book[[DEVELOPMENT]:[PRIVATE MANAGEMENT]],44,FALSE)</f>
        <v>77</v>
      </c>
      <c r="BN71" s="20">
        <f>VLOOKUP(Data[[#This Row],[DEVELOPMENT]],Development_Data_Book[[DEVELOPMENT]:[PRIVATE MANAGEMENT]],45,FALSE)</f>
        <v>16</v>
      </c>
      <c r="BO71" s="20">
        <f>VLOOKUP(Data[[#This Row],[DEVELOPMENT]],Development_Data_Book[[DEVELOPMENT]:[PRIVATE MANAGEMENT]],24,FALSE)</f>
        <v>5</v>
      </c>
    </row>
    <row r="72" spans="1:67">
      <c r="A72" t="s">
        <v>310</v>
      </c>
      <c r="B72" s="20" t="str">
        <f>VLOOKUP(Data[[#This Row],[DEVELOPMENT]],Development_Data_Book[[DEVELOPMENT]:[BOROUGH]],MATCH("borough",Development_Data_Book[[#Headers],[DEVELOPMENT]:[BOROUGH]],0),FALSE)</f>
        <v>BRONX</v>
      </c>
      <c r="C72" s="20" t="e">
        <f>VLOOKUP(Data[[#This Row],[DEVELOPMENT]],'[1]Cheat-Sheet'!$D$2:$Q$341,2,FALSE)</f>
        <v>#N/A</v>
      </c>
      <c r="D7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72" s="20">
        <f>VLOOKUP(Data[[#This Row],[DEVELOPMENT]],Development_Data_Book[[DEVELOPMENT]:[BOROUGH]],21,FALSE)</f>
        <v>46</v>
      </c>
      <c r="F72" s="20">
        <f>VLOOKUP(Data[[#This Row],[DEVELOPMENT]],Development_Data_Book[[DEVELOPMENT]:[BOROUGH]],23,FALSE)</f>
        <v>192</v>
      </c>
      <c r="G72" s="20">
        <f>VLOOKUP(Data[[#This Row],[DEVELOPMENT]],Development_Data_Book[[DEVELOPMENT]:[BOROUGH]],12,FALSE)</f>
        <v>401</v>
      </c>
      <c r="J72">
        <f>IFERROR(VLOOKUP(Data[[#This Row],[DEVELOPMENT]],IntCompactors_MRST[],4,FALSE),0)</f>
        <v>0</v>
      </c>
      <c r="K72" s="20">
        <f>IFERROR(VLOOKUP(Data[[#This Row],[DEVELOPMENT]],ExtCompactors_MRST[],4,FALSE),0)</f>
        <v>0</v>
      </c>
      <c r="L72" s="27" t="str">
        <f>IF(Data[[#This Row],['# Interior Compactors MRST]]=0,"",VLOOKUP(Data[[#This Row],[DEVELOPMENT]],IntCompactors_MRST[],5,FALSE))</f>
        <v/>
      </c>
      <c r="M72" s="28" t="str">
        <f>IF(Data[[#This Row],['# Exterior Compactors MRST]]=0,"",VLOOKUP(Data[[#This Row],[DEVELOPMENT]],ExtCompactors_MRST[],5,FALSE))</f>
        <v/>
      </c>
      <c r="N72" s="20">
        <f>Data[[#This Row],['# Interior Compactors MRST]]</f>
        <v>0</v>
      </c>
      <c r="O72" s="20">
        <f>IF(Data[[#This Row],['# Bulk Crushers]]=0,1,0)</f>
        <v>1</v>
      </c>
      <c r="P72" s="20">
        <f>1</f>
        <v>1</v>
      </c>
      <c r="Q72" s="20">
        <f>1</f>
        <v>1</v>
      </c>
      <c r="R72" s="20">
        <f>1</f>
        <v>1</v>
      </c>
      <c r="S72" s="20">
        <f>1</f>
        <v>1</v>
      </c>
      <c r="T72" s="20">
        <f>IF(Data[[#This Row],[Sewershed]]="Newtown Creek",Data[[#This Row],[DUs]],0)</f>
        <v>0</v>
      </c>
      <c r="U7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7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7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72" s="82">
        <f>VLOOKUP(Data[[#This Row],[DEVELOPMENT]],Development_Data_Book[[DEVELOPMENT]:[BOROUGH]],3,FALSE)</f>
        <v>11</v>
      </c>
      <c r="Y72" s="20"/>
      <c r="Z72" s="20">
        <f>IFERROR(VLOOKUP(Data[[#This Row],[TDS]],ExtCompactors_PNA[[Development]:[0]],2,FALSE),0)</f>
        <v>0</v>
      </c>
      <c r="AA72" s="20">
        <f>IFERROR(VLOOKUP(Data[[#This Row],[TDS]],IntCompactors_PNA[[TDS]:[0]],2,FALSE),0)</f>
        <v>0</v>
      </c>
      <c r="AB72" s="20"/>
      <c r="AC72" s="20"/>
      <c r="AD72" s="20">
        <f>IFERROR(VLOOKUP(Data[[#This Row],[TDS]],ExtCompactors_PNA[[Development]:[0]],3,FALSE)+VLOOKUP(Data[[#This Row],[TDS]],ExtCompactors_PNA[[Development]:[0]],6,FALSE),0)</f>
        <v>0</v>
      </c>
      <c r="AE72" s="20">
        <f>IFERROR(VLOOKUP(Data[[#This Row],[TDS]],IntCompactors_PNA[[TDS]:[0]],3,FALSE)+VLOOKUP(Data[[#This Row],[TDS]],IntCompactors_PNA[[TDS]:[0]],6,FALSE),0)</f>
        <v>0</v>
      </c>
      <c r="AF72" s="20" t="e">
        <f>VLOOKUP(Data[[#This Row],[DEVELOPMENT]],[3]Developments!$A$2:$A$312,1,FALSE)</f>
        <v>#N/A</v>
      </c>
      <c r="AG72" s="20">
        <f>IFERROR(VLOOKUP(Data[[#This Row],[DEVELOPMENT]],Ops_Priorities_and_Data_Clean[[development]:[ifnoext_comment]],3,FALSE),"")</f>
        <v>0</v>
      </c>
      <c r="AH72" s="20">
        <f>IFERROR(VLOOKUP(Data[[#This Row],[DEVELOPMENT]],Ops_Priorities_and_Data_Clean[[development]:[ifnoext_comment]],4,FALSE),"")</f>
        <v>0</v>
      </c>
      <c r="AI72" s="20">
        <f>IFERROR(VLOOKUP(Data[[#This Row],[DEVELOPMENT]],Ops_Priorities_and_Data_Clean[[development]:[ifnoext_comment]],5,FALSE),"")</f>
        <v>0</v>
      </c>
      <c r="AJ72" s="20">
        <f>IFERROR(VLOOKUP(Data[[#This Row],[DEVELOPMENT]],Ops_Priorities_and_Data_Clean[[development]:[ifnoext_comment]],6,FALSE),"")</f>
        <v>0</v>
      </c>
      <c r="AK72" s="20">
        <f>IFERROR(VLOOKUP(Data[[#This Row],[DEVELOPMENT]],Ops_Priorities_and_Data_Clean[[development]:[ifnoext_comment]],7,FALSE),"")</f>
        <v>1</v>
      </c>
      <c r="AL72" s="20">
        <f>IFERROR(VLOOKUP(Data[[#This Row],[DEVELOPMENT]],Ops_Priorities_and_Data_Clean[[development]:[ifnoext_comment]],8,FALSE),"")</f>
        <v>1</v>
      </c>
      <c r="AM72" s="20">
        <f>IFERROR(VLOOKUP(Data[[#This Row],[DEVELOPMENT]],Ops_Priorities_and_Data_Clean[[development]:[ifnoext_comment]],9,FALSE),"")</f>
        <v>0</v>
      </c>
      <c r="AN72" s="20">
        <f>IFERROR(VLOOKUP(Data[[#This Row],[DEVELOPMENT]],Ops_Priorities_and_Data_Clean[[development]:[ifnoext_comment]],10,FALSE),"")</f>
        <v>0</v>
      </c>
      <c r="AO72" s="20">
        <f>IFERROR(VLOOKUP(Data[[#This Row],[DEVELOPMENT]],Ops_Priorities_and_Data_Clean[[development]:[ifnoext_comment]],11,FALSE),"")</f>
        <v>0</v>
      </c>
      <c r="AP72" s="20">
        <f>IFERROR(VLOOKUP(Data[[#This Row],[DEVELOPMENT]],Ops_Priorities_and_Data_Clean[[development]:[ifnoext_comment]],12,FALSE),"")</f>
        <v>0</v>
      </c>
      <c r="AQ72" s="20">
        <f>VLOOKUP(Data[[#This Row],[DEVELOPMENT]],Ops_Priorities_and_Data_Clean[[development]:[ifnoext_comment]],14,FALSE)</f>
        <v>1</v>
      </c>
      <c r="AR72" s="20">
        <f>VLOOKUP(Data[[#This Row],[DEVELOPMENT]],Ops_Priorities_and_Data_Clean[[development]:[ifnoext_comment]],15,FALSE)</f>
        <v>0</v>
      </c>
      <c r="AS72" s="20" t="str">
        <f>VLOOKUP(Data[[#This Row],[DEVELOPMENT]],Ops_Priorities_and_Data_Clean[[development]:[ifnoext_comment]],16,FALSE)</f>
        <v>NULL</v>
      </c>
      <c r="AT72" s="20" t="str">
        <f>VLOOKUP(Data[[#This Row],[DEVELOPMENT]],Ops_Priorities_and_Data_Clean[[development]:[ifnoext_comment]],17,FALSE)</f>
        <v>NULL</v>
      </c>
      <c r="AU72" s="20" t="str">
        <f>VLOOKUP(Data[[#This Row],[DEVELOPMENT]],Ops_Priorities_and_Data_Clean[[development]:[ifnoext_comment]],18,FALSE)</f>
        <v>NULL</v>
      </c>
      <c r="AV72" s="20" t="str">
        <f>VLOOKUP(Data[[#This Row],[DEVELOPMENT]],Ops_Priorities_and_Data_Clean[[development]:[ifnoext_comment]],19,FALSE)</f>
        <v>NULL</v>
      </c>
      <c r="AW72" s="20" t="str">
        <f>VLOOKUP(Data[[#This Row],[DEVELOPMENT]],Ops_Priorities_and_Data_Clean[[development]:[ifnoext_comment]],20,FALSE)</f>
        <v>NULL</v>
      </c>
      <c r="AX72" s="104" t="s">
        <v>2237</v>
      </c>
      <c r="AY72" s="104" t="s">
        <v>363</v>
      </c>
      <c r="AZ72" s="20" t="str">
        <f>VLOOKUP(Data[[#This Row],[DEVELOPMENT]],Development_Data_Book[[DEVELOPMENT]:[PRIVATE MANAGEMENT]],8,FALSE)</f>
        <v>FEDERAL</v>
      </c>
      <c r="BA72" s="104" t="s">
        <v>2588</v>
      </c>
      <c r="BB72" s="20">
        <f>VLOOKUP(Data[[#This Row],[DEVELOPMENT]],Development_Data_Book[[DEVELOPMENT]:[PRIVATE MANAGEMENT]],22,FALSE)</f>
        <v>0</v>
      </c>
      <c r="BC72" s="20">
        <f>Data[[#This Row],[Non-Dwelling Buildings]]+Data[[#This Row],[Dwelling Buildings]]</f>
        <v>46</v>
      </c>
      <c r="BD72" s="20">
        <f>VLOOKUP(Data[[#This Row],[DEVELOPMENT]],Development_Data_Book[[DEVELOPMENT]:[PRIVATE MANAGEMENT]],26,FALSE)</f>
        <v>17.03</v>
      </c>
      <c r="BE72" s="106">
        <v>349800</v>
      </c>
      <c r="BF72" s="20">
        <f>VLOOKUP(Data[[#This Row],[DEVELOPMENT]],Development_Data_Book[[DEVELOPMENT]:[PRIVATE MANAGEMENT]],18,FALSE)</f>
        <v>861</v>
      </c>
      <c r="BG7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72" s="104" t="s">
        <v>2595</v>
      </c>
      <c r="BI72" t="s">
        <v>184</v>
      </c>
      <c r="BJ72" s="20">
        <f>VLOOKUP(Data[[#This Row],[DEVELOPMENT]],Development_Data_Book[[DEVELOPMENT]:[PRIVATE MANAGEMENT]],41,FALSE)</f>
        <v>9</v>
      </c>
      <c r="BK72" s="20">
        <f>VLOOKUP(Data[[#This Row],[DEVELOPMENT]],Development_Data_Book[[DEVELOPMENT]:[PRIVATE MANAGEMENT]],42,FALSE)</f>
        <v>15</v>
      </c>
      <c r="BL72" s="20">
        <f>VLOOKUP(Data[[#This Row],[DEVELOPMENT]],Development_Data_Book[[DEVELOPMENT]:[PRIVATE MANAGEMENT]],43,FALSE)</f>
        <v>34</v>
      </c>
      <c r="BM72" s="20">
        <f>VLOOKUP(Data[[#This Row],[DEVELOPMENT]],Development_Data_Book[[DEVELOPMENT]:[PRIVATE MANAGEMENT]],44,FALSE)</f>
        <v>85</v>
      </c>
      <c r="BN72" s="20">
        <f>VLOOKUP(Data[[#This Row],[DEVELOPMENT]],Development_Data_Book[[DEVELOPMENT]:[PRIVATE MANAGEMENT]],45,FALSE)</f>
        <v>18</v>
      </c>
      <c r="BO72" s="20">
        <f>VLOOKUP(Data[[#This Row],[DEVELOPMENT]],Development_Data_Book[[DEVELOPMENT]:[PRIVATE MANAGEMENT]],24,FALSE)</f>
        <v>2</v>
      </c>
    </row>
    <row r="73" spans="1:67">
      <c r="A73" t="s">
        <v>129</v>
      </c>
      <c r="B73" t="str">
        <f>VLOOKUP(Data[[#This Row],[DEVELOPMENT]],Development_Data_Book[[DEVELOPMENT]:[BOROUGH]],MATCH("borough",Development_Data_Book[[#Headers],[DEVELOPMENT]:[BOROUGH]],0),FALSE)</f>
        <v>MANHATTAN</v>
      </c>
      <c r="C73" t="e">
        <f>VLOOKUP(Data[[#This Row],[DEVELOPMENT]],'[1]Cheat-Sheet'!$D$2:$Q$341,2,FALSE)</f>
        <v>#N/A</v>
      </c>
      <c r="D7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73">
        <f>VLOOKUP(Data[[#This Row],[DEVELOPMENT]],Development_Data_Book[[DEVELOPMENT]:[BOROUGH]],21,FALSE)</f>
        <v>6</v>
      </c>
      <c r="F73">
        <f>VLOOKUP(Data[[#This Row],[DEVELOPMENT]],Development_Data_Book[[DEVELOPMENT]:[BOROUGH]],23,FALSE)</f>
        <v>8</v>
      </c>
      <c r="G73">
        <f>VLOOKUP(Data[[#This Row],[DEVELOPMENT]],Development_Data_Book[[DEVELOPMENT]:[BOROUGH]],12,FALSE)</f>
        <v>748</v>
      </c>
      <c r="H73" t="s">
        <v>2247</v>
      </c>
      <c r="I73">
        <v>1</v>
      </c>
      <c r="J73">
        <f>IFERROR(VLOOKUP(Data[[#This Row],[DEVELOPMENT]],IntCompactors_MRST[],4,FALSE),0)</f>
        <v>6</v>
      </c>
      <c r="K73" s="20">
        <f>IFERROR(VLOOKUP(Data[[#This Row],[DEVELOPMENT]],ExtCompactors_MRST[],4,FALSE),0)</f>
        <v>2</v>
      </c>
      <c r="L73" s="27">
        <f>IF(Data[[#This Row],['# Interior Compactors MRST]]=0,"",VLOOKUP(Data[[#This Row],[DEVELOPMENT]],IntCompactors_MRST[],5,FALSE))</f>
        <v>36617</v>
      </c>
      <c r="M73" s="28">
        <f>IF(Data[[#This Row],['# Exterior Compactors MRST]]=0,"",VLOOKUP(Data[[#This Row],[DEVELOPMENT]],ExtCompactors_MRST[],5,FALSE))</f>
        <v>41883</v>
      </c>
      <c r="N73">
        <f>Data[[#This Row],['# Interior Compactors MRST]]</f>
        <v>6</v>
      </c>
      <c r="O73" s="20">
        <f>IF(Data[[#This Row],['# Bulk Crushers]]=0,1,0)</f>
        <v>1</v>
      </c>
      <c r="P73" s="20">
        <f>1</f>
        <v>1</v>
      </c>
      <c r="Q73" s="20">
        <f>1</f>
        <v>1</v>
      </c>
      <c r="R73" s="20">
        <f>1</f>
        <v>1</v>
      </c>
      <c r="S73" s="20">
        <f>1</f>
        <v>1</v>
      </c>
      <c r="T73" s="20">
        <f>IF(Data[[#This Row],[Sewershed]]="Newtown Creek",Data[[#This Row],[DUs]],0)</f>
        <v>0</v>
      </c>
      <c r="U7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7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7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73" s="82">
        <f>VLOOKUP(Data[[#This Row],[DEVELOPMENT]],Development_Data_Book[[DEVELOPMENT]:[BOROUGH]],3,FALSE)</f>
        <v>123</v>
      </c>
      <c r="Y73" s="20"/>
      <c r="Z73" s="20">
        <f>IFERROR(VLOOKUP(Data[[#This Row],[TDS]],ExtCompactors_PNA[[Development]:[0]],2,FALSE),0)</f>
        <v>1</v>
      </c>
      <c r="AA73" s="20">
        <f>IFERROR(VLOOKUP(Data[[#This Row],[TDS]],IntCompactors_PNA[[TDS]:[0]],2,FALSE),0)</f>
        <v>6</v>
      </c>
      <c r="AB73" s="20"/>
      <c r="AC73" s="20"/>
      <c r="AD73" s="20">
        <f>IFERROR(VLOOKUP(Data[[#This Row],[TDS]],ExtCompactors_PNA[[Development]:[0]],3,FALSE)+VLOOKUP(Data[[#This Row],[TDS]],ExtCompactors_PNA[[Development]:[0]],6,FALSE),0)</f>
        <v>1</v>
      </c>
      <c r="AE73" s="20">
        <f>IFERROR(VLOOKUP(Data[[#This Row],[TDS]],IntCompactors_PNA[[TDS]:[0]],3,FALSE)+VLOOKUP(Data[[#This Row],[TDS]],IntCompactors_PNA[[TDS]:[0]],6,FALSE),0)</f>
        <v>6</v>
      </c>
      <c r="AF73" s="20" t="e">
        <f>VLOOKUP(Data[[#This Row],[DEVELOPMENT]],[3]Developments!$A$2:$A$312,1,FALSE)</f>
        <v>#N/A</v>
      </c>
      <c r="AG73" s="20">
        <f>IFERROR(VLOOKUP(Data[[#This Row],[DEVELOPMENT]],Ops_Priorities_and_Data_Clean[[development]:[ifnoext_comment]],3,FALSE),"")</f>
        <v>2</v>
      </c>
      <c r="AH73" s="20">
        <f>IFERROR(VLOOKUP(Data[[#This Row],[DEVELOPMENT]],Ops_Priorities_and_Data_Clean[[development]:[ifnoext_comment]],4,FALSE),"")</f>
        <v>4</v>
      </c>
      <c r="AI73" s="20">
        <f>IFERROR(VLOOKUP(Data[[#This Row],[DEVELOPMENT]],Ops_Priorities_and_Data_Clean[[development]:[ifnoext_comment]],5,FALSE),"")</f>
        <v>1</v>
      </c>
      <c r="AJ73" s="20">
        <f>IFERROR(VLOOKUP(Data[[#This Row],[DEVELOPMENT]],Ops_Priorities_and_Data_Clean[[development]:[ifnoext_comment]],6,FALSE),"")</f>
        <v>0</v>
      </c>
      <c r="AK73" s="20">
        <f>IFERROR(VLOOKUP(Data[[#This Row],[DEVELOPMENT]],Ops_Priorities_and_Data_Clean[[development]:[ifnoext_comment]],7,FALSE),"")</f>
        <v>0</v>
      </c>
      <c r="AL73" s="20">
        <f>IFERROR(VLOOKUP(Data[[#This Row],[DEVELOPMENT]],Ops_Priorities_and_Data_Clean[[development]:[ifnoext_comment]],8,FALSE),"")</f>
        <v>1</v>
      </c>
      <c r="AM73" s="20">
        <f>IFERROR(VLOOKUP(Data[[#This Row],[DEVELOPMENT]],Ops_Priorities_and_Data_Clean[[development]:[ifnoext_comment]],9,FALSE),"")</f>
        <v>0</v>
      </c>
      <c r="AN73" s="20">
        <f>IFERROR(VLOOKUP(Data[[#This Row],[DEVELOPMENT]],Ops_Priorities_and_Data_Clean[[development]:[ifnoext_comment]],10,FALSE),"")</f>
        <v>2</v>
      </c>
      <c r="AO73" s="20">
        <f>IFERROR(VLOOKUP(Data[[#This Row],[DEVELOPMENT]],Ops_Priorities_and_Data_Clean[[development]:[ifnoext_comment]],11,FALSE),"")</f>
        <v>2</v>
      </c>
      <c r="AP73" s="20">
        <f>IFERROR(VLOOKUP(Data[[#This Row],[DEVELOPMENT]],Ops_Priorities_and_Data_Clean[[development]:[ifnoext_comment]],12,FALSE),"")</f>
        <v>2</v>
      </c>
      <c r="AQ73" s="20">
        <f>VLOOKUP(Data[[#This Row],[DEVELOPMENT]],Ops_Priorities_and_Data_Clean[[development]:[ifnoext_comment]],14,FALSE)</f>
        <v>0</v>
      </c>
      <c r="AR73" s="20">
        <f>VLOOKUP(Data[[#This Row],[DEVELOPMENT]],Ops_Priorities_and_Data_Clean[[development]:[ifnoext_comment]],15,FALSE)</f>
        <v>0</v>
      </c>
      <c r="AS73" s="20" t="str">
        <f>VLOOKUP(Data[[#This Row],[DEVELOPMENT]],Ops_Priorities_and_Data_Clean[[development]:[ifnoext_comment]],16,FALSE)</f>
        <v>NULL</v>
      </c>
      <c r="AT73" s="20" t="str">
        <f>VLOOKUP(Data[[#This Row],[DEVELOPMENT]],Ops_Priorities_and_Data_Clean[[development]:[ifnoext_comment]],17,FALSE)</f>
        <v>NULL</v>
      </c>
      <c r="AU73" s="20" t="str">
        <f>VLOOKUP(Data[[#This Row],[DEVELOPMENT]],Ops_Priorities_and_Data_Clean[[development]:[ifnoext_comment]],18,FALSE)</f>
        <v>NULL</v>
      </c>
      <c r="AV73" s="20" t="str">
        <f>VLOOKUP(Data[[#This Row],[DEVELOPMENT]],Ops_Priorities_and_Data_Clean[[development]:[ifnoext_comment]],19,FALSE)</f>
        <v>NULL</v>
      </c>
      <c r="AW73" s="20" t="str">
        <f>VLOOKUP(Data[[#This Row],[DEVELOPMENT]],Ops_Priorities_and_Data_Clean[[development]:[ifnoext_comment]],20,FALSE)</f>
        <v>NULL</v>
      </c>
      <c r="AX73" s="104" t="s">
        <v>2239</v>
      </c>
      <c r="AY73" s="104" t="s">
        <v>2603</v>
      </c>
      <c r="AZ73" s="20" t="str">
        <f>VLOOKUP(Data[[#This Row],[DEVELOPMENT]],Development_Data_Book[[DEVELOPMENT]:[PRIVATE MANAGEMENT]],8,FALSE)</f>
        <v>FEDERAL</v>
      </c>
      <c r="BA73" s="104" t="s">
        <v>2586</v>
      </c>
      <c r="BB73" s="20">
        <f>VLOOKUP(Data[[#This Row],[DEVELOPMENT]],Development_Data_Book[[DEVELOPMENT]:[PRIVATE MANAGEMENT]],22,FALSE)</f>
        <v>2</v>
      </c>
      <c r="BC73" s="20">
        <f>Data[[#This Row],[Non-Dwelling Buildings]]+Data[[#This Row],[Dwelling Buildings]]</f>
        <v>8</v>
      </c>
      <c r="BD73" s="20">
        <f>VLOOKUP(Data[[#This Row],[DEVELOPMENT]],Development_Data_Book[[DEVELOPMENT]:[PRIVATE MANAGEMENT]],26,FALSE)</f>
        <v>5.6</v>
      </c>
      <c r="BE73" s="106">
        <v>734400</v>
      </c>
      <c r="BF73" s="20">
        <f>VLOOKUP(Data[[#This Row],[DEVELOPMENT]],Development_Data_Book[[DEVELOPMENT]:[PRIVATE MANAGEMENT]],18,FALSE)</f>
        <v>1720</v>
      </c>
      <c r="BG7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73" s="104" t="s">
        <v>2604</v>
      </c>
      <c r="BI73" t="s">
        <v>184</v>
      </c>
      <c r="BJ73" s="20">
        <f>VLOOKUP(Data[[#This Row],[DEVELOPMENT]],Development_Data_Book[[DEVELOPMENT]:[PRIVATE MANAGEMENT]],41,FALSE)</f>
        <v>11</v>
      </c>
      <c r="BK73" s="20">
        <f>VLOOKUP(Data[[#This Row],[DEVELOPMENT]],Development_Data_Book[[DEVELOPMENT]:[PRIVATE MANAGEMENT]],42,FALSE)</f>
        <v>13</v>
      </c>
      <c r="BL73" s="20">
        <f>VLOOKUP(Data[[#This Row],[DEVELOPMENT]],Development_Data_Book[[DEVELOPMENT]:[PRIVATE MANAGEMENT]],43,FALSE)</f>
        <v>30</v>
      </c>
      <c r="BM73" s="20">
        <f>VLOOKUP(Data[[#This Row],[DEVELOPMENT]],Development_Data_Book[[DEVELOPMENT]:[PRIVATE MANAGEMENT]],44,FALSE)</f>
        <v>68</v>
      </c>
      <c r="BN73" s="20">
        <f>VLOOKUP(Data[[#This Row],[DEVELOPMENT]],Development_Data_Book[[DEVELOPMENT]:[PRIVATE MANAGEMENT]],45,FALSE)</f>
        <v>8</v>
      </c>
      <c r="BO73" s="20">
        <f>VLOOKUP(Data[[#This Row],[DEVELOPMENT]],Development_Data_Book[[DEVELOPMENT]:[PRIVATE MANAGEMENT]],24,FALSE)</f>
        <v>43726</v>
      </c>
    </row>
    <row r="74" spans="1:67">
      <c r="A74" s="17" t="s">
        <v>145</v>
      </c>
      <c r="B74" s="17" t="str">
        <f>VLOOKUP(Data[[#This Row],[DEVELOPMENT]],Development_Data_Book[[DEVELOPMENT]:[BOROUGH]],MATCH("borough",Development_Data_Book[[#Headers],[DEVELOPMENT]:[BOROUGH]],0),FALSE)</f>
        <v>BRONX</v>
      </c>
      <c r="C74" t="e">
        <f>VLOOKUP(Data[[#This Row],[DEVELOPMENT]],'[1]Cheat-Sheet'!$D$2:$Q$341,2,FALSE)</f>
        <v>#N/A</v>
      </c>
      <c r="D7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74">
        <f>VLOOKUP(Data[[#This Row],[DEVELOPMENT]],Development_Data_Book[[DEVELOPMENT]:[BOROUGH]],21,FALSE)</f>
        <v>1</v>
      </c>
      <c r="F74">
        <f>VLOOKUP(Data[[#This Row],[DEVELOPMENT]],Development_Data_Book[[DEVELOPMENT]:[BOROUGH]],23,FALSE)</f>
        <v>1</v>
      </c>
      <c r="G74">
        <f>VLOOKUP(Data[[#This Row],[DEVELOPMENT]],Development_Data_Book[[DEVELOPMENT]:[BOROUGH]],12,FALSE)</f>
        <v>95</v>
      </c>
      <c r="H74" t="s">
        <v>2246</v>
      </c>
      <c r="I74">
        <v>4</v>
      </c>
      <c r="J74">
        <f>IFERROR(VLOOKUP(Data[[#This Row],[DEVELOPMENT]],IntCompactors_MRST[],4,FALSE),0)</f>
        <v>1</v>
      </c>
      <c r="K74" s="20">
        <f>IFERROR(VLOOKUP(Data[[#This Row],[DEVELOPMENT]],ExtCompactors_MRST[],4,FALSE),0)</f>
        <v>0</v>
      </c>
      <c r="L74" s="27">
        <f>IF(Data[[#This Row],['# Interior Compactors MRST]]=0,"",VLOOKUP(Data[[#This Row],[DEVELOPMENT]],IntCompactors_MRST[],5,FALSE))</f>
        <v>33604</v>
      </c>
      <c r="M74" s="28" t="str">
        <f>IF(Data[[#This Row],['# Exterior Compactors MRST]]=0,"",VLOOKUP(Data[[#This Row],[DEVELOPMENT]],ExtCompactors_MRST[],5,FALSE))</f>
        <v/>
      </c>
      <c r="N74">
        <f>Data[[#This Row],['# Interior Compactors MRST]]</f>
        <v>1</v>
      </c>
      <c r="O74" s="20">
        <f>IF(Data[[#This Row],['# Bulk Crushers]]=0,1,0)</f>
        <v>1</v>
      </c>
      <c r="P74" s="20">
        <f>1</f>
        <v>1</v>
      </c>
      <c r="Q74" s="20">
        <f>1</f>
        <v>1</v>
      </c>
      <c r="R74" s="20">
        <f>1</f>
        <v>1</v>
      </c>
      <c r="S74" s="20">
        <f>1</f>
        <v>1</v>
      </c>
      <c r="T74" s="20">
        <f>IF(Data[[#This Row],[Sewershed]]="Newtown Creek",Data[[#This Row],[DUs]],0)</f>
        <v>0</v>
      </c>
      <c r="U7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7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7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74" s="82">
        <f>VLOOKUP(Data[[#This Row],[DEVELOPMENT]],Development_Data_Book[[DEVELOPMENT]:[BOROUGH]],3,FALSE)</f>
        <v>236</v>
      </c>
      <c r="Y74" s="20"/>
      <c r="Z74" s="20">
        <f>IFERROR(VLOOKUP(Data[[#This Row],[TDS]],ExtCompactors_PNA[[Development]:[0]],2,FALSE),0)</f>
        <v>0</v>
      </c>
      <c r="AA74" s="20">
        <f>IFERROR(VLOOKUP(Data[[#This Row],[TDS]],IntCompactors_PNA[[TDS]:[0]],2,FALSE),0)</f>
        <v>1</v>
      </c>
      <c r="AB74" s="20"/>
      <c r="AC74" s="20"/>
      <c r="AD74" s="20">
        <f>IFERROR(VLOOKUP(Data[[#This Row],[TDS]],ExtCompactors_PNA[[Development]:[0]],3,FALSE)+VLOOKUP(Data[[#This Row],[TDS]],ExtCompactors_PNA[[Development]:[0]],6,FALSE),0)</f>
        <v>0</v>
      </c>
      <c r="AE74" s="20">
        <f>IFERROR(VLOOKUP(Data[[#This Row],[TDS]],IntCompactors_PNA[[TDS]:[0]],3,FALSE)+VLOOKUP(Data[[#This Row],[TDS]],IntCompactors_PNA[[TDS]:[0]],6,FALSE),0)</f>
        <v>1</v>
      </c>
      <c r="AF74" s="20" t="e">
        <f>VLOOKUP(Data[[#This Row],[DEVELOPMENT]],[3]Developments!$A$2:$A$312,1,FALSE)</f>
        <v>#N/A</v>
      </c>
      <c r="AG74" s="20">
        <f>IFERROR(VLOOKUP(Data[[#This Row],[DEVELOPMENT]],Ops_Priorities_and_Data_Clean[[development]:[ifnoext_comment]],3,FALSE),"")</f>
        <v>1</v>
      </c>
      <c r="AH74" s="20">
        <f>IFERROR(VLOOKUP(Data[[#This Row],[DEVELOPMENT]],Ops_Priorities_and_Data_Clean[[development]:[ifnoext_comment]],4,FALSE),"")</f>
        <v>0</v>
      </c>
      <c r="AI74" s="20">
        <f>IFERROR(VLOOKUP(Data[[#This Row],[DEVELOPMENT]],Ops_Priorities_and_Data_Clean[[development]:[ifnoext_comment]],5,FALSE),"")</f>
        <v>1</v>
      </c>
      <c r="AJ74" s="20">
        <f>IFERROR(VLOOKUP(Data[[#This Row],[DEVELOPMENT]],Ops_Priorities_and_Data_Clean[[development]:[ifnoext_comment]],6,FALSE),"")</f>
        <v>0</v>
      </c>
      <c r="AK74" s="20">
        <f>IFERROR(VLOOKUP(Data[[#This Row],[DEVELOPMENT]],Ops_Priorities_and_Data_Clean[[development]:[ifnoext_comment]],7,FALSE),"")</f>
        <v>0</v>
      </c>
      <c r="AL74" s="20">
        <f>IFERROR(VLOOKUP(Data[[#This Row],[DEVELOPMENT]],Ops_Priorities_and_Data_Clean[[development]:[ifnoext_comment]],8,FALSE),"")</f>
        <v>1</v>
      </c>
      <c r="AM74" s="20">
        <f>IFERROR(VLOOKUP(Data[[#This Row],[DEVELOPMENT]],Ops_Priorities_and_Data_Clean[[development]:[ifnoext_comment]],9,FALSE),"")</f>
        <v>0</v>
      </c>
      <c r="AN74" s="20">
        <f>IFERROR(VLOOKUP(Data[[#This Row],[DEVELOPMENT]],Ops_Priorities_and_Data_Clean[[development]:[ifnoext_comment]],10,FALSE),"")</f>
        <v>1</v>
      </c>
      <c r="AO74" s="20">
        <f>IFERROR(VLOOKUP(Data[[#This Row],[DEVELOPMENT]],Ops_Priorities_and_Data_Clean[[development]:[ifnoext_comment]],11,FALSE),"")</f>
        <v>0</v>
      </c>
      <c r="AP74" s="20">
        <f>IFERROR(VLOOKUP(Data[[#This Row],[DEVELOPMENT]],Ops_Priorities_and_Data_Clean[[development]:[ifnoext_comment]],12,FALSE),"")</f>
        <v>0</v>
      </c>
      <c r="AQ74" s="20">
        <f>VLOOKUP(Data[[#This Row],[DEVELOPMENT]],Ops_Priorities_and_Data_Clean[[development]:[ifnoext_comment]],14,FALSE)</f>
        <v>0</v>
      </c>
      <c r="AR74" s="20">
        <f>VLOOKUP(Data[[#This Row],[DEVELOPMENT]],Ops_Priorities_and_Data_Clean[[development]:[ifnoext_comment]],15,FALSE)</f>
        <v>0</v>
      </c>
      <c r="AS74" s="20" t="str">
        <f>VLOOKUP(Data[[#This Row],[DEVELOPMENT]],Ops_Priorities_and_Data_Clean[[development]:[ifnoext_comment]],16,FALSE)</f>
        <v>NULL</v>
      </c>
      <c r="AT74" s="20" t="str">
        <f>VLOOKUP(Data[[#This Row],[DEVELOPMENT]],Ops_Priorities_and_Data_Clean[[development]:[ifnoext_comment]],17,FALSE)</f>
        <v>NULL</v>
      </c>
      <c r="AU74" s="20" t="str">
        <f>VLOOKUP(Data[[#This Row],[DEVELOPMENT]],Ops_Priorities_and_Data_Clean[[development]:[ifnoext_comment]],18,FALSE)</f>
        <v>No</v>
      </c>
      <c r="AV74" s="20" t="str">
        <f>VLOOKUP(Data[[#This Row],[DEVELOPMENT]],Ops_Priorities_and_Data_Clean[[development]:[ifnoext_comment]],19,FALSE)</f>
        <v>1100 Teller</v>
      </c>
      <c r="AW74" s="20" t="str">
        <f>VLOOKUP(Data[[#This Row],[DEVELOPMENT]],Ops_Priorities_and_Data_Clean[[development]:[ifnoext_comment]],20,FALSE)</f>
        <v>NULL</v>
      </c>
      <c r="AX74" s="104" t="s">
        <v>2237</v>
      </c>
      <c r="AY74" s="104" t="s">
        <v>2635</v>
      </c>
      <c r="AZ74" s="20" t="str">
        <f>VLOOKUP(Data[[#This Row],[DEVELOPMENT]],Development_Data_Book[[DEVELOPMENT]:[PRIVATE MANAGEMENT]],8,FALSE)</f>
        <v>FEDERAL</v>
      </c>
      <c r="BA74" s="104" t="s">
        <v>2586</v>
      </c>
      <c r="BB74" s="20">
        <f>VLOOKUP(Data[[#This Row],[DEVELOPMENT]],Development_Data_Book[[DEVELOPMENT]:[PRIVATE MANAGEMENT]],22,FALSE)</f>
        <v>0</v>
      </c>
      <c r="BC74" s="20">
        <f>Data[[#This Row],[Non-Dwelling Buildings]]+Data[[#This Row],[Dwelling Buildings]]</f>
        <v>1</v>
      </c>
      <c r="BD74" s="20">
        <f>VLOOKUP(Data[[#This Row],[DEVELOPMENT]],Development_Data_Book[[DEVELOPMENT]:[PRIVATE MANAGEMENT]],26,FALSE)</f>
        <v>0.51</v>
      </c>
      <c r="BE74" s="106">
        <v>67600</v>
      </c>
      <c r="BF74" s="20">
        <f>VLOOKUP(Data[[#This Row],[DEVELOPMENT]],Development_Data_Book[[DEVELOPMENT]:[PRIVATE MANAGEMENT]],18,FALSE)</f>
        <v>102</v>
      </c>
      <c r="BG74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74" s="104" t="s">
        <v>2631</v>
      </c>
      <c r="BI74" t="s">
        <v>184</v>
      </c>
      <c r="BJ74" s="20">
        <f>VLOOKUP(Data[[#This Row],[DEVELOPMENT]],Development_Data_Book[[DEVELOPMENT]:[PRIVATE MANAGEMENT]],41,FALSE)</f>
        <v>4</v>
      </c>
      <c r="BK74" s="20">
        <f>VLOOKUP(Data[[#This Row],[DEVELOPMENT]],Development_Data_Book[[DEVELOPMENT]:[PRIVATE MANAGEMENT]],42,FALSE)</f>
        <v>15</v>
      </c>
      <c r="BL74" s="20">
        <f>VLOOKUP(Data[[#This Row],[DEVELOPMENT]],Development_Data_Book[[DEVELOPMENT]:[PRIVATE MANAGEMENT]],43,FALSE)</f>
        <v>32</v>
      </c>
      <c r="BM74" s="20">
        <f>VLOOKUP(Data[[#This Row],[DEVELOPMENT]],Development_Data_Book[[DEVELOPMENT]:[PRIVATE MANAGEMENT]],44,FALSE)</f>
        <v>77</v>
      </c>
      <c r="BN74" s="20">
        <f>VLOOKUP(Data[[#This Row],[DEVELOPMENT]],Development_Data_Book[[DEVELOPMENT]:[PRIVATE MANAGEMENT]],45,FALSE)</f>
        <v>16</v>
      </c>
      <c r="BO74" s="20">
        <f>VLOOKUP(Data[[#This Row],[DEVELOPMENT]],Development_Data_Book[[DEVELOPMENT]:[PRIVATE MANAGEMENT]],24,FALSE)</f>
        <v>6</v>
      </c>
    </row>
    <row r="75" spans="1:67">
      <c r="A75" t="s">
        <v>235</v>
      </c>
      <c r="B75" s="20" t="str">
        <f>VLOOKUP(Data[[#This Row],[DEVELOPMENT]],Development_Data_Book[[DEVELOPMENT]:[BOROUGH]],MATCH("borough",Development_Data_Book[[#Headers],[DEVELOPMENT]:[BOROUGH]],0),FALSE)</f>
        <v>BROOKLYN</v>
      </c>
      <c r="C75" s="20" t="e">
        <f>VLOOKUP(Data[[#This Row],[DEVELOPMENT]],'[1]Cheat-Sheet'!$D$2:$Q$341,2,FALSE)</f>
        <v>#N/A</v>
      </c>
      <c r="D7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75" s="20">
        <f>VLOOKUP(Data[[#This Row],[DEVELOPMENT]],Development_Data_Book[[DEVELOPMENT]:[BOROUGH]],21,FALSE)</f>
        <v>5</v>
      </c>
      <c r="F75" s="20">
        <f>VLOOKUP(Data[[#This Row],[DEVELOPMENT]],Development_Data_Book[[DEVELOPMENT]:[BOROUGH]],23,FALSE)</f>
        <v>5</v>
      </c>
      <c r="G75" s="20">
        <f>VLOOKUP(Data[[#This Row],[DEVELOPMENT]],Development_Data_Book[[DEVELOPMENT]:[BOROUGH]],12,FALSE)</f>
        <v>530</v>
      </c>
      <c r="J75">
        <f>IFERROR(VLOOKUP(Data[[#This Row],[DEVELOPMENT]],IntCompactors_MRST[],4,FALSE),0)</f>
        <v>5</v>
      </c>
      <c r="K75" s="20">
        <f>IFERROR(VLOOKUP(Data[[#This Row],[DEVELOPMENT]],ExtCompactors_MRST[],4,FALSE),0)</f>
        <v>0</v>
      </c>
      <c r="L75" s="27">
        <f>IF(Data[[#This Row],['# Interior Compactors MRST]]=0,"",VLOOKUP(Data[[#This Row],[DEVELOPMENT]],IntCompactors_MRST[],5,FALSE))</f>
        <v>40969</v>
      </c>
      <c r="M75" s="28" t="str">
        <f>IF(Data[[#This Row],['# Exterior Compactors MRST]]=0,"",VLOOKUP(Data[[#This Row],[DEVELOPMENT]],ExtCompactors_MRST[],5,FALSE))</f>
        <v/>
      </c>
      <c r="N75" s="20">
        <f>Data[[#This Row],['# Interior Compactors MRST]]</f>
        <v>5</v>
      </c>
      <c r="O75" s="20">
        <f>IF(Data[[#This Row],['# Bulk Crushers]]=0,1,0)</f>
        <v>1</v>
      </c>
      <c r="P75" s="20">
        <f>1</f>
        <v>1</v>
      </c>
      <c r="Q75" s="20">
        <f>1</f>
        <v>1</v>
      </c>
      <c r="R75" s="20">
        <f>1</f>
        <v>1</v>
      </c>
      <c r="S75" s="20">
        <f>1</f>
        <v>1</v>
      </c>
      <c r="T75" s="20">
        <f>IF(Data[[#This Row],[Sewershed]]="Newtown Creek",Data[[#This Row],[DUs]],0)</f>
        <v>0</v>
      </c>
      <c r="U7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7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7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75" s="82">
        <f>VLOOKUP(Data[[#This Row],[DEVELOPMENT]],Development_Data_Book[[DEVELOPMENT]:[BOROUGH]],3,FALSE)</f>
        <v>94</v>
      </c>
      <c r="Y75" s="20"/>
      <c r="Z75" s="20">
        <f>IFERROR(VLOOKUP(Data[[#This Row],[TDS]],ExtCompactors_PNA[[Development]:[0]],2,FALSE),0)</f>
        <v>0</v>
      </c>
      <c r="AA75" s="20">
        <f>IFERROR(VLOOKUP(Data[[#This Row],[TDS]],IntCompactors_PNA[[TDS]:[0]],2,FALSE),0)</f>
        <v>5</v>
      </c>
      <c r="AB75" s="20"/>
      <c r="AC75" s="20"/>
      <c r="AD75" s="20">
        <f>IFERROR(VLOOKUP(Data[[#This Row],[TDS]],ExtCompactors_PNA[[Development]:[0]],3,FALSE)+VLOOKUP(Data[[#This Row],[TDS]],ExtCompactors_PNA[[Development]:[0]],6,FALSE),0)</f>
        <v>0</v>
      </c>
      <c r="AE75" s="20">
        <f>IFERROR(VLOOKUP(Data[[#This Row],[TDS]],IntCompactors_PNA[[TDS]:[0]],3,FALSE)+VLOOKUP(Data[[#This Row],[TDS]],IntCompactors_PNA[[TDS]:[0]],6,FALSE),0)</f>
        <v>5</v>
      </c>
      <c r="AF75" s="20" t="e">
        <f>VLOOKUP(Data[[#This Row],[DEVELOPMENT]],[3]Developments!$A$2:$A$312,1,FALSE)</f>
        <v>#N/A</v>
      </c>
      <c r="AG75" s="20">
        <f>IFERROR(VLOOKUP(Data[[#This Row],[DEVELOPMENT]],Ops_Priorities_and_Data_Clean[[development]:[ifnoext_comment]],3,FALSE),"")</f>
        <v>0</v>
      </c>
      <c r="AH75" s="20">
        <f>IFERROR(VLOOKUP(Data[[#This Row],[DEVELOPMENT]],Ops_Priorities_and_Data_Clean[[development]:[ifnoext_comment]],4,FALSE),"")</f>
        <v>0</v>
      </c>
      <c r="AI75" s="20">
        <f>IFERROR(VLOOKUP(Data[[#This Row],[DEVELOPMENT]],Ops_Priorities_and_Data_Clean[[development]:[ifnoext_comment]],5,FALSE),"")</f>
        <v>0</v>
      </c>
      <c r="AJ75" s="20">
        <f>IFERROR(VLOOKUP(Data[[#This Row],[DEVELOPMENT]],Ops_Priorities_and_Data_Clean[[development]:[ifnoext_comment]],6,FALSE),"")</f>
        <v>0</v>
      </c>
      <c r="AK75" s="20">
        <f>IFERROR(VLOOKUP(Data[[#This Row],[DEVELOPMENT]],Ops_Priorities_and_Data_Clean[[development]:[ifnoext_comment]],7,FALSE),"")</f>
        <v>1</v>
      </c>
      <c r="AL75" s="20">
        <f>IFERROR(VLOOKUP(Data[[#This Row],[DEVELOPMENT]],Ops_Priorities_and_Data_Clean[[development]:[ifnoext_comment]],8,FALSE),"")</f>
        <v>1</v>
      </c>
      <c r="AM75" s="20">
        <f>IFERROR(VLOOKUP(Data[[#This Row],[DEVELOPMENT]],Ops_Priorities_and_Data_Clean[[development]:[ifnoext_comment]],9,FALSE),"")</f>
        <v>1</v>
      </c>
      <c r="AN75" s="20">
        <f>IFERROR(VLOOKUP(Data[[#This Row],[DEVELOPMENT]],Ops_Priorities_and_Data_Clean[[development]:[ifnoext_comment]],10,FALSE),"")</f>
        <v>0</v>
      </c>
      <c r="AO75" s="20">
        <f>IFERROR(VLOOKUP(Data[[#This Row],[DEVELOPMENT]],Ops_Priorities_and_Data_Clean[[development]:[ifnoext_comment]],11,FALSE),"")</f>
        <v>0</v>
      </c>
      <c r="AP75" s="20">
        <f>IFERROR(VLOOKUP(Data[[#This Row],[DEVELOPMENT]],Ops_Priorities_and_Data_Clean[[development]:[ifnoext_comment]],12,FALSE),"")</f>
        <v>0</v>
      </c>
      <c r="AQ75" s="20">
        <f>VLOOKUP(Data[[#This Row],[DEVELOPMENT]],Ops_Priorities_and_Data_Clean[[development]:[ifnoext_comment]],14,FALSE)</f>
        <v>1</v>
      </c>
      <c r="AR75" s="20">
        <f>VLOOKUP(Data[[#This Row],[DEVELOPMENT]],Ops_Priorities_and_Data_Clean[[development]:[ifnoext_comment]],15,FALSE)</f>
        <v>0</v>
      </c>
      <c r="AS75" s="20" t="str">
        <f>VLOOKUP(Data[[#This Row],[DEVELOPMENT]],Ops_Priorities_and_Data_Clean[[development]:[ifnoext_comment]],16,FALSE)</f>
        <v>NULL</v>
      </c>
      <c r="AT75" s="20" t="str">
        <f>VLOOKUP(Data[[#This Row],[DEVELOPMENT]],Ops_Priorities_and_Data_Clean[[development]:[ifnoext_comment]],17,FALSE)</f>
        <v>NULL</v>
      </c>
      <c r="AU75" s="20" t="str">
        <f>VLOOKUP(Data[[#This Row],[DEVELOPMENT]],Ops_Priorities_and_Data_Clean[[development]:[ifnoext_comment]],18,FALSE)</f>
        <v>NULL</v>
      </c>
      <c r="AV75" s="20" t="str">
        <f>VLOOKUP(Data[[#This Row],[DEVELOPMENT]],Ops_Priorities_and_Data_Clean[[development]:[ifnoext_comment]],19,FALSE)</f>
        <v>NULL</v>
      </c>
      <c r="AW75" s="20" t="str">
        <f>VLOOKUP(Data[[#This Row],[DEVELOPMENT]],Ops_Priorities_and_Data_Clean[[development]:[ifnoext_comment]],20,FALSE)</f>
        <v>NULL</v>
      </c>
      <c r="AX75" s="104" t="s">
        <v>2238</v>
      </c>
      <c r="AY75" s="104" t="s">
        <v>235</v>
      </c>
      <c r="AZ75" s="20" t="str">
        <f>VLOOKUP(Data[[#This Row],[DEVELOPMENT]],Development_Data_Book[[DEVELOPMENT]:[PRIVATE MANAGEMENT]],8,FALSE)</f>
        <v>FEDERAL</v>
      </c>
      <c r="BA75" s="104" t="s">
        <v>2586</v>
      </c>
      <c r="BB75" s="20">
        <f>VLOOKUP(Data[[#This Row],[DEVELOPMENT]],Development_Data_Book[[DEVELOPMENT]:[PRIVATE MANAGEMENT]],22,FALSE)</f>
        <v>0</v>
      </c>
      <c r="BC75" s="20">
        <f>Data[[#This Row],[Non-Dwelling Buildings]]+Data[[#This Row],[Dwelling Buildings]]</f>
        <v>5</v>
      </c>
      <c r="BD75" s="20">
        <f>VLOOKUP(Data[[#This Row],[DEVELOPMENT]],Development_Data_Book[[DEVELOPMENT]:[PRIVATE MANAGEMENT]],26,FALSE)</f>
        <v>6.86</v>
      </c>
      <c r="BE75" s="106">
        <v>567000</v>
      </c>
      <c r="BF75" s="20">
        <f>VLOOKUP(Data[[#This Row],[DEVELOPMENT]],Development_Data_Book[[DEVELOPMENT]:[PRIVATE MANAGEMENT]],18,FALSE)</f>
        <v>1121</v>
      </c>
      <c r="BG7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75" s="104" t="s">
        <v>2621</v>
      </c>
      <c r="BI75" t="s">
        <v>184</v>
      </c>
      <c r="BJ75" s="20">
        <f>VLOOKUP(Data[[#This Row],[DEVELOPMENT]],Development_Data_Book[[DEVELOPMENT]:[PRIVATE MANAGEMENT]],41,FALSE)</f>
        <v>13</v>
      </c>
      <c r="BK75" s="20">
        <f>VLOOKUP(Data[[#This Row],[DEVELOPMENT]],Development_Data_Book[[DEVELOPMENT]:[PRIVATE MANAGEMENT]],42,FALSE)</f>
        <v>8</v>
      </c>
      <c r="BL75" s="20">
        <f>VLOOKUP(Data[[#This Row],[DEVELOPMENT]],Development_Data_Book[[DEVELOPMENT]:[PRIVATE MANAGEMENT]],43,FALSE)</f>
        <v>23</v>
      </c>
      <c r="BM75" s="20">
        <f>VLOOKUP(Data[[#This Row],[DEVELOPMENT]],Development_Data_Book[[DEVELOPMENT]:[PRIVATE MANAGEMENT]],44,FALSE)</f>
        <v>46</v>
      </c>
      <c r="BN75" s="20">
        <f>VLOOKUP(Data[[#This Row],[DEVELOPMENT]],Development_Data_Book[[DEVELOPMENT]:[PRIVATE MANAGEMENT]],45,FALSE)</f>
        <v>47</v>
      </c>
      <c r="BO75" s="20">
        <f>VLOOKUP(Data[[#This Row],[DEVELOPMENT]],Development_Data_Book[[DEVELOPMENT]:[PRIVATE MANAGEMENT]],24,FALSE)</f>
        <v>14</v>
      </c>
    </row>
    <row r="76" spans="1:67">
      <c r="A76" t="s">
        <v>311</v>
      </c>
      <c r="B76" s="20" t="str">
        <f>VLOOKUP(Data[[#This Row],[DEVELOPMENT]],Development_Data_Book[[DEVELOPMENT]:[BOROUGH]],MATCH("borough",Development_Data_Book[[#Headers],[DEVELOPMENT]:[BOROUGH]],0),FALSE)</f>
        <v>BROOKLYN</v>
      </c>
      <c r="C76" s="20" t="e">
        <f>VLOOKUP(Data[[#This Row],[DEVELOPMENT]],'[1]Cheat-Sheet'!$D$2:$Q$341,2,FALSE)</f>
        <v>#N/A</v>
      </c>
      <c r="D7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76" s="20">
        <f>VLOOKUP(Data[[#This Row],[DEVELOPMENT]],Development_Data_Book[[DEVELOPMENT]:[BOROUGH]],21,FALSE)</f>
        <v>1</v>
      </c>
      <c r="F76" s="20">
        <f>VLOOKUP(Data[[#This Row],[DEVELOPMENT]],Development_Data_Book[[DEVELOPMENT]:[BOROUGH]],23,FALSE)</f>
        <v>1</v>
      </c>
      <c r="G76" s="20">
        <f>VLOOKUP(Data[[#This Row],[DEVELOPMENT]],Development_Data_Book[[DEVELOPMENT]:[BOROUGH]],12,FALSE)</f>
        <v>192</v>
      </c>
      <c r="J76">
        <f>IFERROR(VLOOKUP(Data[[#This Row],[DEVELOPMENT]],IntCompactors_MRST[],4,FALSE),0)</f>
        <v>1</v>
      </c>
      <c r="K76" s="20">
        <f>IFERROR(VLOOKUP(Data[[#This Row],[DEVELOPMENT]],ExtCompactors_MRST[],4,FALSE),0)</f>
        <v>0</v>
      </c>
      <c r="L76" s="27">
        <f>IF(Data[[#This Row],['# Interior Compactors MRST]]=0,"",VLOOKUP(Data[[#This Row],[DEVELOPMENT]],IntCompactors_MRST[],5,FALSE))</f>
        <v>43101</v>
      </c>
      <c r="M76" s="28" t="str">
        <f>IF(Data[[#This Row],['# Exterior Compactors MRST]]=0,"",VLOOKUP(Data[[#This Row],[DEVELOPMENT]],ExtCompactors_MRST[],5,FALSE))</f>
        <v/>
      </c>
      <c r="N76" s="20">
        <f>Data[[#This Row],['# Interior Compactors MRST]]</f>
        <v>1</v>
      </c>
      <c r="O76" s="20">
        <f>IF(Data[[#This Row],['# Bulk Crushers]]=0,1,0)</f>
        <v>1</v>
      </c>
      <c r="P76" s="20">
        <f>1</f>
        <v>1</v>
      </c>
      <c r="Q76" s="20">
        <f>1</f>
        <v>1</v>
      </c>
      <c r="R76" s="20">
        <f>1</f>
        <v>1</v>
      </c>
      <c r="S76" s="20">
        <f>1</f>
        <v>1</v>
      </c>
      <c r="T76" s="20">
        <f>IF(Data[[#This Row],[Sewershed]]="Newtown Creek",Data[[#This Row],[DUs]],0)</f>
        <v>0</v>
      </c>
      <c r="U7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7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7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76" s="82">
        <f>VLOOKUP(Data[[#This Row],[DEVELOPMENT]],Development_Data_Book[[DEVELOPMENT]:[BOROUGH]],3,FALSE)</f>
        <v>239</v>
      </c>
      <c r="Y76" s="20"/>
      <c r="Z76" s="20">
        <f>IFERROR(VLOOKUP(Data[[#This Row],[TDS]],ExtCompactors_PNA[[Development]:[0]],2,FALSE),0)</f>
        <v>0</v>
      </c>
      <c r="AA76" s="20">
        <f>IFERROR(VLOOKUP(Data[[#This Row],[TDS]],IntCompactors_PNA[[TDS]:[0]],2,FALSE),0)</f>
        <v>1</v>
      </c>
      <c r="AB76" s="20"/>
      <c r="AC76" s="20"/>
      <c r="AD76" s="20">
        <f>IFERROR(VLOOKUP(Data[[#This Row],[TDS]],ExtCompactors_PNA[[Development]:[0]],3,FALSE)+VLOOKUP(Data[[#This Row],[TDS]],ExtCompactors_PNA[[Development]:[0]],6,FALSE),0)</f>
        <v>0</v>
      </c>
      <c r="AE76" s="20">
        <f>IFERROR(VLOOKUP(Data[[#This Row],[TDS]],IntCompactors_PNA[[TDS]:[0]],3,FALSE)+VLOOKUP(Data[[#This Row],[TDS]],IntCompactors_PNA[[TDS]:[0]],6,FALSE),0)</f>
        <v>1</v>
      </c>
      <c r="AF76" s="20" t="e">
        <f>VLOOKUP(Data[[#This Row],[DEVELOPMENT]],[3]Developments!$A$2:$A$312,1,FALSE)</f>
        <v>#N/A</v>
      </c>
      <c r="AG76" s="20">
        <f>IFERROR(VLOOKUP(Data[[#This Row],[DEVELOPMENT]],Ops_Priorities_and_Data_Clean[[development]:[ifnoext_comment]],3,FALSE),"")</f>
        <v>0</v>
      </c>
      <c r="AH76" s="20">
        <f>IFERROR(VLOOKUP(Data[[#This Row],[DEVELOPMENT]],Ops_Priorities_and_Data_Clean[[development]:[ifnoext_comment]],4,FALSE),"")</f>
        <v>0</v>
      </c>
      <c r="AI76" s="20">
        <f>IFERROR(VLOOKUP(Data[[#This Row],[DEVELOPMENT]],Ops_Priorities_and_Data_Clean[[development]:[ifnoext_comment]],5,FALSE),"")</f>
        <v>0</v>
      </c>
      <c r="AJ76" s="20">
        <f>IFERROR(VLOOKUP(Data[[#This Row],[DEVELOPMENT]],Ops_Priorities_and_Data_Clean[[development]:[ifnoext_comment]],6,FALSE),"")</f>
        <v>1</v>
      </c>
      <c r="AK76" s="20">
        <f>IFERROR(VLOOKUP(Data[[#This Row],[DEVELOPMENT]],Ops_Priorities_and_Data_Clean[[development]:[ifnoext_comment]],7,FALSE),"")</f>
        <v>0</v>
      </c>
      <c r="AL76" s="20">
        <f>IFERROR(VLOOKUP(Data[[#This Row],[DEVELOPMENT]],Ops_Priorities_and_Data_Clean[[development]:[ifnoext_comment]],8,FALSE),"")</f>
        <v>1</v>
      </c>
      <c r="AM76" s="20">
        <f>IFERROR(VLOOKUP(Data[[#This Row],[DEVELOPMENT]],Ops_Priorities_and_Data_Clean[[development]:[ifnoext_comment]],9,FALSE),"")</f>
        <v>0</v>
      </c>
      <c r="AN76" s="20">
        <f>IFERROR(VLOOKUP(Data[[#This Row],[DEVELOPMENT]],Ops_Priorities_and_Data_Clean[[development]:[ifnoext_comment]],10,FALSE),"")</f>
        <v>0</v>
      </c>
      <c r="AO76" s="20">
        <f>IFERROR(VLOOKUP(Data[[#This Row],[DEVELOPMENT]],Ops_Priorities_and_Data_Clean[[development]:[ifnoext_comment]],11,FALSE),"")</f>
        <v>0</v>
      </c>
      <c r="AP76" s="20">
        <f>IFERROR(VLOOKUP(Data[[#This Row],[DEVELOPMENT]],Ops_Priorities_and_Data_Clean[[development]:[ifnoext_comment]],12,FALSE),"")</f>
        <v>0</v>
      </c>
      <c r="AQ76" s="20">
        <f>VLOOKUP(Data[[#This Row],[DEVELOPMENT]],Ops_Priorities_and_Data_Clean[[development]:[ifnoext_comment]],14,FALSE)</f>
        <v>0</v>
      </c>
      <c r="AR76" s="20">
        <f>VLOOKUP(Data[[#This Row],[DEVELOPMENT]],Ops_Priorities_and_Data_Clean[[development]:[ifnoext_comment]],15,FALSE)</f>
        <v>1</v>
      </c>
      <c r="AS76" s="20" t="str">
        <f>VLOOKUP(Data[[#This Row],[DEVELOPMENT]],Ops_Priorities_and_Data_Clean[[development]:[ifnoext_comment]],16,FALSE)</f>
        <v>Carey Gardens</v>
      </c>
      <c r="AT76" s="20" t="str">
        <f>VLOOKUP(Data[[#This Row],[DEVELOPMENT]],Ops_Priorities_and_Data_Clean[[development]:[ifnoext_comment]],17,FALSE)</f>
        <v>NULL</v>
      </c>
      <c r="AU76" s="20" t="str">
        <f>VLOOKUP(Data[[#This Row],[DEVELOPMENT]],Ops_Priorities_and_Data_Clean[[development]:[ifnoext_comment]],18,FALSE)</f>
        <v>NULL</v>
      </c>
      <c r="AV76" s="20" t="str">
        <f>VLOOKUP(Data[[#This Row],[DEVELOPMENT]],Ops_Priorities_and_Data_Clean[[development]:[ifnoext_comment]],19,FALSE)</f>
        <v>NULL</v>
      </c>
      <c r="AW76" s="20" t="str">
        <f>VLOOKUP(Data[[#This Row],[DEVELOPMENT]],Ops_Priorities_and_Data_Clean[[development]:[ifnoext_comment]],20,FALSE)</f>
        <v>Shared</v>
      </c>
      <c r="AX76" s="104" t="s">
        <v>2238</v>
      </c>
      <c r="AY76" s="104" t="s">
        <v>235</v>
      </c>
      <c r="AZ76" s="20" t="str">
        <f>VLOOKUP(Data[[#This Row],[DEVELOPMENT]],Development_Data_Book[[DEVELOPMENT]:[PRIVATE MANAGEMENT]],8,FALSE)</f>
        <v>FEDERAL</v>
      </c>
      <c r="BA76" s="104" t="s">
        <v>2586</v>
      </c>
      <c r="BB76" s="20">
        <f>VLOOKUP(Data[[#This Row],[DEVELOPMENT]],Development_Data_Book[[DEVELOPMENT]:[PRIVATE MANAGEMENT]],22,FALSE)</f>
        <v>0</v>
      </c>
      <c r="BC76" s="20">
        <f>Data[[#This Row],[Non-Dwelling Buildings]]+Data[[#This Row],[Dwelling Buildings]]</f>
        <v>1</v>
      </c>
      <c r="BD76" s="20">
        <f>VLOOKUP(Data[[#This Row],[DEVELOPMENT]],Development_Data_Book[[DEVELOPMENT]:[PRIVATE MANAGEMENT]],26,FALSE)</f>
        <v>2.14</v>
      </c>
      <c r="BE76" s="106">
        <v>268000</v>
      </c>
      <c r="BF76" s="20">
        <f>VLOOKUP(Data[[#This Row],[DEVELOPMENT]],Development_Data_Book[[DEVELOPMENT]:[PRIVATE MANAGEMENT]],18,FALSE)</f>
        <v>512</v>
      </c>
      <c r="BG7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76" s="104" t="s">
        <v>2621</v>
      </c>
      <c r="BI76" t="s">
        <v>184</v>
      </c>
      <c r="BJ76" s="20">
        <f>VLOOKUP(Data[[#This Row],[DEVELOPMENT]],Development_Data_Book[[DEVELOPMENT]:[PRIVATE MANAGEMENT]],41,FALSE)</f>
        <v>13</v>
      </c>
      <c r="BK76" s="20">
        <f>VLOOKUP(Data[[#This Row],[DEVELOPMENT]],Development_Data_Book[[DEVELOPMENT]:[PRIVATE MANAGEMENT]],42,FALSE)</f>
        <v>8</v>
      </c>
      <c r="BL76" s="20">
        <f>VLOOKUP(Data[[#This Row],[DEVELOPMENT]],Development_Data_Book[[DEVELOPMENT]:[PRIVATE MANAGEMENT]],43,FALSE)</f>
        <v>23</v>
      </c>
      <c r="BM76" s="20">
        <f>VLOOKUP(Data[[#This Row],[DEVELOPMENT]],Development_Data_Book[[DEVELOPMENT]:[PRIVATE MANAGEMENT]],44,FALSE)</f>
        <v>46</v>
      </c>
      <c r="BN76" s="20">
        <f>VLOOKUP(Data[[#This Row],[DEVELOPMENT]],Development_Data_Book[[DEVELOPMENT]:[PRIVATE MANAGEMENT]],45,FALSE)</f>
        <v>47</v>
      </c>
      <c r="BO76" s="20">
        <f>VLOOKUP(Data[[#This Row],[DEVELOPMENT]],Development_Data_Book[[DEVELOPMENT]:[PRIVATE MANAGEMENT]],24,FALSE)</f>
        <v>18</v>
      </c>
    </row>
    <row r="77" spans="1:67">
      <c r="A77" t="s">
        <v>236</v>
      </c>
      <c r="B77" s="20" t="str">
        <f>VLOOKUP(Data[[#This Row],[DEVELOPMENT]],Development_Data_Book[[DEVELOPMENT]:[BOROUGH]],MATCH("borough",Development_Data_Book[[#Headers],[DEVELOPMENT]:[BOROUGH]],0),FALSE)</f>
        <v>BROOKLYN</v>
      </c>
      <c r="C77" s="20" t="e">
        <f>VLOOKUP(Data[[#This Row],[DEVELOPMENT]],'[1]Cheat-Sheet'!$D$2:$Q$341,2,FALSE)</f>
        <v>#N/A</v>
      </c>
      <c r="D7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77" s="20">
        <f>VLOOKUP(Data[[#This Row],[DEVELOPMENT]],Development_Data_Book[[DEVELOPMENT]:[BOROUGH]],21,FALSE)</f>
        <v>1</v>
      </c>
      <c r="F77" s="20">
        <f>VLOOKUP(Data[[#This Row],[DEVELOPMENT]],Development_Data_Book[[DEVELOPMENT]:[BOROUGH]],23,FALSE)</f>
        <v>2</v>
      </c>
      <c r="G77" s="20">
        <f>VLOOKUP(Data[[#This Row],[DEVELOPMENT]],Development_Data_Book[[DEVELOPMENT]:[BOROUGH]],12,FALSE)</f>
        <v>124</v>
      </c>
      <c r="J77">
        <f>IFERROR(VLOOKUP(Data[[#This Row],[DEVELOPMENT]],IntCompactors_MRST[],4,FALSE),0)</f>
        <v>1</v>
      </c>
      <c r="K77" s="20">
        <f>IFERROR(VLOOKUP(Data[[#This Row],[DEVELOPMENT]],ExtCompactors_MRST[],4,FALSE),0)</f>
        <v>0</v>
      </c>
      <c r="L77" s="27">
        <f>IF(Data[[#This Row],['# Interior Compactors MRST]]=0,"",VLOOKUP(Data[[#This Row],[DEVELOPMENT]],IntCompactors_MRST[],5,FALSE))</f>
        <v>35339</v>
      </c>
      <c r="M77" s="28" t="str">
        <f>IF(Data[[#This Row],['# Exterior Compactors MRST]]=0,"",VLOOKUP(Data[[#This Row],[DEVELOPMENT]],ExtCompactors_MRST[],5,FALSE))</f>
        <v/>
      </c>
      <c r="N77" s="20">
        <f>Data[[#This Row],['# Interior Compactors MRST]]</f>
        <v>1</v>
      </c>
      <c r="O77" s="20">
        <f>IF(Data[[#This Row],['# Bulk Crushers]]=0,1,0)</f>
        <v>1</v>
      </c>
      <c r="P77" s="20">
        <f>1</f>
        <v>1</v>
      </c>
      <c r="Q77" s="20">
        <f>1</f>
        <v>1</v>
      </c>
      <c r="R77" s="20">
        <f>1</f>
        <v>1</v>
      </c>
      <c r="S77" s="20">
        <f>1</f>
        <v>1</v>
      </c>
      <c r="T77" s="20">
        <f>IF(Data[[#This Row],[Sewershed]]="Newtown Creek",Data[[#This Row],[DUs]],0)</f>
        <v>0</v>
      </c>
      <c r="U7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7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7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77" s="82">
        <f>VLOOKUP(Data[[#This Row],[DEVELOPMENT]],Development_Data_Book[[DEVELOPMENT]:[BOROUGH]],3,FALSE)</f>
        <v>238</v>
      </c>
      <c r="Y77" s="20"/>
      <c r="Z77" s="20">
        <f>IFERROR(VLOOKUP(Data[[#This Row],[TDS]],ExtCompactors_PNA[[Development]:[0]],2,FALSE),0)</f>
        <v>0</v>
      </c>
      <c r="AA77" s="20">
        <f>IFERROR(VLOOKUP(Data[[#This Row],[TDS]],IntCompactors_PNA[[TDS]:[0]],2,FALSE),0)</f>
        <v>1</v>
      </c>
      <c r="AB77" s="20"/>
      <c r="AC77" s="20"/>
      <c r="AD77" s="20">
        <f>IFERROR(VLOOKUP(Data[[#This Row],[TDS]],ExtCompactors_PNA[[Development]:[0]],3,FALSE)+VLOOKUP(Data[[#This Row],[TDS]],ExtCompactors_PNA[[Development]:[0]],6,FALSE),0)</f>
        <v>0</v>
      </c>
      <c r="AE77" s="20">
        <f>IFERROR(VLOOKUP(Data[[#This Row],[TDS]],IntCompactors_PNA[[TDS]:[0]],3,FALSE)+VLOOKUP(Data[[#This Row],[TDS]],IntCompactors_PNA[[TDS]:[0]],6,FALSE),0)</f>
        <v>1</v>
      </c>
      <c r="AF77" s="20" t="e">
        <f>VLOOKUP(Data[[#This Row],[DEVELOPMENT]],[3]Developments!$A$2:$A$312,1,FALSE)</f>
        <v>#N/A</v>
      </c>
      <c r="AG77" s="20">
        <f>IFERROR(VLOOKUP(Data[[#This Row],[DEVELOPMENT]],Ops_Priorities_and_Data_Clean[[development]:[ifnoext_comment]],3,FALSE),"")</f>
        <v>0</v>
      </c>
      <c r="AH77" s="20">
        <f>IFERROR(VLOOKUP(Data[[#This Row],[DEVELOPMENT]],Ops_Priorities_and_Data_Clean[[development]:[ifnoext_comment]],4,FALSE),"")</f>
        <v>0</v>
      </c>
      <c r="AI77" s="20">
        <f>IFERROR(VLOOKUP(Data[[#This Row],[DEVELOPMENT]],Ops_Priorities_and_Data_Clean[[development]:[ifnoext_comment]],5,FALSE),"")</f>
        <v>0</v>
      </c>
      <c r="AJ77" s="20">
        <f>IFERROR(VLOOKUP(Data[[#This Row],[DEVELOPMENT]],Ops_Priorities_and_Data_Clean[[development]:[ifnoext_comment]],6,FALSE),"")</f>
        <v>0</v>
      </c>
      <c r="AK77" s="20">
        <f>IFERROR(VLOOKUP(Data[[#This Row],[DEVELOPMENT]],Ops_Priorities_and_Data_Clean[[development]:[ifnoext_comment]],7,FALSE),"")</f>
        <v>1</v>
      </c>
      <c r="AL77" s="20">
        <f>IFERROR(VLOOKUP(Data[[#This Row],[DEVELOPMENT]],Ops_Priorities_and_Data_Clean[[development]:[ifnoext_comment]],8,FALSE),"")</f>
        <v>1</v>
      </c>
      <c r="AM77" s="20">
        <f>IFERROR(VLOOKUP(Data[[#This Row],[DEVELOPMENT]],Ops_Priorities_and_Data_Clean[[development]:[ifnoext_comment]],9,FALSE),"")</f>
        <v>1</v>
      </c>
      <c r="AN77" s="20">
        <f>IFERROR(VLOOKUP(Data[[#This Row],[DEVELOPMENT]],Ops_Priorities_and_Data_Clean[[development]:[ifnoext_comment]],10,FALSE),"")</f>
        <v>0</v>
      </c>
      <c r="AO77" s="20">
        <f>IFERROR(VLOOKUP(Data[[#This Row],[DEVELOPMENT]],Ops_Priorities_and_Data_Clean[[development]:[ifnoext_comment]],11,FALSE),"")</f>
        <v>0</v>
      </c>
      <c r="AP77" s="20">
        <f>IFERROR(VLOOKUP(Data[[#This Row],[DEVELOPMENT]],Ops_Priorities_and_Data_Clean[[development]:[ifnoext_comment]],12,FALSE),"")</f>
        <v>0</v>
      </c>
      <c r="AQ77" s="20">
        <f>VLOOKUP(Data[[#This Row],[DEVELOPMENT]],Ops_Priorities_and_Data_Clean[[development]:[ifnoext_comment]],14,FALSE)</f>
        <v>1</v>
      </c>
      <c r="AR77" s="20">
        <f>VLOOKUP(Data[[#This Row],[DEVELOPMENT]],Ops_Priorities_and_Data_Clean[[development]:[ifnoext_comment]],15,FALSE)</f>
        <v>0</v>
      </c>
      <c r="AS77" s="20" t="str">
        <f>VLOOKUP(Data[[#This Row],[DEVELOPMENT]],Ops_Priorities_and_Data_Clean[[development]:[ifnoext_comment]],16,FALSE)</f>
        <v>NULL</v>
      </c>
      <c r="AT77" s="20" t="str">
        <f>VLOOKUP(Data[[#This Row],[DEVELOPMENT]],Ops_Priorities_and_Data_Clean[[development]:[ifnoext_comment]],17,FALSE)</f>
        <v>NULL</v>
      </c>
      <c r="AU77" s="20" t="str">
        <f>VLOOKUP(Data[[#This Row],[DEVELOPMENT]],Ops_Priorities_and_Data_Clean[[development]:[ifnoext_comment]],18,FALSE)</f>
        <v>NULL</v>
      </c>
      <c r="AV77" s="20" t="str">
        <f>VLOOKUP(Data[[#This Row],[DEVELOPMENT]],Ops_Priorities_and_Data_Clean[[development]:[ifnoext_comment]],19,FALSE)</f>
        <v>NULL</v>
      </c>
      <c r="AW77" s="20" t="str">
        <f>VLOOKUP(Data[[#This Row],[DEVELOPMENT]],Ops_Priorities_and_Data_Clean[[development]:[ifnoext_comment]],20,FALSE)</f>
        <v>NULL</v>
      </c>
      <c r="AX77" s="104" t="s">
        <v>2238</v>
      </c>
      <c r="AY77" s="104" t="s">
        <v>235</v>
      </c>
      <c r="AZ77" s="20" t="str">
        <f>VLOOKUP(Data[[#This Row],[DEVELOPMENT]],Development_Data_Book[[DEVELOPMENT]:[PRIVATE MANAGEMENT]],8,FALSE)</f>
        <v>FEDERAL</v>
      </c>
      <c r="BA77" s="104" t="s">
        <v>2586</v>
      </c>
      <c r="BB77" s="20">
        <f>VLOOKUP(Data[[#This Row],[DEVELOPMENT]],Development_Data_Book[[DEVELOPMENT]:[PRIVATE MANAGEMENT]],22,FALSE)</f>
        <v>0</v>
      </c>
      <c r="BC77" s="20">
        <f>Data[[#This Row],[Non-Dwelling Buildings]]+Data[[#This Row],[Dwelling Buildings]]</f>
        <v>1</v>
      </c>
      <c r="BD77" s="20">
        <f>VLOOKUP(Data[[#This Row],[DEVELOPMENT]],Development_Data_Book[[DEVELOPMENT]:[PRIVATE MANAGEMENT]],26,FALSE)</f>
        <v>1.41</v>
      </c>
      <c r="BE77" s="106">
        <v>83280</v>
      </c>
      <c r="BF77" s="20">
        <f>VLOOKUP(Data[[#This Row],[DEVELOPMENT]],Development_Data_Book[[DEVELOPMENT]:[PRIVATE MANAGEMENT]],18,FALSE)</f>
        <v>361</v>
      </c>
      <c r="BG7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77" s="104" t="s">
        <v>2621</v>
      </c>
      <c r="BI77" t="s">
        <v>184</v>
      </c>
      <c r="BJ77" s="20">
        <f>VLOOKUP(Data[[#This Row],[DEVELOPMENT]],Development_Data_Book[[DEVELOPMENT]:[PRIVATE MANAGEMENT]],41,FALSE)</f>
        <v>13</v>
      </c>
      <c r="BK77" s="20">
        <f>VLOOKUP(Data[[#This Row],[DEVELOPMENT]],Development_Data_Book[[DEVELOPMENT]:[PRIVATE MANAGEMENT]],42,FALSE)</f>
        <v>8</v>
      </c>
      <c r="BL77" s="20">
        <f>VLOOKUP(Data[[#This Row],[DEVELOPMENT]],Development_Data_Book[[DEVELOPMENT]:[PRIVATE MANAGEMENT]],43,FALSE)</f>
        <v>23</v>
      </c>
      <c r="BM77" s="20">
        <f>VLOOKUP(Data[[#This Row],[DEVELOPMENT]],Development_Data_Book[[DEVELOPMENT]:[PRIVATE MANAGEMENT]],44,FALSE)</f>
        <v>46</v>
      </c>
      <c r="BN77" s="20">
        <f>VLOOKUP(Data[[#This Row],[DEVELOPMENT]],Development_Data_Book[[DEVELOPMENT]:[PRIVATE MANAGEMENT]],45,FALSE)</f>
        <v>47</v>
      </c>
      <c r="BO77" s="20">
        <f>VLOOKUP(Data[[#This Row],[DEVELOPMENT]],Development_Data_Book[[DEVELOPMENT]:[PRIVATE MANAGEMENT]],24,FALSE)</f>
        <v>14</v>
      </c>
    </row>
    <row r="78" spans="1:67">
      <c r="A78" t="s">
        <v>312</v>
      </c>
      <c r="B78" s="20" t="str">
        <f>VLOOKUP(Data[[#This Row],[DEVELOPMENT]],Development_Data_Book[[DEVELOPMENT]:[BOROUGH]],MATCH("borough",Development_Data_Book[[#Headers],[DEVELOPMENT]:[BOROUGH]],0),FALSE)</f>
        <v>BROOKLYN</v>
      </c>
      <c r="C78" s="20" t="e">
        <f>VLOOKUP(Data[[#This Row],[DEVELOPMENT]],'[1]Cheat-Sheet'!$D$2:$Q$341,2,FALSE)</f>
        <v>#N/A</v>
      </c>
      <c r="D7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78" s="20">
        <f>VLOOKUP(Data[[#This Row],[DEVELOPMENT]],Development_Data_Book[[DEVELOPMENT]:[BOROUGH]],21,FALSE)</f>
        <v>1</v>
      </c>
      <c r="F78" s="20">
        <f>VLOOKUP(Data[[#This Row],[DEVELOPMENT]],Development_Data_Book[[DEVELOPMENT]:[BOROUGH]],23,FALSE)</f>
        <v>6</v>
      </c>
      <c r="G78" s="20">
        <f>VLOOKUP(Data[[#This Row],[DEVELOPMENT]],Development_Data_Book[[DEVELOPMENT]:[BOROUGH]],12,FALSE)</f>
        <v>376</v>
      </c>
      <c r="J78">
        <f>IFERROR(VLOOKUP(Data[[#This Row],[DEVELOPMENT]],IntCompactors_MRST[],4,FALSE),0)</f>
        <v>3</v>
      </c>
      <c r="K78" s="20">
        <f>IFERROR(VLOOKUP(Data[[#This Row],[DEVELOPMENT]],ExtCompactors_MRST[],4,FALSE),0)</f>
        <v>0</v>
      </c>
      <c r="L78" s="27">
        <f>IF(Data[[#This Row],['# Interior Compactors MRST]]=0,"",VLOOKUP(Data[[#This Row],[DEVELOPMENT]],IntCompactors_MRST[],5,FALSE))</f>
        <v>43070</v>
      </c>
      <c r="M78" s="28" t="str">
        <f>IF(Data[[#This Row],['# Exterior Compactors MRST]]=0,"",VLOOKUP(Data[[#This Row],[DEVELOPMENT]],ExtCompactors_MRST[],5,FALSE))</f>
        <v/>
      </c>
      <c r="N78" s="20">
        <f>Data[[#This Row],['# Interior Compactors MRST]]</f>
        <v>3</v>
      </c>
      <c r="O78" s="20">
        <f>IF(Data[[#This Row],['# Bulk Crushers]]=0,1,0)</f>
        <v>0</v>
      </c>
      <c r="P78" s="20">
        <f>1</f>
        <v>1</v>
      </c>
      <c r="Q78" s="20">
        <f>1</f>
        <v>1</v>
      </c>
      <c r="R78" s="20">
        <f>1</f>
        <v>1</v>
      </c>
      <c r="S78" s="20">
        <f>1</f>
        <v>1</v>
      </c>
      <c r="T78" s="20">
        <f>IF(Data[[#This Row],[Sewershed]]="Newtown Creek",Data[[#This Row],[DUs]],0)</f>
        <v>0</v>
      </c>
      <c r="U7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7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7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78" s="82">
        <f>VLOOKUP(Data[[#This Row],[DEVELOPMENT]],Development_Data_Book[[DEVELOPMENT]:[BOROUGH]],3,FALSE)</f>
        <v>216</v>
      </c>
      <c r="Y78" s="20"/>
      <c r="Z78" s="20">
        <f>IFERROR(VLOOKUP(Data[[#This Row],[TDS]],ExtCompactors_PNA[[Development]:[0]],2,FALSE),0)</f>
        <v>1</v>
      </c>
      <c r="AA78" s="20">
        <f>IFERROR(VLOOKUP(Data[[#This Row],[TDS]],IntCompactors_PNA[[TDS]:[0]],2,FALSE),0)</f>
        <v>3</v>
      </c>
      <c r="AB78" s="20">
        <v>1</v>
      </c>
      <c r="AC78" s="20"/>
      <c r="AD78" s="20">
        <f>IFERROR(VLOOKUP(Data[[#This Row],[TDS]],ExtCompactors_PNA[[Development]:[0]],3,FALSE)+VLOOKUP(Data[[#This Row],[TDS]],ExtCompactors_PNA[[Development]:[0]],6,FALSE),0)</f>
        <v>1</v>
      </c>
      <c r="AE78" s="20">
        <f>IFERROR(VLOOKUP(Data[[#This Row],[TDS]],IntCompactors_PNA[[TDS]:[0]],3,FALSE)+VLOOKUP(Data[[#This Row],[TDS]],IntCompactors_PNA[[TDS]:[0]],6,FALSE),0)</f>
        <v>3</v>
      </c>
      <c r="AF78" s="20" t="e">
        <f>VLOOKUP(Data[[#This Row],[DEVELOPMENT]],[3]Developments!$A$2:$A$312,1,FALSE)</f>
        <v>#N/A</v>
      </c>
      <c r="AG78" s="20">
        <f>IFERROR(VLOOKUP(Data[[#This Row],[DEVELOPMENT]],Ops_Priorities_and_Data_Clean[[development]:[ifnoext_comment]],3,FALSE),"")</f>
        <v>1</v>
      </c>
      <c r="AH78" s="20">
        <f>IFERROR(VLOOKUP(Data[[#This Row],[DEVELOPMENT]],Ops_Priorities_and_Data_Clean[[development]:[ifnoext_comment]],4,FALSE),"")</f>
        <v>0</v>
      </c>
      <c r="AI78" s="20">
        <f>IFERROR(VLOOKUP(Data[[#This Row],[DEVELOPMENT]],Ops_Priorities_and_Data_Clean[[development]:[ifnoext_comment]],5,FALSE),"")</f>
        <v>1</v>
      </c>
      <c r="AJ78" s="20">
        <f>IFERROR(VLOOKUP(Data[[#This Row],[DEVELOPMENT]],Ops_Priorities_and_Data_Clean[[development]:[ifnoext_comment]],6,FALSE),"")</f>
        <v>0</v>
      </c>
      <c r="AK78" s="20">
        <f>IFERROR(VLOOKUP(Data[[#This Row],[DEVELOPMENT]],Ops_Priorities_and_Data_Clean[[development]:[ifnoext_comment]],7,FALSE),"")</f>
        <v>0</v>
      </c>
      <c r="AL78" s="20">
        <f>IFERROR(VLOOKUP(Data[[#This Row],[DEVELOPMENT]],Ops_Priorities_and_Data_Clean[[development]:[ifnoext_comment]],8,FALSE),"")</f>
        <v>1</v>
      </c>
      <c r="AM78" s="20">
        <f>IFERROR(VLOOKUP(Data[[#This Row],[DEVELOPMENT]],Ops_Priorities_and_Data_Clean[[development]:[ifnoext_comment]],9,FALSE),"")</f>
        <v>0</v>
      </c>
      <c r="AN78" s="20">
        <f>IFERROR(VLOOKUP(Data[[#This Row],[DEVELOPMENT]],Ops_Priorities_and_Data_Clean[[development]:[ifnoext_comment]],10,FALSE),"")</f>
        <v>1</v>
      </c>
      <c r="AO78" s="20">
        <f>IFERROR(VLOOKUP(Data[[#This Row],[DEVELOPMENT]],Ops_Priorities_and_Data_Clean[[development]:[ifnoext_comment]],11,FALSE),"")</f>
        <v>0</v>
      </c>
      <c r="AP78" s="20">
        <f>IFERROR(VLOOKUP(Data[[#This Row],[DEVELOPMENT]],Ops_Priorities_and_Data_Clean[[development]:[ifnoext_comment]],12,FALSE),"")</f>
        <v>0</v>
      </c>
      <c r="AQ78" s="20">
        <f>VLOOKUP(Data[[#This Row],[DEVELOPMENT]],Ops_Priorities_and_Data_Clean[[development]:[ifnoext_comment]],14,FALSE)</f>
        <v>0</v>
      </c>
      <c r="AR78" s="20">
        <f>VLOOKUP(Data[[#This Row],[DEVELOPMENT]],Ops_Priorities_and_Data_Clean[[development]:[ifnoext_comment]],15,FALSE)</f>
        <v>0</v>
      </c>
      <c r="AS78" s="20" t="str">
        <f>VLOOKUP(Data[[#This Row],[DEVELOPMENT]],Ops_Priorities_and_Data_Clean[[development]:[ifnoext_comment]],16,FALSE)</f>
        <v>NULL</v>
      </c>
      <c r="AT78" s="20" t="str">
        <f>VLOOKUP(Data[[#This Row],[DEVELOPMENT]],Ops_Priorities_and_Data_Clean[[development]:[ifnoext_comment]],17,FALSE)</f>
        <v>NULL</v>
      </c>
      <c r="AU78" s="20" t="str">
        <f>VLOOKUP(Data[[#This Row],[DEVELOPMENT]],Ops_Priorities_and_Data_Clean[[development]:[ifnoext_comment]],18,FALSE)</f>
        <v>NULL</v>
      </c>
      <c r="AV78" s="20" t="str">
        <f>VLOOKUP(Data[[#This Row],[DEVELOPMENT]],Ops_Priorities_and_Data_Clean[[development]:[ifnoext_comment]],19,FALSE)</f>
        <v>NULL</v>
      </c>
      <c r="AW78" s="20" t="str">
        <f>VLOOKUP(Data[[#This Row],[DEVELOPMENT]],Ops_Priorities_and_Data_Clean[[development]:[ifnoext_comment]],20,FALSE)</f>
        <v>1 bulk crusher</v>
      </c>
      <c r="AX78" s="104" t="s">
        <v>2238</v>
      </c>
      <c r="AY78" s="104" t="s">
        <v>235</v>
      </c>
      <c r="AZ78" s="20" t="str">
        <f>VLOOKUP(Data[[#This Row],[DEVELOPMENT]],Development_Data_Book[[DEVELOPMENT]:[PRIVATE MANAGEMENT]],8,FALSE)</f>
        <v>FEDERAL</v>
      </c>
      <c r="BA78" s="104" t="s">
        <v>2586</v>
      </c>
      <c r="BB78" s="20">
        <f>VLOOKUP(Data[[#This Row],[DEVELOPMENT]],Development_Data_Book[[DEVELOPMENT]:[PRIVATE MANAGEMENT]],22,FALSE)</f>
        <v>1</v>
      </c>
      <c r="BC78" s="20">
        <f>Data[[#This Row],[Non-Dwelling Buildings]]+Data[[#This Row],[Dwelling Buildings]]</f>
        <v>2</v>
      </c>
      <c r="BD78" s="20">
        <f>VLOOKUP(Data[[#This Row],[DEVELOPMENT]],Development_Data_Book[[DEVELOPMENT]:[PRIVATE MANAGEMENT]],26,FALSE)</f>
        <v>4.3</v>
      </c>
      <c r="BE78" s="106">
        <v>449110</v>
      </c>
      <c r="BF78" s="20">
        <f>VLOOKUP(Data[[#This Row],[DEVELOPMENT]],Development_Data_Book[[DEVELOPMENT]:[PRIVATE MANAGEMENT]],18,FALSE)</f>
        <v>1029</v>
      </c>
      <c r="BG7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78" s="104" t="s">
        <v>2621</v>
      </c>
      <c r="BI78" t="s">
        <v>184</v>
      </c>
      <c r="BJ78" s="20">
        <f>VLOOKUP(Data[[#This Row],[DEVELOPMENT]],Development_Data_Book[[DEVELOPMENT]:[PRIVATE MANAGEMENT]],41,FALSE)</f>
        <v>13</v>
      </c>
      <c r="BK78" s="20">
        <f>VLOOKUP(Data[[#This Row],[DEVELOPMENT]],Development_Data_Book[[DEVELOPMENT]:[PRIVATE MANAGEMENT]],42,FALSE)</f>
        <v>8</v>
      </c>
      <c r="BL78" s="20">
        <f>VLOOKUP(Data[[#This Row],[DEVELOPMENT]],Development_Data_Book[[DEVELOPMENT]:[PRIVATE MANAGEMENT]],43,FALSE)</f>
        <v>23</v>
      </c>
      <c r="BM78" s="20">
        <f>VLOOKUP(Data[[#This Row],[DEVELOPMENT]],Development_Data_Book[[DEVELOPMENT]:[PRIVATE MANAGEMENT]],44,FALSE)</f>
        <v>46</v>
      </c>
      <c r="BN78" s="20">
        <f>VLOOKUP(Data[[#This Row],[DEVELOPMENT]],Development_Data_Book[[DEVELOPMENT]:[PRIVATE MANAGEMENT]],45,FALSE)</f>
        <v>47</v>
      </c>
      <c r="BO78" s="20">
        <f>VLOOKUP(Data[[#This Row],[DEVELOPMENT]],Development_Data_Book[[DEVELOPMENT]:[PRIVATE MANAGEMENT]],24,FALSE)</f>
        <v>17</v>
      </c>
    </row>
    <row r="79" spans="1:67">
      <c r="A79" t="s">
        <v>313</v>
      </c>
      <c r="B79" s="20" t="str">
        <f>VLOOKUP(Data[[#This Row],[DEVELOPMENT]],Development_Data_Book[[DEVELOPMENT]:[BOROUGH]],MATCH("borough",Development_Data_Book[[#Headers],[DEVELOPMENT]:[BOROUGH]],0),FALSE)</f>
        <v>QUEENS</v>
      </c>
      <c r="C79" s="20" t="e">
        <f>VLOOKUP(Data[[#This Row],[DEVELOPMENT]],'[1]Cheat-Sheet'!$D$2:$Q$341,2,FALSE)</f>
        <v>#N/A</v>
      </c>
      <c r="D7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79" s="20">
        <f>VLOOKUP(Data[[#This Row],[DEVELOPMENT]],Development_Data_Book[[DEVELOPMENT]:[BOROUGH]],21,FALSE)</f>
        <v>1</v>
      </c>
      <c r="F79" s="20">
        <f>VLOOKUP(Data[[#This Row],[DEVELOPMENT]],Development_Data_Book[[DEVELOPMENT]:[BOROUGH]],23,FALSE)</f>
        <v>1</v>
      </c>
      <c r="G79" s="20">
        <f>VLOOKUP(Data[[#This Row],[DEVELOPMENT]],Development_Data_Book[[DEVELOPMENT]:[BOROUGH]],12,FALSE)</f>
        <v>214</v>
      </c>
      <c r="J79">
        <f>IFERROR(VLOOKUP(Data[[#This Row],[DEVELOPMENT]],IntCompactors_MRST[],4,FALSE),0)</f>
        <v>1</v>
      </c>
      <c r="K79" s="20">
        <f>IFERROR(VLOOKUP(Data[[#This Row],[DEVELOPMENT]],ExtCompactors_MRST[],4,FALSE),0)</f>
        <v>1</v>
      </c>
      <c r="L79" s="27">
        <f>IF(Data[[#This Row],['# Interior Compactors MRST]]=0,"",VLOOKUP(Data[[#This Row],[DEVELOPMENT]],IntCompactors_MRST[],5,FALSE))</f>
        <v>39263</v>
      </c>
      <c r="M79" s="28">
        <f>IF(Data[[#This Row],['# Exterior Compactors MRST]]=0,"",VLOOKUP(Data[[#This Row],[DEVELOPMENT]],ExtCompactors_MRST[],5,FALSE))</f>
        <v>38421</v>
      </c>
      <c r="N79" s="20">
        <f>Data[[#This Row],['# Interior Compactors MRST]]</f>
        <v>1</v>
      </c>
      <c r="O79" s="20">
        <f>IF(Data[[#This Row],['# Bulk Crushers]]=0,1,0)</f>
        <v>1</v>
      </c>
      <c r="P79" s="20">
        <f>1</f>
        <v>1</v>
      </c>
      <c r="Q79" s="20">
        <f>1</f>
        <v>1</v>
      </c>
      <c r="R79" s="20">
        <f>1</f>
        <v>1</v>
      </c>
      <c r="S79" s="20">
        <f>1</f>
        <v>1</v>
      </c>
      <c r="T79" s="20">
        <f>IF(Data[[#This Row],[Sewershed]]="Newtown Creek",Data[[#This Row],[DUs]],0)</f>
        <v>0</v>
      </c>
      <c r="U7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7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7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79" s="82">
        <f>VLOOKUP(Data[[#This Row],[DEVELOPMENT]],Development_Data_Book[[DEVELOPMENT]:[BOROUGH]],3,FALSE)</f>
        <v>232</v>
      </c>
      <c r="Y79" s="20"/>
      <c r="Z79" s="20">
        <f>IFERROR(VLOOKUP(Data[[#This Row],[TDS]],ExtCompactors_PNA[[Development]:[0]],2,FALSE),0)</f>
        <v>2</v>
      </c>
      <c r="AA79" s="20">
        <f>IFERROR(VLOOKUP(Data[[#This Row],[TDS]],IntCompactors_PNA[[TDS]:[0]],2,FALSE),0)</f>
        <v>1</v>
      </c>
      <c r="AB79" s="20"/>
      <c r="AC79" s="20"/>
      <c r="AD79" s="20">
        <f>IFERROR(VLOOKUP(Data[[#This Row],[TDS]],ExtCompactors_PNA[[Development]:[0]],3,FALSE)+VLOOKUP(Data[[#This Row],[TDS]],ExtCompactors_PNA[[Development]:[0]],6,FALSE),0)</f>
        <v>2</v>
      </c>
      <c r="AE79" s="20">
        <f>IFERROR(VLOOKUP(Data[[#This Row],[TDS]],IntCompactors_PNA[[TDS]:[0]],3,FALSE)+VLOOKUP(Data[[#This Row],[TDS]],IntCompactors_PNA[[TDS]:[0]],6,FALSE),0)</f>
        <v>1</v>
      </c>
      <c r="AF79" s="20" t="e">
        <f>VLOOKUP(Data[[#This Row],[DEVELOPMENT]],[3]Developments!$A$2:$A$312,1,FALSE)</f>
        <v>#N/A</v>
      </c>
      <c r="AG79" s="20">
        <f>IFERROR(VLOOKUP(Data[[#This Row],[DEVELOPMENT]],Ops_Priorities_and_Data_Clean[[development]:[ifnoext_comment]],3,FALSE),"")</f>
        <v>1</v>
      </c>
      <c r="AH79" s="20">
        <f>IFERROR(VLOOKUP(Data[[#This Row],[DEVELOPMENT]],Ops_Priorities_and_Data_Clean[[development]:[ifnoext_comment]],4,FALSE),"")</f>
        <v>0</v>
      </c>
      <c r="AI79" s="20">
        <f>IFERROR(VLOOKUP(Data[[#This Row],[DEVELOPMENT]],Ops_Priorities_and_Data_Clean[[development]:[ifnoext_comment]],5,FALSE),"")</f>
        <v>1</v>
      </c>
      <c r="AJ79" s="20">
        <f>IFERROR(VLOOKUP(Data[[#This Row],[DEVELOPMENT]],Ops_Priorities_and_Data_Clean[[development]:[ifnoext_comment]],6,FALSE),"")</f>
        <v>0</v>
      </c>
      <c r="AK79" s="20">
        <f>IFERROR(VLOOKUP(Data[[#This Row],[DEVELOPMENT]],Ops_Priorities_and_Data_Clean[[development]:[ifnoext_comment]],7,FALSE),"")</f>
        <v>0</v>
      </c>
      <c r="AL79" s="20">
        <f>IFERROR(VLOOKUP(Data[[#This Row],[DEVELOPMENT]],Ops_Priorities_and_Data_Clean[[development]:[ifnoext_comment]],8,FALSE),"")</f>
        <v>1</v>
      </c>
      <c r="AM79" s="20">
        <f>IFERROR(VLOOKUP(Data[[#This Row],[DEVELOPMENT]],Ops_Priorities_and_Data_Clean[[development]:[ifnoext_comment]],9,FALSE),"")</f>
        <v>0</v>
      </c>
      <c r="AN79" s="20">
        <f>IFERROR(VLOOKUP(Data[[#This Row],[DEVELOPMENT]],Ops_Priorities_and_Data_Clean[[development]:[ifnoext_comment]],10,FALSE),"")</f>
        <v>1</v>
      </c>
      <c r="AO79" s="20">
        <f>IFERROR(VLOOKUP(Data[[#This Row],[DEVELOPMENT]],Ops_Priorities_and_Data_Clean[[development]:[ifnoext_comment]],11,FALSE),"")</f>
        <v>1</v>
      </c>
      <c r="AP79" s="20">
        <f>IFERROR(VLOOKUP(Data[[#This Row],[DEVELOPMENT]],Ops_Priorities_and_Data_Clean[[development]:[ifnoext_comment]],12,FALSE),"")</f>
        <v>1</v>
      </c>
      <c r="AQ79" s="20">
        <f>VLOOKUP(Data[[#This Row],[DEVELOPMENT]],Ops_Priorities_and_Data_Clean[[development]:[ifnoext_comment]],14,FALSE)</f>
        <v>0</v>
      </c>
      <c r="AR79" s="20">
        <f>VLOOKUP(Data[[#This Row],[DEVELOPMENT]],Ops_Priorities_and_Data_Clean[[development]:[ifnoext_comment]],15,FALSE)</f>
        <v>0</v>
      </c>
      <c r="AS79" s="20" t="str">
        <f>VLOOKUP(Data[[#This Row],[DEVELOPMENT]],Ops_Priorities_and_Data_Clean[[development]:[ifnoext_comment]],16,FALSE)</f>
        <v>NULL</v>
      </c>
      <c r="AT79" s="20" t="str">
        <f>VLOOKUP(Data[[#This Row],[DEVELOPMENT]],Ops_Priorities_and_Data_Clean[[development]:[ifnoext_comment]],17,FALSE)</f>
        <v>NULL</v>
      </c>
      <c r="AU79" s="20" t="str">
        <f>VLOOKUP(Data[[#This Row],[DEVELOPMENT]],Ops_Priorities_and_Data_Clean[[development]:[ifnoext_comment]],18,FALSE)</f>
        <v>NULL</v>
      </c>
      <c r="AV79" s="20" t="str">
        <f>VLOOKUP(Data[[#This Row],[DEVELOPMENT]],Ops_Priorities_and_Data_Clean[[development]:[ifnoext_comment]],19,FALSE)</f>
        <v>NULL</v>
      </c>
      <c r="AW79" s="20" t="str">
        <f>VLOOKUP(Data[[#This Row],[DEVELOPMENT]],Ops_Priorities_and_Data_Clean[[development]:[ifnoext_comment]],20,FALSE)</f>
        <v>They already have an external compactor</v>
      </c>
      <c r="AX79" s="104" t="s">
        <v>2614</v>
      </c>
      <c r="AY79" s="104" t="s">
        <v>2636</v>
      </c>
      <c r="AZ79" s="20" t="str">
        <f>VLOOKUP(Data[[#This Row],[DEVELOPMENT]],Development_Data_Book[[DEVELOPMENT]:[PRIVATE MANAGEMENT]],8,FALSE)</f>
        <v>FEDERAL</v>
      </c>
      <c r="BA79" s="104" t="s">
        <v>2586</v>
      </c>
      <c r="BB79" s="20">
        <f>VLOOKUP(Data[[#This Row],[DEVELOPMENT]],Development_Data_Book[[DEVELOPMENT]:[PRIVATE MANAGEMENT]],22,FALSE)</f>
        <v>0</v>
      </c>
      <c r="BC79" s="20">
        <f>Data[[#This Row],[Non-Dwelling Buildings]]+Data[[#This Row],[Dwelling Buildings]]</f>
        <v>1</v>
      </c>
      <c r="BD79" s="20">
        <f>VLOOKUP(Data[[#This Row],[DEVELOPMENT]],Development_Data_Book[[DEVELOPMENT]:[PRIVATE MANAGEMENT]],26,FALSE)</f>
        <v>1.19</v>
      </c>
      <c r="BE79" s="106">
        <v>156200</v>
      </c>
      <c r="BF79" s="20">
        <f>VLOOKUP(Data[[#This Row],[DEVELOPMENT]],Development_Data_Book[[DEVELOPMENT]:[PRIVATE MANAGEMENT]],18,FALSE)</f>
        <v>240</v>
      </c>
      <c r="BG79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79" s="104" t="s">
        <v>2619</v>
      </c>
      <c r="BI79" t="s">
        <v>184</v>
      </c>
      <c r="BJ79" s="20">
        <f>VLOOKUP(Data[[#This Row],[DEVELOPMENT]],Development_Data_Book[[DEVELOPMENT]:[PRIVATE MANAGEMENT]],41,FALSE)</f>
        <v>12</v>
      </c>
      <c r="BK79" s="20">
        <f>VLOOKUP(Data[[#This Row],[DEVELOPMENT]],Development_Data_Book[[DEVELOPMENT]:[PRIVATE MANAGEMENT]],42,FALSE)</f>
        <v>5</v>
      </c>
      <c r="BL79" s="20">
        <f>VLOOKUP(Data[[#This Row],[DEVELOPMENT]],Development_Data_Book[[DEVELOPMENT]:[PRIVATE MANAGEMENT]],43,FALSE)</f>
        <v>14</v>
      </c>
      <c r="BM79" s="20">
        <f>VLOOKUP(Data[[#This Row],[DEVELOPMENT]],Development_Data_Book[[DEVELOPMENT]:[PRIVATE MANAGEMENT]],44,FALSE)</f>
        <v>29</v>
      </c>
      <c r="BN79" s="20">
        <f>VLOOKUP(Data[[#This Row],[DEVELOPMENT]],Development_Data_Book[[DEVELOPMENT]:[PRIVATE MANAGEMENT]],45,FALSE)</f>
        <v>27</v>
      </c>
      <c r="BO79" s="20">
        <f>VLOOKUP(Data[[#This Row],[DEVELOPMENT]],Development_Data_Book[[DEVELOPMENT]:[PRIVATE MANAGEMENT]],24,FALSE)</f>
        <v>13</v>
      </c>
    </row>
    <row r="80" spans="1:67">
      <c r="A80" t="s">
        <v>190</v>
      </c>
      <c r="B80" s="20" t="str">
        <f>VLOOKUP(Data[[#This Row],[DEVELOPMENT]],Development_Data_Book[[DEVELOPMENT]:[BOROUGH]],MATCH("borough",Development_Data_Book[[#Headers],[DEVELOPMENT]:[BOROUGH]],0),FALSE)</f>
        <v>BROOKLYN</v>
      </c>
      <c r="C80" s="20" t="e">
        <f>VLOOKUP(Data[[#This Row],[DEVELOPMENT]],'[1]Cheat-Sheet'!$D$2:$Q$341,2,FALSE)</f>
        <v>#N/A</v>
      </c>
      <c r="D8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80" s="20">
        <f>VLOOKUP(Data[[#This Row],[DEVELOPMENT]],Development_Data_Book[[DEVELOPMENT]:[BOROUGH]],21,FALSE)</f>
        <v>11</v>
      </c>
      <c r="F80" s="20">
        <f>VLOOKUP(Data[[#This Row],[DEVELOPMENT]],Development_Data_Book[[DEVELOPMENT]:[BOROUGH]],23,FALSE)</f>
        <v>13</v>
      </c>
      <c r="G80" s="20">
        <f>VLOOKUP(Data[[#This Row],[DEVELOPMENT]],Development_Data_Book[[DEVELOPMENT]:[BOROUGH]],12,FALSE)</f>
        <v>700</v>
      </c>
      <c r="J80">
        <f>IFERROR(VLOOKUP(Data[[#This Row],[DEVELOPMENT]],IntCompactors_MRST[],4,FALSE),0)</f>
        <v>13</v>
      </c>
      <c r="K80" s="20">
        <f>IFERROR(VLOOKUP(Data[[#This Row],[DEVELOPMENT]],ExtCompactors_MRST[],4,FALSE),0)</f>
        <v>2</v>
      </c>
      <c r="L80" s="27">
        <f>IF(Data[[#This Row],['# Interior Compactors MRST]]=0,"",VLOOKUP(Data[[#This Row],[DEVELOPMENT]],IntCompactors_MRST[],5,FALSE))</f>
        <v>36008</v>
      </c>
      <c r="M80" s="28">
        <f>IF(Data[[#This Row],['# Exterior Compactors MRST]]=0,"",VLOOKUP(Data[[#This Row],[DEVELOPMENT]],ExtCompactors_MRST[],5,FALSE))</f>
        <v>37597</v>
      </c>
      <c r="N80" s="20">
        <f>Data[[#This Row],['# Interior Compactors MRST]]</f>
        <v>13</v>
      </c>
      <c r="O80" s="20">
        <f>IF(Data[[#This Row],['# Bulk Crushers]]=0,1,0)</f>
        <v>1</v>
      </c>
      <c r="P80" s="20">
        <f>1</f>
        <v>1</v>
      </c>
      <c r="Q80" s="20">
        <f>1</f>
        <v>1</v>
      </c>
      <c r="R80" s="20">
        <f>1</f>
        <v>1</v>
      </c>
      <c r="S80" s="20">
        <f>1</f>
        <v>1</v>
      </c>
      <c r="T80" s="20">
        <f>IF(Data[[#This Row],[Sewershed]]="Newtown Creek",Data[[#This Row],[DUs]],0)</f>
        <v>700</v>
      </c>
      <c r="U8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8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8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80" s="82">
        <f>VLOOKUP(Data[[#This Row],[DEVELOPMENT]],Development_Data_Book[[DEVELOPMENT]:[BOROUGH]],3,FALSE)</f>
        <v>69</v>
      </c>
      <c r="Y80" s="20" t="s">
        <v>2599</v>
      </c>
      <c r="Z80" s="20">
        <f>IFERROR(VLOOKUP(Data[[#This Row],[TDS]],ExtCompactors_PNA[[Development]:[0]],2,FALSE),0)</f>
        <v>2</v>
      </c>
      <c r="AA80" s="20">
        <f>IFERROR(VLOOKUP(Data[[#This Row],[TDS]],IntCompactors_PNA[[TDS]:[0]],2,FALSE),0)</f>
        <v>13</v>
      </c>
      <c r="AB80" s="20"/>
      <c r="AC80" s="20"/>
      <c r="AD80" s="20">
        <f>IFERROR(VLOOKUP(Data[[#This Row],[TDS]],ExtCompactors_PNA[[Development]:[0]],3,FALSE)+VLOOKUP(Data[[#This Row],[TDS]],ExtCompactors_PNA[[Development]:[0]],6,FALSE),0)</f>
        <v>2</v>
      </c>
      <c r="AE80" s="20">
        <f>IFERROR(VLOOKUP(Data[[#This Row],[TDS]],IntCompactors_PNA[[TDS]:[0]],3,FALSE)+VLOOKUP(Data[[#This Row],[TDS]],IntCompactors_PNA[[TDS]:[0]],6,FALSE),0)</f>
        <v>13</v>
      </c>
      <c r="AF80" s="20" t="e">
        <f>VLOOKUP(Data[[#This Row],[DEVELOPMENT]],[3]Developments!$A$2:$A$312,1,FALSE)</f>
        <v>#N/A</v>
      </c>
      <c r="AG80" s="20">
        <f>IFERROR(VLOOKUP(Data[[#This Row],[DEVELOPMENT]],Ops_Priorities_and_Data_Clean[[development]:[ifnoext_comment]],3,FALSE),"")</f>
        <v>2</v>
      </c>
      <c r="AH80" s="20">
        <f>IFERROR(VLOOKUP(Data[[#This Row],[DEVELOPMENT]],Ops_Priorities_and_Data_Clean[[development]:[ifnoext_comment]],4,FALSE),"")</f>
        <v>0</v>
      </c>
      <c r="AI80" s="20">
        <f>IFERROR(VLOOKUP(Data[[#This Row],[DEVELOPMENT]],Ops_Priorities_and_Data_Clean[[development]:[ifnoext_comment]],5,FALSE),"")</f>
        <v>1</v>
      </c>
      <c r="AJ80" s="20">
        <f>IFERROR(VLOOKUP(Data[[#This Row],[DEVELOPMENT]],Ops_Priorities_and_Data_Clean[[development]:[ifnoext_comment]],6,FALSE),"")</f>
        <v>0</v>
      </c>
      <c r="AK80" s="20">
        <f>IFERROR(VLOOKUP(Data[[#This Row],[DEVELOPMENT]],Ops_Priorities_and_Data_Clean[[development]:[ifnoext_comment]],7,FALSE),"")</f>
        <v>0</v>
      </c>
      <c r="AL80" s="20">
        <f>IFERROR(VLOOKUP(Data[[#This Row],[DEVELOPMENT]],Ops_Priorities_and_Data_Clean[[development]:[ifnoext_comment]],8,FALSE),"")</f>
        <v>1</v>
      </c>
      <c r="AM80" s="20">
        <f>IFERROR(VLOOKUP(Data[[#This Row],[DEVELOPMENT]],Ops_Priorities_and_Data_Clean[[development]:[ifnoext_comment]],9,FALSE),"")</f>
        <v>0</v>
      </c>
      <c r="AN80" s="20">
        <f>IFERROR(VLOOKUP(Data[[#This Row],[DEVELOPMENT]],Ops_Priorities_and_Data_Clean[[development]:[ifnoext_comment]],10,FALSE),"")</f>
        <v>2</v>
      </c>
      <c r="AO80" s="20">
        <f>IFERROR(VLOOKUP(Data[[#This Row],[DEVELOPMENT]],Ops_Priorities_and_Data_Clean[[development]:[ifnoext_comment]],11,FALSE),"")</f>
        <v>2</v>
      </c>
      <c r="AP80" s="20">
        <f>IFERROR(VLOOKUP(Data[[#This Row],[DEVELOPMENT]],Ops_Priorities_and_Data_Clean[[development]:[ifnoext_comment]],12,FALSE),"")</f>
        <v>2</v>
      </c>
      <c r="AQ80" s="20">
        <f>VLOOKUP(Data[[#This Row],[DEVELOPMENT]],Ops_Priorities_and_Data_Clean[[development]:[ifnoext_comment]],14,FALSE)</f>
        <v>0</v>
      </c>
      <c r="AR80" s="20">
        <f>VLOOKUP(Data[[#This Row],[DEVELOPMENT]],Ops_Priorities_and_Data_Clean[[development]:[ifnoext_comment]],15,FALSE)</f>
        <v>0</v>
      </c>
      <c r="AS80" s="20" t="str">
        <f>VLOOKUP(Data[[#This Row],[DEVELOPMENT]],Ops_Priorities_and_Data_Clean[[development]:[ifnoext_comment]],16,FALSE)</f>
        <v>NULL</v>
      </c>
      <c r="AT80" s="20" t="str">
        <f>VLOOKUP(Data[[#This Row],[DEVELOPMENT]],Ops_Priorities_and_Data_Clean[[development]:[ifnoext_comment]],17,FALSE)</f>
        <v>NULL</v>
      </c>
      <c r="AU80" s="20" t="str">
        <f>VLOOKUP(Data[[#This Row],[DEVELOPMENT]],Ops_Priorities_and_Data_Clean[[development]:[ifnoext_comment]],18,FALSE)</f>
        <v>NULL</v>
      </c>
      <c r="AV80" s="20" t="str">
        <f>VLOOKUP(Data[[#This Row],[DEVELOPMENT]],Ops_Priorities_and_Data_Clean[[development]:[ifnoext_comment]],19,FALSE)</f>
        <v>NULL</v>
      </c>
      <c r="AW80" s="20" t="str">
        <f>VLOOKUP(Data[[#This Row],[DEVELOPMENT]],Ops_Priorities_and_Data_Clean[[development]:[ifnoext_comment]],20,FALSE)</f>
        <v>NULL</v>
      </c>
      <c r="AX80" s="104" t="s">
        <v>2238</v>
      </c>
      <c r="AY80" s="104" t="s">
        <v>385</v>
      </c>
      <c r="AZ80" s="20" t="str">
        <f>VLOOKUP(Data[[#This Row],[DEVELOPMENT]],Development_Data_Book[[DEVELOPMENT]:[PRIVATE MANAGEMENT]],8,FALSE)</f>
        <v>FEDERAL</v>
      </c>
      <c r="BA80" s="104" t="s">
        <v>2586</v>
      </c>
      <c r="BB80" s="20">
        <f>VLOOKUP(Data[[#This Row],[DEVELOPMENT]],Development_Data_Book[[DEVELOPMENT]:[PRIVATE MANAGEMENT]],22,FALSE)</f>
        <v>0</v>
      </c>
      <c r="BC80" s="20">
        <f>Data[[#This Row],[Non-Dwelling Buildings]]+Data[[#This Row],[Dwelling Buildings]]</f>
        <v>11</v>
      </c>
      <c r="BD80" s="20">
        <f>VLOOKUP(Data[[#This Row],[DEVELOPMENT]],Development_Data_Book[[DEVELOPMENT]:[PRIVATE MANAGEMENT]],26,FALSE)</f>
        <v>12.14</v>
      </c>
      <c r="BE80" s="106">
        <v>635100</v>
      </c>
      <c r="BF80" s="20">
        <f>VLOOKUP(Data[[#This Row],[DEVELOPMENT]],Development_Data_Book[[DEVELOPMENT]:[PRIVATE MANAGEMENT]],18,FALSE)</f>
        <v>1554</v>
      </c>
      <c r="BG8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80" s="104" t="s">
        <v>2601</v>
      </c>
      <c r="BI80" t="s">
        <v>184</v>
      </c>
      <c r="BJ80" s="20">
        <f>VLOOKUP(Data[[#This Row],[DEVELOPMENT]],Development_Data_Book[[DEVELOPMENT]:[PRIVATE MANAGEMENT]],41,FALSE)</f>
        <v>1</v>
      </c>
      <c r="BK80" s="20">
        <f>VLOOKUP(Data[[#This Row],[DEVELOPMENT]],Development_Data_Book[[DEVELOPMENT]:[PRIVATE MANAGEMENT]],42,FALSE)</f>
        <v>12</v>
      </c>
      <c r="BL80" s="20">
        <f>VLOOKUP(Data[[#This Row],[DEVELOPMENT]],Development_Data_Book[[DEVELOPMENT]:[PRIVATE MANAGEMENT]],43,FALSE)</f>
        <v>18</v>
      </c>
      <c r="BM80" s="20">
        <f>VLOOKUP(Data[[#This Row],[DEVELOPMENT]],Development_Data_Book[[DEVELOPMENT]:[PRIVATE MANAGEMENT]],44,FALSE)</f>
        <v>50</v>
      </c>
      <c r="BN80" s="20">
        <f>VLOOKUP(Data[[#This Row],[DEVELOPMENT]],Development_Data_Book[[DEVELOPMENT]:[PRIVATE MANAGEMENT]],45,FALSE)</f>
        <v>34</v>
      </c>
      <c r="BO80" s="20">
        <f>VLOOKUP(Data[[#This Row],[DEVELOPMENT]],Development_Data_Book[[DEVELOPMENT]:[PRIVATE MANAGEMENT]],24,FALSE)</f>
        <v>7</v>
      </c>
    </row>
    <row r="81" spans="1:67">
      <c r="A81" t="s">
        <v>74</v>
      </c>
      <c r="B81" t="str">
        <f>VLOOKUP(Data[[#This Row],[DEVELOPMENT]],Development_Data_Book[[DEVELOPMENT]:[BOROUGH]],MATCH("borough",Development_Data_Book[[#Headers],[DEVELOPMENT]:[BOROUGH]],0),FALSE)</f>
        <v>MANHATTAN</v>
      </c>
      <c r="C81" t="e">
        <f>VLOOKUP(Data[[#This Row],[DEVELOPMENT]],'[1]Cheat-Sheet'!$D$2:$Q$341,2,FALSE)</f>
        <v>#N/A</v>
      </c>
      <c r="D8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81">
        <f>VLOOKUP(Data[[#This Row],[DEVELOPMENT]],Development_Data_Book[[DEVELOPMENT]:[BOROUGH]],21,FALSE)</f>
        <v>1</v>
      </c>
      <c r="F81">
        <f>VLOOKUP(Data[[#This Row],[DEVELOPMENT]],Development_Data_Book[[DEVELOPMENT]:[BOROUGH]],23,FALSE)</f>
        <v>1</v>
      </c>
      <c r="G81">
        <f>VLOOKUP(Data[[#This Row],[DEVELOPMENT]],Development_Data_Book[[DEVELOPMENT]:[BOROUGH]],12,FALSE)</f>
        <v>171</v>
      </c>
      <c r="H81" t="s">
        <v>2247</v>
      </c>
      <c r="I81">
        <v>4</v>
      </c>
      <c r="J81">
        <f>IFERROR(VLOOKUP(Data[[#This Row],[DEVELOPMENT]],IntCompactors_MRST[],4,FALSE),0)</f>
        <v>1</v>
      </c>
      <c r="K81" s="20">
        <f>IFERROR(VLOOKUP(Data[[#This Row],[DEVELOPMENT]],ExtCompactors_MRST[],4,FALSE),0)</f>
        <v>0</v>
      </c>
      <c r="L81" s="27">
        <f>IF(Data[[#This Row],['# Interior Compactors MRST]]=0,"",VLOOKUP(Data[[#This Row],[DEVELOPMENT]],IntCompactors_MRST[],5,FALSE))</f>
        <v>34912</v>
      </c>
      <c r="M81" s="28" t="str">
        <f>IF(Data[[#This Row],['# Exterior Compactors MRST]]=0,"",VLOOKUP(Data[[#This Row],[DEVELOPMENT]],ExtCompactors_MRST[],5,FALSE))</f>
        <v/>
      </c>
      <c r="N81">
        <f>Data[[#This Row],['# Interior Compactors MRST]]</f>
        <v>1</v>
      </c>
      <c r="O81" s="20">
        <f>IF(Data[[#This Row],['# Bulk Crushers]]=0,1,0)</f>
        <v>1</v>
      </c>
      <c r="P81" s="20">
        <f>1</f>
        <v>1</v>
      </c>
      <c r="Q81" s="20">
        <f>1</f>
        <v>1</v>
      </c>
      <c r="R81" s="20">
        <f>1</f>
        <v>1</v>
      </c>
      <c r="S81" s="20">
        <f>1</f>
        <v>1</v>
      </c>
      <c r="T81" s="20">
        <f>IF(Data[[#This Row],[Sewershed]]="Newtown Creek",Data[[#This Row],[DUs]],0)</f>
        <v>0</v>
      </c>
      <c r="U8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8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8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81" s="82">
        <f>VLOOKUP(Data[[#This Row],[DEVELOPMENT]],Development_Data_Book[[DEVELOPMENT]:[BOROUGH]],3,FALSE)</f>
        <v>199</v>
      </c>
      <c r="Y81" s="20"/>
      <c r="Z81" s="20">
        <f>IFERROR(VLOOKUP(Data[[#This Row],[TDS]],ExtCompactors_PNA[[Development]:[0]],2,FALSE),0)</f>
        <v>0</v>
      </c>
      <c r="AA81" s="20">
        <f>IFERROR(VLOOKUP(Data[[#This Row],[TDS]],IntCompactors_PNA[[TDS]:[0]],2,FALSE),0)</f>
        <v>1</v>
      </c>
      <c r="AB81" s="20"/>
      <c r="AC81" s="20"/>
      <c r="AD81" s="20">
        <f>IFERROR(VLOOKUP(Data[[#This Row],[TDS]],ExtCompactors_PNA[[Development]:[0]],3,FALSE)+VLOOKUP(Data[[#This Row],[TDS]],ExtCompactors_PNA[[Development]:[0]],6,FALSE),0)</f>
        <v>0</v>
      </c>
      <c r="AE81" s="20">
        <f>IFERROR(VLOOKUP(Data[[#This Row],[TDS]],IntCompactors_PNA[[TDS]:[0]],3,FALSE)+VLOOKUP(Data[[#This Row],[TDS]],IntCompactors_PNA[[TDS]:[0]],6,FALSE),0)</f>
        <v>1</v>
      </c>
      <c r="AF81" s="20" t="e">
        <f>VLOOKUP(Data[[#This Row],[DEVELOPMENT]],[3]Developments!$A$2:$A$312,1,FALSE)</f>
        <v>#N/A</v>
      </c>
      <c r="AG81" s="20">
        <f>IFERROR(VLOOKUP(Data[[#This Row],[DEVELOPMENT]],Ops_Priorities_and_Data_Clean[[development]:[ifnoext_comment]],3,FALSE),"")</f>
        <v>0</v>
      </c>
      <c r="AH81" s="20">
        <f>IFERROR(VLOOKUP(Data[[#This Row],[DEVELOPMENT]],Ops_Priorities_and_Data_Clean[[development]:[ifnoext_comment]],4,FALSE),"")</f>
        <v>0</v>
      </c>
      <c r="AI81" s="20">
        <f>IFERROR(VLOOKUP(Data[[#This Row],[DEVELOPMENT]],Ops_Priorities_and_Data_Clean[[development]:[ifnoext_comment]],5,FALSE),"")</f>
        <v>0</v>
      </c>
      <c r="AJ81" s="20">
        <f>IFERROR(VLOOKUP(Data[[#This Row],[DEVELOPMENT]],Ops_Priorities_and_Data_Clean[[development]:[ifnoext_comment]],6,FALSE),"")</f>
        <v>1</v>
      </c>
      <c r="AK81" s="20">
        <f>IFERROR(VLOOKUP(Data[[#This Row],[DEVELOPMENT]],Ops_Priorities_and_Data_Clean[[development]:[ifnoext_comment]],7,FALSE),"")</f>
        <v>0</v>
      </c>
      <c r="AL81" s="20">
        <f>IFERROR(VLOOKUP(Data[[#This Row],[DEVELOPMENT]],Ops_Priorities_and_Data_Clean[[development]:[ifnoext_comment]],8,FALSE),"")</f>
        <v>1</v>
      </c>
      <c r="AM81" s="20">
        <f>IFERROR(VLOOKUP(Data[[#This Row],[DEVELOPMENT]],Ops_Priorities_and_Data_Clean[[development]:[ifnoext_comment]],9,FALSE),"")</f>
        <v>0</v>
      </c>
      <c r="AN81" s="20">
        <f>IFERROR(VLOOKUP(Data[[#This Row],[DEVELOPMENT]],Ops_Priorities_and_Data_Clean[[development]:[ifnoext_comment]],10,FALSE),"")</f>
        <v>0</v>
      </c>
      <c r="AO81" s="20">
        <f>IFERROR(VLOOKUP(Data[[#This Row],[DEVELOPMENT]],Ops_Priorities_and_Data_Clean[[development]:[ifnoext_comment]],11,FALSE),"")</f>
        <v>0</v>
      </c>
      <c r="AP81" s="20">
        <f>IFERROR(VLOOKUP(Data[[#This Row],[DEVELOPMENT]],Ops_Priorities_and_Data_Clean[[development]:[ifnoext_comment]],12,FALSE),"")</f>
        <v>0</v>
      </c>
      <c r="AQ81" s="20">
        <f>VLOOKUP(Data[[#This Row],[DEVELOPMENT]],Ops_Priorities_and_Data_Clean[[development]:[ifnoext_comment]],14,FALSE)</f>
        <v>0</v>
      </c>
      <c r="AR81" s="20">
        <f>VLOOKUP(Data[[#This Row],[DEVELOPMENT]],Ops_Priorities_and_Data_Clean[[development]:[ifnoext_comment]],15,FALSE)</f>
        <v>1</v>
      </c>
      <c r="AS81" s="20" t="str">
        <f>VLOOKUP(Data[[#This Row],[DEVELOPMENT]],Ops_Priorities_and_Data_Clean[[development]:[ifnoext_comment]],16,FALSE)</f>
        <v>Jefferson</v>
      </c>
      <c r="AT81" s="20" t="str">
        <f>VLOOKUP(Data[[#This Row],[DEVELOPMENT]],Ops_Priorities_and_Data_Clean[[development]:[ifnoext_comment]],17,FALSE)</f>
        <v>NULL</v>
      </c>
      <c r="AU81" s="20" t="str">
        <f>VLOOKUP(Data[[#This Row],[DEVELOPMENT]],Ops_Priorities_and_Data_Clean[[development]:[ifnoext_comment]],18,FALSE)</f>
        <v>NULL</v>
      </c>
      <c r="AV81" s="20" t="str">
        <f>VLOOKUP(Data[[#This Row],[DEVELOPMENT]],Ops_Priorities_and_Data_Clean[[development]:[ifnoext_comment]],19,FALSE)</f>
        <v>NULL</v>
      </c>
      <c r="AW81" s="20" t="str">
        <f>VLOOKUP(Data[[#This Row],[DEVELOPMENT]],Ops_Priorities_and_Data_Clean[[development]:[ifnoext_comment]],20,FALSE)</f>
        <v>NULL</v>
      </c>
      <c r="AX81" s="104" t="s">
        <v>2602</v>
      </c>
      <c r="AY81" s="104" t="s">
        <v>2603</v>
      </c>
      <c r="AZ81" s="20" t="str">
        <f>VLOOKUP(Data[[#This Row],[DEVELOPMENT]],Development_Data_Book[[DEVELOPMENT]:[PRIVATE MANAGEMENT]],8,FALSE)</f>
        <v>FEDERAL</v>
      </c>
      <c r="BA81" s="104" t="s">
        <v>2586</v>
      </c>
      <c r="BB81" s="20">
        <f>VLOOKUP(Data[[#This Row],[DEVELOPMENT]],Development_Data_Book[[DEVELOPMENT]:[PRIVATE MANAGEMENT]],22,FALSE)</f>
        <v>0</v>
      </c>
      <c r="BC81" s="20">
        <f>Data[[#This Row],[Non-Dwelling Buildings]]+Data[[#This Row],[Dwelling Buildings]]</f>
        <v>1</v>
      </c>
      <c r="BD81" s="20">
        <f>VLOOKUP(Data[[#This Row],[DEVELOPMENT]],Development_Data_Book[[DEVELOPMENT]:[PRIVATE MANAGEMENT]],26,FALSE)</f>
        <v>0.73</v>
      </c>
      <c r="BE81" s="106">
        <v>112100</v>
      </c>
      <c r="BF81" s="20">
        <f>VLOOKUP(Data[[#This Row],[DEVELOPMENT]],Development_Data_Book[[DEVELOPMENT]:[PRIVATE MANAGEMENT]],18,FALSE)</f>
        <v>186</v>
      </c>
      <c r="BG81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81" s="104" t="s">
        <v>2604</v>
      </c>
      <c r="BI81" t="s">
        <v>184</v>
      </c>
      <c r="BJ81" s="20">
        <f>VLOOKUP(Data[[#This Row],[DEVELOPMENT]],Development_Data_Book[[DEVELOPMENT]:[PRIVATE MANAGEMENT]],41,FALSE)</f>
        <v>11</v>
      </c>
      <c r="BK81" s="20">
        <f>VLOOKUP(Data[[#This Row],[DEVELOPMENT]],Development_Data_Book[[DEVELOPMENT]:[PRIVATE MANAGEMENT]],42,FALSE)</f>
        <v>13</v>
      </c>
      <c r="BL81" s="20">
        <f>VLOOKUP(Data[[#This Row],[DEVELOPMENT]],Development_Data_Book[[DEVELOPMENT]:[PRIVATE MANAGEMENT]],43,FALSE)</f>
        <v>29</v>
      </c>
      <c r="BM81" s="20">
        <f>VLOOKUP(Data[[#This Row],[DEVELOPMENT]],Development_Data_Book[[DEVELOPMENT]:[PRIVATE MANAGEMENT]],44,FALSE)</f>
        <v>68</v>
      </c>
      <c r="BN81" s="20">
        <f>VLOOKUP(Data[[#This Row],[DEVELOPMENT]],Development_Data_Book[[DEVELOPMENT]:[PRIVATE MANAGEMENT]],45,FALSE)</f>
        <v>8</v>
      </c>
      <c r="BO81" s="20">
        <f>VLOOKUP(Data[[#This Row],[DEVELOPMENT]],Development_Data_Book[[DEVELOPMENT]:[PRIVATE MANAGEMENT]],24,FALSE)</f>
        <v>16</v>
      </c>
    </row>
    <row r="82" spans="1:67">
      <c r="A82" t="s">
        <v>314</v>
      </c>
      <c r="B82" s="20" t="str">
        <f>VLOOKUP(Data[[#This Row],[DEVELOPMENT]],Development_Data_Book[[DEVELOPMENT]:[BOROUGH]],MATCH("borough",Development_Data_Book[[#Headers],[DEVELOPMENT]:[BOROUGH]],0),FALSE)</f>
        <v>BROOKLYN</v>
      </c>
      <c r="C82" s="20" t="e">
        <f>VLOOKUP(Data[[#This Row],[DEVELOPMENT]],'[1]Cheat-Sheet'!$D$2:$Q$341,2,FALSE)</f>
        <v>#N/A</v>
      </c>
      <c r="D8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82" s="20">
        <f>VLOOKUP(Data[[#This Row],[DEVELOPMENT]],Development_Data_Book[[DEVELOPMENT]:[BOROUGH]],21,FALSE)</f>
        <v>8</v>
      </c>
      <c r="F82" s="20">
        <f>VLOOKUP(Data[[#This Row],[DEVELOPMENT]],Development_Data_Book[[DEVELOPMENT]:[BOROUGH]],23,FALSE)</f>
        <v>8</v>
      </c>
      <c r="G82" s="20">
        <f>VLOOKUP(Data[[#This Row],[DEVELOPMENT]],Development_Data_Book[[DEVELOPMENT]:[BOROUGH]],12,FALSE)</f>
        <v>121</v>
      </c>
      <c r="H82" t="s">
        <v>2611</v>
      </c>
      <c r="J82">
        <f>IFERROR(VLOOKUP(Data[[#This Row],[DEVELOPMENT]],IntCompactors_MRST[],4,FALSE),0)</f>
        <v>8</v>
      </c>
      <c r="K82" s="20">
        <f>IFERROR(VLOOKUP(Data[[#This Row],[DEVELOPMENT]],ExtCompactors_MRST[],4,FALSE),0)</f>
        <v>0</v>
      </c>
      <c r="L82" s="27">
        <f>IF(Data[[#This Row],['# Interior Compactors MRST]]=0,"",VLOOKUP(Data[[#This Row],[DEVELOPMENT]],IntCompactors_MRST[],5,FALSE))</f>
        <v>31413</v>
      </c>
      <c r="M82" s="28" t="str">
        <f>IF(Data[[#This Row],['# Exterior Compactors MRST]]=0,"",VLOOKUP(Data[[#This Row],[DEVELOPMENT]],ExtCompactors_MRST[],5,FALSE))</f>
        <v/>
      </c>
      <c r="N82" s="20">
        <f>Data[[#This Row],['# Interior Compactors MRST]]</f>
        <v>8</v>
      </c>
      <c r="O82" s="20">
        <f>IF(Data[[#This Row],['# Bulk Crushers]]=0,1,0)</f>
        <v>1</v>
      </c>
      <c r="P82" s="20">
        <f>1</f>
        <v>1</v>
      </c>
      <c r="Q82" s="20">
        <f>1</f>
        <v>1</v>
      </c>
      <c r="R82" s="20">
        <f>1</f>
        <v>1</v>
      </c>
      <c r="S82" s="20">
        <f>1</f>
        <v>1</v>
      </c>
      <c r="T82" s="20">
        <f>IF(Data[[#This Row],[Sewershed]]="Newtown Creek",Data[[#This Row],[DUs]],0)</f>
        <v>121</v>
      </c>
      <c r="U8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8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8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82" s="82">
        <f>VLOOKUP(Data[[#This Row],[DEVELOPMENT]],Development_Data_Book[[DEVELOPMENT]:[BOROUGH]],3,FALSE)</f>
        <v>312</v>
      </c>
      <c r="Y82" s="20" t="s">
        <v>2599</v>
      </c>
      <c r="Z82" s="20">
        <f>IFERROR(VLOOKUP(Data[[#This Row],[TDS]],ExtCompactors_PNA[[Development]:[0]],2,FALSE),0)</f>
        <v>0</v>
      </c>
      <c r="AA82" s="20">
        <f>IFERROR(VLOOKUP(Data[[#This Row],[TDS]],IntCompactors_PNA[[TDS]:[0]],2,FALSE),0)</f>
        <v>8</v>
      </c>
      <c r="AB82" s="20"/>
      <c r="AC82" s="20"/>
      <c r="AD82" s="20">
        <f>IFERROR(VLOOKUP(Data[[#This Row],[TDS]],ExtCompactors_PNA[[Development]:[0]],3,FALSE)+VLOOKUP(Data[[#This Row],[TDS]],ExtCompactors_PNA[[Development]:[0]],6,FALSE),0)</f>
        <v>0</v>
      </c>
      <c r="AE82" s="20">
        <f>IFERROR(VLOOKUP(Data[[#This Row],[TDS]],IntCompactors_PNA[[TDS]:[0]],3,FALSE)+VLOOKUP(Data[[#This Row],[TDS]],IntCompactors_PNA[[TDS]:[0]],6,FALSE),0)</f>
        <v>8</v>
      </c>
      <c r="AF82" s="20" t="e">
        <f>VLOOKUP(Data[[#This Row],[DEVELOPMENT]],[3]Developments!$A$2:$A$312,1,FALSE)</f>
        <v>#N/A</v>
      </c>
      <c r="AG82" s="20">
        <f>IFERROR(VLOOKUP(Data[[#This Row],[DEVELOPMENT]],Ops_Priorities_and_Data_Clean[[development]:[ifnoext_comment]],3,FALSE),"")</f>
        <v>0</v>
      </c>
      <c r="AH82" s="20">
        <f>IFERROR(VLOOKUP(Data[[#This Row],[DEVELOPMENT]],Ops_Priorities_and_Data_Clean[[development]:[ifnoext_comment]],4,FALSE),"")</f>
        <v>0</v>
      </c>
      <c r="AI82" s="20">
        <f>IFERROR(VLOOKUP(Data[[#This Row],[DEVELOPMENT]],Ops_Priorities_and_Data_Clean[[development]:[ifnoext_comment]],5,FALSE),"")</f>
        <v>0</v>
      </c>
      <c r="AJ82" s="20">
        <f>IFERROR(VLOOKUP(Data[[#This Row],[DEVELOPMENT]],Ops_Priorities_and_Data_Clean[[development]:[ifnoext_comment]],6,FALSE),"")</f>
        <v>0</v>
      </c>
      <c r="AK82" s="20">
        <f>IFERROR(VLOOKUP(Data[[#This Row],[DEVELOPMENT]],Ops_Priorities_and_Data_Clean[[development]:[ifnoext_comment]],7,FALSE),"")</f>
        <v>1</v>
      </c>
      <c r="AL82" s="20">
        <f>IFERROR(VLOOKUP(Data[[#This Row],[DEVELOPMENT]],Ops_Priorities_and_Data_Clean[[development]:[ifnoext_comment]],8,FALSE),"")</f>
        <v>1</v>
      </c>
      <c r="AM82" s="20">
        <f>IFERROR(VLOOKUP(Data[[#This Row],[DEVELOPMENT]],Ops_Priorities_and_Data_Clean[[development]:[ifnoext_comment]],9,FALSE),"")</f>
        <v>0</v>
      </c>
      <c r="AN82" s="20">
        <f>IFERROR(VLOOKUP(Data[[#This Row],[DEVELOPMENT]],Ops_Priorities_and_Data_Clean[[development]:[ifnoext_comment]],10,FALSE),"")</f>
        <v>0</v>
      </c>
      <c r="AO82" s="20">
        <f>IFERROR(VLOOKUP(Data[[#This Row],[DEVELOPMENT]],Ops_Priorities_and_Data_Clean[[development]:[ifnoext_comment]],11,FALSE),"")</f>
        <v>0</v>
      </c>
      <c r="AP82" s="20">
        <f>IFERROR(VLOOKUP(Data[[#This Row],[DEVELOPMENT]],Ops_Priorities_and_Data_Clean[[development]:[ifnoext_comment]],12,FALSE),"")</f>
        <v>0</v>
      </c>
      <c r="AQ82" s="20">
        <f>VLOOKUP(Data[[#This Row],[DEVELOPMENT]],Ops_Priorities_and_Data_Clean[[development]:[ifnoext_comment]],14,FALSE)</f>
        <v>1</v>
      </c>
      <c r="AR82" s="20">
        <f>VLOOKUP(Data[[#This Row],[DEVELOPMENT]],Ops_Priorities_and_Data_Clean[[development]:[ifnoext_comment]],15,FALSE)</f>
        <v>0</v>
      </c>
      <c r="AS82" s="20" t="str">
        <f>VLOOKUP(Data[[#This Row],[DEVELOPMENT]],Ops_Priorities_and_Data_Clean[[development]:[ifnoext_comment]],16,FALSE)</f>
        <v>NULL</v>
      </c>
      <c r="AT82" s="20" t="str">
        <f>VLOOKUP(Data[[#This Row],[DEVELOPMENT]],Ops_Priorities_and_Data_Clean[[development]:[ifnoext_comment]],17,FALSE)</f>
        <v>NULL</v>
      </c>
      <c r="AU82" s="20" t="str">
        <f>VLOOKUP(Data[[#This Row],[DEVELOPMENT]],Ops_Priorities_and_Data_Clean[[development]:[ifnoext_comment]],18,FALSE)</f>
        <v>NULL</v>
      </c>
      <c r="AV82" s="20" t="str">
        <f>VLOOKUP(Data[[#This Row],[DEVELOPMENT]],Ops_Priorities_and_Data_Clean[[development]:[ifnoext_comment]],19,FALSE)</f>
        <v>NULL</v>
      </c>
      <c r="AW82" s="20" t="str">
        <f>VLOOKUP(Data[[#This Row],[DEVELOPMENT]],Ops_Priorities_and_Data_Clean[[development]:[ifnoext_comment]],20,FALSE)</f>
        <v>NULL</v>
      </c>
      <c r="AX82" s="104" t="s">
        <v>2238</v>
      </c>
      <c r="AY82" s="104" t="s">
        <v>314</v>
      </c>
      <c r="AZ82" s="20" t="str">
        <f>VLOOKUP(Data[[#This Row],[DEVELOPMENT]],Development_Data_Book[[DEVELOPMENT]:[PRIVATE MANAGEMENT]],8,FALSE)</f>
        <v>FEDERAL</v>
      </c>
      <c r="BA82" s="104" t="s">
        <v>2588</v>
      </c>
      <c r="BB82" s="20">
        <f>VLOOKUP(Data[[#This Row],[DEVELOPMENT]],Development_Data_Book[[DEVELOPMENT]:[PRIVATE MANAGEMENT]],22,FALSE)</f>
        <v>0</v>
      </c>
      <c r="BC82" s="20">
        <f>Data[[#This Row],[Non-Dwelling Buildings]]+Data[[#This Row],[Dwelling Buildings]]</f>
        <v>8</v>
      </c>
      <c r="BD82" s="20">
        <f>VLOOKUP(Data[[#This Row],[DEVELOPMENT]],Development_Data_Book[[DEVELOPMENT]:[PRIVATE MANAGEMENT]],26,FALSE)</f>
        <v>1.18</v>
      </c>
      <c r="BE82" s="106">
        <v>140750</v>
      </c>
      <c r="BF82" s="20">
        <f>VLOOKUP(Data[[#This Row],[DEVELOPMENT]],Development_Data_Book[[DEVELOPMENT]:[PRIVATE MANAGEMENT]],18,FALSE)</f>
        <v>241</v>
      </c>
      <c r="BG8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82" s="104" t="s">
        <v>2608</v>
      </c>
      <c r="BI82" t="s">
        <v>184</v>
      </c>
      <c r="BJ82" s="20">
        <f>VLOOKUP(Data[[#This Row],[DEVELOPMENT]],Development_Data_Book[[DEVELOPMENT]:[PRIVATE MANAGEMENT]],41,FALSE)</f>
        <v>8</v>
      </c>
      <c r="BK82" s="20" t="str">
        <f>VLOOKUP(Data[[#This Row],[DEVELOPMENT]],Development_Data_Book[[DEVELOPMENT]:[PRIVATE MANAGEMENT]],42,FALSE)</f>
        <v>8, 9</v>
      </c>
      <c r="BL82" s="20" t="str">
        <f>VLOOKUP(Data[[#This Row],[DEVELOPMENT]],Development_Data_Book[[DEVELOPMENT]:[PRIVATE MANAGEMENT]],43,FALSE)</f>
        <v>20, 25</v>
      </c>
      <c r="BM82" s="20" t="str">
        <f>VLOOKUP(Data[[#This Row],[DEVELOPMENT]],Development_Data_Book[[DEVELOPMENT]:[PRIVATE MANAGEMENT]],44,FALSE)</f>
        <v>55, 56</v>
      </c>
      <c r="BN82" s="20">
        <f>VLOOKUP(Data[[#This Row],[DEVELOPMENT]],Development_Data_Book[[DEVELOPMENT]:[PRIVATE MANAGEMENT]],45,FALSE)</f>
        <v>41</v>
      </c>
      <c r="BO82" s="20">
        <f>VLOOKUP(Data[[#This Row],[DEVELOPMENT]],Development_Data_Book[[DEVELOPMENT]:[PRIVATE MANAGEMENT]],24,FALSE)</f>
        <v>4</v>
      </c>
    </row>
    <row r="83" spans="1:67">
      <c r="A83" t="s">
        <v>315</v>
      </c>
      <c r="B83" s="20" t="str">
        <f>VLOOKUP(Data[[#This Row],[DEVELOPMENT]],Development_Data_Book[[DEVELOPMENT]:[BOROUGH]],MATCH("borough",Development_Data_Book[[#Headers],[DEVELOPMENT]:[BOROUGH]],0),FALSE)</f>
        <v>BROOKLYN</v>
      </c>
      <c r="C83" s="20" t="e">
        <f>VLOOKUP(Data[[#This Row],[DEVELOPMENT]],'[1]Cheat-Sheet'!$D$2:$Q$341,2,FALSE)</f>
        <v>#N/A</v>
      </c>
      <c r="D8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83" s="20">
        <f>VLOOKUP(Data[[#This Row],[DEVELOPMENT]],Development_Data_Book[[DEVELOPMENT]:[BOROUGH]],21,FALSE)</f>
        <v>15</v>
      </c>
      <c r="F83" s="20">
        <f>VLOOKUP(Data[[#This Row],[DEVELOPMENT]],Development_Data_Book[[DEVELOPMENT]:[BOROUGH]],23,FALSE)</f>
        <v>30</v>
      </c>
      <c r="G83" s="20">
        <f>VLOOKUP(Data[[#This Row],[DEVELOPMENT]],Development_Data_Book[[DEVELOPMENT]:[BOROUGH]],12,FALSE)</f>
        <v>1439</v>
      </c>
      <c r="J83">
        <f>IFERROR(VLOOKUP(Data[[#This Row],[DEVELOPMENT]],IntCompactors_MRST[],4,FALSE),0)</f>
        <v>30</v>
      </c>
      <c r="K83" s="20">
        <f>IFERROR(VLOOKUP(Data[[#This Row],[DEVELOPMENT]],ExtCompactors_MRST[],4,FALSE),0)</f>
        <v>3</v>
      </c>
      <c r="L83" s="27">
        <f>IF(Data[[#This Row],['# Interior Compactors MRST]]=0,"",VLOOKUP(Data[[#This Row],[DEVELOPMENT]],IntCompactors_MRST[],5,FALSE))</f>
        <v>35034</v>
      </c>
      <c r="M83" s="28">
        <f>IF(Data[[#This Row],['# Exterior Compactors MRST]]=0,"",VLOOKUP(Data[[#This Row],[DEVELOPMENT]],ExtCompactors_MRST[],5,FALSE))</f>
        <v>42579</v>
      </c>
      <c r="N83" s="20">
        <f>Data[[#This Row],['# Interior Compactors MRST]]</f>
        <v>30</v>
      </c>
      <c r="O83" s="20">
        <f>IF(Data[[#This Row],['# Bulk Crushers]]=0,1,0)</f>
        <v>1</v>
      </c>
      <c r="P83" s="20">
        <f>1</f>
        <v>1</v>
      </c>
      <c r="Q83" s="20">
        <f>1</f>
        <v>1</v>
      </c>
      <c r="R83" s="20">
        <f>1</f>
        <v>1</v>
      </c>
      <c r="S83" s="20">
        <f>1</f>
        <v>1</v>
      </c>
      <c r="T83" s="20">
        <f>IF(Data[[#This Row],[Sewershed]]="Newtown Creek",Data[[#This Row],[DUs]],0)</f>
        <v>0</v>
      </c>
      <c r="U8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8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8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83" s="82">
        <f>VLOOKUP(Data[[#This Row],[DEVELOPMENT]],Development_Data_Book[[DEVELOPMENT]:[BOROUGH]],3,FALSE)</f>
        <v>70</v>
      </c>
      <c r="Y83" s="20"/>
      <c r="Z83" s="20">
        <f>IFERROR(VLOOKUP(Data[[#This Row],[TDS]],ExtCompactors_PNA[[Development]:[0]],2,FALSE),0)</f>
        <v>3</v>
      </c>
      <c r="AA83" s="20">
        <f>IFERROR(VLOOKUP(Data[[#This Row],[TDS]],IntCompactors_PNA[[TDS]:[0]],2,FALSE),0)</f>
        <v>29</v>
      </c>
      <c r="AB83" s="20"/>
      <c r="AC83" s="20"/>
      <c r="AD83" s="20">
        <f>IFERROR(VLOOKUP(Data[[#This Row],[TDS]],ExtCompactors_PNA[[Development]:[0]],3,FALSE)+VLOOKUP(Data[[#This Row],[TDS]],ExtCompactors_PNA[[Development]:[0]],6,FALSE),0)</f>
        <v>0</v>
      </c>
      <c r="AE83" s="20">
        <f>IFERROR(VLOOKUP(Data[[#This Row],[TDS]],IntCompactors_PNA[[TDS]:[0]],3,FALSE)+VLOOKUP(Data[[#This Row],[TDS]],IntCompactors_PNA[[TDS]:[0]],6,FALSE),0)</f>
        <v>29</v>
      </c>
      <c r="AF83" s="20" t="e">
        <f>VLOOKUP(Data[[#This Row],[DEVELOPMENT]],[3]Developments!$A$2:$A$312,1,FALSE)</f>
        <v>#N/A</v>
      </c>
      <c r="AG83" s="20">
        <f>IFERROR(VLOOKUP(Data[[#This Row],[DEVELOPMENT]],Ops_Priorities_and_Data_Clean[[development]:[ifnoext_comment]],3,FALSE),"")</f>
        <v>3</v>
      </c>
      <c r="AH83" s="20">
        <f>IFERROR(VLOOKUP(Data[[#This Row],[DEVELOPMENT]],Ops_Priorities_and_Data_Clean[[development]:[ifnoext_comment]],4,FALSE),"")</f>
        <v>0</v>
      </c>
      <c r="AI83" s="20">
        <f>IFERROR(VLOOKUP(Data[[#This Row],[DEVELOPMENT]],Ops_Priorities_and_Data_Clean[[development]:[ifnoext_comment]],5,FALSE),"")</f>
        <v>1</v>
      </c>
      <c r="AJ83" s="20">
        <f>IFERROR(VLOOKUP(Data[[#This Row],[DEVELOPMENT]],Ops_Priorities_and_Data_Clean[[development]:[ifnoext_comment]],6,FALSE),"")</f>
        <v>0</v>
      </c>
      <c r="AK83" s="20">
        <f>IFERROR(VLOOKUP(Data[[#This Row],[DEVELOPMENT]],Ops_Priorities_and_Data_Clean[[development]:[ifnoext_comment]],7,FALSE),"")</f>
        <v>0</v>
      </c>
      <c r="AL83" s="20">
        <f>IFERROR(VLOOKUP(Data[[#This Row],[DEVELOPMENT]],Ops_Priorities_and_Data_Clean[[development]:[ifnoext_comment]],8,FALSE),"")</f>
        <v>1</v>
      </c>
      <c r="AM83" s="20">
        <f>IFERROR(VLOOKUP(Data[[#This Row],[DEVELOPMENT]],Ops_Priorities_and_Data_Clean[[development]:[ifnoext_comment]],9,FALSE),"")</f>
        <v>0</v>
      </c>
      <c r="AN83" s="20">
        <f>IFERROR(VLOOKUP(Data[[#This Row],[DEVELOPMENT]],Ops_Priorities_and_Data_Clean[[development]:[ifnoext_comment]],10,FALSE),"")</f>
        <v>3</v>
      </c>
      <c r="AO83" s="20">
        <f>IFERROR(VLOOKUP(Data[[#This Row],[DEVELOPMENT]],Ops_Priorities_and_Data_Clean[[development]:[ifnoext_comment]],11,FALSE),"")</f>
        <v>3</v>
      </c>
      <c r="AP83" s="20">
        <f>IFERROR(VLOOKUP(Data[[#This Row],[DEVELOPMENT]],Ops_Priorities_and_Data_Clean[[development]:[ifnoext_comment]],12,FALSE),"")</f>
        <v>0</v>
      </c>
      <c r="AQ83" s="20">
        <f>VLOOKUP(Data[[#This Row],[DEVELOPMENT]],Ops_Priorities_and_Data_Clean[[development]:[ifnoext_comment]],14,FALSE)</f>
        <v>0</v>
      </c>
      <c r="AR83" s="20">
        <f>VLOOKUP(Data[[#This Row],[DEVELOPMENT]],Ops_Priorities_and_Data_Clean[[development]:[ifnoext_comment]],15,FALSE)</f>
        <v>0</v>
      </c>
      <c r="AS83" s="20" t="str">
        <f>VLOOKUP(Data[[#This Row],[DEVELOPMENT]],Ops_Priorities_and_Data_Clean[[development]:[ifnoext_comment]],16,FALSE)</f>
        <v>NULL</v>
      </c>
      <c r="AT83" s="20" t="str">
        <f>VLOOKUP(Data[[#This Row],[DEVELOPMENT]],Ops_Priorities_and_Data_Clean[[development]:[ifnoext_comment]],17,FALSE)</f>
        <v>NULL</v>
      </c>
      <c r="AU83" s="20" t="str">
        <f>VLOOKUP(Data[[#This Row],[DEVELOPMENT]],Ops_Priorities_and_Data_Clean[[development]:[ifnoext_comment]],18,FALSE)</f>
        <v>NULL</v>
      </c>
      <c r="AV83" s="20" t="str">
        <f>VLOOKUP(Data[[#This Row],[DEVELOPMENT]],Ops_Priorities_and_Data_Clean[[development]:[ifnoext_comment]],19,FALSE)</f>
        <v>NULL</v>
      </c>
      <c r="AW83" s="20" t="str">
        <f>VLOOKUP(Data[[#This Row],[DEVELOPMENT]],Ops_Priorities_and_Data_Clean[[development]:[ifnoext_comment]],20,FALSE)</f>
        <v>NULL</v>
      </c>
      <c r="AX83" s="104" t="s">
        <v>2238</v>
      </c>
      <c r="AY83" s="104" t="s">
        <v>2623</v>
      </c>
      <c r="AZ83" s="20" t="str">
        <f>VLOOKUP(Data[[#This Row],[DEVELOPMENT]],Development_Data_Book[[DEVELOPMENT]:[PRIVATE MANAGEMENT]],8,FALSE)</f>
        <v>FEDERAL</v>
      </c>
      <c r="BA83" s="104" t="s">
        <v>2586</v>
      </c>
      <c r="BB83" s="20">
        <f>VLOOKUP(Data[[#This Row],[DEVELOPMENT]],Development_Data_Book[[DEVELOPMENT]:[PRIVATE MANAGEMENT]],22,FALSE)</f>
        <v>0</v>
      </c>
      <c r="BC83" s="20">
        <f>Data[[#This Row],[Non-Dwelling Buildings]]+Data[[#This Row],[Dwelling Buildings]]</f>
        <v>15</v>
      </c>
      <c r="BD83" s="20">
        <f>VLOOKUP(Data[[#This Row],[DEVELOPMENT]],Development_Data_Book[[DEVELOPMENT]:[PRIVATE MANAGEMENT]],26,FALSE)</f>
        <v>29.02</v>
      </c>
      <c r="BE83" s="106">
        <v>1324500</v>
      </c>
      <c r="BF83" s="20">
        <f>VLOOKUP(Data[[#This Row],[DEVELOPMENT]],Development_Data_Book[[DEVELOPMENT]:[PRIVATE MANAGEMENT]],18,FALSE)</f>
        <v>3250</v>
      </c>
      <c r="BG8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83" s="104" t="s">
        <v>2589</v>
      </c>
      <c r="BI83" t="s">
        <v>184</v>
      </c>
      <c r="BJ83" s="20">
        <f>VLOOKUP(Data[[#This Row],[DEVELOPMENT]],Development_Data_Book[[DEVELOPMENT]:[PRIVATE MANAGEMENT]],41,FALSE)</f>
        <v>5</v>
      </c>
      <c r="BK83" s="20">
        <f>VLOOKUP(Data[[#This Row],[DEVELOPMENT]],Development_Data_Book[[DEVELOPMENT]:[PRIVATE MANAGEMENT]],42,FALSE)</f>
        <v>8</v>
      </c>
      <c r="BL83" s="20" t="str">
        <f>VLOOKUP(Data[[#This Row],[DEVELOPMENT]],Development_Data_Book[[DEVELOPMENT]:[PRIVATE MANAGEMENT]],43,FALSE)</f>
        <v>18, 19</v>
      </c>
      <c r="BM83" s="20">
        <f>VLOOKUP(Data[[#This Row],[DEVELOPMENT]],Development_Data_Book[[DEVELOPMENT]:[PRIVATE MANAGEMENT]],44,FALSE)</f>
        <v>60</v>
      </c>
      <c r="BN83" s="20">
        <f>VLOOKUP(Data[[#This Row],[DEVELOPMENT]],Development_Data_Book[[DEVELOPMENT]:[PRIVATE MANAGEMENT]],45,FALSE)</f>
        <v>42</v>
      </c>
      <c r="BO83" s="20">
        <f>VLOOKUP(Data[[#This Row],[DEVELOPMENT]],Development_Data_Book[[DEVELOPMENT]:[PRIVATE MANAGEMENT]],24,FALSE)</f>
        <v>7</v>
      </c>
    </row>
    <row r="84" spans="1:67">
      <c r="A84" t="s">
        <v>105</v>
      </c>
      <c r="B84" t="str">
        <f>VLOOKUP(Data[[#This Row],[DEVELOPMENT]],Development_Data_Book[[DEVELOPMENT]:[BOROUGH]],MATCH("borough",Development_Data_Book[[#Headers],[DEVELOPMENT]:[BOROUGH]],0),FALSE)</f>
        <v>BRONX</v>
      </c>
      <c r="C84" t="e">
        <f>VLOOKUP(Data[[#This Row],[DEVELOPMENT]],'[1]Cheat-Sheet'!$D$2:$Q$341,2,FALSE)</f>
        <v>#N/A</v>
      </c>
      <c r="D8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84">
        <f>VLOOKUP(Data[[#This Row],[DEVELOPMENT]],Development_Data_Book[[DEVELOPMENT]:[BOROUGH]],21,FALSE)</f>
        <v>1</v>
      </c>
      <c r="F84">
        <f>VLOOKUP(Data[[#This Row],[DEVELOPMENT]],Development_Data_Book[[DEVELOPMENT]:[BOROUGH]],23,FALSE)</f>
        <v>2</v>
      </c>
      <c r="G84">
        <f>VLOOKUP(Data[[#This Row],[DEVELOPMENT]],Development_Data_Book[[DEVELOPMENT]:[BOROUGH]],12,FALSE)</f>
        <v>175</v>
      </c>
      <c r="H84" t="s">
        <v>2248</v>
      </c>
      <c r="I84">
        <v>4</v>
      </c>
      <c r="J84">
        <f>IFERROR(VLOOKUP(Data[[#This Row],[DEVELOPMENT]],IntCompactors_MRST[],4,FALSE),0)</f>
        <v>1</v>
      </c>
      <c r="K84" s="20">
        <f>IFERROR(VLOOKUP(Data[[#This Row],[DEVELOPMENT]],ExtCompactors_MRST[],4,FALSE),0)</f>
        <v>1</v>
      </c>
      <c r="L84" s="27">
        <f>IF(Data[[#This Row],['# Interior Compactors MRST]]=0,"",VLOOKUP(Data[[#This Row],[DEVELOPMENT]],IntCompactors_MRST[],5,FALSE))</f>
        <v>32874</v>
      </c>
      <c r="M84" s="28">
        <f>IF(Data[[#This Row],['# Exterior Compactors MRST]]=0,"",VLOOKUP(Data[[#This Row],[DEVELOPMENT]],ExtCompactors_MRST[],5,FALSE))</f>
        <v>38519</v>
      </c>
      <c r="N84">
        <f>Data[[#This Row],['# Interior Compactors MRST]]</f>
        <v>1</v>
      </c>
      <c r="O84" s="20">
        <f>IF(Data[[#This Row],['# Bulk Crushers]]=0,1,0)</f>
        <v>1</v>
      </c>
      <c r="P84" s="20">
        <f>1</f>
        <v>1</v>
      </c>
      <c r="Q84" s="20">
        <f>1</f>
        <v>1</v>
      </c>
      <c r="R84" s="20">
        <f>1</f>
        <v>1</v>
      </c>
      <c r="S84" s="20">
        <f>1</f>
        <v>1</v>
      </c>
      <c r="T84" s="20">
        <f>IF(Data[[#This Row],[Sewershed]]="Newtown Creek",Data[[#This Row],[DUs]],0)</f>
        <v>0</v>
      </c>
      <c r="U8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8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8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84" s="82">
        <f>VLOOKUP(Data[[#This Row],[DEVELOPMENT]],Development_Data_Book[[DEVELOPMENT]:[BOROUGH]],3,FALSE)</f>
        <v>190</v>
      </c>
      <c r="Y84" s="20"/>
      <c r="Z84" s="20">
        <f>IFERROR(VLOOKUP(Data[[#This Row],[TDS]],ExtCompactors_PNA[[Development]:[0]],2,FALSE),0)</f>
        <v>0</v>
      </c>
      <c r="AA84" s="20">
        <f>IFERROR(VLOOKUP(Data[[#This Row],[TDS]],IntCompactors_PNA[[TDS]:[0]],2,FALSE),0)</f>
        <v>1</v>
      </c>
      <c r="AB84" s="20"/>
      <c r="AC84" s="20"/>
      <c r="AD84" s="20">
        <f>IFERROR(VLOOKUP(Data[[#This Row],[TDS]],ExtCompactors_PNA[[Development]:[0]],3,FALSE)+VLOOKUP(Data[[#This Row],[TDS]],ExtCompactors_PNA[[Development]:[0]],6,FALSE),0)</f>
        <v>0</v>
      </c>
      <c r="AE84" s="20">
        <f>IFERROR(VLOOKUP(Data[[#This Row],[TDS]],IntCompactors_PNA[[TDS]:[0]],3,FALSE)+VLOOKUP(Data[[#This Row],[TDS]],IntCompactors_PNA[[TDS]:[0]],6,FALSE),0)</f>
        <v>1</v>
      </c>
      <c r="AF84" s="20" t="e">
        <f>VLOOKUP(Data[[#This Row],[DEVELOPMENT]],[3]Developments!$A$2:$A$312,1,FALSE)</f>
        <v>#N/A</v>
      </c>
      <c r="AG84" s="20">
        <f>IFERROR(VLOOKUP(Data[[#This Row],[DEVELOPMENT]],Ops_Priorities_and_Data_Clean[[development]:[ifnoext_comment]],3,FALSE),"")</f>
        <v>1</v>
      </c>
      <c r="AH84" s="20">
        <f>IFERROR(VLOOKUP(Data[[#This Row],[DEVELOPMENT]],Ops_Priorities_and_Data_Clean[[development]:[ifnoext_comment]],4,FALSE),"")</f>
        <v>4</v>
      </c>
      <c r="AI84" s="20">
        <f>IFERROR(VLOOKUP(Data[[#This Row],[DEVELOPMENT]],Ops_Priorities_and_Data_Clean[[development]:[ifnoext_comment]],5,FALSE),"")</f>
        <v>1</v>
      </c>
      <c r="AJ84" s="20">
        <f>IFERROR(VLOOKUP(Data[[#This Row],[DEVELOPMENT]],Ops_Priorities_and_Data_Clean[[development]:[ifnoext_comment]],6,FALSE),"")</f>
        <v>0</v>
      </c>
      <c r="AK84" s="20">
        <f>IFERROR(VLOOKUP(Data[[#This Row],[DEVELOPMENT]],Ops_Priorities_and_Data_Clean[[development]:[ifnoext_comment]],7,FALSE),"")</f>
        <v>0</v>
      </c>
      <c r="AL84" s="20">
        <f>IFERROR(VLOOKUP(Data[[#This Row],[DEVELOPMENT]],Ops_Priorities_and_Data_Clean[[development]:[ifnoext_comment]],8,FALSE),"")</f>
        <v>1</v>
      </c>
      <c r="AM84" s="20">
        <f>IFERROR(VLOOKUP(Data[[#This Row],[DEVELOPMENT]],Ops_Priorities_and_Data_Clean[[development]:[ifnoext_comment]],9,FALSE),"")</f>
        <v>0</v>
      </c>
      <c r="AN84" s="20">
        <f>IFERROR(VLOOKUP(Data[[#This Row],[DEVELOPMENT]],Ops_Priorities_and_Data_Clean[[development]:[ifnoext_comment]],10,FALSE),"")</f>
        <v>1</v>
      </c>
      <c r="AO84" s="20">
        <f>IFERROR(VLOOKUP(Data[[#This Row],[DEVELOPMENT]],Ops_Priorities_and_Data_Clean[[development]:[ifnoext_comment]],11,FALSE),"")</f>
        <v>1</v>
      </c>
      <c r="AP84" s="20">
        <f>IFERROR(VLOOKUP(Data[[#This Row],[DEVELOPMENT]],Ops_Priorities_and_Data_Clean[[development]:[ifnoext_comment]],12,FALSE),"")</f>
        <v>1</v>
      </c>
      <c r="AQ84" s="20">
        <f>VLOOKUP(Data[[#This Row],[DEVELOPMENT]],Ops_Priorities_and_Data_Clean[[development]:[ifnoext_comment]],14,FALSE)</f>
        <v>0</v>
      </c>
      <c r="AR84" s="20">
        <f>VLOOKUP(Data[[#This Row],[DEVELOPMENT]],Ops_Priorities_and_Data_Clean[[development]:[ifnoext_comment]],15,FALSE)</f>
        <v>0</v>
      </c>
      <c r="AS84" s="20" t="str">
        <f>VLOOKUP(Data[[#This Row],[DEVELOPMENT]],Ops_Priorities_and_Data_Clean[[development]:[ifnoext_comment]],16,FALSE)</f>
        <v>NULL</v>
      </c>
      <c r="AT84" s="20" t="str">
        <f>VLOOKUP(Data[[#This Row],[DEVELOPMENT]],Ops_Priorities_and_Data_Clean[[development]:[ifnoext_comment]],17,FALSE)</f>
        <v>Part of Union Cons.</v>
      </c>
      <c r="AU84" s="20" t="str">
        <f>VLOOKUP(Data[[#This Row],[DEVELOPMENT]],Ops_Priorities_and_Data_Clean[[development]:[ifnoext_comment]],18,FALSE)</f>
        <v>NULL</v>
      </c>
      <c r="AV84" s="20" t="str">
        <f>VLOOKUP(Data[[#This Row],[DEVELOPMENT]],Ops_Priorities_and_Data_Clean[[development]:[ifnoext_comment]],19,FALSE)</f>
        <v>NULL</v>
      </c>
      <c r="AW84" s="20" t="str">
        <f>VLOOKUP(Data[[#This Row],[DEVELOPMENT]],Ops_Priorities_and_Data_Clean[[development]:[ifnoext_comment]],20,FALSE)</f>
        <v>NULL</v>
      </c>
      <c r="AX84" s="104" t="s">
        <v>2237</v>
      </c>
      <c r="AY84" s="104" t="s">
        <v>147</v>
      </c>
      <c r="AZ84" s="20" t="str">
        <f>VLOOKUP(Data[[#This Row],[DEVELOPMENT]],Development_Data_Book[[DEVELOPMENT]:[PRIVATE MANAGEMENT]],8,FALSE)</f>
        <v>FEDERAL</v>
      </c>
      <c r="BA84" s="104" t="s">
        <v>2586</v>
      </c>
      <c r="BB84" s="20">
        <f>VLOOKUP(Data[[#This Row],[DEVELOPMENT]],Development_Data_Book[[DEVELOPMENT]:[PRIVATE MANAGEMENT]],22,FALSE)</f>
        <v>0</v>
      </c>
      <c r="BC84" s="20">
        <f>Data[[#This Row],[Non-Dwelling Buildings]]+Data[[#This Row],[Dwelling Buildings]]</f>
        <v>1</v>
      </c>
      <c r="BD84" s="20">
        <f>VLOOKUP(Data[[#This Row],[DEVELOPMENT]],Development_Data_Book[[DEVELOPMENT]:[PRIVATE MANAGEMENT]],26,FALSE)</f>
        <v>1.9</v>
      </c>
      <c r="BE84" s="106">
        <v>196950</v>
      </c>
      <c r="BF84" s="20">
        <f>VLOOKUP(Data[[#This Row],[DEVELOPMENT]],Development_Data_Book[[DEVELOPMENT]:[PRIVATE MANAGEMENT]],18,FALSE)</f>
        <v>479</v>
      </c>
      <c r="BG84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84" s="104" t="s">
        <v>2631</v>
      </c>
      <c r="BI84" t="s">
        <v>184</v>
      </c>
      <c r="BJ84" s="20">
        <f>VLOOKUP(Data[[#This Row],[DEVELOPMENT]],Development_Data_Book[[DEVELOPMENT]:[PRIVATE MANAGEMENT]],41,FALSE)</f>
        <v>3</v>
      </c>
      <c r="BK84" s="20">
        <f>VLOOKUP(Data[[#This Row],[DEVELOPMENT]],Development_Data_Book[[DEVELOPMENT]:[PRIVATE MANAGEMENT]],42,FALSE)</f>
        <v>15</v>
      </c>
      <c r="BL84" s="20">
        <f>VLOOKUP(Data[[#This Row],[DEVELOPMENT]],Development_Data_Book[[DEVELOPMENT]:[PRIVATE MANAGEMENT]],43,FALSE)</f>
        <v>32</v>
      </c>
      <c r="BM84" s="20">
        <f>VLOOKUP(Data[[#This Row],[DEVELOPMENT]],Development_Data_Book[[DEVELOPMENT]:[PRIVATE MANAGEMENT]],44,FALSE)</f>
        <v>79</v>
      </c>
      <c r="BN84" s="20">
        <f>VLOOKUP(Data[[#This Row],[DEVELOPMENT]],Development_Data_Book[[DEVELOPMENT]:[PRIVATE MANAGEMENT]],45,FALSE)</f>
        <v>17</v>
      </c>
      <c r="BO84" s="20">
        <f>VLOOKUP(Data[[#This Row],[DEVELOPMENT]],Development_Data_Book[[DEVELOPMENT]:[PRIVATE MANAGEMENT]],24,FALSE)</f>
        <v>8</v>
      </c>
    </row>
    <row r="85" spans="1:67">
      <c r="A85" t="s">
        <v>263</v>
      </c>
      <c r="B85" s="20" t="str">
        <f>VLOOKUP(Data[[#This Row],[DEVELOPMENT]],Development_Data_Book[[DEVELOPMENT]:[BOROUGH]],MATCH("borough",Development_Data_Book[[#Headers],[DEVELOPMENT]:[BOROUGH]],0),FALSE)</f>
        <v>MANHATTAN</v>
      </c>
      <c r="C85" s="20" t="e">
        <f>VLOOKUP(Data[[#This Row],[DEVELOPMENT]],'[1]Cheat-Sheet'!$D$2:$Q$341,2,FALSE)</f>
        <v>#N/A</v>
      </c>
      <c r="D8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85" s="20">
        <f>VLOOKUP(Data[[#This Row],[DEVELOPMENT]],Development_Data_Book[[DEVELOPMENT]:[BOROUGH]],21,FALSE)</f>
        <v>1</v>
      </c>
      <c r="F85" s="20">
        <f>VLOOKUP(Data[[#This Row],[DEVELOPMENT]],Development_Data_Book[[DEVELOPMENT]:[BOROUGH]],23,FALSE)</f>
        <v>1</v>
      </c>
      <c r="G85" s="20">
        <f>VLOOKUP(Data[[#This Row],[DEVELOPMENT]],Development_Data_Book[[DEVELOPMENT]:[BOROUGH]],12,FALSE)</f>
        <v>219</v>
      </c>
      <c r="H85" t="s">
        <v>2248</v>
      </c>
      <c r="J85">
        <f>IFERROR(VLOOKUP(Data[[#This Row],[DEVELOPMENT]],IntCompactors_MRST[],4,FALSE),0)</f>
        <v>1</v>
      </c>
      <c r="K85" s="20">
        <f>IFERROR(VLOOKUP(Data[[#This Row],[DEVELOPMENT]],ExtCompactors_MRST[],4,FALSE),0)</f>
        <v>0</v>
      </c>
      <c r="L85" s="27">
        <f>IF(Data[[#This Row],['# Interior Compactors MRST]]=0,"",VLOOKUP(Data[[#This Row],[DEVELOPMENT]],IntCompactors_MRST[],5,FALSE))</f>
        <v>35004</v>
      </c>
      <c r="M85" s="28" t="str">
        <f>IF(Data[[#This Row],['# Exterior Compactors MRST]]=0,"",VLOOKUP(Data[[#This Row],[DEVELOPMENT]],ExtCompactors_MRST[],5,FALSE))</f>
        <v/>
      </c>
      <c r="N85" s="20">
        <f>Data[[#This Row],['# Interior Compactors MRST]]</f>
        <v>1</v>
      </c>
      <c r="O85" s="20">
        <f>IF(Data[[#This Row],['# Bulk Crushers]]=0,1,0)</f>
        <v>1</v>
      </c>
      <c r="P85" s="20">
        <f>1</f>
        <v>1</v>
      </c>
      <c r="Q85" s="20">
        <f>1</f>
        <v>1</v>
      </c>
      <c r="R85" s="20">
        <f>1</f>
        <v>1</v>
      </c>
      <c r="S85" s="20">
        <f>1</f>
        <v>1</v>
      </c>
      <c r="T85" s="20">
        <f>IF(Data[[#This Row],[Sewershed]]="Newtown Creek",Data[[#This Row],[DUs]],0)</f>
        <v>0</v>
      </c>
      <c r="U8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8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8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85" s="82">
        <f>VLOOKUP(Data[[#This Row],[DEVELOPMENT]],Development_Data_Book[[DEVELOPMENT]:[BOROUGH]],3,FALSE)</f>
        <v>155</v>
      </c>
      <c r="Y85" s="20"/>
      <c r="Z85" s="20">
        <f>IFERROR(VLOOKUP(Data[[#This Row],[TDS]],ExtCompactors_PNA[[Development]:[0]],2,FALSE),0)</f>
        <v>0</v>
      </c>
      <c r="AA85" s="20">
        <f>IFERROR(VLOOKUP(Data[[#This Row],[TDS]],IntCompactors_PNA[[TDS]:[0]],2,FALSE),0)</f>
        <v>2</v>
      </c>
      <c r="AB85" s="20"/>
      <c r="AC85" s="20"/>
      <c r="AD85" s="20">
        <f>IFERROR(VLOOKUP(Data[[#This Row],[TDS]],ExtCompactors_PNA[[Development]:[0]],3,FALSE)+VLOOKUP(Data[[#This Row],[TDS]],ExtCompactors_PNA[[Development]:[0]],6,FALSE),0)</f>
        <v>0</v>
      </c>
      <c r="AE85" s="20">
        <f>IFERROR(VLOOKUP(Data[[#This Row],[TDS]],IntCompactors_PNA[[TDS]:[0]],3,FALSE)+VLOOKUP(Data[[#This Row],[TDS]],IntCompactors_PNA[[TDS]:[0]],6,FALSE),0)</f>
        <v>2</v>
      </c>
      <c r="AF85" s="20" t="e">
        <f>VLOOKUP(Data[[#This Row],[DEVELOPMENT]],[3]Developments!$A$2:$A$312,1,FALSE)</f>
        <v>#N/A</v>
      </c>
      <c r="AG85" s="20">
        <f>IFERROR(VLOOKUP(Data[[#This Row],[DEVELOPMENT]],Ops_Priorities_and_Data_Clean[[development]:[ifnoext_comment]],3,FALSE),"")</f>
        <v>0</v>
      </c>
      <c r="AH85" s="20">
        <f>IFERROR(VLOOKUP(Data[[#This Row],[DEVELOPMENT]],Ops_Priorities_and_Data_Clean[[development]:[ifnoext_comment]],4,FALSE),"")</f>
        <v>2</v>
      </c>
      <c r="AI85" s="20">
        <f>IFERROR(VLOOKUP(Data[[#This Row],[DEVELOPMENT]],Ops_Priorities_and_Data_Clean[[development]:[ifnoext_comment]],5,FALSE),"")</f>
        <v>0</v>
      </c>
      <c r="AJ85" s="20">
        <f>IFERROR(VLOOKUP(Data[[#This Row],[DEVELOPMENT]],Ops_Priorities_and_Data_Clean[[development]:[ifnoext_comment]],6,FALSE),"")</f>
        <v>0</v>
      </c>
      <c r="AK85" s="20">
        <f>IFERROR(VLOOKUP(Data[[#This Row],[DEVELOPMENT]],Ops_Priorities_and_Data_Clean[[development]:[ifnoext_comment]],7,FALSE),"")</f>
        <v>1</v>
      </c>
      <c r="AL85" s="20">
        <f>IFERROR(VLOOKUP(Data[[#This Row],[DEVELOPMENT]],Ops_Priorities_and_Data_Clean[[development]:[ifnoext_comment]],8,FALSE),"")</f>
        <v>1</v>
      </c>
      <c r="AM85" s="20">
        <f>IFERROR(VLOOKUP(Data[[#This Row],[DEVELOPMENT]],Ops_Priorities_and_Data_Clean[[development]:[ifnoext_comment]],9,FALSE),"")</f>
        <v>1</v>
      </c>
      <c r="AN85" s="20">
        <f>IFERROR(VLOOKUP(Data[[#This Row],[DEVELOPMENT]],Ops_Priorities_and_Data_Clean[[development]:[ifnoext_comment]],10,FALSE),"")</f>
        <v>0</v>
      </c>
      <c r="AO85" s="20">
        <f>IFERROR(VLOOKUP(Data[[#This Row],[DEVELOPMENT]],Ops_Priorities_and_Data_Clean[[development]:[ifnoext_comment]],11,FALSE),"")</f>
        <v>0</v>
      </c>
      <c r="AP85" s="20">
        <f>IFERROR(VLOOKUP(Data[[#This Row],[DEVELOPMENT]],Ops_Priorities_and_Data_Clean[[development]:[ifnoext_comment]],12,FALSE),"")</f>
        <v>0</v>
      </c>
      <c r="AQ85" s="20">
        <f>VLOOKUP(Data[[#This Row],[DEVELOPMENT]],Ops_Priorities_and_Data_Clean[[development]:[ifnoext_comment]],14,FALSE)</f>
        <v>1</v>
      </c>
      <c r="AR85" s="20">
        <f>VLOOKUP(Data[[#This Row],[DEVELOPMENT]],Ops_Priorities_and_Data_Clean[[development]:[ifnoext_comment]],15,FALSE)</f>
        <v>0</v>
      </c>
      <c r="AS85" s="20" t="str">
        <f>VLOOKUP(Data[[#This Row],[DEVELOPMENT]],Ops_Priorities_and_Data_Clean[[development]:[ifnoext_comment]],16,FALSE)</f>
        <v>NULL</v>
      </c>
      <c r="AT85" s="20" t="str">
        <f>VLOOKUP(Data[[#This Row],[DEVELOPMENT]],Ops_Priorities_and_Data_Clean[[development]:[ifnoext_comment]],17,FALSE)</f>
        <v>NULL</v>
      </c>
      <c r="AU85" s="20" t="str">
        <f>VLOOKUP(Data[[#This Row],[DEVELOPMENT]],Ops_Priorities_and_Data_Clean[[development]:[ifnoext_comment]],18,FALSE)</f>
        <v>NULL</v>
      </c>
      <c r="AV85" s="20" t="str">
        <f>VLOOKUP(Data[[#This Row],[DEVELOPMENT]],Ops_Priorities_and_Data_Clean[[development]:[ifnoext_comment]],19,FALSE)</f>
        <v>NULL</v>
      </c>
      <c r="AW85" s="20" t="str">
        <f>VLOOKUP(Data[[#This Row],[DEVELOPMENT]],Ops_Priorities_and_Data_Clean[[development]:[ifnoext_comment]],20,FALSE)</f>
        <v>Ther'es a mound of garbage in the parking lot. An exterior compactor could replace that mountain of garbage.</v>
      </c>
      <c r="AX85" s="104" t="s">
        <v>2605</v>
      </c>
      <c r="AY85" s="104" t="s">
        <v>2597</v>
      </c>
      <c r="AZ85" s="20" t="str">
        <f>VLOOKUP(Data[[#This Row],[DEVELOPMENT]],Development_Data_Book[[DEVELOPMENT]:[PRIVATE MANAGEMENT]],8,FALSE)</f>
        <v>FEDERAL</v>
      </c>
      <c r="BA85" s="104" t="s">
        <v>2586</v>
      </c>
      <c r="BB85" s="20">
        <f>VLOOKUP(Data[[#This Row],[DEVELOPMENT]],Development_Data_Book[[DEVELOPMENT]:[PRIVATE MANAGEMENT]],22,FALSE)</f>
        <v>0</v>
      </c>
      <c r="BC85" s="20">
        <f>Data[[#This Row],[Non-Dwelling Buildings]]+Data[[#This Row],[Dwelling Buildings]]</f>
        <v>1</v>
      </c>
      <c r="BD85" s="20">
        <f>VLOOKUP(Data[[#This Row],[DEVELOPMENT]],Development_Data_Book[[DEVELOPMENT]:[PRIVATE MANAGEMENT]],26,FALSE)</f>
        <v>0.75</v>
      </c>
      <c r="BE85" s="106">
        <v>246724</v>
      </c>
      <c r="BF85" s="20">
        <f>VLOOKUP(Data[[#This Row],[DEVELOPMENT]],Development_Data_Book[[DEVELOPMENT]:[PRIVATE MANAGEMENT]],18,FALSE)</f>
        <v>453</v>
      </c>
      <c r="BG8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85" s="104" t="s">
        <v>2598</v>
      </c>
      <c r="BI85" t="s">
        <v>184</v>
      </c>
      <c r="BJ85" s="20">
        <f>VLOOKUP(Data[[#This Row],[DEVELOPMENT]],Development_Data_Book[[DEVELOPMENT]:[PRIVATE MANAGEMENT]],41,FALSE)</f>
        <v>7</v>
      </c>
      <c r="BK85" s="20">
        <f>VLOOKUP(Data[[#This Row],[DEVELOPMENT]],Development_Data_Book[[DEVELOPMENT]:[PRIVATE MANAGEMENT]],42,FALSE)</f>
        <v>10</v>
      </c>
      <c r="BL85" s="20">
        <f>VLOOKUP(Data[[#This Row],[DEVELOPMENT]],Development_Data_Book[[DEVELOPMENT]:[PRIVATE MANAGEMENT]],43,FALSE)</f>
        <v>30</v>
      </c>
      <c r="BM85" s="20">
        <f>VLOOKUP(Data[[#This Row],[DEVELOPMENT]],Development_Data_Book[[DEVELOPMENT]:[PRIVATE MANAGEMENT]],44,FALSE)</f>
        <v>69</v>
      </c>
      <c r="BN85" s="20">
        <f>VLOOKUP(Data[[#This Row],[DEVELOPMENT]],Development_Data_Book[[DEVELOPMENT]:[PRIVATE MANAGEMENT]],45,FALSE)</f>
        <v>6</v>
      </c>
      <c r="BO85" s="20">
        <f>VLOOKUP(Data[[#This Row],[DEVELOPMENT]],Development_Data_Book[[DEVELOPMENT]:[PRIVATE MANAGEMENT]],24,FALSE)</f>
        <v>22</v>
      </c>
    </row>
    <row r="86" spans="1:67">
      <c r="A86" t="s">
        <v>75</v>
      </c>
      <c r="B86" t="str">
        <f>VLOOKUP(Data[[#This Row],[DEVELOPMENT]],Development_Data_Book[[DEVELOPMENT]:[BOROUGH]],MATCH("borough",Development_Data_Book[[#Headers],[DEVELOPMENT]:[BOROUGH]],0),FALSE)</f>
        <v>MANHATTAN</v>
      </c>
      <c r="C86" t="e">
        <f>VLOOKUP(Data[[#This Row],[DEVELOPMENT]],'[1]Cheat-Sheet'!$D$2:$Q$341,2,FALSE)</f>
        <v>#N/A</v>
      </c>
      <c r="D8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86">
        <f>VLOOKUP(Data[[#This Row],[DEVELOPMENT]],Development_Data_Book[[DEVELOPMENT]:[BOROUGH]],21,FALSE)</f>
        <v>1</v>
      </c>
      <c r="F86">
        <f>VLOOKUP(Data[[#This Row],[DEVELOPMENT]],Development_Data_Book[[DEVELOPMENT]:[BOROUGH]],23,FALSE)</f>
        <v>1</v>
      </c>
      <c r="G86">
        <f>VLOOKUP(Data[[#This Row],[DEVELOPMENT]],Development_Data_Book[[DEVELOPMENT]:[BOROUGH]],12,FALSE)</f>
        <v>135</v>
      </c>
      <c r="H86" t="s">
        <v>2248</v>
      </c>
      <c r="I86">
        <v>4</v>
      </c>
      <c r="J86">
        <f>IFERROR(VLOOKUP(Data[[#This Row],[DEVELOPMENT]],IntCompactors_MRST[],4,FALSE),0)</f>
        <v>1</v>
      </c>
      <c r="K86" s="20">
        <f>IFERROR(VLOOKUP(Data[[#This Row],[DEVELOPMENT]],ExtCompactors_MRST[],4,FALSE),0)</f>
        <v>0</v>
      </c>
      <c r="L86" s="27">
        <f>IF(Data[[#This Row],['# Interior Compactors MRST]]=0,"",VLOOKUP(Data[[#This Row],[DEVELOPMENT]],IntCompactors_MRST[],5,FALSE))</f>
        <v>36800</v>
      </c>
      <c r="M86" s="28" t="str">
        <f>IF(Data[[#This Row],['# Exterior Compactors MRST]]=0,"",VLOOKUP(Data[[#This Row],[DEVELOPMENT]],ExtCompactors_MRST[],5,FALSE))</f>
        <v/>
      </c>
      <c r="N86">
        <f>Data[[#This Row],['# Interior Compactors MRST]]</f>
        <v>1</v>
      </c>
      <c r="O86" s="20">
        <f>IF(Data[[#This Row],['# Bulk Crushers]]=0,1,0)</f>
        <v>1</v>
      </c>
      <c r="P86" s="20">
        <f>1</f>
        <v>1</v>
      </c>
      <c r="Q86" s="20">
        <f>1</f>
        <v>1</v>
      </c>
      <c r="R86" s="20">
        <f>1</f>
        <v>1</v>
      </c>
      <c r="S86" s="20">
        <f>1</f>
        <v>1</v>
      </c>
      <c r="T86" s="20">
        <f>IF(Data[[#This Row],[Sewershed]]="Newtown Creek",Data[[#This Row],[DUs]],0)</f>
        <v>0</v>
      </c>
      <c r="U8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8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8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86" s="82">
        <f>VLOOKUP(Data[[#This Row],[DEVELOPMENT]],Development_Data_Book[[DEVELOPMENT]:[BOROUGH]],3,FALSE)</f>
        <v>148</v>
      </c>
      <c r="Y86" s="20"/>
      <c r="Z86" s="20">
        <f>IFERROR(VLOOKUP(Data[[#This Row],[TDS]],ExtCompactors_PNA[[Development]:[0]],2,FALSE),0)</f>
        <v>0</v>
      </c>
      <c r="AA86" s="20">
        <f>IFERROR(VLOOKUP(Data[[#This Row],[TDS]],IntCompactors_PNA[[TDS]:[0]],2,FALSE),0)</f>
        <v>1</v>
      </c>
      <c r="AB86" s="20"/>
      <c r="AC86" s="20"/>
      <c r="AD86" s="20">
        <f>IFERROR(VLOOKUP(Data[[#This Row],[TDS]],ExtCompactors_PNA[[Development]:[0]],3,FALSE)+VLOOKUP(Data[[#This Row],[TDS]],ExtCompactors_PNA[[Development]:[0]],6,FALSE),0)</f>
        <v>0</v>
      </c>
      <c r="AE86" s="20">
        <f>IFERROR(VLOOKUP(Data[[#This Row],[TDS]],IntCompactors_PNA[[TDS]:[0]],3,FALSE)+VLOOKUP(Data[[#This Row],[TDS]],IntCompactors_PNA[[TDS]:[0]],6,FALSE),0)</f>
        <v>1</v>
      </c>
      <c r="AF86" s="20" t="e">
        <f>VLOOKUP(Data[[#This Row],[DEVELOPMENT]],[3]Developments!$A$2:$A$312,1,FALSE)</f>
        <v>#N/A</v>
      </c>
      <c r="AG86" s="20">
        <f>IFERROR(VLOOKUP(Data[[#This Row],[DEVELOPMENT]],Ops_Priorities_and_Data_Clean[[development]:[ifnoext_comment]],3,FALSE),"")</f>
        <v>0</v>
      </c>
      <c r="AH86" s="20">
        <f>IFERROR(VLOOKUP(Data[[#This Row],[DEVELOPMENT]],Ops_Priorities_and_Data_Clean[[development]:[ifnoext_comment]],4,FALSE),"")</f>
        <v>0</v>
      </c>
      <c r="AI86" s="20">
        <f>IFERROR(VLOOKUP(Data[[#This Row],[DEVELOPMENT]],Ops_Priorities_and_Data_Clean[[development]:[ifnoext_comment]],5,FALSE),"")</f>
        <v>0</v>
      </c>
      <c r="AJ86" s="20">
        <f>IFERROR(VLOOKUP(Data[[#This Row],[DEVELOPMENT]],Ops_Priorities_and_Data_Clean[[development]:[ifnoext_comment]],6,FALSE),"")</f>
        <v>1</v>
      </c>
      <c r="AK86" s="20">
        <f>IFERROR(VLOOKUP(Data[[#This Row],[DEVELOPMENT]],Ops_Priorities_and_Data_Clean[[development]:[ifnoext_comment]],7,FALSE),"")</f>
        <v>0</v>
      </c>
      <c r="AL86" s="20">
        <f>IFERROR(VLOOKUP(Data[[#This Row],[DEVELOPMENT]],Ops_Priorities_and_Data_Clean[[development]:[ifnoext_comment]],8,FALSE),"")</f>
        <v>1</v>
      </c>
      <c r="AM86" s="20">
        <f>IFERROR(VLOOKUP(Data[[#This Row],[DEVELOPMENT]],Ops_Priorities_and_Data_Clean[[development]:[ifnoext_comment]],9,FALSE),"")</f>
        <v>0</v>
      </c>
      <c r="AN86" s="20">
        <f>IFERROR(VLOOKUP(Data[[#This Row],[DEVELOPMENT]],Ops_Priorities_and_Data_Clean[[development]:[ifnoext_comment]],10,FALSE),"")</f>
        <v>0</v>
      </c>
      <c r="AO86" s="20">
        <f>IFERROR(VLOOKUP(Data[[#This Row],[DEVELOPMENT]],Ops_Priorities_and_Data_Clean[[development]:[ifnoext_comment]],11,FALSE),"")</f>
        <v>0</v>
      </c>
      <c r="AP86" s="20">
        <f>IFERROR(VLOOKUP(Data[[#This Row],[DEVELOPMENT]],Ops_Priorities_and_Data_Clean[[development]:[ifnoext_comment]],12,FALSE),"")</f>
        <v>3</v>
      </c>
      <c r="AQ86" s="20">
        <f>VLOOKUP(Data[[#This Row],[DEVELOPMENT]],Ops_Priorities_and_Data_Clean[[development]:[ifnoext_comment]],14,FALSE)</f>
        <v>0</v>
      </c>
      <c r="AR86" s="20">
        <f>VLOOKUP(Data[[#This Row],[DEVELOPMENT]],Ops_Priorities_and_Data_Clean[[development]:[ifnoext_comment]],15,FALSE)</f>
        <v>1</v>
      </c>
      <c r="AS86" s="20" t="str">
        <f>VLOOKUP(Data[[#This Row],[DEVELOPMENT]],Ops_Priorities_and_Data_Clean[[development]:[ifnoext_comment]],16,FALSE)</f>
        <v>Fred Douglass I</v>
      </c>
      <c r="AT86" s="20" t="str">
        <f>VLOOKUP(Data[[#This Row],[DEVELOPMENT]],Ops_Priorities_and_Data_Clean[[development]:[ifnoext_comment]],17,FALSE)</f>
        <v>NULL</v>
      </c>
      <c r="AU86" s="20" t="str">
        <f>VLOOKUP(Data[[#This Row],[DEVELOPMENT]],Ops_Priorities_and_Data_Clean[[development]:[ifnoext_comment]],18,FALSE)</f>
        <v>NULL</v>
      </c>
      <c r="AV86" s="20" t="str">
        <f>VLOOKUP(Data[[#This Row],[DEVELOPMENT]],Ops_Priorities_and_Data_Clean[[development]:[ifnoext_comment]],19,FALSE)</f>
        <v>NULL</v>
      </c>
      <c r="AW86" s="20" t="str">
        <f>VLOOKUP(Data[[#This Row],[DEVELOPMENT]],Ops_Priorities_and_Data_Clean[[development]:[ifnoext_comment]],20,FALSE)</f>
        <v>NULL</v>
      </c>
      <c r="AX86" s="104" t="s">
        <v>2239</v>
      </c>
      <c r="AY86" s="104" t="s">
        <v>2609</v>
      </c>
      <c r="AZ86" s="20" t="str">
        <f>VLOOKUP(Data[[#This Row],[DEVELOPMENT]],Development_Data_Book[[DEVELOPMENT]:[PRIVATE MANAGEMENT]],8,FALSE)</f>
        <v>FEDERAL</v>
      </c>
      <c r="BA86" s="104" t="s">
        <v>2586</v>
      </c>
      <c r="BB86" s="20">
        <f>VLOOKUP(Data[[#This Row],[DEVELOPMENT]],Development_Data_Book[[DEVELOPMENT]:[PRIVATE MANAGEMENT]],22,FALSE)</f>
        <v>0</v>
      </c>
      <c r="BC86" s="20">
        <f>Data[[#This Row],[Non-Dwelling Buildings]]+Data[[#This Row],[Dwelling Buildings]]</f>
        <v>1</v>
      </c>
      <c r="BD86" s="20">
        <f>VLOOKUP(Data[[#This Row],[DEVELOPMENT]],Development_Data_Book[[DEVELOPMENT]:[PRIVATE MANAGEMENT]],26,FALSE)</f>
        <v>0.55000000000000004</v>
      </c>
      <c r="BE86" s="106">
        <v>150080</v>
      </c>
      <c r="BF86" s="20">
        <f>VLOOKUP(Data[[#This Row],[DEVELOPMENT]],Development_Data_Book[[DEVELOPMENT]:[PRIVATE MANAGEMENT]],18,FALSE)</f>
        <v>337</v>
      </c>
      <c r="BG8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86" s="104" t="s">
        <v>2598</v>
      </c>
      <c r="BI86" t="s">
        <v>184</v>
      </c>
      <c r="BJ86" s="20">
        <f>VLOOKUP(Data[[#This Row],[DEVELOPMENT]],Development_Data_Book[[DEVELOPMENT]:[PRIVATE MANAGEMENT]],41,FALSE)</f>
        <v>7</v>
      </c>
      <c r="BK86" s="20">
        <f>VLOOKUP(Data[[#This Row],[DEVELOPMENT]],Development_Data_Book[[DEVELOPMENT]:[PRIVATE MANAGEMENT]],42,FALSE)</f>
        <v>10</v>
      </c>
      <c r="BL86" s="20">
        <f>VLOOKUP(Data[[#This Row],[DEVELOPMENT]],Development_Data_Book[[DEVELOPMENT]:[PRIVATE MANAGEMENT]],43,FALSE)</f>
        <v>30</v>
      </c>
      <c r="BM86" s="20">
        <f>VLOOKUP(Data[[#This Row],[DEVELOPMENT]],Development_Data_Book[[DEVELOPMENT]:[PRIVATE MANAGEMENT]],44,FALSE)</f>
        <v>69</v>
      </c>
      <c r="BN86" s="20">
        <f>VLOOKUP(Data[[#This Row],[DEVELOPMENT]],Development_Data_Book[[DEVELOPMENT]:[PRIVATE MANAGEMENT]],45,FALSE)</f>
        <v>7</v>
      </c>
      <c r="BO86" s="20">
        <f>VLOOKUP(Data[[#This Row],[DEVELOPMENT]],Development_Data_Book[[DEVELOPMENT]:[PRIVATE MANAGEMENT]],24,FALSE)</f>
        <v>16</v>
      </c>
    </row>
    <row r="87" spans="1:67">
      <c r="A87" t="s">
        <v>130</v>
      </c>
      <c r="B87" t="str">
        <f>VLOOKUP(Data[[#This Row],[DEVELOPMENT]],Development_Data_Book[[DEVELOPMENT]:[BOROUGH]],MATCH("borough",Development_Data_Book[[#Headers],[DEVELOPMENT]:[BOROUGH]],0),FALSE)</f>
        <v>MANHATTAN</v>
      </c>
      <c r="C87" t="e">
        <f>VLOOKUP(Data[[#This Row],[DEVELOPMENT]],'[1]Cheat-Sheet'!$D$2:$Q$341,2,FALSE)</f>
        <v>#N/A</v>
      </c>
      <c r="D8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87">
        <f>VLOOKUP(Data[[#This Row],[DEVELOPMENT]],Development_Data_Book[[DEVELOPMENT]:[BOROUGH]],21,FALSE)</f>
        <v>11</v>
      </c>
      <c r="F87">
        <f>VLOOKUP(Data[[#This Row],[DEVELOPMENT]],Development_Data_Book[[DEVELOPMENT]:[BOROUGH]],23,FALSE)</f>
        <v>11</v>
      </c>
      <c r="G87">
        <f>VLOOKUP(Data[[#This Row],[DEVELOPMENT]],Development_Data_Book[[DEVELOPMENT]:[BOROUGH]],12,FALSE)</f>
        <v>1302</v>
      </c>
      <c r="H87" t="s">
        <v>2248</v>
      </c>
      <c r="I87">
        <v>2</v>
      </c>
      <c r="J87">
        <f>IFERROR(VLOOKUP(Data[[#This Row],[DEVELOPMENT]],IntCompactors_MRST[],4,FALSE),0)</f>
        <v>11</v>
      </c>
      <c r="K87" s="20">
        <f>IFERROR(VLOOKUP(Data[[#This Row],[DEVELOPMENT]],ExtCompactors_MRST[],4,FALSE),0)</f>
        <v>3</v>
      </c>
      <c r="L87" s="27">
        <f>IF(Data[[#This Row],['# Interior Compactors MRST]]=0,"",VLOOKUP(Data[[#This Row],[DEVELOPMENT]],IntCompactors_MRST[],5,FALSE))</f>
        <v>36800</v>
      </c>
      <c r="M87" s="28">
        <f>IF(Data[[#This Row],['# Exterior Compactors MRST]]=0,"",VLOOKUP(Data[[#This Row],[DEVELOPMENT]],ExtCompactors_MRST[],5,FALSE))</f>
        <v>41787</v>
      </c>
      <c r="N87">
        <f>Data[[#This Row],['# Interior Compactors MRST]]</f>
        <v>11</v>
      </c>
      <c r="O87" s="20">
        <f>IF(Data[[#This Row],['# Bulk Crushers]]=0,1,0)</f>
        <v>1</v>
      </c>
      <c r="P87" s="20">
        <f>1</f>
        <v>1</v>
      </c>
      <c r="Q87" s="20">
        <f>1</f>
        <v>1</v>
      </c>
      <c r="R87" s="20">
        <f>1</f>
        <v>1</v>
      </c>
      <c r="S87" s="20">
        <f>1</f>
        <v>1</v>
      </c>
      <c r="T87" s="20">
        <f>IF(Data[[#This Row],[Sewershed]]="Newtown Creek",Data[[#This Row],[DUs]],0)</f>
        <v>0</v>
      </c>
      <c r="U8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8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8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87" s="82">
        <f>VLOOKUP(Data[[#This Row],[DEVELOPMENT]],Development_Data_Book[[DEVELOPMENT]:[BOROUGH]],3,FALSE)</f>
        <v>82</v>
      </c>
      <c r="Y87" s="20"/>
      <c r="Z87" s="20">
        <f>IFERROR(VLOOKUP(Data[[#This Row],[TDS]],ExtCompactors_PNA[[Development]:[0]],2,FALSE),0)</f>
        <v>0</v>
      </c>
      <c r="AA87" s="20">
        <f>IFERROR(VLOOKUP(Data[[#This Row],[TDS]],IntCompactors_PNA[[TDS]:[0]],2,FALSE),0)</f>
        <v>11</v>
      </c>
      <c r="AB87" s="20"/>
      <c r="AC87" s="20"/>
      <c r="AD87" s="20">
        <f>IFERROR(VLOOKUP(Data[[#This Row],[TDS]],ExtCompactors_PNA[[Development]:[0]],3,FALSE)+VLOOKUP(Data[[#This Row],[TDS]],ExtCompactors_PNA[[Development]:[0]],6,FALSE),0)</f>
        <v>0</v>
      </c>
      <c r="AE87" s="20">
        <f>IFERROR(VLOOKUP(Data[[#This Row],[TDS]],IntCompactors_PNA[[TDS]:[0]],3,FALSE)+VLOOKUP(Data[[#This Row],[TDS]],IntCompactors_PNA[[TDS]:[0]],6,FALSE),0)</f>
        <v>11</v>
      </c>
      <c r="AF87" s="20" t="e">
        <f>VLOOKUP(Data[[#This Row],[DEVELOPMENT]],[3]Developments!$A$2:$A$312,1,FALSE)</f>
        <v>#N/A</v>
      </c>
      <c r="AG87" s="20">
        <f>IFERROR(VLOOKUP(Data[[#This Row],[DEVELOPMENT]],Ops_Priorities_and_Data_Clean[[development]:[ifnoext_comment]],3,FALSE),"")</f>
        <v>3</v>
      </c>
      <c r="AH87" s="20">
        <f>IFERROR(VLOOKUP(Data[[#This Row],[DEVELOPMENT]],Ops_Priorities_and_Data_Clean[[development]:[ifnoext_comment]],4,FALSE),"")</f>
        <v>1</v>
      </c>
      <c r="AI87" s="20">
        <f>IFERROR(VLOOKUP(Data[[#This Row],[DEVELOPMENT]],Ops_Priorities_and_Data_Clean[[development]:[ifnoext_comment]],5,FALSE),"")</f>
        <v>1</v>
      </c>
      <c r="AJ87" s="20">
        <f>IFERROR(VLOOKUP(Data[[#This Row],[DEVELOPMENT]],Ops_Priorities_and_Data_Clean[[development]:[ifnoext_comment]],6,FALSE),"")</f>
        <v>0</v>
      </c>
      <c r="AK87" s="20">
        <f>IFERROR(VLOOKUP(Data[[#This Row],[DEVELOPMENT]],Ops_Priorities_and_Data_Clean[[development]:[ifnoext_comment]],7,FALSE),"")</f>
        <v>0</v>
      </c>
      <c r="AL87" s="20">
        <f>IFERROR(VLOOKUP(Data[[#This Row],[DEVELOPMENT]],Ops_Priorities_and_Data_Clean[[development]:[ifnoext_comment]],8,FALSE),"")</f>
        <v>1</v>
      </c>
      <c r="AM87" s="20">
        <f>IFERROR(VLOOKUP(Data[[#This Row],[DEVELOPMENT]],Ops_Priorities_and_Data_Clean[[development]:[ifnoext_comment]],9,FALSE),"")</f>
        <v>0</v>
      </c>
      <c r="AN87" s="20">
        <f>IFERROR(VLOOKUP(Data[[#This Row],[DEVELOPMENT]],Ops_Priorities_and_Data_Clean[[development]:[ifnoext_comment]],10,FALSE),"")</f>
        <v>3</v>
      </c>
      <c r="AO87" s="20">
        <f>IFERROR(VLOOKUP(Data[[#This Row],[DEVELOPMENT]],Ops_Priorities_and_Data_Clean[[development]:[ifnoext_comment]],11,FALSE),"")</f>
        <v>3</v>
      </c>
      <c r="AP87" s="20">
        <f>IFERROR(VLOOKUP(Data[[#This Row],[DEVELOPMENT]],Ops_Priorities_and_Data_Clean[[development]:[ifnoext_comment]],12,FALSE),"")</f>
        <v>0</v>
      </c>
      <c r="AQ87" s="20">
        <f>VLOOKUP(Data[[#This Row],[DEVELOPMENT]],Ops_Priorities_and_Data_Clean[[development]:[ifnoext_comment]],14,FALSE)</f>
        <v>0</v>
      </c>
      <c r="AR87" s="20">
        <f>VLOOKUP(Data[[#This Row],[DEVELOPMENT]],Ops_Priorities_and_Data_Clean[[development]:[ifnoext_comment]],15,FALSE)</f>
        <v>0</v>
      </c>
      <c r="AS87" s="20" t="str">
        <f>VLOOKUP(Data[[#This Row],[DEVELOPMENT]],Ops_Priorities_and_Data_Clean[[development]:[ifnoext_comment]],16,FALSE)</f>
        <v>NULL</v>
      </c>
      <c r="AT87" s="20" t="str">
        <f>VLOOKUP(Data[[#This Row],[DEVELOPMENT]],Ops_Priorities_and_Data_Clean[[development]:[ifnoext_comment]],17,FALSE)</f>
        <v>NULL</v>
      </c>
      <c r="AU87" s="20" t="str">
        <f>VLOOKUP(Data[[#This Row],[DEVELOPMENT]],Ops_Priorities_and_Data_Clean[[development]:[ifnoext_comment]],18,FALSE)</f>
        <v>NULL</v>
      </c>
      <c r="AV87" s="20" t="str">
        <f>VLOOKUP(Data[[#This Row],[DEVELOPMENT]],Ops_Priorities_and_Data_Clean[[development]:[ifnoext_comment]],19,FALSE)</f>
        <v>NULL</v>
      </c>
      <c r="AW87" s="20" t="str">
        <f>VLOOKUP(Data[[#This Row],[DEVELOPMENT]],Ops_Priorities_and_Data_Clean[[development]:[ifnoext_comment]],20,FALSE)</f>
        <v>NULL</v>
      </c>
      <c r="AX87" s="104" t="s">
        <v>2239</v>
      </c>
      <c r="AY87" s="104" t="s">
        <v>2609</v>
      </c>
      <c r="AZ87" s="20" t="str">
        <f>VLOOKUP(Data[[#This Row],[DEVELOPMENT]],Development_Data_Book[[DEVELOPMENT]:[PRIVATE MANAGEMENT]],8,FALSE)</f>
        <v>FEDERAL</v>
      </c>
      <c r="BA87" s="104" t="s">
        <v>2613</v>
      </c>
      <c r="BB87" s="20">
        <f>VLOOKUP(Data[[#This Row],[DEVELOPMENT]],Development_Data_Book[[DEVELOPMENT]:[PRIVATE MANAGEMENT]],22,FALSE)</f>
        <v>0</v>
      </c>
      <c r="BC87" s="20">
        <f>Data[[#This Row],[Non-Dwelling Buildings]]+Data[[#This Row],[Dwelling Buildings]]</f>
        <v>11</v>
      </c>
      <c r="BD87" s="20">
        <f>VLOOKUP(Data[[#This Row],[DEVELOPMENT]],Development_Data_Book[[DEVELOPMENT]:[PRIVATE MANAGEMENT]],26,FALSE)</f>
        <v>12.24</v>
      </c>
      <c r="BE87" s="106">
        <v>1393098</v>
      </c>
      <c r="BF87" s="20">
        <f>VLOOKUP(Data[[#This Row],[DEVELOPMENT]],Development_Data_Book[[DEVELOPMENT]:[PRIVATE MANAGEMENT]],18,FALSE)</f>
        <v>2651</v>
      </c>
      <c r="BG8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87" s="104" t="s">
        <v>2598</v>
      </c>
      <c r="BI87" t="s">
        <v>184</v>
      </c>
      <c r="BJ87" s="20">
        <f>VLOOKUP(Data[[#This Row],[DEVELOPMENT]],Development_Data_Book[[DEVELOPMENT]:[PRIVATE MANAGEMENT]],41,FALSE)</f>
        <v>7</v>
      </c>
      <c r="BK87" s="20">
        <f>VLOOKUP(Data[[#This Row],[DEVELOPMENT]],Development_Data_Book[[DEVELOPMENT]:[PRIVATE MANAGEMENT]],42,FALSE)</f>
        <v>13</v>
      </c>
      <c r="BL87" s="20">
        <f>VLOOKUP(Data[[#This Row],[DEVELOPMENT]],Development_Data_Book[[DEVELOPMENT]:[PRIVATE MANAGEMENT]],43,FALSE)</f>
        <v>30</v>
      </c>
      <c r="BM87" s="20">
        <f>VLOOKUP(Data[[#This Row],[DEVELOPMENT]],Development_Data_Book[[DEVELOPMENT]:[PRIVATE MANAGEMENT]],44,FALSE)</f>
        <v>69</v>
      </c>
      <c r="BN87" s="20">
        <f>VLOOKUP(Data[[#This Row],[DEVELOPMENT]],Development_Data_Book[[DEVELOPMENT]:[PRIVATE MANAGEMENT]],45,FALSE)</f>
        <v>7</v>
      </c>
      <c r="BO87" s="20" t="str">
        <f>VLOOKUP(Data[[#This Row],[DEVELOPMENT]],Development_Data_Book[[DEVELOPMENT]:[PRIVATE MANAGEMENT]],24,FALSE)</f>
        <v>5-9-12-17-20</v>
      </c>
    </row>
    <row r="88" spans="1:67">
      <c r="A88" t="s">
        <v>76</v>
      </c>
      <c r="B88" t="str">
        <f>VLOOKUP(Data[[#This Row],[DEVELOPMENT]],Development_Data_Book[[DEVELOPMENT]:[BOROUGH]],MATCH("borough",Development_Data_Book[[#Headers],[DEVELOPMENT]:[BOROUGH]],0),FALSE)</f>
        <v>MANHATTAN</v>
      </c>
      <c r="C88" t="e">
        <f>VLOOKUP(Data[[#This Row],[DEVELOPMENT]],'[1]Cheat-Sheet'!$D$2:$Q$341,2,FALSE)</f>
        <v>#N/A</v>
      </c>
      <c r="D8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88">
        <f>VLOOKUP(Data[[#This Row],[DEVELOPMENT]],Development_Data_Book[[DEVELOPMENT]:[BOROUGH]],21,FALSE)</f>
        <v>6</v>
      </c>
      <c r="F88">
        <f>VLOOKUP(Data[[#This Row],[DEVELOPMENT]],Development_Data_Book[[DEVELOPMENT]:[BOROUGH]],23,FALSE)</f>
        <v>6</v>
      </c>
      <c r="G88">
        <f>VLOOKUP(Data[[#This Row],[DEVELOPMENT]],Development_Data_Book[[DEVELOPMENT]:[BOROUGH]],12,FALSE)</f>
        <v>752</v>
      </c>
      <c r="H88" t="s">
        <v>2248</v>
      </c>
      <c r="I88">
        <v>2</v>
      </c>
      <c r="J88">
        <f>IFERROR(VLOOKUP(Data[[#This Row],[DEVELOPMENT]],IntCompactors_MRST[],4,FALSE),0)</f>
        <v>6</v>
      </c>
      <c r="K88" s="20">
        <f>IFERROR(VLOOKUP(Data[[#This Row],[DEVELOPMENT]],ExtCompactors_MRST[],4,FALSE),0)</f>
        <v>0</v>
      </c>
      <c r="L88" s="27">
        <f>IF(Data[[#This Row],['# Interior Compactors MRST]]=0,"",VLOOKUP(Data[[#This Row],[DEVELOPMENT]],IntCompactors_MRST[],5,FALSE))</f>
        <v>36800</v>
      </c>
      <c r="M88" s="28" t="str">
        <f>IF(Data[[#This Row],['# Exterior Compactors MRST]]=0,"",VLOOKUP(Data[[#This Row],[DEVELOPMENT]],ExtCompactors_MRST[],5,FALSE))</f>
        <v/>
      </c>
      <c r="N88">
        <f>Data[[#This Row],['# Interior Compactors MRST]]</f>
        <v>6</v>
      </c>
      <c r="O88" s="20">
        <f>IF(Data[[#This Row],['# Bulk Crushers]]=0,1,0)</f>
        <v>1</v>
      </c>
      <c r="P88" s="20">
        <f>1</f>
        <v>1</v>
      </c>
      <c r="Q88" s="20">
        <f>1</f>
        <v>1</v>
      </c>
      <c r="R88" s="20">
        <f>1</f>
        <v>1</v>
      </c>
      <c r="S88" s="20">
        <f>1</f>
        <v>1</v>
      </c>
      <c r="T88" s="20">
        <f>IF(Data[[#This Row],[Sewershed]]="Newtown Creek",Data[[#This Row],[DUs]],0)</f>
        <v>0</v>
      </c>
      <c r="U8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8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8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88" s="82">
        <f>VLOOKUP(Data[[#This Row],[DEVELOPMENT]],Development_Data_Book[[DEVELOPMENT]:[BOROUGH]],3,FALSE)</f>
        <v>582</v>
      </c>
      <c r="Y88" s="20"/>
      <c r="Z88" s="20">
        <f>IFERROR(VLOOKUP(Data[[#This Row],[TDS]],ExtCompactors_PNA[[Development]:[0]],2,FALSE),0)</f>
        <v>0</v>
      </c>
      <c r="AA88" s="20">
        <f>IFERROR(VLOOKUP(Data[[#This Row],[TDS]],IntCompactors_PNA[[TDS]:[0]],2,FALSE),0)</f>
        <v>6</v>
      </c>
      <c r="AB88" s="20"/>
      <c r="AC88" s="20"/>
      <c r="AD88" s="20">
        <f>IFERROR(VLOOKUP(Data[[#This Row],[TDS]],ExtCompactors_PNA[[Development]:[0]],3,FALSE)+VLOOKUP(Data[[#This Row],[TDS]],ExtCompactors_PNA[[Development]:[0]],6,FALSE),0)</f>
        <v>0</v>
      </c>
      <c r="AE88" s="20">
        <f>IFERROR(VLOOKUP(Data[[#This Row],[TDS]],IntCompactors_PNA[[TDS]:[0]],3,FALSE)+VLOOKUP(Data[[#This Row],[TDS]],IntCompactors_PNA[[TDS]:[0]],6,FALSE),0)</f>
        <v>6</v>
      </c>
      <c r="AF88" s="20" t="e">
        <f>VLOOKUP(Data[[#This Row],[DEVELOPMENT]],[3]Developments!$A$2:$A$312,1,FALSE)</f>
        <v>#N/A</v>
      </c>
      <c r="AG88" s="20">
        <f>IFERROR(VLOOKUP(Data[[#This Row],[DEVELOPMENT]],Ops_Priorities_and_Data_Clean[[development]:[ifnoext_comment]],3,FALSE),"")</f>
        <v>0</v>
      </c>
      <c r="AH88" s="20">
        <f>IFERROR(VLOOKUP(Data[[#This Row],[DEVELOPMENT]],Ops_Priorities_and_Data_Clean[[development]:[ifnoext_comment]],4,FALSE),"")</f>
        <v>0</v>
      </c>
      <c r="AI88" s="20">
        <f>IFERROR(VLOOKUP(Data[[#This Row],[DEVELOPMENT]],Ops_Priorities_and_Data_Clean[[development]:[ifnoext_comment]],5,FALSE),"")</f>
        <v>0</v>
      </c>
      <c r="AJ88" s="20">
        <f>IFERROR(VLOOKUP(Data[[#This Row],[DEVELOPMENT]],Ops_Priorities_and_Data_Clean[[development]:[ifnoext_comment]],6,FALSE),"")</f>
        <v>1</v>
      </c>
      <c r="AK88" s="20">
        <f>IFERROR(VLOOKUP(Data[[#This Row],[DEVELOPMENT]],Ops_Priorities_and_Data_Clean[[development]:[ifnoext_comment]],7,FALSE),"")</f>
        <v>0</v>
      </c>
      <c r="AL88" s="20">
        <f>IFERROR(VLOOKUP(Data[[#This Row],[DEVELOPMENT]],Ops_Priorities_and_Data_Clean[[development]:[ifnoext_comment]],8,FALSE),"")</f>
        <v>1</v>
      </c>
      <c r="AM88" s="20">
        <f>IFERROR(VLOOKUP(Data[[#This Row],[DEVELOPMENT]],Ops_Priorities_and_Data_Clean[[development]:[ifnoext_comment]],9,FALSE),"")</f>
        <v>0</v>
      </c>
      <c r="AN88" s="20">
        <f>IFERROR(VLOOKUP(Data[[#This Row],[DEVELOPMENT]],Ops_Priorities_and_Data_Clean[[development]:[ifnoext_comment]],10,FALSE),"")</f>
        <v>0</v>
      </c>
      <c r="AO88" s="20">
        <f>IFERROR(VLOOKUP(Data[[#This Row],[DEVELOPMENT]],Ops_Priorities_and_Data_Clean[[development]:[ifnoext_comment]],11,FALSE),"")</f>
        <v>0</v>
      </c>
      <c r="AP88" s="20">
        <f>IFERROR(VLOOKUP(Data[[#This Row],[DEVELOPMENT]],Ops_Priorities_and_Data_Clean[[development]:[ifnoext_comment]],12,FALSE),"")</f>
        <v>0</v>
      </c>
      <c r="AQ88" s="20">
        <f>VLOOKUP(Data[[#This Row],[DEVELOPMENT]],Ops_Priorities_and_Data_Clean[[development]:[ifnoext_comment]],14,FALSE)</f>
        <v>0</v>
      </c>
      <c r="AR88" s="20">
        <f>VLOOKUP(Data[[#This Row],[DEVELOPMENT]],Ops_Priorities_and_Data_Clean[[development]:[ifnoext_comment]],15,FALSE)</f>
        <v>1</v>
      </c>
      <c r="AS88" s="20" t="str">
        <f>VLOOKUP(Data[[#This Row],[DEVELOPMENT]],Ops_Priorities_and_Data_Clean[[development]:[ifnoext_comment]],16,FALSE)</f>
        <v>Fred Douglass I</v>
      </c>
      <c r="AT88" s="20" t="str">
        <f>VLOOKUP(Data[[#This Row],[DEVELOPMENT]],Ops_Priorities_and_Data_Clean[[development]:[ifnoext_comment]],17,FALSE)</f>
        <v>NULL</v>
      </c>
      <c r="AU88" s="20" t="str">
        <f>VLOOKUP(Data[[#This Row],[DEVELOPMENT]],Ops_Priorities_and_Data_Clean[[development]:[ifnoext_comment]],18,FALSE)</f>
        <v>NULL</v>
      </c>
      <c r="AV88" s="20" t="str">
        <f>VLOOKUP(Data[[#This Row],[DEVELOPMENT]],Ops_Priorities_and_Data_Clean[[development]:[ifnoext_comment]],19,FALSE)</f>
        <v>NULL</v>
      </c>
      <c r="AW88" s="20" t="str">
        <f>VLOOKUP(Data[[#This Row],[DEVELOPMENT]],Ops_Priorities_and_Data_Clean[[development]:[ifnoext_comment]],20,FALSE)</f>
        <v>NULL</v>
      </c>
      <c r="AX88" s="104" t="s">
        <v>2239</v>
      </c>
      <c r="AY88" s="104" t="s">
        <v>2609</v>
      </c>
      <c r="AZ88" s="20" t="str">
        <f>VLOOKUP(Data[[#This Row],[DEVELOPMENT]],Development_Data_Book[[DEVELOPMENT]:[PRIVATE MANAGEMENT]],8,FALSE)</f>
        <v>FEDERAL</v>
      </c>
      <c r="BA88" s="104" t="s">
        <v>2586</v>
      </c>
      <c r="BB88" s="20">
        <f>VLOOKUP(Data[[#This Row],[DEVELOPMENT]],Development_Data_Book[[DEVELOPMENT]:[PRIVATE MANAGEMENT]],22,FALSE)</f>
        <v>0</v>
      </c>
      <c r="BC88" s="20">
        <f>Data[[#This Row],[Non-Dwelling Buildings]]+Data[[#This Row],[Dwelling Buildings]]</f>
        <v>6</v>
      </c>
      <c r="BD88" s="20">
        <f>VLOOKUP(Data[[#This Row],[DEVELOPMENT]],Development_Data_Book[[DEVELOPMENT]:[PRIVATE MANAGEMENT]],26,FALSE)</f>
        <v>9.5299999999999994</v>
      </c>
      <c r="BE88" s="106">
        <v>828684</v>
      </c>
      <c r="BF88" s="20">
        <f>VLOOKUP(Data[[#This Row],[DEVELOPMENT]],Development_Data_Book[[DEVELOPMENT]:[PRIVATE MANAGEMENT]],18,FALSE)</f>
        <v>1589</v>
      </c>
      <c r="BG8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88" s="104" t="s">
        <v>2598</v>
      </c>
      <c r="BI88" t="s">
        <v>184</v>
      </c>
      <c r="BJ88" s="20">
        <f>VLOOKUP(Data[[#This Row],[DEVELOPMENT]],Development_Data_Book[[DEVELOPMENT]:[PRIVATE MANAGEMENT]],41,FALSE)</f>
        <v>7</v>
      </c>
      <c r="BK88" s="20">
        <f>VLOOKUP(Data[[#This Row],[DEVELOPMENT]],Development_Data_Book[[DEVELOPMENT]:[PRIVATE MANAGEMENT]],42,FALSE)</f>
        <v>13</v>
      </c>
      <c r="BL88" s="20">
        <f>VLOOKUP(Data[[#This Row],[DEVELOPMENT]],Development_Data_Book[[DEVELOPMENT]:[PRIVATE MANAGEMENT]],43,FALSE)</f>
        <v>30</v>
      </c>
      <c r="BM88" s="20">
        <f>VLOOKUP(Data[[#This Row],[DEVELOPMENT]],Development_Data_Book[[DEVELOPMENT]:[PRIVATE MANAGEMENT]],44,FALSE)</f>
        <v>69</v>
      </c>
      <c r="BN88" s="20">
        <f>VLOOKUP(Data[[#This Row],[DEVELOPMENT]],Development_Data_Book[[DEVELOPMENT]:[PRIVATE MANAGEMENT]],45,FALSE)</f>
        <v>7</v>
      </c>
      <c r="BO88" s="20" t="str">
        <f>VLOOKUP(Data[[#This Row],[DEVELOPMENT]],Development_Data_Book[[DEVELOPMENT]:[PRIVATE MANAGEMENT]],24,FALSE)</f>
        <v>9-12-17-18-20</v>
      </c>
    </row>
    <row r="89" spans="1:67">
      <c r="A89" t="s">
        <v>77</v>
      </c>
      <c r="B89" t="str">
        <f>VLOOKUP(Data[[#This Row],[DEVELOPMENT]],Development_Data_Book[[DEVELOPMENT]:[BOROUGH]],MATCH("borough",Development_Data_Book[[#Headers],[DEVELOPMENT]:[BOROUGH]],0),FALSE)</f>
        <v>MANHATTAN</v>
      </c>
      <c r="C89" t="e">
        <f>VLOOKUP(Data[[#This Row],[DEVELOPMENT]],'[1]Cheat-Sheet'!$D$2:$Q$341,2,FALSE)</f>
        <v>#N/A</v>
      </c>
      <c r="D8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89">
        <f>VLOOKUP(Data[[#This Row],[DEVELOPMENT]],Development_Data_Book[[DEVELOPMENT]:[BOROUGH]],21,FALSE)</f>
        <v>5</v>
      </c>
      <c r="F89">
        <f>VLOOKUP(Data[[#This Row],[DEVELOPMENT]],Development_Data_Book[[DEVELOPMENT]:[BOROUGH]],23,FALSE)</f>
        <v>5</v>
      </c>
      <c r="G89">
        <f>VLOOKUP(Data[[#This Row],[DEVELOPMENT]],Development_Data_Book[[DEVELOPMENT]:[BOROUGH]],12,FALSE)</f>
        <v>1211</v>
      </c>
      <c r="H89" t="s">
        <v>2247</v>
      </c>
      <c r="I89">
        <v>4</v>
      </c>
      <c r="J89">
        <f>IFERROR(VLOOKUP(Data[[#This Row],[DEVELOPMENT]],IntCompactors_MRST[],4,FALSE),0)</f>
        <v>5</v>
      </c>
      <c r="K89" s="20">
        <f>IFERROR(VLOOKUP(Data[[#This Row],[DEVELOPMENT]],ExtCompactors_MRST[],4,FALSE),0)</f>
        <v>2</v>
      </c>
      <c r="L89" s="27">
        <f>IF(Data[[#This Row],['# Interior Compactors MRST]]=0,"",VLOOKUP(Data[[#This Row],[DEVELOPMENT]],IntCompactors_MRST[],5,FALSE))</f>
        <v>37469</v>
      </c>
      <c r="M89" s="28">
        <f>IF(Data[[#This Row],['# Exterior Compactors MRST]]=0,"",VLOOKUP(Data[[#This Row],[DEVELOPMENT]],ExtCompactors_MRST[],5,FALSE))</f>
        <v>36598</v>
      </c>
      <c r="N89">
        <f>Data[[#This Row],['# Interior Compactors MRST]]</f>
        <v>5</v>
      </c>
      <c r="O89" s="20">
        <f>IF(Data[[#This Row],['# Bulk Crushers]]=0,1,0)</f>
        <v>1</v>
      </c>
      <c r="P89" s="20">
        <f>1</f>
        <v>1</v>
      </c>
      <c r="Q89" s="20">
        <f>1</f>
        <v>1</v>
      </c>
      <c r="R89" s="20">
        <f>1</f>
        <v>1</v>
      </c>
      <c r="S89" s="20">
        <f>1</f>
        <v>1</v>
      </c>
      <c r="T89" s="20">
        <f>IF(Data[[#This Row],[Sewershed]]="Newtown Creek",Data[[#This Row],[DUs]],0)</f>
        <v>0</v>
      </c>
      <c r="U8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8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8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89" s="82">
        <f>VLOOKUP(Data[[#This Row],[DEVELOPMENT]],Development_Data_Book[[DEVELOPMENT]:[BOROUGH]],3,FALSE)</f>
        <v>111</v>
      </c>
      <c r="Y89" s="20"/>
      <c r="Z89" s="20">
        <f>IFERROR(VLOOKUP(Data[[#This Row],[TDS]],ExtCompactors_PNA[[Development]:[0]],2,FALSE),0)</f>
        <v>2</v>
      </c>
      <c r="AA89" s="20">
        <f>IFERROR(VLOOKUP(Data[[#This Row],[TDS]],IntCompactors_PNA[[TDS]:[0]],2,FALSE),0)</f>
        <v>5</v>
      </c>
      <c r="AB89" s="20"/>
      <c r="AC89" s="20"/>
      <c r="AD89" s="20">
        <f>IFERROR(VLOOKUP(Data[[#This Row],[TDS]],ExtCompactors_PNA[[Development]:[0]],3,FALSE)+VLOOKUP(Data[[#This Row],[TDS]],ExtCompactors_PNA[[Development]:[0]],6,FALSE),0)</f>
        <v>2</v>
      </c>
      <c r="AE89" s="20">
        <f>IFERROR(VLOOKUP(Data[[#This Row],[TDS]],IntCompactors_PNA[[TDS]:[0]],3,FALSE)+VLOOKUP(Data[[#This Row],[TDS]],IntCompactors_PNA[[TDS]:[0]],6,FALSE),0)</f>
        <v>5</v>
      </c>
      <c r="AF89" s="20" t="e">
        <f>VLOOKUP(Data[[#This Row],[DEVELOPMENT]],[3]Developments!$A$2:$A$312,1,FALSE)</f>
        <v>#N/A</v>
      </c>
      <c r="AG89" s="20">
        <f>IFERROR(VLOOKUP(Data[[#This Row],[DEVELOPMENT]],Ops_Priorities_and_Data_Clean[[development]:[ifnoext_comment]],3,FALSE),"")</f>
        <v>2</v>
      </c>
      <c r="AH89" s="20">
        <f>IFERROR(VLOOKUP(Data[[#This Row],[DEVELOPMENT]],Ops_Priorities_and_Data_Clean[[development]:[ifnoext_comment]],4,FALSE),"")</f>
        <v>2</v>
      </c>
      <c r="AI89" s="20">
        <f>IFERROR(VLOOKUP(Data[[#This Row],[DEVELOPMENT]],Ops_Priorities_and_Data_Clean[[development]:[ifnoext_comment]],5,FALSE),"")</f>
        <v>1</v>
      </c>
      <c r="AJ89" s="20">
        <f>IFERROR(VLOOKUP(Data[[#This Row],[DEVELOPMENT]],Ops_Priorities_and_Data_Clean[[development]:[ifnoext_comment]],6,FALSE),"")</f>
        <v>0</v>
      </c>
      <c r="AK89" s="20">
        <f>IFERROR(VLOOKUP(Data[[#This Row],[DEVELOPMENT]],Ops_Priorities_and_Data_Clean[[development]:[ifnoext_comment]],7,FALSE),"")</f>
        <v>0</v>
      </c>
      <c r="AL89" s="20">
        <f>IFERROR(VLOOKUP(Data[[#This Row],[DEVELOPMENT]],Ops_Priorities_and_Data_Clean[[development]:[ifnoext_comment]],8,FALSE),"")</f>
        <v>1</v>
      </c>
      <c r="AM89" s="20">
        <f>IFERROR(VLOOKUP(Data[[#This Row],[DEVELOPMENT]],Ops_Priorities_and_Data_Clean[[development]:[ifnoext_comment]],9,FALSE),"")</f>
        <v>0</v>
      </c>
      <c r="AN89" s="20">
        <f>IFERROR(VLOOKUP(Data[[#This Row],[DEVELOPMENT]],Ops_Priorities_and_Data_Clean[[development]:[ifnoext_comment]],10,FALSE),"")</f>
        <v>2</v>
      </c>
      <c r="AO89" s="20">
        <f>IFERROR(VLOOKUP(Data[[#This Row],[DEVELOPMENT]],Ops_Priorities_and_Data_Clean[[development]:[ifnoext_comment]],11,FALSE),"")</f>
        <v>2</v>
      </c>
      <c r="AP89" s="20">
        <f>IFERROR(VLOOKUP(Data[[#This Row],[DEVELOPMENT]],Ops_Priorities_and_Data_Clean[[development]:[ifnoext_comment]],12,FALSE),"")</f>
        <v>2</v>
      </c>
      <c r="AQ89" s="20">
        <f>VLOOKUP(Data[[#This Row],[DEVELOPMENT]],Ops_Priorities_and_Data_Clean[[development]:[ifnoext_comment]],14,FALSE)</f>
        <v>0</v>
      </c>
      <c r="AR89" s="20">
        <f>VLOOKUP(Data[[#This Row],[DEVELOPMENT]],Ops_Priorities_and_Data_Clean[[development]:[ifnoext_comment]],15,FALSE)</f>
        <v>0</v>
      </c>
      <c r="AS89" s="20" t="str">
        <f>VLOOKUP(Data[[#This Row],[DEVELOPMENT]],Ops_Priorities_and_Data_Clean[[development]:[ifnoext_comment]],16,FALSE)</f>
        <v>NULL</v>
      </c>
      <c r="AT89" s="20" t="str">
        <f>VLOOKUP(Data[[#This Row],[DEVELOPMENT]],Ops_Priorities_and_Data_Clean[[development]:[ifnoext_comment]],17,FALSE)</f>
        <v>NULL</v>
      </c>
      <c r="AU89" s="20" t="str">
        <f>VLOOKUP(Data[[#This Row],[DEVELOPMENT]],Ops_Priorities_and_Data_Clean[[development]:[ifnoext_comment]],18,FALSE)</f>
        <v>NULL</v>
      </c>
      <c r="AV89" s="20" t="str">
        <f>VLOOKUP(Data[[#This Row],[DEVELOPMENT]],Ops_Priorities_and_Data_Clean[[development]:[ifnoext_comment]],19,FALSE)</f>
        <v>NULL</v>
      </c>
      <c r="AW89" s="20" t="str">
        <f>VLOOKUP(Data[[#This Row],[DEVELOPMENT]],Ops_Priorities_and_Data_Clean[[development]:[ifnoext_comment]],20,FALSE)</f>
        <v>NULL</v>
      </c>
      <c r="AX89" s="104" t="s">
        <v>2605</v>
      </c>
      <c r="AY89" s="104" t="s">
        <v>2592</v>
      </c>
      <c r="AZ89" s="20" t="str">
        <f>VLOOKUP(Data[[#This Row],[DEVELOPMENT]],Development_Data_Book[[DEVELOPMENT]:[PRIVATE MANAGEMENT]],8,FALSE)</f>
        <v>MIXED FINANCE/LLC1</v>
      </c>
      <c r="BA89" s="104" t="s">
        <v>2586</v>
      </c>
      <c r="BB89" s="20">
        <f>VLOOKUP(Data[[#This Row],[DEVELOPMENT]],Development_Data_Book[[DEVELOPMENT]:[PRIVATE MANAGEMENT]],22,FALSE)</f>
        <v>0</v>
      </c>
      <c r="BC89" s="20">
        <f>Data[[#This Row],[Non-Dwelling Buildings]]+Data[[#This Row],[Dwelling Buildings]]</f>
        <v>5</v>
      </c>
      <c r="BD89" s="20">
        <f>VLOOKUP(Data[[#This Row],[DEVELOPMENT]],Development_Data_Book[[DEVELOPMENT]:[PRIVATE MANAGEMENT]],26,FALSE)</f>
        <v>7.17</v>
      </c>
      <c r="BE89" s="106">
        <v>1108700</v>
      </c>
      <c r="BF89" s="20">
        <f>VLOOKUP(Data[[#This Row],[DEVELOPMENT]],Development_Data_Book[[DEVELOPMENT]:[PRIVATE MANAGEMENT]],18,FALSE)</f>
        <v>2800</v>
      </c>
      <c r="BG8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89" s="104" t="s">
        <v>2593</v>
      </c>
      <c r="BI89" t="s">
        <v>184</v>
      </c>
      <c r="BJ89" s="20">
        <f>VLOOKUP(Data[[#This Row],[DEVELOPMENT]],Development_Data_Book[[DEVELOPMENT]:[PRIVATE MANAGEMENT]],41,FALSE)</f>
        <v>10</v>
      </c>
      <c r="BK89" s="20">
        <f>VLOOKUP(Data[[#This Row],[DEVELOPMENT]],Development_Data_Book[[DEVELOPMENT]:[PRIVATE MANAGEMENT]],42,FALSE)</f>
        <v>13</v>
      </c>
      <c r="BL89" s="20">
        <f>VLOOKUP(Data[[#This Row],[DEVELOPMENT]],Development_Data_Book[[DEVELOPMENT]:[PRIVATE MANAGEMENT]],43,FALSE)</f>
        <v>30</v>
      </c>
      <c r="BM89" s="20">
        <f>VLOOKUP(Data[[#This Row],[DEVELOPMENT]],Development_Data_Book[[DEVELOPMENT]:[PRIVATE MANAGEMENT]],44,FALSE)</f>
        <v>70</v>
      </c>
      <c r="BN89" s="20">
        <f>VLOOKUP(Data[[#This Row],[DEVELOPMENT]],Development_Data_Book[[DEVELOPMENT]:[PRIVATE MANAGEMENT]],45,FALSE)</f>
        <v>9</v>
      </c>
      <c r="BO89" s="20">
        <f>VLOOKUP(Data[[#This Row],[DEVELOPMENT]],Development_Data_Book[[DEVELOPMENT]:[PRIVATE MANAGEMENT]],24,FALSE)</f>
        <v>21</v>
      </c>
    </row>
    <row r="90" spans="1:67">
      <c r="A90" t="s">
        <v>279</v>
      </c>
      <c r="B90" s="20" t="str">
        <f>VLOOKUP(Data[[#This Row],[DEVELOPMENT]],Development_Data_Book[[DEVELOPMENT]:[BOROUGH]],MATCH("borough",Development_Data_Book[[#Headers],[DEVELOPMENT]:[BOROUGH]],0),FALSE)</f>
        <v>MANHATTAN</v>
      </c>
      <c r="C90" s="20" t="e">
        <f>VLOOKUP(Data[[#This Row],[DEVELOPMENT]],'[1]Cheat-Sheet'!$D$2:$Q$341,2,FALSE)</f>
        <v>#N/A</v>
      </c>
      <c r="D9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90" s="20">
        <f>VLOOKUP(Data[[#This Row],[DEVELOPMENT]],Development_Data_Book[[DEVELOPMENT]:[BOROUGH]],21,FALSE)</f>
        <v>7</v>
      </c>
      <c r="F90" s="20">
        <f>VLOOKUP(Data[[#This Row],[DEVELOPMENT]],Development_Data_Book[[DEVELOPMENT]:[BOROUGH]],23,FALSE)</f>
        <v>8</v>
      </c>
      <c r="G90" s="20">
        <f>VLOOKUP(Data[[#This Row],[DEVELOPMENT]],Development_Data_Book[[DEVELOPMENT]:[BOROUGH]],12,FALSE)</f>
        <v>1167</v>
      </c>
      <c r="J90">
        <f>IFERROR(VLOOKUP(Data[[#This Row],[DEVELOPMENT]],IntCompactors_MRST[],4,FALSE),0)</f>
        <v>7</v>
      </c>
      <c r="K90" s="20">
        <f>IFERROR(VLOOKUP(Data[[#This Row],[DEVELOPMENT]],ExtCompactors_MRST[],4,FALSE),0)</f>
        <v>2</v>
      </c>
      <c r="L90" s="27">
        <f>IF(Data[[#This Row],['# Interior Compactors MRST]]=0,"",VLOOKUP(Data[[#This Row],[DEVELOPMENT]],IntCompactors_MRST[],5,FALSE))</f>
        <v>36557</v>
      </c>
      <c r="M90" s="28">
        <f>IF(Data[[#This Row],['# Exterior Compactors MRST]]=0,"",VLOOKUP(Data[[#This Row],[DEVELOPMENT]],ExtCompactors_MRST[],5,FALSE))</f>
        <v>41955</v>
      </c>
      <c r="N90" s="20">
        <f>Data[[#This Row],['# Interior Compactors MRST]]</f>
        <v>7</v>
      </c>
      <c r="O90" s="20">
        <f>IF(Data[[#This Row],['# Bulk Crushers]]=0,1,0)</f>
        <v>1</v>
      </c>
      <c r="P90" s="20">
        <f>1</f>
        <v>1</v>
      </c>
      <c r="Q90" s="20">
        <f>1</f>
        <v>1</v>
      </c>
      <c r="R90" s="20">
        <f>1</f>
        <v>1</v>
      </c>
      <c r="S90" s="20">
        <f>1</f>
        <v>1</v>
      </c>
      <c r="T90" s="20">
        <f>IF(Data[[#This Row],[Sewershed]]="Newtown Creek",Data[[#This Row],[DUs]],0)</f>
        <v>0</v>
      </c>
      <c r="U9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9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9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90" s="82">
        <f>VLOOKUP(Data[[#This Row],[DEVELOPMENT]],Development_Data_Book[[DEVELOPMENT]:[BOROUGH]],3,FALSE)</f>
        <v>41</v>
      </c>
      <c r="Y90" s="20"/>
      <c r="Z90" s="20">
        <f>IFERROR(VLOOKUP(Data[[#This Row],[TDS]],ExtCompactors_PNA[[Development]:[0]],2,FALSE),0)</f>
        <v>2</v>
      </c>
      <c r="AA90" s="20">
        <f>IFERROR(VLOOKUP(Data[[#This Row],[TDS]],IntCompactors_PNA[[TDS]:[0]],2,FALSE),0)</f>
        <v>14</v>
      </c>
      <c r="AB90" s="20"/>
      <c r="AC90" s="20"/>
      <c r="AD90" s="20">
        <f>IFERROR(VLOOKUP(Data[[#This Row],[TDS]],ExtCompactors_PNA[[Development]:[0]],3,FALSE)+VLOOKUP(Data[[#This Row],[TDS]],ExtCompactors_PNA[[Development]:[0]],6,FALSE),0)</f>
        <v>0</v>
      </c>
      <c r="AE90" s="20">
        <f>IFERROR(VLOOKUP(Data[[#This Row],[TDS]],IntCompactors_PNA[[TDS]:[0]],3,FALSE)+VLOOKUP(Data[[#This Row],[TDS]],IntCompactors_PNA[[TDS]:[0]],6,FALSE),0)</f>
        <v>14</v>
      </c>
      <c r="AF90" s="20" t="e">
        <f>VLOOKUP(Data[[#This Row],[DEVELOPMENT]],[3]Developments!$A$2:$A$312,1,FALSE)</f>
        <v>#N/A</v>
      </c>
      <c r="AG90" s="20">
        <f>IFERROR(VLOOKUP(Data[[#This Row],[DEVELOPMENT]],Ops_Priorities_and_Data_Clean[[development]:[ifnoext_comment]],3,FALSE),"")</f>
        <v>2</v>
      </c>
      <c r="AH90" s="20">
        <f>IFERROR(VLOOKUP(Data[[#This Row],[DEVELOPMENT]],Ops_Priorities_and_Data_Clean[[development]:[ifnoext_comment]],4,FALSE),"")</f>
        <v>4</v>
      </c>
      <c r="AI90" s="20">
        <f>IFERROR(VLOOKUP(Data[[#This Row],[DEVELOPMENT]],Ops_Priorities_and_Data_Clean[[development]:[ifnoext_comment]],5,FALSE),"")</f>
        <v>1</v>
      </c>
      <c r="AJ90" s="20">
        <f>IFERROR(VLOOKUP(Data[[#This Row],[DEVELOPMENT]],Ops_Priorities_and_Data_Clean[[development]:[ifnoext_comment]],6,FALSE),"")</f>
        <v>0</v>
      </c>
      <c r="AK90" s="20">
        <f>IFERROR(VLOOKUP(Data[[#This Row],[DEVELOPMENT]],Ops_Priorities_and_Data_Clean[[development]:[ifnoext_comment]],7,FALSE),"")</f>
        <v>0</v>
      </c>
      <c r="AL90" s="20">
        <f>IFERROR(VLOOKUP(Data[[#This Row],[DEVELOPMENT]],Ops_Priorities_and_Data_Clean[[development]:[ifnoext_comment]],8,FALSE),"")</f>
        <v>1</v>
      </c>
      <c r="AM90" s="20">
        <f>IFERROR(VLOOKUP(Data[[#This Row],[DEVELOPMENT]],Ops_Priorities_and_Data_Clean[[development]:[ifnoext_comment]],9,FALSE),"")</f>
        <v>0</v>
      </c>
      <c r="AN90" s="20">
        <f>IFERROR(VLOOKUP(Data[[#This Row],[DEVELOPMENT]],Ops_Priorities_and_Data_Clean[[development]:[ifnoext_comment]],10,FALSE),"")</f>
        <v>2</v>
      </c>
      <c r="AO90" s="20">
        <f>IFERROR(VLOOKUP(Data[[#This Row],[DEVELOPMENT]],Ops_Priorities_and_Data_Clean[[development]:[ifnoext_comment]],11,FALSE),"")</f>
        <v>2</v>
      </c>
      <c r="AP90" s="20">
        <f>IFERROR(VLOOKUP(Data[[#This Row],[DEVELOPMENT]],Ops_Priorities_and_Data_Clean[[development]:[ifnoext_comment]],12,FALSE),"")</f>
        <v>2</v>
      </c>
      <c r="AQ90" s="20">
        <f>VLOOKUP(Data[[#This Row],[DEVELOPMENT]],Ops_Priorities_and_Data_Clean[[development]:[ifnoext_comment]],14,FALSE)</f>
        <v>0</v>
      </c>
      <c r="AR90" s="20">
        <f>VLOOKUP(Data[[#This Row],[DEVELOPMENT]],Ops_Priorities_and_Data_Clean[[development]:[ifnoext_comment]],15,FALSE)</f>
        <v>0</v>
      </c>
      <c r="AS90" s="20" t="str">
        <f>VLOOKUP(Data[[#This Row],[DEVELOPMENT]],Ops_Priorities_and_Data_Clean[[development]:[ifnoext_comment]],16,FALSE)</f>
        <v>NULL</v>
      </c>
      <c r="AT90" s="20" t="str">
        <f>VLOOKUP(Data[[#This Row],[DEVELOPMENT]],Ops_Priorities_and_Data_Clean[[development]:[ifnoext_comment]],17,FALSE)</f>
        <v>NULL</v>
      </c>
      <c r="AU90" s="20" t="str">
        <f>VLOOKUP(Data[[#This Row],[DEVELOPMENT]],Ops_Priorities_and_Data_Clean[[development]:[ifnoext_comment]],18,FALSE)</f>
        <v>NULL</v>
      </c>
      <c r="AV90" s="20" t="str">
        <f>VLOOKUP(Data[[#This Row],[DEVELOPMENT]],Ops_Priorities_and_Data_Clean[[development]:[ifnoext_comment]],19,FALSE)</f>
        <v>NULL</v>
      </c>
      <c r="AW90" s="20" t="str">
        <f>VLOOKUP(Data[[#This Row],[DEVELOPMENT]],Ops_Priorities_and_Data_Clean[[development]:[ifnoext_comment]],20,FALSE)</f>
        <v>NULL</v>
      </c>
      <c r="AX90" s="104" t="s">
        <v>2239</v>
      </c>
      <c r="AY90" s="104" t="s">
        <v>2625</v>
      </c>
      <c r="AZ90" s="20" t="str">
        <f>VLOOKUP(Data[[#This Row],[DEVELOPMENT]],Development_Data_Book[[DEVELOPMENT]:[PRIVATE MANAGEMENT]],8,FALSE)</f>
        <v>FEDERAL</v>
      </c>
      <c r="BA90" s="104" t="s">
        <v>2586</v>
      </c>
      <c r="BB90" s="20">
        <f>VLOOKUP(Data[[#This Row],[DEVELOPMENT]],Development_Data_Book[[DEVELOPMENT]:[PRIVATE MANAGEMENT]],22,FALSE)</f>
        <v>1</v>
      </c>
      <c r="BC90" s="20">
        <f>Data[[#This Row],[Non-Dwelling Buildings]]+Data[[#This Row],[Dwelling Buildings]]</f>
        <v>8</v>
      </c>
      <c r="BD90" s="20">
        <f>VLOOKUP(Data[[#This Row],[DEVELOPMENT]],Development_Data_Book[[DEVELOPMENT]:[PRIVATE MANAGEMENT]],26,FALSE)</f>
        <v>14.09</v>
      </c>
      <c r="BE90" s="106">
        <v>1122000</v>
      </c>
      <c r="BF90" s="20">
        <f>VLOOKUP(Data[[#This Row],[DEVELOPMENT]],Development_Data_Book[[DEVELOPMENT]:[PRIVATE MANAGEMENT]],18,FALSE)</f>
        <v>2270</v>
      </c>
      <c r="BG9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90" s="104" t="s">
        <v>2593</v>
      </c>
      <c r="BI90" t="s">
        <v>184</v>
      </c>
      <c r="BJ90" s="20">
        <f>VLOOKUP(Data[[#This Row],[DEVELOPMENT]],Development_Data_Book[[DEVELOPMENT]:[PRIVATE MANAGEMENT]],41,FALSE)</f>
        <v>12</v>
      </c>
      <c r="BK90" s="20">
        <f>VLOOKUP(Data[[#This Row],[DEVELOPMENT]],Development_Data_Book[[DEVELOPMENT]:[PRIVATE MANAGEMENT]],42,FALSE)</f>
        <v>13</v>
      </c>
      <c r="BL90" s="20">
        <f>VLOOKUP(Data[[#This Row],[DEVELOPMENT]],Development_Data_Book[[DEVELOPMENT]:[PRIVATE MANAGEMENT]],43,FALSE)</f>
        <v>31</v>
      </c>
      <c r="BM90" s="20">
        <f>VLOOKUP(Data[[#This Row],[DEVELOPMENT]],Development_Data_Book[[DEVELOPMENT]:[PRIVATE MANAGEMENT]],44,FALSE)</f>
        <v>72</v>
      </c>
      <c r="BN90" s="20">
        <f>VLOOKUP(Data[[#This Row],[DEVELOPMENT]],Development_Data_Book[[DEVELOPMENT]:[PRIVATE MANAGEMENT]],45,FALSE)</f>
        <v>10</v>
      </c>
      <c r="BO90" s="20">
        <f>VLOOKUP(Data[[#This Row],[DEVELOPMENT]],Development_Data_Book[[DEVELOPMENT]:[PRIVATE MANAGEMENT]],24,FALSE)</f>
        <v>14</v>
      </c>
    </row>
    <row r="91" spans="1:67">
      <c r="A91" t="s">
        <v>264</v>
      </c>
      <c r="B91" s="20" t="str">
        <f>VLOOKUP(Data[[#This Row],[DEVELOPMENT]],Development_Data_Book[[DEVELOPMENT]:[BOROUGH]],MATCH("borough",Development_Data_Book[[#Headers],[DEVELOPMENT]:[BOROUGH]],0),FALSE)</f>
        <v>BRONX</v>
      </c>
      <c r="C91" s="20" t="e">
        <f>VLOOKUP(Data[[#This Row],[DEVELOPMENT]],'[1]Cheat-Sheet'!$D$2:$Q$341,2,FALSE)</f>
        <v>#N/A</v>
      </c>
      <c r="D9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91" s="20">
        <f>VLOOKUP(Data[[#This Row],[DEVELOPMENT]],Development_Data_Book[[DEVELOPMENT]:[BOROUGH]],21,FALSE)</f>
        <v>1</v>
      </c>
      <c r="F91" s="20">
        <f>VLOOKUP(Data[[#This Row],[DEVELOPMENT]],Development_Data_Book[[DEVELOPMENT]:[BOROUGH]],23,FALSE)</f>
        <v>1</v>
      </c>
      <c r="G91" s="20">
        <f>VLOOKUP(Data[[#This Row],[DEVELOPMENT]],Development_Data_Book[[DEVELOPMENT]:[BOROUGH]],12,FALSE)</f>
        <v>65</v>
      </c>
      <c r="J91">
        <f>IFERROR(VLOOKUP(Data[[#This Row],[DEVELOPMENT]],IntCompactors_MRST[],4,FALSE),0)</f>
        <v>1</v>
      </c>
      <c r="K91" s="20">
        <f>IFERROR(VLOOKUP(Data[[#This Row],[DEVELOPMENT]],ExtCompactors_MRST[],4,FALSE),0)</f>
        <v>0</v>
      </c>
      <c r="L91" s="27">
        <f>IF(Data[[#This Row],['# Interior Compactors MRST]]=0,"",VLOOKUP(Data[[#This Row],[DEVELOPMENT]],IntCompactors_MRST[],5,FALSE))</f>
        <v>35065</v>
      </c>
      <c r="M91" s="28" t="str">
        <f>IF(Data[[#This Row],['# Exterior Compactors MRST]]=0,"",VLOOKUP(Data[[#This Row],[DEVELOPMENT]],ExtCompactors_MRST[],5,FALSE))</f>
        <v/>
      </c>
      <c r="N91" s="20">
        <f>Data[[#This Row],['# Interior Compactors MRST]]</f>
        <v>1</v>
      </c>
      <c r="O91" s="20">
        <f>IF(Data[[#This Row],['# Bulk Crushers]]=0,1,0)</f>
        <v>1</v>
      </c>
      <c r="P91" s="20">
        <f>1</f>
        <v>1</v>
      </c>
      <c r="Q91" s="20">
        <f>1</f>
        <v>1</v>
      </c>
      <c r="R91" s="20">
        <f>1</f>
        <v>1</v>
      </c>
      <c r="S91" s="20">
        <f>1</f>
        <v>1</v>
      </c>
      <c r="T91" s="20">
        <f>IF(Data[[#This Row],[Sewershed]]="Newtown Creek",Data[[#This Row],[DUs]],0)</f>
        <v>0</v>
      </c>
      <c r="U9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9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9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91" s="82">
        <f>VLOOKUP(Data[[#This Row],[DEVELOPMENT]],Development_Data_Book[[DEVELOPMENT]:[BOROUGH]],3,FALSE)</f>
        <v>224</v>
      </c>
      <c r="Y91" s="20"/>
      <c r="Z91" s="20">
        <f>IFERROR(VLOOKUP(Data[[#This Row],[TDS]],ExtCompactors_PNA[[Development]:[0]],2,FALSE),0)</f>
        <v>0</v>
      </c>
      <c r="AA91" s="20">
        <f>IFERROR(VLOOKUP(Data[[#This Row],[TDS]],IntCompactors_PNA[[TDS]:[0]],2,FALSE),0)</f>
        <v>1</v>
      </c>
      <c r="AB91" s="20"/>
      <c r="AC91" s="20"/>
      <c r="AD91" s="20">
        <f>IFERROR(VLOOKUP(Data[[#This Row],[TDS]],ExtCompactors_PNA[[Development]:[0]],3,FALSE)+VLOOKUP(Data[[#This Row],[TDS]],ExtCompactors_PNA[[Development]:[0]],6,FALSE),0)</f>
        <v>0</v>
      </c>
      <c r="AE91" s="20">
        <f>IFERROR(VLOOKUP(Data[[#This Row],[TDS]],IntCompactors_PNA[[TDS]:[0]],3,FALSE)+VLOOKUP(Data[[#This Row],[TDS]],IntCompactors_PNA[[TDS]:[0]],6,FALSE),0)</f>
        <v>1</v>
      </c>
      <c r="AF91" s="20" t="e">
        <f>VLOOKUP(Data[[#This Row],[DEVELOPMENT]],[3]Developments!$A$2:$A$312,1,FALSE)</f>
        <v>#N/A</v>
      </c>
      <c r="AG91" s="20">
        <f>IFERROR(VLOOKUP(Data[[#This Row],[DEVELOPMENT]],Ops_Priorities_and_Data_Clean[[development]:[ifnoext_comment]],3,FALSE),"")</f>
        <v>0</v>
      </c>
      <c r="AH91" s="20">
        <f>IFERROR(VLOOKUP(Data[[#This Row],[DEVELOPMENT]],Ops_Priorities_and_Data_Clean[[development]:[ifnoext_comment]],4,FALSE),"")</f>
        <v>2</v>
      </c>
      <c r="AI91" s="20">
        <f>IFERROR(VLOOKUP(Data[[#This Row],[DEVELOPMENT]],Ops_Priorities_and_Data_Clean[[development]:[ifnoext_comment]],5,FALSE),"")</f>
        <v>0</v>
      </c>
      <c r="AJ91" s="20">
        <f>IFERROR(VLOOKUP(Data[[#This Row],[DEVELOPMENT]],Ops_Priorities_and_Data_Clean[[development]:[ifnoext_comment]],6,FALSE),"")</f>
        <v>1</v>
      </c>
      <c r="AK91" s="20">
        <f>IFERROR(VLOOKUP(Data[[#This Row],[DEVELOPMENT]],Ops_Priorities_and_Data_Clean[[development]:[ifnoext_comment]],7,FALSE),"")</f>
        <v>0</v>
      </c>
      <c r="AL91" s="20">
        <f>IFERROR(VLOOKUP(Data[[#This Row],[DEVELOPMENT]],Ops_Priorities_and_Data_Clean[[development]:[ifnoext_comment]],8,FALSE),"")</f>
        <v>1</v>
      </c>
      <c r="AM91" s="20">
        <f>IFERROR(VLOOKUP(Data[[#This Row],[DEVELOPMENT]],Ops_Priorities_and_Data_Clean[[development]:[ifnoext_comment]],9,FALSE),"")</f>
        <v>1</v>
      </c>
      <c r="AN91" s="20">
        <f>IFERROR(VLOOKUP(Data[[#This Row],[DEVELOPMENT]],Ops_Priorities_and_Data_Clean[[development]:[ifnoext_comment]],10,FALSE),"")</f>
        <v>0</v>
      </c>
      <c r="AO91" s="20">
        <f>IFERROR(VLOOKUP(Data[[#This Row],[DEVELOPMENT]],Ops_Priorities_and_Data_Clean[[development]:[ifnoext_comment]],11,FALSE),"")</f>
        <v>0</v>
      </c>
      <c r="AP91" s="20">
        <f>IFERROR(VLOOKUP(Data[[#This Row],[DEVELOPMENT]],Ops_Priorities_and_Data_Clean[[development]:[ifnoext_comment]],12,FALSE),"")</f>
        <v>0</v>
      </c>
      <c r="AQ91" s="20">
        <f>VLOOKUP(Data[[#This Row],[DEVELOPMENT]],Ops_Priorities_and_Data_Clean[[development]:[ifnoext_comment]],14,FALSE)</f>
        <v>0</v>
      </c>
      <c r="AR91" s="20">
        <f>VLOOKUP(Data[[#This Row],[DEVELOPMENT]],Ops_Priorities_and_Data_Clean[[development]:[ifnoext_comment]],15,FALSE)</f>
        <v>1</v>
      </c>
      <c r="AS91" s="20" t="str">
        <f>VLOOKUP(Data[[#This Row],[DEVELOPMENT]],Ops_Priorities_and_Data_Clean[[development]:[ifnoext_comment]],16,FALSE)</f>
        <v>Mckinley</v>
      </c>
      <c r="AT91" s="20" t="str">
        <f>VLOOKUP(Data[[#This Row],[DEVELOPMENT]],Ops_Priorities_and_Data_Clean[[development]:[ifnoext_comment]],17,FALSE)</f>
        <v>NULL</v>
      </c>
      <c r="AU91" s="20" t="str">
        <f>VLOOKUP(Data[[#This Row],[DEVELOPMENT]],Ops_Priorities_and_Data_Clean[[development]:[ifnoext_comment]],18,FALSE)</f>
        <v>NULL</v>
      </c>
      <c r="AV91" s="20" t="str">
        <f>VLOOKUP(Data[[#This Row],[DEVELOPMENT]],Ops_Priorities_and_Data_Clean[[development]:[ifnoext_comment]],19,FALSE)</f>
        <v>NULL</v>
      </c>
      <c r="AW91" s="20" t="str">
        <f>VLOOKUP(Data[[#This Row],[DEVELOPMENT]],Ops_Priorities_and_Data_Clean[[development]:[ifnoext_comment]],20,FALSE)</f>
        <v>NULL</v>
      </c>
      <c r="AX91" s="104" t="s">
        <v>2237</v>
      </c>
      <c r="AY91" s="104" t="s">
        <v>39</v>
      </c>
      <c r="AZ91" s="20" t="str">
        <f>VLOOKUP(Data[[#This Row],[DEVELOPMENT]],Development_Data_Book[[DEVELOPMENT]:[PRIVATE MANAGEMENT]],8,FALSE)</f>
        <v>FEDERAL</v>
      </c>
      <c r="BA91" s="104" t="s">
        <v>2586</v>
      </c>
      <c r="BB91" s="20">
        <f>VLOOKUP(Data[[#This Row],[DEVELOPMENT]],Development_Data_Book[[DEVELOPMENT]:[PRIVATE MANAGEMENT]],22,FALSE)</f>
        <v>0</v>
      </c>
      <c r="BC91" s="20">
        <f>Data[[#This Row],[Non-Dwelling Buildings]]+Data[[#This Row],[Dwelling Buildings]]</f>
        <v>1</v>
      </c>
      <c r="BD91" s="20">
        <f>VLOOKUP(Data[[#This Row],[DEVELOPMENT]],Development_Data_Book[[DEVELOPMENT]:[PRIVATE MANAGEMENT]],26,FALSE)</f>
        <v>0.65</v>
      </c>
      <c r="BE91" s="106">
        <v>62100</v>
      </c>
      <c r="BF91" s="20">
        <f>VLOOKUP(Data[[#This Row],[DEVELOPMENT]],Development_Data_Book[[DEVELOPMENT]:[PRIVATE MANAGEMENT]],18,FALSE)</f>
        <v>125</v>
      </c>
      <c r="BG9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91" s="104" t="s">
        <v>2631</v>
      </c>
      <c r="BI91" t="s">
        <v>184</v>
      </c>
      <c r="BJ91" s="20">
        <f>VLOOKUP(Data[[#This Row],[DEVELOPMENT]],Development_Data_Book[[DEVELOPMENT]:[PRIVATE MANAGEMENT]],41,FALSE)</f>
        <v>3</v>
      </c>
      <c r="BK91" s="20">
        <f>VLOOKUP(Data[[#This Row],[DEVELOPMENT]],Development_Data_Book[[DEVELOPMENT]:[PRIVATE MANAGEMENT]],42,FALSE)</f>
        <v>15</v>
      </c>
      <c r="BL91" s="20">
        <f>VLOOKUP(Data[[#This Row],[DEVELOPMENT]],Development_Data_Book[[DEVELOPMENT]:[PRIVATE MANAGEMENT]],43,FALSE)</f>
        <v>32</v>
      </c>
      <c r="BM91" s="20">
        <f>VLOOKUP(Data[[#This Row],[DEVELOPMENT]],Development_Data_Book[[DEVELOPMENT]:[PRIVATE MANAGEMENT]],44,FALSE)</f>
        <v>79</v>
      </c>
      <c r="BN91" s="20">
        <f>VLOOKUP(Data[[#This Row],[DEVELOPMENT]],Development_Data_Book[[DEVELOPMENT]:[PRIVATE MANAGEMENT]],45,FALSE)</f>
        <v>17</v>
      </c>
      <c r="BO91" s="20">
        <f>VLOOKUP(Data[[#This Row],[DEVELOPMENT]],Development_Data_Book[[DEVELOPMENT]:[PRIVATE MANAGEMENT]],24,FALSE)</f>
        <v>6</v>
      </c>
    </row>
    <row r="92" spans="1:67">
      <c r="A92" t="s">
        <v>275</v>
      </c>
      <c r="B92" s="20" t="str">
        <f>VLOOKUP(Data[[#This Row],[DEVELOPMENT]],Development_Data_Book[[DEVELOPMENT]:[BOROUGH]],MATCH("borough",Development_Data_Book[[#Headers],[DEVELOPMENT]:[BOROUGH]],0),FALSE)</f>
        <v>BRONX</v>
      </c>
      <c r="C92" s="20" t="e">
        <f>VLOOKUP(Data[[#This Row],[DEVELOPMENT]],'[1]Cheat-Sheet'!$D$2:$Q$341,2,FALSE)</f>
        <v>#N/A</v>
      </c>
      <c r="D9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92" s="20">
        <f>VLOOKUP(Data[[#This Row],[DEVELOPMENT]],Development_Data_Book[[DEVELOPMENT]:[BOROUGH]],21,FALSE)</f>
        <v>2</v>
      </c>
      <c r="F92" s="20">
        <f>VLOOKUP(Data[[#This Row],[DEVELOPMENT]],Development_Data_Book[[DEVELOPMENT]:[BOROUGH]],23,FALSE)</f>
        <v>2</v>
      </c>
      <c r="G92" s="20">
        <f>VLOOKUP(Data[[#This Row],[DEVELOPMENT]],Development_Data_Book[[DEVELOPMENT]:[BOROUGH]],12,FALSE)</f>
        <v>221</v>
      </c>
      <c r="J92">
        <f>IFERROR(VLOOKUP(Data[[#This Row],[DEVELOPMENT]],IntCompactors_MRST[],4,FALSE),0)</f>
        <v>2</v>
      </c>
      <c r="K92" s="20">
        <f>IFERROR(VLOOKUP(Data[[#This Row],[DEVELOPMENT]],ExtCompactors_MRST[],4,FALSE),0)</f>
        <v>1</v>
      </c>
      <c r="L92" s="27">
        <f>IF(Data[[#This Row],['# Interior Compactors MRST]]=0,"",VLOOKUP(Data[[#This Row],[DEVELOPMENT]],IntCompactors_MRST[],5,FALSE))</f>
        <v>35217</v>
      </c>
      <c r="M92" s="28">
        <f>IF(Data[[#This Row],['# Exterior Compactors MRST]]=0,"",VLOOKUP(Data[[#This Row],[DEVELOPMENT]],ExtCompactors_MRST[],5,FALSE))</f>
        <v>38377</v>
      </c>
      <c r="N92" s="20">
        <f>Data[[#This Row],['# Interior Compactors MRST]]</f>
        <v>2</v>
      </c>
      <c r="O92" s="20">
        <f>IF(Data[[#This Row],['# Bulk Crushers]]=0,1,0)</f>
        <v>1</v>
      </c>
      <c r="P92" s="20">
        <f>1</f>
        <v>1</v>
      </c>
      <c r="Q92" s="20">
        <f>1</f>
        <v>1</v>
      </c>
      <c r="R92" s="20">
        <f>1</f>
        <v>1</v>
      </c>
      <c r="S92" s="20">
        <f>1</f>
        <v>1</v>
      </c>
      <c r="T92" s="20">
        <f>IF(Data[[#This Row],[Sewershed]]="Newtown Creek",Data[[#This Row],[DUs]],0)</f>
        <v>0</v>
      </c>
      <c r="U9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9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9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92" s="82">
        <f>VLOOKUP(Data[[#This Row],[DEVELOPMENT]],Development_Data_Book[[DEVELOPMENT]:[BOROUGH]],3,FALSE)</f>
        <v>237</v>
      </c>
      <c r="Y92" s="20"/>
      <c r="Z92" s="20">
        <f>IFERROR(VLOOKUP(Data[[#This Row],[TDS]],ExtCompactors_PNA[[Development]:[0]],2,FALSE),0)</f>
        <v>1</v>
      </c>
      <c r="AA92" s="20">
        <f>IFERROR(VLOOKUP(Data[[#This Row],[TDS]],IntCompactors_PNA[[TDS]:[0]],2,FALSE),0)</f>
        <v>2</v>
      </c>
      <c r="AB92" s="20"/>
      <c r="AC92" s="20"/>
      <c r="AD92" s="20">
        <f>IFERROR(VLOOKUP(Data[[#This Row],[TDS]],ExtCompactors_PNA[[Development]:[0]],3,FALSE)+VLOOKUP(Data[[#This Row],[TDS]],ExtCompactors_PNA[[Development]:[0]],6,FALSE),0)</f>
        <v>1</v>
      </c>
      <c r="AE92" s="20">
        <f>IFERROR(VLOOKUP(Data[[#This Row],[TDS]],IntCompactors_PNA[[TDS]:[0]],3,FALSE)+VLOOKUP(Data[[#This Row],[TDS]],IntCompactors_PNA[[TDS]:[0]],6,FALSE),0)</f>
        <v>2</v>
      </c>
      <c r="AF92" s="20" t="e">
        <f>VLOOKUP(Data[[#This Row],[DEVELOPMENT]],[3]Developments!$A$2:$A$312,1,FALSE)</f>
        <v>#N/A</v>
      </c>
      <c r="AG92" s="20">
        <f>IFERROR(VLOOKUP(Data[[#This Row],[DEVELOPMENT]],Ops_Priorities_and_Data_Clean[[development]:[ifnoext_comment]],3,FALSE),"")</f>
        <v>1</v>
      </c>
      <c r="AH92" s="20">
        <f>IFERROR(VLOOKUP(Data[[#This Row],[DEVELOPMENT]],Ops_Priorities_and_Data_Clean[[development]:[ifnoext_comment]],4,FALSE),"")</f>
        <v>3</v>
      </c>
      <c r="AI92" s="20">
        <f>IFERROR(VLOOKUP(Data[[#This Row],[DEVELOPMENT]],Ops_Priorities_and_Data_Clean[[development]:[ifnoext_comment]],5,FALSE),"")</f>
        <v>1</v>
      </c>
      <c r="AJ92" s="20">
        <f>IFERROR(VLOOKUP(Data[[#This Row],[DEVELOPMENT]],Ops_Priorities_and_Data_Clean[[development]:[ifnoext_comment]],6,FALSE),"")</f>
        <v>0</v>
      </c>
      <c r="AK92" s="20">
        <f>IFERROR(VLOOKUP(Data[[#This Row],[DEVELOPMENT]],Ops_Priorities_and_Data_Clean[[development]:[ifnoext_comment]],7,FALSE),"")</f>
        <v>0</v>
      </c>
      <c r="AL92" s="20">
        <f>IFERROR(VLOOKUP(Data[[#This Row],[DEVELOPMENT]],Ops_Priorities_and_Data_Clean[[development]:[ifnoext_comment]],8,FALSE),"")</f>
        <v>1</v>
      </c>
      <c r="AM92" s="20">
        <f>IFERROR(VLOOKUP(Data[[#This Row],[DEVELOPMENT]],Ops_Priorities_and_Data_Clean[[development]:[ifnoext_comment]],9,FALSE),"")</f>
        <v>0</v>
      </c>
      <c r="AN92" s="20">
        <f>IFERROR(VLOOKUP(Data[[#This Row],[DEVELOPMENT]],Ops_Priorities_and_Data_Clean[[development]:[ifnoext_comment]],10,FALSE),"")</f>
        <v>10</v>
      </c>
      <c r="AO92" s="20">
        <f>IFERROR(VLOOKUP(Data[[#This Row],[DEVELOPMENT]],Ops_Priorities_and_Data_Clean[[development]:[ifnoext_comment]],11,FALSE),"")</f>
        <v>1</v>
      </c>
      <c r="AP92" s="20">
        <f>IFERROR(VLOOKUP(Data[[#This Row],[DEVELOPMENT]],Ops_Priorities_and_Data_Clean[[development]:[ifnoext_comment]],12,FALSE),"")</f>
        <v>1</v>
      </c>
      <c r="AQ92" s="20">
        <f>VLOOKUP(Data[[#This Row],[DEVELOPMENT]],Ops_Priorities_and_Data_Clean[[development]:[ifnoext_comment]],14,FALSE)</f>
        <v>0</v>
      </c>
      <c r="AR92" s="20">
        <f>VLOOKUP(Data[[#This Row],[DEVELOPMENT]],Ops_Priorities_and_Data_Clean[[development]:[ifnoext_comment]],15,FALSE)</f>
        <v>0</v>
      </c>
      <c r="AS92" s="20" t="str">
        <f>VLOOKUP(Data[[#This Row],[DEVELOPMENT]],Ops_Priorities_and_Data_Clean[[development]:[ifnoext_comment]],16,FALSE)</f>
        <v>NULL</v>
      </c>
      <c r="AT92" s="20" t="str">
        <f>VLOOKUP(Data[[#This Row],[DEVELOPMENT]],Ops_Priorities_and_Data_Clean[[development]:[ifnoext_comment]],17,FALSE)</f>
        <v>NULL</v>
      </c>
      <c r="AU92" s="20" t="str">
        <f>VLOOKUP(Data[[#This Row],[DEVELOPMENT]],Ops_Priorities_and_Data_Clean[[development]:[ifnoext_comment]],18,FALSE)</f>
        <v>NULL</v>
      </c>
      <c r="AV92" s="20" t="str">
        <f>VLOOKUP(Data[[#This Row],[DEVELOPMENT]],Ops_Priorities_and_Data_Clean[[development]:[ifnoext_comment]],19,FALSE)</f>
        <v>NULL</v>
      </c>
      <c r="AW92" s="20" t="str">
        <f>VLOOKUP(Data[[#This Row],[DEVELOPMENT]],Ops_Priorities_and_Data_Clean[[development]:[ifnoext_comment]],20,FALSE)</f>
        <v xml:space="preserve">There's 1 here. </v>
      </c>
      <c r="AX92" s="104" t="s">
        <v>2602</v>
      </c>
      <c r="AY92" s="104" t="s">
        <v>39</v>
      </c>
      <c r="AZ92" s="20" t="str">
        <f>VLOOKUP(Data[[#This Row],[DEVELOPMENT]],Development_Data_Book[[DEVELOPMENT]:[PRIVATE MANAGEMENT]],8,FALSE)</f>
        <v>FEDERAL</v>
      </c>
      <c r="BA92" s="104" t="s">
        <v>2586</v>
      </c>
      <c r="BB92" s="20">
        <f>VLOOKUP(Data[[#This Row],[DEVELOPMENT]],Development_Data_Book[[DEVELOPMENT]:[PRIVATE MANAGEMENT]],22,FALSE)</f>
        <v>0</v>
      </c>
      <c r="BC92" s="20">
        <f>Data[[#This Row],[Non-Dwelling Buildings]]+Data[[#This Row],[Dwelling Buildings]]</f>
        <v>2</v>
      </c>
      <c r="BD92" s="20">
        <f>VLOOKUP(Data[[#This Row],[DEVELOPMENT]],Development_Data_Book[[DEVELOPMENT]:[PRIVATE MANAGEMENT]],26,FALSE)</f>
        <v>1.45</v>
      </c>
      <c r="BE92" s="106">
        <v>201000</v>
      </c>
      <c r="BF92" s="20">
        <f>VLOOKUP(Data[[#This Row],[DEVELOPMENT]],Development_Data_Book[[DEVELOPMENT]:[PRIVATE MANAGEMENT]],18,FALSE)</f>
        <v>382</v>
      </c>
      <c r="BG92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92" s="104" t="s">
        <v>2610</v>
      </c>
      <c r="BI92" t="s">
        <v>184</v>
      </c>
      <c r="BJ92" s="20">
        <f>VLOOKUP(Data[[#This Row],[DEVELOPMENT]],Development_Data_Book[[DEVELOPMENT]:[PRIVATE MANAGEMENT]],41,FALSE)</f>
        <v>1</v>
      </c>
      <c r="BK92" s="20">
        <f>VLOOKUP(Data[[#This Row],[DEVELOPMENT]],Development_Data_Book[[DEVELOPMENT]:[PRIVATE MANAGEMENT]],42,FALSE)</f>
        <v>15</v>
      </c>
      <c r="BL92" s="20">
        <f>VLOOKUP(Data[[#This Row],[DEVELOPMENT]],Development_Data_Book[[DEVELOPMENT]:[PRIVATE MANAGEMENT]],43,FALSE)</f>
        <v>32</v>
      </c>
      <c r="BM92" s="20">
        <f>VLOOKUP(Data[[#This Row],[DEVELOPMENT]],Development_Data_Book[[DEVELOPMENT]:[PRIVATE MANAGEMENT]],44,FALSE)</f>
        <v>84</v>
      </c>
      <c r="BN92" s="20">
        <f>VLOOKUP(Data[[#This Row],[DEVELOPMENT]],Development_Data_Book[[DEVELOPMENT]:[PRIVATE MANAGEMENT]],45,FALSE)</f>
        <v>17</v>
      </c>
      <c r="BO92" s="20">
        <f>VLOOKUP(Data[[#This Row],[DEVELOPMENT]],Development_Data_Book[[DEVELOPMENT]:[PRIVATE MANAGEMENT]],24,FALSE)</f>
        <v>43783</v>
      </c>
    </row>
    <row r="93" spans="1:67">
      <c r="A93" t="s">
        <v>280</v>
      </c>
      <c r="B93" s="20" t="str">
        <f>VLOOKUP(Data[[#This Row],[DEVELOPMENT]],Development_Data_Book[[DEVELOPMENT]:[BOROUGH]],MATCH("borough",Development_Data_Book[[#Headers],[DEVELOPMENT]:[BOROUGH]],0),FALSE)</f>
        <v>BRONX</v>
      </c>
      <c r="C93" s="20" t="e">
        <f>VLOOKUP(Data[[#This Row],[DEVELOPMENT]],'[1]Cheat-Sheet'!$D$2:$Q$341,2,FALSE)</f>
        <v>#N/A</v>
      </c>
      <c r="D9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93" s="20">
        <f>VLOOKUP(Data[[#This Row],[DEVELOPMENT]],Development_Data_Book[[DEVELOPMENT]:[BOROUGH]],21,FALSE)</f>
        <v>5</v>
      </c>
      <c r="F93" s="20">
        <f>VLOOKUP(Data[[#This Row],[DEVELOPMENT]],Development_Data_Book[[DEVELOPMENT]:[BOROUGH]],23,FALSE)</f>
        <v>19</v>
      </c>
      <c r="G93" s="20">
        <f>VLOOKUP(Data[[#This Row],[DEVELOPMENT]],Development_Data_Book[[DEVELOPMENT]:[BOROUGH]],12,FALSE)</f>
        <v>111</v>
      </c>
      <c r="H93" t="s">
        <v>2611</v>
      </c>
      <c r="J93">
        <f>IFERROR(VLOOKUP(Data[[#This Row],[DEVELOPMENT]],IntCompactors_MRST[],4,FALSE),0)</f>
        <v>0</v>
      </c>
      <c r="K93" s="20">
        <f>IFERROR(VLOOKUP(Data[[#This Row],[DEVELOPMENT]],ExtCompactors_MRST[],4,FALSE),0)</f>
        <v>0</v>
      </c>
      <c r="L93" s="27" t="str">
        <f>IF(Data[[#This Row],['# Interior Compactors MRST]]=0,"",VLOOKUP(Data[[#This Row],[DEVELOPMENT]],IntCompactors_MRST[],5,FALSE))</f>
        <v/>
      </c>
      <c r="M93" s="28" t="str">
        <f>IF(Data[[#This Row],['# Exterior Compactors MRST]]=0,"",VLOOKUP(Data[[#This Row],[DEVELOPMENT]],ExtCompactors_MRST[],5,FALSE))</f>
        <v/>
      </c>
      <c r="N93" s="20">
        <f>Data[[#This Row],['# Interior Compactors MRST]]</f>
        <v>0</v>
      </c>
      <c r="O93" s="20">
        <f>IF(Data[[#This Row],['# Bulk Crushers]]=0,1,0)</f>
        <v>1</v>
      </c>
      <c r="P93" s="20">
        <f>1</f>
        <v>1</v>
      </c>
      <c r="Q93" s="20">
        <f>1</f>
        <v>1</v>
      </c>
      <c r="R93" s="20">
        <f>1</f>
        <v>1</v>
      </c>
      <c r="S93" s="20">
        <f>1</f>
        <v>1</v>
      </c>
      <c r="T93" s="20">
        <f>IF(Data[[#This Row],[Sewershed]]="Newtown Creek",Data[[#This Row],[DUs]],0)</f>
        <v>0</v>
      </c>
      <c r="U9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9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9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93" s="82">
        <f>VLOOKUP(Data[[#This Row],[DEVELOPMENT]],Development_Data_Book[[DEVELOPMENT]:[BOROUGH]],3,FALSE)</f>
        <v>304</v>
      </c>
      <c r="Y93" s="20"/>
      <c r="Z93" s="20">
        <f>IFERROR(VLOOKUP(Data[[#This Row],[TDS]],ExtCompactors_PNA[[Development]:[0]],2,FALSE),0)</f>
        <v>0</v>
      </c>
      <c r="AA93" s="20">
        <f>IFERROR(VLOOKUP(Data[[#This Row],[TDS]],IntCompactors_PNA[[TDS]:[0]],2,FALSE),0)</f>
        <v>0</v>
      </c>
      <c r="AB93" s="20"/>
      <c r="AC93" s="20"/>
      <c r="AD93" s="20">
        <f>IFERROR(VLOOKUP(Data[[#This Row],[TDS]],ExtCompactors_PNA[[Development]:[0]],3,FALSE)+VLOOKUP(Data[[#This Row],[TDS]],ExtCompactors_PNA[[Development]:[0]],6,FALSE),0)</f>
        <v>0</v>
      </c>
      <c r="AE93" s="20">
        <f>IFERROR(VLOOKUP(Data[[#This Row],[TDS]],IntCompactors_PNA[[TDS]:[0]],3,FALSE)+VLOOKUP(Data[[#This Row],[TDS]],IntCompactors_PNA[[TDS]:[0]],6,FALSE),0)</f>
        <v>0</v>
      </c>
      <c r="AF93" s="20" t="e">
        <f>VLOOKUP(Data[[#This Row],[DEVELOPMENT]],[3]Developments!$A$2:$A$312,1,FALSE)</f>
        <v>#N/A</v>
      </c>
      <c r="AG93" s="20">
        <f>IFERROR(VLOOKUP(Data[[#This Row],[DEVELOPMENT]],Ops_Priorities_and_Data_Clean[[development]:[ifnoext_comment]],3,FALSE),"")</f>
        <v>0</v>
      </c>
      <c r="AH93" s="20">
        <f>IFERROR(VLOOKUP(Data[[#This Row],[DEVELOPMENT]],Ops_Priorities_and_Data_Clean[[development]:[ifnoext_comment]],4,FALSE),"")</f>
        <v>4</v>
      </c>
      <c r="AI93" s="20">
        <f>IFERROR(VLOOKUP(Data[[#This Row],[DEVELOPMENT]],Ops_Priorities_and_Data_Clean[[development]:[ifnoext_comment]],5,FALSE),"")</f>
        <v>0</v>
      </c>
      <c r="AJ93" s="20">
        <f>IFERROR(VLOOKUP(Data[[#This Row],[DEVELOPMENT]],Ops_Priorities_and_Data_Clean[[development]:[ifnoext_comment]],6,FALSE),"")</f>
        <v>0</v>
      </c>
      <c r="AK93" s="20">
        <f>IFERROR(VLOOKUP(Data[[#This Row],[DEVELOPMENT]],Ops_Priorities_and_Data_Clean[[development]:[ifnoext_comment]],7,FALSE),"")</f>
        <v>1</v>
      </c>
      <c r="AL93" s="20">
        <f>IFERROR(VLOOKUP(Data[[#This Row],[DEVELOPMENT]],Ops_Priorities_and_Data_Clean[[development]:[ifnoext_comment]],8,FALSE),"")</f>
        <v>1</v>
      </c>
      <c r="AM93" s="20">
        <f>IFERROR(VLOOKUP(Data[[#This Row],[DEVELOPMENT]],Ops_Priorities_and_Data_Clean[[development]:[ifnoext_comment]],9,FALSE),"")</f>
        <v>0</v>
      </c>
      <c r="AN93" s="20">
        <f>IFERROR(VLOOKUP(Data[[#This Row],[DEVELOPMENT]],Ops_Priorities_and_Data_Clean[[development]:[ifnoext_comment]],10,FALSE),"")</f>
        <v>0</v>
      </c>
      <c r="AO93" s="20">
        <f>IFERROR(VLOOKUP(Data[[#This Row],[DEVELOPMENT]],Ops_Priorities_and_Data_Clean[[development]:[ifnoext_comment]],11,FALSE),"")</f>
        <v>0</v>
      </c>
      <c r="AP93" s="20">
        <f>IFERROR(VLOOKUP(Data[[#This Row],[DEVELOPMENT]],Ops_Priorities_and_Data_Clean[[development]:[ifnoext_comment]],12,FALSE),"")</f>
        <v>0</v>
      </c>
      <c r="AQ93" s="20">
        <f>VLOOKUP(Data[[#This Row],[DEVELOPMENT]],Ops_Priorities_and_Data_Clean[[development]:[ifnoext_comment]],14,FALSE)</f>
        <v>1</v>
      </c>
      <c r="AR93" s="20">
        <f>VLOOKUP(Data[[#This Row],[DEVELOPMENT]],Ops_Priorities_and_Data_Clean[[development]:[ifnoext_comment]],15,FALSE)</f>
        <v>0</v>
      </c>
      <c r="AS93" s="20" t="str">
        <f>VLOOKUP(Data[[#This Row],[DEVELOPMENT]],Ops_Priorities_and_Data_Clean[[development]:[ifnoext_comment]],16,FALSE)</f>
        <v>NULL</v>
      </c>
      <c r="AT93" s="20" t="str">
        <f>VLOOKUP(Data[[#This Row],[DEVELOPMENT]],Ops_Priorities_and_Data_Clean[[development]:[ifnoext_comment]],17,FALSE)</f>
        <v>NULL</v>
      </c>
      <c r="AU93" s="20" t="str">
        <f>VLOOKUP(Data[[#This Row],[DEVELOPMENT]],Ops_Priorities_and_Data_Clean[[development]:[ifnoext_comment]],18,FALSE)</f>
        <v>NULL</v>
      </c>
      <c r="AV93" s="20" t="str">
        <f>VLOOKUP(Data[[#This Row],[DEVELOPMENT]],Ops_Priorities_and_Data_Clean[[development]:[ifnoext_comment]],19,FALSE)</f>
        <v>NULL</v>
      </c>
      <c r="AW93" s="20" t="str">
        <f>VLOOKUP(Data[[#This Row],[DEVELOPMENT]],Ops_Priorities_and_Data_Clean[[development]:[ifnoext_comment]],20,FALSE)</f>
        <v xml:space="preserve">Even though there's space, the buildings are placed inbetween private buildings and streets and it doesnâ€™t make sense to put an exterior container </v>
      </c>
      <c r="AX93" s="104" t="s">
        <v>2596</v>
      </c>
      <c r="AY93" s="104" t="s">
        <v>2637</v>
      </c>
      <c r="AZ93" s="20" t="str">
        <f>VLOOKUP(Data[[#This Row],[DEVELOPMENT]],Development_Data_Book[[DEVELOPMENT]:[PRIVATE MANAGEMENT]],8,FALSE)</f>
        <v>FEDERAL</v>
      </c>
      <c r="BA93" s="104" t="s">
        <v>2588</v>
      </c>
      <c r="BB93" s="20">
        <f>VLOOKUP(Data[[#This Row],[DEVELOPMENT]],Development_Data_Book[[DEVELOPMENT]:[PRIVATE MANAGEMENT]],22,FALSE)</f>
        <v>0</v>
      </c>
      <c r="BC93" s="20">
        <f>Data[[#This Row],[Non-Dwelling Buildings]]+Data[[#This Row],[Dwelling Buildings]]</f>
        <v>5</v>
      </c>
      <c r="BD93" s="20">
        <f>VLOOKUP(Data[[#This Row],[DEVELOPMENT]],Development_Data_Book[[DEVELOPMENT]:[PRIVATE MANAGEMENT]],26,FALSE)</f>
        <v>3.16</v>
      </c>
      <c r="BE93" s="106">
        <v>126500</v>
      </c>
      <c r="BF93" s="20">
        <f>VLOOKUP(Data[[#This Row],[DEVELOPMENT]],Development_Data_Book[[DEVELOPMENT]:[PRIVATE MANAGEMENT]],18,FALSE)</f>
        <v>362</v>
      </c>
      <c r="BG9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93" s="104" t="s">
        <v>2610</v>
      </c>
      <c r="BI93" t="s">
        <v>184</v>
      </c>
      <c r="BJ93" s="20">
        <f>VLOOKUP(Data[[#This Row],[DEVELOPMENT]],Development_Data_Book[[DEVELOPMENT]:[PRIVATE MANAGEMENT]],41,FALSE)</f>
        <v>2</v>
      </c>
      <c r="BK93" s="20">
        <f>VLOOKUP(Data[[#This Row],[DEVELOPMENT]],Development_Data_Book[[DEVELOPMENT]:[PRIVATE MANAGEMENT]],42,FALSE)</f>
        <v>15</v>
      </c>
      <c r="BL93" s="20">
        <f>VLOOKUP(Data[[#This Row],[DEVELOPMENT]],Development_Data_Book[[DEVELOPMENT]:[PRIVATE MANAGEMENT]],43,FALSE)</f>
        <v>32</v>
      </c>
      <c r="BM93" s="20">
        <f>VLOOKUP(Data[[#This Row],[DEVELOPMENT]],Development_Data_Book[[DEVELOPMENT]:[PRIVATE MANAGEMENT]],44,FALSE)</f>
        <v>85</v>
      </c>
      <c r="BN93" s="20">
        <f>VLOOKUP(Data[[#This Row],[DEVELOPMENT]],Development_Data_Book[[DEVELOPMENT]:[PRIVATE MANAGEMENT]],45,FALSE)</f>
        <v>17</v>
      </c>
      <c r="BO93" s="20">
        <f>VLOOKUP(Data[[#This Row],[DEVELOPMENT]],Development_Data_Book[[DEVELOPMENT]:[PRIVATE MANAGEMENT]],24,FALSE)</f>
        <v>3</v>
      </c>
    </row>
    <row r="94" spans="1:67">
      <c r="A94" t="s">
        <v>284</v>
      </c>
      <c r="B94" s="20" t="str">
        <f>VLOOKUP(Data[[#This Row],[DEVELOPMENT]],Development_Data_Book[[DEVELOPMENT]:[BOROUGH]],MATCH("borough",Development_Data_Book[[#Headers],[DEVELOPMENT]:[BOROUGH]],0),FALSE)</f>
        <v>BRONX</v>
      </c>
      <c r="C94" s="20" t="e">
        <f>VLOOKUP(Data[[#This Row],[DEVELOPMENT]],'[1]Cheat-Sheet'!$D$2:$Q$341,2,FALSE)</f>
        <v>#N/A</v>
      </c>
      <c r="D9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94" s="20">
        <f>VLOOKUP(Data[[#This Row],[DEVELOPMENT]],Development_Data_Book[[DEVELOPMENT]:[BOROUGH]],21,FALSE)</f>
        <v>7</v>
      </c>
      <c r="F94" s="20">
        <f>VLOOKUP(Data[[#This Row],[DEVELOPMENT]],Development_Data_Book[[DEVELOPMENT]:[BOROUGH]],23,FALSE)</f>
        <v>28</v>
      </c>
      <c r="G94" s="20">
        <f>VLOOKUP(Data[[#This Row],[DEVELOPMENT]],Development_Data_Book[[DEVELOPMENT]:[BOROUGH]],12,FALSE)</f>
        <v>168</v>
      </c>
      <c r="H94" t="s">
        <v>2611</v>
      </c>
      <c r="J94">
        <f>IFERROR(VLOOKUP(Data[[#This Row],[DEVELOPMENT]],IntCompactors_MRST[],4,FALSE),0)</f>
        <v>0</v>
      </c>
      <c r="K94" s="20">
        <f>IFERROR(VLOOKUP(Data[[#This Row],[DEVELOPMENT]],ExtCompactors_MRST[],4,FALSE),0)</f>
        <v>0</v>
      </c>
      <c r="L94" s="27" t="str">
        <f>IF(Data[[#This Row],['# Interior Compactors MRST]]=0,"",VLOOKUP(Data[[#This Row],[DEVELOPMENT]],IntCompactors_MRST[],5,FALSE))</f>
        <v/>
      </c>
      <c r="M94" s="28" t="str">
        <f>IF(Data[[#This Row],['# Exterior Compactors MRST]]=0,"",VLOOKUP(Data[[#This Row],[DEVELOPMENT]],ExtCompactors_MRST[],5,FALSE))</f>
        <v/>
      </c>
      <c r="N94" s="20">
        <f>Data[[#This Row],['# Interior Compactors MRST]]</f>
        <v>0</v>
      </c>
      <c r="O94" s="20">
        <f>IF(Data[[#This Row],['# Bulk Crushers]]=0,1,0)</f>
        <v>1</v>
      </c>
      <c r="P94" s="20">
        <f>1</f>
        <v>1</v>
      </c>
      <c r="Q94" s="20">
        <f>1</f>
        <v>1</v>
      </c>
      <c r="R94" s="20">
        <f>1</f>
        <v>1</v>
      </c>
      <c r="S94" s="20">
        <f>1</f>
        <v>1</v>
      </c>
      <c r="T94" s="20">
        <f>IF(Data[[#This Row],[Sewershed]]="Newtown Creek",Data[[#This Row],[DUs]],0)</f>
        <v>0</v>
      </c>
      <c r="U9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9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9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94" s="82">
        <f>VLOOKUP(Data[[#This Row],[DEVELOPMENT]],Development_Data_Book[[DEVELOPMENT]:[BOROUGH]],3,FALSE)</f>
        <v>338</v>
      </c>
      <c r="Y94" s="20"/>
      <c r="Z94" s="20">
        <f>IFERROR(VLOOKUP(Data[[#This Row],[TDS]],ExtCompactors_PNA[[Development]:[0]],2,FALSE),0)</f>
        <v>0</v>
      </c>
      <c r="AA94" s="20">
        <f>IFERROR(VLOOKUP(Data[[#This Row],[TDS]],IntCompactors_PNA[[TDS]:[0]],2,FALSE),0)</f>
        <v>0</v>
      </c>
      <c r="AB94" s="20"/>
      <c r="AC94" s="20"/>
      <c r="AD94" s="20">
        <f>IFERROR(VLOOKUP(Data[[#This Row],[TDS]],ExtCompactors_PNA[[Development]:[0]],3,FALSE)+VLOOKUP(Data[[#This Row],[TDS]],ExtCompactors_PNA[[Development]:[0]],6,FALSE),0)</f>
        <v>0</v>
      </c>
      <c r="AE94" s="20">
        <f>IFERROR(VLOOKUP(Data[[#This Row],[TDS]],IntCompactors_PNA[[TDS]:[0]],3,FALSE)+VLOOKUP(Data[[#This Row],[TDS]],IntCompactors_PNA[[TDS]:[0]],6,FALSE),0)</f>
        <v>0</v>
      </c>
      <c r="AF94" s="20" t="e">
        <f>VLOOKUP(Data[[#This Row],[DEVELOPMENT]],[3]Developments!$A$2:$A$312,1,FALSE)</f>
        <v>#N/A</v>
      </c>
      <c r="AG94" s="20">
        <f>IFERROR(VLOOKUP(Data[[#This Row],[DEVELOPMENT]],Ops_Priorities_and_Data_Clean[[development]:[ifnoext_comment]],3,FALSE),"")</f>
        <v>0</v>
      </c>
      <c r="AH94" s="20">
        <f>IFERROR(VLOOKUP(Data[[#This Row],[DEVELOPMENT]],Ops_Priorities_and_Data_Clean[[development]:[ifnoext_comment]],4,FALSE),"")</f>
        <v>4</v>
      </c>
      <c r="AI94" s="20">
        <f>IFERROR(VLOOKUP(Data[[#This Row],[DEVELOPMENT]],Ops_Priorities_and_Data_Clean[[development]:[ifnoext_comment]],5,FALSE),"")</f>
        <v>0</v>
      </c>
      <c r="AJ94" s="20">
        <f>IFERROR(VLOOKUP(Data[[#This Row],[DEVELOPMENT]],Ops_Priorities_and_Data_Clean[[development]:[ifnoext_comment]],6,FALSE),"")</f>
        <v>0</v>
      </c>
      <c r="AK94" s="20">
        <f>IFERROR(VLOOKUP(Data[[#This Row],[DEVELOPMENT]],Ops_Priorities_and_Data_Clean[[development]:[ifnoext_comment]],7,FALSE),"")</f>
        <v>1</v>
      </c>
      <c r="AL94" s="20">
        <f>IFERROR(VLOOKUP(Data[[#This Row],[DEVELOPMENT]],Ops_Priorities_and_Data_Clean[[development]:[ifnoext_comment]],8,FALSE),"")</f>
        <v>1</v>
      </c>
      <c r="AM94" s="20">
        <f>IFERROR(VLOOKUP(Data[[#This Row],[DEVELOPMENT]],Ops_Priorities_and_Data_Clean[[development]:[ifnoext_comment]],9,FALSE),"")</f>
        <v>0</v>
      </c>
      <c r="AN94" s="20">
        <f>IFERROR(VLOOKUP(Data[[#This Row],[DEVELOPMENT]],Ops_Priorities_and_Data_Clean[[development]:[ifnoext_comment]],10,FALSE),"")</f>
        <v>0</v>
      </c>
      <c r="AO94" s="20">
        <f>IFERROR(VLOOKUP(Data[[#This Row],[DEVELOPMENT]],Ops_Priorities_and_Data_Clean[[development]:[ifnoext_comment]],11,FALSE),"")</f>
        <v>0</v>
      </c>
      <c r="AP94" s="20">
        <f>IFERROR(VLOOKUP(Data[[#This Row],[DEVELOPMENT]],Ops_Priorities_and_Data_Clean[[development]:[ifnoext_comment]],12,FALSE),"")</f>
        <v>0</v>
      </c>
      <c r="AQ94" s="20">
        <f>VLOOKUP(Data[[#This Row],[DEVELOPMENT]],Ops_Priorities_and_Data_Clean[[development]:[ifnoext_comment]],14,FALSE)</f>
        <v>1</v>
      </c>
      <c r="AR94" s="20">
        <f>VLOOKUP(Data[[#This Row],[DEVELOPMENT]],Ops_Priorities_and_Data_Clean[[development]:[ifnoext_comment]],15,FALSE)</f>
        <v>0</v>
      </c>
      <c r="AS94" s="20" t="str">
        <f>VLOOKUP(Data[[#This Row],[DEVELOPMENT]],Ops_Priorities_and_Data_Clean[[development]:[ifnoext_comment]],16,FALSE)</f>
        <v>NULL</v>
      </c>
      <c r="AT94" s="20" t="str">
        <f>VLOOKUP(Data[[#This Row],[DEVELOPMENT]],Ops_Priorities_and_Data_Clean[[development]:[ifnoext_comment]],17,FALSE)</f>
        <v>NULL</v>
      </c>
      <c r="AU94" s="20" t="str">
        <f>VLOOKUP(Data[[#This Row],[DEVELOPMENT]],Ops_Priorities_and_Data_Clean[[development]:[ifnoext_comment]],18,FALSE)</f>
        <v>NULL</v>
      </c>
      <c r="AV94" s="20" t="str">
        <f>VLOOKUP(Data[[#This Row],[DEVELOPMENT]],Ops_Priorities_and_Data_Clean[[development]:[ifnoext_comment]],19,FALSE)</f>
        <v>NULL</v>
      </c>
      <c r="AW94" s="20" t="str">
        <f>VLOOKUP(Data[[#This Row],[DEVELOPMENT]],Ops_Priorities_and_Data_Clean[[development]:[ifnoext_comment]],20,FALSE)</f>
        <v xml:space="preserve">Even though there's space, the buildings are placed inbetween private buildings and streets and it doesnâ€™t make sense to put an exterior container </v>
      </c>
      <c r="AX94" s="104" t="s">
        <v>2596</v>
      </c>
      <c r="AY94" s="104" t="s">
        <v>2630</v>
      </c>
      <c r="AZ94" s="20" t="str">
        <f>VLOOKUP(Data[[#This Row],[DEVELOPMENT]],Development_Data_Book[[DEVELOPMENT]:[PRIVATE MANAGEMENT]],8,FALSE)</f>
        <v>FEDERAL</v>
      </c>
      <c r="BA94" s="104" t="s">
        <v>2588</v>
      </c>
      <c r="BB94" s="20">
        <f>VLOOKUP(Data[[#This Row],[DEVELOPMENT]],Development_Data_Book[[DEVELOPMENT]:[PRIVATE MANAGEMENT]],22,FALSE)</f>
        <v>0</v>
      </c>
      <c r="BC94" s="20">
        <f>Data[[#This Row],[Non-Dwelling Buildings]]+Data[[#This Row],[Dwelling Buildings]]</f>
        <v>7</v>
      </c>
      <c r="BD94" s="20">
        <f>VLOOKUP(Data[[#This Row],[DEVELOPMENT]],Development_Data_Book[[DEVELOPMENT]:[PRIVATE MANAGEMENT]],26,FALSE)</f>
        <v>4.5</v>
      </c>
      <c r="BE94" s="106">
        <v>198400</v>
      </c>
      <c r="BF94" s="20">
        <f>VLOOKUP(Data[[#This Row],[DEVELOPMENT]],Development_Data_Book[[DEVELOPMENT]:[PRIVATE MANAGEMENT]],18,FALSE)</f>
        <v>403</v>
      </c>
      <c r="BG9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94" s="104" t="s">
        <v>2631</v>
      </c>
      <c r="BI94" t="s">
        <v>184</v>
      </c>
      <c r="BJ94" s="20">
        <f>VLOOKUP(Data[[#This Row],[DEVELOPMENT]],Development_Data_Book[[DEVELOPMENT]:[PRIVATE MANAGEMENT]],41,FALSE)</f>
        <v>3</v>
      </c>
      <c r="BK94" s="20">
        <f>VLOOKUP(Data[[#This Row],[DEVELOPMENT]],Development_Data_Book[[DEVELOPMENT]:[PRIVATE MANAGEMENT]],42,FALSE)</f>
        <v>15</v>
      </c>
      <c r="BL94" s="20">
        <f>VLOOKUP(Data[[#This Row],[DEVELOPMENT]],Development_Data_Book[[DEVELOPMENT]:[PRIVATE MANAGEMENT]],43,FALSE)</f>
        <v>32</v>
      </c>
      <c r="BM94" s="20">
        <f>VLOOKUP(Data[[#This Row],[DEVELOPMENT]],Development_Data_Book[[DEVELOPMENT]:[PRIVATE MANAGEMENT]],44,FALSE)</f>
        <v>79</v>
      </c>
      <c r="BN94" s="20">
        <f>VLOOKUP(Data[[#This Row],[DEVELOPMENT]],Development_Data_Book[[DEVELOPMENT]:[PRIVATE MANAGEMENT]],45,FALSE)</f>
        <v>17</v>
      </c>
      <c r="BO94" s="20">
        <f>VLOOKUP(Data[[#This Row],[DEVELOPMENT]],Development_Data_Book[[DEVELOPMENT]:[PRIVATE MANAGEMENT]],24,FALSE)</f>
        <v>3</v>
      </c>
    </row>
    <row r="95" spans="1:67">
      <c r="A95" s="17" t="s">
        <v>121</v>
      </c>
      <c r="B95" s="17" t="str">
        <f>VLOOKUP(Data[[#This Row],[DEVELOPMENT]],Development_Data_Book[[DEVELOPMENT]:[BOROUGH]],MATCH("borough",Development_Data_Book[[#Headers],[DEVELOPMENT]:[BOROUGH]],0),FALSE)</f>
        <v>BRONX</v>
      </c>
      <c r="C95" t="e">
        <f>VLOOKUP(Data[[#This Row],[DEVELOPMENT]],'[1]Cheat-Sheet'!$D$2:$Q$341,2,FALSE)</f>
        <v>#N/A</v>
      </c>
      <c r="D9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95">
        <f>VLOOKUP(Data[[#This Row],[DEVELOPMENT]],Development_Data_Book[[DEVELOPMENT]:[BOROUGH]],21,FALSE)</f>
        <v>1</v>
      </c>
      <c r="F95">
        <f>VLOOKUP(Data[[#This Row],[DEVELOPMENT]],Development_Data_Book[[DEVELOPMENT]:[BOROUGH]],23,FALSE)</f>
        <v>3</v>
      </c>
      <c r="G95">
        <f>VLOOKUP(Data[[#This Row],[DEVELOPMENT]],Development_Data_Book[[DEVELOPMENT]:[BOROUGH]],12,FALSE)</f>
        <v>239</v>
      </c>
      <c r="H95" t="s">
        <v>2246</v>
      </c>
      <c r="I95">
        <v>3</v>
      </c>
      <c r="J95">
        <f>IFERROR(VLOOKUP(Data[[#This Row],[DEVELOPMENT]],IntCompactors_MRST[],4,FALSE),0)</f>
        <v>2</v>
      </c>
      <c r="K95" s="20">
        <f>IFERROR(VLOOKUP(Data[[#This Row],[DEVELOPMENT]],ExtCompactors_MRST[],4,FALSE),0)</f>
        <v>1</v>
      </c>
      <c r="L95" s="27">
        <f>IF(Data[[#This Row],['# Interior Compactors MRST]]=0,"",VLOOKUP(Data[[#This Row],[DEVELOPMENT]],IntCompactors_MRST[],5,FALSE))</f>
        <v>35796</v>
      </c>
      <c r="M95" s="28">
        <f>IF(Data[[#This Row],['# Exterior Compactors MRST]]=0,"",VLOOKUP(Data[[#This Row],[DEVELOPMENT]],ExtCompactors_MRST[],5,FALSE))</f>
        <v>38275</v>
      </c>
      <c r="N95">
        <f>Data[[#This Row],['# Interior Compactors MRST]]</f>
        <v>2</v>
      </c>
      <c r="O95" s="20">
        <f>IF(Data[[#This Row],['# Bulk Crushers]]=0,1,0)</f>
        <v>1</v>
      </c>
      <c r="P95" s="20">
        <f>1</f>
        <v>1</v>
      </c>
      <c r="Q95" s="20">
        <f>1</f>
        <v>1</v>
      </c>
      <c r="R95" s="20">
        <f>1</f>
        <v>1</v>
      </c>
      <c r="S95" s="20">
        <f>1</f>
        <v>1</v>
      </c>
      <c r="T95" s="20">
        <f>IF(Data[[#This Row],[Sewershed]]="Newtown Creek",Data[[#This Row],[DUs]],0)</f>
        <v>0</v>
      </c>
      <c r="U9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9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9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95" s="82">
        <f>VLOOKUP(Data[[#This Row],[DEVELOPMENT]],Development_Data_Book[[DEVELOPMENT]:[BOROUGH]],3,FALSE)</f>
        <v>208</v>
      </c>
      <c r="Y95" s="20"/>
      <c r="Z95" s="20">
        <f>IFERROR(VLOOKUP(Data[[#This Row],[TDS]],ExtCompactors_PNA[[Development]:[0]],2,FALSE),0)</f>
        <v>1</v>
      </c>
      <c r="AA95" s="20">
        <f>IFERROR(VLOOKUP(Data[[#This Row],[TDS]],IntCompactors_PNA[[TDS]:[0]],2,FALSE),0)</f>
        <v>2</v>
      </c>
      <c r="AB95" s="20"/>
      <c r="AC95" s="20"/>
      <c r="AD95" s="20">
        <f>IFERROR(VLOOKUP(Data[[#This Row],[TDS]],ExtCompactors_PNA[[Development]:[0]],3,FALSE)+VLOOKUP(Data[[#This Row],[TDS]],ExtCompactors_PNA[[Development]:[0]],6,FALSE),0)</f>
        <v>1</v>
      </c>
      <c r="AE95" s="20">
        <f>IFERROR(VLOOKUP(Data[[#This Row],[TDS]],IntCompactors_PNA[[TDS]:[0]],3,FALSE)+VLOOKUP(Data[[#This Row],[TDS]],IntCompactors_PNA[[TDS]:[0]],6,FALSE),0)</f>
        <v>2</v>
      </c>
      <c r="AF95" s="20" t="e">
        <f>VLOOKUP(Data[[#This Row],[DEVELOPMENT]],[3]Developments!$A$2:$A$312,1,FALSE)</f>
        <v>#N/A</v>
      </c>
      <c r="AG95" s="20">
        <f>IFERROR(VLOOKUP(Data[[#This Row],[DEVELOPMENT]],Ops_Priorities_and_Data_Clean[[development]:[ifnoext_comment]],3,FALSE),"")</f>
        <v>1</v>
      </c>
      <c r="AH95" s="20">
        <f>IFERROR(VLOOKUP(Data[[#This Row],[DEVELOPMENT]],Ops_Priorities_and_Data_Clean[[development]:[ifnoext_comment]],4,FALSE),"")</f>
        <v>0</v>
      </c>
      <c r="AI95" s="20">
        <f>IFERROR(VLOOKUP(Data[[#This Row],[DEVELOPMENT]],Ops_Priorities_and_Data_Clean[[development]:[ifnoext_comment]],5,FALSE),"")</f>
        <v>1</v>
      </c>
      <c r="AJ95" s="20">
        <f>IFERROR(VLOOKUP(Data[[#This Row],[DEVELOPMENT]],Ops_Priorities_and_Data_Clean[[development]:[ifnoext_comment]],6,FALSE),"")</f>
        <v>0</v>
      </c>
      <c r="AK95" s="20">
        <f>IFERROR(VLOOKUP(Data[[#This Row],[DEVELOPMENT]],Ops_Priorities_and_Data_Clean[[development]:[ifnoext_comment]],7,FALSE),"")</f>
        <v>0</v>
      </c>
      <c r="AL95" s="20">
        <f>IFERROR(VLOOKUP(Data[[#This Row],[DEVELOPMENT]],Ops_Priorities_and_Data_Clean[[development]:[ifnoext_comment]],8,FALSE),"")</f>
        <v>1</v>
      </c>
      <c r="AM95" s="20">
        <f>IFERROR(VLOOKUP(Data[[#This Row],[DEVELOPMENT]],Ops_Priorities_and_Data_Clean[[development]:[ifnoext_comment]],9,FALSE),"")</f>
        <v>0</v>
      </c>
      <c r="AN95" s="20">
        <f>IFERROR(VLOOKUP(Data[[#This Row],[DEVELOPMENT]],Ops_Priorities_and_Data_Clean[[development]:[ifnoext_comment]],10,FALSE),"")</f>
        <v>1</v>
      </c>
      <c r="AO95" s="20">
        <f>IFERROR(VLOOKUP(Data[[#This Row],[DEVELOPMENT]],Ops_Priorities_and_Data_Clean[[development]:[ifnoext_comment]],11,FALSE),"")</f>
        <v>1</v>
      </c>
      <c r="AP95" s="20">
        <f>IFERROR(VLOOKUP(Data[[#This Row],[DEVELOPMENT]],Ops_Priorities_and_Data_Clean[[development]:[ifnoext_comment]],12,FALSE),"")</f>
        <v>1</v>
      </c>
      <c r="AQ95" s="20">
        <f>VLOOKUP(Data[[#This Row],[DEVELOPMENT]],Ops_Priorities_and_Data_Clean[[development]:[ifnoext_comment]],14,FALSE)</f>
        <v>0</v>
      </c>
      <c r="AR95" s="20">
        <f>VLOOKUP(Data[[#This Row],[DEVELOPMENT]],Ops_Priorities_and_Data_Clean[[development]:[ifnoext_comment]],15,FALSE)</f>
        <v>0</v>
      </c>
      <c r="AS95" s="20" t="str">
        <f>VLOOKUP(Data[[#This Row],[DEVELOPMENT]],Ops_Priorities_and_Data_Clean[[development]:[ifnoext_comment]],16,FALSE)</f>
        <v>NULL</v>
      </c>
      <c r="AT95" s="20" t="str">
        <f>VLOOKUP(Data[[#This Row],[DEVELOPMENT]],Ops_Priorities_and_Data_Clean[[development]:[ifnoext_comment]],17,FALSE)</f>
        <v>NULL</v>
      </c>
      <c r="AU95" s="20" t="str">
        <f>VLOOKUP(Data[[#This Row],[DEVELOPMENT]],Ops_Priorities_and_Data_Clean[[development]:[ifnoext_comment]],18,FALSE)</f>
        <v>No</v>
      </c>
      <c r="AV95" s="20" t="str">
        <f>VLOOKUP(Data[[#This Row],[DEVELOPMENT]],Ops_Priorities_and_Data_Clean[[development]:[ifnoext_comment]],19,FALSE)</f>
        <v>container on-site</v>
      </c>
      <c r="AW95" s="20" t="str">
        <f>VLOOKUP(Data[[#This Row],[DEVELOPMENT]],Ops_Priorities_and_Data_Clean[[development]:[ifnoext_comment]],20,FALSE)</f>
        <v>it has an exterior compactor.</v>
      </c>
      <c r="AX95" s="104" t="s">
        <v>2237</v>
      </c>
      <c r="AY95" s="104" t="s">
        <v>2638</v>
      </c>
      <c r="AZ95" s="20" t="str">
        <f>VLOOKUP(Data[[#This Row],[DEVELOPMENT]],Development_Data_Book[[DEVELOPMENT]:[PRIVATE MANAGEMENT]],8,FALSE)</f>
        <v>FEDERAL</v>
      </c>
      <c r="BA95" s="104" t="s">
        <v>2586</v>
      </c>
      <c r="BB95" s="20">
        <f>VLOOKUP(Data[[#This Row],[DEVELOPMENT]],Development_Data_Book[[DEVELOPMENT]:[PRIVATE MANAGEMENT]],22,FALSE)</f>
        <v>1</v>
      </c>
      <c r="BC95" s="20">
        <f>Data[[#This Row],[Non-Dwelling Buildings]]+Data[[#This Row],[Dwelling Buildings]]</f>
        <v>2</v>
      </c>
      <c r="BD95" s="20">
        <f>VLOOKUP(Data[[#This Row],[DEVELOPMENT]],Development_Data_Book[[DEVELOPMENT]:[PRIVATE MANAGEMENT]],26,FALSE)</f>
        <v>1.81</v>
      </c>
      <c r="BE95" s="106">
        <v>238300</v>
      </c>
      <c r="BF95" s="20">
        <f>VLOOKUP(Data[[#This Row],[DEVELOPMENT]],Development_Data_Book[[DEVELOPMENT]:[PRIVATE MANAGEMENT]],18,FALSE)</f>
        <v>531</v>
      </c>
      <c r="BG9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95" s="104" t="s">
        <v>2587</v>
      </c>
      <c r="BI95" t="s">
        <v>184</v>
      </c>
      <c r="BJ95" s="20">
        <f>VLOOKUP(Data[[#This Row],[DEVELOPMENT]],Development_Data_Book[[DEVELOPMENT]:[PRIVATE MANAGEMENT]],41,FALSE)</f>
        <v>6</v>
      </c>
      <c r="BK95" s="20">
        <f>VLOOKUP(Data[[#This Row],[DEVELOPMENT]],Development_Data_Book[[DEVELOPMENT]:[PRIVATE MANAGEMENT]],42,FALSE)</f>
        <v>15</v>
      </c>
      <c r="BL95" s="20">
        <f>VLOOKUP(Data[[#This Row],[DEVELOPMENT]],Development_Data_Book[[DEVELOPMENT]:[PRIVATE MANAGEMENT]],43,FALSE)</f>
        <v>33</v>
      </c>
      <c r="BM95" s="20">
        <f>VLOOKUP(Data[[#This Row],[DEVELOPMENT]],Development_Data_Book[[DEVELOPMENT]:[PRIVATE MANAGEMENT]],44,FALSE)</f>
        <v>86</v>
      </c>
      <c r="BN95" s="20">
        <f>VLOOKUP(Data[[#This Row],[DEVELOPMENT]],Development_Data_Book[[DEVELOPMENT]:[PRIVATE MANAGEMENT]],45,FALSE)</f>
        <v>15</v>
      </c>
      <c r="BO95" s="20">
        <f>VLOOKUP(Data[[#This Row],[DEVELOPMENT]],Development_Data_Book[[DEVELOPMENT]:[PRIVATE MANAGEMENT]],24,FALSE)</f>
        <v>10</v>
      </c>
    </row>
    <row r="96" spans="1:67">
      <c r="A96" t="s">
        <v>316</v>
      </c>
      <c r="B96" s="20" t="str">
        <f>VLOOKUP(Data[[#This Row],[DEVELOPMENT]],Development_Data_Book[[DEVELOPMENT]:[BOROUGH]],MATCH("borough",Development_Data_Book[[#Headers],[DEVELOPMENT]:[BOROUGH]],0),FALSE)</f>
        <v>BROOKLYN</v>
      </c>
      <c r="C96" s="20" t="e">
        <f>VLOOKUP(Data[[#This Row],[DEVELOPMENT]],'[1]Cheat-Sheet'!$D$2:$Q$341,2,FALSE)</f>
        <v>#N/A</v>
      </c>
      <c r="D9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96" s="20">
        <f>VLOOKUP(Data[[#This Row],[DEVELOPMENT]],Development_Data_Book[[DEVELOPMENT]:[BOROUGH]],21,FALSE)</f>
        <v>33</v>
      </c>
      <c r="F96" s="20">
        <f>VLOOKUP(Data[[#This Row],[DEVELOPMENT]],Development_Data_Book[[DEVELOPMENT]:[BOROUGH]],23,FALSE)</f>
        <v>33</v>
      </c>
      <c r="G96" s="20">
        <f>VLOOKUP(Data[[#This Row],[DEVELOPMENT]],Development_Data_Book[[DEVELOPMENT]:[BOROUGH]],12,FALSE)</f>
        <v>66</v>
      </c>
      <c r="J96">
        <f>IFERROR(VLOOKUP(Data[[#This Row],[DEVELOPMENT]],IntCompactors_MRST[],4,FALSE),0)</f>
        <v>0</v>
      </c>
      <c r="K96" s="20">
        <f>IFERROR(VLOOKUP(Data[[#This Row],[DEVELOPMENT]],ExtCompactors_MRST[],4,FALSE),0)</f>
        <v>0</v>
      </c>
      <c r="L96" s="27" t="str">
        <f>IF(Data[[#This Row],['# Interior Compactors MRST]]=0,"",VLOOKUP(Data[[#This Row],[DEVELOPMENT]],IntCompactors_MRST[],5,FALSE))</f>
        <v/>
      </c>
      <c r="M96" s="28" t="str">
        <f>IF(Data[[#This Row],['# Exterior Compactors MRST]]=0,"",VLOOKUP(Data[[#This Row],[DEVELOPMENT]],ExtCompactors_MRST[],5,FALSE))</f>
        <v/>
      </c>
      <c r="N96" s="20">
        <f>Data[[#This Row],['# Interior Compactors MRST]]</f>
        <v>0</v>
      </c>
      <c r="O96" s="20">
        <f>IF(Data[[#This Row],['# Bulk Crushers]]=0,1,0)</f>
        <v>1</v>
      </c>
      <c r="P96" s="20">
        <f>1</f>
        <v>1</v>
      </c>
      <c r="Q96" s="20">
        <f>1</f>
        <v>1</v>
      </c>
      <c r="R96" s="20">
        <f>1</f>
        <v>1</v>
      </c>
      <c r="S96" s="20">
        <f>1</f>
        <v>1</v>
      </c>
      <c r="T96" s="20">
        <f>IF(Data[[#This Row],[Sewershed]]="Newtown Creek",Data[[#This Row],[DUs]],0)</f>
        <v>0</v>
      </c>
      <c r="U9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9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9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96" s="82">
        <f>VLOOKUP(Data[[#This Row],[DEVELOPMENT]],Development_Data_Book[[DEVELOPMENT]:[BOROUGH]],3,FALSE)</f>
        <v>263</v>
      </c>
      <c r="Y96" s="20"/>
      <c r="Z96" s="20">
        <f>IFERROR(VLOOKUP(Data[[#This Row],[TDS]],ExtCompactors_PNA[[Development]:[0]],2,FALSE),0)</f>
        <v>0</v>
      </c>
      <c r="AA96" s="20">
        <f>IFERROR(VLOOKUP(Data[[#This Row],[TDS]],IntCompactors_PNA[[TDS]:[0]],2,FALSE),0)</f>
        <v>0</v>
      </c>
      <c r="AB96" s="20"/>
      <c r="AC96" s="20"/>
      <c r="AD96" s="20">
        <f>IFERROR(VLOOKUP(Data[[#This Row],[TDS]],ExtCompactors_PNA[[Development]:[0]],3,FALSE)+VLOOKUP(Data[[#This Row],[TDS]],ExtCompactors_PNA[[Development]:[0]],6,FALSE),0)</f>
        <v>0</v>
      </c>
      <c r="AE96" s="20">
        <f>IFERROR(VLOOKUP(Data[[#This Row],[TDS]],IntCompactors_PNA[[TDS]:[0]],3,FALSE)+VLOOKUP(Data[[#This Row],[TDS]],IntCompactors_PNA[[TDS]:[0]],6,FALSE),0)</f>
        <v>0</v>
      </c>
      <c r="AF96" s="20" t="e">
        <f>VLOOKUP(Data[[#This Row],[DEVELOPMENT]],[3]Developments!$A$2:$A$312,1,FALSE)</f>
        <v>#N/A</v>
      </c>
      <c r="AG96" s="20">
        <f>IFERROR(VLOOKUP(Data[[#This Row],[DEVELOPMENT]],Ops_Priorities_and_Data_Clean[[development]:[ifnoext_comment]],3,FALSE),"")</f>
        <v>0</v>
      </c>
      <c r="AH96" s="20">
        <f>IFERROR(VLOOKUP(Data[[#This Row],[DEVELOPMENT]],Ops_Priorities_and_Data_Clean[[development]:[ifnoext_comment]],4,FALSE),"")</f>
        <v>0</v>
      </c>
      <c r="AI96" s="20">
        <f>IFERROR(VLOOKUP(Data[[#This Row],[DEVELOPMENT]],Ops_Priorities_and_Data_Clean[[development]:[ifnoext_comment]],5,FALSE),"")</f>
        <v>0</v>
      </c>
      <c r="AJ96" s="20">
        <f>IFERROR(VLOOKUP(Data[[#This Row],[DEVELOPMENT]],Ops_Priorities_and_Data_Clean[[development]:[ifnoext_comment]],6,FALSE),"")</f>
        <v>0</v>
      </c>
      <c r="AK96" s="20">
        <f>IFERROR(VLOOKUP(Data[[#This Row],[DEVELOPMENT]],Ops_Priorities_and_Data_Clean[[development]:[ifnoext_comment]],7,FALSE),"")</f>
        <v>1</v>
      </c>
      <c r="AL96" s="20">
        <f>IFERROR(VLOOKUP(Data[[#This Row],[DEVELOPMENT]],Ops_Priorities_and_Data_Clean[[development]:[ifnoext_comment]],8,FALSE),"")</f>
        <v>1</v>
      </c>
      <c r="AM96" s="20">
        <f>IFERROR(VLOOKUP(Data[[#This Row],[DEVELOPMENT]],Ops_Priorities_and_Data_Clean[[development]:[ifnoext_comment]],9,FALSE),"")</f>
        <v>0</v>
      </c>
      <c r="AN96" s="20">
        <f>IFERROR(VLOOKUP(Data[[#This Row],[DEVELOPMENT]],Ops_Priorities_and_Data_Clean[[development]:[ifnoext_comment]],10,FALSE),"")</f>
        <v>0</v>
      </c>
      <c r="AO96" s="20">
        <f>IFERROR(VLOOKUP(Data[[#This Row],[DEVELOPMENT]],Ops_Priorities_and_Data_Clean[[development]:[ifnoext_comment]],11,FALSE),"")</f>
        <v>0</v>
      </c>
      <c r="AP96" s="20">
        <f>IFERROR(VLOOKUP(Data[[#This Row],[DEVELOPMENT]],Ops_Priorities_and_Data_Clean[[development]:[ifnoext_comment]],12,FALSE),"")</f>
        <v>0</v>
      </c>
      <c r="AQ96" s="20">
        <f>VLOOKUP(Data[[#This Row],[DEVELOPMENT]],Ops_Priorities_and_Data_Clean[[development]:[ifnoext_comment]],14,FALSE)</f>
        <v>1</v>
      </c>
      <c r="AR96" s="20">
        <f>VLOOKUP(Data[[#This Row],[DEVELOPMENT]],Ops_Priorities_and_Data_Clean[[development]:[ifnoext_comment]],15,FALSE)</f>
        <v>0</v>
      </c>
      <c r="AS96" s="20" t="str">
        <f>VLOOKUP(Data[[#This Row],[DEVELOPMENT]],Ops_Priorities_and_Data_Clean[[development]:[ifnoext_comment]],16,FALSE)</f>
        <v>NULL</v>
      </c>
      <c r="AT96" s="20" t="str">
        <f>VLOOKUP(Data[[#This Row],[DEVELOPMENT]],Ops_Priorities_and_Data_Clean[[development]:[ifnoext_comment]],17,FALSE)</f>
        <v>NULL</v>
      </c>
      <c r="AU96" s="20" t="str">
        <f>VLOOKUP(Data[[#This Row],[DEVELOPMENT]],Ops_Priorities_and_Data_Clean[[development]:[ifnoext_comment]],18,FALSE)</f>
        <v>NULL</v>
      </c>
      <c r="AV96" s="20" t="str">
        <f>VLOOKUP(Data[[#This Row],[DEVELOPMENT]],Ops_Priorities_and_Data_Clean[[development]:[ifnoext_comment]],19,FALSE)</f>
        <v>NULL</v>
      </c>
      <c r="AW96" s="20" t="str">
        <f>VLOOKUP(Data[[#This Row],[DEVELOPMENT]],Ops_Priorities_and_Data_Clean[[development]:[ifnoext_comment]],20,FALSE)</f>
        <v>NULL</v>
      </c>
      <c r="AX96" s="104" t="s">
        <v>2238</v>
      </c>
      <c r="AY96" s="104" t="s">
        <v>2623</v>
      </c>
      <c r="AZ96" s="20" t="str">
        <f>VLOOKUP(Data[[#This Row],[DEVELOPMENT]],Development_Data_Book[[DEVELOPMENT]:[PRIVATE MANAGEMENT]],8,FALSE)</f>
        <v>FEDERAL</v>
      </c>
      <c r="BA96" s="104" t="s">
        <v>2588</v>
      </c>
      <c r="BB96" s="20">
        <f>VLOOKUP(Data[[#This Row],[DEVELOPMENT]],Development_Data_Book[[DEVELOPMENT]:[PRIVATE MANAGEMENT]],22,FALSE)</f>
        <v>0</v>
      </c>
      <c r="BC96" s="20">
        <f>Data[[#This Row],[Non-Dwelling Buildings]]+Data[[#This Row],[Dwelling Buildings]]</f>
        <v>33</v>
      </c>
      <c r="BD96" s="20">
        <f>VLOOKUP(Data[[#This Row],[DEVELOPMENT]],Development_Data_Book[[DEVELOPMENT]:[PRIVATE MANAGEMENT]],26,FALSE)</f>
        <v>1.94</v>
      </c>
      <c r="BE96" s="106">
        <v>78990</v>
      </c>
      <c r="BF96" s="20">
        <f>VLOOKUP(Data[[#This Row],[DEVELOPMENT]],Development_Data_Book[[DEVELOPMENT]:[PRIVATE MANAGEMENT]],18,FALSE)</f>
        <v>258</v>
      </c>
      <c r="BG9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96" s="104" t="s">
        <v>2589</v>
      </c>
      <c r="BI96" t="s">
        <v>184</v>
      </c>
      <c r="BJ96" s="20">
        <f>VLOOKUP(Data[[#This Row],[DEVELOPMENT]],Development_Data_Book[[DEVELOPMENT]:[PRIVATE MANAGEMENT]],41,FALSE)</f>
        <v>5</v>
      </c>
      <c r="BK96" s="20">
        <f>VLOOKUP(Data[[#This Row],[DEVELOPMENT]],Development_Data_Book[[DEVELOPMENT]:[PRIVATE MANAGEMENT]],42,FALSE)</f>
        <v>8</v>
      </c>
      <c r="BL96" s="20">
        <f>VLOOKUP(Data[[#This Row],[DEVELOPMENT]],Development_Data_Book[[DEVELOPMENT]:[PRIVATE MANAGEMENT]],43,FALSE)</f>
        <v>19</v>
      </c>
      <c r="BM96" s="20">
        <f>VLOOKUP(Data[[#This Row],[DEVELOPMENT]],Development_Data_Book[[DEVELOPMENT]:[PRIVATE MANAGEMENT]],44,FALSE)</f>
        <v>60</v>
      </c>
      <c r="BN96" s="20">
        <f>VLOOKUP(Data[[#This Row],[DEVELOPMENT]],Development_Data_Book[[DEVELOPMENT]:[PRIVATE MANAGEMENT]],45,FALSE)</f>
        <v>42</v>
      </c>
      <c r="BO96" s="20">
        <f>VLOOKUP(Data[[#This Row],[DEVELOPMENT]],Development_Data_Book[[DEVELOPMENT]:[PRIVATE MANAGEMENT]],24,FALSE)</f>
        <v>3</v>
      </c>
    </row>
    <row r="97" spans="1:67">
      <c r="A97" t="s">
        <v>78</v>
      </c>
      <c r="B97" t="str">
        <f>VLOOKUP(Data[[#This Row],[DEVELOPMENT]],Development_Data_Book[[DEVELOPMENT]:[BOROUGH]],MATCH("borough",Development_Data_Book[[#Headers],[DEVELOPMENT]:[BOROUGH]],0),FALSE)</f>
        <v>MANHATTAN</v>
      </c>
      <c r="C97" t="e">
        <f>VLOOKUP(Data[[#This Row],[DEVELOPMENT]],'[1]Cheat-Sheet'!$D$2:$Q$341,2,FALSE)</f>
        <v>#N/A</v>
      </c>
      <c r="D9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97">
        <f>VLOOKUP(Data[[#This Row],[DEVELOPMENT]],Development_Data_Book[[DEVELOPMENT]:[BOROUGH]],21,FALSE)</f>
        <v>10</v>
      </c>
      <c r="F97">
        <f>VLOOKUP(Data[[#This Row],[DEVELOPMENT]],Development_Data_Book[[DEVELOPMENT]:[BOROUGH]],23,FALSE)</f>
        <v>30</v>
      </c>
      <c r="G97">
        <f>VLOOKUP(Data[[#This Row],[DEVELOPMENT]],Development_Data_Book[[DEVELOPMENT]:[BOROUGH]],12,FALSE)</f>
        <v>1156</v>
      </c>
      <c r="H97" t="s">
        <v>2247</v>
      </c>
      <c r="I97">
        <v>4</v>
      </c>
      <c r="J97">
        <f>IFERROR(VLOOKUP(Data[[#This Row],[DEVELOPMENT]],IntCompactors_MRST[],4,FALSE),0)</f>
        <v>29</v>
      </c>
      <c r="K97" s="20">
        <f>IFERROR(VLOOKUP(Data[[#This Row],[DEVELOPMENT]],ExtCompactors_MRST[],4,FALSE),0)</f>
        <v>2</v>
      </c>
      <c r="L97" s="27">
        <f>IF(Data[[#This Row],['# Interior Compactors MRST]]=0,"",VLOOKUP(Data[[#This Row],[DEVELOPMENT]],IntCompactors_MRST[],5,FALSE))</f>
        <v>42948</v>
      </c>
      <c r="M97" s="28">
        <f>IF(Data[[#This Row],['# Exterior Compactors MRST]]=0,"",VLOOKUP(Data[[#This Row],[DEVELOPMENT]],ExtCompactors_MRST[],5,FALSE))</f>
        <v>36186</v>
      </c>
      <c r="N97">
        <f>Data[[#This Row],['# Interior Compactors MRST]]</f>
        <v>29</v>
      </c>
      <c r="O97" s="20">
        <f>IF(Data[[#This Row],['# Bulk Crushers]]=0,1,0)</f>
        <v>1</v>
      </c>
      <c r="P97" s="20">
        <f>1</f>
        <v>1</v>
      </c>
      <c r="Q97" s="20">
        <f>1</f>
        <v>1</v>
      </c>
      <c r="R97" s="20">
        <f>1</f>
        <v>1</v>
      </c>
      <c r="S97" s="20">
        <f>1</f>
        <v>1</v>
      </c>
      <c r="T97" s="20">
        <f>IF(Data[[#This Row],[Sewershed]]="Newtown Creek",Data[[#This Row],[DUs]],0)</f>
        <v>0</v>
      </c>
      <c r="U9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9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9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97" s="82">
        <f>VLOOKUP(Data[[#This Row],[DEVELOPMENT]],Development_Data_Book[[DEVELOPMENT]:[BOROUGH]],3,FALSE)</f>
        <v>9</v>
      </c>
      <c r="Y97" s="20"/>
      <c r="Z97" s="20">
        <f>IFERROR(VLOOKUP(Data[[#This Row],[TDS]],ExtCompactors_PNA[[Development]:[0]],2,FALSE),0)</f>
        <v>2</v>
      </c>
      <c r="AA97" s="20">
        <f>IFERROR(VLOOKUP(Data[[#This Row],[TDS]],IntCompactors_PNA[[TDS]:[0]],2,FALSE),0)</f>
        <v>29</v>
      </c>
      <c r="AB97" s="20"/>
      <c r="AC97" s="20"/>
      <c r="AD97" s="20">
        <f>IFERROR(VLOOKUP(Data[[#This Row],[TDS]],ExtCompactors_PNA[[Development]:[0]],3,FALSE)+VLOOKUP(Data[[#This Row],[TDS]],ExtCompactors_PNA[[Development]:[0]],6,FALSE),0)</f>
        <v>2</v>
      </c>
      <c r="AE97" s="20">
        <f>IFERROR(VLOOKUP(Data[[#This Row],[TDS]],IntCompactors_PNA[[TDS]:[0]],3,FALSE)+VLOOKUP(Data[[#This Row],[TDS]],IntCompactors_PNA[[TDS]:[0]],6,FALSE),0)</f>
        <v>29</v>
      </c>
      <c r="AF97" s="20" t="e">
        <f>VLOOKUP(Data[[#This Row],[DEVELOPMENT]],[3]Developments!$A$2:$A$312,1,FALSE)</f>
        <v>#N/A</v>
      </c>
      <c r="AG97" s="20">
        <f>IFERROR(VLOOKUP(Data[[#This Row],[DEVELOPMENT]],Ops_Priorities_and_Data_Clean[[development]:[ifnoext_comment]],3,FALSE),"")</f>
        <v>2</v>
      </c>
      <c r="AH97" s="20">
        <f>IFERROR(VLOOKUP(Data[[#This Row],[DEVELOPMENT]],Ops_Priorities_and_Data_Clean[[development]:[ifnoext_comment]],4,FALSE),"")</f>
        <v>0</v>
      </c>
      <c r="AI97" s="20">
        <f>IFERROR(VLOOKUP(Data[[#This Row],[DEVELOPMENT]],Ops_Priorities_and_Data_Clean[[development]:[ifnoext_comment]],5,FALSE),"")</f>
        <v>1</v>
      </c>
      <c r="AJ97" s="20">
        <f>IFERROR(VLOOKUP(Data[[#This Row],[DEVELOPMENT]],Ops_Priorities_and_Data_Clean[[development]:[ifnoext_comment]],6,FALSE),"")</f>
        <v>0</v>
      </c>
      <c r="AK97" s="20">
        <f>IFERROR(VLOOKUP(Data[[#This Row],[DEVELOPMENT]],Ops_Priorities_and_Data_Clean[[development]:[ifnoext_comment]],7,FALSE),"")</f>
        <v>0</v>
      </c>
      <c r="AL97" s="20">
        <f>IFERROR(VLOOKUP(Data[[#This Row],[DEVELOPMENT]],Ops_Priorities_and_Data_Clean[[development]:[ifnoext_comment]],8,FALSE),"")</f>
        <v>1</v>
      </c>
      <c r="AM97" s="20">
        <f>IFERROR(VLOOKUP(Data[[#This Row],[DEVELOPMENT]],Ops_Priorities_and_Data_Clean[[development]:[ifnoext_comment]],9,FALSE),"")</f>
        <v>0</v>
      </c>
      <c r="AN97" s="20">
        <f>IFERROR(VLOOKUP(Data[[#This Row],[DEVELOPMENT]],Ops_Priorities_and_Data_Clean[[development]:[ifnoext_comment]],10,FALSE),"")</f>
        <v>2</v>
      </c>
      <c r="AO97" s="20">
        <f>IFERROR(VLOOKUP(Data[[#This Row],[DEVELOPMENT]],Ops_Priorities_and_Data_Clean[[development]:[ifnoext_comment]],11,FALSE),"")</f>
        <v>2</v>
      </c>
      <c r="AP97" s="20">
        <f>IFERROR(VLOOKUP(Data[[#This Row],[DEVELOPMENT]],Ops_Priorities_and_Data_Clean[[development]:[ifnoext_comment]],12,FALSE),"")</f>
        <v>2</v>
      </c>
      <c r="AQ97" s="20">
        <f>VLOOKUP(Data[[#This Row],[DEVELOPMENT]],Ops_Priorities_and_Data_Clean[[development]:[ifnoext_comment]],14,FALSE)</f>
        <v>0</v>
      </c>
      <c r="AR97" s="20">
        <f>VLOOKUP(Data[[#This Row],[DEVELOPMENT]],Ops_Priorities_and_Data_Clean[[development]:[ifnoext_comment]],15,FALSE)</f>
        <v>0</v>
      </c>
      <c r="AS97" s="20" t="str">
        <f>VLOOKUP(Data[[#This Row],[DEVELOPMENT]],Ops_Priorities_and_Data_Clean[[development]:[ifnoext_comment]],16,FALSE)</f>
        <v>NULL</v>
      </c>
      <c r="AT97" s="20" t="str">
        <f>VLOOKUP(Data[[#This Row],[DEVELOPMENT]],Ops_Priorities_and_Data_Clean[[development]:[ifnoext_comment]],17,FALSE)</f>
        <v>NULL</v>
      </c>
      <c r="AU97" s="20" t="str">
        <f>VLOOKUP(Data[[#This Row],[DEVELOPMENT]],Ops_Priorities_and_Data_Clean[[development]:[ifnoext_comment]],18,FALSE)</f>
        <v>NULL</v>
      </c>
      <c r="AV97" s="20" t="str">
        <f>VLOOKUP(Data[[#This Row],[DEVELOPMENT]],Ops_Priorities_and_Data_Clean[[development]:[ifnoext_comment]],19,FALSE)</f>
        <v>NULL</v>
      </c>
      <c r="AW97" s="20" t="str">
        <f>VLOOKUP(Data[[#This Row],[DEVELOPMENT]],Ops_Priorities_and_Data_Clean[[development]:[ifnoext_comment]],20,FALSE)</f>
        <v>NULL</v>
      </c>
      <c r="AX97" s="104" t="s">
        <v>2602</v>
      </c>
      <c r="AY97" s="104" t="s">
        <v>2603</v>
      </c>
      <c r="AZ97" s="20" t="str">
        <f>VLOOKUP(Data[[#This Row],[DEVELOPMENT]],Development_Data_Book[[DEVELOPMENT]:[PRIVATE MANAGEMENT]],8,FALSE)</f>
        <v>FEDERAL</v>
      </c>
      <c r="BA97" s="104" t="s">
        <v>2586</v>
      </c>
      <c r="BB97" s="20">
        <f>VLOOKUP(Data[[#This Row],[DEVELOPMENT]],Development_Data_Book[[DEVELOPMENT]:[PRIVATE MANAGEMENT]],22,FALSE)</f>
        <v>1</v>
      </c>
      <c r="BC97" s="20">
        <f>Data[[#This Row],[Non-Dwelling Buildings]]+Data[[#This Row],[Dwelling Buildings]]</f>
        <v>11</v>
      </c>
      <c r="BD97" s="20">
        <f>VLOOKUP(Data[[#This Row],[DEVELOPMENT]],Development_Data_Book[[DEVELOPMENT]:[PRIVATE MANAGEMENT]],26,FALSE)</f>
        <v>11.77</v>
      </c>
      <c r="BE97" s="106">
        <v>952350</v>
      </c>
      <c r="BF97" s="20">
        <f>VLOOKUP(Data[[#This Row],[DEVELOPMENT]],Development_Data_Book[[DEVELOPMENT]:[PRIVATE MANAGEMENT]],18,FALSE)</f>
        <v>2284</v>
      </c>
      <c r="BG9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97" s="104" t="s">
        <v>2604</v>
      </c>
      <c r="BI97" t="s">
        <v>184</v>
      </c>
      <c r="BJ97" s="20">
        <f>VLOOKUP(Data[[#This Row],[DEVELOPMENT]],Development_Data_Book[[DEVELOPMENT]:[PRIVATE MANAGEMENT]],41,FALSE)</f>
        <v>11</v>
      </c>
      <c r="BK97" s="20">
        <f>VLOOKUP(Data[[#This Row],[DEVELOPMENT]],Development_Data_Book[[DEVELOPMENT]:[PRIVATE MANAGEMENT]],42,FALSE)</f>
        <v>13</v>
      </c>
      <c r="BL97" s="20">
        <f>VLOOKUP(Data[[#This Row],[DEVELOPMENT]],Development_Data_Book[[DEVELOPMENT]:[PRIVATE MANAGEMENT]],43,FALSE)</f>
        <v>30</v>
      </c>
      <c r="BM97" s="20">
        <f>VLOOKUP(Data[[#This Row],[DEVELOPMENT]],Development_Data_Book[[DEVELOPMENT]:[PRIVATE MANAGEMENT]],44,FALSE)</f>
        <v>68</v>
      </c>
      <c r="BN97" s="20">
        <f>VLOOKUP(Data[[#This Row],[DEVELOPMENT]],Development_Data_Book[[DEVELOPMENT]:[PRIVATE MANAGEMENT]],45,FALSE)</f>
        <v>8</v>
      </c>
      <c r="BO97" s="20">
        <f>VLOOKUP(Data[[#This Row],[DEVELOPMENT]],Development_Data_Book[[DEVELOPMENT]:[PRIVATE MANAGEMENT]],24,FALSE)</f>
        <v>40704</v>
      </c>
    </row>
    <row r="98" spans="1:67">
      <c r="A98" t="s">
        <v>317</v>
      </c>
      <c r="B98" s="20" t="str">
        <f>VLOOKUP(Data[[#This Row],[DEVELOPMENT]],Development_Data_Book[[DEVELOPMENT]:[BOROUGH]],MATCH("borough",Development_Data_Book[[#Headers],[DEVELOPMENT]:[BOROUGH]],0),FALSE)</f>
        <v>BRONX</v>
      </c>
      <c r="C98" s="20" t="e">
        <f>VLOOKUP(Data[[#This Row],[DEVELOPMENT]],'[1]Cheat-Sheet'!$D$2:$Q$341,2,FALSE)</f>
        <v>#N/A</v>
      </c>
      <c r="D9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98" s="20">
        <f>VLOOKUP(Data[[#This Row],[DEVELOPMENT]],Development_Data_Book[[DEVELOPMENT]:[BOROUGH]],21,FALSE)</f>
        <v>10</v>
      </c>
      <c r="F98" s="20">
        <f>VLOOKUP(Data[[#This Row],[DEVELOPMENT]],Development_Data_Book[[DEVELOPMENT]:[BOROUGH]],23,FALSE)</f>
        <v>15</v>
      </c>
      <c r="G98" s="20">
        <f>VLOOKUP(Data[[#This Row],[DEVELOPMENT]],Development_Data_Book[[DEVELOPMENT]:[BOROUGH]],12,FALSE)</f>
        <v>877</v>
      </c>
      <c r="J98">
        <f>IFERROR(VLOOKUP(Data[[#This Row],[DEVELOPMENT]],IntCompactors_MRST[],4,FALSE),0)</f>
        <v>15</v>
      </c>
      <c r="K98" s="20">
        <f>IFERROR(VLOOKUP(Data[[#This Row],[DEVELOPMENT]],ExtCompactors_MRST[],4,FALSE),0)</f>
        <v>2</v>
      </c>
      <c r="L98" s="27">
        <f>IF(Data[[#This Row],['# Interior Compactors MRST]]=0,"",VLOOKUP(Data[[#This Row],[DEVELOPMENT]],IntCompactors_MRST[],5,FALSE))</f>
        <v>36251</v>
      </c>
      <c r="M98" s="28">
        <f>IF(Data[[#This Row],['# Exterior Compactors MRST]]=0,"",VLOOKUP(Data[[#This Row],[DEVELOPMENT]],ExtCompactors_MRST[],5,FALSE))</f>
        <v>38097</v>
      </c>
      <c r="N98" s="20">
        <f>Data[[#This Row],['# Interior Compactors MRST]]</f>
        <v>15</v>
      </c>
      <c r="O98" s="20">
        <f>IF(Data[[#This Row],['# Bulk Crushers]]=0,1,0)</f>
        <v>1</v>
      </c>
      <c r="P98" s="20">
        <f>1</f>
        <v>1</v>
      </c>
      <c r="Q98" s="20">
        <f>1</f>
        <v>1</v>
      </c>
      <c r="R98" s="20">
        <f>1</f>
        <v>1</v>
      </c>
      <c r="S98" s="20">
        <f>1</f>
        <v>1</v>
      </c>
      <c r="T98" s="20">
        <f>IF(Data[[#This Row],[Sewershed]]="Newtown Creek",Data[[#This Row],[DUs]],0)</f>
        <v>0</v>
      </c>
      <c r="U9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9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9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98" s="82">
        <f>VLOOKUP(Data[[#This Row],[DEVELOPMENT]],Development_Data_Book[[DEVELOPMENT]:[BOROUGH]],3,FALSE)</f>
        <v>34</v>
      </c>
      <c r="Y98" s="20"/>
      <c r="Z98" s="20">
        <f>IFERROR(VLOOKUP(Data[[#This Row],[TDS]],ExtCompactors_PNA[[Development]:[0]],2,FALSE),0)</f>
        <v>2</v>
      </c>
      <c r="AA98" s="20">
        <f>IFERROR(VLOOKUP(Data[[#This Row],[TDS]],IntCompactors_PNA[[TDS]:[0]],2,FALSE),0)</f>
        <v>15</v>
      </c>
      <c r="AB98" s="20"/>
      <c r="AC98" s="20"/>
      <c r="AD98" s="20">
        <f>IFERROR(VLOOKUP(Data[[#This Row],[TDS]],ExtCompactors_PNA[[Development]:[0]],3,FALSE)+VLOOKUP(Data[[#This Row],[TDS]],ExtCompactors_PNA[[Development]:[0]],6,FALSE),0)</f>
        <v>2</v>
      </c>
      <c r="AE98" s="20">
        <f>IFERROR(VLOOKUP(Data[[#This Row],[TDS]],IntCompactors_PNA[[TDS]:[0]],3,FALSE)+VLOOKUP(Data[[#This Row],[TDS]],IntCompactors_PNA[[TDS]:[0]],6,FALSE),0)</f>
        <v>15</v>
      </c>
      <c r="AF98" s="20" t="e">
        <f>VLOOKUP(Data[[#This Row],[DEVELOPMENT]],[3]Developments!$A$2:$A$312,1,FALSE)</f>
        <v>#N/A</v>
      </c>
      <c r="AG98" s="20">
        <f>IFERROR(VLOOKUP(Data[[#This Row],[DEVELOPMENT]],Ops_Priorities_and_Data_Clean[[development]:[ifnoext_comment]],3,FALSE),"")</f>
        <v>2</v>
      </c>
      <c r="AH98" s="20">
        <f>IFERROR(VLOOKUP(Data[[#This Row],[DEVELOPMENT]],Ops_Priorities_and_Data_Clean[[development]:[ifnoext_comment]],4,FALSE),"")</f>
        <v>0</v>
      </c>
      <c r="AI98" s="20">
        <f>IFERROR(VLOOKUP(Data[[#This Row],[DEVELOPMENT]],Ops_Priorities_and_Data_Clean[[development]:[ifnoext_comment]],5,FALSE),"")</f>
        <v>1</v>
      </c>
      <c r="AJ98" s="20">
        <f>IFERROR(VLOOKUP(Data[[#This Row],[DEVELOPMENT]],Ops_Priorities_and_Data_Clean[[development]:[ifnoext_comment]],6,FALSE),"")</f>
        <v>0</v>
      </c>
      <c r="AK98" s="20">
        <f>IFERROR(VLOOKUP(Data[[#This Row],[DEVELOPMENT]],Ops_Priorities_and_Data_Clean[[development]:[ifnoext_comment]],7,FALSE),"")</f>
        <v>0</v>
      </c>
      <c r="AL98" s="20">
        <f>IFERROR(VLOOKUP(Data[[#This Row],[DEVELOPMENT]],Ops_Priorities_and_Data_Clean[[development]:[ifnoext_comment]],8,FALSE),"")</f>
        <v>1</v>
      </c>
      <c r="AM98" s="20">
        <f>IFERROR(VLOOKUP(Data[[#This Row],[DEVELOPMENT]],Ops_Priorities_and_Data_Clean[[development]:[ifnoext_comment]],9,FALSE),"")</f>
        <v>0</v>
      </c>
      <c r="AN98" s="20">
        <f>IFERROR(VLOOKUP(Data[[#This Row],[DEVELOPMENT]],Ops_Priorities_and_Data_Clean[[development]:[ifnoext_comment]],10,FALSE),"")</f>
        <v>2</v>
      </c>
      <c r="AO98" s="20">
        <f>IFERROR(VLOOKUP(Data[[#This Row],[DEVELOPMENT]],Ops_Priorities_and_Data_Clean[[development]:[ifnoext_comment]],11,FALSE),"")</f>
        <v>2</v>
      </c>
      <c r="AP98" s="20">
        <f>IFERROR(VLOOKUP(Data[[#This Row],[DEVELOPMENT]],Ops_Priorities_and_Data_Clean[[development]:[ifnoext_comment]],12,FALSE),"")</f>
        <v>2</v>
      </c>
      <c r="AQ98" s="20">
        <f>VLOOKUP(Data[[#This Row],[DEVELOPMENT]],Ops_Priorities_and_Data_Clean[[development]:[ifnoext_comment]],14,FALSE)</f>
        <v>0</v>
      </c>
      <c r="AR98" s="20">
        <f>VLOOKUP(Data[[#This Row],[DEVELOPMENT]],Ops_Priorities_and_Data_Clean[[development]:[ifnoext_comment]],15,FALSE)</f>
        <v>0</v>
      </c>
      <c r="AS98" s="20" t="str">
        <f>VLOOKUP(Data[[#This Row],[DEVELOPMENT]],Ops_Priorities_and_Data_Clean[[development]:[ifnoext_comment]],16,FALSE)</f>
        <v>NULL</v>
      </c>
      <c r="AT98" s="20" t="str">
        <f>VLOOKUP(Data[[#This Row],[DEVELOPMENT]],Ops_Priorities_and_Data_Clean[[development]:[ifnoext_comment]],17,FALSE)</f>
        <v>NULL</v>
      </c>
      <c r="AU98" s="20" t="str">
        <f>VLOOKUP(Data[[#This Row],[DEVELOPMENT]],Ops_Priorities_and_Data_Clean[[development]:[ifnoext_comment]],18,FALSE)</f>
        <v>NULL</v>
      </c>
      <c r="AV98" s="20" t="str">
        <f>VLOOKUP(Data[[#This Row],[DEVELOPMENT]],Ops_Priorities_and_Data_Clean[[development]:[ifnoext_comment]],19,FALSE)</f>
        <v>NULL</v>
      </c>
      <c r="AW98" s="20" t="str">
        <f>VLOOKUP(Data[[#This Row],[DEVELOPMENT]],Ops_Priorities_and_Data_Clean[[development]:[ifnoext_comment]],20,FALSE)</f>
        <v>NULL</v>
      </c>
      <c r="AX98" s="104" t="s">
        <v>2237</v>
      </c>
      <c r="AY98" s="104" t="s">
        <v>2639</v>
      </c>
      <c r="AZ98" s="20" t="str">
        <f>VLOOKUP(Data[[#This Row],[DEVELOPMENT]],Development_Data_Book[[DEVELOPMENT]:[PRIVATE MANAGEMENT]],8,FALSE)</f>
        <v>FEDERAL</v>
      </c>
      <c r="BA98" s="104" t="s">
        <v>2586</v>
      </c>
      <c r="BB98" s="20">
        <f>VLOOKUP(Data[[#This Row],[DEVELOPMENT]],Development_Data_Book[[DEVELOPMENT]:[PRIVATE MANAGEMENT]],22,FALSE)</f>
        <v>0</v>
      </c>
      <c r="BC98" s="20">
        <f>Data[[#This Row],[Non-Dwelling Buildings]]+Data[[#This Row],[Dwelling Buildings]]</f>
        <v>10</v>
      </c>
      <c r="BD98" s="20">
        <f>VLOOKUP(Data[[#This Row],[DEVELOPMENT]],Development_Data_Book[[DEVELOPMENT]:[PRIVATE MANAGEMENT]],26,FALSE)</f>
        <v>15.01</v>
      </c>
      <c r="BE98" s="106">
        <v>835395</v>
      </c>
      <c r="BF98" s="20">
        <f>VLOOKUP(Data[[#This Row],[DEVELOPMENT]],Development_Data_Book[[DEVELOPMENT]:[PRIVATE MANAGEMENT]],18,FALSE)</f>
        <v>2051</v>
      </c>
      <c r="BG9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98" s="104" t="s">
        <v>2595</v>
      </c>
      <c r="BI98" t="s">
        <v>184</v>
      </c>
      <c r="BJ98" s="20">
        <f>VLOOKUP(Data[[#This Row],[DEVELOPMENT]],Development_Data_Book[[DEVELOPMENT]:[PRIVATE MANAGEMENT]],41,FALSE)</f>
        <v>11</v>
      </c>
      <c r="BK98" s="20">
        <f>VLOOKUP(Data[[#This Row],[DEVELOPMENT]],Development_Data_Book[[DEVELOPMENT]:[PRIVATE MANAGEMENT]],42,FALSE)</f>
        <v>16</v>
      </c>
      <c r="BL98" s="20">
        <f>VLOOKUP(Data[[#This Row],[DEVELOPMENT]],Development_Data_Book[[DEVELOPMENT]:[PRIVATE MANAGEMENT]],43,FALSE)</f>
        <v>36</v>
      </c>
      <c r="BM98" s="20">
        <f>VLOOKUP(Data[[#This Row],[DEVELOPMENT]],Development_Data_Book[[DEVELOPMENT]:[PRIVATE MANAGEMENT]],44,FALSE)</f>
        <v>83</v>
      </c>
      <c r="BN98" s="20">
        <f>VLOOKUP(Data[[#This Row],[DEVELOPMENT]],Development_Data_Book[[DEVELOPMENT]:[PRIVATE MANAGEMENT]],45,FALSE)</f>
        <v>12</v>
      </c>
      <c r="BO98" s="20">
        <f>VLOOKUP(Data[[#This Row],[DEVELOPMENT]],Development_Data_Book[[DEVELOPMENT]:[PRIVATE MANAGEMENT]],24,FALSE)</f>
        <v>43654</v>
      </c>
    </row>
    <row r="99" spans="1:67">
      <c r="A99" t="s">
        <v>201</v>
      </c>
      <c r="B99" s="20" t="str">
        <f>VLOOKUP(Data[[#This Row],[DEVELOPMENT]],Development_Data_Book[[DEVELOPMENT]:[BOROUGH]],MATCH("borough",Development_Data_Book[[#Headers],[DEVELOPMENT]:[BOROUGH]],0),FALSE)</f>
        <v>BRONX</v>
      </c>
      <c r="C99" s="20" t="e">
        <f>VLOOKUP(Data[[#This Row],[DEVELOPMENT]],'[1]Cheat-Sheet'!$D$2:$Q$341,2,FALSE)</f>
        <v>#N/A</v>
      </c>
      <c r="D9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99" s="20">
        <f>VLOOKUP(Data[[#This Row],[DEVELOPMENT]],Development_Data_Book[[DEVELOPMENT]:[BOROUGH]],21,FALSE)</f>
        <v>40</v>
      </c>
      <c r="F99" s="20">
        <f>VLOOKUP(Data[[#This Row],[DEVELOPMENT]],Development_Data_Book[[DEVELOPMENT]:[BOROUGH]],23,FALSE)</f>
        <v>71</v>
      </c>
      <c r="G99" s="20">
        <f>VLOOKUP(Data[[#This Row],[DEVELOPMENT]],Development_Data_Book[[DEVELOPMENT]:[BOROUGH]],12,FALSE)</f>
        <v>2035</v>
      </c>
      <c r="J99">
        <f>IFERROR(VLOOKUP(Data[[#This Row],[DEVELOPMENT]],IntCompactors_MRST[],4,FALSE),0)</f>
        <v>71</v>
      </c>
      <c r="K99" s="20">
        <f>IFERROR(VLOOKUP(Data[[#This Row],[DEVELOPMENT]],ExtCompactors_MRST[],4,FALSE),0)</f>
        <v>5</v>
      </c>
      <c r="L99" s="27">
        <f>IF(Data[[#This Row],['# Interior Compactors MRST]]=0,"",VLOOKUP(Data[[#This Row],[DEVELOPMENT]],IntCompactors_MRST[],5,FALSE))</f>
        <v>40148</v>
      </c>
      <c r="M99" s="28">
        <f>IF(Data[[#This Row],['# Exterior Compactors MRST]]=0,"",VLOOKUP(Data[[#This Row],[DEVELOPMENT]],ExtCompactors_MRST[],5,FALSE))</f>
        <v>41852</v>
      </c>
      <c r="N99" s="20">
        <f>Data[[#This Row],['# Interior Compactors MRST]]</f>
        <v>71</v>
      </c>
      <c r="O99" s="20">
        <f>IF(Data[[#This Row],['# Bulk Crushers]]=0,1,0)</f>
        <v>1</v>
      </c>
      <c r="P99" s="20">
        <f>1</f>
        <v>1</v>
      </c>
      <c r="Q99" s="20">
        <f>1</f>
        <v>1</v>
      </c>
      <c r="R99" s="20">
        <f>1</f>
        <v>1</v>
      </c>
      <c r="S99" s="20">
        <f>1</f>
        <v>1</v>
      </c>
      <c r="T99" s="20">
        <f>IF(Data[[#This Row],[Sewershed]]="Newtown Creek",Data[[#This Row],[DUs]],0)</f>
        <v>0</v>
      </c>
      <c r="U9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9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9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99" s="82">
        <f>VLOOKUP(Data[[#This Row],[DEVELOPMENT]],Development_Data_Book[[DEVELOPMENT]:[BOROUGH]],3,FALSE)</f>
        <v>57</v>
      </c>
      <c r="Y99" s="20"/>
      <c r="Z99" s="20">
        <f>IFERROR(VLOOKUP(Data[[#This Row],[TDS]],ExtCompactors_PNA[[Development]:[0]],2,FALSE),0)</f>
        <v>5</v>
      </c>
      <c r="AA99" s="20">
        <f>IFERROR(VLOOKUP(Data[[#This Row],[TDS]],IntCompactors_PNA[[TDS]:[0]],2,FALSE),0)</f>
        <v>62</v>
      </c>
      <c r="AB99" s="20"/>
      <c r="AC99" s="20"/>
      <c r="AD99" s="20">
        <f>IFERROR(VLOOKUP(Data[[#This Row],[TDS]],ExtCompactors_PNA[[Development]:[0]],3,FALSE)+VLOOKUP(Data[[#This Row],[TDS]],ExtCompactors_PNA[[Development]:[0]],6,FALSE),0)</f>
        <v>0</v>
      </c>
      <c r="AE99" s="20">
        <f>IFERROR(VLOOKUP(Data[[#This Row],[TDS]],IntCompactors_PNA[[TDS]:[0]],3,FALSE)+VLOOKUP(Data[[#This Row],[TDS]],IntCompactors_PNA[[TDS]:[0]],6,FALSE),0)</f>
        <v>3</v>
      </c>
      <c r="AF99" s="20" t="e">
        <f>VLOOKUP(Data[[#This Row],[DEVELOPMENT]],[3]Developments!$A$2:$A$312,1,FALSE)</f>
        <v>#N/A</v>
      </c>
      <c r="AG99" s="20">
        <f>IFERROR(VLOOKUP(Data[[#This Row],[DEVELOPMENT]],Ops_Priorities_and_Data_Clean[[development]:[ifnoext_comment]],3,FALSE),"")</f>
        <v>5</v>
      </c>
      <c r="AH99" s="20">
        <f>IFERROR(VLOOKUP(Data[[#This Row],[DEVELOPMENT]],Ops_Priorities_and_Data_Clean[[development]:[ifnoext_comment]],4,FALSE),"")</f>
        <v>1</v>
      </c>
      <c r="AI99" s="20">
        <f>IFERROR(VLOOKUP(Data[[#This Row],[DEVELOPMENT]],Ops_Priorities_and_Data_Clean[[development]:[ifnoext_comment]],5,FALSE),"")</f>
        <v>1</v>
      </c>
      <c r="AJ99" s="20">
        <f>IFERROR(VLOOKUP(Data[[#This Row],[DEVELOPMENT]],Ops_Priorities_and_Data_Clean[[development]:[ifnoext_comment]],6,FALSE),"")</f>
        <v>0</v>
      </c>
      <c r="AK99" s="20">
        <f>IFERROR(VLOOKUP(Data[[#This Row],[DEVELOPMENT]],Ops_Priorities_and_Data_Clean[[development]:[ifnoext_comment]],7,FALSE),"")</f>
        <v>0</v>
      </c>
      <c r="AL99" s="20">
        <f>IFERROR(VLOOKUP(Data[[#This Row],[DEVELOPMENT]],Ops_Priorities_and_Data_Clean[[development]:[ifnoext_comment]],8,FALSE),"")</f>
        <v>1</v>
      </c>
      <c r="AM99" s="20">
        <f>IFERROR(VLOOKUP(Data[[#This Row],[DEVELOPMENT]],Ops_Priorities_and_Data_Clean[[development]:[ifnoext_comment]],9,FALSE),"")</f>
        <v>0</v>
      </c>
      <c r="AN99" s="20">
        <f>IFERROR(VLOOKUP(Data[[#This Row],[DEVELOPMENT]],Ops_Priorities_and_Data_Clean[[development]:[ifnoext_comment]],10,FALSE),"")</f>
        <v>5</v>
      </c>
      <c r="AO99" s="20">
        <f>IFERROR(VLOOKUP(Data[[#This Row],[DEVELOPMENT]],Ops_Priorities_and_Data_Clean[[development]:[ifnoext_comment]],11,FALSE),"")</f>
        <v>5</v>
      </c>
      <c r="AP99" s="20">
        <f>IFERROR(VLOOKUP(Data[[#This Row],[DEVELOPMENT]],Ops_Priorities_and_Data_Clean[[development]:[ifnoext_comment]],12,FALSE),"")</f>
        <v>5</v>
      </c>
      <c r="AQ99" s="20">
        <f>VLOOKUP(Data[[#This Row],[DEVELOPMENT]],Ops_Priorities_and_Data_Clean[[development]:[ifnoext_comment]],14,FALSE)</f>
        <v>0</v>
      </c>
      <c r="AR99" s="20">
        <f>VLOOKUP(Data[[#This Row],[DEVELOPMENT]],Ops_Priorities_and_Data_Clean[[development]:[ifnoext_comment]],15,FALSE)</f>
        <v>0</v>
      </c>
      <c r="AS99" s="20" t="str">
        <f>VLOOKUP(Data[[#This Row],[DEVELOPMENT]],Ops_Priorities_and_Data_Clean[[development]:[ifnoext_comment]],16,FALSE)</f>
        <v>NULL</v>
      </c>
      <c r="AT99" s="20" t="str">
        <f>VLOOKUP(Data[[#This Row],[DEVELOPMENT]],Ops_Priorities_and_Data_Clean[[development]:[ifnoext_comment]],17,FALSE)</f>
        <v>NULL</v>
      </c>
      <c r="AU99" s="20" t="str">
        <f>VLOOKUP(Data[[#This Row],[DEVELOPMENT]],Ops_Priorities_and_Data_Clean[[development]:[ifnoext_comment]],18,FALSE)</f>
        <v>NULL</v>
      </c>
      <c r="AV99" s="20" t="str">
        <f>VLOOKUP(Data[[#This Row],[DEVELOPMENT]],Ops_Priorities_and_Data_Clean[[development]:[ifnoext_comment]],19,FALSE)</f>
        <v>NULL</v>
      </c>
      <c r="AW99" s="20" t="str">
        <f>VLOOKUP(Data[[#This Row],[DEVELOPMENT]],Ops_Priorities_and_Data_Clean[[development]:[ifnoext_comment]],20,FALSE)</f>
        <v>NULL</v>
      </c>
      <c r="AX99" s="104" t="s">
        <v>2237</v>
      </c>
      <c r="AY99" s="104" t="s">
        <v>2640</v>
      </c>
      <c r="AZ99" s="20" t="str">
        <f>VLOOKUP(Data[[#This Row],[DEVELOPMENT]],Development_Data_Book[[DEVELOPMENT]:[PRIVATE MANAGEMENT]],8,FALSE)</f>
        <v>FEDERAL</v>
      </c>
      <c r="BA99" s="104" t="s">
        <v>2613</v>
      </c>
      <c r="BB99" s="20">
        <f>VLOOKUP(Data[[#This Row],[DEVELOPMENT]],Development_Data_Book[[DEVELOPMENT]:[PRIVATE MANAGEMENT]],22,FALSE)</f>
        <v>2</v>
      </c>
      <c r="BC99" s="20">
        <f>Data[[#This Row],[Non-Dwelling Buildings]]+Data[[#This Row],[Dwelling Buildings]]</f>
        <v>42</v>
      </c>
      <c r="BD99" s="20">
        <f>VLOOKUP(Data[[#This Row],[DEVELOPMENT]],Development_Data_Book[[DEVELOPMENT]:[PRIVATE MANAGEMENT]],26,FALSE)</f>
        <v>48.88</v>
      </c>
      <c r="BE99" s="106">
        <v>2003603</v>
      </c>
      <c r="BF99" s="20">
        <f>VLOOKUP(Data[[#This Row],[DEVELOPMENT]],Development_Data_Book[[DEVELOPMENT]:[PRIVATE MANAGEMENT]],18,FALSE)</f>
        <v>4852</v>
      </c>
      <c r="BG9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99" s="104" t="s">
        <v>2587</v>
      </c>
      <c r="BI99" t="s">
        <v>184</v>
      </c>
      <c r="BJ99" s="20">
        <f>VLOOKUP(Data[[#This Row],[DEVELOPMENT]],Development_Data_Book[[DEVELOPMENT]:[PRIVATE MANAGEMENT]],41,FALSE)</f>
        <v>12</v>
      </c>
      <c r="BK99" s="20">
        <f>VLOOKUP(Data[[#This Row],[DEVELOPMENT]],Development_Data_Book[[DEVELOPMENT]:[PRIVATE MANAGEMENT]],42,FALSE)</f>
        <v>16</v>
      </c>
      <c r="BL99" s="20">
        <f>VLOOKUP(Data[[#This Row],[DEVELOPMENT]],Development_Data_Book[[DEVELOPMENT]:[PRIVATE MANAGEMENT]],43,FALSE)</f>
        <v>36</v>
      </c>
      <c r="BM99" s="20">
        <f>VLOOKUP(Data[[#This Row],[DEVELOPMENT]],Development_Data_Book[[DEVELOPMENT]:[PRIVATE MANAGEMENT]],44,FALSE)</f>
        <v>83</v>
      </c>
      <c r="BN99" s="20">
        <f>VLOOKUP(Data[[#This Row],[DEVELOPMENT]],Development_Data_Book[[DEVELOPMENT]:[PRIVATE MANAGEMENT]],45,FALSE)</f>
        <v>12</v>
      </c>
      <c r="BO99" s="20">
        <f>VLOOKUP(Data[[#This Row],[DEVELOPMENT]],Development_Data_Book[[DEVELOPMENT]:[PRIVATE MANAGEMENT]],24,FALSE)</f>
        <v>43538</v>
      </c>
    </row>
    <row r="100" spans="1:67">
      <c r="A100" t="s">
        <v>221</v>
      </c>
      <c r="B100" s="20" t="str">
        <f>VLOOKUP(Data[[#This Row],[DEVELOPMENT]],Development_Data_Book[[DEVELOPMENT]:[BOROUGH]],MATCH("borough",Development_Data_Book[[#Headers],[DEVELOPMENT]:[BOROUGH]],0),FALSE)</f>
        <v>MANHATTAN</v>
      </c>
      <c r="C100" s="20" t="e">
        <f>VLOOKUP(Data[[#This Row],[DEVELOPMENT]],'[1]Cheat-Sheet'!$D$2:$Q$341,2,FALSE)</f>
        <v>#N/A</v>
      </c>
      <c r="D10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00" s="20">
        <f>VLOOKUP(Data[[#This Row],[DEVELOPMENT]],Development_Data_Book[[DEVELOPMENT]:[BOROUGH]],21,FALSE)</f>
        <v>4</v>
      </c>
      <c r="F100" s="20">
        <f>VLOOKUP(Data[[#This Row],[DEVELOPMENT]],Development_Data_Book[[DEVELOPMENT]:[BOROUGH]],23,FALSE)</f>
        <v>8</v>
      </c>
      <c r="G100" s="20">
        <f>VLOOKUP(Data[[#This Row],[DEVELOPMENT]],Development_Data_Book[[DEVELOPMENT]:[BOROUGH]],12,FALSE)</f>
        <v>606</v>
      </c>
      <c r="H100" t="s">
        <v>2248</v>
      </c>
      <c r="J100">
        <f>IFERROR(VLOOKUP(Data[[#This Row],[DEVELOPMENT]],IntCompactors_MRST[],4,FALSE),0)</f>
        <v>8</v>
      </c>
      <c r="K100" s="20">
        <f>IFERROR(VLOOKUP(Data[[#This Row],[DEVELOPMENT]],ExtCompactors_MRST[],4,FALSE),0)</f>
        <v>0</v>
      </c>
      <c r="L100" s="27">
        <f>IF(Data[[#This Row],['# Interior Compactors MRST]]=0,"",VLOOKUP(Data[[#This Row],[DEVELOPMENT]],IntCompactors_MRST[],5,FALSE))</f>
        <v>36647</v>
      </c>
      <c r="M100" s="28" t="str">
        <f>IF(Data[[#This Row],['# Exterior Compactors MRST]]=0,"",VLOOKUP(Data[[#This Row],[DEVELOPMENT]],ExtCompactors_MRST[],5,FALSE))</f>
        <v/>
      </c>
      <c r="N100" s="20">
        <f>Data[[#This Row],['# Interior Compactors MRST]]</f>
        <v>8</v>
      </c>
      <c r="O100" s="20">
        <f>IF(Data[[#This Row],['# Bulk Crushers]]=0,1,0)</f>
        <v>1</v>
      </c>
      <c r="P100" s="20">
        <f>1</f>
        <v>1</v>
      </c>
      <c r="Q100" s="20">
        <f>1</f>
        <v>1</v>
      </c>
      <c r="R100" s="20">
        <f>1</f>
        <v>1</v>
      </c>
      <c r="S100" s="20">
        <f>1</f>
        <v>1</v>
      </c>
      <c r="T100" s="20">
        <f>IF(Data[[#This Row],[Sewershed]]="Newtown Creek",Data[[#This Row],[DUs]],0)</f>
        <v>0</v>
      </c>
      <c r="U10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0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0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00" s="82">
        <f>VLOOKUP(Data[[#This Row],[DEVELOPMENT]],Development_Data_Book[[DEVELOPMENT]:[BOROUGH]],3,FALSE)</f>
        <v>15</v>
      </c>
      <c r="Y100" s="20"/>
      <c r="Z100" s="20">
        <f>IFERROR(VLOOKUP(Data[[#This Row],[TDS]],ExtCompactors_PNA[[Development]:[0]],2,FALSE),0)</f>
        <v>2</v>
      </c>
      <c r="AA100" s="20">
        <f>IFERROR(VLOOKUP(Data[[#This Row],[TDS]],IntCompactors_PNA[[TDS]:[0]],2,FALSE),0)</f>
        <v>8</v>
      </c>
      <c r="AB100" s="20"/>
      <c r="AC100" s="20"/>
      <c r="AD100" s="20">
        <f>IFERROR(VLOOKUP(Data[[#This Row],[TDS]],ExtCompactors_PNA[[Development]:[0]],3,FALSE)+VLOOKUP(Data[[#This Row],[TDS]],ExtCompactors_PNA[[Development]:[0]],6,FALSE),0)</f>
        <v>0</v>
      </c>
      <c r="AE100" s="20">
        <f>IFERROR(VLOOKUP(Data[[#This Row],[TDS]],IntCompactors_PNA[[TDS]:[0]],3,FALSE)+VLOOKUP(Data[[#This Row],[TDS]],IntCompactors_PNA[[TDS]:[0]],6,FALSE),0)</f>
        <v>8</v>
      </c>
      <c r="AF100" s="20" t="e">
        <f>VLOOKUP(Data[[#This Row],[DEVELOPMENT]],[3]Developments!$A$2:$A$312,1,FALSE)</f>
        <v>#N/A</v>
      </c>
      <c r="AG100" s="20">
        <f>IFERROR(VLOOKUP(Data[[#This Row],[DEVELOPMENT]],Ops_Priorities_and_Data_Clean[[development]:[ifnoext_comment]],3,FALSE),"")</f>
        <v>0</v>
      </c>
      <c r="AH100" s="20">
        <f>IFERROR(VLOOKUP(Data[[#This Row],[DEVELOPMENT]],Ops_Priorities_and_Data_Clean[[development]:[ifnoext_comment]],4,FALSE),"")</f>
        <v>2</v>
      </c>
      <c r="AI100" s="20">
        <f>IFERROR(VLOOKUP(Data[[#This Row],[DEVELOPMENT]],Ops_Priorities_and_Data_Clean[[development]:[ifnoext_comment]],5,FALSE),"")</f>
        <v>0</v>
      </c>
      <c r="AJ100" s="20">
        <f>IFERROR(VLOOKUP(Data[[#This Row],[DEVELOPMENT]],Ops_Priorities_and_Data_Clean[[development]:[ifnoext_comment]],6,FALSE),"")</f>
        <v>0</v>
      </c>
      <c r="AK100" s="20">
        <f>IFERROR(VLOOKUP(Data[[#This Row],[DEVELOPMENT]],Ops_Priorities_and_Data_Clean[[development]:[ifnoext_comment]],7,FALSE),"")</f>
        <v>1</v>
      </c>
      <c r="AL100" s="20">
        <f>IFERROR(VLOOKUP(Data[[#This Row],[DEVELOPMENT]],Ops_Priorities_and_Data_Clean[[development]:[ifnoext_comment]],8,FALSE),"")</f>
        <v>1</v>
      </c>
      <c r="AM100" s="20">
        <f>IFERROR(VLOOKUP(Data[[#This Row],[DEVELOPMENT]],Ops_Priorities_and_Data_Clean[[development]:[ifnoext_comment]],9,FALSE),"")</f>
        <v>1</v>
      </c>
      <c r="AN100" s="20">
        <f>IFERROR(VLOOKUP(Data[[#This Row],[DEVELOPMENT]],Ops_Priorities_and_Data_Clean[[development]:[ifnoext_comment]],10,FALSE),"")</f>
        <v>0</v>
      </c>
      <c r="AO100" s="20">
        <f>IFERROR(VLOOKUP(Data[[#This Row],[DEVELOPMENT]],Ops_Priorities_and_Data_Clean[[development]:[ifnoext_comment]],11,FALSE),"")</f>
        <v>0</v>
      </c>
      <c r="AP100" s="20">
        <f>IFERROR(VLOOKUP(Data[[#This Row],[DEVELOPMENT]],Ops_Priorities_and_Data_Clean[[development]:[ifnoext_comment]],12,FALSE),"")</f>
        <v>0</v>
      </c>
      <c r="AQ100" s="20">
        <f>VLOOKUP(Data[[#This Row],[DEVELOPMENT]],Ops_Priorities_and_Data_Clean[[development]:[ifnoext_comment]],14,FALSE)</f>
        <v>1</v>
      </c>
      <c r="AR100" s="20">
        <f>VLOOKUP(Data[[#This Row],[DEVELOPMENT]],Ops_Priorities_and_Data_Clean[[development]:[ifnoext_comment]],15,FALSE)</f>
        <v>0</v>
      </c>
      <c r="AS100" s="20" t="str">
        <f>VLOOKUP(Data[[#This Row],[DEVELOPMENT]],Ops_Priorities_and_Data_Clean[[development]:[ifnoext_comment]],16,FALSE)</f>
        <v>NULL</v>
      </c>
      <c r="AT100" s="20" t="str">
        <f>VLOOKUP(Data[[#This Row],[DEVELOPMENT]],Ops_Priorities_and_Data_Clean[[development]:[ifnoext_comment]],17,FALSE)</f>
        <v>NULL</v>
      </c>
      <c r="AU100" s="20" t="str">
        <f>VLOOKUP(Data[[#This Row],[DEVELOPMENT]],Ops_Priorities_and_Data_Clean[[development]:[ifnoext_comment]],18,FALSE)</f>
        <v>NULL</v>
      </c>
      <c r="AV100" s="20" t="str">
        <f>VLOOKUP(Data[[#This Row],[DEVELOPMENT]],Ops_Priorities_and_Data_Clean[[development]:[ifnoext_comment]],19,FALSE)</f>
        <v>NULL</v>
      </c>
      <c r="AW100" s="20" t="str">
        <f>VLOOKUP(Data[[#This Row],[DEVELOPMENT]],Ops_Priorities_and_Data_Clean[[development]:[ifnoext_comment]],20,FALSE)</f>
        <v>NULL</v>
      </c>
      <c r="AX100" s="104" t="s">
        <v>2605</v>
      </c>
      <c r="AY100" s="104" t="s">
        <v>309</v>
      </c>
      <c r="AZ100" s="20" t="str">
        <f>VLOOKUP(Data[[#This Row],[DEVELOPMENT]],Development_Data_Book[[DEVELOPMENT]:[PRIVATE MANAGEMENT]],8,FALSE)</f>
        <v>FEDERAL</v>
      </c>
      <c r="BA100" s="104" t="s">
        <v>2586</v>
      </c>
      <c r="BB100" s="20">
        <f>VLOOKUP(Data[[#This Row],[DEVELOPMENT]],Development_Data_Book[[DEVELOPMENT]:[PRIVATE MANAGEMENT]],22,FALSE)</f>
        <v>0</v>
      </c>
      <c r="BC100" s="20">
        <f>Data[[#This Row],[Non-Dwelling Buildings]]+Data[[#This Row],[Dwelling Buildings]]</f>
        <v>4</v>
      </c>
      <c r="BD100" s="20">
        <f>VLOOKUP(Data[[#This Row],[DEVELOPMENT]],Development_Data_Book[[DEVELOPMENT]:[PRIVATE MANAGEMENT]],26,FALSE)</f>
        <v>4.7</v>
      </c>
      <c r="BE100" s="106">
        <v>515848</v>
      </c>
      <c r="BF100" s="20">
        <f>VLOOKUP(Data[[#This Row],[DEVELOPMENT]],Development_Data_Book[[DEVELOPMENT]:[PRIVATE MANAGEMENT]],18,FALSE)</f>
        <v>1355</v>
      </c>
      <c r="BG10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0" s="104" t="s">
        <v>2598</v>
      </c>
      <c r="BI100" t="s">
        <v>184</v>
      </c>
      <c r="BJ100" s="20">
        <f>VLOOKUP(Data[[#This Row],[DEVELOPMENT]],Development_Data_Book[[DEVELOPMENT]:[PRIVATE MANAGEMENT]],41,FALSE)</f>
        <v>4</v>
      </c>
      <c r="BK100" s="20">
        <f>VLOOKUP(Data[[#This Row],[DEVELOPMENT]],Development_Data_Book[[DEVELOPMENT]:[PRIVATE MANAGEMENT]],42,FALSE)</f>
        <v>10</v>
      </c>
      <c r="BL100" s="20" t="str">
        <f>VLOOKUP(Data[[#This Row],[DEVELOPMENT]],Development_Data_Book[[DEVELOPMENT]:[PRIVATE MANAGEMENT]],43,FALSE)</f>
        <v>27, 31</v>
      </c>
      <c r="BM100" s="20">
        <f>VLOOKUP(Data[[#This Row],[DEVELOPMENT]],Development_Data_Book[[DEVELOPMENT]:[PRIVATE MANAGEMENT]],44,FALSE)</f>
        <v>75</v>
      </c>
      <c r="BN100" s="20">
        <f>VLOOKUP(Data[[#This Row],[DEVELOPMENT]],Development_Data_Book[[DEVELOPMENT]:[PRIVATE MANAGEMENT]],45,FALSE)</f>
        <v>3</v>
      </c>
      <c r="BO100" s="20">
        <f>VLOOKUP(Data[[#This Row],[DEVELOPMENT]],Development_Data_Book[[DEVELOPMENT]:[PRIVATE MANAGEMENT]],24,FALSE)</f>
        <v>43781</v>
      </c>
    </row>
    <row r="101" spans="1:67">
      <c r="A101" t="s">
        <v>202</v>
      </c>
      <c r="B101" s="20" t="str">
        <f>VLOOKUP(Data[[#This Row],[DEVELOPMENT]],Development_Data_Book[[DEVELOPMENT]:[BOROUGH]],MATCH("borough",Development_Data_Book[[#Headers],[DEVELOPMENT]:[BOROUGH]],0),FALSE)</f>
        <v>BROOKLYN</v>
      </c>
      <c r="C101" s="20" t="e">
        <f>VLOOKUP(Data[[#This Row],[DEVELOPMENT]],'[1]Cheat-Sheet'!$D$2:$Q$341,2,FALSE)</f>
        <v>#N/A</v>
      </c>
      <c r="D10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01" s="20">
        <f>VLOOKUP(Data[[#This Row],[DEVELOPMENT]],Development_Data_Book[[DEVELOPMENT]:[BOROUGH]],21,FALSE)</f>
        <v>10</v>
      </c>
      <c r="F101" s="20">
        <f>VLOOKUP(Data[[#This Row],[DEVELOPMENT]],Development_Data_Book[[DEVELOPMENT]:[BOROUGH]],23,FALSE)</f>
        <v>10</v>
      </c>
      <c r="G101" s="20">
        <f>VLOOKUP(Data[[#This Row],[DEVELOPMENT]],Development_Data_Book[[DEVELOPMENT]:[BOROUGH]],12,FALSE)</f>
        <v>1389</v>
      </c>
      <c r="J101">
        <f>IFERROR(VLOOKUP(Data[[#This Row],[DEVELOPMENT]],IntCompactors_MRST[],4,FALSE),0)</f>
        <v>10</v>
      </c>
      <c r="K101" s="20">
        <f>IFERROR(VLOOKUP(Data[[#This Row],[DEVELOPMENT]],ExtCompactors_MRST[],4,FALSE),0)</f>
        <v>3</v>
      </c>
      <c r="L101" s="27">
        <f>IF(Data[[#This Row],['# Interior Compactors MRST]]=0,"",VLOOKUP(Data[[#This Row],[DEVELOPMENT]],IntCompactors_MRST[],5,FALSE))</f>
        <v>34820</v>
      </c>
      <c r="M101" s="28">
        <f>IF(Data[[#This Row],['# Exterior Compactors MRST]]=0,"",VLOOKUP(Data[[#This Row],[DEVELOPMENT]],ExtCompactors_MRST[],5,FALSE))</f>
        <v>38238</v>
      </c>
      <c r="N101" s="20">
        <f>Data[[#This Row],['# Interior Compactors MRST]]</f>
        <v>10</v>
      </c>
      <c r="O101" s="20">
        <f>IF(Data[[#This Row],['# Bulk Crushers]]=0,1,0)</f>
        <v>1</v>
      </c>
      <c r="P101" s="20">
        <f>1</f>
        <v>1</v>
      </c>
      <c r="Q101" s="20">
        <f>1</f>
        <v>1</v>
      </c>
      <c r="R101" s="20">
        <f>1</f>
        <v>1</v>
      </c>
      <c r="S101" s="20">
        <f>1</f>
        <v>1</v>
      </c>
      <c r="T101" s="20">
        <f>IF(Data[[#This Row],[Sewershed]]="Newtown Creek",Data[[#This Row],[DUs]],0)</f>
        <v>1389</v>
      </c>
      <c r="U10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0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0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01" s="82">
        <f>VLOOKUP(Data[[#This Row],[DEVELOPMENT]],Development_Data_Book[[DEVELOPMENT]:[BOROUGH]],3,FALSE)</f>
        <v>29</v>
      </c>
      <c r="Y101" s="20" t="s">
        <v>2599</v>
      </c>
      <c r="Z101" s="20">
        <f>IFERROR(VLOOKUP(Data[[#This Row],[TDS]],ExtCompactors_PNA[[Development]:[0]],2,FALSE),0)</f>
        <v>1</v>
      </c>
      <c r="AA101" s="20">
        <f>IFERROR(VLOOKUP(Data[[#This Row],[TDS]],IntCompactors_PNA[[TDS]:[0]],2,FALSE),0)</f>
        <v>10</v>
      </c>
      <c r="AB101" s="20"/>
      <c r="AC101" s="20"/>
      <c r="AD101" s="20">
        <f>IFERROR(VLOOKUP(Data[[#This Row],[TDS]],ExtCompactors_PNA[[Development]:[0]],3,FALSE)+VLOOKUP(Data[[#This Row],[TDS]],ExtCompactors_PNA[[Development]:[0]],6,FALSE),0)</f>
        <v>1</v>
      </c>
      <c r="AE101" s="20">
        <f>IFERROR(VLOOKUP(Data[[#This Row],[TDS]],IntCompactors_PNA[[TDS]:[0]],3,FALSE)+VLOOKUP(Data[[#This Row],[TDS]],IntCompactors_PNA[[TDS]:[0]],6,FALSE),0)</f>
        <v>10</v>
      </c>
      <c r="AF101" s="20" t="e">
        <f>VLOOKUP(Data[[#This Row],[DEVELOPMENT]],[3]Developments!$A$2:$A$312,1,FALSE)</f>
        <v>#N/A</v>
      </c>
      <c r="AG101" s="20">
        <f>IFERROR(VLOOKUP(Data[[#This Row],[DEVELOPMENT]],Ops_Priorities_and_Data_Clean[[development]:[ifnoext_comment]],3,FALSE),"")</f>
        <v>3</v>
      </c>
      <c r="AH101" s="20">
        <f>IFERROR(VLOOKUP(Data[[#This Row],[DEVELOPMENT]],Ops_Priorities_and_Data_Clean[[development]:[ifnoext_comment]],4,FALSE),"")</f>
        <v>1</v>
      </c>
      <c r="AI101" s="20">
        <f>IFERROR(VLOOKUP(Data[[#This Row],[DEVELOPMENT]],Ops_Priorities_and_Data_Clean[[development]:[ifnoext_comment]],5,FALSE),"")</f>
        <v>1</v>
      </c>
      <c r="AJ101" s="20">
        <f>IFERROR(VLOOKUP(Data[[#This Row],[DEVELOPMENT]],Ops_Priorities_and_Data_Clean[[development]:[ifnoext_comment]],6,FALSE),"")</f>
        <v>0</v>
      </c>
      <c r="AK101" s="20">
        <f>IFERROR(VLOOKUP(Data[[#This Row],[DEVELOPMENT]],Ops_Priorities_and_Data_Clean[[development]:[ifnoext_comment]],7,FALSE),"")</f>
        <v>0</v>
      </c>
      <c r="AL101" s="20">
        <f>IFERROR(VLOOKUP(Data[[#This Row],[DEVELOPMENT]],Ops_Priorities_and_Data_Clean[[development]:[ifnoext_comment]],8,FALSE),"")</f>
        <v>1</v>
      </c>
      <c r="AM101" s="20">
        <f>IFERROR(VLOOKUP(Data[[#This Row],[DEVELOPMENT]],Ops_Priorities_and_Data_Clean[[development]:[ifnoext_comment]],9,FALSE),"")</f>
        <v>0</v>
      </c>
      <c r="AN101" s="20">
        <f>IFERROR(VLOOKUP(Data[[#This Row],[DEVELOPMENT]],Ops_Priorities_and_Data_Clean[[development]:[ifnoext_comment]],10,FALSE),"")</f>
        <v>3</v>
      </c>
      <c r="AO101" s="20">
        <f>IFERROR(VLOOKUP(Data[[#This Row],[DEVELOPMENT]],Ops_Priorities_and_Data_Clean[[development]:[ifnoext_comment]],11,FALSE),"")</f>
        <v>3</v>
      </c>
      <c r="AP101" s="20">
        <f>IFERROR(VLOOKUP(Data[[#This Row],[DEVELOPMENT]],Ops_Priorities_and_Data_Clean[[development]:[ifnoext_comment]],12,FALSE),"")</f>
        <v>3</v>
      </c>
      <c r="AQ101" s="20">
        <f>VLOOKUP(Data[[#This Row],[DEVELOPMENT]],Ops_Priorities_and_Data_Clean[[development]:[ifnoext_comment]],14,FALSE)</f>
        <v>0</v>
      </c>
      <c r="AR101" s="20">
        <f>VLOOKUP(Data[[#This Row],[DEVELOPMENT]],Ops_Priorities_and_Data_Clean[[development]:[ifnoext_comment]],15,FALSE)</f>
        <v>0</v>
      </c>
      <c r="AS101" s="20" t="str">
        <f>VLOOKUP(Data[[#This Row],[DEVELOPMENT]],Ops_Priorities_and_Data_Clean[[development]:[ifnoext_comment]],16,FALSE)</f>
        <v>NULL</v>
      </c>
      <c r="AT101" s="20" t="str">
        <f>VLOOKUP(Data[[#This Row],[DEVELOPMENT]],Ops_Priorities_and_Data_Clean[[development]:[ifnoext_comment]],17,FALSE)</f>
        <v>NULL</v>
      </c>
      <c r="AU101" s="20" t="str">
        <f>VLOOKUP(Data[[#This Row],[DEVELOPMENT]],Ops_Priorities_and_Data_Clean[[development]:[ifnoext_comment]],18,FALSE)</f>
        <v>NULL</v>
      </c>
      <c r="AV101" s="20" t="str">
        <f>VLOOKUP(Data[[#This Row],[DEVELOPMENT]],Ops_Priorities_and_Data_Clean[[development]:[ifnoext_comment]],19,FALSE)</f>
        <v>NULL</v>
      </c>
      <c r="AW101" s="20" t="str">
        <f>VLOOKUP(Data[[#This Row],[DEVELOPMENT]],Ops_Priorities_and_Data_Clean[[development]:[ifnoext_comment]],20,FALSE)</f>
        <v>NULL</v>
      </c>
      <c r="AX101" s="104" t="s">
        <v>2238</v>
      </c>
      <c r="AY101" s="104" t="s">
        <v>202</v>
      </c>
      <c r="AZ101" s="20" t="str">
        <f>VLOOKUP(Data[[#This Row],[DEVELOPMENT]],Development_Data_Book[[DEVELOPMENT]:[PRIVATE MANAGEMENT]],8,FALSE)</f>
        <v>FEDERAL</v>
      </c>
      <c r="BA101" s="104" t="s">
        <v>2586</v>
      </c>
      <c r="BB101" s="20">
        <f>VLOOKUP(Data[[#This Row],[DEVELOPMENT]],Development_Data_Book[[DEVELOPMENT]:[PRIVATE MANAGEMENT]],22,FALSE)</f>
        <v>0</v>
      </c>
      <c r="BC101" s="20">
        <f>Data[[#This Row],[Non-Dwelling Buildings]]+Data[[#This Row],[Dwelling Buildings]]</f>
        <v>10</v>
      </c>
      <c r="BD101" s="20">
        <f>VLOOKUP(Data[[#This Row],[DEVELOPMENT]],Development_Data_Book[[DEVELOPMENT]:[PRIVATE MANAGEMENT]],26,FALSE)</f>
        <v>16.61</v>
      </c>
      <c r="BE101" s="106">
        <v>1319660</v>
      </c>
      <c r="BF101" s="20">
        <f>VLOOKUP(Data[[#This Row],[DEVELOPMENT]],Development_Data_Book[[DEVELOPMENT]:[PRIVATE MANAGEMENT]],18,FALSE)</f>
        <v>3185</v>
      </c>
      <c r="BG10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1" s="104" t="s">
        <v>2608</v>
      </c>
      <c r="BI101" t="s">
        <v>184</v>
      </c>
      <c r="BJ101" s="20">
        <f>VLOOKUP(Data[[#This Row],[DEVELOPMENT]],Development_Data_Book[[DEVELOPMENT]:[PRIVATE MANAGEMENT]],41,FALSE)</f>
        <v>2</v>
      </c>
      <c r="BK101" s="20">
        <f>VLOOKUP(Data[[#This Row],[DEVELOPMENT]],Development_Data_Book[[DEVELOPMENT]:[PRIVATE MANAGEMENT]],42,FALSE)</f>
        <v>8</v>
      </c>
      <c r="BL101" s="20">
        <f>VLOOKUP(Data[[#This Row],[DEVELOPMENT]],Development_Data_Book[[DEVELOPMENT]:[PRIVATE MANAGEMENT]],43,FALSE)</f>
        <v>25</v>
      </c>
      <c r="BM101" s="20">
        <f>VLOOKUP(Data[[#This Row],[DEVELOPMENT]],Development_Data_Book[[DEVELOPMENT]:[PRIVATE MANAGEMENT]],44,FALSE)</f>
        <v>57</v>
      </c>
      <c r="BN101" s="20">
        <f>VLOOKUP(Data[[#This Row],[DEVELOPMENT]],Development_Data_Book[[DEVELOPMENT]:[PRIVATE MANAGEMENT]],45,FALSE)</f>
        <v>35</v>
      </c>
      <c r="BO101" s="20">
        <f>VLOOKUP(Data[[#This Row],[DEVELOPMENT]],Development_Data_Book[[DEVELOPMENT]:[PRIVATE MANAGEMENT]],24,FALSE)</f>
        <v>14</v>
      </c>
    </row>
    <row r="102" spans="1:67">
      <c r="A102" t="s">
        <v>318</v>
      </c>
      <c r="B102" s="20" t="str">
        <f>VLOOKUP(Data[[#This Row],[DEVELOPMENT]],Development_Data_Book[[DEVELOPMENT]:[BOROUGH]],MATCH("borough",Development_Data_Book[[#Headers],[DEVELOPMENT]:[BOROUGH]],0),FALSE)</f>
        <v>BROOKLYN</v>
      </c>
      <c r="C102" s="20" t="e">
        <f>VLOOKUP(Data[[#This Row],[DEVELOPMENT]],'[1]Cheat-Sheet'!$D$2:$Q$341,2,FALSE)</f>
        <v>#N/A</v>
      </c>
      <c r="D10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02" s="20">
        <f>VLOOKUP(Data[[#This Row],[DEVELOPMENT]],Development_Data_Book[[DEVELOPMENT]:[BOROUGH]],21,FALSE)</f>
        <v>18</v>
      </c>
      <c r="F102" s="20">
        <f>VLOOKUP(Data[[#This Row],[DEVELOPMENT]],Development_Data_Book[[DEVELOPMENT]:[BOROUGH]],23,FALSE)</f>
        <v>18</v>
      </c>
      <c r="G102" s="20">
        <f>VLOOKUP(Data[[#This Row],[DEVELOPMENT]],Development_Data_Book[[DEVELOPMENT]:[BOROUGH]],12,FALSE)</f>
        <v>36</v>
      </c>
      <c r="J102">
        <f>IFERROR(VLOOKUP(Data[[#This Row],[DEVELOPMENT]],IntCompactors_MRST[],4,FALSE),0)</f>
        <v>0</v>
      </c>
      <c r="K102" s="20">
        <f>IFERROR(VLOOKUP(Data[[#This Row],[DEVELOPMENT]],ExtCompactors_MRST[],4,FALSE),0)</f>
        <v>0</v>
      </c>
      <c r="L102" s="27" t="str">
        <f>IF(Data[[#This Row],['# Interior Compactors MRST]]=0,"",VLOOKUP(Data[[#This Row],[DEVELOPMENT]],IntCompactors_MRST[],5,FALSE))</f>
        <v/>
      </c>
      <c r="M102" s="28" t="str">
        <f>IF(Data[[#This Row],['# Exterior Compactors MRST]]=0,"",VLOOKUP(Data[[#This Row],[DEVELOPMENT]],ExtCompactors_MRST[],5,FALSE))</f>
        <v/>
      </c>
      <c r="N102" s="20">
        <f>Data[[#This Row],['# Interior Compactors MRST]]</f>
        <v>0</v>
      </c>
      <c r="O102" s="20">
        <f>IF(Data[[#This Row],['# Bulk Crushers]]=0,1,0)</f>
        <v>1</v>
      </c>
      <c r="P102" s="20">
        <f>1</f>
        <v>1</v>
      </c>
      <c r="Q102" s="20">
        <f>1</f>
        <v>1</v>
      </c>
      <c r="R102" s="20">
        <f>1</f>
        <v>1</v>
      </c>
      <c r="S102" s="20">
        <f>1</f>
        <v>1</v>
      </c>
      <c r="T102" s="20">
        <f>IF(Data[[#This Row],[Sewershed]]="Newtown Creek",Data[[#This Row],[DUs]],0)</f>
        <v>0</v>
      </c>
      <c r="U10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0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0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02" s="82">
        <f>VLOOKUP(Data[[#This Row],[DEVELOPMENT]],Development_Data_Book[[DEVELOPMENT]:[BOROUGH]],3,FALSE)</f>
        <v>205</v>
      </c>
      <c r="Y102" s="20"/>
      <c r="Z102" s="20">
        <f>IFERROR(VLOOKUP(Data[[#This Row],[TDS]],ExtCompactors_PNA[[Development]:[0]],2,FALSE),0)</f>
        <v>0</v>
      </c>
      <c r="AA102" s="20">
        <f>IFERROR(VLOOKUP(Data[[#This Row],[TDS]],IntCompactors_PNA[[TDS]:[0]],2,FALSE),0)</f>
        <v>0</v>
      </c>
      <c r="AB102" s="20"/>
      <c r="AC102" s="20"/>
      <c r="AD102" s="20">
        <f>IFERROR(VLOOKUP(Data[[#This Row],[TDS]],ExtCompactors_PNA[[Development]:[0]],3,FALSE)+VLOOKUP(Data[[#This Row],[TDS]],ExtCompactors_PNA[[Development]:[0]],6,FALSE),0)</f>
        <v>0</v>
      </c>
      <c r="AE102" s="20">
        <f>IFERROR(VLOOKUP(Data[[#This Row],[TDS]],IntCompactors_PNA[[TDS]:[0]],3,FALSE)+VLOOKUP(Data[[#This Row],[TDS]],IntCompactors_PNA[[TDS]:[0]],6,FALSE),0)</f>
        <v>0</v>
      </c>
      <c r="AF102" s="20" t="e">
        <f>VLOOKUP(Data[[#This Row],[DEVELOPMENT]],[3]Developments!$A$2:$A$312,1,FALSE)</f>
        <v>#N/A</v>
      </c>
      <c r="AG102" s="20">
        <f>IFERROR(VLOOKUP(Data[[#This Row],[DEVELOPMENT]],Ops_Priorities_and_Data_Clean[[development]:[ifnoext_comment]],3,FALSE),"")</f>
        <v>0</v>
      </c>
      <c r="AH102" s="20">
        <f>IFERROR(VLOOKUP(Data[[#This Row],[DEVELOPMENT]],Ops_Priorities_and_Data_Clean[[development]:[ifnoext_comment]],4,FALSE),"")</f>
        <v>0</v>
      </c>
      <c r="AI102" s="20">
        <f>IFERROR(VLOOKUP(Data[[#This Row],[DEVELOPMENT]],Ops_Priorities_and_Data_Clean[[development]:[ifnoext_comment]],5,FALSE),"")</f>
        <v>0</v>
      </c>
      <c r="AJ102" s="20">
        <f>IFERROR(VLOOKUP(Data[[#This Row],[DEVELOPMENT]],Ops_Priorities_and_Data_Clean[[development]:[ifnoext_comment]],6,FALSE),"")</f>
        <v>0</v>
      </c>
      <c r="AK102" s="20">
        <f>IFERROR(VLOOKUP(Data[[#This Row],[DEVELOPMENT]],Ops_Priorities_and_Data_Clean[[development]:[ifnoext_comment]],7,FALSE),"")</f>
        <v>1</v>
      </c>
      <c r="AL102" s="20">
        <f>IFERROR(VLOOKUP(Data[[#This Row],[DEVELOPMENT]],Ops_Priorities_and_Data_Clean[[development]:[ifnoext_comment]],8,FALSE),"")</f>
        <v>1</v>
      </c>
      <c r="AM102" s="20">
        <f>IFERROR(VLOOKUP(Data[[#This Row],[DEVELOPMENT]],Ops_Priorities_and_Data_Clean[[development]:[ifnoext_comment]],9,FALSE),"")</f>
        <v>0</v>
      </c>
      <c r="AN102" s="20">
        <f>IFERROR(VLOOKUP(Data[[#This Row],[DEVELOPMENT]],Ops_Priorities_and_Data_Clean[[development]:[ifnoext_comment]],10,FALSE),"")</f>
        <v>0</v>
      </c>
      <c r="AO102" s="20">
        <f>IFERROR(VLOOKUP(Data[[#This Row],[DEVELOPMENT]],Ops_Priorities_and_Data_Clean[[development]:[ifnoext_comment]],11,FALSE),"")</f>
        <v>0</v>
      </c>
      <c r="AP102" s="20">
        <f>IFERROR(VLOOKUP(Data[[#This Row],[DEVELOPMENT]],Ops_Priorities_and_Data_Clean[[development]:[ifnoext_comment]],12,FALSE),"")</f>
        <v>0</v>
      </c>
      <c r="AQ102" s="20">
        <f>VLOOKUP(Data[[#This Row],[DEVELOPMENT]],Ops_Priorities_and_Data_Clean[[development]:[ifnoext_comment]],14,FALSE)</f>
        <v>1</v>
      </c>
      <c r="AR102" s="20">
        <f>VLOOKUP(Data[[#This Row],[DEVELOPMENT]],Ops_Priorities_and_Data_Clean[[development]:[ifnoext_comment]],15,FALSE)</f>
        <v>0</v>
      </c>
      <c r="AS102" s="20" t="str">
        <f>VLOOKUP(Data[[#This Row],[DEVELOPMENT]],Ops_Priorities_and_Data_Clean[[development]:[ifnoext_comment]],16,FALSE)</f>
        <v>NULL</v>
      </c>
      <c r="AT102" s="20" t="str">
        <f>VLOOKUP(Data[[#This Row],[DEVELOPMENT]],Ops_Priorities_and_Data_Clean[[development]:[ifnoext_comment]],17,FALSE)</f>
        <v>NULL</v>
      </c>
      <c r="AU102" s="20" t="str">
        <f>VLOOKUP(Data[[#This Row],[DEVELOPMENT]],Ops_Priorities_and_Data_Clean[[development]:[ifnoext_comment]],18,FALSE)</f>
        <v>NULL</v>
      </c>
      <c r="AV102" s="20" t="str">
        <f>VLOOKUP(Data[[#This Row],[DEVELOPMENT]],Ops_Priorities_and_Data_Clean[[development]:[ifnoext_comment]],19,FALSE)</f>
        <v>NULL</v>
      </c>
      <c r="AW102" s="20" t="str">
        <f>VLOOKUP(Data[[#This Row],[DEVELOPMENT]],Ops_Priorities_and_Data_Clean[[development]:[ifnoext_comment]],20,FALSE)</f>
        <v>NULL</v>
      </c>
      <c r="AX102" s="104" t="s">
        <v>2238</v>
      </c>
      <c r="AY102" s="104" t="s">
        <v>2641</v>
      </c>
      <c r="AZ102" s="20" t="str">
        <f>VLOOKUP(Data[[#This Row],[DEVELOPMENT]],Development_Data_Book[[DEVELOPMENT]:[PRIVATE MANAGEMENT]],8,FALSE)</f>
        <v>FEDERAL</v>
      </c>
      <c r="BA102" s="104" t="s">
        <v>2588</v>
      </c>
      <c r="BB102" s="20">
        <f>VLOOKUP(Data[[#This Row],[DEVELOPMENT]],Development_Data_Book[[DEVELOPMENT]:[PRIVATE MANAGEMENT]],22,FALSE)</f>
        <v>0</v>
      </c>
      <c r="BC102" s="20">
        <f>Data[[#This Row],[Non-Dwelling Buildings]]+Data[[#This Row],[Dwelling Buildings]]</f>
        <v>18</v>
      </c>
      <c r="BD102" s="20">
        <f>VLOOKUP(Data[[#This Row],[DEVELOPMENT]],Development_Data_Book[[DEVELOPMENT]:[PRIVATE MANAGEMENT]],26,FALSE)</f>
        <v>0.77</v>
      </c>
      <c r="BE102" s="106">
        <v>45740</v>
      </c>
      <c r="BF102" s="20">
        <f>VLOOKUP(Data[[#This Row],[DEVELOPMENT]],Development_Data_Book[[DEVELOPMENT]:[PRIVATE MANAGEMENT]],18,FALSE)</f>
        <v>98</v>
      </c>
      <c r="BG10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2" s="104" t="s">
        <v>2589</v>
      </c>
      <c r="BI102" t="s">
        <v>184</v>
      </c>
      <c r="BJ102" s="20">
        <f>VLOOKUP(Data[[#This Row],[DEVELOPMENT]],Development_Data_Book[[DEVELOPMENT]:[PRIVATE MANAGEMENT]],41,FALSE)</f>
        <v>9</v>
      </c>
      <c r="BK102" s="20">
        <f>VLOOKUP(Data[[#This Row],[DEVELOPMENT]],Development_Data_Book[[DEVELOPMENT]:[PRIVATE MANAGEMENT]],42,FALSE)</f>
        <v>9</v>
      </c>
      <c r="BL102" s="20">
        <f>VLOOKUP(Data[[#This Row],[DEVELOPMENT]],Development_Data_Book[[DEVELOPMENT]:[PRIVATE MANAGEMENT]],43,FALSE)</f>
        <v>20</v>
      </c>
      <c r="BM102" s="20">
        <f>VLOOKUP(Data[[#This Row],[DEVELOPMENT]],Development_Data_Book[[DEVELOPMENT]:[PRIVATE MANAGEMENT]],44,FALSE)</f>
        <v>43</v>
      </c>
      <c r="BN102" s="20" t="str">
        <f>VLOOKUP(Data[[#This Row],[DEVELOPMENT]],Development_Data_Book[[DEVELOPMENT]:[PRIVATE MANAGEMENT]],45,FALSE)</f>
        <v>40, 41</v>
      </c>
      <c r="BO102" s="20">
        <f>VLOOKUP(Data[[#This Row],[DEVELOPMENT]],Development_Data_Book[[DEVELOPMENT]:[PRIVATE MANAGEMENT]],24,FALSE)</f>
        <v>2</v>
      </c>
    </row>
    <row r="103" spans="1:67">
      <c r="A103" s="105" t="s">
        <v>319</v>
      </c>
      <c r="B103" s="20">
        <f>VLOOKUP(Data[[#This Row],[DEVELOPMENT]],Development_Data_Book[[DEVELOPMENT]:[BOROUGH]],MATCH("borough",Development_Data_Book[[#Headers],[DEVELOPMENT]:[BOROUGH]],0),FALSE)</f>
        <v>0</v>
      </c>
      <c r="C103" s="20" t="e">
        <f>VLOOKUP(Data[[#This Row],[DEVELOPMENT]],'[1]Cheat-Sheet'!$D$2:$Q$341,2,FALSE)</f>
        <v>#N/A</v>
      </c>
      <c r="D10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03" s="20">
        <f>VLOOKUP(Data[[#This Row],[DEVELOPMENT]],Development_Data_Book[[DEVELOPMENT]:[BOROUGH]],21,FALSE)</f>
        <v>26</v>
      </c>
      <c r="F103" s="20">
        <f>VLOOKUP(Data[[#This Row],[DEVELOPMENT]],Development_Data_Book[[DEVELOPMENT]:[BOROUGH]],23,FALSE)</f>
        <v>0</v>
      </c>
      <c r="G103" s="20">
        <f>VLOOKUP(Data[[#This Row],[DEVELOPMENT]],Development_Data_Book[[DEVELOPMENT]:[BOROUGH]],12,FALSE)</f>
        <v>21</v>
      </c>
      <c r="J103">
        <f>IFERROR(VLOOKUP(Data[[#This Row],[DEVELOPMENT]],IntCompactors_MRST[],4,FALSE),0)</f>
        <v>0</v>
      </c>
      <c r="K103" s="20">
        <f>IFERROR(VLOOKUP(Data[[#This Row],[DEVELOPMENT]],ExtCompactors_MRST[],4,FALSE),0)</f>
        <v>0</v>
      </c>
      <c r="L103" s="27" t="str">
        <f>IF(Data[[#This Row],['# Interior Compactors MRST]]=0,"",VLOOKUP(Data[[#This Row],[DEVELOPMENT]],IntCompactors_MRST[],5,FALSE))</f>
        <v/>
      </c>
      <c r="M103" s="28" t="str">
        <f>IF(Data[[#This Row],['# Exterior Compactors MRST]]=0,"",VLOOKUP(Data[[#This Row],[DEVELOPMENT]],ExtCompactors_MRST[],5,FALSE))</f>
        <v/>
      </c>
      <c r="N103" s="20">
        <f>Data[[#This Row],['# Interior Compactors MRST]]</f>
        <v>0</v>
      </c>
      <c r="O103" s="20">
        <f>IF(Data[[#This Row],['# Bulk Crushers]]=0,1,0)</f>
        <v>1</v>
      </c>
      <c r="P103" s="20">
        <f>1</f>
        <v>1</v>
      </c>
      <c r="Q103" s="20">
        <f>1</f>
        <v>1</v>
      </c>
      <c r="R103" s="20">
        <f>1</f>
        <v>1</v>
      </c>
      <c r="S103" s="20">
        <f>1</f>
        <v>1</v>
      </c>
      <c r="T103" s="20">
        <f>IF(Data[[#This Row],[Sewershed]]="Newtown Creek",Data[[#This Row],[DUs]],0)</f>
        <v>0</v>
      </c>
      <c r="U10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0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0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03" s="82">
        <f>VLOOKUP(Data[[#This Row],[DEVELOPMENT]],Development_Data_Book[[DEVELOPMENT]:[BOROUGH]],3,FALSE)</f>
        <v>209</v>
      </c>
      <c r="Y103" s="20"/>
      <c r="Z103" s="20">
        <f>IFERROR(VLOOKUP(Data[[#This Row],[TDS]],ExtCompactors_PNA[[Development]:[0]],2,FALSE),0)</f>
        <v>0</v>
      </c>
      <c r="AA103" s="20">
        <f>IFERROR(VLOOKUP(Data[[#This Row],[TDS]],IntCompactors_PNA[[TDS]:[0]],2,FALSE),0)</f>
        <v>0</v>
      </c>
      <c r="AB103" s="20"/>
      <c r="AC103" s="20"/>
      <c r="AD103" s="20">
        <f>IFERROR(VLOOKUP(Data[[#This Row],[TDS]],ExtCompactors_PNA[[Development]:[0]],3,FALSE)+VLOOKUP(Data[[#This Row],[TDS]],ExtCompactors_PNA[[Development]:[0]],6,FALSE),0)</f>
        <v>0</v>
      </c>
      <c r="AE103" s="20">
        <f>IFERROR(VLOOKUP(Data[[#This Row],[TDS]],IntCompactors_PNA[[TDS]:[0]],3,FALSE)+VLOOKUP(Data[[#This Row],[TDS]],IntCompactors_PNA[[TDS]:[0]],6,FALSE),0)</f>
        <v>0</v>
      </c>
      <c r="AF103" s="20" t="e">
        <f>VLOOKUP(Data[[#This Row],[DEVELOPMENT]],[3]Developments!$A$2:$A$312,1,FALSE)</f>
        <v>#N/A</v>
      </c>
      <c r="AG103" s="20">
        <f>IFERROR(VLOOKUP(Data[[#This Row],[DEVELOPMENT]],Ops_Priorities_and_Data_Clean[[development]:[ifnoext_comment]],3,FALSE),"")</f>
        <v>0</v>
      </c>
      <c r="AH103" s="20">
        <f>IFERROR(VLOOKUP(Data[[#This Row],[DEVELOPMENT]],Ops_Priorities_and_Data_Clean[[development]:[ifnoext_comment]],4,FALSE),"")</f>
        <v>0</v>
      </c>
      <c r="AI103" s="20">
        <f>IFERROR(VLOOKUP(Data[[#This Row],[DEVELOPMENT]],Ops_Priorities_and_Data_Clean[[development]:[ifnoext_comment]],5,FALSE),"")</f>
        <v>0</v>
      </c>
      <c r="AJ103" s="20">
        <f>IFERROR(VLOOKUP(Data[[#This Row],[DEVELOPMENT]],Ops_Priorities_and_Data_Clean[[development]:[ifnoext_comment]],6,FALSE),"")</f>
        <v>0</v>
      </c>
      <c r="AK103" s="20">
        <f>IFERROR(VLOOKUP(Data[[#This Row],[DEVELOPMENT]],Ops_Priorities_and_Data_Clean[[development]:[ifnoext_comment]],7,FALSE),"")</f>
        <v>1</v>
      </c>
      <c r="AL103" s="20">
        <f>IFERROR(VLOOKUP(Data[[#This Row],[DEVELOPMENT]],Ops_Priorities_and_Data_Clean[[development]:[ifnoext_comment]],8,FALSE),"")</f>
        <v>1</v>
      </c>
      <c r="AM103" s="20">
        <f>IFERROR(VLOOKUP(Data[[#This Row],[DEVELOPMENT]],Ops_Priorities_and_Data_Clean[[development]:[ifnoext_comment]],9,FALSE),"")</f>
        <v>0</v>
      </c>
      <c r="AN103" s="20">
        <f>IFERROR(VLOOKUP(Data[[#This Row],[DEVELOPMENT]],Ops_Priorities_and_Data_Clean[[development]:[ifnoext_comment]],10,FALSE),"")</f>
        <v>0</v>
      </c>
      <c r="AO103" s="20">
        <f>IFERROR(VLOOKUP(Data[[#This Row],[DEVELOPMENT]],Ops_Priorities_and_Data_Clean[[development]:[ifnoext_comment]],11,FALSE),"")</f>
        <v>0</v>
      </c>
      <c r="AP103" s="20">
        <f>IFERROR(VLOOKUP(Data[[#This Row],[DEVELOPMENT]],Ops_Priorities_and_Data_Clean[[development]:[ifnoext_comment]],12,FALSE),"")</f>
        <v>0</v>
      </c>
      <c r="AQ103" s="20">
        <f>VLOOKUP(Data[[#This Row],[DEVELOPMENT]],Ops_Priorities_and_Data_Clean[[development]:[ifnoext_comment]],14,FALSE)</f>
        <v>1</v>
      </c>
      <c r="AR103" s="20">
        <f>VLOOKUP(Data[[#This Row],[DEVELOPMENT]],Ops_Priorities_and_Data_Clean[[development]:[ifnoext_comment]],15,FALSE)</f>
        <v>0</v>
      </c>
      <c r="AS103" s="20" t="str">
        <f>VLOOKUP(Data[[#This Row],[DEVELOPMENT]],Ops_Priorities_and_Data_Clean[[development]:[ifnoext_comment]],16,FALSE)</f>
        <v>NULL</v>
      </c>
      <c r="AT103" s="20" t="str">
        <f>VLOOKUP(Data[[#This Row],[DEVELOPMENT]],Ops_Priorities_and_Data_Clean[[development]:[ifnoext_comment]],17,FALSE)</f>
        <v>NULL</v>
      </c>
      <c r="AU103" s="20" t="str">
        <f>VLOOKUP(Data[[#This Row],[DEVELOPMENT]],Ops_Priorities_and_Data_Clean[[development]:[ifnoext_comment]],18,FALSE)</f>
        <v>NULL</v>
      </c>
      <c r="AV103" s="20" t="str">
        <f>VLOOKUP(Data[[#This Row],[DEVELOPMENT]],Ops_Priorities_and_Data_Clean[[development]:[ifnoext_comment]],19,FALSE)</f>
        <v>NULL</v>
      </c>
      <c r="AW103" s="20" t="str">
        <f>VLOOKUP(Data[[#This Row],[DEVELOPMENT]],Ops_Priorities_and_Data_Clean[[development]:[ifnoext_comment]],20,FALSE)</f>
        <v xml:space="preserve">They are an scattered site and it doesn't make sense for them to have an external compactor. </v>
      </c>
      <c r="AX103" s="104" t="s">
        <v>2614</v>
      </c>
      <c r="AY103" s="104" t="s">
        <v>2392</v>
      </c>
      <c r="AZ103" s="20" t="str">
        <f>VLOOKUP(Data[[#This Row],[DEVELOPMENT]],Development_Data_Book[[DEVELOPMENT]:[PRIVATE MANAGEMENT]],8,FALSE)</f>
        <v>FEDERAL</v>
      </c>
      <c r="BA103" s="104" t="s">
        <v>2588</v>
      </c>
      <c r="BB103" s="20">
        <f>VLOOKUP(Data[[#This Row],[DEVELOPMENT]],Development_Data_Book[[DEVELOPMENT]:[PRIVATE MANAGEMENT]],22,FALSE)</f>
        <v>0</v>
      </c>
      <c r="BC103" s="20">
        <f>Data[[#This Row],[Non-Dwelling Buildings]]+Data[[#This Row],[Dwelling Buildings]]</f>
        <v>26</v>
      </c>
      <c r="BD103" s="20">
        <f>VLOOKUP(Data[[#This Row],[DEVELOPMENT]],Development_Data_Book[[DEVELOPMENT]:[PRIVATE MANAGEMENT]],26,FALSE)</f>
        <v>2.5</v>
      </c>
      <c r="BE103" s="106">
        <v>38530</v>
      </c>
      <c r="BF103" s="20">
        <f>VLOOKUP(Data[[#This Row],[DEVELOPMENT]],Development_Data_Book[[DEVELOPMENT]:[PRIVATE MANAGEMENT]],18,FALSE)</f>
        <v>35</v>
      </c>
      <c r="BG10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3" s="104" t="s">
        <v>2619</v>
      </c>
      <c r="BI103" t="s">
        <v>184</v>
      </c>
      <c r="BJ103" s="20">
        <f>VLOOKUP(Data[[#This Row],[DEVELOPMENT]],Development_Data_Book[[DEVELOPMENT]:[PRIVATE MANAGEMENT]],41,FALSE)</f>
        <v>0</v>
      </c>
      <c r="BK103" s="20">
        <f>VLOOKUP(Data[[#This Row],[DEVELOPMENT]],Development_Data_Book[[DEVELOPMENT]:[PRIVATE MANAGEMENT]],42,FALSE)</f>
        <v>0</v>
      </c>
      <c r="BL103" s="20">
        <f>VLOOKUP(Data[[#This Row],[DEVELOPMENT]],Development_Data_Book[[DEVELOPMENT]:[PRIVATE MANAGEMENT]],43,FALSE)</f>
        <v>0</v>
      </c>
      <c r="BM103" s="20">
        <f>VLOOKUP(Data[[#This Row],[DEVELOPMENT]],Development_Data_Book[[DEVELOPMENT]:[PRIVATE MANAGEMENT]],44,FALSE)</f>
        <v>0</v>
      </c>
      <c r="BN103" s="20">
        <f>VLOOKUP(Data[[#This Row],[DEVELOPMENT]],Development_Data_Book[[DEVELOPMENT]:[PRIVATE MANAGEMENT]],45,FALSE)</f>
        <v>0</v>
      </c>
      <c r="BO103" s="20">
        <f>VLOOKUP(Data[[#This Row],[DEVELOPMENT]],Development_Data_Book[[DEVELOPMENT]:[PRIVATE MANAGEMENT]],24,FALSE)</f>
        <v>43467</v>
      </c>
    </row>
    <row r="104" spans="1:67">
      <c r="A104" s="105" t="s">
        <v>237</v>
      </c>
      <c r="B104" s="20">
        <f>VLOOKUP(Data[[#This Row],[DEVELOPMENT]],Development_Data_Book[[DEVELOPMENT]:[BOROUGH]],MATCH("borough",Development_Data_Book[[#Headers],[DEVELOPMENT]:[BOROUGH]],0),FALSE)</f>
        <v>0</v>
      </c>
      <c r="C104" s="20" t="e">
        <f>VLOOKUP(Data[[#This Row],[DEVELOPMENT]],'[1]Cheat-Sheet'!$D$2:$Q$341,2,FALSE)</f>
        <v>#N/A</v>
      </c>
      <c r="D10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04" s="20">
        <f>VLOOKUP(Data[[#This Row],[DEVELOPMENT]],Development_Data_Book[[DEVELOPMENT]:[BOROUGH]],21,FALSE)</f>
        <v>12</v>
      </c>
      <c r="F104" s="20">
        <f>VLOOKUP(Data[[#This Row],[DEVELOPMENT]],Development_Data_Book[[DEVELOPMENT]:[BOROUGH]],23,FALSE)</f>
        <v>0</v>
      </c>
      <c r="G104" s="20">
        <f>VLOOKUP(Data[[#This Row],[DEVELOPMENT]],Development_Data_Book[[DEVELOPMENT]:[BOROUGH]],12,FALSE)</f>
        <v>10</v>
      </c>
      <c r="J104">
        <f>IFERROR(VLOOKUP(Data[[#This Row],[DEVELOPMENT]],IntCompactors_MRST[],4,FALSE),0)</f>
        <v>0</v>
      </c>
      <c r="K104" s="20">
        <f>IFERROR(VLOOKUP(Data[[#This Row],[DEVELOPMENT]],ExtCompactors_MRST[],4,FALSE),0)</f>
        <v>0</v>
      </c>
      <c r="L104" s="27" t="str">
        <f>IF(Data[[#This Row],['# Interior Compactors MRST]]=0,"",VLOOKUP(Data[[#This Row],[DEVELOPMENT]],IntCompactors_MRST[],5,FALSE))</f>
        <v/>
      </c>
      <c r="M104" s="28" t="str">
        <f>IF(Data[[#This Row],['# Exterior Compactors MRST]]=0,"",VLOOKUP(Data[[#This Row],[DEVELOPMENT]],ExtCompactors_MRST[],5,FALSE))</f>
        <v/>
      </c>
      <c r="N104" s="20">
        <f>Data[[#This Row],['# Interior Compactors MRST]]</f>
        <v>0</v>
      </c>
      <c r="O104" s="20">
        <f>IF(Data[[#This Row],['# Bulk Crushers]]=0,1,0)</f>
        <v>1</v>
      </c>
      <c r="P104" s="20">
        <f>1</f>
        <v>1</v>
      </c>
      <c r="Q104" s="20">
        <f>1</f>
        <v>1</v>
      </c>
      <c r="R104" s="20">
        <f>1</f>
        <v>1</v>
      </c>
      <c r="S104" s="20">
        <f>1</f>
        <v>1</v>
      </c>
      <c r="T104" s="20">
        <f>IF(Data[[#This Row],[Sewershed]]="Newtown Creek",Data[[#This Row],[DUs]],0)</f>
        <v>0</v>
      </c>
      <c r="U10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0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0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04" s="82">
        <f>VLOOKUP(Data[[#This Row],[DEVELOPMENT]],Development_Data_Book[[DEVELOPMENT]:[BOROUGH]],3,FALSE)</f>
        <v>212</v>
      </c>
      <c r="Y104" s="20"/>
      <c r="Z104" s="20">
        <f>IFERROR(VLOOKUP(Data[[#This Row],[TDS]],ExtCompactors_PNA[[Development]:[0]],2,FALSE),0)</f>
        <v>0</v>
      </c>
      <c r="AA104" s="20">
        <f>IFERROR(VLOOKUP(Data[[#This Row],[TDS]],IntCompactors_PNA[[TDS]:[0]],2,FALSE),0)</f>
        <v>0</v>
      </c>
      <c r="AB104" s="20"/>
      <c r="AC104" s="20"/>
      <c r="AD104" s="20">
        <f>IFERROR(VLOOKUP(Data[[#This Row],[TDS]],ExtCompactors_PNA[[Development]:[0]],3,FALSE)+VLOOKUP(Data[[#This Row],[TDS]],ExtCompactors_PNA[[Development]:[0]],6,FALSE),0)</f>
        <v>0</v>
      </c>
      <c r="AE104" s="20">
        <f>IFERROR(VLOOKUP(Data[[#This Row],[TDS]],IntCompactors_PNA[[TDS]:[0]],3,FALSE)+VLOOKUP(Data[[#This Row],[TDS]],IntCompactors_PNA[[TDS]:[0]],6,FALSE),0)</f>
        <v>0</v>
      </c>
      <c r="AF104" s="20" t="e">
        <f>VLOOKUP(Data[[#This Row],[DEVELOPMENT]],[3]Developments!$A$2:$A$312,1,FALSE)</f>
        <v>#N/A</v>
      </c>
      <c r="AG104" s="20">
        <f>IFERROR(VLOOKUP(Data[[#This Row],[DEVELOPMENT]],Ops_Priorities_and_Data_Clean[[development]:[ifnoext_comment]],3,FALSE),"")</f>
        <v>0</v>
      </c>
      <c r="AH104" s="20">
        <f>IFERROR(VLOOKUP(Data[[#This Row],[DEVELOPMENT]],Ops_Priorities_and_Data_Clean[[development]:[ifnoext_comment]],4,FALSE),"")</f>
        <v>0</v>
      </c>
      <c r="AI104" s="20">
        <f>IFERROR(VLOOKUP(Data[[#This Row],[DEVELOPMENT]],Ops_Priorities_and_Data_Clean[[development]:[ifnoext_comment]],5,FALSE),"")</f>
        <v>0</v>
      </c>
      <c r="AJ104" s="20">
        <f>IFERROR(VLOOKUP(Data[[#This Row],[DEVELOPMENT]],Ops_Priorities_and_Data_Clean[[development]:[ifnoext_comment]],6,FALSE),"")</f>
        <v>0</v>
      </c>
      <c r="AK104" s="20">
        <f>IFERROR(VLOOKUP(Data[[#This Row],[DEVELOPMENT]],Ops_Priorities_and_Data_Clean[[development]:[ifnoext_comment]],7,FALSE),"")</f>
        <v>1</v>
      </c>
      <c r="AL104" s="20">
        <f>IFERROR(VLOOKUP(Data[[#This Row],[DEVELOPMENT]],Ops_Priorities_and_Data_Clean[[development]:[ifnoext_comment]],8,FALSE),"")</f>
        <v>1</v>
      </c>
      <c r="AM104" s="20">
        <f>IFERROR(VLOOKUP(Data[[#This Row],[DEVELOPMENT]],Ops_Priorities_and_Data_Clean[[development]:[ifnoext_comment]],9,FALSE),"")</f>
        <v>0</v>
      </c>
      <c r="AN104" s="20">
        <f>IFERROR(VLOOKUP(Data[[#This Row],[DEVELOPMENT]],Ops_Priorities_and_Data_Clean[[development]:[ifnoext_comment]],10,FALSE),"")</f>
        <v>0</v>
      </c>
      <c r="AO104" s="20">
        <f>IFERROR(VLOOKUP(Data[[#This Row],[DEVELOPMENT]],Ops_Priorities_and_Data_Clean[[development]:[ifnoext_comment]],11,FALSE),"")</f>
        <v>0</v>
      </c>
      <c r="AP104" s="20">
        <f>IFERROR(VLOOKUP(Data[[#This Row],[DEVELOPMENT]],Ops_Priorities_and_Data_Clean[[development]:[ifnoext_comment]],12,FALSE),"")</f>
        <v>0</v>
      </c>
      <c r="AQ104" s="20">
        <f>VLOOKUP(Data[[#This Row],[DEVELOPMENT]],Ops_Priorities_and_Data_Clean[[development]:[ifnoext_comment]],14,FALSE)</f>
        <v>1</v>
      </c>
      <c r="AR104" s="20">
        <f>VLOOKUP(Data[[#This Row],[DEVELOPMENT]],Ops_Priorities_and_Data_Clean[[development]:[ifnoext_comment]],15,FALSE)</f>
        <v>0</v>
      </c>
      <c r="AS104" s="20" t="str">
        <f>VLOOKUP(Data[[#This Row],[DEVELOPMENT]],Ops_Priorities_and_Data_Clean[[development]:[ifnoext_comment]],16,FALSE)</f>
        <v>NULL</v>
      </c>
      <c r="AT104" s="20" t="str">
        <f>VLOOKUP(Data[[#This Row],[DEVELOPMENT]],Ops_Priorities_and_Data_Clean[[development]:[ifnoext_comment]],17,FALSE)</f>
        <v>NULL</v>
      </c>
      <c r="AU104" s="20" t="str">
        <f>VLOOKUP(Data[[#This Row],[DEVELOPMENT]],Ops_Priorities_and_Data_Clean[[development]:[ifnoext_comment]],18,FALSE)</f>
        <v>NULL</v>
      </c>
      <c r="AV104" s="20" t="str">
        <f>VLOOKUP(Data[[#This Row],[DEVELOPMENT]],Ops_Priorities_and_Data_Clean[[development]:[ifnoext_comment]],19,FALSE)</f>
        <v>NULL</v>
      </c>
      <c r="AW104" s="20" t="str">
        <f>VLOOKUP(Data[[#This Row],[DEVELOPMENT]],Ops_Priorities_and_Data_Clean[[development]:[ifnoext_comment]],20,FALSE)</f>
        <v xml:space="preserve">They are an scattered site and it doesn't make sense for them to have an external compactor. </v>
      </c>
      <c r="AX104" s="104" t="s">
        <v>2614</v>
      </c>
      <c r="AY104" s="104" t="s">
        <v>2392</v>
      </c>
      <c r="AZ104" s="20" t="str">
        <f>VLOOKUP(Data[[#This Row],[DEVELOPMENT]],Development_Data_Book[[DEVELOPMENT]:[PRIVATE MANAGEMENT]],8,FALSE)</f>
        <v>FEDERAL</v>
      </c>
      <c r="BA104" s="104" t="s">
        <v>2588</v>
      </c>
      <c r="BB104" s="20">
        <f>VLOOKUP(Data[[#This Row],[DEVELOPMENT]],Development_Data_Book[[DEVELOPMENT]:[PRIVATE MANAGEMENT]],22,FALSE)</f>
        <v>0</v>
      </c>
      <c r="BC104" s="20">
        <f>Data[[#This Row],[Non-Dwelling Buildings]]+Data[[#This Row],[Dwelling Buildings]]</f>
        <v>12</v>
      </c>
      <c r="BD104" s="20">
        <f>VLOOKUP(Data[[#This Row],[DEVELOPMENT]],Development_Data_Book[[DEVELOPMENT]:[PRIVATE MANAGEMENT]],26,FALSE)</f>
        <v>1.63</v>
      </c>
      <c r="BE104" s="106">
        <v>23657</v>
      </c>
      <c r="BF104" s="20">
        <f>VLOOKUP(Data[[#This Row],[DEVELOPMENT]],Development_Data_Book[[DEVELOPMENT]:[PRIVATE MANAGEMENT]],18,FALSE)</f>
        <v>25</v>
      </c>
      <c r="BG10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4" s="104" t="s">
        <v>2642</v>
      </c>
      <c r="BI104" t="s">
        <v>184</v>
      </c>
      <c r="BJ104" s="20">
        <f>VLOOKUP(Data[[#This Row],[DEVELOPMENT]],Development_Data_Book[[DEVELOPMENT]:[PRIVATE MANAGEMENT]],41,FALSE)</f>
        <v>0</v>
      </c>
      <c r="BK104" s="20">
        <f>VLOOKUP(Data[[#This Row],[DEVELOPMENT]],Development_Data_Book[[DEVELOPMENT]:[PRIVATE MANAGEMENT]],42,FALSE)</f>
        <v>0</v>
      </c>
      <c r="BL104" s="20">
        <f>VLOOKUP(Data[[#This Row],[DEVELOPMENT]],Development_Data_Book[[DEVELOPMENT]:[PRIVATE MANAGEMENT]],43,FALSE)</f>
        <v>0</v>
      </c>
      <c r="BM104" s="20">
        <f>VLOOKUP(Data[[#This Row],[DEVELOPMENT]],Development_Data_Book[[DEVELOPMENT]:[PRIVATE MANAGEMENT]],44,FALSE)</f>
        <v>0</v>
      </c>
      <c r="BN104" s="20">
        <f>VLOOKUP(Data[[#This Row],[DEVELOPMENT]],Development_Data_Book[[DEVELOPMENT]:[PRIVATE MANAGEMENT]],45,FALSE)</f>
        <v>0</v>
      </c>
      <c r="BO104" s="20">
        <f>VLOOKUP(Data[[#This Row],[DEVELOPMENT]],Development_Data_Book[[DEVELOPMENT]:[PRIVATE MANAGEMENT]],24,FALSE)</f>
        <v>37623</v>
      </c>
    </row>
    <row r="105" spans="1:67">
      <c r="A105" s="105" t="s">
        <v>238</v>
      </c>
      <c r="B105" s="20">
        <f>VLOOKUP(Data[[#This Row],[DEVELOPMENT]],Development_Data_Book[[DEVELOPMENT]:[BOROUGH]],MATCH("borough",Development_Data_Book[[#Headers],[DEVELOPMENT]:[BOROUGH]],0),FALSE)</f>
        <v>0</v>
      </c>
      <c r="C105" s="20" t="e">
        <f>VLOOKUP(Data[[#This Row],[DEVELOPMENT]],'[1]Cheat-Sheet'!$D$2:$Q$341,2,FALSE)</f>
        <v>#N/A</v>
      </c>
      <c r="D10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05" s="20">
        <f>VLOOKUP(Data[[#This Row],[DEVELOPMENT]],Development_Data_Book[[DEVELOPMENT]:[BOROUGH]],21,FALSE)</f>
        <v>12</v>
      </c>
      <c r="F105" s="20">
        <f>VLOOKUP(Data[[#This Row],[DEVELOPMENT]],Development_Data_Book[[DEVELOPMENT]:[BOROUGH]],23,FALSE)</f>
        <v>0</v>
      </c>
      <c r="G105" s="20">
        <f>VLOOKUP(Data[[#This Row],[DEVELOPMENT]],Development_Data_Book[[DEVELOPMENT]:[BOROUGH]],12,FALSE)</f>
        <v>11</v>
      </c>
      <c r="J105">
        <f>IFERROR(VLOOKUP(Data[[#This Row],[DEVELOPMENT]],IntCompactors_MRST[],4,FALSE),0)</f>
        <v>0</v>
      </c>
      <c r="K105" s="20">
        <f>IFERROR(VLOOKUP(Data[[#This Row],[DEVELOPMENT]],ExtCompactors_MRST[],4,FALSE),0)</f>
        <v>0</v>
      </c>
      <c r="L105" s="27" t="str">
        <f>IF(Data[[#This Row],['# Interior Compactors MRST]]=0,"",VLOOKUP(Data[[#This Row],[DEVELOPMENT]],IntCompactors_MRST[],5,FALSE))</f>
        <v/>
      </c>
      <c r="M105" s="28" t="str">
        <f>IF(Data[[#This Row],['# Exterior Compactors MRST]]=0,"",VLOOKUP(Data[[#This Row],[DEVELOPMENT]],ExtCompactors_MRST[],5,FALSE))</f>
        <v/>
      </c>
      <c r="N105" s="20">
        <f>Data[[#This Row],['# Interior Compactors MRST]]</f>
        <v>0</v>
      </c>
      <c r="O105" s="20">
        <f>IF(Data[[#This Row],['# Bulk Crushers]]=0,1,0)</f>
        <v>1</v>
      </c>
      <c r="P105" s="20">
        <f>1</f>
        <v>1</v>
      </c>
      <c r="Q105" s="20">
        <f>1</f>
        <v>1</v>
      </c>
      <c r="R105" s="20">
        <f>1</f>
        <v>1</v>
      </c>
      <c r="S105" s="20">
        <f>1</f>
        <v>1</v>
      </c>
      <c r="T105" s="20">
        <f>IF(Data[[#This Row],[Sewershed]]="Newtown Creek",Data[[#This Row],[DUs]],0)</f>
        <v>0</v>
      </c>
      <c r="U10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0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0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05" s="82">
        <f>VLOOKUP(Data[[#This Row],[DEVELOPMENT]],Development_Data_Book[[DEVELOPMENT]:[BOROUGH]],3,FALSE)</f>
        <v>213</v>
      </c>
      <c r="Y105" s="20"/>
      <c r="Z105" s="20">
        <f>IFERROR(VLOOKUP(Data[[#This Row],[TDS]],ExtCompactors_PNA[[Development]:[0]],2,FALSE),0)</f>
        <v>0</v>
      </c>
      <c r="AA105" s="20">
        <f>IFERROR(VLOOKUP(Data[[#This Row],[TDS]],IntCompactors_PNA[[TDS]:[0]],2,FALSE),0)</f>
        <v>0</v>
      </c>
      <c r="AB105" s="20"/>
      <c r="AC105" s="20"/>
      <c r="AD105" s="20">
        <f>IFERROR(VLOOKUP(Data[[#This Row],[TDS]],ExtCompactors_PNA[[Development]:[0]],3,FALSE)+VLOOKUP(Data[[#This Row],[TDS]],ExtCompactors_PNA[[Development]:[0]],6,FALSE),0)</f>
        <v>0</v>
      </c>
      <c r="AE105" s="20">
        <f>IFERROR(VLOOKUP(Data[[#This Row],[TDS]],IntCompactors_PNA[[TDS]:[0]],3,FALSE)+VLOOKUP(Data[[#This Row],[TDS]],IntCompactors_PNA[[TDS]:[0]],6,FALSE),0)</f>
        <v>0</v>
      </c>
      <c r="AF105" s="20" t="e">
        <f>VLOOKUP(Data[[#This Row],[DEVELOPMENT]],[3]Developments!$A$2:$A$312,1,FALSE)</f>
        <v>#N/A</v>
      </c>
      <c r="AG105" s="20">
        <f>IFERROR(VLOOKUP(Data[[#This Row],[DEVELOPMENT]],Ops_Priorities_and_Data_Clean[[development]:[ifnoext_comment]],3,FALSE),"")</f>
        <v>0</v>
      </c>
      <c r="AH105" s="20">
        <f>IFERROR(VLOOKUP(Data[[#This Row],[DEVELOPMENT]],Ops_Priorities_and_Data_Clean[[development]:[ifnoext_comment]],4,FALSE),"")</f>
        <v>0</v>
      </c>
      <c r="AI105" s="20">
        <f>IFERROR(VLOOKUP(Data[[#This Row],[DEVELOPMENT]],Ops_Priorities_and_Data_Clean[[development]:[ifnoext_comment]],5,FALSE),"")</f>
        <v>0</v>
      </c>
      <c r="AJ105" s="20">
        <f>IFERROR(VLOOKUP(Data[[#This Row],[DEVELOPMENT]],Ops_Priorities_and_Data_Clean[[development]:[ifnoext_comment]],6,FALSE),"")</f>
        <v>0</v>
      </c>
      <c r="AK105" s="20">
        <f>IFERROR(VLOOKUP(Data[[#This Row],[DEVELOPMENT]],Ops_Priorities_and_Data_Clean[[development]:[ifnoext_comment]],7,FALSE),"")</f>
        <v>1</v>
      </c>
      <c r="AL105" s="20">
        <f>IFERROR(VLOOKUP(Data[[#This Row],[DEVELOPMENT]],Ops_Priorities_and_Data_Clean[[development]:[ifnoext_comment]],8,FALSE),"")</f>
        <v>1</v>
      </c>
      <c r="AM105" s="20">
        <f>IFERROR(VLOOKUP(Data[[#This Row],[DEVELOPMENT]],Ops_Priorities_and_Data_Clean[[development]:[ifnoext_comment]],9,FALSE),"")</f>
        <v>0</v>
      </c>
      <c r="AN105" s="20">
        <f>IFERROR(VLOOKUP(Data[[#This Row],[DEVELOPMENT]],Ops_Priorities_and_Data_Clean[[development]:[ifnoext_comment]],10,FALSE),"")</f>
        <v>0</v>
      </c>
      <c r="AO105" s="20">
        <f>IFERROR(VLOOKUP(Data[[#This Row],[DEVELOPMENT]],Ops_Priorities_and_Data_Clean[[development]:[ifnoext_comment]],11,FALSE),"")</f>
        <v>0</v>
      </c>
      <c r="AP105" s="20">
        <f>IFERROR(VLOOKUP(Data[[#This Row],[DEVELOPMENT]],Ops_Priorities_and_Data_Clean[[development]:[ifnoext_comment]],12,FALSE),"")</f>
        <v>0</v>
      </c>
      <c r="AQ105" s="20">
        <f>VLOOKUP(Data[[#This Row],[DEVELOPMENT]],Ops_Priorities_and_Data_Clean[[development]:[ifnoext_comment]],14,FALSE)</f>
        <v>1</v>
      </c>
      <c r="AR105" s="20">
        <f>VLOOKUP(Data[[#This Row],[DEVELOPMENT]],Ops_Priorities_and_Data_Clean[[development]:[ifnoext_comment]],15,FALSE)</f>
        <v>0</v>
      </c>
      <c r="AS105" s="20" t="str">
        <f>VLOOKUP(Data[[#This Row],[DEVELOPMENT]],Ops_Priorities_and_Data_Clean[[development]:[ifnoext_comment]],16,FALSE)</f>
        <v>NULL</v>
      </c>
      <c r="AT105" s="20" t="str">
        <f>VLOOKUP(Data[[#This Row],[DEVELOPMENT]],Ops_Priorities_and_Data_Clean[[development]:[ifnoext_comment]],17,FALSE)</f>
        <v>NULL</v>
      </c>
      <c r="AU105" s="20" t="str">
        <f>VLOOKUP(Data[[#This Row],[DEVELOPMENT]],Ops_Priorities_and_Data_Clean[[development]:[ifnoext_comment]],18,FALSE)</f>
        <v>NULL</v>
      </c>
      <c r="AV105" s="20" t="str">
        <f>VLOOKUP(Data[[#This Row],[DEVELOPMENT]],Ops_Priorities_and_Data_Clean[[development]:[ifnoext_comment]],19,FALSE)</f>
        <v>NULL</v>
      </c>
      <c r="AW105" s="20" t="str">
        <f>VLOOKUP(Data[[#This Row],[DEVELOPMENT]],Ops_Priorities_and_Data_Clean[[development]:[ifnoext_comment]],20,FALSE)</f>
        <v xml:space="preserve">They are a scattered site and it doesn't make sense for them to have an external compactor. </v>
      </c>
      <c r="AX105" s="104" t="s">
        <v>2614</v>
      </c>
      <c r="AY105" s="104" t="s">
        <v>2392</v>
      </c>
      <c r="AZ105" s="20" t="str">
        <f>VLOOKUP(Data[[#This Row],[DEVELOPMENT]],Development_Data_Book[[DEVELOPMENT]:[PRIVATE MANAGEMENT]],8,FALSE)</f>
        <v>FEDERAL</v>
      </c>
      <c r="BA105" s="104" t="s">
        <v>2588</v>
      </c>
      <c r="BB105" s="20">
        <f>VLOOKUP(Data[[#This Row],[DEVELOPMENT]],Development_Data_Book[[DEVELOPMENT]:[PRIVATE MANAGEMENT]],22,FALSE)</f>
        <v>0</v>
      </c>
      <c r="BC105" s="20">
        <f>Data[[#This Row],[Non-Dwelling Buildings]]+Data[[#This Row],[Dwelling Buildings]]</f>
        <v>12</v>
      </c>
      <c r="BD105" s="20">
        <f>VLOOKUP(Data[[#This Row],[DEVELOPMENT]],Development_Data_Book[[DEVELOPMENT]:[PRIVATE MANAGEMENT]],26,FALSE)</f>
        <v>1.1100000000000001</v>
      </c>
      <c r="BE105" s="106">
        <v>18976</v>
      </c>
      <c r="BF105" s="20">
        <f>VLOOKUP(Data[[#This Row],[DEVELOPMENT]],Development_Data_Book[[DEVELOPMENT]:[PRIVATE MANAGEMENT]],18,FALSE)</f>
        <v>20</v>
      </c>
      <c r="BG10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5" s="104" t="s">
        <v>2643</v>
      </c>
      <c r="BI105" t="s">
        <v>184</v>
      </c>
      <c r="BJ105" s="20">
        <f>VLOOKUP(Data[[#This Row],[DEVELOPMENT]],Development_Data_Book[[DEVELOPMENT]:[PRIVATE MANAGEMENT]],41,FALSE)</f>
        <v>0</v>
      </c>
      <c r="BK105" s="20">
        <f>VLOOKUP(Data[[#This Row],[DEVELOPMENT]],Development_Data_Book[[DEVELOPMENT]:[PRIVATE MANAGEMENT]],42,FALSE)</f>
        <v>0</v>
      </c>
      <c r="BL105" s="20">
        <f>VLOOKUP(Data[[#This Row],[DEVELOPMENT]],Development_Data_Book[[DEVELOPMENT]:[PRIVATE MANAGEMENT]],43,FALSE)</f>
        <v>0</v>
      </c>
      <c r="BM105" s="20">
        <f>VLOOKUP(Data[[#This Row],[DEVELOPMENT]],Development_Data_Book[[DEVELOPMENT]:[PRIVATE MANAGEMENT]],44,FALSE)</f>
        <v>0</v>
      </c>
      <c r="BN105" s="20">
        <f>VLOOKUP(Data[[#This Row],[DEVELOPMENT]],Development_Data_Book[[DEVELOPMENT]:[PRIVATE MANAGEMENT]],45,FALSE)</f>
        <v>0</v>
      </c>
      <c r="BO105" s="20">
        <f>VLOOKUP(Data[[#This Row],[DEVELOPMENT]],Development_Data_Book[[DEVELOPMENT]:[PRIVATE MANAGEMENT]],24,FALSE)</f>
        <v>43467</v>
      </c>
    </row>
    <row r="106" spans="1:67">
      <c r="A106" s="105" t="s">
        <v>239</v>
      </c>
      <c r="B106" s="20">
        <f>VLOOKUP(Data[[#This Row],[DEVELOPMENT]],Development_Data_Book[[DEVELOPMENT]:[BOROUGH]],MATCH("borough",Development_Data_Book[[#Headers],[DEVELOPMENT]:[BOROUGH]],0),FALSE)</f>
        <v>0</v>
      </c>
      <c r="C106" s="20" t="e">
        <f>VLOOKUP(Data[[#This Row],[DEVELOPMENT]],'[1]Cheat-Sheet'!$D$2:$Q$341,2,FALSE)</f>
        <v>#N/A</v>
      </c>
      <c r="D10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06" s="20">
        <f>VLOOKUP(Data[[#This Row],[DEVELOPMENT]],Development_Data_Book[[DEVELOPMENT]:[BOROUGH]],21,FALSE)</f>
        <v>13</v>
      </c>
      <c r="F106" s="20">
        <f>VLOOKUP(Data[[#This Row],[DEVELOPMENT]],Development_Data_Book[[DEVELOPMENT]:[BOROUGH]],23,FALSE)</f>
        <v>0</v>
      </c>
      <c r="G106" s="20">
        <f>VLOOKUP(Data[[#This Row],[DEVELOPMENT]],Development_Data_Book[[DEVELOPMENT]:[BOROUGH]],12,FALSE)</f>
        <v>10</v>
      </c>
      <c r="J106">
        <f>IFERROR(VLOOKUP(Data[[#This Row],[DEVELOPMENT]],IntCompactors_MRST[],4,FALSE),0)</f>
        <v>0</v>
      </c>
      <c r="K106" s="20">
        <f>IFERROR(VLOOKUP(Data[[#This Row],[DEVELOPMENT]],ExtCompactors_MRST[],4,FALSE),0)</f>
        <v>0</v>
      </c>
      <c r="L106" s="27" t="str">
        <f>IF(Data[[#This Row],['# Interior Compactors MRST]]=0,"",VLOOKUP(Data[[#This Row],[DEVELOPMENT]],IntCompactors_MRST[],5,FALSE))</f>
        <v/>
      </c>
      <c r="M106" s="28" t="str">
        <f>IF(Data[[#This Row],['# Exterior Compactors MRST]]=0,"",VLOOKUP(Data[[#This Row],[DEVELOPMENT]],ExtCompactors_MRST[],5,FALSE))</f>
        <v/>
      </c>
      <c r="N106" s="20">
        <f>Data[[#This Row],['# Interior Compactors MRST]]</f>
        <v>0</v>
      </c>
      <c r="O106" s="20">
        <f>IF(Data[[#This Row],['# Bulk Crushers]]=0,1,0)</f>
        <v>1</v>
      </c>
      <c r="P106" s="20">
        <f>1</f>
        <v>1</v>
      </c>
      <c r="Q106" s="20">
        <f>1</f>
        <v>1</v>
      </c>
      <c r="R106" s="20">
        <f>1</f>
        <v>1</v>
      </c>
      <c r="S106" s="20">
        <f>1</f>
        <v>1</v>
      </c>
      <c r="T106" s="20">
        <f>IF(Data[[#This Row],[Sewershed]]="Newtown Creek",Data[[#This Row],[DUs]],0)</f>
        <v>0</v>
      </c>
      <c r="U10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0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0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06" s="82">
        <f>VLOOKUP(Data[[#This Row],[DEVELOPMENT]],Development_Data_Book[[DEVELOPMENT]:[BOROUGH]],3,FALSE)</f>
        <v>226</v>
      </c>
      <c r="Y106" s="20"/>
      <c r="Z106" s="20">
        <f>IFERROR(VLOOKUP(Data[[#This Row],[TDS]],ExtCompactors_PNA[[Development]:[0]],2,FALSE),0)</f>
        <v>0</v>
      </c>
      <c r="AA106" s="20">
        <f>IFERROR(VLOOKUP(Data[[#This Row],[TDS]],IntCompactors_PNA[[TDS]:[0]],2,FALSE),0)</f>
        <v>0</v>
      </c>
      <c r="AB106" s="20"/>
      <c r="AC106" s="20"/>
      <c r="AD106" s="20">
        <f>IFERROR(VLOOKUP(Data[[#This Row],[TDS]],ExtCompactors_PNA[[Development]:[0]],3,FALSE)+VLOOKUP(Data[[#This Row],[TDS]],ExtCompactors_PNA[[Development]:[0]],6,FALSE),0)</f>
        <v>0</v>
      </c>
      <c r="AE106" s="20">
        <f>IFERROR(VLOOKUP(Data[[#This Row],[TDS]],IntCompactors_PNA[[TDS]:[0]],3,FALSE)+VLOOKUP(Data[[#This Row],[TDS]],IntCompactors_PNA[[TDS]:[0]],6,FALSE),0)</f>
        <v>0</v>
      </c>
      <c r="AF106" s="20" t="e">
        <f>VLOOKUP(Data[[#This Row],[DEVELOPMENT]],[3]Developments!$A$2:$A$312,1,FALSE)</f>
        <v>#N/A</v>
      </c>
      <c r="AG106" s="20">
        <f>IFERROR(VLOOKUP(Data[[#This Row],[DEVELOPMENT]],Ops_Priorities_and_Data_Clean[[development]:[ifnoext_comment]],3,FALSE),"")</f>
        <v>0</v>
      </c>
      <c r="AH106" s="20">
        <f>IFERROR(VLOOKUP(Data[[#This Row],[DEVELOPMENT]],Ops_Priorities_and_Data_Clean[[development]:[ifnoext_comment]],4,FALSE),"")</f>
        <v>0</v>
      </c>
      <c r="AI106" s="20">
        <f>IFERROR(VLOOKUP(Data[[#This Row],[DEVELOPMENT]],Ops_Priorities_and_Data_Clean[[development]:[ifnoext_comment]],5,FALSE),"")</f>
        <v>0</v>
      </c>
      <c r="AJ106" s="20">
        <f>IFERROR(VLOOKUP(Data[[#This Row],[DEVELOPMENT]],Ops_Priorities_and_Data_Clean[[development]:[ifnoext_comment]],6,FALSE),"")</f>
        <v>0</v>
      </c>
      <c r="AK106" s="20">
        <f>IFERROR(VLOOKUP(Data[[#This Row],[DEVELOPMENT]],Ops_Priorities_and_Data_Clean[[development]:[ifnoext_comment]],7,FALSE),"")</f>
        <v>1</v>
      </c>
      <c r="AL106" s="20">
        <f>IFERROR(VLOOKUP(Data[[#This Row],[DEVELOPMENT]],Ops_Priorities_and_Data_Clean[[development]:[ifnoext_comment]],8,FALSE),"")</f>
        <v>1</v>
      </c>
      <c r="AM106" s="20">
        <f>IFERROR(VLOOKUP(Data[[#This Row],[DEVELOPMENT]],Ops_Priorities_and_Data_Clean[[development]:[ifnoext_comment]],9,FALSE),"")</f>
        <v>0</v>
      </c>
      <c r="AN106" s="20">
        <f>IFERROR(VLOOKUP(Data[[#This Row],[DEVELOPMENT]],Ops_Priorities_and_Data_Clean[[development]:[ifnoext_comment]],10,FALSE),"")</f>
        <v>0</v>
      </c>
      <c r="AO106" s="20">
        <f>IFERROR(VLOOKUP(Data[[#This Row],[DEVELOPMENT]],Ops_Priorities_and_Data_Clean[[development]:[ifnoext_comment]],11,FALSE),"")</f>
        <v>0</v>
      </c>
      <c r="AP106" s="20">
        <f>IFERROR(VLOOKUP(Data[[#This Row],[DEVELOPMENT]],Ops_Priorities_and_Data_Clean[[development]:[ifnoext_comment]],12,FALSE),"")</f>
        <v>0</v>
      </c>
      <c r="AQ106" s="20">
        <f>VLOOKUP(Data[[#This Row],[DEVELOPMENT]],Ops_Priorities_and_Data_Clean[[development]:[ifnoext_comment]],14,FALSE)</f>
        <v>1</v>
      </c>
      <c r="AR106" s="20">
        <f>VLOOKUP(Data[[#This Row],[DEVELOPMENT]],Ops_Priorities_and_Data_Clean[[development]:[ifnoext_comment]],15,FALSE)</f>
        <v>0</v>
      </c>
      <c r="AS106" s="20" t="str">
        <f>VLOOKUP(Data[[#This Row],[DEVELOPMENT]],Ops_Priorities_and_Data_Clean[[development]:[ifnoext_comment]],16,FALSE)</f>
        <v>NULL</v>
      </c>
      <c r="AT106" s="20" t="str">
        <f>VLOOKUP(Data[[#This Row],[DEVELOPMENT]],Ops_Priorities_and_Data_Clean[[development]:[ifnoext_comment]],17,FALSE)</f>
        <v>NULL</v>
      </c>
      <c r="AU106" s="20" t="str">
        <f>VLOOKUP(Data[[#This Row],[DEVELOPMENT]],Ops_Priorities_and_Data_Clean[[development]:[ifnoext_comment]],18,FALSE)</f>
        <v>NULL</v>
      </c>
      <c r="AV106" s="20" t="str">
        <f>VLOOKUP(Data[[#This Row],[DEVELOPMENT]],Ops_Priorities_and_Data_Clean[[development]:[ifnoext_comment]],19,FALSE)</f>
        <v>NULL</v>
      </c>
      <c r="AW106" s="20" t="str">
        <f>VLOOKUP(Data[[#This Row],[DEVELOPMENT]],Ops_Priorities_and_Data_Clean[[development]:[ifnoext_comment]],20,FALSE)</f>
        <v xml:space="preserve">They are a scattered site and it doesn't make sense for them to have an external compactor. </v>
      </c>
      <c r="AX106" s="104" t="s">
        <v>2614</v>
      </c>
      <c r="AY106" s="104" t="s">
        <v>2392</v>
      </c>
      <c r="AZ106" s="20" t="str">
        <f>VLOOKUP(Data[[#This Row],[DEVELOPMENT]],Development_Data_Book[[DEVELOPMENT]:[PRIVATE MANAGEMENT]],8,FALSE)</f>
        <v>FEDERAL</v>
      </c>
      <c r="BA106" s="104" t="s">
        <v>2588</v>
      </c>
      <c r="BB106" s="20">
        <f>VLOOKUP(Data[[#This Row],[DEVELOPMENT]],Development_Data_Book[[DEVELOPMENT]:[PRIVATE MANAGEMENT]],22,FALSE)</f>
        <v>0</v>
      </c>
      <c r="BC106" s="20">
        <f>Data[[#This Row],[Non-Dwelling Buildings]]+Data[[#This Row],[Dwelling Buildings]]</f>
        <v>13</v>
      </c>
      <c r="BD106" s="20">
        <f>VLOOKUP(Data[[#This Row],[DEVELOPMENT]],Development_Data_Book[[DEVELOPMENT]:[PRIVATE MANAGEMENT]],26,FALSE)</f>
        <v>1.37</v>
      </c>
      <c r="BE106" s="106">
        <v>20967</v>
      </c>
      <c r="BF106" s="20">
        <f>VLOOKUP(Data[[#This Row],[DEVELOPMENT]],Development_Data_Book[[DEVELOPMENT]:[PRIVATE MANAGEMENT]],18,FALSE)</f>
        <v>20</v>
      </c>
      <c r="BG10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6" s="104" t="s">
        <v>2644</v>
      </c>
      <c r="BI106" t="s">
        <v>184</v>
      </c>
      <c r="BJ106" s="20">
        <f>VLOOKUP(Data[[#This Row],[DEVELOPMENT]],Development_Data_Book[[DEVELOPMENT]:[PRIVATE MANAGEMENT]],41,FALSE)</f>
        <v>0</v>
      </c>
      <c r="BK106" s="20">
        <f>VLOOKUP(Data[[#This Row],[DEVELOPMENT]],Development_Data_Book[[DEVELOPMENT]:[PRIVATE MANAGEMENT]],42,FALSE)</f>
        <v>0</v>
      </c>
      <c r="BL106" s="20">
        <f>VLOOKUP(Data[[#This Row],[DEVELOPMENT]],Development_Data_Book[[DEVELOPMENT]:[PRIVATE MANAGEMENT]],43,FALSE)</f>
        <v>0</v>
      </c>
      <c r="BM106" s="20">
        <f>VLOOKUP(Data[[#This Row],[DEVELOPMENT]],Development_Data_Book[[DEVELOPMENT]:[PRIVATE MANAGEMENT]],44,FALSE)</f>
        <v>0</v>
      </c>
      <c r="BN106" s="20">
        <f>VLOOKUP(Data[[#This Row],[DEVELOPMENT]],Development_Data_Book[[DEVELOPMENT]:[PRIVATE MANAGEMENT]],45,FALSE)</f>
        <v>0</v>
      </c>
      <c r="BO106" s="20">
        <f>VLOOKUP(Data[[#This Row],[DEVELOPMENT]],Development_Data_Book[[DEVELOPMENT]:[PRIVATE MANAGEMENT]],24,FALSE)</f>
        <v>37623</v>
      </c>
    </row>
    <row r="107" spans="1:67">
      <c r="A107" s="105" t="s">
        <v>240</v>
      </c>
      <c r="B107" s="20">
        <f>VLOOKUP(Data[[#This Row],[DEVELOPMENT]],Development_Data_Book[[DEVELOPMENT]:[BOROUGH]],MATCH("borough",Development_Data_Book[[#Headers],[DEVELOPMENT]:[BOROUGH]],0),FALSE)</f>
        <v>0</v>
      </c>
      <c r="C107" s="20" t="e">
        <f>VLOOKUP(Data[[#This Row],[DEVELOPMENT]],'[1]Cheat-Sheet'!$D$2:$Q$341,2,FALSE)</f>
        <v>#N/A</v>
      </c>
      <c r="D10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07" s="20">
        <f>VLOOKUP(Data[[#This Row],[DEVELOPMENT]],Development_Data_Book[[DEVELOPMENT]:[BOROUGH]],21,FALSE)</f>
        <v>16</v>
      </c>
      <c r="F107" s="20">
        <f>VLOOKUP(Data[[#This Row],[DEVELOPMENT]],Development_Data_Book[[DEVELOPMENT]:[BOROUGH]],23,FALSE)</f>
        <v>0</v>
      </c>
      <c r="G107" s="20">
        <f>VLOOKUP(Data[[#This Row],[DEVELOPMENT]],Development_Data_Book[[DEVELOPMENT]:[BOROUGH]],12,FALSE)</f>
        <v>16</v>
      </c>
      <c r="H107" t="s">
        <v>2611</v>
      </c>
      <c r="J107">
        <f>IFERROR(VLOOKUP(Data[[#This Row],[DEVELOPMENT]],IntCompactors_MRST[],4,FALSE),0)</f>
        <v>0</v>
      </c>
      <c r="K107" s="20">
        <f>IFERROR(VLOOKUP(Data[[#This Row],[DEVELOPMENT]],ExtCompactors_MRST[],4,FALSE),0)</f>
        <v>0</v>
      </c>
      <c r="L107" s="27" t="str">
        <f>IF(Data[[#This Row],['# Interior Compactors MRST]]=0,"",VLOOKUP(Data[[#This Row],[DEVELOPMENT]],IntCompactors_MRST[],5,FALSE))</f>
        <v/>
      </c>
      <c r="M107" s="28" t="str">
        <f>IF(Data[[#This Row],['# Exterior Compactors MRST]]=0,"",VLOOKUP(Data[[#This Row],[DEVELOPMENT]],ExtCompactors_MRST[],5,FALSE))</f>
        <v/>
      </c>
      <c r="N107" s="20">
        <f>Data[[#This Row],['# Interior Compactors MRST]]</f>
        <v>0</v>
      </c>
      <c r="O107" s="20">
        <f>IF(Data[[#This Row],['# Bulk Crushers]]=0,1,0)</f>
        <v>1</v>
      </c>
      <c r="P107" s="20">
        <f>1</f>
        <v>1</v>
      </c>
      <c r="Q107" s="20">
        <f>1</f>
        <v>1</v>
      </c>
      <c r="R107" s="20">
        <f>1</f>
        <v>1</v>
      </c>
      <c r="S107" s="20">
        <f>1</f>
        <v>1</v>
      </c>
      <c r="T107" s="20">
        <f>IF(Data[[#This Row],[Sewershed]]="Newtown Creek",Data[[#This Row],[DUs]],0)</f>
        <v>16</v>
      </c>
      <c r="U10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0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0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07" s="82">
        <f>VLOOKUP(Data[[#This Row],[DEVELOPMENT]],Development_Data_Book[[DEVELOPMENT]:[BOROUGH]],3,FALSE)</f>
        <v>283</v>
      </c>
      <c r="Y107" s="20" t="s">
        <v>2599</v>
      </c>
      <c r="Z107" s="20">
        <f>IFERROR(VLOOKUP(Data[[#This Row],[TDS]],ExtCompactors_PNA[[Development]:[0]],2,FALSE),0)</f>
        <v>0</v>
      </c>
      <c r="AA107" s="20">
        <f>IFERROR(VLOOKUP(Data[[#This Row],[TDS]],IntCompactors_PNA[[TDS]:[0]],2,FALSE),0)</f>
        <v>0</v>
      </c>
      <c r="AB107" s="20"/>
      <c r="AC107" s="20"/>
      <c r="AD107" s="20">
        <f>IFERROR(VLOOKUP(Data[[#This Row],[TDS]],ExtCompactors_PNA[[Development]:[0]],3,FALSE)+VLOOKUP(Data[[#This Row],[TDS]],ExtCompactors_PNA[[Development]:[0]],6,FALSE),0)</f>
        <v>0</v>
      </c>
      <c r="AE107" s="20">
        <f>IFERROR(VLOOKUP(Data[[#This Row],[TDS]],IntCompactors_PNA[[TDS]:[0]],3,FALSE)+VLOOKUP(Data[[#This Row],[TDS]],IntCompactors_PNA[[TDS]:[0]],6,FALSE),0)</f>
        <v>0</v>
      </c>
      <c r="AF107" s="20" t="e">
        <f>VLOOKUP(Data[[#This Row],[DEVELOPMENT]],[3]Developments!$A$2:$A$312,1,FALSE)</f>
        <v>#N/A</v>
      </c>
      <c r="AG107" s="20">
        <f>IFERROR(VLOOKUP(Data[[#This Row],[DEVELOPMENT]],Ops_Priorities_and_Data_Clean[[development]:[ifnoext_comment]],3,FALSE),"")</f>
        <v>0</v>
      </c>
      <c r="AH107" s="20">
        <f>IFERROR(VLOOKUP(Data[[#This Row],[DEVELOPMENT]],Ops_Priorities_and_Data_Clean[[development]:[ifnoext_comment]],4,FALSE),"")</f>
        <v>0</v>
      </c>
      <c r="AI107" s="20">
        <f>IFERROR(VLOOKUP(Data[[#This Row],[DEVELOPMENT]],Ops_Priorities_and_Data_Clean[[development]:[ifnoext_comment]],5,FALSE),"")</f>
        <v>0</v>
      </c>
      <c r="AJ107" s="20">
        <f>IFERROR(VLOOKUP(Data[[#This Row],[DEVELOPMENT]],Ops_Priorities_and_Data_Clean[[development]:[ifnoext_comment]],6,FALSE),"")</f>
        <v>0</v>
      </c>
      <c r="AK107" s="20">
        <f>IFERROR(VLOOKUP(Data[[#This Row],[DEVELOPMENT]],Ops_Priorities_and_Data_Clean[[development]:[ifnoext_comment]],7,FALSE),"")</f>
        <v>1</v>
      </c>
      <c r="AL107" s="20">
        <f>IFERROR(VLOOKUP(Data[[#This Row],[DEVELOPMENT]],Ops_Priorities_and_Data_Clean[[development]:[ifnoext_comment]],8,FALSE),"")</f>
        <v>1</v>
      </c>
      <c r="AM107" s="20">
        <f>IFERROR(VLOOKUP(Data[[#This Row],[DEVELOPMENT]],Ops_Priorities_and_Data_Clean[[development]:[ifnoext_comment]],9,FALSE),"")</f>
        <v>0</v>
      </c>
      <c r="AN107" s="20">
        <f>IFERROR(VLOOKUP(Data[[#This Row],[DEVELOPMENT]],Ops_Priorities_and_Data_Clean[[development]:[ifnoext_comment]],10,FALSE),"")</f>
        <v>0</v>
      </c>
      <c r="AO107" s="20">
        <f>IFERROR(VLOOKUP(Data[[#This Row],[DEVELOPMENT]],Ops_Priorities_and_Data_Clean[[development]:[ifnoext_comment]],11,FALSE),"")</f>
        <v>0</v>
      </c>
      <c r="AP107" s="20">
        <f>IFERROR(VLOOKUP(Data[[#This Row],[DEVELOPMENT]],Ops_Priorities_and_Data_Clean[[development]:[ifnoext_comment]],12,FALSE),"")</f>
        <v>0</v>
      </c>
      <c r="AQ107" s="20">
        <f>VLOOKUP(Data[[#This Row],[DEVELOPMENT]],Ops_Priorities_and_Data_Clean[[development]:[ifnoext_comment]],14,FALSE)</f>
        <v>1</v>
      </c>
      <c r="AR107" s="20">
        <f>VLOOKUP(Data[[#This Row],[DEVELOPMENT]],Ops_Priorities_and_Data_Clean[[development]:[ifnoext_comment]],15,FALSE)</f>
        <v>0</v>
      </c>
      <c r="AS107" s="20" t="str">
        <f>VLOOKUP(Data[[#This Row],[DEVELOPMENT]],Ops_Priorities_and_Data_Clean[[development]:[ifnoext_comment]],16,FALSE)</f>
        <v>NULL</v>
      </c>
      <c r="AT107" s="20" t="str">
        <f>VLOOKUP(Data[[#This Row],[DEVELOPMENT]],Ops_Priorities_and_Data_Clean[[development]:[ifnoext_comment]],17,FALSE)</f>
        <v>NULL</v>
      </c>
      <c r="AU107" s="20" t="str">
        <f>VLOOKUP(Data[[#This Row],[DEVELOPMENT]],Ops_Priorities_and_Data_Clean[[development]:[ifnoext_comment]],18,FALSE)</f>
        <v>NULL</v>
      </c>
      <c r="AV107" s="20" t="str">
        <f>VLOOKUP(Data[[#This Row],[DEVELOPMENT]],Ops_Priorities_and_Data_Clean[[development]:[ifnoext_comment]],19,FALSE)</f>
        <v>NULL</v>
      </c>
      <c r="AW107" s="20" t="str">
        <f>VLOOKUP(Data[[#This Row],[DEVELOPMENT]],Ops_Priorities_and_Data_Clean[[development]:[ifnoext_comment]],20,FALSE)</f>
        <v xml:space="preserve">They are an scattered site and it doesn't make sense for them to have an external compactor. </v>
      </c>
      <c r="AX107" s="104" t="s">
        <v>2614</v>
      </c>
      <c r="AY107" s="104" t="s">
        <v>2392</v>
      </c>
      <c r="AZ107" s="20" t="str">
        <f>VLOOKUP(Data[[#This Row],[DEVELOPMENT]],Development_Data_Book[[DEVELOPMENT]:[PRIVATE MANAGEMENT]],8,FALSE)</f>
        <v>FEDERAL</v>
      </c>
      <c r="BA107" s="104" t="s">
        <v>2588</v>
      </c>
      <c r="BB107" s="20">
        <f>VLOOKUP(Data[[#This Row],[DEVELOPMENT]],Development_Data_Book[[DEVELOPMENT]:[PRIVATE MANAGEMENT]],22,FALSE)</f>
        <v>0</v>
      </c>
      <c r="BC107" s="20">
        <f>Data[[#This Row],[Non-Dwelling Buildings]]+Data[[#This Row],[Dwelling Buildings]]</f>
        <v>16</v>
      </c>
      <c r="BD107" s="20">
        <f>VLOOKUP(Data[[#This Row],[DEVELOPMENT]],Development_Data_Book[[DEVELOPMENT]:[PRIVATE MANAGEMENT]],26,FALSE)</f>
        <v>1.1599999999999999</v>
      </c>
      <c r="BE107" s="106">
        <v>35135</v>
      </c>
      <c r="BF107" s="20">
        <f>VLOOKUP(Data[[#This Row],[DEVELOPMENT]],Development_Data_Book[[DEVELOPMENT]:[PRIVATE MANAGEMENT]],18,FALSE)</f>
        <v>31</v>
      </c>
      <c r="BG10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7" s="104" t="s">
        <v>2645</v>
      </c>
      <c r="BI107" t="s">
        <v>184</v>
      </c>
      <c r="BJ107" s="20">
        <f>VLOOKUP(Data[[#This Row],[DEVELOPMENT]],Development_Data_Book[[DEVELOPMENT]:[PRIVATE MANAGEMENT]],41,FALSE)</f>
        <v>0</v>
      </c>
      <c r="BK107" s="20">
        <f>VLOOKUP(Data[[#This Row],[DEVELOPMENT]],Development_Data_Book[[DEVELOPMENT]:[PRIVATE MANAGEMENT]],42,FALSE)</f>
        <v>0</v>
      </c>
      <c r="BL107" s="20">
        <f>VLOOKUP(Data[[#This Row],[DEVELOPMENT]],Development_Data_Book[[DEVELOPMENT]:[PRIVATE MANAGEMENT]],43,FALSE)</f>
        <v>0</v>
      </c>
      <c r="BM107" s="20">
        <f>VLOOKUP(Data[[#This Row],[DEVELOPMENT]],Development_Data_Book[[DEVELOPMENT]:[PRIVATE MANAGEMENT]],44,FALSE)</f>
        <v>0</v>
      </c>
      <c r="BN107" s="20">
        <f>VLOOKUP(Data[[#This Row],[DEVELOPMENT]],Development_Data_Book[[DEVELOPMENT]:[PRIVATE MANAGEMENT]],45,FALSE)</f>
        <v>0</v>
      </c>
      <c r="BO107" s="20" t="str">
        <f>VLOOKUP(Data[[#This Row],[DEVELOPMENT]],Development_Data_Book[[DEVELOPMENT]:[PRIVATE MANAGEMENT]],24,FALSE)</f>
        <v>1-1.5-2-2.5-3</v>
      </c>
    </row>
    <row r="108" spans="1:67">
      <c r="A108" s="105" t="s">
        <v>320</v>
      </c>
      <c r="B108" s="20">
        <f>VLOOKUP(Data[[#This Row],[DEVELOPMENT]],Development_Data_Book[[DEVELOPMENT]:[BOROUGH]],MATCH("borough",Development_Data_Book[[#Headers],[DEVELOPMENT]:[BOROUGH]],0),FALSE)</f>
        <v>0</v>
      </c>
      <c r="C108" s="20" t="e">
        <f>VLOOKUP(Data[[#This Row],[DEVELOPMENT]],'[1]Cheat-Sheet'!$D$2:$Q$341,2,FALSE)</f>
        <v>#N/A</v>
      </c>
      <c r="D10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08" s="20">
        <f>VLOOKUP(Data[[#This Row],[DEVELOPMENT]],Development_Data_Book[[DEVELOPMENT]:[BOROUGH]],21,FALSE)</f>
        <v>31</v>
      </c>
      <c r="F108" s="20">
        <f>VLOOKUP(Data[[#This Row],[DEVELOPMENT]],Development_Data_Book[[DEVELOPMENT]:[BOROUGH]],23,FALSE)</f>
        <v>0</v>
      </c>
      <c r="G108" s="20">
        <f>VLOOKUP(Data[[#This Row],[DEVELOPMENT]],Development_Data_Book[[DEVELOPMENT]:[BOROUGH]],12,FALSE)</f>
        <v>29</v>
      </c>
      <c r="J108">
        <f>IFERROR(VLOOKUP(Data[[#This Row],[DEVELOPMENT]],IntCompactors_MRST[],4,FALSE),0)</f>
        <v>0</v>
      </c>
      <c r="K108" s="20">
        <f>IFERROR(VLOOKUP(Data[[#This Row],[DEVELOPMENT]],ExtCompactors_MRST[],4,FALSE),0)</f>
        <v>0</v>
      </c>
      <c r="L108" s="27" t="str">
        <f>IF(Data[[#This Row],['# Interior Compactors MRST]]=0,"",VLOOKUP(Data[[#This Row],[DEVELOPMENT]],IntCompactors_MRST[],5,FALSE))</f>
        <v/>
      </c>
      <c r="M108" s="28" t="str">
        <f>IF(Data[[#This Row],['# Exterior Compactors MRST]]=0,"",VLOOKUP(Data[[#This Row],[DEVELOPMENT]],ExtCompactors_MRST[],5,FALSE))</f>
        <v/>
      </c>
      <c r="N108" s="20">
        <f>Data[[#This Row],['# Interior Compactors MRST]]</f>
        <v>0</v>
      </c>
      <c r="O108" s="20">
        <f>IF(Data[[#This Row],['# Bulk Crushers]]=0,1,0)</f>
        <v>1</v>
      </c>
      <c r="P108" s="20">
        <f>1</f>
        <v>1</v>
      </c>
      <c r="Q108" s="20">
        <f>1</f>
        <v>1</v>
      </c>
      <c r="R108" s="20">
        <f>1</f>
        <v>1</v>
      </c>
      <c r="S108" s="20">
        <f>1</f>
        <v>1</v>
      </c>
      <c r="T108" s="20">
        <f>IF(Data[[#This Row],[Sewershed]]="Newtown Creek",Data[[#This Row],[DUs]],0)</f>
        <v>0</v>
      </c>
      <c r="U10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0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0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08" s="82">
        <f>VLOOKUP(Data[[#This Row],[DEVELOPMENT]],Development_Data_Book[[DEVELOPMENT]:[BOROUGH]],3,FALSE)</f>
        <v>260</v>
      </c>
      <c r="Y108" s="20"/>
      <c r="Z108" s="20">
        <f>IFERROR(VLOOKUP(Data[[#This Row],[TDS]],ExtCompactors_PNA[[Development]:[0]],2,FALSE),0)</f>
        <v>0</v>
      </c>
      <c r="AA108" s="20">
        <f>IFERROR(VLOOKUP(Data[[#This Row],[TDS]],IntCompactors_PNA[[TDS]:[0]],2,FALSE),0)</f>
        <v>0</v>
      </c>
      <c r="AB108" s="20"/>
      <c r="AC108" s="20"/>
      <c r="AD108" s="20">
        <f>IFERROR(VLOOKUP(Data[[#This Row],[TDS]],ExtCompactors_PNA[[Development]:[0]],3,FALSE)+VLOOKUP(Data[[#This Row],[TDS]],ExtCompactors_PNA[[Development]:[0]],6,FALSE),0)</f>
        <v>0</v>
      </c>
      <c r="AE108" s="20">
        <f>IFERROR(VLOOKUP(Data[[#This Row],[TDS]],IntCompactors_PNA[[TDS]:[0]],3,FALSE)+VLOOKUP(Data[[#This Row],[TDS]],IntCompactors_PNA[[TDS]:[0]],6,FALSE),0)</f>
        <v>0</v>
      </c>
      <c r="AF108" s="20" t="e">
        <f>VLOOKUP(Data[[#This Row],[DEVELOPMENT]],[3]Developments!$A$2:$A$312,1,FALSE)</f>
        <v>#N/A</v>
      </c>
      <c r="AG108" s="20">
        <f>IFERROR(VLOOKUP(Data[[#This Row],[DEVELOPMENT]],Ops_Priorities_and_Data_Clean[[development]:[ifnoext_comment]],3,FALSE),"")</f>
        <v>0</v>
      </c>
      <c r="AH108" s="20">
        <f>IFERROR(VLOOKUP(Data[[#This Row],[DEVELOPMENT]],Ops_Priorities_and_Data_Clean[[development]:[ifnoext_comment]],4,FALSE),"")</f>
        <v>0</v>
      </c>
      <c r="AI108" s="20">
        <f>IFERROR(VLOOKUP(Data[[#This Row],[DEVELOPMENT]],Ops_Priorities_and_Data_Clean[[development]:[ifnoext_comment]],5,FALSE),"")</f>
        <v>0</v>
      </c>
      <c r="AJ108" s="20">
        <f>IFERROR(VLOOKUP(Data[[#This Row],[DEVELOPMENT]],Ops_Priorities_and_Data_Clean[[development]:[ifnoext_comment]],6,FALSE),"")</f>
        <v>0</v>
      </c>
      <c r="AK108" s="20">
        <f>IFERROR(VLOOKUP(Data[[#This Row],[DEVELOPMENT]],Ops_Priorities_and_Data_Clean[[development]:[ifnoext_comment]],7,FALSE),"")</f>
        <v>1</v>
      </c>
      <c r="AL108" s="20">
        <f>IFERROR(VLOOKUP(Data[[#This Row],[DEVELOPMENT]],Ops_Priorities_and_Data_Clean[[development]:[ifnoext_comment]],8,FALSE),"")</f>
        <v>1</v>
      </c>
      <c r="AM108" s="20">
        <f>IFERROR(VLOOKUP(Data[[#This Row],[DEVELOPMENT]],Ops_Priorities_and_Data_Clean[[development]:[ifnoext_comment]],9,FALSE),"")</f>
        <v>0</v>
      </c>
      <c r="AN108" s="20">
        <f>IFERROR(VLOOKUP(Data[[#This Row],[DEVELOPMENT]],Ops_Priorities_and_Data_Clean[[development]:[ifnoext_comment]],10,FALSE),"")</f>
        <v>0</v>
      </c>
      <c r="AO108" s="20">
        <f>IFERROR(VLOOKUP(Data[[#This Row],[DEVELOPMENT]],Ops_Priorities_and_Data_Clean[[development]:[ifnoext_comment]],11,FALSE),"")</f>
        <v>0</v>
      </c>
      <c r="AP108" s="20">
        <f>IFERROR(VLOOKUP(Data[[#This Row],[DEVELOPMENT]],Ops_Priorities_and_Data_Clean[[development]:[ifnoext_comment]],12,FALSE),"")</f>
        <v>0</v>
      </c>
      <c r="AQ108" s="20">
        <f>VLOOKUP(Data[[#This Row],[DEVELOPMENT]],Ops_Priorities_and_Data_Clean[[development]:[ifnoext_comment]],14,FALSE)</f>
        <v>1</v>
      </c>
      <c r="AR108" s="20">
        <f>VLOOKUP(Data[[#This Row],[DEVELOPMENT]],Ops_Priorities_and_Data_Clean[[development]:[ifnoext_comment]],15,FALSE)</f>
        <v>0</v>
      </c>
      <c r="AS108" s="20" t="str">
        <f>VLOOKUP(Data[[#This Row],[DEVELOPMENT]],Ops_Priorities_and_Data_Clean[[development]:[ifnoext_comment]],16,FALSE)</f>
        <v>NULL</v>
      </c>
      <c r="AT108" s="20" t="str">
        <f>VLOOKUP(Data[[#This Row],[DEVELOPMENT]],Ops_Priorities_and_Data_Clean[[development]:[ifnoext_comment]],17,FALSE)</f>
        <v>NULL</v>
      </c>
      <c r="AU108" s="20" t="str">
        <f>VLOOKUP(Data[[#This Row],[DEVELOPMENT]],Ops_Priorities_and_Data_Clean[[development]:[ifnoext_comment]],18,FALSE)</f>
        <v>NULL</v>
      </c>
      <c r="AV108" s="20" t="str">
        <f>VLOOKUP(Data[[#This Row],[DEVELOPMENT]],Ops_Priorities_and_Data_Clean[[development]:[ifnoext_comment]],19,FALSE)</f>
        <v>NULL</v>
      </c>
      <c r="AW108" s="20" t="str">
        <f>VLOOKUP(Data[[#This Row],[DEVELOPMENT]],Ops_Priorities_and_Data_Clean[[development]:[ifnoext_comment]],20,FALSE)</f>
        <v xml:space="preserve">They are an scattered site and it doesn't make sense for them to have an external compactor. </v>
      </c>
      <c r="AX108" s="104" t="s">
        <v>2614</v>
      </c>
      <c r="AY108" s="104" t="s">
        <v>2392</v>
      </c>
      <c r="AZ108" s="20" t="str">
        <f>VLOOKUP(Data[[#This Row],[DEVELOPMENT]],Development_Data_Book[[DEVELOPMENT]:[PRIVATE MANAGEMENT]],8,FALSE)</f>
        <v>FEDERAL</v>
      </c>
      <c r="BA108" s="104" t="s">
        <v>2588</v>
      </c>
      <c r="BB108" s="20">
        <f>VLOOKUP(Data[[#This Row],[DEVELOPMENT]],Development_Data_Book[[DEVELOPMENT]:[PRIVATE MANAGEMENT]],22,FALSE)</f>
        <v>0</v>
      </c>
      <c r="BC108" s="20">
        <f>Data[[#This Row],[Non-Dwelling Buildings]]+Data[[#This Row],[Dwelling Buildings]]</f>
        <v>31</v>
      </c>
      <c r="BD108" s="20">
        <f>VLOOKUP(Data[[#This Row],[DEVELOPMENT]],Development_Data_Book[[DEVELOPMENT]:[PRIVATE MANAGEMENT]],26,FALSE)</f>
        <v>3.24</v>
      </c>
      <c r="BE108" s="106">
        <v>51821</v>
      </c>
      <c r="BF108" s="20">
        <f>VLOOKUP(Data[[#This Row],[DEVELOPMENT]],Development_Data_Book[[DEVELOPMENT]:[PRIVATE MANAGEMENT]],18,FALSE)</f>
        <v>65</v>
      </c>
      <c r="BG10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8" s="104" t="s">
        <v>2646</v>
      </c>
      <c r="BI108" t="s">
        <v>184</v>
      </c>
      <c r="BJ108" s="20">
        <f>VLOOKUP(Data[[#This Row],[DEVELOPMENT]],Development_Data_Book[[DEVELOPMENT]:[PRIVATE MANAGEMENT]],41,FALSE)</f>
        <v>0</v>
      </c>
      <c r="BK108" s="20">
        <f>VLOOKUP(Data[[#This Row],[DEVELOPMENT]],Development_Data_Book[[DEVELOPMENT]:[PRIVATE MANAGEMENT]],42,FALSE)</f>
        <v>0</v>
      </c>
      <c r="BL108" s="20">
        <f>VLOOKUP(Data[[#This Row],[DEVELOPMENT]],Development_Data_Book[[DEVELOPMENT]:[PRIVATE MANAGEMENT]],43,FALSE)</f>
        <v>0</v>
      </c>
      <c r="BM108" s="20">
        <f>VLOOKUP(Data[[#This Row],[DEVELOPMENT]],Development_Data_Book[[DEVELOPMENT]:[PRIVATE MANAGEMENT]],44,FALSE)</f>
        <v>0</v>
      </c>
      <c r="BN108" s="20">
        <f>VLOOKUP(Data[[#This Row],[DEVELOPMENT]],Development_Data_Book[[DEVELOPMENT]:[PRIVATE MANAGEMENT]],45,FALSE)</f>
        <v>0</v>
      </c>
      <c r="BO108" s="20">
        <f>VLOOKUP(Data[[#This Row],[DEVELOPMENT]],Development_Data_Book[[DEVELOPMENT]:[PRIVATE MANAGEMENT]],24,FALSE)</f>
        <v>37623</v>
      </c>
    </row>
    <row r="109" spans="1:67">
      <c r="A109" s="105" t="s">
        <v>321</v>
      </c>
      <c r="B109" s="20">
        <f>VLOOKUP(Data[[#This Row],[DEVELOPMENT]],Development_Data_Book[[DEVELOPMENT]:[BOROUGH]],MATCH("borough",Development_Data_Book[[#Headers],[DEVELOPMENT]:[BOROUGH]],0),FALSE)</f>
        <v>0</v>
      </c>
      <c r="C109" s="20" t="e">
        <f>VLOOKUP(Data[[#This Row],[DEVELOPMENT]],'[1]Cheat-Sheet'!$D$2:$Q$341,2,FALSE)</f>
        <v>#N/A</v>
      </c>
      <c r="D10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09" s="20">
        <f>VLOOKUP(Data[[#This Row],[DEVELOPMENT]],Development_Data_Book[[DEVELOPMENT]:[BOROUGH]],21,FALSE)</f>
        <v>7</v>
      </c>
      <c r="F109" s="20">
        <f>VLOOKUP(Data[[#This Row],[DEVELOPMENT]],Development_Data_Book[[DEVELOPMENT]:[BOROUGH]],23,FALSE)</f>
        <v>0</v>
      </c>
      <c r="G109" s="20">
        <f>VLOOKUP(Data[[#This Row],[DEVELOPMENT]],Development_Data_Book[[DEVELOPMENT]:[BOROUGH]],12,FALSE)</f>
        <v>6</v>
      </c>
      <c r="J109">
        <f>IFERROR(VLOOKUP(Data[[#This Row],[DEVELOPMENT]],IntCompactors_MRST[],4,FALSE),0)</f>
        <v>0</v>
      </c>
      <c r="K109" s="20">
        <f>IFERROR(VLOOKUP(Data[[#This Row],[DEVELOPMENT]],ExtCompactors_MRST[],4,FALSE),0)</f>
        <v>0</v>
      </c>
      <c r="L109" s="27" t="str">
        <f>IF(Data[[#This Row],['# Interior Compactors MRST]]=0,"",VLOOKUP(Data[[#This Row],[DEVELOPMENT]],IntCompactors_MRST[],5,FALSE))</f>
        <v/>
      </c>
      <c r="M109" s="28" t="str">
        <f>IF(Data[[#This Row],['# Exterior Compactors MRST]]=0,"",VLOOKUP(Data[[#This Row],[DEVELOPMENT]],ExtCompactors_MRST[],5,FALSE))</f>
        <v/>
      </c>
      <c r="N109" s="20">
        <f>Data[[#This Row],['# Interior Compactors MRST]]</f>
        <v>0</v>
      </c>
      <c r="O109" s="20">
        <f>IF(Data[[#This Row],['# Bulk Crushers]]=0,1,0)</f>
        <v>1</v>
      </c>
      <c r="P109" s="20">
        <f>1</f>
        <v>1</v>
      </c>
      <c r="Q109" s="20">
        <f>1</f>
        <v>1</v>
      </c>
      <c r="R109" s="20">
        <f>1</f>
        <v>1</v>
      </c>
      <c r="S109" s="20">
        <f>1</f>
        <v>1</v>
      </c>
      <c r="T109" s="20">
        <f>IF(Data[[#This Row],[Sewershed]]="Newtown Creek",Data[[#This Row],[DUs]],0)</f>
        <v>0</v>
      </c>
      <c r="U10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0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0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09" s="82">
        <f>VLOOKUP(Data[[#This Row],[DEVELOPMENT]],Development_Data_Book[[DEVELOPMENT]:[BOROUGH]],3,FALSE)</f>
        <v>273</v>
      </c>
      <c r="Y109" s="20"/>
      <c r="Z109" s="20">
        <f>IFERROR(VLOOKUP(Data[[#This Row],[TDS]],ExtCompactors_PNA[[Development]:[0]],2,FALSE),0)</f>
        <v>0</v>
      </c>
      <c r="AA109" s="20">
        <f>IFERROR(VLOOKUP(Data[[#This Row],[TDS]],IntCompactors_PNA[[TDS]:[0]],2,FALSE),0)</f>
        <v>0</v>
      </c>
      <c r="AB109" s="20"/>
      <c r="AC109" s="20"/>
      <c r="AD109" s="20">
        <f>IFERROR(VLOOKUP(Data[[#This Row],[TDS]],ExtCompactors_PNA[[Development]:[0]],3,FALSE)+VLOOKUP(Data[[#This Row],[TDS]],ExtCompactors_PNA[[Development]:[0]],6,FALSE),0)</f>
        <v>0</v>
      </c>
      <c r="AE109" s="20">
        <f>IFERROR(VLOOKUP(Data[[#This Row],[TDS]],IntCompactors_PNA[[TDS]:[0]],3,FALSE)+VLOOKUP(Data[[#This Row],[TDS]],IntCompactors_PNA[[TDS]:[0]],6,FALSE),0)</f>
        <v>0</v>
      </c>
      <c r="AF109" s="20" t="e">
        <f>VLOOKUP(Data[[#This Row],[DEVELOPMENT]],[3]Developments!$A$2:$A$312,1,FALSE)</f>
        <v>#N/A</v>
      </c>
      <c r="AG109" s="20">
        <f>IFERROR(VLOOKUP(Data[[#This Row],[DEVELOPMENT]],Ops_Priorities_and_Data_Clean[[development]:[ifnoext_comment]],3,FALSE),"")</f>
        <v>0</v>
      </c>
      <c r="AH109" s="20">
        <f>IFERROR(VLOOKUP(Data[[#This Row],[DEVELOPMENT]],Ops_Priorities_and_Data_Clean[[development]:[ifnoext_comment]],4,FALSE),"")</f>
        <v>0</v>
      </c>
      <c r="AI109" s="20">
        <f>IFERROR(VLOOKUP(Data[[#This Row],[DEVELOPMENT]],Ops_Priorities_and_Data_Clean[[development]:[ifnoext_comment]],5,FALSE),"")</f>
        <v>0</v>
      </c>
      <c r="AJ109" s="20">
        <f>IFERROR(VLOOKUP(Data[[#This Row],[DEVELOPMENT]],Ops_Priorities_and_Data_Clean[[development]:[ifnoext_comment]],6,FALSE),"")</f>
        <v>0</v>
      </c>
      <c r="AK109" s="20">
        <f>IFERROR(VLOOKUP(Data[[#This Row],[DEVELOPMENT]],Ops_Priorities_and_Data_Clean[[development]:[ifnoext_comment]],7,FALSE),"")</f>
        <v>1</v>
      </c>
      <c r="AL109" s="20">
        <f>IFERROR(VLOOKUP(Data[[#This Row],[DEVELOPMENT]],Ops_Priorities_and_Data_Clean[[development]:[ifnoext_comment]],8,FALSE),"")</f>
        <v>1</v>
      </c>
      <c r="AM109" s="20">
        <f>IFERROR(VLOOKUP(Data[[#This Row],[DEVELOPMENT]],Ops_Priorities_and_Data_Clean[[development]:[ifnoext_comment]],9,FALSE),"")</f>
        <v>0</v>
      </c>
      <c r="AN109" s="20">
        <f>IFERROR(VLOOKUP(Data[[#This Row],[DEVELOPMENT]],Ops_Priorities_and_Data_Clean[[development]:[ifnoext_comment]],10,FALSE),"")</f>
        <v>0</v>
      </c>
      <c r="AO109" s="20">
        <f>IFERROR(VLOOKUP(Data[[#This Row],[DEVELOPMENT]],Ops_Priorities_and_Data_Clean[[development]:[ifnoext_comment]],11,FALSE),"")</f>
        <v>0</v>
      </c>
      <c r="AP109" s="20">
        <f>IFERROR(VLOOKUP(Data[[#This Row],[DEVELOPMENT]],Ops_Priorities_and_Data_Clean[[development]:[ifnoext_comment]],12,FALSE),"")</f>
        <v>0</v>
      </c>
      <c r="AQ109" s="20">
        <f>VLOOKUP(Data[[#This Row],[DEVELOPMENT]],Ops_Priorities_and_Data_Clean[[development]:[ifnoext_comment]],14,FALSE)</f>
        <v>1</v>
      </c>
      <c r="AR109" s="20">
        <f>VLOOKUP(Data[[#This Row],[DEVELOPMENT]],Ops_Priorities_and_Data_Clean[[development]:[ifnoext_comment]],15,FALSE)</f>
        <v>0</v>
      </c>
      <c r="AS109" s="20" t="str">
        <f>VLOOKUP(Data[[#This Row],[DEVELOPMENT]],Ops_Priorities_and_Data_Clean[[development]:[ifnoext_comment]],16,FALSE)</f>
        <v>NULL</v>
      </c>
      <c r="AT109" s="20" t="str">
        <f>VLOOKUP(Data[[#This Row],[DEVELOPMENT]],Ops_Priorities_and_Data_Clean[[development]:[ifnoext_comment]],17,FALSE)</f>
        <v>NULL</v>
      </c>
      <c r="AU109" s="20" t="str">
        <f>VLOOKUP(Data[[#This Row],[DEVELOPMENT]],Ops_Priorities_and_Data_Clean[[development]:[ifnoext_comment]],18,FALSE)</f>
        <v>NULL</v>
      </c>
      <c r="AV109" s="20" t="str">
        <f>VLOOKUP(Data[[#This Row],[DEVELOPMENT]],Ops_Priorities_and_Data_Clean[[development]:[ifnoext_comment]],19,FALSE)</f>
        <v>NULL</v>
      </c>
      <c r="AW109" s="20" t="str">
        <f>VLOOKUP(Data[[#This Row],[DEVELOPMENT]],Ops_Priorities_and_Data_Clean[[development]:[ifnoext_comment]],20,FALSE)</f>
        <v xml:space="preserve">They are an scattered site and it doesn't make sense for them to have an external compactor. </v>
      </c>
      <c r="AX109" s="104" t="s">
        <v>2614</v>
      </c>
      <c r="AY109" s="104" t="s">
        <v>2392</v>
      </c>
      <c r="AZ109" s="20" t="str">
        <f>VLOOKUP(Data[[#This Row],[DEVELOPMENT]],Development_Data_Book[[DEVELOPMENT]:[PRIVATE MANAGEMENT]],8,FALSE)</f>
        <v>FEDERAL</v>
      </c>
      <c r="BA109" s="104" t="s">
        <v>2588</v>
      </c>
      <c r="BB109" s="20">
        <f>VLOOKUP(Data[[#This Row],[DEVELOPMENT]],Development_Data_Book[[DEVELOPMENT]:[PRIVATE MANAGEMENT]],22,FALSE)</f>
        <v>0</v>
      </c>
      <c r="BC109" s="20">
        <f>Data[[#This Row],[Non-Dwelling Buildings]]+Data[[#This Row],[Dwelling Buildings]]</f>
        <v>7</v>
      </c>
      <c r="BD109" s="20">
        <f>VLOOKUP(Data[[#This Row],[DEVELOPMENT]],Development_Data_Book[[DEVELOPMENT]:[PRIVATE MANAGEMENT]],26,FALSE)</f>
        <v>1.07</v>
      </c>
      <c r="BE109" s="106">
        <v>16588</v>
      </c>
      <c r="BF109" s="20">
        <f>VLOOKUP(Data[[#This Row],[DEVELOPMENT]],Development_Data_Book[[DEVELOPMENT]:[PRIVATE MANAGEMENT]],18,FALSE)</f>
        <v>11</v>
      </c>
      <c r="BG10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09" s="104" t="s">
        <v>2619</v>
      </c>
      <c r="BI109" t="s">
        <v>184</v>
      </c>
      <c r="BJ109" s="20">
        <f>VLOOKUP(Data[[#This Row],[DEVELOPMENT]],Development_Data_Book[[DEVELOPMENT]:[PRIVATE MANAGEMENT]],41,FALSE)</f>
        <v>0</v>
      </c>
      <c r="BK109" s="20">
        <f>VLOOKUP(Data[[#This Row],[DEVELOPMENT]],Development_Data_Book[[DEVELOPMENT]:[PRIVATE MANAGEMENT]],42,FALSE)</f>
        <v>0</v>
      </c>
      <c r="BL109" s="20">
        <f>VLOOKUP(Data[[#This Row],[DEVELOPMENT]],Development_Data_Book[[DEVELOPMENT]:[PRIVATE MANAGEMENT]],43,FALSE)</f>
        <v>0</v>
      </c>
      <c r="BM109" s="20">
        <f>VLOOKUP(Data[[#This Row],[DEVELOPMENT]],Development_Data_Book[[DEVELOPMENT]:[PRIVATE MANAGEMENT]],44,FALSE)</f>
        <v>0</v>
      </c>
      <c r="BN109" s="20">
        <f>VLOOKUP(Data[[#This Row],[DEVELOPMENT]],Development_Data_Book[[DEVELOPMENT]:[PRIVATE MANAGEMENT]],45,FALSE)</f>
        <v>0</v>
      </c>
      <c r="BO109" s="20" t="str">
        <f>VLOOKUP(Data[[#This Row],[DEVELOPMENT]],Development_Data_Book[[DEVELOPMENT]:[PRIVATE MANAGEMENT]],24,FALSE)</f>
        <v>1-1.5-2-2.5</v>
      </c>
    </row>
    <row r="110" spans="1:67">
      <c r="A110" s="105" t="s">
        <v>322</v>
      </c>
      <c r="B110" s="20">
        <f>VLOOKUP(Data[[#This Row],[DEVELOPMENT]],Development_Data_Book[[DEVELOPMENT]:[BOROUGH]],MATCH("borough",Development_Data_Book[[#Headers],[DEVELOPMENT]:[BOROUGH]],0),FALSE)</f>
        <v>0</v>
      </c>
      <c r="C110" s="20" t="e">
        <f>VLOOKUP(Data[[#This Row],[DEVELOPMENT]],'[1]Cheat-Sheet'!$D$2:$Q$341,2,FALSE)</f>
        <v>#N/A</v>
      </c>
      <c r="D11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10" s="20">
        <f>VLOOKUP(Data[[#This Row],[DEVELOPMENT]],Development_Data_Book[[DEVELOPMENT]:[BOROUGH]],21,FALSE)</f>
        <v>8</v>
      </c>
      <c r="F110" s="20">
        <f>VLOOKUP(Data[[#This Row],[DEVELOPMENT]],Development_Data_Book[[DEVELOPMENT]:[BOROUGH]],23,FALSE)</f>
        <v>0</v>
      </c>
      <c r="G110" s="20">
        <f>VLOOKUP(Data[[#This Row],[DEVELOPMENT]],Development_Data_Book[[DEVELOPMENT]:[BOROUGH]],12,FALSE)</f>
        <v>5</v>
      </c>
      <c r="J110">
        <f>IFERROR(VLOOKUP(Data[[#This Row],[DEVELOPMENT]],IntCompactors_MRST[],4,FALSE),0)</f>
        <v>0</v>
      </c>
      <c r="K110" s="20">
        <f>IFERROR(VLOOKUP(Data[[#This Row],[DEVELOPMENT]],ExtCompactors_MRST[],4,FALSE),0)</f>
        <v>0</v>
      </c>
      <c r="L110" s="27" t="str">
        <f>IF(Data[[#This Row],['# Interior Compactors MRST]]=0,"",VLOOKUP(Data[[#This Row],[DEVELOPMENT]],IntCompactors_MRST[],5,FALSE))</f>
        <v/>
      </c>
      <c r="M110" s="28" t="str">
        <f>IF(Data[[#This Row],['# Exterior Compactors MRST]]=0,"",VLOOKUP(Data[[#This Row],[DEVELOPMENT]],ExtCompactors_MRST[],5,FALSE))</f>
        <v/>
      </c>
      <c r="N110" s="20">
        <f>Data[[#This Row],['# Interior Compactors MRST]]</f>
        <v>0</v>
      </c>
      <c r="O110" s="20">
        <f>IF(Data[[#This Row],['# Bulk Crushers]]=0,1,0)</f>
        <v>1</v>
      </c>
      <c r="P110" s="20">
        <f>1</f>
        <v>1</v>
      </c>
      <c r="Q110" s="20">
        <f>1</f>
        <v>1</v>
      </c>
      <c r="R110" s="20">
        <f>1</f>
        <v>1</v>
      </c>
      <c r="S110" s="20">
        <f>1</f>
        <v>1</v>
      </c>
      <c r="T110" s="20">
        <f>IF(Data[[#This Row],[Sewershed]]="Newtown Creek",Data[[#This Row],[DUs]],0)</f>
        <v>0</v>
      </c>
      <c r="U11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1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1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10" s="82">
        <f>VLOOKUP(Data[[#This Row],[DEVELOPMENT]],Development_Data_Book[[DEVELOPMENT]:[BOROUGH]],3,FALSE)</f>
        <v>274</v>
      </c>
      <c r="Y110" s="20"/>
      <c r="Z110" s="20">
        <f>IFERROR(VLOOKUP(Data[[#This Row],[TDS]],ExtCompactors_PNA[[Development]:[0]],2,FALSE),0)</f>
        <v>0</v>
      </c>
      <c r="AA110" s="20">
        <f>IFERROR(VLOOKUP(Data[[#This Row],[TDS]],IntCompactors_PNA[[TDS]:[0]],2,FALSE),0)</f>
        <v>0</v>
      </c>
      <c r="AB110" s="20"/>
      <c r="AC110" s="20"/>
      <c r="AD110" s="20">
        <f>IFERROR(VLOOKUP(Data[[#This Row],[TDS]],ExtCompactors_PNA[[Development]:[0]],3,FALSE)+VLOOKUP(Data[[#This Row],[TDS]],ExtCompactors_PNA[[Development]:[0]],6,FALSE),0)</f>
        <v>0</v>
      </c>
      <c r="AE110" s="20">
        <f>IFERROR(VLOOKUP(Data[[#This Row],[TDS]],IntCompactors_PNA[[TDS]:[0]],3,FALSE)+VLOOKUP(Data[[#This Row],[TDS]],IntCompactors_PNA[[TDS]:[0]],6,FALSE),0)</f>
        <v>0</v>
      </c>
      <c r="AF110" s="20" t="e">
        <f>VLOOKUP(Data[[#This Row],[DEVELOPMENT]],[3]Developments!$A$2:$A$312,1,FALSE)</f>
        <v>#N/A</v>
      </c>
      <c r="AG110" s="20">
        <f>IFERROR(VLOOKUP(Data[[#This Row],[DEVELOPMENT]],Ops_Priorities_and_Data_Clean[[development]:[ifnoext_comment]],3,FALSE),"")</f>
        <v>0</v>
      </c>
      <c r="AH110" s="20">
        <f>IFERROR(VLOOKUP(Data[[#This Row],[DEVELOPMENT]],Ops_Priorities_and_Data_Clean[[development]:[ifnoext_comment]],4,FALSE),"")</f>
        <v>0</v>
      </c>
      <c r="AI110" s="20">
        <f>IFERROR(VLOOKUP(Data[[#This Row],[DEVELOPMENT]],Ops_Priorities_and_Data_Clean[[development]:[ifnoext_comment]],5,FALSE),"")</f>
        <v>0</v>
      </c>
      <c r="AJ110" s="20">
        <f>IFERROR(VLOOKUP(Data[[#This Row],[DEVELOPMENT]],Ops_Priorities_and_Data_Clean[[development]:[ifnoext_comment]],6,FALSE),"")</f>
        <v>0</v>
      </c>
      <c r="AK110" s="20">
        <f>IFERROR(VLOOKUP(Data[[#This Row],[DEVELOPMENT]],Ops_Priorities_and_Data_Clean[[development]:[ifnoext_comment]],7,FALSE),"")</f>
        <v>1</v>
      </c>
      <c r="AL110" s="20">
        <f>IFERROR(VLOOKUP(Data[[#This Row],[DEVELOPMENT]],Ops_Priorities_and_Data_Clean[[development]:[ifnoext_comment]],8,FALSE),"")</f>
        <v>1</v>
      </c>
      <c r="AM110" s="20">
        <f>IFERROR(VLOOKUP(Data[[#This Row],[DEVELOPMENT]],Ops_Priorities_and_Data_Clean[[development]:[ifnoext_comment]],9,FALSE),"")</f>
        <v>0</v>
      </c>
      <c r="AN110" s="20">
        <f>IFERROR(VLOOKUP(Data[[#This Row],[DEVELOPMENT]],Ops_Priorities_and_Data_Clean[[development]:[ifnoext_comment]],10,FALSE),"")</f>
        <v>0</v>
      </c>
      <c r="AO110" s="20">
        <f>IFERROR(VLOOKUP(Data[[#This Row],[DEVELOPMENT]],Ops_Priorities_and_Data_Clean[[development]:[ifnoext_comment]],11,FALSE),"")</f>
        <v>0</v>
      </c>
      <c r="AP110" s="20">
        <f>IFERROR(VLOOKUP(Data[[#This Row],[DEVELOPMENT]],Ops_Priorities_and_Data_Clean[[development]:[ifnoext_comment]],12,FALSE),"")</f>
        <v>0</v>
      </c>
      <c r="AQ110" s="20">
        <f>VLOOKUP(Data[[#This Row],[DEVELOPMENT]],Ops_Priorities_and_Data_Clean[[development]:[ifnoext_comment]],14,FALSE)</f>
        <v>1</v>
      </c>
      <c r="AR110" s="20">
        <f>VLOOKUP(Data[[#This Row],[DEVELOPMENT]],Ops_Priorities_and_Data_Clean[[development]:[ifnoext_comment]],15,FALSE)</f>
        <v>0</v>
      </c>
      <c r="AS110" s="20" t="str">
        <f>VLOOKUP(Data[[#This Row],[DEVELOPMENT]],Ops_Priorities_and_Data_Clean[[development]:[ifnoext_comment]],16,FALSE)</f>
        <v>NULL</v>
      </c>
      <c r="AT110" s="20" t="str">
        <f>VLOOKUP(Data[[#This Row],[DEVELOPMENT]],Ops_Priorities_and_Data_Clean[[development]:[ifnoext_comment]],17,FALSE)</f>
        <v>NULL</v>
      </c>
      <c r="AU110" s="20" t="str">
        <f>VLOOKUP(Data[[#This Row],[DEVELOPMENT]],Ops_Priorities_and_Data_Clean[[development]:[ifnoext_comment]],18,FALSE)</f>
        <v>NULL</v>
      </c>
      <c r="AV110" s="20" t="str">
        <f>VLOOKUP(Data[[#This Row],[DEVELOPMENT]],Ops_Priorities_and_Data_Clean[[development]:[ifnoext_comment]],19,FALSE)</f>
        <v>NULL</v>
      </c>
      <c r="AW110" s="20" t="str">
        <f>VLOOKUP(Data[[#This Row],[DEVELOPMENT]],Ops_Priorities_and_Data_Clean[[development]:[ifnoext_comment]],20,FALSE)</f>
        <v xml:space="preserve">They are an scattered site and it doesn't make sense for them to have an external compactor. </v>
      </c>
      <c r="AX110" s="104" t="s">
        <v>2614</v>
      </c>
      <c r="AY110" s="104" t="s">
        <v>2392</v>
      </c>
      <c r="AZ110" s="20" t="str">
        <f>VLOOKUP(Data[[#This Row],[DEVELOPMENT]],Development_Data_Book[[DEVELOPMENT]:[PRIVATE MANAGEMENT]],8,FALSE)</f>
        <v>FEDERAL</v>
      </c>
      <c r="BA110" s="104" t="s">
        <v>2588</v>
      </c>
      <c r="BB110" s="20">
        <f>VLOOKUP(Data[[#This Row],[DEVELOPMENT]],Development_Data_Book[[DEVELOPMENT]:[PRIVATE MANAGEMENT]],22,FALSE)</f>
        <v>0</v>
      </c>
      <c r="BC110" s="20">
        <f>Data[[#This Row],[Non-Dwelling Buildings]]+Data[[#This Row],[Dwelling Buildings]]</f>
        <v>8</v>
      </c>
      <c r="BD110" s="20">
        <f>VLOOKUP(Data[[#This Row],[DEVELOPMENT]],Development_Data_Book[[DEVELOPMENT]:[PRIVATE MANAGEMENT]],26,FALSE)</f>
        <v>0.94</v>
      </c>
      <c r="BE110" s="106">
        <v>13020</v>
      </c>
      <c r="BF110" s="20">
        <f>VLOOKUP(Data[[#This Row],[DEVELOPMENT]],Development_Data_Book[[DEVELOPMENT]:[PRIVATE MANAGEMENT]],18,FALSE)</f>
        <v>9</v>
      </c>
      <c r="BG11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10" s="104" t="s">
        <v>2619</v>
      </c>
      <c r="BI110" t="s">
        <v>184</v>
      </c>
      <c r="BJ110" s="20">
        <f>VLOOKUP(Data[[#This Row],[DEVELOPMENT]],Development_Data_Book[[DEVELOPMENT]:[PRIVATE MANAGEMENT]],41,FALSE)</f>
        <v>0</v>
      </c>
      <c r="BK110" s="20">
        <f>VLOOKUP(Data[[#This Row],[DEVELOPMENT]],Development_Data_Book[[DEVELOPMENT]:[PRIVATE MANAGEMENT]],42,FALSE)</f>
        <v>0</v>
      </c>
      <c r="BL110" s="20">
        <f>VLOOKUP(Data[[#This Row],[DEVELOPMENT]],Development_Data_Book[[DEVELOPMENT]:[PRIVATE MANAGEMENT]],43,FALSE)</f>
        <v>0</v>
      </c>
      <c r="BM110" s="20">
        <f>VLOOKUP(Data[[#This Row],[DEVELOPMENT]],Development_Data_Book[[DEVELOPMENT]:[PRIVATE MANAGEMENT]],44,FALSE)</f>
        <v>0</v>
      </c>
      <c r="BN110" s="20">
        <f>VLOOKUP(Data[[#This Row],[DEVELOPMENT]],Development_Data_Book[[DEVELOPMENT]:[PRIVATE MANAGEMENT]],45,FALSE)</f>
        <v>0</v>
      </c>
      <c r="BO110" s="20" t="str">
        <f>VLOOKUP(Data[[#This Row],[DEVELOPMENT]],Development_Data_Book[[DEVELOPMENT]:[PRIVATE MANAGEMENT]],24,FALSE)</f>
        <v>1-1.5-2-2.5</v>
      </c>
    </row>
    <row r="111" spans="1:67">
      <c r="A111" s="105" t="s">
        <v>241</v>
      </c>
      <c r="B111" s="20">
        <f>VLOOKUP(Data[[#This Row],[DEVELOPMENT]],Development_Data_Book[[DEVELOPMENT]:[BOROUGH]],MATCH("borough",Development_Data_Book[[#Headers],[DEVELOPMENT]:[BOROUGH]],0),FALSE)</f>
        <v>0</v>
      </c>
      <c r="C111" s="20" t="e">
        <f>VLOOKUP(Data[[#This Row],[DEVELOPMENT]],'[1]Cheat-Sheet'!$D$2:$Q$341,2,FALSE)</f>
        <v>#N/A</v>
      </c>
      <c r="D11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11" s="20">
        <f>VLOOKUP(Data[[#This Row],[DEVELOPMENT]],Development_Data_Book[[DEVELOPMENT]:[BOROUGH]],21,FALSE)</f>
        <v>9</v>
      </c>
      <c r="F111" s="20">
        <f>VLOOKUP(Data[[#This Row],[DEVELOPMENT]],Development_Data_Book[[DEVELOPMENT]:[BOROUGH]],23,FALSE)</f>
        <v>0</v>
      </c>
      <c r="G111" s="20">
        <f>VLOOKUP(Data[[#This Row],[DEVELOPMENT]],Development_Data_Book[[DEVELOPMENT]:[BOROUGH]],12,FALSE)</f>
        <v>5</v>
      </c>
      <c r="J111">
        <f>IFERROR(VLOOKUP(Data[[#This Row],[DEVELOPMENT]],IntCompactors_MRST[],4,FALSE),0)</f>
        <v>0</v>
      </c>
      <c r="K111" s="20">
        <f>IFERROR(VLOOKUP(Data[[#This Row],[DEVELOPMENT]],ExtCompactors_MRST[],4,FALSE),0)</f>
        <v>0</v>
      </c>
      <c r="L111" s="27" t="str">
        <f>IF(Data[[#This Row],['# Interior Compactors MRST]]=0,"",VLOOKUP(Data[[#This Row],[DEVELOPMENT]],IntCompactors_MRST[],5,FALSE))</f>
        <v/>
      </c>
      <c r="M111" s="28" t="str">
        <f>IF(Data[[#This Row],['# Exterior Compactors MRST]]=0,"",VLOOKUP(Data[[#This Row],[DEVELOPMENT]],ExtCompactors_MRST[],5,FALSE))</f>
        <v/>
      </c>
      <c r="N111" s="20">
        <f>Data[[#This Row],['# Interior Compactors MRST]]</f>
        <v>0</v>
      </c>
      <c r="O111" s="20">
        <f>IF(Data[[#This Row],['# Bulk Crushers]]=0,1,0)</f>
        <v>1</v>
      </c>
      <c r="P111" s="20">
        <f>1</f>
        <v>1</v>
      </c>
      <c r="Q111" s="20">
        <f>1</f>
        <v>1</v>
      </c>
      <c r="R111" s="20">
        <f>1</f>
        <v>1</v>
      </c>
      <c r="S111" s="20">
        <f>1</f>
        <v>1</v>
      </c>
      <c r="T111" s="20">
        <f>IF(Data[[#This Row],[Sewershed]]="Newtown Creek",Data[[#This Row],[DUs]],0)</f>
        <v>0</v>
      </c>
      <c r="U11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1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1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11" s="82">
        <f>VLOOKUP(Data[[#This Row],[DEVELOPMENT]],Development_Data_Book[[DEVELOPMENT]:[BOROUGH]],3,FALSE)</f>
        <v>275</v>
      </c>
      <c r="Y111" s="20"/>
      <c r="Z111" s="20">
        <f>IFERROR(VLOOKUP(Data[[#This Row],[TDS]],ExtCompactors_PNA[[Development]:[0]],2,FALSE),0)</f>
        <v>0</v>
      </c>
      <c r="AA111" s="20">
        <f>IFERROR(VLOOKUP(Data[[#This Row],[TDS]],IntCompactors_PNA[[TDS]:[0]],2,FALSE),0)</f>
        <v>0</v>
      </c>
      <c r="AB111" s="20"/>
      <c r="AC111" s="20"/>
      <c r="AD111" s="20">
        <f>IFERROR(VLOOKUP(Data[[#This Row],[TDS]],ExtCompactors_PNA[[Development]:[0]],3,FALSE)+VLOOKUP(Data[[#This Row],[TDS]],ExtCompactors_PNA[[Development]:[0]],6,FALSE),0)</f>
        <v>0</v>
      </c>
      <c r="AE111" s="20">
        <f>IFERROR(VLOOKUP(Data[[#This Row],[TDS]],IntCompactors_PNA[[TDS]:[0]],3,FALSE)+VLOOKUP(Data[[#This Row],[TDS]],IntCompactors_PNA[[TDS]:[0]],6,FALSE),0)</f>
        <v>0</v>
      </c>
      <c r="AF111" s="20" t="e">
        <f>VLOOKUP(Data[[#This Row],[DEVELOPMENT]],[3]Developments!$A$2:$A$312,1,FALSE)</f>
        <v>#N/A</v>
      </c>
      <c r="AG111" s="20">
        <f>IFERROR(VLOOKUP(Data[[#This Row],[DEVELOPMENT]],Ops_Priorities_and_Data_Clean[[development]:[ifnoext_comment]],3,FALSE),"")</f>
        <v>0</v>
      </c>
      <c r="AH111" s="20">
        <f>IFERROR(VLOOKUP(Data[[#This Row],[DEVELOPMENT]],Ops_Priorities_and_Data_Clean[[development]:[ifnoext_comment]],4,FALSE),"")</f>
        <v>0</v>
      </c>
      <c r="AI111" s="20">
        <f>IFERROR(VLOOKUP(Data[[#This Row],[DEVELOPMENT]],Ops_Priorities_and_Data_Clean[[development]:[ifnoext_comment]],5,FALSE),"")</f>
        <v>0</v>
      </c>
      <c r="AJ111" s="20">
        <f>IFERROR(VLOOKUP(Data[[#This Row],[DEVELOPMENT]],Ops_Priorities_and_Data_Clean[[development]:[ifnoext_comment]],6,FALSE),"")</f>
        <v>0</v>
      </c>
      <c r="AK111" s="20">
        <f>IFERROR(VLOOKUP(Data[[#This Row],[DEVELOPMENT]],Ops_Priorities_and_Data_Clean[[development]:[ifnoext_comment]],7,FALSE),"")</f>
        <v>1</v>
      </c>
      <c r="AL111" s="20">
        <f>IFERROR(VLOOKUP(Data[[#This Row],[DEVELOPMENT]],Ops_Priorities_and_Data_Clean[[development]:[ifnoext_comment]],8,FALSE),"")</f>
        <v>1</v>
      </c>
      <c r="AM111" s="20">
        <f>IFERROR(VLOOKUP(Data[[#This Row],[DEVELOPMENT]],Ops_Priorities_and_Data_Clean[[development]:[ifnoext_comment]],9,FALSE),"")</f>
        <v>0</v>
      </c>
      <c r="AN111" s="20">
        <f>IFERROR(VLOOKUP(Data[[#This Row],[DEVELOPMENT]],Ops_Priorities_and_Data_Clean[[development]:[ifnoext_comment]],10,FALSE),"")</f>
        <v>0</v>
      </c>
      <c r="AO111" s="20">
        <f>IFERROR(VLOOKUP(Data[[#This Row],[DEVELOPMENT]],Ops_Priorities_and_Data_Clean[[development]:[ifnoext_comment]],11,FALSE),"")</f>
        <v>0</v>
      </c>
      <c r="AP111" s="20">
        <f>IFERROR(VLOOKUP(Data[[#This Row],[DEVELOPMENT]],Ops_Priorities_and_Data_Clean[[development]:[ifnoext_comment]],12,FALSE),"")</f>
        <v>0</v>
      </c>
      <c r="AQ111" s="20">
        <f>VLOOKUP(Data[[#This Row],[DEVELOPMENT]],Ops_Priorities_and_Data_Clean[[development]:[ifnoext_comment]],14,FALSE)</f>
        <v>1</v>
      </c>
      <c r="AR111" s="20">
        <f>VLOOKUP(Data[[#This Row],[DEVELOPMENT]],Ops_Priorities_and_Data_Clean[[development]:[ifnoext_comment]],15,FALSE)</f>
        <v>0</v>
      </c>
      <c r="AS111" s="20" t="str">
        <f>VLOOKUP(Data[[#This Row],[DEVELOPMENT]],Ops_Priorities_and_Data_Clean[[development]:[ifnoext_comment]],16,FALSE)</f>
        <v>NULL</v>
      </c>
      <c r="AT111" s="20" t="str">
        <f>VLOOKUP(Data[[#This Row],[DEVELOPMENT]],Ops_Priorities_and_Data_Clean[[development]:[ifnoext_comment]],17,FALSE)</f>
        <v>NULL</v>
      </c>
      <c r="AU111" s="20" t="str">
        <f>VLOOKUP(Data[[#This Row],[DEVELOPMENT]],Ops_Priorities_and_Data_Clean[[development]:[ifnoext_comment]],18,FALSE)</f>
        <v>NULL</v>
      </c>
      <c r="AV111" s="20" t="str">
        <f>VLOOKUP(Data[[#This Row],[DEVELOPMENT]],Ops_Priorities_and_Data_Clean[[development]:[ifnoext_comment]],19,FALSE)</f>
        <v>NULL</v>
      </c>
      <c r="AW111" s="20" t="str">
        <f>VLOOKUP(Data[[#This Row],[DEVELOPMENT]],Ops_Priorities_and_Data_Clean[[development]:[ifnoext_comment]],20,FALSE)</f>
        <v xml:space="preserve">They are an scattered site and it doesn't make sense for them to have an external compactor. </v>
      </c>
      <c r="AX111" s="104" t="s">
        <v>2614</v>
      </c>
      <c r="AY111" s="104" t="s">
        <v>2392</v>
      </c>
      <c r="AZ111" s="20" t="str">
        <f>VLOOKUP(Data[[#This Row],[DEVELOPMENT]],Development_Data_Book[[DEVELOPMENT]:[PRIVATE MANAGEMENT]],8,FALSE)</f>
        <v>FEDERAL</v>
      </c>
      <c r="BA111" s="104" t="s">
        <v>2588</v>
      </c>
      <c r="BB111" s="20">
        <f>VLOOKUP(Data[[#This Row],[DEVELOPMENT]],Development_Data_Book[[DEVELOPMENT]:[PRIVATE MANAGEMENT]],22,FALSE)</f>
        <v>0</v>
      </c>
      <c r="BC111" s="20">
        <f>Data[[#This Row],[Non-Dwelling Buildings]]+Data[[#This Row],[Dwelling Buildings]]</f>
        <v>9</v>
      </c>
      <c r="BD111" s="20">
        <f>VLOOKUP(Data[[#This Row],[DEVELOPMENT]],Development_Data_Book[[DEVELOPMENT]:[PRIVATE MANAGEMENT]],26,FALSE)</f>
        <v>0.8</v>
      </c>
      <c r="BE111" s="106">
        <v>14220</v>
      </c>
      <c r="BF111" s="20">
        <f>VLOOKUP(Data[[#This Row],[DEVELOPMENT]],Development_Data_Book[[DEVELOPMENT]:[PRIVATE MANAGEMENT]],18,FALSE)</f>
        <v>16</v>
      </c>
      <c r="BG11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11" s="104" t="s">
        <v>2619</v>
      </c>
      <c r="BI111" t="s">
        <v>184</v>
      </c>
      <c r="BJ111" s="20">
        <f>VLOOKUP(Data[[#This Row],[DEVELOPMENT]],Development_Data_Book[[DEVELOPMENT]:[PRIVATE MANAGEMENT]],41,FALSE)</f>
        <v>0</v>
      </c>
      <c r="BK111" s="20">
        <f>VLOOKUP(Data[[#This Row],[DEVELOPMENT]],Development_Data_Book[[DEVELOPMENT]:[PRIVATE MANAGEMENT]],42,FALSE)</f>
        <v>0</v>
      </c>
      <c r="BL111" s="20">
        <f>VLOOKUP(Data[[#This Row],[DEVELOPMENT]],Development_Data_Book[[DEVELOPMENT]:[PRIVATE MANAGEMENT]],43,FALSE)</f>
        <v>0</v>
      </c>
      <c r="BM111" s="20">
        <f>VLOOKUP(Data[[#This Row],[DEVELOPMENT]],Development_Data_Book[[DEVELOPMENT]:[PRIVATE MANAGEMENT]],44,FALSE)</f>
        <v>0</v>
      </c>
      <c r="BN111" s="20">
        <f>VLOOKUP(Data[[#This Row],[DEVELOPMENT]],Development_Data_Book[[DEVELOPMENT]:[PRIVATE MANAGEMENT]],45,FALSE)</f>
        <v>0</v>
      </c>
      <c r="BO111" s="20" t="str">
        <f>VLOOKUP(Data[[#This Row],[DEVELOPMENT]],Development_Data_Book[[DEVELOPMENT]:[PRIVATE MANAGEMENT]],24,FALSE)</f>
        <v>1-1.5-2-2.5</v>
      </c>
    </row>
    <row r="112" spans="1:67">
      <c r="A112" s="105" t="s">
        <v>323</v>
      </c>
      <c r="B112" s="20">
        <f>VLOOKUP(Data[[#This Row],[DEVELOPMENT]],Development_Data_Book[[DEVELOPMENT]:[BOROUGH]],MATCH("borough",Development_Data_Book[[#Headers],[DEVELOPMENT]:[BOROUGH]],0),FALSE)</f>
        <v>0</v>
      </c>
      <c r="C112" s="20" t="e">
        <f>VLOOKUP(Data[[#This Row],[DEVELOPMENT]],'[1]Cheat-Sheet'!$D$2:$Q$341,2,FALSE)</f>
        <v>#N/A</v>
      </c>
      <c r="D11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12" s="20">
        <f>VLOOKUP(Data[[#This Row],[DEVELOPMENT]],Development_Data_Book[[DEVELOPMENT]:[BOROUGH]],21,FALSE)</f>
        <v>20</v>
      </c>
      <c r="F112" s="20">
        <f>VLOOKUP(Data[[#This Row],[DEVELOPMENT]],Development_Data_Book[[DEVELOPMENT]:[BOROUGH]],23,FALSE)</f>
        <v>0</v>
      </c>
      <c r="G112" s="20">
        <f>VLOOKUP(Data[[#This Row],[DEVELOPMENT]],Development_Data_Book[[DEVELOPMENT]:[BOROUGH]],12,FALSE)</f>
        <v>16</v>
      </c>
      <c r="J112">
        <f>IFERROR(VLOOKUP(Data[[#This Row],[DEVELOPMENT]],IntCompactors_MRST[],4,FALSE),0)</f>
        <v>0</v>
      </c>
      <c r="K112" s="20">
        <f>IFERROR(VLOOKUP(Data[[#This Row],[DEVELOPMENT]],ExtCompactors_MRST[],4,FALSE),0)</f>
        <v>0</v>
      </c>
      <c r="L112" s="27" t="str">
        <f>IF(Data[[#This Row],['# Interior Compactors MRST]]=0,"",VLOOKUP(Data[[#This Row],[DEVELOPMENT]],IntCompactors_MRST[],5,FALSE))</f>
        <v/>
      </c>
      <c r="M112" s="28" t="str">
        <f>IF(Data[[#This Row],['# Exterior Compactors MRST]]=0,"",VLOOKUP(Data[[#This Row],[DEVELOPMENT]],ExtCompactors_MRST[],5,FALSE))</f>
        <v/>
      </c>
      <c r="N112" s="20">
        <f>Data[[#This Row],['# Interior Compactors MRST]]</f>
        <v>0</v>
      </c>
      <c r="O112" s="20">
        <f>IF(Data[[#This Row],['# Bulk Crushers]]=0,1,0)</f>
        <v>1</v>
      </c>
      <c r="P112" s="20">
        <f>1</f>
        <v>1</v>
      </c>
      <c r="Q112" s="20">
        <f>1</f>
        <v>1</v>
      </c>
      <c r="R112" s="20">
        <f>1</f>
        <v>1</v>
      </c>
      <c r="S112" s="20">
        <f>1</f>
        <v>1</v>
      </c>
      <c r="T112" s="20">
        <f>IF(Data[[#This Row],[Sewershed]]="Newtown Creek",Data[[#This Row],[DUs]],0)</f>
        <v>0</v>
      </c>
      <c r="U11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1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1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12" s="82">
        <f>VLOOKUP(Data[[#This Row],[DEVELOPMENT]],Development_Data_Book[[DEVELOPMENT]:[BOROUGH]],3,FALSE)</f>
        <v>284</v>
      </c>
      <c r="Y112" s="20"/>
      <c r="Z112" s="20">
        <f>IFERROR(VLOOKUP(Data[[#This Row],[TDS]],ExtCompactors_PNA[[Development]:[0]],2,FALSE),0)</f>
        <v>0</v>
      </c>
      <c r="AA112" s="20">
        <f>IFERROR(VLOOKUP(Data[[#This Row],[TDS]],IntCompactors_PNA[[TDS]:[0]],2,FALSE),0)</f>
        <v>0</v>
      </c>
      <c r="AB112" s="20"/>
      <c r="AC112" s="20"/>
      <c r="AD112" s="20">
        <f>IFERROR(VLOOKUP(Data[[#This Row],[TDS]],ExtCompactors_PNA[[Development]:[0]],3,FALSE)+VLOOKUP(Data[[#This Row],[TDS]],ExtCompactors_PNA[[Development]:[0]],6,FALSE),0)</f>
        <v>0</v>
      </c>
      <c r="AE112" s="20">
        <f>IFERROR(VLOOKUP(Data[[#This Row],[TDS]],IntCompactors_PNA[[TDS]:[0]],3,FALSE)+VLOOKUP(Data[[#This Row],[TDS]],IntCompactors_PNA[[TDS]:[0]],6,FALSE),0)</f>
        <v>0</v>
      </c>
      <c r="AF112" s="20" t="e">
        <f>VLOOKUP(Data[[#This Row],[DEVELOPMENT]],[3]Developments!$A$2:$A$312,1,FALSE)</f>
        <v>#N/A</v>
      </c>
      <c r="AG112" s="20">
        <f>IFERROR(VLOOKUP(Data[[#This Row],[DEVELOPMENT]],Ops_Priorities_and_Data_Clean[[development]:[ifnoext_comment]],3,FALSE),"")</f>
        <v>0</v>
      </c>
      <c r="AH112" s="20">
        <f>IFERROR(VLOOKUP(Data[[#This Row],[DEVELOPMENT]],Ops_Priorities_and_Data_Clean[[development]:[ifnoext_comment]],4,FALSE),"")</f>
        <v>0</v>
      </c>
      <c r="AI112" s="20">
        <f>IFERROR(VLOOKUP(Data[[#This Row],[DEVELOPMENT]],Ops_Priorities_and_Data_Clean[[development]:[ifnoext_comment]],5,FALSE),"")</f>
        <v>0</v>
      </c>
      <c r="AJ112" s="20">
        <f>IFERROR(VLOOKUP(Data[[#This Row],[DEVELOPMENT]],Ops_Priorities_and_Data_Clean[[development]:[ifnoext_comment]],6,FALSE),"")</f>
        <v>0</v>
      </c>
      <c r="AK112" s="20">
        <f>IFERROR(VLOOKUP(Data[[#This Row],[DEVELOPMENT]],Ops_Priorities_and_Data_Clean[[development]:[ifnoext_comment]],7,FALSE),"")</f>
        <v>1</v>
      </c>
      <c r="AL112" s="20">
        <f>IFERROR(VLOOKUP(Data[[#This Row],[DEVELOPMENT]],Ops_Priorities_and_Data_Clean[[development]:[ifnoext_comment]],8,FALSE),"")</f>
        <v>1</v>
      </c>
      <c r="AM112" s="20">
        <f>IFERROR(VLOOKUP(Data[[#This Row],[DEVELOPMENT]],Ops_Priorities_and_Data_Clean[[development]:[ifnoext_comment]],9,FALSE),"")</f>
        <v>0</v>
      </c>
      <c r="AN112" s="20">
        <f>IFERROR(VLOOKUP(Data[[#This Row],[DEVELOPMENT]],Ops_Priorities_and_Data_Clean[[development]:[ifnoext_comment]],10,FALSE),"")</f>
        <v>0</v>
      </c>
      <c r="AO112" s="20">
        <f>IFERROR(VLOOKUP(Data[[#This Row],[DEVELOPMENT]],Ops_Priorities_and_Data_Clean[[development]:[ifnoext_comment]],11,FALSE),"")</f>
        <v>0</v>
      </c>
      <c r="AP112" s="20">
        <f>IFERROR(VLOOKUP(Data[[#This Row],[DEVELOPMENT]],Ops_Priorities_and_Data_Clean[[development]:[ifnoext_comment]],12,FALSE),"")</f>
        <v>0</v>
      </c>
      <c r="AQ112" s="20">
        <f>VLOOKUP(Data[[#This Row],[DEVELOPMENT]],Ops_Priorities_and_Data_Clean[[development]:[ifnoext_comment]],14,FALSE)</f>
        <v>1</v>
      </c>
      <c r="AR112" s="20">
        <f>VLOOKUP(Data[[#This Row],[DEVELOPMENT]],Ops_Priorities_and_Data_Clean[[development]:[ifnoext_comment]],15,FALSE)</f>
        <v>0</v>
      </c>
      <c r="AS112" s="20" t="str">
        <f>VLOOKUP(Data[[#This Row],[DEVELOPMENT]],Ops_Priorities_and_Data_Clean[[development]:[ifnoext_comment]],16,FALSE)</f>
        <v>NULL</v>
      </c>
      <c r="AT112" s="20" t="str">
        <f>VLOOKUP(Data[[#This Row],[DEVELOPMENT]],Ops_Priorities_and_Data_Clean[[development]:[ifnoext_comment]],17,FALSE)</f>
        <v>NULL</v>
      </c>
      <c r="AU112" s="20" t="str">
        <f>VLOOKUP(Data[[#This Row],[DEVELOPMENT]],Ops_Priorities_and_Data_Clean[[development]:[ifnoext_comment]],18,FALSE)</f>
        <v>NULL</v>
      </c>
      <c r="AV112" s="20" t="str">
        <f>VLOOKUP(Data[[#This Row],[DEVELOPMENT]],Ops_Priorities_and_Data_Clean[[development]:[ifnoext_comment]],19,FALSE)</f>
        <v>NULL</v>
      </c>
      <c r="AW112" s="20" t="str">
        <f>VLOOKUP(Data[[#This Row],[DEVELOPMENT]],Ops_Priorities_and_Data_Clean[[development]:[ifnoext_comment]],20,FALSE)</f>
        <v>NULL</v>
      </c>
      <c r="AX112" s="104" t="s">
        <v>2614</v>
      </c>
      <c r="AY112" s="104" t="s">
        <v>2392</v>
      </c>
      <c r="AZ112" s="20" t="str">
        <f>VLOOKUP(Data[[#This Row],[DEVELOPMENT]],Development_Data_Book[[DEVELOPMENT]:[PRIVATE MANAGEMENT]],8,FALSE)</f>
        <v>FEDERAL</v>
      </c>
      <c r="BA112" s="104" t="s">
        <v>2588</v>
      </c>
      <c r="BB112" s="20">
        <f>VLOOKUP(Data[[#This Row],[DEVELOPMENT]],Development_Data_Book[[DEVELOPMENT]:[PRIVATE MANAGEMENT]],22,FALSE)</f>
        <v>0</v>
      </c>
      <c r="BC112" s="20">
        <f>Data[[#This Row],[Non-Dwelling Buildings]]+Data[[#This Row],[Dwelling Buildings]]</f>
        <v>20</v>
      </c>
      <c r="BD112" s="20">
        <f>VLOOKUP(Data[[#This Row],[DEVELOPMENT]],Development_Data_Book[[DEVELOPMENT]:[PRIVATE MANAGEMENT]],26,FALSE)</f>
        <v>2.29</v>
      </c>
      <c r="BE112" s="106">
        <v>33050</v>
      </c>
      <c r="BF112" s="20">
        <f>VLOOKUP(Data[[#This Row],[DEVELOPMENT]],Development_Data_Book[[DEVELOPMENT]:[PRIVATE MANAGEMENT]],18,FALSE)</f>
        <v>37</v>
      </c>
      <c r="BG11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12" s="104" t="s">
        <v>2619</v>
      </c>
      <c r="BI112" t="s">
        <v>184</v>
      </c>
      <c r="BJ112" s="20">
        <f>VLOOKUP(Data[[#This Row],[DEVELOPMENT]],Development_Data_Book[[DEVELOPMENT]:[PRIVATE MANAGEMENT]],41,FALSE)</f>
        <v>0</v>
      </c>
      <c r="BK112" s="20">
        <f>VLOOKUP(Data[[#This Row],[DEVELOPMENT]],Development_Data_Book[[DEVELOPMENT]:[PRIVATE MANAGEMENT]],42,FALSE)</f>
        <v>0</v>
      </c>
      <c r="BL112" s="20">
        <f>VLOOKUP(Data[[#This Row],[DEVELOPMENT]],Development_Data_Book[[DEVELOPMENT]:[PRIVATE MANAGEMENT]],43,FALSE)</f>
        <v>0</v>
      </c>
      <c r="BM112" s="20">
        <f>VLOOKUP(Data[[#This Row],[DEVELOPMENT]],Development_Data_Book[[DEVELOPMENT]:[PRIVATE MANAGEMENT]],44,FALSE)</f>
        <v>0</v>
      </c>
      <c r="BN112" s="20">
        <f>VLOOKUP(Data[[#This Row],[DEVELOPMENT]],Development_Data_Book[[DEVELOPMENT]:[PRIVATE MANAGEMENT]],45,FALSE)</f>
        <v>0</v>
      </c>
      <c r="BO112" s="20" t="str">
        <f>VLOOKUP(Data[[#This Row],[DEVELOPMENT]],Development_Data_Book[[DEVELOPMENT]:[PRIVATE MANAGEMENT]],24,FALSE)</f>
        <v>1-1.5-2-2.5</v>
      </c>
    </row>
    <row r="113" spans="1:67">
      <c r="A113" t="s">
        <v>203</v>
      </c>
      <c r="B113" s="20" t="str">
        <f>VLOOKUP(Data[[#This Row],[DEVELOPMENT]],Development_Data_Book[[DEVELOPMENT]:[BOROUGH]],MATCH("borough",Development_Data_Book[[#Headers],[DEVELOPMENT]:[BOROUGH]],0),FALSE)</f>
        <v>BROOKLYN</v>
      </c>
      <c r="C113" s="20" t="e">
        <f>VLOOKUP(Data[[#This Row],[DEVELOPMENT]],'[1]Cheat-Sheet'!$D$2:$Q$341,2,FALSE)</f>
        <v>#N/A</v>
      </c>
      <c r="D11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13" s="20">
        <f>VLOOKUP(Data[[#This Row],[DEVELOPMENT]],Development_Data_Book[[DEVELOPMENT]:[BOROUGH]],21,FALSE)</f>
        <v>8</v>
      </c>
      <c r="F113" s="20">
        <f>VLOOKUP(Data[[#This Row],[DEVELOPMENT]],Development_Data_Book[[DEVELOPMENT]:[BOROUGH]],23,FALSE)</f>
        <v>10</v>
      </c>
      <c r="G113" s="20">
        <f>VLOOKUP(Data[[#This Row],[DEVELOPMENT]],Development_Data_Book[[DEVELOPMENT]:[BOROUGH]],12,FALSE)</f>
        <v>158</v>
      </c>
      <c r="J113">
        <f>IFERROR(VLOOKUP(Data[[#This Row],[DEVELOPMENT]],IntCompactors_MRST[],4,FALSE),0)</f>
        <v>10</v>
      </c>
      <c r="K113" s="20">
        <f>IFERROR(VLOOKUP(Data[[#This Row],[DEVELOPMENT]],ExtCompactors_MRST[],4,FALSE),0)</f>
        <v>0</v>
      </c>
      <c r="L113" s="27">
        <f>IF(Data[[#This Row],['# Interior Compactors MRST]]=0,"",VLOOKUP(Data[[#This Row],[DEVELOPMENT]],IntCompactors_MRST[],5,FALSE))</f>
        <v>30682</v>
      </c>
      <c r="M113" s="28" t="str">
        <f>IF(Data[[#This Row],['# Exterior Compactors MRST]]=0,"",VLOOKUP(Data[[#This Row],[DEVELOPMENT]],ExtCompactors_MRST[],5,FALSE))</f>
        <v/>
      </c>
      <c r="N113" s="20">
        <f>Data[[#This Row],['# Interior Compactors MRST]]</f>
        <v>10</v>
      </c>
      <c r="O113" s="20">
        <f>IF(Data[[#This Row],['# Bulk Crushers]]=0,1,0)</f>
        <v>1</v>
      </c>
      <c r="P113" s="20">
        <f>1</f>
        <v>1</v>
      </c>
      <c r="Q113" s="20">
        <f>1</f>
        <v>1</v>
      </c>
      <c r="R113" s="20">
        <f>1</f>
        <v>1</v>
      </c>
      <c r="S113" s="20">
        <f>1</f>
        <v>1</v>
      </c>
      <c r="T113" s="20">
        <f>IF(Data[[#This Row],[Sewershed]]="Newtown Creek",Data[[#This Row],[DUs]],0)</f>
        <v>0</v>
      </c>
      <c r="U11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1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1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13" s="82">
        <f>VLOOKUP(Data[[#This Row],[DEVELOPMENT]],Development_Data_Book[[DEVELOPMENT]:[BOROUGH]],3,FALSE)</f>
        <v>207</v>
      </c>
      <c r="Y113" s="20"/>
      <c r="Z113" s="20">
        <f>IFERROR(VLOOKUP(Data[[#This Row],[TDS]],ExtCompactors_PNA[[Development]:[0]],2,FALSE),0)</f>
        <v>0</v>
      </c>
      <c r="AA113" s="20">
        <f>IFERROR(VLOOKUP(Data[[#This Row],[TDS]],IntCompactors_PNA[[TDS]:[0]],2,FALSE),0)</f>
        <v>3</v>
      </c>
      <c r="AB113" s="20"/>
      <c r="AC113" s="20"/>
      <c r="AD113" s="20">
        <f>IFERROR(VLOOKUP(Data[[#This Row],[TDS]],ExtCompactors_PNA[[Development]:[0]],3,FALSE)+VLOOKUP(Data[[#This Row],[TDS]],ExtCompactors_PNA[[Development]:[0]],6,FALSE),0)</f>
        <v>0</v>
      </c>
      <c r="AE113" s="20">
        <f>IFERROR(VLOOKUP(Data[[#This Row],[TDS]],IntCompactors_PNA[[TDS]:[0]],3,FALSE)+VLOOKUP(Data[[#This Row],[TDS]],IntCompactors_PNA[[TDS]:[0]],6,FALSE),0)</f>
        <v>3</v>
      </c>
      <c r="AF113" s="20" t="e">
        <f>VLOOKUP(Data[[#This Row],[DEVELOPMENT]],[3]Developments!$A$2:$A$312,1,FALSE)</f>
        <v>#N/A</v>
      </c>
      <c r="AG113" s="20">
        <f>IFERROR(VLOOKUP(Data[[#This Row],[DEVELOPMENT]],Ops_Priorities_and_Data_Clean[[development]:[ifnoext_comment]],3,FALSE),"")</f>
        <v>0</v>
      </c>
      <c r="AH113" s="20">
        <f>IFERROR(VLOOKUP(Data[[#This Row],[DEVELOPMENT]],Ops_Priorities_and_Data_Clean[[development]:[ifnoext_comment]],4,FALSE),"")</f>
        <v>1</v>
      </c>
      <c r="AI113" s="20">
        <f>IFERROR(VLOOKUP(Data[[#This Row],[DEVELOPMENT]],Ops_Priorities_and_Data_Clean[[development]:[ifnoext_comment]],5,FALSE),"")</f>
        <v>0</v>
      </c>
      <c r="AJ113" s="20">
        <f>IFERROR(VLOOKUP(Data[[#This Row],[DEVELOPMENT]],Ops_Priorities_and_Data_Clean[[development]:[ifnoext_comment]],6,FALSE),"")</f>
        <v>0</v>
      </c>
      <c r="AK113" s="20">
        <f>IFERROR(VLOOKUP(Data[[#This Row],[DEVELOPMENT]],Ops_Priorities_and_Data_Clean[[development]:[ifnoext_comment]],7,FALSE),"")</f>
        <v>1</v>
      </c>
      <c r="AL113" s="20">
        <f>IFERROR(VLOOKUP(Data[[#This Row],[DEVELOPMENT]],Ops_Priorities_and_Data_Clean[[development]:[ifnoext_comment]],8,FALSE),"")</f>
        <v>1</v>
      </c>
      <c r="AM113" s="20">
        <f>IFERROR(VLOOKUP(Data[[#This Row],[DEVELOPMENT]],Ops_Priorities_and_Data_Clean[[development]:[ifnoext_comment]],9,FALSE),"")</f>
        <v>0</v>
      </c>
      <c r="AN113" s="20">
        <f>IFERROR(VLOOKUP(Data[[#This Row],[DEVELOPMENT]],Ops_Priorities_and_Data_Clean[[development]:[ifnoext_comment]],10,FALSE),"")</f>
        <v>0</v>
      </c>
      <c r="AO113" s="20">
        <f>IFERROR(VLOOKUP(Data[[#This Row],[DEVELOPMENT]],Ops_Priorities_and_Data_Clean[[development]:[ifnoext_comment]],11,FALSE),"")</f>
        <v>0</v>
      </c>
      <c r="AP113" s="20">
        <f>IFERROR(VLOOKUP(Data[[#This Row],[DEVELOPMENT]],Ops_Priorities_and_Data_Clean[[development]:[ifnoext_comment]],12,FALSE),"")</f>
        <v>0</v>
      </c>
      <c r="AQ113" s="20">
        <f>VLOOKUP(Data[[#This Row],[DEVELOPMENT]],Ops_Priorities_and_Data_Clean[[development]:[ifnoext_comment]],14,FALSE)</f>
        <v>1</v>
      </c>
      <c r="AR113" s="20">
        <f>VLOOKUP(Data[[#This Row],[DEVELOPMENT]],Ops_Priorities_and_Data_Clean[[development]:[ifnoext_comment]],15,FALSE)</f>
        <v>0</v>
      </c>
      <c r="AS113" s="20" t="str">
        <f>VLOOKUP(Data[[#This Row],[DEVELOPMENT]],Ops_Priorities_and_Data_Clean[[development]:[ifnoext_comment]],16,FALSE)</f>
        <v>NULL</v>
      </c>
      <c r="AT113" s="20" t="str">
        <f>VLOOKUP(Data[[#This Row],[DEVELOPMENT]],Ops_Priorities_and_Data_Clean[[development]:[ifnoext_comment]],17,FALSE)</f>
        <v>NULL</v>
      </c>
      <c r="AU113" s="20" t="str">
        <f>VLOOKUP(Data[[#This Row],[DEVELOPMENT]],Ops_Priorities_and_Data_Clean[[development]:[ifnoext_comment]],18,FALSE)</f>
        <v>NULL</v>
      </c>
      <c r="AV113" s="20" t="str">
        <f>VLOOKUP(Data[[#This Row],[DEVELOPMENT]],Ops_Priorities_and_Data_Clean[[development]:[ifnoext_comment]],19,FALSE)</f>
        <v>NULL</v>
      </c>
      <c r="AW113" s="20" t="str">
        <f>VLOOKUP(Data[[#This Row],[DEVELOPMENT]],Ops_Priorities_and_Data_Clean[[development]:[ifnoext_comment]],20,FALSE)</f>
        <v>NULL</v>
      </c>
      <c r="AX113" s="104" t="s">
        <v>2602</v>
      </c>
      <c r="AY113" s="104" t="s">
        <v>2623</v>
      </c>
      <c r="AZ113" s="20" t="str">
        <f>VLOOKUP(Data[[#This Row],[DEVELOPMENT]],Development_Data_Book[[DEVELOPMENT]:[PRIVATE MANAGEMENT]],8,FALSE)</f>
        <v>FEDERAL</v>
      </c>
      <c r="BA113" s="104" t="s">
        <v>2588</v>
      </c>
      <c r="BB113" s="20">
        <f>VLOOKUP(Data[[#This Row],[DEVELOPMENT]],Development_Data_Book[[DEVELOPMENT]:[PRIVATE MANAGEMENT]],22,FALSE)</f>
        <v>0</v>
      </c>
      <c r="BC113" s="20">
        <f>Data[[#This Row],[Non-Dwelling Buildings]]+Data[[#This Row],[Dwelling Buildings]]</f>
        <v>8</v>
      </c>
      <c r="BD113" s="20">
        <f>VLOOKUP(Data[[#This Row],[DEVELOPMENT]],Development_Data_Book[[DEVELOPMENT]:[PRIVATE MANAGEMENT]],26,FALSE)</f>
        <v>2.1800000000000002</v>
      </c>
      <c r="BE113" s="106">
        <v>224800</v>
      </c>
      <c r="BF113" s="20">
        <f>VLOOKUP(Data[[#This Row],[DEVELOPMENT]],Development_Data_Book[[DEVELOPMENT]:[PRIVATE MANAGEMENT]],18,FALSE)</f>
        <v>443</v>
      </c>
      <c r="BG11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13" s="104" t="s">
        <v>2589</v>
      </c>
      <c r="BI113" t="s">
        <v>184</v>
      </c>
      <c r="BJ113" s="20">
        <f>VLOOKUP(Data[[#This Row],[DEVELOPMENT]],Development_Data_Book[[DEVELOPMENT]:[PRIVATE MANAGEMENT]],41,FALSE)</f>
        <v>5</v>
      </c>
      <c r="BK113" s="20">
        <f>VLOOKUP(Data[[#This Row],[DEVELOPMENT]],Development_Data_Book[[DEVELOPMENT]:[PRIVATE MANAGEMENT]],42,FALSE)</f>
        <v>8</v>
      </c>
      <c r="BL113" s="20">
        <f>VLOOKUP(Data[[#This Row],[DEVELOPMENT]],Development_Data_Book[[DEVELOPMENT]:[PRIVATE MANAGEMENT]],43,FALSE)</f>
        <v>19</v>
      </c>
      <c r="BM113" s="20">
        <f>VLOOKUP(Data[[#This Row],[DEVELOPMENT]],Development_Data_Book[[DEVELOPMENT]:[PRIVATE MANAGEMENT]],44,FALSE)</f>
        <v>55</v>
      </c>
      <c r="BN113" s="20">
        <f>VLOOKUP(Data[[#This Row],[DEVELOPMENT]],Development_Data_Book[[DEVELOPMENT]:[PRIVATE MANAGEMENT]],45,FALSE)</f>
        <v>37</v>
      </c>
      <c r="BO113" s="20">
        <f>VLOOKUP(Data[[#This Row],[DEVELOPMENT]],Development_Data_Book[[DEVELOPMENT]:[PRIVATE MANAGEMENT]],24,FALSE)</f>
        <v>4</v>
      </c>
    </row>
    <row r="114" spans="1:67">
      <c r="A114" s="17" t="s">
        <v>242</v>
      </c>
      <c r="B114" s="17" t="str">
        <f>VLOOKUP(Data[[#This Row],[DEVELOPMENT]],Development_Data_Book[[DEVELOPMENT]:[BOROUGH]],MATCH("borough",Development_Data_Book[[#Headers],[DEVELOPMENT]:[BOROUGH]],0),FALSE)</f>
        <v>MANHATTAN</v>
      </c>
      <c r="C114" t="e">
        <f>VLOOKUP(Data[[#This Row],[DEVELOPMENT]],'[1]Cheat-Sheet'!$D$2:$Q$341,2,FALSE)</f>
        <v>#N/A</v>
      </c>
      <c r="D11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14">
        <f>VLOOKUP(Data[[#This Row],[DEVELOPMENT]],Development_Data_Book[[DEVELOPMENT]:[BOROUGH]],21,FALSE)</f>
        <v>8</v>
      </c>
      <c r="F114">
        <f>VLOOKUP(Data[[#This Row],[DEVELOPMENT]],Development_Data_Book[[DEVELOPMENT]:[BOROUGH]],23,FALSE)</f>
        <v>8</v>
      </c>
      <c r="G114">
        <f>VLOOKUP(Data[[#This Row],[DEVELOPMENT]],Development_Data_Book[[DEVELOPMENT]:[BOROUGH]],12,FALSE)</f>
        <v>126</v>
      </c>
      <c r="H114" t="s">
        <v>2246</v>
      </c>
      <c r="I114">
        <v>4</v>
      </c>
      <c r="J114">
        <f>IFERROR(VLOOKUP(Data[[#This Row],[DEVELOPMENT]],IntCompactors_MRST[],4,FALSE),0)</f>
        <v>8</v>
      </c>
      <c r="K114" s="20">
        <f>IFERROR(VLOOKUP(Data[[#This Row],[DEVELOPMENT]],ExtCompactors_MRST[],4,FALSE),0)</f>
        <v>0</v>
      </c>
      <c r="L114" s="27">
        <f>IF(Data[[#This Row],['# Interior Compactors MRST]]=0,"",VLOOKUP(Data[[#This Row],[DEVELOPMENT]],IntCompactors_MRST[],5,FALSE))</f>
        <v>39239</v>
      </c>
      <c r="M114" s="28" t="str">
        <f>IF(Data[[#This Row],['# Exterior Compactors MRST]]=0,"",VLOOKUP(Data[[#This Row],[DEVELOPMENT]],ExtCompactors_MRST[],5,FALSE))</f>
        <v/>
      </c>
      <c r="N114">
        <f>Data[[#This Row],['# Interior Compactors MRST]]</f>
        <v>8</v>
      </c>
      <c r="O114" s="20">
        <f>IF(Data[[#This Row],['# Bulk Crushers]]=0,1,0)</f>
        <v>1</v>
      </c>
      <c r="P114" s="20">
        <f>1</f>
        <v>1</v>
      </c>
      <c r="Q114" s="20">
        <f>1</f>
        <v>1</v>
      </c>
      <c r="R114" s="20">
        <f>1</f>
        <v>1</v>
      </c>
      <c r="S114" s="20">
        <f>1</f>
        <v>1</v>
      </c>
      <c r="T114" s="20">
        <f>IF(Data[[#This Row],[Sewershed]]="Newtown Creek",Data[[#This Row],[DUs]],0)</f>
        <v>126</v>
      </c>
      <c r="U11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1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1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14" s="82">
        <f>VLOOKUP(Data[[#This Row],[DEVELOPMENT]],Development_Data_Book[[DEVELOPMENT]:[BOROUGH]],3,FALSE)</f>
        <v>1</v>
      </c>
      <c r="Y114" s="20" t="s">
        <v>2599</v>
      </c>
      <c r="Z114" s="20">
        <f>IFERROR(VLOOKUP(Data[[#This Row],[TDS]],ExtCompactors_PNA[[Development]:[0]],2,FALSE),0)</f>
        <v>0</v>
      </c>
      <c r="AA114" s="20">
        <f>IFERROR(VLOOKUP(Data[[#This Row],[TDS]],IntCompactors_PNA[[TDS]:[0]],2,FALSE),0)</f>
        <v>8</v>
      </c>
      <c r="AB114" s="20"/>
      <c r="AC114" s="20"/>
      <c r="AD114" s="20">
        <f>IFERROR(VLOOKUP(Data[[#This Row],[TDS]],ExtCompactors_PNA[[Development]:[0]],3,FALSE)+VLOOKUP(Data[[#This Row],[TDS]],ExtCompactors_PNA[[Development]:[0]],6,FALSE),0)</f>
        <v>0</v>
      </c>
      <c r="AE114" s="20">
        <f>IFERROR(VLOOKUP(Data[[#This Row],[TDS]],IntCompactors_PNA[[TDS]:[0]],3,FALSE)+VLOOKUP(Data[[#This Row],[TDS]],IntCompactors_PNA[[TDS]:[0]],6,FALSE),0)</f>
        <v>8</v>
      </c>
      <c r="AF114" s="20" t="e">
        <f>VLOOKUP(Data[[#This Row],[DEVELOPMENT]],[3]Developments!$A$2:$A$312,1,FALSE)</f>
        <v>#N/A</v>
      </c>
      <c r="AG114" s="20">
        <f>IFERROR(VLOOKUP(Data[[#This Row],[DEVELOPMENT]],Ops_Priorities_and_Data_Clean[[development]:[ifnoext_comment]],3,FALSE),"")</f>
        <v>0</v>
      </c>
      <c r="AH114" s="20">
        <f>IFERROR(VLOOKUP(Data[[#This Row],[DEVELOPMENT]],Ops_Priorities_and_Data_Clean[[development]:[ifnoext_comment]],4,FALSE),"")</f>
        <v>0</v>
      </c>
      <c r="AI114" s="20">
        <f>IFERROR(VLOOKUP(Data[[#This Row],[DEVELOPMENT]],Ops_Priorities_and_Data_Clean[[development]:[ifnoext_comment]],5,FALSE),"")</f>
        <v>0</v>
      </c>
      <c r="AJ114" s="20">
        <f>IFERROR(VLOOKUP(Data[[#This Row],[DEVELOPMENT]],Ops_Priorities_and_Data_Clean[[development]:[ifnoext_comment]],6,FALSE),"")</f>
        <v>0</v>
      </c>
      <c r="AK114" s="20">
        <f>IFERROR(VLOOKUP(Data[[#This Row],[DEVELOPMENT]],Ops_Priorities_and_Data_Clean[[development]:[ifnoext_comment]],7,FALSE),"")</f>
        <v>1</v>
      </c>
      <c r="AL114" s="20">
        <f>IFERROR(VLOOKUP(Data[[#This Row],[DEVELOPMENT]],Ops_Priorities_and_Data_Clean[[development]:[ifnoext_comment]],8,FALSE),"")</f>
        <v>1</v>
      </c>
      <c r="AM114" s="20">
        <f>IFERROR(VLOOKUP(Data[[#This Row],[DEVELOPMENT]],Ops_Priorities_and_Data_Clean[[development]:[ifnoext_comment]],9,FALSE),"")</f>
        <v>0</v>
      </c>
      <c r="AN114" s="20">
        <f>IFERROR(VLOOKUP(Data[[#This Row],[DEVELOPMENT]],Ops_Priorities_and_Data_Clean[[development]:[ifnoext_comment]],10,FALSE),"")</f>
        <v>0</v>
      </c>
      <c r="AO114" s="20">
        <f>IFERROR(VLOOKUP(Data[[#This Row],[DEVELOPMENT]],Ops_Priorities_and_Data_Clean[[development]:[ifnoext_comment]],11,FALSE),"")</f>
        <v>0</v>
      </c>
      <c r="AP114" s="20">
        <f>IFERROR(VLOOKUP(Data[[#This Row],[DEVELOPMENT]],Ops_Priorities_and_Data_Clean[[development]:[ifnoext_comment]],12,FALSE),"")</f>
        <v>0</v>
      </c>
      <c r="AQ114" s="20">
        <f>VLOOKUP(Data[[#This Row],[DEVELOPMENT]],Ops_Priorities_and_Data_Clean[[development]:[ifnoext_comment]],14,FALSE)</f>
        <v>1</v>
      </c>
      <c r="AR114" s="20">
        <f>VLOOKUP(Data[[#This Row],[DEVELOPMENT]],Ops_Priorities_and_Data_Clean[[development]:[ifnoext_comment]],15,FALSE)</f>
        <v>0</v>
      </c>
      <c r="AS114" s="20" t="str">
        <f>VLOOKUP(Data[[#This Row],[DEVELOPMENT]],Ops_Priorities_and_Data_Clean[[development]:[ifnoext_comment]],16,FALSE)</f>
        <v>NULL</v>
      </c>
      <c r="AT114" s="20" t="str">
        <f>VLOOKUP(Data[[#This Row],[DEVELOPMENT]],Ops_Priorities_and_Data_Clean[[development]:[ifnoext_comment]],17,FALSE)</f>
        <v>NULL</v>
      </c>
      <c r="AU114" s="20" t="str">
        <f>VLOOKUP(Data[[#This Row],[DEVELOPMENT]],Ops_Priorities_and_Data_Clean[[development]:[ifnoext_comment]],18,FALSE)</f>
        <v>TBD</v>
      </c>
      <c r="AV114" s="20" t="str">
        <f>VLOOKUP(Data[[#This Row],[DEVELOPMENT]],Ops_Priorities_and_Data_Clean[[development]:[ifnoext_comment]],19,FALSE)</f>
        <v>curbside? CHECK</v>
      </c>
      <c r="AW114" s="20" t="str">
        <f>VLOOKUP(Data[[#This Row],[DEVELOPMENT]],Ops_Priorities_and_Data_Clean[[development]:[ifnoext_comment]],20,FALSE)</f>
        <v>NULL</v>
      </c>
      <c r="AX114" s="104" t="s">
        <v>2239</v>
      </c>
      <c r="AY114" s="104" t="s">
        <v>2632</v>
      </c>
      <c r="AZ114" s="20" t="str">
        <f>VLOOKUP(Data[[#This Row],[DEVELOPMENT]],Development_Data_Book[[DEVELOPMENT]:[PRIVATE MANAGEMENT]],8,FALSE)</f>
        <v>FEDERAL</v>
      </c>
      <c r="BA114" s="104" t="s">
        <v>2588</v>
      </c>
      <c r="BB114" s="20">
        <f>VLOOKUP(Data[[#This Row],[DEVELOPMENT]],Development_Data_Book[[DEVELOPMENT]:[PRIVATE MANAGEMENT]],22,FALSE)</f>
        <v>0</v>
      </c>
      <c r="BC114" s="20">
        <f>Data[[#This Row],[Non-Dwelling Buildings]]+Data[[#This Row],[Dwelling Buildings]]</f>
        <v>8</v>
      </c>
      <c r="BD114" s="20">
        <f>VLOOKUP(Data[[#This Row],[DEVELOPMENT]],Development_Data_Book[[DEVELOPMENT]:[PRIVATE MANAGEMENT]],26,FALSE)</f>
        <v>1.23</v>
      </c>
      <c r="BE114" s="106">
        <v>107538</v>
      </c>
      <c r="BF114" s="20">
        <f>VLOOKUP(Data[[#This Row],[DEVELOPMENT]],Development_Data_Book[[DEVELOPMENT]:[PRIVATE MANAGEMENT]],18,FALSE)</f>
        <v>178</v>
      </c>
      <c r="BG11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14" s="104" t="s">
        <v>2607</v>
      </c>
      <c r="BI114" t="s">
        <v>184</v>
      </c>
      <c r="BJ114" s="20">
        <f>VLOOKUP(Data[[#This Row],[DEVELOPMENT]],Development_Data_Book[[DEVELOPMENT]:[PRIVATE MANAGEMENT]],41,FALSE)</f>
        <v>3</v>
      </c>
      <c r="BK114" s="20">
        <f>VLOOKUP(Data[[#This Row],[DEVELOPMENT]],Development_Data_Book[[DEVELOPMENT]:[PRIVATE MANAGEMENT]],42,FALSE)</f>
        <v>12</v>
      </c>
      <c r="BL114" s="20">
        <f>VLOOKUP(Data[[#This Row],[DEVELOPMENT]],Development_Data_Book[[DEVELOPMENT]:[PRIVATE MANAGEMENT]],43,FALSE)</f>
        <v>26</v>
      </c>
      <c r="BM114" s="20">
        <f>VLOOKUP(Data[[#This Row],[DEVELOPMENT]],Development_Data_Book[[DEVELOPMENT]:[PRIVATE MANAGEMENT]],44,FALSE)</f>
        <v>74</v>
      </c>
      <c r="BN114" s="20">
        <f>VLOOKUP(Data[[#This Row],[DEVELOPMENT]],Development_Data_Book[[DEVELOPMENT]:[PRIVATE MANAGEMENT]],45,FALSE)</f>
        <v>2</v>
      </c>
      <c r="BO114" s="20">
        <f>VLOOKUP(Data[[#This Row],[DEVELOPMENT]],Development_Data_Book[[DEVELOPMENT]:[PRIVATE MANAGEMENT]],24,FALSE)</f>
        <v>43560</v>
      </c>
    </row>
    <row r="115" spans="1:67">
      <c r="A115" t="s">
        <v>204</v>
      </c>
      <c r="B115" s="20" t="str">
        <f>VLOOKUP(Data[[#This Row],[DEVELOPMENT]],Development_Data_Book[[DEVELOPMENT]:[BOROUGH]],MATCH("borough",Development_Data_Book[[#Headers],[DEVELOPMENT]:[BOROUGH]],0),FALSE)</f>
        <v>BRONX</v>
      </c>
      <c r="C115" s="20" t="e">
        <f>VLOOKUP(Data[[#This Row],[DEVELOPMENT]],'[1]Cheat-Sheet'!$D$2:$Q$341,2,FALSE)</f>
        <v>#N/A</v>
      </c>
      <c r="D11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15" s="20">
        <f>VLOOKUP(Data[[#This Row],[DEVELOPMENT]],Development_Data_Book[[DEVELOPMENT]:[BOROUGH]],21,FALSE)</f>
        <v>15</v>
      </c>
      <c r="F115" s="20">
        <f>VLOOKUP(Data[[#This Row],[DEVELOPMENT]],Development_Data_Book[[DEVELOPMENT]:[BOROUGH]],23,FALSE)</f>
        <v>15</v>
      </c>
      <c r="G115" s="20">
        <f>VLOOKUP(Data[[#This Row],[DEVELOPMENT]],Development_Data_Book[[DEVELOPMENT]:[BOROUGH]],12,FALSE)</f>
        <v>1348</v>
      </c>
      <c r="H115" t="s">
        <v>2611</v>
      </c>
      <c r="J115">
        <f>IFERROR(VLOOKUP(Data[[#This Row],[DEVELOPMENT]],IntCompactors_MRST[],4,FALSE),0)</f>
        <v>15</v>
      </c>
      <c r="K115" s="20">
        <f>IFERROR(VLOOKUP(Data[[#This Row],[DEVELOPMENT]],ExtCompactors_MRST[],4,FALSE),0)</f>
        <v>3</v>
      </c>
      <c r="L115" s="27">
        <f>IF(Data[[#This Row],['# Interior Compactors MRST]]=0,"",VLOOKUP(Data[[#This Row],[DEVELOPMENT]],IntCompactors_MRST[],5,FALSE))</f>
        <v>38718</v>
      </c>
      <c r="M115" s="28">
        <f>IF(Data[[#This Row],['# Exterior Compactors MRST]]=0,"",VLOOKUP(Data[[#This Row],[DEVELOPMENT]],ExtCompactors_MRST[],5,FALSE))</f>
        <v>36515</v>
      </c>
      <c r="N115" s="20">
        <f>Data[[#This Row],['# Interior Compactors MRST]]</f>
        <v>15</v>
      </c>
      <c r="O115" s="20">
        <f>IF(Data[[#This Row],['# Bulk Crushers]]=0,1,0)</f>
        <v>1</v>
      </c>
      <c r="P115" s="20">
        <f>1</f>
        <v>1</v>
      </c>
      <c r="Q115" s="20">
        <f>1</f>
        <v>1</v>
      </c>
      <c r="R115" s="20">
        <f>1</f>
        <v>1</v>
      </c>
      <c r="S115" s="20">
        <f>1</f>
        <v>1</v>
      </c>
      <c r="T115" s="20">
        <f>IF(Data[[#This Row],[Sewershed]]="Newtown Creek",Data[[#This Row],[DUs]],0)</f>
        <v>0</v>
      </c>
      <c r="U11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1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1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15" s="82">
        <f>VLOOKUP(Data[[#This Row],[DEVELOPMENT]],Development_Data_Book[[DEVELOPMENT]:[BOROUGH]],3,FALSE)</f>
        <v>59</v>
      </c>
      <c r="Y115" s="20"/>
      <c r="Z115" s="20">
        <f>IFERROR(VLOOKUP(Data[[#This Row],[TDS]],ExtCompactors_PNA[[Development]:[0]],2,FALSE),0)</f>
        <v>3</v>
      </c>
      <c r="AA115" s="20">
        <f>IFERROR(VLOOKUP(Data[[#This Row],[TDS]],IntCompactors_PNA[[TDS]:[0]],2,FALSE),0)</f>
        <v>15</v>
      </c>
      <c r="AB115" s="20"/>
      <c r="AC115" s="20"/>
      <c r="AD115" s="20">
        <f>IFERROR(VLOOKUP(Data[[#This Row],[TDS]],ExtCompactors_PNA[[Development]:[0]],3,FALSE)+VLOOKUP(Data[[#This Row],[TDS]],ExtCompactors_PNA[[Development]:[0]],6,FALSE),0)</f>
        <v>3</v>
      </c>
      <c r="AE115" s="20">
        <f>IFERROR(VLOOKUP(Data[[#This Row],[TDS]],IntCompactors_PNA[[TDS]:[0]],3,FALSE)+VLOOKUP(Data[[#This Row],[TDS]],IntCompactors_PNA[[TDS]:[0]],6,FALSE),0)</f>
        <v>15</v>
      </c>
      <c r="AF115" s="20" t="e">
        <f>VLOOKUP(Data[[#This Row],[DEVELOPMENT]],[3]Developments!$A$2:$A$312,1,FALSE)</f>
        <v>#N/A</v>
      </c>
      <c r="AG115" s="20">
        <f>IFERROR(VLOOKUP(Data[[#This Row],[DEVELOPMENT]],Ops_Priorities_and_Data_Clean[[development]:[ifnoext_comment]],3,FALSE),"")</f>
        <v>3</v>
      </c>
      <c r="AH115" s="20">
        <f>IFERROR(VLOOKUP(Data[[#This Row],[DEVELOPMENT]],Ops_Priorities_and_Data_Clean[[development]:[ifnoext_comment]],4,FALSE),"")</f>
        <v>1</v>
      </c>
      <c r="AI115" s="20">
        <f>IFERROR(VLOOKUP(Data[[#This Row],[DEVELOPMENT]],Ops_Priorities_and_Data_Clean[[development]:[ifnoext_comment]],5,FALSE),"")</f>
        <v>1</v>
      </c>
      <c r="AJ115" s="20">
        <f>IFERROR(VLOOKUP(Data[[#This Row],[DEVELOPMENT]],Ops_Priorities_and_Data_Clean[[development]:[ifnoext_comment]],6,FALSE),"")</f>
        <v>0</v>
      </c>
      <c r="AK115" s="20">
        <f>IFERROR(VLOOKUP(Data[[#This Row],[DEVELOPMENT]],Ops_Priorities_and_Data_Clean[[development]:[ifnoext_comment]],7,FALSE),"")</f>
        <v>0</v>
      </c>
      <c r="AL115" s="20">
        <f>IFERROR(VLOOKUP(Data[[#This Row],[DEVELOPMENT]],Ops_Priorities_and_Data_Clean[[development]:[ifnoext_comment]],8,FALSE),"")</f>
        <v>1</v>
      </c>
      <c r="AM115" s="20">
        <f>IFERROR(VLOOKUP(Data[[#This Row],[DEVELOPMENT]],Ops_Priorities_and_Data_Clean[[development]:[ifnoext_comment]],9,FALSE),"")</f>
        <v>0</v>
      </c>
      <c r="AN115" s="20">
        <f>IFERROR(VLOOKUP(Data[[#This Row],[DEVELOPMENT]],Ops_Priorities_and_Data_Clean[[development]:[ifnoext_comment]],10,FALSE),"")</f>
        <v>3</v>
      </c>
      <c r="AO115" s="20">
        <f>IFERROR(VLOOKUP(Data[[#This Row],[DEVELOPMENT]],Ops_Priorities_and_Data_Clean[[development]:[ifnoext_comment]],11,FALSE),"")</f>
        <v>3</v>
      </c>
      <c r="AP115" s="20">
        <f>IFERROR(VLOOKUP(Data[[#This Row],[DEVELOPMENT]],Ops_Priorities_and_Data_Clean[[development]:[ifnoext_comment]],12,FALSE),"")</f>
        <v>3</v>
      </c>
      <c r="AQ115" s="20">
        <f>VLOOKUP(Data[[#This Row],[DEVELOPMENT]],Ops_Priorities_and_Data_Clean[[development]:[ifnoext_comment]],14,FALSE)</f>
        <v>0</v>
      </c>
      <c r="AR115" s="20">
        <f>VLOOKUP(Data[[#This Row],[DEVELOPMENT]],Ops_Priorities_and_Data_Clean[[development]:[ifnoext_comment]],15,FALSE)</f>
        <v>0</v>
      </c>
      <c r="AS115" s="20" t="str">
        <f>VLOOKUP(Data[[#This Row],[DEVELOPMENT]],Ops_Priorities_and_Data_Clean[[development]:[ifnoext_comment]],16,FALSE)</f>
        <v>NULL</v>
      </c>
      <c r="AT115" s="20" t="str">
        <f>VLOOKUP(Data[[#This Row],[DEVELOPMENT]],Ops_Priorities_and_Data_Clean[[development]:[ifnoext_comment]],17,FALSE)</f>
        <v>NULL</v>
      </c>
      <c r="AU115" s="20" t="str">
        <f>VLOOKUP(Data[[#This Row],[DEVELOPMENT]],Ops_Priorities_and_Data_Clean[[development]:[ifnoext_comment]],18,FALSE)</f>
        <v>NULL</v>
      </c>
      <c r="AV115" s="20" t="str">
        <f>VLOOKUP(Data[[#This Row],[DEVELOPMENT]],Ops_Priorities_and_Data_Clean[[development]:[ifnoext_comment]],19,FALSE)</f>
        <v>NULL</v>
      </c>
      <c r="AW115" s="20" t="str">
        <f>VLOOKUP(Data[[#This Row],[DEVELOPMENT]],Ops_Priorities_and_Data_Clean[[development]:[ifnoext_comment]],20,FALSE)</f>
        <v>NULL</v>
      </c>
      <c r="AX115" s="104" t="s">
        <v>2237</v>
      </c>
      <c r="AY115" s="104" t="s">
        <v>147</v>
      </c>
      <c r="AZ115" s="20" t="str">
        <f>VLOOKUP(Data[[#This Row],[DEVELOPMENT]],Development_Data_Book[[DEVELOPMENT]:[PRIVATE MANAGEMENT]],8,FALSE)</f>
        <v>FEDERAL</v>
      </c>
      <c r="BA115" s="104" t="s">
        <v>2586</v>
      </c>
      <c r="BB115" s="20">
        <f>VLOOKUP(Data[[#This Row],[DEVELOPMENT]],Development_Data_Book[[DEVELOPMENT]:[PRIVATE MANAGEMENT]],22,FALSE)</f>
        <v>0</v>
      </c>
      <c r="BC115" s="20">
        <f>Data[[#This Row],[Non-Dwelling Buildings]]+Data[[#This Row],[Dwelling Buildings]]</f>
        <v>15</v>
      </c>
      <c r="BD115" s="20">
        <f>VLOOKUP(Data[[#This Row],[DEVELOPMENT]],Development_Data_Book[[DEVELOPMENT]:[PRIVATE MANAGEMENT]],26,FALSE)</f>
        <v>17.72</v>
      </c>
      <c r="BE115" s="106">
        <v>1294650</v>
      </c>
      <c r="BF115" s="20">
        <f>VLOOKUP(Data[[#This Row],[DEVELOPMENT]],Development_Data_Book[[DEVELOPMENT]:[PRIVATE MANAGEMENT]],18,FALSE)</f>
        <v>3002</v>
      </c>
      <c r="BG11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15" s="104" t="s">
        <v>2631</v>
      </c>
      <c r="BI115" t="s">
        <v>184</v>
      </c>
      <c r="BJ115" s="20">
        <f>VLOOKUP(Data[[#This Row],[DEVELOPMENT]],Development_Data_Book[[DEVELOPMENT]:[PRIVATE MANAGEMENT]],41,FALSE)</f>
        <v>3</v>
      </c>
      <c r="BK115" s="20">
        <f>VLOOKUP(Data[[#This Row],[DEVELOPMENT]],Development_Data_Book[[DEVELOPMENT]:[PRIVATE MANAGEMENT]],42,FALSE)</f>
        <v>15</v>
      </c>
      <c r="BL115" s="20">
        <f>VLOOKUP(Data[[#This Row],[DEVELOPMENT]],Development_Data_Book[[DEVELOPMENT]:[PRIVATE MANAGEMENT]],43,FALSE)</f>
        <v>32</v>
      </c>
      <c r="BM115" s="20">
        <f>VLOOKUP(Data[[#This Row],[DEVELOPMENT]],Development_Data_Book[[DEVELOPMENT]:[PRIVATE MANAGEMENT]],44,FALSE)</f>
        <v>79</v>
      </c>
      <c r="BN115" s="20">
        <f>VLOOKUP(Data[[#This Row],[DEVELOPMENT]],Development_Data_Book[[DEVELOPMENT]:[PRIVATE MANAGEMENT]],45,FALSE)</f>
        <v>16</v>
      </c>
      <c r="BO115" s="20">
        <f>VLOOKUP(Data[[#This Row],[DEVELOPMENT]],Development_Data_Book[[DEVELOPMENT]:[PRIVATE MANAGEMENT]],24,FALSE)</f>
        <v>41892</v>
      </c>
    </row>
    <row r="116" spans="1:67">
      <c r="A116" t="s">
        <v>276</v>
      </c>
      <c r="B116" s="20" t="str">
        <f>VLOOKUP(Data[[#This Row],[DEVELOPMENT]],Development_Data_Book[[DEVELOPMENT]:[BOROUGH]],MATCH("borough",Development_Data_Book[[#Headers],[DEVELOPMENT]:[BOROUGH]],0),FALSE)</f>
        <v>BRONX</v>
      </c>
      <c r="C116" s="20" t="e">
        <f>VLOOKUP(Data[[#This Row],[DEVELOPMENT]],'[1]Cheat-Sheet'!$D$2:$Q$341,2,FALSE)</f>
        <v>#N/A</v>
      </c>
      <c r="D11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16" s="20">
        <f>VLOOKUP(Data[[#This Row],[DEVELOPMENT]],Development_Data_Book[[DEVELOPMENT]:[BOROUGH]],21,FALSE)</f>
        <v>1</v>
      </c>
      <c r="F116" s="20">
        <f>VLOOKUP(Data[[#This Row],[DEVELOPMENT]],Development_Data_Book[[DEVELOPMENT]:[BOROUGH]],23,FALSE)</f>
        <v>2</v>
      </c>
      <c r="G116" s="20">
        <f>VLOOKUP(Data[[#This Row],[DEVELOPMENT]],Development_Data_Book[[DEVELOPMENT]:[BOROUGH]],12,FALSE)</f>
        <v>342</v>
      </c>
      <c r="J116">
        <f>IFERROR(VLOOKUP(Data[[#This Row],[DEVELOPMENT]],IntCompactors_MRST[],4,FALSE),0)</f>
        <v>2</v>
      </c>
      <c r="K116" s="20">
        <f>IFERROR(VLOOKUP(Data[[#This Row],[DEVELOPMENT]],ExtCompactors_MRST[],4,FALSE),0)</f>
        <v>1</v>
      </c>
      <c r="L116" s="27">
        <f>IF(Data[[#This Row],['# Interior Compactors MRST]]=0,"",VLOOKUP(Data[[#This Row],[DEVELOPMENT]],IntCompactors_MRST[],5,FALSE))</f>
        <v>38838</v>
      </c>
      <c r="M116" s="28">
        <f>IF(Data[[#This Row],['# Exterior Compactors MRST]]=0,"",VLOOKUP(Data[[#This Row],[DEVELOPMENT]],ExtCompactors_MRST[],5,FALSE))</f>
        <v>36515</v>
      </c>
      <c r="N116" s="20">
        <f>Data[[#This Row],['# Interior Compactors MRST]]</f>
        <v>2</v>
      </c>
      <c r="O116" s="20">
        <f>IF(Data[[#This Row],['# Bulk Crushers]]=0,1,0)</f>
        <v>1</v>
      </c>
      <c r="P116" s="20">
        <f>1</f>
        <v>1</v>
      </c>
      <c r="Q116" s="20">
        <f>1</f>
        <v>1</v>
      </c>
      <c r="R116" s="20">
        <f>1</f>
        <v>1</v>
      </c>
      <c r="S116" s="20">
        <f>1</f>
        <v>1</v>
      </c>
      <c r="T116" s="20">
        <f>IF(Data[[#This Row],[Sewershed]]="Newtown Creek",Data[[#This Row],[DUs]],0)</f>
        <v>0</v>
      </c>
      <c r="U116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16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16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16" s="82">
        <f>VLOOKUP(Data[[#This Row],[DEVELOPMENT]],Development_Data_Book[[DEVELOPMENT]:[BOROUGH]],3,FALSE)</f>
        <v>197</v>
      </c>
      <c r="Y116" s="20"/>
      <c r="Z116" s="20">
        <f>IFERROR(VLOOKUP(Data[[#This Row],[TDS]],ExtCompactors_PNA[[Development]:[0]],2,FALSE),0)</f>
        <v>1</v>
      </c>
      <c r="AA116" s="20">
        <f>IFERROR(VLOOKUP(Data[[#This Row],[TDS]],IntCompactors_PNA[[TDS]:[0]],2,FALSE),0)</f>
        <v>2</v>
      </c>
      <c r="AB116" s="20"/>
      <c r="AC116" s="20"/>
      <c r="AD116" s="20">
        <f>IFERROR(VLOOKUP(Data[[#This Row],[TDS]],ExtCompactors_PNA[[Development]:[0]],3,FALSE)+VLOOKUP(Data[[#This Row],[TDS]],ExtCompactors_PNA[[Development]:[0]],6,FALSE),0)</f>
        <v>1</v>
      </c>
      <c r="AE116" s="20">
        <f>IFERROR(VLOOKUP(Data[[#This Row],[TDS]],IntCompactors_PNA[[TDS]:[0]],3,FALSE)+VLOOKUP(Data[[#This Row],[TDS]],IntCompactors_PNA[[TDS]:[0]],6,FALSE),0)</f>
        <v>2</v>
      </c>
      <c r="AF116" s="20" t="e">
        <f>VLOOKUP(Data[[#This Row],[DEVELOPMENT]],[3]Developments!$A$2:$A$312,1,FALSE)</f>
        <v>#N/A</v>
      </c>
      <c r="AG116" s="20">
        <f>IFERROR(VLOOKUP(Data[[#This Row],[DEVELOPMENT]],Ops_Priorities_and_Data_Clean[[development]:[ifnoext_comment]],3,FALSE),"")</f>
        <v>1</v>
      </c>
      <c r="AH116" s="20">
        <f>IFERROR(VLOOKUP(Data[[#This Row],[DEVELOPMENT]],Ops_Priorities_and_Data_Clean[[development]:[ifnoext_comment]],4,FALSE),"")</f>
        <v>3</v>
      </c>
      <c r="AI116" s="20">
        <f>IFERROR(VLOOKUP(Data[[#This Row],[DEVELOPMENT]],Ops_Priorities_and_Data_Clean[[development]:[ifnoext_comment]],5,FALSE),"")</f>
        <v>1</v>
      </c>
      <c r="AJ116" s="20">
        <f>IFERROR(VLOOKUP(Data[[#This Row],[DEVELOPMENT]],Ops_Priorities_and_Data_Clean[[development]:[ifnoext_comment]],6,FALSE),"")</f>
        <v>0</v>
      </c>
      <c r="AK116" s="20">
        <f>IFERROR(VLOOKUP(Data[[#This Row],[DEVELOPMENT]],Ops_Priorities_and_Data_Clean[[development]:[ifnoext_comment]],7,FALSE),"")</f>
        <v>0</v>
      </c>
      <c r="AL116" s="20">
        <f>IFERROR(VLOOKUP(Data[[#This Row],[DEVELOPMENT]],Ops_Priorities_and_Data_Clean[[development]:[ifnoext_comment]],8,FALSE),"")</f>
        <v>1</v>
      </c>
      <c r="AM116" s="20">
        <f>IFERROR(VLOOKUP(Data[[#This Row],[DEVELOPMENT]],Ops_Priorities_and_Data_Clean[[development]:[ifnoext_comment]],9,FALSE),"")</f>
        <v>0</v>
      </c>
      <c r="AN116" s="20">
        <f>IFERROR(VLOOKUP(Data[[#This Row],[DEVELOPMENT]],Ops_Priorities_and_Data_Clean[[development]:[ifnoext_comment]],10,FALSE),"")</f>
        <v>2</v>
      </c>
      <c r="AO116" s="20">
        <f>IFERROR(VLOOKUP(Data[[#This Row],[DEVELOPMENT]],Ops_Priorities_and_Data_Clean[[development]:[ifnoext_comment]],11,FALSE),"")</f>
        <v>1</v>
      </c>
      <c r="AP116" s="20">
        <f>IFERROR(VLOOKUP(Data[[#This Row],[DEVELOPMENT]],Ops_Priorities_and_Data_Clean[[development]:[ifnoext_comment]],12,FALSE),"")</f>
        <v>1</v>
      </c>
      <c r="AQ116" s="20">
        <f>VLOOKUP(Data[[#This Row],[DEVELOPMENT]],Ops_Priorities_and_Data_Clean[[development]:[ifnoext_comment]],14,FALSE)</f>
        <v>0</v>
      </c>
      <c r="AR116" s="20">
        <f>VLOOKUP(Data[[#This Row],[DEVELOPMENT]],Ops_Priorities_and_Data_Clean[[development]:[ifnoext_comment]],15,FALSE)</f>
        <v>0</v>
      </c>
      <c r="AS116" s="20" t="str">
        <f>VLOOKUP(Data[[#This Row],[DEVELOPMENT]],Ops_Priorities_and_Data_Clean[[development]:[ifnoext_comment]],16,FALSE)</f>
        <v>NULL</v>
      </c>
      <c r="AT116" s="20" t="str">
        <f>VLOOKUP(Data[[#This Row],[DEVELOPMENT]],Ops_Priorities_and_Data_Clean[[development]:[ifnoext_comment]],17,FALSE)</f>
        <v>NULL</v>
      </c>
      <c r="AU116" s="20" t="str">
        <f>VLOOKUP(Data[[#This Row],[DEVELOPMENT]],Ops_Priorities_and_Data_Clean[[development]:[ifnoext_comment]],18,FALSE)</f>
        <v>NULL</v>
      </c>
      <c r="AV116" s="20" t="str">
        <f>VLOOKUP(Data[[#This Row],[DEVELOPMENT]],Ops_Priorities_and_Data_Clean[[development]:[ifnoext_comment]],19,FALSE)</f>
        <v>NULL</v>
      </c>
      <c r="AW116" s="20" t="str">
        <f>VLOOKUP(Data[[#This Row],[DEVELOPMENT]],Ops_Priorities_and_Data_Clean[[development]:[ifnoext_comment]],20,FALSE)</f>
        <v>NULL</v>
      </c>
      <c r="AX116" s="104" t="s">
        <v>2237</v>
      </c>
      <c r="AY116" s="104" t="s">
        <v>2647</v>
      </c>
      <c r="AZ116" s="20" t="str">
        <f>VLOOKUP(Data[[#This Row],[DEVELOPMENT]],Development_Data_Book[[DEVELOPMENT]:[PRIVATE MANAGEMENT]],8,FALSE)</f>
        <v>FEDERAL</v>
      </c>
      <c r="BA116" s="104" t="s">
        <v>2586</v>
      </c>
      <c r="BB116" s="20">
        <f>VLOOKUP(Data[[#This Row],[DEVELOPMENT]],Development_Data_Book[[DEVELOPMENT]:[PRIVATE MANAGEMENT]],22,FALSE)</f>
        <v>0</v>
      </c>
      <c r="BC116" s="20">
        <f>Data[[#This Row],[Non-Dwelling Buildings]]+Data[[#This Row],[Dwelling Buildings]]</f>
        <v>1</v>
      </c>
      <c r="BD116" s="20">
        <f>VLOOKUP(Data[[#This Row],[DEVELOPMENT]],Development_Data_Book[[DEVELOPMENT]:[PRIVATE MANAGEMENT]],26,FALSE)</f>
        <v>3.42</v>
      </c>
      <c r="BE116" s="106">
        <v>386450</v>
      </c>
      <c r="BF116" s="20">
        <f>VLOOKUP(Data[[#This Row],[DEVELOPMENT]],Development_Data_Book[[DEVELOPMENT]:[PRIVATE MANAGEMENT]],18,FALSE)</f>
        <v>733</v>
      </c>
      <c r="BG11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16" s="104" t="s">
        <v>2587</v>
      </c>
      <c r="BI116" t="s">
        <v>184</v>
      </c>
      <c r="BJ116" s="20">
        <f>VLOOKUP(Data[[#This Row],[DEVELOPMENT]],Development_Data_Book[[DEVELOPMENT]:[PRIVATE MANAGEMENT]],41,FALSE)</f>
        <v>8</v>
      </c>
      <c r="BK116" s="20">
        <f>VLOOKUP(Data[[#This Row],[DEVELOPMENT]],Development_Data_Book[[DEVELOPMENT]:[PRIVATE MANAGEMENT]],42,FALSE)</f>
        <v>13</v>
      </c>
      <c r="BL116" s="20">
        <f>VLOOKUP(Data[[#This Row],[DEVELOPMENT]],Development_Data_Book[[DEVELOPMENT]:[PRIVATE MANAGEMENT]],43,FALSE)</f>
        <v>33</v>
      </c>
      <c r="BM116" s="20">
        <f>VLOOKUP(Data[[#This Row],[DEVELOPMENT]],Development_Data_Book[[DEVELOPMENT]:[PRIVATE MANAGEMENT]],44,FALSE)</f>
        <v>81</v>
      </c>
      <c r="BN116" s="20">
        <f>VLOOKUP(Data[[#This Row],[DEVELOPMENT]],Development_Data_Book[[DEVELOPMENT]:[PRIVATE MANAGEMENT]],45,FALSE)</f>
        <v>14</v>
      </c>
      <c r="BO116" s="20">
        <f>VLOOKUP(Data[[#This Row],[DEVELOPMENT]],Development_Data_Book[[DEVELOPMENT]:[PRIVATE MANAGEMENT]],24,FALSE)</f>
        <v>21</v>
      </c>
    </row>
    <row r="117" spans="1:67">
      <c r="A117" t="s">
        <v>79</v>
      </c>
      <c r="B117" t="str">
        <f>VLOOKUP(Data[[#This Row],[DEVELOPMENT]],Development_Data_Book[[DEVELOPMENT]:[BOROUGH]],MATCH("borough",Development_Data_Book[[#Headers],[DEVELOPMENT]:[BOROUGH]],0),FALSE)</f>
        <v>MANHATTAN</v>
      </c>
      <c r="C117" t="e">
        <f>VLOOKUP(Data[[#This Row],[DEVELOPMENT]],'[1]Cheat-Sheet'!$D$2:$Q$341,2,FALSE)</f>
        <v>#N/A</v>
      </c>
      <c r="D11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17">
        <f>VLOOKUP(Data[[#This Row],[DEVELOPMENT]],Development_Data_Book[[DEVELOPMENT]:[BOROUGH]],21,FALSE)</f>
        <v>1</v>
      </c>
      <c r="F117">
        <f>VLOOKUP(Data[[#This Row],[DEVELOPMENT]],Development_Data_Book[[DEVELOPMENT]:[BOROUGH]],23,FALSE)</f>
        <v>2</v>
      </c>
      <c r="G117">
        <f>VLOOKUP(Data[[#This Row],[DEVELOPMENT]],Development_Data_Book[[DEVELOPMENT]:[BOROUGH]],12,FALSE)</f>
        <v>226</v>
      </c>
      <c r="H117" t="s">
        <v>2248</v>
      </c>
      <c r="I117">
        <v>4</v>
      </c>
      <c r="J117">
        <f>IFERROR(VLOOKUP(Data[[#This Row],[DEVELOPMENT]],IntCompactors_MRST[],4,FALSE),0)</f>
        <v>1</v>
      </c>
      <c r="K117" s="20">
        <f>IFERROR(VLOOKUP(Data[[#This Row],[DEVELOPMENT]],ExtCompactors_MRST[],4,FALSE),0)</f>
        <v>0</v>
      </c>
      <c r="L117" s="27">
        <f>IF(Data[[#This Row],['# Interior Compactors MRST]]=0,"",VLOOKUP(Data[[#This Row],[DEVELOPMENT]],IntCompactors_MRST[],5,FALSE))</f>
        <v>40812</v>
      </c>
      <c r="M117" s="28" t="str">
        <f>IF(Data[[#This Row],['# Exterior Compactors MRST]]=0,"",VLOOKUP(Data[[#This Row],[DEVELOPMENT]],ExtCompactors_MRST[],5,FALSE))</f>
        <v/>
      </c>
      <c r="N117">
        <f>Data[[#This Row],['# Interior Compactors MRST]]</f>
        <v>1</v>
      </c>
      <c r="O117" s="20">
        <f>IF(Data[[#This Row],['# Bulk Crushers]]=0,1,0)</f>
        <v>1</v>
      </c>
      <c r="P117" s="20">
        <f>1</f>
        <v>1</v>
      </c>
      <c r="Q117" s="20">
        <f>1</f>
        <v>1</v>
      </c>
      <c r="R117" s="20">
        <f>1</f>
        <v>1</v>
      </c>
      <c r="S117" s="20">
        <f>1</f>
        <v>1</v>
      </c>
      <c r="T117" s="20">
        <f>IF(Data[[#This Row],[Sewershed]]="Newtown Creek",Data[[#This Row],[DUs]],0)</f>
        <v>0</v>
      </c>
      <c r="U11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1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1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17" s="82">
        <f>VLOOKUP(Data[[#This Row],[DEVELOPMENT]],Development_Data_Book[[DEVELOPMENT]:[BOROUGH]],3,FALSE)</f>
        <v>309</v>
      </c>
      <c r="Y117" s="20"/>
      <c r="Z117" s="20">
        <f>IFERROR(VLOOKUP(Data[[#This Row],[TDS]],ExtCompactors_PNA[[Development]:[0]],2,FALSE),0)</f>
        <v>0</v>
      </c>
      <c r="AA117" s="20">
        <f>IFERROR(VLOOKUP(Data[[#This Row],[TDS]],IntCompactors_PNA[[TDS]:[0]],2,FALSE),0)</f>
        <v>2</v>
      </c>
      <c r="AB117" s="20"/>
      <c r="AC117" s="20"/>
      <c r="AD117" s="20">
        <f>IFERROR(VLOOKUP(Data[[#This Row],[TDS]],ExtCompactors_PNA[[Development]:[0]],3,FALSE)+VLOOKUP(Data[[#This Row],[TDS]],ExtCompactors_PNA[[Development]:[0]],6,FALSE),0)</f>
        <v>0</v>
      </c>
      <c r="AE117" s="20">
        <f>IFERROR(VLOOKUP(Data[[#This Row],[TDS]],IntCompactors_PNA[[TDS]:[0]],3,FALSE)+VLOOKUP(Data[[#This Row],[TDS]],IntCompactors_PNA[[TDS]:[0]],6,FALSE),0)</f>
        <v>2</v>
      </c>
      <c r="AF117" s="20" t="e">
        <f>VLOOKUP(Data[[#This Row],[DEVELOPMENT]],[3]Developments!$A$2:$A$312,1,FALSE)</f>
        <v>#N/A</v>
      </c>
      <c r="AG117" s="20">
        <f>IFERROR(VLOOKUP(Data[[#This Row],[DEVELOPMENT]],Ops_Priorities_and_Data_Clean[[development]:[ifnoext_comment]],3,FALSE),"")</f>
        <v>0</v>
      </c>
      <c r="AH117" s="20">
        <f>IFERROR(VLOOKUP(Data[[#This Row],[DEVELOPMENT]],Ops_Priorities_and_Data_Clean[[development]:[ifnoext_comment]],4,FALSE),"")</f>
        <v>0</v>
      </c>
      <c r="AI117" s="20">
        <f>IFERROR(VLOOKUP(Data[[#This Row],[DEVELOPMENT]],Ops_Priorities_and_Data_Clean[[development]:[ifnoext_comment]],5,FALSE),"")</f>
        <v>0</v>
      </c>
      <c r="AJ117" s="20">
        <f>IFERROR(VLOOKUP(Data[[#This Row],[DEVELOPMENT]],Ops_Priorities_and_Data_Clean[[development]:[ifnoext_comment]],6,FALSE),"")</f>
        <v>0</v>
      </c>
      <c r="AK117" s="20">
        <f>IFERROR(VLOOKUP(Data[[#This Row],[DEVELOPMENT]],Ops_Priorities_and_Data_Clean[[development]:[ifnoext_comment]],7,FALSE),"")</f>
        <v>1</v>
      </c>
      <c r="AL117" s="20">
        <f>IFERROR(VLOOKUP(Data[[#This Row],[DEVELOPMENT]],Ops_Priorities_and_Data_Clean[[development]:[ifnoext_comment]],8,FALSE),"")</f>
        <v>1</v>
      </c>
      <c r="AM117" s="20">
        <f>IFERROR(VLOOKUP(Data[[#This Row],[DEVELOPMENT]],Ops_Priorities_and_Data_Clean[[development]:[ifnoext_comment]],9,FALSE),"")</f>
        <v>1</v>
      </c>
      <c r="AN117" s="20">
        <f>IFERROR(VLOOKUP(Data[[#This Row],[DEVELOPMENT]],Ops_Priorities_and_Data_Clean[[development]:[ifnoext_comment]],10,FALSE),"")</f>
        <v>0</v>
      </c>
      <c r="AO117" s="20">
        <f>IFERROR(VLOOKUP(Data[[#This Row],[DEVELOPMENT]],Ops_Priorities_and_Data_Clean[[development]:[ifnoext_comment]],11,FALSE),"")</f>
        <v>0</v>
      </c>
      <c r="AP117" s="20">
        <f>IFERROR(VLOOKUP(Data[[#This Row],[DEVELOPMENT]],Ops_Priorities_and_Data_Clean[[development]:[ifnoext_comment]],12,FALSE),"")</f>
        <v>0</v>
      </c>
      <c r="AQ117" s="20">
        <f>VLOOKUP(Data[[#This Row],[DEVELOPMENT]],Ops_Priorities_and_Data_Clean[[development]:[ifnoext_comment]],14,FALSE)</f>
        <v>1</v>
      </c>
      <c r="AR117" s="20">
        <f>VLOOKUP(Data[[#This Row],[DEVELOPMENT]],Ops_Priorities_and_Data_Clean[[development]:[ifnoext_comment]],15,FALSE)</f>
        <v>0</v>
      </c>
      <c r="AS117" s="20" t="str">
        <f>VLOOKUP(Data[[#This Row],[DEVELOPMENT]],Ops_Priorities_and_Data_Clean[[development]:[ifnoext_comment]],16,FALSE)</f>
        <v>NULL</v>
      </c>
      <c r="AT117" s="20" t="str">
        <f>VLOOKUP(Data[[#This Row],[DEVELOPMENT]],Ops_Priorities_and_Data_Clean[[development]:[ifnoext_comment]],17,FALSE)</f>
        <v>NULL</v>
      </c>
      <c r="AU117" s="20" t="str">
        <f>VLOOKUP(Data[[#This Row],[DEVELOPMENT]],Ops_Priorities_and_Data_Clean[[development]:[ifnoext_comment]],18,FALSE)</f>
        <v>yes</v>
      </c>
      <c r="AV117" s="20" t="str">
        <f>VLOOKUP(Data[[#This Row],[DEVELOPMENT]],Ops_Priorities_and_Data_Clean[[development]:[ifnoext_comment]],19,FALSE)</f>
        <v>Curbside pickup for DSNY</v>
      </c>
      <c r="AW117" s="20" t="str">
        <f>VLOOKUP(Data[[#This Row],[DEVELOPMENT]],Ops_Priorities_and_Data_Clean[[development]:[ifnoext_comment]],20,FALSE)</f>
        <v>NULL</v>
      </c>
      <c r="AX117" s="104" t="s">
        <v>2239</v>
      </c>
      <c r="AY117" s="104" t="s">
        <v>2625</v>
      </c>
      <c r="AZ117" s="20" t="str">
        <f>VLOOKUP(Data[[#This Row],[DEVELOPMENT]],Development_Data_Book[[DEVELOPMENT]:[PRIVATE MANAGEMENT]],8,FALSE)</f>
        <v>FEDERAL</v>
      </c>
      <c r="BA117" s="104" t="s">
        <v>2586</v>
      </c>
      <c r="BB117" s="20">
        <f>VLOOKUP(Data[[#This Row],[DEVELOPMENT]],Development_Data_Book[[DEVELOPMENT]:[PRIVATE MANAGEMENT]],22,FALSE)</f>
        <v>0</v>
      </c>
      <c r="BC117" s="20">
        <f>Data[[#This Row],[Non-Dwelling Buildings]]+Data[[#This Row],[Dwelling Buildings]]</f>
        <v>1</v>
      </c>
      <c r="BD117" s="20">
        <f>VLOOKUP(Data[[#This Row],[DEVELOPMENT]],Development_Data_Book[[DEVELOPMENT]:[PRIVATE MANAGEMENT]],26,FALSE)</f>
        <v>2.57</v>
      </c>
      <c r="BE117" s="106">
        <v>293550</v>
      </c>
      <c r="BF117" s="20">
        <f>VLOOKUP(Data[[#This Row],[DEVELOPMENT]],Development_Data_Book[[DEVELOPMENT]:[PRIVATE MANAGEMENT]],18,FALSE)</f>
        <v>277</v>
      </c>
      <c r="BG117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17" s="104" t="s">
        <v>2593</v>
      </c>
      <c r="BI117" t="s">
        <v>184</v>
      </c>
      <c r="BJ117" s="20">
        <f>VLOOKUP(Data[[#This Row],[DEVELOPMENT]],Development_Data_Book[[DEVELOPMENT]:[PRIVATE MANAGEMENT]],41,FALSE)</f>
        <v>12</v>
      </c>
      <c r="BK117" s="20">
        <f>VLOOKUP(Data[[#This Row],[DEVELOPMENT]],Development_Data_Book[[DEVELOPMENT]:[PRIVATE MANAGEMENT]],42,FALSE)</f>
        <v>13</v>
      </c>
      <c r="BL117" s="20">
        <f>VLOOKUP(Data[[#This Row],[DEVELOPMENT]],Development_Data_Book[[DEVELOPMENT]:[PRIVATE MANAGEMENT]],43,FALSE)</f>
        <v>31</v>
      </c>
      <c r="BM117" s="20">
        <f>VLOOKUP(Data[[#This Row],[DEVELOPMENT]],Development_Data_Book[[DEVELOPMENT]:[PRIVATE MANAGEMENT]],44,FALSE)</f>
        <v>71</v>
      </c>
      <c r="BN117" s="20">
        <f>VLOOKUP(Data[[#This Row],[DEVELOPMENT]],Development_Data_Book[[DEVELOPMENT]:[PRIVATE MANAGEMENT]],45,FALSE)</f>
        <v>7</v>
      </c>
      <c r="BO117" s="20">
        <f>VLOOKUP(Data[[#This Row],[DEVELOPMENT]],Development_Data_Book[[DEVELOPMENT]:[PRIVATE MANAGEMENT]],24,FALSE)</f>
        <v>7</v>
      </c>
    </row>
    <row r="118" spans="1:67">
      <c r="A118" t="s">
        <v>111</v>
      </c>
      <c r="B118" t="str">
        <f>VLOOKUP(Data[[#This Row],[DEVELOPMENT]],Development_Data_Book[[DEVELOPMENT]:[BOROUGH]],MATCH("borough",Development_Data_Book[[#Headers],[DEVELOPMENT]:[BOROUGH]],0),FALSE)</f>
        <v>MANHATTAN</v>
      </c>
      <c r="C118" t="e">
        <f>VLOOKUP(Data[[#This Row],[DEVELOPMENT]],'[1]Cheat-Sheet'!$D$2:$Q$341,2,FALSE)</f>
        <v>#N/A</v>
      </c>
      <c r="D11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18">
        <f>VLOOKUP(Data[[#This Row],[DEVELOPMENT]],Development_Data_Book[[DEVELOPMENT]:[BOROUGH]],21,FALSE)</f>
        <v>11</v>
      </c>
      <c r="F118">
        <f>VLOOKUP(Data[[#This Row],[DEVELOPMENT]],Development_Data_Book[[DEVELOPMENT]:[BOROUGH]],23,FALSE)</f>
        <v>12</v>
      </c>
      <c r="G118">
        <f>VLOOKUP(Data[[#This Row],[DEVELOPMENT]],Development_Data_Book[[DEVELOPMENT]:[BOROUGH]],12,FALSE)</f>
        <v>944</v>
      </c>
      <c r="H118" t="s">
        <v>2248</v>
      </c>
      <c r="I118">
        <v>4</v>
      </c>
      <c r="J118">
        <f>IFERROR(VLOOKUP(Data[[#This Row],[DEVELOPMENT]],IntCompactors_MRST[],4,FALSE),0)</f>
        <v>19</v>
      </c>
      <c r="K118" s="20">
        <f>IFERROR(VLOOKUP(Data[[#This Row],[DEVELOPMENT]],ExtCompactors_MRST[],4,FALSE),0)</f>
        <v>2</v>
      </c>
      <c r="L118" s="27">
        <f>IF(Data[[#This Row],['# Interior Compactors MRST]]=0,"",VLOOKUP(Data[[#This Row],[DEVELOPMENT]],IntCompactors_MRST[],5,FALSE))</f>
        <v>37408</v>
      </c>
      <c r="M118" s="28">
        <f>IF(Data[[#This Row],['# Exterior Compactors MRST]]=0,"",VLOOKUP(Data[[#This Row],[DEVELOPMENT]],ExtCompactors_MRST[],5,FALSE))</f>
        <v>37368</v>
      </c>
      <c r="N118">
        <f>Data[[#This Row],['# Interior Compactors MRST]]</f>
        <v>19</v>
      </c>
      <c r="O118" s="20">
        <f>IF(Data[[#This Row],['# Bulk Crushers]]=0,1,0)</f>
        <v>1</v>
      </c>
      <c r="P118" s="20">
        <f>1</f>
        <v>1</v>
      </c>
      <c r="Q118" s="20">
        <f>1</f>
        <v>1</v>
      </c>
      <c r="R118" s="20">
        <f>1</f>
        <v>1</v>
      </c>
      <c r="S118" s="20">
        <f>1</f>
        <v>1</v>
      </c>
      <c r="T118" s="20">
        <f>IF(Data[[#This Row],[Sewershed]]="Newtown Creek",Data[[#This Row],[DUs]],0)</f>
        <v>0</v>
      </c>
      <c r="U11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1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1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18" s="82">
        <f>VLOOKUP(Data[[#This Row],[DEVELOPMENT]],Development_Data_Book[[DEVELOPMENT]:[BOROUGH]],3,FALSE)</f>
        <v>136</v>
      </c>
      <c r="Y118" s="20"/>
      <c r="Z118" s="20">
        <f>IFERROR(VLOOKUP(Data[[#This Row],[TDS]],ExtCompactors_PNA[[Development]:[0]],2,FALSE),0)</f>
        <v>2</v>
      </c>
      <c r="AA118" s="20">
        <f>IFERROR(VLOOKUP(Data[[#This Row],[TDS]],IntCompactors_PNA[[TDS]:[0]],2,FALSE),0)</f>
        <v>19</v>
      </c>
      <c r="AB118" s="20"/>
      <c r="AC118" s="20"/>
      <c r="AD118" s="20">
        <f>IFERROR(VLOOKUP(Data[[#This Row],[TDS]],ExtCompactors_PNA[[Development]:[0]],3,FALSE)+VLOOKUP(Data[[#This Row],[TDS]],ExtCompactors_PNA[[Development]:[0]],6,FALSE),0)</f>
        <v>2</v>
      </c>
      <c r="AE118" s="20">
        <f>IFERROR(VLOOKUP(Data[[#This Row],[TDS]],IntCompactors_PNA[[TDS]:[0]],3,FALSE)+VLOOKUP(Data[[#This Row],[TDS]],IntCompactors_PNA[[TDS]:[0]],6,FALSE),0)</f>
        <v>19</v>
      </c>
      <c r="AF118" s="20" t="e">
        <f>VLOOKUP(Data[[#This Row],[DEVELOPMENT]],[3]Developments!$A$2:$A$312,1,FALSE)</f>
        <v>#N/A</v>
      </c>
      <c r="AG118" s="20">
        <f>IFERROR(VLOOKUP(Data[[#This Row],[DEVELOPMENT]],Ops_Priorities_and_Data_Clean[[development]:[ifnoext_comment]],3,FALSE),"")</f>
        <v>2</v>
      </c>
      <c r="AH118" s="20">
        <f>IFERROR(VLOOKUP(Data[[#This Row],[DEVELOPMENT]],Ops_Priorities_and_Data_Clean[[development]:[ifnoext_comment]],4,FALSE),"")</f>
        <v>4</v>
      </c>
      <c r="AI118" s="20">
        <f>IFERROR(VLOOKUP(Data[[#This Row],[DEVELOPMENT]],Ops_Priorities_and_Data_Clean[[development]:[ifnoext_comment]],5,FALSE),"")</f>
        <v>1</v>
      </c>
      <c r="AJ118" s="20">
        <f>IFERROR(VLOOKUP(Data[[#This Row],[DEVELOPMENT]],Ops_Priorities_and_Data_Clean[[development]:[ifnoext_comment]],6,FALSE),"")</f>
        <v>0</v>
      </c>
      <c r="AK118" s="20">
        <f>IFERROR(VLOOKUP(Data[[#This Row],[DEVELOPMENT]],Ops_Priorities_and_Data_Clean[[development]:[ifnoext_comment]],7,FALSE),"")</f>
        <v>0</v>
      </c>
      <c r="AL118" s="20">
        <f>IFERROR(VLOOKUP(Data[[#This Row],[DEVELOPMENT]],Ops_Priorities_and_Data_Clean[[development]:[ifnoext_comment]],8,FALSE),"")</f>
        <v>1</v>
      </c>
      <c r="AM118" s="20">
        <f>IFERROR(VLOOKUP(Data[[#This Row],[DEVELOPMENT]],Ops_Priorities_and_Data_Clean[[development]:[ifnoext_comment]],9,FALSE),"")</f>
        <v>0</v>
      </c>
      <c r="AN118" s="20">
        <f>IFERROR(VLOOKUP(Data[[#This Row],[DEVELOPMENT]],Ops_Priorities_and_Data_Clean[[development]:[ifnoext_comment]],10,FALSE),"")</f>
        <v>2</v>
      </c>
      <c r="AO118" s="20">
        <f>IFERROR(VLOOKUP(Data[[#This Row],[DEVELOPMENT]],Ops_Priorities_and_Data_Clean[[development]:[ifnoext_comment]],11,FALSE),"")</f>
        <v>2</v>
      </c>
      <c r="AP118" s="20">
        <f>IFERROR(VLOOKUP(Data[[#This Row],[DEVELOPMENT]],Ops_Priorities_and_Data_Clean[[development]:[ifnoext_comment]],12,FALSE),"")</f>
        <v>2</v>
      </c>
      <c r="AQ118" s="20">
        <f>VLOOKUP(Data[[#This Row],[DEVELOPMENT]],Ops_Priorities_and_Data_Clean[[development]:[ifnoext_comment]],14,FALSE)</f>
        <v>0</v>
      </c>
      <c r="AR118" s="20">
        <f>VLOOKUP(Data[[#This Row],[DEVELOPMENT]],Ops_Priorities_and_Data_Clean[[development]:[ifnoext_comment]],15,FALSE)</f>
        <v>0</v>
      </c>
      <c r="AS118" s="20" t="str">
        <f>VLOOKUP(Data[[#This Row],[DEVELOPMENT]],Ops_Priorities_and_Data_Clean[[development]:[ifnoext_comment]],16,FALSE)</f>
        <v>NULL</v>
      </c>
      <c r="AT118" s="20" t="str">
        <f>VLOOKUP(Data[[#This Row],[DEVELOPMENT]],Ops_Priorities_and_Data_Clean[[development]:[ifnoext_comment]],17,FALSE)</f>
        <v>NULL</v>
      </c>
      <c r="AU118" s="20" t="str">
        <f>VLOOKUP(Data[[#This Row],[DEVELOPMENT]],Ops_Priorities_and_Data_Clean[[development]:[ifnoext_comment]],18,FALSE)</f>
        <v>NULL</v>
      </c>
      <c r="AV118" s="20" t="str">
        <f>VLOOKUP(Data[[#This Row],[DEVELOPMENT]],Ops_Priorities_and_Data_Clean[[development]:[ifnoext_comment]],19,FALSE)</f>
        <v>NULL</v>
      </c>
      <c r="AW118" s="20" t="str">
        <f>VLOOKUP(Data[[#This Row],[DEVELOPMENT]],Ops_Priorities_and_Data_Clean[[development]:[ifnoext_comment]],20,FALSE)</f>
        <v>NULL</v>
      </c>
      <c r="AX118" s="104" t="s">
        <v>2239</v>
      </c>
      <c r="AY118" s="104" t="s">
        <v>309</v>
      </c>
      <c r="AZ118" s="20" t="str">
        <f>VLOOKUP(Data[[#This Row],[DEVELOPMENT]],Development_Data_Book[[DEVELOPMENT]:[PRIVATE MANAGEMENT]],8,FALSE)</f>
        <v>FEDERAL</v>
      </c>
      <c r="BA118" s="104" t="s">
        <v>2586</v>
      </c>
      <c r="BB118" s="20">
        <f>VLOOKUP(Data[[#This Row],[DEVELOPMENT]],Development_Data_Book[[DEVELOPMENT]:[PRIVATE MANAGEMENT]],22,FALSE)</f>
        <v>1</v>
      </c>
      <c r="BC118" s="20">
        <f>Data[[#This Row],[Non-Dwelling Buildings]]+Data[[#This Row],[Dwelling Buildings]]</f>
        <v>12</v>
      </c>
      <c r="BD118" s="20">
        <f>VLOOKUP(Data[[#This Row],[DEVELOPMENT]],Development_Data_Book[[DEVELOPMENT]:[PRIVATE MANAGEMENT]],26,FALSE)</f>
        <v>4.92</v>
      </c>
      <c r="BE118" s="106">
        <v>932450</v>
      </c>
      <c r="BF118" s="20">
        <f>VLOOKUP(Data[[#This Row],[DEVELOPMENT]],Development_Data_Book[[DEVELOPMENT]:[PRIVATE MANAGEMENT]],18,FALSE)</f>
        <v>2166</v>
      </c>
      <c r="BG11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18" s="104" t="s">
        <v>2598</v>
      </c>
      <c r="BI118" t="s">
        <v>184</v>
      </c>
      <c r="BJ118" s="20">
        <f>VLOOKUP(Data[[#This Row],[DEVELOPMENT]],Development_Data_Book[[DEVELOPMENT]:[PRIVATE MANAGEMENT]],41,FALSE)</f>
        <v>4</v>
      </c>
      <c r="BK118" s="20">
        <f>VLOOKUP(Data[[#This Row],[DEVELOPMENT]],Development_Data_Book[[DEVELOPMENT]:[PRIVATE MANAGEMENT]],42,FALSE)</f>
        <v>10</v>
      </c>
      <c r="BL118" s="20">
        <f>VLOOKUP(Data[[#This Row],[DEVELOPMENT]],Development_Data_Book[[DEVELOPMENT]:[PRIVATE MANAGEMENT]],43,FALSE)</f>
        <v>27</v>
      </c>
      <c r="BM118" s="20">
        <f>VLOOKUP(Data[[#This Row],[DEVELOPMENT]],Development_Data_Book[[DEVELOPMENT]:[PRIVATE MANAGEMENT]],44,FALSE)</f>
        <v>75</v>
      </c>
      <c r="BN118" s="20">
        <f>VLOOKUP(Data[[#This Row],[DEVELOPMENT]],Development_Data_Book[[DEVELOPMENT]:[PRIVATE MANAGEMENT]],45,FALSE)</f>
        <v>3</v>
      </c>
      <c r="BO118" s="20">
        <f>VLOOKUP(Data[[#This Row],[DEVELOPMENT]],Development_Data_Book[[DEVELOPMENT]:[PRIVATE MANAGEMENT]],24,FALSE)</f>
        <v>43641</v>
      </c>
    </row>
    <row r="119" spans="1:67">
      <c r="A119" t="s">
        <v>324</v>
      </c>
      <c r="B119" s="20" t="str">
        <f>VLOOKUP(Data[[#This Row],[DEVELOPMENT]],Development_Data_Book[[DEVELOPMENT]:[BOROUGH]],MATCH("borough",Development_Data_Book[[#Headers],[DEVELOPMENT]:[BOROUGH]],0),FALSE)</f>
        <v>BROOKLYN</v>
      </c>
      <c r="C119" s="20" t="e">
        <f>VLOOKUP(Data[[#This Row],[DEVELOPMENT]],'[1]Cheat-Sheet'!$D$2:$Q$341,2,FALSE)</f>
        <v>#N/A</v>
      </c>
      <c r="D11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19" s="20">
        <f>VLOOKUP(Data[[#This Row],[DEVELOPMENT]],Development_Data_Book[[DEVELOPMENT]:[BOROUGH]],21,FALSE)</f>
        <v>3</v>
      </c>
      <c r="F119" s="20">
        <f>VLOOKUP(Data[[#This Row],[DEVELOPMENT]],Development_Data_Book[[DEVELOPMENT]:[BOROUGH]],23,FALSE)</f>
        <v>6</v>
      </c>
      <c r="G119" s="20">
        <f>VLOOKUP(Data[[#This Row],[DEVELOPMENT]],Development_Data_Book[[DEVELOPMENT]:[BOROUGH]],12,FALSE)</f>
        <v>320</v>
      </c>
      <c r="J119">
        <f>IFERROR(VLOOKUP(Data[[#This Row],[DEVELOPMENT]],IntCompactors_MRST[],4,FALSE),0)</f>
        <v>5</v>
      </c>
      <c r="K119" s="20">
        <f>IFERROR(VLOOKUP(Data[[#This Row],[DEVELOPMENT]],ExtCompactors_MRST[],4,FALSE),0)</f>
        <v>0</v>
      </c>
      <c r="L119" s="27">
        <f>IF(Data[[#This Row],['# Interior Compactors MRST]]=0,"",VLOOKUP(Data[[#This Row],[DEVELOPMENT]],IntCompactors_MRST[],5,FALSE))</f>
        <v>35856</v>
      </c>
      <c r="M119" s="28" t="str">
        <f>IF(Data[[#This Row],['# Exterior Compactors MRST]]=0,"",VLOOKUP(Data[[#This Row],[DEVELOPMENT]],ExtCompactors_MRST[],5,FALSE))</f>
        <v/>
      </c>
      <c r="N119" s="20">
        <f>Data[[#This Row],['# Interior Compactors MRST]]</f>
        <v>5</v>
      </c>
      <c r="O119" s="20">
        <f>IF(Data[[#This Row],['# Bulk Crushers]]=0,1,0)</f>
        <v>1</v>
      </c>
      <c r="P119" s="20">
        <f>1</f>
        <v>1</v>
      </c>
      <c r="Q119" s="20">
        <f>1</f>
        <v>1</v>
      </c>
      <c r="R119" s="20">
        <f>1</f>
        <v>1</v>
      </c>
      <c r="S119" s="20">
        <f>1</f>
        <v>1</v>
      </c>
      <c r="T119" s="20">
        <f>IF(Data[[#This Row],[Sewershed]]="Newtown Creek",Data[[#This Row],[DUs]],0)</f>
        <v>0</v>
      </c>
      <c r="U11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1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1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19" s="82">
        <f>VLOOKUP(Data[[#This Row],[DEVELOPMENT]],Development_Data_Book[[DEVELOPMENT]:[BOROUGH]],3,FALSE)</f>
        <v>252</v>
      </c>
      <c r="Y119" s="20"/>
      <c r="Z119" s="20">
        <f>IFERROR(VLOOKUP(Data[[#This Row],[TDS]],ExtCompactors_PNA[[Development]:[0]],2,FALSE),0)</f>
        <v>0</v>
      </c>
      <c r="AA119" s="20">
        <f>IFERROR(VLOOKUP(Data[[#This Row],[TDS]],IntCompactors_PNA[[TDS]:[0]],2,FALSE),0)</f>
        <v>5</v>
      </c>
      <c r="AB119" s="20"/>
      <c r="AC119" s="20"/>
      <c r="AD119" s="20">
        <f>IFERROR(VLOOKUP(Data[[#This Row],[TDS]],ExtCompactors_PNA[[Development]:[0]],3,FALSE)+VLOOKUP(Data[[#This Row],[TDS]],ExtCompactors_PNA[[Development]:[0]],6,FALSE),0)</f>
        <v>0</v>
      </c>
      <c r="AE119" s="20">
        <f>IFERROR(VLOOKUP(Data[[#This Row],[TDS]],IntCompactors_PNA[[TDS]:[0]],3,FALSE)+VLOOKUP(Data[[#This Row],[TDS]],IntCompactors_PNA[[TDS]:[0]],6,FALSE),0)</f>
        <v>5</v>
      </c>
      <c r="AF119" s="20" t="e">
        <f>VLOOKUP(Data[[#This Row],[DEVELOPMENT]],[3]Developments!$A$2:$A$312,1,FALSE)</f>
        <v>#N/A</v>
      </c>
      <c r="AG119" s="20">
        <f>IFERROR(VLOOKUP(Data[[#This Row],[DEVELOPMENT]],Ops_Priorities_and_Data_Clean[[development]:[ifnoext_comment]],3,FALSE),"")</f>
        <v>0</v>
      </c>
      <c r="AH119" s="20">
        <f>IFERROR(VLOOKUP(Data[[#This Row],[DEVELOPMENT]],Ops_Priorities_and_Data_Clean[[development]:[ifnoext_comment]],4,FALSE),"")</f>
        <v>0</v>
      </c>
      <c r="AI119" s="20">
        <f>IFERROR(VLOOKUP(Data[[#This Row],[DEVELOPMENT]],Ops_Priorities_and_Data_Clean[[development]:[ifnoext_comment]],5,FALSE),"")</f>
        <v>0</v>
      </c>
      <c r="AJ119" s="20">
        <f>IFERROR(VLOOKUP(Data[[#This Row],[DEVELOPMENT]],Ops_Priorities_and_Data_Clean[[development]:[ifnoext_comment]],6,FALSE),"")</f>
        <v>0</v>
      </c>
      <c r="AK119" s="20">
        <f>IFERROR(VLOOKUP(Data[[#This Row],[DEVELOPMENT]],Ops_Priorities_and_Data_Clean[[development]:[ifnoext_comment]],7,FALSE),"")</f>
        <v>1</v>
      </c>
      <c r="AL119" s="20">
        <f>IFERROR(VLOOKUP(Data[[#This Row],[DEVELOPMENT]],Ops_Priorities_and_Data_Clean[[development]:[ifnoext_comment]],8,FALSE),"")</f>
        <v>1</v>
      </c>
      <c r="AM119" s="20">
        <f>IFERROR(VLOOKUP(Data[[#This Row],[DEVELOPMENT]],Ops_Priorities_and_Data_Clean[[development]:[ifnoext_comment]],9,FALSE),"")</f>
        <v>1</v>
      </c>
      <c r="AN119" s="20">
        <f>IFERROR(VLOOKUP(Data[[#This Row],[DEVELOPMENT]],Ops_Priorities_and_Data_Clean[[development]:[ifnoext_comment]],10,FALSE),"")</f>
        <v>0</v>
      </c>
      <c r="AO119" s="20">
        <f>IFERROR(VLOOKUP(Data[[#This Row],[DEVELOPMENT]],Ops_Priorities_and_Data_Clean[[development]:[ifnoext_comment]],11,FALSE),"")</f>
        <v>0</v>
      </c>
      <c r="AP119" s="20">
        <f>IFERROR(VLOOKUP(Data[[#This Row],[DEVELOPMENT]],Ops_Priorities_and_Data_Clean[[development]:[ifnoext_comment]],12,FALSE),"")</f>
        <v>0</v>
      </c>
      <c r="AQ119" s="20">
        <f>VLOOKUP(Data[[#This Row],[DEVELOPMENT]],Ops_Priorities_and_Data_Clean[[development]:[ifnoext_comment]],14,FALSE)</f>
        <v>1</v>
      </c>
      <c r="AR119" s="20">
        <f>VLOOKUP(Data[[#This Row],[DEVELOPMENT]],Ops_Priorities_and_Data_Clean[[development]:[ifnoext_comment]],15,FALSE)</f>
        <v>0</v>
      </c>
      <c r="AS119" s="20" t="str">
        <f>VLOOKUP(Data[[#This Row],[DEVELOPMENT]],Ops_Priorities_and_Data_Clean[[development]:[ifnoext_comment]],16,FALSE)</f>
        <v>NULL</v>
      </c>
      <c r="AT119" s="20" t="str">
        <f>VLOOKUP(Data[[#This Row],[DEVELOPMENT]],Ops_Priorities_and_Data_Clean[[development]:[ifnoext_comment]],17,FALSE)</f>
        <v>NULL</v>
      </c>
      <c r="AU119" s="20" t="str">
        <f>VLOOKUP(Data[[#This Row],[DEVELOPMENT]],Ops_Priorities_and_Data_Clean[[development]:[ifnoext_comment]],18,FALSE)</f>
        <v>NULL</v>
      </c>
      <c r="AV119" s="20" t="str">
        <f>VLOOKUP(Data[[#This Row],[DEVELOPMENT]],Ops_Priorities_and_Data_Clean[[development]:[ifnoext_comment]],19,FALSE)</f>
        <v>NULL</v>
      </c>
      <c r="AW119" s="20" t="str">
        <f>VLOOKUP(Data[[#This Row],[DEVELOPMENT]],Ops_Priorities_and_Data_Clean[[development]:[ifnoext_comment]],20,FALSE)</f>
        <v>NULL</v>
      </c>
      <c r="AX119" s="104" t="s">
        <v>2238</v>
      </c>
      <c r="AY119" s="104" t="s">
        <v>392</v>
      </c>
      <c r="AZ119" s="20" t="str">
        <f>VLOOKUP(Data[[#This Row],[DEVELOPMENT]],Development_Data_Book[[DEVELOPMENT]:[PRIVATE MANAGEMENT]],8,FALSE)</f>
        <v>FEDERAL</v>
      </c>
      <c r="BA119" s="104" t="s">
        <v>2586</v>
      </c>
      <c r="BB119" s="20">
        <f>VLOOKUP(Data[[#This Row],[DEVELOPMENT]],Development_Data_Book[[DEVELOPMENT]:[PRIVATE MANAGEMENT]],22,FALSE)</f>
        <v>1</v>
      </c>
      <c r="BC119" s="20">
        <f>Data[[#This Row],[Non-Dwelling Buildings]]+Data[[#This Row],[Dwelling Buildings]]</f>
        <v>4</v>
      </c>
      <c r="BD119" s="20">
        <f>VLOOKUP(Data[[#This Row],[DEVELOPMENT]],Development_Data_Book[[DEVELOPMENT]:[PRIVATE MANAGEMENT]],26,FALSE)</f>
        <v>3.28</v>
      </c>
      <c r="BE119" s="106">
        <v>384756</v>
      </c>
      <c r="BF119" s="20">
        <f>VLOOKUP(Data[[#This Row],[DEVELOPMENT]],Development_Data_Book[[DEVELOPMENT]:[PRIVATE MANAGEMENT]],18,FALSE)</f>
        <v>863</v>
      </c>
      <c r="BG119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119" s="104" t="s">
        <v>2589</v>
      </c>
      <c r="BI119" t="s">
        <v>184</v>
      </c>
      <c r="BJ119" s="20">
        <f>VLOOKUP(Data[[#This Row],[DEVELOPMENT]],Development_Data_Book[[DEVELOPMENT]:[PRIVATE MANAGEMENT]],41,FALSE)</f>
        <v>16</v>
      </c>
      <c r="BK119" s="20">
        <f>VLOOKUP(Data[[#This Row],[DEVELOPMENT]],Development_Data_Book[[DEVELOPMENT]:[PRIVATE MANAGEMENT]],42,FALSE)</f>
        <v>9</v>
      </c>
      <c r="BL119" s="20">
        <f>VLOOKUP(Data[[#This Row],[DEVELOPMENT]],Development_Data_Book[[DEVELOPMENT]:[PRIVATE MANAGEMENT]],43,FALSE)</f>
        <v>20</v>
      </c>
      <c r="BM119" s="20">
        <f>VLOOKUP(Data[[#This Row],[DEVELOPMENT]],Development_Data_Book[[DEVELOPMENT]:[PRIVATE MANAGEMENT]],44,FALSE)</f>
        <v>55</v>
      </c>
      <c r="BN119" s="20">
        <f>VLOOKUP(Data[[#This Row],[DEVELOPMENT]],Development_Data_Book[[DEVELOPMENT]:[PRIVATE MANAGEMENT]],45,FALSE)</f>
        <v>41</v>
      </c>
      <c r="BO119" s="20" t="str">
        <f>VLOOKUP(Data[[#This Row],[DEVELOPMENT]],Development_Data_Book[[DEVELOPMENT]:[PRIVATE MANAGEMENT]],24,FALSE)</f>
        <v>2, 6-14</v>
      </c>
    </row>
    <row r="120" spans="1:67">
      <c r="A120" t="s">
        <v>243</v>
      </c>
      <c r="B120" s="20" t="str">
        <f>VLOOKUP(Data[[#This Row],[DEVELOPMENT]],Development_Data_Book[[DEVELOPMENT]:[BOROUGH]],MATCH("borough",Development_Data_Book[[#Headers],[DEVELOPMENT]:[BOROUGH]],0),FALSE)</f>
        <v>BRONX</v>
      </c>
      <c r="C120" s="20" t="e">
        <f>VLOOKUP(Data[[#This Row],[DEVELOPMENT]],'[1]Cheat-Sheet'!$D$2:$Q$341,2,FALSE)</f>
        <v>#N/A</v>
      </c>
      <c r="D12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20" s="20">
        <f>VLOOKUP(Data[[#This Row],[DEVELOPMENT]],Development_Data_Book[[DEVELOPMENT]:[BOROUGH]],21,FALSE)</f>
        <v>1</v>
      </c>
      <c r="F120" s="20">
        <f>VLOOKUP(Data[[#This Row],[DEVELOPMENT]],Development_Data_Book[[DEVELOPMENT]:[BOROUGH]],23,FALSE)</f>
        <v>1</v>
      </c>
      <c r="G120" s="20">
        <f>VLOOKUP(Data[[#This Row],[DEVELOPMENT]],Development_Data_Book[[DEVELOPMENT]:[BOROUGH]],12,FALSE)</f>
        <v>131</v>
      </c>
      <c r="J120">
        <f>IFERROR(VLOOKUP(Data[[#This Row],[DEVELOPMENT]],IntCompactors_MRST[],4,FALSE),0)</f>
        <v>1</v>
      </c>
      <c r="K120" s="20">
        <f>IFERROR(VLOOKUP(Data[[#This Row],[DEVELOPMENT]],ExtCompactors_MRST[],4,FALSE),0)</f>
        <v>0</v>
      </c>
      <c r="L120" s="27">
        <f>IF(Data[[#This Row],['# Interior Compactors MRST]]=0,"",VLOOKUP(Data[[#This Row],[DEVELOPMENT]],IntCompactors_MRST[],5,FALSE))</f>
        <v>34912</v>
      </c>
      <c r="M120" s="28" t="str">
        <f>IF(Data[[#This Row],['# Exterior Compactors MRST]]=0,"",VLOOKUP(Data[[#This Row],[DEVELOPMENT]],ExtCompactors_MRST[],5,FALSE))</f>
        <v/>
      </c>
      <c r="N120" s="20">
        <f>Data[[#This Row],['# Interior Compactors MRST]]</f>
        <v>1</v>
      </c>
      <c r="O120" s="20">
        <f>IF(Data[[#This Row],['# Bulk Crushers]]=0,1,0)</f>
        <v>1</v>
      </c>
      <c r="P120" s="20">
        <f>1</f>
        <v>1</v>
      </c>
      <c r="Q120" s="20">
        <f>1</f>
        <v>1</v>
      </c>
      <c r="R120" s="20">
        <f>1</f>
        <v>1</v>
      </c>
      <c r="S120" s="20">
        <f>1</f>
        <v>1</v>
      </c>
      <c r="T120" s="20">
        <f>IF(Data[[#This Row],[Sewershed]]="Newtown Creek",Data[[#This Row],[DUs]],0)</f>
        <v>0</v>
      </c>
      <c r="U12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2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2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20" s="82">
        <f>VLOOKUP(Data[[#This Row],[DEVELOPMENT]],Development_Data_Book[[DEVELOPMENT]:[BOROUGH]],3,FALSE)</f>
        <v>225</v>
      </c>
      <c r="Y120" s="20"/>
      <c r="Z120" s="20">
        <f>IFERROR(VLOOKUP(Data[[#This Row],[TDS]],ExtCompactors_PNA[[Development]:[0]],2,FALSE),0)</f>
        <v>0</v>
      </c>
      <c r="AA120" s="20">
        <f>IFERROR(VLOOKUP(Data[[#This Row],[TDS]],IntCompactors_PNA[[TDS]:[0]],2,FALSE),0)</f>
        <v>2</v>
      </c>
      <c r="AB120" s="20"/>
      <c r="AC120" s="20"/>
      <c r="AD120" s="20">
        <f>IFERROR(VLOOKUP(Data[[#This Row],[TDS]],ExtCompactors_PNA[[Development]:[0]],3,FALSE)+VLOOKUP(Data[[#This Row],[TDS]],ExtCompactors_PNA[[Development]:[0]],6,FALSE),0)</f>
        <v>0</v>
      </c>
      <c r="AE120" s="20">
        <f>IFERROR(VLOOKUP(Data[[#This Row],[TDS]],IntCompactors_PNA[[TDS]:[0]],3,FALSE)+VLOOKUP(Data[[#This Row],[TDS]],IntCompactors_PNA[[TDS]:[0]],6,FALSE),0)</f>
        <v>2</v>
      </c>
      <c r="AF120" s="20" t="e">
        <f>VLOOKUP(Data[[#This Row],[DEVELOPMENT]],[3]Developments!$A$2:$A$312,1,FALSE)</f>
        <v>#N/A</v>
      </c>
      <c r="AG120" s="20">
        <f>IFERROR(VLOOKUP(Data[[#This Row],[DEVELOPMENT]],Ops_Priorities_and_Data_Clean[[development]:[ifnoext_comment]],3,FALSE),"")</f>
        <v>0</v>
      </c>
      <c r="AH120" s="20">
        <f>IFERROR(VLOOKUP(Data[[#This Row],[DEVELOPMENT]],Ops_Priorities_and_Data_Clean[[development]:[ifnoext_comment]],4,FALSE),"")</f>
        <v>0</v>
      </c>
      <c r="AI120" s="20">
        <f>IFERROR(VLOOKUP(Data[[#This Row],[DEVELOPMENT]],Ops_Priorities_and_Data_Clean[[development]:[ifnoext_comment]],5,FALSE),"")</f>
        <v>0</v>
      </c>
      <c r="AJ120" s="20">
        <f>IFERROR(VLOOKUP(Data[[#This Row],[DEVELOPMENT]],Ops_Priorities_and_Data_Clean[[development]:[ifnoext_comment]],6,FALSE),"")</f>
        <v>1</v>
      </c>
      <c r="AK120" s="20">
        <f>IFERROR(VLOOKUP(Data[[#This Row],[DEVELOPMENT]],Ops_Priorities_and_Data_Clean[[development]:[ifnoext_comment]],7,FALSE),"")</f>
        <v>0</v>
      </c>
      <c r="AL120" s="20">
        <f>IFERROR(VLOOKUP(Data[[#This Row],[DEVELOPMENT]],Ops_Priorities_and_Data_Clean[[development]:[ifnoext_comment]],8,FALSE),"")</f>
        <v>1</v>
      </c>
      <c r="AM120" s="20">
        <f>IFERROR(VLOOKUP(Data[[#This Row],[DEVELOPMENT]],Ops_Priorities_and_Data_Clean[[development]:[ifnoext_comment]],9,FALSE),"")</f>
        <v>0</v>
      </c>
      <c r="AN120" s="20">
        <f>IFERROR(VLOOKUP(Data[[#This Row],[DEVELOPMENT]],Ops_Priorities_and_Data_Clean[[development]:[ifnoext_comment]],10,FALSE),"")</f>
        <v>0</v>
      </c>
      <c r="AO120" s="20">
        <f>IFERROR(VLOOKUP(Data[[#This Row],[DEVELOPMENT]],Ops_Priorities_and_Data_Clean[[development]:[ifnoext_comment]],11,FALSE),"")</f>
        <v>0</v>
      </c>
      <c r="AP120" s="20">
        <f>IFERROR(VLOOKUP(Data[[#This Row],[DEVELOPMENT]],Ops_Priorities_and_Data_Clean[[development]:[ifnoext_comment]],12,FALSE),"")</f>
        <v>0</v>
      </c>
      <c r="AQ120" s="20">
        <f>VLOOKUP(Data[[#This Row],[DEVELOPMENT]],Ops_Priorities_and_Data_Clean[[development]:[ifnoext_comment]],14,FALSE)</f>
        <v>0</v>
      </c>
      <c r="AR120" s="20">
        <f>VLOOKUP(Data[[#This Row],[DEVELOPMENT]],Ops_Priorities_and_Data_Clean[[development]:[ifnoext_comment]],15,FALSE)</f>
        <v>1</v>
      </c>
      <c r="AS120" s="20" t="str">
        <f>VLOOKUP(Data[[#This Row],[DEVELOPMENT]],Ops_Priorities_and_Data_Clean[[development]:[ifnoext_comment]],16,FALSE)</f>
        <v>Sotomayor Houses</v>
      </c>
      <c r="AT120" s="20" t="str">
        <f>VLOOKUP(Data[[#This Row],[DEVELOPMENT]],Ops_Priorities_and_Data_Clean[[development]:[ifnoext_comment]],17,FALSE)</f>
        <v>NULL</v>
      </c>
      <c r="AU120" s="20" t="str">
        <f>VLOOKUP(Data[[#This Row],[DEVELOPMENT]],Ops_Priorities_and_Data_Clean[[development]:[ifnoext_comment]],18,FALSE)</f>
        <v>NULL</v>
      </c>
      <c r="AV120" s="20" t="str">
        <f>VLOOKUP(Data[[#This Row],[DEVELOPMENT]],Ops_Priorities_and_Data_Clean[[development]:[ifnoext_comment]],19,FALSE)</f>
        <v>NULL</v>
      </c>
      <c r="AW120" s="20" t="str">
        <f>VLOOKUP(Data[[#This Row],[DEVELOPMENT]],Ops_Priorities_and_Data_Clean[[development]:[ifnoext_comment]],20,FALSE)</f>
        <v>NULL</v>
      </c>
      <c r="AX120" s="104" t="s">
        <v>2237</v>
      </c>
      <c r="AY120" s="104" t="s">
        <v>2648</v>
      </c>
      <c r="AZ120" s="20" t="str">
        <f>VLOOKUP(Data[[#This Row],[DEVELOPMENT]],Development_Data_Book[[DEVELOPMENT]:[PRIVATE MANAGEMENT]],8,FALSE)</f>
        <v>FEDERAL</v>
      </c>
      <c r="BA120" s="104" t="s">
        <v>2586</v>
      </c>
      <c r="BB120" s="20">
        <f>VLOOKUP(Data[[#This Row],[DEVELOPMENT]],Development_Data_Book[[DEVELOPMENT]:[PRIVATE MANAGEMENT]],22,FALSE)</f>
        <v>0</v>
      </c>
      <c r="BC120" s="20">
        <f>Data[[#This Row],[Non-Dwelling Buildings]]+Data[[#This Row],[Dwelling Buildings]]</f>
        <v>1</v>
      </c>
      <c r="BD120" s="20">
        <f>VLOOKUP(Data[[#This Row],[DEVELOPMENT]],Development_Data_Book[[DEVELOPMENT]:[PRIVATE MANAGEMENT]],26,FALSE)</f>
        <v>1.08</v>
      </c>
      <c r="BE120" s="106">
        <v>107500</v>
      </c>
      <c r="BF120" s="20">
        <f>VLOOKUP(Data[[#This Row],[DEVELOPMENT]],Development_Data_Book[[DEVELOPMENT]:[PRIVATE MANAGEMENT]],18,FALSE)</f>
        <v>143</v>
      </c>
      <c r="BG120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20" s="104" t="s">
        <v>2595</v>
      </c>
      <c r="BI120" t="s">
        <v>184</v>
      </c>
      <c r="BJ120" s="20">
        <f>VLOOKUP(Data[[#This Row],[DEVELOPMENT]],Development_Data_Book[[DEVELOPMENT]:[PRIVATE MANAGEMENT]],41,FALSE)</f>
        <v>10</v>
      </c>
      <c r="BK120" s="20">
        <f>VLOOKUP(Data[[#This Row],[DEVELOPMENT]],Development_Data_Book[[DEVELOPMENT]:[PRIVATE MANAGEMENT]],42,FALSE)</f>
        <v>14</v>
      </c>
      <c r="BL120" s="20">
        <f>VLOOKUP(Data[[#This Row],[DEVELOPMENT]],Development_Data_Book[[DEVELOPMENT]:[PRIVATE MANAGEMENT]],43,FALSE)</f>
        <v>34</v>
      </c>
      <c r="BM120" s="20">
        <f>VLOOKUP(Data[[#This Row],[DEVELOPMENT]],Development_Data_Book[[DEVELOPMENT]:[PRIVATE MANAGEMENT]],44,FALSE)</f>
        <v>87</v>
      </c>
      <c r="BN120" s="20">
        <f>VLOOKUP(Data[[#This Row],[DEVELOPMENT]],Development_Data_Book[[DEVELOPMENT]:[PRIVATE MANAGEMENT]],45,FALSE)</f>
        <v>18</v>
      </c>
      <c r="BO120" s="20">
        <f>VLOOKUP(Data[[#This Row],[DEVELOPMENT]],Development_Data_Book[[DEVELOPMENT]:[PRIVATE MANAGEMENT]],24,FALSE)</f>
        <v>6</v>
      </c>
    </row>
    <row r="121" spans="1:67">
      <c r="A121" t="s">
        <v>205</v>
      </c>
      <c r="B121" s="20" t="str">
        <f>VLOOKUP(Data[[#This Row],[DEVELOPMENT]],Development_Data_Book[[DEVELOPMENT]:[BOROUGH]],MATCH("borough",Development_Data_Book[[#Headers],[DEVELOPMENT]:[BOROUGH]],0),FALSE)</f>
        <v>BROOKLYN</v>
      </c>
      <c r="C121" s="20" t="e">
        <f>VLOOKUP(Data[[#This Row],[DEVELOPMENT]],'[1]Cheat-Sheet'!$D$2:$Q$341,2,FALSE)</f>
        <v>#N/A</v>
      </c>
      <c r="D12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21" s="20">
        <f>VLOOKUP(Data[[#This Row],[DEVELOPMENT]],Development_Data_Book[[DEVELOPMENT]:[BOROUGH]],21,FALSE)</f>
        <v>4</v>
      </c>
      <c r="F121" s="20">
        <f>VLOOKUP(Data[[#This Row],[DEVELOPMENT]],Development_Data_Book[[DEVELOPMENT]:[BOROUGH]],23,FALSE)</f>
        <v>4</v>
      </c>
      <c r="G121" s="20">
        <f>VLOOKUP(Data[[#This Row],[DEVELOPMENT]],Development_Data_Book[[DEVELOPMENT]:[BOROUGH]],12,FALSE)</f>
        <v>439</v>
      </c>
      <c r="J121">
        <f>IFERROR(VLOOKUP(Data[[#This Row],[DEVELOPMENT]],IntCompactors_MRST[],4,FALSE),0)</f>
        <v>5</v>
      </c>
      <c r="K121" s="20">
        <f>IFERROR(VLOOKUP(Data[[#This Row],[DEVELOPMENT]],ExtCompactors_MRST[],4,FALSE),0)</f>
        <v>0</v>
      </c>
      <c r="L121" s="27">
        <f>IF(Data[[#This Row],['# Interior Compactors MRST]]=0,"",VLOOKUP(Data[[#This Row],[DEVELOPMENT]],IntCompactors_MRST[],5,FALSE))</f>
        <v>38006</v>
      </c>
      <c r="M121" s="28" t="str">
        <f>IF(Data[[#This Row],['# Exterior Compactors MRST]]=0,"",VLOOKUP(Data[[#This Row],[DEVELOPMENT]],ExtCompactors_MRST[],5,FALSE))</f>
        <v/>
      </c>
      <c r="N121" s="20">
        <f>Data[[#This Row],['# Interior Compactors MRST]]</f>
        <v>5</v>
      </c>
      <c r="O121" s="20">
        <f>IF(Data[[#This Row],['# Bulk Crushers]]=0,1,0)</f>
        <v>1</v>
      </c>
      <c r="P121" s="20">
        <f>1</f>
        <v>1</v>
      </c>
      <c r="Q121" s="20">
        <f>1</f>
        <v>1</v>
      </c>
      <c r="R121" s="20">
        <f>1</f>
        <v>1</v>
      </c>
      <c r="S121" s="20">
        <f>1</f>
        <v>1</v>
      </c>
      <c r="T121" s="20">
        <f>IF(Data[[#This Row],[Sewershed]]="Newtown Creek",Data[[#This Row],[DUs]],0)</f>
        <v>0</v>
      </c>
      <c r="U12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2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2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21" s="82">
        <f>VLOOKUP(Data[[#This Row],[DEVELOPMENT]],Development_Data_Book[[DEVELOPMENT]:[BOROUGH]],3,FALSE)</f>
        <v>171</v>
      </c>
      <c r="Y121" s="20"/>
      <c r="Z121" s="20">
        <f>IFERROR(VLOOKUP(Data[[#This Row],[TDS]],ExtCompactors_PNA[[Development]:[0]],2,FALSE),0)</f>
        <v>0</v>
      </c>
      <c r="AA121" s="20">
        <f>IFERROR(VLOOKUP(Data[[#This Row],[TDS]],IntCompactors_PNA[[TDS]:[0]],2,FALSE),0)</f>
        <v>4</v>
      </c>
      <c r="AB121" s="20"/>
      <c r="AC121" s="20"/>
      <c r="AD121" s="20">
        <f>IFERROR(VLOOKUP(Data[[#This Row],[TDS]],ExtCompactors_PNA[[Development]:[0]],3,FALSE)+VLOOKUP(Data[[#This Row],[TDS]],ExtCompactors_PNA[[Development]:[0]],6,FALSE),0)</f>
        <v>0</v>
      </c>
      <c r="AE121" s="20">
        <f>IFERROR(VLOOKUP(Data[[#This Row],[TDS]],IntCompactors_PNA[[TDS]:[0]],3,FALSE)+VLOOKUP(Data[[#This Row],[TDS]],IntCompactors_PNA[[TDS]:[0]],6,FALSE),0)</f>
        <v>4</v>
      </c>
      <c r="AF121" s="20" t="e">
        <f>VLOOKUP(Data[[#This Row],[DEVELOPMENT]],[3]Developments!$A$2:$A$312,1,FALSE)</f>
        <v>#N/A</v>
      </c>
      <c r="AG121" s="20">
        <f>IFERROR(VLOOKUP(Data[[#This Row],[DEVELOPMENT]],Ops_Priorities_and_Data_Clean[[development]:[ifnoext_comment]],3,FALSE),"")</f>
        <v>0</v>
      </c>
      <c r="AH121" s="20">
        <f>IFERROR(VLOOKUP(Data[[#This Row],[DEVELOPMENT]],Ops_Priorities_and_Data_Clean[[development]:[ifnoext_comment]],4,FALSE),"")</f>
        <v>1</v>
      </c>
      <c r="AI121" s="20">
        <f>IFERROR(VLOOKUP(Data[[#This Row],[DEVELOPMENT]],Ops_Priorities_and_Data_Clean[[development]:[ifnoext_comment]],5,FALSE),"")</f>
        <v>0</v>
      </c>
      <c r="AJ121" s="20">
        <f>IFERROR(VLOOKUP(Data[[#This Row],[DEVELOPMENT]],Ops_Priorities_and_Data_Clean[[development]:[ifnoext_comment]],6,FALSE),"")</f>
        <v>0</v>
      </c>
      <c r="AK121" s="20">
        <f>IFERROR(VLOOKUP(Data[[#This Row],[DEVELOPMENT]],Ops_Priorities_and_Data_Clean[[development]:[ifnoext_comment]],7,FALSE),"")</f>
        <v>1</v>
      </c>
      <c r="AL121" s="20">
        <f>IFERROR(VLOOKUP(Data[[#This Row],[DEVELOPMENT]],Ops_Priorities_and_Data_Clean[[development]:[ifnoext_comment]],8,FALSE),"")</f>
        <v>1</v>
      </c>
      <c r="AM121" s="20">
        <f>IFERROR(VLOOKUP(Data[[#This Row],[DEVELOPMENT]],Ops_Priorities_and_Data_Clean[[development]:[ifnoext_comment]],9,FALSE),"")</f>
        <v>1</v>
      </c>
      <c r="AN121" s="20">
        <f>IFERROR(VLOOKUP(Data[[#This Row],[DEVELOPMENT]],Ops_Priorities_and_Data_Clean[[development]:[ifnoext_comment]],10,FALSE),"")</f>
        <v>0</v>
      </c>
      <c r="AO121" s="20">
        <f>IFERROR(VLOOKUP(Data[[#This Row],[DEVELOPMENT]],Ops_Priorities_and_Data_Clean[[development]:[ifnoext_comment]],11,FALSE),"")</f>
        <v>0</v>
      </c>
      <c r="AP121" s="20">
        <f>IFERROR(VLOOKUP(Data[[#This Row],[DEVELOPMENT]],Ops_Priorities_and_Data_Clean[[development]:[ifnoext_comment]],12,FALSE),"")</f>
        <v>0</v>
      </c>
      <c r="AQ121" s="20">
        <f>VLOOKUP(Data[[#This Row],[DEVELOPMENT]],Ops_Priorities_and_Data_Clean[[development]:[ifnoext_comment]],14,FALSE)</f>
        <v>1</v>
      </c>
      <c r="AR121" s="20">
        <f>VLOOKUP(Data[[#This Row],[DEVELOPMENT]],Ops_Priorities_and_Data_Clean[[development]:[ifnoext_comment]],15,FALSE)</f>
        <v>0</v>
      </c>
      <c r="AS121" s="20" t="str">
        <f>VLOOKUP(Data[[#This Row],[DEVELOPMENT]],Ops_Priorities_and_Data_Clean[[development]:[ifnoext_comment]],16,FALSE)</f>
        <v>NULL</v>
      </c>
      <c r="AT121" s="20" t="str">
        <f>VLOOKUP(Data[[#This Row],[DEVELOPMENT]],Ops_Priorities_and_Data_Clean[[development]:[ifnoext_comment]],17,FALSE)</f>
        <v>NULL</v>
      </c>
      <c r="AU121" s="20" t="str">
        <f>VLOOKUP(Data[[#This Row],[DEVELOPMENT]],Ops_Priorities_and_Data_Clean[[development]:[ifnoext_comment]],18,FALSE)</f>
        <v>NULL</v>
      </c>
      <c r="AV121" s="20" t="str">
        <f>VLOOKUP(Data[[#This Row],[DEVELOPMENT]],Ops_Priorities_and_Data_Clean[[development]:[ifnoext_comment]],19,FALSE)</f>
        <v>NULL</v>
      </c>
      <c r="AW121" s="20" t="str">
        <f>VLOOKUP(Data[[#This Row],[DEVELOPMENT]],Ops_Priorities_and_Data_Clean[[development]:[ifnoext_comment]],20,FALSE)</f>
        <v>NULL</v>
      </c>
      <c r="AX121" s="104" t="s">
        <v>2602</v>
      </c>
      <c r="AY121" s="104" t="s">
        <v>392</v>
      </c>
      <c r="AZ121" s="20" t="str">
        <f>VLOOKUP(Data[[#This Row],[DEVELOPMENT]],Development_Data_Book[[DEVELOPMENT]:[PRIVATE MANAGEMENT]],8,FALSE)</f>
        <v>FEDERAL</v>
      </c>
      <c r="BA121" s="104" t="s">
        <v>2586</v>
      </c>
      <c r="BB121" s="20">
        <f>VLOOKUP(Data[[#This Row],[DEVELOPMENT]],Development_Data_Book[[DEVELOPMENT]:[PRIVATE MANAGEMENT]],22,FALSE)</f>
        <v>0</v>
      </c>
      <c r="BC121" s="20">
        <f>Data[[#This Row],[Non-Dwelling Buildings]]+Data[[#This Row],[Dwelling Buildings]]</f>
        <v>4</v>
      </c>
      <c r="BD121" s="20">
        <f>VLOOKUP(Data[[#This Row],[DEVELOPMENT]],Development_Data_Book[[DEVELOPMENT]:[PRIVATE MANAGEMENT]],26,FALSE)</f>
        <v>4.2699999999999996</v>
      </c>
      <c r="BE121" s="106">
        <v>450000</v>
      </c>
      <c r="BF121" s="20">
        <f>VLOOKUP(Data[[#This Row],[DEVELOPMENT]],Development_Data_Book[[DEVELOPMENT]:[PRIVATE MANAGEMENT]],18,FALSE)</f>
        <v>823</v>
      </c>
      <c r="BG12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21" s="104" t="s">
        <v>2589</v>
      </c>
      <c r="BI121" t="s">
        <v>184</v>
      </c>
      <c r="BJ121" s="20">
        <f>VLOOKUP(Data[[#This Row],[DEVELOPMENT]],Development_Data_Book[[DEVELOPMENT]:[PRIVATE MANAGEMENT]],41,FALSE)</f>
        <v>16</v>
      </c>
      <c r="BK121" s="20">
        <f>VLOOKUP(Data[[#This Row],[DEVELOPMENT]],Development_Data_Book[[DEVELOPMENT]:[PRIVATE MANAGEMENT]],42,FALSE)</f>
        <v>8</v>
      </c>
      <c r="BL121" s="20">
        <f>VLOOKUP(Data[[#This Row],[DEVELOPMENT]],Development_Data_Book[[DEVELOPMENT]:[PRIVATE MANAGEMENT]],43,FALSE)</f>
        <v>19</v>
      </c>
      <c r="BM121" s="20">
        <f>VLOOKUP(Data[[#This Row],[DEVELOPMENT]],Development_Data_Book[[DEVELOPMENT]:[PRIVATE MANAGEMENT]],44,FALSE)</f>
        <v>55</v>
      </c>
      <c r="BN121" s="20">
        <f>VLOOKUP(Data[[#This Row],[DEVELOPMENT]],Development_Data_Book[[DEVELOPMENT]:[PRIVATE MANAGEMENT]],45,FALSE)</f>
        <v>37</v>
      </c>
      <c r="BO121" s="20">
        <f>VLOOKUP(Data[[#This Row],[DEVELOPMENT]],Development_Data_Book[[DEVELOPMENT]:[PRIVATE MANAGEMENT]],24,FALSE)</f>
        <v>45583</v>
      </c>
    </row>
    <row r="122" spans="1:67">
      <c r="A122" t="s">
        <v>325</v>
      </c>
      <c r="B122" s="20" t="str">
        <f>VLOOKUP(Data[[#This Row],[DEVELOPMENT]],Development_Data_Book[[DEVELOPMENT]:[BOROUGH]],MATCH("borough",Development_Data_Book[[#Headers],[DEVELOPMENT]:[BOROUGH]],0),FALSE)</f>
        <v>BROOKLYN</v>
      </c>
      <c r="C122" s="20" t="e">
        <f>VLOOKUP(Data[[#This Row],[DEVELOPMENT]],'[1]Cheat-Sheet'!$D$2:$Q$341,2,FALSE)</f>
        <v>#N/A</v>
      </c>
      <c r="D12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22" s="20">
        <f>VLOOKUP(Data[[#This Row],[DEVELOPMENT]],Development_Data_Book[[DEVELOPMENT]:[BOROUGH]],21,FALSE)</f>
        <v>20</v>
      </c>
      <c r="F122" s="20">
        <f>VLOOKUP(Data[[#This Row],[DEVELOPMENT]],Development_Data_Book[[DEVELOPMENT]:[BOROUGH]],23,FALSE)</f>
        <v>40</v>
      </c>
      <c r="G122" s="20">
        <f>VLOOKUP(Data[[#This Row],[DEVELOPMENT]],Development_Data_Book[[DEVELOPMENT]:[BOROUGH]],12,FALSE)</f>
        <v>1186</v>
      </c>
      <c r="J122">
        <f>IFERROR(VLOOKUP(Data[[#This Row],[DEVELOPMENT]],IntCompactors_MRST[],4,FALSE),0)</f>
        <v>40</v>
      </c>
      <c r="K122" s="20">
        <f>IFERROR(VLOOKUP(Data[[#This Row],[DEVELOPMENT]],ExtCompactors_MRST[],4,FALSE),0)</f>
        <v>3</v>
      </c>
      <c r="L122" s="27">
        <f>IF(Data[[#This Row],['# Interior Compactors MRST]]=0,"",VLOOKUP(Data[[#This Row],[DEVELOPMENT]],IntCompactors_MRST[],5,FALSE))</f>
        <v>37865</v>
      </c>
      <c r="M122" s="28">
        <f>IF(Data[[#This Row],['# Exterior Compactors MRST]]=0,"",VLOOKUP(Data[[#This Row],[DEVELOPMENT]],ExtCompactors_MRST[],5,FALSE))</f>
        <v>43040</v>
      </c>
      <c r="N122" s="20">
        <f>Data[[#This Row],['# Interior Compactors MRST]]</f>
        <v>40</v>
      </c>
      <c r="O122" s="20">
        <f>IF(Data[[#This Row],['# Bulk Crushers]]=0,1,0)</f>
        <v>1</v>
      </c>
      <c r="P122" s="20">
        <f>1</f>
        <v>1</v>
      </c>
      <c r="Q122" s="20">
        <f>1</f>
        <v>1</v>
      </c>
      <c r="R122" s="20">
        <f>1</f>
        <v>1</v>
      </c>
      <c r="S122" s="20">
        <f>1</f>
        <v>1</v>
      </c>
      <c r="T122" s="20">
        <f>IF(Data[[#This Row],[Sewershed]]="Newtown Creek",Data[[#This Row],[DUs]],0)</f>
        <v>0</v>
      </c>
      <c r="U12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2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2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22" s="82">
        <f>VLOOKUP(Data[[#This Row],[DEVELOPMENT]],Development_Data_Book[[DEVELOPMENT]:[BOROUGH]],3,FALSE)</f>
        <v>44</v>
      </c>
      <c r="Y122" s="20"/>
      <c r="Z122" s="20">
        <f>IFERROR(VLOOKUP(Data[[#This Row],[TDS]],ExtCompactors_PNA[[Development]:[0]],2,FALSE),0)</f>
        <v>0</v>
      </c>
      <c r="AA122" s="20">
        <f>IFERROR(VLOOKUP(Data[[#This Row],[TDS]],IntCompactors_PNA[[TDS]:[0]],2,FALSE),0)</f>
        <v>40</v>
      </c>
      <c r="AB122" s="20"/>
      <c r="AC122" s="20"/>
      <c r="AD122" s="20">
        <f>IFERROR(VLOOKUP(Data[[#This Row],[TDS]],ExtCompactors_PNA[[Development]:[0]],3,FALSE)+VLOOKUP(Data[[#This Row],[TDS]],ExtCompactors_PNA[[Development]:[0]],6,FALSE),0)</f>
        <v>0</v>
      </c>
      <c r="AE122" s="20">
        <f>IFERROR(VLOOKUP(Data[[#This Row],[TDS]],IntCompactors_PNA[[TDS]:[0]],3,FALSE)+VLOOKUP(Data[[#This Row],[TDS]],IntCompactors_PNA[[TDS]:[0]],6,FALSE),0)</f>
        <v>40</v>
      </c>
      <c r="AF122" s="20" t="e">
        <f>VLOOKUP(Data[[#This Row],[DEVELOPMENT]],[3]Developments!$A$2:$A$312,1,FALSE)</f>
        <v>#N/A</v>
      </c>
      <c r="AG122" s="20">
        <f>IFERROR(VLOOKUP(Data[[#This Row],[DEVELOPMENT]],Ops_Priorities_and_Data_Clean[[development]:[ifnoext_comment]],3,FALSE),"")</f>
        <v>3</v>
      </c>
      <c r="AH122" s="20">
        <f>IFERROR(VLOOKUP(Data[[#This Row],[DEVELOPMENT]],Ops_Priorities_and_Data_Clean[[development]:[ifnoext_comment]],4,FALSE),"")</f>
        <v>0</v>
      </c>
      <c r="AI122" s="20">
        <f>IFERROR(VLOOKUP(Data[[#This Row],[DEVELOPMENT]],Ops_Priorities_and_Data_Clean[[development]:[ifnoext_comment]],5,FALSE),"")</f>
        <v>1</v>
      </c>
      <c r="AJ122" s="20">
        <f>IFERROR(VLOOKUP(Data[[#This Row],[DEVELOPMENT]],Ops_Priorities_and_Data_Clean[[development]:[ifnoext_comment]],6,FALSE),"")</f>
        <v>0</v>
      </c>
      <c r="AK122" s="20">
        <f>IFERROR(VLOOKUP(Data[[#This Row],[DEVELOPMENT]],Ops_Priorities_and_Data_Clean[[development]:[ifnoext_comment]],7,FALSE),"")</f>
        <v>0</v>
      </c>
      <c r="AL122" s="20">
        <f>IFERROR(VLOOKUP(Data[[#This Row],[DEVELOPMENT]],Ops_Priorities_and_Data_Clean[[development]:[ifnoext_comment]],8,FALSE),"")</f>
        <v>1</v>
      </c>
      <c r="AM122" s="20">
        <f>IFERROR(VLOOKUP(Data[[#This Row],[DEVELOPMENT]],Ops_Priorities_and_Data_Clean[[development]:[ifnoext_comment]],9,FALSE),"")</f>
        <v>0</v>
      </c>
      <c r="AN122" s="20">
        <f>IFERROR(VLOOKUP(Data[[#This Row],[DEVELOPMENT]],Ops_Priorities_and_Data_Clean[[development]:[ifnoext_comment]],10,FALSE),"")</f>
        <v>3</v>
      </c>
      <c r="AO122" s="20">
        <f>IFERROR(VLOOKUP(Data[[#This Row],[DEVELOPMENT]],Ops_Priorities_and_Data_Clean[[development]:[ifnoext_comment]],11,FALSE),"")</f>
        <v>3</v>
      </c>
      <c r="AP122" s="20">
        <f>IFERROR(VLOOKUP(Data[[#This Row],[DEVELOPMENT]],Ops_Priorities_and_Data_Clean[[development]:[ifnoext_comment]],12,FALSE),"")</f>
        <v>3</v>
      </c>
      <c r="AQ122" s="20">
        <f>VLOOKUP(Data[[#This Row],[DEVELOPMENT]],Ops_Priorities_and_Data_Clean[[development]:[ifnoext_comment]],14,FALSE)</f>
        <v>0</v>
      </c>
      <c r="AR122" s="20">
        <f>VLOOKUP(Data[[#This Row],[DEVELOPMENT]],Ops_Priorities_and_Data_Clean[[development]:[ifnoext_comment]],15,FALSE)</f>
        <v>0</v>
      </c>
      <c r="AS122" s="20" t="str">
        <f>VLOOKUP(Data[[#This Row],[DEVELOPMENT]],Ops_Priorities_and_Data_Clean[[development]:[ifnoext_comment]],16,FALSE)</f>
        <v>NULL</v>
      </c>
      <c r="AT122" s="20" t="str">
        <f>VLOOKUP(Data[[#This Row],[DEVELOPMENT]],Ops_Priorities_and_Data_Clean[[development]:[ifnoext_comment]],17,FALSE)</f>
        <v>NULL</v>
      </c>
      <c r="AU122" s="20" t="str">
        <f>VLOOKUP(Data[[#This Row],[DEVELOPMENT]],Ops_Priorities_and_Data_Clean[[development]:[ifnoext_comment]],18,FALSE)</f>
        <v>NULL</v>
      </c>
      <c r="AV122" s="20" t="str">
        <f>VLOOKUP(Data[[#This Row],[DEVELOPMENT]],Ops_Priorities_and_Data_Clean[[development]:[ifnoext_comment]],19,FALSE)</f>
        <v>NULL</v>
      </c>
      <c r="AW122" s="20" t="str">
        <f>VLOOKUP(Data[[#This Row],[DEVELOPMENT]],Ops_Priorities_and_Data_Clean[[development]:[ifnoext_comment]],20,FALSE)</f>
        <v>NULL</v>
      </c>
      <c r="AX122" s="104" t="s">
        <v>2238</v>
      </c>
      <c r="AY122" s="104" t="s">
        <v>2649</v>
      </c>
      <c r="AZ122" s="20" t="str">
        <f>VLOOKUP(Data[[#This Row],[DEVELOPMENT]],Development_Data_Book[[DEVELOPMENT]:[PRIVATE MANAGEMENT]],8,FALSE)</f>
        <v>FEDERAL</v>
      </c>
      <c r="BA122" s="104" t="s">
        <v>2586</v>
      </c>
      <c r="BB122" s="20">
        <f>VLOOKUP(Data[[#This Row],[DEVELOPMENT]],Development_Data_Book[[DEVELOPMENT]:[PRIVATE MANAGEMENT]],22,FALSE)</f>
        <v>0</v>
      </c>
      <c r="BC122" s="20">
        <f>Data[[#This Row],[Non-Dwelling Buildings]]+Data[[#This Row],[Dwelling Buildings]]</f>
        <v>20</v>
      </c>
      <c r="BD122" s="20">
        <f>VLOOKUP(Data[[#This Row],[DEVELOPMENT]],Development_Data_Book[[DEVELOPMENT]:[PRIVATE MANAGEMENT]],26,FALSE)</f>
        <v>22.39</v>
      </c>
      <c r="BE122" s="106">
        <v>1197700</v>
      </c>
      <c r="BF122" s="20">
        <f>VLOOKUP(Data[[#This Row],[DEVELOPMENT]],Development_Data_Book[[DEVELOPMENT]:[PRIVATE MANAGEMENT]],18,FALSE)</f>
        <v>2512</v>
      </c>
      <c r="BG12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22" s="104" t="s">
        <v>2621</v>
      </c>
      <c r="BI122" t="s">
        <v>184</v>
      </c>
      <c r="BJ122" s="20">
        <f>VLOOKUP(Data[[#This Row],[DEVELOPMENT]],Development_Data_Book[[DEVELOPMENT]:[PRIVATE MANAGEMENT]],41,FALSE)</f>
        <v>18</v>
      </c>
      <c r="BK122" s="20">
        <f>VLOOKUP(Data[[#This Row],[DEVELOPMENT]],Development_Data_Book[[DEVELOPMENT]:[PRIVATE MANAGEMENT]],42,FALSE)</f>
        <v>8</v>
      </c>
      <c r="BL122" s="20">
        <f>VLOOKUP(Data[[#This Row],[DEVELOPMENT]],Development_Data_Book[[DEVELOPMENT]:[PRIVATE MANAGEMENT]],43,FALSE)</f>
        <v>21</v>
      </c>
      <c r="BM122" s="20">
        <f>VLOOKUP(Data[[#This Row],[DEVELOPMENT]],Development_Data_Book[[DEVELOPMENT]:[PRIVATE MANAGEMENT]],44,FALSE)</f>
        <v>59</v>
      </c>
      <c r="BN122" s="20">
        <f>VLOOKUP(Data[[#This Row],[DEVELOPMENT]],Development_Data_Book[[DEVELOPMENT]:[PRIVATE MANAGEMENT]],45,FALSE)</f>
        <v>45</v>
      </c>
      <c r="BO122" s="20">
        <f>VLOOKUP(Data[[#This Row],[DEVELOPMENT]],Development_Data_Book[[DEVELOPMENT]:[PRIVATE MANAGEMENT]],24,FALSE)</f>
        <v>6</v>
      </c>
    </row>
    <row r="123" spans="1:67">
      <c r="A123" s="17" t="s">
        <v>61</v>
      </c>
      <c r="B123" s="17" t="str">
        <f>VLOOKUP(Data[[#This Row],[DEVELOPMENT]],Development_Data_Book[[DEVELOPMENT]:[BOROUGH]],MATCH("borough",Development_Data_Book[[#Headers],[DEVELOPMENT]:[BOROUGH]],0),FALSE)</f>
        <v>MANHATTAN</v>
      </c>
      <c r="C123" t="e">
        <f>VLOOKUP(Data[[#This Row],[DEVELOPMENT]],'[1]Cheat-Sheet'!$D$2:$Q$341,2,FALSE)</f>
        <v>#N/A</v>
      </c>
      <c r="D12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23">
        <f>VLOOKUP(Data[[#This Row],[DEVELOPMENT]],Development_Data_Book[[DEVELOPMENT]:[BOROUGH]],21,FALSE)</f>
        <v>2</v>
      </c>
      <c r="F123">
        <f>VLOOKUP(Data[[#This Row],[DEVELOPMENT]],Development_Data_Book[[DEVELOPMENT]:[BOROUGH]],23,FALSE)</f>
        <v>5</v>
      </c>
      <c r="G123">
        <f>VLOOKUP(Data[[#This Row],[DEVELOPMENT]],Development_Data_Book[[DEVELOPMENT]:[BOROUGH]],12,FALSE)</f>
        <v>472</v>
      </c>
      <c r="H123" t="s">
        <v>2246</v>
      </c>
      <c r="I123">
        <v>4</v>
      </c>
      <c r="J123">
        <f>IFERROR(VLOOKUP(Data[[#This Row],[DEVELOPMENT]],IntCompactors_MRST[],4,FALSE),0)</f>
        <v>4</v>
      </c>
      <c r="K123" s="20">
        <f>IFERROR(VLOOKUP(Data[[#This Row],[DEVELOPMENT]],ExtCompactors_MRST[],4,FALSE),0)</f>
        <v>1</v>
      </c>
      <c r="L123" s="27">
        <f>IF(Data[[#This Row],['# Interior Compactors MRST]]=0,"",VLOOKUP(Data[[#This Row],[DEVELOPMENT]],IntCompactors_MRST[],5,FALSE))</f>
        <v>37135</v>
      </c>
      <c r="M123" s="28">
        <f>IF(Data[[#This Row],['# Exterior Compactors MRST]]=0,"",VLOOKUP(Data[[#This Row],[DEVELOPMENT]],ExtCompactors_MRST[],5,FALSE))</f>
        <v>36752</v>
      </c>
      <c r="N123">
        <f>Data[[#This Row],['# Interior Compactors MRST]]</f>
        <v>4</v>
      </c>
      <c r="O123" s="20">
        <f>IF(Data[[#This Row],['# Bulk Crushers]]=0,1,0)</f>
        <v>1</v>
      </c>
      <c r="P123" s="20">
        <f>1</f>
        <v>1</v>
      </c>
      <c r="Q123" s="20">
        <f>1</f>
        <v>1</v>
      </c>
      <c r="R123" s="20">
        <f>1</f>
        <v>1</v>
      </c>
      <c r="S123" s="20">
        <f>1</f>
        <v>1</v>
      </c>
      <c r="T123" s="20">
        <f>IF(Data[[#This Row],[Sewershed]]="Newtown Creek",Data[[#This Row],[DUs]],0)</f>
        <v>472</v>
      </c>
      <c r="U12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2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2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23" s="82">
        <f>VLOOKUP(Data[[#This Row],[DEVELOPMENT]],Development_Data_Book[[DEVELOPMENT]:[BOROUGH]],3,FALSE)</f>
        <v>100</v>
      </c>
      <c r="Y123" s="20" t="s">
        <v>2599</v>
      </c>
      <c r="Z123" s="20">
        <f>IFERROR(VLOOKUP(Data[[#This Row],[TDS]],ExtCompactors_PNA[[Development]:[0]],2,FALSE),0)</f>
        <v>1</v>
      </c>
      <c r="AA123" s="20">
        <f>IFERROR(VLOOKUP(Data[[#This Row],[TDS]],IntCompactors_PNA[[TDS]:[0]],2,FALSE),0)</f>
        <v>4</v>
      </c>
      <c r="AB123" s="20"/>
      <c r="AC123" s="20"/>
      <c r="AD123" s="20">
        <f>IFERROR(VLOOKUP(Data[[#This Row],[TDS]],ExtCompactors_PNA[[Development]:[0]],3,FALSE)+VLOOKUP(Data[[#This Row],[TDS]],ExtCompactors_PNA[[Development]:[0]],6,FALSE),0)</f>
        <v>1</v>
      </c>
      <c r="AE123" s="20">
        <f>IFERROR(VLOOKUP(Data[[#This Row],[TDS]],IntCompactors_PNA[[TDS]:[0]],3,FALSE)+VLOOKUP(Data[[#This Row],[TDS]],IntCompactors_PNA[[TDS]:[0]],6,FALSE),0)</f>
        <v>4</v>
      </c>
      <c r="AF123" s="20" t="e">
        <f>VLOOKUP(Data[[#This Row],[DEVELOPMENT]],[3]Developments!$A$2:$A$312,1,FALSE)</f>
        <v>#N/A</v>
      </c>
      <c r="AG123" s="20">
        <f>IFERROR(VLOOKUP(Data[[#This Row],[DEVELOPMENT]],Ops_Priorities_and_Data_Clean[[development]:[ifnoext_comment]],3,FALSE),"")</f>
        <v>1</v>
      </c>
      <c r="AH123" s="20">
        <f>IFERROR(VLOOKUP(Data[[#This Row],[DEVELOPMENT]],Ops_Priorities_and_Data_Clean[[development]:[ifnoext_comment]],4,FALSE),"")</f>
        <v>0</v>
      </c>
      <c r="AI123" s="20">
        <f>IFERROR(VLOOKUP(Data[[#This Row],[DEVELOPMENT]],Ops_Priorities_and_Data_Clean[[development]:[ifnoext_comment]],5,FALSE),"")</f>
        <v>1</v>
      </c>
      <c r="AJ123" s="20">
        <f>IFERROR(VLOOKUP(Data[[#This Row],[DEVELOPMENT]],Ops_Priorities_and_Data_Clean[[development]:[ifnoext_comment]],6,FALSE),"")</f>
        <v>0</v>
      </c>
      <c r="AK123" s="20">
        <f>IFERROR(VLOOKUP(Data[[#This Row],[DEVELOPMENT]],Ops_Priorities_and_Data_Clean[[development]:[ifnoext_comment]],7,FALSE),"")</f>
        <v>0</v>
      </c>
      <c r="AL123" s="20">
        <f>IFERROR(VLOOKUP(Data[[#This Row],[DEVELOPMENT]],Ops_Priorities_and_Data_Clean[[development]:[ifnoext_comment]],8,FALSE),"")</f>
        <v>1</v>
      </c>
      <c r="AM123" s="20">
        <f>IFERROR(VLOOKUP(Data[[#This Row],[DEVELOPMENT]],Ops_Priorities_and_Data_Clean[[development]:[ifnoext_comment]],9,FALSE),"")</f>
        <v>0</v>
      </c>
      <c r="AN123" s="20">
        <f>IFERROR(VLOOKUP(Data[[#This Row],[DEVELOPMENT]],Ops_Priorities_and_Data_Clean[[development]:[ifnoext_comment]],10,FALSE),"")</f>
        <v>1</v>
      </c>
      <c r="AO123" s="20">
        <f>IFERROR(VLOOKUP(Data[[#This Row],[DEVELOPMENT]],Ops_Priorities_and_Data_Clean[[development]:[ifnoext_comment]],11,FALSE),"")</f>
        <v>1</v>
      </c>
      <c r="AP123" s="20">
        <f>IFERROR(VLOOKUP(Data[[#This Row],[DEVELOPMENT]],Ops_Priorities_and_Data_Clean[[development]:[ifnoext_comment]],12,FALSE),"")</f>
        <v>1</v>
      </c>
      <c r="AQ123" s="20">
        <f>VLOOKUP(Data[[#This Row],[DEVELOPMENT]],Ops_Priorities_and_Data_Clean[[development]:[ifnoext_comment]],14,FALSE)</f>
        <v>0</v>
      </c>
      <c r="AR123" s="20">
        <f>VLOOKUP(Data[[#This Row],[DEVELOPMENT]],Ops_Priorities_and_Data_Clean[[development]:[ifnoext_comment]],15,FALSE)</f>
        <v>0</v>
      </c>
      <c r="AS123" s="20" t="str">
        <f>VLOOKUP(Data[[#This Row],[DEVELOPMENT]],Ops_Priorities_and_Data_Clean[[development]:[ifnoext_comment]],16,FALSE)</f>
        <v>NULL</v>
      </c>
      <c r="AT123" s="20" t="str">
        <f>VLOOKUP(Data[[#This Row],[DEVELOPMENT]],Ops_Priorities_and_Data_Clean[[development]:[ifnoext_comment]],17,FALSE)</f>
        <v>NULL</v>
      </c>
      <c r="AU123" s="20" t="str">
        <f>VLOOKUP(Data[[#This Row],[DEVELOPMENT]],Ops_Priorities_and_Data_Clean[[development]:[ifnoext_comment]],18,FALSE)</f>
        <v>TBD</v>
      </c>
      <c r="AV123" s="20" t="str">
        <f>VLOOKUP(Data[[#This Row],[DEVELOPMENT]],Ops_Priorities_and_Data_Clean[[development]:[ifnoext_comment]],19,FALSE)</f>
        <v>container on-site not working</v>
      </c>
      <c r="AW123" s="20" t="str">
        <f>VLOOKUP(Data[[#This Row],[DEVELOPMENT]],Ops_Priorities_and_Data_Clean[[development]:[ifnoext_comment]],20,FALSE)</f>
        <v>NULL</v>
      </c>
      <c r="AX123" s="104" t="s">
        <v>2239</v>
      </c>
      <c r="AY123" s="104" t="s">
        <v>2160</v>
      </c>
      <c r="AZ123" s="20" t="str">
        <f>VLOOKUP(Data[[#This Row],[DEVELOPMENT]],Development_Data_Book[[DEVELOPMENT]:[PRIVATE MANAGEMENT]],8,FALSE)</f>
        <v>FEDERAL</v>
      </c>
      <c r="BA123" s="104" t="s">
        <v>2586</v>
      </c>
      <c r="BB123" s="20">
        <f>VLOOKUP(Data[[#This Row],[DEVELOPMENT]],Development_Data_Book[[DEVELOPMENT]:[PRIVATE MANAGEMENT]],22,FALSE)</f>
        <v>2</v>
      </c>
      <c r="BC123" s="20">
        <f>Data[[#This Row],[Non-Dwelling Buildings]]+Data[[#This Row],[Dwelling Buildings]]</f>
        <v>4</v>
      </c>
      <c r="BD123" s="20">
        <f>VLOOKUP(Data[[#This Row],[DEVELOPMENT]],Development_Data_Book[[DEVELOPMENT]:[PRIVATE MANAGEMENT]],26,FALSE)</f>
        <v>3.7</v>
      </c>
      <c r="BE123" s="106">
        <v>508360</v>
      </c>
      <c r="BF123" s="20">
        <f>VLOOKUP(Data[[#This Row],[DEVELOPMENT]],Development_Data_Book[[DEVELOPMENT]:[PRIVATE MANAGEMENT]],18,FALSE)</f>
        <v>1067</v>
      </c>
      <c r="BG12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23" s="104" t="s">
        <v>2607</v>
      </c>
      <c r="BI123" t="s">
        <v>184</v>
      </c>
      <c r="BJ123" s="20">
        <f>VLOOKUP(Data[[#This Row],[DEVELOPMENT]],Development_Data_Book[[DEVELOPMENT]:[PRIVATE MANAGEMENT]],41,FALSE)</f>
        <v>3</v>
      </c>
      <c r="BK123" s="20">
        <f>VLOOKUP(Data[[#This Row],[DEVELOPMENT]],Development_Data_Book[[DEVELOPMENT]:[PRIVATE MANAGEMENT]],42,FALSE)</f>
        <v>7</v>
      </c>
      <c r="BL123" s="20">
        <f>VLOOKUP(Data[[#This Row],[DEVELOPMENT]],Development_Data_Book[[DEVELOPMENT]:[PRIVATE MANAGEMENT]],43,FALSE)</f>
        <v>26</v>
      </c>
      <c r="BM123" s="20">
        <f>VLOOKUP(Data[[#This Row],[DEVELOPMENT]],Development_Data_Book[[DEVELOPMENT]:[PRIVATE MANAGEMENT]],44,FALSE)</f>
        <v>74</v>
      </c>
      <c r="BN123" s="20">
        <f>VLOOKUP(Data[[#This Row],[DEVELOPMENT]],Development_Data_Book[[DEVELOPMENT]:[PRIVATE MANAGEMENT]],45,FALSE)</f>
        <v>2</v>
      </c>
      <c r="BO123" s="20">
        <f>VLOOKUP(Data[[#This Row],[DEVELOPMENT]],Development_Data_Book[[DEVELOPMENT]:[PRIVATE MANAGEMENT]],24,FALSE)</f>
        <v>20</v>
      </c>
    </row>
    <row r="124" spans="1:67">
      <c r="A124" t="s">
        <v>326</v>
      </c>
      <c r="B124" s="20" t="str">
        <f>VLOOKUP(Data[[#This Row],[DEVELOPMENT]],Development_Data_Book[[DEVELOPMENT]:[BOROUGH]],MATCH("borough",Development_Data_Book[[#Headers],[DEVELOPMENT]:[BOROUGH]],0),FALSE)</f>
        <v>BROOKLYN</v>
      </c>
      <c r="C124" s="20" t="e">
        <f>VLOOKUP(Data[[#This Row],[DEVELOPMENT]],'[1]Cheat-Sheet'!$D$2:$Q$341,2,FALSE)</f>
        <v>#N/A</v>
      </c>
      <c r="D12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24" s="20">
        <f>VLOOKUP(Data[[#This Row],[DEVELOPMENT]],Development_Data_Book[[DEVELOPMENT]:[BOROUGH]],21,FALSE)</f>
        <v>15</v>
      </c>
      <c r="F124" s="20">
        <f>VLOOKUP(Data[[#This Row],[DEVELOPMENT]],Development_Data_Book[[DEVELOPMENT]:[BOROUGH]],23,FALSE)</f>
        <v>25</v>
      </c>
      <c r="G124" s="20">
        <f>VLOOKUP(Data[[#This Row],[DEVELOPMENT]],Development_Data_Book[[DEVELOPMENT]:[BOROUGH]],12,FALSE)</f>
        <v>1137</v>
      </c>
      <c r="J124">
        <f>IFERROR(VLOOKUP(Data[[#This Row],[DEVELOPMENT]],IntCompactors_MRST[],4,FALSE),0)</f>
        <v>24</v>
      </c>
      <c r="K124" s="20">
        <f>IFERROR(VLOOKUP(Data[[#This Row],[DEVELOPMENT]],ExtCompactors_MRST[],4,FALSE),0)</f>
        <v>3</v>
      </c>
      <c r="L124" s="27">
        <f>IF(Data[[#This Row],['# Interior Compactors MRST]]=0,"",VLOOKUP(Data[[#This Row],[DEVELOPMENT]],IntCompactors_MRST[],5,FALSE))</f>
        <v>38353</v>
      </c>
      <c r="M124" s="28">
        <f>IF(Data[[#This Row],['# Exterior Compactors MRST]]=0,"",VLOOKUP(Data[[#This Row],[DEVELOPMENT]],ExtCompactors_MRST[],5,FALSE))</f>
        <v>37431</v>
      </c>
      <c r="N124" s="20">
        <f>Data[[#This Row],['# Interior Compactors MRST]]</f>
        <v>24</v>
      </c>
      <c r="O124" s="20">
        <f>IF(Data[[#This Row],['# Bulk Crushers]]=0,1,0)</f>
        <v>1</v>
      </c>
      <c r="P124" s="20">
        <f>1</f>
        <v>1</v>
      </c>
      <c r="Q124" s="20">
        <f>1</f>
        <v>1</v>
      </c>
      <c r="R124" s="20">
        <f>1</f>
        <v>1</v>
      </c>
      <c r="S124" s="20">
        <f>1</f>
        <v>1</v>
      </c>
      <c r="T124" s="20">
        <f>IF(Data[[#This Row],[Sewershed]]="Newtown Creek",Data[[#This Row],[DUs]],0)</f>
        <v>0</v>
      </c>
      <c r="U12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2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2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24" s="82">
        <f>VLOOKUP(Data[[#This Row],[DEVELOPMENT]],Development_Data_Book[[DEVELOPMENT]:[BOROUGH]],3,FALSE)</f>
        <v>25</v>
      </c>
      <c r="Y124" s="20"/>
      <c r="Z124" s="20">
        <f>IFERROR(VLOOKUP(Data[[#This Row],[TDS]],ExtCompactors_PNA[[Development]:[0]],2,FALSE),0)</f>
        <v>3</v>
      </c>
      <c r="AA124" s="20">
        <f>IFERROR(VLOOKUP(Data[[#This Row],[TDS]],IntCompactors_PNA[[TDS]:[0]],2,FALSE),0)</f>
        <v>24</v>
      </c>
      <c r="AB124" s="20"/>
      <c r="AC124" s="20"/>
      <c r="AD124" s="20">
        <f>IFERROR(VLOOKUP(Data[[#This Row],[TDS]],ExtCompactors_PNA[[Development]:[0]],3,FALSE)+VLOOKUP(Data[[#This Row],[TDS]],ExtCompactors_PNA[[Development]:[0]],6,FALSE),0)</f>
        <v>3</v>
      </c>
      <c r="AE124" s="20">
        <f>IFERROR(VLOOKUP(Data[[#This Row],[TDS]],IntCompactors_PNA[[TDS]:[0]],3,FALSE)+VLOOKUP(Data[[#This Row],[TDS]],IntCompactors_PNA[[TDS]:[0]],6,FALSE),0)</f>
        <v>24</v>
      </c>
      <c r="AF124" s="20" t="e">
        <f>VLOOKUP(Data[[#This Row],[DEVELOPMENT]],[3]Developments!$A$2:$A$312,1,FALSE)</f>
        <v>#N/A</v>
      </c>
      <c r="AG124" s="20">
        <f>IFERROR(VLOOKUP(Data[[#This Row],[DEVELOPMENT]],Ops_Priorities_and_Data_Clean[[development]:[ifnoext_comment]],3,FALSE),"")</f>
        <v>3</v>
      </c>
      <c r="AH124" s="20">
        <f>IFERROR(VLOOKUP(Data[[#This Row],[DEVELOPMENT]],Ops_Priorities_and_Data_Clean[[development]:[ifnoext_comment]],4,FALSE),"")</f>
        <v>0</v>
      </c>
      <c r="AI124" s="20">
        <f>IFERROR(VLOOKUP(Data[[#This Row],[DEVELOPMENT]],Ops_Priorities_and_Data_Clean[[development]:[ifnoext_comment]],5,FALSE),"")</f>
        <v>1</v>
      </c>
      <c r="AJ124" s="20">
        <f>IFERROR(VLOOKUP(Data[[#This Row],[DEVELOPMENT]],Ops_Priorities_and_Data_Clean[[development]:[ifnoext_comment]],6,FALSE),"")</f>
        <v>0</v>
      </c>
      <c r="AK124" s="20">
        <f>IFERROR(VLOOKUP(Data[[#This Row],[DEVELOPMENT]],Ops_Priorities_and_Data_Clean[[development]:[ifnoext_comment]],7,FALSE),"")</f>
        <v>0</v>
      </c>
      <c r="AL124" s="20">
        <f>IFERROR(VLOOKUP(Data[[#This Row],[DEVELOPMENT]],Ops_Priorities_and_Data_Clean[[development]:[ifnoext_comment]],8,FALSE),"")</f>
        <v>1</v>
      </c>
      <c r="AM124" s="20">
        <f>IFERROR(VLOOKUP(Data[[#This Row],[DEVELOPMENT]],Ops_Priorities_and_Data_Clean[[development]:[ifnoext_comment]],9,FALSE),"")</f>
        <v>0</v>
      </c>
      <c r="AN124" s="20">
        <f>IFERROR(VLOOKUP(Data[[#This Row],[DEVELOPMENT]],Ops_Priorities_and_Data_Clean[[development]:[ifnoext_comment]],10,FALSE),"")</f>
        <v>3</v>
      </c>
      <c r="AO124" s="20">
        <f>IFERROR(VLOOKUP(Data[[#This Row],[DEVELOPMENT]],Ops_Priorities_and_Data_Clean[[development]:[ifnoext_comment]],11,FALSE),"")</f>
        <v>3</v>
      </c>
      <c r="AP124" s="20">
        <f>IFERROR(VLOOKUP(Data[[#This Row],[DEVELOPMENT]],Ops_Priorities_and_Data_Clean[[development]:[ifnoext_comment]],12,FALSE),"")</f>
        <v>3</v>
      </c>
      <c r="AQ124" s="20">
        <f>VLOOKUP(Data[[#This Row],[DEVELOPMENT]],Ops_Priorities_and_Data_Clean[[development]:[ifnoext_comment]],14,FALSE)</f>
        <v>0</v>
      </c>
      <c r="AR124" s="20">
        <f>VLOOKUP(Data[[#This Row],[DEVELOPMENT]],Ops_Priorities_and_Data_Clean[[development]:[ifnoext_comment]],15,FALSE)</f>
        <v>0</v>
      </c>
      <c r="AS124" s="20" t="str">
        <f>VLOOKUP(Data[[#This Row],[DEVELOPMENT]],Ops_Priorities_and_Data_Clean[[development]:[ifnoext_comment]],16,FALSE)</f>
        <v>NULL</v>
      </c>
      <c r="AT124" s="20" t="str">
        <f>VLOOKUP(Data[[#This Row],[DEVELOPMENT]],Ops_Priorities_and_Data_Clean[[development]:[ifnoext_comment]],17,FALSE)</f>
        <v>NULL</v>
      </c>
      <c r="AU124" s="20" t="str">
        <f>VLOOKUP(Data[[#This Row],[DEVELOPMENT]],Ops_Priorities_and_Data_Clean[[development]:[ifnoext_comment]],18,FALSE)</f>
        <v>NULL</v>
      </c>
      <c r="AV124" s="20" t="str">
        <f>VLOOKUP(Data[[#This Row],[DEVELOPMENT]],Ops_Priorities_and_Data_Clean[[development]:[ifnoext_comment]],19,FALSE)</f>
        <v>NULL</v>
      </c>
      <c r="AW124" s="20" t="str">
        <f>VLOOKUP(Data[[#This Row],[DEVELOPMENT]],Ops_Priorities_and_Data_Clean[[development]:[ifnoext_comment]],20,FALSE)</f>
        <v>NULL</v>
      </c>
      <c r="AX124" s="104" t="s">
        <v>2238</v>
      </c>
      <c r="AY124" s="104" t="s">
        <v>326</v>
      </c>
      <c r="AZ124" s="20" t="str">
        <f>VLOOKUP(Data[[#This Row],[DEVELOPMENT]],Development_Data_Book[[DEVELOPMENT]:[PRIVATE MANAGEMENT]],8,FALSE)</f>
        <v>FEDERAL</v>
      </c>
      <c r="BA124" s="104" t="s">
        <v>2613</v>
      </c>
      <c r="BB124" s="20">
        <f>VLOOKUP(Data[[#This Row],[DEVELOPMENT]],Development_Data_Book[[DEVELOPMENT]:[PRIVATE MANAGEMENT]],22,FALSE)</f>
        <v>1</v>
      </c>
      <c r="BC124" s="20">
        <f>Data[[#This Row],[Non-Dwelling Buildings]]+Data[[#This Row],[Dwelling Buildings]]</f>
        <v>16</v>
      </c>
      <c r="BD124" s="20">
        <f>VLOOKUP(Data[[#This Row],[DEVELOPMENT]],Development_Data_Book[[DEVELOPMENT]:[PRIVATE MANAGEMENT]],26,FALSE)</f>
        <v>12.57</v>
      </c>
      <c r="BE124" s="106">
        <v>1065928</v>
      </c>
      <c r="BF124" s="20">
        <f>VLOOKUP(Data[[#This Row],[DEVELOPMENT]],Development_Data_Book[[DEVELOPMENT]:[PRIVATE MANAGEMENT]],18,FALSE)</f>
        <v>2669</v>
      </c>
      <c r="BG12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24" s="104" t="s">
        <v>2608</v>
      </c>
      <c r="BI124" t="s">
        <v>184</v>
      </c>
      <c r="BJ124" s="20">
        <f>VLOOKUP(Data[[#This Row],[DEVELOPMENT]],Development_Data_Book[[DEVELOPMENT]:[PRIVATE MANAGEMENT]],41,FALSE)</f>
        <v>6</v>
      </c>
      <c r="BK124" s="20">
        <f>VLOOKUP(Data[[#This Row],[DEVELOPMENT]],Development_Data_Book[[DEVELOPMENT]:[PRIVATE MANAGEMENT]],42,FALSE)</f>
        <v>7</v>
      </c>
      <c r="BL124" s="20">
        <f>VLOOKUP(Data[[#This Row],[DEVELOPMENT]],Development_Data_Book[[DEVELOPMENT]:[PRIVATE MANAGEMENT]],43,FALSE)</f>
        <v>25</v>
      </c>
      <c r="BM124" s="20">
        <f>VLOOKUP(Data[[#This Row],[DEVELOPMENT]],Development_Data_Book[[DEVELOPMENT]:[PRIVATE MANAGEMENT]],44,FALSE)</f>
        <v>52</v>
      </c>
      <c r="BN124" s="20">
        <f>VLOOKUP(Data[[#This Row],[DEVELOPMENT]],Development_Data_Book[[DEVELOPMENT]:[PRIVATE MANAGEMENT]],45,FALSE)</f>
        <v>33</v>
      </c>
      <c r="BO124" s="20" t="str">
        <f>VLOOKUP(Data[[#This Row],[DEVELOPMENT]],Development_Data_Book[[DEVELOPMENT]:[PRIVATE MANAGEMENT]],24,FALSE)</f>
        <v>4-6-9-13-14</v>
      </c>
    </row>
    <row r="125" spans="1:67">
      <c r="A125" t="s">
        <v>80</v>
      </c>
      <c r="B125" t="str">
        <f>VLOOKUP(Data[[#This Row],[DEVELOPMENT]],Development_Data_Book[[DEVELOPMENT]:[BOROUGH]],MATCH("borough",Development_Data_Book[[#Headers],[DEVELOPMENT]:[BOROUGH]],0),FALSE)</f>
        <v>MANHATTAN</v>
      </c>
      <c r="C125" t="e">
        <f>VLOOKUP(Data[[#This Row],[DEVELOPMENT]],'[1]Cheat-Sheet'!$D$2:$Q$341,2,FALSE)</f>
        <v>#N/A</v>
      </c>
      <c r="D12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25">
        <f>VLOOKUP(Data[[#This Row],[DEVELOPMENT]],Development_Data_Book[[DEVELOPMENT]:[BOROUGH]],21,FALSE)</f>
        <v>1</v>
      </c>
      <c r="F125">
        <f>VLOOKUP(Data[[#This Row],[DEVELOPMENT]],Development_Data_Book[[DEVELOPMENT]:[BOROUGH]],23,FALSE)</f>
        <v>1</v>
      </c>
      <c r="G125">
        <f>VLOOKUP(Data[[#This Row],[DEVELOPMENT]],Development_Data_Book[[DEVELOPMENT]:[BOROUGH]],12,FALSE)</f>
        <v>35</v>
      </c>
      <c r="H125" t="s">
        <v>2248</v>
      </c>
      <c r="I125">
        <v>4</v>
      </c>
      <c r="J125">
        <f>IFERROR(VLOOKUP(Data[[#This Row],[DEVELOPMENT]],IntCompactors_MRST[],4,FALSE),0)</f>
        <v>1</v>
      </c>
      <c r="K125" s="20">
        <f>IFERROR(VLOOKUP(Data[[#This Row],[DEVELOPMENT]],ExtCompactors_MRST[],4,FALSE),0)</f>
        <v>0</v>
      </c>
      <c r="L125" s="27">
        <f>IF(Data[[#This Row],['# Interior Compactors MRST]]=0,"",VLOOKUP(Data[[#This Row],[DEVELOPMENT]],IntCompactors_MRST[],5,FALSE))</f>
        <v>34151</v>
      </c>
      <c r="M125" s="28" t="str">
        <f>IF(Data[[#This Row],['# Exterior Compactors MRST]]=0,"",VLOOKUP(Data[[#This Row],[DEVELOPMENT]],ExtCompactors_MRST[],5,FALSE))</f>
        <v/>
      </c>
      <c r="N125">
        <f>Data[[#This Row],['# Interior Compactors MRST]]</f>
        <v>1</v>
      </c>
      <c r="O125" s="20">
        <f>IF(Data[[#This Row],['# Bulk Crushers]]=0,1,0)</f>
        <v>1</v>
      </c>
      <c r="P125" s="20">
        <f>1</f>
        <v>1</v>
      </c>
      <c r="Q125" s="20">
        <f>1</f>
        <v>1</v>
      </c>
      <c r="R125" s="20">
        <f>1</f>
        <v>1</v>
      </c>
      <c r="S125" s="20">
        <f>1</f>
        <v>1</v>
      </c>
      <c r="T125" s="20">
        <f>IF(Data[[#This Row],[Sewershed]]="Newtown Creek",Data[[#This Row],[DUs]],0)</f>
        <v>0</v>
      </c>
      <c r="U12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2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2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25" s="82">
        <f>VLOOKUP(Data[[#This Row],[DEVELOPMENT]],Development_Data_Book[[DEVELOPMENT]:[BOROUGH]],3,FALSE)</f>
        <v>281</v>
      </c>
      <c r="Y125" s="20"/>
      <c r="Z125" s="20">
        <f>IFERROR(VLOOKUP(Data[[#This Row],[TDS]],ExtCompactors_PNA[[Development]:[0]],2,FALSE),0)</f>
        <v>0</v>
      </c>
      <c r="AA125" s="20">
        <f>IFERROR(VLOOKUP(Data[[#This Row],[TDS]],IntCompactors_PNA[[TDS]:[0]],2,FALSE),0)</f>
        <v>1</v>
      </c>
      <c r="AB125" s="20"/>
      <c r="AC125" s="20"/>
      <c r="AD125" s="20">
        <f>IFERROR(VLOOKUP(Data[[#This Row],[TDS]],ExtCompactors_PNA[[Development]:[0]],3,FALSE)+VLOOKUP(Data[[#This Row],[TDS]],ExtCompactors_PNA[[Development]:[0]],6,FALSE),0)</f>
        <v>0</v>
      </c>
      <c r="AE125" s="20">
        <f>IFERROR(VLOOKUP(Data[[#This Row],[TDS]],IntCompactors_PNA[[TDS]:[0]],3,FALSE)+VLOOKUP(Data[[#This Row],[TDS]],IntCompactors_PNA[[TDS]:[0]],6,FALSE),0)</f>
        <v>1</v>
      </c>
      <c r="AF125" s="20" t="e">
        <f>VLOOKUP(Data[[#This Row],[DEVELOPMENT]],[3]Developments!$A$2:$A$312,1,FALSE)</f>
        <v>#N/A</v>
      </c>
      <c r="AG125" s="20">
        <f>IFERROR(VLOOKUP(Data[[#This Row],[DEVELOPMENT]],Ops_Priorities_and_Data_Clean[[development]:[ifnoext_comment]],3,FALSE),"")</f>
        <v>0</v>
      </c>
      <c r="AH125" s="20" t="str">
        <f>IFERROR(VLOOKUP(Data[[#This Row],[DEVELOPMENT]],Ops_Priorities_and_Data_Clean[[development]:[ifnoext_comment]],4,FALSE),"")</f>
        <v>Follow up</v>
      </c>
      <c r="AI125" s="20">
        <f>IFERROR(VLOOKUP(Data[[#This Row],[DEVELOPMENT]],Ops_Priorities_and_Data_Clean[[development]:[ifnoext_comment]],5,FALSE),"")</f>
        <v>0</v>
      </c>
      <c r="AJ125" s="20">
        <f>IFERROR(VLOOKUP(Data[[#This Row],[DEVELOPMENT]],Ops_Priorities_and_Data_Clean[[development]:[ifnoext_comment]],6,FALSE),"")</f>
        <v>1</v>
      </c>
      <c r="AK125" s="20">
        <f>IFERROR(VLOOKUP(Data[[#This Row],[DEVELOPMENT]],Ops_Priorities_and_Data_Clean[[development]:[ifnoext_comment]],7,FALSE),"")</f>
        <v>0</v>
      </c>
      <c r="AL125" s="20">
        <f>IFERROR(VLOOKUP(Data[[#This Row],[DEVELOPMENT]],Ops_Priorities_and_Data_Clean[[development]:[ifnoext_comment]],8,FALSE),"")</f>
        <v>1</v>
      </c>
      <c r="AM125" s="20">
        <f>IFERROR(VLOOKUP(Data[[#This Row],[DEVELOPMENT]],Ops_Priorities_and_Data_Clean[[development]:[ifnoext_comment]],9,FALSE),"")</f>
        <v>0</v>
      </c>
      <c r="AN125" s="20">
        <f>IFERROR(VLOOKUP(Data[[#This Row],[DEVELOPMENT]],Ops_Priorities_and_Data_Clean[[development]:[ifnoext_comment]],10,FALSE),"")</f>
        <v>0</v>
      </c>
      <c r="AO125" s="20">
        <f>IFERROR(VLOOKUP(Data[[#This Row],[DEVELOPMENT]],Ops_Priorities_and_Data_Clean[[development]:[ifnoext_comment]],11,FALSE),"")</f>
        <v>0</v>
      </c>
      <c r="AP125" s="20">
        <f>IFERROR(VLOOKUP(Data[[#This Row],[DEVELOPMENT]],Ops_Priorities_and_Data_Clean[[development]:[ifnoext_comment]],12,FALSE),"")</f>
        <v>0</v>
      </c>
      <c r="AQ125" s="20">
        <f>VLOOKUP(Data[[#This Row],[DEVELOPMENT]],Ops_Priorities_and_Data_Clean[[development]:[ifnoext_comment]],14,FALSE)</f>
        <v>0</v>
      </c>
      <c r="AR125" s="20">
        <f>VLOOKUP(Data[[#This Row],[DEVELOPMENT]],Ops_Priorities_and_Data_Clean[[development]:[ifnoext_comment]],15,FALSE)</f>
        <v>1</v>
      </c>
      <c r="AS125" s="20" t="str">
        <f>VLOOKUP(Data[[#This Row],[DEVELOPMENT]],Ops_Priorities_and_Data_Clean[[development]:[ifnoext_comment]],16,FALSE)</f>
        <v>King Towers</v>
      </c>
      <c r="AT125" s="20" t="str">
        <f>VLOOKUP(Data[[#This Row],[DEVELOPMENT]],Ops_Priorities_and_Data_Clean[[development]:[ifnoext_comment]],17,FALSE)</f>
        <v>NULL</v>
      </c>
      <c r="AU125" s="20" t="str">
        <f>VLOOKUP(Data[[#This Row],[DEVELOPMENT]],Ops_Priorities_and_Data_Clean[[development]:[ifnoext_comment]],18,FALSE)</f>
        <v>NULL</v>
      </c>
      <c r="AV125" s="20" t="str">
        <f>VLOOKUP(Data[[#This Row],[DEVELOPMENT]],Ops_Priorities_and_Data_Clean[[development]:[ifnoext_comment]],19,FALSE)</f>
        <v xml:space="preserve">The one exterior compactor at King Towers services both King and Grampion. </v>
      </c>
      <c r="AW125" s="20" t="str">
        <f>VLOOKUP(Data[[#This Row],[DEVELOPMENT]],Ops_Priorities_and_Data_Clean[[development]:[ifnoext_comment]],20,FALSE)</f>
        <v>NULL</v>
      </c>
      <c r="AX125" s="104" t="s">
        <v>2239</v>
      </c>
      <c r="AY125" s="104" t="s">
        <v>2592</v>
      </c>
      <c r="AZ125" s="20" t="str">
        <f>VLOOKUP(Data[[#This Row],[DEVELOPMENT]],Development_Data_Book[[DEVELOPMENT]:[PRIVATE MANAGEMENT]],8,FALSE)</f>
        <v>FEDERAL</v>
      </c>
      <c r="BA125" s="104" t="s">
        <v>2586</v>
      </c>
      <c r="BB125" s="20">
        <f>VLOOKUP(Data[[#This Row],[DEVELOPMENT]],Development_Data_Book[[DEVELOPMENT]:[PRIVATE MANAGEMENT]],22,FALSE)</f>
        <v>0</v>
      </c>
      <c r="BC125" s="20">
        <f>Data[[#This Row],[Non-Dwelling Buildings]]+Data[[#This Row],[Dwelling Buildings]]</f>
        <v>1</v>
      </c>
      <c r="BD125" s="20">
        <f>VLOOKUP(Data[[#This Row],[DEVELOPMENT]],Development_Data_Book[[DEVELOPMENT]:[PRIVATE MANAGEMENT]],26,FALSE)</f>
        <v>0.16</v>
      </c>
      <c r="BE125" s="106">
        <v>32550</v>
      </c>
      <c r="BF125" s="20">
        <f>VLOOKUP(Data[[#This Row],[DEVELOPMENT]],Development_Data_Book[[DEVELOPMENT]:[PRIVATE MANAGEMENT]],18,FALSE)</f>
        <v>67</v>
      </c>
      <c r="BG12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25" s="104" t="s">
        <v>2593</v>
      </c>
      <c r="BI125" t="s">
        <v>184</v>
      </c>
      <c r="BJ125" s="20">
        <f>VLOOKUP(Data[[#This Row],[DEVELOPMENT]],Development_Data_Book[[DEVELOPMENT]:[PRIVATE MANAGEMENT]],41,FALSE)</f>
        <v>10</v>
      </c>
      <c r="BK125" s="20">
        <f>VLOOKUP(Data[[#This Row],[DEVELOPMENT]],Development_Data_Book[[DEVELOPMENT]:[PRIVATE MANAGEMENT]],42,FALSE)</f>
        <v>13</v>
      </c>
      <c r="BL125" s="20">
        <f>VLOOKUP(Data[[#This Row],[DEVELOPMENT]],Development_Data_Book[[DEVELOPMENT]:[PRIVATE MANAGEMENT]],43,FALSE)</f>
        <v>30</v>
      </c>
      <c r="BM125" s="20">
        <f>VLOOKUP(Data[[#This Row],[DEVELOPMENT]],Development_Data_Book[[DEVELOPMENT]:[PRIVATE MANAGEMENT]],44,FALSE)</f>
        <v>70</v>
      </c>
      <c r="BN125" s="20">
        <f>VLOOKUP(Data[[#This Row],[DEVELOPMENT]],Development_Data_Book[[DEVELOPMENT]:[PRIVATE MANAGEMENT]],45,FALSE)</f>
        <v>9</v>
      </c>
      <c r="BO125" s="20">
        <f>VLOOKUP(Data[[#This Row],[DEVELOPMENT]],Development_Data_Book[[DEVELOPMENT]:[PRIVATE MANAGEMENT]],24,FALSE)</f>
        <v>7</v>
      </c>
    </row>
    <row r="126" spans="1:67">
      <c r="A126" t="s">
        <v>81</v>
      </c>
      <c r="B126" t="str">
        <f>VLOOKUP(Data[[#This Row],[DEVELOPMENT]],Development_Data_Book[[DEVELOPMENT]:[BOROUGH]],MATCH("borough",Development_Data_Book[[#Headers],[DEVELOPMENT]:[BOROUGH]],0),FALSE)</f>
        <v>MANHATTAN</v>
      </c>
      <c r="C126" t="e">
        <f>VLOOKUP(Data[[#This Row],[DEVELOPMENT]],'[1]Cheat-Sheet'!$D$2:$Q$341,2,FALSE)</f>
        <v>#N/A</v>
      </c>
      <c r="D12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26">
        <f>VLOOKUP(Data[[#This Row],[DEVELOPMENT]],Development_Data_Book[[DEVELOPMENT]:[BOROUGH]],21,FALSE)</f>
        <v>9</v>
      </c>
      <c r="F126">
        <f>VLOOKUP(Data[[#This Row],[DEVELOPMENT]],Development_Data_Book[[DEVELOPMENT]:[BOROUGH]],23,FALSE)</f>
        <v>10</v>
      </c>
      <c r="G126">
        <f>VLOOKUP(Data[[#This Row],[DEVELOPMENT]],Development_Data_Book[[DEVELOPMENT]:[BOROUGH]],12,FALSE)</f>
        <v>1939</v>
      </c>
      <c r="H126" t="s">
        <v>2247</v>
      </c>
      <c r="I126">
        <v>1</v>
      </c>
      <c r="J126">
        <f>IFERROR(VLOOKUP(Data[[#This Row],[DEVELOPMENT]],IntCompactors_MRST[],4,FALSE),0)</f>
        <v>9</v>
      </c>
      <c r="K126" s="20">
        <f>IFERROR(VLOOKUP(Data[[#This Row],[DEVELOPMENT]],ExtCompactors_MRST[],4,FALSE),0)</f>
        <v>4</v>
      </c>
      <c r="L126" s="27">
        <f>IF(Data[[#This Row],['# Interior Compactors MRST]]=0,"",VLOOKUP(Data[[#This Row],[DEVELOPMENT]],IntCompactors_MRST[],5,FALSE))</f>
        <v>42767</v>
      </c>
      <c r="M126" s="28">
        <f>IF(Data[[#This Row],['# Exterior Compactors MRST]]=0,"",VLOOKUP(Data[[#This Row],[DEVELOPMENT]],ExtCompactors_MRST[],5,FALSE))</f>
        <v>36418</v>
      </c>
      <c r="N126">
        <f>Data[[#This Row],['# Interior Compactors MRST]]</f>
        <v>9</v>
      </c>
      <c r="O126" s="20">
        <f>IF(Data[[#This Row],['# Bulk Crushers]]=0,1,0)</f>
        <v>1</v>
      </c>
      <c r="P126" s="20">
        <f>1</f>
        <v>1</v>
      </c>
      <c r="Q126" s="20">
        <f>1</f>
        <v>1</v>
      </c>
      <c r="R126" s="20">
        <f>1</f>
        <v>1</v>
      </c>
      <c r="S126" s="20">
        <f>1</f>
        <v>1</v>
      </c>
      <c r="T126" s="20">
        <f>IF(Data[[#This Row],[Sewershed]]="Newtown Creek",Data[[#This Row],[DUs]],0)</f>
        <v>0</v>
      </c>
      <c r="U126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26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26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26" s="82">
        <f>VLOOKUP(Data[[#This Row],[DEVELOPMENT]],Development_Data_Book[[DEVELOPMENT]:[BOROUGH]],3,FALSE)</f>
        <v>87</v>
      </c>
      <c r="Y126" s="20"/>
      <c r="Z126" s="20">
        <f>IFERROR(VLOOKUP(Data[[#This Row],[TDS]],ExtCompactors_PNA[[Development]:[0]],2,FALSE),0)</f>
        <v>2</v>
      </c>
      <c r="AA126" s="20">
        <f>IFERROR(VLOOKUP(Data[[#This Row],[TDS]],IntCompactors_PNA[[TDS]:[0]],2,FALSE),0)</f>
        <v>16</v>
      </c>
      <c r="AB126" s="20"/>
      <c r="AC126" s="20"/>
      <c r="AD126" s="20">
        <f>IFERROR(VLOOKUP(Data[[#This Row],[TDS]],ExtCompactors_PNA[[Development]:[0]],3,FALSE)+VLOOKUP(Data[[#This Row],[TDS]],ExtCompactors_PNA[[Development]:[0]],6,FALSE),0)</f>
        <v>2</v>
      </c>
      <c r="AE126" s="20">
        <f>IFERROR(VLOOKUP(Data[[#This Row],[TDS]],IntCompactors_PNA[[TDS]:[0]],3,FALSE)+VLOOKUP(Data[[#This Row],[TDS]],IntCompactors_PNA[[TDS]:[0]],6,FALSE),0)</f>
        <v>16</v>
      </c>
      <c r="AF126" s="20" t="e">
        <f>VLOOKUP(Data[[#This Row],[DEVELOPMENT]],[3]Developments!$A$2:$A$312,1,FALSE)</f>
        <v>#N/A</v>
      </c>
      <c r="AG126" s="20">
        <f>IFERROR(VLOOKUP(Data[[#This Row],[DEVELOPMENT]],Ops_Priorities_and_Data_Clean[[development]:[ifnoext_comment]],3,FALSE),"")</f>
        <v>4</v>
      </c>
      <c r="AH126" s="20">
        <f>IFERROR(VLOOKUP(Data[[#This Row],[DEVELOPMENT]],Ops_Priorities_and_Data_Clean[[development]:[ifnoext_comment]],4,FALSE),"")</f>
        <v>0</v>
      </c>
      <c r="AI126" s="20">
        <f>IFERROR(VLOOKUP(Data[[#This Row],[DEVELOPMENT]],Ops_Priorities_and_Data_Clean[[development]:[ifnoext_comment]],5,FALSE),"")</f>
        <v>1</v>
      </c>
      <c r="AJ126" s="20">
        <f>IFERROR(VLOOKUP(Data[[#This Row],[DEVELOPMENT]],Ops_Priorities_and_Data_Clean[[development]:[ifnoext_comment]],6,FALSE),"")</f>
        <v>0</v>
      </c>
      <c r="AK126" s="20">
        <f>IFERROR(VLOOKUP(Data[[#This Row],[DEVELOPMENT]],Ops_Priorities_and_Data_Clean[[development]:[ifnoext_comment]],7,FALSE),"")</f>
        <v>0</v>
      </c>
      <c r="AL126" s="20">
        <f>IFERROR(VLOOKUP(Data[[#This Row],[DEVELOPMENT]],Ops_Priorities_and_Data_Clean[[development]:[ifnoext_comment]],8,FALSE),"")</f>
        <v>1</v>
      </c>
      <c r="AM126" s="20">
        <f>IFERROR(VLOOKUP(Data[[#This Row],[DEVELOPMENT]],Ops_Priorities_and_Data_Clean[[development]:[ifnoext_comment]],9,FALSE),"")</f>
        <v>0</v>
      </c>
      <c r="AN126" s="20">
        <f>IFERROR(VLOOKUP(Data[[#This Row],[DEVELOPMENT]],Ops_Priorities_and_Data_Clean[[development]:[ifnoext_comment]],10,FALSE),"")</f>
        <v>4</v>
      </c>
      <c r="AO126" s="20">
        <f>IFERROR(VLOOKUP(Data[[#This Row],[DEVELOPMENT]],Ops_Priorities_and_Data_Clean[[development]:[ifnoext_comment]],11,FALSE),"")</f>
        <v>4</v>
      </c>
      <c r="AP126" s="20">
        <f>IFERROR(VLOOKUP(Data[[#This Row],[DEVELOPMENT]],Ops_Priorities_and_Data_Clean[[development]:[ifnoext_comment]],12,FALSE),"")</f>
        <v>4</v>
      </c>
      <c r="AQ126" s="20">
        <f>VLOOKUP(Data[[#This Row],[DEVELOPMENT]],Ops_Priorities_and_Data_Clean[[development]:[ifnoext_comment]],14,FALSE)</f>
        <v>0</v>
      </c>
      <c r="AR126" s="20">
        <f>VLOOKUP(Data[[#This Row],[DEVELOPMENT]],Ops_Priorities_and_Data_Clean[[development]:[ifnoext_comment]],15,FALSE)</f>
        <v>0</v>
      </c>
      <c r="AS126" s="20" t="str">
        <f>VLOOKUP(Data[[#This Row],[DEVELOPMENT]],Ops_Priorities_and_Data_Clean[[development]:[ifnoext_comment]],16,FALSE)</f>
        <v>NULL</v>
      </c>
      <c r="AT126" s="20" t="str">
        <f>VLOOKUP(Data[[#This Row],[DEVELOPMENT]],Ops_Priorities_and_Data_Clean[[development]:[ifnoext_comment]],17,FALSE)</f>
        <v>NULL</v>
      </c>
      <c r="AU126" s="20" t="str">
        <f>VLOOKUP(Data[[#This Row],[DEVELOPMENT]],Ops_Priorities_and_Data_Clean[[development]:[ifnoext_comment]],18,FALSE)</f>
        <v>NULL</v>
      </c>
      <c r="AV126" s="20" t="str">
        <f>VLOOKUP(Data[[#This Row],[DEVELOPMENT]],Ops_Priorities_and_Data_Clean[[development]:[ifnoext_comment]],19,FALSE)</f>
        <v>NULL</v>
      </c>
      <c r="AW126" s="20" t="str">
        <f>VLOOKUP(Data[[#This Row],[DEVELOPMENT]],Ops_Priorities_and_Data_Clean[[development]:[ifnoext_comment]],20,FALSE)</f>
        <v>NULL</v>
      </c>
      <c r="AX126" s="104" t="s">
        <v>2239</v>
      </c>
      <c r="AY126" s="104" t="s">
        <v>2650</v>
      </c>
      <c r="AZ126" s="20" t="str">
        <f>VLOOKUP(Data[[#This Row],[DEVELOPMENT]],Development_Data_Book[[DEVELOPMENT]:[PRIVATE MANAGEMENT]],8,FALSE)</f>
        <v>FEDERAL</v>
      </c>
      <c r="BA126" s="104" t="s">
        <v>2586</v>
      </c>
      <c r="BB126" s="20">
        <f>VLOOKUP(Data[[#This Row],[DEVELOPMENT]],Development_Data_Book[[DEVELOPMENT]:[PRIVATE MANAGEMENT]],22,FALSE)</f>
        <v>1</v>
      </c>
      <c r="BC126" s="20">
        <f>Data[[#This Row],[Non-Dwelling Buildings]]+Data[[#This Row],[Dwelling Buildings]]</f>
        <v>10</v>
      </c>
      <c r="BD126" s="20">
        <f>VLOOKUP(Data[[#This Row],[DEVELOPMENT]],Development_Data_Book[[DEVELOPMENT]:[PRIVATE MANAGEMENT]],26,FALSE)</f>
        <v>15.05</v>
      </c>
      <c r="BE126" s="106">
        <v>1931229</v>
      </c>
      <c r="BF126" s="20">
        <f>VLOOKUP(Data[[#This Row],[DEVELOPMENT]],Development_Data_Book[[DEVELOPMENT]:[PRIVATE MANAGEMENT]],18,FALSE)</f>
        <v>4282</v>
      </c>
      <c r="BG12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26" s="104" t="s">
        <v>2593</v>
      </c>
      <c r="BI126" t="s">
        <v>184</v>
      </c>
      <c r="BJ126" s="20">
        <f>VLOOKUP(Data[[#This Row],[DEVELOPMENT]],Development_Data_Book[[DEVELOPMENT]:[PRIVATE MANAGEMENT]],41,FALSE)</f>
        <v>9</v>
      </c>
      <c r="BK126" s="20">
        <f>VLOOKUP(Data[[#This Row],[DEVELOPMENT]],Development_Data_Book[[DEVELOPMENT]:[PRIVATE MANAGEMENT]],42,FALSE)</f>
        <v>13</v>
      </c>
      <c r="BL126" s="20">
        <f>VLOOKUP(Data[[#This Row],[DEVELOPMENT]],Development_Data_Book[[DEVELOPMENT]:[PRIVATE MANAGEMENT]],43,FALSE)</f>
        <v>30</v>
      </c>
      <c r="BM126" s="20">
        <f>VLOOKUP(Data[[#This Row],[DEVELOPMENT]],Development_Data_Book[[DEVELOPMENT]:[PRIVATE MANAGEMENT]],44,FALSE)</f>
        <v>69</v>
      </c>
      <c r="BN126" s="20">
        <f>VLOOKUP(Data[[#This Row],[DEVELOPMENT]],Development_Data_Book[[DEVELOPMENT]:[PRIVATE MANAGEMENT]],45,FALSE)</f>
        <v>7</v>
      </c>
      <c r="BO126" s="20" t="str">
        <f>VLOOKUP(Data[[#This Row],[DEVELOPMENT]],Development_Data_Book[[DEVELOPMENT]:[PRIVATE MANAGEMENT]],24,FALSE)</f>
        <v>13-21</v>
      </c>
    </row>
    <row r="127" spans="1:67">
      <c r="A127" t="s">
        <v>327</v>
      </c>
      <c r="B127" s="20" t="str">
        <f>VLOOKUP(Data[[#This Row],[DEVELOPMENT]],Development_Data_Book[[DEVELOPMENT]:[BOROUGH]],MATCH("borough",Development_Data_Book[[#Headers],[DEVELOPMENT]:[BOROUGH]],0),FALSE)</f>
        <v>BROOKLYN</v>
      </c>
      <c r="C127" s="20" t="e">
        <f>VLOOKUP(Data[[#This Row],[DEVELOPMENT]],'[1]Cheat-Sheet'!$D$2:$Q$341,2,FALSE)</f>
        <v>#N/A</v>
      </c>
      <c r="D12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27" s="20">
        <f>VLOOKUP(Data[[#This Row],[DEVELOPMENT]],Development_Data_Book[[DEVELOPMENT]:[BOROUGH]],21,FALSE)</f>
        <v>15</v>
      </c>
      <c r="F127" s="20">
        <f>VLOOKUP(Data[[#This Row],[DEVELOPMENT]],Development_Data_Book[[DEVELOPMENT]:[BOROUGH]],23,FALSE)</f>
        <v>15</v>
      </c>
      <c r="G127" s="20">
        <f>VLOOKUP(Data[[#This Row],[DEVELOPMENT]],Development_Data_Book[[DEVELOPMENT]:[BOROUGH]],12,FALSE)</f>
        <v>627</v>
      </c>
      <c r="J127">
        <f>IFERROR(VLOOKUP(Data[[#This Row],[DEVELOPMENT]],IntCompactors_MRST[],4,FALSE),0)</f>
        <v>15</v>
      </c>
      <c r="K127" s="20">
        <f>IFERROR(VLOOKUP(Data[[#This Row],[DEVELOPMENT]],ExtCompactors_MRST[],4,FALSE),0)</f>
        <v>0</v>
      </c>
      <c r="L127" s="27">
        <f>IF(Data[[#This Row],['# Interior Compactors MRST]]=0,"",VLOOKUP(Data[[#This Row],[DEVELOPMENT]],IntCompactors_MRST[],5,FALSE))</f>
        <v>37834</v>
      </c>
      <c r="M127" s="28" t="str">
        <f>IF(Data[[#This Row],['# Exterior Compactors MRST]]=0,"",VLOOKUP(Data[[#This Row],[DEVELOPMENT]],ExtCompactors_MRST[],5,FALSE))</f>
        <v/>
      </c>
      <c r="N127" s="20">
        <f>Data[[#This Row],['# Interior Compactors MRST]]</f>
        <v>15</v>
      </c>
      <c r="O127" s="20">
        <f>IF(Data[[#This Row],['# Bulk Crushers]]=0,1,0)</f>
        <v>1</v>
      </c>
      <c r="P127" s="20">
        <f>1</f>
        <v>1</v>
      </c>
      <c r="Q127" s="20">
        <f>1</f>
        <v>1</v>
      </c>
      <c r="R127" s="20">
        <f>1</f>
        <v>1</v>
      </c>
      <c r="S127" s="20">
        <f>1</f>
        <v>1</v>
      </c>
      <c r="T127" s="20">
        <f>IF(Data[[#This Row],[Sewershed]]="Newtown Creek",Data[[#This Row],[DUs]],0)</f>
        <v>0</v>
      </c>
      <c r="U12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2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2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27" s="82">
        <f>VLOOKUP(Data[[#This Row],[DEVELOPMENT]],Development_Data_Book[[DEVELOPMENT]:[BOROUGH]],3,FALSE)</f>
        <v>68</v>
      </c>
      <c r="Y127" s="20"/>
      <c r="Z127" s="20">
        <f>IFERROR(VLOOKUP(Data[[#This Row],[TDS]],ExtCompactors_PNA[[Development]:[0]],2,FALSE),0)</f>
        <v>0</v>
      </c>
      <c r="AA127" s="20">
        <f>IFERROR(VLOOKUP(Data[[#This Row],[TDS]],IntCompactors_PNA[[TDS]:[0]],2,FALSE),0)</f>
        <v>15</v>
      </c>
      <c r="AB127" s="20"/>
      <c r="AC127" s="20"/>
      <c r="AD127" s="20">
        <f>IFERROR(VLOOKUP(Data[[#This Row],[TDS]],ExtCompactors_PNA[[Development]:[0]],3,FALSE)+VLOOKUP(Data[[#This Row],[TDS]],ExtCompactors_PNA[[Development]:[0]],6,FALSE),0)</f>
        <v>0</v>
      </c>
      <c r="AE127" s="20">
        <f>IFERROR(VLOOKUP(Data[[#This Row],[TDS]],IntCompactors_PNA[[TDS]:[0]],3,FALSE)+VLOOKUP(Data[[#This Row],[TDS]],IntCompactors_PNA[[TDS]:[0]],6,FALSE),0)</f>
        <v>2</v>
      </c>
      <c r="AF127" s="20" t="e">
        <f>VLOOKUP(Data[[#This Row],[DEVELOPMENT]],[3]Developments!$A$2:$A$312,1,FALSE)</f>
        <v>#N/A</v>
      </c>
      <c r="AG127" s="20">
        <f>IFERROR(VLOOKUP(Data[[#This Row],[DEVELOPMENT]],Ops_Priorities_and_Data_Clean[[development]:[ifnoext_comment]],3,FALSE),"")</f>
        <v>0</v>
      </c>
      <c r="AH127" s="20">
        <f>IFERROR(VLOOKUP(Data[[#This Row],[DEVELOPMENT]],Ops_Priorities_and_Data_Clean[[development]:[ifnoext_comment]],4,FALSE),"")</f>
        <v>0</v>
      </c>
      <c r="AI127" s="20">
        <f>IFERROR(VLOOKUP(Data[[#This Row],[DEVELOPMENT]],Ops_Priorities_and_Data_Clean[[development]:[ifnoext_comment]],5,FALSE),"")</f>
        <v>0</v>
      </c>
      <c r="AJ127" s="20">
        <f>IFERROR(VLOOKUP(Data[[#This Row],[DEVELOPMENT]],Ops_Priorities_and_Data_Clean[[development]:[ifnoext_comment]],6,FALSE),"")</f>
        <v>0</v>
      </c>
      <c r="AK127" s="20">
        <f>IFERROR(VLOOKUP(Data[[#This Row],[DEVELOPMENT]],Ops_Priorities_and_Data_Clean[[development]:[ifnoext_comment]],7,FALSE),"")</f>
        <v>1</v>
      </c>
      <c r="AL127" s="20">
        <f>IFERROR(VLOOKUP(Data[[#This Row],[DEVELOPMENT]],Ops_Priorities_and_Data_Clean[[development]:[ifnoext_comment]],8,FALSE),"")</f>
        <v>1</v>
      </c>
      <c r="AM127" s="20">
        <f>IFERROR(VLOOKUP(Data[[#This Row],[DEVELOPMENT]],Ops_Priorities_and_Data_Clean[[development]:[ifnoext_comment]],9,FALSE),"")</f>
        <v>1</v>
      </c>
      <c r="AN127" s="20">
        <f>IFERROR(VLOOKUP(Data[[#This Row],[DEVELOPMENT]],Ops_Priorities_and_Data_Clean[[development]:[ifnoext_comment]],10,FALSE),"")</f>
        <v>0</v>
      </c>
      <c r="AO127" s="20">
        <f>IFERROR(VLOOKUP(Data[[#This Row],[DEVELOPMENT]],Ops_Priorities_and_Data_Clean[[development]:[ifnoext_comment]],11,FALSE),"")</f>
        <v>0</v>
      </c>
      <c r="AP127" s="20">
        <f>IFERROR(VLOOKUP(Data[[#This Row],[DEVELOPMENT]],Ops_Priorities_and_Data_Clean[[development]:[ifnoext_comment]],12,FALSE),"")</f>
        <v>0</v>
      </c>
      <c r="AQ127" s="20">
        <f>VLOOKUP(Data[[#This Row],[DEVELOPMENT]],Ops_Priorities_and_Data_Clean[[development]:[ifnoext_comment]],14,FALSE)</f>
        <v>1</v>
      </c>
      <c r="AR127" s="20">
        <f>VLOOKUP(Data[[#This Row],[DEVELOPMENT]],Ops_Priorities_and_Data_Clean[[development]:[ifnoext_comment]],15,FALSE)</f>
        <v>0</v>
      </c>
      <c r="AS127" s="20" t="str">
        <f>VLOOKUP(Data[[#This Row],[DEVELOPMENT]],Ops_Priorities_and_Data_Clean[[development]:[ifnoext_comment]],16,FALSE)</f>
        <v>NULL</v>
      </c>
      <c r="AT127" s="20" t="str">
        <f>VLOOKUP(Data[[#This Row],[DEVELOPMENT]],Ops_Priorities_and_Data_Clean[[development]:[ifnoext_comment]],17,FALSE)</f>
        <v>NULL</v>
      </c>
      <c r="AU127" s="20" t="str">
        <f>VLOOKUP(Data[[#This Row],[DEVELOPMENT]],Ops_Priorities_and_Data_Clean[[development]:[ifnoext_comment]],18,FALSE)</f>
        <v>NULL</v>
      </c>
      <c r="AV127" s="20" t="str">
        <f>VLOOKUP(Data[[#This Row],[DEVELOPMENT]],Ops_Priorities_and_Data_Clean[[development]:[ifnoext_comment]],19,FALSE)</f>
        <v>NULL</v>
      </c>
      <c r="AW127" s="20" t="str">
        <f>VLOOKUP(Data[[#This Row],[DEVELOPMENT]],Ops_Priorities_and_Data_Clean[[development]:[ifnoext_comment]],20,FALSE)</f>
        <v>NULL</v>
      </c>
      <c r="AX127" s="104" t="s">
        <v>2238</v>
      </c>
      <c r="AY127" s="104" t="s">
        <v>327</v>
      </c>
      <c r="AZ127" s="20" t="str">
        <f>VLOOKUP(Data[[#This Row],[DEVELOPMENT]],Development_Data_Book[[DEVELOPMENT]:[PRIVATE MANAGEMENT]],8,FALSE)</f>
        <v>FEDERAL</v>
      </c>
      <c r="BA127" s="104" t="s">
        <v>2586</v>
      </c>
      <c r="BB127" s="20">
        <f>VLOOKUP(Data[[#This Row],[DEVELOPMENT]],Development_Data_Book[[DEVELOPMENT]:[PRIVATE MANAGEMENT]],22,FALSE)</f>
        <v>0</v>
      </c>
      <c r="BC127" s="20">
        <f>Data[[#This Row],[Non-Dwelling Buildings]]+Data[[#This Row],[Dwelling Buildings]]</f>
        <v>15</v>
      </c>
      <c r="BD127" s="20">
        <f>VLOOKUP(Data[[#This Row],[DEVELOPMENT]],Development_Data_Book[[DEVELOPMENT]:[PRIVATE MANAGEMENT]],26,FALSE)</f>
        <v>12.41</v>
      </c>
      <c r="BE127" s="106">
        <v>688000</v>
      </c>
      <c r="BF127" s="20">
        <f>VLOOKUP(Data[[#This Row],[DEVELOPMENT]],Development_Data_Book[[DEVELOPMENT]:[PRIVATE MANAGEMENT]],18,FALSE)</f>
        <v>1463</v>
      </c>
      <c r="BG12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27" s="104" t="s">
        <v>2621</v>
      </c>
      <c r="BI127" t="s">
        <v>184</v>
      </c>
      <c r="BJ127" s="20">
        <f>VLOOKUP(Data[[#This Row],[DEVELOPMENT]],Development_Data_Book[[DEVELOPMENT]:[PRIVATE MANAGEMENT]],41,FALSE)</f>
        <v>13</v>
      </c>
      <c r="BK127" s="20">
        <f>VLOOKUP(Data[[#This Row],[DEVELOPMENT]],Development_Data_Book[[DEVELOPMENT]:[PRIVATE MANAGEMENT]],42,FALSE)</f>
        <v>8</v>
      </c>
      <c r="BL127" s="20">
        <f>VLOOKUP(Data[[#This Row],[DEVELOPMENT]],Development_Data_Book[[DEVELOPMENT]:[PRIVATE MANAGEMENT]],43,FALSE)</f>
        <v>23</v>
      </c>
      <c r="BM127" s="20">
        <f>VLOOKUP(Data[[#This Row],[DEVELOPMENT]],Development_Data_Book[[DEVELOPMENT]:[PRIVATE MANAGEMENT]],44,FALSE)</f>
        <v>46</v>
      </c>
      <c r="BN127" s="20">
        <f>VLOOKUP(Data[[#This Row],[DEVELOPMENT]],Development_Data_Book[[DEVELOPMENT]:[PRIVATE MANAGEMENT]],45,FALSE)</f>
        <v>47</v>
      </c>
      <c r="BO127" s="20">
        <f>VLOOKUP(Data[[#This Row],[DEVELOPMENT]],Development_Data_Book[[DEVELOPMENT]:[PRIVATE MANAGEMENT]],24,FALSE)</f>
        <v>7</v>
      </c>
    </row>
    <row r="128" spans="1:67">
      <c r="A128" t="s">
        <v>328</v>
      </c>
      <c r="B128" s="20" t="str">
        <f>VLOOKUP(Data[[#This Row],[DEVELOPMENT]],Development_Data_Book[[DEVELOPMENT]:[BOROUGH]],MATCH("borough",Development_Data_Book[[#Headers],[DEVELOPMENT]:[BOROUGH]],0),FALSE)</f>
        <v>BRONX</v>
      </c>
      <c r="C128" s="20" t="e">
        <f>VLOOKUP(Data[[#This Row],[DEVELOPMENT]],'[1]Cheat-Sheet'!$D$2:$Q$341,2,FALSE)</f>
        <v>#N/A</v>
      </c>
      <c r="D12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28" s="20">
        <f>VLOOKUP(Data[[#This Row],[DEVELOPMENT]],Development_Data_Book[[DEVELOPMENT]:[BOROUGH]],21,FALSE)</f>
        <v>6</v>
      </c>
      <c r="F128" s="20">
        <f>VLOOKUP(Data[[#This Row],[DEVELOPMENT]],Development_Data_Book[[DEVELOPMENT]:[BOROUGH]],23,FALSE)</f>
        <v>6</v>
      </c>
      <c r="G128" s="20">
        <f>VLOOKUP(Data[[#This Row],[DEVELOPMENT]],Development_Data_Book[[DEVELOPMENT]:[BOROUGH]],12,FALSE)</f>
        <v>732</v>
      </c>
      <c r="J128">
        <f>IFERROR(VLOOKUP(Data[[#This Row],[DEVELOPMENT]],IntCompactors_MRST[],4,FALSE),0)</f>
        <v>6</v>
      </c>
      <c r="K128" s="20">
        <f>IFERROR(VLOOKUP(Data[[#This Row],[DEVELOPMENT]],ExtCompactors_MRST[],4,FALSE),0)</f>
        <v>2</v>
      </c>
      <c r="L128" s="27">
        <f>IF(Data[[#This Row],['# Interior Compactors MRST]]=0,"",VLOOKUP(Data[[#This Row],[DEVELOPMENT]],IntCompactors_MRST[],5,FALSE))</f>
        <v>37210</v>
      </c>
      <c r="M128" s="28">
        <f>IF(Data[[#This Row],['# Exterior Compactors MRST]]=0,"",VLOOKUP(Data[[#This Row],[DEVELOPMENT]],ExtCompactors_MRST[],5,FALSE))</f>
        <v>39981</v>
      </c>
      <c r="N128" s="20">
        <f>Data[[#This Row],['# Interior Compactors MRST]]</f>
        <v>6</v>
      </c>
      <c r="O128" s="20">
        <f>IF(Data[[#This Row],['# Bulk Crushers]]=0,1,0)</f>
        <v>1</v>
      </c>
      <c r="P128" s="20">
        <f>1</f>
        <v>1</v>
      </c>
      <c r="Q128" s="20">
        <f>1</f>
        <v>1</v>
      </c>
      <c r="R128" s="20">
        <f>1</f>
        <v>1</v>
      </c>
      <c r="S128" s="20">
        <f>1</f>
        <v>1</v>
      </c>
      <c r="T128" s="20">
        <f>IF(Data[[#This Row],[Sewershed]]="Newtown Creek",Data[[#This Row],[DUs]],0)</f>
        <v>0</v>
      </c>
      <c r="U12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2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2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28" s="82">
        <f>VLOOKUP(Data[[#This Row],[DEVELOPMENT]],Development_Data_Book[[DEVELOPMENT]:[BOROUGH]],3,FALSE)</f>
        <v>40</v>
      </c>
      <c r="Y128" s="20"/>
      <c r="Z128" s="20">
        <f>IFERROR(VLOOKUP(Data[[#This Row],[TDS]],ExtCompactors_PNA[[Development]:[0]],2,FALSE),0)</f>
        <v>2</v>
      </c>
      <c r="AA128" s="20">
        <f>IFERROR(VLOOKUP(Data[[#This Row],[TDS]],IntCompactors_PNA[[TDS]:[0]],2,FALSE),0)</f>
        <v>6</v>
      </c>
      <c r="AB128" s="20"/>
      <c r="AC128" s="20"/>
      <c r="AD128" s="20">
        <f>IFERROR(VLOOKUP(Data[[#This Row],[TDS]],ExtCompactors_PNA[[Development]:[0]],3,FALSE)+VLOOKUP(Data[[#This Row],[TDS]],ExtCompactors_PNA[[Development]:[0]],6,FALSE),0)</f>
        <v>2</v>
      </c>
      <c r="AE128" s="20">
        <f>IFERROR(VLOOKUP(Data[[#This Row],[TDS]],IntCompactors_PNA[[TDS]:[0]],3,FALSE)+VLOOKUP(Data[[#This Row],[TDS]],IntCompactors_PNA[[TDS]:[0]],6,FALSE),0)</f>
        <v>6</v>
      </c>
      <c r="AF128" s="20" t="e">
        <f>VLOOKUP(Data[[#This Row],[DEVELOPMENT]],[3]Developments!$A$2:$A$312,1,FALSE)</f>
        <v>#N/A</v>
      </c>
      <c r="AG128" s="20">
        <f>IFERROR(VLOOKUP(Data[[#This Row],[DEVELOPMENT]],Ops_Priorities_and_Data_Clean[[development]:[ifnoext_comment]],3,FALSE),"")</f>
        <v>2</v>
      </c>
      <c r="AH128" s="20">
        <f>IFERROR(VLOOKUP(Data[[#This Row],[DEVELOPMENT]],Ops_Priorities_and_Data_Clean[[development]:[ifnoext_comment]],4,FALSE),"")</f>
        <v>0</v>
      </c>
      <c r="AI128" s="20">
        <f>IFERROR(VLOOKUP(Data[[#This Row],[DEVELOPMENT]],Ops_Priorities_and_Data_Clean[[development]:[ifnoext_comment]],5,FALSE),"")</f>
        <v>1</v>
      </c>
      <c r="AJ128" s="20">
        <f>IFERROR(VLOOKUP(Data[[#This Row],[DEVELOPMENT]],Ops_Priorities_and_Data_Clean[[development]:[ifnoext_comment]],6,FALSE),"")</f>
        <v>0</v>
      </c>
      <c r="AK128" s="20">
        <f>IFERROR(VLOOKUP(Data[[#This Row],[DEVELOPMENT]],Ops_Priorities_and_Data_Clean[[development]:[ifnoext_comment]],7,FALSE),"")</f>
        <v>0</v>
      </c>
      <c r="AL128" s="20">
        <f>IFERROR(VLOOKUP(Data[[#This Row],[DEVELOPMENT]],Ops_Priorities_and_Data_Clean[[development]:[ifnoext_comment]],8,FALSE),"")</f>
        <v>1</v>
      </c>
      <c r="AM128" s="20">
        <f>IFERROR(VLOOKUP(Data[[#This Row],[DEVELOPMENT]],Ops_Priorities_and_Data_Clean[[development]:[ifnoext_comment]],9,FALSE),"")</f>
        <v>0</v>
      </c>
      <c r="AN128" s="20">
        <f>IFERROR(VLOOKUP(Data[[#This Row],[DEVELOPMENT]],Ops_Priorities_and_Data_Clean[[development]:[ifnoext_comment]],10,FALSE),"")</f>
        <v>2</v>
      </c>
      <c r="AO128" s="20">
        <f>IFERROR(VLOOKUP(Data[[#This Row],[DEVELOPMENT]],Ops_Priorities_and_Data_Clean[[development]:[ifnoext_comment]],11,FALSE),"")</f>
        <v>2</v>
      </c>
      <c r="AP128" s="20">
        <f>IFERROR(VLOOKUP(Data[[#This Row],[DEVELOPMENT]],Ops_Priorities_and_Data_Clean[[development]:[ifnoext_comment]],12,FALSE),"")</f>
        <v>2</v>
      </c>
      <c r="AQ128" s="20">
        <f>VLOOKUP(Data[[#This Row],[DEVELOPMENT]],Ops_Priorities_and_Data_Clean[[development]:[ifnoext_comment]],14,FALSE)</f>
        <v>0</v>
      </c>
      <c r="AR128" s="20">
        <f>VLOOKUP(Data[[#This Row],[DEVELOPMENT]],Ops_Priorities_and_Data_Clean[[development]:[ifnoext_comment]],15,FALSE)</f>
        <v>0</v>
      </c>
      <c r="AS128" s="20" t="str">
        <f>VLOOKUP(Data[[#This Row],[DEVELOPMENT]],Ops_Priorities_and_Data_Clean[[development]:[ifnoext_comment]],16,FALSE)</f>
        <v>NULL</v>
      </c>
      <c r="AT128" s="20" t="str">
        <f>VLOOKUP(Data[[#This Row],[DEVELOPMENT]],Ops_Priorities_and_Data_Clean[[development]:[ifnoext_comment]],17,FALSE)</f>
        <v>NULL</v>
      </c>
      <c r="AU128" s="20" t="str">
        <f>VLOOKUP(Data[[#This Row],[DEVELOPMENT]],Ops_Priorities_and_Data_Clean[[development]:[ifnoext_comment]],18,FALSE)</f>
        <v>NULL</v>
      </c>
      <c r="AV128" s="20" t="str">
        <f>VLOOKUP(Data[[#This Row],[DEVELOPMENT]],Ops_Priorities_and_Data_Clean[[development]:[ifnoext_comment]],19,FALSE)</f>
        <v>NULL</v>
      </c>
      <c r="AW128" s="20" t="str">
        <f>VLOOKUP(Data[[#This Row],[DEVELOPMENT]],Ops_Priorities_and_Data_Clean[[development]:[ifnoext_comment]],20,FALSE)</f>
        <v>NULL</v>
      </c>
      <c r="AX128" s="104" t="s">
        <v>2237</v>
      </c>
      <c r="AY128" s="104" t="s">
        <v>2651</v>
      </c>
      <c r="AZ128" s="20" t="str">
        <f>VLOOKUP(Data[[#This Row],[DEVELOPMENT]],Development_Data_Book[[DEVELOPMENT]:[PRIVATE MANAGEMENT]],8,FALSE)</f>
        <v>FEDERAL</v>
      </c>
      <c r="BA128" s="104" t="s">
        <v>2586</v>
      </c>
      <c r="BB128" s="20">
        <f>VLOOKUP(Data[[#This Row],[DEVELOPMENT]],Development_Data_Book[[DEVELOPMENT]:[PRIVATE MANAGEMENT]],22,FALSE)</f>
        <v>0</v>
      </c>
      <c r="BC128" s="20">
        <f>Data[[#This Row],[Non-Dwelling Buildings]]+Data[[#This Row],[Dwelling Buildings]]</f>
        <v>6</v>
      </c>
      <c r="BD128" s="20">
        <f>VLOOKUP(Data[[#This Row],[DEVELOPMENT]],Development_Data_Book[[DEVELOPMENT]:[PRIVATE MANAGEMENT]],26,FALSE)</f>
        <v>7.93</v>
      </c>
      <c r="BE128" s="106">
        <v>686350</v>
      </c>
      <c r="BF128" s="20">
        <f>VLOOKUP(Data[[#This Row],[DEVELOPMENT]],Development_Data_Book[[DEVELOPMENT]:[PRIVATE MANAGEMENT]],18,FALSE)</f>
        <v>1470</v>
      </c>
      <c r="BG12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28" s="104" t="s">
        <v>2587</v>
      </c>
      <c r="BI128" t="s">
        <v>184</v>
      </c>
      <c r="BJ128" s="20">
        <f>VLOOKUP(Data[[#This Row],[DEVELOPMENT]],Development_Data_Book[[DEVELOPMENT]:[PRIVATE MANAGEMENT]],41,FALSE)</f>
        <v>12</v>
      </c>
      <c r="BK128" s="20">
        <f>VLOOKUP(Data[[#This Row],[DEVELOPMENT]],Development_Data_Book[[DEVELOPMENT]:[PRIVATE MANAGEMENT]],42,FALSE)</f>
        <v>16</v>
      </c>
      <c r="BL128" s="20">
        <f>VLOOKUP(Data[[#This Row],[DEVELOPMENT]],Development_Data_Book[[DEVELOPMENT]:[PRIVATE MANAGEMENT]],43,FALSE)</f>
        <v>36</v>
      </c>
      <c r="BM128" s="20">
        <f>VLOOKUP(Data[[#This Row],[DEVELOPMENT]],Development_Data_Book[[DEVELOPMENT]:[PRIVATE MANAGEMENT]],44,FALSE)</f>
        <v>83</v>
      </c>
      <c r="BN128" s="20">
        <f>VLOOKUP(Data[[#This Row],[DEVELOPMENT]],Development_Data_Book[[DEVELOPMENT]:[PRIVATE MANAGEMENT]],45,FALSE)</f>
        <v>12</v>
      </c>
      <c r="BO128" s="20">
        <f>VLOOKUP(Data[[#This Row],[DEVELOPMENT]],Development_Data_Book[[DEVELOPMENT]:[PRIVATE MANAGEMENT]],24,FALSE)</f>
        <v>14</v>
      </c>
    </row>
    <row r="129" spans="1:67">
      <c r="A129" t="s">
        <v>329</v>
      </c>
      <c r="B129" s="20" t="str">
        <f>VLOOKUP(Data[[#This Row],[DEVELOPMENT]],Development_Data_Book[[DEVELOPMENT]:[BOROUGH]],MATCH("borough",Development_Data_Book[[#Headers],[DEVELOPMENT]:[BOROUGH]],0),FALSE)</f>
        <v>BROOKLYN</v>
      </c>
      <c r="C129" s="20" t="e">
        <f>VLOOKUP(Data[[#This Row],[DEVELOPMENT]],'[1]Cheat-Sheet'!$D$2:$Q$341,2,FALSE)</f>
        <v>#N/A</v>
      </c>
      <c r="D12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29" s="20">
        <f>VLOOKUP(Data[[#This Row],[DEVELOPMENT]],Development_Data_Book[[DEVELOPMENT]:[BOROUGH]],21,FALSE)</f>
        <v>3</v>
      </c>
      <c r="F129" s="20">
        <f>VLOOKUP(Data[[#This Row],[DEVELOPMENT]],Development_Data_Book[[DEVELOPMENT]:[BOROUGH]],23,FALSE)</f>
        <v>3</v>
      </c>
      <c r="G129" s="20">
        <f>VLOOKUP(Data[[#This Row],[DEVELOPMENT]],Development_Data_Book[[DEVELOPMENT]:[BOROUGH]],12,FALSE)</f>
        <v>380</v>
      </c>
      <c r="J129">
        <f>IFERROR(VLOOKUP(Data[[#This Row],[DEVELOPMENT]],IntCompactors_MRST[],4,FALSE),0)</f>
        <v>3</v>
      </c>
      <c r="K129" s="20">
        <f>IFERROR(VLOOKUP(Data[[#This Row],[DEVELOPMENT]],ExtCompactors_MRST[],4,FALSE),0)</f>
        <v>0</v>
      </c>
      <c r="L129" s="27">
        <f>IF(Data[[#This Row],['# Interior Compactors MRST]]=0,"",VLOOKUP(Data[[#This Row],[DEVELOPMENT]],IntCompactors_MRST[],5,FALSE))</f>
        <v>38018</v>
      </c>
      <c r="M129" s="28" t="str">
        <f>IF(Data[[#This Row],['# Exterior Compactors MRST]]=0,"",VLOOKUP(Data[[#This Row],[DEVELOPMENT]],ExtCompactors_MRST[],5,FALSE))</f>
        <v/>
      </c>
      <c r="N129" s="20">
        <f>Data[[#This Row],['# Interior Compactors MRST]]</f>
        <v>3</v>
      </c>
      <c r="O129" s="20">
        <f>IF(Data[[#This Row],['# Bulk Crushers]]=0,1,0)</f>
        <v>1</v>
      </c>
      <c r="P129" s="20">
        <f>1</f>
        <v>1</v>
      </c>
      <c r="Q129" s="20">
        <f>1</f>
        <v>1</v>
      </c>
      <c r="R129" s="20">
        <f>1</f>
        <v>1</v>
      </c>
      <c r="S129" s="20">
        <f>1</f>
        <v>1</v>
      </c>
      <c r="T129" s="20">
        <f>IF(Data[[#This Row],[Sewershed]]="Newtown Creek",Data[[#This Row],[DUs]],0)</f>
        <v>0</v>
      </c>
      <c r="U12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2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2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29" s="82">
        <f>VLOOKUP(Data[[#This Row],[DEVELOPMENT]],Development_Data_Book[[DEVELOPMENT]:[BOROUGH]],3,FALSE)</f>
        <v>142</v>
      </c>
      <c r="Y129" s="20"/>
      <c r="Z129" s="20">
        <f>IFERROR(VLOOKUP(Data[[#This Row],[TDS]],ExtCompactors_PNA[[Development]:[0]],2,FALSE),0)</f>
        <v>0</v>
      </c>
      <c r="AA129" s="20">
        <f>IFERROR(VLOOKUP(Data[[#This Row],[TDS]],IntCompactors_PNA[[TDS]:[0]],2,FALSE),0)</f>
        <v>3</v>
      </c>
      <c r="AB129" s="20"/>
      <c r="AC129" s="20"/>
      <c r="AD129" s="20">
        <f>IFERROR(VLOOKUP(Data[[#This Row],[TDS]],ExtCompactors_PNA[[Development]:[0]],3,FALSE)+VLOOKUP(Data[[#This Row],[TDS]],ExtCompactors_PNA[[Development]:[0]],6,FALSE),0)</f>
        <v>0</v>
      </c>
      <c r="AE129" s="20">
        <f>IFERROR(VLOOKUP(Data[[#This Row],[TDS]],IntCompactors_PNA[[TDS]:[0]],3,FALSE)+VLOOKUP(Data[[#This Row],[TDS]],IntCompactors_PNA[[TDS]:[0]],6,FALSE),0)</f>
        <v>3</v>
      </c>
      <c r="AF129" s="20" t="e">
        <f>VLOOKUP(Data[[#This Row],[DEVELOPMENT]],[3]Developments!$A$2:$A$312,1,FALSE)</f>
        <v>#N/A</v>
      </c>
      <c r="AG129" s="20">
        <f>IFERROR(VLOOKUP(Data[[#This Row],[DEVELOPMENT]],Ops_Priorities_and_Data_Clean[[development]:[ifnoext_comment]],3,FALSE),"")</f>
        <v>0</v>
      </c>
      <c r="AH129" s="20">
        <f>IFERROR(VLOOKUP(Data[[#This Row],[DEVELOPMENT]],Ops_Priorities_and_Data_Clean[[development]:[ifnoext_comment]],4,FALSE),"")</f>
        <v>0</v>
      </c>
      <c r="AI129" s="20">
        <f>IFERROR(VLOOKUP(Data[[#This Row],[DEVELOPMENT]],Ops_Priorities_and_Data_Clean[[development]:[ifnoext_comment]],5,FALSE),"")</f>
        <v>0</v>
      </c>
      <c r="AJ129" s="20">
        <f>IFERROR(VLOOKUP(Data[[#This Row],[DEVELOPMENT]],Ops_Priorities_and_Data_Clean[[development]:[ifnoext_comment]],6,FALSE),"")</f>
        <v>0</v>
      </c>
      <c r="AK129" s="20">
        <f>IFERROR(VLOOKUP(Data[[#This Row],[DEVELOPMENT]],Ops_Priorities_and_Data_Clean[[development]:[ifnoext_comment]],7,FALSE),"")</f>
        <v>1</v>
      </c>
      <c r="AL129" s="20">
        <f>IFERROR(VLOOKUP(Data[[#This Row],[DEVELOPMENT]],Ops_Priorities_and_Data_Clean[[development]:[ifnoext_comment]],8,FALSE),"")</f>
        <v>1</v>
      </c>
      <c r="AM129" s="20">
        <f>IFERROR(VLOOKUP(Data[[#This Row],[DEVELOPMENT]],Ops_Priorities_and_Data_Clean[[development]:[ifnoext_comment]],9,FALSE),"")</f>
        <v>1</v>
      </c>
      <c r="AN129" s="20">
        <f>IFERROR(VLOOKUP(Data[[#This Row],[DEVELOPMENT]],Ops_Priorities_and_Data_Clean[[development]:[ifnoext_comment]],10,FALSE),"")</f>
        <v>0</v>
      </c>
      <c r="AO129" s="20">
        <f>IFERROR(VLOOKUP(Data[[#This Row],[DEVELOPMENT]],Ops_Priorities_and_Data_Clean[[development]:[ifnoext_comment]],11,FALSE),"")</f>
        <v>0</v>
      </c>
      <c r="AP129" s="20">
        <f>IFERROR(VLOOKUP(Data[[#This Row],[DEVELOPMENT]],Ops_Priorities_and_Data_Clean[[development]:[ifnoext_comment]],12,FALSE),"")</f>
        <v>0</v>
      </c>
      <c r="AQ129" s="20">
        <f>VLOOKUP(Data[[#This Row],[DEVELOPMENT]],Ops_Priorities_and_Data_Clean[[development]:[ifnoext_comment]],14,FALSE)</f>
        <v>1</v>
      </c>
      <c r="AR129" s="20">
        <f>VLOOKUP(Data[[#This Row],[DEVELOPMENT]],Ops_Priorities_and_Data_Clean[[development]:[ifnoext_comment]],15,FALSE)</f>
        <v>0</v>
      </c>
      <c r="AS129" s="20" t="str">
        <f>VLOOKUP(Data[[#This Row],[DEVELOPMENT]],Ops_Priorities_and_Data_Clean[[development]:[ifnoext_comment]],16,FALSE)</f>
        <v>NULL</v>
      </c>
      <c r="AT129" s="20" t="str">
        <f>VLOOKUP(Data[[#This Row],[DEVELOPMENT]],Ops_Priorities_and_Data_Clean[[development]:[ifnoext_comment]],17,FALSE)</f>
        <v>NULL</v>
      </c>
      <c r="AU129" s="20" t="str">
        <f>VLOOKUP(Data[[#This Row],[DEVELOPMENT]],Ops_Priorities_and_Data_Clean[[development]:[ifnoext_comment]],18,FALSE)</f>
        <v>NULL</v>
      </c>
      <c r="AV129" s="20" t="str">
        <f>VLOOKUP(Data[[#This Row],[DEVELOPMENT]],Ops_Priorities_and_Data_Clean[[development]:[ifnoext_comment]],19,FALSE)</f>
        <v>NULL</v>
      </c>
      <c r="AW129" s="20" t="str">
        <f>VLOOKUP(Data[[#This Row],[DEVELOPMENT]],Ops_Priorities_and_Data_Clean[[development]:[ifnoext_comment]],20,FALSE)</f>
        <v xml:space="preserve">They bring to Carey but have to cross the street. It would be ideal for them to have their own compactor and they have the space for it. </v>
      </c>
      <c r="AX129" s="104" t="s">
        <v>2238</v>
      </c>
      <c r="AY129" s="104" t="s">
        <v>235</v>
      </c>
      <c r="AZ129" s="20" t="str">
        <f>VLOOKUP(Data[[#This Row],[DEVELOPMENT]],Development_Data_Book[[DEVELOPMENT]:[PRIVATE MANAGEMENT]],8,FALSE)</f>
        <v>FEDERAL</v>
      </c>
      <c r="BA129" s="104" t="s">
        <v>2586</v>
      </c>
      <c r="BB129" s="20">
        <f>VLOOKUP(Data[[#This Row],[DEVELOPMENT]],Development_Data_Book[[DEVELOPMENT]:[PRIVATE MANAGEMENT]],22,FALSE)</f>
        <v>0</v>
      </c>
      <c r="BC129" s="20">
        <f>Data[[#This Row],[Non-Dwelling Buildings]]+Data[[#This Row],[Dwelling Buildings]]</f>
        <v>3</v>
      </c>
      <c r="BD129" s="20">
        <f>VLOOKUP(Data[[#This Row],[DEVELOPMENT]],Development_Data_Book[[DEVELOPMENT]:[PRIVATE MANAGEMENT]],26,FALSE)</f>
        <v>3.09</v>
      </c>
      <c r="BE129" s="106">
        <v>338000</v>
      </c>
      <c r="BF129" s="20">
        <f>VLOOKUP(Data[[#This Row],[DEVELOPMENT]],Development_Data_Book[[DEVELOPMENT]:[PRIVATE MANAGEMENT]],18,FALSE)</f>
        <v>442</v>
      </c>
      <c r="BG129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29" s="104" t="s">
        <v>2621</v>
      </c>
      <c r="BI129" t="s">
        <v>184</v>
      </c>
      <c r="BJ129" s="20">
        <f>VLOOKUP(Data[[#This Row],[DEVELOPMENT]],Development_Data_Book[[DEVELOPMENT]:[PRIVATE MANAGEMENT]],41,FALSE)</f>
        <v>13</v>
      </c>
      <c r="BK129" s="20">
        <f>VLOOKUP(Data[[#This Row],[DEVELOPMENT]],Development_Data_Book[[DEVELOPMENT]:[PRIVATE MANAGEMENT]],42,FALSE)</f>
        <v>8</v>
      </c>
      <c r="BL129" s="20">
        <f>VLOOKUP(Data[[#This Row],[DEVELOPMENT]],Development_Data_Book[[DEVELOPMENT]:[PRIVATE MANAGEMENT]],43,FALSE)</f>
        <v>23</v>
      </c>
      <c r="BM129" s="20">
        <f>VLOOKUP(Data[[#This Row],[DEVELOPMENT]],Development_Data_Book[[DEVELOPMENT]:[PRIVATE MANAGEMENT]],44,FALSE)</f>
        <v>46</v>
      </c>
      <c r="BN129" s="20">
        <f>VLOOKUP(Data[[#This Row],[DEVELOPMENT]],Development_Data_Book[[DEVELOPMENT]:[PRIVATE MANAGEMENT]],45,FALSE)</f>
        <v>47</v>
      </c>
      <c r="BO129" s="20">
        <f>VLOOKUP(Data[[#This Row],[DEVELOPMENT]],Development_Data_Book[[DEVELOPMENT]:[PRIVATE MANAGEMENT]],24,FALSE)</f>
        <v>14</v>
      </c>
    </row>
    <row r="130" spans="1:67">
      <c r="A130" t="s">
        <v>244</v>
      </c>
      <c r="B130" s="20" t="str">
        <f>VLOOKUP(Data[[#This Row],[DEVELOPMENT]],Development_Data_Book[[DEVELOPMENT]:[BOROUGH]],MATCH("borough",Development_Data_Book[[#Headers],[DEVELOPMENT]:[BOROUGH]],0),FALSE)</f>
        <v>QUEENS</v>
      </c>
      <c r="C130" s="20" t="e">
        <f>VLOOKUP(Data[[#This Row],[DEVELOPMENT]],'[1]Cheat-Sheet'!$D$2:$Q$341,2,FALSE)</f>
        <v>#N/A</v>
      </c>
      <c r="D13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30" s="20">
        <f>VLOOKUP(Data[[#This Row],[DEVELOPMENT]],Development_Data_Book[[DEVELOPMENT]:[BOROUGH]],21,FALSE)</f>
        <v>14</v>
      </c>
      <c r="F130" s="20">
        <f>VLOOKUP(Data[[#This Row],[DEVELOPMENT]],Development_Data_Book[[DEVELOPMENT]:[BOROUGH]],23,FALSE)</f>
        <v>14</v>
      </c>
      <c r="G130" s="20">
        <f>VLOOKUP(Data[[#This Row],[DEVELOPMENT]],Development_Data_Book[[DEVELOPMENT]:[BOROUGH]],12,FALSE)</f>
        <v>710</v>
      </c>
      <c r="J130">
        <f>IFERROR(VLOOKUP(Data[[#This Row],[DEVELOPMENT]],IntCompactors_MRST[],4,FALSE),0)</f>
        <v>14</v>
      </c>
      <c r="K130" s="20">
        <f>IFERROR(VLOOKUP(Data[[#This Row],[DEVELOPMENT]],ExtCompactors_MRST[],4,FALSE),0)</f>
        <v>2</v>
      </c>
      <c r="L130" s="27">
        <f>IF(Data[[#This Row],['# Interior Compactors MRST]]=0,"",VLOOKUP(Data[[#This Row],[DEVELOPMENT]],IntCompactors_MRST[],5,FALSE))</f>
        <v>33970</v>
      </c>
      <c r="M130" s="28">
        <f>IF(Data[[#This Row],['# Exterior Compactors MRST]]=0,"",VLOOKUP(Data[[#This Row],[DEVELOPMENT]],ExtCompactors_MRST[],5,FALSE))</f>
        <v>39052</v>
      </c>
      <c r="N130" s="20">
        <f>Data[[#This Row],['# Interior Compactors MRST]]</f>
        <v>14</v>
      </c>
      <c r="O130" s="20">
        <f>IF(Data[[#This Row],['# Bulk Crushers]]=0,1,0)</f>
        <v>1</v>
      </c>
      <c r="P130" s="20">
        <f>1</f>
        <v>1</v>
      </c>
      <c r="Q130" s="20">
        <f>1</f>
        <v>1</v>
      </c>
      <c r="R130" s="20">
        <f>1</f>
        <v>1</v>
      </c>
      <c r="S130" s="20">
        <f>1</f>
        <v>1</v>
      </c>
      <c r="T130" s="20">
        <f>IF(Data[[#This Row],[Sewershed]]="Newtown Creek",Data[[#This Row],[DUs]],0)</f>
        <v>0</v>
      </c>
      <c r="U13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3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3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30" s="82">
        <f>VLOOKUP(Data[[#This Row],[DEVELOPMENT]],Development_Data_Book[[DEVELOPMENT]:[BOROUGH]],3,FALSE)</f>
        <v>75</v>
      </c>
      <c r="Y130" s="20"/>
      <c r="Z130" s="20">
        <f>IFERROR(VLOOKUP(Data[[#This Row],[TDS]],ExtCompactors_PNA[[Development]:[0]],2,FALSE),0)</f>
        <v>2</v>
      </c>
      <c r="AA130" s="20">
        <f>IFERROR(VLOOKUP(Data[[#This Row],[TDS]],IntCompactors_PNA[[TDS]:[0]],2,FALSE),0)</f>
        <v>14</v>
      </c>
      <c r="AB130" s="20"/>
      <c r="AC130" s="20"/>
      <c r="AD130" s="20">
        <f>IFERROR(VLOOKUP(Data[[#This Row],[TDS]],ExtCompactors_PNA[[Development]:[0]],3,FALSE)+VLOOKUP(Data[[#This Row],[TDS]],ExtCompactors_PNA[[Development]:[0]],6,FALSE),0)</f>
        <v>2</v>
      </c>
      <c r="AE130" s="20">
        <f>IFERROR(VLOOKUP(Data[[#This Row],[TDS]],IntCompactors_PNA[[TDS]:[0]],3,FALSE)+VLOOKUP(Data[[#This Row],[TDS]],IntCompactors_PNA[[TDS]:[0]],6,FALSE),0)</f>
        <v>14</v>
      </c>
      <c r="AF130" s="20" t="e">
        <f>VLOOKUP(Data[[#This Row],[DEVELOPMENT]],[3]Developments!$A$2:$A$312,1,FALSE)</f>
        <v>#N/A</v>
      </c>
      <c r="AG130" s="20">
        <f>IFERROR(VLOOKUP(Data[[#This Row],[DEVELOPMENT]],Ops_Priorities_and_Data_Clean[[development]:[ifnoext_comment]],3,FALSE),"")</f>
        <v>2</v>
      </c>
      <c r="AH130" s="20">
        <f>IFERROR(VLOOKUP(Data[[#This Row],[DEVELOPMENT]],Ops_Priorities_and_Data_Clean[[development]:[ifnoext_comment]],4,FALSE),"")</f>
        <v>0</v>
      </c>
      <c r="AI130" s="20">
        <f>IFERROR(VLOOKUP(Data[[#This Row],[DEVELOPMENT]],Ops_Priorities_and_Data_Clean[[development]:[ifnoext_comment]],5,FALSE),"")</f>
        <v>1</v>
      </c>
      <c r="AJ130" s="20">
        <f>IFERROR(VLOOKUP(Data[[#This Row],[DEVELOPMENT]],Ops_Priorities_and_Data_Clean[[development]:[ifnoext_comment]],6,FALSE),"")</f>
        <v>0</v>
      </c>
      <c r="AK130" s="20">
        <f>IFERROR(VLOOKUP(Data[[#This Row],[DEVELOPMENT]],Ops_Priorities_and_Data_Clean[[development]:[ifnoext_comment]],7,FALSE),"")</f>
        <v>0</v>
      </c>
      <c r="AL130" s="20">
        <f>IFERROR(VLOOKUP(Data[[#This Row],[DEVELOPMENT]],Ops_Priorities_and_Data_Clean[[development]:[ifnoext_comment]],8,FALSE),"")</f>
        <v>1</v>
      </c>
      <c r="AM130" s="20">
        <f>IFERROR(VLOOKUP(Data[[#This Row],[DEVELOPMENT]],Ops_Priorities_and_Data_Clean[[development]:[ifnoext_comment]],9,FALSE),"")</f>
        <v>0</v>
      </c>
      <c r="AN130" s="20">
        <f>IFERROR(VLOOKUP(Data[[#This Row],[DEVELOPMENT]],Ops_Priorities_and_Data_Clean[[development]:[ifnoext_comment]],10,FALSE),"")</f>
        <v>2</v>
      </c>
      <c r="AO130" s="20">
        <f>IFERROR(VLOOKUP(Data[[#This Row],[DEVELOPMENT]],Ops_Priorities_and_Data_Clean[[development]:[ifnoext_comment]],11,FALSE),"")</f>
        <v>2</v>
      </c>
      <c r="AP130" s="20">
        <f>IFERROR(VLOOKUP(Data[[#This Row],[DEVELOPMENT]],Ops_Priorities_and_Data_Clean[[development]:[ifnoext_comment]],12,FALSE),"")</f>
        <v>2</v>
      </c>
      <c r="AQ130" s="20">
        <f>VLOOKUP(Data[[#This Row],[DEVELOPMENT]],Ops_Priorities_and_Data_Clean[[development]:[ifnoext_comment]],14,FALSE)</f>
        <v>0</v>
      </c>
      <c r="AR130" s="20">
        <f>VLOOKUP(Data[[#This Row],[DEVELOPMENT]],Ops_Priorities_and_Data_Clean[[development]:[ifnoext_comment]],15,FALSE)</f>
        <v>0</v>
      </c>
      <c r="AS130" s="20" t="str">
        <f>VLOOKUP(Data[[#This Row],[DEVELOPMENT]],Ops_Priorities_and_Data_Clean[[development]:[ifnoext_comment]],16,FALSE)</f>
        <v>NULL</v>
      </c>
      <c r="AT130" s="20" t="str">
        <f>VLOOKUP(Data[[#This Row],[DEVELOPMENT]],Ops_Priorities_and_Data_Clean[[development]:[ifnoext_comment]],17,FALSE)</f>
        <v>NULL</v>
      </c>
      <c r="AU130" s="20" t="str">
        <f>VLOOKUP(Data[[#This Row],[DEVELOPMENT]],Ops_Priorities_and_Data_Clean[[development]:[ifnoext_comment]],18,FALSE)</f>
        <v>NULL</v>
      </c>
      <c r="AV130" s="20" t="str">
        <f>VLOOKUP(Data[[#This Row],[DEVELOPMENT]],Ops_Priorities_and_Data_Clean[[development]:[ifnoext_comment]],19,FALSE)</f>
        <v>NULL</v>
      </c>
      <c r="AW130" s="20" t="str">
        <f>VLOOKUP(Data[[#This Row],[DEVELOPMENT]],Ops_Priorities_and_Data_Clean[[development]:[ifnoext_comment]],20,FALSE)</f>
        <v>NULL</v>
      </c>
      <c r="AX130" s="104" t="s">
        <v>2614</v>
      </c>
      <c r="AY130" s="104" t="s">
        <v>2652</v>
      </c>
      <c r="AZ130" s="20" t="str">
        <f>VLOOKUP(Data[[#This Row],[DEVELOPMENT]],Development_Data_Book[[DEVELOPMENT]:[PRIVATE MANAGEMENT]],8,FALSE)</f>
        <v>FEDERAL</v>
      </c>
      <c r="BA130" s="104" t="s">
        <v>2586</v>
      </c>
      <c r="BB130" s="20">
        <f>VLOOKUP(Data[[#This Row],[DEVELOPMENT]],Development_Data_Book[[DEVELOPMENT]:[PRIVATE MANAGEMENT]],22,FALSE)</f>
        <v>0</v>
      </c>
      <c r="BC130" s="20">
        <f>Data[[#This Row],[Non-Dwelling Buildings]]+Data[[#This Row],[Dwelling Buildings]]</f>
        <v>14</v>
      </c>
      <c r="BD130" s="20">
        <f>VLOOKUP(Data[[#This Row],[DEVELOPMENT]],Development_Data_Book[[DEVELOPMENT]:[PRIVATE MANAGEMENT]],26,FALSE)</f>
        <v>14.16</v>
      </c>
      <c r="BE130" s="106">
        <v>815950</v>
      </c>
      <c r="BF130" s="20">
        <f>VLOOKUP(Data[[#This Row],[DEVELOPMENT]],Development_Data_Book[[DEVELOPMENT]:[PRIVATE MANAGEMENT]],18,FALSE)</f>
        <v>1790</v>
      </c>
      <c r="BG13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30" s="104" t="s">
        <v>2619</v>
      </c>
      <c r="BI130" t="s">
        <v>184</v>
      </c>
      <c r="BJ130" s="20">
        <f>VLOOKUP(Data[[#This Row],[DEVELOPMENT]],Development_Data_Book[[DEVELOPMENT]:[PRIVATE MANAGEMENT]],41,FALSE)</f>
        <v>14</v>
      </c>
      <c r="BK130" s="20">
        <f>VLOOKUP(Data[[#This Row],[DEVELOPMENT]],Development_Data_Book[[DEVELOPMENT]:[PRIVATE MANAGEMENT]],42,FALSE)</f>
        <v>5</v>
      </c>
      <c r="BL130" s="20">
        <f>VLOOKUP(Data[[#This Row],[DEVELOPMENT]],Development_Data_Book[[DEVELOPMENT]:[PRIVATE MANAGEMENT]],43,FALSE)</f>
        <v>10</v>
      </c>
      <c r="BM130" s="20">
        <f>VLOOKUP(Data[[#This Row],[DEVELOPMENT]],Development_Data_Book[[DEVELOPMENT]:[PRIVATE MANAGEMENT]],44,FALSE)</f>
        <v>31</v>
      </c>
      <c r="BN130" s="20">
        <f>VLOOKUP(Data[[#This Row],[DEVELOPMENT]],Development_Data_Book[[DEVELOPMENT]:[PRIVATE MANAGEMENT]],45,FALSE)</f>
        <v>31</v>
      </c>
      <c r="BO130" s="20">
        <f>VLOOKUP(Data[[#This Row],[DEVELOPMENT]],Development_Data_Book[[DEVELOPMENT]:[PRIVATE MANAGEMENT]],24,FALSE)</f>
        <v>7</v>
      </c>
    </row>
    <row r="131" spans="1:67">
      <c r="A131" t="s">
        <v>265</v>
      </c>
      <c r="B131" s="20" t="str">
        <f>VLOOKUP(Data[[#This Row],[DEVELOPMENT]],Development_Data_Book[[DEVELOPMENT]:[BOROUGH]],MATCH("borough",Development_Data_Book[[#Headers],[DEVELOPMENT]:[BOROUGH]],0),FALSE)</f>
        <v>MANHATTAN</v>
      </c>
      <c r="C131" s="20" t="e">
        <f>VLOOKUP(Data[[#This Row],[DEVELOPMENT]],'[1]Cheat-Sheet'!$D$2:$Q$341,2,FALSE)</f>
        <v>#N/A</v>
      </c>
      <c r="D13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31" s="20">
        <f>VLOOKUP(Data[[#This Row],[DEVELOPMENT]],Development_Data_Book[[DEVELOPMENT]:[BOROUGH]],21,FALSE)</f>
        <v>2</v>
      </c>
      <c r="F131" s="20">
        <f>VLOOKUP(Data[[#This Row],[DEVELOPMENT]],Development_Data_Book[[DEVELOPMENT]:[BOROUGH]],23,FALSE)</f>
        <v>2</v>
      </c>
      <c r="G131" s="20">
        <f>VLOOKUP(Data[[#This Row],[DEVELOPMENT]],Development_Data_Book[[DEVELOPMENT]:[BOROUGH]],12,FALSE)</f>
        <v>377</v>
      </c>
      <c r="J131">
        <f>IFERROR(VLOOKUP(Data[[#This Row],[DEVELOPMENT]],IntCompactors_MRST[],4,FALSE),0)</f>
        <v>2</v>
      </c>
      <c r="K131" s="20">
        <f>IFERROR(VLOOKUP(Data[[#This Row],[DEVELOPMENT]],ExtCompactors_MRST[],4,FALSE),0)</f>
        <v>1</v>
      </c>
      <c r="L131" s="27">
        <f>IF(Data[[#This Row],['# Interior Compactors MRST]]=0,"",VLOOKUP(Data[[#This Row],[DEVELOPMENT]],IntCompactors_MRST[],5,FALSE))</f>
        <v>30682</v>
      </c>
      <c r="M131" s="28">
        <f>IF(Data[[#This Row],['# Exterior Compactors MRST]]=0,"",VLOOKUP(Data[[#This Row],[DEVELOPMENT]],ExtCompactors_MRST[],5,FALSE))</f>
        <v>37749</v>
      </c>
      <c r="N131" s="20">
        <f>Data[[#This Row],['# Interior Compactors MRST]]</f>
        <v>2</v>
      </c>
      <c r="O131" s="20">
        <f>IF(Data[[#This Row],['# Bulk Crushers]]=0,1,0)</f>
        <v>1</v>
      </c>
      <c r="P131" s="20">
        <f>1</f>
        <v>1</v>
      </c>
      <c r="Q131" s="20">
        <f>1</f>
        <v>1</v>
      </c>
      <c r="R131" s="20">
        <f>1</f>
        <v>1</v>
      </c>
      <c r="S131" s="20">
        <f>1</f>
        <v>1</v>
      </c>
      <c r="T131" s="20">
        <f>IF(Data[[#This Row],[Sewershed]]="Newtown Creek",Data[[#This Row],[DUs]],0)</f>
        <v>0</v>
      </c>
      <c r="U13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3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3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31" s="82">
        <f>VLOOKUP(Data[[#This Row],[DEVELOPMENT]],Development_Data_Book[[DEVELOPMENT]:[BOROUGH]],3,FALSE)</f>
        <v>262</v>
      </c>
      <c r="Y131" s="20"/>
      <c r="Z131" s="20">
        <f>IFERROR(VLOOKUP(Data[[#This Row],[TDS]],ExtCompactors_PNA[[Development]:[0]],2,FALSE),0)</f>
        <v>1</v>
      </c>
      <c r="AA131" s="20">
        <f>IFERROR(VLOOKUP(Data[[#This Row],[TDS]],IntCompactors_PNA[[TDS]:[0]],2,FALSE),0)</f>
        <v>2</v>
      </c>
      <c r="AB131" s="20"/>
      <c r="AC131" s="20"/>
      <c r="AD131" s="20">
        <f>IFERROR(VLOOKUP(Data[[#This Row],[TDS]],ExtCompactors_PNA[[Development]:[0]],3,FALSE)+VLOOKUP(Data[[#This Row],[TDS]],ExtCompactors_PNA[[Development]:[0]],6,FALSE),0)</f>
        <v>1</v>
      </c>
      <c r="AE131" s="20">
        <f>IFERROR(VLOOKUP(Data[[#This Row],[TDS]],IntCompactors_PNA[[TDS]:[0]],3,FALSE)+VLOOKUP(Data[[#This Row],[TDS]],IntCompactors_PNA[[TDS]:[0]],6,FALSE),0)</f>
        <v>2</v>
      </c>
      <c r="AF131" s="20" t="e">
        <f>VLOOKUP(Data[[#This Row],[DEVELOPMENT]],[3]Developments!$A$2:$A$312,1,FALSE)</f>
        <v>#N/A</v>
      </c>
      <c r="AG131" s="20">
        <f>IFERROR(VLOOKUP(Data[[#This Row],[DEVELOPMENT]],Ops_Priorities_and_Data_Clean[[development]:[ifnoext_comment]],3,FALSE),"")</f>
        <v>1</v>
      </c>
      <c r="AH131" s="20">
        <f>IFERROR(VLOOKUP(Data[[#This Row],[DEVELOPMENT]],Ops_Priorities_and_Data_Clean[[development]:[ifnoext_comment]],4,FALSE),"")</f>
        <v>2</v>
      </c>
      <c r="AI131" s="20">
        <f>IFERROR(VLOOKUP(Data[[#This Row],[DEVELOPMENT]],Ops_Priorities_and_Data_Clean[[development]:[ifnoext_comment]],5,FALSE),"")</f>
        <v>1</v>
      </c>
      <c r="AJ131" s="20">
        <f>IFERROR(VLOOKUP(Data[[#This Row],[DEVELOPMENT]],Ops_Priorities_and_Data_Clean[[development]:[ifnoext_comment]],6,FALSE),"")</f>
        <v>0</v>
      </c>
      <c r="AK131" s="20">
        <f>IFERROR(VLOOKUP(Data[[#This Row],[DEVELOPMENT]],Ops_Priorities_and_Data_Clean[[development]:[ifnoext_comment]],7,FALSE),"")</f>
        <v>0</v>
      </c>
      <c r="AL131" s="20">
        <f>IFERROR(VLOOKUP(Data[[#This Row],[DEVELOPMENT]],Ops_Priorities_and_Data_Clean[[development]:[ifnoext_comment]],8,FALSE),"")</f>
        <v>1</v>
      </c>
      <c r="AM131" s="20">
        <f>IFERROR(VLOOKUP(Data[[#This Row],[DEVELOPMENT]],Ops_Priorities_and_Data_Clean[[development]:[ifnoext_comment]],9,FALSE),"")</f>
        <v>0</v>
      </c>
      <c r="AN131" s="20">
        <f>IFERROR(VLOOKUP(Data[[#This Row],[DEVELOPMENT]],Ops_Priorities_and_Data_Clean[[development]:[ifnoext_comment]],10,FALSE),"")</f>
        <v>0</v>
      </c>
      <c r="AO131" s="20">
        <f>IFERROR(VLOOKUP(Data[[#This Row],[DEVELOPMENT]],Ops_Priorities_and_Data_Clean[[development]:[ifnoext_comment]],11,FALSE),"")</f>
        <v>1</v>
      </c>
      <c r="AP131" s="20">
        <f>IFERROR(VLOOKUP(Data[[#This Row],[DEVELOPMENT]],Ops_Priorities_and_Data_Clean[[development]:[ifnoext_comment]],12,FALSE),"")</f>
        <v>1</v>
      </c>
      <c r="AQ131" s="20">
        <f>VLOOKUP(Data[[#This Row],[DEVELOPMENT]],Ops_Priorities_and_Data_Clean[[development]:[ifnoext_comment]],14,FALSE)</f>
        <v>0</v>
      </c>
      <c r="AR131" s="20">
        <f>VLOOKUP(Data[[#This Row],[DEVELOPMENT]],Ops_Priorities_and_Data_Clean[[development]:[ifnoext_comment]],15,FALSE)</f>
        <v>0</v>
      </c>
      <c r="AS131" s="20" t="str">
        <f>VLOOKUP(Data[[#This Row],[DEVELOPMENT]],Ops_Priorities_and_Data_Clean[[development]:[ifnoext_comment]],16,FALSE)</f>
        <v>NULL</v>
      </c>
      <c r="AT131" s="20" t="str">
        <f>VLOOKUP(Data[[#This Row],[DEVELOPMENT]],Ops_Priorities_and_Data_Clean[[development]:[ifnoext_comment]],17,FALSE)</f>
        <v>NULL</v>
      </c>
      <c r="AU131" s="20" t="str">
        <f>VLOOKUP(Data[[#This Row],[DEVELOPMENT]],Ops_Priorities_and_Data_Clean[[development]:[ifnoext_comment]],18,FALSE)</f>
        <v>NULL</v>
      </c>
      <c r="AV131" s="20" t="str">
        <f>VLOOKUP(Data[[#This Row],[DEVELOPMENT]],Ops_Priorities_and_Data_Clean[[development]:[ifnoext_comment]],19,FALSE)</f>
        <v>NULL</v>
      </c>
      <c r="AW131" s="20" t="str">
        <f>VLOOKUP(Data[[#This Row],[DEVELOPMENT]],Ops_Priorities_and_Data_Clean[[development]:[ifnoext_comment]],20,FALSE)</f>
        <v>NULL</v>
      </c>
      <c r="AX131" s="104" t="s">
        <v>2605</v>
      </c>
      <c r="AY131" s="104" t="s">
        <v>129</v>
      </c>
      <c r="AZ131" s="20" t="str">
        <f>VLOOKUP(Data[[#This Row],[DEVELOPMENT]],Development_Data_Book[[DEVELOPMENT]:[PRIVATE MANAGEMENT]],8,FALSE)</f>
        <v>FEDERAL</v>
      </c>
      <c r="BA131" s="104" t="s">
        <v>2586</v>
      </c>
      <c r="BB131" s="20">
        <f>VLOOKUP(Data[[#This Row],[DEVELOPMENT]],Development_Data_Book[[DEVELOPMENT]:[PRIVATE MANAGEMENT]],22,FALSE)</f>
        <v>0</v>
      </c>
      <c r="BC131" s="20">
        <f>Data[[#This Row],[Non-Dwelling Buildings]]+Data[[#This Row],[Dwelling Buildings]]</f>
        <v>2</v>
      </c>
      <c r="BD131" s="20">
        <f>VLOOKUP(Data[[#This Row],[DEVELOPMENT]],Development_Data_Book[[DEVELOPMENT]:[PRIVATE MANAGEMENT]],26,FALSE)</f>
        <v>2.77</v>
      </c>
      <c r="BE131" s="106">
        <v>410605</v>
      </c>
      <c r="BF131" s="20">
        <f>VLOOKUP(Data[[#This Row],[DEVELOPMENT]],Development_Data_Book[[DEVELOPMENT]:[PRIVATE MANAGEMENT]],18,FALSE)</f>
        <v>648</v>
      </c>
      <c r="BG131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131" s="104" t="s">
        <v>2598</v>
      </c>
      <c r="BI131" t="s">
        <v>184</v>
      </c>
      <c r="BJ131" s="20">
        <f>VLOOKUP(Data[[#This Row],[DEVELOPMENT]],Development_Data_Book[[DEVELOPMENT]:[PRIVATE MANAGEMENT]],41,FALSE)</f>
        <v>4</v>
      </c>
      <c r="BK131" s="20">
        <f>VLOOKUP(Data[[#This Row],[DEVELOPMENT]],Development_Data_Book[[DEVELOPMENT]:[PRIVATE MANAGEMENT]],42,FALSE)</f>
        <v>10</v>
      </c>
      <c r="BL131" s="20" t="str">
        <f>VLOOKUP(Data[[#This Row],[DEVELOPMENT]],Development_Data_Book[[DEVELOPMENT]:[PRIVATE MANAGEMENT]],43,FALSE)</f>
        <v>27, 31</v>
      </c>
      <c r="BM131" s="20">
        <f>VLOOKUP(Data[[#This Row],[DEVELOPMENT]],Development_Data_Book[[DEVELOPMENT]:[PRIVATE MANAGEMENT]],44,FALSE)</f>
        <v>67</v>
      </c>
      <c r="BN131" s="20">
        <f>VLOOKUP(Data[[#This Row],[DEVELOPMENT]],Development_Data_Book[[DEVELOPMENT]:[PRIVATE MANAGEMENT]],45,FALSE)</f>
        <v>6</v>
      </c>
      <c r="BO131" s="20" t="str">
        <f>VLOOKUP(Data[[#This Row],[DEVELOPMENT]],Development_Data_Book[[DEVELOPMENT]:[PRIVATE MANAGEMENT]],24,FALSE)</f>
        <v>14-15</v>
      </c>
    </row>
    <row r="132" spans="1:67">
      <c r="A132" t="s">
        <v>117</v>
      </c>
      <c r="B132" t="str">
        <f>VLOOKUP(Data[[#This Row],[DEVELOPMENT]],Development_Data_Book[[DEVELOPMENT]:[BOROUGH]],MATCH("borough",Development_Data_Book[[#Headers],[DEVELOPMENT]:[BOROUGH]],0),FALSE)</f>
        <v>MANHATTAN</v>
      </c>
      <c r="C132">
        <f>VLOOKUP(Data[[#This Row],[DEVELOPMENT]],'[1]Cheat-Sheet'!$D$2:$Q$341,2,FALSE)</f>
        <v>0</v>
      </c>
      <c r="D13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32">
        <f>VLOOKUP(Data[[#This Row],[DEVELOPMENT]],Development_Data_Book[[DEVELOPMENT]:[BOROUGH]],21,FALSE)</f>
        <v>7</v>
      </c>
      <c r="F132">
        <f>VLOOKUP(Data[[#This Row],[DEVELOPMENT]],Development_Data_Book[[DEVELOPMENT]:[BOROUGH]],23,FALSE)</f>
        <v>47</v>
      </c>
      <c r="G132">
        <f>VLOOKUP(Data[[#This Row],[DEVELOPMENT]],Development_Data_Book[[DEVELOPMENT]:[BOROUGH]],12,FALSE)</f>
        <v>574</v>
      </c>
      <c r="H132" t="s">
        <v>2248</v>
      </c>
      <c r="I132">
        <v>4</v>
      </c>
      <c r="J132">
        <f>IFERROR(VLOOKUP(Data[[#This Row],[DEVELOPMENT]],IntCompactors_MRST[],4,FALSE),0)</f>
        <v>47</v>
      </c>
      <c r="K132" s="20">
        <f>IFERROR(VLOOKUP(Data[[#This Row],[DEVELOPMENT]],ExtCompactors_MRST[],4,FALSE),0)</f>
        <v>2</v>
      </c>
      <c r="L132" s="27">
        <f>IF(Data[[#This Row],['# Interior Compactors MRST]]=0,"",VLOOKUP(Data[[#This Row],[DEVELOPMENT]],IntCompactors_MRST[],5,FALSE))</f>
        <v>34700</v>
      </c>
      <c r="M132" s="28">
        <f>IF(Data[[#This Row],['# Exterior Compactors MRST]]=0,"",VLOOKUP(Data[[#This Row],[DEVELOPMENT]],ExtCompactors_MRST[],5,FALSE))</f>
        <v>40009</v>
      </c>
      <c r="N132">
        <f>Data[[#This Row],['# Interior Compactors MRST]]</f>
        <v>47</v>
      </c>
      <c r="O132" s="20">
        <f>IF(Data[[#This Row],['# Bulk Crushers]]=0,1,0)</f>
        <v>1</v>
      </c>
      <c r="P132" s="20">
        <f>1</f>
        <v>1</v>
      </c>
      <c r="Q132" s="20">
        <f>1</f>
        <v>1</v>
      </c>
      <c r="R132" s="20">
        <f>1</f>
        <v>1</v>
      </c>
      <c r="S132" s="20">
        <f>1</f>
        <v>1</v>
      </c>
      <c r="T132" s="20">
        <f>IF(Data[[#This Row],[Sewershed]]="Newtown Creek",Data[[#This Row],[DUs]],0)</f>
        <v>0</v>
      </c>
      <c r="U13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3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3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32" s="82">
        <f>VLOOKUP(Data[[#This Row],[DEVELOPMENT]],Development_Data_Book[[DEVELOPMENT]:[BOROUGH]],3,FALSE)</f>
        <v>3</v>
      </c>
      <c r="Y132" s="20"/>
      <c r="Z132" s="20">
        <f>IFERROR(VLOOKUP(Data[[#This Row],[TDS]],ExtCompactors_PNA[[Development]:[0]],2,FALSE),0)</f>
        <v>0</v>
      </c>
      <c r="AA132" s="20">
        <f>IFERROR(VLOOKUP(Data[[#This Row],[TDS]],IntCompactors_PNA[[TDS]:[0]],2,FALSE),0)</f>
        <v>43</v>
      </c>
      <c r="AB132" s="20"/>
      <c r="AC132" s="20"/>
      <c r="AD132" s="20">
        <f>IFERROR(VLOOKUP(Data[[#This Row],[TDS]],ExtCompactors_PNA[[Development]:[0]],3,FALSE)+VLOOKUP(Data[[#This Row],[TDS]],ExtCompactors_PNA[[Development]:[0]],6,FALSE),0)</f>
        <v>0</v>
      </c>
      <c r="AE132" s="20">
        <f>IFERROR(VLOOKUP(Data[[#This Row],[TDS]],IntCompactors_PNA[[TDS]:[0]],3,FALSE)+VLOOKUP(Data[[#This Row],[TDS]],IntCompactors_PNA[[TDS]:[0]],6,FALSE),0)</f>
        <v>43</v>
      </c>
      <c r="AF132" s="20" t="e">
        <f>VLOOKUP(Data[[#This Row],[DEVELOPMENT]],[3]Developments!$A$2:$A$312,1,FALSE)</f>
        <v>#N/A</v>
      </c>
      <c r="AG132" s="20">
        <f>IFERROR(VLOOKUP(Data[[#This Row],[DEVELOPMENT]],Ops_Priorities_and_Data_Clean[[development]:[ifnoext_comment]],3,FALSE),"")</f>
        <v>2</v>
      </c>
      <c r="AH132" s="20">
        <f>IFERROR(VLOOKUP(Data[[#This Row],[DEVELOPMENT]],Ops_Priorities_and_Data_Clean[[development]:[ifnoext_comment]],4,FALSE),"")</f>
        <v>0</v>
      </c>
      <c r="AI132" s="20">
        <f>IFERROR(VLOOKUP(Data[[#This Row],[DEVELOPMENT]],Ops_Priorities_and_Data_Clean[[development]:[ifnoext_comment]],5,FALSE),"")</f>
        <v>1</v>
      </c>
      <c r="AJ132" s="20">
        <f>IFERROR(VLOOKUP(Data[[#This Row],[DEVELOPMENT]],Ops_Priorities_and_Data_Clean[[development]:[ifnoext_comment]],6,FALSE),"")</f>
        <v>0</v>
      </c>
      <c r="AK132" s="20">
        <f>IFERROR(VLOOKUP(Data[[#This Row],[DEVELOPMENT]],Ops_Priorities_and_Data_Clean[[development]:[ifnoext_comment]],7,FALSE),"")</f>
        <v>0</v>
      </c>
      <c r="AL132" s="20">
        <f>IFERROR(VLOOKUP(Data[[#This Row],[DEVELOPMENT]],Ops_Priorities_and_Data_Clean[[development]:[ifnoext_comment]],8,FALSE),"")</f>
        <v>1</v>
      </c>
      <c r="AM132" s="20">
        <f>IFERROR(VLOOKUP(Data[[#This Row],[DEVELOPMENT]],Ops_Priorities_and_Data_Clean[[development]:[ifnoext_comment]],9,FALSE),"")</f>
        <v>0</v>
      </c>
      <c r="AN132" s="20">
        <f>IFERROR(VLOOKUP(Data[[#This Row],[DEVELOPMENT]],Ops_Priorities_and_Data_Clean[[development]:[ifnoext_comment]],10,FALSE),"")</f>
        <v>2</v>
      </c>
      <c r="AO132" s="20">
        <f>IFERROR(VLOOKUP(Data[[#This Row],[DEVELOPMENT]],Ops_Priorities_and_Data_Clean[[development]:[ifnoext_comment]],11,FALSE),"")</f>
        <v>2</v>
      </c>
      <c r="AP132" s="20">
        <f>IFERROR(VLOOKUP(Data[[#This Row],[DEVELOPMENT]],Ops_Priorities_and_Data_Clean[[development]:[ifnoext_comment]],12,FALSE),"")</f>
        <v>0</v>
      </c>
      <c r="AQ132" s="20">
        <f>VLOOKUP(Data[[#This Row],[DEVELOPMENT]],Ops_Priorities_and_Data_Clean[[development]:[ifnoext_comment]],14,FALSE)</f>
        <v>0</v>
      </c>
      <c r="AR132" s="20">
        <f>VLOOKUP(Data[[#This Row],[DEVELOPMENT]],Ops_Priorities_and_Data_Clean[[development]:[ifnoext_comment]],15,FALSE)</f>
        <v>0</v>
      </c>
      <c r="AS132" s="20" t="str">
        <f>VLOOKUP(Data[[#This Row],[DEVELOPMENT]],Ops_Priorities_and_Data_Clean[[development]:[ifnoext_comment]],16,FALSE)</f>
        <v>NULL</v>
      </c>
      <c r="AT132" s="20" t="str">
        <f>VLOOKUP(Data[[#This Row],[DEVELOPMENT]],Ops_Priorities_and_Data_Clean[[development]:[ifnoext_comment]],17,FALSE)</f>
        <v>NULL</v>
      </c>
      <c r="AU132" s="20" t="str">
        <f>VLOOKUP(Data[[#This Row],[DEVELOPMENT]],Ops_Priorities_and_Data_Clean[[development]:[ifnoext_comment]],18,FALSE)</f>
        <v>no</v>
      </c>
      <c r="AV132" s="20" t="str">
        <f>VLOOKUP(Data[[#This Row],[DEVELOPMENT]],Ops_Priorities_and_Data_Clean[[development]:[ifnoext_comment]],19,FALSE)</f>
        <v>Services Harlem I &amp; II</v>
      </c>
      <c r="AW132" s="20" t="str">
        <f>VLOOKUP(Data[[#This Row],[DEVELOPMENT]],Ops_Priorities_and_Data_Clean[[development]:[ifnoext_comment]],20,FALSE)</f>
        <v>NULL</v>
      </c>
      <c r="AX132" s="104" t="s">
        <v>2239</v>
      </c>
      <c r="AY132" s="104" t="s">
        <v>2592</v>
      </c>
      <c r="AZ132" s="20" t="str">
        <f>VLOOKUP(Data[[#This Row],[DEVELOPMENT]],Development_Data_Book[[DEVELOPMENT]:[PRIVATE MANAGEMENT]],8,FALSE)</f>
        <v>FEDERAL</v>
      </c>
      <c r="BA132" s="104" t="s">
        <v>2588</v>
      </c>
      <c r="BB132" s="20">
        <f>VLOOKUP(Data[[#This Row],[DEVELOPMENT]],Development_Data_Book[[DEVELOPMENT]:[PRIVATE MANAGEMENT]],22,FALSE)</f>
        <v>0</v>
      </c>
      <c r="BC132" s="20">
        <f>Data[[#This Row],[Non-Dwelling Buildings]]+Data[[#This Row],[Dwelling Buildings]]</f>
        <v>7</v>
      </c>
      <c r="BD132" s="20">
        <f>VLOOKUP(Data[[#This Row],[DEVELOPMENT]],Development_Data_Book[[DEVELOPMENT]:[PRIVATE MANAGEMENT]],26,FALSE)</f>
        <v>7.39</v>
      </c>
      <c r="BE132" s="106">
        <v>515550</v>
      </c>
      <c r="BF132" s="20">
        <f>VLOOKUP(Data[[#This Row],[DEVELOPMENT]],Development_Data_Book[[DEVELOPMENT]:[PRIVATE MANAGEMENT]],18,FALSE)</f>
        <v>1079</v>
      </c>
      <c r="BG13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32" s="104" t="s">
        <v>2593</v>
      </c>
      <c r="BI132" t="s">
        <v>184</v>
      </c>
      <c r="BJ132" s="20">
        <f>VLOOKUP(Data[[#This Row],[DEVELOPMENT]],Development_Data_Book[[DEVELOPMENT]:[PRIVATE MANAGEMENT]],41,FALSE)</f>
        <v>10</v>
      </c>
      <c r="BK132" s="20">
        <f>VLOOKUP(Data[[#This Row],[DEVELOPMENT]],Development_Data_Book[[DEVELOPMENT]:[PRIVATE MANAGEMENT]],42,FALSE)</f>
        <v>13</v>
      </c>
      <c r="BL132" s="20">
        <f>VLOOKUP(Data[[#This Row],[DEVELOPMENT]],Development_Data_Book[[DEVELOPMENT]:[PRIVATE MANAGEMENT]],43,FALSE)</f>
        <v>30</v>
      </c>
      <c r="BM132" s="20">
        <f>VLOOKUP(Data[[#This Row],[DEVELOPMENT]],Development_Data_Book[[DEVELOPMENT]:[PRIVATE MANAGEMENT]],44,FALSE)</f>
        <v>71</v>
      </c>
      <c r="BN132" s="20">
        <f>VLOOKUP(Data[[#This Row],[DEVELOPMENT]],Development_Data_Book[[DEVELOPMENT]:[PRIVATE MANAGEMENT]],45,FALSE)</f>
        <v>9</v>
      </c>
      <c r="BO132" s="20">
        <f>VLOOKUP(Data[[#This Row],[DEVELOPMENT]],Development_Data_Book[[DEVELOPMENT]:[PRIVATE MANAGEMENT]],24,FALSE)</f>
        <v>43560</v>
      </c>
    </row>
    <row r="133" spans="1:67">
      <c r="A133" t="s">
        <v>82</v>
      </c>
      <c r="B133" t="str">
        <f>VLOOKUP(Data[[#This Row],[DEVELOPMENT]],Development_Data_Book[[DEVELOPMENT]:[BOROUGH]],MATCH("borough",Development_Data_Book[[#Headers],[DEVELOPMENT]:[BOROUGH]],0),FALSE)</f>
        <v>MANHATTAN</v>
      </c>
      <c r="C133" t="e">
        <f>VLOOKUP(Data[[#This Row],[DEVELOPMENT]],'[1]Cheat-Sheet'!$D$2:$Q$341,2,FALSE)</f>
        <v>#N/A</v>
      </c>
      <c r="D13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33">
        <f>VLOOKUP(Data[[#This Row],[DEVELOPMENT]],Development_Data_Book[[DEVELOPMENT]:[BOROUGH]],21,FALSE)</f>
        <v>1</v>
      </c>
      <c r="F133">
        <f>VLOOKUP(Data[[#This Row],[DEVELOPMENT]],Development_Data_Book[[DEVELOPMENT]:[BOROUGH]],23,FALSE)</f>
        <v>1</v>
      </c>
      <c r="G133">
        <f>VLOOKUP(Data[[#This Row],[DEVELOPMENT]],Development_Data_Book[[DEVELOPMENT]:[BOROUGH]],12,FALSE)</f>
        <v>116</v>
      </c>
      <c r="H133" t="s">
        <v>2248</v>
      </c>
      <c r="I133">
        <v>3</v>
      </c>
      <c r="J133">
        <f>IFERROR(VLOOKUP(Data[[#This Row],[DEVELOPMENT]],IntCompactors_MRST[],4,FALSE),0)</f>
        <v>1</v>
      </c>
      <c r="K133" s="20">
        <f>IFERROR(VLOOKUP(Data[[#This Row],[DEVELOPMENT]],ExtCompactors_MRST[],4,FALSE),0)</f>
        <v>0</v>
      </c>
      <c r="L133" s="27">
        <f>IF(Data[[#This Row],['# Interior Compactors MRST]]=0,"",VLOOKUP(Data[[#This Row],[DEVELOPMENT]],IntCompactors_MRST[],5,FALSE))</f>
        <v>35278</v>
      </c>
      <c r="M133" s="28" t="str">
        <f>IF(Data[[#This Row],['# Exterior Compactors MRST]]=0,"",VLOOKUP(Data[[#This Row],[DEVELOPMENT]],ExtCompactors_MRST[],5,FALSE))</f>
        <v/>
      </c>
      <c r="N133">
        <f>Data[[#This Row],['# Interior Compactors MRST]]</f>
        <v>1</v>
      </c>
      <c r="O133" s="20">
        <f>IF(Data[[#This Row],['# Bulk Crushers]]=0,1,0)</f>
        <v>1</v>
      </c>
      <c r="P133" s="20">
        <f>1</f>
        <v>1</v>
      </c>
      <c r="Q133" s="20">
        <f>1</f>
        <v>1</v>
      </c>
      <c r="R133" s="20">
        <f>1</f>
        <v>1</v>
      </c>
      <c r="S133" s="20">
        <f>1</f>
        <v>1</v>
      </c>
      <c r="T133" s="20">
        <f>IF(Data[[#This Row],[Sewershed]]="Newtown Creek",Data[[#This Row],[DUs]],0)</f>
        <v>0</v>
      </c>
      <c r="U13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3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3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33" s="82">
        <f>VLOOKUP(Data[[#This Row],[DEVELOPMENT]],Development_Data_Book[[DEVELOPMENT]:[BOROUGH]],3,FALSE)</f>
        <v>147</v>
      </c>
      <c r="Y133" s="20"/>
      <c r="Z133" s="20">
        <f>IFERROR(VLOOKUP(Data[[#This Row],[TDS]],ExtCompactors_PNA[[Development]:[0]],2,FALSE),0)</f>
        <v>0</v>
      </c>
      <c r="AA133" s="20">
        <f>IFERROR(VLOOKUP(Data[[#This Row],[TDS]],IntCompactors_PNA[[TDS]:[0]],2,FALSE),0)</f>
        <v>1</v>
      </c>
      <c r="AB133" s="20"/>
      <c r="AC133" s="20"/>
      <c r="AD133" s="20">
        <f>IFERROR(VLOOKUP(Data[[#This Row],[TDS]],ExtCompactors_PNA[[Development]:[0]],3,FALSE)+VLOOKUP(Data[[#This Row],[TDS]],ExtCompactors_PNA[[Development]:[0]],6,FALSE),0)</f>
        <v>0</v>
      </c>
      <c r="AE133" s="20">
        <f>IFERROR(VLOOKUP(Data[[#This Row],[TDS]],IntCompactors_PNA[[TDS]:[0]],3,FALSE)+VLOOKUP(Data[[#This Row],[TDS]],IntCompactors_PNA[[TDS]:[0]],6,FALSE),0)</f>
        <v>1</v>
      </c>
      <c r="AF133" s="20" t="e">
        <f>VLOOKUP(Data[[#This Row],[DEVELOPMENT]],[3]Developments!$A$2:$A$312,1,FALSE)</f>
        <v>#N/A</v>
      </c>
      <c r="AG133" s="20">
        <f>IFERROR(VLOOKUP(Data[[#This Row],[DEVELOPMENT]],Ops_Priorities_and_Data_Clean[[development]:[ifnoext_comment]],3,FALSE),"")</f>
        <v>0</v>
      </c>
      <c r="AH133" s="20">
        <f>IFERROR(VLOOKUP(Data[[#This Row],[DEVELOPMENT]],Ops_Priorities_and_Data_Clean[[development]:[ifnoext_comment]],4,FALSE),"")</f>
        <v>0</v>
      </c>
      <c r="AI133" s="20">
        <f>IFERROR(VLOOKUP(Data[[#This Row],[DEVELOPMENT]],Ops_Priorities_and_Data_Clean[[development]:[ifnoext_comment]],5,FALSE),"")</f>
        <v>0</v>
      </c>
      <c r="AJ133" s="20">
        <f>IFERROR(VLOOKUP(Data[[#This Row],[DEVELOPMENT]],Ops_Priorities_and_Data_Clean[[development]:[ifnoext_comment]],6,FALSE),"")</f>
        <v>1</v>
      </c>
      <c r="AK133" s="20">
        <f>IFERROR(VLOOKUP(Data[[#This Row],[DEVELOPMENT]],Ops_Priorities_and_Data_Clean[[development]:[ifnoext_comment]],7,FALSE),"")</f>
        <v>0</v>
      </c>
      <c r="AL133" s="20">
        <f>IFERROR(VLOOKUP(Data[[#This Row],[DEVELOPMENT]],Ops_Priorities_and_Data_Clean[[development]:[ifnoext_comment]],8,FALSE),"")</f>
        <v>1</v>
      </c>
      <c r="AM133" s="20">
        <f>IFERROR(VLOOKUP(Data[[#This Row],[DEVELOPMENT]],Ops_Priorities_and_Data_Clean[[development]:[ifnoext_comment]],9,FALSE),"")</f>
        <v>1</v>
      </c>
      <c r="AN133" s="20">
        <f>IFERROR(VLOOKUP(Data[[#This Row],[DEVELOPMENT]],Ops_Priorities_and_Data_Clean[[development]:[ifnoext_comment]],10,FALSE),"")</f>
        <v>0</v>
      </c>
      <c r="AO133" s="20">
        <f>IFERROR(VLOOKUP(Data[[#This Row],[DEVELOPMENT]],Ops_Priorities_and_Data_Clean[[development]:[ifnoext_comment]],11,FALSE),"")</f>
        <v>0</v>
      </c>
      <c r="AP133" s="20">
        <f>IFERROR(VLOOKUP(Data[[#This Row],[DEVELOPMENT]],Ops_Priorities_and_Data_Clean[[development]:[ifnoext_comment]],12,FALSE),"")</f>
        <v>2</v>
      </c>
      <c r="AQ133" s="20">
        <f>VLOOKUP(Data[[#This Row],[DEVELOPMENT]],Ops_Priorities_and_Data_Clean[[development]:[ifnoext_comment]],14,FALSE)</f>
        <v>0</v>
      </c>
      <c r="AR133" s="20">
        <f>VLOOKUP(Data[[#This Row],[DEVELOPMENT]],Ops_Priorities_and_Data_Clean[[development]:[ifnoext_comment]],15,FALSE)</f>
        <v>1</v>
      </c>
      <c r="AS133" s="20" t="str">
        <f>VLOOKUP(Data[[#This Row],[DEVELOPMENT]],Ops_Priorities_and_Data_Clean[[development]:[ifnoext_comment]],16,FALSE)</f>
        <v>Harlem River</v>
      </c>
      <c r="AT133" s="20" t="str">
        <f>VLOOKUP(Data[[#This Row],[DEVELOPMENT]],Ops_Priorities_and_Data_Clean[[development]:[ifnoext_comment]],17,FALSE)</f>
        <v>NULL</v>
      </c>
      <c r="AU133" s="20" t="str">
        <f>VLOOKUP(Data[[#This Row],[DEVELOPMENT]],Ops_Priorities_and_Data_Clean[[development]:[ifnoext_comment]],18,FALSE)</f>
        <v>no</v>
      </c>
      <c r="AV133" s="20" t="str">
        <f>VLOOKUP(Data[[#This Row],[DEVELOPMENT]],Ops_Priorities_and_Data_Clean[[development]:[ifnoext_comment]],19,FALSE)</f>
        <v>Serviced by Harlem I</v>
      </c>
      <c r="AW133" s="20" t="str">
        <f>VLOOKUP(Data[[#This Row],[DEVELOPMENT]],Ops_Priorities_and_Data_Clean[[development]:[ifnoext_comment]],20,FALSE)</f>
        <v>NULL</v>
      </c>
      <c r="AX133" s="104" t="s">
        <v>2239</v>
      </c>
      <c r="AY133" s="104" t="s">
        <v>2592</v>
      </c>
      <c r="AZ133" s="20" t="str">
        <f>VLOOKUP(Data[[#This Row],[DEVELOPMENT]],Development_Data_Book[[DEVELOPMENT]:[PRIVATE MANAGEMENT]],8,FALSE)</f>
        <v>FEDERAL</v>
      </c>
      <c r="BA133" s="104" t="s">
        <v>2586</v>
      </c>
      <c r="BB133" s="20">
        <f>VLOOKUP(Data[[#This Row],[DEVELOPMENT]],Development_Data_Book[[DEVELOPMENT]:[PRIVATE MANAGEMENT]],22,FALSE)</f>
        <v>0</v>
      </c>
      <c r="BC133" s="20">
        <f>Data[[#This Row],[Non-Dwelling Buildings]]+Data[[#This Row],[Dwelling Buildings]]</f>
        <v>1</v>
      </c>
      <c r="BD133" s="20">
        <f>VLOOKUP(Data[[#This Row],[DEVELOPMENT]],Development_Data_Book[[DEVELOPMENT]:[PRIVATE MANAGEMENT]],26,FALSE)</f>
        <v>0.66</v>
      </c>
      <c r="BE133" s="106">
        <v>109700</v>
      </c>
      <c r="BF133" s="20">
        <f>VLOOKUP(Data[[#This Row],[DEVELOPMENT]],Development_Data_Book[[DEVELOPMENT]:[PRIVATE MANAGEMENT]],18,FALSE)</f>
        <v>272</v>
      </c>
      <c r="BG13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33" s="104" t="s">
        <v>2593</v>
      </c>
      <c r="BI133" t="s">
        <v>184</v>
      </c>
      <c r="BJ133" s="20">
        <f>VLOOKUP(Data[[#This Row],[DEVELOPMENT]],Development_Data_Book[[DEVELOPMENT]:[PRIVATE MANAGEMENT]],41,FALSE)</f>
        <v>10</v>
      </c>
      <c r="BK133" s="20">
        <f>VLOOKUP(Data[[#This Row],[DEVELOPMENT]],Development_Data_Book[[DEVELOPMENT]:[PRIVATE MANAGEMENT]],42,FALSE)</f>
        <v>13</v>
      </c>
      <c r="BL133" s="20">
        <f>VLOOKUP(Data[[#This Row],[DEVELOPMENT]],Development_Data_Book[[DEVELOPMENT]:[PRIVATE MANAGEMENT]],43,FALSE)</f>
        <v>30</v>
      </c>
      <c r="BM133" s="20">
        <f>VLOOKUP(Data[[#This Row],[DEVELOPMENT]],Development_Data_Book[[DEVELOPMENT]:[PRIVATE MANAGEMENT]],44,FALSE)</f>
        <v>71</v>
      </c>
      <c r="BN133" s="20">
        <f>VLOOKUP(Data[[#This Row],[DEVELOPMENT]],Development_Data_Book[[DEVELOPMENT]:[PRIVATE MANAGEMENT]],45,FALSE)</f>
        <v>9</v>
      </c>
      <c r="BO133" s="20">
        <f>VLOOKUP(Data[[#This Row],[DEVELOPMENT]],Development_Data_Book[[DEVELOPMENT]:[PRIVATE MANAGEMENT]],24,FALSE)</f>
        <v>15</v>
      </c>
    </row>
    <row r="134" spans="1:67">
      <c r="A134" t="s">
        <v>330</v>
      </c>
      <c r="B134" s="20" t="str">
        <f>VLOOKUP(Data[[#This Row],[DEVELOPMENT]],Development_Data_Book[[DEVELOPMENT]:[BOROUGH]],MATCH("borough",Development_Data_Book[[#Headers],[DEVELOPMENT]:[BOROUGH]],0),FALSE)</f>
        <v>BRONX</v>
      </c>
      <c r="C134" s="20" t="e">
        <f>VLOOKUP(Data[[#This Row],[DEVELOPMENT]],'[1]Cheat-Sheet'!$D$2:$Q$341,2,FALSE)</f>
        <v>#N/A</v>
      </c>
      <c r="D13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34" s="20">
        <f>VLOOKUP(Data[[#This Row],[DEVELOPMENT]],Development_Data_Book[[DEVELOPMENT]:[BOROUGH]],21,FALSE)</f>
        <v>1</v>
      </c>
      <c r="F134" s="20">
        <f>VLOOKUP(Data[[#This Row],[DEVELOPMENT]],Development_Data_Book[[DEVELOPMENT]:[BOROUGH]],23,FALSE)</f>
        <v>1</v>
      </c>
      <c r="G134" s="20">
        <f>VLOOKUP(Data[[#This Row],[DEVELOPMENT]],Development_Data_Book[[DEVELOPMENT]:[BOROUGH]],12,FALSE)</f>
        <v>34</v>
      </c>
      <c r="J134">
        <f>IFERROR(VLOOKUP(Data[[#This Row],[DEVELOPMENT]],IntCompactors_MRST[],4,FALSE),0)</f>
        <v>0</v>
      </c>
      <c r="K134" s="20">
        <f>IFERROR(VLOOKUP(Data[[#This Row],[DEVELOPMENT]],ExtCompactors_MRST[],4,FALSE),0)</f>
        <v>0</v>
      </c>
      <c r="L134" s="27" t="str">
        <f>IF(Data[[#This Row],['# Interior Compactors MRST]]=0,"",VLOOKUP(Data[[#This Row],[DEVELOPMENT]],IntCompactors_MRST[],5,FALSE))</f>
        <v/>
      </c>
      <c r="M134" s="28" t="str">
        <f>IF(Data[[#This Row],['# Exterior Compactors MRST]]=0,"",VLOOKUP(Data[[#This Row],[DEVELOPMENT]],ExtCompactors_MRST[],5,FALSE))</f>
        <v/>
      </c>
      <c r="N134" s="20">
        <f>Data[[#This Row],['# Interior Compactors MRST]]</f>
        <v>0</v>
      </c>
      <c r="O134" s="20">
        <f>IF(Data[[#This Row],['# Bulk Crushers]]=0,1,0)</f>
        <v>1</v>
      </c>
      <c r="P134" s="20">
        <f>1</f>
        <v>1</v>
      </c>
      <c r="Q134" s="20">
        <f>1</f>
        <v>1</v>
      </c>
      <c r="R134" s="20">
        <f>1</f>
        <v>1</v>
      </c>
      <c r="S134" s="20">
        <f>1</f>
        <v>1</v>
      </c>
      <c r="T134" s="20">
        <f>IF(Data[[#This Row],[Sewershed]]="Newtown Creek",Data[[#This Row],[DUs]],0)</f>
        <v>0</v>
      </c>
      <c r="U13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3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3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34" s="82">
        <f>VLOOKUP(Data[[#This Row],[DEVELOPMENT]],Development_Data_Book[[DEVELOPMENT]:[BOROUGH]],3,FALSE)</f>
        <v>347</v>
      </c>
      <c r="Y134" s="20"/>
      <c r="Z134" s="20">
        <f>IFERROR(VLOOKUP(Data[[#This Row],[TDS]],ExtCompactors_PNA[[Development]:[0]],2,FALSE),0)</f>
        <v>0</v>
      </c>
      <c r="AA134" s="20">
        <f>IFERROR(VLOOKUP(Data[[#This Row],[TDS]],IntCompactors_PNA[[TDS]:[0]],2,FALSE),0)</f>
        <v>1</v>
      </c>
      <c r="AB134" s="20"/>
      <c r="AC134" s="20"/>
      <c r="AD134" s="20">
        <f>IFERROR(VLOOKUP(Data[[#This Row],[TDS]],ExtCompactors_PNA[[Development]:[0]],3,FALSE)+VLOOKUP(Data[[#This Row],[TDS]],ExtCompactors_PNA[[Development]:[0]],6,FALSE),0)</f>
        <v>0</v>
      </c>
      <c r="AE134" s="20">
        <f>IFERROR(VLOOKUP(Data[[#This Row],[TDS]],IntCompactors_PNA[[TDS]:[0]],3,FALSE)+VLOOKUP(Data[[#This Row],[TDS]],IntCompactors_PNA[[TDS]:[0]],6,FALSE),0)</f>
        <v>1</v>
      </c>
      <c r="AF134" s="20" t="e">
        <f>VLOOKUP(Data[[#This Row],[DEVELOPMENT]],[3]Developments!$A$2:$A$312,1,FALSE)</f>
        <v>#N/A</v>
      </c>
      <c r="AG134" s="20">
        <f>IFERROR(VLOOKUP(Data[[#This Row],[DEVELOPMENT]],Ops_Priorities_and_Data_Clean[[development]:[ifnoext_comment]],3,FALSE),"")</f>
        <v>0</v>
      </c>
      <c r="AH134" s="20">
        <f>IFERROR(VLOOKUP(Data[[#This Row],[DEVELOPMENT]],Ops_Priorities_and_Data_Clean[[development]:[ifnoext_comment]],4,FALSE),"")</f>
        <v>0</v>
      </c>
      <c r="AI134" s="20">
        <f>IFERROR(VLOOKUP(Data[[#This Row],[DEVELOPMENT]],Ops_Priorities_and_Data_Clean[[development]:[ifnoext_comment]],5,FALSE),"")</f>
        <v>0</v>
      </c>
      <c r="AJ134" s="20">
        <f>IFERROR(VLOOKUP(Data[[#This Row],[DEVELOPMENT]],Ops_Priorities_and_Data_Clean[[development]:[ifnoext_comment]],6,FALSE),"")</f>
        <v>0</v>
      </c>
      <c r="AK134" s="20">
        <f>IFERROR(VLOOKUP(Data[[#This Row],[DEVELOPMENT]],Ops_Priorities_and_Data_Clean[[development]:[ifnoext_comment]],7,FALSE),"")</f>
        <v>1</v>
      </c>
      <c r="AL134" s="20">
        <f>IFERROR(VLOOKUP(Data[[#This Row],[DEVELOPMENT]],Ops_Priorities_and_Data_Clean[[development]:[ifnoext_comment]],8,FALSE),"")</f>
        <v>1</v>
      </c>
      <c r="AM134" s="20">
        <f>IFERROR(VLOOKUP(Data[[#This Row],[DEVELOPMENT]],Ops_Priorities_and_Data_Clean[[development]:[ifnoext_comment]],9,FALSE),"")</f>
        <v>0</v>
      </c>
      <c r="AN134" s="20">
        <f>IFERROR(VLOOKUP(Data[[#This Row],[DEVELOPMENT]],Ops_Priorities_and_Data_Clean[[development]:[ifnoext_comment]],10,FALSE),"")</f>
        <v>0</v>
      </c>
      <c r="AO134" s="20">
        <f>IFERROR(VLOOKUP(Data[[#This Row],[DEVELOPMENT]],Ops_Priorities_and_Data_Clean[[development]:[ifnoext_comment]],11,FALSE),"")</f>
        <v>0</v>
      </c>
      <c r="AP134" s="20">
        <f>IFERROR(VLOOKUP(Data[[#This Row],[DEVELOPMENT]],Ops_Priorities_and_Data_Clean[[development]:[ifnoext_comment]],12,FALSE),"")</f>
        <v>0</v>
      </c>
      <c r="AQ134" s="20">
        <f>VLOOKUP(Data[[#This Row],[DEVELOPMENT]],Ops_Priorities_and_Data_Clean[[development]:[ifnoext_comment]],14,FALSE)</f>
        <v>1</v>
      </c>
      <c r="AR134" s="20">
        <f>VLOOKUP(Data[[#This Row],[DEVELOPMENT]],Ops_Priorities_and_Data_Clean[[development]:[ifnoext_comment]],15,FALSE)</f>
        <v>0</v>
      </c>
      <c r="AS134" s="20" t="str">
        <f>VLOOKUP(Data[[#This Row],[DEVELOPMENT]],Ops_Priorities_and_Data_Clean[[development]:[ifnoext_comment]],16,FALSE)</f>
        <v>NULL</v>
      </c>
      <c r="AT134" s="20" t="str">
        <f>VLOOKUP(Data[[#This Row],[DEVELOPMENT]],Ops_Priorities_and_Data_Clean[[development]:[ifnoext_comment]],17,FALSE)</f>
        <v>NULL</v>
      </c>
      <c r="AU134" s="20" t="str">
        <f>VLOOKUP(Data[[#This Row],[DEVELOPMENT]],Ops_Priorities_and_Data_Clean[[development]:[ifnoext_comment]],18,FALSE)</f>
        <v>NULL</v>
      </c>
      <c r="AV134" s="20" t="str">
        <f>VLOOKUP(Data[[#This Row],[DEVELOPMENT]],Ops_Priorities_and_Data_Clean[[development]:[ifnoext_comment]],19,FALSE)</f>
        <v>NULL</v>
      </c>
      <c r="AW134" s="20" t="str">
        <f>VLOOKUP(Data[[#This Row],[DEVELOPMENT]],Ops_Priorities_and_Data_Clean[[development]:[ifnoext_comment]],20,FALSE)</f>
        <v>NULL</v>
      </c>
      <c r="AX134" s="104" t="s">
        <v>2596</v>
      </c>
      <c r="AY134" s="104" t="s">
        <v>2653</v>
      </c>
      <c r="AZ134" s="20" t="str">
        <f>VLOOKUP(Data[[#This Row],[DEVELOPMENT]],Development_Data_Book[[DEVELOPMENT]:[PRIVATE MANAGEMENT]],8,FALSE)</f>
        <v>FEDERAL</v>
      </c>
      <c r="BA134" s="104" t="s">
        <v>2586</v>
      </c>
      <c r="BB134" s="20">
        <f>VLOOKUP(Data[[#This Row],[DEVELOPMENT]],Development_Data_Book[[DEVELOPMENT]:[PRIVATE MANAGEMENT]],22,FALSE)</f>
        <v>0</v>
      </c>
      <c r="BC134" s="20">
        <f>Data[[#This Row],[Non-Dwelling Buildings]]+Data[[#This Row],[Dwelling Buildings]]</f>
        <v>1</v>
      </c>
      <c r="BD134" s="20">
        <f>VLOOKUP(Data[[#This Row],[DEVELOPMENT]],Development_Data_Book[[DEVELOPMENT]:[PRIVATE MANAGEMENT]],26,FALSE)</f>
        <v>0.21</v>
      </c>
      <c r="BE134" s="106">
        <v>36900</v>
      </c>
      <c r="BF134" s="20">
        <f>VLOOKUP(Data[[#This Row],[DEVELOPMENT]],Development_Data_Book[[DEVELOPMENT]:[PRIVATE MANAGEMENT]],18,FALSE)</f>
        <v>75</v>
      </c>
      <c r="BG13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34" s="104" t="s">
        <v>2587</v>
      </c>
      <c r="BI134" t="s">
        <v>184</v>
      </c>
      <c r="BJ134" s="20">
        <f>VLOOKUP(Data[[#This Row],[DEVELOPMENT]],Development_Data_Book[[DEVELOPMENT]:[PRIVATE MANAGEMENT]],41,FALSE)</f>
        <v>5</v>
      </c>
      <c r="BK134" s="20">
        <f>VLOOKUP(Data[[#This Row],[DEVELOPMENT]],Development_Data_Book[[DEVELOPMENT]:[PRIVATE MANAGEMENT]],42,FALSE)</f>
        <v>15</v>
      </c>
      <c r="BL134" s="20">
        <f>VLOOKUP(Data[[#This Row],[DEVELOPMENT]],Development_Data_Book[[DEVELOPMENT]:[PRIVATE MANAGEMENT]],43,FALSE)</f>
        <v>29</v>
      </c>
      <c r="BM134" s="20">
        <f>VLOOKUP(Data[[#This Row],[DEVELOPMENT]],Development_Data_Book[[DEVELOPMENT]:[PRIVATE MANAGEMENT]],44,FALSE)</f>
        <v>86</v>
      </c>
      <c r="BN134" s="20">
        <f>VLOOKUP(Data[[#This Row],[DEVELOPMENT]],Development_Data_Book[[DEVELOPMENT]:[PRIVATE MANAGEMENT]],45,FALSE)</f>
        <v>14</v>
      </c>
      <c r="BO134" s="20">
        <f>VLOOKUP(Data[[#This Row],[DEVELOPMENT]],Development_Data_Book[[DEVELOPMENT]:[PRIVATE MANAGEMENT]],24,FALSE)</f>
        <v>5</v>
      </c>
    </row>
    <row r="135" spans="1:67">
      <c r="A135" t="s">
        <v>331</v>
      </c>
      <c r="B135" s="20" t="str">
        <f>VLOOKUP(Data[[#This Row],[DEVELOPMENT]],Development_Data_Book[[DEVELOPMENT]:[BOROUGH]],MATCH("borough",Development_Data_Book[[#Headers],[DEVELOPMENT]:[BOROUGH]],0),FALSE)</f>
        <v>BRONX</v>
      </c>
      <c r="C135" s="20" t="e">
        <f>VLOOKUP(Data[[#This Row],[DEVELOPMENT]],'[1]Cheat-Sheet'!$D$2:$Q$341,2,FALSE)</f>
        <v>#N/A</v>
      </c>
      <c r="D13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35" s="20">
        <f>VLOOKUP(Data[[#This Row],[DEVELOPMENT]],Development_Data_Book[[DEVELOPMENT]:[BOROUGH]],21,FALSE)</f>
        <v>4</v>
      </c>
      <c r="F135" s="20">
        <f>VLOOKUP(Data[[#This Row],[DEVELOPMENT]],Development_Data_Book[[DEVELOPMENT]:[BOROUGH]],23,FALSE)</f>
        <v>4</v>
      </c>
      <c r="G135" s="20">
        <f>VLOOKUP(Data[[#This Row],[DEVELOPMENT]],Development_Data_Book[[DEVELOPMENT]:[BOROUGH]],12,FALSE)</f>
        <v>150</v>
      </c>
      <c r="J135">
        <f>IFERROR(VLOOKUP(Data[[#This Row],[DEVELOPMENT]],IntCompactors_MRST[],4,FALSE),0)</f>
        <v>0</v>
      </c>
      <c r="K135" s="20">
        <f>IFERROR(VLOOKUP(Data[[#This Row],[DEVELOPMENT]],ExtCompactors_MRST[],4,FALSE),0)</f>
        <v>0</v>
      </c>
      <c r="L135" s="27" t="str">
        <f>IF(Data[[#This Row],['# Interior Compactors MRST]]=0,"",VLOOKUP(Data[[#This Row],[DEVELOPMENT]],IntCompactors_MRST[],5,FALSE))</f>
        <v/>
      </c>
      <c r="M135" s="28" t="str">
        <f>IF(Data[[#This Row],['# Exterior Compactors MRST]]=0,"",VLOOKUP(Data[[#This Row],[DEVELOPMENT]],ExtCompactors_MRST[],5,FALSE))</f>
        <v/>
      </c>
      <c r="N135" s="20">
        <f>Data[[#This Row],['# Interior Compactors MRST]]</f>
        <v>0</v>
      </c>
      <c r="O135" s="20">
        <f>IF(Data[[#This Row],['# Bulk Crushers]]=0,1,0)</f>
        <v>1</v>
      </c>
      <c r="P135" s="20">
        <f>1</f>
        <v>1</v>
      </c>
      <c r="Q135" s="20">
        <f>1</f>
        <v>1</v>
      </c>
      <c r="R135" s="20">
        <f>1</f>
        <v>1</v>
      </c>
      <c r="S135" s="20">
        <f>1</f>
        <v>1</v>
      </c>
      <c r="T135" s="20">
        <f>IF(Data[[#This Row],[Sewershed]]="Newtown Creek",Data[[#This Row],[DUs]],0)</f>
        <v>0</v>
      </c>
      <c r="U13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3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3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35" s="82">
        <f>VLOOKUP(Data[[#This Row],[DEVELOPMENT]],Development_Data_Book[[DEVELOPMENT]:[BOROUGH]],3,FALSE)</f>
        <v>547</v>
      </c>
      <c r="Y135" s="20"/>
      <c r="Z135" s="20">
        <f>IFERROR(VLOOKUP(Data[[#This Row],[TDS]],ExtCompactors_PNA[[Development]:[0]],2,FALSE),0)</f>
        <v>0</v>
      </c>
      <c r="AA135" s="20">
        <f>IFERROR(VLOOKUP(Data[[#This Row],[TDS]],IntCompactors_PNA[[TDS]:[0]],2,FALSE),0)</f>
        <v>4</v>
      </c>
      <c r="AB135" s="20"/>
      <c r="AC135" s="20"/>
      <c r="AD135" s="20">
        <f>IFERROR(VLOOKUP(Data[[#This Row],[TDS]],ExtCompactors_PNA[[Development]:[0]],3,FALSE)+VLOOKUP(Data[[#This Row],[TDS]],ExtCompactors_PNA[[Development]:[0]],6,FALSE),0)</f>
        <v>0</v>
      </c>
      <c r="AE135" s="20">
        <f>IFERROR(VLOOKUP(Data[[#This Row],[TDS]],IntCompactors_PNA[[TDS]:[0]],3,FALSE)+VLOOKUP(Data[[#This Row],[TDS]],IntCompactors_PNA[[TDS]:[0]],6,FALSE),0)</f>
        <v>4</v>
      </c>
      <c r="AF135" s="20" t="e">
        <f>VLOOKUP(Data[[#This Row],[DEVELOPMENT]],[3]Developments!$A$2:$A$312,1,FALSE)</f>
        <v>#N/A</v>
      </c>
      <c r="AG135" s="20">
        <f>IFERROR(VLOOKUP(Data[[#This Row],[DEVELOPMENT]],Ops_Priorities_and_Data_Clean[[development]:[ifnoext_comment]],3,FALSE),"")</f>
        <v>0</v>
      </c>
      <c r="AH135" s="20">
        <f>IFERROR(VLOOKUP(Data[[#This Row],[DEVELOPMENT]],Ops_Priorities_and_Data_Clean[[development]:[ifnoext_comment]],4,FALSE),"")</f>
        <v>0</v>
      </c>
      <c r="AI135" s="20">
        <f>IFERROR(VLOOKUP(Data[[#This Row],[DEVELOPMENT]],Ops_Priorities_and_Data_Clean[[development]:[ifnoext_comment]],5,FALSE),"")</f>
        <v>0</v>
      </c>
      <c r="AJ135" s="20">
        <f>IFERROR(VLOOKUP(Data[[#This Row],[DEVELOPMENT]],Ops_Priorities_and_Data_Clean[[development]:[ifnoext_comment]],6,FALSE),"")</f>
        <v>0</v>
      </c>
      <c r="AK135" s="20">
        <f>IFERROR(VLOOKUP(Data[[#This Row],[DEVELOPMENT]],Ops_Priorities_and_Data_Clean[[development]:[ifnoext_comment]],7,FALSE),"")</f>
        <v>1</v>
      </c>
      <c r="AL135" s="20">
        <f>IFERROR(VLOOKUP(Data[[#This Row],[DEVELOPMENT]],Ops_Priorities_and_Data_Clean[[development]:[ifnoext_comment]],8,FALSE),"")</f>
        <v>1</v>
      </c>
      <c r="AM135" s="20">
        <f>IFERROR(VLOOKUP(Data[[#This Row],[DEVELOPMENT]],Ops_Priorities_and_Data_Clean[[development]:[ifnoext_comment]],9,FALSE),"")</f>
        <v>0</v>
      </c>
      <c r="AN135" s="20">
        <f>IFERROR(VLOOKUP(Data[[#This Row],[DEVELOPMENT]],Ops_Priorities_and_Data_Clean[[development]:[ifnoext_comment]],10,FALSE),"")</f>
        <v>0</v>
      </c>
      <c r="AO135" s="20">
        <f>IFERROR(VLOOKUP(Data[[#This Row],[DEVELOPMENT]],Ops_Priorities_and_Data_Clean[[development]:[ifnoext_comment]],11,FALSE),"")</f>
        <v>0</v>
      </c>
      <c r="AP135" s="20">
        <f>IFERROR(VLOOKUP(Data[[#This Row],[DEVELOPMENT]],Ops_Priorities_and_Data_Clean[[development]:[ifnoext_comment]],12,FALSE),"")</f>
        <v>0</v>
      </c>
      <c r="AQ135" s="20">
        <f>VLOOKUP(Data[[#This Row],[DEVELOPMENT]],Ops_Priorities_and_Data_Clean[[development]:[ifnoext_comment]],14,FALSE)</f>
        <v>1</v>
      </c>
      <c r="AR135" s="20">
        <f>VLOOKUP(Data[[#This Row],[DEVELOPMENT]],Ops_Priorities_and_Data_Clean[[development]:[ifnoext_comment]],15,FALSE)</f>
        <v>0</v>
      </c>
      <c r="AS135" s="20" t="str">
        <f>VLOOKUP(Data[[#This Row],[DEVELOPMENT]],Ops_Priorities_and_Data_Clean[[development]:[ifnoext_comment]],16,FALSE)</f>
        <v>NULL</v>
      </c>
      <c r="AT135" s="20" t="str">
        <f>VLOOKUP(Data[[#This Row],[DEVELOPMENT]],Ops_Priorities_and_Data_Clean[[development]:[ifnoext_comment]],17,FALSE)</f>
        <v>NULL</v>
      </c>
      <c r="AU135" s="20" t="str">
        <f>VLOOKUP(Data[[#This Row],[DEVELOPMENT]],Ops_Priorities_and_Data_Clean[[development]:[ifnoext_comment]],18,FALSE)</f>
        <v>NULL</v>
      </c>
      <c r="AV135" s="20" t="str">
        <f>VLOOKUP(Data[[#This Row],[DEVELOPMENT]],Ops_Priorities_and_Data_Clean[[development]:[ifnoext_comment]],19,FALSE)</f>
        <v>NULL</v>
      </c>
      <c r="AW135" s="20" t="str">
        <f>VLOOKUP(Data[[#This Row],[DEVELOPMENT]],Ops_Priorities_and_Data_Clean[[development]:[ifnoext_comment]],20,FALSE)</f>
        <v>NULL</v>
      </c>
      <c r="AX135" s="104" t="s">
        <v>2596</v>
      </c>
      <c r="AY135" s="104" t="s">
        <v>2653</v>
      </c>
      <c r="AZ135" s="20" t="str">
        <f>VLOOKUP(Data[[#This Row],[DEVELOPMENT]],Development_Data_Book[[DEVELOPMENT]:[PRIVATE MANAGEMENT]],8,FALSE)</f>
        <v>FEDERAL</v>
      </c>
      <c r="BA135" s="104" t="s">
        <v>2586</v>
      </c>
      <c r="BB135" s="20">
        <f>VLOOKUP(Data[[#This Row],[DEVELOPMENT]],Development_Data_Book[[DEVELOPMENT]:[PRIVATE MANAGEMENT]],22,FALSE)</f>
        <v>0</v>
      </c>
      <c r="BC135" s="20">
        <f>Data[[#This Row],[Non-Dwelling Buildings]]+Data[[#This Row],[Dwelling Buildings]]</f>
        <v>4</v>
      </c>
      <c r="BD135" s="20">
        <f>VLOOKUP(Data[[#This Row],[DEVELOPMENT]],Development_Data_Book[[DEVELOPMENT]:[PRIVATE MANAGEMENT]],26,FALSE)</f>
        <v>1.03</v>
      </c>
      <c r="BE135" s="106">
        <v>172270</v>
      </c>
      <c r="BF135" s="20">
        <f>VLOOKUP(Data[[#This Row],[DEVELOPMENT]],Development_Data_Book[[DEVELOPMENT]:[PRIVATE MANAGEMENT]],18,FALSE)</f>
        <v>326</v>
      </c>
      <c r="BG13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35" s="104" t="s">
        <v>2587</v>
      </c>
      <c r="BI135" t="s">
        <v>184</v>
      </c>
      <c r="BJ135" s="20">
        <f>VLOOKUP(Data[[#This Row],[DEVELOPMENT]],Development_Data_Book[[DEVELOPMENT]:[PRIVATE MANAGEMENT]],41,FALSE)</f>
        <v>5</v>
      </c>
      <c r="BK135" s="20">
        <f>VLOOKUP(Data[[#This Row],[DEVELOPMENT]],Development_Data_Book[[DEVELOPMENT]:[PRIVATE MANAGEMENT]],42,FALSE)</f>
        <v>15</v>
      </c>
      <c r="BL135" s="20">
        <f>VLOOKUP(Data[[#This Row],[DEVELOPMENT]],Development_Data_Book[[DEVELOPMENT]:[PRIVATE MANAGEMENT]],43,FALSE)</f>
        <v>29</v>
      </c>
      <c r="BM135" s="20">
        <f>VLOOKUP(Data[[#This Row],[DEVELOPMENT]],Development_Data_Book[[DEVELOPMENT]:[PRIVATE MANAGEMENT]],44,FALSE)</f>
        <v>86</v>
      </c>
      <c r="BN135" s="20">
        <f>VLOOKUP(Data[[#This Row],[DEVELOPMENT]],Development_Data_Book[[DEVELOPMENT]:[PRIVATE MANAGEMENT]],45,FALSE)</f>
        <v>14</v>
      </c>
      <c r="BO135" s="20">
        <f>VLOOKUP(Data[[#This Row],[DEVELOPMENT]],Development_Data_Book[[DEVELOPMENT]:[PRIVATE MANAGEMENT]],24,FALSE)</f>
        <v>43591</v>
      </c>
    </row>
    <row r="136" spans="1:67">
      <c r="A136" s="17" t="s">
        <v>266</v>
      </c>
      <c r="B136" s="17" t="str">
        <f>VLOOKUP(Data[[#This Row],[DEVELOPMENT]],Development_Data_Book[[DEVELOPMENT]:[BOROUGH]],MATCH("borough",Development_Data_Book[[#Headers],[DEVELOPMENT]:[BOROUGH]],0),FALSE)</f>
        <v>MANHATTAN</v>
      </c>
      <c r="C136" t="e">
        <f>VLOOKUP(Data[[#This Row],[DEVELOPMENT]],'[1]Cheat-Sheet'!$D$2:$Q$341,2,FALSE)</f>
        <v>#N/A</v>
      </c>
      <c r="D13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36">
        <f>VLOOKUP(Data[[#This Row],[DEVELOPMENT]],Development_Data_Book[[DEVELOPMENT]:[BOROUGH]],21,FALSE)</f>
        <v>1</v>
      </c>
      <c r="F136">
        <f>VLOOKUP(Data[[#This Row],[DEVELOPMENT]],Development_Data_Book[[DEVELOPMENT]:[BOROUGH]],23,FALSE)</f>
        <v>1</v>
      </c>
      <c r="G136">
        <f>VLOOKUP(Data[[#This Row],[DEVELOPMENT]],Development_Data_Book[[DEVELOPMENT]:[BOROUGH]],12,FALSE)</f>
        <v>149</v>
      </c>
      <c r="H136" t="s">
        <v>2246</v>
      </c>
      <c r="I136">
        <v>3</v>
      </c>
      <c r="J136">
        <f>IFERROR(VLOOKUP(Data[[#This Row],[DEVELOPMENT]],IntCompactors_MRST[],4,FALSE),0)</f>
        <v>1</v>
      </c>
      <c r="K136" s="20">
        <f>IFERROR(VLOOKUP(Data[[#This Row],[DEVELOPMENT]],ExtCompactors_MRST[],4,FALSE),0)</f>
        <v>0</v>
      </c>
      <c r="L136" s="27">
        <f>IF(Data[[#This Row],['# Interior Compactors MRST]]=0,"",VLOOKUP(Data[[#This Row],[DEVELOPMENT]],IntCompactors_MRST[],5,FALSE))</f>
        <v>0</v>
      </c>
      <c r="M136" s="28" t="str">
        <f>IF(Data[[#This Row],['# Exterior Compactors MRST]]=0,"",VLOOKUP(Data[[#This Row],[DEVELOPMENT]],ExtCompactors_MRST[],5,FALSE))</f>
        <v/>
      </c>
      <c r="N136">
        <f>Data[[#This Row],['# Interior Compactors MRST]]</f>
        <v>1</v>
      </c>
      <c r="O136" s="20">
        <f>IF(Data[[#This Row],['# Bulk Crushers]]=0,1,0)</f>
        <v>1</v>
      </c>
      <c r="P136" s="20">
        <f>1</f>
        <v>1</v>
      </c>
      <c r="Q136" s="20">
        <f>1</f>
        <v>1</v>
      </c>
      <c r="R136" s="20">
        <f>1</f>
        <v>1</v>
      </c>
      <c r="S136" s="20">
        <f>1</f>
        <v>1</v>
      </c>
      <c r="T136" s="20">
        <f>IF(Data[[#This Row],[Sewershed]]="Newtown Creek",Data[[#This Row],[DUs]],0)</f>
        <v>149</v>
      </c>
      <c r="U13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3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3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36" s="82">
        <f>VLOOKUP(Data[[#This Row],[DEVELOPMENT]],Development_Data_Book[[DEVELOPMENT]:[BOROUGH]],3,FALSE)</f>
        <v>184</v>
      </c>
      <c r="Y136" s="20" t="s">
        <v>2599</v>
      </c>
      <c r="Z136" s="20">
        <f>IFERROR(VLOOKUP(Data[[#This Row],[TDS]],ExtCompactors_PNA[[Development]:[0]],2,FALSE),0)</f>
        <v>0</v>
      </c>
      <c r="AA136" s="20">
        <f>IFERROR(VLOOKUP(Data[[#This Row],[TDS]],IntCompactors_PNA[[TDS]:[0]],2,FALSE),0)</f>
        <v>1</v>
      </c>
      <c r="AB136" s="20"/>
      <c r="AC136" s="20"/>
      <c r="AD136" s="20">
        <f>IFERROR(VLOOKUP(Data[[#This Row],[TDS]],ExtCompactors_PNA[[Development]:[0]],3,FALSE)+VLOOKUP(Data[[#This Row],[TDS]],ExtCompactors_PNA[[Development]:[0]],6,FALSE),0)</f>
        <v>0</v>
      </c>
      <c r="AE136" s="20">
        <f>IFERROR(VLOOKUP(Data[[#This Row],[TDS]],IntCompactors_PNA[[TDS]:[0]],3,FALSE)+VLOOKUP(Data[[#This Row],[TDS]],IntCompactors_PNA[[TDS]:[0]],6,FALSE),0)</f>
        <v>1</v>
      </c>
      <c r="AF136" s="20" t="e">
        <f>VLOOKUP(Data[[#This Row],[DEVELOPMENT]],[3]Developments!$A$2:$A$312,1,FALSE)</f>
        <v>#N/A</v>
      </c>
      <c r="AG136" s="20">
        <f>IFERROR(VLOOKUP(Data[[#This Row],[DEVELOPMENT]],Ops_Priorities_and_Data_Clean[[development]:[ifnoext_comment]],3,FALSE),"")</f>
        <v>0</v>
      </c>
      <c r="AH136" s="20">
        <f>IFERROR(VLOOKUP(Data[[#This Row],[DEVELOPMENT]],Ops_Priorities_and_Data_Clean[[development]:[ifnoext_comment]],4,FALSE),"")</f>
        <v>2</v>
      </c>
      <c r="AI136" s="20">
        <f>IFERROR(VLOOKUP(Data[[#This Row],[DEVELOPMENT]],Ops_Priorities_and_Data_Clean[[development]:[ifnoext_comment]],5,FALSE),"")</f>
        <v>0</v>
      </c>
      <c r="AJ136" s="20">
        <f>IFERROR(VLOOKUP(Data[[#This Row],[DEVELOPMENT]],Ops_Priorities_and_Data_Clean[[development]:[ifnoext_comment]],6,FALSE),"")</f>
        <v>0</v>
      </c>
      <c r="AK136" s="20">
        <f>IFERROR(VLOOKUP(Data[[#This Row],[DEVELOPMENT]],Ops_Priorities_and_Data_Clean[[development]:[ifnoext_comment]],7,FALSE),"")</f>
        <v>1</v>
      </c>
      <c r="AL136" s="20">
        <f>IFERROR(VLOOKUP(Data[[#This Row],[DEVELOPMENT]],Ops_Priorities_and_Data_Clean[[development]:[ifnoext_comment]],8,FALSE),"")</f>
        <v>1</v>
      </c>
      <c r="AM136" s="20">
        <f>IFERROR(VLOOKUP(Data[[#This Row],[DEVELOPMENT]],Ops_Priorities_and_Data_Clean[[development]:[ifnoext_comment]],9,FALSE),"")</f>
        <v>1</v>
      </c>
      <c r="AN136" s="20">
        <f>IFERROR(VLOOKUP(Data[[#This Row],[DEVELOPMENT]],Ops_Priorities_and_Data_Clean[[development]:[ifnoext_comment]],10,FALSE),"")</f>
        <v>0</v>
      </c>
      <c r="AO136" s="20">
        <f>IFERROR(VLOOKUP(Data[[#This Row],[DEVELOPMENT]],Ops_Priorities_and_Data_Clean[[development]:[ifnoext_comment]],11,FALSE),"")</f>
        <v>0</v>
      </c>
      <c r="AP136" s="20">
        <f>IFERROR(VLOOKUP(Data[[#This Row],[DEVELOPMENT]],Ops_Priorities_and_Data_Clean[[development]:[ifnoext_comment]],12,FALSE),"")</f>
        <v>0</v>
      </c>
      <c r="AQ136" s="20">
        <f>VLOOKUP(Data[[#This Row],[DEVELOPMENT]],Ops_Priorities_and_Data_Clean[[development]:[ifnoext_comment]],14,FALSE)</f>
        <v>1</v>
      </c>
      <c r="AR136" s="20">
        <f>VLOOKUP(Data[[#This Row],[DEVELOPMENT]],Ops_Priorities_and_Data_Clean[[development]:[ifnoext_comment]],15,FALSE)</f>
        <v>0</v>
      </c>
      <c r="AS136" s="20" t="str">
        <f>VLOOKUP(Data[[#This Row],[DEVELOPMENT]],Ops_Priorities_and_Data_Clean[[development]:[ifnoext_comment]],16,FALSE)</f>
        <v>NULL</v>
      </c>
      <c r="AT136" s="20" t="str">
        <f>VLOOKUP(Data[[#This Row],[DEVELOPMENT]],Ops_Priorities_and_Data_Clean[[development]:[ifnoext_comment]],17,FALSE)</f>
        <v>NULL</v>
      </c>
      <c r="AU136" s="20" t="str">
        <f>VLOOKUP(Data[[#This Row],[DEVELOPMENT]],Ops_Priorities_and_Data_Clean[[development]:[ifnoext_comment]],18,FALSE)</f>
        <v>TBD</v>
      </c>
      <c r="AV136" s="20" t="str">
        <f>VLOOKUP(Data[[#This Row],[DEVELOPMENT]],Ops_Priorities_and_Data_Clean[[development]:[ifnoext_comment]],19,FALSE)</f>
        <v>left on curb for pickup to Gompers twice a day.  One truck for entire consolidation, all uses</v>
      </c>
      <c r="AW136" s="20" t="str">
        <f>VLOOKUP(Data[[#This Row],[DEVELOPMENT]],Ops_Priorities_and_Data_Clean[[development]:[ifnoext_comment]],20,FALSE)</f>
        <v>NULL</v>
      </c>
      <c r="AX136" s="104" t="s">
        <v>2239</v>
      </c>
      <c r="AY136" s="104" t="s">
        <v>2160</v>
      </c>
      <c r="AZ136" s="20" t="str">
        <f>VLOOKUP(Data[[#This Row],[DEVELOPMENT]],Development_Data_Book[[DEVELOPMENT]:[PRIVATE MANAGEMENT]],8,FALSE)</f>
        <v>FEDERAL</v>
      </c>
      <c r="BA136" s="104" t="s">
        <v>2586</v>
      </c>
      <c r="BB136" s="20">
        <f>VLOOKUP(Data[[#This Row],[DEVELOPMENT]],Development_Data_Book[[DEVELOPMENT]:[PRIVATE MANAGEMENT]],22,FALSE)</f>
        <v>0</v>
      </c>
      <c r="BC136" s="20">
        <f>Data[[#This Row],[Non-Dwelling Buildings]]+Data[[#This Row],[Dwelling Buildings]]</f>
        <v>1</v>
      </c>
      <c r="BD136" s="20">
        <f>VLOOKUP(Data[[#This Row],[DEVELOPMENT]],Development_Data_Book[[DEVELOPMENT]:[PRIVATE MANAGEMENT]],26,FALSE)</f>
        <v>1.03</v>
      </c>
      <c r="BE136" s="106">
        <v>139321</v>
      </c>
      <c r="BF136" s="20">
        <f>VLOOKUP(Data[[#This Row],[DEVELOPMENT]],Development_Data_Book[[DEVELOPMENT]:[PRIVATE MANAGEMENT]],18,FALSE)</f>
        <v>260</v>
      </c>
      <c r="BG13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36" s="104" t="s">
        <v>2607</v>
      </c>
      <c r="BI136" t="s">
        <v>184</v>
      </c>
      <c r="BJ136" s="20">
        <f>VLOOKUP(Data[[#This Row],[DEVELOPMENT]],Development_Data_Book[[DEVELOPMENT]:[PRIVATE MANAGEMENT]],41,FALSE)</f>
        <v>3</v>
      </c>
      <c r="BK136" s="20">
        <f>VLOOKUP(Data[[#This Row],[DEVELOPMENT]],Development_Data_Book[[DEVELOPMENT]:[PRIVATE MANAGEMENT]],42,FALSE)</f>
        <v>7</v>
      </c>
      <c r="BL136" s="20">
        <f>VLOOKUP(Data[[#This Row],[DEVELOPMENT]],Development_Data_Book[[DEVELOPMENT]:[PRIVATE MANAGEMENT]],43,FALSE)</f>
        <v>26</v>
      </c>
      <c r="BM136" s="20">
        <f>VLOOKUP(Data[[#This Row],[DEVELOPMENT]],Development_Data_Book[[DEVELOPMENT]:[PRIVATE MANAGEMENT]],44,FALSE)</f>
        <v>65</v>
      </c>
      <c r="BN136" s="20">
        <f>VLOOKUP(Data[[#This Row],[DEVELOPMENT]],Development_Data_Book[[DEVELOPMENT]:[PRIVATE MANAGEMENT]],45,FALSE)</f>
        <v>1</v>
      </c>
      <c r="BO136" s="20">
        <f>VLOOKUP(Data[[#This Row],[DEVELOPMENT]],Development_Data_Book[[DEVELOPMENT]:[PRIVATE MANAGEMENT]],24,FALSE)</f>
        <v>17</v>
      </c>
    </row>
    <row r="137" spans="1:67">
      <c r="A137" s="17" t="s">
        <v>332</v>
      </c>
      <c r="B137" s="17" t="str">
        <f>VLOOKUP(Data[[#This Row],[DEVELOPMENT]],Development_Data_Book[[DEVELOPMENT]:[BOROUGH]],MATCH("borough",Development_Data_Book[[#Headers],[DEVELOPMENT]:[BOROUGH]],0),FALSE)</f>
        <v>BRONX</v>
      </c>
      <c r="C137" t="e">
        <f>VLOOKUP(Data[[#This Row],[DEVELOPMENT]],'[1]Cheat-Sheet'!$D$2:$Q$341,2,FALSE)</f>
        <v>#N/A</v>
      </c>
      <c r="D13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37">
        <f>VLOOKUP(Data[[#This Row],[DEVELOPMENT]],Development_Data_Book[[DEVELOPMENT]:[BOROUGH]],21,FALSE)</f>
        <v>6</v>
      </c>
      <c r="F137">
        <f>VLOOKUP(Data[[#This Row],[DEVELOPMENT]],Development_Data_Book[[DEVELOPMENT]:[BOROUGH]],23,FALSE)</f>
        <v>6</v>
      </c>
      <c r="G137">
        <f>VLOOKUP(Data[[#This Row],[DEVELOPMENT]],Development_Data_Book[[DEVELOPMENT]:[BOROUGH]],12,FALSE)</f>
        <v>700</v>
      </c>
      <c r="H137" t="s">
        <v>2246</v>
      </c>
      <c r="I137">
        <v>4</v>
      </c>
      <c r="J137">
        <f>IFERROR(VLOOKUP(Data[[#This Row],[DEVELOPMENT]],IntCompactors_MRST[],4,FALSE),0)</f>
        <v>6</v>
      </c>
      <c r="K137" s="20">
        <f>IFERROR(VLOOKUP(Data[[#This Row],[DEVELOPMENT]],ExtCompactors_MRST[],4,FALSE),0)</f>
        <v>2</v>
      </c>
      <c r="L137" s="27">
        <f>IF(Data[[#This Row],['# Interior Compactors MRST]]=0,"",VLOOKUP(Data[[#This Row],[DEVELOPMENT]],IntCompactors_MRST[],5,FALSE))</f>
        <v>43404</v>
      </c>
      <c r="M137" s="28">
        <f>IF(Data[[#This Row],['# Exterior Compactors MRST]]=0,"",VLOOKUP(Data[[#This Row],[DEVELOPMENT]],ExtCompactors_MRST[],5,FALSE))</f>
        <v>36759</v>
      </c>
      <c r="N137">
        <f>Data[[#This Row],['# Interior Compactors MRST]]</f>
        <v>6</v>
      </c>
      <c r="O137" s="20">
        <f>IF(Data[[#This Row],['# Bulk Crushers]]=0,1,0)</f>
        <v>1</v>
      </c>
      <c r="P137" s="20">
        <f>1</f>
        <v>1</v>
      </c>
      <c r="Q137" s="20">
        <f>1</f>
        <v>1</v>
      </c>
      <c r="R137" s="20">
        <f>1</f>
        <v>1</v>
      </c>
      <c r="S137" s="20">
        <f>1</f>
        <v>1</v>
      </c>
      <c r="T137" s="20">
        <f>IF(Data[[#This Row],[Sewershed]]="Newtown Creek",Data[[#This Row],[DUs]],0)</f>
        <v>0</v>
      </c>
      <c r="U13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3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3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37" s="82">
        <f>VLOOKUP(Data[[#This Row],[DEVELOPMENT]],Development_Data_Book[[DEVELOPMENT]:[BOROUGH]],3,FALSE)</f>
        <v>78</v>
      </c>
      <c r="Y137" s="20"/>
      <c r="Z137" s="20">
        <f>IFERROR(VLOOKUP(Data[[#This Row],[TDS]],ExtCompactors_PNA[[Development]:[0]],2,FALSE),0)</f>
        <v>2</v>
      </c>
      <c r="AA137" s="20">
        <f>IFERROR(VLOOKUP(Data[[#This Row],[TDS]],IntCompactors_PNA[[TDS]:[0]],2,FALSE),0)</f>
        <v>6</v>
      </c>
      <c r="AB137" s="20"/>
      <c r="AC137" s="20"/>
      <c r="AD137" s="20">
        <f>IFERROR(VLOOKUP(Data[[#This Row],[TDS]],ExtCompactors_PNA[[Development]:[0]],3,FALSE)+VLOOKUP(Data[[#This Row],[TDS]],ExtCompactors_PNA[[Development]:[0]],6,FALSE),0)</f>
        <v>2</v>
      </c>
      <c r="AE137" s="20">
        <f>IFERROR(VLOOKUP(Data[[#This Row],[TDS]],IntCompactors_PNA[[TDS]:[0]],3,FALSE)+VLOOKUP(Data[[#This Row],[TDS]],IntCompactors_PNA[[TDS]:[0]],6,FALSE),0)</f>
        <v>6</v>
      </c>
      <c r="AF137" s="20" t="e">
        <f>VLOOKUP(Data[[#This Row],[DEVELOPMENT]],[3]Developments!$A$2:$A$312,1,FALSE)</f>
        <v>#N/A</v>
      </c>
      <c r="AG137" s="20">
        <f>IFERROR(VLOOKUP(Data[[#This Row],[DEVELOPMENT]],Ops_Priorities_and_Data_Clean[[development]:[ifnoext_comment]],3,FALSE),"")</f>
        <v>2</v>
      </c>
      <c r="AH137" s="20">
        <f>IFERROR(VLOOKUP(Data[[#This Row],[DEVELOPMENT]],Ops_Priorities_and_Data_Clean[[development]:[ifnoext_comment]],4,FALSE),"")</f>
        <v>0</v>
      </c>
      <c r="AI137" s="20">
        <f>IFERROR(VLOOKUP(Data[[#This Row],[DEVELOPMENT]],Ops_Priorities_and_Data_Clean[[development]:[ifnoext_comment]],5,FALSE),"")</f>
        <v>1</v>
      </c>
      <c r="AJ137" s="20">
        <f>IFERROR(VLOOKUP(Data[[#This Row],[DEVELOPMENT]],Ops_Priorities_and_Data_Clean[[development]:[ifnoext_comment]],6,FALSE),"")</f>
        <v>0</v>
      </c>
      <c r="AK137" s="20">
        <f>IFERROR(VLOOKUP(Data[[#This Row],[DEVELOPMENT]],Ops_Priorities_and_Data_Clean[[development]:[ifnoext_comment]],7,FALSE),"")</f>
        <v>0</v>
      </c>
      <c r="AL137" s="20">
        <f>IFERROR(VLOOKUP(Data[[#This Row],[DEVELOPMENT]],Ops_Priorities_and_Data_Clean[[development]:[ifnoext_comment]],8,FALSE),"")</f>
        <v>1</v>
      </c>
      <c r="AM137" s="20">
        <f>IFERROR(VLOOKUP(Data[[#This Row],[DEVELOPMENT]],Ops_Priorities_and_Data_Clean[[development]:[ifnoext_comment]],9,FALSE),"")</f>
        <v>0</v>
      </c>
      <c r="AN137" s="20">
        <f>IFERROR(VLOOKUP(Data[[#This Row],[DEVELOPMENT]],Ops_Priorities_and_Data_Clean[[development]:[ifnoext_comment]],10,FALSE),"")</f>
        <v>0</v>
      </c>
      <c r="AO137" s="20">
        <f>IFERROR(VLOOKUP(Data[[#This Row],[DEVELOPMENT]],Ops_Priorities_and_Data_Clean[[development]:[ifnoext_comment]],11,FALSE),"")</f>
        <v>2</v>
      </c>
      <c r="AP137" s="20">
        <f>IFERROR(VLOOKUP(Data[[#This Row],[DEVELOPMENT]],Ops_Priorities_and_Data_Clean[[development]:[ifnoext_comment]],12,FALSE),"")</f>
        <v>2</v>
      </c>
      <c r="AQ137" s="20">
        <f>VLOOKUP(Data[[#This Row],[DEVELOPMENT]],Ops_Priorities_and_Data_Clean[[development]:[ifnoext_comment]],14,FALSE)</f>
        <v>0</v>
      </c>
      <c r="AR137" s="20">
        <f>VLOOKUP(Data[[#This Row],[DEVELOPMENT]],Ops_Priorities_and_Data_Clean[[development]:[ifnoext_comment]],15,FALSE)</f>
        <v>1</v>
      </c>
      <c r="AS137" s="20" t="str">
        <f>VLOOKUP(Data[[#This Row],[DEVELOPMENT]],Ops_Priorities_and_Data_Clean[[development]:[ifnoext_comment]],16,FALSE)</f>
        <v>Sedgwick</v>
      </c>
      <c r="AT137" s="20" t="str">
        <f>VLOOKUP(Data[[#This Row],[DEVELOPMENT]],Ops_Priorities_and_Data_Clean[[development]:[ifnoext_comment]],17,FALSE)</f>
        <v>Part of the RAT SLAB initiative. The 2 external Compactos have been removed and being replaced hopefully by November 2019. They are taking the garbage to Sedgwick.</v>
      </c>
      <c r="AU137" s="20" t="str">
        <f>VLOOKUP(Data[[#This Row],[DEVELOPMENT]],Ops_Priorities_and_Data_Clean[[development]:[ifnoext_comment]],18,FALSE)</f>
        <v>No</v>
      </c>
      <c r="AV137" s="20" t="str">
        <f>VLOOKUP(Data[[#This Row],[DEVELOPMENT]],Ops_Priorities_and_Data_Clean[[development]:[ifnoext_comment]],19,FALSE)</f>
        <v>container on-site</v>
      </c>
      <c r="AW137" s="20" t="str">
        <f>VLOOKUP(Data[[#This Row],[DEVELOPMENT]],Ops_Priorities_and_Data_Clean[[development]:[ifnoext_comment]],20,FALSE)</f>
        <v>NULL</v>
      </c>
      <c r="AX137" s="104" t="s">
        <v>2237</v>
      </c>
      <c r="AY137" s="104" t="s">
        <v>2654</v>
      </c>
      <c r="AZ137" s="20" t="str">
        <f>VLOOKUP(Data[[#This Row],[DEVELOPMENT]],Development_Data_Book[[DEVELOPMENT]:[PRIVATE MANAGEMENT]],8,FALSE)</f>
        <v>FEDERAL</v>
      </c>
      <c r="BA137" s="104" t="s">
        <v>2586</v>
      </c>
      <c r="BB137" s="20">
        <f>VLOOKUP(Data[[#This Row],[DEVELOPMENT]],Development_Data_Book[[DEVELOPMENT]:[PRIVATE MANAGEMENT]],22,FALSE)</f>
        <v>0</v>
      </c>
      <c r="BC137" s="20">
        <f>Data[[#This Row],[Non-Dwelling Buildings]]+Data[[#This Row],[Dwelling Buildings]]</f>
        <v>6</v>
      </c>
      <c r="BD137" s="20">
        <f>VLOOKUP(Data[[#This Row],[DEVELOPMENT]],Development_Data_Book[[DEVELOPMENT]:[PRIVATE MANAGEMENT]],26,FALSE)</f>
        <v>11.41</v>
      </c>
      <c r="BE137" s="106">
        <v>635770</v>
      </c>
      <c r="BF137" s="20">
        <f>VLOOKUP(Data[[#This Row],[DEVELOPMENT]],Development_Data_Book[[DEVELOPMENT]:[PRIVATE MANAGEMENT]],18,FALSE)</f>
        <v>1601</v>
      </c>
      <c r="BG13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37" s="104" t="s">
        <v>2631</v>
      </c>
      <c r="BI137" t="s">
        <v>184</v>
      </c>
      <c r="BJ137" s="20">
        <f>VLOOKUP(Data[[#This Row],[DEVELOPMENT]],Development_Data_Book[[DEVELOPMENT]:[PRIVATE MANAGEMENT]],41,FALSE)</f>
        <v>4</v>
      </c>
      <c r="BK137" s="20">
        <f>VLOOKUP(Data[[#This Row],[DEVELOPMENT]],Development_Data_Book[[DEVELOPMENT]:[PRIVATE MANAGEMENT]],42,FALSE)</f>
        <v>15</v>
      </c>
      <c r="BL137" s="20">
        <f>VLOOKUP(Data[[#This Row],[DEVELOPMENT]],Development_Data_Book[[DEVELOPMENT]:[PRIVATE MANAGEMENT]],43,FALSE)</f>
        <v>29</v>
      </c>
      <c r="BM137" s="20">
        <f>VLOOKUP(Data[[#This Row],[DEVELOPMENT]],Development_Data_Book[[DEVELOPMENT]:[PRIVATE MANAGEMENT]],44,FALSE)</f>
        <v>77</v>
      </c>
      <c r="BN137" s="20">
        <f>VLOOKUP(Data[[#This Row],[DEVELOPMENT]],Development_Data_Book[[DEVELOPMENT]:[PRIVATE MANAGEMENT]],45,FALSE)</f>
        <v>16</v>
      </c>
      <c r="BO137" s="20" t="str">
        <f>VLOOKUP(Data[[#This Row],[DEVELOPMENT]],Development_Data_Book[[DEVELOPMENT]:[PRIVATE MANAGEMENT]],24,FALSE)</f>
        <v>13-14</v>
      </c>
    </row>
    <row r="138" spans="1:67">
      <c r="A138" t="s">
        <v>285</v>
      </c>
      <c r="B138" s="20" t="str">
        <f>VLOOKUP(Data[[#This Row],[DEVELOPMENT]],Development_Data_Book[[DEVELOPMENT]:[BOROUGH]],MATCH("borough",Development_Data_Book[[#Headers],[DEVELOPMENT]:[BOROUGH]],0),FALSE)</f>
        <v>BRONX</v>
      </c>
      <c r="C138" s="20" t="e">
        <f>VLOOKUP(Data[[#This Row],[DEVELOPMENT]],'[1]Cheat-Sheet'!$D$2:$Q$341,2,FALSE)</f>
        <v>#N/A</v>
      </c>
      <c r="D13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38" s="20">
        <f>VLOOKUP(Data[[#This Row],[DEVELOPMENT]],Development_Data_Book[[DEVELOPMENT]:[BOROUGH]],21,FALSE)</f>
        <v>1</v>
      </c>
      <c r="F138" s="20">
        <f>VLOOKUP(Data[[#This Row],[DEVELOPMENT]],Development_Data_Book[[DEVELOPMENT]:[BOROUGH]],23,FALSE)</f>
        <v>1</v>
      </c>
      <c r="G138" s="20">
        <f>VLOOKUP(Data[[#This Row],[DEVELOPMENT]],Development_Data_Book[[DEVELOPMENT]:[BOROUGH]],12,FALSE)</f>
        <v>65</v>
      </c>
      <c r="J138">
        <f>IFERROR(VLOOKUP(Data[[#This Row],[DEVELOPMENT]],IntCompactors_MRST[],4,FALSE),0)</f>
        <v>0</v>
      </c>
      <c r="K138" s="20">
        <f>IFERROR(VLOOKUP(Data[[#This Row],[DEVELOPMENT]],ExtCompactors_MRST[],4,FALSE),0)</f>
        <v>0</v>
      </c>
      <c r="L138" s="27" t="str">
        <f>IF(Data[[#This Row],['# Interior Compactors MRST]]=0,"",VLOOKUP(Data[[#This Row],[DEVELOPMENT]],IntCompactors_MRST[],5,FALSE))</f>
        <v/>
      </c>
      <c r="M138" s="28" t="str">
        <f>IF(Data[[#This Row],['# Exterior Compactors MRST]]=0,"",VLOOKUP(Data[[#This Row],[DEVELOPMENT]],ExtCompactors_MRST[],5,FALSE))</f>
        <v/>
      </c>
      <c r="N138" s="20">
        <f>Data[[#This Row],['# Interior Compactors MRST]]</f>
        <v>0</v>
      </c>
      <c r="O138" s="20">
        <f>IF(Data[[#This Row],['# Bulk Crushers]]=0,1,0)</f>
        <v>1</v>
      </c>
      <c r="P138" s="20">
        <f>1</f>
        <v>1</v>
      </c>
      <c r="Q138" s="20">
        <f>1</f>
        <v>1</v>
      </c>
      <c r="R138" s="20">
        <f>1</f>
        <v>1</v>
      </c>
      <c r="S138" s="20">
        <f>1</f>
        <v>1</v>
      </c>
      <c r="T138" s="20">
        <f>IF(Data[[#This Row],[Sewershed]]="Newtown Creek",Data[[#This Row],[DUs]],0)</f>
        <v>0</v>
      </c>
      <c r="U13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3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3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38" s="82">
        <f>VLOOKUP(Data[[#This Row],[DEVELOPMENT]],Development_Data_Book[[DEVELOPMENT]:[BOROUGH]],3,FALSE)</f>
        <v>215</v>
      </c>
      <c r="Y138" s="20"/>
      <c r="Z138" s="20">
        <f>IFERROR(VLOOKUP(Data[[#This Row],[TDS]],ExtCompactors_PNA[[Development]:[0]],2,FALSE),0)</f>
        <v>0</v>
      </c>
      <c r="AA138" s="20">
        <f>IFERROR(VLOOKUP(Data[[#This Row],[TDS]],IntCompactors_PNA[[TDS]:[0]],2,FALSE),0)</f>
        <v>1</v>
      </c>
      <c r="AB138" s="20"/>
      <c r="AC138" s="20"/>
      <c r="AD138" s="20">
        <f>IFERROR(VLOOKUP(Data[[#This Row],[TDS]],ExtCompactors_PNA[[Development]:[0]],3,FALSE)+VLOOKUP(Data[[#This Row],[TDS]],ExtCompactors_PNA[[Development]:[0]],6,FALSE),0)</f>
        <v>0</v>
      </c>
      <c r="AE138" s="20">
        <f>IFERROR(VLOOKUP(Data[[#This Row],[TDS]],IntCompactors_PNA[[TDS]:[0]],3,FALSE)+VLOOKUP(Data[[#This Row],[TDS]],IntCompactors_PNA[[TDS]:[0]],6,FALSE),0)</f>
        <v>1</v>
      </c>
      <c r="AF138" s="20" t="e">
        <f>VLOOKUP(Data[[#This Row],[DEVELOPMENT]],[3]Developments!$A$2:$A$312,1,FALSE)</f>
        <v>#N/A</v>
      </c>
      <c r="AG138" s="20">
        <f>IFERROR(VLOOKUP(Data[[#This Row],[DEVELOPMENT]],Ops_Priorities_and_Data_Clean[[development]:[ifnoext_comment]],3,FALSE),"")</f>
        <v>0</v>
      </c>
      <c r="AH138" s="20">
        <f>IFERROR(VLOOKUP(Data[[#This Row],[DEVELOPMENT]],Ops_Priorities_and_Data_Clean[[development]:[ifnoext_comment]],4,FALSE),"")</f>
        <v>4</v>
      </c>
      <c r="AI138" s="20">
        <f>IFERROR(VLOOKUP(Data[[#This Row],[DEVELOPMENT]],Ops_Priorities_and_Data_Clean[[development]:[ifnoext_comment]],5,FALSE),"")</f>
        <v>0</v>
      </c>
      <c r="AJ138" s="20">
        <f>IFERROR(VLOOKUP(Data[[#This Row],[DEVELOPMENT]],Ops_Priorities_and_Data_Clean[[development]:[ifnoext_comment]],6,FALSE),"")</f>
        <v>0</v>
      </c>
      <c r="AK138" s="20">
        <f>IFERROR(VLOOKUP(Data[[#This Row],[DEVELOPMENT]],Ops_Priorities_and_Data_Clean[[development]:[ifnoext_comment]],7,FALSE),"")</f>
        <v>1</v>
      </c>
      <c r="AL138" s="20">
        <f>IFERROR(VLOOKUP(Data[[#This Row],[DEVELOPMENT]],Ops_Priorities_and_Data_Clean[[development]:[ifnoext_comment]],8,FALSE),"")</f>
        <v>1</v>
      </c>
      <c r="AM138" s="20">
        <f>IFERROR(VLOOKUP(Data[[#This Row],[DEVELOPMENT]],Ops_Priorities_and_Data_Clean[[development]:[ifnoext_comment]],9,FALSE),"")</f>
        <v>0</v>
      </c>
      <c r="AN138" s="20">
        <f>IFERROR(VLOOKUP(Data[[#This Row],[DEVELOPMENT]],Ops_Priorities_and_Data_Clean[[development]:[ifnoext_comment]],10,FALSE),"")</f>
        <v>0</v>
      </c>
      <c r="AO138" s="20">
        <f>IFERROR(VLOOKUP(Data[[#This Row],[DEVELOPMENT]],Ops_Priorities_and_Data_Clean[[development]:[ifnoext_comment]],11,FALSE),"")</f>
        <v>0</v>
      </c>
      <c r="AP138" s="20">
        <f>IFERROR(VLOOKUP(Data[[#This Row],[DEVELOPMENT]],Ops_Priorities_and_Data_Clean[[development]:[ifnoext_comment]],12,FALSE),"")</f>
        <v>0</v>
      </c>
      <c r="AQ138" s="20">
        <f>VLOOKUP(Data[[#This Row],[DEVELOPMENT]],Ops_Priorities_and_Data_Clean[[development]:[ifnoext_comment]],14,FALSE)</f>
        <v>1</v>
      </c>
      <c r="AR138" s="20">
        <f>VLOOKUP(Data[[#This Row],[DEVELOPMENT]],Ops_Priorities_and_Data_Clean[[development]:[ifnoext_comment]],15,FALSE)</f>
        <v>0</v>
      </c>
      <c r="AS138" s="20" t="str">
        <f>VLOOKUP(Data[[#This Row],[DEVELOPMENT]],Ops_Priorities_and_Data_Clean[[development]:[ifnoext_comment]],16,FALSE)</f>
        <v>NULL</v>
      </c>
      <c r="AT138" s="20" t="str">
        <f>VLOOKUP(Data[[#This Row],[DEVELOPMENT]],Ops_Priorities_and_Data_Clean[[development]:[ifnoext_comment]],17,FALSE)</f>
        <v>NULL</v>
      </c>
      <c r="AU138" s="20" t="str">
        <f>VLOOKUP(Data[[#This Row],[DEVELOPMENT]],Ops_Priorities_and_Data_Clean[[development]:[ifnoext_comment]],18,FALSE)</f>
        <v>NULL</v>
      </c>
      <c r="AV138" s="20" t="str">
        <f>VLOOKUP(Data[[#This Row],[DEVELOPMENT]],Ops_Priorities_and_Data_Clean[[development]:[ifnoext_comment]],19,FALSE)</f>
        <v>NULL</v>
      </c>
      <c r="AW138" s="20" t="str">
        <f>VLOOKUP(Data[[#This Row],[DEVELOPMENT]],Ops_Priorities_and_Data_Clean[[development]:[ifnoext_comment]],20,FALSE)</f>
        <v>There's a parking lot in back but there's not enough room in the alleyway for the truck to go through</v>
      </c>
      <c r="AX138" s="104" t="s">
        <v>2596</v>
      </c>
      <c r="AY138" s="104" t="s">
        <v>2630</v>
      </c>
      <c r="AZ138" s="20" t="str">
        <f>VLOOKUP(Data[[#This Row],[DEVELOPMENT]],Development_Data_Book[[DEVELOPMENT]:[PRIVATE MANAGEMENT]],8,FALSE)</f>
        <v>FEDERAL</v>
      </c>
      <c r="BA138" s="104" t="s">
        <v>2586</v>
      </c>
      <c r="BB138" s="20">
        <f>VLOOKUP(Data[[#This Row],[DEVELOPMENT]],Development_Data_Book[[DEVELOPMENT]:[PRIVATE MANAGEMENT]],22,FALSE)</f>
        <v>0</v>
      </c>
      <c r="BC138" s="20">
        <f>Data[[#This Row],[Non-Dwelling Buildings]]+Data[[#This Row],[Dwelling Buildings]]</f>
        <v>1</v>
      </c>
      <c r="BD138" s="20">
        <f>VLOOKUP(Data[[#This Row],[DEVELOPMENT]],Development_Data_Book[[DEVELOPMENT]:[PRIVATE MANAGEMENT]],26,FALSE)</f>
        <v>0.51</v>
      </c>
      <c r="BE138" s="106">
        <v>59000</v>
      </c>
      <c r="BF138" s="20">
        <f>VLOOKUP(Data[[#This Row],[DEVELOPMENT]],Development_Data_Book[[DEVELOPMENT]:[PRIVATE MANAGEMENT]],18,FALSE)</f>
        <v>144</v>
      </c>
      <c r="BG13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38" s="104" t="s">
        <v>2631</v>
      </c>
      <c r="BI138" t="s">
        <v>184</v>
      </c>
      <c r="BJ138" s="20">
        <f>VLOOKUP(Data[[#This Row],[DEVELOPMENT]],Development_Data_Book[[DEVELOPMENT]:[PRIVATE MANAGEMENT]],41,FALSE)</f>
        <v>3</v>
      </c>
      <c r="BK138" s="20">
        <f>VLOOKUP(Data[[#This Row],[DEVELOPMENT]],Development_Data_Book[[DEVELOPMENT]:[PRIVATE MANAGEMENT]],42,FALSE)</f>
        <v>15</v>
      </c>
      <c r="BL138" s="20">
        <f>VLOOKUP(Data[[#This Row],[DEVELOPMENT]],Development_Data_Book[[DEVELOPMENT]:[PRIVATE MANAGEMENT]],43,FALSE)</f>
        <v>32</v>
      </c>
      <c r="BM138" s="20">
        <f>VLOOKUP(Data[[#This Row],[DEVELOPMENT]],Development_Data_Book[[DEVELOPMENT]:[PRIVATE MANAGEMENT]],44,FALSE)</f>
        <v>79</v>
      </c>
      <c r="BN138" s="20">
        <f>VLOOKUP(Data[[#This Row],[DEVELOPMENT]],Development_Data_Book[[DEVELOPMENT]:[PRIVATE MANAGEMENT]],45,FALSE)</f>
        <v>17</v>
      </c>
      <c r="BO138" s="20">
        <f>VLOOKUP(Data[[#This Row],[DEVELOPMENT]],Development_Data_Book[[DEVELOPMENT]:[PRIVATE MANAGEMENT]],24,FALSE)</f>
        <v>6</v>
      </c>
    </row>
    <row r="139" spans="1:67">
      <c r="A139" t="s">
        <v>333</v>
      </c>
      <c r="B139" s="20" t="str">
        <f>VLOOKUP(Data[[#This Row],[DEVELOPMENT]],Development_Data_Book[[DEVELOPMENT]:[BOROUGH]],MATCH("borough",Development_Data_Book[[#Headers],[DEVELOPMENT]:[BOROUGH]],0),FALSE)</f>
        <v>MANHATTAN</v>
      </c>
      <c r="C139" s="20" t="e">
        <f>VLOOKUP(Data[[#This Row],[DEVELOPMENT]],'[1]Cheat-Sheet'!$D$2:$Q$341,2,FALSE)</f>
        <v>#N/A</v>
      </c>
      <c r="D13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39" s="20">
        <f>VLOOKUP(Data[[#This Row],[DEVELOPMENT]],Development_Data_Book[[DEVELOPMENT]:[BOROUGH]],21,FALSE)</f>
        <v>2</v>
      </c>
      <c r="F139" s="20">
        <f>VLOOKUP(Data[[#This Row],[DEVELOPMENT]],Development_Data_Book[[DEVELOPMENT]:[BOROUGH]],23,FALSE)</f>
        <v>2</v>
      </c>
      <c r="G139" s="20">
        <f>VLOOKUP(Data[[#This Row],[DEVELOPMENT]],Development_Data_Book[[DEVELOPMENT]:[BOROUGH]],12,FALSE)</f>
        <v>536</v>
      </c>
      <c r="J139">
        <f>IFERROR(VLOOKUP(Data[[#This Row],[DEVELOPMENT]],IntCompactors_MRST[],4,FALSE),0)</f>
        <v>2</v>
      </c>
      <c r="K139" s="20">
        <f>IFERROR(VLOOKUP(Data[[#This Row],[DEVELOPMENT]],ExtCompactors_MRST[],4,FALSE),0)</f>
        <v>0</v>
      </c>
      <c r="L139" s="27">
        <f>IF(Data[[#This Row],['# Interior Compactors MRST]]=0,"",VLOOKUP(Data[[#This Row],[DEVELOPMENT]],IntCompactors_MRST[],5,FALSE))</f>
        <v>37410</v>
      </c>
      <c r="M139" s="28" t="str">
        <f>IF(Data[[#This Row],['# Exterior Compactors MRST]]=0,"",VLOOKUP(Data[[#This Row],[DEVELOPMENT]],ExtCompactors_MRST[],5,FALSE))</f>
        <v/>
      </c>
      <c r="N139" s="20">
        <f>Data[[#This Row],['# Interior Compactors MRST]]</f>
        <v>2</v>
      </c>
      <c r="O139" s="20">
        <f>IF(Data[[#This Row],['# Bulk Crushers]]=0,1,0)</f>
        <v>1</v>
      </c>
      <c r="P139" s="20">
        <f>1</f>
        <v>1</v>
      </c>
      <c r="Q139" s="20">
        <f>1</f>
        <v>1</v>
      </c>
      <c r="R139" s="20">
        <f>1</f>
        <v>1</v>
      </c>
      <c r="S139" s="20">
        <f>1</f>
        <v>1</v>
      </c>
      <c r="T139" s="20">
        <f>IF(Data[[#This Row],[Sewershed]]="Newtown Creek",Data[[#This Row],[DUs]],0)</f>
        <v>0</v>
      </c>
      <c r="U13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3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3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39" s="82">
        <f>VLOOKUP(Data[[#This Row],[DEVELOPMENT]],Development_Data_Book[[DEVELOPMENT]:[BOROUGH]],3,FALSE)</f>
        <v>159</v>
      </c>
      <c r="Y139" s="20"/>
      <c r="Z139" s="20">
        <f>IFERROR(VLOOKUP(Data[[#This Row],[TDS]],ExtCompactors_PNA[[Development]:[0]],2,FALSE),0)</f>
        <v>0</v>
      </c>
      <c r="AA139" s="20">
        <f>IFERROR(VLOOKUP(Data[[#This Row],[TDS]],IntCompactors_PNA[[TDS]:[0]],2,FALSE),0)</f>
        <v>2</v>
      </c>
      <c r="AB139" s="20"/>
      <c r="AC139" s="20"/>
      <c r="AD139" s="20">
        <f>IFERROR(VLOOKUP(Data[[#This Row],[TDS]],ExtCompactors_PNA[[Development]:[0]],3,FALSE)+VLOOKUP(Data[[#This Row],[TDS]],ExtCompactors_PNA[[Development]:[0]],6,FALSE),0)</f>
        <v>0</v>
      </c>
      <c r="AE139" s="20">
        <f>IFERROR(VLOOKUP(Data[[#This Row],[TDS]],IntCompactors_PNA[[TDS]:[0]],3,FALSE)+VLOOKUP(Data[[#This Row],[TDS]],IntCompactors_PNA[[TDS]:[0]],6,FALSE),0)</f>
        <v>2</v>
      </c>
      <c r="AF139" s="20" t="e">
        <f>VLOOKUP(Data[[#This Row],[DEVELOPMENT]],[3]Developments!$A$2:$A$312,1,FALSE)</f>
        <v>#N/A</v>
      </c>
      <c r="AG139" s="20">
        <f>IFERROR(VLOOKUP(Data[[#This Row],[DEVELOPMENT]],Ops_Priorities_and_Data_Clean[[development]:[ifnoext_comment]],3,FALSE),"")</f>
        <v>0</v>
      </c>
      <c r="AH139" s="20">
        <f>IFERROR(VLOOKUP(Data[[#This Row],[DEVELOPMENT]],Ops_Priorities_and_Data_Clean[[development]:[ifnoext_comment]],4,FALSE),"")</f>
        <v>0</v>
      </c>
      <c r="AI139" s="20">
        <f>IFERROR(VLOOKUP(Data[[#This Row],[DEVELOPMENT]],Ops_Priorities_and_Data_Clean[[development]:[ifnoext_comment]],5,FALSE),"")</f>
        <v>0</v>
      </c>
      <c r="AJ139" s="20">
        <f>IFERROR(VLOOKUP(Data[[#This Row],[DEVELOPMENT]],Ops_Priorities_and_Data_Clean[[development]:[ifnoext_comment]],6,FALSE),"")</f>
        <v>1</v>
      </c>
      <c r="AK139" s="20">
        <f>IFERROR(VLOOKUP(Data[[#This Row],[DEVELOPMENT]],Ops_Priorities_and_Data_Clean[[development]:[ifnoext_comment]],7,FALSE),"")</f>
        <v>0</v>
      </c>
      <c r="AL139" s="20">
        <f>IFERROR(VLOOKUP(Data[[#This Row],[DEVELOPMENT]],Ops_Priorities_and_Data_Clean[[development]:[ifnoext_comment]],8,FALSE),"")</f>
        <v>1</v>
      </c>
      <c r="AM139" s="20">
        <f>IFERROR(VLOOKUP(Data[[#This Row],[DEVELOPMENT]],Ops_Priorities_and_Data_Clean[[development]:[ifnoext_comment]],9,FALSE),"")</f>
        <v>1</v>
      </c>
      <c r="AN139" s="20">
        <f>IFERROR(VLOOKUP(Data[[#This Row],[DEVELOPMENT]],Ops_Priorities_and_Data_Clean[[development]:[ifnoext_comment]],10,FALSE),"")</f>
        <v>0</v>
      </c>
      <c r="AO139" s="20">
        <f>IFERROR(VLOOKUP(Data[[#This Row],[DEVELOPMENT]],Ops_Priorities_and_Data_Clean[[development]:[ifnoext_comment]],11,FALSE),"")</f>
        <v>0</v>
      </c>
      <c r="AP139" s="20">
        <f>IFERROR(VLOOKUP(Data[[#This Row],[DEVELOPMENT]],Ops_Priorities_and_Data_Clean[[development]:[ifnoext_comment]],12,FALSE),"")</f>
        <v>0</v>
      </c>
      <c r="AQ139" s="20">
        <f>VLOOKUP(Data[[#This Row],[DEVELOPMENT]],Ops_Priorities_and_Data_Clean[[development]:[ifnoext_comment]],14,FALSE)</f>
        <v>0</v>
      </c>
      <c r="AR139" s="20">
        <f>VLOOKUP(Data[[#This Row],[DEVELOPMENT]],Ops_Priorities_and_Data_Clean[[development]:[ifnoext_comment]],15,FALSE)</f>
        <v>1</v>
      </c>
      <c r="AS139" s="20" t="str">
        <f>VLOOKUP(Data[[#This Row],[DEVELOPMENT]],Ops_Priorities_and_Data_Clean[[development]:[ifnoext_comment]],16,FALSE)</f>
        <v>Isaacs</v>
      </c>
      <c r="AT139" s="20" t="str">
        <f>VLOOKUP(Data[[#This Row],[DEVELOPMENT]],Ops_Priorities_and_Data_Clean[[development]:[ifnoext_comment]],17,FALSE)</f>
        <v>NULL</v>
      </c>
      <c r="AU139" s="20" t="str">
        <f>VLOOKUP(Data[[#This Row],[DEVELOPMENT]],Ops_Priorities_and_Data_Clean[[development]:[ifnoext_comment]],18,FALSE)</f>
        <v>NULL</v>
      </c>
      <c r="AV139" s="20" t="str">
        <f>VLOOKUP(Data[[#This Row],[DEVELOPMENT]],Ops_Priorities_and_Data_Clean[[development]:[ifnoext_comment]],19,FALSE)</f>
        <v>NULL</v>
      </c>
      <c r="AW139" s="20" t="str">
        <f>VLOOKUP(Data[[#This Row],[DEVELOPMENT]],Ops_Priorities_and_Data_Clean[[development]:[ifnoext_comment]],20,FALSE)</f>
        <v>NULL</v>
      </c>
      <c r="AX139" s="104" t="s">
        <v>2239</v>
      </c>
      <c r="AY139" s="104" t="s">
        <v>2655</v>
      </c>
      <c r="AZ139" s="20" t="str">
        <f>VLOOKUP(Data[[#This Row],[DEVELOPMENT]],Development_Data_Book[[DEVELOPMENT]:[PRIVATE MANAGEMENT]],8,FALSE)</f>
        <v>FEDERAL</v>
      </c>
      <c r="BA139" s="104" t="s">
        <v>2586</v>
      </c>
      <c r="BB139" s="20">
        <f>VLOOKUP(Data[[#This Row],[DEVELOPMENT]],Development_Data_Book[[DEVELOPMENT]:[PRIVATE MANAGEMENT]],22,FALSE)</f>
        <v>0</v>
      </c>
      <c r="BC139" s="20">
        <f>Data[[#This Row],[Non-Dwelling Buildings]]+Data[[#This Row],[Dwelling Buildings]]</f>
        <v>2</v>
      </c>
      <c r="BD139" s="20">
        <f>VLOOKUP(Data[[#This Row],[DEVELOPMENT]],Development_Data_Book[[DEVELOPMENT]:[PRIVATE MANAGEMENT]],26,FALSE)</f>
        <v>2.81</v>
      </c>
      <c r="BE139" s="106">
        <v>387500</v>
      </c>
      <c r="BF139" s="20">
        <f>VLOOKUP(Data[[#This Row],[DEVELOPMENT]],Development_Data_Book[[DEVELOPMENT]:[PRIVATE MANAGEMENT]],18,FALSE)</f>
        <v>941</v>
      </c>
      <c r="BG13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39" s="104" t="s">
        <v>2604</v>
      </c>
      <c r="BI139" t="s">
        <v>184</v>
      </c>
      <c r="BJ139" s="20">
        <f>VLOOKUP(Data[[#This Row],[DEVELOPMENT]],Development_Data_Book[[DEVELOPMENT]:[PRIVATE MANAGEMENT]],41,FALSE)</f>
        <v>8</v>
      </c>
      <c r="BK139" s="20">
        <f>VLOOKUP(Data[[#This Row],[DEVELOPMENT]],Development_Data_Book[[DEVELOPMENT]:[PRIVATE MANAGEMENT]],42,FALSE)</f>
        <v>12</v>
      </c>
      <c r="BL139" s="20">
        <f>VLOOKUP(Data[[#This Row],[DEVELOPMENT]],Development_Data_Book[[DEVELOPMENT]:[PRIVATE MANAGEMENT]],43,FALSE)</f>
        <v>28</v>
      </c>
      <c r="BM139" s="20">
        <f>VLOOKUP(Data[[#This Row],[DEVELOPMENT]],Development_Data_Book[[DEVELOPMENT]:[PRIVATE MANAGEMENT]],44,FALSE)</f>
        <v>68</v>
      </c>
      <c r="BN139" s="20">
        <f>VLOOKUP(Data[[#This Row],[DEVELOPMENT]],Development_Data_Book[[DEVELOPMENT]:[PRIVATE MANAGEMENT]],45,FALSE)</f>
        <v>5</v>
      </c>
      <c r="BO139" s="20">
        <f>VLOOKUP(Data[[#This Row],[DEVELOPMENT]],Development_Data_Book[[DEVELOPMENT]:[PRIVATE MANAGEMENT]],24,FALSE)</f>
        <v>25</v>
      </c>
    </row>
    <row r="140" spans="1:67">
      <c r="A140" t="s">
        <v>857</v>
      </c>
      <c r="B140" s="20" t="str">
        <f>VLOOKUP(Data[[#This Row],[DEVELOPMENT]],Development_Data_Book[[DEVELOPMENT]:[BOROUGH]],MATCH("borough",Development_Data_Book[[#Headers],[DEVELOPMENT]:[BOROUGH]],0),FALSE)</f>
        <v>BROOKLYN</v>
      </c>
      <c r="C140" s="20" t="e">
        <f>VLOOKUP(Data[[#This Row],[DEVELOPMENT]],'[1]Cheat-Sheet'!$D$2:$Q$341,2,FALSE)</f>
        <v>#N/A</v>
      </c>
      <c r="D140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140" s="20">
        <f>VLOOKUP(Data[[#This Row],[DEVELOPMENT]],Development_Data_Book[[DEVELOPMENT]:[BOROUGH]],21,FALSE)</f>
        <v>4</v>
      </c>
      <c r="F140" s="20">
        <f>VLOOKUP(Data[[#This Row],[DEVELOPMENT]],Development_Data_Book[[DEVELOPMENT]:[BOROUGH]],23,FALSE)</f>
        <v>4</v>
      </c>
      <c r="G140" s="20">
        <f>VLOOKUP(Data[[#This Row],[DEVELOPMENT]],Development_Data_Book[[DEVELOPMENT]:[BOROUGH]],12,FALSE)</f>
        <v>323</v>
      </c>
      <c r="H140" t="s">
        <v>2246</v>
      </c>
      <c r="J140">
        <f>IFERROR(VLOOKUP(Data[[#This Row],[DEVELOPMENT]],IntCompactors_MRST[],4,FALSE),0)</f>
        <v>4</v>
      </c>
      <c r="K140" s="20">
        <f>IFERROR(VLOOKUP(Data[[#This Row],[DEVELOPMENT]],ExtCompactors_MRST[],4,FALSE),0)</f>
        <v>4</v>
      </c>
      <c r="L140" s="27">
        <f>IF(Data[[#This Row],['# Interior Compactors MRST]]=0,"",VLOOKUP(Data[[#This Row],[DEVELOPMENT]],IntCompactors_MRST[],5,FALSE))</f>
        <v>35309</v>
      </c>
      <c r="M140" s="28">
        <f>IF(Data[[#This Row],['# Exterior Compactors MRST]]=0,"",VLOOKUP(Data[[#This Row],[DEVELOPMENT]],ExtCompactors_MRST[],5,FALSE))</f>
        <v>38542</v>
      </c>
      <c r="N140" s="20">
        <f>Data[[#This Row],['# Interior Compactors MRST]]</f>
        <v>4</v>
      </c>
      <c r="O140" s="20">
        <f>IF(Data[[#This Row],['# Bulk Crushers]]=0,1,0)</f>
        <v>1</v>
      </c>
      <c r="P140" s="20">
        <f>1</f>
        <v>1</v>
      </c>
      <c r="Q140" s="20">
        <f>1</f>
        <v>1</v>
      </c>
      <c r="R140" s="20">
        <f>1</f>
        <v>1</v>
      </c>
      <c r="S140" s="20">
        <f>1</f>
        <v>1</v>
      </c>
      <c r="T140" s="20">
        <f>IF(Data[[#This Row],[Sewershed]]="Newtown Creek",Data[[#This Row],[DUs]],0)</f>
        <v>323</v>
      </c>
      <c r="U14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4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4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40" s="82">
        <f>VLOOKUP(Data[[#This Row],[DEVELOPMENT]],Development_Data_Book[[DEVELOPMENT]:[BOROUGH]],3,FALSE)</f>
        <v>247</v>
      </c>
      <c r="Y140" s="20" t="s">
        <v>2599</v>
      </c>
      <c r="Z140" s="20">
        <f>IFERROR(VLOOKUP(Data[[#This Row],[TDS]],ExtCompactors_PNA[[Development]:[0]],2,FALSE),0)</f>
        <v>0</v>
      </c>
      <c r="AA140" s="20">
        <f>IFERROR(VLOOKUP(Data[[#This Row],[TDS]],IntCompactors_PNA[[TDS]:[0]],2,FALSE),0)</f>
        <v>4</v>
      </c>
      <c r="AB140" s="20"/>
      <c r="AC140" s="20"/>
      <c r="AD140" s="20">
        <f>IFERROR(VLOOKUP(Data[[#This Row],[TDS]],ExtCompactors_PNA[[Development]:[0]],3,FALSE)+VLOOKUP(Data[[#This Row],[TDS]],ExtCompactors_PNA[[Development]:[0]],6,FALSE),0)</f>
        <v>0</v>
      </c>
      <c r="AE140" s="20">
        <f>IFERROR(VLOOKUP(Data[[#This Row],[TDS]],IntCompactors_PNA[[TDS]:[0]],3,FALSE)+VLOOKUP(Data[[#This Row],[TDS]],IntCompactors_PNA[[TDS]:[0]],6,FALSE),0)</f>
        <v>4</v>
      </c>
      <c r="AF140" s="20" t="e">
        <f>VLOOKUP(Data[[#This Row],[DEVELOPMENT]],[3]Developments!$A$2:$A$312,1,FALSE)</f>
        <v>#N/A</v>
      </c>
      <c r="AG140" s="20" t="str">
        <f>IFERROR(VLOOKUP(Data[[#This Row],[DEVELOPMENT]],Ops_Priorities_and_Data_Clean[[development]:[ifnoext_comment]],3,FALSE),"")</f>
        <v/>
      </c>
      <c r="AH140" s="20" t="str">
        <f>IFERROR(VLOOKUP(Data[[#This Row],[DEVELOPMENT]],Ops_Priorities_and_Data_Clean[[development]:[ifnoext_comment]],4,FALSE),"")</f>
        <v/>
      </c>
      <c r="AI140" s="20" t="str">
        <f>IFERROR(VLOOKUP(Data[[#This Row],[DEVELOPMENT]],Ops_Priorities_and_Data_Clean[[development]:[ifnoext_comment]],5,FALSE),"")</f>
        <v/>
      </c>
      <c r="AJ140" s="20" t="str">
        <f>IFERROR(VLOOKUP(Data[[#This Row],[DEVELOPMENT]],Ops_Priorities_and_Data_Clean[[development]:[ifnoext_comment]],6,FALSE),"")</f>
        <v/>
      </c>
      <c r="AK140" s="20" t="str">
        <f>IFERROR(VLOOKUP(Data[[#This Row],[DEVELOPMENT]],Ops_Priorities_and_Data_Clean[[development]:[ifnoext_comment]],7,FALSE),"")</f>
        <v/>
      </c>
      <c r="AL140" s="20" t="str">
        <f>IFERROR(VLOOKUP(Data[[#This Row],[DEVELOPMENT]],Ops_Priorities_and_Data_Clean[[development]:[ifnoext_comment]],8,FALSE),"")</f>
        <v/>
      </c>
      <c r="AM140" s="20" t="str">
        <f>IFERROR(VLOOKUP(Data[[#This Row],[DEVELOPMENT]],Ops_Priorities_and_Data_Clean[[development]:[ifnoext_comment]],9,FALSE),"")</f>
        <v/>
      </c>
      <c r="AN140" s="20" t="str">
        <f>IFERROR(VLOOKUP(Data[[#This Row],[DEVELOPMENT]],Ops_Priorities_and_Data_Clean[[development]:[ifnoext_comment]],10,FALSE),"")</f>
        <v/>
      </c>
      <c r="AO140" s="20" t="str">
        <f>IFERROR(VLOOKUP(Data[[#This Row],[DEVELOPMENT]],Ops_Priorities_and_Data_Clean[[development]:[ifnoext_comment]],11,FALSE),"")</f>
        <v/>
      </c>
      <c r="AP140" s="20" t="str">
        <f>IFERROR(VLOOKUP(Data[[#This Row],[DEVELOPMENT]],Ops_Priorities_and_Data_Clean[[development]:[ifnoext_comment]],12,FALSE),"")</f>
        <v/>
      </c>
      <c r="AQ140" s="20" t="e">
        <f>VLOOKUP(Data[[#This Row],[DEVELOPMENT]],Ops_Priorities_and_Data_Clean[[development]:[ifnoext_comment]],14,FALSE)</f>
        <v>#N/A</v>
      </c>
      <c r="AR140" s="20" t="e">
        <f>VLOOKUP(Data[[#This Row],[DEVELOPMENT]],Ops_Priorities_and_Data_Clean[[development]:[ifnoext_comment]],15,FALSE)</f>
        <v>#N/A</v>
      </c>
      <c r="AS140" s="20" t="e">
        <f>VLOOKUP(Data[[#This Row],[DEVELOPMENT]],Ops_Priorities_and_Data_Clean[[development]:[ifnoext_comment]],16,FALSE)</f>
        <v>#N/A</v>
      </c>
      <c r="AT140" s="20" t="e">
        <f>VLOOKUP(Data[[#This Row],[DEVELOPMENT]],Ops_Priorities_and_Data_Clean[[development]:[ifnoext_comment]],17,FALSE)</f>
        <v>#N/A</v>
      </c>
      <c r="AU140" s="20" t="e">
        <f>VLOOKUP(Data[[#This Row],[DEVELOPMENT]],Ops_Priorities_and_Data_Clean[[development]:[ifnoext_comment]],18,FALSE)</f>
        <v>#N/A</v>
      </c>
      <c r="AV140" s="20" t="e">
        <f>VLOOKUP(Data[[#This Row],[DEVELOPMENT]],Ops_Priorities_and_Data_Clean[[development]:[ifnoext_comment]],19,FALSE)</f>
        <v>#N/A</v>
      </c>
      <c r="AW140" s="20" t="e">
        <f>VLOOKUP(Data[[#This Row],[DEVELOPMENT]],Ops_Priorities_and_Data_Clean[[development]:[ifnoext_comment]],20,FALSE)</f>
        <v>#N/A</v>
      </c>
      <c r="AX140" s="20"/>
      <c r="AY140" s="20"/>
      <c r="AZ140" s="20" t="str">
        <f>VLOOKUP(Data[[#This Row],[DEVELOPMENT]],Development_Data_Book[[DEVELOPMENT]:[PRIVATE MANAGEMENT]],8,FALSE)</f>
        <v>FEDERAL</v>
      </c>
      <c r="BA140" s="20"/>
      <c r="BB140" s="20">
        <f>VLOOKUP(Data[[#This Row],[DEVELOPMENT]],Development_Data_Book[[DEVELOPMENT]:[PRIVATE MANAGEMENT]],22,FALSE)</f>
        <v>1</v>
      </c>
      <c r="BC140" s="20">
        <f>Data[[#This Row],[Non-Dwelling Buildings]]+Data[[#This Row],[Dwelling Buildings]]</f>
        <v>5</v>
      </c>
      <c r="BD140" s="20">
        <f>VLOOKUP(Data[[#This Row],[DEVELOPMENT]],Development_Data_Book[[DEVELOPMENT]:[PRIVATE MANAGEMENT]],26,FALSE)</f>
        <v>4.6500000000000004</v>
      </c>
      <c r="BE140" s="20"/>
      <c r="BF140" s="20">
        <f>VLOOKUP(Data[[#This Row],[DEVELOPMENT]],Development_Data_Book[[DEVELOPMENT]:[PRIVATE MANAGEMENT]],18,FALSE)</f>
        <v>696</v>
      </c>
      <c r="BG140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140" s="20"/>
      <c r="BI140" s="20"/>
      <c r="BJ140" s="20">
        <f>VLOOKUP(Data[[#This Row],[DEVELOPMENT]],Development_Data_Book[[DEVELOPMENT]:[PRIVATE MANAGEMENT]],41,FALSE)</f>
        <v>4</v>
      </c>
      <c r="BK140" s="20">
        <f>VLOOKUP(Data[[#This Row],[DEVELOPMENT]],Development_Data_Book[[DEVELOPMENT]:[PRIVATE MANAGEMENT]],42,FALSE)</f>
        <v>7</v>
      </c>
      <c r="BL140" s="20">
        <f>VLOOKUP(Data[[#This Row],[DEVELOPMENT]],Development_Data_Book[[DEVELOPMENT]:[PRIVATE MANAGEMENT]],43,FALSE)</f>
        <v>18</v>
      </c>
      <c r="BM140" s="20">
        <f>VLOOKUP(Data[[#This Row],[DEVELOPMENT]],Development_Data_Book[[DEVELOPMENT]:[PRIVATE MANAGEMENT]],44,FALSE)</f>
        <v>53</v>
      </c>
      <c r="BN140" s="20">
        <f>VLOOKUP(Data[[#This Row],[DEVELOPMENT]],Development_Data_Book[[DEVELOPMENT]:[PRIVATE MANAGEMENT]],45,FALSE)</f>
        <v>37</v>
      </c>
      <c r="BO140" s="20">
        <f>VLOOKUP(Data[[#This Row],[DEVELOPMENT]],Development_Data_Book[[DEVELOPMENT]:[PRIVATE MANAGEMENT]],24,FALSE)</f>
        <v>43660</v>
      </c>
    </row>
    <row r="141" spans="1:67">
      <c r="A141" t="s">
        <v>206</v>
      </c>
      <c r="B141" s="20" t="str">
        <f>VLOOKUP(Data[[#This Row],[DEVELOPMENT]],Development_Data_Book[[DEVELOPMENT]:[BOROUGH]],MATCH("borough",Development_Data_Book[[#Headers],[DEVELOPMENT]:[BOROUGH]],0),FALSE)</f>
        <v>BROOKLYN</v>
      </c>
      <c r="C141" s="20" t="e">
        <f>VLOOKUP(Data[[#This Row],[DEVELOPMENT]],'[1]Cheat-Sheet'!$D$2:$Q$341,2,FALSE)</f>
        <v>#N/A</v>
      </c>
      <c r="D14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41" s="20">
        <f>VLOOKUP(Data[[#This Row],[DEVELOPMENT]],Development_Data_Book[[DEVELOPMENT]:[BOROUGH]],21,FALSE)</f>
        <v>10</v>
      </c>
      <c r="F141" s="20">
        <f>VLOOKUP(Data[[#This Row],[DEVELOPMENT]],Development_Data_Book[[DEVELOPMENT]:[BOROUGH]],23,FALSE)</f>
        <v>16</v>
      </c>
      <c r="G141" s="20">
        <f>VLOOKUP(Data[[#This Row],[DEVELOPMENT]],Development_Data_Book[[DEVELOPMENT]:[BOROUGH]],12,FALSE)</f>
        <v>813</v>
      </c>
      <c r="J141">
        <f>IFERROR(VLOOKUP(Data[[#This Row],[DEVELOPMENT]],IntCompactors_MRST[],4,FALSE),0)</f>
        <v>16</v>
      </c>
      <c r="K141" s="20">
        <f>IFERROR(VLOOKUP(Data[[#This Row],[DEVELOPMENT]],ExtCompactors_MRST[],4,FALSE),0)</f>
        <v>2</v>
      </c>
      <c r="L141" s="27">
        <f>IF(Data[[#This Row],['# Interior Compactors MRST]]=0,"",VLOOKUP(Data[[#This Row],[DEVELOPMENT]],IntCompactors_MRST[],5,FALSE))</f>
        <v>36220</v>
      </c>
      <c r="M141" s="28">
        <f>IF(Data[[#This Row],['# Exterior Compactors MRST]]=0,"",VLOOKUP(Data[[#This Row],[DEVELOPMENT]],ExtCompactors_MRST[],5,FALSE))</f>
        <v>37534</v>
      </c>
      <c r="N141" s="20">
        <f>Data[[#This Row],['# Interior Compactors MRST]]</f>
        <v>16</v>
      </c>
      <c r="O141" s="20">
        <f>IF(Data[[#This Row],['# Bulk Crushers]]=0,1,0)</f>
        <v>1</v>
      </c>
      <c r="P141" s="20">
        <f>1</f>
        <v>1</v>
      </c>
      <c r="Q141" s="20">
        <f>1</f>
        <v>1</v>
      </c>
      <c r="R141" s="20">
        <f>1</f>
        <v>1</v>
      </c>
      <c r="S141" s="20">
        <f>1</f>
        <v>1</v>
      </c>
      <c r="T141" s="20">
        <f>IF(Data[[#This Row],[Sewershed]]="Newtown Creek",Data[[#This Row],[DUs]],0)</f>
        <v>0</v>
      </c>
      <c r="U14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4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4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41" s="82">
        <f>VLOOKUP(Data[[#This Row],[DEVELOPMENT]],Development_Data_Book[[DEVELOPMENT]:[BOROUGH]],3,FALSE)</f>
        <v>72</v>
      </c>
      <c r="Y141" s="20"/>
      <c r="Z141" s="20">
        <f>IFERROR(VLOOKUP(Data[[#This Row],[TDS]],ExtCompactors_PNA[[Development]:[0]],2,FALSE),0)</f>
        <v>0</v>
      </c>
      <c r="AA141" s="20">
        <f>IFERROR(VLOOKUP(Data[[#This Row],[TDS]],IntCompactors_PNA[[TDS]:[0]],2,FALSE),0)</f>
        <v>16</v>
      </c>
      <c r="AB141" s="20"/>
      <c r="AC141" s="20"/>
      <c r="AD141" s="20">
        <f>IFERROR(VLOOKUP(Data[[#This Row],[TDS]],ExtCompactors_PNA[[Development]:[0]],3,FALSE)+VLOOKUP(Data[[#This Row],[TDS]],ExtCompactors_PNA[[Development]:[0]],6,FALSE),0)</f>
        <v>0</v>
      </c>
      <c r="AE141" s="20">
        <f>IFERROR(VLOOKUP(Data[[#This Row],[TDS]],IntCompactors_PNA[[TDS]:[0]],3,FALSE)+VLOOKUP(Data[[#This Row],[TDS]],IntCompactors_PNA[[TDS]:[0]],6,FALSE),0)</f>
        <v>16</v>
      </c>
      <c r="AF141" s="20" t="e">
        <f>VLOOKUP(Data[[#This Row],[DEVELOPMENT]],[3]Developments!$A$2:$A$312,1,FALSE)</f>
        <v>#N/A</v>
      </c>
      <c r="AG141" s="20">
        <f>IFERROR(VLOOKUP(Data[[#This Row],[DEVELOPMENT]],Ops_Priorities_and_Data_Clean[[development]:[ifnoext_comment]],3,FALSE),"")</f>
        <v>2</v>
      </c>
      <c r="AH141" s="20">
        <f>IFERROR(VLOOKUP(Data[[#This Row],[DEVELOPMENT]],Ops_Priorities_and_Data_Clean[[development]:[ifnoext_comment]],4,FALSE),"")</f>
        <v>1</v>
      </c>
      <c r="AI141" s="20">
        <f>IFERROR(VLOOKUP(Data[[#This Row],[DEVELOPMENT]],Ops_Priorities_and_Data_Clean[[development]:[ifnoext_comment]],5,FALSE),"")</f>
        <v>1</v>
      </c>
      <c r="AJ141" s="20">
        <f>IFERROR(VLOOKUP(Data[[#This Row],[DEVELOPMENT]],Ops_Priorities_and_Data_Clean[[development]:[ifnoext_comment]],6,FALSE),"")</f>
        <v>0</v>
      </c>
      <c r="AK141" s="20">
        <f>IFERROR(VLOOKUP(Data[[#This Row],[DEVELOPMENT]],Ops_Priorities_and_Data_Clean[[development]:[ifnoext_comment]],7,FALSE),"")</f>
        <v>0</v>
      </c>
      <c r="AL141" s="20">
        <f>IFERROR(VLOOKUP(Data[[#This Row],[DEVELOPMENT]],Ops_Priorities_and_Data_Clean[[development]:[ifnoext_comment]],8,FALSE),"")</f>
        <v>1</v>
      </c>
      <c r="AM141" s="20">
        <f>IFERROR(VLOOKUP(Data[[#This Row],[DEVELOPMENT]],Ops_Priorities_and_Data_Clean[[development]:[ifnoext_comment]],9,FALSE),"")</f>
        <v>0</v>
      </c>
      <c r="AN141" s="20">
        <f>IFERROR(VLOOKUP(Data[[#This Row],[DEVELOPMENT]],Ops_Priorities_and_Data_Clean[[development]:[ifnoext_comment]],10,FALSE),"")</f>
        <v>2</v>
      </c>
      <c r="AO141" s="20">
        <f>IFERROR(VLOOKUP(Data[[#This Row],[DEVELOPMENT]],Ops_Priorities_and_Data_Clean[[development]:[ifnoext_comment]],11,FALSE),"")</f>
        <v>2</v>
      </c>
      <c r="AP141" s="20">
        <f>IFERROR(VLOOKUP(Data[[#This Row],[DEVELOPMENT]],Ops_Priorities_and_Data_Clean[[development]:[ifnoext_comment]],12,FALSE),"")</f>
        <v>2</v>
      </c>
      <c r="AQ141" s="20">
        <f>VLOOKUP(Data[[#This Row],[DEVELOPMENT]],Ops_Priorities_and_Data_Clean[[development]:[ifnoext_comment]],14,FALSE)</f>
        <v>0</v>
      </c>
      <c r="AR141" s="20">
        <f>VLOOKUP(Data[[#This Row],[DEVELOPMENT]],Ops_Priorities_and_Data_Clean[[development]:[ifnoext_comment]],15,FALSE)</f>
        <v>0</v>
      </c>
      <c r="AS141" s="20" t="str">
        <f>VLOOKUP(Data[[#This Row],[DEVELOPMENT]],Ops_Priorities_and_Data_Clean[[development]:[ifnoext_comment]],16,FALSE)</f>
        <v>NULL</v>
      </c>
      <c r="AT141" s="20" t="str">
        <f>VLOOKUP(Data[[#This Row],[DEVELOPMENT]],Ops_Priorities_and_Data_Clean[[development]:[ifnoext_comment]],17,FALSE)</f>
        <v>NULL</v>
      </c>
      <c r="AU141" s="20" t="str">
        <f>VLOOKUP(Data[[#This Row],[DEVELOPMENT]],Ops_Priorities_and_Data_Clean[[development]:[ifnoext_comment]],18,FALSE)</f>
        <v>NULL</v>
      </c>
      <c r="AV141" s="20" t="str">
        <f>VLOOKUP(Data[[#This Row],[DEVELOPMENT]],Ops_Priorities_and_Data_Clean[[development]:[ifnoext_comment]],19,FALSE)</f>
        <v>NULL</v>
      </c>
      <c r="AW141" s="20" t="str">
        <f>VLOOKUP(Data[[#This Row],[DEVELOPMENT]],Ops_Priorities_and_Data_Clean[[development]:[ifnoext_comment]],20,FALSE)</f>
        <v>NULL</v>
      </c>
      <c r="AX141" s="104" t="s">
        <v>2602</v>
      </c>
      <c r="AY141" s="104" t="s">
        <v>392</v>
      </c>
      <c r="AZ141" s="20" t="str">
        <f>VLOOKUP(Data[[#This Row],[DEVELOPMENT]],Development_Data_Book[[DEVELOPMENT]:[PRIVATE MANAGEMENT]],8,FALSE)</f>
        <v>FEDERAL</v>
      </c>
      <c r="BA141" s="104" t="s">
        <v>2586</v>
      </c>
      <c r="BB141" s="20">
        <f>VLOOKUP(Data[[#This Row],[DEVELOPMENT]],Development_Data_Book[[DEVELOPMENT]:[PRIVATE MANAGEMENT]],22,FALSE)</f>
        <v>0</v>
      </c>
      <c r="BC141" s="20">
        <f>Data[[#This Row],[Non-Dwelling Buildings]]+Data[[#This Row],[Dwelling Buildings]]</f>
        <v>10</v>
      </c>
      <c r="BD141" s="20">
        <f>VLOOKUP(Data[[#This Row],[DEVELOPMENT]],Development_Data_Book[[DEVELOPMENT]:[PRIVATE MANAGEMENT]],26,FALSE)</f>
        <v>15.26</v>
      </c>
      <c r="BE141" s="106">
        <v>748500</v>
      </c>
      <c r="BF141" s="20">
        <f>VLOOKUP(Data[[#This Row],[DEVELOPMENT]],Development_Data_Book[[DEVELOPMENT]:[PRIVATE MANAGEMENT]],18,FALSE)</f>
        <v>1835</v>
      </c>
      <c r="BG14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41" s="104" t="s">
        <v>2589</v>
      </c>
      <c r="BI141" t="s">
        <v>184</v>
      </c>
      <c r="BJ141" s="20">
        <f>VLOOKUP(Data[[#This Row],[DEVELOPMENT]],Development_Data_Book[[DEVELOPMENT]:[PRIVATE MANAGEMENT]],41,FALSE)</f>
        <v>16</v>
      </c>
      <c r="BK141" s="20">
        <f>VLOOKUP(Data[[#This Row],[DEVELOPMENT]],Development_Data_Book[[DEVELOPMENT]:[PRIVATE MANAGEMENT]],42,FALSE)</f>
        <v>8</v>
      </c>
      <c r="BL141" s="20">
        <f>VLOOKUP(Data[[#This Row],[DEVELOPMENT]],Development_Data_Book[[DEVELOPMENT]:[PRIVATE MANAGEMENT]],43,FALSE)</f>
        <v>20</v>
      </c>
      <c r="BM141" s="20">
        <f>VLOOKUP(Data[[#This Row],[DEVELOPMENT]],Development_Data_Book[[DEVELOPMENT]:[PRIVATE MANAGEMENT]],44,FALSE)</f>
        <v>55</v>
      </c>
      <c r="BN141" s="20">
        <f>VLOOKUP(Data[[#This Row],[DEVELOPMENT]],Development_Data_Book[[DEVELOPMENT]:[PRIVATE MANAGEMENT]],45,FALSE)</f>
        <v>41</v>
      </c>
      <c r="BO141" s="20">
        <f>VLOOKUP(Data[[#This Row],[DEVELOPMENT]],Development_Data_Book[[DEVELOPMENT]:[PRIVATE MANAGEMENT]],24,FALSE)</f>
        <v>43659</v>
      </c>
    </row>
    <row r="142" spans="1:67">
      <c r="A142" t="s">
        <v>245</v>
      </c>
      <c r="B142" s="20" t="str">
        <f>VLOOKUP(Data[[#This Row],[DEVELOPMENT]],Development_Data_Book[[DEVELOPMENT]:[BOROUGH]],MATCH("borough",Development_Data_Book[[#Headers],[DEVELOPMENT]:[BOROUGH]],0),FALSE)</f>
        <v>BROOKLYN</v>
      </c>
      <c r="C142" s="20" t="e">
        <f>VLOOKUP(Data[[#This Row],[DEVELOPMENT]],'[1]Cheat-Sheet'!$D$2:$Q$341,2,FALSE)</f>
        <v>#N/A</v>
      </c>
      <c r="D14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142" s="20">
        <f>VLOOKUP(Data[[#This Row],[DEVELOPMENT]],Development_Data_Book[[DEVELOPMENT]:[BOROUGH]],21,FALSE)</f>
        <v>5</v>
      </c>
      <c r="F142" s="20">
        <f>VLOOKUP(Data[[#This Row],[DEVELOPMENT]],Development_Data_Book[[DEVELOPMENT]:[BOROUGH]],23,FALSE)</f>
        <v>25</v>
      </c>
      <c r="G142" s="20">
        <f>VLOOKUP(Data[[#This Row],[DEVELOPMENT]],Development_Data_Book[[DEVELOPMENT]:[BOROUGH]],12,FALSE)</f>
        <v>148</v>
      </c>
      <c r="J142">
        <f>IFERROR(VLOOKUP(Data[[#This Row],[DEVELOPMENT]],IntCompactors_MRST[],4,FALSE),0)</f>
        <v>0</v>
      </c>
      <c r="K142" s="20">
        <f>IFERROR(VLOOKUP(Data[[#This Row],[DEVELOPMENT]],ExtCompactors_MRST[],4,FALSE),0)</f>
        <v>0</v>
      </c>
      <c r="L142" s="27" t="str">
        <f>IF(Data[[#This Row],['# Interior Compactors MRST]]=0,"",VLOOKUP(Data[[#This Row],[DEVELOPMENT]],IntCompactors_MRST[],5,FALSE))</f>
        <v/>
      </c>
      <c r="M142" s="28" t="str">
        <f>IF(Data[[#This Row],['# Exterior Compactors MRST]]=0,"",VLOOKUP(Data[[#This Row],[DEVELOPMENT]],ExtCompactors_MRST[],5,FALSE))</f>
        <v/>
      </c>
      <c r="N142" s="20">
        <f>Data[[#This Row],['# Interior Compactors MRST]]</f>
        <v>0</v>
      </c>
      <c r="O142" s="20">
        <f>IF(Data[[#This Row],['# Bulk Crushers]]=0,1,0)</f>
        <v>1</v>
      </c>
      <c r="P142" s="20">
        <f>1</f>
        <v>1</v>
      </c>
      <c r="Q142" s="20">
        <f>1</f>
        <v>1</v>
      </c>
      <c r="R142" s="20">
        <f>1</f>
        <v>1</v>
      </c>
      <c r="S142" s="20">
        <f>1</f>
        <v>1</v>
      </c>
      <c r="T142" s="20">
        <f>IF(Data[[#This Row],[Sewershed]]="Newtown Creek",Data[[#This Row],[DUs]],0)</f>
        <v>0</v>
      </c>
      <c r="U14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4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4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42" s="82">
        <f>VLOOKUP(Data[[#This Row],[DEVELOPMENT]],Development_Data_Book[[DEVELOPMENT]:[BOROUGH]],3,FALSE)</f>
        <v>339</v>
      </c>
      <c r="Y142" s="20"/>
      <c r="Z142" s="20">
        <f>IFERROR(VLOOKUP(Data[[#This Row],[TDS]],ExtCompactors_PNA[[Development]:[0]],2,FALSE),0)</f>
        <v>0</v>
      </c>
      <c r="AA142" s="20">
        <f>IFERROR(VLOOKUP(Data[[#This Row],[TDS]],IntCompactors_PNA[[TDS]:[0]],2,FALSE),0)</f>
        <v>0</v>
      </c>
      <c r="AB142" s="20"/>
      <c r="AC142" s="20"/>
      <c r="AD142" s="20">
        <f>IFERROR(VLOOKUP(Data[[#This Row],[TDS]],ExtCompactors_PNA[[Development]:[0]],3,FALSE)+VLOOKUP(Data[[#This Row],[TDS]],ExtCompactors_PNA[[Development]:[0]],6,FALSE),0)</f>
        <v>0</v>
      </c>
      <c r="AE142" s="20">
        <f>IFERROR(VLOOKUP(Data[[#This Row],[TDS]],IntCompactors_PNA[[TDS]:[0]],3,FALSE)+VLOOKUP(Data[[#This Row],[TDS]],IntCompactors_PNA[[TDS]:[0]],6,FALSE),0)</f>
        <v>0</v>
      </c>
      <c r="AF142" s="20" t="e">
        <f>VLOOKUP(Data[[#This Row],[DEVELOPMENT]],[3]Developments!$A$2:$A$312,1,FALSE)</f>
        <v>#N/A</v>
      </c>
      <c r="AG142" s="20">
        <f>IFERROR(VLOOKUP(Data[[#This Row],[DEVELOPMENT]],Ops_Priorities_and_Data_Clean[[development]:[ifnoext_comment]],3,FALSE),"")</f>
        <v>0</v>
      </c>
      <c r="AH142" s="20">
        <f>IFERROR(VLOOKUP(Data[[#This Row],[DEVELOPMENT]],Ops_Priorities_and_Data_Clean[[development]:[ifnoext_comment]],4,FALSE),"")</f>
        <v>0</v>
      </c>
      <c r="AI142" s="20">
        <f>IFERROR(VLOOKUP(Data[[#This Row],[DEVELOPMENT]],Ops_Priorities_and_Data_Clean[[development]:[ifnoext_comment]],5,FALSE),"")</f>
        <v>0</v>
      </c>
      <c r="AJ142" s="20">
        <f>IFERROR(VLOOKUP(Data[[#This Row],[DEVELOPMENT]],Ops_Priorities_and_Data_Clean[[development]:[ifnoext_comment]],6,FALSE),"")</f>
        <v>0</v>
      </c>
      <c r="AK142" s="20">
        <f>IFERROR(VLOOKUP(Data[[#This Row],[DEVELOPMENT]],Ops_Priorities_and_Data_Clean[[development]:[ifnoext_comment]],7,FALSE),"")</f>
        <v>1</v>
      </c>
      <c r="AL142" s="20">
        <f>IFERROR(VLOOKUP(Data[[#This Row],[DEVELOPMENT]],Ops_Priorities_and_Data_Clean[[development]:[ifnoext_comment]],8,FALSE),"")</f>
        <v>1</v>
      </c>
      <c r="AM142" s="20">
        <f>IFERROR(VLOOKUP(Data[[#This Row],[DEVELOPMENT]],Ops_Priorities_and_Data_Clean[[development]:[ifnoext_comment]],9,FALSE),"")</f>
        <v>1</v>
      </c>
      <c r="AN142" s="20">
        <f>IFERROR(VLOOKUP(Data[[#This Row],[DEVELOPMENT]],Ops_Priorities_and_Data_Clean[[development]:[ifnoext_comment]],10,FALSE),"")</f>
        <v>0</v>
      </c>
      <c r="AO142" s="20">
        <f>IFERROR(VLOOKUP(Data[[#This Row],[DEVELOPMENT]],Ops_Priorities_and_Data_Clean[[development]:[ifnoext_comment]],11,FALSE),"")</f>
        <v>0</v>
      </c>
      <c r="AP142" s="20">
        <f>IFERROR(VLOOKUP(Data[[#This Row],[DEVELOPMENT]],Ops_Priorities_and_Data_Clean[[development]:[ifnoext_comment]],12,FALSE),"")</f>
        <v>0</v>
      </c>
      <c r="AQ142" s="20">
        <f>VLOOKUP(Data[[#This Row],[DEVELOPMENT]],Ops_Priorities_and_Data_Clean[[development]:[ifnoext_comment]],14,FALSE)</f>
        <v>1</v>
      </c>
      <c r="AR142" s="20">
        <f>VLOOKUP(Data[[#This Row],[DEVELOPMENT]],Ops_Priorities_and_Data_Clean[[development]:[ifnoext_comment]],15,FALSE)</f>
        <v>0</v>
      </c>
      <c r="AS142" s="20" t="str">
        <f>VLOOKUP(Data[[#This Row],[DEVELOPMENT]],Ops_Priorities_and_Data_Clean[[development]:[ifnoext_comment]],16,FALSE)</f>
        <v>NULL</v>
      </c>
      <c r="AT142" s="20" t="str">
        <f>VLOOKUP(Data[[#This Row],[DEVELOPMENT]],Ops_Priorities_and_Data_Clean[[development]:[ifnoext_comment]],17,FALSE)</f>
        <v>NULL</v>
      </c>
      <c r="AU142" s="20" t="str">
        <f>VLOOKUP(Data[[#This Row],[DEVELOPMENT]],Ops_Priorities_and_Data_Clean[[development]:[ifnoext_comment]],18,FALSE)</f>
        <v>NULL</v>
      </c>
      <c r="AV142" s="20" t="str">
        <f>VLOOKUP(Data[[#This Row],[DEVELOPMENT]],Ops_Priorities_and_Data_Clean[[development]:[ifnoext_comment]],19,FALSE)</f>
        <v>NULL</v>
      </c>
      <c r="AW142" s="20" t="str">
        <f>VLOOKUP(Data[[#This Row],[DEVELOPMENT]],Ops_Priorities_and_Data_Clean[[development]:[ifnoext_comment]],20,FALSE)</f>
        <v>NULL</v>
      </c>
      <c r="AX142" s="104" t="s">
        <v>2238</v>
      </c>
      <c r="AY142" s="104" t="s">
        <v>392</v>
      </c>
      <c r="AZ142" s="20" t="str">
        <f>VLOOKUP(Data[[#This Row],[DEVELOPMENT]],Development_Data_Book[[DEVELOPMENT]:[PRIVATE MANAGEMENT]],8,FALSE)</f>
        <v>FEDERAL</v>
      </c>
      <c r="BA142" s="104" t="s">
        <v>2588</v>
      </c>
      <c r="BB142" s="20">
        <f>VLOOKUP(Data[[#This Row],[DEVELOPMENT]],Development_Data_Book[[DEVELOPMENT]:[PRIVATE MANAGEMENT]],22,FALSE)</f>
        <v>1</v>
      </c>
      <c r="BC142" s="20">
        <f>Data[[#This Row],[Non-Dwelling Buildings]]+Data[[#This Row],[Dwelling Buildings]]</f>
        <v>6</v>
      </c>
      <c r="BD142" s="20">
        <f>VLOOKUP(Data[[#This Row],[DEVELOPMENT]],Development_Data_Book[[DEVELOPMENT]:[PRIVATE MANAGEMENT]],26,FALSE)</f>
        <v>3.05</v>
      </c>
      <c r="BE142" s="106">
        <v>157150</v>
      </c>
      <c r="BF142" s="20">
        <f>VLOOKUP(Data[[#This Row],[DEVELOPMENT]],Development_Data_Book[[DEVELOPMENT]:[PRIVATE MANAGEMENT]],18,FALSE)</f>
        <v>373</v>
      </c>
      <c r="BG14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42" s="104" t="s">
        <v>2589</v>
      </c>
      <c r="BI142" t="s">
        <v>184</v>
      </c>
      <c r="BJ142" s="20">
        <f>VLOOKUP(Data[[#This Row],[DEVELOPMENT]],Development_Data_Book[[DEVELOPMENT]:[PRIVATE MANAGEMENT]],41,FALSE)</f>
        <v>16</v>
      </c>
      <c r="BK142" s="20">
        <f>VLOOKUP(Data[[#This Row],[DEVELOPMENT]],Development_Data_Book[[DEVELOPMENT]:[PRIVATE MANAGEMENT]],42,FALSE)</f>
        <v>9</v>
      </c>
      <c r="BL142" s="20">
        <f>VLOOKUP(Data[[#This Row],[DEVELOPMENT]],Development_Data_Book[[DEVELOPMENT]:[PRIVATE MANAGEMENT]],43,FALSE)</f>
        <v>20</v>
      </c>
      <c r="BM142" s="20">
        <f>VLOOKUP(Data[[#This Row],[DEVELOPMENT]],Development_Data_Book[[DEVELOPMENT]:[PRIVATE MANAGEMENT]],44,FALSE)</f>
        <v>55</v>
      </c>
      <c r="BN142" s="20">
        <f>VLOOKUP(Data[[#This Row],[DEVELOPMENT]],Development_Data_Book[[DEVELOPMENT]:[PRIVATE MANAGEMENT]],45,FALSE)</f>
        <v>41</v>
      </c>
      <c r="BO142" s="20">
        <f>VLOOKUP(Data[[#This Row],[DEVELOPMENT]],Development_Data_Book[[DEVELOPMENT]:[PRIVATE MANAGEMENT]],24,FALSE)</f>
        <v>3</v>
      </c>
    </row>
    <row r="143" spans="1:67">
      <c r="A143" t="s">
        <v>246</v>
      </c>
      <c r="B143" s="20" t="str">
        <f>VLOOKUP(Data[[#This Row],[DEVELOPMENT]],Development_Data_Book[[DEVELOPMENT]:[BOROUGH]],MATCH("borough",Development_Data_Book[[#Headers],[DEVELOPMENT]:[BOROUGH]],0),FALSE)</f>
        <v>BROOKLYN</v>
      </c>
      <c r="C143" s="20" t="e">
        <f>VLOOKUP(Data[[#This Row],[DEVELOPMENT]],'[1]Cheat-Sheet'!$D$2:$Q$341,2,FALSE)</f>
        <v>#N/A</v>
      </c>
      <c r="D14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143" s="20">
        <f>VLOOKUP(Data[[#This Row],[DEVELOPMENT]],Development_Data_Book[[DEVELOPMENT]:[BOROUGH]],21,FALSE)</f>
        <v>8</v>
      </c>
      <c r="F143" s="20">
        <f>VLOOKUP(Data[[#This Row],[DEVELOPMENT]],Development_Data_Book[[DEVELOPMENT]:[BOROUGH]],23,FALSE)</f>
        <v>159</v>
      </c>
      <c r="G143" s="20">
        <f>VLOOKUP(Data[[#This Row],[DEVELOPMENT]],Development_Data_Book[[DEVELOPMENT]:[BOROUGH]],12,FALSE)</f>
        <v>155</v>
      </c>
      <c r="H143" t="s">
        <v>2611</v>
      </c>
      <c r="J143">
        <f>IFERROR(VLOOKUP(Data[[#This Row],[DEVELOPMENT]],IntCompactors_MRST[],4,FALSE),0)</f>
        <v>0</v>
      </c>
      <c r="K143" s="20">
        <f>IFERROR(VLOOKUP(Data[[#This Row],[DEVELOPMENT]],ExtCompactors_MRST[],4,FALSE),0)</f>
        <v>0</v>
      </c>
      <c r="L143" s="27" t="str">
        <f>IF(Data[[#This Row],['# Interior Compactors MRST]]=0,"",VLOOKUP(Data[[#This Row],[DEVELOPMENT]],IntCompactors_MRST[],5,FALSE))</f>
        <v/>
      </c>
      <c r="M143" s="28" t="str">
        <f>IF(Data[[#This Row],['# Exterior Compactors MRST]]=0,"",VLOOKUP(Data[[#This Row],[DEVELOPMENT]],ExtCompactors_MRST[],5,FALSE))</f>
        <v/>
      </c>
      <c r="N143" s="20">
        <f>Data[[#This Row],['# Interior Compactors MRST]]</f>
        <v>0</v>
      </c>
      <c r="O143" s="20">
        <f>IF(Data[[#This Row],['# Bulk Crushers]]=0,1,0)</f>
        <v>1</v>
      </c>
      <c r="P143" s="20">
        <f>1</f>
        <v>1</v>
      </c>
      <c r="Q143" s="20">
        <f>1</f>
        <v>1</v>
      </c>
      <c r="R143" s="20">
        <f>1</f>
        <v>1</v>
      </c>
      <c r="S143" s="20">
        <f>1</f>
        <v>1</v>
      </c>
      <c r="T143" s="20">
        <f>IF(Data[[#This Row],[Sewershed]]="Newtown Creek",Data[[#This Row],[DUs]],0)</f>
        <v>0</v>
      </c>
      <c r="U14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4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4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43" s="82">
        <f>VLOOKUP(Data[[#This Row],[DEVELOPMENT]],Development_Data_Book[[DEVELOPMENT]:[BOROUGH]],3,FALSE)</f>
        <v>365</v>
      </c>
      <c r="Y143" s="20"/>
      <c r="Z143" s="20">
        <f>IFERROR(VLOOKUP(Data[[#This Row],[TDS]],ExtCompactors_PNA[[Development]:[0]],2,FALSE),0)</f>
        <v>0</v>
      </c>
      <c r="AA143" s="20">
        <f>IFERROR(VLOOKUP(Data[[#This Row],[TDS]],IntCompactors_PNA[[TDS]:[0]],2,FALSE),0)</f>
        <v>0</v>
      </c>
      <c r="AB143" s="20"/>
      <c r="AC143" s="20"/>
      <c r="AD143" s="20">
        <f>IFERROR(VLOOKUP(Data[[#This Row],[TDS]],ExtCompactors_PNA[[Development]:[0]],3,FALSE)+VLOOKUP(Data[[#This Row],[TDS]],ExtCompactors_PNA[[Development]:[0]],6,FALSE),0)</f>
        <v>0</v>
      </c>
      <c r="AE143" s="20">
        <f>IFERROR(VLOOKUP(Data[[#This Row],[TDS]],IntCompactors_PNA[[TDS]:[0]],3,FALSE)+VLOOKUP(Data[[#This Row],[TDS]],IntCompactors_PNA[[TDS]:[0]],6,FALSE),0)</f>
        <v>0</v>
      </c>
      <c r="AF143" s="20" t="e">
        <f>VLOOKUP(Data[[#This Row],[DEVELOPMENT]],[3]Developments!$A$2:$A$312,1,FALSE)</f>
        <v>#N/A</v>
      </c>
      <c r="AG143" s="20">
        <f>IFERROR(VLOOKUP(Data[[#This Row],[DEVELOPMENT]],Ops_Priorities_and_Data_Clean[[development]:[ifnoext_comment]],3,FALSE),"")</f>
        <v>0</v>
      </c>
      <c r="AH143" s="20">
        <f>IFERROR(VLOOKUP(Data[[#This Row],[DEVELOPMENT]],Ops_Priorities_and_Data_Clean[[development]:[ifnoext_comment]],4,FALSE),"")</f>
        <v>0</v>
      </c>
      <c r="AI143" s="20">
        <f>IFERROR(VLOOKUP(Data[[#This Row],[DEVELOPMENT]],Ops_Priorities_and_Data_Clean[[development]:[ifnoext_comment]],5,FALSE),"")</f>
        <v>0</v>
      </c>
      <c r="AJ143" s="20">
        <f>IFERROR(VLOOKUP(Data[[#This Row],[DEVELOPMENT]],Ops_Priorities_and_Data_Clean[[development]:[ifnoext_comment]],6,FALSE),"")</f>
        <v>0</v>
      </c>
      <c r="AK143" s="20">
        <f>IFERROR(VLOOKUP(Data[[#This Row],[DEVELOPMENT]],Ops_Priorities_and_Data_Clean[[development]:[ifnoext_comment]],7,FALSE),"")</f>
        <v>1</v>
      </c>
      <c r="AL143" s="20">
        <f>IFERROR(VLOOKUP(Data[[#This Row],[DEVELOPMENT]],Ops_Priorities_and_Data_Clean[[development]:[ifnoext_comment]],8,FALSE),"")</f>
        <v>1</v>
      </c>
      <c r="AM143" s="20">
        <f>IFERROR(VLOOKUP(Data[[#This Row],[DEVELOPMENT]],Ops_Priorities_and_Data_Clean[[development]:[ifnoext_comment]],9,FALSE),"")</f>
        <v>1</v>
      </c>
      <c r="AN143" s="20">
        <f>IFERROR(VLOOKUP(Data[[#This Row],[DEVELOPMENT]],Ops_Priorities_and_Data_Clean[[development]:[ifnoext_comment]],10,FALSE),"")</f>
        <v>0</v>
      </c>
      <c r="AO143" s="20">
        <f>IFERROR(VLOOKUP(Data[[#This Row],[DEVELOPMENT]],Ops_Priorities_and_Data_Clean[[development]:[ifnoext_comment]],11,FALSE),"")</f>
        <v>0</v>
      </c>
      <c r="AP143" s="20">
        <f>IFERROR(VLOOKUP(Data[[#This Row],[DEVELOPMENT]],Ops_Priorities_and_Data_Clean[[development]:[ifnoext_comment]],12,FALSE),"")</f>
        <v>0</v>
      </c>
      <c r="AQ143" s="20">
        <f>VLOOKUP(Data[[#This Row],[DEVELOPMENT]],Ops_Priorities_and_Data_Clean[[development]:[ifnoext_comment]],14,FALSE)</f>
        <v>1</v>
      </c>
      <c r="AR143" s="20">
        <f>VLOOKUP(Data[[#This Row],[DEVELOPMENT]],Ops_Priorities_and_Data_Clean[[development]:[ifnoext_comment]],15,FALSE)</f>
        <v>0</v>
      </c>
      <c r="AS143" s="20" t="str">
        <f>VLOOKUP(Data[[#This Row],[DEVELOPMENT]],Ops_Priorities_and_Data_Clean[[development]:[ifnoext_comment]],16,FALSE)</f>
        <v>NULL</v>
      </c>
      <c r="AT143" s="20" t="str">
        <f>VLOOKUP(Data[[#This Row],[DEVELOPMENT]],Ops_Priorities_and_Data_Clean[[development]:[ifnoext_comment]],17,FALSE)</f>
        <v>NULL</v>
      </c>
      <c r="AU143" s="20" t="str">
        <f>VLOOKUP(Data[[#This Row],[DEVELOPMENT]],Ops_Priorities_and_Data_Clean[[development]:[ifnoext_comment]],18,FALSE)</f>
        <v>NULL</v>
      </c>
      <c r="AV143" s="20" t="str">
        <f>VLOOKUP(Data[[#This Row],[DEVELOPMENT]],Ops_Priorities_and_Data_Clean[[development]:[ifnoext_comment]],19,FALSE)</f>
        <v>NULL</v>
      </c>
      <c r="AW143" s="20" t="str">
        <f>VLOOKUP(Data[[#This Row],[DEVELOPMENT]],Ops_Priorities_and_Data_Clean[[development]:[ifnoext_comment]],20,FALSE)</f>
        <v>NULL</v>
      </c>
      <c r="AX143" s="104" t="s">
        <v>2238</v>
      </c>
      <c r="AY143" s="104" t="s">
        <v>2656</v>
      </c>
      <c r="AZ143" s="20" t="str">
        <f>VLOOKUP(Data[[#This Row],[DEVELOPMENT]],Development_Data_Book[[DEVELOPMENT]:[PRIVATE MANAGEMENT]],8,FALSE)</f>
        <v>FEDERAL</v>
      </c>
      <c r="BA143" s="104" t="s">
        <v>2588</v>
      </c>
      <c r="BB143" s="20">
        <f>VLOOKUP(Data[[#This Row],[DEVELOPMENT]],Development_Data_Book[[DEVELOPMENT]:[PRIVATE MANAGEMENT]],22,FALSE)</f>
        <v>0</v>
      </c>
      <c r="BC143" s="20">
        <f>Data[[#This Row],[Non-Dwelling Buildings]]+Data[[#This Row],[Dwelling Buildings]]</f>
        <v>8</v>
      </c>
      <c r="BD143" s="20">
        <f>VLOOKUP(Data[[#This Row],[DEVELOPMENT]],Development_Data_Book[[DEVELOPMENT]:[PRIVATE MANAGEMENT]],26,FALSE)</f>
        <v>4.54</v>
      </c>
      <c r="BE143" s="106">
        <v>176700</v>
      </c>
      <c r="BF143" s="20">
        <f>VLOOKUP(Data[[#This Row],[DEVELOPMENT]],Development_Data_Book[[DEVELOPMENT]:[PRIVATE MANAGEMENT]],18,FALSE)</f>
        <v>449</v>
      </c>
      <c r="BG14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43" s="104" t="s">
        <v>2589</v>
      </c>
      <c r="BI143" t="s">
        <v>184</v>
      </c>
      <c r="BJ143" s="20">
        <f>VLOOKUP(Data[[#This Row],[DEVELOPMENT]],Development_Data_Book[[DEVELOPMENT]:[PRIVATE MANAGEMENT]],41,FALSE)</f>
        <v>16</v>
      </c>
      <c r="BK143" s="20">
        <f>VLOOKUP(Data[[#This Row],[DEVELOPMENT]],Development_Data_Book[[DEVELOPMENT]:[PRIVATE MANAGEMENT]],42,FALSE)</f>
        <v>9</v>
      </c>
      <c r="BL143" s="20" t="str">
        <f>VLOOKUP(Data[[#This Row],[DEVELOPMENT]],Development_Data_Book[[DEVELOPMENT]:[PRIVATE MANAGEMENT]],43,FALSE)</f>
        <v>20, 25</v>
      </c>
      <c r="BM143" s="20">
        <f>VLOOKUP(Data[[#This Row],[DEVELOPMENT]],Development_Data_Book[[DEVELOPMENT]:[PRIVATE MANAGEMENT]],44,FALSE)</f>
        <v>55</v>
      </c>
      <c r="BN143" s="20">
        <f>VLOOKUP(Data[[#This Row],[DEVELOPMENT]],Development_Data_Book[[DEVELOPMENT]:[PRIVATE MANAGEMENT]],45,FALSE)</f>
        <v>41</v>
      </c>
      <c r="BO143" s="20">
        <f>VLOOKUP(Data[[#This Row],[DEVELOPMENT]],Development_Data_Book[[DEVELOPMENT]:[PRIVATE MANAGEMENT]],24,FALSE)</f>
        <v>3</v>
      </c>
    </row>
    <row r="144" spans="1:67">
      <c r="A144" t="s">
        <v>334</v>
      </c>
      <c r="B144" s="20" t="str">
        <f>VLOOKUP(Data[[#This Row],[DEVELOPMENT]],Development_Data_Book[[DEVELOPMENT]:[BOROUGH]],MATCH("borough",Development_Data_Book[[#Headers],[DEVELOPMENT]:[BOROUGH]],0),FALSE)</f>
        <v>BROOKLYN</v>
      </c>
      <c r="C144" s="20" t="e">
        <f>VLOOKUP(Data[[#This Row],[DEVELOPMENT]],'[1]Cheat-Sheet'!$D$2:$Q$341,2,FALSE)</f>
        <v>#N/A</v>
      </c>
      <c r="D14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44" s="20">
        <f>VLOOKUP(Data[[#This Row],[DEVELOPMENT]],Development_Data_Book[[DEVELOPMENT]:[BOROUGH]],21,FALSE)</f>
        <v>3</v>
      </c>
      <c r="F144" s="20">
        <f>VLOOKUP(Data[[#This Row],[DEVELOPMENT]],Development_Data_Book[[DEVELOPMENT]:[BOROUGH]],23,FALSE)</f>
        <v>4</v>
      </c>
      <c r="G144" s="20">
        <f>VLOOKUP(Data[[#This Row],[DEVELOPMENT]],Development_Data_Book[[DEVELOPMENT]:[BOROUGH]],12,FALSE)</f>
        <v>509</v>
      </c>
      <c r="J144">
        <f>IFERROR(VLOOKUP(Data[[#This Row],[DEVELOPMENT]],IntCompactors_MRST[],4,FALSE),0)</f>
        <v>3</v>
      </c>
      <c r="K144" s="20">
        <f>IFERROR(VLOOKUP(Data[[#This Row],[DEVELOPMENT]],ExtCompactors_MRST[],4,FALSE),0)</f>
        <v>1</v>
      </c>
      <c r="L144" s="27">
        <f>IF(Data[[#This Row],['# Interior Compactors MRST]]=0,"",VLOOKUP(Data[[#This Row],[DEVELOPMENT]],IntCompactors_MRST[],5,FALSE))</f>
        <v>37502</v>
      </c>
      <c r="M144" s="28">
        <f>IF(Data[[#This Row],['# Exterior Compactors MRST]]=0,"",VLOOKUP(Data[[#This Row],[DEVELOPMENT]],ExtCompactors_MRST[],5,FALSE))</f>
        <v>39506</v>
      </c>
      <c r="N144" s="20">
        <f>Data[[#This Row],['# Interior Compactors MRST]]</f>
        <v>3</v>
      </c>
      <c r="O144" s="20">
        <f>IF(Data[[#This Row],['# Bulk Crushers]]=0,1,0)</f>
        <v>1</v>
      </c>
      <c r="P144" s="20">
        <f>1</f>
        <v>1</v>
      </c>
      <c r="Q144" s="20">
        <f>1</f>
        <v>1</v>
      </c>
      <c r="R144" s="20">
        <f>1</f>
        <v>1</v>
      </c>
      <c r="S144" s="20">
        <f>1</f>
        <v>1</v>
      </c>
      <c r="T144" s="20">
        <f>IF(Data[[#This Row],[Sewershed]]="Newtown Creek",Data[[#This Row],[DUs]],0)</f>
        <v>0</v>
      </c>
      <c r="U14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4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4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44" s="82">
        <f>VLOOKUP(Data[[#This Row],[DEVELOPMENT]],Development_Data_Book[[DEVELOPMENT]:[BOROUGH]],3,FALSE)</f>
        <v>168</v>
      </c>
      <c r="Y144" s="20"/>
      <c r="Z144" s="20">
        <f>IFERROR(VLOOKUP(Data[[#This Row],[TDS]],ExtCompactors_PNA[[Development]:[0]],2,FALSE),0)</f>
        <v>1</v>
      </c>
      <c r="AA144" s="20">
        <f>IFERROR(VLOOKUP(Data[[#This Row],[TDS]],IntCompactors_PNA[[TDS]:[0]],2,FALSE),0)</f>
        <v>3</v>
      </c>
      <c r="AB144" s="20"/>
      <c r="AC144" s="20"/>
      <c r="AD144" s="20">
        <f>IFERROR(VLOOKUP(Data[[#This Row],[TDS]],ExtCompactors_PNA[[Development]:[0]],3,FALSE)+VLOOKUP(Data[[#This Row],[TDS]],ExtCompactors_PNA[[Development]:[0]],6,FALSE),0)</f>
        <v>1</v>
      </c>
      <c r="AE144" s="20">
        <f>IFERROR(VLOOKUP(Data[[#This Row],[TDS]],IntCompactors_PNA[[TDS]:[0]],3,FALSE)+VLOOKUP(Data[[#This Row],[TDS]],IntCompactors_PNA[[TDS]:[0]],6,FALSE),0)</f>
        <v>3</v>
      </c>
      <c r="AF144" s="20" t="e">
        <f>VLOOKUP(Data[[#This Row],[DEVELOPMENT]],[3]Developments!$A$2:$A$312,1,FALSE)</f>
        <v>#N/A</v>
      </c>
      <c r="AG144" s="20">
        <f>IFERROR(VLOOKUP(Data[[#This Row],[DEVELOPMENT]],Ops_Priorities_and_Data_Clean[[development]:[ifnoext_comment]],3,FALSE),"")</f>
        <v>1</v>
      </c>
      <c r="AH144" s="20">
        <f>IFERROR(VLOOKUP(Data[[#This Row],[DEVELOPMENT]],Ops_Priorities_and_Data_Clean[[development]:[ifnoext_comment]],4,FALSE),"")</f>
        <v>0</v>
      </c>
      <c r="AI144" s="20">
        <f>IFERROR(VLOOKUP(Data[[#This Row],[DEVELOPMENT]],Ops_Priorities_and_Data_Clean[[development]:[ifnoext_comment]],5,FALSE),"")</f>
        <v>1</v>
      </c>
      <c r="AJ144" s="20">
        <f>IFERROR(VLOOKUP(Data[[#This Row],[DEVELOPMENT]],Ops_Priorities_and_Data_Clean[[development]:[ifnoext_comment]],6,FALSE),"")</f>
        <v>0</v>
      </c>
      <c r="AK144" s="20">
        <f>IFERROR(VLOOKUP(Data[[#This Row],[DEVELOPMENT]],Ops_Priorities_and_Data_Clean[[development]:[ifnoext_comment]],7,FALSE),"")</f>
        <v>0</v>
      </c>
      <c r="AL144" s="20">
        <f>IFERROR(VLOOKUP(Data[[#This Row],[DEVELOPMENT]],Ops_Priorities_and_Data_Clean[[development]:[ifnoext_comment]],8,FALSE),"")</f>
        <v>1</v>
      </c>
      <c r="AM144" s="20">
        <f>IFERROR(VLOOKUP(Data[[#This Row],[DEVELOPMENT]],Ops_Priorities_and_Data_Clean[[development]:[ifnoext_comment]],9,FALSE),"")</f>
        <v>0</v>
      </c>
      <c r="AN144" s="20">
        <f>IFERROR(VLOOKUP(Data[[#This Row],[DEVELOPMENT]],Ops_Priorities_and_Data_Clean[[development]:[ifnoext_comment]],10,FALSE),"")</f>
        <v>1</v>
      </c>
      <c r="AO144" s="20">
        <f>IFERROR(VLOOKUP(Data[[#This Row],[DEVELOPMENT]],Ops_Priorities_and_Data_Clean[[development]:[ifnoext_comment]],11,FALSE),"")</f>
        <v>1</v>
      </c>
      <c r="AP144" s="20">
        <f>IFERROR(VLOOKUP(Data[[#This Row],[DEVELOPMENT]],Ops_Priorities_and_Data_Clean[[development]:[ifnoext_comment]],12,FALSE),"")</f>
        <v>1</v>
      </c>
      <c r="AQ144" s="20">
        <f>VLOOKUP(Data[[#This Row],[DEVELOPMENT]],Ops_Priorities_and_Data_Clean[[development]:[ifnoext_comment]],14,FALSE)</f>
        <v>0</v>
      </c>
      <c r="AR144" s="20">
        <f>VLOOKUP(Data[[#This Row],[DEVELOPMENT]],Ops_Priorities_and_Data_Clean[[development]:[ifnoext_comment]],15,FALSE)</f>
        <v>0</v>
      </c>
      <c r="AS144" s="20" t="str">
        <f>VLOOKUP(Data[[#This Row],[DEVELOPMENT]],Ops_Priorities_and_Data_Clean[[development]:[ifnoext_comment]],16,FALSE)</f>
        <v>NULL</v>
      </c>
      <c r="AT144" s="20" t="str">
        <f>VLOOKUP(Data[[#This Row],[DEVELOPMENT]],Ops_Priorities_and_Data_Clean[[development]:[ifnoext_comment]],17,FALSE)</f>
        <v>NULL</v>
      </c>
      <c r="AU144" s="20" t="str">
        <f>VLOOKUP(Data[[#This Row],[DEVELOPMENT]],Ops_Priorities_and_Data_Clean[[development]:[ifnoext_comment]],18,FALSE)</f>
        <v>NULL</v>
      </c>
      <c r="AV144" s="20" t="str">
        <f>VLOOKUP(Data[[#This Row],[DEVELOPMENT]],Ops_Priorities_and_Data_Clean[[development]:[ifnoext_comment]],19,FALSE)</f>
        <v>NULL</v>
      </c>
      <c r="AW144" s="20" t="str">
        <f>VLOOKUP(Data[[#This Row],[DEVELOPMENT]],Ops_Priorities_and_Data_Clean[[development]:[ifnoext_comment]],20,FALSE)</f>
        <v>NULL</v>
      </c>
      <c r="AX144" s="104" t="s">
        <v>2602</v>
      </c>
      <c r="AY144" s="104" t="s">
        <v>392</v>
      </c>
      <c r="AZ144" s="20" t="str">
        <f>VLOOKUP(Data[[#This Row],[DEVELOPMENT]],Development_Data_Book[[DEVELOPMENT]:[PRIVATE MANAGEMENT]],8,FALSE)</f>
        <v>FEDERAL</v>
      </c>
      <c r="BA144" s="104" t="s">
        <v>2586</v>
      </c>
      <c r="BB144" s="20">
        <f>VLOOKUP(Data[[#This Row],[DEVELOPMENT]],Development_Data_Book[[DEVELOPMENT]:[PRIVATE MANAGEMENT]],22,FALSE)</f>
        <v>1</v>
      </c>
      <c r="BC144" s="20">
        <f>Data[[#This Row],[Non-Dwelling Buildings]]+Data[[#This Row],[Dwelling Buildings]]</f>
        <v>4</v>
      </c>
      <c r="BD144" s="20">
        <f>VLOOKUP(Data[[#This Row],[DEVELOPMENT]],Development_Data_Book[[DEVELOPMENT]:[PRIVATE MANAGEMENT]],26,FALSE)</f>
        <v>5.56</v>
      </c>
      <c r="BE144" s="106">
        <v>506800</v>
      </c>
      <c r="BF144" s="20">
        <f>VLOOKUP(Data[[#This Row],[DEVELOPMENT]],Development_Data_Book[[DEVELOPMENT]:[PRIVATE MANAGEMENT]],18,FALSE)</f>
        <v>1366</v>
      </c>
      <c r="BG14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44" s="104" t="s">
        <v>2589</v>
      </c>
      <c r="BI144" t="s">
        <v>184</v>
      </c>
      <c r="BJ144" s="20">
        <f>VLOOKUP(Data[[#This Row],[DEVELOPMENT]],Development_Data_Book[[DEVELOPMENT]:[PRIVATE MANAGEMENT]],41,FALSE)</f>
        <v>16</v>
      </c>
      <c r="BK144" s="20">
        <f>VLOOKUP(Data[[#This Row],[DEVELOPMENT]],Development_Data_Book[[DEVELOPMENT]:[PRIVATE MANAGEMENT]],42,FALSE)</f>
        <v>9</v>
      </c>
      <c r="BL144" s="20">
        <f>VLOOKUP(Data[[#This Row],[DEVELOPMENT]],Development_Data_Book[[DEVELOPMENT]:[PRIVATE MANAGEMENT]],43,FALSE)</f>
        <v>20</v>
      </c>
      <c r="BM144" s="20">
        <f>VLOOKUP(Data[[#This Row],[DEVELOPMENT]],Development_Data_Book[[DEVELOPMENT]:[PRIVATE MANAGEMENT]],44,FALSE)</f>
        <v>55</v>
      </c>
      <c r="BN144" s="20">
        <f>VLOOKUP(Data[[#This Row],[DEVELOPMENT]],Development_Data_Book[[DEVELOPMENT]:[PRIVATE MANAGEMENT]],45,FALSE)</f>
        <v>41</v>
      </c>
      <c r="BO144" s="20">
        <f>VLOOKUP(Data[[#This Row],[DEVELOPMENT]],Development_Data_Book[[DEVELOPMENT]:[PRIVATE MANAGEMENT]],24,FALSE)</f>
        <v>22</v>
      </c>
    </row>
    <row r="145" spans="1:67">
      <c r="A145" t="s">
        <v>286</v>
      </c>
      <c r="B145" s="20" t="str">
        <f>VLOOKUP(Data[[#This Row],[DEVELOPMENT]],Development_Data_Book[[DEVELOPMENT]:[BOROUGH]],MATCH("borough",Development_Data_Book[[#Headers],[DEVELOPMENT]:[BOROUGH]],0),FALSE)</f>
        <v>BRONX</v>
      </c>
      <c r="C145" s="20" t="e">
        <f>VLOOKUP(Data[[#This Row],[DEVELOPMENT]],'[1]Cheat-Sheet'!$D$2:$Q$341,2,FALSE)</f>
        <v>#N/A</v>
      </c>
      <c r="D14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45" s="20">
        <f>VLOOKUP(Data[[#This Row],[DEVELOPMENT]],Development_Data_Book[[DEVELOPMENT]:[BOROUGH]],21,FALSE)</f>
        <v>13</v>
      </c>
      <c r="F145" s="20">
        <f>VLOOKUP(Data[[#This Row],[DEVELOPMENT]],Development_Data_Book[[DEVELOPMENT]:[BOROUGH]],23,FALSE)</f>
        <v>13</v>
      </c>
      <c r="G145" s="20">
        <f>VLOOKUP(Data[[#This Row],[DEVELOPMENT]],Development_Data_Book[[DEVELOPMENT]:[BOROUGH]],12,FALSE)</f>
        <v>131</v>
      </c>
      <c r="H145" t="s">
        <v>2248</v>
      </c>
      <c r="J145">
        <f>IFERROR(VLOOKUP(Data[[#This Row],[DEVELOPMENT]],IntCompactors_MRST[],4,FALSE),0)</f>
        <v>0</v>
      </c>
      <c r="K145" s="20">
        <f>IFERROR(VLOOKUP(Data[[#This Row],[DEVELOPMENT]],ExtCompactors_MRST[],4,FALSE),0)</f>
        <v>0</v>
      </c>
      <c r="L145" s="27" t="str">
        <f>IF(Data[[#This Row],['# Interior Compactors MRST]]=0,"",VLOOKUP(Data[[#This Row],[DEVELOPMENT]],IntCompactors_MRST[],5,FALSE))</f>
        <v/>
      </c>
      <c r="M145" s="28" t="str">
        <f>IF(Data[[#This Row],['# Exterior Compactors MRST]]=0,"",VLOOKUP(Data[[#This Row],[DEVELOPMENT]],ExtCompactors_MRST[],5,FALSE))</f>
        <v/>
      </c>
      <c r="N145" s="20">
        <f>Data[[#This Row],['# Interior Compactors MRST]]</f>
        <v>0</v>
      </c>
      <c r="O145" s="20">
        <f>IF(Data[[#This Row],['# Bulk Crushers]]=0,1,0)</f>
        <v>1</v>
      </c>
      <c r="P145" s="20">
        <f>1</f>
        <v>1</v>
      </c>
      <c r="Q145" s="20">
        <f>1</f>
        <v>1</v>
      </c>
      <c r="R145" s="20">
        <f>1</f>
        <v>1</v>
      </c>
      <c r="S145" s="20">
        <f>1</f>
        <v>1</v>
      </c>
      <c r="T145" s="20">
        <f>IF(Data[[#This Row],[Sewershed]]="Newtown Creek",Data[[#This Row],[DUs]],0)</f>
        <v>0</v>
      </c>
      <c r="U14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4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4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45" s="82">
        <f>VLOOKUP(Data[[#This Row],[DEVELOPMENT]],Development_Data_Book[[DEVELOPMENT]:[BOROUGH]],3,FALSE)</f>
        <v>367</v>
      </c>
      <c r="Y145" s="20"/>
      <c r="Z145" s="20">
        <f>IFERROR(VLOOKUP(Data[[#This Row],[TDS]],ExtCompactors_PNA[[Development]:[0]],2,FALSE),0)</f>
        <v>0</v>
      </c>
      <c r="AA145" s="20">
        <f>IFERROR(VLOOKUP(Data[[#This Row],[TDS]],IntCompactors_PNA[[TDS]:[0]],2,FALSE),0)</f>
        <v>1</v>
      </c>
      <c r="AB145" s="20"/>
      <c r="AC145" s="20"/>
      <c r="AD145" s="20">
        <f>IFERROR(VLOOKUP(Data[[#This Row],[TDS]],ExtCompactors_PNA[[Development]:[0]],3,FALSE)+VLOOKUP(Data[[#This Row],[TDS]],ExtCompactors_PNA[[Development]:[0]],6,FALSE),0)</f>
        <v>0</v>
      </c>
      <c r="AE145" s="20">
        <f>IFERROR(VLOOKUP(Data[[#This Row],[TDS]],IntCompactors_PNA[[TDS]:[0]],3,FALSE)+VLOOKUP(Data[[#This Row],[TDS]],IntCompactors_PNA[[TDS]:[0]],6,FALSE),0)</f>
        <v>1</v>
      </c>
      <c r="AF145" s="20" t="e">
        <f>VLOOKUP(Data[[#This Row],[DEVELOPMENT]],[3]Developments!$A$2:$A$312,1,FALSE)</f>
        <v>#N/A</v>
      </c>
      <c r="AG145" s="20">
        <f>IFERROR(VLOOKUP(Data[[#This Row],[DEVELOPMENT]],Ops_Priorities_and_Data_Clean[[development]:[ifnoext_comment]],3,FALSE),"")</f>
        <v>0</v>
      </c>
      <c r="AH145" s="20">
        <f>IFERROR(VLOOKUP(Data[[#This Row],[DEVELOPMENT]],Ops_Priorities_and_Data_Clean[[development]:[ifnoext_comment]],4,FALSE),"")</f>
        <v>4</v>
      </c>
      <c r="AI145" s="20">
        <f>IFERROR(VLOOKUP(Data[[#This Row],[DEVELOPMENT]],Ops_Priorities_and_Data_Clean[[development]:[ifnoext_comment]],5,FALSE),"")</f>
        <v>0</v>
      </c>
      <c r="AJ145" s="20">
        <f>IFERROR(VLOOKUP(Data[[#This Row],[DEVELOPMENT]],Ops_Priorities_and_Data_Clean[[development]:[ifnoext_comment]],6,FALSE),"")</f>
        <v>0</v>
      </c>
      <c r="AK145" s="20">
        <f>IFERROR(VLOOKUP(Data[[#This Row],[DEVELOPMENT]],Ops_Priorities_and_Data_Clean[[development]:[ifnoext_comment]],7,FALSE),"")</f>
        <v>1</v>
      </c>
      <c r="AL145" s="20">
        <f>IFERROR(VLOOKUP(Data[[#This Row],[DEVELOPMENT]],Ops_Priorities_and_Data_Clean[[development]:[ifnoext_comment]],8,FALSE),"")</f>
        <v>1</v>
      </c>
      <c r="AM145" s="20">
        <f>IFERROR(VLOOKUP(Data[[#This Row],[DEVELOPMENT]],Ops_Priorities_and_Data_Clean[[development]:[ifnoext_comment]],9,FALSE),"")</f>
        <v>0</v>
      </c>
      <c r="AN145" s="20">
        <f>IFERROR(VLOOKUP(Data[[#This Row],[DEVELOPMENT]],Ops_Priorities_and_Data_Clean[[development]:[ifnoext_comment]],10,FALSE),"")</f>
        <v>0</v>
      </c>
      <c r="AO145" s="20">
        <f>IFERROR(VLOOKUP(Data[[#This Row],[DEVELOPMENT]],Ops_Priorities_and_Data_Clean[[development]:[ifnoext_comment]],11,FALSE),"")</f>
        <v>0</v>
      </c>
      <c r="AP145" s="20">
        <f>IFERROR(VLOOKUP(Data[[#This Row],[DEVELOPMENT]],Ops_Priorities_and_Data_Clean[[development]:[ifnoext_comment]],12,FALSE),"")</f>
        <v>0</v>
      </c>
      <c r="AQ145" s="20">
        <f>VLOOKUP(Data[[#This Row],[DEVELOPMENT]],Ops_Priorities_and_Data_Clean[[development]:[ifnoext_comment]],14,FALSE)</f>
        <v>1</v>
      </c>
      <c r="AR145" s="20">
        <f>VLOOKUP(Data[[#This Row],[DEVELOPMENT]],Ops_Priorities_and_Data_Clean[[development]:[ifnoext_comment]],15,FALSE)</f>
        <v>0</v>
      </c>
      <c r="AS145" s="20" t="str">
        <f>VLOOKUP(Data[[#This Row],[DEVELOPMENT]],Ops_Priorities_and_Data_Clean[[development]:[ifnoext_comment]],16,FALSE)</f>
        <v>NULL</v>
      </c>
      <c r="AT145" s="20" t="str">
        <f>VLOOKUP(Data[[#This Row],[DEVELOPMENT]],Ops_Priorities_and_Data_Clean[[development]:[ifnoext_comment]],17,FALSE)</f>
        <v>NULL</v>
      </c>
      <c r="AU145" s="20" t="str">
        <f>VLOOKUP(Data[[#This Row],[DEVELOPMENT]],Ops_Priorities_and_Data_Clean[[development]:[ifnoext_comment]],18,FALSE)</f>
        <v>NULL</v>
      </c>
      <c r="AV145" s="20" t="str">
        <f>VLOOKUP(Data[[#This Row],[DEVELOPMENT]],Ops_Priorities_and_Data_Clean[[development]:[ifnoext_comment]],19,FALSE)</f>
        <v>NULL</v>
      </c>
      <c r="AW145" s="20" t="str">
        <f>VLOOKUP(Data[[#This Row],[DEVELOPMENT]],Ops_Priorities_and_Data_Clean[[development]:[ifnoext_comment]],20,FALSE)</f>
        <v xml:space="preserve">There is no room for an exterior </v>
      </c>
      <c r="AX145" s="104" t="s">
        <v>2596</v>
      </c>
      <c r="AY145" s="104" t="s">
        <v>2657</v>
      </c>
      <c r="AZ145" s="20" t="str">
        <f>VLOOKUP(Data[[#This Row],[DEVELOPMENT]],Development_Data_Book[[DEVELOPMENT]:[PRIVATE MANAGEMENT]],8,FALSE)</f>
        <v>FEDERAL</v>
      </c>
      <c r="BA145" s="104" t="s">
        <v>2613</v>
      </c>
      <c r="BB145" s="20">
        <f>VLOOKUP(Data[[#This Row],[DEVELOPMENT]],Development_Data_Book[[DEVELOPMENT]:[PRIVATE MANAGEMENT]],22,FALSE)</f>
        <v>0</v>
      </c>
      <c r="BC145" s="20">
        <f>Data[[#This Row],[Non-Dwelling Buildings]]+Data[[#This Row],[Dwelling Buildings]]</f>
        <v>13</v>
      </c>
      <c r="BD145" s="20">
        <f>VLOOKUP(Data[[#This Row],[DEVELOPMENT]],Development_Data_Book[[DEVELOPMENT]:[PRIVATE MANAGEMENT]],26,FALSE)</f>
        <v>1.34</v>
      </c>
      <c r="BE145" s="106">
        <v>154900</v>
      </c>
      <c r="BF145" s="20">
        <f>VLOOKUP(Data[[#This Row],[DEVELOPMENT]],Development_Data_Book[[DEVELOPMENT]:[PRIVATE MANAGEMENT]],18,FALSE)</f>
        <v>314</v>
      </c>
      <c r="BG14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45" s="104" t="s">
        <v>2610</v>
      </c>
      <c r="BI145" t="s">
        <v>184</v>
      </c>
      <c r="BJ145" s="20">
        <f>VLOOKUP(Data[[#This Row],[DEVELOPMENT]],Development_Data_Book[[DEVELOPMENT]:[PRIVATE MANAGEMENT]],41,FALSE)</f>
        <v>2</v>
      </c>
      <c r="BK145" s="20">
        <f>VLOOKUP(Data[[#This Row],[DEVELOPMENT]],Development_Data_Book[[DEVELOPMENT]:[PRIVATE MANAGEMENT]],42,FALSE)</f>
        <v>15</v>
      </c>
      <c r="BL145" s="20" t="str">
        <f>VLOOKUP(Data[[#This Row],[DEVELOPMENT]],Development_Data_Book[[DEVELOPMENT]:[PRIVATE MANAGEMENT]],43,FALSE)</f>
        <v>32, 34</v>
      </c>
      <c r="BM145" s="20">
        <f>VLOOKUP(Data[[#This Row],[DEVELOPMENT]],Development_Data_Book[[DEVELOPMENT]:[PRIVATE MANAGEMENT]],44,FALSE)</f>
        <v>85</v>
      </c>
      <c r="BN145" s="20">
        <f>VLOOKUP(Data[[#This Row],[DEVELOPMENT]],Development_Data_Book[[DEVELOPMENT]:[PRIVATE MANAGEMENT]],45,FALSE)</f>
        <v>17</v>
      </c>
      <c r="BO145" s="20">
        <f>VLOOKUP(Data[[#This Row],[DEVELOPMENT]],Development_Data_Book[[DEVELOPMENT]:[PRIVATE MANAGEMENT]],24,FALSE)</f>
        <v>43560</v>
      </c>
    </row>
    <row r="146" spans="1:67">
      <c r="A146" s="17" t="s">
        <v>139</v>
      </c>
      <c r="B146" s="17" t="str">
        <f>VLOOKUP(Data[[#This Row],[DEVELOPMENT]],Development_Data_Book[[DEVELOPMENT]:[BOROUGH]],MATCH("borough",Development_Data_Book[[#Headers],[DEVELOPMENT]:[BOROUGH]],0),FALSE)</f>
        <v>BROOKLYN</v>
      </c>
      <c r="C146" t="e">
        <f>VLOOKUP(Data[[#This Row],[DEVELOPMENT]],'[1]Cheat-Sheet'!$D$2:$Q$341,2,FALSE)</f>
        <v>#N/A</v>
      </c>
      <c r="D14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46">
        <f>VLOOKUP(Data[[#This Row],[DEVELOPMENT]],Development_Data_Book[[DEVELOPMENT]:[BOROUGH]],21,FALSE)</f>
        <v>1</v>
      </c>
      <c r="F146">
        <f>VLOOKUP(Data[[#This Row],[DEVELOPMENT]],Development_Data_Book[[DEVELOPMENT]:[BOROUGH]],23,FALSE)</f>
        <v>1</v>
      </c>
      <c r="G146">
        <f>VLOOKUP(Data[[#This Row],[DEVELOPMENT]],Development_Data_Book[[DEVELOPMENT]:[BOROUGH]],12,FALSE)</f>
        <v>209</v>
      </c>
      <c r="H146" t="s">
        <v>2246</v>
      </c>
      <c r="I146">
        <v>4</v>
      </c>
      <c r="J146">
        <f>IFERROR(VLOOKUP(Data[[#This Row],[DEVELOPMENT]],IntCompactors_MRST[],4,FALSE),0)</f>
        <v>1</v>
      </c>
      <c r="K146" s="20">
        <f>IFERROR(VLOOKUP(Data[[#This Row],[DEVELOPMENT]],ExtCompactors_MRST[],4,FALSE),0)</f>
        <v>0</v>
      </c>
      <c r="L146" s="27">
        <f>IF(Data[[#This Row],['# Interior Compactors MRST]]=0,"",VLOOKUP(Data[[#This Row],[DEVELOPMENT]],IntCompactors_MRST[],5,FALSE))</f>
        <v>36465</v>
      </c>
      <c r="M146" s="28" t="str">
        <f>IF(Data[[#This Row],['# Exterior Compactors MRST]]=0,"",VLOOKUP(Data[[#This Row],[DEVELOPMENT]],ExtCompactors_MRST[],5,FALSE))</f>
        <v/>
      </c>
      <c r="N146">
        <f>Data[[#This Row],['# Interior Compactors MRST]]</f>
        <v>1</v>
      </c>
      <c r="O146" s="20">
        <f>IF(Data[[#This Row],['# Bulk Crushers]]=0,1,0)</f>
        <v>1</v>
      </c>
      <c r="P146" s="20">
        <f>1</f>
        <v>1</v>
      </c>
      <c r="Q146" s="20">
        <f>1</f>
        <v>1</v>
      </c>
      <c r="R146" s="20">
        <f>1</f>
        <v>1</v>
      </c>
      <c r="S146" s="20">
        <f>1</f>
        <v>1</v>
      </c>
      <c r="T146" s="20">
        <f>IF(Data[[#This Row],[Sewershed]]="Newtown Creek",Data[[#This Row],[DUs]],0)</f>
        <v>209</v>
      </c>
      <c r="U14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4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4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46" s="82">
        <f>VLOOKUP(Data[[#This Row],[DEVELOPMENT]],Development_Data_Book[[DEVELOPMENT]:[BOROUGH]],3,FALSE)</f>
        <v>109</v>
      </c>
      <c r="Y146" s="20" t="s">
        <v>2599</v>
      </c>
      <c r="Z146" s="20">
        <f>IFERROR(VLOOKUP(Data[[#This Row],[TDS]],ExtCompactors_PNA[[Development]:[0]],2,FALSE),0)</f>
        <v>0</v>
      </c>
      <c r="AA146" s="20">
        <f>IFERROR(VLOOKUP(Data[[#This Row],[TDS]],IntCompactors_PNA[[TDS]:[0]],2,FALSE),0)</f>
        <v>1</v>
      </c>
      <c r="AB146" s="20"/>
      <c r="AC146" s="20"/>
      <c r="AD146" s="20">
        <f>IFERROR(VLOOKUP(Data[[#This Row],[TDS]],ExtCompactors_PNA[[Development]:[0]],3,FALSE)+VLOOKUP(Data[[#This Row],[TDS]],ExtCompactors_PNA[[Development]:[0]],6,FALSE),0)</f>
        <v>0</v>
      </c>
      <c r="AE146" s="20">
        <f>IFERROR(VLOOKUP(Data[[#This Row],[TDS]],IntCompactors_PNA[[TDS]:[0]],3,FALSE)+VLOOKUP(Data[[#This Row],[TDS]],IntCompactors_PNA[[TDS]:[0]],6,FALSE),0)</f>
        <v>1</v>
      </c>
      <c r="AF146" s="20" t="e">
        <f>VLOOKUP(Data[[#This Row],[DEVELOPMENT]],[3]Developments!$A$2:$A$312,1,FALSE)</f>
        <v>#N/A</v>
      </c>
      <c r="AG146" s="20">
        <f>IFERROR(VLOOKUP(Data[[#This Row],[DEVELOPMENT]],Ops_Priorities_and_Data_Clean[[development]:[ifnoext_comment]],3,FALSE),"")</f>
        <v>0</v>
      </c>
      <c r="AH146" s="20">
        <f>IFERROR(VLOOKUP(Data[[#This Row],[DEVELOPMENT]],Ops_Priorities_and_Data_Clean[[development]:[ifnoext_comment]],4,FALSE),"")</f>
        <v>4</v>
      </c>
      <c r="AI146" s="20">
        <f>IFERROR(VLOOKUP(Data[[#This Row],[DEVELOPMENT]],Ops_Priorities_and_Data_Clean[[development]:[ifnoext_comment]],5,FALSE),"")</f>
        <v>0</v>
      </c>
      <c r="AJ146" s="20">
        <f>IFERROR(VLOOKUP(Data[[#This Row],[DEVELOPMENT]],Ops_Priorities_and_Data_Clean[[development]:[ifnoext_comment]],6,FALSE),"")</f>
        <v>1</v>
      </c>
      <c r="AK146" s="20">
        <f>IFERROR(VLOOKUP(Data[[#This Row],[DEVELOPMENT]],Ops_Priorities_and_Data_Clean[[development]:[ifnoext_comment]],7,FALSE),"")</f>
        <v>0</v>
      </c>
      <c r="AL146" s="20">
        <f>IFERROR(VLOOKUP(Data[[#This Row],[DEVELOPMENT]],Ops_Priorities_and_Data_Clean[[development]:[ifnoext_comment]],8,FALSE),"")</f>
        <v>1</v>
      </c>
      <c r="AM146" s="20">
        <f>IFERROR(VLOOKUP(Data[[#This Row],[DEVELOPMENT]],Ops_Priorities_and_Data_Clean[[development]:[ifnoext_comment]],9,FALSE),"")</f>
        <v>0</v>
      </c>
      <c r="AN146" s="20">
        <f>IFERROR(VLOOKUP(Data[[#This Row],[DEVELOPMENT]],Ops_Priorities_and_Data_Clean[[development]:[ifnoext_comment]],10,FALSE),"")</f>
        <v>0</v>
      </c>
      <c r="AO146" s="20">
        <f>IFERROR(VLOOKUP(Data[[#This Row],[DEVELOPMENT]],Ops_Priorities_and_Data_Clean[[development]:[ifnoext_comment]],11,FALSE),"")</f>
        <v>0</v>
      </c>
      <c r="AP146" s="20">
        <f>IFERROR(VLOOKUP(Data[[#This Row],[DEVELOPMENT]],Ops_Priorities_and_Data_Clean[[development]:[ifnoext_comment]],12,FALSE),"")</f>
        <v>0</v>
      </c>
      <c r="AQ146" s="20">
        <f>VLOOKUP(Data[[#This Row],[DEVELOPMENT]],Ops_Priorities_and_Data_Clean[[development]:[ifnoext_comment]],14,FALSE)</f>
        <v>0</v>
      </c>
      <c r="AR146" s="20">
        <f>VLOOKUP(Data[[#This Row],[DEVELOPMENT]],Ops_Priorities_and_Data_Clean[[development]:[ifnoext_comment]],15,FALSE)</f>
        <v>1</v>
      </c>
      <c r="AS146" s="20" t="str">
        <f>VLOOKUP(Data[[#This Row],[DEVELOPMENT]],Ops_Priorities_and_Data_Clean[[development]:[ifnoext_comment]],16,FALSE)</f>
        <v>Bushwick</v>
      </c>
      <c r="AT146" s="20" t="str">
        <f>VLOOKUP(Data[[#This Row],[DEVELOPMENT]],Ops_Priorities_and_Data_Clean[[development]:[ifnoext_comment]],17,FALSE)</f>
        <v>NULL</v>
      </c>
      <c r="AU146" s="20" t="str">
        <f>VLOOKUP(Data[[#This Row],[DEVELOPMENT]],Ops_Priorities_and_Data_Clean[[development]:[ifnoext_comment]],18,FALSE)</f>
        <v>No</v>
      </c>
      <c r="AV146" s="20" t="str">
        <f>VLOOKUP(Data[[#This Row],[DEVELOPMENT]],Ops_Priorities_and_Data_Clean[[development]:[ifnoext_comment]],19,FALSE)</f>
        <v>served by Bushwick</v>
      </c>
      <c r="AW146" s="20" t="str">
        <f>VLOOKUP(Data[[#This Row],[DEVELOPMENT]],Ops_Priorities_and_Data_Clean[[development]:[ifnoext_comment]],20,FALSE)</f>
        <v>It's a share</v>
      </c>
      <c r="AX146" s="104" t="s">
        <v>2605</v>
      </c>
      <c r="AY146" s="104" t="s">
        <v>26</v>
      </c>
      <c r="AZ146" s="20" t="str">
        <f>VLOOKUP(Data[[#This Row],[DEVELOPMENT]],Development_Data_Book[[DEVELOPMENT]:[PRIVATE MANAGEMENT]],8,FALSE)</f>
        <v>FEDERAL</v>
      </c>
      <c r="BA146" s="104" t="s">
        <v>2586</v>
      </c>
      <c r="BB146" s="20">
        <f>VLOOKUP(Data[[#This Row],[DEVELOPMENT]],Development_Data_Book[[DEVELOPMENT]:[PRIVATE MANAGEMENT]],22,FALSE)</f>
        <v>0</v>
      </c>
      <c r="BC146" s="20">
        <f>Data[[#This Row],[Non-Dwelling Buildings]]+Data[[#This Row],[Dwelling Buildings]]</f>
        <v>1</v>
      </c>
      <c r="BD146" s="20">
        <f>VLOOKUP(Data[[#This Row],[DEVELOPMENT]],Development_Data_Book[[DEVELOPMENT]:[PRIVATE MANAGEMENT]],26,FALSE)</f>
        <v>1.78</v>
      </c>
      <c r="BE146" s="106">
        <v>224400</v>
      </c>
      <c r="BF146" s="20">
        <f>VLOOKUP(Data[[#This Row],[DEVELOPMENT]],Development_Data_Book[[DEVELOPMENT]:[PRIVATE MANAGEMENT]],18,FALSE)</f>
        <v>456</v>
      </c>
      <c r="BG14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46" s="104" t="s">
        <v>2601</v>
      </c>
      <c r="BI146" t="s">
        <v>184</v>
      </c>
      <c r="BJ146" s="20">
        <f>VLOOKUP(Data[[#This Row],[DEVELOPMENT]],Development_Data_Book[[DEVELOPMENT]:[PRIVATE MANAGEMENT]],41,FALSE)</f>
        <v>1</v>
      </c>
      <c r="BK146" s="20">
        <f>VLOOKUP(Data[[#This Row],[DEVELOPMENT]],Development_Data_Book[[DEVELOPMENT]:[PRIVATE MANAGEMENT]],42,FALSE)</f>
        <v>7</v>
      </c>
      <c r="BL146" s="20">
        <f>VLOOKUP(Data[[#This Row],[DEVELOPMENT]],Development_Data_Book[[DEVELOPMENT]:[PRIVATE MANAGEMENT]],43,FALSE)</f>
        <v>18</v>
      </c>
      <c r="BM146" s="20">
        <f>VLOOKUP(Data[[#This Row],[DEVELOPMENT]],Development_Data_Book[[DEVELOPMENT]:[PRIVATE MANAGEMENT]],44,FALSE)</f>
        <v>53</v>
      </c>
      <c r="BN146" s="20">
        <f>VLOOKUP(Data[[#This Row],[DEVELOPMENT]],Development_Data_Book[[DEVELOPMENT]:[PRIVATE MANAGEMENT]],45,FALSE)</f>
        <v>34</v>
      </c>
      <c r="BO146" s="20">
        <f>VLOOKUP(Data[[#This Row],[DEVELOPMENT]],Development_Data_Book[[DEVELOPMENT]:[PRIVATE MANAGEMENT]],24,FALSE)</f>
        <v>19</v>
      </c>
    </row>
    <row r="147" spans="1:67">
      <c r="A147" t="s">
        <v>335</v>
      </c>
      <c r="B147" s="20" t="str">
        <f>VLOOKUP(Data[[#This Row],[DEVELOPMENT]],Development_Data_Book[[DEVELOPMENT]:[BOROUGH]],MATCH("borough",Development_Data_Book[[#Headers],[DEVELOPMENT]:[BOROUGH]],0),FALSE)</f>
        <v>BROOKLYN</v>
      </c>
      <c r="C147" s="20" t="e">
        <f>VLOOKUP(Data[[#This Row],[DEVELOPMENT]],'[1]Cheat-Sheet'!$D$2:$Q$341,2,FALSE)</f>
        <v>#N/A</v>
      </c>
      <c r="D147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147" s="20">
        <f>VLOOKUP(Data[[#This Row],[DEVELOPMENT]],Development_Data_Book[[DEVELOPMENT]:[BOROUGH]],21,FALSE)</f>
        <v>6</v>
      </c>
      <c r="F147" s="20">
        <f>VLOOKUP(Data[[#This Row],[DEVELOPMENT]],Development_Data_Book[[DEVELOPMENT]:[BOROUGH]],23,FALSE)</f>
        <v>6</v>
      </c>
      <c r="G147" s="20">
        <f>VLOOKUP(Data[[#This Row],[DEVELOPMENT]],Development_Data_Book[[DEVELOPMENT]:[BOROUGH]],12,FALSE)</f>
        <v>741</v>
      </c>
      <c r="J147">
        <f>IFERROR(VLOOKUP(Data[[#This Row],[DEVELOPMENT]],IntCompactors_MRST[],4,FALSE),0)</f>
        <v>6</v>
      </c>
      <c r="K147" s="20">
        <f>IFERROR(VLOOKUP(Data[[#This Row],[DEVELOPMENT]],ExtCompactors_MRST[],4,FALSE),0)</f>
        <v>0</v>
      </c>
      <c r="L147" s="27">
        <f>IF(Data[[#This Row],['# Interior Compactors MRST]]=0,"",VLOOKUP(Data[[#This Row],[DEVELOPMENT]],IntCompactors_MRST[],5,FALSE))</f>
        <v>41275</v>
      </c>
      <c r="M147" s="28" t="str">
        <f>IF(Data[[#This Row],['# Exterior Compactors MRST]]=0,"",VLOOKUP(Data[[#This Row],[DEVELOPMENT]],ExtCompactors_MRST[],5,FALSE))</f>
        <v/>
      </c>
      <c r="N147" s="20">
        <f>Data[[#This Row],['# Interior Compactors MRST]]</f>
        <v>6</v>
      </c>
      <c r="O147" s="20">
        <f>IF(Data[[#This Row],['# Bulk Crushers]]=0,1,0)</f>
        <v>1</v>
      </c>
      <c r="P147" s="20">
        <f>1</f>
        <v>1</v>
      </c>
      <c r="Q147" s="20">
        <f>1</f>
        <v>1</v>
      </c>
      <c r="R147" s="20">
        <f>1</f>
        <v>1</v>
      </c>
      <c r="S147" s="20">
        <f>1</f>
        <v>1</v>
      </c>
      <c r="T147" s="20">
        <f>IF(Data[[#This Row],[Sewershed]]="Newtown Creek",Data[[#This Row],[DUs]],0)</f>
        <v>741</v>
      </c>
      <c r="U14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4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4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47" s="82">
        <f>VLOOKUP(Data[[#This Row],[DEVELOPMENT]],Development_Data_Book[[DEVELOPMENT]:[BOROUGH]],3,FALSE)</f>
        <v>140</v>
      </c>
      <c r="Y147" s="20" t="s">
        <v>2599</v>
      </c>
      <c r="Z147" s="20">
        <f>IFERROR(VLOOKUP(Data[[#This Row],[TDS]],ExtCompactors_PNA[[Development]:[0]],2,FALSE),0)</f>
        <v>2</v>
      </c>
      <c r="AA147" s="20">
        <f>IFERROR(VLOOKUP(Data[[#This Row],[TDS]],IntCompactors_PNA[[TDS]:[0]],2,FALSE),0)</f>
        <v>6</v>
      </c>
      <c r="AB147" s="20"/>
      <c r="AC147" s="20"/>
      <c r="AD147" s="20">
        <f>IFERROR(VLOOKUP(Data[[#This Row],[TDS]],ExtCompactors_PNA[[Development]:[0]],3,FALSE)+VLOOKUP(Data[[#This Row],[TDS]],ExtCompactors_PNA[[Development]:[0]],6,FALSE),0)</f>
        <v>2</v>
      </c>
      <c r="AE147" s="20">
        <f>IFERROR(VLOOKUP(Data[[#This Row],[TDS]],IntCompactors_PNA[[TDS]:[0]],3,FALSE)+VLOOKUP(Data[[#This Row],[TDS]],IntCompactors_PNA[[TDS]:[0]],6,FALSE),0)</f>
        <v>6</v>
      </c>
      <c r="AF147" s="20" t="e">
        <f>VLOOKUP(Data[[#This Row],[DEVELOPMENT]],[3]Developments!$A$2:$A$312,1,FALSE)</f>
        <v>#N/A</v>
      </c>
      <c r="AG147" s="20">
        <f>IFERROR(VLOOKUP(Data[[#This Row],[DEVELOPMENT]],Ops_Priorities_and_Data_Clean[[development]:[ifnoext_comment]],3,FALSE),"")</f>
        <v>0</v>
      </c>
      <c r="AH147" s="20">
        <f>IFERROR(VLOOKUP(Data[[#This Row],[DEVELOPMENT]],Ops_Priorities_and_Data_Clean[[development]:[ifnoext_comment]],4,FALSE),"")</f>
        <v>0</v>
      </c>
      <c r="AI147" s="20">
        <f>IFERROR(VLOOKUP(Data[[#This Row],[DEVELOPMENT]],Ops_Priorities_and_Data_Clean[[development]:[ifnoext_comment]],5,FALSE),"")</f>
        <v>0</v>
      </c>
      <c r="AJ147" s="20">
        <f>IFERROR(VLOOKUP(Data[[#This Row],[DEVELOPMENT]],Ops_Priorities_and_Data_Clean[[development]:[ifnoext_comment]],6,FALSE),"")</f>
        <v>1</v>
      </c>
      <c r="AK147" s="20">
        <f>IFERROR(VLOOKUP(Data[[#This Row],[DEVELOPMENT]],Ops_Priorities_and_Data_Clean[[development]:[ifnoext_comment]],7,FALSE),"")</f>
        <v>0</v>
      </c>
      <c r="AL147" s="20">
        <f>IFERROR(VLOOKUP(Data[[#This Row],[DEVELOPMENT]],Ops_Priorities_and_Data_Clean[[development]:[ifnoext_comment]],8,FALSE),"")</f>
        <v>1</v>
      </c>
      <c r="AM147" s="20">
        <f>IFERROR(VLOOKUP(Data[[#This Row],[DEVELOPMENT]],Ops_Priorities_and_Data_Clean[[development]:[ifnoext_comment]],9,FALSE),"")</f>
        <v>1</v>
      </c>
      <c r="AN147" s="20">
        <f>IFERROR(VLOOKUP(Data[[#This Row],[DEVELOPMENT]],Ops_Priorities_and_Data_Clean[[development]:[ifnoext_comment]],10,FALSE),"")</f>
        <v>2</v>
      </c>
      <c r="AO147" s="20">
        <f>IFERROR(VLOOKUP(Data[[#This Row],[DEVELOPMENT]],Ops_Priorities_and_Data_Clean[[development]:[ifnoext_comment]],11,FALSE),"")</f>
        <v>0</v>
      </c>
      <c r="AP147" s="20">
        <f>IFERROR(VLOOKUP(Data[[#This Row],[DEVELOPMENT]],Ops_Priorities_and_Data_Clean[[development]:[ifnoext_comment]],12,FALSE),"")</f>
        <v>0</v>
      </c>
      <c r="AQ147" s="20">
        <f>VLOOKUP(Data[[#This Row],[DEVELOPMENT]],Ops_Priorities_and_Data_Clean[[development]:[ifnoext_comment]],14,FALSE)</f>
        <v>0</v>
      </c>
      <c r="AR147" s="20">
        <f>VLOOKUP(Data[[#This Row],[DEVELOPMENT]],Ops_Priorities_and_Data_Clean[[development]:[ifnoext_comment]],15,FALSE)</f>
        <v>0</v>
      </c>
      <c r="AS147" s="20" t="str">
        <f>VLOOKUP(Data[[#This Row],[DEVELOPMENT]],Ops_Priorities_and_Data_Clean[[development]:[ifnoext_comment]],16,FALSE)</f>
        <v>TAYLOR STREET-WYTHE AVENUE</v>
      </c>
      <c r="AT147" s="20" t="str">
        <f>VLOOKUP(Data[[#This Row],[DEVELOPMENT]],Ops_Priorities_and_Data_Clean[[development]:[ifnoext_comment]],17,FALSE)</f>
        <v>NULL</v>
      </c>
      <c r="AU147" s="20" t="str">
        <f>VLOOKUP(Data[[#This Row],[DEVELOPMENT]],Ops_Priorities_and_Data_Clean[[development]:[ifnoext_comment]],18,FALSE)</f>
        <v>no</v>
      </c>
      <c r="AV147" s="20" t="str">
        <f>VLOOKUP(Data[[#This Row],[DEVELOPMENT]],Ops_Priorities_and_Data_Clean[[development]:[ifnoext_comment]],19,FALSE)</f>
        <v>Taylor-Wythe uses Independence's exterior compactor.</v>
      </c>
      <c r="AW147" s="20" t="str">
        <f>VLOOKUP(Data[[#This Row],[DEVELOPMENT]],Ops_Priorities_and_Data_Clean[[development]:[ifnoext_comment]],20,FALSE)</f>
        <v>There's 2 on Taylor Wythe -- it's technically on Taylor Wythe but people think it's independenceâ€¦</v>
      </c>
      <c r="AX147" s="104" t="s">
        <v>2605</v>
      </c>
      <c r="AY147" s="104" t="s">
        <v>385</v>
      </c>
      <c r="AZ147" s="20" t="str">
        <f>VLOOKUP(Data[[#This Row],[DEVELOPMENT]],Development_Data_Book[[DEVELOPMENT]:[PRIVATE MANAGEMENT]],8,FALSE)</f>
        <v>MIXED FINANCE/LLC2</v>
      </c>
      <c r="BA147" s="104" t="s">
        <v>2586</v>
      </c>
      <c r="BB147" s="20">
        <f>VLOOKUP(Data[[#This Row],[DEVELOPMENT]],Development_Data_Book[[DEVELOPMENT]:[PRIVATE MANAGEMENT]],22,FALSE)</f>
        <v>0</v>
      </c>
      <c r="BC147" s="20">
        <f>Data[[#This Row],[Non-Dwelling Buildings]]+Data[[#This Row],[Dwelling Buildings]]</f>
        <v>6</v>
      </c>
      <c r="BD147" s="20">
        <f>VLOOKUP(Data[[#This Row],[DEVELOPMENT]],Development_Data_Book[[DEVELOPMENT]:[PRIVATE MANAGEMENT]],26,FALSE)</f>
        <v>5.33</v>
      </c>
      <c r="BE147" s="106">
        <v>737350</v>
      </c>
      <c r="BF147" s="20">
        <f>VLOOKUP(Data[[#This Row],[DEVELOPMENT]],Development_Data_Book[[DEVELOPMENT]:[PRIVATE MANAGEMENT]],18,FALSE)</f>
        <v>1714</v>
      </c>
      <c r="BG14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47" s="104" t="s">
        <v>2601</v>
      </c>
      <c r="BI147" t="s">
        <v>184</v>
      </c>
      <c r="BJ147" s="20">
        <f>VLOOKUP(Data[[#This Row],[DEVELOPMENT]],Development_Data_Book[[DEVELOPMENT]:[PRIVATE MANAGEMENT]],41,FALSE)</f>
        <v>1</v>
      </c>
      <c r="BK147" s="20">
        <f>VLOOKUP(Data[[#This Row],[DEVELOPMENT]],Development_Data_Book[[DEVELOPMENT]:[PRIVATE MANAGEMENT]],42,FALSE)</f>
        <v>7</v>
      </c>
      <c r="BL147" s="20">
        <f>VLOOKUP(Data[[#This Row],[DEVELOPMENT]],Development_Data_Book[[DEVELOPMENT]:[PRIVATE MANAGEMENT]],43,FALSE)</f>
        <v>18</v>
      </c>
      <c r="BM147" s="20">
        <f>VLOOKUP(Data[[#This Row],[DEVELOPMENT]],Development_Data_Book[[DEVELOPMENT]:[PRIVATE MANAGEMENT]],44,FALSE)</f>
        <v>50</v>
      </c>
      <c r="BN147" s="20">
        <f>VLOOKUP(Data[[#This Row],[DEVELOPMENT]],Development_Data_Book[[DEVELOPMENT]:[PRIVATE MANAGEMENT]],45,FALSE)</f>
        <v>33</v>
      </c>
      <c r="BO147" s="20">
        <f>VLOOKUP(Data[[#This Row],[DEVELOPMENT]],Development_Data_Book[[DEVELOPMENT]:[PRIVATE MANAGEMENT]],24,FALSE)</f>
        <v>21</v>
      </c>
    </row>
    <row r="148" spans="1:67">
      <c r="A148" t="s">
        <v>207</v>
      </c>
      <c r="B148" s="20" t="str">
        <f>VLOOKUP(Data[[#This Row],[DEVELOPMENT]],Development_Data_Book[[DEVELOPMENT]:[BOROUGH]],MATCH("borough",Development_Data_Book[[#Headers],[DEVELOPMENT]:[BOROUGH]],0),FALSE)</f>
        <v>BROOKLYN</v>
      </c>
      <c r="C148" s="20" t="e">
        <f>VLOOKUP(Data[[#This Row],[DEVELOPMENT]],'[1]Cheat-Sheet'!$D$2:$Q$341,2,FALSE)</f>
        <v>#N/A</v>
      </c>
      <c r="D14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48" s="20">
        <f>VLOOKUP(Data[[#This Row],[DEVELOPMENT]],Development_Data_Book[[DEVELOPMENT]:[BOROUGH]],21,FALSE)</f>
        <v>20</v>
      </c>
      <c r="F148" s="20">
        <f>VLOOKUP(Data[[#This Row],[DEVELOPMENT]],Development_Data_Book[[DEVELOPMENT]:[BOROUGH]],23,FALSE)</f>
        <v>46</v>
      </c>
      <c r="G148" s="20">
        <f>VLOOKUP(Data[[#This Row],[DEVELOPMENT]],Development_Data_Book[[DEVELOPMENT]:[BOROUGH]],12,FALSE)</f>
        <v>1830</v>
      </c>
      <c r="J148">
        <f>IFERROR(VLOOKUP(Data[[#This Row],[DEVELOPMENT]],IntCompactors_MRST[],4,FALSE),0)</f>
        <v>45</v>
      </c>
      <c r="K148" s="20">
        <f>IFERROR(VLOOKUP(Data[[#This Row],[DEVELOPMENT]],ExtCompactors_MRST[],4,FALSE),0)</f>
        <v>3</v>
      </c>
      <c r="L148" s="27">
        <f>IF(Data[[#This Row],['# Interior Compactors MRST]]=0,"",VLOOKUP(Data[[#This Row],[DEVELOPMENT]],IntCompactors_MRST[],5,FALSE))</f>
        <v>36161</v>
      </c>
      <c r="M148" s="28">
        <f>IF(Data[[#This Row],['# Exterior Compactors MRST]]=0,"",VLOOKUP(Data[[#This Row],[DEVELOPMENT]],ExtCompactors_MRST[],5,FALSE))</f>
        <v>39687</v>
      </c>
      <c r="N148" s="20">
        <f>Data[[#This Row],['# Interior Compactors MRST]]</f>
        <v>45</v>
      </c>
      <c r="O148" s="20">
        <f>IF(Data[[#This Row],['# Bulk Crushers]]=0,1,0)</f>
        <v>1</v>
      </c>
      <c r="P148" s="20">
        <f>1</f>
        <v>1</v>
      </c>
      <c r="Q148" s="20">
        <f>1</f>
        <v>1</v>
      </c>
      <c r="R148" s="20">
        <f>1</f>
        <v>1</v>
      </c>
      <c r="S148" s="20">
        <f>1</f>
        <v>1</v>
      </c>
      <c r="T148" s="20">
        <f>IF(Data[[#This Row],[Sewershed]]="Newtown Creek",Data[[#This Row],[DUs]],0)</f>
        <v>1830</v>
      </c>
      <c r="U14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4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4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48" s="82">
        <f>VLOOKUP(Data[[#This Row],[DEVELOPMENT]],Development_Data_Book[[DEVELOPMENT]:[BOROUGH]],3,FALSE)</f>
        <v>14</v>
      </c>
      <c r="Y148" s="20" t="s">
        <v>2599</v>
      </c>
      <c r="Z148" s="20">
        <f>IFERROR(VLOOKUP(Data[[#This Row],[TDS]],ExtCompactors_PNA[[Development]:[0]],2,FALSE),0)</f>
        <v>2</v>
      </c>
      <c r="AA148" s="20">
        <f>IFERROR(VLOOKUP(Data[[#This Row],[TDS]],IntCompactors_PNA[[TDS]:[0]],2,FALSE),0)</f>
        <v>44</v>
      </c>
      <c r="AB148" s="20"/>
      <c r="AC148" s="20"/>
      <c r="AD148" s="20">
        <f>IFERROR(VLOOKUP(Data[[#This Row],[TDS]],ExtCompactors_PNA[[Development]:[0]],3,FALSE)+VLOOKUP(Data[[#This Row],[TDS]],ExtCompactors_PNA[[Development]:[0]],6,FALSE),0)</f>
        <v>2</v>
      </c>
      <c r="AE148" s="20">
        <f>IFERROR(VLOOKUP(Data[[#This Row],[TDS]],IntCompactors_PNA[[TDS]:[0]],3,FALSE)+VLOOKUP(Data[[#This Row],[TDS]],IntCompactors_PNA[[TDS]:[0]],6,FALSE),0)</f>
        <v>44</v>
      </c>
      <c r="AF148" s="20" t="e">
        <f>VLOOKUP(Data[[#This Row],[DEVELOPMENT]],[3]Developments!$A$2:$A$312,1,FALSE)</f>
        <v>#N/A</v>
      </c>
      <c r="AG148" s="20">
        <f>IFERROR(VLOOKUP(Data[[#This Row],[DEVELOPMENT]],Ops_Priorities_and_Data_Clean[[development]:[ifnoext_comment]],3,FALSE),"")</f>
        <v>3</v>
      </c>
      <c r="AH148" s="20">
        <f>IFERROR(VLOOKUP(Data[[#This Row],[DEVELOPMENT]],Ops_Priorities_and_Data_Clean[[development]:[ifnoext_comment]],4,FALSE),"")</f>
        <v>1</v>
      </c>
      <c r="AI148" s="20">
        <f>IFERROR(VLOOKUP(Data[[#This Row],[DEVELOPMENT]],Ops_Priorities_and_Data_Clean[[development]:[ifnoext_comment]],5,FALSE),"")</f>
        <v>1</v>
      </c>
      <c r="AJ148" s="20">
        <f>IFERROR(VLOOKUP(Data[[#This Row],[DEVELOPMENT]],Ops_Priorities_and_Data_Clean[[development]:[ifnoext_comment]],6,FALSE),"")</f>
        <v>0</v>
      </c>
      <c r="AK148" s="20">
        <f>IFERROR(VLOOKUP(Data[[#This Row],[DEVELOPMENT]],Ops_Priorities_and_Data_Clean[[development]:[ifnoext_comment]],7,FALSE),"")</f>
        <v>0</v>
      </c>
      <c r="AL148" s="20">
        <f>IFERROR(VLOOKUP(Data[[#This Row],[DEVELOPMENT]],Ops_Priorities_and_Data_Clean[[development]:[ifnoext_comment]],8,FALSE),"")</f>
        <v>1</v>
      </c>
      <c r="AM148" s="20">
        <f>IFERROR(VLOOKUP(Data[[#This Row],[DEVELOPMENT]],Ops_Priorities_and_Data_Clean[[development]:[ifnoext_comment]],9,FALSE),"")</f>
        <v>0</v>
      </c>
      <c r="AN148" s="20">
        <f>IFERROR(VLOOKUP(Data[[#This Row],[DEVELOPMENT]],Ops_Priorities_and_Data_Clean[[development]:[ifnoext_comment]],10,FALSE),"")</f>
        <v>4</v>
      </c>
      <c r="AO148" s="20">
        <f>IFERROR(VLOOKUP(Data[[#This Row],[DEVELOPMENT]],Ops_Priorities_and_Data_Clean[[development]:[ifnoext_comment]],11,FALSE),"")</f>
        <v>3</v>
      </c>
      <c r="AP148" s="20">
        <f>IFERROR(VLOOKUP(Data[[#This Row],[DEVELOPMENT]],Ops_Priorities_and_Data_Clean[[development]:[ifnoext_comment]],12,FALSE),"")</f>
        <v>3</v>
      </c>
      <c r="AQ148" s="20">
        <f>VLOOKUP(Data[[#This Row],[DEVELOPMENT]],Ops_Priorities_and_Data_Clean[[development]:[ifnoext_comment]],14,FALSE)</f>
        <v>0</v>
      </c>
      <c r="AR148" s="20">
        <f>VLOOKUP(Data[[#This Row],[DEVELOPMENT]],Ops_Priorities_and_Data_Clean[[development]:[ifnoext_comment]],15,FALSE)</f>
        <v>0</v>
      </c>
      <c r="AS148" s="20" t="str">
        <f>VLOOKUP(Data[[#This Row],[DEVELOPMENT]],Ops_Priorities_and_Data_Clean[[development]:[ifnoext_comment]],16,FALSE)</f>
        <v>NULL</v>
      </c>
      <c r="AT148" s="20" t="str">
        <f>VLOOKUP(Data[[#This Row],[DEVELOPMENT]],Ops_Priorities_and_Data_Clean[[development]:[ifnoext_comment]],17,FALSE)</f>
        <v>NULL</v>
      </c>
      <c r="AU148" s="20" t="str">
        <f>VLOOKUP(Data[[#This Row],[DEVELOPMENT]],Ops_Priorities_and_Data_Clean[[development]:[ifnoext_comment]],18,FALSE)</f>
        <v>NULL</v>
      </c>
      <c r="AV148" s="20" t="str">
        <f>VLOOKUP(Data[[#This Row],[DEVELOPMENT]],Ops_Priorities_and_Data_Clean[[development]:[ifnoext_comment]],19,FALSE)</f>
        <v>NULL</v>
      </c>
      <c r="AW148" s="20" t="str">
        <f>VLOOKUP(Data[[#This Row],[DEVELOPMENT]],Ops_Priorities_and_Data_Clean[[development]:[ifnoext_comment]],20,FALSE)</f>
        <v>NULL</v>
      </c>
      <c r="AX148" s="104" t="s">
        <v>2238</v>
      </c>
      <c r="AY148" s="104" t="s">
        <v>2616</v>
      </c>
      <c r="AZ148" s="20" t="str">
        <f>VLOOKUP(Data[[#This Row],[DEVELOPMENT]],Development_Data_Book[[DEVELOPMENT]:[PRIVATE MANAGEMENT]],8,FALSE)</f>
        <v>FEDERAL</v>
      </c>
      <c r="BA148" s="104" t="s">
        <v>2586</v>
      </c>
      <c r="BB148" s="20">
        <f>VLOOKUP(Data[[#This Row],[DEVELOPMENT]],Development_Data_Book[[DEVELOPMENT]:[PRIVATE MANAGEMENT]],22,FALSE)</f>
        <v>1</v>
      </c>
      <c r="BC148" s="20">
        <f>Data[[#This Row],[Non-Dwelling Buildings]]+Data[[#This Row],[Dwelling Buildings]]</f>
        <v>21</v>
      </c>
      <c r="BD148" s="20">
        <f>VLOOKUP(Data[[#This Row],[DEVELOPMENT]],Development_Data_Book[[DEVELOPMENT]:[PRIVATE MANAGEMENT]],26,FALSE)</f>
        <v>20.309999999999999</v>
      </c>
      <c r="BE148" s="106">
        <v>1521000</v>
      </c>
      <c r="BF148" s="20">
        <f>VLOOKUP(Data[[#This Row],[DEVELOPMENT]],Development_Data_Book[[DEVELOPMENT]:[PRIVATE MANAGEMENT]],18,FALSE)</f>
        <v>4198</v>
      </c>
      <c r="BG14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48" s="104" t="s">
        <v>2608</v>
      </c>
      <c r="BI148" t="s">
        <v>183</v>
      </c>
      <c r="BJ148" s="20">
        <f>VLOOKUP(Data[[#This Row],[DEVELOPMENT]],Development_Data_Book[[DEVELOPMENT]:[PRIVATE MANAGEMENT]],41,FALSE)</f>
        <v>2</v>
      </c>
      <c r="BK148" s="20">
        <f>VLOOKUP(Data[[#This Row],[DEVELOPMENT]],Development_Data_Book[[DEVELOPMENT]:[PRIVATE MANAGEMENT]],42,FALSE)</f>
        <v>8</v>
      </c>
      <c r="BL148" s="20">
        <f>VLOOKUP(Data[[#This Row],[DEVELOPMENT]],Development_Data_Book[[DEVELOPMENT]:[PRIVATE MANAGEMENT]],43,FALSE)</f>
        <v>25</v>
      </c>
      <c r="BM148" s="20">
        <f>VLOOKUP(Data[[#This Row],[DEVELOPMENT]],Development_Data_Book[[DEVELOPMENT]:[PRIVATE MANAGEMENT]],44,FALSE)</f>
        <v>57</v>
      </c>
      <c r="BN148" s="20">
        <f>VLOOKUP(Data[[#This Row],[DEVELOPMENT]],Development_Data_Book[[DEVELOPMENT]:[PRIVATE MANAGEMENT]],45,FALSE)</f>
        <v>35</v>
      </c>
      <c r="BO148" s="20">
        <f>VLOOKUP(Data[[#This Row],[DEVELOPMENT]],Development_Data_Book[[DEVELOPMENT]:[PRIVATE MANAGEMENT]],24,FALSE)</f>
        <v>43627</v>
      </c>
    </row>
    <row r="149" spans="1:67">
      <c r="A149" t="s">
        <v>336</v>
      </c>
      <c r="B149" s="20" t="str">
        <f>VLOOKUP(Data[[#This Row],[DEVELOPMENT]],Development_Data_Book[[DEVELOPMENT]:[BOROUGH]],MATCH("borough",Development_Data_Book[[#Headers],[DEVELOPMENT]:[BOROUGH]],0),FALSE)</f>
        <v>QUEENS</v>
      </c>
      <c r="C149" s="20" t="e">
        <f>VLOOKUP(Data[[#This Row],[DEVELOPMENT]],'[1]Cheat-Sheet'!$D$2:$Q$341,2,FALSE)</f>
        <v>#N/A</v>
      </c>
      <c r="D14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49" s="20">
        <f>VLOOKUP(Data[[#This Row],[DEVELOPMENT]],Development_Data_Book[[DEVELOPMENT]:[BOROUGH]],21,FALSE)</f>
        <v>1</v>
      </c>
      <c r="F149" s="20">
        <f>VLOOKUP(Data[[#This Row],[DEVELOPMENT]],Development_Data_Book[[DEVELOPMENT]:[BOROUGH]],23,FALSE)</f>
        <v>1</v>
      </c>
      <c r="G149" s="20">
        <f>VLOOKUP(Data[[#This Row],[DEVELOPMENT]],Development_Data_Book[[DEVELOPMENT]:[BOROUGH]],12,FALSE)</f>
        <v>146</v>
      </c>
      <c r="J149">
        <f>IFERROR(VLOOKUP(Data[[#This Row],[DEVELOPMENT]],IntCompactors_MRST[],4,FALSE),0)</f>
        <v>1</v>
      </c>
      <c r="K149" s="20">
        <f>IFERROR(VLOOKUP(Data[[#This Row],[DEVELOPMENT]],ExtCompactors_MRST[],4,FALSE),0)</f>
        <v>0</v>
      </c>
      <c r="L149" s="27">
        <f>IF(Data[[#This Row],['# Interior Compactors MRST]]=0,"",VLOOKUP(Data[[#This Row],[DEVELOPMENT]],IntCompactors_MRST[],5,FALSE))</f>
        <v>35156</v>
      </c>
      <c r="M149" s="28" t="str">
        <f>IF(Data[[#This Row],['# Exterior Compactors MRST]]=0,"",VLOOKUP(Data[[#This Row],[DEVELOPMENT]],ExtCompactors_MRST[],5,FALSE))</f>
        <v/>
      </c>
      <c r="N149" s="20">
        <f>Data[[#This Row],['# Interior Compactors MRST]]</f>
        <v>1</v>
      </c>
      <c r="O149" s="20">
        <f>IF(Data[[#This Row],['# Bulk Crushers]]=0,1,0)</f>
        <v>1</v>
      </c>
      <c r="P149" s="20">
        <f>1</f>
        <v>1</v>
      </c>
      <c r="Q149" s="20">
        <f>1</f>
        <v>1</v>
      </c>
      <c r="R149" s="20">
        <f>1</f>
        <v>1</v>
      </c>
      <c r="S149" s="20">
        <f>1</f>
        <v>1</v>
      </c>
      <c r="T149" s="20">
        <f>IF(Data[[#This Row],[Sewershed]]="Newtown Creek",Data[[#This Row],[DUs]],0)</f>
        <v>0</v>
      </c>
      <c r="U14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4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4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49" s="82">
        <f>VLOOKUP(Data[[#This Row],[DEVELOPMENT]],Development_Data_Book[[DEVELOPMENT]:[BOROUGH]],3,FALSE)</f>
        <v>316</v>
      </c>
      <c r="Y149" s="20"/>
      <c r="Z149" s="20">
        <f>IFERROR(VLOOKUP(Data[[#This Row],[TDS]],ExtCompactors_PNA[[Development]:[0]],2,FALSE),0)</f>
        <v>0</v>
      </c>
      <c r="AA149" s="20">
        <f>IFERROR(VLOOKUP(Data[[#This Row],[TDS]],IntCompactors_PNA[[TDS]:[0]],2,FALSE),0)</f>
        <v>2</v>
      </c>
      <c r="AB149" s="20"/>
      <c r="AC149" s="20"/>
      <c r="AD149" s="20">
        <f>IFERROR(VLOOKUP(Data[[#This Row],[TDS]],ExtCompactors_PNA[[Development]:[0]],3,FALSE)+VLOOKUP(Data[[#This Row],[TDS]],ExtCompactors_PNA[[Development]:[0]],6,FALSE),0)</f>
        <v>0</v>
      </c>
      <c r="AE149" s="20">
        <f>IFERROR(VLOOKUP(Data[[#This Row],[TDS]],IntCompactors_PNA[[TDS]:[0]],3,FALSE)+VLOOKUP(Data[[#This Row],[TDS]],IntCompactors_PNA[[TDS]:[0]],6,FALSE),0)</f>
        <v>2</v>
      </c>
      <c r="AF149" s="20" t="e">
        <f>VLOOKUP(Data[[#This Row],[DEVELOPMENT]],[3]Developments!$A$2:$A$312,1,FALSE)</f>
        <v>#N/A</v>
      </c>
      <c r="AG149" s="20">
        <f>IFERROR(VLOOKUP(Data[[#This Row],[DEVELOPMENT]],Ops_Priorities_and_Data_Clean[[development]:[ifnoext_comment]],3,FALSE),"")</f>
        <v>0</v>
      </c>
      <c r="AH149" s="20">
        <f>IFERROR(VLOOKUP(Data[[#This Row],[DEVELOPMENT]],Ops_Priorities_and_Data_Clean[[development]:[ifnoext_comment]],4,FALSE),"")</f>
        <v>0</v>
      </c>
      <c r="AI149" s="20">
        <f>IFERROR(VLOOKUP(Data[[#This Row],[DEVELOPMENT]],Ops_Priorities_and_Data_Clean[[development]:[ifnoext_comment]],5,FALSE),"")</f>
        <v>0</v>
      </c>
      <c r="AJ149" s="20">
        <f>IFERROR(VLOOKUP(Data[[#This Row],[DEVELOPMENT]],Ops_Priorities_and_Data_Clean[[development]:[ifnoext_comment]],6,FALSE),"")</f>
        <v>1</v>
      </c>
      <c r="AK149" s="20">
        <f>IFERROR(VLOOKUP(Data[[#This Row],[DEVELOPMENT]],Ops_Priorities_and_Data_Clean[[development]:[ifnoext_comment]],7,FALSE),"")</f>
        <v>0</v>
      </c>
      <c r="AL149" s="20">
        <f>IFERROR(VLOOKUP(Data[[#This Row],[DEVELOPMENT]],Ops_Priorities_and_Data_Clean[[development]:[ifnoext_comment]],8,FALSE),"")</f>
        <v>1</v>
      </c>
      <c r="AM149" s="20">
        <f>IFERROR(VLOOKUP(Data[[#This Row],[DEVELOPMENT]],Ops_Priorities_and_Data_Clean[[development]:[ifnoext_comment]],9,FALSE),"")</f>
        <v>0</v>
      </c>
      <c r="AN149" s="20">
        <f>IFERROR(VLOOKUP(Data[[#This Row],[DEVELOPMENT]],Ops_Priorities_and_Data_Clean[[development]:[ifnoext_comment]],10,FALSE),"")</f>
        <v>0</v>
      </c>
      <c r="AO149" s="20">
        <f>IFERROR(VLOOKUP(Data[[#This Row],[DEVELOPMENT]],Ops_Priorities_and_Data_Clean[[development]:[ifnoext_comment]],11,FALSE),"")</f>
        <v>0</v>
      </c>
      <c r="AP149" s="20">
        <f>IFERROR(VLOOKUP(Data[[#This Row],[DEVELOPMENT]],Ops_Priorities_and_Data_Clean[[development]:[ifnoext_comment]],12,FALSE),"")</f>
        <v>0</v>
      </c>
      <c r="AQ149" s="20">
        <f>VLOOKUP(Data[[#This Row],[DEVELOPMENT]],Ops_Priorities_and_Data_Clean[[development]:[ifnoext_comment]],14,FALSE)</f>
        <v>0</v>
      </c>
      <c r="AR149" s="20">
        <f>VLOOKUP(Data[[#This Row],[DEVELOPMENT]],Ops_Priorities_and_Data_Clean[[development]:[ifnoext_comment]],15,FALSE)</f>
        <v>1</v>
      </c>
      <c r="AS149" s="20" t="str">
        <f>VLOOKUP(Data[[#This Row],[DEVELOPMENT]],Ops_Priorities_and_Data_Clean[[development]:[ifnoext_comment]],16,FALSE)</f>
        <v>Conlon Lihfe Tower</v>
      </c>
      <c r="AT149" s="20" t="str">
        <f>VLOOKUP(Data[[#This Row],[DEVELOPMENT]],Ops_Priorities_and_Data_Clean[[development]:[ifnoext_comment]],17,FALSE)</f>
        <v>NULL</v>
      </c>
      <c r="AU149" s="20" t="str">
        <f>VLOOKUP(Data[[#This Row],[DEVELOPMENT]],Ops_Priorities_and_Data_Clean[[development]:[ifnoext_comment]],18,FALSE)</f>
        <v>NULL</v>
      </c>
      <c r="AV149" s="20" t="str">
        <f>VLOOKUP(Data[[#This Row],[DEVELOPMENT]],Ops_Priorities_and_Data_Clean[[development]:[ifnoext_comment]],19,FALSE)</f>
        <v>NULL</v>
      </c>
      <c r="AW149" s="20" t="str">
        <f>VLOOKUP(Data[[#This Row],[DEVELOPMENT]],Ops_Priorities_and_Data_Clean[[development]:[ifnoext_comment]],20,FALSE)</f>
        <v>This is a shared site yet it is quite a distance from Conlohn Life. There's no room for an external compactor.</v>
      </c>
      <c r="AX149" s="104" t="s">
        <v>2614</v>
      </c>
      <c r="AY149" s="104" t="s">
        <v>2636</v>
      </c>
      <c r="AZ149" s="20" t="str">
        <f>VLOOKUP(Data[[#This Row],[DEVELOPMENT]],Development_Data_Book[[DEVELOPMENT]:[PRIVATE MANAGEMENT]],8,FALSE)</f>
        <v>FEDERAL</v>
      </c>
      <c r="BA149" s="104" t="s">
        <v>2586</v>
      </c>
      <c r="BB149" s="20">
        <f>VLOOKUP(Data[[#This Row],[DEVELOPMENT]],Development_Data_Book[[DEVELOPMENT]:[PRIVATE MANAGEMENT]],22,FALSE)</f>
        <v>0</v>
      </c>
      <c r="BC149" s="20">
        <f>Data[[#This Row],[Non-Dwelling Buildings]]+Data[[#This Row],[Dwelling Buildings]]</f>
        <v>1</v>
      </c>
      <c r="BD149" s="20">
        <f>VLOOKUP(Data[[#This Row],[DEVELOPMENT]],Development_Data_Book[[DEVELOPMENT]:[PRIVATE MANAGEMENT]],26,FALSE)</f>
        <v>0.98</v>
      </c>
      <c r="BE149" s="106">
        <v>134200</v>
      </c>
      <c r="BF149" s="20">
        <f>VLOOKUP(Data[[#This Row],[DEVELOPMENT]],Development_Data_Book[[DEVELOPMENT]:[PRIVATE MANAGEMENT]],18,FALSE)</f>
        <v>179</v>
      </c>
      <c r="BG149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49" s="104" t="s">
        <v>2619</v>
      </c>
      <c r="BI149" t="s">
        <v>184</v>
      </c>
      <c r="BJ149" s="20">
        <f>VLOOKUP(Data[[#This Row],[DEVELOPMENT]],Development_Data_Book[[DEVELOPMENT]:[PRIVATE MANAGEMENT]],41,FALSE)</f>
        <v>12</v>
      </c>
      <c r="BK149" s="20">
        <f>VLOOKUP(Data[[#This Row],[DEVELOPMENT]],Development_Data_Book[[DEVELOPMENT]:[PRIVATE MANAGEMENT]],42,FALSE)</f>
        <v>5</v>
      </c>
      <c r="BL149" s="20">
        <f>VLOOKUP(Data[[#This Row],[DEVELOPMENT]],Development_Data_Book[[DEVELOPMENT]:[PRIVATE MANAGEMENT]],43,FALSE)</f>
        <v>14</v>
      </c>
      <c r="BM149" s="20">
        <f>VLOOKUP(Data[[#This Row],[DEVELOPMENT]],Development_Data_Book[[DEVELOPMENT]:[PRIVATE MANAGEMENT]],44,FALSE)</f>
        <v>29</v>
      </c>
      <c r="BN149" s="20">
        <f>VLOOKUP(Data[[#This Row],[DEVELOPMENT]],Development_Data_Book[[DEVELOPMENT]:[PRIVATE MANAGEMENT]],45,FALSE)</f>
        <v>27</v>
      </c>
      <c r="BO149" s="20">
        <f>VLOOKUP(Data[[#This Row],[DEVELOPMENT]],Development_Data_Book[[DEVELOPMENT]:[PRIVATE MANAGEMENT]],24,FALSE)</f>
        <v>10</v>
      </c>
    </row>
    <row r="150" spans="1:67">
      <c r="A150" t="s">
        <v>337</v>
      </c>
      <c r="B150" s="20" t="str">
        <f>VLOOKUP(Data[[#This Row],[DEVELOPMENT]],Development_Data_Book[[DEVELOPMENT]:[BOROUGH]],MATCH("borough",Development_Data_Book[[#Headers],[DEVELOPMENT]:[BOROUGH]],0),FALSE)</f>
        <v>MANHATTAN</v>
      </c>
      <c r="C150" s="20" t="e">
        <f>VLOOKUP(Data[[#This Row],[DEVELOPMENT]],'[1]Cheat-Sheet'!$D$2:$Q$341,2,FALSE)</f>
        <v>#N/A</v>
      </c>
      <c r="D15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50" s="20">
        <f>VLOOKUP(Data[[#This Row],[DEVELOPMENT]],Development_Data_Book[[DEVELOPMENT]:[BOROUGH]],21,FALSE)</f>
        <v>3</v>
      </c>
      <c r="F150" s="20">
        <f>VLOOKUP(Data[[#This Row],[DEVELOPMENT]],Development_Data_Book[[DEVELOPMENT]:[BOROUGH]],23,FALSE)</f>
        <v>4</v>
      </c>
      <c r="G150" s="20">
        <f>VLOOKUP(Data[[#This Row],[DEVELOPMENT]],Development_Data_Book[[DEVELOPMENT]:[BOROUGH]],12,FALSE)</f>
        <v>634</v>
      </c>
      <c r="J150">
        <f>IFERROR(VLOOKUP(Data[[#This Row],[DEVELOPMENT]],IntCompactors_MRST[],4,FALSE),0)</f>
        <v>3</v>
      </c>
      <c r="K150" s="20">
        <f>IFERROR(VLOOKUP(Data[[#This Row],[DEVELOPMENT]],ExtCompactors_MRST[],4,FALSE),0)</f>
        <v>1</v>
      </c>
      <c r="L150" s="27">
        <f>IF(Data[[#This Row],['# Interior Compactors MRST]]=0,"",VLOOKUP(Data[[#This Row],[DEVELOPMENT]],IntCompactors_MRST[],5,FALSE))</f>
        <v>37410</v>
      </c>
      <c r="M150" s="28">
        <f>IF(Data[[#This Row],['# Exterior Compactors MRST]]=0,"",VLOOKUP(Data[[#This Row],[DEVELOPMENT]],ExtCompactors_MRST[],5,FALSE))</f>
        <v>41953</v>
      </c>
      <c r="N150" s="20">
        <f>Data[[#This Row],['# Interior Compactors MRST]]</f>
        <v>3</v>
      </c>
      <c r="O150" s="20">
        <f>IF(Data[[#This Row],['# Bulk Crushers]]=0,1,0)</f>
        <v>1</v>
      </c>
      <c r="P150" s="20">
        <f>1</f>
        <v>1</v>
      </c>
      <c r="Q150" s="20">
        <f>1</f>
        <v>1</v>
      </c>
      <c r="R150" s="20">
        <f>1</f>
        <v>1</v>
      </c>
      <c r="S150" s="20">
        <f>1</f>
        <v>1</v>
      </c>
      <c r="T150" s="20">
        <f>IF(Data[[#This Row],[Sewershed]]="Newtown Creek",Data[[#This Row],[DUs]],0)</f>
        <v>0</v>
      </c>
      <c r="U15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5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5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50" s="82">
        <f>VLOOKUP(Data[[#This Row],[DEVELOPMENT]],Development_Data_Book[[DEVELOPMENT]:[BOROUGH]],3,FALSE)</f>
        <v>139</v>
      </c>
      <c r="Y150" s="20"/>
      <c r="Z150" s="20">
        <f>IFERROR(VLOOKUP(Data[[#This Row],[TDS]],ExtCompactors_PNA[[Development]:[0]],2,FALSE),0)</f>
        <v>0</v>
      </c>
      <c r="AA150" s="20">
        <f>IFERROR(VLOOKUP(Data[[#This Row],[TDS]],IntCompactors_PNA[[TDS]:[0]],2,FALSE),0)</f>
        <v>6</v>
      </c>
      <c r="AB150" s="20"/>
      <c r="AC150" s="20"/>
      <c r="AD150" s="20">
        <f>IFERROR(VLOOKUP(Data[[#This Row],[TDS]],ExtCompactors_PNA[[Development]:[0]],3,FALSE)+VLOOKUP(Data[[#This Row],[TDS]],ExtCompactors_PNA[[Development]:[0]],6,FALSE),0)</f>
        <v>0</v>
      </c>
      <c r="AE150" s="20">
        <f>IFERROR(VLOOKUP(Data[[#This Row],[TDS]],IntCompactors_PNA[[TDS]:[0]],3,FALSE)+VLOOKUP(Data[[#This Row],[TDS]],IntCompactors_PNA[[TDS]:[0]],6,FALSE),0)</f>
        <v>6</v>
      </c>
      <c r="AF150" s="20" t="e">
        <f>VLOOKUP(Data[[#This Row],[DEVELOPMENT]],[3]Developments!$A$2:$A$312,1,FALSE)</f>
        <v>#N/A</v>
      </c>
      <c r="AG150" s="20">
        <f>IFERROR(VLOOKUP(Data[[#This Row],[DEVELOPMENT]],Ops_Priorities_and_Data_Clean[[development]:[ifnoext_comment]],3,FALSE),"")</f>
        <v>1</v>
      </c>
      <c r="AH150" s="20">
        <f>IFERROR(VLOOKUP(Data[[#This Row],[DEVELOPMENT]],Ops_Priorities_and_Data_Clean[[development]:[ifnoext_comment]],4,FALSE),"")</f>
        <v>0</v>
      </c>
      <c r="AI150" s="20">
        <f>IFERROR(VLOOKUP(Data[[#This Row],[DEVELOPMENT]],Ops_Priorities_and_Data_Clean[[development]:[ifnoext_comment]],5,FALSE),"")</f>
        <v>1</v>
      </c>
      <c r="AJ150" s="20">
        <f>IFERROR(VLOOKUP(Data[[#This Row],[DEVELOPMENT]],Ops_Priorities_and_Data_Clean[[development]:[ifnoext_comment]],6,FALSE),"")</f>
        <v>0</v>
      </c>
      <c r="AK150" s="20">
        <f>IFERROR(VLOOKUP(Data[[#This Row],[DEVELOPMENT]],Ops_Priorities_and_Data_Clean[[development]:[ifnoext_comment]],7,FALSE),"")</f>
        <v>0</v>
      </c>
      <c r="AL150" s="20">
        <f>IFERROR(VLOOKUP(Data[[#This Row],[DEVELOPMENT]],Ops_Priorities_and_Data_Clean[[development]:[ifnoext_comment]],8,FALSE),"")</f>
        <v>1</v>
      </c>
      <c r="AM150" s="20">
        <f>IFERROR(VLOOKUP(Data[[#This Row],[DEVELOPMENT]],Ops_Priorities_and_Data_Clean[[development]:[ifnoext_comment]],9,FALSE),"")</f>
        <v>0</v>
      </c>
      <c r="AN150" s="20">
        <f>IFERROR(VLOOKUP(Data[[#This Row],[DEVELOPMENT]],Ops_Priorities_and_Data_Clean[[development]:[ifnoext_comment]],10,FALSE),"")</f>
        <v>1</v>
      </c>
      <c r="AO150" s="20">
        <f>IFERROR(VLOOKUP(Data[[#This Row],[DEVELOPMENT]],Ops_Priorities_and_Data_Clean[[development]:[ifnoext_comment]],11,FALSE),"")</f>
        <v>1</v>
      </c>
      <c r="AP150" s="20">
        <f>IFERROR(VLOOKUP(Data[[#This Row],[DEVELOPMENT]],Ops_Priorities_and_Data_Clean[[development]:[ifnoext_comment]],12,FALSE),"")</f>
        <v>1</v>
      </c>
      <c r="AQ150" s="20">
        <f>VLOOKUP(Data[[#This Row],[DEVELOPMENT]],Ops_Priorities_and_Data_Clean[[development]:[ifnoext_comment]],14,FALSE)</f>
        <v>0</v>
      </c>
      <c r="AR150" s="20">
        <f>VLOOKUP(Data[[#This Row],[DEVELOPMENT]],Ops_Priorities_and_Data_Clean[[development]:[ifnoext_comment]],15,FALSE)</f>
        <v>0</v>
      </c>
      <c r="AS150" s="20" t="str">
        <f>VLOOKUP(Data[[#This Row],[DEVELOPMENT]],Ops_Priorities_and_Data_Clean[[development]:[ifnoext_comment]],16,FALSE)</f>
        <v>NULL</v>
      </c>
      <c r="AT150" s="20" t="str">
        <f>VLOOKUP(Data[[#This Row],[DEVELOPMENT]],Ops_Priorities_and_Data_Clean[[development]:[ifnoext_comment]],17,FALSE)</f>
        <v>NULL</v>
      </c>
      <c r="AU150" s="20" t="str">
        <f>VLOOKUP(Data[[#This Row],[DEVELOPMENT]],Ops_Priorities_and_Data_Clean[[development]:[ifnoext_comment]],18,FALSE)</f>
        <v>NULL</v>
      </c>
      <c r="AV150" s="20" t="str">
        <f>VLOOKUP(Data[[#This Row],[DEVELOPMENT]],Ops_Priorities_and_Data_Clean[[development]:[ifnoext_comment]],19,FALSE)</f>
        <v>NULL</v>
      </c>
      <c r="AW150" s="20" t="str">
        <f>VLOOKUP(Data[[#This Row],[DEVELOPMENT]],Ops_Priorities_and_Data_Clean[[development]:[ifnoext_comment]],20,FALSE)</f>
        <v>NULL</v>
      </c>
      <c r="AX150" s="104" t="s">
        <v>2239</v>
      </c>
      <c r="AY150" s="104" t="s">
        <v>2655</v>
      </c>
      <c r="AZ150" s="20" t="str">
        <f>VLOOKUP(Data[[#This Row],[DEVELOPMENT]],Development_Data_Book[[DEVELOPMENT]:[PRIVATE MANAGEMENT]],8,FALSE)</f>
        <v>FEDERAL</v>
      </c>
      <c r="BA150" s="104" t="s">
        <v>2586</v>
      </c>
      <c r="BB150" s="20">
        <f>VLOOKUP(Data[[#This Row],[DEVELOPMENT]],Development_Data_Book[[DEVELOPMENT]:[PRIVATE MANAGEMENT]],22,FALSE)</f>
        <v>1</v>
      </c>
      <c r="BC150" s="20">
        <f>Data[[#This Row],[Non-Dwelling Buildings]]+Data[[#This Row],[Dwelling Buildings]]</f>
        <v>4</v>
      </c>
      <c r="BD150" s="20">
        <f>VLOOKUP(Data[[#This Row],[DEVELOPMENT]],Development_Data_Book[[DEVELOPMENT]:[PRIVATE MANAGEMENT]],26,FALSE)</f>
        <v>3.49</v>
      </c>
      <c r="BE150" s="106">
        <v>553500</v>
      </c>
      <c r="BF150" s="20">
        <f>VLOOKUP(Data[[#This Row],[DEVELOPMENT]],Development_Data_Book[[DEVELOPMENT]:[PRIVATE MANAGEMENT]],18,FALSE)</f>
        <v>1250</v>
      </c>
      <c r="BG15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50" s="104" t="s">
        <v>2604</v>
      </c>
      <c r="BI150" t="s">
        <v>184</v>
      </c>
      <c r="BJ150" s="20">
        <f>VLOOKUP(Data[[#This Row],[DEVELOPMENT]],Development_Data_Book[[DEVELOPMENT]:[PRIVATE MANAGEMENT]],41,FALSE)</f>
        <v>8</v>
      </c>
      <c r="BK150" s="20">
        <f>VLOOKUP(Data[[#This Row],[DEVELOPMENT]],Development_Data_Book[[DEVELOPMENT]:[PRIVATE MANAGEMENT]],42,FALSE)</f>
        <v>12</v>
      </c>
      <c r="BL150" s="20">
        <f>VLOOKUP(Data[[#This Row],[DEVELOPMENT]],Development_Data_Book[[DEVELOPMENT]:[PRIVATE MANAGEMENT]],43,FALSE)</f>
        <v>29</v>
      </c>
      <c r="BM150" s="20">
        <f>VLOOKUP(Data[[#This Row],[DEVELOPMENT]],Development_Data_Book[[DEVELOPMENT]:[PRIVATE MANAGEMENT]],44,FALSE)</f>
        <v>68</v>
      </c>
      <c r="BN150" s="20">
        <f>VLOOKUP(Data[[#This Row],[DEVELOPMENT]],Development_Data_Book[[DEVELOPMENT]:[PRIVATE MANAGEMENT]],45,FALSE)</f>
        <v>5</v>
      </c>
      <c r="BO150" s="20">
        <f>VLOOKUP(Data[[#This Row],[DEVELOPMENT]],Development_Data_Book[[DEVELOPMENT]:[PRIVATE MANAGEMENT]],24,FALSE)</f>
        <v>24</v>
      </c>
    </row>
    <row r="151" spans="1:67">
      <c r="A151" s="17" t="s">
        <v>35</v>
      </c>
      <c r="B151" s="17" t="str">
        <f>VLOOKUP(Data[[#This Row],[DEVELOPMENT]],Development_Data_Book[[DEVELOPMENT]:[BOROUGH]],MATCH("borough",Development_Data_Book[[#Headers],[DEVELOPMENT]:[BOROUGH]],0),FALSE)</f>
        <v>BRONX</v>
      </c>
      <c r="C151" t="e">
        <f>VLOOKUP(Data[[#This Row],[DEVELOPMENT]],'[1]Cheat-Sheet'!$D$2:$Q$341,2,FALSE)</f>
        <v>#N/A</v>
      </c>
      <c r="D15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51">
        <f>VLOOKUP(Data[[#This Row],[DEVELOPMENT]],Development_Data_Book[[DEVELOPMENT]:[BOROUGH]],21,FALSE)</f>
        <v>7</v>
      </c>
      <c r="F151">
        <f>VLOOKUP(Data[[#This Row],[DEVELOPMENT]],Development_Data_Book[[DEVELOPMENT]:[BOROUGH]],23,FALSE)</f>
        <v>7</v>
      </c>
      <c r="G151">
        <f>VLOOKUP(Data[[#This Row],[DEVELOPMENT]],Development_Data_Book[[DEVELOPMENT]:[BOROUGH]],12,FALSE)</f>
        <v>868</v>
      </c>
      <c r="H151" t="s">
        <v>2246</v>
      </c>
      <c r="I151">
        <v>4</v>
      </c>
      <c r="J151">
        <f>IFERROR(VLOOKUP(Data[[#This Row],[DEVELOPMENT]],IntCompactors_MRST[],4,FALSE),0)</f>
        <v>7</v>
      </c>
      <c r="K151" s="20">
        <f>IFERROR(VLOOKUP(Data[[#This Row],[DEVELOPMENT]],ExtCompactors_MRST[],4,FALSE),0)</f>
        <v>2</v>
      </c>
      <c r="L151" s="27">
        <f>IF(Data[[#This Row],['# Interior Compactors MRST]]=0,"",VLOOKUP(Data[[#This Row],[DEVELOPMENT]],IntCompactors_MRST[],5,FALSE))</f>
        <v>38671</v>
      </c>
      <c r="M151" s="28">
        <f>IF(Data[[#This Row],['# Exterior Compactors MRST]]=0,"",VLOOKUP(Data[[#This Row],[DEVELOPMENT]],ExtCompactors_MRST[],5,FALSE))</f>
        <v>36622</v>
      </c>
      <c r="N151">
        <f>Data[[#This Row],['# Interior Compactors MRST]]</f>
        <v>7</v>
      </c>
      <c r="O151" s="20">
        <f>IF(Data[[#This Row],['# Bulk Crushers]]=0,1,0)</f>
        <v>1</v>
      </c>
      <c r="P151" s="20">
        <f>1</f>
        <v>1</v>
      </c>
      <c r="Q151" s="20">
        <f>1</f>
        <v>1</v>
      </c>
      <c r="R151" s="20">
        <f>1</f>
        <v>1</v>
      </c>
      <c r="S151" s="20">
        <f>1</f>
        <v>1</v>
      </c>
      <c r="T151" s="20">
        <f>IF(Data[[#This Row],[Sewershed]]="Newtown Creek",Data[[#This Row],[DUs]],0)</f>
        <v>0</v>
      </c>
      <c r="U15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5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5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51" s="82">
        <f>VLOOKUP(Data[[#This Row],[DEVELOPMENT]],Development_Data_Book[[DEVELOPMENT]:[BOROUGH]],3,FALSE)</f>
        <v>120</v>
      </c>
      <c r="Y151" s="20"/>
      <c r="Z151" s="20">
        <f>IFERROR(VLOOKUP(Data[[#This Row],[TDS]],ExtCompactors_PNA[[Development]:[0]],2,FALSE),0)</f>
        <v>2</v>
      </c>
      <c r="AA151" s="20">
        <f>IFERROR(VLOOKUP(Data[[#This Row],[TDS]],IntCompactors_PNA[[TDS]:[0]],2,FALSE),0)</f>
        <v>7</v>
      </c>
      <c r="AB151" s="20"/>
      <c r="AC151" s="20"/>
      <c r="AD151" s="20">
        <f>IFERROR(VLOOKUP(Data[[#This Row],[TDS]],ExtCompactors_PNA[[Development]:[0]],3,FALSE)+VLOOKUP(Data[[#This Row],[TDS]],ExtCompactors_PNA[[Development]:[0]],6,FALSE),0)</f>
        <v>2</v>
      </c>
      <c r="AE151" s="20">
        <f>IFERROR(VLOOKUP(Data[[#This Row],[TDS]],IntCompactors_PNA[[TDS]:[0]],3,FALSE)+VLOOKUP(Data[[#This Row],[TDS]],IntCompactors_PNA[[TDS]:[0]],6,FALSE),0)</f>
        <v>7</v>
      </c>
      <c r="AF151" s="20" t="e">
        <f>VLOOKUP(Data[[#This Row],[DEVELOPMENT]],[3]Developments!$A$2:$A$312,1,FALSE)</f>
        <v>#N/A</v>
      </c>
      <c r="AG151" s="20">
        <f>IFERROR(VLOOKUP(Data[[#This Row],[DEVELOPMENT]],Ops_Priorities_and_Data_Clean[[development]:[ifnoext_comment]],3,FALSE),"")</f>
        <v>2</v>
      </c>
      <c r="AH151" s="20">
        <f>IFERROR(VLOOKUP(Data[[#This Row],[DEVELOPMENT]],Ops_Priorities_and_Data_Clean[[development]:[ifnoext_comment]],4,FALSE),"")</f>
        <v>2</v>
      </c>
      <c r="AI151" s="20">
        <f>IFERROR(VLOOKUP(Data[[#This Row],[DEVELOPMENT]],Ops_Priorities_and_Data_Clean[[development]:[ifnoext_comment]],5,FALSE),"")</f>
        <v>1</v>
      </c>
      <c r="AJ151" s="20">
        <f>IFERROR(VLOOKUP(Data[[#This Row],[DEVELOPMENT]],Ops_Priorities_and_Data_Clean[[development]:[ifnoext_comment]],6,FALSE),"")</f>
        <v>0</v>
      </c>
      <c r="AK151" s="20">
        <f>IFERROR(VLOOKUP(Data[[#This Row],[DEVELOPMENT]],Ops_Priorities_and_Data_Clean[[development]:[ifnoext_comment]],7,FALSE),"")</f>
        <v>0</v>
      </c>
      <c r="AL151" s="20">
        <f>IFERROR(VLOOKUP(Data[[#This Row],[DEVELOPMENT]],Ops_Priorities_and_Data_Clean[[development]:[ifnoext_comment]],8,FALSE),"")</f>
        <v>1</v>
      </c>
      <c r="AM151" s="20">
        <f>IFERROR(VLOOKUP(Data[[#This Row],[DEVELOPMENT]],Ops_Priorities_and_Data_Clean[[development]:[ifnoext_comment]],9,FALSE),"")</f>
        <v>0</v>
      </c>
      <c r="AN151" s="20">
        <f>IFERROR(VLOOKUP(Data[[#This Row],[DEVELOPMENT]],Ops_Priorities_and_Data_Clean[[development]:[ifnoext_comment]],10,FALSE),"")</f>
        <v>2</v>
      </c>
      <c r="AO151" s="20">
        <f>IFERROR(VLOOKUP(Data[[#This Row],[DEVELOPMENT]],Ops_Priorities_and_Data_Clean[[development]:[ifnoext_comment]],11,FALSE),"")</f>
        <v>2</v>
      </c>
      <c r="AP151" s="20">
        <f>IFERROR(VLOOKUP(Data[[#This Row],[DEVELOPMENT]],Ops_Priorities_and_Data_Clean[[development]:[ifnoext_comment]],12,FALSE),"")</f>
        <v>2</v>
      </c>
      <c r="AQ151" s="20">
        <f>VLOOKUP(Data[[#This Row],[DEVELOPMENT]],Ops_Priorities_and_Data_Clean[[development]:[ifnoext_comment]],14,FALSE)</f>
        <v>0</v>
      </c>
      <c r="AR151" s="20">
        <f>VLOOKUP(Data[[#This Row],[DEVELOPMENT]],Ops_Priorities_and_Data_Clean[[development]:[ifnoext_comment]],15,FALSE)</f>
        <v>0</v>
      </c>
      <c r="AS151" s="20" t="str">
        <f>VLOOKUP(Data[[#This Row],[DEVELOPMENT]],Ops_Priorities_and_Data_Clean[[development]:[ifnoext_comment]],16,FALSE)</f>
        <v>NULL</v>
      </c>
      <c r="AT151" s="20" t="str">
        <f>VLOOKUP(Data[[#This Row],[DEVELOPMENT]],Ops_Priorities_and_Data_Clean[[development]:[ifnoext_comment]],17,FALSE)</f>
        <v>NULL</v>
      </c>
      <c r="AU151" s="20" t="str">
        <f>VLOOKUP(Data[[#This Row],[DEVELOPMENT]],Ops_Priorities_and_Data_Clean[[development]:[ifnoext_comment]],18,FALSE)</f>
        <v>No</v>
      </c>
      <c r="AV151" s="20" t="str">
        <f>VLOOKUP(Data[[#This Row],[DEVELOPMENT]],Ops_Priorities_and_Data_Clean[[development]:[ifnoext_comment]],19,FALSE)</f>
        <v>container on-site</v>
      </c>
      <c r="AW151" s="20" t="str">
        <f>VLOOKUP(Data[[#This Row],[DEVELOPMENT]],Ops_Priorities_and_Data_Clean[[development]:[ifnoext_comment]],20,FALSE)</f>
        <v xml:space="preserve">In 2 ez packs, the ramp runs so slow that it's slowing everything down. Seinfeld from Sanitation from whatever development brought a box but they still have the same problem that the ramp runs so slow. They have a temporary motor on that compctor and that's likely why the compactor is running so slow. </v>
      </c>
      <c r="AX151" s="104" t="s">
        <v>2237</v>
      </c>
      <c r="AY151" s="104" t="s">
        <v>39</v>
      </c>
      <c r="AZ151" s="20" t="str">
        <f>VLOOKUP(Data[[#This Row],[DEVELOPMENT]],Development_Data_Book[[DEVELOPMENT]:[PRIVATE MANAGEMENT]],8,FALSE)</f>
        <v>FEDERAL</v>
      </c>
      <c r="BA151" s="104" t="s">
        <v>2586</v>
      </c>
      <c r="BB151" s="20">
        <f>VLOOKUP(Data[[#This Row],[DEVELOPMENT]],Development_Data_Book[[DEVELOPMENT]:[PRIVATE MANAGEMENT]],22,FALSE)</f>
        <v>1</v>
      </c>
      <c r="BC151" s="20">
        <f>Data[[#This Row],[Non-Dwelling Buildings]]+Data[[#This Row],[Dwelling Buildings]]</f>
        <v>8</v>
      </c>
      <c r="BD151" s="20">
        <f>VLOOKUP(Data[[#This Row],[DEVELOPMENT]],Development_Data_Book[[DEVELOPMENT]:[PRIVATE MANAGEMENT]],26,FALSE)</f>
        <v>7.88</v>
      </c>
      <c r="BE151" s="106">
        <v>859900</v>
      </c>
      <c r="BF151" s="20">
        <f>VLOOKUP(Data[[#This Row],[DEVELOPMENT]],Development_Data_Book[[DEVELOPMENT]:[PRIVATE MANAGEMENT]],18,FALSE)</f>
        <v>2203</v>
      </c>
      <c r="BG15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51" s="104" t="s">
        <v>2610</v>
      </c>
      <c r="BI151" t="s">
        <v>184</v>
      </c>
      <c r="BJ151" s="20">
        <f>VLOOKUP(Data[[#This Row],[DEVELOPMENT]],Development_Data_Book[[DEVELOPMENT]:[PRIVATE MANAGEMENT]],41,FALSE)</f>
        <v>1</v>
      </c>
      <c r="BK151" s="20">
        <f>VLOOKUP(Data[[#This Row],[DEVELOPMENT]],Development_Data_Book[[DEVELOPMENT]:[PRIVATE MANAGEMENT]],42,FALSE)</f>
        <v>15</v>
      </c>
      <c r="BL151" s="20">
        <f>VLOOKUP(Data[[#This Row],[DEVELOPMENT]],Development_Data_Book[[DEVELOPMENT]:[PRIVATE MANAGEMENT]],43,FALSE)</f>
        <v>32</v>
      </c>
      <c r="BM151" s="20">
        <f>VLOOKUP(Data[[#This Row],[DEVELOPMENT]],Development_Data_Book[[DEVELOPMENT]:[PRIVATE MANAGEMENT]],44,FALSE)</f>
        <v>79</v>
      </c>
      <c r="BN151" s="20">
        <f>VLOOKUP(Data[[#This Row],[DEVELOPMENT]],Development_Data_Book[[DEVELOPMENT]:[PRIVATE MANAGEMENT]],45,FALSE)</f>
        <v>17</v>
      </c>
      <c r="BO151" s="20">
        <f>VLOOKUP(Data[[#This Row],[DEVELOPMENT]],Development_Data_Book[[DEVELOPMENT]:[PRIVATE MANAGEMENT]],24,FALSE)</f>
        <v>16</v>
      </c>
    </row>
    <row r="152" spans="1:67">
      <c r="A152" t="s">
        <v>112</v>
      </c>
      <c r="B152" t="str">
        <f>VLOOKUP(Data[[#This Row],[DEVELOPMENT]],Development_Data_Book[[DEVELOPMENT]:[BOROUGH]],MATCH("borough",Development_Data_Book[[#Headers],[DEVELOPMENT]:[BOROUGH]],0),FALSE)</f>
        <v>MANHATTAN</v>
      </c>
      <c r="C152" t="e">
        <f>VLOOKUP(Data[[#This Row],[DEVELOPMENT]],'[1]Cheat-Sheet'!$D$2:$Q$341,2,FALSE)</f>
        <v>#N/A</v>
      </c>
      <c r="D15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52">
        <f>VLOOKUP(Data[[#This Row],[DEVELOPMENT]],Development_Data_Book[[DEVELOPMENT]:[BOROUGH]],21,FALSE)</f>
        <v>18</v>
      </c>
      <c r="F152">
        <f>VLOOKUP(Data[[#This Row],[DEVELOPMENT]],Development_Data_Book[[DEVELOPMENT]:[BOROUGH]],23,FALSE)</f>
        <v>35</v>
      </c>
      <c r="G152">
        <f>VLOOKUP(Data[[#This Row],[DEVELOPMENT]],Development_Data_Book[[DEVELOPMENT]:[BOROUGH]],12,FALSE)</f>
        <v>1486</v>
      </c>
      <c r="H152" t="s">
        <v>2247</v>
      </c>
      <c r="I152">
        <v>3</v>
      </c>
      <c r="J152">
        <f>IFERROR(VLOOKUP(Data[[#This Row],[DEVELOPMENT]],IntCompactors_MRST[],4,FALSE),0)</f>
        <v>34</v>
      </c>
      <c r="K152" s="20">
        <f>IFERROR(VLOOKUP(Data[[#This Row],[DEVELOPMENT]],ExtCompactors_MRST[],4,FALSE),0)</f>
        <v>3</v>
      </c>
      <c r="L152" s="27">
        <f>IF(Data[[#This Row],['# Interior Compactors MRST]]=0,"",VLOOKUP(Data[[#This Row],[DEVELOPMENT]],IntCompactors_MRST[],5,FALSE))</f>
        <v>36445</v>
      </c>
      <c r="M152" s="28">
        <f>IF(Data[[#This Row],['# Exterior Compactors MRST]]=0,"",VLOOKUP(Data[[#This Row],[DEVELOPMENT]],ExtCompactors_MRST[],5,FALSE))</f>
        <v>37601</v>
      </c>
      <c r="N152">
        <f>Data[[#This Row],['# Interior Compactors MRST]]</f>
        <v>34</v>
      </c>
      <c r="O152" s="20">
        <f>IF(Data[[#This Row],['# Bulk Crushers]]=0,1,0)</f>
        <v>1</v>
      </c>
      <c r="P152" s="20">
        <f>1</f>
        <v>1</v>
      </c>
      <c r="Q152" s="20">
        <f>1</f>
        <v>1</v>
      </c>
      <c r="R152" s="20">
        <f>1</f>
        <v>1</v>
      </c>
      <c r="S152" s="20">
        <f>1</f>
        <v>1</v>
      </c>
      <c r="T152" s="20">
        <f>IF(Data[[#This Row],[Sewershed]]="Newtown Creek",Data[[#This Row],[DUs]],0)</f>
        <v>0</v>
      </c>
      <c r="U15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5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5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52" s="82">
        <f>VLOOKUP(Data[[#This Row],[DEVELOPMENT]],Development_Data_Book[[DEVELOPMENT]:[BOROUGH]],3,FALSE)</f>
        <v>64</v>
      </c>
      <c r="Y152" s="20"/>
      <c r="Z152" s="20">
        <f>IFERROR(VLOOKUP(Data[[#This Row],[TDS]],ExtCompactors_PNA[[Development]:[0]],2,FALSE),0)</f>
        <v>4</v>
      </c>
      <c r="AA152" s="20">
        <f>IFERROR(VLOOKUP(Data[[#This Row],[TDS]],IntCompactors_PNA[[TDS]:[0]],2,FALSE),0)</f>
        <v>34</v>
      </c>
      <c r="AB152" s="20"/>
      <c r="AC152" s="20"/>
      <c r="AD152" s="20">
        <f>IFERROR(VLOOKUP(Data[[#This Row],[TDS]],ExtCompactors_PNA[[Development]:[0]],3,FALSE)+VLOOKUP(Data[[#This Row],[TDS]],ExtCompactors_PNA[[Development]:[0]],6,FALSE),0)</f>
        <v>4</v>
      </c>
      <c r="AE152" s="20">
        <f>IFERROR(VLOOKUP(Data[[#This Row],[TDS]],IntCompactors_PNA[[TDS]:[0]],3,FALSE)+VLOOKUP(Data[[#This Row],[TDS]],IntCompactors_PNA[[TDS]:[0]],6,FALSE),0)</f>
        <v>34</v>
      </c>
      <c r="AF152" s="20" t="e">
        <f>VLOOKUP(Data[[#This Row],[DEVELOPMENT]],[3]Developments!$A$2:$A$312,1,FALSE)</f>
        <v>#N/A</v>
      </c>
      <c r="AG152" s="20">
        <f>IFERROR(VLOOKUP(Data[[#This Row],[DEVELOPMENT]],Ops_Priorities_and_Data_Clean[[development]:[ifnoext_comment]],3,FALSE),"")</f>
        <v>4</v>
      </c>
      <c r="AH152" s="20">
        <f>IFERROR(VLOOKUP(Data[[#This Row],[DEVELOPMENT]],Ops_Priorities_and_Data_Clean[[development]:[ifnoext_comment]],4,FALSE),"")</f>
        <v>0</v>
      </c>
      <c r="AI152" s="20">
        <f>IFERROR(VLOOKUP(Data[[#This Row],[DEVELOPMENT]],Ops_Priorities_and_Data_Clean[[development]:[ifnoext_comment]],5,FALSE),"")</f>
        <v>1</v>
      </c>
      <c r="AJ152" s="20">
        <f>IFERROR(VLOOKUP(Data[[#This Row],[DEVELOPMENT]],Ops_Priorities_and_Data_Clean[[development]:[ifnoext_comment]],6,FALSE),"")</f>
        <v>0</v>
      </c>
      <c r="AK152" s="20">
        <f>IFERROR(VLOOKUP(Data[[#This Row],[DEVELOPMENT]],Ops_Priorities_and_Data_Clean[[development]:[ifnoext_comment]],7,FALSE),"")</f>
        <v>0</v>
      </c>
      <c r="AL152" s="20">
        <f>IFERROR(VLOOKUP(Data[[#This Row],[DEVELOPMENT]],Ops_Priorities_and_Data_Clean[[development]:[ifnoext_comment]],8,FALSE),"")</f>
        <v>1</v>
      </c>
      <c r="AM152" s="20">
        <f>IFERROR(VLOOKUP(Data[[#This Row],[DEVELOPMENT]],Ops_Priorities_and_Data_Clean[[development]:[ifnoext_comment]],9,FALSE),"")</f>
        <v>0</v>
      </c>
      <c r="AN152" s="20">
        <f>IFERROR(VLOOKUP(Data[[#This Row],[DEVELOPMENT]],Ops_Priorities_and_Data_Clean[[development]:[ifnoext_comment]],10,FALSE),"")</f>
        <v>4</v>
      </c>
      <c r="AO152" s="20">
        <f>IFERROR(VLOOKUP(Data[[#This Row],[DEVELOPMENT]],Ops_Priorities_and_Data_Clean[[development]:[ifnoext_comment]],11,FALSE),"")</f>
        <v>3</v>
      </c>
      <c r="AP152" s="20">
        <f>IFERROR(VLOOKUP(Data[[#This Row],[DEVELOPMENT]],Ops_Priorities_and_Data_Clean[[development]:[ifnoext_comment]],12,FALSE),"")</f>
        <v>3</v>
      </c>
      <c r="AQ152" s="20">
        <f>VLOOKUP(Data[[#This Row],[DEVELOPMENT]],Ops_Priorities_and_Data_Clean[[development]:[ifnoext_comment]],14,FALSE)</f>
        <v>0</v>
      </c>
      <c r="AR152" s="20">
        <f>VLOOKUP(Data[[#This Row],[DEVELOPMENT]],Ops_Priorities_and_Data_Clean[[development]:[ifnoext_comment]],15,FALSE)</f>
        <v>0</v>
      </c>
      <c r="AS152" s="20" t="str">
        <f>VLOOKUP(Data[[#This Row],[DEVELOPMENT]],Ops_Priorities_and_Data_Clean[[development]:[ifnoext_comment]],16,FALSE)</f>
        <v>NULL</v>
      </c>
      <c r="AT152" s="20" t="str">
        <f>VLOOKUP(Data[[#This Row],[DEVELOPMENT]],Ops_Priorities_and_Data_Clean[[development]:[ifnoext_comment]],17,FALSE)</f>
        <v>NULL</v>
      </c>
      <c r="AU152" s="20" t="str">
        <f>VLOOKUP(Data[[#This Row],[DEVELOPMENT]],Ops_Priorities_and_Data_Clean[[development]:[ifnoext_comment]],18,FALSE)</f>
        <v>NULL</v>
      </c>
      <c r="AV152" s="20" t="str">
        <f>VLOOKUP(Data[[#This Row],[DEVELOPMENT]],Ops_Priorities_and_Data_Clean[[development]:[ifnoext_comment]],19,FALSE)</f>
        <v>NULL</v>
      </c>
      <c r="AW152" s="20" t="str">
        <f>VLOOKUP(Data[[#This Row],[DEVELOPMENT]],Ops_Priorities_and_Data_Clean[[development]:[ifnoext_comment]],20,FALSE)</f>
        <v>NULL</v>
      </c>
      <c r="AX152" s="104" t="s">
        <v>2602</v>
      </c>
      <c r="AY152" s="104" t="s">
        <v>2603</v>
      </c>
      <c r="AZ152" s="20" t="str">
        <f>VLOOKUP(Data[[#This Row],[DEVELOPMENT]],Development_Data_Book[[DEVELOPMENT]:[PRIVATE MANAGEMENT]],8,FALSE)</f>
        <v>FEDERAL</v>
      </c>
      <c r="BA152" s="104" t="s">
        <v>2586</v>
      </c>
      <c r="BB152" s="20">
        <f>VLOOKUP(Data[[#This Row],[DEVELOPMENT]],Development_Data_Book[[DEVELOPMENT]:[PRIVATE MANAGEMENT]],22,FALSE)</f>
        <v>1</v>
      </c>
      <c r="BC152" s="20">
        <f>Data[[#This Row],[Non-Dwelling Buildings]]+Data[[#This Row],[Dwelling Buildings]]</f>
        <v>19</v>
      </c>
      <c r="BD152" s="20">
        <f>VLOOKUP(Data[[#This Row],[DEVELOPMENT]],Development_Data_Book[[DEVELOPMENT]:[PRIVATE MANAGEMENT]],26,FALSE)</f>
        <v>17.38</v>
      </c>
      <c r="BE152" s="106">
        <v>1498780</v>
      </c>
      <c r="BF152" s="20">
        <f>VLOOKUP(Data[[#This Row],[DEVELOPMENT]],Development_Data_Book[[DEVELOPMENT]:[PRIVATE MANAGEMENT]],18,FALSE)</f>
        <v>3314</v>
      </c>
      <c r="BG15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52" s="104" t="s">
        <v>2604</v>
      </c>
      <c r="BI152" t="s">
        <v>184</v>
      </c>
      <c r="BJ152" s="20">
        <f>VLOOKUP(Data[[#This Row],[DEVELOPMENT]],Development_Data_Book[[DEVELOPMENT]:[PRIVATE MANAGEMENT]],41,FALSE)</f>
        <v>11</v>
      </c>
      <c r="BK152" s="20">
        <f>VLOOKUP(Data[[#This Row],[DEVELOPMENT]],Development_Data_Book[[DEVELOPMENT]:[PRIVATE MANAGEMENT]],42,FALSE)</f>
        <v>13</v>
      </c>
      <c r="BL152" s="20">
        <f>VLOOKUP(Data[[#This Row],[DEVELOPMENT]],Development_Data_Book[[DEVELOPMENT]:[PRIVATE MANAGEMENT]],43,FALSE)</f>
        <v>30</v>
      </c>
      <c r="BM152" s="20">
        <f>VLOOKUP(Data[[#This Row],[DEVELOPMENT]],Development_Data_Book[[DEVELOPMENT]:[PRIVATE MANAGEMENT]],44,FALSE)</f>
        <v>68</v>
      </c>
      <c r="BN152" s="20">
        <f>VLOOKUP(Data[[#This Row],[DEVELOPMENT]],Development_Data_Book[[DEVELOPMENT]:[PRIVATE MANAGEMENT]],45,FALSE)</f>
        <v>8</v>
      </c>
      <c r="BO152" s="20">
        <f>VLOOKUP(Data[[#This Row],[DEVELOPMENT]],Development_Data_Book[[DEVELOPMENT]:[PRIVATE MANAGEMENT]],24,FALSE)</f>
        <v>41833</v>
      </c>
    </row>
    <row r="153" spans="1:67">
      <c r="A153" t="s">
        <v>83</v>
      </c>
      <c r="B153" t="str">
        <f>VLOOKUP(Data[[#This Row],[DEVELOPMENT]],Development_Data_Book[[DEVELOPMENT]:[BOROUGH]],MATCH("borough",Development_Data_Book[[#Headers],[DEVELOPMENT]:[BOROUGH]],0),FALSE)</f>
        <v>MANHATTAN</v>
      </c>
      <c r="C153" t="e">
        <f>VLOOKUP(Data[[#This Row],[DEVELOPMENT]],'[1]Cheat-Sheet'!$D$2:$Q$341,2,FALSE)</f>
        <v>#N/A</v>
      </c>
      <c r="D15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53">
        <f>VLOOKUP(Data[[#This Row],[DEVELOPMENT]],Development_Data_Book[[DEVELOPMENT]:[BOROUGH]],21,FALSE)</f>
        <v>10</v>
      </c>
      <c r="F153">
        <f>VLOOKUP(Data[[#This Row],[DEVELOPMENT]],Development_Data_Book[[DEVELOPMENT]:[BOROUGH]],23,FALSE)</f>
        <v>17</v>
      </c>
      <c r="G153">
        <f>VLOOKUP(Data[[#This Row],[DEVELOPMENT]],Development_Data_Book[[DEVELOPMENT]:[BOROUGH]],12,FALSE)</f>
        <v>1296</v>
      </c>
      <c r="H153" t="s">
        <v>2247</v>
      </c>
      <c r="I153">
        <v>2</v>
      </c>
      <c r="J153">
        <f>IFERROR(VLOOKUP(Data[[#This Row],[DEVELOPMENT]],IntCompactors_MRST[],4,FALSE),0)</f>
        <v>17</v>
      </c>
      <c r="K153" s="20">
        <f>IFERROR(VLOOKUP(Data[[#This Row],[DEVELOPMENT]],ExtCompactors_MRST[],4,FALSE),0)</f>
        <v>2</v>
      </c>
      <c r="L153" s="27">
        <f>IF(Data[[#This Row],['# Interior Compactors MRST]]=0,"",VLOOKUP(Data[[#This Row],[DEVELOPMENT]],IntCompactors_MRST[],5,FALSE))</f>
        <v>36373</v>
      </c>
      <c r="M153" s="28">
        <f>IF(Data[[#This Row],['# Exterior Compactors MRST]]=0,"",VLOOKUP(Data[[#This Row],[DEVELOPMENT]],ExtCompactors_MRST[],5,FALSE))</f>
        <v>36759</v>
      </c>
      <c r="N153">
        <f>Data[[#This Row],['# Interior Compactors MRST]]</f>
        <v>17</v>
      </c>
      <c r="O153" s="20">
        <f>IF(Data[[#This Row],['# Bulk Crushers]]=0,1,0)</f>
        <v>1</v>
      </c>
      <c r="P153" s="20">
        <f>1</f>
        <v>1</v>
      </c>
      <c r="Q153" s="20">
        <f>1</f>
        <v>1</v>
      </c>
      <c r="R153" s="20">
        <f>1</f>
        <v>1</v>
      </c>
      <c r="S153" s="20">
        <f>1</f>
        <v>1</v>
      </c>
      <c r="T153" s="20">
        <f>IF(Data[[#This Row],[Sewershed]]="Newtown Creek",Data[[#This Row],[DUs]],0)</f>
        <v>0</v>
      </c>
      <c r="U15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5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5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53" s="82">
        <f>VLOOKUP(Data[[#This Row],[DEVELOPMENT]],Development_Data_Book[[DEVELOPMENT]:[BOROUGH]],3,FALSE)</f>
        <v>17</v>
      </c>
      <c r="Y153" s="20"/>
      <c r="Z153" s="20">
        <f>IFERROR(VLOOKUP(Data[[#This Row],[TDS]],ExtCompactors_PNA[[Development]:[0]],2,FALSE),0)</f>
        <v>2</v>
      </c>
      <c r="AA153" s="20">
        <f>IFERROR(VLOOKUP(Data[[#This Row],[TDS]],IntCompactors_PNA[[TDS]:[0]],2,FALSE),0)</f>
        <v>17</v>
      </c>
      <c r="AB153" s="20"/>
      <c r="AC153" s="20"/>
      <c r="AD153" s="20">
        <f>IFERROR(VLOOKUP(Data[[#This Row],[TDS]],ExtCompactors_PNA[[Development]:[0]],3,FALSE)+VLOOKUP(Data[[#This Row],[TDS]],ExtCompactors_PNA[[Development]:[0]],6,FALSE),0)</f>
        <v>0</v>
      </c>
      <c r="AE153" s="20">
        <f>IFERROR(VLOOKUP(Data[[#This Row],[TDS]],IntCompactors_PNA[[TDS]:[0]],3,FALSE)+VLOOKUP(Data[[#This Row],[TDS]],IntCompactors_PNA[[TDS]:[0]],6,FALSE),0)</f>
        <v>17</v>
      </c>
      <c r="AF153" s="20" t="e">
        <f>VLOOKUP(Data[[#This Row],[DEVELOPMENT]],[3]Developments!$A$2:$A$312,1,FALSE)</f>
        <v>#N/A</v>
      </c>
      <c r="AG153" s="20">
        <f>IFERROR(VLOOKUP(Data[[#This Row],[DEVELOPMENT]],Ops_Priorities_and_Data_Clean[[development]:[ifnoext_comment]],3,FALSE),"")</f>
        <v>2</v>
      </c>
      <c r="AH153" s="20">
        <f>IFERROR(VLOOKUP(Data[[#This Row],[DEVELOPMENT]],Ops_Priorities_and_Data_Clean[[development]:[ifnoext_comment]],4,FALSE),"")</f>
        <v>0</v>
      </c>
      <c r="AI153" s="20">
        <f>IFERROR(VLOOKUP(Data[[#This Row],[DEVELOPMENT]],Ops_Priorities_and_Data_Clean[[development]:[ifnoext_comment]],5,FALSE),"")</f>
        <v>1</v>
      </c>
      <c r="AJ153" s="20">
        <f>IFERROR(VLOOKUP(Data[[#This Row],[DEVELOPMENT]],Ops_Priorities_and_Data_Clean[[development]:[ifnoext_comment]],6,FALSE),"")</f>
        <v>0</v>
      </c>
      <c r="AK153" s="20">
        <f>IFERROR(VLOOKUP(Data[[#This Row],[DEVELOPMENT]],Ops_Priorities_and_Data_Clean[[development]:[ifnoext_comment]],7,FALSE),"")</f>
        <v>0</v>
      </c>
      <c r="AL153" s="20">
        <f>IFERROR(VLOOKUP(Data[[#This Row],[DEVELOPMENT]],Ops_Priorities_and_Data_Clean[[development]:[ifnoext_comment]],8,FALSE),"")</f>
        <v>1</v>
      </c>
      <c r="AM153" s="20">
        <f>IFERROR(VLOOKUP(Data[[#This Row],[DEVELOPMENT]],Ops_Priorities_and_Data_Clean[[development]:[ifnoext_comment]],9,FALSE),"")</f>
        <v>0</v>
      </c>
      <c r="AN153" s="20">
        <f>IFERROR(VLOOKUP(Data[[#This Row],[DEVELOPMENT]],Ops_Priorities_and_Data_Clean[[development]:[ifnoext_comment]],10,FALSE),"")</f>
        <v>2</v>
      </c>
      <c r="AO153" s="20">
        <f>IFERROR(VLOOKUP(Data[[#This Row],[DEVELOPMENT]],Ops_Priorities_and_Data_Clean[[development]:[ifnoext_comment]],11,FALSE),"")</f>
        <v>2</v>
      </c>
      <c r="AP153" s="20">
        <f>IFERROR(VLOOKUP(Data[[#This Row],[DEVELOPMENT]],Ops_Priorities_and_Data_Clean[[development]:[ifnoext_comment]],12,FALSE),"")</f>
        <v>2</v>
      </c>
      <c r="AQ153" s="20">
        <f>VLOOKUP(Data[[#This Row],[DEVELOPMENT]],Ops_Priorities_and_Data_Clean[[development]:[ifnoext_comment]],14,FALSE)</f>
        <v>0</v>
      </c>
      <c r="AR153" s="20">
        <f>VLOOKUP(Data[[#This Row],[DEVELOPMENT]],Ops_Priorities_and_Data_Clean[[development]:[ifnoext_comment]],15,FALSE)</f>
        <v>0</v>
      </c>
      <c r="AS153" s="20" t="str">
        <f>VLOOKUP(Data[[#This Row],[DEVELOPMENT]],Ops_Priorities_and_Data_Clean[[development]:[ifnoext_comment]],16,FALSE)</f>
        <v>NULL</v>
      </c>
      <c r="AT153" s="20" t="str">
        <f>VLOOKUP(Data[[#This Row],[DEVELOPMENT]],Ops_Priorities_and_Data_Clean[[development]:[ifnoext_comment]],17,FALSE)</f>
        <v>NULL</v>
      </c>
      <c r="AU153" s="20" t="str">
        <f>VLOOKUP(Data[[#This Row],[DEVELOPMENT]],Ops_Priorities_and_Data_Clean[[development]:[ifnoext_comment]],18,FALSE)</f>
        <v>NULL</v>
      </c>
      <c r="AV153" s="20" t="str">
        <f>VLOOKUP(Data[[#This Row],[DEVELOPMENT]],Ops_Priorities_and_Data_Clean[[development]:[ifnoext_comment]],19,FALSE)</f>
        <v>NULL</v>
      </c>
      <c r="AW153" s="20" t="str">
        <f>VLOOKUP(Data[[#This Row],[DEVELOPMENT]],Ops_Priorities_and_Data_Clean[[development]:[ifnoext_comment]],20,FALSE)</f>
        <v>NULL</v>
      </c>
      <c r="AX153" s="104" t="s">
        <v>2239</v>
      </c>
      <c r="AY153" s="104" t="s">
        <v>2603</v>
      </c>
      <c r="AZ153" s="20" t="str">
        <f>VLOOKUP(Data[[#This Row],[DEVELOPMENT]],Development_Data_Book[[DEVELOPMENT]:[PRIVATE MANAGEMENT]],8,FALSE)</f>
        <v>FEDERAL</v>
      </c>
      <c r="BA153" s="104" t="s">
        <v>2586</v>
      </c>
      <c r="BB153" s="20">
        <f>VLOOKUP(Data[[#This Row],[DEVELOPMENT]],Development_Data_Book[[DEVELOPMENT]:[PRIVATE MANAGEMENT]],22,FALSE)</f>
        <v>0</v>
      </c>
      <c r="BC153" s="20">
        <f>Data[[#This Row],[Non-Dwelling Buildings]]+Data[[#This Row],[Dwelling Buildings]]</f>
        <v>10</v>
      </c>
      <c r="BD153" s="20">
        <f>VLOOKUP(Data[[#This Row],[DEVELOPMENT]],Development_Data_Book[[DEVELOPMENT]:[PRIVATE MANAGEMENT]],26,FALSE)</f>
        <v>11.88</v>
      </c>
      <c r="BE153" s="106">
        <v>1261187</v>
      </c>
      <c r="BF153" s="20">
        <f>VLOOKUP(Data[[#This Row],[DEVELOPMENT]],Development_Data_Book[[DEVELOPMENT]:[PRIVATE MANAGEMENT]],18,FALSE)</f>
        <v>3076</v>
      </c>
      <c r="BG15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53" s="104" t="s">
        <v>2604</v>
      </c>
      <c r="BI153" t="s">
        <v>184</v>
      </c>
      <c r="BJ153" s="20">
        <f>VLOOKUP(Data[[#This Row],[DEVELOPMENT]],Development_Data_Book[[DEVELOPMENT]:[PRIVATE MANAGEMENT]],41,FALSE)</f>
        <v>11</v>
      </c>
      <c r="BK153" s="20">
        <f>VLOOKUP(Data[[#This Row],[DEVELOPMENT]],Development_Data_Book[[DEVELOPMENT]:[PRIVATE MANAGEMENT]],42,FALSE)</f>
        <v>13</v>
      </c>
      <c r="BL153" s="20">
        <f>VLOOKUP(Data[[#This Row],[DEVELOPMENT]],Development_Data_Book[[DEVELOPMENT]:[PRIVATE MANAGEMENT]],43,FALSE)</f>
        <v>30</v>
      </c>
      <c r="BM153" s="20">
        <f>VLOOKUP(Data[[#This Row],[DEVELOPMENT]],Development_Data_Book[[DEVELOPMENT]:[PRIVATE MANAGEMENT]],44,FALSE)</f>
        <v>68</v>
      </c>
      <c r="BN153" s="20">
        <f>VLOOKUP(Data[[#This Row],[DEVELOPMENT]],Development_Data_Book[[DEVELOPMENT]:[PRIVATE MANAGEMENT]],45,FALSE)</f>
        <v>8</v>
      </c>
      <c r="BO153" s="20">
        <f>VLOOKUP(Data[[#This Row],[DEVELOPMENT]],Development_Data_Book[[DEVELOPMENT]:[PRIVATE MANAGEMENT]],24,FALSE)</f>
        <v>14</v>
      </c>
    </row>
    <row r="154" spans="1:67">
      <c r="A154" t="s">
        <v>131</v>
      </c>
      <c r="B154" t="str">
        <f>VLOOKUP(Data[[#This Row],[DEVELOPMENT]],Development_Data_Book[[DEVELOPMENT]:[BOROUGH]],MATCH("borough",Development_Data_Book[[#Headers],[DEVELOPMENT]:[BOROUGH]],0),FALSE)</f>
        <v>MANHATTAN</v>
      </c>
      <c r="C154" t="e">
        <f>VLOOKUP(Data[[#This Row],[DEVELOPMENT]],'[1]Cheat-Sheet'!$D$2:$Q$341,2,FALSE)</f>
        <v>#N/A</v>
      </c>
      <c r="D15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54">
        <f>VLOOKUP(Data[[#This Row],[DEVELOPMENT]],Development_Data_Book[[DEVELOPMENT]:[BOROUGH]],21,FALSE)</f>
        <v>10</v>
      </c>
      <c r="F154">
        <f>VLOOKUP(Data[[#This Row],[DEVELOPMENT]],Development_Data_Book[[DEVELOPMENT]:[BOROUGH]],23,FALSE)</f>
        <v>10</v>
      </c>
      <c r="G154">
        <f>VLOOKUP(Data[[#This Row],[DEVELOPMENT]],Development_Data_Book[[DEVELOPMENT]:[BOROUGH]],12,FALSE)</f>
        <v>1377</v>
      </c>
      <c r="H154" t="s">
        <v>2247</v>
      </c>
      <c r="I154">
        <v>2</v>
      </c>
      <c r="J154">
        <f>IFERROR(VLOOKUP(Data[[#This Row],[DEVELOPMENT]],IntCompactors_MRST[],4,FALSE),0)</f>
        <v>10</v>
      </c>
      <c r="K154" s="20">
        <f>IFERROR(VLOOKUP(Data[[#This Row],[DEVELOPMENT]],ExtCompactors_MRST[],4,FALSE),0)</f>
        <v>2</v>
      </c>
      <c r="L154" s="27">
        <f>IF(Data[[#This Row],['# Interior Compactors MRST]]=0,"",VLOOKUP(Data[[#This Row],[DEVELOPMENT]],IntCompactors_MRST[],5,FALSE))</f>
        <v>36678</v>
      </c>
      <c r="M154" s="28">
        <f>IF(Data[[#This Row],['# Exterior Compactors MRST]]=0,"",VLOOKUP(Data[[#This Row],[DEVELOPMENT]],ExtCompactors_MRST[],5,FALSE))</f>
        <v>41953</v>
      </c>
      <c r="N154">
        <f>Data[[#This Row],['# Interior Compactors MRST]]</f>
        <v>10</v>
      </c>
      <c r="O154" s="20">
        <f>IF(Data[[#This Row],['# Bulk Crushers]]=0,1,0)</f>
        <v>1</v>
      </c>
      <c r="P154" s="20">
        <f>1</f>
        <v>1</v>
      </c>
      <c r="Q154" s="20">
        <f>1</f>
        <v>1</v>
      </c>
      <c r="R154" s="20">
        <f>1</f>
        <v>1</v>
      </c>
      <c r="S154" s="20">
        <f>1</f>
        <v>1</v>
      </c>
      <c r="T154" s="20">
        <f>IF(Data[[#This Row],[Sewershed]]="Newtown Creek",Data[[#This Row],[DUs]],0)</f>
        <v>0</v>
      </c>
      <c r="U15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5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5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54" s="82">
        <f>VLOOKUP(Data[[#This Row],[DEVELOPMENT]],Development_Data_Book[[DEVELOPMENT]:[BOROUGH]],3,FALSE)</f>
        <v>30</v>
      </c>
      <c r="Y154" s="20"/>
      <c r="Z154" s="20">
        <f>IFERROR(VLOOKUP(Data[[#This Row],[TDS]],ExtCompactors_PNA[[Development]:[0]],2,FALSE),0)</f>
        <v>2</v>
      </c>
      <c r="AA154" s="20">
        <f>IFERROR(VLOOKUP(Data[[#This Row],[TDS]],IntCompactors_PNA[[TDS]:[0]],2,FALSE),0)</f>
        <v>10</v>
      </c>
      <c r="AB154" s="20"/>
      <c r="AC154" s="20"/>
      <c r="AD154" s="20">
        <f>IFERROR(VLOOKUP(Data[[#This Row],[TDS]],ExtCompactors_PNA[[Development]:[0]],3,FALSE)+VLOOKUP(Data[[#This Row],[TDS]],ExtCompactors_PNA[[Development]:[0]],6,FALSE),0)</f>
        <v>0</v>
      </c>
      <c r="AE154" s="20">
        <f>IFERROR(VLOOKUP(Data[[#This Row],[TDS]],IntCompactors_PNA[[TDS]:[0]],3,FALSE)+VLOOKUP(Data[[#This Row],[TDS]],IntCompactors_PNA[[TDS]:[0]],6,FALSE),0)</f>
        <v>10</v>
      </c>
      <c r="AF154" s="20" t="e">
        <f>VLOOKUP(Data[[#This Row],[DEVELOPMENT]],[3]Developments!$A$2:$A$312,1,FALSE)</f>
        <v>#N/A</v>
      </c>
      <c r="AG154" s="20">
        <f>IFERROR(VLOOKUP(Data[[#This Row],[DEVELOPMENT]],Ops_Priorities_and_Data_Clean[[development]:[ifnoext_comment]],3,FALSE),"")</f>
        <v>2</v>
      </c>
      <c r="AH154" s="20">
        <f>IFERROR(VLOOKUP(Data[[#This Row],[DEVELOPMENT]],Ops_Priorities_and_Data_Clean[[development]:[ifnoext_comment]],4,FALSE),"")</f>
        <v>0</v>
      </c>
      <c r="AI154" s="20">
        <f>IFERROR(VLOOKUP(Data[[#This Row],[DEVELOPMENT]],Ops_Priorities_and_Data_Clean[[development]:[ifnoext_comment]],5,FALSE),"")</f>
        <v>1</v>
      </c>
      <c r="AJ154" s="20">
        <f>IFERROR(VLOOKUP(Data[[#This Row],[DEVELOPMENT]],Ops_Priorities_and_Data_Clean[[development]:[ifnoext_comment]],6,FALSE),"")</f>
        <v>0</v>
      </c>
      <c r="AK154" s="20">
        <f>IFERROR(VLOOKUP(Data[[#This Row],[DEVELOPMENT]],Ops_Priorities_and_Data_Clean[[development]:[ifnoext_comment]],7,FALSE),"")</f>
        <v>0</v>
      </c>
      <c r="AL154" s="20">
        <f>IFERROR(VLOOKUP(Data[[#This Row],[DEVELOPMENT]],Ops_Priorities_and_Data_Clean[[development]:[ifnoext_comment]],8,FALSE),"")</f>
        <v>1</v>
      </c>
      <c r="AM154" s="20">
        <f>IFERROR(VLOOKUP(Data[[#This Row],[DEVELOPMENT]],Ops_Priorities_and_Data_Clean[[development]:[ifnoext_comment]],9,FALSE),"")</f>
        <v>0</v>
      </c>
      <c r="AN154" s="20">
        <f>IFERROR(VLOOKUP(Data[[#This Row],[DEVELOPMENT]],Ops_Priorities_and_Data_Clean[[development]:[ifnoext_comment]],10,FALSE),"")</f>
        <v>2</v>
      </c>
      <c r="AO154" s="20">
        <f>IFERROR(VLOOKUP(Data[[#This Row],[DEVELOPMENT]],Ops_Priorities_and_Data_Clean[[development]:[ifnoext_comment]],11,FALSE),"")</f>
        <v>2</v>
      </c>
      <c r="AP154" s="20">
        <f>IFERROR(VLOOKUP(Data[[#This Row],[DEVELOPMENT]],Ops_Priorities_and_Data_Clean[[development]:[ifnoext_comment]],12,FALSE),"")</f>
        <v>2</v>
      </c>
      <c r="AQ154" s="20">
        <f>VLOOKUP(Data[[#This Row],[DEVELOPMENT]],Ops_Priorities_and_Data_Clean[[development]:[ifnoext_comment]],14,FALSE)</f>
        <v>0</v>
      </c>
      <c r="AR154" s="20">
        <f>VLOOKUP(Data[[#This Row],[DEVELOPMENT]],Ops_Priorities_and_Data_Clean[[development]:[ifnoext_comment]],15,FALSE)</f>
        <v>0</v>
      </c>
      <c r="AS154" s="20" t="str">
        <f>VLOOKUP(Data[[#This Row],[DEVELOPMENT]],Ops_Priorities_and_Data_Clean[[development]:[ifnoext_comment]],16,FALSE)</f>
        <v>NULL</v>
      </c>
      <c r="AT154" s="20" t="str">
        <f>VLOOKUP(Data[[#This Row],[DEVELOPMENT]],Ops_Priorities_and_Data_Clean[[development]:[ifnoext_comment]],17,FALSE)</f>
        <v>NULL</v>
      </c>
      <c r="AU154" s="20" t="str">
        <f>VLOOKUP(Data[[#This Row],[DEVELOPMENT]],Ops_Priorities_and_Data_Clean[[development]:[ifnoext_comment]],18,FALSE)</f>
        <v>NULL</v>
      </c>
      <c r="AV154" s="20" t="str">
        <f>VLOOKUP(Data[[#This Row],[DEVELOPMENT]],Ops_Priorities_and_Data_Clean[[development]:[ifnoext_comment]],19,FALSE)</f>
        <v>NULL</v>
      </c>
      <c r="AW154" s="20" t="str">
        <f>VLOOKUP(Data[[#This Row],[DEVELOPMENT]],Ops_Priorities_and_Data_Clean[[development]:[ifnoext_comment]],20,FALSE)</f>
        <v>NULL</v>
      </c>
      <c r="AX154" s="104" t="s">
        <v>2239</v>
      </c>
      <c r="AY154" s="104" t="s">
        <v>2592</v>
      </c>
      <c r="AZ154" s="20" t="str">
        <f>VLOOKUP(Data[[#This Row],[DEVELOPMENT]],Development_Data_Book[[DEVELOPMENT]:[PRIVATE MANAGEMENT]],8,FALSE)</f>
        <v>FEDERAL</v>
      </c>
      <c r="BA154" s="104" t="s">
        <v>2586</v>
      </c>
      <c r="BB154" s="20">
        <f>VLOOKUP(Data[[#This Row],[DEVELOPMENT]],Development_Data_Book[[DEVELOPMENT]:[PRIVATE MANAGEMENT]],22,FALSE)</f>
        <v>0</v>
      </c>
      <c r="BC154" s="20">
        <f>Data[[#This Row],[Non-Dwelling Buildings]]+Data[[#This Row],[Dwelling Buildings]]</f>
        <v>10</v>
      </c>
      <c r="BD154" s="20">
        <f>VLOOKUP(Data[[#This Row],[DEVELOPMENT]],Development_Data_Book[[DEVELOPMENT]:[PRIVATE MANAGEMENT]],26,FALSE)</f>
        <v>13.75</v>
      </c>
      <c r="BE154" s="106">
        <v>1291350</v>
      </c>
      <c r="BF154" s="20">
        <f>VLOOKUP(Data[[#This Row],[DEVELOPMENT]],Development_Data_Book[[DEVELOPMENT]:[PRIVATE MANAGEMENT]],18,FALSE)</f>
        <v>3013</v>
      </c>
      <c r="BG15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54" s="104" t="s">
        <v>2593</v>
      </c>
      <c r="BI154" t="s">
        <v>184</v>
      </c>
      <c r="BJ154" s="20">
        <f>VLOOKUP(Data[[#This Row],[DEVELOPMENT]],Development_Data_Book[[DEVELOPMENT]:[PRIVATE MANAGEMENT]],41,FALSE)</f>
        <v>10</v>
      </c>
      <c r="BK154" s="20">
        <f>VLOOKUP(Data[[#This Row],[DEVELOPMENT]],Development_Data_Book[[DEVELOPMENT]:[PRIVATE MANAGEMENT]],42,FALSE)</f>
        <v>13</v>
      </c>
      <c r="BL154" s="20">
        <f>VLOOKUP(Data[[#This Row],[DEVELOPMENT]],Development_Data_Book[[DEVELOPMENT]:[PRIVATE MANAGEMENT]],43,FALSE)</f>
        <v>30</v>
      </c>
      <c r="BM154" s="20">
        <f>VLOOKUP(Data[[#This Row],[DEVELOPMENT]],Development_Data_Book[[DEVELOPMENT]:[PRIVATE MANAGEMENT]],44,FALSE)</f>
        <v>68</v>
      </c>
      <c r="BN154" s="20">
        <f>VLOOKUP(Data[[#This Row],[DEVELOPMENT]],Development_Data_Book[[DEVELOPMENT]:[PRIVATE MANAGEMENT]],45,FALSE)</f>
        <v>9</v>
      </c>
      <c r="BO154" s="20" t="str">
        <f>VLOOKUP(Data[[#This Row],[DEVELOPMENT]],Development_Data_Book[[DEVELOPMENT]:[PRIVATE MANAGEMENT]],24,FALSE)</f>
        <v>13-14</v>
      </c>
    </row>
    <row r="155" spans="1:67">
      <c r="A155" t="s">
        <v>84</v>
      </c>
      <c r="B155" t="str">
        <f>VLOOKUP(Data[[#This Row],[DEVELOPMENT]],Development_Data_Book[[DEVELOPMENT]:[BOROUGH]],MATCH("borough",Development_Data_Book[[#Headers],[DEVELOPMENT]:[BOROUGH]],0),FALSE)</f>
        <v>BROOKLYN</v>
      </c>
      <c r="C155" t="e">
        <f>VLOOKUP(Data[[#This Row],[DEVELOPMENT]],'[1]Cheat-Sheet'!$D$2:$Q$341,2,FALSE)</f>
        <v>#N/A</v>
      </c>
      <c r="D15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55">
        <f>VLOOKUP(Data[[#This Row],[DEVELOPMENT]],Development_Data_Book[[DEVELOPMENT]:[BOROUGH]],21,FALSE)</f>
        <v>16</v>
      </c>
      <c r="F155">
        <f>VLOOKUP(Data[[#This Row],[DEVELOPMENT]],Development_Data_Book[[DEVELOPMENT]:[BOROUGH]],23,FALSE)</f>
        <v>35</v>
      </c>
      <c r="G155">
        <f>VLOOKUP(Data[[#This Row],[DEVELOPMENT]],Development_Data_Book[[DEVELOPMENT]:[BOROUGH]],12,FALSE)</f>
        <v>1154</v>
      </c>
      <c r="H155" t="s">
        <v>2248</v>
      </c>
      <c r="I155">
        <v>4</v>
      </c>
      <c r="J155">
        <f>IFERROR(VLOOKUP(Data[[#This Row],[DEVELOPMENT]],IntCompactors_MRST[],4,FALSE),0)</f>
        <v>35</v>
      </c>
      <c r="K155" s="20">
        <f>IFERROR(VLOOKUP(Data[[#This Row],[DEVELOPMENT]],ExtCompactors_MRST[],4,FALSE),0)</f>
        <v>0</v>
      </c>
      <c r="L155" s="27">
        <f>IF(Data[[#This Row],['# Interior Compactors MRST]]=0,"",VLOOKUP(Data[[#This Row],[DEVELOPMENT]],IntCompactors_MRST[],5,FALSE))</f>
        <v>36008</v>
      </c>
      <c r="M155" s="28" t="str">
        <f>IF(Data[[#This Row],['# Exterior Compactors MRST]]=0,"",VLOOKUP(Data[[#This Row],[DEVELOPMENT]],ExtCompactors_MRST[],5,FALSE))</f>
        <v/>
      </c>
      <c r="N155">
        <f>Data[[#This Row],['# Interior Compactors MRST]]</f>
        <v>35</v>
      </c>
      <c r="O155" s="20">
        <f>IF(Data[[#This Row],['# Bulk Crushers]]=0,1,0)</f>
        <v>1</v>
      </c>
      <c r="P155" s="20">
        <f>1</f>
        <v>1</v>
      </c>
      <c r="Q155" s="20">
        <f>1</f>
        <v>1</v>
      </c>
      <c r="R155" s="20">
        <f>1</f>
        <v>1</v>
      </c>
      <c r="S155" s="20">
        <f>1</f>
        <v>1</v>
      </c>
      <c r="T155" s="20">
        <f>IF(Data[[#This Row],[Sewershed]]="Newtown Creek",Data[[#This Row],[DUs]],0)</f>
        <v>1154</v>
      </c>
      <c r="U15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5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5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55" s="82">
        <f>VLOOKUP(Data[[#This Row],[DEVELOPMENT]],Development_Data_Book[[DEVELOPMENT]:[BOROUGH]],3,FALSE)</f>
        <v>10</v>
      </c>
      <c r="Y155" s="20" t="s">
        <v>2599</v>
      </c>
      <c r="Z155" s="20">
        <f>IFERROR(VLOOKUP(Data[[#This Row],[TDS]],ExtCompactors_PNA[[Development]:[0]],2,FALSE),0)</f>
        <v>0</v>
      </c>
      <c r="AA155" s="20">
        <f>IFERROR(VLOOKUP(Data[[#This Row],[TDS]],IntCompactors_PNA[[TDS]:[0]],2,FALSE),0)</f>
        <v>35</v>
      </c>
      <c r="AB155" s="20"/>
      <c r="AC155" s="20"/>
      <c r="AD155" s="20">
        <f>IFERROR(VLOOKUP(Data[[#This Row],[TDS]],ExtCompactors_PNA[[Development]:[0]],3,FALSE)+VLOOKUP(Data[[#This Row],[TDS]],ExtCompactors_PNA[[Development]:[0]],6,FALSE),0)</f>
        <v>0</v>
      </c>
      <c r="AE155" s="20">
        <f>IFERROR(VLOOKUP(Data[[#This Row],[TDS]],IntCompactors_PNA[[TDS]:[0]],3,FALSE)+VLOOKUP(Data[[#This Row],[TDS]],IntCompactors_PNA[[TDS]:[0]],6,FALSE),0)</f>
        <v>35</v>
      </c>
      <c r="AF155" s="20" t="e">
        <f>VLOOKUP(Data[[#This Row],[DEVELOPMENT]],[3]Developments!$A$2:$A$312,1,FALSE)</f>
        <v>#N/A</v>
      </c>
      <c r="AG155" s="20">
        <f>IFERROR(VLOOKUP(Data[[#This Row],[DEVELOPMENT]],Ops_Priorities_and_Data_Clean[[development]:[ifnoext_comment]],3,FALSE),"")</f>
        <v>0</v>
      </c>
      <c r="AH155" s="20">
        <f>IFERROR(VLOOKUP(Data[[#This Row],[DEVELOPMENT]],Ops_Priorities_and_Data_Clean[[development]:[ifnoext_comment]],4,FALSE),"")</f>
        <v>1</v>
      </c>
      <c r="AI155" s="20">
        <f>IFERROR(VLOOKUP(Data[[#This Row],[DEVELOPMENT]],Ops_Priorities_and_Data_Clean[[development]:[ifnoext_comment]],5,FALSE),"")</f>
        <v>0</v>
      </c>
      <c r="AJ155" s="20">
        <f>IFERROR(VLOOKUP(Data[[#This Row],[DEVELOPMENT]],Ops_Priorities_and_Data_Clean[[development]:[ifnoext_comment]],6,FALSE),"")</f>
        <v>0</v>
      </c>
      <c r="AK155" s="20">
        <f>IFERROR(VLOOKUP(Data[[#This Row],[DEVELOPMENT]],Ops_Priorities_and_Data_Clean[[development]:[ifnoext_comment]],7,FALSE),"")</f>
        <v>1</v>
      </c>
      <c r="AL155" s="20">
        <f>IFERROR(VLOOKUP(Data[[#This Row],[DEVELOPMENT]],Ops_Priorities_and_Data_Clean[[development]:[ifnoext_comment]],8,FALSE),"")</f>
        <v>1</v>
      </c>
      <c r="AM155" s="20">
        <f>IFERROR(VLOOKUP(Data[[#This Row],[DEVELOPMENT]],Ops_Priorities_and_Data_Clean[[development]:[ifnoext_comment]],9,FALSE),"")</f>
        <v>1</v>
      </c>
      <c r="AN155" s="20">
        <f>IFERROR(VLOOKUP(Data[[#This Row],[DEVELOPMENT]],Ops_Priorities_and_Data_Clean[[development]:[ifnoext_comment]],10,FALSE),"")</f>
        <v>0</v>
      </c>
      <c r="AO155" s="20">
        <f>IFERROR(VLOOKUP(Data[[#This Row],[DEVELOPMENT]],Ops_Priorities_and_Data_Clean[[development]:[ifnoext_comment]],11,FALSE),"")</f>
        <v>0</v>
      </c>
      <c r="AP155" s="20">
        <f>IFERROR(VLOOKUP(Data[[#This Row],[DEVELOPMENT]],Ops_Priorities_and_Data_Clean[[development]:[ifnoext_comment]],12,FALSE),"")</f>
        <v>0</v>
      </c>
      <c r="AQ155" s="20">
        <f>VLOOKUP(Data[[#This Row],[DEVELOPMENT]],Ops_Priorities_and_Data_Clean[[development]:[ifnoext_comment]],14,FALSE)</f>
        <v>1</v>
      </c>
      <c r="AR155" s="20">
        <f>VLOOKUP(Data[[#This Row],[DEVELOPMENT]],Ops_Priorities_and_Data_Clean[[development]:[ifnoext_comment]],15,FALSE)</f>
        <v>0</v>
      </c>
      <c r="AS155" s="20" t="str">
        <f>VLOOKUP(Data[[#This Row],[DEVELOPMENT]],Ops_Priorities_and_Data_Clean[[development]:[ifnoext_comment]],16,FALSE)</f>
        <v>NULL</v>
      </c>
      <c r="AT155" s="20" t="str">
        <f>VLOOKUP(Data[[#This Row],[DEVELOPMENT]],Ops_Priorities_and_Data_Clean[[development]:[ifnoext_comment]],17,FALSE)</f>
        <v>NULL</v>
      </c>
      <c r="AU155" s="20" t="str">
        <f>VLOOKUP(Data[[#This Row],[DEVELOPMENT]],Ops_Priorities_and_Data_Clean[[development]:[ifnoext_comment]],18,FALSE)</f>
        <v>NULL</v>
      </c>
      <c r="AV155" s="20" t="str">
        <f>VLOOKUP(Data[[#This Row],[DEVELOPMENT]],Ops_Priorities_and_Data_Clean[[development]:[ifnoext_comment]],19,FALSE)</f>
        <v>NULL</v>
      </c>
      <c r="AW155" s="20" t="str">
        <f>VLOOKUP(Data[[#This Row],[DEVELOPMENT]],Ops_Priorities_and_Data_Clean[[development]:[ifnoext_comment]],20,FALSE)</f>
        <v>NULL</v>
      </c>
      <c r="AX155" s="104" t="s">
        <v>2238</v>
      </c>
      <c r="AY155" s="104" t="s">
        <v>314</v>
      </c>
      <c r="AZ155" s="20" t="str">
        <f>VLOOKUP(Data[[#This Row],[DEVELOPMENT]],Development_Data_Book[[DEVELOPMENT]:[PRIVATE MANAGEMENT]],8,FALSE)</f>
        <v>FEDERAL</v>
      </c>
      <c r="BA155" s="104" t="s">
        <v>2586</v>
      </c>
      <c r="BB155" s="20">
        <f>VLOOKUP(Data[[#This Row],[DEVELOPMENT]],Development_Data_Book[[DEVELOPMENT]:[PRIVATE MANAGEMENT]],22,FALSE)</f>
        <v>0</v>
      </c>
      <c r="BC155" s="20">
        <f>Data[[#This Row],[Non-Dwelling Buildings]]+Data[[#This Row],[Dwelling Buildings]]</f>
        <v>16</v>
      </c>
      <c r="BD155" s="20">
        <f>VLOOKUP(Data[[#This Row],[DEVELOPMENT]],Development_Data_Book[[DEVELOPMENT]:[PRIVATE MANAGEMENT]],26,FALSE)</f>
        <v>15.97</v>
      </c>
      <c r="BE155" s="106">
        <v>838000</v>
      </c>
      <c r="BF155" s="20">
        <f>VLOOKUP(Data[[#This Row],[DEVELOPMENT]],Development_Data_Book[[DEVELOPMENT]:[PRIVATE MANAGEMENT]],18,FALSE)</f>
        <v>2408</v>
      </c>
      <c r="BG15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55" s="104" t="s">
        <v>2589</v>
      </c>
      <c r="BI155" t="s">
        <v>184</v>
      </c>
      <c r="BJ155" s="20" t="str">
        <f>VLOOKUP(Data[[#This Row],[DEVELOPMENT]],Development_Data_Book[[DEVELOPMENT]:[PRIVATE MANAGEMENT]],41,FALSE)</f>
        <v>8, 16</v>
      </c>
      <c r="BK155" s="20">
        <f>VLOOKUP(Data[[#This Row],[DEVELOPMENT]],Development_Data_Book[[DEVELOPMENT]:[PRIVATE MANAGEMENT]],42,FALSE)</f>
        <v>8</v>
      </c>
      <c r="BL155" s="20">
        <f>VLOOKUP(Data[[#This Row],[DEVELOPMENT]],Development_Data_Book[[DEVELOPMENT]:[PRIVATE MANAGEMENT]],43,FALSE)</f>
        <v>25</v>
      </c>
      <c r="BM155" s="20" t="str">
        <f>VLOOKUP(Data[[#This Row],[DEVELOPMENT]],Development_Data_Book[[DEVELOPMENT]:[PRIVATE MANAGEMENT]],44,FALSE)</f>
        <v>55, 56</v>
      </c>
      <c r="BN155" s="20">
        <f>VLOOKUP(Data[[#This Row],[DEVELOPMENT]],Development_Data_Book[[DEVELOPMENT]:[PRIVATE MANAGEMENT]],45,FALSE)</f>
        <v>41</v>
      </c>
      <c r="BO155" s="20">
        <f>VLOOKUP(Data[[#This Row],[DEVELOPMENT]],Development_Data_Book[[DEVELOPMENT]:[PRIVATE MANAGEMENT]],24,FALSE)</f>
        <v>6</v>
      </c>
    </row>
    <row r="156" spans="1:67">
      <c r="A156" t="s">
        <v>191</v>
      </c>
      <c r="B156" s="20" t="str">
        <f>VLOOKUP(Data[[#This Row],[DEVELOPMENT]],Development_Data_Book[[DEVELOPMENT]:[BOROUGH]],MATCH("borough",Development_Data_Book[[#Headers],[DEVELOPMENT]:[BOROUGH]],0),FALSE)</f>
        <v>BROOKLYN</v>
      </c>
      <c r="C156" s="20" t="e">
        <f>VLOOKUP(Data[[#This Row],[DEVELOPMENT]],'[1]Cheat-Sheet'!$D$2:$Q$341,2,FALSE)</f>
        <v>#N/A</v>
      </c>
      <c r="D15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56" s="20">
        <f>VLOOKUP(Data[[#This Row],[DEVELOPMENT]],Development_Data_Book[[DEVELOPMENT]:[BOROUGH]],21,FALSE)</f>
        <v>1</v>
      </c>
      <c r="F156" s="20">
        <f>VLOOKUP(Data[[#This Row],[DEVELOPMENT]],Development_Data_Book[[DEVELOPMENT]:[BOROUGH]],23,FALSE)</f>
        <v>1</v>
      </c>
      <c r="G156" s="20">
        <f>VLOOKUP(Data[[#This Row],[DEVELOPMENT]],Development_Data_Book[[DEVELOPMENT]:[BOROUGH]],12,FALSE)</f>
        <v>182</v>
      </c>
      <c r="H156" t="s">
        <v>2611</v>
      </c>
      <c r="J156">
        <f>IFERROR(VLOOKUP(Data[[#This Row],[DEVELOPMENT]],IntCompactors_MRST[],4,FALSE),0)</f>
        <v>1</v>
      </c>
      <c r="K156" s="20">
        <f>IFERROR(VLOOKUP(Data[[#This Row],[DEVELOPMENT]],ExtCompactors_MRST[],4,FALSE),0)</f>
        <v>0</v>
      </c>
      <c r="L156" s="27">
        <f>IF(Data[[#This Row],['# Interior Compactors MRST]]=0,"",VLOOKUP(Data[[#This Row],[DEVELOPMENT]],IntCompactors_MRST[],5,FALSE))</f>
        <v>37956</v>
      </c>
      <c r="M156" s="28" t="str">
        <f>IF(Data[[#This Row],['# Exterior Compactors MRST]]=0,"",VLOOKUP(Data[[#This Row],[DEVELOPMENT]],ExtCompactors_MRST[],5,FALSE))</f>
        <v/>
      </c>
      <c r="N156" s="20">
        <f>Data[[#This Row],['# Interior Compactors MRST]]</f>
        <v>1</v>
      </c>
      <c r="O156" s="20">
        <f>IF(Data[[#This Row],['# Bulk Crushers]]=0,1,0)</f>
        <v>1</v>
      </c>
      <c r="P156" s="20">
        <f>1</f>
        <v>1</v>
      </c>
      <c r="Q156" s="20">
        <f>1</f>
        <v>1</v>
      </c>
      <c r="R156" s="20">
        <f>1</f>
        <v>1</v>
      </c>
      <c r="S156" s="20">
        <f>1</f>
        <v>1</v>
      </c>
      <c r="T156" s="20">
        <f>IF(Data[[#This Row],[Sewershed]]="Newtown Creek",Data[[#This Row],[DUs]],0)</f>
        <v>182</v>
      </c>
      <c r="U15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5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5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56" s="82">
        <f>VLOOKUP(Data[[#This Row],[DEVELOPMENT]],Development_Data_Book[[DEVELOPMENT]:[BOROUGH]],3,FALSE)</f>
        <v>161</v>
      </c>
      <c r="Y156" s="20" t="s">
        <v>2599</v>
      </c>
      <c r="Z156" s="20">
        <f>IFERROR(VLOOKUP(Data[[#This Row],[TDS]],ExtCompactors_PNA[[Development]:[0]],2,FALSE),0)</f>
        <v>0</v>
      </c>
      <c r="AA156" s="20">
        <f>IFERROR(VLOOKUP(Data[[#This Row],[TDS]],IntCompactors_PNA[[TDS]:[0]],2,FALSE),0)</f>
        <v>2</v>
      </c>
      <c r="AB156" s="20"/>
      <c r="AC156" s="20"/>
      <c r="AD156" s="20">
        <f>IFERROR(VLOOKUP(Data[[#This Row],[TDS]],ExtCompactors_PNA[[Development]:[0]],3,FALSE)+VLOOKUP(Data[[#This Row],[TDS]],ExtCompactors_PNA[[Development]:[0]],6,FALSE),0)</f>
        <v>0</v>
      </c>
      <c r="AE156" s="20">
        <f>IFERROR(VLOOKUP(Data[[#This Row],[TDS]],IntCompactors_PNA[[TDS]:[0]],3,FALSE)+VLOOKUP(Data[[#This Row],[TDS]],IntCompactors_PNA[[TDS]:[0]],6,FALSE),0)</f>
        <v>2</v>
      </c>
      <c r="AF156" s="20" t="e">
        <f>VLOOKUP(Data[[#This Row],[DEVELOPMENT]],[3]Developments!$A$2:$A$312,1,FALSE)</f>
        <v>#N/A</v>
      </c>
      <c r="AG156" s="20">
        <f>IFERROR(VLOOKUP(Data[[#This Row],[DEVELOPMENT]],Ops_Priorities_and_Data_Clean[[development]:[ifnoext_comment]],3,FALSE),"")</f>
        <v>0</v>
      </c>
      <c r="AH156" s="20">
        <f>IFERROR(VLOOKUP(Data[[#This Row],[DEVELOPMENT]],Ops_Priorities_and_Data_Clean[[development]:[ifnoext_comment]],4,FALSE),"")</f>
        <v>0</v>
      </c>
      <c r="AI156" s="20">
        <f>IFERROR(VLOOKUP(Data[[#This Row],[DEVELOPMENT]],Ops_Priorities_and_Data_Clean[[development]:[ifnoext_comment]],5,FALSE),"")</f>
        <v>0</v>
      </c>
      <c r="AJ156" s="20">
        <f>IFERROR(VLOOKUP(Data[[#This Row],[DEVELOPMENT]],Ops_Priorities_and_Data_Clean[[development]:[ifnoext_comment]],6,FALSE),"")</f>
        <v>0</v>
      </c>
      <c r="AK156" s="20">
        <f>IFERROR(VLOOKUP(Data[[#This Row],[DEVELOPMENT]],Ops_Priorities_and_Data_Clean[[development]:[ifnoext_comment]],7,FALSE),"")</f>
        <v>1</v>
      </c>
      <c r="AL156" s="20">
        <f>IFERROR(VLOOKUP(Data[[#This Row],[DEVELOPMENT]],Ops_Priorities_and_Data_Clean[[development]:[ifnoext_comment]],8,FALSE),"")</f>
        <v>1</v>
      </c>
      <c r="AM156" s="20">
        <f>IFERROR(VLOOKUP(Data[[#This Row],[DEVELOPMENT]],Ops_Priorities_and_Data_Clean[[development]:[ifnoext_comment]],9,FALSE),"")</f>
        <v>0</v>
      </c>
      <c r="AN156" s="20">
        <f>IFERROR(VLOOKUP(Data[[#This Row],[DEVELOPMENT]],Ops_Priorities_and_Data_Clean[[development]:[ifnoext_comment]],10,FALSE),"")</f>
        <v>0</v>
      </c>
      <c r="AO156" s="20">
        <f>IFERROR(VLOOKUP(Data[[#This Row],[DEVELOPMENT]],Ops_Priorities_and_Data_Clean[[development]:[ifnoext_comment]],11,FALSE),"")</f>
        <v>0</v>
      </c>
      <c r="AP156" s="20">
        <f>IFERROR(VLOOKUP(Data[[#This Row],[DEVELOPMENT]],Ops_Priorities_and_Data_Clean[[development]:[ifnoext_comment]],12,FALSE),"")</f>
        <v>0</v>
      </c>
      <c r="AQ156" s="20">
        <f>VLOOKUP(Data[[#This Row],[DEVELOPMENT]],Ops_Priorities_and_Data_Clean[[development]:[ifnoext_comment]],14,FALSE)</f>
        <v>1</v>
      </c>
      <c r="AR156" s="20">
        <f>VLOOKUP(Data[[#This Row],[DEVELOPMENT]],Ops_Priorities_and_Data_Clean[[development]:[ifnoext_comment]],15,FALSE)</f>
        <v>0</v>
      </c>
      <c r="AS156" s="20" t="str">
        <f>VLOOKUP(Data[[#This Row],[DEVELOPMENT]],Ops_Priorities_and_Data_Clean[[development]:[ifnoext_comment]],16,FALSE)</f>
        <v>NULL</v>
      </c>
      <c r="AT156" s="20" t="str">
        <f>VLOOKUP(Data[[#This Row],[DEVELOPMENT]],Ops_Priorities_and_Data_Clean[[development]:[ifnoext_comment]],17,FALSE)</f>
        <v>NULL</v>
      </c>
      <c r="AU156" s="20" t="str">
        <f>VLOOKUP(Data[[#This Row],[DEVELOPMENT]],Ops_Priorities_and_Data_Clean[[development]:[ifnoext_comment]],18,FALSE)</f>
        <v>NULL</v>
      </c>
      <c r="AV156" s="20" t="str">
        <f>VLOOKUP(Data[[#This Row],[DEVELOPMENT]],Ops_Priorities_and_Data_Clean[[development]:[ifnoext_comment]],19,FALSE)</f>
        <v>NULL</v>
      </c>
      <c r="AW156" s="20" t="str">
        <f>VLOOKUP(Data[[#This Row],[DEVELOPMENT]],Ops_Priorities_and_Data_Clean[[development]:[ifnoext_comment]],20,FALSE)</f>
        <v>NULL</v>
      </c>
      <c r="AX156" s="104" t="s">
        <v>2238</v>
      </c>
      <c r="AY156" s="104" t="s">
        <v>314</v>
      </c>
      <c r="AZ156" s="20" t="str">
        <f>VLOOKUP(Data[[#This Row],[DEVELOPMENT]],Development_Data_Book[[DEVELOPMENT]:[PRIVATE MANAGEMENT]],8,FALSE)</f>
        <v>FEDERAL</v>
      </c>
      <c r="BA156" s="104" t="s">
        <v>2586</v>
      </c>
      <c r="BB156" s="20">
        <f>VLOOKUP(Data[[#This Row],[DEVELOPMENT]],Development_Data_Book[[DEVELOPMENT]:[PRIVATE MANAGEMENT]],22,FALSE)</f>
        <v>0</v>
      </c>
      <c r="BC156" s="20">
        <f>Data[[#This Row],[Non-Dwelling Buildings]]+Data[[#This Row],[Dwelling Buildings]]</f>
        <v>1</v>
      </c>
      <c r="BD156" s="20">
        <f>VLOOKUP(Data[[#This Row],[DEVELOPMENT]],Development_Data_Book[[DEVELOPMENT]:[PRIVATE MANAGEMENT]],26,FALSE)</f>
        <v>1.45</v>
      </c>
      <c r="BE156" s="106">
        <v>137000</v>
      </c>
      <c r="BF156" s="20">
        <f>VLOOKUP(Data[[#This Row],[DEVELOPMENT]],Development_Data_Book[[DEVELOPMENT]:[PRIVATE MANAGEMENT]],18,FALSE)</f>
        <v>203</v>
      </c>
      <c r="BG156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56" s="104" t="s">
        <v>2608</v>
      </c>
      <c r="BI156" t="s">
        <v>184</v>
      </c>
      <c r="BJ156" s="20">
        <f>VLOOKUP(Data[[#This Row],[DEVELOPMENT]],Development_Data_Book[[DEVELOPMENT]:[PRIVATE MANAGEMENT]],41,FALSE)</f>
        <v>8</v>
      </c>
      <c r="BK156" s="20">
        <f>VLOOKUP(Data[[#This Row],[DEVELOPMENT]],Development_Data_Book[[DEVELOPMENT]:[PRIVATE MANAGEMENT]],42,FALSE)</f>
        <v>8</v>
      </c>
      <c r="BL156" s="20">
        <f>VLOOKUP(Data[[#This Row],[DEVELOPMENT]],Development_Data_Book[[DEVELOPMENT]:[PRIVATE MANAGEMENT]],43,FALSE)</f>
        <v>25</v>
      </c>
      <c r="BM156" s="20">
        <f>VLOOKUP(Data[[#This Row],[DEVELOPMENT]],Development_Data_Book[[DEVELOPMENT]:[PRIVATE MANAGEMENT]],44,FALSE)</f>
        <v>56</v>
      </c>
      <c r="BN156" s="20">
        <f>VLOOKUP(Data[[#This Row],[DEVELOPMENT]],Development_Data_Book[[DEVELOPMENT]:[PRIVATE MANAGEMENT]],45,FALSE)</f>
        <v>41</v>
      </c>
      <c r="BO156" s="20">
        <f>VLOOKUP(Data[[#This Row],[DEVELOPMENT]],Development_Data_Book[[DEVELOPMENT]:[PRIVATE MANAGEMENT]],24,FALSE)</f>
        <v>25</v>
      </c>
    </row>
    <row r="157" spans="1:67">
      <c r="A157" s="17" t="s">
        <v>36</v>
      </c>
      <c r="B157" s="17" t="str">
        <f>VLOOKUP(Data[[#This Row],[DEVELOPMENT]],Development_Data_Book[[DEVELOPMENT]:[BOROUGH]],MATCH("borough",Development_Data_Book[[#Headers],[DEVELOPMENT]:[BOROUGH]],0),FALSE)</f>
        <v>MANHATTAN</v>
      </c>
      <c r="C157" t="e">
        <f>VLOOKUP(Data[[#This Row],[DEVELOPMENT]],'[1]Cheat-Sheet'!$D$2:$Q$341,2,FALSE)</f>
        <v>#N/A</v>
      </c>
      <c r="D15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57">
        <f>VLOOKUP(Data[[#This Row],[DEVELOPMENT]],Development_Data_Book[[DEVELOPMENT]:[BOROUGH]],21,FALSE)</f>
        <v>9</v>
      </c>
      <c r="F157">
        <f>VLOOKUP(Data[[#This Row],[DEVELOPMENT]],Development_Data_Book[[DEVELOPMENT]:[BOROUGH]],23,FALSE)</f>
        <v>9</v>
      </c>
      <c r="G157">
        <f>VLOOKUP(Data[[#This Row],[DEVELOPMENT]],Development_Data_Book[[DEVELOPMENT]:[BOROUGH]],12,FALSE)</f>
        <v>1091</v>
      </c>
      <c r="H157" t="s">
        <v>2246</v>
      </c>
      <c r="I157">
        <v>3</v>
      </c>
      <c r="J157">
        <f>IFERROR(VLOOKUP(Data[[#This Row],[DEVELOPMENT]],IntCompactors_MRST[],4,FALSE),0)</f>
        <v>9</v>
      </c>
      <c r="K157" s="20">
        <f>IFERROR(VLOOKUP(Data[[#This Row],[DEVELOPMENT]],ExtCompactors_MRST[],4,FALSE),0)</f>
        <v>2</v>
      </c>
      <c r="L157" s="27">
        <f>IF(Data[[#This Row],['# Interior Compactors MRST]]=0,"",VLOOKUP(Data[[#This Row],[DEVELOPMENT]],IntCompactors_MRST[],5,FALSE))</f>
        <v>38922</v>
      </c>
      <c r="M157" s="28">
        <f>IF(Data[[#This Row],['# Exterior Compactors MRST]]=0,"",VLOOKUP(Data[[#This Row],[DEVELOPMENT]],ExtCompactors_MRST[],5,FALSE))</f>
        <v>38106</v>
      </c>
      <c r="N157">
        <f>Data[[#This Row],['# Interior Compactors MRST]]</f>
        <v>9</v>
      </c>
      <c r="O157" s="20">
        <f>IF(Data[[#This Row],['# Bulk Crushers]]=0,1,0)</f>
        <v>1</v>
      </c>
      <c r="P157" s="20">
        <f>1</f>
        <v>1</v>
      </c>
      <c r="Q157" s="20">
        <f>1</f>
        <v>1</v>
      </c>
      <c r="R157" s="20">
        <f>1</f>
        <v>1</v>
      </c>
      <c r="S157" s="20">
        <f>1</f>
        <v>1</v>
      </c>
      <c r="T157" s="20">
        <f>IF(Data[[#This Row],[Sewershed]]="Newtown Creek",Data[[#This Row],[DUs]],0)</f>
        <v>1091</v>
      </c>
      <c r="U15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5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5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57" s="82">
        <f>VLOOKUP(Data[[#This Row],[DEVELOPMENT]],Development_Data_Book[[DEVELOPMENT]:[BOROUGH]],3,FALSE)</f>
        <v>76</v>
      </c>
      <c r="Y157" s="20" t="s">
        <v>2599</v>
      </c>
      <c r="Z157" s="20">
        <f>IFERROR(VLOOKUP(Data[[#This Row],[TDS]],ExtCompactors_PNA[[Development]:[0]],2,FALSE),0)</f>
        <v>2</v>
      </c>
      <c r="AA157" s="20">
        <f>IFERROR(VLOOKUP(Data[[#This Row],[TDS]],IntCompactors_PNA[[TDS]:[0]],2,FALSE),0)</f>
        <v>9</v>
      </c>
      <c r="AB157" s="20"/>
      <c r="AC157" s="20"/>
      <c r="AD157" s="20">
        <f>IFERROR(VLOOKUP(Data[[#This Row],[TDS]],ExtCompactors_PNA[[Development]:[0]],3,FALSE)+VLOOKUP(Data[[#This Row],[TDS]],ExtCompactors_PNA[[Development]:[0]],6,FALSE),0)</f>
        <v>2</v>
      </c>
      <c r="AE157" s="20">
        <f>IFERROR(VLOOKUP(Data[[#This Row],[TDS]],IntCompactors_PNA[[TDS]:[0]],3,FALSE)+VLOOKUP(Data[[#This Row],[TDS]],IntCompactors_PNA[[TDS]:[0]],6,FALSE),0)</f>
        <v>9</v>
      </c>
      <c r="AF157" s="20" t="e">
        <f>VLOOKUP(Data[[#This Row],[DEVELOPMENT]],[3]Developments!$A$2:$A$312,1,FALSE)</f>
        <v>#N/A</v>
      </c>
      <c r="AG157" s="20">
        <f>IFERROR(VLOOKUP(Data[[#This Row],[DEVELOPMENT]],Ops_Priorities_and_Data_Clean[[development]:[ifnoext_comment]],3,FALSE),"")</f>
        <v>2</v>
      </c>
      <c r="AH157" s="20">
        <f>IFERROR(VLOOKUP(Data[[#This Row],[DEVELOPMENT]],Ops_Priorities_and_Data_Clean[[development]:[ifnoext_comment]],4,FALSE),"")</f>
        <v>4</v>
      </c>
      <c r="AI157" s="20">
        <f>IFERROR(VLOOKUP(Data[[#This Row],[DEVELOPMENT]],Ops_Priorities_and_Data_Clean[[development]:[ifnoext_comment]],5,FALSE),"")</f>
        <v>1</v>
      </c>
      <c r="AJ157" s="20">
        <f>IFERROR(VLOOKUP(Data[[#This Row],[DEVELOPMENT]],Ops_Priorities_and_Data_Clean[[development]:[ifnoext_comment]],6,FALSE),"")</f>
        <v>0</v>
      </c>
      <c r="AK157" s="20">
        <f>IFERROR(VLOOKUP(Data[[#This Row],[DEVELOPMENT]],Ops_Priorities_and_Data_Clean[[development]:[ifnoext_comment]],7,FALSE),"")</f>
        <v>0</v>
      </c>
      <c r="AL157" s="20">
        <f>IFERROR(VLOOKUP(Data[[#This Row],[DEVELOPMENT]],Ops_Priorities_and_Data_Clean[[development]:[ifnoext_comment]],8,FALSE),"")</f>
        <v>1</v>
      </c>
      <c r="AM157" s="20">
        <f>IFERROR(VLOOKUP(Data[[#This Row],[DEVELOPMENT]],Ops_Priorities_and_Data_Clean[[development]:[ifnoext_comment]],9,FALSE),"")</f>
        <v>0</v>
      </c>
      <c r="AN157" s="20">
        <f>IFERROR(VLOOKUP(Data[[#This Row],[DEVELOPMENT]],Ops_Priorities_and_Data_Clean[[development]:[ifnoext_comment]],10,FALSE),"")</f>
        <v>1</v>
      </c>
      <c r="AO157" s="20">
        <f>IFERROR(VLOOKUP(Data[[#This Row],[DEVELOPMENT]],Ops_Priorities_and_Data_Clean[[development]:[ifnoext_comment]],11,FALSE),"")</f>
        <v>2</v>
      </c>
      <c r="AP157" s="20">
        <f>IFERROR(VLOOKUP(Data[[#This Row],[DEVELOPMENT]],Ops_Priorities_and_Data_Clean[[development]:[ifnoext_comment]],12,FALSE),"")</f>
        <v>2</v>
      </c>
      <c r="AQ157" s="20">
        <f>VLOOKUP(Data[[#This Row],[DEVELOPMENT]],Ops_Priorities_and_Data_Clean[[development]:[ifnoext_comment]],14,FALSE)</f>
        <v>0</v>
      </c>
      <c r="AR157" s="20">
        <f>VLOOKUP(Data[[#This Row],[DEVELOPMENT]],Ops_Priorities_and_Data_Clean[[development]:[ifnoext_comment]],15,FALSE)</f>
        <v>0</v>
      </c>
      <c r="AS157" s="20" t="str">
        <f>VLOOKUP(Data[[#This Row],[DEVELOPMENT]],Ops_Priorities_and_Data_Clean[[development]:[ifnoext_comment]],16,FALSE)</f>
        <v>NULL</v>
      </c>
      <c r="AT157" s="20" t="str">
        <f>VLOOKUP(Data[[#This Row],[DEVELOPMENT]],Ops_Priorities_and_Data_Clean[[development]:[ifnoext_comment]],17,FALSE)</f>
        <v>NULL</v>
      </c>
      <c r="AU157" s="20" t="str">
        <f>VLOOKUP(Data[[#This Row],[DEVELOPMENT]],Ops_Priorities_and_Data_Clean[[development]:[ifnoext_comment]],18,FALSE)</f>
        <v>No</v>
      </c>
      <c r="AV157" s="20" t="str">
        <f>VLOOKUP(Data[[#This Row],[DEVELOPMENT]],Ops_Priorities_and_Data_Clean[[development]:[ifnoext_comment]],19,FALSE)</f>
        <v>container on-site</v>
      </c>
      <c r="AW157" s="20" t="str">
        <f>VLOOKUP(Data[[#This Row],[DEVELOPMENT]],Ops_Priorities_and_Data_Clean[[development]:[ifnoext_comment]],20,FALSE)</f>
        <v>NULL</v>
      </c>
      <c r="AX157" s="104" t="s">
        <v>2239</v>
      </c>
      <c r="AY157" s="104" t="s">
        <v>2160</v>
      </c>
      <c r="AZ157" s="20" t="str">
        <f>VLOOKUP(Data[[#This Row],[DEVELOPMENT]],Development_Data_Book[[DEVELOPMENT]:[PRIVATE MANAGEMENT]],8,FALSE)</f>
        <v>FEDERAL</v>
      </c>
      <c r="BA157" s="104" t="s">
        <v>2586</v>
      </c>
      <c r="BB157" s="20">
        <f>VLOOKUP(Data[[#This Row],[DEVELOPMENT]],Development_Data_Book[[DEVELOPMENT]:[PRIVATE MANAGEMENT]],22,FALSE)</f>
        <v>0</v>
      </c>
      <c r="BC157" s="20">
        <f>Data[[#This Row],[Non-Dwelling Buildings]]+Data[[#This Row],[Dwelling Buildings]]</f>
        <v>9</v>
      </c>
      <c r="BD157" s="20">
        <f>VLOOKUP(Data[[#This Row],[DEVELOPMENT]],Development_Data_Book[[DEVELOPMENT]:[PRIVATE MANAGEMENT]],26,FALSE)</f>
        <v>10.78</v>
      </c>
      <c r="BE157" s="106">
        <v>1058212</v>
      </c>
      <c r="BF157" s="20">
        <f>VLOOKUP(Data[[#This Row],[DEVELOPMENT]],Development_Data_Book[[DEVELOPMENT]:[PRIVATE MANAGEMENT]],18,FALSE)</f>
        <v>2458</v>
      </c>
      <c r="BG15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57" s="104" t="s">
        <v>2607</v>
      </c>
      <c r="BI157" t="s">
        <v>184</v>
      </c>
      <c r="BJ157" s="20">
        <f>VLOOKUP(Data[[#This Row],[DEVELOPMENT]],Development_Data_Book[[DEVELOPMENT]:[PRIVATE MANAGEMENT]],41,FALSE)</f>
        <v>3</v>
      </c>
      <c r="BK157" s="20">
        <f>VLOOKUP(Data[[#This Row],[DEVELOPMENT]],Development_Data_Book[[DEVELOPMENT]:[PRIVATE MANAGEMENT]],42,FALSE)</f>
        <v>7</v>
      </c>
      <c r="BL157" s="20">
        <f>VLOOKUP(Data[[#This Row],[DEVELOPMENT]],Development_Data_Book[[DEVELOPMENT]:[PRIVATE MANAGEMENT]],43,FALSE)</f>
        <v>26</v>
      </c>
      <c r="BM157" s="20">
        <f>VLOOKUP(Data[[#This Row],[DEVELOPMENT]],Development_Data_Book[[DEVELOPMENT]:[PRIVATE MANAGEMENT]],44,FALSE)</f>
        <v>65</v>
      </c>
      <c r="BN157" s="20">
        <f>VLOOKUP(Data[[#This Row],[DEVELOPMENT]],Development_Data_Book[[DEVELOPMENT]:[PRIVATE MANAGEMENT]],45,FALSE)</f>
        <v>1</v>
      </c>
      <c r="BO157" s="20">
        <f>VLOOKUP(Data[[#This Row],[DEVELOPMENT]],Development_Data_Book[[DEVELOPMENT]:[PRIVATE MANAGEMENT]],24,FALSE)</f>
        <v>16</v>
      </c>
    </row>
    <row r="158" spans="1:67">
      <c r="A158" s="17" t="s">
        <v>103</v>
      </c>
      <c r="B158" s="17" t="str">
        <f>VLOOKUP(Data[[#This Row],[DEVELOPMENT]],Development_Data_Book[[DEVELOPMENT]:[BOROUGH]],MATCH("borough",Development_Data_Book[[#Headers],[DEVELOPMENT]:[BOROUGH]],0),FALSE)</f>
        <v>MANHATTAN</v>
      </c>
      <c r="C158" t="e">
        <f>VLOOKUP(Data[[#This Row],[DEVELOPMENT]],'[1]Cheat-Sheet'!$D$2:$Q$341,2,FALSE)</f>
        <v>#N/A</v>
      </c>
      <c r="D15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58">
        <f>VLOOKUP(Data[[#This Row],[DEVELOPMENT]],Development_Data_Book[[DEVELOPMENT]:[BOROUGH]],21,FALSE)</f>
        <v>1</v>
      </c>
      <c r="F158">
        <f>VLOOKUP(Data[[#This Row],[DEVELOPMENT]],Development_Data_Book[[DEVELOPMENT]:[BOROUGH]],23,FALSE)</f>
        <v>1</v>
      </c>
      <c r="G158">
        <f>VLOOKUP(Data[[#This Row],[DEVELOPMENT]],Development_Data_Book[[DEVELOPMENT]:[BOROUGH]],12,FALSE)</f>
        <v>149</v>
      </c>
      <c r="H158" t="s">
        <v>2246</v>
      </c>
      <c r="I158">
        <v>4</v>
      </c>
      <c r="J158">
        <f>IFERROR(VLOOKUP(Data[[#This Row],[DEVELOPMENT]],IntCompactors_MRST[],4,FALSE),0)</f>
        <v>1</v>
      </c>
      <c r="K158" s="20">
        <f>IFERROR(VLOOKUP(Data[[#This Row],[DEVELOPMENT]],ExtCompactors_MRST[],4,FALSE),0)</f>
        <v>0</v>
      </c>
      <c r="L158" s="27">
        <f>IF(Data[[#This Row],['# Interior Compactors MRST]]=0,"",VLOOKUP(Data[[#This Row],[DEVELOPMENT]],IntCompactors_MRST[],5,FALSE))</f>
        <v>36008</v>
      </c>
      <c r="M158" s="28" t="str">
        <f>IF(Data[[#This Row],['# Exterior Compactors MRST]]=0,"",VLOOKUP(Data[[#This Row],[DEVELOPMENT]],ExtCompactors_MRST[],5,FALSE))</f>
        <v/>
      </c>
      <c r="N158">
        <f>Data[[#This Row],['# Interior Compactors MRST]]</f>
        <v>1</v>
      </c>
      <c r="O158" s="20">
        <f>IF(Data[[#This Row],['# Bulk Crushers]]=0,1,0)</f>
        <v>1</v>
      </c>
      <c r="P158" s="20">
        <f>1</f>
        <v>1</v>
      </c>
      <c r="Q158" s="20">
        <f>1</f>
        <v>1</v>
      </c>
      <c r="R158" s="20">
        <f>1</f>
        <v>1</v>
      </c>
      <c r="S158" s="20">
        <f>1</f>
        <v>1</v>
      </c>
      <c r="T158" s="20">
        <f>IF(Data[[#This Row],[Sewershed]]="Newtown Creek",Data[[#This Row],[DUs]],0)</f>
        <v>149</v>
      </c>
      <c r="U15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5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5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58" s="82">
        <f>VLOOKUP(Data[[#This Row],[DEVELOPMENT]],Development_Data_Book[[DEVELOPMENT]:[BOROUGH]],3,FALSE)</f>
        <v>152</v>
      </c>
      <c r="Y158" s="20" t="s">
        <v>2599</v>
      </c>
      <c r="Z158" s="20">
        <f>IFERROR(VLOOKUP(Data[[#This Row],[TDS]],ExtCompactors_PNA[[Development]:[0]],2,FALSE),0)</f>
        <v>0</v>
      </c>
      <c r="AA158" s="20">
        <f>IFERROR(VLOOKUP(Data[[#This Row],[TDS]],IntCompactors_PNA[[TDS]:[0]],2,FALSE),0)</f>
        <v>1</v>
      </c>
      <c r="AB158" s="20"/>
      <c r="AC158" s="20"/>
      <c r="AD158" s="20">
        <f>IFERROR(VLOOKUP(Data[[#This Row],[TDS]],ExtCompactors_PNA[[Development]:[0]],3,FALSE)+VLOOKUP(Data[[#This Row],[TDS]],ExtCompactors_PNA[[Development]:[0]],6,FALSE),0)</f>
        <v>0</v>
      </c>
      <c r="AE158" s="20">
        <f>IFERROR(VLOOKUP(Data[[#This Row],[TDS]],IntCompactors_PNA[[TDS]:[0]],3,FALSE)+VLOOKUP(Data[[#This Row],[TDS]],IntCompactors_PNA[[TDS]:[0]],6,FALSE),0)</f>
        <v>1</v>
      </c>
      <c r="AF158" s="20" t="e">
        <f>VLOOKUP(Data[[#This Row],[DEVELOPMENT]],[3]Developments!$A$2:$A$312,1,FALSE)</f>
        <v>#N/A</v>
      </c>
      <c r="AG158" s="20">
        <f>IFERROR(VLOOKUP(Data[[#This Row],[DEVELOPMENT]],Ops_Priorities_and_Data_Clean[[development]:[ifnoext_comment]],3,FALSE),"")</f>
        <v>0</v>
      </c>
      <c r="AH158" s="20">
        <f>IFERROR(VLOOKUP(Data[[#This Row],[DEVELOPMENT]],Ops_Priorities_and_Data_Clean[[development]:[ifnoext_comment]],4,FALSE),"")</f>
        <v>4</v>
      </c>
      <c r="AI158" s="20">
        <f>IFERROR(VLOOKUP(Data[[#This Row],[DEVELOPMENT]],Ops_Priorities_and_Data_Clean[[development]:[ifnoext_comment]],5,FALSE),"")</f>
        <v>0</v>
      </c>
      <c r="AJ158" s="20">
        <f>IFERROR(VLOOKUP(Data[[#This Row],[DEVELOPMENT]],Ops_Priorities_and_Data_Clean[[development]:[ifnoext_comment]],6,FALSE),"")</f>
        <v>1</v>
      </c>
      <c r="AK158" s="20">
        <f>IFERROR(VLOOKUP(Data[[#This Row],[DEVELOPMENT]],Ops_Priorities_and_Data_Clean[[development]:[ifnoext_comment]],7,FALSE),"")</f>
        <v>0</v>
      </c>
      <c r="AL158" s="20">
        <f>IFERROR(VLOOKUP(Data[[#This Row],[DEVELOPMENT]],Ops_Priorities_and_Data_Clean[[development]:[ifnoext_comment]],8,FALSE),"")</f>
        <v>1</v>
      </c>
      <c r="AM158" s="20">
        <f>IFERROR(VLOOKUP(Data[[#This Row],[DEVELOPMENT]],Ops_Priorities_and_Data_Clean[[development]:[ifnoext_comment]],9,FALSE),"")</f>
        <v>0</v>
      </c>
      <c r="AN158" s="20">
        <f>IFERROR(VLOOKUP(Data[[#This Row],[DEVELOPMENT]],Ops_Priorities_and_Data_Clean[[development]:[ifnoext_comment]],10,FALSE),"")</f>
        <v>0</v>
      </c>
      <c r="AO158" s="20">
        <f>IFERROR(VLOOKUP(Data[[#This Row],[DEVELOPMENT]],Ops_Priorities_and_Data_Clean[[development]:[ifnoext_comment]],11,FALSE),"")</f>
        <v>0</v>
      </c>
      <c r="AP158" s="20">
        <f>IFERROR(VLOOKUP(Data[[#This Row],[DEVELOPMENT]],Ops_Priorities_and_Data_Clean[[development]:[ifnoext_comment]],12,FALSE),"")</f>
        <v>0</v>
      </c>
      <c r="AQ158" s="20">
        <f>VLOOKUP(Data[[#This Row],[DEVELOPMENT]],Ops_Priorities_and_Data_Clean[[development]:[ifnoext_comment]],14,FALSE)</f>
        <v>0</v>
      </c>
      <c r="AR158" s="20">
        <f>VLOOKUP(Data[[#This Row],[DEVELOPMENT]],Ops_Priorities_and_Data_Clean[[development]:[ifnoext_comment]],15,FALSE)</f>
        <v>1</v>
      </c>
      <c r="AS158" s="20" t="str">
        <f>VLOOKUP(Data[[#This Row],[DEVELOPMENT]],Ops_Priorities_and_Data_Clean[[development]:[ifnoext_comment]],16,FALSE)</f>
        <v>LA GUARDIA</v>
      </c>
      <c r="AT158" s="20" t="str">
        <f>VLOOKUP(Data[[#This Row],[DEVELOPMENT]],Ops_Priorities_and_Data_Clean[[development]:[ifnoext_comment]],17,FALSE)</f>
        <v>NULL</v>
      </c>
      <c r="AU158" s="20" t="str">
        <f>VLOOKUP(Data[[#This Row],[DEVELOPMENT]],Ops_Priorities_and_Data_Clean[[development]:[ifnoext_comment]],18,FALSE)</f>
        <v>No</v>
      </c>
      <c r="AV158" s="20" t="str">
        <f>VLOOKUP(Data[[#This Row],[DEVELOPMENT]],Ops_Priorities_and_Data_Clean[[development]:[ifnoext_comment]],19,FALSE)</f>
        <v>served by La Guardia</v>
      </c>
      <c r="AW158" s="20" t="str">
        <f>VLOOKUP(Data[[#This Row],[DEVELOPMENT]],Ops_Priorities_and_Data_Clean[[development]:[ifnoext_comment]],20,FALSE)</f>
        <v>NULL</v>
      </c>
      <c r="AX158" s="104" t="s">
        <v>2239</v>
      </c>
      <c r="AY158" s="104" t="s">
        <v>2160</v>
      </c>
      <c r="AZ158" s="20" t="str">
        <f>VLOOKUP(Data[[#This Row],[DEVELOPMENT]],Development_Data_Book[[DEVELOPMENT]:[PRIVATE MANAGEMENT]],8,FALSE)</f>
        <v>FEDERAL</v>
      </c>
      <c r="BA158" s="104" t="s">
        <v>2586</v>
      </c>
      <c r="BB158" s="20">
        <f>VLOOKUP(Data[[#This Row],[DEVELOPMENT]],Development_Data_Book[[DEVELOPMENT]:[PRIVATE MANAGEMENT]],22,FALSE)</f>
        <v>0</v>
      </c>
      <c r="BC158" s="20">
        <f>Data[[#This Row],[Non-Dwelling Buildings]]+Data[[#This Row],[Dwelling Buildings]]</f>
        <v>1</v>
      </c>
      <c r="BD158" s="20">
        <f>VLOOKUP(Data[[#This Row],[DEVELOPMENT]],Development_Data_Book[[DEVELOPMENT]:[PRIVATE MANAGEMENT]],26,FALSE)</f>
        <v>0.6</v>
      </c>
      <c r="BE158" s="106">
        <v>108552</v>
      </c>
      <c r="BF158" s="20">
        <f>VLOOKUP(Data[[#This Row],[DEVELOPMENT]],Development_Data_Book[[DEVELOPMENT]:[PRIVATE MANAGEMENT]],18,FALSE)</f>
        <v>193</v>
      </c>
      <c r="BG158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58" s="104" t="s">
        <v>2607</v>
      </c>
      <c r="BI158" t="s">
        <v>184</v>
      </c>
      <c r="BJ158" s="20">
        <f>VLOOKUP(Data[[#This Row],[DEVELOPMENT]],Development_Data_Book[[DEVELOPMENT]:[PRIVATE MANAGEMENT]],41,FALSE)</f>
        <v>3</v>
      </c>
      <c r="BK158" s="20">
        <f>VLOOKUP(Data[[#This Row],[DEVELOPMENT]],Development_Data_Book[[DEVELOPMENT]:[PRIVATE MANAGEMENT]],42,FALSE)</f>
        <v>7</v>
      </c>
      <c r="BL158" s="20">
        <f>VLOOKUP(Data[[#This Row],[DEVELOPMENT]],Development_Data_Book[[DEVELOPMENT]:[PRIVATE MANAGEMENT]],43,FALSE)</f>
        <v>26</v>
      </c>
      <c r="BM158" s="20">
        <f>VLOOKUP(Data[[#This Row],[DEVELOPMENT]],Development_Data_Book[[DEVELOPMENT]:[PRIVATE MANAGEMENT]],44,FALSE)</f>
        <v>65</v>
      </c>
      <c r="BN158" s="20">
        <f>VLOOKUP(Data[[#This Row],[DEVELOPMENT]],Development_Data_Book[[DEVELOPMENT]:[PRIVATE MANAGEMENT]],45,FALSE)</f>
        <v>1</v>
      </c>
      <c r="BO158" s="20">
        <f>VLOOKUP(Data[[#This Row],[DEVELOPMENT]],Development_Data_Book[[DEVELOPMENT]:[PRIVATE MANAGEMENT]],24,FALSE)</f>
        <v>16</v>
      </c>
    </row>
    <row r="159" spans="1:67">
      <c r="A159" s="17" t="s">
        <v>37</v>
      </c>
      <c r="B159" s="17" t="str">
        <f>VLOOKUP(Data[[#This Row],[DEVELOPMENT]],Development_Data_Book[[DEVELOPMENT]:[BOROUGH]],MATCH("borough",Development_Data_Book[[#Headers],[DEVELOPMENT]:[BOROUGH]],0),FALSE)</f>
        <v>BROOKLYN</v>
      </c>
      <c r="C159" t="e">
        <f>VLOOKUP(Data[[#This Row],[DEVELOPMENT]],'[1]Cheat-Sheet'!$D$2:$Q$341,2,FALSE)</f>
        <v>#N/A</v>
      </c>
      <c r="D15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59">
        <f>VLOOKUP(Data[[#This Row],[DEVELOPMENT]],Development_Data_Book[[DEVELOPMENT]:[BOROUGH]],21,FALSE)</f>
        <v>7</v>
      </c>
      <c r="F159">
        <f>VLOOKUP(Data[[#This Row],[DEVELOPMENT]],Development_Data_Book[[DEVELOPMENT]:[BOROUGH]],23,FALSE)</f>
        <v>7</v>
      </c>
      <c r="G159">
        <f>VLOOKUP(Data[[#This Row],[DEVELOPMENT]],Development_Data_Book[[DEVELOPMENT]:[BOROUGH]],12,FALSE)</f>
        <v>882</v>
      </c>
      <c r="H159" t="s">
        <v>2246</v>
      </c>
      <c r="I159">
        <v>2</v>
      </c>
      <c r="J159">
        <f>IFERROR(VLOOKUP(Data[[#This Row],[DEVELOPMENT]],IntCompactors_MRST[],4,FALSE),0)</f>
        <v>7</v>
      </c>
      <c r="K159" s="20">
        <f>IFERROR(VLOOKUP(Data[[#This Row],[DEVELOPMENT]],ExtCompactors_MRST[],4,FALSE),0)</f>
        <v>2</v>
      </c>
      <c r="L159" s="27">
        <f>IF(Data[[#This Row],['# Interior Compactors MRST]]=0,"",VLOOKUP(Data[[#This Row],[DEVELOPMENT]],IntCompactors_MRST[],5,FALSE))</f>
        <v>38261</v>
      </c>
      <c r="M159" s="28">
        <f>IF(Data[[#This Row],['# Exterior Compactors MRST]]=0,"",VLOOKUP(Data[[#This Row],[DEVELOPMENT]],ExtCompactors_MRST[],5,FALSE))</f>
        <v>43677</v>
      </c>
      <c r="N159">
        <f>Data[[#This Row],['# Interior Compactors MRST]]</f>
        <v>7</v>
      </c>
      <c r="O159" s="20">
        <f>IF(Data[[#This Row],['# Bulk Crushers]]=0,1,0)</f>
        <v>1</v>
      </c>
      <c r="P159" s="20">
        <f>1</f>
        <v>1</v>
      </c>
      <c r="Q159" s="20">
        <f>1</f>
        <v>1</v>
      </c>
      <c r="R159" s="20">
        <f>1</f>
        <v>1</v>
      </c>
      <c r="S159" s="20">
        <f>1</f>
        <v>1</v>
      </c>
      <c r="T159" s="20">
        <f>IF(Data[[#This Row],[Sewershed]]="Newtown Creek",Data[[#This Row],[DUs]],0)</f>
        <v>882</v>
      </c>
      <c r="U15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5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5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59" s="82">
        <f>VLOOKUP(Data[[#This Row],[DEVELOPMENT]],Development_Data_Book[[DEVELOPMENT]:[BOROUGH]],3,FALSE)</f>
        <v>122</v>
      </c>
      <c r="Y159" s="20" t="s">
        <v>2599</v>
      </c>
      <c r="Z159" s="20">
        <f>IFERROR(VLOOKUP(Data[[#This Row],[TDS]],ExtCompactors_PNA[[Development]:[0]],2,FALSE),0)</f>
        <v>2</v>
      </c>
      <c r="AA159" s="20">
        <f>IFERROR(VLOOKUP(Data[[#This Row],[TDS]],IntCompactors_PNA[[TDS]:[0]],2,FALSE),0)</f>
        <v>7</v>
      </c>
      <c r="AB159" s="20"/>
      <c r="AC159" s="20"/>
      <c r="AD159" s="20">
        <f>IFERROR(VLOOKUP(Data[[#This Row],[TDS]],ExtCompactors_PNA[[Development]:[0]],3,FALSE)+VLOOKUP(Data[[#This Row],[TDS]],ExtCompactors_PNA[[Development]:[0]],6,FALSE),0)</f>
        <v>2</v>
      </c>
      <c r="AE159" s="20">
        <f>IFERROR(VLOOKUP(Data[[#This Row],[TDS]],IntCompactors_PNA[[TDS]:[0]],3,FALSE)+VLOOKUP(Data[[#This Row],[TDS]],IntCompactors_PNA[[TDS]:[0]],6,FALSE),0)</f>
        <v>7</v>
      </c>
      <c r="AF159" s="20" t="e">
        <f>VLOOKUP(Data[[#This Row],[DEVELOPMENT]],[3]Developments!$A$2:$A$312,1,FALSE)</f>
        <v>#N/A</v>
      </c>
      <c r="AG159" s="20">
        <f>IFERROR(VLOOKUP(Data[[#This Row],[DEVELOPMENT]],Ops_Priorities_and_Data_Clean[[development]:[ifnoext_comment]],3,FALSE),"")</f>
        <v>2</v>
      </c>
      <c r="AH159" s="20">
        <f>IFERROR(VLOOKUP(Data[[#This Row],[DEVELOPMENT]],Ops_Priorities_and_Data_Clean[[development]:[ifnoext_comment]],4,FALSE),"")</f>
        <v>0</v>
      </c>
      <c r="AI159" s="20">
        <f>IFERROR(VLOOKUP(Data[[#This Row],[DEVELOPMENT]],Ops_Priorities_and_Data_Clean[[development]:[ifnoext_comment]],5,FALSE),"")</f>
        <v>1</v>
      </c>
      <c r="AJ159" s="20">
        <f>IFERROR(VLOOKUP(Data[[#This Row],[DEVELOPMENT]],Ops_Priorities_and_Data_Clean[[development]:[ifnoext_comment]],6,FALSE),"")</f>
        <v>0</v>
      </c>
      <c r="AK159" s="20">
        <f>IFERROR(VLOOKUP(Data[[#This Row],[DEVELOPMENT]],Ops_Priorities_and_Data_Clean[[development]:[ifnoext_comment]],7,FALSE),"")</f>
        <v>0</v>
      </c>
      <c r="AL159" s="20">
        <f>IFERROR(VLOOKUP(Data[[#This Row],[DEVELOPMENT]],Ops_Priorities_and_Data_Clean[[development]:[ifnoext_comment]],8,FALSE),"")</f>
        <v>1</v>
      </c>
      <c r="AM159" s="20">
        <f>IFERROR(VLOOKUP(Data[[#This Row],[DEVELOPMENT]],Ops_Priorities_and_Data_Clean[[development]:[ifnoext_comment]],9,FALSE),"")</f>
        <v>0</v>
      </c>
      <c r="AN159" s="20">
        <f>IFERROR(VLOOKUP(Data[[#This Row],[DEVELOPMENT]],Ops_Priorities_and_Data_Clean[[development]:[ifnoext_comment]],10,FALSE),"")</f>
        <v>2</v>
      </c>
      <c r="AO159" s="20">
        <f>IFERROR(VLOOKUP(Data[[#This Row],[DEVELOPMENT]],Ops_Priorities_and_Data_Clean[[development]:[ifnoext_comment]],11,FALSE),"")</f>
        <v>2</v>
      </c>
      <c r="AP159" s="20">
        <f>IFERROR(VLOOKUP(Data[[#This Row],[DEVELOPMENT]],Ops_Priorities_and_Data_Clean[[development]:[ifnoext_comment]],12,FALSE),"")</f>
        <v>2</v>
      </c>
      <c r="AQ159" s="20">
        <f>VLOOKUP(Data[[#This Row],[DEVELOPMENT]],Ops_Priorities_and_Data_Clean[[development]:[ifnoext_comment]],14,FALSE)</f>
        <v>0</v>
      </c>
      <c r="AR159" s="20">
        <f>VLOOKUP(Data[[#This Row],[DEVELOPMENT]],Ops_Priorities_and_Data_Clean[[development]:[ifnoext_comment]],15,FALSE)</f>
        <v>0</v>
      </c>
      <c r="AS159" s="20" t="str">
        <f>VLOOKUP(Data[[#This Row],[DEVELOPMENT]],Ops_Priorities_and_Data_Clean[[development]:[ifnoext_comment]],16,FALSE)</f>
        <v>NULL</v>
      </c>
      <c r="AT159" s="20" t="str">
        <f>VLOOKUP(Data[[#This Row],[DEVELOPMENT]],Ops_Priorities_and_Data_Clean[[development]:[ifnoext_comment]],17,FALSE)</f>
        <v>NULL</v>
      </c>
      <c r="AU159" s="20" t="str">
        <f>VLOOKUP(Data[[#This Row],[DEVELOPMENT]],Ops_Priorities_and_Data_Clean[[development]:[ifnoext_comment]],18,FALSE)</f>
        <v>No</v>
      </c>
      <c r="AV159" s="20" t="str">
        <f>VLOOKUP(Data[[#This Row],[DEVELOPMENT]],Ops_Priorities_and_Data_Clean[[development]:[ifnoext_comment]],19,FALSE)</f>
        <v>container on-site</v>
      </c>
      <c r="AW159" s="20" t="str">
        <f>VLOOKUP(Data[[#This Row],[DEVELOPMENT]],Ops_Priorities_and_Data_Clean[[development]:[ifnoext_comment]],20,FALSE)</f>
        <v>NULL</v>
      </c>
      <c r="AX159" s="104" t="s">
        <v>2238</v>
      </c>
      <c r="AY159" s="104" t="s">
        <v>2600</v>
      </c>
      <c r="AZ159" s="20" t="str">
        <f>VLOOKUP(Data[[#This Row],[DEVELOPMENT]],Development_Data_Book[[DEVELOPMENT]:[PRIVATE MANAGEMENT]],8,FALSE)</f>
        <v>FEDERAL</v>
      </c>
      <c r="BA159" s="104" t="s">
        <v>2586</v>
      </c>
      <c r="BB159" s="20">
        <f>VLOOKUP(Data[[#This Row],[DEVELOPMENT]],Development_Data_Book[[DEVELOPMENT]:[PRIVATE MANAGEMENT]],22,FALSE)</f>
        <v>0</v>
      </c>
      <c r="BC159" s="20">
        <f>Data[[#This Row],[Non-Dwelling Buildings]]+Data[[#This Row],[Dwelling Buildings]]</f>
        <v>7</v>
      </c>
      <c r="BD159" s="20">
        <f>VLOOKUP(Data[[#This Row],[DEVELOPMENT]],Development_Data_Book[[DEVELOPMENT]:[PRIVATE MANAGEMENT]],26,FALSE)</f>
        <v>7.68</v>
      </c>
      <c r="BE159" s="106">
        <v>995000</v>
      </c>
      <c r="BF159" s="20">
        <f>VLOOKUP(Data[[#This Row],[DEVELOPMENT]],Development_Data_Book[[DEVELOPMENT]:[PRIVATE MANAGEMENT]],18,FALSE)</f>
        <v>2422</v>
      </c>
      <c r="BG15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59" s="104" t="s">
        <v>2601</v>
      </c>
      <c r="BI159" t="s">
        <v>184</v>
      </c>
      <c r="BJ159" s="20">
        <f>VLOOKUP(Data[[#This Row],[DEVELOPMENT]],Development_Data_Book[[DEVELOPMENT]:[PRIVATE MANAGEMENT]],41,FALSE)</f>
        <v>3</v>
      </c>
      <c r="BK159" s="20">
        <f>VLOOKUP(Data[[#This Row],[DEVELOPMENT]],Development_Data_Book[[DEVELOPMENT]:[PRIVATE MANAGEMENT]],42,FALSE)</f>
        <v>8</v>
      </c>
      <c r="BL159" s="20">
        <f>VLOOKUP(Data[[#This Row],[DEVELOPMENT]],Development_Data_Book[[DEVELOPMENT]:[PRIVATE MANAGEMENT]],43,FALSE)</f>
        <v>25</v>
      </c>
      <c r="BM159" s="20">
        <f>VLOOKUP(Data[[#This Row],[DEVELOPMENT]],Development_Data_Book[[DEVELOPMENT]:[PRIVATE MANAGEMENT]],44,FALSE)</f>
        <v>57</v>
      </c>
      <c r="BN159" s="20">
        <f>VLOOKUP(Data[[#This Row],[DEVELOPMENT]],Development_Data_Book[[DEVELOPMENT]:[PRIVATE MANAGEMENT]],45,FALSE)</f>
        <v>35</v>
      </c>
      <c r="BO159" s="20" t="str">
        <f>VLOOKUP(Data[[#This Row],[DEVELOPMENT]],Development_Data_Book[[DEVELOPMENT]:[PRIVATE MANAGEMENT]],24,FALSE)</f>
        <v>13-15-20</v>
      </c>
    </row>
    <row r="160" spans="1:67">
      <c r="A160" t="s">
        <v>338</v>
      </c>
      <c r="B160" s="20" t="str">
        <f>VLOOKUP(Data[[#This Row],[DEVELOPMENT]],Development_Data_Book[[DEVELOPMENT]:[BOROUGH]],MATCH("borough",Development_Data_Book[[#Headers],[DEVELOPMENT]:[BOROUGH]],0),FALSE)</f>
        <v>QUEENS</v>
      </c>
      <c r="C160" s="20" t="e">
        <f>VLOOKUP(Data[[#This Row],[DEVELOPMENT]],'[1]Cheat-Sheet'!$D$2:$Q$341,2,FALSE)</f>
        <v>#N/A</v>
      </c>
      <c r="D16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60" s="20">
        <f>VLOOKUP(Data[[#This Row],[DEVELOPMENT]],Development_Data_Book[[DEVELOPMENT]:[BOROUGH]],21,FALSE)</f>
        <v>4</v>
      </c>
      <c r="F160" s="20">
        <f>VLOOKUP(Data[[#This Row],[DEVELOPMENT]],Development_Data_Book[[DEVELOPMENT]:[BOROUGH]],23,FALSE)</f>
        <v>4</v>
      </c>
      <c r="G160" s="20">
        <f>VLOOKUP(Data[[#This Row],[DEVELOPMENT]],Development_Data_Book[[DEVELOPMENT]:[BOROUGH]],12,FALSE)</f>
        <v>423</v>
      </c>
      <c r="J160">
        <f>IFERROR(VLOOKUP(Data[[#This Row],[DEVELOPMENT]],IntCompactors_MRST[],4,FALSE),0)</f>
        <v>4</v>
      </c>
      <c r="K160" s="20">
        <f>IFERROR(VLOOKUP(Data[[#This Row],[DEVELOPMENT]],ExtCompactors_MRST[],4,FALSE),0)</f>
        <v>1</v>
      </c>
      <c r="L160" s="27">
        <f>IF(Data[[#This Row],['# Interior Compactors MRST]]=0,"",VLOOKUP(Data[[#This Row],[DEVELOPMENT]],IntCompactors_MRST[],5,FALSE))</f>
        <v>38723</v>
      </c>
      <c r="M160" s="28">
        <f>IF(Data[[#This Row],['# Exterior Compactors MRST]]=0,"",VLOOKUP(Data[[#This Row],[DEVELOPMENT]],ExtCompactors_MRST[],5,FALSE))</f>
        <v>39156</v>
      </c>
      <c r="N160" s="20">
        <f>Data[[#This Row],['# Interior Compactors MRST]]</f>
        <v>4</v>
      </c>
      <c r="O160" s="20">
        <f>IF(Data[[#This Row],['# Bulk Crushers]]=0,1,0)</f>
        <v>1</v>
      </c>
      <c r="P160" s="20">
        <f>1</f>
        <v>1</v>
      </c>
      <c r="Q160" s="20">
        <f>1</f>
        <v>1</v>
      </c>
      <c r="R160" s="20">
        <f>1</f>
        <v>1</v>
      </c>
      <c r="S160" s="20">
        <f>1</f>
        <v>1</v>
      </c>
      <c r="T160" s="20">
        <f>IF(Data[[#This Row],[Sewershed]]="Newtown Creek",Data[[#This Row],[DUs]],0)</f>
        <v>0</v>
      </c>
      <c r="U16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6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6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60" s="82">
        <f>VLOOKUP(Data[[#This Row],[DEVELOPMENT]],Development_Data_Book[[DEVELOPMENT]:[BOROUGH]],3,FALSE)</f>
        <v>186</v>
      </c>
      <c r="Y160" s="20"/>
      <c r="Z160" s="20">
        <f>IFERROR(VLOOKUP(Data[[#This Row],[TDS]],ExtCompactors_PNA[[Development]:[0]],2,FALSE),0)</f>
        <v>1</v>
      </c>
      <c r="AA160" s="20">
        <f>IFERROR(VLOOKUP(Data[[#This Row],[TDS]],IntCompactors_PNA[[TDS]:[0]],2,FALSE),0)</f>
        <v>4</v>
      </c>
      <c r="AB160" s="20"/>
      <c r="AC160" s="20"/>
      <c r="AD160" s="20">
        <f>IFERROR(VLOOKUP(Data[[#This Row],[TDS]],ExtCompactors_PNA[[Development]:[0]],3,FALSE)+VLOOKUP(Data[[#This Row],[TDS]],ExtCompactors_PNA[[Development]:[0]],6,FALSE),0)</f>
        <v>1</v>
      </c>
      <c r="AE160" s="20">
        <f>IFERROR(VLOOKUP(Data[[#This Row],[TDS]],IntCompactors_PNA[[TDS]:[0]],3,FALSE)+VLOOKUP(Data[[#This Row],[TDS]],IntCompactors_PNA[[TDS]:[0]],6,FALSE),0)</f>
        <v>4</v>
      </c>
      <c r="AF160" s="20" t="e">
        <f>VLOOKUP(Data[[#This Row],[DEVELOPMENT]],[3]Developments!$A$2:$A$312,1,FALSE)</f>
        <v>#N/A</v>
      </c>
      <c r="AG160" s="20">
        <f>IFERROR(VLOOKUP(Data[[#This Row],[DEVELOPMENT]],Ops_Priorities_and_Data_Clean[[development]:[ifnoext_comment]],3,FALSE),"")</f>
        <v>1</v>
      </c>
      <c r="AH160" s="20">
        <f>IFERROR(VLOOKUP(Data[[#This Row],[DEVELOPMENT]],Ops_Priorities_and_Data_Clean[[development]:[ifnoext_comment]],4,FALSE),"")</f>
        <v>0</v>
      </c>
      <c r="AI160" s="20">
        <f>IFERROR(VLOOKUP(Data[[#This Row],[DEVELOPMENT]],Ops_Priorities_and_Data_Clean[[development]:[ifnoext_comment]],5,FALSE),"")</f>
        <v>1</v>
      </c>
      <c r="AJ160" s="20">
        <f>IFERROR(VLOOKUP(Data[[#This Row],[DEVELOPMENT]],Ops_Priorities_and_Data_Clean[[development]:[ifnoext_comment]],6,FALSE),"")</f>
        <v>0</v>
      </c>
      <c r="AK160" s="20">
        <f>IFERROR(VLOOKUP(Data[[#This Row],[DEVELOPMENT]],Ops_Priorities_and_Data_Clean[[development]:[ifnoext_comment]],7,FALSE),"")</f>
        <v>0</v>
      </c>
      <c r="AL160" s="20">
        <f>IFERROR(VLOOKUP(Data[[#This Row],[DEVELOPMENT]],Ops_Priorities_and_Data_Clean[[development]:[ifnoext_comment]],8,FALSE),"")</f>
        <v>1</v>
      </c>
      <c r="AM160" s="20">
        <f>IFERROR(VLOOKUP(Data[[#This Row],[DEVELOPMENT]],Ops_Priorities_and_Data_Clean[[development]:[ifnoext_comment]],9,FALSE),"")</f>
        <v>0</v>
      </c>
      <c r="AN160" s="20">
        <f>IFERROR(VLOOKUP(Data[[#This Row],[DEVELOPMENT]],Ops_Priorities_and_Data_Clean[[development]:[ifnoext_comment]],10,FALSE),"")</f>
        <v>2</v>
      </c>
      <c r="AO160" s="20">
        <f>IFERROR(VLOOKUP(Data[[#This Row],[DEVELOPMENT]],Ops_Priorities_and_Data_Clean[[development]:[ifnoext_comment]],11,FALSE),"")</f>
        <v>1</v>
      </c>
      <c r="AP160" s="20">
        <f>IFERROR(VLOOKUP(Data[[#This Row],[DEVELOPMENT]],Ops_Priorities_and_Data_Clean[[development]:[ifnoext_comment]],12,FALSE),"")</f>
        <v>1</v>
      </c>
      <c r="AQ160" s="20">
        <f>VLOOKUP(Data[[#This Row],[DEVELOPMENT]],Ops_Priorities_and_Data_Clean[[development]:[ifnoext_comment]],14,FALSE)</f>
        <v>0</v>
      </c>
      <c r="AR160" s="20">
        <f>VLOOKUP(Data[[#This Row],[DEVELOPMENT]],Ops_Priorities_and_Data_Clean[[development]:[ifnoext_comment]],15,FALSE)</f>
        <v>0</v>
      </c>
      <c r="AS160" s="20" t="str">
        <f>VLOOKUP(Data[[#This Row],[DEVELOPMENT]],Ops_Priorities_and_Data_Clean[[development]:[ifnoext_comment]],16,FALSE)</f>
        <v>NULL</v>
      </c>
      <c r="AT160" s="20" t="str">
        <f>VLOOKUP(Data[[#This Row],[DEVELOPMENT]],Ops_Priorities_and_Data_Clean[[development]:[ifnoext_comment]],17,FALSE)</f>
        <v>NULL</v>
      </c>
      <c r="AU160" s="20" t="str">
        <f>VLOOKUP(Data[[#This Row],[DEVELOPMENT]],Ops_Priorities_and_Data_Clean[[development]:[ifnoext_comment]],18,FALSE)</f>
        <v>NULL</v>
      </c>
      <c r="AV160" s="20" t="str">
        <f>VLOOKUP(Data[[#This Row],[DEVELOPMENT]],Ops_Priorities_and_Data_Clean[[development]:[ifnoext_comment]],19,FALSE)</f>
        <v>NULL</v>
      </c>
      <c r="AW160" s="20" t="str">
        <f>VLOOKUP(Data[[#This Row],[DEVELOPMENT]],Ops_Priorities_and_Data_Clean[[development]:[ifnoext_comment]],20,FALSE)</f>
        <v>NULL</v>
      </c>
      <c r="AX160" s="104" t="s">
        <v>2614</v>
      </c>
      <c r="AY160" s="104" t="s">
        <v>2626</v>
      </c>
      <c r="AZ160" s="20" t="str">
        <f>VLOOKUP(Data[[#This Row],[DEVELOPMENT]],Development_Data_Book[[DEVELOPMENT]:[PRIVATE MANAGEMENT]],8,FALSE)</f>
        <v>FEDERAL</v>
      </c>
      <c r="BA160" s="104" t="s">
        <v>2586</v>
      </c>
      <c r="BB160" s="20">
        <f>VLOOKUP(Data[[#This Row],[DEVELOPMENT]],Development_Data_Book[[DEVELOPMENT]:[PRIVATE MANAGEMENT]],22,FALSE)</f>
        <v>0</v>
      </c>
      <c r="BC160" s="20">
        <f>Data[[#This Row],[Non-Dwelling Buildings]]+Data[[#This Row],[Dwelling Buildings]]</f>
        <v>4</v>
      </c>
      <c r="BD160" s="20">
        <f>VLOOKUP(Data[[#This Row],[DEVELOPMENT]],Development_Data_Book[[DEVELOPMENT]:[PRIVATE MANAGEMENT]],26,FALSE)</f>
        <v>3.84</v>
      </c>
      <c r="BE160" s="106">
        <v>396100</v>
      </c>
      <c r="BF160" s="20">
        <f>VLOOKUP(Data[[#This Row],[DEVELOPMENT]],Development_Data_Book[[DEVELOPMENT]:[PRIVATE MANAGEMENT]],18,FALSE)</f>
        <v>792</v>
      </c>
      <c r="BG16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60" s="104" t="s">
        <v>2615</v>
      </c>
      <c r="BI160" t="s">
        <v>184</v>
      </c>
      <c r="BJ160" s="20">
        <f>VLOOKUP(Data[[#This Row],[DEVELOPMENT]],Development_Data_Book[[DEVELOPMENT]:[PRIVATE MANAGEMENT]],41,FALSE)</f>
        <v>7</v>
      </c>
      <c r="BK160" s="20">
        <f>VLOOKUP(Data[[#This Row],[DEVELOPMENT]],Development_Data_Book[[DEVELOPMENT]:[PRIVATE MANAGEMENT]],42,FALSE)</f>
        <v>6</v>
      </c>
      <c r="BL160" s="20">
        <f>VLOOKUP(Data[[#This Row],[DEVELOPMENT]],Development_Data_Book[[DEVELOPMENT]:[PRIVATE MANAGEMENT]],43,FALSE)</f>
        <v>11</v>
      </c>
      <c r="BM160" s="20">
        <f>VLOOKUP(Data[[#This Row],[DEVELOPMENT]],Development_Data_Book[[DEVELOPMENT]:[PRIVATE MANAGEMENT]],44,FALSE)</f>
        <v>40</v>
      </c>
      <c r="BN160" s="20">
        <f>VLOOKUP(Data[[#This Row],[DEVELOPMENT]],Development_Data_Book[[DEVELOPMENT]:[PRIVATE MANAGEMENT]],45,FALSE)</f>
        <v>20</v>
      </c>
      <c r="BO160" s="20">
        <f>VLOOKUP(Data[[#This Row],[DEVELOPMENT]],Development_Data_Book[[DEVELOPMENT]:[PRIVATE MANAGEMENT]],24,FALSE)</f>
        <v>10</v>
      </c>
    </row>
    <row r="161" spans="1:67">
      <c r="A161" t="s">
        <v>1618</v>
      </c>
      <c r="B161" s="20" t="str">
        <f>VLOOKUP(Data[[#This Row],[DEVELOPMENT]],Development_Data_Book[[DEVELOPMENT]:[BOROUGH]],MATCH("borough",Development_Data_Book[[#Headers],[DEVELOPMENT]:[BOROUGH]],0),FALSE)</f>
        <v>MANHATTAN</v>
      </c>
      <c r="C161" s="210" t="s">
        <v>2658</v>
      </c>
      <c r="D16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61" s="20">
        <f>VLOOKUP(Data[[#This Row],[DEVELOPMENT]],Development_Data_Book[[DEVELOPMENT]:[BOROUGH]],21,FALSE)</f>
        <v>1</v>
      </c>
      <c r="F161" s="20">
        <f>VLOOKUP(Data[[#This Row],[DEVELOPMENT]],Development_Data_Book[[DEVELOPMENT]:[BOROUGH]],23,FALSE)</f>
        <v>6</v>
      </c>
      <c r="G161" s="20">
        <f>VLOOKUP(Data[[#This Row],[DEVELOPMENT]],Development_Data_Book[[DEVELOPMENT]:[BOROUGH]],12,FALSE)</f>
        <v>95</v>
      </c>
      <c r="J161">
        <f>IFERROR(VLOOKUP(Data[[#This Row],[DEVELOPMENT]],IntCompactors_MRST[],4,FALSE),0)</f>
        <v>0</v>
      </c>
      <c r="K161" s="20">
        <f>IFERROR(VLOOKUP(Data[[#This Row],[DEVELOPMENT]],ExtCompactors_MRST[],4,FALSE),0)</f>
        <v>0</v>
      </c>
      <c r="L161" s="27" t="str">
        <f>IF(Data[[#This Row],['# Interior Compactors MRST]]=0,"",VLOOKUP(Data[[#This Row],[DEVELOPMENT]],IntCompactors_MRST[],5,FALSE))</f>
        <v/>
      </c>
      <c r="M161" s="28" t="str">
        <f>IF(Data[[#This Row],['# Exterior Compactors MRST]]=0,"",VLOOKUP(Data[[#This Row],[DEVELOPMENT]],ExtCompactors_MRST[],5,FALSE))</f>
        <v/>
      </c>
      <c r="N161" s="20">
        <f>Data[[#This Row],['# Interior Compactors MRST]]</f>
        <v>0</v>
      </c>
      <c r="O161" s="20">
        <f>IF(Data[[#This Row],['# Bulk Crushers]]=0,1,0)</f>
        <v>1</v>
      </c>
      <c r="P161" s="20">
        <f>1</f>
        <v>1</v>
      </c>
      <c r="Q161" s="20">
        <f>1</f>
        <v>1</v>
      </c>
      <c r="R161" s="20">
        <f>1</f>
        <v>1</v>
      </c>
      <c r="S161" s="20">
        <f>1</f>
        <v>1</v>
      </c>
      <c r="T161" s="20">
        <f>IF(Data[[#This Row],[Sewershed]]="Newtown Creek",Data[[#This Row],[DUs]],0)</f>
        <v>95</v>
      </c>
      <c r="U16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6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6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61" s="82">
        <f>VLOOKUP(Data[[#This Row],[DEVELOPMENT]],Development_Data_Book[[DEVELOPMENT]:[BOROUGH]],3,FALSE)</f>
        <v>310</v>
      </c>
      <c r="Y161" s="20" t="s">
        <v>2599</v>
      </c>
      <c r="Z161" s="20">
        <f>IFERROR(VLOOKUP(Data[[#This Row],[TDS]],ExtCompactors_PNA[[Development]:[0]],2,FALSE),0)</f>
        <v>0</v>
      </c>
      <c r="AA161" s="20">
        <f>IFERROR(VLOOKUP(Data[[#This Row],[TDS]],IntCompactors_PNA[[TDS]:[0]],2,FALSE),0)</f>
        <v>0</v>
      </c>
      <c r="AB161" s="20"/>
      <c r="AC161" s="20"/>
      <c r="AD161" s="20">
        <f>IFERROR(VLOOKUP(Data[[#This Row],[TDS]],ExtCompactors_PNA[[Development]:[0]],3,FALSE)+VLOOKUP(Data[[#This Row],[TDS]],ExtCompactors_PNA[[Development]:[0]],6,FALSE),0)</f>
        <v>0</v>
      </c>
      <c r="AE161" s="20">
        <f>IFERROR(VLOOKUP(Data[[#This Row],[TDS]],IntCompactors_PNA[[TDS]:[0]],3,FALSE)+VLOOKUP(Data[[#This Row],[TDS]],IntCompactors_PNA[[TDS]:[0]],6,FALSE),0)</f>
        <v>0</v>
      </c>
      <c r="AF161" s="20" t="e">
        <f>VLOOKUP(Data[[#This Row],[DEVELOPMENT]],[3]Developments!$A$2:$A$312,1,FALSE)</f>
        <v>#N/A</v>
      </c>
      <c r="AG161" s="20" t="str">
        <f>IFERROR(VLOOKUP(Data[[#This Row],[DEVELOPMENT]],Ops_Priorities_and_Data_Clean[[development]:[ifnoext_comment]],3,FALSE),"")</f>
        <v/>
      </c>
      <c r="AH161" s="20" t="str">
        <f>IFERROR(VLOOKUP(Data[[#This Row],[DEVELOPMENT]],Ops_Priorities_and_Data_Clean[[development]:[ifnoext_comment]],4,FALSE),"")</f>
        <v/>
      </c>
      <c r="AI161" s="20" t="str">
        <f>IFERROR(VLOOKUP(Data[[#This Row],[DEVELOPMENT]],Ops_Priorities_and_Data_Clean[[development]:[ifnoext_comment]],5,FALSE),"")</f>
        <v/>
      </c>
      <c r="AJ161" s="20" t="str">
        <f>IFERROR(VLOOKUP(Data[[#This Row],[DEVELOPMENT]],Ops_Priorities_and_Data_Clean[[development]:[ifnoext_comment]],6,FALSE),"")</f>
        <v/>
      </c>
      <c r="AK161" s="20" t="str">
        <f>IFERROR(VLOOKUP(Data[[#This Row],[DEVELOPMENT]],Ops_Priorities_and_Data_Clean[[development]:[ifnoext_comment]],7,FALSE),"")</f>
        <v/>
      </c>
      <c r="AL161" s="20" t="str">
        <f>IFERROR(VLOOKUP(Data[[#This Row],[DEVELOPMENT]],Ops_Priorities_and_Data_Clean[[development]:[ifnoext_comment]],8,FALSE),"")</f>
        <v/>
      </c>
      <c r="AM161" s="20" t="str">
        <f>IFERROR(VLOOKUP(Data[[#This Row],[DEVELOPMENT]],Ops_Priorities_and_Data_Clean[[development]:[ifnoext_comment]],9,FALSE),"")</f>
        <v/>
      </c>
      <c r="AN161" s="20" t="str">
        <f>IFERROR(VLOOKUP(Data[[#This Row],[DEVELOPMENT]],Ops_Priorities_and_Data_Clean[[development]:[ifnoext_comment]],10,FALSE),"")</f>
        <v/>
      </c>
      <c r="AO161" s="20" t="str">
        <f>IFERROR(VLOOKUP(Data[[#This Row],[DEVELOPMENT]],Ops_Priorities_and_Data_Clean[[development]:[ifnoext_comment]],11,FALSE),"")</f>
        <v/>
      </c>
      <c r="AP161" s="20" t="str">
        <f>IFERROR(VLOOKUP(Data[[#This Row],[DEVELOPMENT]],Ops_Priorities_and_Data_Clean[[development]:[ifnoext_comment]],12,FALSE),"")</f>
        <v/>
      </c>
      <c r="AQ161" s="20" t="e">
        <f>VLOOKUP(Data[[#This Row],[DEVELOPMENT]],Ops_Priorities_and_Data_Clean[[development]:[ifnoext_comment]],14,FALSE)</f>
        <v>#N/A</v>
      </c>
      <c r="AR161" s="20" t="e">
        <f>VLOOKUP(Data[[#This Row],[DEVELOPMENT]],Ops_Priorities_and_Data_Clean[[development]:[ifnoext_comment]],15,FALSE)</f>
        <v>#N/A</v>
      </c>
      <c r="AS161" s="20" t="e">
        <f>VLOOKUP(Data[[#This Row],[DEVELOPMENT]],Ops_Priorities_and_Data_Clean[[development]:[ifnoext_comment]],16,FALSE)</f>
        <v>#N/A</v>
      </c>
      <c r="AT161" s="20" t="e">
        <f>VLOOKUP(Data[[#This Row],[DEVELOPMENT]],Ops_Priorities_and_Data_Clean[[development]:[ifnoext_comment]],17,FALSE)</f>
        <v>#N/A</v>
      </c>
      <c r="AU161" s="20" t="e">
        <f>VLOOKUP(Data[[#This Row],[DEVELOPMENT]],Ops_Priorities_and_Data_Clean[[development]:[ifnoext_comment]],18,FALSE)</f>
        <v>#N/A</v>
      </c>
      <c r="AV161" s="20" t="e">
        <f>VLOOKUP(Data[[#This Row],[DEVELOPMENT]],Ops_Priorities_and_Data_Clean[[development]:[ifnoext_comment]],19,FALSE)</f>
        <v>#N/A</v>
      </c>
      <c r="AW161" s="20" t="e">
        <f>VLOOKUP(Data[[#This Row],[DEVELOPMENT]],Ops_Priorities_and_Data_Clean[[development]:[ifnoext_comment]],20,FALSE)</f>
        <v>#N/A</v>
      </c>
      <c r="AX161" s="20"/>
      <c r="AY161" s="20"/>
      <c r="AZ161" s="20" t="str">
        <f>VLOOKUP(Data[[#This Row],[DEVELOPMENT]],Development_Data_Book[[DEVELOPMENT]:[PRIVATE MANAGEMENT]],8,FALSE)</f>
        <v>FEDERAL</v>
      </c>
      <c r="BA161" s="20"/>
      <c r="BB161" s="20">
        <f>VLOOKUP(Data[[#This Row],[DEVELOPMENT]],Development_Data_Book[[DEVELOPMENT]:[PRIVATE MANAGEMENT]],22,FALSE)</f>
        <v>0</v>
      </c>
      <c r="BC161" s="20">
        <f>Data[[#This Row],[Non-Dwelling Buildings]]+Data[[#This Row],[Dwelling Buildings]]</f>
        <v>1</v>
      </c>
      <c r="BD161" s="20">
        <f>VLOOKUP(Data[[#This Row],[DEVELOPMENT]],Development_Data_Book[[DEVELOPMENT]:[PRIVATE MANAGEMENT]],26,FALSE)</f>
        <v>0.53</v>
      </c>
      <c r="BE161" s="20"/>
      <c r="BF161" s="20">
        <f>VLOOKUP(Data[[#This Row],[DEVELOPMENT]],Development_Data_Book[[DEVELOPMENT]:[PRIVATE MANAGEMENT]],18,FALSE)</f>
        <v>0</v>
      </c>
      <c r="BG16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61" s="20"/>
      <c r="BI161" s="20"/>
      <c r="BJ161" s="20">
        <f>VLOOKUP(Data[[#This Row],[DEVELOPMENT]],Development_Data_Book[[DEVELOPMENT]:[PRIVATE MANAGEMENT]],41,FALSE)</f>
        <v>3</v>
      </c>
      <c r="BK161" s="20">
        <f>VLOOKUP(Data[[#This Row],[DEVELOPMENT]],Development_Data_Book[[DEVELOPMENT]:[PRIVATE MANAGEMENT]],42,FALSE)</f>
        <v>7</v>
      </c>
      <c r="BL161" s="20">
        <f>VLOOKUP(Data[[#This Row],[DEVELOPMENT]],Development_Data_Book[[DEVELOPMENT]:[PRIVATE MANAGEMENT]],43,FALSE)</f>
        <v>26</v>
      </c>
      <c r="BM161" s="20">
        <f>VLOOKUP(Data[[#This Row],[DEVELOPMENT]],Development_Data_Book[[DEVELOPMENT]:[PRIVATE MANAGEMENT]],44,FALSE)</f>
        <v>74</v>
      </c>
      <c r="BN161" s="20">
        <f>VLOOKUP(Data[[#This Row],[DEVELOPMENT]],Development_Data_Book[[DEVELOPMENT]:[PRIVATE MANAGEMENT]],45,FALSE)</f>
        <v>2</v>
      </c>
      <c r="BO161" s="20">
        <f>VLOOKUP(Data[[#This Row],[DEVELOPMENT]],Development_Data_Book[[DEVELOPMENT]:[PRIVATE MANAGEMENT]],24,FALSE)</f>
        <v>6</v>
      </c>
    </row>
    <row r="162" spans="1:67">
      <c r="A162" t="s">
        <v>339</v>
      </c>
      <c r="B162" s="20" t="str">
        <f>VLOOKUP(Data[[#This Row],[DEVELOPMENT]],Development_Data_Book[[DEVELOPMENT]:[BOROUGH]],MATCH("borough",Development_Data_Book[[#Headers],[DEVELOPMENT]:[BOROUGH]],0),FALSE)</f>
        <v>QUEENS</v>
      </c>
      <c r="C162" s="20" t="e">
        <f>VLOOKUP(Data[[#This Row],[DEVELOPMENT]],'[1]Cheat-Sheet'!$D$2:$Q$341,2,FALSE)</f>
        <v>#N/A</v>
      </c>
      <c r="D16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62" s="20">
        <f>VLOOKUP(Data[[#This Row],[DEVELOPMENT]],Development_Data_Book[[DEVELOPMENT]:[BOROUGH]],21,FALSE)</f>
        <v>1</v>
      </c>
      <c r="F162" s="20">
        <f>VLOOKUP(Data[[#This Row],[DEVELOPMENT]],Development_Data_Book[[DEVELOPMENT]:[BOROUGH]],23,FALSE)</f>
        <v>1</v>
      </c>
      <c r="G162" s="20">
        <f>VLOOKUP(Data[[#This Row],[DEVELOPMENT]],Development_Data_Book[[DEVELOPMENT]:[BOROUGH]],12,FALSE)</f>
        <v>83</v>
      </c>
      <c r="J162">
        <f>IFERROR(VLOOKUP(Data[[#This Row],[DEVELOPMENT]],IntCompactors_MRST[],4,FALSE),0)</f>
        <v>1</v>
      </c>
      <c r="K162" s="20">
        <f>IFERROR(VLOOKUP(Data[[#This Row],[DEVELOPMENT]],ExtCompactors_MRST[],4,FALSE),0)</f>
        <v>0</v>
      </c>
      <c r="L162" s="27">
        <f>IF(Data[[#This Row],['# Interior Compactors MRST]]=0,"",VLOOKUP(Data[[#This Row],[DEVELOPMENT]],IntCompactors_MRST[],5,FALSE))</f>
        <v>39448</v>
      </c>
      <c r="M162" s="28" t="str">
        <f>IF(Data[[#This Row],['# Exterior Compactors MRST]]=0,"",VLOOKUP(Data[[#This Row],[DEVELOPMENT]],ExtCompactors_MRST[],5,FALSE))</f>
        <v/>
      </c>
      <c r="N162" s="20">
        <f>Data[[#This Row],['# Interior Compactors MRST]]</f>
        <v>1</v>
      </c>
      <c r="O162" s="20">
        <f>IF(Data[[#This Row],['# Bulk Crushers]]=0,1,0)</f>
        <v>1</v>
      </c>
      <c r="P162" s="20">
        <f>1</f>
        <v>1</v>
      </c>
      <c r="Q162" s="20">
        <f>1</f>
        <v>1</v>
      </c>
      <c r="R162" s="20">
        <f>1</f>
        <v>1</v>
      </c>
      <c r="S162" s="20">
        <f>1</f>
        <v>1</v>
      </c>
      <c r="T162" s="20">
        <f>IF(Data[[#This Row],[Sewershed]]="Newtown Creek",Data[[#This Row],[DUs]],0)</f>
        <v>0</v>
      </c>
      <c r="U16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6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6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62" s="82">
        <f>VLOOKUP(Data[[#This Row],[DEVELOPMENT]],Development_Data_Book[[DEVELOPMENT]:[BOROUGH]],3,FALSE)</f>
        <v>201</v>
      </c>
      <c r="Y162" s="20"/>
      <c r="Z162" s="20">
        <f>IFERROR(VLOOKUP(Data[[#This Row],[TDS]],ExtCompactors_PNA[[Development]:[0]],2,FALSE),0)</f>
        <v>0</v>
      </c>
      <c r="AA162" s="20">
        <f>IFERROR(VLOOKUP(Data[[#This Row],[TDS]],IntCompactors_PNA[[TDS]:[0]],2,FALSE),0)</f>
        <v>1</v>
      </c>
      <c r="AB162" s="20"/>
      <c r="AC162" s="20"/>
      <c r="AD162" s="20">
        <f>IFERROR(VLOOKUP(Data[[#This Row],[TDS]],ExtCompactors_PNA[[Development]:[0]],3,FALSE)+VLOOKUP(Data[[#This Row],[TDS]],ExtCompactors_PNA[[Development]:[0]],6,FALSE),0)</f>
        <v>0</v>
      </c>
      <c r="AE162" s="20">
        <f>IFERROR(VLOOKUP(Data[[#This Row],[TDS]],IntCompactors_PNA[[TDS]:[0]],3,FALSE)+VLOOKUP(Data[[#This Row],[TDS]],IntCompactors_PNA[[TDS]:[0]],6,FALSE),0)</f>
        <v>1</v>
      </c>
      <c r="AF162" s="20" t="e">
        <f>VLOOKUP(Data[[#This Row],[DEVELOPMENT]],[3]Developments!$A$2:$A$312,1,FALSE)</f>
        <v>#N/A</v>
      </c>
      <c r="AG162" s="20">
        <f>IFERROR(VLOOKUP(Data[[#This Row],[DEVELOPMENT]],Ops_Priorities_and_Data_Clean[[development]:[ifnoext_comment]],3,FALSE),"")</f>
        <v>0</v>
      </c>
      <c r="AH162" s="20">
        <f>IFERROR(VLOOKUP(Data[[#This Row],[DEVELOPMENT]],Ops_Priorities_and_Data_Clean[[development]:[ifnoext_comment]],4,FALSE),"")</f>
        <v>0</v>
      </c>
      <c r="AI162" s="20">
        <f>IFERROR(VLOOKUP(Data[[#This Row],[DEVELOPMENT]],Ops_Priorities_and_Data_Clean[[development]:[ifnoext_comment]],5,FALSE),"")</f>
        <v>0</v>
      </c>
      <c r="AJ162" s="20">
        <f>IFERROR(VLOOKUP(Data[[#This Row],[DEVELOPMENT]],Ops_Priorities_and_Data_Clean[[development]:[ifnoext_comment]],6,FALSE),"")</f>
        <v>1</v>
      </c>
      <c r="AK162" s="20">
        <f>IFERROR(VLOOKUP(Data[[#This Row],[DEVELOPMENT]],Ops_Priorities_and_Data_Clean[[development]:[ifnoext_comment]],7,FALSE),"")</f>
        <v>0</v>
      </c>
      <c r="AL162" s="20">
        <f>IFERROR(VLOOKUP(Data[[#This Row],[DEVELOPMENT]],Ops_Priorities_and_Data_Clean[[development]:[ifnoext_comment]],8,FALSE),"")</f>
        <v>1</v>
      </c>
      <c r="AM162" s="20">
        <f>IFERROR(VLOOKUP(Data[[#This Row],[DEVELOPMENT]],Ops_Priorities_and_Data_Clean[[development]:[ifnoext_comment]],9,FALSE),"")</f>
        <v>1</v>
      </c>
      <c r="AN162" s="20">
        <f>IFERROR(VLOOKUP(Data[[#This Row],[DEVELOPMENT]],Ops_Priorities_and_Data_Clean[[development]:[ifnoext_comment]],10,FALSE),"")</f>
        <v>0</v>
      </c>
      <c r="AO162" s="20">
        <f>IFERROR(VLOOKUP(Data[[#This Row],[DEVELOPMENT]],Ops_Priorities_and_Data_Clean[[development]:[ifnoext_comment]],11,FALSE),"")</f>
        <v>0</v>
      </c>
      <c r="AP162" s="20">
        <f>IFERROR(VLOOKUP(Data[[#This Row],[DEVELOPMENT]],Ops_Priorities_and_Data_Clean[[development]:[ifnoext_comment]],12,FALSE),"")</f>
        <v>0</v>
      </c>
      <c r="AQ162" s="20">
        <f>VLOOKUP(Data[[#This Row],[DEVELOPMENT]],Ops_Priorities_and_Data_Clean[[development]:[ifnoext_comment]],14,FALSE)</f>
        <v>0</v>
      </c>
      <c r="AR162" s="20">
        <f>VLOOKUP(Data[[#This Row],[DEVELOPMENT]],Ops_Priorities_and_Data_Clean[[development]:[ifnoext_comment]],15,FALSE)</f>
        <v>1</v>
      </c>
      <c r="AS162" s="20" t="str">
        <f>VLOOKUP(Data[[#This Row],[DEVELOPMENT]],Ops_Priorities_and_Data_Clean[[development]:[ifnoext_comment]],16,FALSE)</f>
        <v>Latimer Gardens</v>
      </c>
      <c r="AT162" s="20" t="str">
        <f>VLOOKUP(Data[[#This Row],[DEVELOPMENT]],Ops_Priorities_and_Data_Clean[[development]:[ifnoext_comment]],17,FALSE)</f>
        <v>NULL</v>
      </c>
      <c r="AU162" s="20" t="str">
        <f>VLOOKUP(Data[[#This Row],[DEVELOPMENT]],Ops_Priorities_and_Data_Clean[[development]:[ifnoext_comment]],18,FALSE)</f>
        <v>NULL</v>
      </c>
      <c r="AV162" s="20" t="str">
        <f>VLOOKUP(Data[[#This Row],[DEVELOPMENT]],Ops_Priorities_and_Data_Clean[[development]:[ifnoext_comment]],19,FALSE)</f>
        <v>NULL</v>
      </c>
      <c r="AW162" s="20" t="str">
        <f>VLOOKUP(Data[[#This Row],[DEVELOPMENT]],Ops_Priorities_and_Data_Clean[[development]:[ifnoext_comment]],20,FALSE)</f>
        <v>NULL</v>
      </c>
      <c r="AX162" s="104" t="s">
        <v>2614</v>
      </c>
      <c r="AY162" s="104" t="s">
        <v>2626</v>
      </c>
      <c r="AZ162" s="20" t="str">
        <f>VLOOKUP(Data[[#This Row],[DEVELOPMENT]],Development_Data_Book[[DEVELOPMENT]:[PRIVATE MANAGEMENT]],8,FALSE)</f>
        <v>FEDERAL</v>
      </c>
      <c r="BA162" s="104" t="s">
        <v>2586</v>
      </c>
      <c r="BB162" s="20">
        <f>VLOOKUP(Data[[#This Row],[DEVELOPMENT]],Development_Data_Book[[DEVELOPMENT]:[PRIVATE MANAGEMENT]],22,FALSE)</f>
        <v>0</v>
      </c>
      <c r="BC162" s="20">
        <f>Data[[#This Row],[Non-Dwelling Buildings]]+Data[[#This Row],[Dwelling Buildings]]</f>
        <v>1</v>
      </c>
      <c r="BD162" s="20">
        <f>VLOOKUP(Data[[#This Row],[DEVELOPMENT]],Development_Data_Book[[DEVELOPMENT]:[PRIVATE MANAGEMENT]],26,FALSE)</f>
        <v>0.46</v>
      </c>
      <c r="BE162" s="106">
        <v>61500</v>
      </c>
      <c r="BF162" s="20">
        <f>VLOOKUP(Data[[#This Row],[DEVELOPMENT]],Development_Data_Book[[DEVELOPMENT]:[PRIVATE MANAGEMENT]],18,FALSE)</f>
        <v>104</v>
      </c>
      <c r="BG162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62" s="104" t="s">
        <v>2615</v>
      </c>
      <c r="BI162" t="s">
        <v>184</v>
      </c>
      <c r="BJ162" s="20">
        <f>VLOOKUP(Data[[#This Row],[DEVELOPMENT]],Development_Data_Book[[DEVELOPMENT]:[PRIVATE MANAGEMENT]],41,FALSE)</f>
        <v>7</v>
      </c>
      <c r="BK162" s="20">
        <f>VLOOKUP(Data[[#This Row],[DEVELOPMENT]],Development_Data_Book[[DEVELOPMENT]:[PRIVATE MANAGEMENT]],42,FALSE)</f>
        <v>6</v>
      </c>
      <c r="BL162" s="20">
        <f>VLOOKUP(Data[[#This Row],[DEVELOPMENT]],Development_Data_Book[[DEVELOPMENT]:[PRIVATE MANAGEMENT]],43,FALSE)</f>
        <v>11</v>
      </c>
      <c r="BM162" s="20">
        <f>VLOOKUP(Data[[#This Row],[DEVELOPMENT]],Development_Data_Book[[DEVELOPMENT]:[PRIVATE MANAGEMENT]],44,FALSE)</f>
        <v>40</v>
      </c>
      <c r="BN162" s="20">
        <f>VLOOKUP(Data[[#This Row],[DEVELOPMENT]],Development_Data_Book[[DEVELOPMENT]:[PRIVATE MANAGEMENT]],45,FALSE)</f>
        <v>20</v>
      </c>
      <c r="BO162" s="20">
        <f>VLOOKUP(Data[[#This Row],[DEVELOPMENT]],Development_Data_Book[[DEVELOPMENT]:[PRIVATE MANAGEMENT]],24,FALSE)</f>
        <v>6</v>
      </c>
    </row>
    <row r="163" spans="1:67">
      <c r="A163" t="s">
        <v>146</v>
      </c>
      <c r="B163" s="20" t="str">
        <f>VLOOKUP(Data[[#This Row],[DEVELOPMENT]],Development_Data_Book[[DEVELOPMENT]:[BOROUGH]],MATCH("borough",Development_Data_Book[[#Headers],[DEVELOPMENT]:[BOROUGH]],0),FALSE)</f>
        <v>MANHATTAN</v>
      </c>
      <c r="C163" t="e">
        <f>VLOOKUP(Data[[#This Row],[DEVELOPMENT]],'[1]Cheat-Sheet'!$D$2:$Q$341,2,FALSE)</f>
        <v>#N/A</v>
      </c>
      <c r="D16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63" s="20">
        <f>VLOOKUP(Data[[#This Row],[DEVELOPMENT]],Development_Data_Book[[DEVELOPMENT]:[BOROUGH]],21,FALSE)</f>
        <v>4</v>
      </c>
      <c r="F163" s="20">
        <f>VLOOKUP(Data[[#This Row],[DEVELOPMENT]],Development_Data_Book[[DEVELOPMENT]:[BOROUGH]],23,FALSE)</f>
        <v>5</v>
      </c>
      <c r="G163" s="20">
        <f>VLOOKUP(Data[[#This Row],[DEVELOPMENT]],Development_Data_Book[[DEVELOPMENT]:[BOROUGH]],12,FALSE)</f>
        <v>617</v>
      </c>
      <c r="J163">
        <f>IFERROR(VLOOKUP(Data[[#This Row],[DEVELOPMENT]],IntCompactors_MRST[],4,FALSE),0)</f>
        <v>4</v>
      </c>
      <c r="K163" s="20">
        <f>IFERROR(VLOOKUP(Data[[#This Row],[DEVELOPMENT]],ExtCompactors_MRST[],4,FALSE),0)</f>
        <v>2</v>
      </c>
      <c r="L163" s="27">
        <f>IF(Data[[#This Row],['# Interior Compactors MRST]]=0,"",VLOOKUP(Data[[#This Row],[DEVELOPMENT]],IntCompactors_MRST[],5,FALSE))</f>
        <v>40231</v>
      </c>
      <c r="M163" s="28">
        <f>IF(Data[[#This Row],['# Exterior Compactors MRST]]=0,"",VLOOKUP(Data[[#This Row],[DEVELOPMENT]],ExtCompactors_MRST[],5,FALSE))</f>
        <v>41883</v>
      </c>
      <c r="N163">
        <f>Data[[#This Row],['# Interior Compactors MRST]]</f>
        <v>4</v>
      </c>
      <c r="O163" s="20">
        <f>IF(Data[[#This Row],['# Bulk Crushers]]=0,1,0)</f>
        <v>1</v>
      </c>
      <c r="P163" s="20">
        <f>1</f>
        <v>1</v>
      </c>
      <c r="Q163" s="20">
        <f>1</f>
        <v>1</v>
      </c>
      <c r="R163" s="20">
        <f>1</f>
        <v>1</v>
      </c>
      <c r="S163" s="20">
        <f>1</f>
        <v>1</v>
      </c>
      <c r="T163" s="20">
        <f>IF(Data[[#This Row],[Sewershed]]="Newtown Creek",Data[[#This Row],[DUs]],0)</f>
        <v>0</v>
      </c>
      <c r="U16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6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6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63" s="82">
        <f>VLOOKUP(Data[[#This Row],[DEVELOPMENT]],Development_Data_Book[[DEVELOPMENT]:[BOROUGH]],3,FALSE)</f>
        <v>101</v>
      </c>
      <c r="Y163" s="20"/>
      <c r="Z163" s="20">
        <f>IFERROR(VLOOKUP(Data[[#This Row],[TDS]],ExtCompactors_PNA[[Development]:[0]],2,FALSE),0)</f>
        <v>2</v>
      </c>
      <c r="AA163" s="20">
        <f>IFERROR(VLOOKUP(Data[[#This Row],[TDS]],IntCompactors_PNA[[TDS]:[0]],2,FALSE),0)</f>
        <v>4</v>
      </c>
      <c r="AB163" s="20"/>
      <c r="AC163" s="20"/>
      <c r="AD163" s="20">
        <f>IFERROR(VLOOKUP(Data[[#This Row],[TDS]],ExtCompactors_PNA[[Development]:[0]],3,FALSE)+VLOOKUP(Data[[#This Row],[TDS]],ExtCompactors_PNA[[Development]:[0]],6,FALSE),0)</f>
        <v>2</v>
      </c>
      <c r="AE163" s="20">
        <f>IFERROR(VLOOKUP(Data[[#This Row],[TDS]],IntCompactors_PNA[[TDS]:[0]],3,FALSE)+VLOOKUP(Data[[#This Row],[TDS]],IntCompactors_PNA[[TDS]:[0]],6,FALSE),0)</f>
        <v>4</v>
      </c>
      <c r="AF163" s="20" t="e">
        <f>VLOOKUP(Data[[#This Row],[DEVELOPMENT]],[3]Developments!$A$2:$A$312,1,FALSE)</f>
        <v>#N/A</v>
      </c>
      <c r="AG163" s="20">
        <f>IFERROR(VLOOKUP(Data[[#This Row],[DEVELOPMENT]],Ops_Priorities_and_Data_Clean[[development]:[ifnoext_comment]],3,FALSE),"")</f>
        <v>2</v>
      </c>
      <c r="AH163" s="20">
        <f>IFERROR(VLOOKUP(Data[[#This Row],[DEVELOPMENT]],Ops_Priorities_and_Data_Clean[[development]:[ifnoext_comment]],4,FALSE),"")</f>
        <v>4</v>
      </c>
      <c r="AI163" s="20">
        <f>IFERROR(VLOOKUP(Data[[#This Row],[DEVELOPMENT]],Ops_Priorities_and_Data_Clean[[development]:[ifnoext_comment]],5,FALSE),"")</f>
        <v>1</v>
      </c>
      <c r="AJ163" s="20">
        <f>IFERROR(VLOOKUP(Data[[#This Row],[DEVELOPMENT]],Ops_Priorities_and_Data_Clean[[development]:[ifnoext_comment]],6,FALSE),"")</f>
        <v>0</v>
      </c>
      <c r="AK163" s="20">
        <f>IFERROR(VLOOKUP(Data[[#This Row],[DEVELOPMENT]],Ops_Priorities_and_Data_Clean[[development]:[ifnoext_comment]],7,FALSE),"")</f>
        <v>0</v>
      </c>
      <c r="AL163" s="20">
        <f>IFERROR(VLOOKUP(Data[[#This Row],[DEVELOPMENT]],Ops_Priorities_and_Data_Clean[[development]:[ifnoext_comment]],8,FALSE),"")</f>
        <v>1</v>
      </c>
      <c r="AM163" s="20">
        <f>IFERROR(VLOOKUP(Data[[#This Row],[DEVELOPMENT]],Ops_Priorities_and_Data_Clean[[development]:[ifnoext_comment]],9,FALSE),"")</f>
        <v>0</v>
      </c>
      <c r="AN163" s="20">
        <f>IFERROR(VLOOKUP(Data[[#This Row],[DEVELOPMENT]],Ops_Priorities_and_Data_Clean[[development]:[ifnoext_comment]],10,FALSE),"")</f>
        <v>2</v>
      </c>
      <c r="AO163" s="20">
        <f>IFERROR(VLOOKUP(Data[[#This Row],[DEVELOPMENT]],Ops_Priorities_and_Data_Clean[[development]:[ifnoext_comment]],11,FALSE),"")</f>
        <v>2</v>
      </c>
      <c r="AP163" s="20">
        <f>IFERROR(VLOOKUP(Data[[#This Row],[DEVELOPMENT]],Ops_Priorities_and_Data_Clean[[development]:[ifnoext_comment]],12,FALSE),"")</f>
        <v>2</v>
      </c>
      <c r="AQ163" s="20">
        <f>VLOOKUP(Data[[#This Row],[DEVELOPMENT]],Ops_Priorities_and_Data_Clean[[development]:[ifnoext_comment]],14,FALSE)</f>
        <v>0</v>
      </c>
      <c r="AR163" s="20">
        <f>VLOOKUP(Data[[#This Row],[DEVELOPMENT]],Ops_Priorities_and_Data_Clean[[development]:[ifnoext_comment]],15,FALSE)</f>
        <v>0</v>
      </c>
      <c r="AS163" s="20" t="str">
        <f>VLOOKUP(Data[[#This Row],[DEVELOPMENT]],Ops_Priorities_and_Data_Clean[[development]:[ifnoext_comment]],16,FALSE)</f>
        <v>NULL</v>
      </c>
      <c r="AT163" s="20" t="str">
        <f>VLOOKUP(Data[[#This Row],[DEVELOPMENT]],Ops_Priorities_and_Data_Clean[[development]:[ifnoext_comment]],17,FALSE)</f>
        <v>NULL</v>
      </c>
      <c r="AU163" s="20" t="str">
        <f>VLOOKUP(Data[[#This Row],[DEVELOPMENT]],Ops_Priorities_and_Data_Clean[[development]:[ifnoext_comment]],18,FALSE)</f>
        <v>NULL</v>
      </c>
      <c r="AV163" s="20" t="str">
        <f>VLOOKUP(Data[[#This Row],[DEVELOPMENT]],Ops_Priorities_and_Data_Clean[[development]:[ifnoext_comment]],19,FALSE)</f>
        <v>NULL</v>
      </c>
      <c r="AW163" s="20" t="str">
        <f>VLOOKUP(Data[[#This Row],[DEVELOPMENT]],Ops_Priorities_and_Data_Clean[[development]:[ifnoext_comment]],20,FALSE)</f>
        <v>NULL</v>
      </c>
      <c r="AX163" s="104" t="s">
        <v>2239</v>
      </c>
      <c r="AY163" s="104" t="s">
        <v>2603</v>
      </c>
      <c r="AZ163" s="20" t="str">
        <f>VLOOKUP(Data[[#This Row],[DEVELOPMENT]],Development_Data_Book[[DEVELOPMENT]:[PRIVATE MANAGEMENT]],8,FALSE)</f>
        <v>FEDERAL</v>
      </c>
      <c r="BA163" s="104" t="s">
        <v>2586</v>
      </c>
      <c r="BB163" s="20">
        <f>VLOOKUP(Data[[#This Row],[DEVELOPMENT]],Development_Data_Book[[DEVELOPMENT]:[PRIVATE MANAGEMENT]],22,FALSE)</f>
        <v>1</v>
      </c>
      <c r="BC163" s="20">
        <f>Data[[#This Row],[Non-Dwelling Buildings]]+Data[[#This Row],[Dwelling Buildings]]</f>
        <v>5</v>
      </c>
      <c r="BD163" s="20">
        <f>VLOOKUP(Data[[#This Row],[DEVELOPMENT]],Development_Data_Book[[DEVELOPMENT]:[PRIVATE MANAGEMENT]],26,FALSE)</f>
        <v>4.07</v>
      </c>
      <c r="BE163" s="106">
        <v>608150</v>
      </c>
      <c r="BF163" s="20">
        <f>VLOOKUP(Data[[#This Row],[DEVELOPMENT]],Development_Data_Book[[DEVELOPMENT]:[PRIVATE MANAGEMENT]],18,FALSE)</f>
        <v>1477</v>
      </c>
      <c r="BG16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63" s="104" t="s">
        <v>2604</v>
      </c>
      <c r="BI163" t="s">
        <v>184</v>
      </c>
      <c r="BJ163" s="20">
        <f>VLOOKUP(Data[[#This Row],[DEVELOPMENT]],Development_Data_Book[[DEVELOPMENT]:[PRIVATE MANAGEMENT]],41,FALSE)</f>
        <v>11</v>
      </c>
      <c r="BK163" s="20">
        <f>VLOOKUP(Data[[#This Row],[DEVELOPMENT]],Development_Data_Book[[DEVELOPMENT]:[PRIVATE MANAGEMENT]],42,FALSE)</f>
        <v>13</v>
      </c>
      <c r="BL163" s="20">
        <f>VLOOKUP(Data[[#This Row],[DEVELOPMENT]],Development_Data_Book[[DEVELOPMENT]:[PRIVATE MANAGEMENT]],43,FALSE)</f>
        <v>30</v>
      </c>
      <c r="BM163" s="20">
        <f>VLOOKUP(Data[[#This Row],[DEVELOPMENT]],Development_Data_Book[[DEVELOPMENT]:[PRIVATE MANAGEMENT]],44,FALSE)</f>
        <v>68</v>
      </c>
      <c r="BN163" s="20">
        <f>VLOOKUP(Data[[#This Row],[DEVELOPMENT]],Development_Data_Book[[DEVELOPMENT]:[PRIVATE MANAGEMENT]],45,FALSE)</f>
        <v>8</v>
      </c>
      <c r="BO163" s="20">
        <f>VLOOKUP(Data[[#This Row],[DEVELOPMENT]],Development_Data_Book[[DEVELOPMENT]:[PRIVATE MANAGEMENT]],24,FALSE)</f>
        <v>20</v>
      </c>
    </row>
    <row r="164" spans="1:67">
      <c r="A164" t="s">
        <v>340</v>
      </c>
      <c r="B164" s="20" t="str">
        <f>VLOOKUP(Data[[#This Row],[DEVELOPMENT]],Development_Data_Book[[DEVELOPMENT]:[BOROUGH]],MATCH("borough",Development_Data_Book[[#Headers],[DEVELOPMENT]:[BOROUGH]],0),FALSE)</f>
        <v>BROOKLYN</v>
      </c>
      <c r="C164" s="20" t="e">
        <f>VLOOKUP(Data[[#This Row],[DEVELOPMENT]],'[1]Cheat-Sheet'!$D$2:$Q$341,2,FALSE)</f>
        <v>#N/A</v>
      </c>
      <c r="D16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64" s="20">
        <f>VLOOKUP(Data[[#This Row],[DEVELOPMENT]],Development_Data_Book[[DEVELOPMENT]:[BOROUGH]],21,FALSE)</f>
        <v>3</v>
      </c>
      <c r="F164" s="20">
        <f>VLOOKUP(Data[[#This Row],[DEVELOPMENT]],Development_Data_Book[[DEVELOPMENT]:[BOROUGH]],23,FALSE)</f>
        <v>3</v>
      </c>
      <c r="G164" s="20">
        <f>VLOOKUP(Data[[#This Row],[DEVELOPMENT]],Development_Data_Book[[DEVELOPMENT]:[BOROUGH]],12,FALSE)</f>
        <v>74</v>
      </c>
      <c r="J164">
        <f>IFERROR(VLOOKUP(Data[[#This Row],[DEVELOPMENT]],IntCompactors_MRST[],4,FALSE),0)</f>
        <v>3</v>
      </c>
      <c r="K164" s="20">
        <f>IFERROR(VLOOKUP(Data[[#This Row],[DEVELOPMENT]],ExtCompactors_MRST[],4,FALSE),0)</f>
        <v>0</v>
      </c>
      <c r="L164" s="27">
        <f>IF(Data[[#This Row],['# Interior Compactors MRST]]=0,"",VLOOKUP(Data[[#This Row],[DEVELOPMENT]],IntCompactors_MRST[],5,FALSE))</f>
        <v>31321</v>
      </c>
      <c r="M164" s="28" t="str">
        <f>IF(Data[[#This Row],['# Exterior Compactors MRST]]=0,"",VLOOKUP(Data[[#This Row],[DEVELOPMENT]],ExtCompactors_MRST[],5,FALSE))</f>
        <v/>
      </c>
      <c r="N164" s="20">
        <f>Data[[#This Row],['# Interior Compactors MRST]]</f>
        <v>3</v>
      </c>
      <c r="O164" s="20">
        <f>IF(Data[[#This Row],['# Bulk Crushers]]=0,1,0)</f>
        <v>1</v>
      </c>
      <c r="P164" s="20">
        <f>1</f>
        <v>1</v>
      </c>
      <c r="Q164" s="20">
        <f>1</f>
        <v>1</v>
      </c>
      <c r="R164" s="20">
        <f>1</f>
        <v>1</v>
      </c>
      <c r="S164" s="20">
        <f>1</f>
        <v>1</v>
      </c>
      <c r="T164" s="20">
        <f>IF(Data[[#This Row],[Sewershed]]="Newtown Creek",Data[[#This Row],[DUs]],0)</f>
        <v>0</v>
      </c>
      <c r="U16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6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6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64" s="82">
        <f>VLOOKUP(Data[[#This Row],[DEVELOPMENT]],Development_Data_Book[[DEVELOPMENT]:[BOROUGH]],3,FALSE)</f>
        <v>348</v>
      </c>
      <c r="Y164" s="20"/>
      <c r="Z164" s="20">
        <f>IFERROR(VLOOKUP(Data[[#This Row],[TDS]],ExtCompactors_PNA[[Development]:[0]],2,FALSE),0)</f>
        <v>0</v>
      </c>
      <c r="AA164" s="20">
        <f>IFERROR(VLOOKUP(Data[[#This Row],[TDS]],IntCompactors_PNA[[TDS]:[0]],2,FALSE),0)</f>
        <v>5</v>
      </c>
      <c r="AB164" s="20"/>
      <c r="AC164" s="20"/>
      <c r="AD164" s="20">
        <f>IFERROR(VLOOKUP(Data[[#This Row],[TDS]],ExtCompactors_PNA[[Development]:[0]],3,FALSE)+VLOOKUP(Data[[#This Row],[TDS]],ExtCompactors_PNA[[Development]:[0]],6,FALSE),0)</f>
        <v>0</v>
      </c>
      <c r="AE164" s="20">
        <f>IFERROR(VLOOKUP(Data[[#This Row],[TDS]],IntCompactors_PNA[[TDS]:[0]],3,FALSE)+VLOOKUP(Data[[#This Row],[TDS]],IntCompactors_PNA[[TDS]:[0]],6,FALSE),0)</f>
        <v>5</v>
      </c>
      <c r="AF164" s="20" t="e">
        <f>VLOOKUP(Data[[#This Row],[DEVELOPMENT]],[3]Developments!$A$2:$A$312,1,FALSE)</f>
        <v>#N/A</v>
      </c>
      <c r="AG164" s="20">
        <f>IFERROR(VLOOKUP(Data[[#This Row],[DEVELOPMENT]],Ops_Priorities_and_Data_Clean[[development]:[ifnoext_comment]],3,FALSE),"")</f>
        <v>0</v>
      </c>
      <c r="AH164" s="20">
        <f>IFERROR(VLOOKUP(Data[[#This Row],[DEVELOPMENT]],Ops_Priorities_and_Data_Clean[[development]:[ifnoext_comment]],4,FALSE),"")</f>
        <v>0</v>
      </c>
      <c r="AI164" s="20">
        <f>IFERROR(VLOOKUP(Data[[#This Row],[DEVELOPMENT]],Ops_Priorities_and_Data_Clean[[development]:[ifnoext_comment]],5,FALSE),"")</f>
        <v>0</v>
      </c>
      <c r="AJ164" s="20">
        <f>IFERROR(VLOOKUP(Data[[#This Row],[DEVELOPMENT]],Ops_Priorities_and_Data_Clean[[development]:[ifnoext_comment]],6,FALSE),"")</f>
        <v>0</v>
      </c>
      <c r="AK164" s="20">
        <f>IFERROR(VLOOKUP(Data[[#This Row],[DEVELOPMENT]],Ops_Priorities_and_Data_Clean[[development]:[ifnoext_comment]],7,FALSE),"")</f>
        <v>1</v>
      </c>
      <c r="AL164" s="20">
        <f>IFERROR(VLOOKUP(Data[[#This Row],[DEVELOPMENT]],Ops_Priorities_and_Data_Clean[[development]:[ifnoext_comment]],8,FALSE),"")</f>
        <v>1</v>
      </c>
      <c r="AM164" s="20">
        <f>IFERROR(VLOOKUP(Data[[#This Row],[DEVELOPMENT]],Ops_Priorities_and_Data_Clean[[development]:[ifnoext_comment]],9,FALSE),"")</f>
        <v>0</v>
      </c>
      <c r="AN164" s="20">
        <f>IFERROR(VLOOKUP(Data[[#This Row],[DEVELOPMENT]],Ops_Priorities_and_Data_Clean[[development]:[ifnoext_comment]],10,FALSE),"")</f>
        <v>0</v>
      </c>
      <c r="AO164" s="20">
        <f>IFERROR(VLOOKUP(Data[[#This Row],[DEVELOPMENT]],Ops_Priorities_and_Data_Clean[[development]:[ifnoext_comment]],11,FALSE),"")</f>
        <v>0</v>
      </c>
      <c r="AP164" s="20">
        <f>IFERROR(VLOOKUP(Data[[#This Row],[DEVELOPMENT]],Ops_Priorities_and_Data_Clean[[development]:[ifnoext_comment]],12,FALSE),"")</f>
        <v>0</v>
      </c>
      <c r="AQ164" s="20">
        <f>VLOOKUP(Data[[#This Row],[DEVELOPMENT]],Ops_Priorities_and_Data_Clean[[development]:[ifnoext_comment]],14,FALSE)</f>
        <v>1</v>
      </c>
      <c r="AR164" s="20">
        <f>VLOOKUP(Data[[#This Row],[DEVELOPMENT]],Ops_Priorities_and_Data_Clean[[development]:[ifnoext_comment]],15,FALSE)</f>
        <v>0</v>
      </c>
      <c r="AS164" s="20" t="str">
        <f>VLOOKUP(Data[[#This Row],[DEVELOPMENT]],Ops_Priorities_and_Data_Clean[[development]:[ifnoext_comment]],16,FALSE)</f>
        <v>NULL</v>
      </c>
      <c r="AT164" s="20" t="str">
        <f>VLOOKUP(Data[[#This Row],[DEVELOPMENT]],Ops_Priorities_and_Data_Clean[[development]:[ifnoext_comment]],17,FALSE)</f>
        <v>NULL</v>
      </c>
      <c r="AU164" s="20" t="str">
        <f>VLOOKUP(Data[[#This Row],[DEVELOPMENT]],Ops_Priorities_and_Data_Clean[[development]:[ifnoext_comment]],18,FALSE)</f>
        <v>NULL</v>
      </c>
      <c r="AV164" s="20" t="str">
        <f>VLOOKUP(Data[[#This Row],[DEVELOPMENT]],Ops_Priorities_and_Data_Clean[[development]:[ifnoext_comment]],19,FALSE)</f>
        <v>NULL</v>
      </c>
      <c r="AW164" s="20" t="str">
        <f>VLOOKUP(Data[[#This Row],[DEVELOPMENT]],Ops_Priorities_and_Data_Clean[[development]:[ifnoext_comment]],20,FALSE)</f>
        <v>NULL</v>
      </c>
      <c r="AX164" s="104" t="s">
        <v>2238</v>
      </c>
      <c r="AY164" s="104" t="s">
        <v>2659</v>
      </c>
      <c r="AZ164" s="20" t="str">
        <f>VLOOKUP(Data[[#This Row],[DEVELOPMENT]],Development_Data_Book[[DEVELOPMENT]:[PRIVATE MANAGEMENT]],8,FALSE)</f>
        <v>FEDERAL</v>
      </c>
      <c r="BA164" s="104" t="s">
        <v>2588</v>
      </c>
      <c r="BB164" s="20">
        <f>VLOOKUP(Data[[#This Row],[DEVELOPMENT]],Development_Data_Book[[DEVELOPMENT]:[PRIVATE MANAGEMENT]],22,FALSE)</f>
        <v>0</v>
      </c>
      <c r="BC164" s="20">
        <f>Data[[#This Row],[Non-Dwelling Buildings]]+Data[[#This Row],[Dwelling Buildings]]</f>
        <v>3</v>
      </c>
      <c r="BD164" s="20">
        <f>VLOOKUP(Data[[#This Row],[DEVELOPMENT]],Development_Data_Book[[DEVELOPMENT]:[PRIVATE MANAGEMENT]],26,FALSE)</f>
        <v>0.55000000000000004</v>
      </c>
      <c r="BE164" s="106">
        <v>77900</v>
      </c>
      <c r="BF164" s="20">
        <f>VLOOKUP(Data[[#This Row],[DEVELOPMENT]],Development_Data_Book[[DEVELOPMENT]:[PRIVATE MANAGEMENT]],18,FALSE)</f>
        <v>166</v>
      </c>
      <c r="BG16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64" s="104" t="s">
        <v>2621</v>
      </c>
      <c r="BI164" t="s">
        <v>184</v>
      </c>
      <c r="BJ164" s="20">
        <f>VLOOKUP(Data[[#This Row],[DEVELOPMENT]],Development_Data_Book[[DEVELOPMENT]:[PRIVATE MANAGEMENT]],41,FALSE)</f>
        <v>17</v>
      </c>
      <c r="BK164" s="20">
        <f>VLOOKUP(Data[[#This Row],[DEVELOPMENT]],Development_Data_Book[[DEVELOPMENT]:[PRIVATE MANAGEMENT]],42,FALSE)</f>
        <v>9</v>
      </c>
      <c r="BL164" s="20">
        <f>VLOOKUP(Data[[#This Row],[DEVELOPMENT]],Development_Data_Book[[DEVELOPMENT]:[PRIVATE MANAGEMENT]],43,FALSE)</f>
        <v>20</v>
      </c>
      <c r="BM164" s="20" t="str">
        <f>VLOOKUP(Data[[#This Row],[DEVELOPMENT]],Development_Data_Book[[DEVELOPMENT]:[PRIVATE MANAGEMENT]],44,FALSE)</f>
        <v>55, 58</v>
      </c>
      <c r="BN164" s="20">
        <f>VLOOKUP(Data[[#This Row],[DEVELOPMENT]],Development_Data_Book[[DEVELOPMENT]:[PRIVATE MANAGEMENT]],45,FALSE)</f>
        <v>41</v>
      </c>
      <c r="BO164" s="20">
        <f>VLOOKUP(Data[[#This Row],[DEVELOPMENT]],Development_Data_Book[[DEVELOPMENT]:[PRIVATE MANAGEMENT]],24,FALSE)</f>
        <v>4</v>
      </c>
    </row>
    <row r="165" spans="1:67">
      <c r="A165" t="s">
        <v>125</v>
      </c>
      <c r="B165" t="str">
        <f>VLOOKUP(Data[[#This Row],[DEVELOPMENT]],Development_Data_Book[[DEVELOPMENT]:[BOROUGH]],MATCH("borough",Development_Data_Book[[#Headers],[DEVELOPMENT]:[BOROUGH]],0),FALSE)</f>
        <v>MANHATTAN</v>
      </c>
      <c r="C165" t="e">
        <f>VLOOKUP(Data[[#This Row],[DEVELOPMENT]],'[1]Cheat-Sheet'!$D$2:$Q$341,2,FALSE)</f>
        <v>#N/A</v>
      </c>
      <c r="D16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165">
        <f>VLOOKUP(Data[[#This Row],[DEVELOPMENT]],Development_Data_Book[[DEVELOPMENT]:[BOROUGH]],21,FALSE)</f>
        <v>4</v>
      </c>
      <c r="F165">
        <f>VLOOKUP(Data[[#This Row],[DEVELOPMENT]],Development_Data_Book[[DEVELOPMENT]:[BOROUGH]],23,FALSE)</f>
        <v>4</v>
      </c>
      <c r="G165">
        <f>VLOOKUP(Data[[#This Row],[DEVELOPMENT]],Development_Data_Book[[DEVELOPMENT]:[BOROUGH]],12,FALSE)</f>
        <v>448</v>
      </c>
      <c r="H165" t="s">
        <v>2247</v>
      </c>
      <c r="I165">
        <v>4</v>
      </c>
      <c r="J165">
        <f>IFERROR(VLOOKUP(Data[[#This Row],[DEVELOPMENT]],IntCompactors_MRST[],4,FALSE),0)</f>
        <v>4</v>
      </c>
      <c r="K165" s="20">
        <f>IFERROR(VLOOKUP(Data[[#This Row],[DEVELOPMENT]],ExtCompactors_MRST[],4,FALSE),0)</f>
        <v>1</v>
      </c>
      <c r="L165" s="27">
        <f>IF(Data[[#This Row],['# Interior Compactors MRST]]=0,"",VLOOKUP(Data[[#This Row],[DEVELOPMENT]],IntCompactors_MRST[],5,FALSE))</f>
        <v>40198</v>
      </c>
      <c r="M165" s="28">
        <f>IF(Data[[#This Row],['# Exterior Compactors MRST]]=0,"",VLOOKUP(Data[[#This Row],[DEVELOPMENT]],ExtCompactors_MRST[],5,FALSE))</f>
        <v>39241</v>
      </c>
      <c r="N165">
        <f>Data[[#This Row],['# Interior Compactors MRST]]</f>
        <v>4</v>
      </c>
      <c r="O165" s="20">
        <f>IF(Data[[#This Row],['# Bulk Crushers]]=0,1,0)</f>
        <v>1</v>
      </c>
      <c r="P165" s="20">
        <f>1</f>
        <v>1</v>
      </c>
      <c r="Q165" s="20">
        <f>1</f>
        <v>1</v>
      </c>
      <c r="R165" s="20">
        <f>1</f>
        <v>1</v>
      </c>
      <c r="S165" s="20">
        <f>1</f>
        <v>1</v>
      </c>
      <c r="T165" s="20">
        <f>IF(Data[[#This Row],[Sewershed]]="Newtown Creek",Data[[#This Row],[DUs]],0)</f>
        <v>0</v>
      </c>
      <c r="U16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6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6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65" s="82">
        <f>VLOOKUP(Data[[#This Row],[DEVELOPMENT]],Development_Data_Book[[DEVELOPMENT]:[BOROUGH]],3,FALSE)</f>
        <v>50</v>
      </c>
      <c r="Y165" s="20"/>
      <c r="Z165" s="20">
        <f>IFERROR(VLOOKUP(Data[[#This Row],[TDS]],ExtCompactors_PNA[[Development]:[0]],2,FALSE),0)</f>
        <v>1</v>
      </c>
      <c r="AA165" s="20">
        <f>IFERROR(VLOOKUP(Data[[#This Row],[TDS]],IntCompactors_PNA[[TDS]:[0]],2,FALSE),0)</f>
        <v>4</v>
      </c>
      <c r="AB165" s="20"/>
      <c r="AC165" s="20"/>
      <c r="AD165" s="20">
        <f>IFERROR(VLOOKUP(Data[[#This Row],[TDS]],ExtCompactors_PNA[[Development]:[0]],3,FALSE)+VLOOKUP(Data[[#This Row],[TDS]],ExtCompactors_PNA[[Development]:[0]],6,FALSE),0)</f>
        <v>1</v>
      </c>
      <c r="AE165" s="20">
        <f>IFERROR(VLOOKUP(Data[[#This Row],[TDS]],IntCompactors_PNA[[TDS]:[0]],3,FALSE)+VLOOKUP(Data[[#This Row],[TDS]],IntCompactors_PNA[[TDS]:[0]],6,FALSE),0)</f>
        <v>4</v>
      </c>
      <c r="AF165" s="20" t="e">
        <f>VLOOKUP(Data[[#This Row],[DEVELOPMENT]],[3]Developments!$A$2:$A$312,1,FALSE)</f>
        <v>#N/A</v>
      </c>
      <c r="AG165" s="20">
        <f>IFERROR(VLOOKUP(Data[[#This Row],[DEVELOPMENT]],Ops_Priorities_and_Data_Clean[[development]:[ifnoext_comment]],3,FALSE),"")</f>
        <v>1</v>
      </c>
      <c r="AH165" s="20">
        <f>IFERROR(VLOOKUP(Data[[#This Row],[DEVELOPMENT]],Ops_Priorities_and_Data_Clean[[development]:[ifnoext_comment]],4,FALSE),"")</f>
        <v>4</v>
      </c>
      <c r="AI165" s="20">
        <f>IFERROR(VLOOKUP(Data[[#This Row],[DEVELOPMENT]],Ops_Priorities_and_Data_Clean[[development]:[ifnoext_comment]],5,FALSE),"")</f>
        <v>1</v>
      </c>
      <c r="AJ165" s="20">
        <f>IFERROR(VLOOKUP(Data[[#This Row],[DEVELOPMENT]],Ops_Priorities_and_Data_Clean[[development]:[ifnoext_comment]],6,FALSE),"")</f>
        <v>0</v>
      </c>
      <c r="AK165" s="20">
        <f>IFERROR(VLOOKUP(Data[[#This Row],[DEVELOPMENT]],Ops_Priorities_and_Data_Clean[[development]:[ifnoext_comment]],7,FALSE),"")</f>
        <v>0</v>
      </c>
      <c r="AL165" s="20">
        <f>IFERROR(VLOOKUP(Data[[#This Row],[DEVELOPMENT]],Ops_Priorities_and_Data_Clean[[development]:[ifnoext_comment]],8,FALSE),"")</f>
        <v>1</v>
      </c>
      <c r="AM165" s="20">
        <f>IFERROR(VLOOKUP(Data[[#This Row],[DEVELOPMENT]],Ops_Priorities_and_Data_Clean[[development]:[ifnoext_comment]],9,FALSE),"")</f>
        <v>0</v>
      </c>
      <c r="AN165" s="20">
        <f>IFERROR(VLOOKUP(Data[[#This Row],[DEVELOPMENT]],Ops_Priorities_and_Data_Clean[[development]:[ifnoext_comment]],10,FALSE),"")</f>
        <v>1</v>
      </c>
      <c r="AO165" s="20">
        <f>IFERROR(VLOOKUP(Data[[#This Row],[DEVELOPMENT]],Ops_Priorities_and_Data_Clean[[development]:[ifnoext_comment]],11,FALSE),"")</f>
        <v>1</v>
      </c>
      <c r="AP165" s="20">
        <f>IFERROR(VLOOKUP(Data[[#This Row],[DEVELOPMENT]],Ops_Priorities_and_Data_Clean[[development]:[ifnoext_comment]],12,FALSE),"")</f>
        <v>1</v>
      </c>
      <c r="AQ165" s="20">
        <f>VLOOKUP(Data[[#This Row],[DEVELOPMENT]],Ops_Priorities_and_Data_Clean[[development]:[ifnoext_comment]],14,FALSE)</f>
        <v>0</v>
      </c>
      <c r="AR165" s="20">
        <f>VLOOKUP(Data[[#This Row],[DEVELOPMENT]],Ops_Priorities_and_Data_Clean[[development]:[ifnoext_comment]],15,FALSE)</f>
        <v>0</v>
      </c>
      <c r="AS165" s="20" t="str">
        <f>VLOOKUP(Data[[#This Row],[DEVELOPMENT]],Ops_Priorities_and_Data_Clean[[development]:[ifnoext_comment]],16,FALSE)</f>
        <v>NULL</v>
      </c>
      <c r="AT165" s="20" t="str">
        <f>VLOOKUP(Data[[#This Row],[DEVELOPMENT]],Ops_Priorities_and_Data_Clean[[development]:[ifnoext_comment]],17,FALSE)</f>
        <v>NULL</v>
      </c>
      <c r="AU165" s="20" t="str">
        <f>VLOOKUP(Data[[#This Row],[DEVELOPMENT]],Ops_Priorities_and_Data_Clean[[development]:[ifnoext_comment]],18,FALSE)</f>
        <v>NULL</v>
      </c>
      <c r="AV165" s="20" t="str">
        <f>VLOOKUP(Data[[#This Row],[DEVELOPMENT]],Ops_Priorities_and_Data_Clean[[development]:[ifnoext_comment]],19,FALSE)</f>
        <v>NULL</v>
      </c>
      <c r="AW165" s="20" t="str">
        <f>VLOOKUP(Data[[#This Row],[DEVELOPMENT]],Ops_Priorities_and_Data_Clean[[development]:[ifnoext_comment]],20,FALSE)</f>
        <v>NULL</v>
      </c>
      <c r="AX165" s="104" t="s">
        <v>2239</v>
      </c>
      <c r="AY165" s="104" t="s">
        <v>2603</v>
      </c>
      <c r="AZ165" s="20" t="str">
        <f>VLOOKUP(Data[[#This Row],[DEVELOPMENT]],Development_Data_Book[[DEVELOPMENT]:[PRIVATE MANAGEMENT]],8,FALSE)</f>
        <v>FEDERAL</v>
      </c>
      <c r="BA165" s="104" t="s">
        <v>2586</v>
      </c>
      <c r="BB165" s="20">
        <f>VLOOKUP(Data[[#This Row],[DEVELOPMENT]],Development_Data_Book[[DEVELOPMENT]:[PRIVATE MANAGEMENT]],22,FALSE)</f>
        <v>0</v>
      </c>
      <c r="BC165" s="20">
        <f>Data[[#This Row],[Non-Dwelling Buildings]]+Data[[#This Row],[Dwelling Buildings]]</f>
        <v>4</v>
      </c>
      <c r="BD165" s="20">
        <f>VLOOKUP(Data[[#This Row],[DEVELOPMENT]],Development_Data_Book[[DEVELOPMENT]:[PRIVATE MANAGEMENT]],26,FALSE)</f>
        <v>3.48</v>
      </c>
      <c r="BE165" s="106">
        <v>525668</v>
      </c>
      <c r="BF165" s="20">
        <f>VLOOKUP(Data[[#This Row],[DEVELOPMENT]],Development_Data_Book[[DEVELOPMENT]:[PRIVATE MANAGEMENT]],18,FALSE)</f>
        <v>817</v>
      </c>
      <c r="BG16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65" s="104" t="s">
        <v>2604</v>
      </c>
      <c r="BI165" t="s">
        <v>184</v>
      </c>
      <c r="BJ165" s="20">
        <f>VLOOKUP(Data[[#This Row],[DEVELOPMENT]],Development_Data_Book[[DEVELOPMENT]:[PRIVATE MANAGEMENT]],41,FALSE)</f>
        <v>11</v>
      </c>
      <c r="BK165" s="20">
        <f>VLOOKUP(Data[[#This Row],[DEVELOPMENT]],Development_Data_Book[[DEVELOPMENT]:[PRIVATE MANAGEMENT]],42,FALSE)</f>
        <v>13</v>
      </c>
      <c r="BL165" s="20">
        <f>VLOOKUP(Data[[#This Row],[DEVELOPMENT]],Development_Data_Book[[DEVELOPMENT]:[PRIVATE MANAGEMENT]],43,FALSE)</f>
        <v>30</v>
      </c>
      <c r="BM165" s="20">
        <f>VLOOKUP(Data[[#This Row],[DEVELOPMENT]],Development_Data_Book[[DEVELOPMENT]:[PRIVATE MANAGEMENT]],44,FALSE)</f>
        <v>68</v>
      </c>
      <c r="BN165" s="20">
        <f>VLOOKUP(Data[[#This Row],[DEVELOPMENT]],Development_Data_Book[[DEVELOPMENT]:[PRIVATE MANAGEMENT]],45,FALSE)</f>
        <v>5</v>
      </c>
      <c r="BO165" s="20">
        <f>VLOOKUP(Data[[#This Row],[DEVELOPMENT]],Development_Data_Book[[DEVELOPMENT]:[PRIVATE MANAGEMENT]],24,FALSE)</f>
        <v>14</v>
      </c>
    </row>
    <row r="166" spans="1:67">
      <c r="A166" t="s">
        <v>113</v>
      </c>
      <c r="B166" t="str">
        <f>VLOOKUP(Data[[#This Row],[DEVELOPMENT]],Development_Data_Book[[DEVELOPMENT]:[BOROUGH]],MATCH("borough",Development_Data_Book[[#Headers],[DEVELOPMENT]:[BOROUGH]],0),FALSE)</f>
        <v>MANHATTAN</v>
      </c>
      <c r="C166" t="e">
        <f>VLOOKUP(Data[[#This Row],[DEVELOPMENT]],'[1]Cheat-Sheet'!$D$2:$Q$341,2,FALSE)</f>
        <v>#N/A</v>
      </c>
      <c r="D16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66">
        <f>VLOOKUP(Data[[#This Row],[DEVELOPMENT]],Development_Data_Book[[DEVELOPMENT]:[BOROUGH]],21,FALSE)</f>
        <v>14</v>
      </c>
      <c r="F166">
        <f>VLOOKUP(Data[[#This Row],[DEVELOPMENT]],Development_Data_Book[[DEVELOPMENT]:[BOROUGH]],23,FALSE)</f>
        <v>20</v>
      </c>
      <c r="G166">
        <f>VLOOKUP(Data[[#This Row],[DEVELOPMENT]],Development_Data_Book[[DEVELOPMENT]:[BOROUGH]],12,FALSE)</f>
        <v>1280</v>
      </c>
      <c r="H166" t="s">
        <v>2247</v>
      </c>
      <c r="I166">
        <v>1</v>
      </c>
      <c r="J166">
        <f>IFERROR(VLOOKUP(Data[[#This Row],[DEVELOPMENT]],IntCompactors_MRST[],4,FALSE),0)</f>
        <v>20</v>
      </c>
      <c r="K166" s="20">
        <f>IFERROR(VLOOKUP(Data[[#This Row],[DEVELOPMENT]],ExtCompactors_MRST[],4,FALSE),0)</f>
        <v>2</v>
      </c>
      <c r="L166" s="27">
        <f>IF(Data[[#This Row],['# Interior Compactors MRST]]=0,"",VLOOKUP(Data[[#This Row],[DEVELOPMENT]],IntCompactors_MRST[],5,FALSE))</f>
        <v>36678</v>
      </c>
      <c r="M166" s="28">
        <f>IF(Data[[#This Row],['# Exterior Compactors MRST]]=0,"",VLOOKUP(Data[[#This Row],[DEVELOPMENT]],ExtCompactors_MRST[],5,FALSE))</f>
        <v>37783</v>
      </c>
      <c r="N166">
        <f>Data[[#This Row],['# Interior Compactors MRST]]</f>
        <v>20</v>
      </c>
      <c r="O166" s="20">
        <f>IF(Data[[#This Row],['# Bulk Crushers]]=0,1,0)</f>
        <v>1</v>
      </c>
      <c r="P166" s="20">
        <f>1</f>
        <v>1</v>
      </c>
      <c r="Q166" s="20">
        <f>1</f>
        <v>1</v>
      </c>
      <c r="R166" s="20">
        <f>1</f>
        <v>1</v>
      </c>
      <c r="S166" s="20">
        <f>1</f>
        <v>1</v>
      </c>
      <c r="T166" s="20">
        <f>IF(Data[[#This Row],[Sewershed]]="Newtown Creek",Data[[#This Row],[DUs]],0)</f>
        <v>0</v>
      </c>
      <c r="U166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66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66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66" s="82">
        <f>VLOOKUP(Data[[#This Row],[DEVELOPMENT]],Development_Data_Book[[DEVELOPMENT]:[BOROUGH]],3,FALSE)</f>
        <v>20</v>
      </c>
      <c r="Y166" s="20"/>
      <c r="Z166" s="20">
        <f>IFERROR(VLOOKUP(Data[[#This Row],[TDS]],ExtCompactors_PNA[[Development]:[0]],2,FALSE),0)</f>
        <v>2</v>
      </c>
      <c r="AA166" s="20">
        <f>IFERROR(VLOOKUP(Data[[#This Row],[TDS]],IntCompactors_PNA[[TDS]:[0]],2,FALSE),0)</f>
        <v>20</v>
      </c>
      <c r="AB166" s="20"/>
      <c r="AC166" s="20"/>
      <c r="AD166" s="20">
        <f>IFERROR(VLOOKUP(Data[[#This Row],[TDS]],ExtCompactors_PNA[[Development]:[0]],3,FALSE)+VLOOKUP(Data[[#This Row],[TDS]],ExtCompactors_PNA[[Development]:[0]],6,FALSE),0)</f>
        <v>2</v>
      </c>
      <c r="AE166" s="20">
        <f>IFERROR(VLOOKUP(Data[[#This Row],[TDS]],IntCompactors_PNA[[TDS]:[0]],3,FALSE)+VLOOKUP(Data[[#This Row],[TDS]],IntCompactors_PNA[[TDS]:[0]],6,FALSE),0)</f>
        <v>20</v>
      </c>
      <c r="AF166" s="20" t="e">
        <f>VLOOKUP(Data[[#This Row],[DEVELOPMENT]],[3]Developments!$A$2:$A$312,1,FALSE)</f>
        <v>#N/A</v>
      </c>
      <c r="AG166" s="20">
        <f>IFERROR(VLOOKUP(Data[[#This Row],[DEVELOPMENT]],Ops_Priorities_and_Data_Clean[[development]:[ifnoext_comment]],3,FALSE),"")</f>
        <v>2</v>
      </c>
      <c r="AH166" s="20">
        <f>IFERROR(VLOOKUP(Data[[#This Row],[DEVELOPMENT]],Ops_Priorities_and_Data_Clean[[development]:[ifnoext_comment]],4,FALSE),"")</f>
        <v>3</v>
      </c>
      <c r="AI166" s="20">
        <f>IFERROR(VLOOKUP(Data[[#This Row],[DEVELOPMENT]],Ops_Priorities_and_Data_Clean[[development]:[ifnoext_comment]],5,FALSE),"")</f>
        <v>1</v>
      </c>
      <c r="AJ166" s="20">
        <f>IFERROR(VLOOKUP(Data[[#This Row],[DEVELOPMENT]],Ops_Priorities_and_Data_Clean[[development]:[ifnoext_comment]],6,FALSE),"")</f>
        <v>0</v>
      </c>
      <c r="AK166" s="20">
        <f>IFERROR(VLOOKUP(Data[[#This Row],[DEVELOPMENT]],Ops_Priorities_and_Data_Clean[[development]:[ifnoext_comment]],7,FALSE),"")</f>
        <v>0</v>
      </c>
      <c r="AL166" s="20">
        <f>IFERROR(VLOOKUP(Data[[#This Row],[DEVELOPMENT]],Ops_Priorities_and_Data_Clean[[development]:[ifnoext_comment]],8,FALSE),"")</f>
        <v>1</v>
      </c>
      <c r="AM166" s="20">
        <f>IFERROR(VLOOKUP(Data[[#This Row],[DEVELOPMENT]],Ops_Priorities_and_Data_Clean[[development]:[ifnoext_comment]],9,FALSE),"")</f>
        <v>0</v>
      </c>
      <c r="AN166" s="20">
        <f>IFERROR(VLOOKUP(Data[[#This Row],[DEVELOPMENT]],Ops_Priorities_and_Data_Clean[[development]:[ifnoext_comment]],10,FALSE),"")</f>
        <v>2</v>
      </c>
      <c r="AO166" s="20">
        <f>IFERROR(VLOOKUP(Data[[#This Row],[DEVELOPMENT]],Ops_Priorities_and_Data_Clean[[development]:[ifnoext_comment]],11,FALSE),"")</f>
        <v>2</v>
      </c>
      <c r="AP166" s="20">
        <f>IFERROR(VLOOKUP(Data[[#This Row],[DEVELOPMENT]],Ops_Priorities_and_Data_Clean[[development]:[ifnoext_comment]],12,FALSE),"")</f>
        <v>2</v>
      </c>
      <c r="AQ166" s="20">
        <f>VLOOKUP(Data[[#This Row],[DEVELOPMENT]],Ops_Priorities_and_Data_Clean[[development]:[ifnoext_comment]],14,FALSE)</f>
        <v>0</v>
      </c>
      <c r="AR166" s="20">
        <f>VLOOKUP(Data[[#This Row],[DEVELOPMENT]],Ops_Priorities_and_Data_Clean[[development]:[ifnoext_comment]],15,FALSE)</f>
        <v>0</v>
      </c>
      <c r="AS166" s="20" t="str">
        <f>VLOOKUP(Data[[#This Row],[DEVELOPMENT]],Ops_Priorities_and_Data_Clean[[development]:[ifnoext_comment]],16,FALSE)</f>
        <v>NULL</v>
      </c>
      <c r="AT166" s="20" t="str">
        <f>VLOOKUP(Data[[#This Row],[DEVELOPMENT]],Ops_Priorities_and_Data_Clean[[development]:[ifnoext_comment]],17,FALSE)</f>
        <v>NULL</v>
      </c>
      <c r="AU166" s="20" t="str">
        <f>VLOOKUP(Data[[#This Row],[DEVELOPMENT]],Ops_Priorities_and_Data_Clean[[development]:[ifnoext_comment]],18,FALSE)</f>
        <v>NULL</v>
      </c>
      <c r="AV166" s="20" t="str">
        <f>VLOOKUP(Data[[#This Row],[DEVELOPMENT]],Ops_Priorities_and_Data_Clean[[development]:[ifnoext_comment]],19,FALSE)</f>
        <v>NULL</v>
      </c>
      <c r="AW166" s="20" t="str">
        <f>VLOOKUP(Data[[#This Row],[DEVELOPMENT]],Ops_Priorities_and_Data_Clean[[development]:[ifnoext_comment]],20,FALSE)</f>
        <v>NULL</v>
      </c>
      <c r="AX166" s="104" t="s">
        <v>2602</v>
      </c>
      <c r="AY166" s="104" t="s">
        <v>2660</v>
      </c>
      <c r="AZ166" s="20" t="str">
        <f>VLOOKUP(Data[[#This Row],[DEVELOPMENT]],Development_Data_Book[[DEVELOPMENT]:[PRIVATE MANAGEMENT]],8,FALSE)</f>
        <v>FEDERAL</v>
      </c>
      <c r="BA166" s="104" t="s">
        <v>2586</v>
      </c>
      <c r="BB166" s="20">
        <f>VLOOKUP(Data[[#This Row],[DEVELOPMENT]],Development_Data_Book[[DEVELOPMENT]:[PRIVATE MANAGEMENT]],22,FALSE)</f>
        <v>0</v>
      </c>
      <c r="BC166" s="20">
        <f>Data[[#This Row],[Non-Dwelling Buildings]]+Data[[#This Row],[Dwelling Buildings]]</f>
        <v>14</v>
      </c>
      <c r="BD166" s="20">
        <f>VLOOKUP(Data[[#This Row],[DEVELOPMENT]],Development_Data_Book[[DEVELOPMENT]:[PRIVATE MANAGEMENT]],26,FALSE)</f>
        <v>12.67</v>
      </c>
      <c r="BE166" s="106">
        <v>1196720</v>
      </c>
      <c r="BF166" s="20">
        <f>VLOOKUP(Data[[#This Row],[DEVELOPMENT]],Development_Data_Book[[DEVELOPMENT]:[PRIVATE MANAGEMENT]],18,FALSE)</f>
        <v>2986</v>
      </c>
      <c r="BG16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66" s="104" t="s">
        <v>2604</v>
      </c>
      <c r="BI166" t="s">
        <v>184</v>
      </c>
      <c r="BJ166" s="20">
        <f>VLOOKUP(Data[[#This Row],[DEVELOPMENT]],Development_Data_Book[[DEVELOPMENT]:[PRIVATE MANAGEMENT]],41,FALSE)</f>
        <v>11</v>
      </c>
      <c r="BK166" s="20">
        <f>VLOOKUP(Data[[#This Row],[DEVELOPMENT]],Development_Data_Book[[DEVELOPMENT]:[PRIVATE MANAGEMENT]],42,FALSE)</f>
        <v>13</v>
      </c>
      <c r="BL166" s="20">
        <f>VLOOKUP(Data[[#This Row],[DEVELOPMENT]],Development_Data_Book[[DEVELOPMENT]:[PRIVATE MANAGEMENT]],43,FALSE)</f>
        <v>30</v>
      </c>
      <c r="BM166" s="20">
        <f>VLOOKUP(Data[[#This Row],[DEVELOPMENT]],Development_Data_Book[[DEVELOPMENT]:[PRIVATE MANAGEMENT]],44,FALSE)</f>
        <v>70</v>
      </c>
      <c r="BN166" s="20">
        <f>VLOOKUP(Data[[#This Row],[DEVELOPMENT]],Development_Data_Book[[DEVELOPMENT]:[PRIVATE MANAGEMENT]],45,FALSE)</f>
        <v>9</v>
      </c>
      <c r="BO166" s="20">
        <f>VLOOKUP(Data[[#This Row],[DEVELOPMENT]],Development_Data_Book[[DEVELOPMENT]:[PRIVATE MANAGEMENT]],24,FALSE)</f>
        <v>43630</v>
      </c>
    </row>
    <row r="167" spans="1:67">
      <c r="A167" t="s">
        <v>341</v>
      </c>
      <c r="B167" s="20" t="str">
        <f>VLOOKUP(Data[[#This Row],[DEVELOPMENT]],Development_Data_Book[[DEVELOPMENT]:[BOROUGH]],MATCH("borough",Development_Data_Book[[#Headers],[DEVELOPMENT]:[BOROUGH]],0),FALSE)</f>
        <v>BROOKLYN</v>
      </c>
      <c r="C167" s="20" t="e">
        <f>VLOOKUP(Data[[#This Row],[DEVELOPMENT]],'[1]Cheat-Sheet'!$D$2:$Q$341,2,FALSE)</f>
        <v>#N/A</v>
      </c>
      <c r="D16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67" s="20">
        <f>VLOOKUP(Data[[#This Row],[DEVELOPMENT]],Development_Data_Book[[DEVELOPMENT]:[BOROUGH]],21,FALSE)</f>
        <v>19</v>
      </c>
      <c r="F167" s="20">
        <f>VLOOKUP(Data[[#This Row],[DEVELOPMENT]],Development_Data_Book[[DEVELOPMENT]:[BOROUGH]],23,FALSE)</f>
        <v>21</v>
      </c>
      <c r="G167" s="20">
        <f>VLOOKUP(Data[[#This Row],[DEVELOPMENT]],Development_Data_Book[[DEVELOPMENT]:[BOROUGH]],12,FALSE)</f>
        <v>1586</v>
      </c>
      <c r="J167">
        <f>IFERROR(VLOOKUP(Data[[#This Row],[DEVELOPMENT]],IntCompactors_MRST[],4,FALSE),0)</f>
        <v>19</v>
      </c>
      <c r="K167" s="20">
        <f>IFERROR(VLOOKUP(Data[[#This Row],[DEVELOPMENT]],ExtCompactors_MRST[],4,FALSE),0)</f>
        <v>3</v>
      </c>
      <c r="L167" s="27">
        <f>IF(Data[[#This Row],['# Interior Compactors MRST]]=0,"",VLOOKUP(Data[[#This Row],[DEVELOPMENT]],IntCompactors_MRST[],5,FALSE))</f>
        <v>36342</v>
      </c>
      <c r="M167" s="28">
        <f>IF(Data[[#This Row],['# Exterior Compactors MRST]]=0,"",VLOOKUP(Data[[#This Row],[DEVELOPMENT]],ExtCompactors_MRST[],5,FALSE))</f>
        <v>39059</v>
      </c>
      <c r="N167" s="20">
        <f>Data[[#This Row],['# Interior Compactors MRST]]</f>
        <v>19</v>
      </c>
      <c r="O167" s="20">
        <f>IF(Data[[#This Row],['# Bulk Crushers]]=0,1,0)</f>
        <v>0</v>
      </c>
      <c r="P167" s="20">
        <f>1</f>
        <v>1</v>
      </c>
      <c r="Q167" s="20">
        <f>1</f>
        <v>1</v>
      </c>
      <c r="R167" s="20">
        <f>1</f>
        <v>1</v>
      </c>
      <c r="S167" s="20">
        <f>1</f>
        <v>1</v>
      </c>
      <c r="T167" s="20">
        <f>IF(Data[[#This Row],[Sewershed]]="Newtown Creek",Data[[#This Row],[DUs]],0)</f>
        <v>0</v>
      </c>
      <c r="U16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6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6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67" s="82">
        <f>VLOOKUP(Data[[#This Row],[DEVELOPMENT]],Development_Data_Book[[DEVELOPMENT]:[BOROUGH]],3,FALSE)</f>
        <v>95</v>
      </c>
      <c r="Y167" s="20"/>
      <c r="Z167" s="20">
        <f>IFERROR(VLOOKUP(Data[[#This Row],[TDS]],ExtCompactors_PNA[[Development]:[0]],2,FALSE),0)</f>
        <v>0</v>
      </c>
      <c r="AA167" s="20">
        <f>IFERROR(VLOOKUP(Data[[#This Row],[TDS]],IntCompactors_PNA[[TDS]:[0]],2,FALSE),0)</f>
        <v>19</v>
      </c>
      <c r="AB167" s="20">
        <v>1</v>
      </c>
      <c r="AC167" s="20"/>
      <c r="AD167" s="20">
        <f>IFERROR(VLOOKUP(Data[[#This Row],[TDS]],ExtCompactors_PNA[[Development]:[0]],3,FALSE)+VLOOKUP(Data[[#This Row],[TDS]],ExtCompactors_PNA[[Development]:[0]],6,FALSE),0)</f>
        <v>0</v>
      </c>
      <c r="AE167" s="20">
        <f>IFERROR(VLOOKUP(Data[[#This Row],[TDS]],IntCompactors_PNA[[TDS]:[0]],3,FALSE)+VLOOKUP(Data[[#This Row],[TDS]],IntCompactors_PNA[[TDS]:[0]],6,FALSE),0)</f>
        <v>19</v>
      </c>
      <c r="AF167" s="20" t="e">
        <f>VLOOKUP(Data[[#This Row],[DEVELOPMENT]],[3]Developments!$A$2:$A$312,1,FALSE)</f>
        <v>#N/A</v>
      </c>
      <c r="AG167" s="20">
        <f>IFERROR(VLOOKUP(Data[[#This Row],[DEVELOPMENT]],Ops_Priorities_and_Data_Clean[[development]:[ifnoext_comment]],3,FALSE),"")</f>
        <v>3</v>
      </c>
      <c r="AH167" s="20">
        <f>IFERROR(VLOOKUP(Data[[#This Row],[DEVELOPMENT]],Ops_Priorities_and_Data_Clean[[development]:[ifnoext_comment]],4,FALSE),"")</f>
        <v>0</v>
      </c>
      <c r="AI167" s="20">
        <f>IFERROR(VLOOKUP(Data[[#This Row],[DEVELOPMENT]],Ops_Priorities_and_Data_Clean[[development]:[ifnoext_comment]],5,FALSE),"")</f>
        <v>1</v>
      </c>
      <c r="AJ167" s="20">
        <f>IFERROR(VLOOKUP(Data[[#This Row],[DEVELOPMENT]],Ops_Priorities_and_Data_Clean[[development]:[ifnoext_comment]],6,FALSE),"")</f>
        <v>0</v>
      </c>
      <c r="AK167" s="20">
        <f>IFERROR(VLOOKUP(Data[[#This Row],[DEVELOPMENT]],Ops_Priorities_and_Data_Clean[[development]:[ifnoext_comment]],7,FALSE),"")</f>
        <v>0</v>
      </c>
      <c r="AL167" s="20">
        <f>IFERROR(VLOOKUP(Data[[#This Row],[DEVELOPMENT]],Ops_Priorities_and_Data_Clean[[development]:[ifnoext_comment]],8,FALSE),"")</f>
        <v>1</v>
      </c>
      <c r="AM167" s="20">
        <f>IFERROR(VLOOKUP(Data[[#This Row],[DEVELOPMENT]],Ops_Priorities_and_Data_Clean[[development]:[ifnoext_comment]],9,FALSE),"")</f>
        <v>0</v>
      </c>
      <c r="AN167" s="20">
        <f>IFERROR(VLOOKUP(Data[[#This Row],[DEVELOPMENT]],Ops_Priorities_and_Data_Clean[[development]:[ifnoext_comment]],10,FALSE),"")</f>
        <v>3</v>
      </c>
      <c r="AO167" s="20">
        <f>IFERROR(VLOOKUP(Data[[#This Row],[DEVELOPMENT]],Ops_Priorities_and_Data_Clean[[development]:[ifnoext_comment]],11,FALSE),"")</f>
        <v>3</v>
      </c>
      <c r="AP167" s="20">
        <f>IFERROR(VLOOKUP(Data[[#This Row],[DEVELOPMENT]],Ops_Priorities_and_Data_Clean[[development]:[ifnoext_comment]],12,FALSE),"")</f>
        <v>3</v>
      </c>
      <c r="AQ167" s="20">
        <f>VLOOKUP(Data[[#This Row],[DEVELOPMENT]],Ops_Priorities_and_Data_Clean[[development]:[ifnoext_comment]],14,FALSE)</f>
        <v>0</v>
      </c>
      <c r="AR167" s="20">
        <f>VLOOKUP(Data[[#This Row],[DEVELOPMENT]],Ops_Priorities_and_Data_Clean[[development]:[ifnoext_comment]],15,FALSE)</f>
        <v>0</v>
      </c>
      <c r="AS167" s="20" t="str">
        <f>VLOOKUP(Data[[#This Row],[DEVELOPMENT]],Ops_Priorities_and_Data_Clean[[development]:[ifnoext_comment]],16,FALSE)</f>
        <v>NULL</v>
      </c>
      <c r="AT167" s="20" t="str">
        <f>VLOOKUP(Data[[#This Row],[DEVELOPMENT]],Ops_Priorities_and_Data_Clean[[development]:[ifnoext_comment]],17,FALSE)</f>
        <v>NULL</v>
      </c>
      <c r="AU167" s="20" t="str">
        <f>VLOOKUP(Data[[#This Row],[DEVELOPMENT]],Ops_Priorities_and_Data_Clean[[development]:[ifnoext_comment]],18,FALSE)</f>
        <v>no</v>
      </c>
      <c r="AV167" s="20" t="str">
        <f>VLOOKUP(Data[[#This Row],[DEVELOPMENT]],Ops_Priorities_and_Data_Clean[[development]:[ifnoext_comment]],19,FALSE)</f>
        <v>Has exterior compactor</v>
      </c>
      <c r="AW167" s="20" t="str">
        <f>VLOOKUP(Data[[#This Row],[DEVELOPMENT]],Ops_Priorities_and_Data_Clean[[development]:[ifnoext_comment]],20,FALSE)</f>
        <v>NULL</v>
      </c>
      <c r="AX167" s="104" t="s">
        <v>2605</v>
      </c>
      <c r="AY167" s="104" t="s">
        <v>2629</v>
      </c>
      <c r="AZ167" s="20" t="str">
        <f>VLOOKUP(Data[[#This Row],[DEVELOPMENT]],Development_Data_Book[[DEVELOPMENT]:[PRIVATE MANAGEMENT]],8,FALSE)</f>
        <v>MIXED FINANCE/LLC2</v>
      </c>
      <c r="BA167" s="104" t="s">
        <v>2586</v>
      </c>
      <c r="BB167" s="20">
        <f>VLOOKUP(Data[[#This Row],[DEVELOPMENT]],Development_Data_Book[[DEVELOPMENT]:[PRIVATE MANAGEMENT]],22,FALSE)</f>
        <v>2</v>
      </c>
      <c r="BC167" s="20">
        <f>Data[[#This Row],[Non-Dwelling Buildings]]+Data[[#This Row],[Dwelling Buildings]]</f>
        <v>21</v>
      </c>
      <c r="BD167" s="20">
        <f>VLOOKUP(Data[[#This Row],[DEVELOPMENT]],Development_Data_Book[[DEVELOPMENT]:[PRIVATE MANAGEMENT]],26,FALSE)</f>
        <v>29.83</v>
      </c>
      <c r="BE167" s="106">
        <v>1640631</v>
      </c>
      <c r="BF167" s="20">
        <f>VLOOKUP(Data[[#This Row],[DEVELOPMENT]],Development_Data_Book[[DEVELOPMENT]:[PRIVATE MANAGEMENT]],18,FALSE)</f>
        <v>3611</v>
      </c>
      <c r="BG16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67" s="104" t="s">
        <v>2589</v>
      </c>
      <c r="BI167" t="s">
        <v>184</v>
      </c>
      <c r="BJ167" s="20">
        <f>VLOOKUP(Data[[#This Row],[DEVELOPMENT]],Development_Data_Book[[DEVELOPMENT]:[PRIVATE MANAGEMENT]],41,FALSE)</f>
        <v>5</v>
      </c>
      <c r="BK167" s="20">
        <f>VLOOKUP(Data[[#This Row],[DEVELOPMENT]],Development_Data_Book[[DEVELOPMENT]:[PRIVATE MANAGEMENT]],42,FALSE)</f>
        <v>8</v>
      </c>
      <c r="BL167" s="20">
        <f>VLOOKUP(Data[[#This Row],[DEVELOPMENT]],Development_Data_Book[[DEVELOPMENT]:[PRIVATE MANAGEMENT]],43,FALSE)</f>
        <v>19</v>
      </c>
      <c r="BM167" s="20">
        <f>VLOOKUP(Data[[#This Row],[DEVELOPMENT]],Development_Data_Book[[DEVELOPMENT]:[PRIVATE MANAGEMENT]],44,FALSE)</f>
        <v>60</v>
      </c>
      <c r="BN167" s="20">
        <f>VLOOKUP(Data[[#This Row],[DEVELOPMENT]],Development_Data_Book[[DEVELOPMENT]:[PRIVATE MANAGEMENT]],45,FALSE)</f>
        <v>42</v>
      </c>
      <c r="BO167" s="20">
        <f>VLOOKUP(Data[[#This Row],[DEVELOPMENT]],Development_Data_Book[[DEVELOPMENT]:[PRIVATE MANAGEMENT]],24,FALSE)</f>
        <v>43691</v>
      </c>
    </row>
    <row r="168" spans="1:67">
      <c r="A168" t="s">
        <v>208</v>
      </c>
      <c r="B168" s="20" t="str">
        <f>VLOOKUP(Data[[#This Row],[DEVELOPMENT]],Development_Data_Book[[DEVELOPMENT]:[BOROUGH]],MATCH("borough",Development_Data_Book[[#Headers],[DEVELOPMENT]:[BOROUGH]],0),FALSE)</f>
        <v>BROOKLYN</v>
      </c>
      <c r="C168" s="20" t="e">
        <f>VLOOKUP(Data[[#This Row],[DEVELOPMENT]],'[1]Cheat-Sheet'!$D$2:$Q$341,2,FALSE)</f>
        <v>#N/A</v>
      </c>
      <c r="D16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68" s="20">
        <f>VLOOKUP(Data[[#This Row],[DEVELOPMENT]],Development_Data_Book[[DEVELOPMENT]:[BOROUGH]],21,FALSE)</f>
        <v>4</v>
      </c>
      <c r="F168" s="20">
        <f>VLOOKUP(Data[[#This Row],[DEVELOPMENT]],Development_Data_Book[[DEVELOPMENT]:[BOROUGH]],23,FALSE)</f>
        <v>4</v>
      </c>
      <c r="G168" s="20">
        <f>VLOOKUP(Data[[#This Row],[DEVELOPMENT]],Development_Data_Book[[DEVELOPMENT]:[BOROUGH]],12,FALSE)</f>
        <v>229</v>
      </c>
      <c r="J168">
        <f>IFERROR(VLOOKUP(Data[[#This Row],[DEVELOPMENT]],IntCompactors_MRST[],4,FALSE),0)</f>
        <v>4</v>
      </c>
      <c r="K168" s="20">
        <f>IFERROR(VLOOKUP(Data[[#This Row],[DEVELOPMENT]],ExtCompactors_MRST[],4,FALSE),0)</f>
        <v>0</v>
      </c>
      <c r="L168" s="27">
        <f>IF(Data[[#This Row],['# Interior Compactors MRST]]=0,"",VLOOKUP(Data[[#This Row],[DEVELOPMENT]],IntCompactors_MRST[],5,FALSE))</f>
        <v>35247</v>
      </c>
      <c r="M168" s="28" t="str">
        <f>IF(Data[[#This Row],['# Exterior Compactors MRST]]=0,"",VLOOKUP(Data[[#This Row],[DEVELOPMENT]],ExtCompactors_MRST[],5,FALSE))</f>
        <v/>
      </c>
      <c r="N168" s="20">
        <f>Data[[#This Row],['# Interior Compactors MRST]]</f>
        <v>4</v>
      </c>
      <c r="O168" s="20">
        <f>IF(Data[[#This Row],['# Bulk Crushers]]=0,1,0)</f>
        <v>1</v>
      </c>
      <c r="P168" s="20">
        <f>1</f>
        <v>1</v>
      </c>
      <c r="Q168" s="20">
        <f>1</f>
        <v>1</v>
      </c>
      <c r="R168" s="20">
        <f>1</f>
        <v>1</v>
      </c>
      <c r="S168" s="20">
        <f>1</f>
        <v>1</v>
      </c>
      <c r="T168" s="20">
        <f>IF(Data[[#This Row],[Sewershed]]="Newtown Creek",Data[[#This Row],[DUs]],0)</f>
        <v>0</v>
      </c>
      <c r="U16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6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6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68" s="82">
        <f>VLOOKUP(Data[[#This Row],[DEVELOPMENT]],Development_Data_Book[[DEVELOPMENT]:[BOROUGH]],3,FALSE)</f>
        <v>276</v>
      </c>
      <c r="Y168" s="20"/>
      <c r="Z168" s="20">
        <f>IFERROR(VLOOKUP(Data[[#This Row],[TDS]],ExtCompactors_PNA[[Development]:[0]],2,FALSE),0)</f>
        <v>0</v>
      </c>
      <c r="AA168" s="20">
        <f>IFERROR(VLOOKUP(Data[[#This Row],[TDS]],IntCompactors_PNA[[TDS]:[0]],2,FALSE),0)</f>
        <v>4</v>
      </c>
      <c r="AB168" s="20"/>
      <c r="AC168" s="20"/>
      <c r="AD168" s="20">
        <f>IFERROR(VLOOKUP(Data[[#This Row],[TDS]],ExtCompactors_PNA[[Development]:[0]],3,FALSE)+VLOOKUP(Data[[#This Row],[TDS]],ExtCompactors_PNA[[Development]:[0]],6,FALSE),0)</f>
        <v>0</v>
      </c>
      <c r="AE168" s="20">
        <f>IFERROR(VLOOKUP(Data[[#This Row],[TDS]],IntCompactors_PNA[[TDS]:[0]],3,FALSE)+VLOOKUP(Data[[#This Row],[TDS]],IntCompactors_PNA[[TDS]:[0]],6,FALSE),0)</f>
        <v>4</v>
      </c>
      <c r="AF168" s="20" t="e">
        <f>VLOOKUP(Data[[#This Row],[DEVELOPMENT]],[3]Developments!$A$2:$A$312,1,FALSE)</f>
        <v>#N/A</v>
      </c>
      <c r="AG168" s="20">
        <f>IFERROR(VLOOKUP(Data[[#This Row],[DEVELOPMENT]],Ops_Priorities_and_Data_Clean[[development]:[ifnoext_comment]],3,FALSE),"")</f>
        <v>0</v>
      </c>
      <c r="AH168" s="20">
        <f>IFERROR(VLOOKUP(Data[[#This Row],[DEVELOPMENT]],Ops_Priorities_and_Data_Clean[[development]:[ifnoext_comment]],4,FALSE),"")</f>
        <v>1</v>
      </c>
      <c r="AI168" s="20">
        <f>IFERROR(VLOOKUP(Data[[#This Row],[DEVELOPMENT]],Ops_Priorities_and_Data_Clean[[development]:[ifnoext_comment]],5,FALSE),"")</f>
        <v>0</v>
      </c>
      <c r="AJ168" s="20">
        <f>IFERROR(VLOOKUP(Data[[#This Row],[DEVELOPMENT]],Ops_Priorities_and_Data_Clean[[development]:[ifnoext_comment]],6,FALSE),"")</f>
        <v>0</v>
      </c>
      <c r="AK168" s="20">
        <f>IFERROR(VLOOKUP(Data[[#This Row],[DEVELOPMENT]],Ops_Priorities_and_Data_Clean[[development]:[ifnoext_comment]],7,FALSE),"")</f>
        <v>1</v>
      </c>
      <c r="AL168" s="20">
        <f>IFERROR(VLOOKUP(Data[[#This Row],[DEVELOPMENT]],Ops_Priorities_and_Data_Clean[[development]:[ifnoext_comment]],8,FALSE),"")</f>
        <v>1</v>
      </c>
      <c r="AM168" s="20">
        <f>IFERROR(VLOOKUP(Data[[#This Row],[DEVELOPMENT]],Ops_Priorities_and_Data_Clean[[development]:[ifnoext_comment]],9,FALSE),"")</f>
        <v>1</v>
      </c>
      <c r="AN168" s="20">
        <f>IFERROR(VLOOKUP(Data[[#This Row],[DEVELOPMENT]],Ops_Priorities_and_Data_Clean[[development]:[ifnoext_comment]],10,FALSE),"")</f>
        <v>0</v>
      </c>
      <c r="AO168" s="20">
        <f>IFERROR(VLOOKUP(Data[[#This Row],[DEVELOPMENT]],Ops_Priorities_and_Data_Clean[[development]:[ifnoext_comment]],11,FALSE),"")</f>
        <v>0</v>
      </c>
      <c r="AP168" s="20">
        <f>IFERROR(VLOOKUP(Data[[#This Row],[DEVELOPMENT]],Ops_Priorities_and_Data_Clean[[development]:[ifnoext_comment]],12,FALSE),"")</f>
        <v>0</v>
      </c>
      <c r="AQ168" s="20">
        <f>VLOOKUP(Data[[#This Row],[DEVELOPMENT]],Ops_Priorities_and_Data_Clean[[development]:[ifnoext_comment]],14,FALSE)</f>
        <v>1</v>
      </c>
      <c r="AR168" s="20">
        <f>VLOOKUP(Data[[#This Row],[DEVELOPMENT]],Ops_Priorities_and_Data_Clean[[development]:[ifnoext_comment]],15,FALSE)</f>
        <v>0</v>
      </c>
      <c r="AS168" s="20" t="str">
        <f>VLOOKUP(Data[[#This Row],[DEVELOPMENT]],Ops_Priorities_and_Data_Clean[[development]:[ifnoext_comment]],16,FALSE)</f>
        <v>NULL</v>
      </c>
      <c r="AT168" s="20" t="str">
        <f>VLOOKUP(Data[[#This Row],[DEVELOPMENT]],Ops_Priorities_and_Data_Clean[[development]:[ifnoext_comment]],17,FALSE)</f>
        <v>NULL</v>
      </c>
      <c r="AU168" s="20" t="str">
        <f>VLOOKUP(Data[[#This Row],[DEVELOPMENT]],Ops_Priorities_and_Data_Clean[[development]:[ifnoext_comment]],18,FALSE)</f>
        <v>NULL</v>
      </c>
      <c r="AV168" s="20" t="str">
        <f>VLOOKUP(Data[[#This Row],[DEVELOPMENT]],Ops_Priorities_and_Data_Clean[[development]:[ifnoext_comment]],19,FALSE)</f>
        <v>NULL</v>
      </c>
      <c r="AW168" s="20" t="str">
        <f>VLOOKUP(Data[[#This Row],[DEVELOPMENT]],Ops_Priorities_and_Data_Clean[[development]:[ifnoext_comment]],20,FALSE)</f>
        <v>NULL</v>
      </c>
      <c r="AX168" s="104" t="s">
        <v>2602</v>
      </c>
      <c r="AY168" s="104" t="s">
        <v>2623</v>
      </c>
      <c r="AZ168" s="20" t="str">
        <f>VLOOKUP(Data[[#This Row],[DEVELOPMENT]],Development_Data_Book[[DEVELOPMENT]:[PRIVATE MANAGEMENT]],8,FALSE)</f>
        <v>FEDERAL</v>
      </c>
      <c r="BA168" s="104" t="s">
        <v>2586</v>
      </c>
      <c r="BB168" s="20">
        <f>VLOOKUP(Data[[#This Row],[DEVELOPMENT]],Development_Data_Book[[DEVELOPMENT]:[PRIVATE MANAGEMENT]],22,FALSE)</f>
        <v>0</v>
      </c>
      <c r="BC168" s="20">
        <f>Data[[#This Row],[Non-Dwelling Buildings]]+Data[[#This Row],[Dwelling Buildings]]</f>
        <v>4</v>
      </c>
      <c r="BD168" s="20">
        <f>VLOOKUP(Data[[#This Row],[DEVELOPMENT]],Development_Data_Book[[DEVELOPMENT]:[PRIVATE MANAGEMENT]],26,FALSE)</f>
        <v>1.81</v>
      </c>
      <c r="BE168" s="106">
        <v>253750</v>
      </c>
      <c r="BF168" s="20">
        <f>VLOOKUP(Data[[#This Row],[DEVELOPMENT]],Development_Data_Book[[DEVELOPMENT]:[PRIVATE MANAGEMENT]],18,FALSE)</f>
        <v>526</v>
      </c>
      <c r="BG16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68" s="104" t="s">
        <v>2589</v>
      </c>
      <c r="BI168" t="s">
        <v>184</v>
      </c>
      <c r="BJ168" s="20">
        <f>VLOOKUP(Data[[#This Row],[DEVELOPMENT]],Development_Data_Book[[DEVELOPMENT]:[PRIVATE MANAGEMENT]],41,FALSE)</f>
        <v>5</v>
      </c>
      <c r="BK168" s="20">
        <f>VLOOKUP(Data[[#This Row],[DEVELOPMENT]],Development_Data_Book[[DEVELOPMENT]:[PRIVATE MANAGEMENT]],42,FALSE)</f>
        <v>8</v>
      </c>
      <c r="BL168" s="20">
        <f>VLOOKUP(Data[[#This Row],[DEVELOPMENT]],Development_Data_Book[[DEVELOPMENT]:[PRIVATE MANAGEMENT]],43,FALSE)</f>
        <v>19</v>
      </c>
      <c r="BM168" s="20">
        <f>VLOOKUP(Data[[#This Row],[DEVELOPMENT]],Development_Data_Book[[DEVELOPMENT]:[PRIVATE MANAGEMENT]],44,FALSE)</f>
        <v>60</v>
      </c>
      <c r="BN168" s="20">
        <f>VLOOKUP(Data[[#This Row],[DEVELOPMENT]],Development_Data_Book[[DEVELOPMENT]:[PRIVATE MANAGEMENT]],45,FALSE)</f>
        <v>42</v>
      </c>
      <c r="BO168" s="20">
        <f>VLOOKUP(Data[[#This Row],[DEVELOPMENT]],Development_Data_Book[[DEVELOPMENT]:[PRIVATE MANAGEMENT]],24,FALSE)</f>
        <v>6</v>
      </c>
    </row>
    <row r="169" spans="1:67">
      <c r="A169" t="s">
        <v>287</v>
      </c>
      <c r="B169" s="20" t="str">
        <f>VLOOKUP(Data[[#This Row],[DEVELOPMENT]],Development_Data_Book[[DEVELOPMENT]:[BOROUGH]],MATCH("borough",Development_Data_Book[[#Headers],[DEVELOPMENT]:[BOROUGH]],0),FALSE)</f>
        <v>BRONX</v>
      </c>
      <c r="C169" s="20" t="e">
        <f>VLOOKUP(Data[[#This Row],[DEVELOPMENT]],'[1]Cheat-Sheet'!$D$2:$Q$341,2,FALSE)</f>
        <v>#N/A</v>
      </c>
      <c r="D16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69" s="20">
        <f>VLOOKUP(Data[[#This Row],[DEVELOPMENT]],Development_Data_Book[[DEVELOPMENT]:[BOROUGH]],21,FALSE)</f>
        <v>2</v>
      </c>
      <c r="F169" s="20">
        <f>VLOOKUP(Data[[#This Row],[DEVELOPMENT]],Development_Data_Book[[DEVELOPMENT]:[BOROUGH]],23,FALSE)</f>
        <v>2</v>
      </c>
      <c r="G169" s="20">
        <f>VLOOKUP(Data[[#This Row],[DEVELOPMENT]],Development_Data_Book[[DEVELOPMENT]:[BOROUGH]],12,FALSE)</f>
        <v>75</v>
      </c>
      <c r="J169">
        <f>IFERROR(VLOOKUP(Data[[#This Row],[DEVELOPMENT]],IntCompactors_MRST[],4,FALSE),0)</f>
        <v>0</v>
      </c>
      <c r="K169" s="20">
        <f>IFERROR(VLOOKUP(Data[[#This Row],[DEVELOPMENT]],ExtCompactors_MRST[],4,FALSE),0)</f>
        <v>0</v>
      </c>
      <c r="L169" s="27" t="str">
        <f>IF(Data[[#This Row],['# Interior Compactors MRST]]=0,"",VLOOKUP(Data[[#This Row],[DEVELOPMENT]],IntCompactors_MRST[],5,FALSE))</f>
        <v/>
      </c>
      <c r="M169" s="28" t="str">
        <f>IF(Data[[#This Row],['# Exterior Compactors MRST]]=0,"",VLOOKUP(Data[[#This Row],[DEVELOPMENT]],ExtCompactors_MRST[],5,FALSE))</f>
        <v/>
      </c>
      <c r="N169" s="20">
        <f>Data[[#This Row],['# Interior Compactors MRST]]</f>
        <v>0</v>
      </c>
      <c r="O169" s="20">
        <f>IF(Data[[#This Row],['# Bulk Crushers]]=0,1,0)</f>
        <v>1</v>
      </c>
      <c r="P169" s="20">
        <f>1</f>
        <v>1</v>
      </c>
      <c r="Q169" s="20">
        <f>1</f>
        <v>1</v>
      </c>
      <c r="R169" s="20">
        <f>1</f>
        <v>1</v>
      </c>
      <c r="S169" s="20">
        <f>1</f>
        <v>1</v>
      </c>
      <c r="T169" s="20">
        <f>IF(Data[[#This Row],[Sewershed]]="Newtown Creek",Data[[#This Row],[DUs]],0)</f>
        <v>0</v>
      </c>
      <c r="U16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6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6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69" s="82">
        <f>VLOOKUP(Data[[#This Row],[DEVELOPMENT]],Development_Data_Book[[DEVELOPMENT]:[BOROUGH]],3,FALSE)</f>
        <v>362</v>
      </c>
      <c r="Y169" s="20"/>
      <c r="Z169" s="20">
        <f>IFERROR(VLOOKUP(Data[[#This Row],[TDS]],ExtCompactors_PNA[[Development]:[0]],2,FALSE),0)</f>
        <v>0</v>
      </c>
      <c r="AA169" s="20">
        <f>IFERROR(VLOOKUP(Data[[#This Row],[TDS]],IntCompactors_PNA[[TDS]:[0]],2,FALSE),0)</f>
        <v>5</v>
      </c>
      <c r="AB169" s="20"/>
      <c r="AC169" s="20"/>
      <c r="AD169" s="20">
        <f>IFERROR(VLOOKUP(Data[[#This Row],[TDS]],ExtCompactors_PNA[[Development]:[0]],3,FALSE)+VLOOKUP(Data[[#This Row],[TDS]],ExtCompactors_PNA[[Development]:[0]],6,FALSE),0)</f>
        <v>0</v>
      </c>
      <c r="AE169" s="20">
        <f>IFERROR(VLOOKUP(Data[[#This Row],[TDS]],IntCompactors_PNA[[TDS]:[0]],3,FALSE)+VLOOKUP(Data[[#This Row],[TDS]],IntCompactors_PNA[[TDS]:[0]],6,FALSE),0)</f>
        <v>5</v>
      </c>
      <c r="AF169" s="20" t="e">
        <f>VLOOKUP(Data[[#This Row],[DEVELOPMENT]],[3]Developments!$A$2:$A$312,1,FALSE)</f>
        <v>#N/A</v>
      </c>
      <c r="AG169" s="20">
        <f>IFERROR(VLOOKUP(Data[[#This Row],[DEVELOPMENT]],Ops_Priorities_and_Data_Clean[[development]:[ifnoext_comment]],3,FALSE),"")</f>
        <v>0</v>
      </c>
      <c r="AH169" s="20">
        <f>IFERROR(VLOOKUP(Data[[#This Row],[DEVELOPMENT]],Ops_Priorities_and_Data_Clean[[development]:[ifnoext_comment]],4,FALSE),"")</f>
        <v>4</v>
      </c>
      <c r="AI169" s="20">
        <f>IFERROR(VLOOKUP(Data[[#This Row],[DEVELOPMENT]],Ops_Priorities_and_Data_Clean[[development]:[ifnoext_comment]],5,FALSE),"")</f>
        <v>0</v>
      </c>
      <c r="AJ169" s="20">
        <f>IFERROR(VLOOKUP(Data[[#This Row],[DEVELOPMENT]],Ops_Priorities_and_Data_Clean[[development]:[ifnoext_comment]],6,FALSE),"")</f>
        <v>0</v>
      </c>
      <c r="AK169" s="20">
        <f>IFERROR(VLOOKUP(Data[[#This Row],[DEVELOPMENT]],Ops_Priorities_and_Data_Clean[[development]:[ifnoext_comment]],7,FALSE),"")</f>
        <v>1</v>
      </c>
      <c r="AL169" s="20">
        <f>IFERROR(VLOOKUP(Data[[#This Row],[DEVELOPMENT]],Ops_Priorities_and_Data_Clean[[development]:[ifnoext_comment]],8,FALSE),"")</f>
        <v>1</v>
      </c>
      <c r="AM169" s="20">
        <f>IFERROR(VLOOKUP(Data[[#This Row],[DEVELOPMENT]],Ops_Priorities_and_Data_Clean[[development]:[ifnoext_comment]],9,FALSE),"")</f>
        <v>0</v>
      </c>
      <c r="AN169" s="20">
        <f>IFERROR(VLOOKUP(Data[[#This Row],[DEVELOPMENT]],Ops_Priorities_and_Data_Clean[[development]:[ifnoext_comment]],10,FALSE),"")</f>
        <v>0</v>
      </c>
      <c r="AO169" s="20">
        <f>IFERROR(VLOOKUP(Data[[#This Row],[DEVELOPMENT]],Ops_Priorities_and_Data_Clean[[development]:[ifnoext_comment]],11,FALSE),"")</f>
        <v>0</v>
      </c>
      <c r="AP169" s="20">
        <f>IFERROR(VLOOKUP(Data[[#This Row],[DEVELOPMENT]],Ops_Priorities_and_Data_Clean[[development]:[ifnoext_comment]],12,FALSE),"")</f>
        <v>0</v>
      </c>
      <c r="AQ169" s="20">
        <f>VLOOKUP(Data[[#This Row],[DEVELOPMENT]],Ops_Priorities_and_Data_Clean[[development]:[ifnoext_comment]],14,FALSE)</f>
        <v>1</v>
      </c>
      <c r="AR169" s="20">
        <f>VLOOKUP(Data[[#This Row],[DEVELOPMENT]],Ops_Priorities_and_Data_Clean[[development]:[ifnoext_comment]],15,FALSE)</f>
        <v>0</v>
      </c>
      <c r="AS169" s="20" t="str">
        <f>VLOOKUP(Data[[#This Row],[DEVELOPMENT]],Ops_Priorities_and_Data_Clean[[development]:[ifnoext_comment]],16,FALSE)</f>
        <v>NULL</v>
      </c>
      <c r="AT169" s="20" t="str">
        <f>VLOOKUP(Data[[#This Row],[DEVELOPMENT]],Ops_Priorities_and_Data_Clean[[development]:[ifnoext_comment]],17,FALSE)</f>
        <v>NULL</v>
      </c>
      <c r="AU169" s="20" t="str">
        <f>VLOOKUP(Data[[#This Row],[DEVELOPMENT]],Ops_Priorities_and_Data_Clean[[development]:[ifnoext_comment]],18,FALSE)</f>
        <v>NULL</v>
      </c>
      <c r="AV169" s="20" t="str">
        <f>VLOOKUP(Data[[#This Row],[DEVELOPMENT]],Ops_Priorities_and_Data_Clean[[development]:[ifnoext_comment]],19,FALSE)</f>
        <v>NULL</v>
      </c>
      <c r="AW169" s="20" t="str">
        <f>VLOOKUP(Data[[#This Row],[DEVELOPMENT]],Ops_Priorities_and_Data_Clean[[development]:[ifnoext_comment]],20,FALSE)</f>
        <v>No room</v>
      </c>
      <c r="AX169" s="104" t="s">
        <v>2596</v>
      </c>
      <c r="AY169" s="104" t="s">
        <v>2637</v>
      </c>
      <c r="AZ169" s="20" t="str">
        <f>VLOOKUP(Data[[#This Row],[DEVELOPMENT]],Development_Data_Book[[DEVELOPMENT]:[PRIVATE MANAGEMENT]],8,FALSE)</f>
        <v>FEDERAL</v>
      </c>
      <c r="BA169" s="104" t="s">
        <v>2588</v>
      </c>
      <c r="BB169" s="20">
        <f>VLOOKUP(Data[[#This Row],[DEVELOPMENT]],Development_Data_Book[[DEVELOPMENT]:[PRIVATE MANAGEMENT]],22,FALSE)</f>
        <v>0</v>
      </c>
      <c r="BC169" s="20">
        <f>Data[[#This Row],[Non-Dwelling Buildings]]+Data[[#This Row],[Dwelling Buildings]]</f>
        <v>2</v>
      </c>
      <c r="BD169" s="20">
        <f>VLOOKUP(Data[[#This Row],[DEVELOPMENT]],Development_Data_Book[[DEVELOPMENT]:[PRIVATE MANAGEMENT]],26,FALSE)</f>
        <v>0.61</v>
      </c>
      <c r="BE169" s="106">
        <v>97100</v>
      </c>
      <c r="BF169" s="20">
        <f>VLOOKUP(Data[[#This Row],[DEVELOPMENT]],Development_Data_Book[[DEVELOPMENT]:[PRIVATE MANAGEMENT]],18,FALSE)</f>
        <v>278</v>
      </c>
      <c r="BG16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69" s="104" t="s">
        <v>2610</v>
      </c>
      <c r="BI169" t="s">
        <v>184</v>
      </c>
      <c r="BJ169" s="20">
        <f>VLOOKUP(Data[[#This Row],[DEVELOPMENT]],Development_Data_Book[[DEVELOPMENT]:[PRIVATE MANAGEMENT]],41,FALSE)</f>
        <v>2</v>
      </c>
      <c r="BK169" s="20">
        <f>VLOOKUP(Data[[#This Row],[DEVELOPMENT]],Development_Data_Book[[DEVELOPMENT]:[PRIVATE MANAGEMENT]],42,FALSE)</f>
        <v>15</v>
      </c>
      <c r="BL169" s="20">
        <f>VLOOKUP(Data[[#This Row],[DEVELOPMENT]],Development_Data_Book[[DEVELOPMENT]:[PRIVATE MANAGEMENT]],43,FALSE)</f>
        <v>32</v>
      </c>
      <c r="BM169" s="20">
        <f>VLOOKUP(Data[[#This Row],[DEVELOPMENT]],Development_Data_Book[[DEVELOPMENT]:[PRIVATE MANAGEMENT]],44,FALSE)</f>
        <v>85</v>
      </c>
      <c r="BN169" s="20">
        <f>VLOOKUP(Data[[#This Row],[DEVELOPMENT]],Development_Data_Book[[DEVELOPMENT]:[PRIVATE MANAGEMENT]],45,FALSE)</f>
        <v>17</v>
      </c>
      <c r="BO169" s="20">
        <f>VLOOKUP(Data[[#This Row],[DEVELOPMENT]],Development_Data_Book[[DEVELOPMENT]:[PRIVATE MANAGEMENT]],24,FALSE)</f>
        <v>5</v>
      </c>
    </row>
    <row r="170" spans="1:67">
      <c r="A170" t="s">
        <v>192</v>
      </c>
      <c r="B170" s="20" t="str">
        <f>VLOOKUP(Data[[#This Row],[DEVELOPMENT]],Development_Data_Book[[DEVELOPMENT]:[BOROUGH]],MATCH("borough",Development_Data_Book[[#Headers],[DEVELOPMENT]:[BOROUGH]],0),FALSE)</f>
        <v>BROOKLYN</v>
      </c>
      <c r="C170" s="20" t="e">
        <f>VLOOKUP(Data[[#This Row],[DEVELOPMENT]],'[1]Cheat-Sheet'!$D$2:$Q$341,2,FALSE)</f>
        <v>#N/A</v>
      </c>
      <c r="D17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70" s="20">
        <f>VLOOKUP(Data[[#This Row],[DEVELOPMENT]],Development_Data_Book[[DEVELOPMENT]:[BOROUGH]],21,FALSE)</f>
        <v>4</v>
      </c>
      <c r="F170" s="20">
        <f>VLOOKUP(Data[[#This Row],[DEVELOPMENT]],Development_Data_Book[[DEVELOPMENT]:[BOROUGH]],23,FALSE)</f>
        <v>4</v>
      </c>
      <c r="G170" s="20">
        <f>VLOOKUP(Data[[#This Row],[DEVELOPMENT]],Development_Data_Book[[DEVELOPMENT]:[BOROUGH]],12,FALSE)</f>
        <v>534</v>
      </c>
      <c r="J170">
        <f>IFERROR(VLOOKUP(Data[[#This Row],[DEVELOPMENT]],IntCompactors_MRST[],4,FALSE),0)</f>
        <v>4</v>
      </c>
      <c r="K170" s="20">
        <f>IFERROR(VLOOKUP(Data[[#This Row],[DEVELOPMENT]],ExtCompactors_MRST[],4,FALSE),0)</f>
        <v>0</v>
      </c>
      <c r="L170" s="27">
        <f>IF(Data[[#This Row],['# Interior Compactors MRST]]=0,"",VLOOKUP(Data[[#This Row],[DEVELOPMENT]],IntCompactors_MRST[],5,FALSE))</f>
        <v>37502</v>
      </c>
      <c r="M170" s="28" t="str">
        <f>IF(Data[[#This Row],['# Exterior Compactors MRST]]=0,"",VLOOKUP(Data[[#This Row],[DEVELOPMENT]],ExtCompactors_MRST[],5,FALSE))</f>
        <v/>
      </c>
      <c r="N170" s="20">
        <f>Data[[#This Row],['# Interior Compactors MRST]]</f>
        <v>4</v>
      </c>
      <c r="O170" s="20">
        <f>IF(Data[[#This Row],['# Bulk Crushers]]=0,1,0)</f>
        <v>1</v>
      </c>
      <c r="P170" s="20">
        <f>1</f>
        <v>1</v>
      </c>
      <c r="Q170" s="20">
        <f>1</f>
        <v>1</v>
      </c>
      <c r="R170" s="20">
        <f>1</f>
        <v>1</v>
      </c>
      <c r="S170" s="20">
        <f>1</f>
        <v>1</v>
      </c>
      <c r="T170" s="20">
        <f>IF(Data[[#This Row],[Sewershed]]="Newtown Creek",Data[[#This Row],[DUs]],0)</f>
        <v>0</v>
      </c>
      <c r="U17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7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7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70" s="82">
        <f>VLOOKUP(Data[[#This Row],[DEVELOPMENT]],Development_Data_Book[[DEVELOPMENT]:[BOROUGH]],3,FALSE)</f>
        <v>169</v>
      </c>
      <c r="Y170" s="20"/>
      <c r="Z170" s="20">
        <f>IFERROR(VLOOKUP(Data[[#This Row],[TDS]],ExtCompactors_PNA[[Development]:[0]],2,FALSE),0)</f>
        <v>0</v>
      </c>
      <c r="AA170" s="20">
        <f>IFERROR(VLOOKUP(Data[[#This Row],[TDS]],IntCompactors_PNA[[TDS]:[0]],2,FALSE),0)</f>
        <v>3</v>
      </c>
      <c r="AB170" s="20"/>
      <c r="AC170" s="20"/>
      <c r="AD170" s="20">
        <f>IFERROR(VLOOKUP(Data[[#This Row],[TDS]],ExtCompactors_PNA[[Development]:[0]],3,FALSE)+VLOOKUP(Data[[#This Row],[TDS]],ExtCompactors_PNA[[Development]:[0]],6,FALSE),0)</f>
        <v>0</v>
      </c>
      <c r="AE170" s="20">
        <f>IFERROR(VLOOKUP(Data[[#This Row],[TDS]],IntCompactors_PNA[[TDS]:[0]],3,FALSE)+VLOOKUP(Data[[#This Row],[TDS]],IntCompactors_PNA[[TDS]:[0]],6,FALSE),0)</f>
        <v>3</v>
      </c>
      <c r="AF170" s="20" t="e">
        <f>VLOOKUP(Data[[#This Row],[DEVELOPMENT]],[3]Developments!$A$2:$A$312,1,FALSE)</f>
        <v>#N/A</v>
      </c>
      <c r="AG170" s="20">
        <f>IFERROR(VLOOKUP(Data[[#This Row],[DEVELOPMENT]],Ops_Priorities_and_Data_Clean[[development]:[ifnoext_comment]],3,FALSE),"")</f>
        <v>0</v>
      </c>
      <c r="AH170" s="20">
        <f>IFERROR(VLOOKUP(Data[[#This Row],[DEVELOPMENT]],Ops_Priorities_and_Data_Clean[[development]:[ifnoext_comment]],4,FALSE),"")</f>
        <v>0</v>
      </c>
      <c r="AI170" s="20">
        <f>IFERROR(VLOOKUP(Data[[#This Row],[DEVELOPMENT]],Ops_Priorities_and_Data_Clean[[development]:[ifnoext_comment]],5,FALSE),"")</f>
        <v>0</v>
      </c>
      <c r="AJ170" s="20">
        <f>IFERROR(VLOOKUP(Data[[#This Row],[DEVELOPMENT]],Ops_Priorities_and_Data_Clean[[development]:[ifnoext_comment]],6,FALSE),"")</f>
        <v>0</v>
      </c>
      <c r="AK170" s="20">
        <f>IFERROR(VLOOKUP(Data[[#This Row],[DEVELOPMENT]],Ops_Priorities_and_Data_Clean[[development]:[ifnoext_comment]],7,FALSE),"")</f>
        <v>1</v>
      </c>
      <c r="AL170" s="20">
        <f>IFERROR(VLOOKUP(Data[[#This Row],[DEVELOPMENT]],Ops_Priorities_and_Data_Clean[[development]:[ifnoext_comment]],8,FALSE),"")</f>
        <v>1</v>
      </c>
      <c r="AM170" s="20">
        <f>IFERROR(VLOOKUP(Data[[#This Row],[DEVELOPMENT]],Ops_Priorities_and_Data_Clean[[development]:[ifnoext_comment]],9,FALSE),"")</f>
        <v>1</v>
      </c>
      <c r="AN170" s="20">
        <f>IFERROR(VLOOKUP(Data[[#This Row],[DEVELOPMENT]],Ops_Priorities_and_Data_Clean[[development]:[ifnoext_comment]],10,FALSE),"")</f>
        <v>3</v>
      </c>
      <c r="AO170" s="20">
        <f>IFERROR(VLOOKUP(Data[[#This Row],[DEVELOPMENT]],Ops_Priorities_and_Data_Clean[[development]:[ifnoext_comment]],11,FALSE),"")</f>
        <v>0</v>
      </c>
      <c r="AP170" s="20">
        <f>IFERROR(VLOOKUP(Data[[#This Row],[DEVELOPMENT]],Ops_Priorities_and_Data_Clean[[development]:[ifnoext_comment]],12,FALSE),"")</f>
        <v>0</v>
      </c>
      <c r="AQ170" s="20">
        <f>VLOOKUP(Data[[#This Row],[DEVELOPMENT]],Ops_Priorities_and_Data_Clean[[development]:[ifnoext_comment]],14,FALSE)</f>
        <v>0</v>
      </c>
      <c r="AR170" s="20">
        <f>VLOOKUP(Data[[#This Row],[DEVELOPMENT]],Ops_Priorities_and_Data_Clean[[development]:[ifnoext_comment]],15,FALSE)</f>
        <v>0</v>
      </c>
      <c r="AS170" s="20" t="str">
        <f>VLOOKUP(Data[[#This Row],[DEVELOPMENT]],Ops_Priorities_and_Data_Clean[[development]:[ifnoext_comment]],16,FALSE)</f>
        <v>NULL</v>
      </c>
      <c r="AT170" s="20" t="str">
        <f>VLOOKUP(Data[[#This Row],[DEVELOPMENT]],Ops_Priorities_and_Data_Clean[[development]:[ifnoext_comment]],17,FALSE)</f>
        <v>Mayor Seth Low Houses- Sanitation picks up from dumpsite, Monday, Wednesday &amp; Fridays use Bobcat to load garbage truck. They do not have curbside or Easypass.</v>
      </c>
      <c r="AU170" s="20" t="str">
        <f>VLOOKUP(Data[[#This Row],[DEVELOPMENT]],Ops_Priorities_and_Data_Clean[[development]:[ifnoext_comment]],18,FALSE)</f>
        <v>NULL</v>
      </c>
      <c r="AV170" s="20" t="str">
        <f>VLOOKUP(Data[[#This Row],[DEVELOPMENT]],Ops_Priorities_and_Data_Clean[[development]:[ifnoext_comment]],19,FALSE)</f>
        <v>NULL</v>
      </c>
      <c r="AW170" s="20" t="str">
        <f>VLOOKUP(Data[[#This Row],[DEVELOPMENT]],Ops_Priorities_and_Data_Clean[[development]:[ifnoext_comment]],20,FALSE)</f>
        <v>NULL</v>
      </c>
      <c r="AX170" s="104" t="s">
        <v>2602</v>
      </c>
      <c r="AY170" s="104" t="s">
        <v>392</v>
      </c>
      <c r="AZ170" s="20" t="str">
        <f>VLOOKUP(Data[[#This Row],[DEVELOPMENT]],Development_Data_Book[[DEVELOPMENT]:[PRIVATE MANAGEMENT]],8,FALSE)</f>
        <v>FEDERAL</v>
      </c>
      <c r="BA170" s="104" t="s">
        <v>2586</v>
      </c>
      <c r="BB170" s="20">
        <f>VLOOKUP(Data[[#This Row],[DEVELOPMENT]],Development_Data_Book[[DEVELOPMENT]:[PRIVATE MANAGEMENT]],22,FALSE)</f>
        <v>0</v>
      </c>
      <c r="BC170" s="20">
        <f>Data[[#This Row],[Non-Dwelling Buildings]]+Data[[#This Row],[Dwelling Buildings]]</f>
        <v>4</v>
      </c>
      <c r="BD170" s="20">
        <f>VLOOKUP(Data[[#This Row],[DEVELOPMENT]],Development_Data_Book[[DEVELOPMENT]:[PRIVATE MANAGEMENT]],26,FALSE)</f>
        <v>5.89</v>
      </c>
      <c r="BE170" s="106">
        <v>541000</v>
      </c>
      <c r="BF170" s="20">
        <f>VLOOKUP(Data[[#This Row],[DEVELOPMENT]],Development_Data_Book[[DEVELOPMENT]:[PRIVATE MANAGEMENT]],18,FALSE)</f>
        <v>1358</v>
      </c>
      <c r="BG17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70" s="104" t="s">
        <v>2589</v>
      </c>
      <c r="BI170" t="s">
        <v>184</v>
      </c>
      <c r="BJ170" s="20">
        <f>VLOOKUP(Data[[#This Row],[DEVELOPMENT]],Development_Data_Book[[DEVELOPMENT]:[PRIVATE MANAGEMENT]],41,FALSE)</f>
        <v>16</v>
      </c>
      <c r="BK170" s="20">
        <f>VLOOKUP(Data[[#This Row],[DEVELOPMENT]],Development_Data_Book[[DEVELOPMENT]:[PRIVATE MANAGEMENT]],42,FALSE)</f>
        <v>8</v>
      </c>
      <c r="BL170" s="20" t="str">
        <f>VLOOKUP(Data[[#This Row],[DEVELOPMENT]],Development_Data_Book[[DEVELOPMENT]:[PRIVATE MANAGEMENT]],43,FALSE)</f>
        <v>19, 20</v>
      </c>
      <c r="BM170" s="20">
        <f>VLOOKUP(Data[[#This Row],[DEVELOPMENT]],Development_Data_Book[[DEVELOPMENT]:[PRIVATE MANAGEMENT]],44,FALSE)</f>
        <v>55</v>
      </c>
      <c r="BN170" s="20">
        <f>VLOOKUP(Data[[#This Row],[DEVELOPMENT]],Development_Data_Book[[DEVELOPMENT]:[PRIVATE MANAGEMENT]],45,FALSE)</f>
        <v>41</v>
      </c>
      <c r="BO170" s="20" t="str">
        <f>VLOOKUP(Data[[#This Row],[DEVELOPMENT]],Development_Data_Book[[DEVELOPMENT]:[PRIVATE MANAGEMENT]],24,FALSE)</f>
        <v>17-18</v>
      </c>
    </row>
    <row r="171" spans="1:67">
      <c r="A171" s="17" t="s">
        <v>62</v>
      </c>
      <c r="B171" s="17" t="str">
        <f>VLOOKUP(Data[[#This Row],[DEVELOPMENT]],Development_Data_Book[[DEVELOPMENT]:[BOROUGH]],MATCH("borough",Development_Data_Book[[#Headers],[DEVELOPMENT]:[BOROUGH]],0),FALSE)</f>
        <v>MANHATTAN</v>
      </c>
      <c r="C171" t="e">
        <f>VLOOKUP(Data[[#This Row],[DEVELOPMENT]],'[1]Cheat-Sheet'!$D$2:$Q$341,2,FALSE)</f>
        <v>#N/A</v>
      </c>
      <c r="D17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71">
        <f>VLOOKUP(Data[[#This Row],[DEVELOPMENT]],Development_Data_Book[[DEVELOPMENT]:[BOROUGH]],21,FALSE)</f>
        <v>5</v>
      </c>
      <c r="F171">
        <f>VLOOKUP(Data[[#This Row],[DEVELOPMENT]],Development_Data_Book[[DEVELOPMENT]:[BOROUGH]],23,FALSE)</f>
        <v>15</v>
      </c>
      <c r="G171">
        <f>VLOOKUP(Data[[#This Row],[DEVELOPMENT]],Development_Data_Book[[DEVELOPMENT]:[BOROUGH]],12,FALSE)</f>
        <v>189</v>
      </c>
      <c r="H171" t="s">
        <v>2246</v>
      </c>
      <c r="I171">
        <v>3</v>
      </c>
      <c r="J171">
        <f>IFERROR(VLOOKUP(Data[[#This Row],[DEVELOPMENT]],IntCompactors_MRST[],4,FALSE),0)</f>
        <v>1</v>
      </c>
      <c r="K171" s="20">
        <f>IFERROR(VLOOKUP(Data[[#This Row],[DEVELOPMENT]],ExtCompactors_MRST[],4,FALSE),0)</f>
        <v>0</v>
      </c>
      <c r="L171" s="27">
        <f>IF(Data[[#This Row],['# Interior Compactors MRST]]=0,"",VLOOKUP(Data[[#This Row],[DEVELOPMENT]],IntCompactors_MRST[],5,FALSE))</f>
        <v>31413</v>
      </c>
      <c r="M171" s="28" t="str">
        <f>IF(Data[[#This Row],['# Exterior Compactors MRST]]=0,"",VLOOKUP(Data[[#This Row],[DEVELOPMENT]],ExtCompactors_MRST[],5,FALSE))</f>
        <v/>
      </c>
      <c r="N171">
        <f>Data[[#This Row],['# Interior Compactors MRST]]</f>
        <v>1</v>
      </c>
      <c r="O171" s="20">
        <f>IF(Data[[#This Row],['# Bulk Crushers]]=0,1,0)</f>
        <v>1</v>
      </c>
      <c r="P171" s="20">
        <f>1</f>
        <v>1</v>
      </c>
      <c r="Q171" s="20">
        <f>1</f>
        <v>1</v>
      </c>
      <c r="R171" s="20">
        <f>1</f>
        <v>1</v>
      </c>
      <c r="S171" s="20">
        <f>1</f>
        <v>1</v>
      </c>
      <c r="T171" s="20">
        <f>IF(Data[[#This Row],[Sewershed]]="Newtown Creek",Data[[#This Row],[DUs]],0)</f>
        <v>189</v>
      </c>
      <c r="U17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7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7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71" s="82">
        <f>VLOOKUP(Data[[#This Row],[DEVELOPMENT]],Development_Data_Book[[DEVELOPMENT]:[BOROUGH]],3,FALSE)</f>
        <v>326</v>
      </c>
      <c r="Y171" s="20" t="s">
        <v>2599</v>
      </c>
      <c r="Z171" s="20">
        <f>IFERROR(VLOOKUP(Data[[#This Row],[TDS]],ExtCompactors_PNA[[Development]:[0]],2,FALSE),0)</f>
        <v>0</v>
      </c>
      <c r="AA171" s="20">
        <f>IFERROR(VLOOKUP(Data[[#This Row],[TDS]],IntCompactors_PNA[[TDS]:[0]],2,FALSE),0)</f>
        <v>0</v>
      </c>
      <c r="AB171" s="20"/>
      <c r="AC171" s="20"/>
      <c r="AD171" s="20">
        <f>IFERROR(VLOOKUP(Data[[#This Row],[TDS]],ExtCompactors_PNA[[Development]:[0]],3,FALSE)+VLOOKUP(Data[[#This Row],[TDS]],ExtCompactors_PNA[[Development]:[0]],6,FALSE),0)</f>
        <v>0</v>
      </c>
      <c r="AE171" s="20">
        <f>IFERROR(VLOOKUP(Data[[#This Row],[TDS]],IntCompactors_PNA[[TDS]:[0]],3,FALSE)+VLOOKUP(Data[[#This Row],[TDS]],IntCompactors_PNA[[TDS]:[0]],6,FALSE),0)</f>
        <v>0</v>
      </c>
      <c r="AF171" s="20" t="e">
        <f>VLOOKUP(Data[[#This Row],[DEVELOPMENT]],[3]Developments!$A$2:$A$312,1,FALSE)</f>
        <v>#N/A</v>
      </c>
      <c r="AG171" s="20">
        <f>IFERROR(VLOOKUP(Data[[#This Row],[DEVELOPMENT]],Ops_Priorities_and_Data_Clean[[development]:[ifnoext_comment]],3,FALSE),"")</f>
        <v>0</v>
      </c>
      <c r="AH171" s="20">
        <f>IFERROR(VLOOKUP(Data[[#This Row],[DEVELOPMENT]],Ops_Priorities_and_Data_Clean[[development]:[ifnoext_comment]],4,FALSE),"")</f>
        <v>2</v>
      </c>
      <c r="AI171" s="20">
        <f>IFERROR(VLOOKUP(Data[[#This Row],[DEVELOPMENT]],Ops_Priorities_and_Data_Clean[[development]:[ifnoext_comment]],5,FALSE),"")</f>
        <v>0</v>
      </c>
      <c r="AJ171" s="20">
        <f>IFERROR(VLOOKUP(Data[[#This Row],[DEVELOPMENT]],Ops_Priorities_and_Data_Clean[[development]:[ifnoext_comment]],6,FALSE),"")</f>
        <v>1</v>
      </c>
      <c r="AK171" s="20">
        <f>IFERROR(VLOOKUP(Data[[#This Row],[DEVELOPMENT]],Ops_Priorities_and_Data_Clean[[development]:[ifnoext_comment]],7,FALSE),"")</f>
        <v>0</v>
      </c>
      <c r="AL171" s="20">
        <f>IFERROR(VLOOKUP(Data[[#This Row],[DEVELOPMENT]],Ops_Priorities_and_Data_Clean[[development]:[ifnoext_comment]],8,FALSE),"")</f>
        <v>1</v>
      </c>
      <c r="AM171" s="20">
        <f>IFERROR(VLOOKUP(Data[[#This Row],[DEVELOPMENT]],Ops_Priorities_and_Data_Clean[[development]:[ifnoext_comment]],9,FALSE),"")</f>
        <v>1</v>
      </c>
      <c r="AN171" s="20">
        <f>IFERROR(VLOOKUP(Data[[#This Row],[DEVELOPMENT]],Ops_Priorities_and_Data_Clean[[development]:[ifnoext_comment]],10,FALSE),"")</f>
        <v>0</v>
      </c>
      <c r="AO171" s="20">
        <f>IFERROR(VLOOKUP(Data[[#This Row],[DEVELOPMENT]],Ops_Priorities_and_Data_Clean[[development]:[ifnoext_comment]],11,FALSE),"")</f>
        <v>0</v>
      </c>
      <c r="AP171" s="20">
        <f>IFERROR(VLOOKUP(Data[[#This Row],[DEVELOPMENT]],Ops_Priorities_and_Data_Clean[[development]:[ifnoext_comment]],12,FALSE),"")</f>
        <v>0</v>
      </c>
      <c r="AQ171" s="20">
        <f>VLOOKUP(Data[[#This Row],[DEVELOPMENT]],Ops_Priorities_and_Data_Clean[[development]:[ifnoext_comment]],14,FALSE)</f>
        <v>0</v>
      </c>
      <c r="AR171" s="20">
        <f>VLOOKUP(Data[[#This Row],[DEVELOPMENT]],Ops_Priorities_and_Data_Clean[[development]:[ifnoext_comment]],15,FALSE)</f>
        <v>1</v>
      </c>
      <c r="AS171" s="20" t="str">
        <f>VLOOKUP(Data[[#This Row],[DEVELOPMENT]],Ops_Priorities_and_Data_Clean[[development]:[ifnoext_comment]],16,FALSE)</f>
        <v>Gompers</v>
      </c>
      <c r="AT171" s="20" t="str">
        <f>VLOOKUP(Data[[#This Row],[DEVELOPMENT]],Ops_Priorities_and_Data_Clean[[development]:[ifnoext_comment]],17,FALSE)</f>
        <v>NULL</v>
      </c>
      <c r="AU171" s="20" t="str">
        <f>VLOOKUP(Data[[#This Row],[DEVELOPMENT]],Ops_Priorities_and_Data_Clean[[development]:[ifnoext_comment]],18,FALSE)</f>
        <v>TBD</v>
      </c>
      <c r="AV171" s="20" t="str">
        <f>VLOOKUP(Data[[#This Row],[DEVELOPMENT]],Ops_Priorities_and_Data_Clean[[development]:[ifnoext_comment]],19,FALSE)</f>
        <v>left on curb for pickup to Gompers twice a day.  One truck for entire consolidation, all uses</v>
      </c>
      <c r="AW171" s="20" t="str">
        <f>VLOOKUP(Data[[#This Row],[DEVELOPMENT]],Ops_Priorities_and_Data_Clean[[development]:[ifnoext_comment]],20,FALSE)</f>
        <v>NULL</v>
      </c>
      <c r="AX171" s="104" t="s">
        <v>2239</v>
      </c>
      <c r="AY171" s="104" t="s">
        <v>2160</v>
      </c>
      <c r="AZ171" s="20" t="str">
        <f>VLOOKUP(Data[[#This Row],[DEVELOPMENT]],Development_Data_Book[[DEVELOPMENT]:[PRIVATE MANAGEMENT]],8,FALSE)</f>
        <v>FEDERAL</v>
      </c>
      <c r="BA171" s="104" t="s">
        <v>2613</v>
      </c>
      <c r="BB171" s="20">
        <f>VLOOKUP(Data[[#This Row],[DEVELOPMENT]],Development_Data_Book[[DEVELOPMENT]:[PRIVATE MANAGEMENT]],22,FALSE)</f>
        <v>0</v>
      </c>
      <c r="BC171" s="20">
        <f>Data[[#This Row],[Non-Dwelling Buildings]]+Data[[#This Row],[Dwelling Buildings]]</f>
        <v>5</v>
      </c>
      <c r="BD171" s="20">
        <f>VLOOKUP(Data[[#This Row],[DEVELOPMENT]],Development_Data_Book[[DEVELOPMENT]:[PRIVATE MANAGEMENT]],26,FALSE)</f>
        <v>1.98</v>
      </c>
      <c r="BE171" s="106">
        <v>201034</v>
      </c>
      <c r="BF171" s="20">
        <f>VLOOKUP(Data[[#This Row],[DEVELOPMENT]],Development_Data_Book[[DEVELOPMENT]:[PRIVATE MANAGEMENT]],18,FALSE)</f>
        <v>361</v>
      </c>
      <c r="BG171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171" s="104" t="s">
        <v>2607</v>
      </c>
      <c r="BI171" t="s">
        <v>184</v>
      </c>
      <c r="BJ171" s="20">
        <f>VLOOKUP(Data[[#This Row],[DEVELOPMENT]],Development_Data_Book[[DEVELOPMENT]:[PRIVATE MANAGEMENT]],41,FALSE)</f>
        <v>3</v>
      </c>
      <c r="BK171" s="20">
        <f>VLOOKUP(Data[[#This Row],[DEVELOPMENT]],Development_Data_Book[[DEVELOPMENT]:[PRIVATE MANAGEMENT]],42,FALSE)</f>
        <v>7</v>
      </c>
      <c r="BL171" s="20">
        <f>VLOOKUP(Data[[#This Row],[DEVELOPMENT]],Development_Data_Book[[DEVELOPMENT]:[PRIVATE MANAGEMENT]],43,FALSE)</f>
        <v>26</v>
      </c>
      <c r="BM171" s="20">
        <f>VLOOKUP(Data[[#This Row],[DEVELOPMENT]],Development_Data_Book[[DEVELOPMENT]:[PRIVATE MANAGEMENT]],44,FALSE)</f>
        <v>65</v>
      </c>
      <c r="BN171" s="20">
        <f>VLOOKUP(Data[[#This Row],[DEVELOPMENT]],Development_Data_Book[[DEVELOPMENT]:[PRIVATE MANAGEMENT]],45,FALSE)</f>
        <v>1</v>
      </c>
      <c r="BO171" s="20">
        <f>VLOOKUP(Data[[#This Row],[DEVELOPMENT]],Development_Data_Book[[DEVELOPMENT]:[PRIVATE MANAGEMENT]],24,FALSE)</f>
        <v>43564</v>
      </c>
    </row>
    <row r="172" spans="1:67">
      <c r="A172" s="17" t="s">
        <v>63</v>
      </c>
      <c r="B172" s="17" t="str">
        <f>VLOOKUP(Data[[#This Row],[DEVELOPMENT]],Development_Data_Book[[DEVELOPMENT]:[BOROUGH]],MATCH("borough",Development_Data_Book[[#Headers],[DEVELOPMENT]:[BOROUGH]],0),FALSE)</f>
        <v>MANHATTAN</v>
      </c>
      <c r="C172" t="e">
        <f>VLOOKUP(Data[[#This Row],[DEVELOPMENT]],'[1]Cheat-Sheet'!$D$2:$Q$341,2,FALSE)</f>
        <v>#N/A</v>
      </c>
      <c r="D17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72">
        <f>VLOOKUP(Data[[#This Row],[DEVELOPMENT]],Development_Data_Book[[DEVELOPMENT]:[BOROUGH]],21,FALSE)</f>
        <v>4</v>
      </c>
      <c r="F172">
        <f>VLOOKUP(Data[[#This Row],[DEVELOPMENT]],Development_Data_Book[[DEVELOPMENT]:[BOROUGH]],23,FALSE)</f>
        <v>32</v>
      </c>
      <c r="G172">
        <f>VLOOKUP(Data[[#This Row],[DEVELOPMENT]],Development_Data_Book[[DEVELOPMENT]:[BOROUGH]],12,FALSE)</f>
        <v>188</v>
      </c>
      <c r="H172" t="s">
        <v>2246</v>
      </c>
      <c r="I172">
        <v>4</v>
      </c>
      <c r="J172">
        <f>IFERROR(VLOOKUP(Data[[#This Row],[DEVELOPMENT]],IntCompactors_MRST[],4,FALSE),0)</f>
        <v>1</v>
      </c>
      <c r="K172" s="20">
        <f>IFERROR(VLOOKUP(Data[[#This Row],[DEVELOPMENT]],ExtCompactors_MRST[],4,FALSE),0)</f>
        <v>0</v>
      </c>
      <c r="L172" s="27">
        <f>IF(Data[[#This Row],['# Interior Compactors MRST]]=0,"",VLOOKUP(Data[[#This Row],[DEVELOPMENT]],IntCompactors_MRST[],5,FALSE))</f>
        <v>30317</v>
      </c>
      <c r="M172" s="28" t="str">
        <f>IF(Data[[#This Row],['# Exterior Compactors MRST]]=0,"",VLOOKUP(Data[[#This Row],[DEVELOPMENT]],ExtCompactors_MRST[],5,FALSE))</f>
        <v/>
      </c>
      <c r="N172">
        <f>Data[[#This Row],['# Interior Compactors MRST]]</f>
        <v>1</v>
      </c>
      <c r="O172" s="20">
        <f>IF(Data[[#This Row],['# Bulk Crushers]]=0,1,0)</f>
        <v>1</v>
      </c>
      <c r="P172" s="20">
        <f>1</f>
        <v>1</v>
      </c>
      <c r="Q172" s="20">
        <f>1</f>
        <v>1</v>
      </c>
      <c r="R172" s="20">
        <f>1</f>
        <v>1</v>
      </c>
      <c r="S172" s="20">
        <f>1</f>
        <v>1</v>
      </c>
      <c r="T172" s="20">
        <f>IF(Data[[#This Row],[Sewershed]]="Newtown Creek",Data[[#This Row],[DUs]],0)</f>
        <v>188</v>
      </c>
      <c r="U17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7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7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72" s="82">
        <f>VLOOKUP(Data[[#This Row],[DEVELOPMENT]],Development_Data_Book[[DEVELOPMENT]:[BOROUGH]],3,FALSE)</f>
        <v>337</v>
      </c>
      <c r="Y172" s="20" t="s">
        <v>2599</v>
      </c>
      <c r="Z172" s="20">
        <f>IFERROR(VLOOKUP(Data[[#This Row],[TDS]],ExtCompactors_PNA[[Development]:[0]],2,FALSE),0)</f>
        <v>0</v>
      </c>
      <c r="AA172" s="20">
        <f>IFERROR(VLOOKUP(Data[[#This Row],[TDS]],IntCompactors_PNA[[TDS]:[0]],2,FALSE),0)</f>
        <v>0</v>
      </c>
      <c r="AB172" s="20"/>
      <c r="AC172" s="20"/>
      <c r="AD172" s="20">
        <f>IFERROR(VLOOKUP(Data[[#This Row],[TDS]],ExtCompactors_PNA[[Development]:[0]],3,FALSE)+VLOOKUP(Data[[#This Row],[TDS]],ExtCompactors_PNA[[Development]:[0]],6,FALSE),0)</f>
        <v>0</v>
      </c>
      <c r="AE172" s="20">
        <f>IFERROR(VLOOKUP(Data[[#This Row],[TDS]],IntCompactors_PNA[[TDS]:[0]],3,FALSE)+VLOOKUP(Data[[#This Row],[TDS]],IntCompactors_PNA[[TDS]:[0]],6,FALSE),0)</f>
        <v>0</v>
      </c>
      <c r="AF172" s="20" t="e">
        <f>VLOOKUP(Data[[#This Row],[DEVELOPMENT]],[3]Developments!$A$2:$A$312,1,FALSE)</f>
        <v>#N/A</v>
      </c>
      <c r="AG172" s="20">
        <f>IFERROR(VLOOKUP(Data[[#This Row],[DEVELOPMENT]],Ops_Priorities_and_Data_Clean[[development]:[ifnoext_comment]],3,FALSE),"")</f>
        <v>0</v>
      </c>
      <c r="AH172" s="20">
        <f>IFERROR(VLOOKUP(Data[[#This Row],[DEVELOPMENT]],Ops_Priorities_and_Data_Clean[[development]:[ifnoext_comment]],4,FALSE),"")</f>
        <v>0</v>
      </c>
      <c r="AI172" s="20">
        <f>IFERROR(VLOOKUP(Data[[#This Row],[DEVELOPMENT]],Ops_Priorities_and_Data_Clean[[development]:[ifnoext_comment]],5,FALSE),"")</f>
        <v>0</v>
      </c>
      <c r="AJ172" s="20">
        <f>IFERROR(VLOOKUP(Data[[#This Row],[DEVELOPMENT]],Ops_Priorities_and_Data_Clean[[development]:[ifnoext_comment]],6,FALSE),"")</f>
        <v>0</v>
      </c>
      <c r="AK172" s="20">
        <f>IFERROR(VLOOKUP(Data[[#This Row],[DEVELOPMENT]],Ops_Priorities_and_Data_Clean[[development]:[ifnoext_comment]],7,FALSE),"")</f>
        <v>1</v>
      </c>
      <c r="AL172" s="20">
        <f>IFERROR(VLOOKUP(Data[[#This Row],[DEVELOPMENT]],Ops_Priorities_and_Data_Clean[[development]:[ifnoext_comment]],8,FALSE),"")</f>
        <v>1</v>
      </c>
      <c r="AM172" s="20">
        <f>IFERROR(VLOOKUP(Data[[#This Row],[DEVELOPMENT]],Ops_Priorities_and_Data_Clean[[development]:[ifnoext_comment]],9,FALSE),"")</f>
        <v>0</v>
      </c>
      <c r="AN172" s="20">
        <f>IFERROR(VLOOKUP(Data[[#This Row],[DEVELOPMENT]],Ops_Priorities_and_Data_Clean[[development]:[ifnoext_comment]],10,FALSE),"")</f>
        <v>0</v>
      </c>
      <c r="AO172" s="20">
        <f>IFERROR(VLOOKUP(Data[[#This Row],[DEVELOPMENT]],Ops_Priorities_and_Data_Clean[[development]:[ifnoext_comment]],11,FALSE),"")</f>
        <v>0</v>
      </c>
      <c r="AP172" s="20">
        <f>IFERROR(VLOOKUP(Data[[#This Row],[DEVELOPMENT]],Ops_Priorities_and_Data_Clean[[development]:[ifnoext_comment]],12,FALSE),"")</f>
        <v>0</v>
      </c>
      <c r="AQ172" s="20">
        <f>VLOOKUP(Data[[#This Row],[DEVELOPMENT]],Ops_Priorities_and_Data_Clean[[development]:[ifnoext_comment]],14,FALSE)</f>
        <v>1</v>
      </c>
      <c r="AR172" s="20">
        <f>VLOOKUP(Data[[#This Row],[DEVELOPMENT]],Ops_Priorities_and_Data_Clean[[development]:[ifnoext_comment]],15,FALSE)</f>
        <v>0</v>
      </c>
      <c r="AS172" s="20" t="str">
        <f>VLOOKUP(Data[[#This Row],[DEVELOPMENT]],Ops_Priorities_and_Data_Clean[[development]:[ifnoext_comment]],16,FALSE)</f>
        <v>NULL</v>
      </c>
      <c r="AT172" s="20" t="str">
        <f>VLOOKUP(Data[[#This Row],[DEVELOPMENT]],Ops_Priorities_and_Data_Clean[[development]:[ifnoext_comment]],17,FALSE)</f>
        <v>NULL</v>
      </c>
      <c r="AU172" s="20" t="str">
        <f>VLOOKUP(Data[[#This Row],[DEVELOPMENT]],Ops_Priorities_and_Data_Clean[[development]:[ifnoext_comment]],18,FALSE)</f>
        <v>TBD</v>
      </c>
      <c r="AV172" s="20" t="str">
        <f>VLOOKUP(Data[[#This Row],[DEVELOPMENT]],Ops_Priorities_and_Data_Clean[[development]:[ifnoext_comment]],19,FALSE)</f>
        <v>curbside? CHECK</v>
      </c>
      <c r="AW172" s="20" t="str">
        <f>VLOOKUP(Data[[#This Row],[DEVELOPMENT]],Ops_Priorities_and_Data_Clean[[development]:[ifnoext_comment]],20,FALSE)</f>
        <v>NULL</v>
      </c>
      <c r="AX172" s="104" t="s">
        <v>2239</v>
      </c>
      <c r="AY172" s="104" t="s">
        <v>2160</v>
      </c>
      <c r="AZ172" s="20" t="str">
        <f>VLOOKUP(Data[[#This Row],[DEVELOPMENT]],Development_Data_Book[[DEVELOPMENT]:[PRIVATE MANAGEMENT]],8,FALSE)</f>
        <v>FEDERAL</v>
      </c>
      <c r="BA172" s="104" t="s">
        <v>2588</v>
      </c>
      <c r="BB172" s="20">
        <f>VLOOKUP(Data[[#This Row],[DEVELOPMENT]],Development_Data_Book[[DEVELOPMENT]:[PRIVATE MANAGEMENT]],22,FALSE)</f>
        <v>1</v>
      </c>
      <c r="BC172" s="20">
        <f>Data[[#This Row],[Non-Dwelling Buildings]]+Data[[#This Row],[Dwelling Buildings]]</f>
        <v>5</v>
      </c>
      <c r="BD172" s="20">
        <f>VLOOKUP(Data[[#This Row],[DEVELOPMENT]],Development_Data_Book[[DEVELOPMENT]:[PRIVATE MANAGEMENT]],26,FALSE)</f>
        <v>3.85</v>
      </c>
      <c r="BE172" s="106">
        <v>193140</v>
      </c>
      <c r="BF172" s="20">
        <f>VLOOKUP(Data[[#This Row],[DEVELOPMENT]],Development_Data_Book[[DEVELOPMENT]:[PRIVATE MANAGEMENT]],18,FALSE)</f>
        <v>433</v>
      </c>
      <c r="BG17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72" s="104" t="s">
        <v>2607</v>
      </c>
      <c r="BI172" t="s">
        <v>184</v>
      </c>
      <c r="BJ172" s="20">
        <f>VLOOKUP(Data[[#This Row],[DEVELOPMENT]],Development_Data_Book[[DEVELOPMENT]:[PRIVATE MANAGEMENT]],41,FALSE)</f>
        <v>3</v>
      </c>
      <c r="BK172" s="20">
        <f>VLOOKUP(Data[[#This Row],[DEVELOPMENT]],Development_Data_Book[[DEVELOPMENT]:[PRIVATE MANAGEMENT]],42,FALSE)</f>
        <v>12</v>
      </c>
      <c r="BL172" s="20">
        <f>VLOOKUP(Data[[#This Row],[DEVELOPMENT]],Development_Data_Book[[DEVELOPMENT]:[PRIVATE MANAGEMENT]],43,FALSE)</f>
        <v>26</v>
      </c>
      <c r="BM172" s="20">
        <f>VLOOKUP(Data[[#This Row],[DEVELOPMENT]],Development_Data_Book[[DEVELOPMENT]:[PRIVATE MANAGEMENT]],44,FALSE)</f>
        <v>74</v>
      </c>
      <c r="BN172" s="20">
        <f>VLOOKUP(Data[[#This Row],[DEVELOPMENT]],Development_Data_Book[[DEVELOPMENT]:[PRIVATE MANAGEMENT]],45,FALSE)</f>
        <v>2</v>
      </c>
      <c r="BO172" s="20">
        <f>VLOOKUP(Data[[#This Row],[DEVELOPMENT]],Development_Data_Book[[DEVELOPMENT]:[PRIVATE MANAGEMENT]],24,FALSE)</f>
        <v>3</v>
      </c>
    </row>
    <row r="173" spans="1:67">
      <c r="A173" s="17" t="s">
        <v>247</v>
      </c>
      <c r="B173" s="17" t="str">
        <f>VLOOKUP(Data[[#This Row],[DEVELOPMENT]],Development_Data_Book[[DEVELOPMENT]:[BOROUGH]],MATCH("borough",Development_Data_Book[[#Headers],[DEVELOPMENT]:[BOROUGH]],0),FALSE)</f>
        <v>MANHATTAN</v>
      </c>
      <c r="C173" t="e">
        <f>VLOOKUP(Data[[#This Row],[DEVELOPMENT]],'[1]Cheat-Sheet'!$D$2:$Q$341,2,FALSE)</f>
        <v>#N/A</v>
      </c>
      <c r="D17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73">
        <f>VLOOKUP(Data[[#This Row],[DEVELOPMENT]],Development_Data_Book[[DEVELOPMENT]:[BOROUGH]],21,FALSE)</f>
        <v>2</v>
      </c>
      <c r="F173">
        <f>VLOOKUP(Data[[#This Row],[DEVELOPMENT]],Development_Data_Book[[DEVELOPMENT]:[BOROUGH]],23,FALSE)</f>
        <v>3</v>
      </c>
      <c r="G173">
        <f>VLOOKUP(Data[[#This Row],[DEVELOPMENT]],Development_Data_Book[[DEVELOPMENT]:[BOROUGH]],12,FALSE)</f>
        <v>56</v>
      </c>
      <c r="H173" t="s">
        <v>2246</v>
      </c>
      <c r="I173">
        <v>4</v>
      </c>
      <c r="J173">
        <f>IFERROR(VLOOKUP(Data[[#This Row],[DEVELOPMENT]],IntCompactors_MRST[],4,FALSE),0)</f>
        <v>0</v>
      </c>
      <c r="K173" s="20">
        <f>IFERROR(VLOOKUP(Data[[#This Row],[DEVELOPMENT]],ExtCompactors_MRST[],4,FALSE),0)</f>
        <v>0</v>
      </c>
      <c r="L173" s="27" t="str">
        <f>IF(Data[[#This Row],['# Interior Compactors MRST]]=0,"",VLOOKUP(Data[[#This Row],[DEVELOPMENT]],IntCompactors_MRST[],5,FALSE))</f>
        <v/>
      </c>
      <c r="M173" s="28" t="str">
        <f>IF(Data[[#This Row],['# Exterior Compactors MRST]]=0,"",VLOOKUP(Data[[#This Row],[DEVELOPMENT]],ExtCompactors_MRST[],5,FALSE))</f>
        <v/>
      </c>
      <c r="N173">
        <f>Data[[#This Row],['# Interior Compactors MRST]]</f>
        <v>0</v>
      </c>
      <c r="O173" s="20">
        <f>IF(Data[[#This Row],['# Bulk Crushers]]=0,1,0)</f>
        <v>1</v>
      </c>
      <c r="P173" s="20">
        <f>1</f>
        <v>1</v>
      </c>
      <c r="Q173" s="20">
        <f>1</f>
        <v>1</v>
      </c>
      <c r="R173" s="20">
        <f>1</f>
        <v>1</v>
      </c>
      <c r="S173" s="20">
        <f>1</f>
        <v>1</v>
      </c>
      <c r="T173" s="20">
        <f>IF(Data[[#This Row],[Sewershed]]="Newtown Creek",Data[[#This Row],[DUs]],0)</f>
        <v>56</v>
      </c>
      <c r="U17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7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7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73" s="82">
        <f>VLOOKUP(Data[[#This Row],[DEVELOPMENT]],Development_Data_Book[[DEVELOPMENT]:[BOROUGH]],3,FALSE)</f>
        <v>364</v>
      </c>
      <c r="Y173" s="20" t="s">
        <v>2599</v>
      </c>
      <c r="Z173" s="20">
        <f>IFERROR(VLOOKUP(Data[[#This Row],[TDS]],ExtCompactors_PNA[[Development]:[0]],2,FALSE),0)</f>
        <v>0</v>
      </c>
      <c r="AA173" s="20">
        <f>IFERROR(VLOOKUP(Data[[#This Row],[TDS]],IntCompactors_PNA[[TDS]:[0]],2,FALSE),0)</f>
        <v>0</v>
      </c>
      <c r="AB173" s="20"/>
      <c r="AC173" s="20"/>
      <c r="AD173" s="20">
        <f>IFERROR(VLOOKUP(Data[[#This Row],[TDS]],ExtCompactors_PNA[[Development]:[0]],3,FALSE)+VLOOKUP(Data[[#This Row],[TDS]],ExtCompactors_PNA[[Development]:[0]],6,FALSE),0)</f>
        <v>0</v>
      </c>
      <c r="AE173" s="20">
        <f>IFERROR(VLOOKUP(Data[[#This Row],[TDS]],IntCompactors_PNA[[TDS]:[0]],3,FALSE)+VLOOKUP(Data[[#This Row],[TDS]],IntCompactors_PNA[[TDS]:[0]],6,FALSE),0)</f>
        <v>0</v>
      </c>
      <c r="AF173" s="20" t="e">
        <f>VLOOKUP(Data[[#This Row],[DEVELOPMENT]],[3]Developments!$A$2:$A$312,1,FALSE)</f>
        <v>#N/A</v>
      </c>
      <c r="AG173" s="20">
        <f>IFERROR(VLOOKUP(Data[[#This Row],[DEVELOPMENT]],Ops_Priorities_and_Data_Clean[[development]:[ifnoext_comment]],3,FALSE),"")</f>
        <v>0</v>
      </c>
      <c r="AH173" s="20">
        <f>IFERROR(VLOOKUP(Data[[#This Row],[DEVELOPMENT]],Ops_Priorities_and_Data_Clean[[development]:[ifnoext_comment]],4,FALSE),"")</f>
        <v>0</v>
      </c>
      <c r="AI173" s="20">
        <f>IFERROR(VLOOKUP(Data[[#This Row],[DEVELOPMENT]],Ops_Priorities_and_Data_Clean[[development]:[ifnoext_comment]],5,FALSE),"")</f>
        <v>0</v>
      </c>
      <c r="AJ173" s="20">
        <f>IFERROR(VLOOKUP(Data[[#This Row],[DEVELOPMENT]],Ops_Priorities_and_Data_Clean[[development]:[ifnoext_comment]],6,FALSE),"")</f>
        <v>0</v>
      </c>
      <c r="AK173" s="20">
        <f>IFERROR(VLOOKUP(Data[[#This Row],[DEVELOPMENT]],Ops_Priorities_and_Data_Clean[[development]:[ifnoext_comment]],7,FALSE),"")</f>
        <v>1</v>
      </c>
      <c r="AL173" s="20">
        <f>IFERROR(VLOOKUP(Data[[#This Row],[DEVELOPMENT]],Ops_Priorities_and_Data_Clean[[development]:[ifnoext_comment]],8,FALSE),"")</f>
        <v>1</v>
      </c>
      <c r="AM173" s="20">
        <f>IFERROR(VLOOKUP(Data[[#This Row],[DEVELOPMENT]],Ops_Priorities_and_Data_Clean[[development]:[ifnoext_comment]],9,FALSE),"")</f>
        <v>0</v>
      </c>
      <c r="AN173" s="20">
        <f>IFERROR(VLOOKUP(Data[[#This Row],[DEVELOPMENT]],Ops_Priorities_and_Data_Clean[[development]:[ifnoext_comment]],10,FALSE),"")</f>
        <v>0</v>
      </c>
      <c r="AO173" s="20">
        <f>IFERROR(VLOOKUP(Data[[#This Row],[DEVELOPMENT]],Ops_Priorities_and_Data_Clean[[development]:[ifnoext_comment]],11,FALSE),"")</f>
        <v>0</v>
      </c>
      <c r="AP173" s="20">
        <f>IFERROR(VLOOKUP(Data[[#This Row],[DEVELOPMENT]],Ops_Priorities_and_Data_Clean[[development]:[ifnoext_comment]],12,FALSE),"")</f>
        <v>0</v>
      </c>
      <c r="AQ173" s="20">
        <f>VLOOKUP(Data[[#This Row],[DEVELOPMENT]],Ops_Priorities_and_Data_Clean[[development]:[ifnoext_comment]],14,FALSE)</f>
        <v>1</v>
      </c>
      <c r="AR173" s="20">
        <f>VLOOKUP(Data[[#This Row],[DEVELOPMENT]],Ops_Priorities_and_Data_Clean[[development]:[ifnoext_comment]],15,FALSE)</f>
        <v>0</v>
      </c>
      <c r="AS173" s="20" t="str">
        <f>VLOOKUP(Data[[#This Row],[DEVELOPMENT]],Ops_Priorities_and_Data_Clean[[development]:[ifnoext_comment]],16,FALSE)</f>
        <v>NULL</v>
      </c>
      <c r="AT173" s="20" t="str">
        <f>VLOOKUP(Data[[#This Row],[DEVELOPMENT]],Ops_Priorities_and_Data_Clean[[development]:[ifnoext_comment]],17,FALSE)</f>
        <v>NULL</v>
      </c>
      <c r="AU173" s="20" t="str">
        <f>VLOOKUP(Data[[#This Row],[DEVELOPMENT]],Ops_Priorities_and_Data_Clean[[development]:[ifnoext_comment]],18,FALSE)</f>
        <v>TBD</v>
      </c>
      <c r="AV173" s="20" t="str">
        <f>VLOOKUP(Data[[#This Row],[DEVELOPMENT]],Ops_Priorities_and_Data_Clean[[development]:[ifnoext_comment]],19,FALSE)</f>
        <v>curbside? CHECK</v>
      </c>
      <c r="AW173" s="20" t="str">
        <f>VLOOKUP(Data[[#This Row],[DEVELOPMENT]],Ops_Priorities_and_Data_Clean[[development]:[ifnoext_comment]],20,FALSE)</f>
        <v>NULL</v>
      </c>
      <c r="AX173" s="104" t="s">
        <v>2596</v>
      </c>
      <c r="AY173" s="104" t="s">
        <v>2160</v>
      </c>
      <c r="AZ173" s="20" t="str">
        <f>VLOOKUP(Data[[#This Row],[DEVELOPMENT]],Development_Data_Book[[DEVELOPMENT]:[PRIVATE MANAGEMENT]],8,FALSE)</f>
        <v>FEDERAL</v>
      </c>
      <c r="BA173" s="104" t="s">
        <v>2588</v>
      </c>
      <c r="BB173" s="20">
        <f>VLOOKUP(Data[[#This Row],[DEVELOPMENT]],Development_Data_Book[[DEVELOPMENT]:[PRIVATE MANAGEMENT]],22,FALSE)</f>
        <v>1</v>
      </c>
      <c r="BC173" s="20">
        <f>Data[[#This Row],[Non-Dwelling Buildings]]+Data[[#This Row],[Dwelling Buildings]]</f>
        <v>3</v>
      </c>
      <c r="BD173" s="20">
        <f>VLOOKUP(Data[[#This Row],[DEVELOPMENT]],Development_Data_Book[[DEVELOPMENT]:[PRIVATE MANAGEMENT]],26,FALSE)</f>
        <v>0.98</v>
      </c>
      <c r="BE173" s="106">
        <v>69610</v>
      </c>
      <c r="BF173" s="20">
        <f>VLOOKUP(Data[[#This Row],[DEVELOPMENT]],Development_Data_Book[[DEVELOPMENT]:[PRIVATE MANAGEMENT]],18,FALSE)</f>
        <v>173</v>
      </c>
      <c r="BG17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73" s="104" t="s">
        <v>2607</v>
      </c>
      <c r="BI173" t="s">
        <v>184</v>
      </c>
      <c r="BJ173" s="20">
        <f>VLOOKUP(Data[[#This Row],[DEVELOPMENT]],Development_Data_Book[[DEVELOPMENT]:[PRIVATE MANAGEMENT]],41,FALSE)</f>
        <v>3</v>
      </c>
      <c r="BK173" s="20">
        <f>VLOOKUP(Data[[#This Row],[DEVELOPMENT]],Development_Data_Book[[DEVELOPMENT]:[PRIVATE MANAGEMENT]],42,FALSE)</f>
        <v>12</v>
      </c>
      <c r="BL173" s="20">
        <f>VLOOKUP(Data[[#This Row],[DEVELOPMENT]],Development_Data_Book[[DEVELOPMENT]:[PRIVATE MANAGEMENT]],43,FALSE)</f>
        <v>27</v>
      </c>
      <c r="BM173" s="20">
        <f>VLOOKUP(Data[[#This Row],[DEVELOPMENT]],Development_Data_Book[[DEVELOPMENT]:[PRIVATE MANAGEMENT]],44,FALSE)</f>
        <v>74</v>
      </c>
      <c r="BN173" s="20">
        <f>VLOOKUP(Data[[#This Row],[DEVELOPMENT]],Development_Data_Book[[DEVELOPMENT]:[PRIVATE MANAGEMENT]],45,FALSE)</f>
        <v>2</v>
      </c>
      <c r="BO173" s="20">
        <f>VLOOKUP(Data[[#This Row],[DEVELOPMENT]],Development_Data_Book[[DEVELOPMENT]:[PRIVATE MANAGEMENT]],24,FALSE)</f>
        <v>4</v>
      </c>
    </row>
    <row r="174" spans="1:67">
      <c r="A174" s="17" t="s">
        <v>64</v>
      </c>
      <c r="B174" s="17" t="str">
        <f>VLOOKUP(Data[[#This Row],[DEVELOPMENT]],Development_Data_Book[[DEVELOPMENT]:[BOROUGH]],MATCH("borough",Development_Data_Book[[#Headers],[DEVELOPMENT]:[BOROUGH]],0),FALSE)</f>
        <v>MANHATTAN</v>
      </c>
      <c r="C174" t="e">
        <f>VLOOKUP(Data[[#This Row],[DEVELOPMENT]],'[1]Cheat-Sheet'!$D$2:$Q$341,2,FALSE)</f>
        <v>#N/A</v>
      </c>
      <c r="D17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74">
        <f>VLOOKUP(Data[[#This Row],[DEVELOPMENT]],Development_Data_Book[[DEVELOPMENT]:[BOROUGH]],21,FALSE)</f>
        <v>2</v>
      </c>
      <c r="F174">
        <f>VLOOKUP(Data[[#This Row],[DEVELOPMENT]],Development_Data_Book[[DEVELOPMENT]:[BOROUGH]],23,FALSE)</f>
        <v>2</v>
      </c>
      <c r="G174">
        <f>VLOOKUP(Data[[#This Row],[DEVELOPMENT]],Development_Data_Book[[DEVELOPMENT]:[BOROUGH]],12,FALSE)</f>
        <v>55</v>
      </c>
      <c r="H174" t="s">
        <v>2246</v>
      </c>
      <c r="I174">
        <v>3</v>
      </c>
      <c r="J174">
        <f>IFERROR(VLOOKUP(Data[[#This Row],[DEVELOPMENT]],IntCompactors_MRST[],4,FALSE),0)</f>
        <v>3</v>
      </c>
      <c r="K174" s="20">
        <f>IFERROR(VLOOKUP(Data[[#This Row],[DEVELOPMENT]],ExtCompactors_MRST[],4,FALSE),0)</f>
        <v>0</v>
      </c>
      <c r="L174" s="27">
        <f>IF(Data[[#This Row],['# Interior Compactors MRST]]=0,"",VLOOKUP(Data[[#This Row],[DEVELOPMENT]],IntCompactors_MRST[],5,FALSE))</f>
        <v>31413</v>
      </c>
      <c r="M174" s="28" t="str">
        <f>IF(Data[[#This Row],['# Exterior Compactors MRST]]=0,"",VLOOKUP(Data[[#This Row],[DEVELOPMENT]],ExtCompactors_MRST[],5,FALSE))</f>
        <v/>
      </c>
      <c r="N174">
        <f>Data[[#This Row],['# Interior Compactors MRST]]</f>
        <v>3</v>
      </c>
      <c r="O174" s="20">
        <f>IF(Data[[#This Row],['# Bulk Crushers]]=0,1,0)</f>
        <v>1</v>
      </c>
      <c r="P174" s="20">
        <f>1</f>
        <v>1</v>
      </c>
      <c r="Q174" s="20">
        <f>1</f>
        <v>1</v>
      </c>
      <c r="R174" s="20">
        <f>1</f>
        <v>1</v>
      </c>
      <c r="S174" s="20">
        <f>1</f>
        <v>1</v>
      </c>
      <c r="T174" s="20">
        <f>IF(Data[[#This Row],[Sewershed]]="Newtown Creek",Data[[#This Row],[DUs]],0)</f>
        <v>55</v>
      </c>
      <c r="U17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7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7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74" s="82">
        <f>VLOOKUP(Data[[#This Row],[DEVELOPMENT]],Development_Data_Book[[DEVELOPMENT]:[BOROUGH]],3,FALSE)</f>
        <v>292</v>
      </c>
      <c r="Y174" s="20" t="s">
        <v>2599</v>
      </c>
      <c r="Z174" s="20">
        <f>IFERROR(VLOOKUP(Data[[#This Row],[TDS]],ExtCompactors_PNA[[Development]:[0]],2,FALSE),0)</f>
        <v>0</v>
      </c>
      <c r="AA174" s="20">
        <f>IFERROR(VLOOKUP(Data[[#This Row],[TDS]],IntCompactors_PNA[[TDS]:[0]],2,FALSE),0)</f>
        <v>2</v>
      </c>
      <c r="AB174" s="20"/>
      <c r="AC174" s="20"/>
      <c r="AD174" s="20">
        <f>IFERROR(VLOOKUP(Data[[#This Row],[TDS]],ExtCompactors_PNA[[Development]:[0]],3,FALSE)+VLOOKUP(Data[[#This Row],[TDS]],ExtCompactors_PNA[[Development]:[0]],6,FALSE),0)</f>
        <v>0</v>
      </c>
      <c r="AE174" s="20">
        <f>IFERROR(VLOOKUP(Data[[#This Row],[TDS]],IntCompactors_PNA[[TDS]:[0]],3,FALSE)+VLOOKUP(Data[[#This Row],[TDS]],IntCompactors_PNA[[TDS]:[0]],6,FALSE),0)</f>
        <v>2</v>
      </c>
      <c r="AF174" s="20" t="e">
        <f>VLOOKUP(Data[[#This Row],[DEVELOPMENT]],[3]Developments!$A$2:$A$312,1,FALSE)</f>
        <v>#N/A</v>
      </c>
      <c r="AG174" s="20">
        <f>IFERROR(VLOOKUP(Data[[#This Row],[DEVELOPMENT]],Ops_Priorities_and_Data_Clean[[development]:[ifnoext_comment]],3,FALSE),"")</f>
        <v>0</v>
      </c>
      <c r="AH174" s="20">
        <f>IFERROR(VLOOKUP(Data[[#This Row],[DEVELOPMENT]],Ops_Priorities_and_Data_Clean[[development]:[ifnoext_comment]],4,FALSE),"")</f>
        <v>0</v>
      </c>
      <c r="AI174" s="20">
        <f>IFERROR(VLOOKUP(Data[[#This Row],[DEVELOPMENT]],Ops_Priorities_and_Data_Clean[[development]:[ifnoext_comment]],5,FALSE),"")</f>
        <v>0</v>
      </c>
      <c r="AJ174" s="20">
        <f>IFERROR(VLOOKUP(Data[[#This Row],[DEVELOPMENT]],Ops_Priorities_and_Data_Clean[[development]:[ifnoext_comment]],6,FALSE),"")</f>
        <v>0</v>
      </c>
      <c r="AK174" s="20">
        <f>IFERROR(VLOOKUP(Data[[#This Row],[DEVELOPMENT]],Ops_Priorities_and_Data_Clean[[development]:[ifnoext_comment]],7,FALSE),"")</f>
        <v>1</v>
      </c>
      <c r="AL174" s="20">
        <f>IFERROR(VLOOKUP(Data[[#This Row],[DEVELOPMENT]],Ops_Priorities_and_Data_Clean[[development]:[ifnoext_comment]],8,FALSE),"")</f>
        <v>1</v>
      </c>
      <c r="AM174" s="20">
        <f>IFERROR(VLOOKUP(Data[[#This Row],[DEVELOPMENT]],Ops_Priorities_and_Data_Clean[[development]:[ifnoext_comment]],9,FALSE),"")</f>
        <v>1</v>
      </c>
      <c r="AN174" s="20">
        <f>IFERROR(VLOOKUP(Data[[#This Row],[DEVELOPMENT]],Ops_Priorities_and_Data_Clean[[development]:[ifnoext_comment]],10,FALSE),"")</f>
        <v>0</v>
      </c>
      <c r="AO174" s="20">
        <f>IFERROR(VLOOKUP(Data[[#This Row],[DEVELOPMENT]],Ops_Priorities_and_Data_Clean[[development]:[ifnoext_comment]],11,FALSE),"")</f>
        <v>0</v>
      </c>
      <c r="AP174" s="20">
        <f>IFERROR(VLOOKUP(Data[[#This Row],[DEVELOPMENT]],Ops_Priorities_and_Data_Clean[[development]:[ifnoext_comment]],12,FALSE),"")</f>
        <v>0</v>
      </c>
      <c r="AQ174" s="20">
        <f>VLOOKUP(Data[[#This Row],[DEVELOPMENT]],Ops_Priorities_and_Data_Clean[[development]:[ifnoext_comment]],14,FALSE)</f>
        <v>1</v>
      </c>
      <c r="AR174" s="20">
        <f>VLOOKUP(Data[[#This Row],[DEVELOPMENT]],Ops_Priorities_and_Data_Clean[[development]:[ifnoext_comment]],15,FALSE)</f>
        <v>0</v>
      </c>
      <c r="AS174" s="20" t="str">
        <f>VLOOKUP(Data[[#This Row],[DEVELOPMENT]],Ops_Priorities_and_Data_Clean[[development]:[ifnoext_comment]],16,FALSE)</f>
        <v>NULL</v>
      </c>
      <c r="AT174" s="20" t="str">
        <f>VLOOKUP(Data[[#This Row],[DEVELOPMENT]],Ops_Priorities_and_Data_Clean[[development]:[ifnoext_comment]],17,FALSE)</f>
        <v>NULL</v>
      </c>
      <c r="AU174" s="20" t="str">
        <f>VLOOKUP(Data[[#This Row],[DEVELOPMENT]],Ops_Priorities_and_Data_Clean[[development]:[ifnoext_comment]],18,FALSE)</f>
        <v>Yes</v>
      </c>
      <c r="AV174" s="20" t="str">
        <f>VLOOKUP(Data[[#This Row],[DEVELOPMENT]],Ops_Priorities_and_Data_Clean[[development]:[ifnoext_comment]],19,FALSE)</f>
        <v>curbside- confirmed</v>
      </c>
      <c r="AW174" s="20" t="str">
        <f>VLOOKUP(Data[[#This Row],[DEVELOPMENT]],Ops_Priorities_and_Data_Clean[[development]:[ifnoext_comment]],20,FALSE)</f>
        <v>NULL</v>
      </c>
      <c r="AX174" s="104" t="s">
        <v>2239</v>
      </c>
      <c r="AY174" s="104" t="s">
        <v>2160</v>
      </c>
      <c r="AZ174" s="20" t="str">
        <f>VLOOKUP(Data[[#This Row],[DEVELOPMENT]],Development_Data_Book[[DEVELOPMENT]:[PRIVATE MANAGEMENT]],8,FALSE)</f>
        <v>FEDERAL</v>
      </c>
      <c r="BA174" s="104" t="s">
        <v>2586</v>
      </c>
      <c r="BB174" s="20">
        <f>VLOOKUP(Data[[#This Row],[DEVELOPMENT]],Development_Data_Book[[DEVELOPMENT]:[PRIVATE MANAGEMENT]],22,FALSE)</f>
        <v>0</v>
      </c>
      <c r="BC174" s="20">
        <f>Data[[#This Row],[Non-Dwelling Buildings]]+Data[[#This Row],[Dwelling Buildings]]</f>
        <v>2</v>
      </c>
      <c r="BD174" s="20">
        <f>VLOOKUP(Data[[#This Row],[DEVELOPMENT]],Development_Data_Book[[DEVELOPMENT]:[PRIVATE MANAGEMENT]],26,FALSE)</f>
        <v>0.41</v>
      </c>
      <c r="BE174" s="106">
        <v>67225</v>
      </c>
      <c r="BF174" s="20">
        <f>VLOOKUP(Data[[#This Row],[DEVELOPMENT]],Development_Data_Book[[DEVELOPMENT]:[PRIVATE MANAGEMENT]],18,FALSE)</f>
        <v>119</v>
      </c>
      <c r="BG17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74" s="104" t="s">
        <v>2607</v>
      </c>
      <c r="BI174" t="s">
        <v>184</v>
      </c>
      <c r="BJ174" s="20">
        <f>VLOOKUP(Data[[#This Row],[DEVELOPMENT]],Development_Data_Book[[DEVELOPMENT]:[PRIVATE MANAGEMENT]],41,FALSE)</f>
        <v>3</v>
      </c>
      <c r="BK174" s="20">
        <f>VLOOKUP(Data[[#This Row],[DEVELOPMENT]],Development_Data_Book[[DEVELOPMENT]:[PRIVATE MANAGEMENT]],42,FALSE)</f>
        <v>12</v>
      </c>
      <c r="BL174" s="20">
        <f>VLOOKUP(Data[[#This Row],[DEVELOPMENT]],Development_Data_Book[[DEVELOPMENT]:[PRIVATE MANAGEMENT]],43,FALSE)</f>
        <v>27</v>
      </c>
      <c r="BM174" s="20">
        <f>VLOOKUP(Data[[#This Row],[DEVELOPMENT]],Development_Data_Book[[DEVELOPMENT]:[PRIVATE MANAGEMENT]],44,FALSE)</f>
        <v>74</v>
      </c>
      <c r="BN174" s="20">
        <f>VLOOKUP(Data[[#This Row],[DEVELOPMENT]],Development_Data_Book[[DEVELOPMENT]:[PRIVATE MANAGEMENT]],45,FALSE)</f>
        <v>2</v>
      </c>
      <c r="BO174" s="20">
        <f>VLOOKUP(Data[[#This Row],[DEVELOPMENT]],Development_Data_Book[[DEVELOPMENT]:[PRIVATE MANAGEMENT]],24,FALSE)</f>
        <v>6</v>
      </c>
    </row>
    <row r="175" spans="1:67">
      <c r="A175" t="s">
        <v>122</v>
      </c>
      <c r="B175" t="str">
        <f>VLOOKUP(Data[[#This Row],[DEVELOPMENT]],Development_Data_Book[[DEVELOPMENT]:[BOROUGH]],MATCH("borough",Development_Data_Book[[#Headers],[DEVELOPMENT]:[BOROUGH]],0),FALSE)</f>
        <v>MANHATTAN</v>
      </c>
      <c r="C175" t="e">
        <f>VLOOKUP(Data[[#This Row],[DEVELOPMENT]],'[1]Cheat-Sheet'!$D$2:$Q$341,2,FALSE)</f>
        <v>#N/A</v>
      </c>
      <c r="D17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75">
        <f>VLOOKUP(Data[[#This Row],[DEVELOPMENT]],Development_Data_Book[[DEVELOPMENT]:[BOROUGH]],21,FALSE)</f>
        <v>6</v>
      </c>
      <c r="F175">
        <f>VLOOKUP(Data[[#This Row],[DEVELOPMENT]],Development_Data_Book[[DEVELOPMENT]:[BOROUGH]],23,FALSE)</f>
        <v>6</v>
      </c>
      <c r="G175">
        <f>VLOOKUP(Data[[#This Row],[DEVELOPMENT]],Development_Data_Book[[DEVELOPMENT]:[BOROUGH]],12,FALSE)</f>
        <v>1272</v>
      </c>
      <c r="H175" t="s">
        <v>2247</v>
      </c>
      <c r="I175">
        <v>4</v>
      </c>
      <c r="J175">
        <f>IFERROR(VLOOKUP(Data[[#This Row],[DEVELOPMENT]],IntCompactors_MRST[],4,FALSE),0)</f>
        <v>6</v>
      </c>
      <c r="K175" s="20">
        <f>IFERROR(VLOOKUP(Data[[#This Row],[DEVELOPMENT]],ExtCompactors_MRST[],4,FALSE),0)</f>
        <v>3</v>
      </c>
      <c r="L175" s="27">
        <f>IF(Data[[#This Row],['# Interior Compactors MRST]]=0,"",VLOOKUP(Data[[#This Row],[DEVELOPMENT]],IntCompactors_MRST[],5,FALSE))</f>
        <v>40198</v>
      </c>
      <c r="M175" s="28">
        <f>IF(Data[[#This Row],['# Exterior Compactors MRST]]=0,"",VLOOKUP(Data[[#This Row],[DEVELOPMENT]],ExtCompactors_MRST[],5,FALSE))</f>
        <v>38408</v>
      </c>
      <c r="N175">
        <f>Data[[#This Row],['# Interior Compactors MRST]]</f>
        <v>6</v>
      </c>
      <c r="O175" s="20">
        <f>IF(Data[[#This Row],['# Bulk Crushers]]=0,1,0)</f>
        <v>1</v>
      </c>
      <c r="P175" s="20">
        <f>1</f>
        <v>1</v>
      </c>
      <c r="Q175" s="20">
        <f>1</f>
        <v>1</v>
      </c>
      <c r="R175" s="20">
        <f>1</f>
        <v>1</v>
      </c>
      <c r="S175" s="20">
        <f>1</f>
        <v>1</v>
      </c>
      <c r="T175" s="20">
        <f>IF(Data[[#This Row],[Sewershed]]="Newtown Creek",Data[[#This Row],[DUs]],0)</f>
        <v>0</v>
      </c>
      <c r="U17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7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7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75" s="82">
        <f>VLOOKUP(Data[[#This Row],[DEVELOPMENT]],Development_Data_Book[[DEVELOPMENT]:[BOROUGH]],3,FALSE)</f>
        <v>81</v>
      </c>
      <c r="Y175" s="20"/>
      <c r="Z175" s="20">
        <f>IFERROR(VLOOKUP(Data[[#This Row],[TDS]],ExtCompactors_PNA[[Development]:[0]],2,FALSE),0)</f>
        <v>3</v>
      </c>
      <c r="AA175" s="20">
        <f>IFERROR(VLOOKUP(Data[[#This Row],[TDS]],IntCompactors_PNA[[TDS]:[0]],2,FALSE),0)</f>
        <v>6</v>
      </c>
      <c r="AB175" s="20"/>
      <c r="AC175" s="20"/>
      <c r="AD175" s="20">
        <f>IFERROR(VLOOKUP(Data[[#This Row],[TDS]],ExtCompactors_PNA[[Development]:[0]],3,FALSE)+VLOOKUP(Data[[#This Row],[TDS]],ExtCompactors_PNA[[Development]:[0]],6,FALSE),0)</f>
        <v>3</v>
      </c>
      <c r="AE175" s="20">
        <f>IFERROR(VLOOKUP(Data[[#This Row],[TDS]],IntCompactors_PNA[[TDS]:[0]],3,FALSE)+VLOOKUP(Data[[#This Row],[TDS]],IntCompactors_PNA[[TDS]:[0]],6,FALSE),0)</f>
        <v>6</v>
      </c>
      <c r="AF175" s="20" t="e">
        <f>VLOOKUP(Data[[#This Row],[DEVELOPMENT]],[3]Developments!$A$2:$A$312,1,FALSE)</f>
        <v>#N/A</v>
      </c>
      <c r="AG175" s="20">
        <f>IFERROR(VLOOKUP(Data[[#This Row],[DEVELOPMENT]],Ops_Priorities_and_Data_Clean[[development]:[ifnoext_comment]],3,FALSE),"")</f>
        <v>3</v>
      </c>
      <c r="AH175" s="20">
        <f>IFERROR(VLOOKUP(Data[[#This Row],[DEVELOPMENT]],Ops_Priorities_and_Data_Clean[[development]:[ifnoext_comment]],4,FALSE),"")</f>
        <v>3</v>
      </c>
      <c r="AI175" s="20">
        <f>IFERROR(VLOOKUP(Data[[#This Row],[DEVELOPMENT]],Ops_Priorities_and_Data_Clean[[development]:[ifnoext_comment]],5,FALSE),"")</f>
        <v>1</v>
      </c>
      <c r="AJ175" s="20">
        <f>IFERROR(VLOOKUP(Data[[#This Row],[DEVELOPMENT]],Ops_Priorities_and_Data_Clean[[development]:[ifnoext_comment]],6,FALSE),"")</f>
        <v>0</v>
      </c>
      <c r="AK175" s="20">
        <f>IFERROR(VLOOKUP(Data[[#This Row],[DEVELOPMENT]],Ops_Priorities_and_Data_Clean[[development]:[ifnoext_comment]],7,FALSE),"")</f>
        <v>0</v>
      </c>
      <c r="AL175" s="20">
        <f>IFERROR(VLOOKUP(Data[[#This Row],[DEVELOPMENT]],Ops_Priorities_and_Data_Clean[[development]:[ifnoext_comment]],8,FALSE),"")</f>
        <v>1</v>
      </c>
      <c r="AM175" s="20">
        <f>IFERROR(VLOOKUP(Data[[#This Row],[DEVELOPMENT]],Ops_Priorities_and_Data_Clean[[development]:[ifnoext_comment]],9,FALSE),"")</f>
        <v>0</v>
      </c>
      <c r="AN175" s="20">
        <f>IFERROR(VLOOKUP(Data[[#This Row],[DEVELOPMENT]],Ops_Priorities_and_Data_Clean[[development]:[ifnoext_comment]],10,FALSE),"")</f>
        <v>3</v>
      </c>
      <c r="AO175" s="20">
        <f>IFERROR(VLOOKUP(Data[[#This Row],[DEVELOPMENT]],Ops_Priorities_and_Data_Clean[[development]:[ifnoext_comment]],11,FALSE),"")</f>
        <v>3</v>
      </c>
      <c r="AP175" s="20">
        <f>IFERROR(VLOOKUP(Data[[#This Row],[DEVELOPMENT]],Ops_Priorities_and_Data_Clean[[development]:[ifnoext_comment]],12,FALSE),"")</f>
        <v>3</v>
      </c>
      <c r="AQ175" s="20">
        <f>VLOOKUP(Data[[#This Row],[DEVELOPMENT]],Ops_Priorities_and_Data_Clean[[development]:[ifnoext_comment]],14,FALSE)</f>
        <v>0</v>
      </c>
      <c r="AR175" s="20">
        <f>VLOOKUP(Data[[#This Row],[DEVELOPMENT]],Ops_Priorities_and_Data_Clean[[development]:[ifnoext_comment]],15,FALSE)</f>
        <v>0</v>
      </c>
      <c r="AS175" s="20" t="str">
        <f>VLOOKUP(Data[[#This Row],[DEVELOPMENT]],Ops_Priorities_and_Data_Clean[[development]:[ifnoext_comment]],16,FALSE)</f>
        <v>NULL</v>
      </c>
      <c r="AT175" s="20" t="str">
        <f>VLOOKUP(Data[[#This Row],[DEVELOPMENT]],Ops_Priorities_and_Data_Clean[[development]:[ifnoext_comment]],17,FALSE)</f>
        <v>NULL</v>
      </c>
      <c r="AU175" s="20" t="str">
        <f>VLOOKUP(Data[[#This Row],[DEVELOPMENT]],Ops_Priorities_and_Data_Clean[[development]:[ifnoext_comment]],18,FALSE)</f>
        <v>NULL</v>
      </c>
      <c r="AV175" s="20" t="str">
        <f>VLOOKUP(Data[[#This Row],[DEVELOPMENT]],Ops_Priorities_and_Data_Clean[[development]:[ifnoext_comment]],19,FALSE)</f>
        <v>NULL</v>
      </c>
      <c r="AW175" s="20" t="str">
        <f>VLOOKUP(Data[[#This Row],[DEVELOPMENT]],Ops_Priorities_and_Data_Clean[[development]:[ifnoext_comment]],20,FALSE)</f>
        <v>NULL</v>
      </c>
      <c r="AX175" s="104" t="s">
        <v>2605</v>
      </c>
      <c r="AY175" s="104" t="s">
        <v>122</v>
      </c>
      <c r="AZ175" s="20" t="str">
        <f>VLOOKUP(Data[[#This Row],[DEVELOPMENT]],Development_Data_Book[[DEVELOPMENT]:[PRIVATE MANAGEMENT]],8,FALSE)</f>
        <v>MIXED FINANCE/LLC1</v>
      </c>
      <c r="BA175" s="104" t="s">
        <v>2586</v>
      </c>
      <c r="BB175" s="20">
        <f>VLOOKUP(Data[[#This Row],[DEVELOPMENT]],Development_Data_Book[[DEVELOPMENT]:[PRIVATE MANAGEMENT]],22,FALSE)</f>
        <v>0</v>
      </c>
      <c r="BC175" s="20">
        <f>Data[[#This Row],[Non-Dwelling Buildings]]+Data[[#This Row],[Dwelling Buildings]]</f>
        <v>6</v>
      </c>
      <c r="BD175" s="20">
        <f>VLOOKUP(Data[[#This Row],[DEVELOPMENT]],Development_Data_Book[[DEVELOPMENT]:[PRIVATE MANAGEMENT]],26,FALSE)</f>
        <v>12.36</v>
      </c>
      <c r="BE175" s="106">
        <v>1443550</v>
      </c>
      <c r="BF175" s="20">
        <f>VLOOKUP(Data[[#This Row],[DEVELOPMENT]],Development_Data_Book[[DEVELOPMENT]:[PRIVATE MANAGEMENT]],18,FALSE)</f>
        <v>2981</v>
      </c>
      <c r="BG17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75" s="104" t="s">
        <v>2593</v>
      </c>
      <c r="BI175" t="s">
        <v>184</v>
      </c>
      <c r="BJ175" s="20">
        <f>VLOOKUP(Data[[#This Row],[DEVELOPMENT]],Development_Data_Book[[DEVELOPMENT]:[PRIVATE MANAGEMENT]],41,FALSE)</f>
        <v>9</v>
      </c>
      <c r="BK175" s="20">
        <f>VLOOKUP(Data[[#This Row],[DEVELOPMENT]],Development_Data_Book[[DEVELOPMENT]:[PRIVATE MANAGEMENT]],42,FALSE)</f>
        <v>13</v>
      </c>
      <c r="BL175" s="20" t="str">
        <f>VLOOKUP(Data[[#This Row],[DEVELOPMENT]],Development_Data_Book[[DEVELOPMENT]:[PRIVATE MANAGEMENT]],43,FALSE)</f>
        <v>30, 31</v>
      </c>
      <c r="BM175" s="20">
        <f>VLOOKUP(Data[[#This Row],[DEVELOPMENT]],Development_Data_Book[[DEVELOPMENT]:[PRIVATE MANAGEMENT]],44,FALSE)</f>
        <v>70</v>
      </c>
      <c r="BN175" s="20">
        <f>VLOOKUP(Data[[#This Row],[DEVELOPMENT]],Development_Data_Book[[DEVELOPMENT]:[PRIVATE MANAGEMENT]],45,FALSE)</f>
        <v>7</v>
      </c>
      <c r="BO175" s="20">
        <f>VLOOKUP(Data[[#This Row],[DEVELOPMENT]],Development_Data_Book[[DEVELOPMENT]:[PRIVATE MANAGEMENT]],24,FALSE)</f>
        <v>20</v>
      </c>
    </row>
    <row r="176" spans="1:67">
      <c r="A176" t="s">
        <v>87</v>
      </c>
      <c r="B176" t="str">
        <f>VLOOKUP(Data[[#This Row],[DEVELOPMENT]],Development_Data_Book[[DEVELOPMENT]:[BOROUGH]],MATCH("borough",Development_Data_Book[[#Headers],[DEVELOPMENT]:[BOROUGH]],0),FALSE)</f>
        <v>MANHATTAN</v>
      </c>
      <c r="C176" t="e">
        <f>VLOOKUP(Data[[#This Row],[DEVELOPMENT]],'[1]Cheat-Sheet'!$D$2:$Q$341,2,FALSE)</f>
        <v>#N/A</v>
      </c>
      <c r="D17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76">
        <f>VLOOKUP(Data[[#This Row],[DEVELOPMENT]],Development_Data_Book[[DEVELOPMENT]:[BOROUGH]],21,FALSE)</f>
        <v>3</v>
      </c>
      <c r="F176">
        <f>VLOOKUP(Data[[#This Row],[DEVELOPMENT]],Development_Data_Book[[DEVELOPMENT]:[BOROUGH]],23,FALSE)</f>
        <v>3</v>
      </c>
      <c r="G176">
        <f>VLOOKUP(Data[[#This Row],[DEVELOPMENT]],Development_Data_Book[[DEVELOPMENT]:[BOROUGH]],12,FALSE)</f>
        <v>46</v>
      </c>
      <c r="H176" t="s">
        <v>2248</v>
      </c>
      <c r="I176">
        <v>4</v>
      </c>
      <c r="J176">
        <f>IFERROR(VLOOKUP(Data[[#This Row],[DEVELOPMENT]],IntCompactors_MRST[],4,FALSE),0)</f>
        <v>1</v>
      </c>
      <c r="K176" s="20">
        <f>IFERROR(VLOOKUP(Data[[#This Row],[DEVELOPMENT]],ExtCompactors_MRST[],4,FALSE),0)</f>
        <v>0</v>
      </c>
      <c r="L176" s="27">
        <f>IF(Data[[#This Row],['# Interior Compactors MRST]]=0,"",VLOOKUP(Data[[#This Row],[DEVELOPMENT]],IntCompactors_MRST[],5,FALSE))</f>
        <v>38899</v>
      </c>
      <c r="M176" s="28" t="str">
        <f>IF(Data[[#This Row],['# Exterior Compactors MRST]]=0,"",VLOOKUP(Data[[#This Row],[DEVELOPMENT]],ExtCompactors_MRST[],5,FALSE))</f>
        <v/>
      </c>
      <c r="N176">
        <f>Data[[#This Row],['# Interior Compactors MRST]]</f>
        <v>1</v>
      </c>
      <c r="O176" s="20">
        <f>IF(Data[[#This Row],['# Bulk Crushers]]=0,1,0)</f>
        <v>1</v>
      </c>
      <c r="P176" s="20">
        <f>1</f>
        <v>1</v>
      </c>
      <c r="Q176" s="20">
        <f>1</f>
        <v>1</v>
      </c>
      <c r="R176" s="20">
        <f>1</f>
        <v>1</v>
      </c>
      <c r="S176" s="20">
        <f>1</f>
        <v>1</v>
      </c>
      <c r="T176" s="20">
        <f>IF(Data[[#This Row],[Sewershed]]="Newtown Creek",Data[[#This Row],[DUs]],0)</f>
        <v>0</v>
      </c>
      <c r="U17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7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7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76" s="82">
        <f>VLOOKUP(Data[[#This Row],[DEVELOPMENT]],Development_Data_Book[[DEVELOPMENT]:[BOROUGH]],3,FALSE)</f>
        <v>296</v>
      </c>
      <c r="Y176" s="20"/>
      <c r="Z176" s="20">
        <f>IFERROR(VLOOKUP(Data[[#This Row],[TDS]],ExtCompactors_PNA[[Development]:[0]],2,FALSE),0)</f>
        <v>0</v>
      </c>
      <c r="AA176" s="20">
        <f>IFERROR(VLOOKUP(Data[[#This Row],[TDS]],IntCompactors_PNA[[TDS]:[0]],2,FALSE),0)</f>
        <v>3</v>
      </c>
      <c r="AB176" s="20"/>
      <c r="AC176" s="20"/>
      <c r="AD176" s="20">
        <f>IFERROR(VLOOKUP(Data[[#This Row],[TDS]],ExtCompactors_PNA[[Development]:[0]],3,FALSE)+VLOOKUP(Data[[#This Row],[TDS]],ExtCompactors_PNA[[Development]:[0]],6,FALSE),0)</f>
        <v>0</v>
      </c>
      <c r="AE176" s="20">
        <f>IFERROR(VLOOKUP(Data[[#This Row],[TDS]],IntCompactors_PNA[[TDS]:[0]],3,FALSE)+VLOOKUP(Data[[#This Row],[TDS]],IntCompactors_PNA[[TDS]:[0]],6,FALSE),0)</f>
        <v>2</v>
      </c>
      <c r="AF176" s="20" t="e">
        <f>VLOOKUP(Data[[#This Row],[DEVELOPMENT]],[3]Developments!$A$2:$A$312,1,FALSE)</f>
        <v>#N/A</v>
      </c>
      <c r="AG176" s="20">
        <f>IFERROR(VLOOKUP(Data[[#This Row],[DEVELOPMENT]],Ops_Priorities_and_Data_Clean[[development]:[ifnoext_comment]],3,FALSE),"")</f>
        <v>0</v>
      </c>
      <c r="AH176" s="20">
        <f>IFERROR(VLOOKUP(Data[[#This Row],[DEVELOPMENT]],Ops_Priorities_and_Data_Clean[[development]:[ifnoext_comment]],4,FALSE),"")</f>
        <v>0</v>
      </c>
      <c r="AI176" s="20">
        <f>IFERROR(VLOOKUP(Data[[#This Row],[DEVELOPMENT]],Ops_Priorities_and_Data_Clean[[development]:[ifnoext_comment]],5,FALSE),"")</f>
        <v>0</v>
      </c>
      <c r="AJ176" s="20">
        <f>IFERROR(VLOOKUP(Data[[#This Row],[DEVELOPMENT]],Ops_Priorities_and_Data_Clean[[development]:[ifnoext_comment]],6,FALSE),"")</f>
        <v>0</v>
      </c>
      <c r="AK176" s="20">
        <f>IFERROR(VLOOKUP(Data[[#This Row],[DEVELOPMENT]],Ops_Priorities_and_Data_Clean[[development]:[ifnoext_comment]],7,FALSE),"")</f>
        <v>1</v>
      </c>
      <c r="AL176" s="20">
        <f>IFERROR(VLOOKUP(Data[[#This Row],[DEVELOPMENT]],Ops_Priorities_and_Data_Clean[[development]:[ifnoext_comment]],8,FALSE),"")</f>
        <v>1</v>
      </c>
      <c r="AM176" s="20">
        <f>IFERROR(VLOOKUP(Data[[#This Row],[DEVELOPMENT]],Ops_Priorities_and_Data_Clean[[development]:[ifnoext_comment]],9,FALSE),"")</f>
        <v>0</v>
      </c>
      <c r="AN176" s="20">
        <f>IFERROR(VLOOKUP(Data[[#This Row],[DEVELOPMENT]],Ops_Priorities_and_Data_Clean[[development]:[ifnoext_comment]],10,FALSE),"")</f>
        <v>0</v>
      </c>
      <c r="AO176" s="20">
        <f>IFERROR(VLOOKUP(Data[[#This Row],[DEVELOPMENT]],Ops_Priorities_and_Data_Clean[[development]:[ifnoext_comment]],11,FALSE),"")</f>
        <v>0</v>
      </c>
      <c r="AP176" s="20">
        <f>IFERROR(VLOOKUP(Data[[#This Row],[DEVELOPMENT]],Ops_Priorities_and_Data_Clean[[development]:[ifnoext_comment]],12,FALSE),"")</f>
        <v>0</v>
      </c>
      <c r="AQ176" s="20">
        <f>VLOOKUP(Data[[#This Row],[DEVELOPMENT]],Ops_Priorities_and_Data_Clean[[development]:[ifnoext_comment]],14,FALSE)</f>
        <v>1</v>
      </c>
      <c r="AR176" s="20">
        <f>VLOOKUP(Data[[#This Row],[DEVELOPMENT]],Ops_Priorities_and_Data_Clean[[development]:[ifnoext_comment]],15,FALSE)</f>
        <v>0</v>
      </c>
      <c r="AS176" s="20" t="str">
        <f>VLOOKUP(Data[[#This Row],[DEVELOPMENT]],Ops_Priorities_and_Data_Clean[[development]:[ifnoext_comment]],16,FALSE)</f>
        <v>NULL</v>
      </c>
      <c r="AT176" s="20" t="str">
        <f>VLOOKUP(Data[[#This Row],[DEVELOPMENT]],Ops_Priorities_and_Data_Clean[[development]:[ifnoext_comment]],17,FALSE)</f>
        <v>NULL</v>
      </c>
      <c r="AU176" s="20" t="str">
        <f>VLOOKUP(Data[[#This Row],[DEVELOPMENT]],Ops_Priorities_and_Data_Clean[[development]:[ifnoext_comment]],18,FALSE)</f>
        <v>yes</v>
      </c>
      <c r="AV176" s="20" t="str">
        <f>VLOOKUP(Data[[#This Row],[DEVELOPMENT]],Ops_Priorities_and_Data_Clean[[development]:[ifnoext_comment]],19,FALSE)</f>
        <v>Curbside pickup for DSNY</v>
      </c>
      <c r="AW176" s="20" t="str">
        <f>VLOOKUP(Data[[#This Row],[DEVELOPMENT]],Ops_Priorities_and_Data_Clean[[development]:[ifnoext_comment]],20,FALSE)</f>
        <v>NULL</v>
      </c>
      <c r="AX176" s="104" t="s">
        <v>2605</v>
      </c>
      <c r="AY176" s="104" t="s">
        <v>122</v>
      </c>
      <c r="AZ176" s="20" t="str">
        <f>VLOOKUP(Data[[#This Row],[DEVELOPMENT]],Development_Data_Book[[DEVELOPMENT]:[PRIVATE MANAGEMENT]],8,FALSE)</f>
        <v>FEDERAL</v>
      </c>
      <c r="BA176" s="104" t="s">
        <v>2613</v>
      </c>
      <c r="BB176" s="20">
        <f>VLOOKUP(Data[[#This Row],[DEVELOPMENT]],Development_Data_Book[[DEVELOPMENT]:[PRIVATE MANAGEMENT]],22,FALSE)</f>
        <v>0</v>
      </c>
      <c r="BC176" s="20">
        <f>Data[[#This Row],[Non-Dwelling Buildings]]+Data[[#This Row],[Dwelling Buildings]]</f>
        <v>3</v>
      </c>
      <c r="BD176" s="20">
        <f>VLOOKUP(Data[[#This Row],[DEVELOPMENT]],Development_Data_Book[[DEVELOPMENT]:[PRIVATE MANAGEMENT]],26,FALSE)</f>
        <v>0.27</v>
      </c>
      <c r="BE176" s="106">
        <v>45560</v>
      </c>
      <c r="BF176" s="20">
        <f>VLOOKUP(Data[[#This Row],[DEVELOPMENT]],Development_Data_Book[[DEVELOPMENT]:[PRIVATE MANAGEMENT]],18,FALSE)</f>
        <v>87</v>
      </c>
      <c r="BG17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76" s="104" t="s">
        <v>2593</v>
      </c>
      <c r="BI176" t="s">
        <v>184</v>
      </c>
      <c r="BJ176" s="20">
        <f>VLOOKUP(Data[[#This Row],[DEVELOPMENT]],Development_Data_Book[[DEVELOPMENT]:[PRIVATE MANAGEMENT]],41,FALSE)</f>
        <v>9</v>
      </c>
      <c r="BK176" s="20">
        <f>VLOOKUP(Data[[#This Row],[DEVELOPMENT]],Development_Data_Book[[DEVELOPMENT]:[PRIVATE MANAGEMENT]],42,FALSE)</f>
        <v>13</v>
      </c>
      <c r="BL176" s="20">
        <f>VLOOKUP(Data[[#This Row],[DEVELOPMENT]],Development_Data_Book[[DEVELOPMENT]:[PRIVATE MANAGEMENT]],43,FALSE)</f>
        <v>31</v>
      </c>
      <c r="BM176" s="20">
        <f>VLOOKUP(Data[[#This Row],[DEVELOPMENT]],Development_Data_Book[[DEVELOPMENT]:[PRIVATE MANAGEMENT]],44,FALSE)</f>
        <v>70</v>
      </c>
      <c r="BN176" s="20">
        <f>VLOOKUP(Data[[#This Row],[DEVELOPMENT]],Development_Data_Book[[DEVELOPMENT]:[PRIVATE MANAGEMENT]],45,FALSE)</f>
        <v>7</v>
      </c>
      <c r="BO176" s="20">
        <f>VLOOKUP(Data[[#This Row],[DEVELOPMENT]],Development_Data_Book[[DEVELOPMENT]:[PRIVATE MANAGEMENT]],24,FALSE)</f>
        <v>43591</v>
      </c>
    </row>
    <row r="177" spans="1:67">
      <c r="A177" t="s">
        <v>88</v>
      </c>
      <c r="B177" t="str">
        <f>VLOOKUP(Data[[#This Row],[DEVELOPMENT]],Development_Data_Book[[DEVELOPMENT]:[BOROUGH]],MATCH("borough",Development_Data_Book[[#Headers],[DEVELOPMENT]:[BOROUGH]],0),FALSE)</f>
        <v>MANHATTAN</v>
      </c>
      <c r="C177" t="e">
        <f>VLOOKUP(Data[[#This Row],[DEVELOPMENT]],'[1]Cheat-Sheet'!$D$2:$Q$341,2,FALSE)</f>
        <v>#N/A</v>
      </c>
      <c r="D17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77">
        <f>VLOOKUP(Data[[#This Row],[DEVELOPMENT]],Development_Data_Book[[DEVELOPMENT]:[BOROUGH]],21,FALSE)</f>
        <v>2</v>
      </c>
      <c r="F177">
        <f>VLOOKUP(Data[[#This Row],[DEVELOPMENT]],Development_Data_Book[[DEVELOPMENT]:[BOROUGH]],23,FALSE)</f>
        <v>2</v>
      </c>
      <c r="G177">
        <f>VLOOKUP(Data[[#This Row],[DEVELOPMENT]],Development_Data_Book[[DEVELOPMENT]:[BOROUGH]],12,FALSE)</f>
        <v>51</v>
      </c>
      <c r="H177" t="s">
        <v>2248</v>
      </c>
      <c r="I177">
        <v>4</v>
      </c>
      <c r="J177">
        <f>IFERROR(VLOOKUP(Data[[#This Row],[DEVELOPMENT]],IntCompactors_MRST[],4,FALSE),0)</f>
        <v>1</v>
      </c>
      <c r="K177" s="20">
        <f>IFERROR(VLOOKUP(Data[[#This Row],[DEVELOPMENT]],ExtCompactors_MRST[],4,FALSE),0)</f>
        <v>0</v>
      </c>
      <c r="L177" s="27">
        <f>IF(Data[[#This Row],['# Interior Compactors MRST]]=0,"",VLOOKUP(Data[[#This Row],[DEVELOPMENT]],IntCompactors_MRST[],5,FALSE))</f>
        <v>38899</v>
      </c>
      <c r="M177" s="28" t="str">
        <f>IF(Data[[#This Row],['# Exterior Compactors MRST]]=0,"",VLOOKUP(Data[[#This Row],[DEVELOPMENT]],ExtCompactors_MRST[],5,FALSE))</f>
        <v/>
      </c>
      <c r="N177">
        <f>Data[[#This Row],['# Interior Compactors MRST]]</f>
        <v>1</v>
      </c>
      <c r="O177" s="20">
        <f>IF(Data[[#This Row],['# Bulk Crushers]]=0,1,0)</f>
        <v>1</v>
      </c>
      <c r="P177" s="20">
        <f>1</f>
        <v>1</v>
      </c>
      <c r="Q177" s="20">
        <f>1</f>
        <v>1</v>
      </c>
      <c r="R177" s="20">
        <f>1</f>
        <v>1</v>
      </c>
      <c r="S177" s="20">
        <f>1</f>
        <v>1</v>
      </c>
      <c r="T177" s="20">
        <f>IF(Data[[#This Row],[Sewershed]]="Newtown Creek",Data[[#This Row],[DUs]],0)</f>
        <v>0</v>
      </c>
      <c r="U17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7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7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77" s="82">
        <f>VLOOKUP(Data[[#This Row],[DEVELOPMENT]],Development_Data_Book[[DEVELOPMENT]:[BOROUGH]],3,FALSE)</f>
        <v>297</v>
      </c>
      <c r="Y177" s="20"/>
      <c r="Z177" s="20">
        <f>IFERROR(VLOOKUP(Data[[#This Row],[TDS]],ExtCompactors_PNA[[Development]:[0]],2,FALSE),0)</f>
        <v>0</v>
      </c>
      <c r="AA177" s="20">
        <f>IFERROR(VLOOKUP(Data[[#This Row],[TDS]],IntCompactors_PNA[[TDS]:[0]],2,FALSE),0)</f>
        <v>2</v>
      </c>
      <c r="AB177" s="20"/>
      <c r="AC177" s="20"/>
      <c r="AD177" s="20">
        <f>IFERROR(VLOOKUP(Data[[#This Row],[TDS]],ExtCompactors_PNA[[Development]:[0]],3,FALSE)+VLOOKUP(Data[[#This Row],[TDS]],ExtCompactors_PNA[[Development]:[0]],6,FALSE),0)</f>
        <v>0</v>
      </c>
      <c r="AE177" s="20">
        <f>IFERROR(VLOOKUP(Data[[#This Row],[TDS]],IntCompactors_PNA[[TDS]:[0]],3,FALSE)+VLOOKUP(Data[[#This Row],[TDS]],IntCompactors_PNA[[TDS]:[0]],6,FALSE),0)</f>
        <v>2</v>
      </c>
      <c r="AF177" s="20" t="e">
        <f>VLOOKUP(Data[[#This Row],[DEVELOPMENT]],[3]Developments!$A$2:$A$312,1,FALSE)</f>
        <v>#N/A</v>
      </c>
      <c r="AG177" s="20">
        <f>IFERROR(VLOOKUP(Data[[#This Row],[DEVELOPMENT]],Ops_Priorities_and_Data_Clean[[development]:[ifnoext_comment]],3,FALSE),"")</f>
        <v>0</v>
      </c>
      <c r="AH177" s="20">
        <f>IFERROR(VLOOKUP(Data[[#This Row],[DEVELOPMENT]],Ops_Priorities_and_Data_Clean[[development]:[ifnoext_comment]],4,FALSE),"")</f>
        <v>0</v>
      </c>
      <c r="AI177" s="20">
        <f>IFERROR(VLOOKUP(Data[[#This Row],[DEVELOPMENT]],Ops_Priorities_and_Data_Clean[[development]:[ifnoext_comment]],5,FALSE),"")</f>
        <v>0</v>
      </c>
      <c r="AJ177" s="20">
        <f>IFERROR(VLOOKUP(Data[[#This Row],[DEVELOPMENT]],Ops_Priorities_and_Data_Clean[[development]:[ifnoext_comment]],6,FALSE),"")</f>
        <v>0</v>
      </c>
      <c r="AK177" s="20">
        <f>IFERROR(VLOOKUP(Data[[#This Row],[DEVELOPMENT]],Ops_Priorities_and_Data_Clean[[development]:[ifnoext_comment]],7,FALSE),"")</f>
        <v>1</v>
      </c>
      <c r="AL177" s="20">
        <f>IFERROR(VLOOKUP(Data[[#This Row],[DEVELOPMENT]],Ops_Priorities_and_Data_Clean[[development]:[ifnoext_comment]],8,FALSE),"")</f>
        <v>1</v>
      </c>
      <c r="AM177" s="20">
        <f>IFERROR(VLOOKUP(Data[[#This Row],[DEVELOPMENT]],Ops_Priorities_and_Data_Clean[[development]:[ifnoext_comment]],9,FALSE),"")</f>
        <v>0</v>
      </c>
      <c r="AN177" s="20">
        <f>IFERROR(VLOOKUP(Data[[#This Row],[DEVELOPMENT]],Ops_Priorities_and_Data_Clean[[development]:[ifnoext_comment]],10,FALSE),"")</f>
        <v>0</v>
      </c>
      <c r="AO177" s="20">
        <f>IFERROR(VLOOKUP(Data[[#This Row],[DEVELOPMENT]],Ops_Priorities_and_Data_Clean[[development]:[ifnoext_comment]],11,FALSE),"")</f>
        <v>0</v>
      </c>
      <c r="AP177" s="20">
        <f>IFERROR(VLOOKUP(Data[[#This Row],[DEVELOPMENT]],Ops_Priorities_and_Data_Clean[[development]:[ifnoext_comment]],12,FALSE),"")</f>
        <v>0</v>
      </c>
      <c r="AQ177" s="20">
        <f>VLOOKUP(Data[[#This Row],[DEVELOPMENT]],Ops_Priorities_and_Data_Clean[[development]:[ifnoext_comment]],14,FALSE)</f>
        <v>1</v>
      </c>
      <c r="AR177" s="20">
        <f>VLOOKUP(Data[[#This Row],[DEVELOPMENT]],Ops_Priorities_and_Data_Clean[[development]:[ifnoext_comment]],15,FALSE)</f>
        <v>0</v>
      </c>
      <c r="AS177" s="20" t="str">
        <f>VLOOKUP(Data[[#This Row],[DEVELOPMENT]],Ops_Priorities_and_Data_Clean[[development]:[ifnoext_comment]],16,FALSE)</f>
        <v>NULL</v>
      </c>
      <c r="AT177" s="20" t="str">
        <f>VLOOKUP(Data[[#This Row],[DEVELOPMENT]],Ops_Priorities_and_Data_Clean[[development]:[ifnoext_comment]],17,FALSE)</f>
        <v>NULL</v>
      </c>
      <c r="AU177" s="20" t="str">
        <f>VLOOKUP(Data[[#This Row],[DEVELOPMENT]],Ops_Priorities_and_Data_Clean[[development]:[ifnoext_comment]],18,FALSE)</f>
        <v>yes</v>
      </c>
      <c r="AV177" s="20" t="str">
        <f>VLOOKUP(Data[[#This Row],[DEVELOPMENT]],Ops_Priorities_and_Data_Clean[[development]:[ifnoext_comment]],19,FALSE)</f>
        <v>Curbside pickup for DSNY</v>
      </c>
      <c r="AW177" s="20" t="str">
        <f>VLOOKUP(Data[[#This Row],[DEVELOPMENT]],Ops_Priorities_and_Data_Clean[[development]:[ifnoext_comment]],20,FALSE)</f>
        <v>NULL</v>
      </c>
      <c r="AX177" s="104" t="s">
        <v>2605</v>
      </c>
      <c r="AY177" s="104" t="s">
        <v>122</v>
      </c>
      <c r="AZ177" s="20" t="str">
        <f>VLOOKUP(Data[[#This Row],[DEVELOPMENT]],Development_Data_Book[[DEVELOPMENT]:[PRIVATE MANAGEMENT]],8,FALSE)</f>
        <v>FEDERAL</v>
      </c>
      <c r="BA177" s="104" t="s">
        <v>2613</v>
      </c>
      <c r="BB177" s="20">
        <f>VLOOKUP(Data[[#This Row],[DEVELOPMENT]],Development_Data_Book[[DEVELOPMENT]:[PRIVATE MANAGEMENT]],22,FALSE)</f>
        <v>0</v>
      </c>
      <c r="BC177" s="20">
        <f>Data[[#This Row],[Non-Dwelling Buildings]]+Data[[#This Row],[Dwelling Buildings]]</f>
        <v>2</v>
      </c>
      <c r="BD177" s="20">
        <f>VLOOKUP(Data[[#This Row],[DEVELOPMENT]],Development_Data_Book[[DEVELOPMENT]:[PRIVATE MANAGEMENT]],26,FALSE)</f>
        <v>0.32</v>
      </c>
      <c r="BE177" s="106">
        <v>59800</v>
      </c>
      <c r="BF177" s="20">
        <f>VLOOKUP(Data[[#This Row],[DEVELOPMENT]],Development_Data_Book[[DEVELOPMENT]:[PRIVATE MANAGEMENT]],18,FALSE)</f>
        <v>115</v>
      </c>
      <c r="BG17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77" s="104" t="s">
        <v>2593</v>
      </c>
      <c r="BI177" t="s">
        <v>184</v>
      </c>
      <c r="BJ177" s="20">
        <f>VLOOKUP(Data[[#This Row],[DEVELOPMENT]],Development_Data_Book[[DEVELOPMENT]:[PRIVATE MANAGEMENT]],41,FALSE)</f>
        <v>9</v>
      </c>
      <c r="BK177" s="20">
        <f>VLOOKUP(Data[[#This Row],[DEVELOPMENT]],Development_Data_Book[[DEVELOPMENT]:[PRIVATE MANAGEMENT]],42,FALSE)</f>
        <v>13</v>
      </c>
      <c r="BL177" s="20">
        <f>VLOOKUP(Data[[#This Row],[DEVELOPMENT]],Development_Data_Book[[DEVELOPMENT]:[PRIVATE MANAGEMENT]],43,FALSE)</f>
        <v>31</v>
      </c>
      <c r="BM177" s="20">
        <f>VLOOKUP(Data[[#This Row],[DEVELOPMENT]],Development_Data_Book[[DEVELOPMENT]:[PRIVATE MANAGEMENT]],44,FALSE)</f>
        <v>70</v>
      </c>
      <c r="BN177" s="20">
        <f>VLOOKUP(Data[[#This Row],[DEVELOPMENT]],Development_Data_Book[[DEVELOPMENT]:[PRIVATE MANAGEMENT]],45,FALSE)</f>
        <v>7</v>
      </c>
      <c r="BO177" s="20">
        <f>VLOOKUP(Data[[#This Row],[DEVELOPMENT]],Development_Data_Book[[DEVELOPMENT]:[PRIVATE MANAGEMENT]],24,FALSE)</f>
        <v>43591</v>
      </c>
    </row>
    <row r="178" spans="1:67">
      <c r="A178" t="s">
        <v>342</v>
      </c>
      <c r="B178" s="20" t="str">
        <f>VLOOKUP(Data[[#This Row],[DEVELOPMENT]],Development_Data_Book[[DEVELOPMENT]:[BOROUGH]],MATCH("borough",Development_Data_Book[[#Headers],[DEVELOPMENT]:[BOROUGH]],0),FALSE)</f>
        <v>BRONX</v>
      </c>
      <c r="C178" s="20" t="e">
        <f>VLOOKUP(Data[[#This Row],[DEVELOPMENT]],'[1]Cheat-Sheet'!$D$2:$Q$341,2,FALSE)</f>
        <v>#N/A</v>
      </c>
      <c r="D17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78" s="20">
        <f>VLOOKUP(Data[[#This Row],[DEVELOPMENT]],Development_Data_Book[[DEVELOPMENT]:[BOROUGH]],21,FALSE)</f>
        <v>11</v>
      </c>
      <c r="F178" s="20">
        <f>VLOOKUP(Data[[#This Row],[DEVELOPMENT]],Development_Data_Book[[DEVELOPMENT]:[BOROUGH]],23,FALSE)</f>
        <v>12</v>
      </c>
      <c r="G178" s="20">
        <f>VLOOKUP(Data[[#This Row],[DEVELOPMENT]],Development_Data_Book[[DEVELOPMENT]:[BOROUGH]],12,FALSE)</f>
        <v>1680</v>
      </c>
      <c r="J178">
        <f>IFERROR(VLOOKUP(Data[[#This Row],[DEVELOPMENT]],IntCompactors_MRST[],4,FALSE),0)</f>
        <v>11</v>
      </c>
      <c r="K178" s="20">
        <f>IFERROR(VLOOKUP(Data[[#This Row],[DEVELOPMENT]],ExtCompactors_MRST[],4,FALSE),0)</f>
        <v>3</v>
      </c>
      <c r="L178" s="27">
        <f>IF(Data[[#This Row],['# Interior Compactors MRST]]=0,"",VLOOKUP(Data[[#This Row],[DEVELOPMENT]],IntCompactors_MRST[],5,FALSE))</f>
        <v>36434</v>
      </c>
      <c r="M178" s="28">
        <f>IF(Data[[#This Row],['# Exterior Compactors MRST]]=0,"",VLOOKUP(Data[[#This Row],[DEVELOPMENT]],ExtCompactors_MRST[],5,FALSE))</f>
        <v>38154</v>
      </c>
      <c r="N178" s="20">
        <f>Data[[#This Row],['# Interior Compactors MRST]]</f>
        <v>11</v>
      </c>
      <c r="O178" s="20">
        <f>IF(Data[[#This Row],['# Bulk Crushers]]=0,1,0)</f>
        <v>1</v>
      </c>
      <c r="P178" s="20">
        <f>1</f>
        <v>1</v>
      </c>
      <c r="Q178" s="20">
        <f>1</f>
        <v>1</v>
      </c>
      <c r="R178" s="20">
        <f>1</f>
        <v>1</v>
      </c>
      <c r="S178" s="20">
        <f>1</f>
        <v>1</v>
      </c>
      <c r="T178" s="20">
        <f>IF(Data[[#This Row],[Sewershed]]="Newtown Creek",Data[[#This Row],[DUs]],0)</f>
        <v>0</v>
      </c>
      <c r="U17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7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7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78" s="82">
        <f>VLOOKUP(Data[[#This Row],[DEVELOPMENT]],Development_Data_Book[[DEVELOPMENT]:[BOROUGH]],3,FALSE)</f>
        <v>49</v>
      </c>
      <c r="Y178" s="20"/>
      <c r="Z178" s="20">
        <f>IFERROR(VLOOKUP(Data[[#This Row],[TDS]],ExtCompactors_PNA[[Development]:[0]],2,FALSE),0)</f>
        <v>3</v>
      </c>
      <c r="AA178" s="20">
        <f>IFERROR(VLOOKUP(Data[[#This Row],[TDS]],IntCompactors_PNA[[TDS]:[0]],2,FALSE),0)</f>
        <v>11</v>
      </c>
      <c r="AB178" s="20"/>
      <c r="AC178" s="20"/>
      <c r="AD178" s="20">
        <f>IFERROR(VLOOKUP(Data[[#This Row],[TDS]],ExtCompactors_PNA[[Development]:[0]],3,FALSE)+VLOOKUP(Data[[#This Row],[TDS]],ExtCompactors_PNA[[Development]:[0]],6,FALSE),0)</f>
        <v>3</v>
      </c>
      <c r="AE178" s="20">
        <f>IFERROR(VLOOKUP(Data[[#This Row],[TDS]],IntCompactors_PNA[[TDS]:[0]],3,FALSE)+VLOOKUP(Data[[#This Row],[TDS]],IntCompactors_PNA[[TDS]:[0]],6,FALSE),0)</f>
        <v>11</v>
      </c>
      <c r="AF178" s="20" t="e">
        <f>VLOOKUP(Data[[#This Row],[DEVELOPMENT]],[3]Developments!$A$2:$A$312,1,FALSE)</f>
        <v>#N/A</v>
      </c>
      <c r="AG178" s="20">
        <f>IFERROR(VLOOKUP(Data[[#This Row],[DEVELOPMENT]],Ops_Priorities_and_Data_Clean[[development]:[ifnoext_comment]],3,FALSE),"")</f>
        <v>3</v>
      </c>
      <c r="AH178" s="20">
        <f>IFERROR(VLOOKUP(Data[[#This Row],[DEVELOPMENT]],Ops_Priorities_and_Data_Clean[[development]:[ifnoext_comment]],4,FALSE),"")</f>
        <v>0</v>
      </c>
      <c r="AI178" s="20">
        <f>IFERROR(VLOOKUP(Data[[#This Row],[DEVELOPMENT]],Ops_Priorities_and_Data_Clean[[development]:[ifnoext_comment]],5,FALSE),"")</f>
        <v>1</v>
      </c>
      <c r="AJ178" s="20">
        <f>IFERROR(VLOOKUP(Data[[#This Row],[DEVELOPMENT]],Ops_Priorities_and_Data_Clean[[development]:[ifnoext_comment]],6,FALSE),"")</f>
        <v>0</v>
      </c>
      <c r="AK178" s="20">
        <f>IFERROR(VLOOKUP(Data[[#This Row],[DEVELOPMENT]],Ops_Priorities_and_Data_Clean[[development]:[ifnoext_comment]],7,FALSE),"")</f>
        <v>0</v>
      </c>
      <c r="AL178" s="20">
        <f>IFERROR(VLOOKUP(Data[[#This Row],[DEVELOPMENT]],Ops_Priorities_and_Data_Clean[[development]:[ifnoext_comment]],8,FALSE),"")</f>
        <v>1</v>
      </c>
      <c r="AM178" s="20">
        <f>IFERROR(VLOOKUP(Data[[#This Row],[DEVELOPMENT]],Ops_Priorities_and_Data_Clean[[development]:[ifnoext_comment]],9,FALSE),"")</f>
        <v>0</v>
      </c>
      <c r="AN178" s="20">
        <f>IFERROR(VLOOKUP(Data[[#This Row],[DEVELOPMENT]],Ops_Priorities_and_Data_Clean[[development]:[ifnoext_comment]],10,FALSE),"")</f>
        <v>3</v>
      </c>
      <c r="AO178" s="20">
        <f>IFERROR(VLOOKUP(Data[[#This Row],[DEVELOPMENT]],Ops_Priorities_and_Data_Clean[[development]:[ifnoext_comment]],11,FALSE),"")</f>
        <v>3</v>
      </c>
      <c r="AP178" s="20">
        <f>IFERROR(VLOOKUP(Data[[#This Row],[DEVELOPMENT]],Ops_Priorities_and_Data_Clean[[development]:[ifnoext_comment]],12,FALSE),"")</f>
        <v>3</v>
      </c>
      <c r="AQ178" s="20">
        <f>VLOOKUP(Data[[#This Row],[DEVELOPMENT]],Ops_Priorities_and_Data_Clean[[development]:[ifnoext_comment]],14,FALSE)</f>
        <v>0</v>
      </c>
      <c r="AR178" s="20">
        <f>VLOOKUP(Data[[#This Row],[DEVELOPMENT]],Ops_Priorities_and_Data_Clean[[development]:[ifnoext_comment]],15,FALSE)</f>
        <v>0</v>
      </c>
      <c r="AS178" s="20" t="str">
        <f>VLOOKUP(Data[[#This Row],[DEVELOPMENT]],Ops_Priorities_and_Data_Clean[[development]:[ifnoext_comment]],16,FALSE)</f>
        <v>NULL</v>
      </c>
      <c r="AT178" s="20" t="str">
        <f>VLOOKUP(Data[[#This Row],[DEVELOPMENT]],Ops_Priorities_and_Data_Clean[[development]:[ifnoext_comment]],17,FALSE)</f>
        <v>NULL</v>
      </c>
      <c r="AU178" s="20" t="str">
        <f>VLOOKUP(Data[[#This Row],[DEVELOPMENT]],Ops_Priorities_and_Data_Clean[[development]:[ifnoext_comment]],18,FALSE)</f>
        <v>NULL</v>
      </c>
      <c r="AV178" s="20" t="str">
        <f>VLOOKUP(Data[[#This Row],[DEVELOPMENT]],Ops_Priorities_and_Data_Clean[[development]:[ifnoext_comment]],19,FALSE)</f>
        <v>NULL</v>
      </c>
      <c r="AW178" s="20" t="str">
        <f>VLOOKUP(Data[[#This Row],[DEVELOPMENT]],Ops_Priorities_and_Data_Clean[[development]:[ifnoext_comment]],20,FALSE)</f>
        <v>NULL</v>
      </c>
      <c r="AX178" s="104" t="s">
        <v>2605</v>
      </c>
      <c r="AY178" s="104" t="s">
        <v>342</v>
      </c>
      <c r="AZ178" s="20" t="str">
        <f>VLOOKUP(Data[[#This Row],[DEVELOPMENT]],Development_Data_Book[[DEVELOPMENT]:[PRIVATE MANAGEMENT]],8,FALSE)</f>
        <v>MIXED FINANCE/LLC1</v>
      </c>
      <c r="BA178" s="104" t="s">
        <v>2586</v>
      </c>
      <c r="BB178" s="20">
        <f>VLOOKUP(Data[[#This Row],[DEVELOPMENT]],Development_Data_Book[[DEVELOPMENT]:[PRIVATE MANAGEMENT]],22,FALSE)</f>
        <v>1</v>
      </c>
      <c r="BC178" s="20">
        <f>Data[[#This Row],[Non-Dwelling Buildings]]+Data[[#This Row],[Dwelling Buildings]]</f>
        <v>12</v>
      </c>
      <c r="BD178" s="20">
        <f>VLOOKUP(Data[[#This Row],[DEVELOPMENT]],Development_Data_Book[[DEVELOPMENT]:[PRIVATE MANAGEMENT]],26,FALSE)</f>
        <v>16.64</v>
      </c>
      <c r="BE178" s="106">
        <v>1524105</v>
      </c>
      <c r="BF178" s="20">
        <f>VLOOKUP(Data[[#This Row],[DEVELOPMENT]],Development_Data_Book[[DEVELOPMENT]:[PRIVATE MANAGEMENT]],18,FALSE)</f>
        <v>3261</v>
      </c>
      <c r="BG17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78" s="104" t="s">
        <v>2587</v>
      </c>
      <c r="BI178" t="s">
        <v>184</v>
      </c>
      <c r="BJ178" s="20">
        <f>VLOOKUP(Data[[#This Row],[DEVELOPMENT]],Development_Data_Book[[DEVELOPMENT]:[PRIVATE MANAGEMENT]],41,FALSE)</f>
        <v>8</v>
      </c>
      <c r="BK178" s="20">
        <f>VLOOKUP(Data[[#This Row],[DEVELOPMENT]],Development_Data_Book[[DEVELOPMENT]:[PRIVATE MANAGEMENT]],42,FALSE)</f>
        <v>13</v>
      </c>
      <c r="BL178" s="20" t="str">
        <f>VLOOKUP(Data[[#This Row],[DEVELOPMENT]],Development_Data_Book[[DEVELOPMENT]:[PRIVATE MANAGEMENT]],43,FALSE)</f>
        <v>31, 33</v>
      </c>
      <c r="BM178" s="20" t="str">
        <f>VLOOKUP(Data[[#This Row],[DEVELOPMENT]],Development_Data_Book[[DEVELOPMENT]:[PRIVATE MANAGEMENT]],44,FALSE)</f>
        <v>72, 81</v>
      </c>
      <c r="BN178" s="20" t="str">
        <f>VLOOKUP(Data[[#This Row],[DEVELOPMENT]],Development_Data_Book[[DEVELOPMENT]:[PRIVATE MANAGEMENT]],45,FALSE)</f>
        <v>10, 11, 14</v>
      </c>
      <c r="BO178" s="20" t="str">
        <f>VLOOKUP(Data[[#This Row],[DEVELOPMENT]],Development_Data_Book[[DEVELOPMENT]:[PRIVATE MANAGEMENT]],24,FALSE)</f>
        <v>14-15</v>
      </c>
    </row>
    <row r="179" spans="1:67">
      <c r="A179" s="17" t="s">
        <v>38</v>
      </c>
      <c r="B179" s="17" t="str">
        <f>VLOOKUP(Data[[#This Row],[DEVELOPMENT]],Development_Data_Book[[DEVELOPMENT]:[BOROUGH]],MATCH("borough",Development_Data_Book[[#Headers],[DEVELOPMENT]:[BOROUGH]],0),FALSE)</f>
        <v>BROOKLYN</v>
      </c>
      <c r="C179" t="e">
        <f>VLOOKUP(Data[[#This Row],[DEVELOPMENT]],'[1]Cheat-Sheet'!$D$2:$Q$341,2,FALSE)</f>
        <v>#N/A</v>
      </c>
      <c r="D17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79">
        <f>VLOOKUP(Data[[#This Row],[DEVELOPMENT]],Development_Data_Book[[DEVELOPMENT]:[BOROUGH]],21,FALSE)</f>
        <v>27</v>
      </c>
      <c r="F179">
        <f>VLOOKUP(Data[[#This Row],[DEVELOPMENT]],Development_Data_Book[[DEVELOPMENT]:[BOROUGH]],23,FALSE)</f>
        <v>71</v>
      </c>
      <c r="G179">
        <f>VLOOKUP(Data[[#This Row],[DEVELOPMENT]],Development_Data_Book[[DEVELOPMENT]:[BOROUGH]],12,FALSE)</f>
        <v>1716</v>
      </c>
      <c r="H179" t="s">
        <v>2246</v>
      </c>
      <c r="I179">
        <v>3</v>
      </c>
      <c r="J179">
        <f>IFERROR(VLOOKUP(Data[[#This Row],[DEVELOPMENT]],IntCompactors_MRST[],4,FALSE),0)</f>
        <v>70</v>
      </c>
      <c r="K179" s="20">
        <f>IFERROR(VLOOKUP(Data[[#This Row],[DEVELOPMENT]],ExtCompactors_MRST[],4,FALSE),0)</f>
        <v>3</v>
      </c>
      <c r="L179" s="27">
        <f>IF(Data[[#This Row],['# Interior Compactors MRST]]=0,"",VLOOKUP(Data[[#This Row],[DEVELOPMENT]],IntCompactors_MRST[],5,FALSE))</f>
        <v>40028</v>
      </c>
      <c r="M179" s="28">
        <f>IF(Data[[#This Row],['# Exterior Compactors MRST]]=0,"",VLOOKUP(Data[[#This Row],[DEVELOPMENT]],ExtCompactors_MRST[],5,FALSE))</f>
        <v>43586</v>
      </c>
      <c r="N179">
        <f>Data[[#This Row],['# Interior Compactors MRST]]</f>
        <v>70</v>
      </c>
      <c r="O179" s="20">
        <f>IF(Data[[#This Row],['# Bulk Crushers]]=0,1,0)</f>
        <v>1</v>
      </c>
      <c r="P179" s="20">
        <f>1</f>
        <v>1</v>
      </c>
      <c r="Q179" s="20">
        <f>1</f>
        <v>1</v>
      </c>
      <c r="R179" s="20">
        <f>1</f>
        <v>1</v>
      </c>
      <c r="S179" s="20">
        <f>1</f>
        <v>1</v>
      </c>
      <c r="T179" s="20">
        <f>IF(Data[[#This Row],[Sewershed]]="Newtown Creek",Data[[#This Row],[DUs]],0)</f>
        <v>1716</v>
      </c>
      <c r="U17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7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7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79" s="82">
        <f>VLOOKUP(Data[[#This Row],[DEVELOPMENT]],Development_Data_Book[[DEVELOPMENT]:[BOROUGH]],3,FALSE)</f>
        <v>21</v>
      </c>
      <c r="Y179" s="20" t="s">
        <v>2599</v>
      </c>
      <c r="Z179" s="20">
        <f>IFERROR(VLOOKUP(Data[[#This Row],[TDS]],ExtCompactors_PNA[[Development]:[0]],2,FALSE),0)</f>
        <v>3</v>
      </c>
      <c r="AA179" s="20">
        <f>IFERROR(VLOOKUP(Data[[#This Row],[TDS]],IntCompactors_PNA[[TDS]:[0]],2,FALSE),0)</f>
        <v>69</v>
      </c>
      <c r="AB179" s="20"/>
      <c r="AC179" s="20"/>
      <c r="AD179" s="20">
        <f>IFERROR(VLOOKUP(Data[[#This Row],[TDS]],ExtCompactors_PNA[[Development]:[0]],3,FALSE)+VLOOKUP(Data[[#This Row],[TDS]],ExtCompactors_PNA[[Development]:[0]],6,FALSE),0)</f>
        <v>3</v>
      </c>
      <c r="AE179" s="20">
        <f>IFERROR(VLOOKUP(Data[[#This Row],[TDS]],IntCompactors_PNA[[TDS]:[0]],3,FALSE)+VLOOKUP(Data[[#This Row],[TDS]],IntCompactors_PNA[[TDS]:[0]],6,FALSE),0)</f>
        <v>69</v>
      </c>
      <c r="AF179" s="20" t="e">
        <f>VLOOKUP(Data[[#This Row],[DEVELOPMENT]],[3]Developments!$A$2:$A$312,1,FALSE)</f>
        <v>#N/A</v>
      </c>
      <c r="AG179" s="20">
        <f>IFERROR(VLOOKUP(Data[[#This Row],[DEVELOPMENT]],Ops_Priorities_and_Data_Clean[[development]:[ifnoext_comment]],3,FALSE),"")</f>
        <v>3</v>
      </c>
      <c r="AH179" s="20">
        <f>IFERROR(VLOOKUP(Data[[#This Row],[DEVELOPMENT]],Ops_Priorities_and_Data_Clean[[development]:[ifnoext_comment]],4,FALSE),"")</f>
        <v>0</v>
      </c>
      <c r="AI179" s="20">
        <f>IFERROR(VLOOKUP(Data[[#This Row],[DEVELOPMENT]],Ops_Priorities_and_Data_Clean[[development]:[ifnoext_comment]],5,FALSE),"")</f>
        <v>1</v>
      </c>
      <c r="AJ179" s="20">
        <f>IFERROR(VLOOKUP(Data[[#This Row],[DEVELOPMENT]],Ops_Priorities_and_Data_Clean[[development]:[ifnoext_comment]],6,FALSE),"")</f>
        <v>0</v>
      </c>
      <c r="AK179" s="20">
        <f>IFERROR(VLOOKUP(Data[[#This Row],[DEVELOPMENT]],Ops_Priorities_and_Data_Clean[[development]:[ifnoext_comment]],7,FALSE),"")</f>
        <v>0</v>
      </c>
      <c r="AL179" s="20">
        <f>IFERROR(VLOOKUP(Data[[#This Row],[DEVELOPMENT]],Ops_Priorities_and_Data_Clean[[development]:[ifnoext_comment]],8,FALSE),"")</f>
        <v>1</v>
      </c>
      <c r="AM179" s="20">
        <f>IFERROR(VLOOKUP(Data[[#This Row],[DEVELOPMENT]],Ops_Priorities_and_Data_Clean[[development]:[ifnoext_comment]],9,FALSE),"")</f>
        <v>0</v>
      </c>
      <c r="AN179" s="20">
        <f>IFERROR(VLOOKUP(Data[[#This Row],[DEVELOPMENT]],Ops_Priorities_and_Data_Clean[[development]:[ifnoext_comment]],10,FALSE),"")</f>
        <v>3</v>
      </c>
      <c r="AO179" s="20">
        <f>IFERROR(VLOOKUP(Data[[#This Row],[DEVELOPMENT]],Ops_Priorities_and_Data_Clean[[development]:[ifnoext_comment]],11,FALSE),"")</f>
        <v>3</v>
      </c>
      <c r="AP179" s="20">
        <f>IFERROR(VLOOKUP(Data[[#This Row],[DEVELOPMENT]],Ops_Priorities_and_Data_Clean[[development]:[ifnoext_comment]],12,FALSE),"")</f>
        <v>3</v>
      </c>
      <c r="AQ179" s="20">
        <f>VLOOKUP(Data[[#This Row],[DEVELOPMENT]],Ops_Priorities_and_Data_Clean[[development]:[ifnoext_comment]],14,FALSE)</f>
        <v>0</v>
      </c>
      <c r="AR179" s="20">
        <f>VLOOKUP(Data[[#This Row],[DEVELOPMENT]],Ops_Priorities_and_Data_Clean[[development]:[ifnoext_comment]],15,FALSE)</f>
        <v>0</v>
      </c>
      <c r="AS179" s="20" t="str">
        <f>VLOOKUP(Data[[#This Row],[DEVELOPMENT]],Ops_Priorities_and_Data_Clean[[development]:[ifnoext_comment]],16,FALSE)</f>
        <v>NULL</v>
      </c>
      <c r="AT179" s="20" t="str">
        <f>VLOOKUP(Data[[#This Row],[DEVELOPMENT]],Ops_Priorities_and_Data_Clean[[development]:[ifnoext_comment]],17,FALSE)</f>
        <v>NULL</v>
      </c>
      <c r="AU179" s="20" t="str">
        <f>VLOOKUP(Data[[#This Row],[DEVELOPMENT]],Ops_Priorities_and_Data_Clean[[development]:[ifnoext_comment]],18,FALSE)</f>
        <v>No</v>
      </c>
      <c r="AV179" s="20" t="str">
        <f>VLOOKUP(Data[[#This Row],[DEVELOPMENT]],Ops_Priorities_and_Data_Clean[[development]:[ifnoext_comment]],19,FALSE)</f>
        <v>container on-site</v>
      </c>
      <c r="AW179" s="20" t="str">
        <f>VLOOKUP(Data[[#This Row],[DEVELOPMENT]],Ops_Priorities_and_Data_Clean[[development]:[ifnoext_comment]],20,FALSE)</f>
        <v>NULL</v>
      </c>
      <c r="AX179" s="104" t="s">
        <v>2238</v>
      </c>
      <c r="AY179" s="104" t="s">
        <v>2600</v>
      </c>
      <c r="AZ179" s="20" t="str">
        <f>VLOOKUP(Data[[#This Row],[DEVELOPMENT]],Development_Data_Book[[DEVELOPMENT]:[PRIVATE MANAGEMENT]],8,FALSE)</f>
        <v>FEDERAL</v>
      </c>
      <c r="BA179" s="104" t="s">
        <v>2586</v>
      </c>
      <c r="BB179" s="20">
        <f>VLOOKUP(Data[[#This Row],[DEVELOPMENT]],Development_Data_Book[[DEVELOPMENT]:[PRIVATE MANAGEMENT]],22,FALSE)</f>
        <v>1</v>
      </c>
      <c r="BC179" s="20">
        <f>Data[[#This Row],[Non-Dwelling Buildings]]+Data[[#This Row],[Dwelling Buildings]]</f>
        <v>28</v>
      </c>
      <c r="BD179" s="20">
        <f>VLOOKUP(Data[[#This Row],[DEVELOPMENT]],Development_Data_Book[[DEVELOPMENT]:[PRIVATE MANAGEMENT]],26,FALSE)</f>
        <v>28.49</v>
      </c>
      <c r="BE179" s="106">
        <v>1636248</v>
      </c>
      <c r="BF179" s="20">
        <f>VLOOKUP(Data[[#This Row],[DEVELOPMENT]],Development_Data_Book[[DEVELOPMENT]:[PRIVATE MANAGEMENT]],18,FALSE)</f>
        <v>4147</v>
      </c>
      <c r="BG17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79" s="104" t="s">
        <v>2601</v>
      </c>
      <c r="BI179" t="s">
        <v>184</v>
      </c>
      <c r="BJ179" s="20">
        <f>VLOOKUP(Data[[#This Row],[DEVELOPMENT]],Development_Data_Book[[DEVELOPMENT]:[PRIVATE MANAGEMENT]],41,FALSE)</f>
        <v>3</v>
      </c>
      <c r="BK179" s="20">
        <f>VLOOKUP(Data[[#This Row],[DEVELOPMENT]],Development_Data_Book[[DEVELOPMENT]:[PRIVATE MANAGEMENT]],42,FALSE)</f>
        <v>7</v>
      </c>
      <c r="BL179" s="20">
        <f>VLOOKUP(Data[[#This Row],[DEVELOPMENT]],Development_Data_Book[[DEVELOPMENT]:[PRIVATE MANAGEMENT]],43,FALSE)</f>
        <v>18</v>
      </c>
      <c r="BM179" s="20">
        <f>VLOOKUP(Data[[#This Row],[DEVELOPMENT]],Development_Data_Book[[DEVELOPMENT]:[PRIVATE MANAGEMENT]],44,FALSE)</f>
        <v>56</v>
      </c>
      <c r="BN179" s="20">
        <f>VLOOKUP(Data[[#This Row],[DEVELOPMENT]],Development_Data_Book[[DEVELOPMENT]:[PRIVATE MANAGEMENT]],45,FALSE)</f>
        <v>36</v>
      </c>
      <c r="BO179" s="20">
        <f>VLOOKUP(Data[[#This Row],[DEVELOPMENT]],Development_Data_Book[[DEVELOPMENT]:[PRIVATE MANAGEMENT]],24,FALSE)</f>
        <v>6</v>
      </c>
    </row>
    <row r="180" spans="1:67">
      <c r="A180" s="17" t="s">
        <v>343</v>
      </c>
      <c r="B180" s="17" t="str">
        <f>VLOOKUP(Data[[#This Row],[DEVELOPMENT]],Development_Data_Book[[DEVELOPMENT]:[BOROUGH]],MATCH("borough",Development_Data_Book[[#Headers],[DEVELOPMENT]:[BOROUGH]],0),FALSE)</f>
        <v>BROOKLYN</v>
      </c>
      <c r="C180" t="e">
        <f>VLOOKUP(Data[[#This Row],[DEVELOPMENT]],'[1]Cheat-Sheet'!$D$2:$Q$341,2,FALSE)</f>
        <v>#N/A</v>
      </c>
      <c r="D180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180">
        <f>VLOOKUP(Data[[#This Row],[DEVELOPMENT]],Development_Data_Book[[DEVELOPMENT]:[BOROUGH]],21,FALSE)</f>
        <v>2</v>
      </c>
      <c r="F180">
        <f>VLOOKUP(Data[[#This Row],[DEVELOPMENT]],Development_Data_Book[[DEVELOPMENT]:[BOROUGH]],23,FALSE)</f>
        <v>7</v>
      </c>
      <c r="G180">
        <f>VLOOKUP(Data[[#This Row],[DEVELOPMENT]],Development_Data_Book[[DEVELOPMENT]:[BOROUGH]],12,FALSE)</f>
        <v>48</v>
      </c>
      <c r="H180" t="s">
        <v>2246</v>
      </c>
      <c r="I180">
        <v>4</v>
      </c>
      <c r="J180">
        <f>IFERROR(VLOOKUP(Data[[#This Row],[DEVELOPMENT]],IntCompactors_MRST[],4,FALSE),0)</f>
        <v>0</v>
      </c>
      <c r="K180">
        <f>IFERROR(VLOOKUP(Data[[#This Row],[DEVELOPMENT]],ExtCompactors_MRST[],4,FALSE),0)</f>
        <v>0</v>
      </c>
      <c r="L180" s="27" t="str">
        <f>IF(Data[[#This Row],['# Interior Compactors MRST]]=0,"",VLOOKUP(Data[[#This Row],[DEVELOPMENT]],IntCompactors_MRST[],5,FALSE))</f>
        <v/>
      </c>
      <c r="M180" s="28" t="str">
        <f>IF(Data[[#This Row],['# Exterior Compactors MRST]]=0,"",VLOOKUP(Data[[#This Row],[DEVELOPMENT]],ExtCompactors_MRST[],5,FALSE))</f>
        <v/>
      </c>
      <c r="N180">
        <f>Data[[#This Row],['# Interior Compactors MRST]]</f>
        <v>0</v>
      </c>
      <c r="O180" s="20">
        <f>IF(Data[[#This Row],['# Bulk Crushers]]=0,1,0)</f>
        <v>1</v>
      </c>
      <c r="P180" s="20">
        <f>1</f>
        <v>1</v>
      </c>
      <c r="Q180" s="20">
        <f>1</f>
        <v>1</v>
      </c>
      <c r="R180" s="20">
        <f>1</f>
        <v>1</v>
      </c>
      <c r="S180" s="20">
        <f>1</f>
        <v>1</v>
      </c>
      <c r="T180" s="20">
        <f>IF(Data[[#This Row],[Sewershed]]="Newtown Creek",Data[[#This Row],[DUs]],0)</f>
        <v>0</v>
      </c>
      <c r="U18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8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8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80" s="82">
        <f>VLOOKUP(Data[[#This Row],[DEVELOPMENT]],Development_Data_Book[[DEVELOPMENT]:[BOROUGH]],3,FALSE)</f>
        <v>363</v>
      </c>
      <c r="Y180" s="20"/>
      <c r="Z180" s="20">
        <f>IFERROR(VLOOKUP(Data[[#This Row],[TDS]],ExtCompactors_PNA[[Development]:[0]],2,FALSE),0)</f>
        <v>0</v>
      </c>
      <c r="AA180" s="20">
        <f>IFERROR(VLOOKUP(Data[[#This Row],[TDS]],IntCompactors_PNA[[TDS]:[0]],2,FALSE),0)</f>
        <v>0</v>
      </c>
      <c r="AB180" s="20"/>
      <c r="AC180" s="20"/>
      <c r="AD180" s="20">
        <f>IFERROR(VLOOKUP(Data[[#This Row],[TDS]],ExtCompactors_PNA[[Development]:[0]],3,FALSE)+VLOOKUP(Data[[#This Row],[TDS]],ExtCompactors_PNA[[Development]:[0]],6,FALSE),0)</f>
        <v>0</v>
      </c>
      <c r="AE180" s="20">
        <f>IFERROR(VLOOKUP(Data[[#This Row],[TDS]],IntCompactors_PNA[[TDS]:[0]],3,FALSE)+VLOOKUP(Data[[#This Row],[TDS]],IntCompactors_PNA[[TDS]:[0]],6,FALSE),0)</f>
        <v>0</v>
      </c>
      <c r="AF180" s="20" t="e">
        <f>VLOOKUP(Data[[#This Row],[DEVELOPMENT]],[3]Developments!$A$2:$A$312,1,FALSE)</f>
        <v>#N/A</v>
      </c>
      <c r="AG180" s="20">
        <f>IFERROR(VLOOKUP(Data[[#This Row],[DEVELOPMENT]],Ops_Priorities_and_Data_Clean[[development]:[ifnoext_comment]],3,FALSE),"")</f>
        <v>0</v>
      </c>
      <c r="AH180" s="20">
        <f>IFERROR(VLOOKUP(Data[[#This Row],[DEVELOPMENT]],Ops_Priorities_and_Data_Clean[[development]:[ifnoext_comment]],4,FALSE),"")</f>
        <v>0</v>
      </c>
      <c r="AI180" s="20">
        <f>IFERROR(VLOOKUP(Data[[#This Row],[DEVELOPMENT]],Ops_Priorities_and_Data_Clean[[development]:[ifnoext_comment]],5,FALSE),"")</f>
        <v>0</v>
      </c>
      <c r="AJ180" s="20">
        <f>IFERROR(VLOOKUP(Data[[#This Row],[DEVELOPMENT]],Ops_Priorities_and_Data_Clean[[development]:[ifnoext_comment]],6,FALSE),"")</f>
        <v>0</v>
      </c>
      <c r="AK180" s="20">
        <f>IFERROR(VLOOKUP(Data[[#This Row],[DEVELOPMENT]],Ops_Priorities_and_Data_Clean[[development]:[ifnoext_comment]],7,FALSE),"")</f>
        <v>1</v>
      </c>
      <c r="AL180" s="20">
        <f>IFERROR(VLOOKUP(Data[[#This Row],[DEVELOPMENT]],Ops_Priorities_and_Data_Clean[[development]:[ifnoext_comment]],8,FALSE),"")</f>
        <v>1</v>
      </c>
      <c r="AM180" s="20">
        <f>IFERROR(VLOOKUP(Data[[#This Row],[DEVELOPMENT]],Ops_Priorities_and_Data_Clean[[development]:[ifnoext_comment]],9,FALSE),"")</f>
        <v>0</v>
      </c>
      <c r="AN180" s="20">
        <f>IFERROR(VLOOKUP(Data[[#This Row],[DEVELOPMENT]],Ops_Priorities_and_Data_Clean[[development]:[ifnoext_comment]],10,FALSE),"")</f>
        <v>0</v>
      </c>
      <c r="AO180" s="20">
        <f>IFERROR(VLOOKUP(Data[[#This Row],[DEVELOPMENT]],Ops_Priorities_and_Data_Clean[[development]:[ifnoext_comment]],11,FALSE),"")</f>
        <v>0</v>
      </c>
      <c r="AP180" s="20">
        <f>IFERROR(VLOOKUP(Data[[#This Row],[DEVELOPMENT]],Ops_Priorities_and_Data_Clean[[development]:[ifnoext_comment]],12,FALSE),"")</f>
        <v>0</v>
      </c>
      <c r="AQ180" s="20">
        <f>VLOOKUP(Data[[#This Row],[DEVELOPMENT]],Ops_Priorities_and_Data_Clean[[development]:[ifnoext_comment]],14,FALSE)</f>
        <v>1</v>
      </c>
      <c r="AR180" s="20">
        <f>VLOOKUP(Data[[#This Row],[DEVELOPMENT]],Ops_Priorities_and_Data_Clean[[development]:[ifnoext_comment]],15,FALSE)</f>
        <v>0</v>
      </c>
      <c r="AS180" s="20" t="str">
        <f>VLOOKUP(Data[[#This Row],[DEVELOPMENT]],Ops_Priorities_and_Data_Clean[[development]:[ifnoext_comment]],16,FALSE)</f>
        <v>NULL</v>
      </c>
      <c r="AT180" s="20" t="str">
        <f>VLOOKUP(Data[[#This Row],[DEVELOPMENT]],Ops_Priorities_and_Data_Clean[[development]:[ifnoext_comment]],17,FALSE)</f>
        <v>NULL</v>
      </c>
      <c r="AU180" s="20" t="str">
        <f>VLOOKUP(Data[[#This Row],[DEVELOPMENT]],Ops_Priorities_and_Data_Clean[[development]:[ifnoext_comment]],18,FALSE)</f>
        <v>yes</v>
      </c>
      <c r="AV180" s="20" t="str">
        <f>VLOOKUP(Data[[#This Row],[DEVELOPMENT]],Ops_Priorities_and_Data_Clean[[development]:[ifnoext_comment]],19,FALSE)</f>
        <v>Curbside pickup for DSNY</v>
      </c>
      <c r="AW180" s="20" t="str">
        <f>VLOOKUP(Data[[#This Row],[DEVELOPMENT]],Ops_Priorities_and_Data_Clean[[development]:[ifnoext_comment]],20,FALSE)</f>
        <v>This could be a shre with Site B; Site B has more room</v>
      </c>
      <c r="AX180" s="104" t="s">
        <v>2596</v>
      </c>
      <c r="AY180" s="104" t="s">
        <v>2600</v>
      </c>
      <c r="AZ180" s="20" t="str">
        <f>VLOOKUP(Data[[#This Row],[DEVELOPMENT]],Development_Data_Book[[DEVELOPMENT]:[PRIVATE MANAGEMENT]],8,FALSE)</f>
        <v>FEDERAL</v>
      </c>
      <c r="BA180" s="104" t="s">
        <v>2588</v>
      </c>
      <c r="BB180" s="20">
        <f>VLOOKUP(Data[[#This Row],[DEVELOPMENT]],Development_Data_Book[[DEVELOPMENT]:[PRIVATE MANAGEMENT]],22,FALSE)</f>
        <v>0</v>
      </c>
      <c r="BC180" s="20">
        <f>Data[[#This Row],[Non-Dwelling Buildings]]+Data[[#This Row],[Dwelling Buildings]]</f>
        <v>2</v>
      </c>
      <c r="BD180" s="20">
        <f>VLOOKUP(Data[[#This Row],[DEVELOPMENT]],Development_Data_Book[[DEVELOPMENT]:[PRIVATE MANAGEMENT]],26,FALSE)</f>
        <v>1.17</v>
      </c>
      <c r="BE180" s="106">
        <v>72025</v>
      </c>
      <c r="BF180" s="20">
        <f>VLOOKUP(Data[[#This Row],[DEVELOPMENT]],Development_Data_Book[[DEVELOPMENT]:[PRIVATE MANAGEMENT]],18,FALSE)</f>
        <v>123</v>
      </c>
      <c r="BG18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80" s="104" t="s">
        <v>2601</v>
      </c>
      <c r="BI180" t="s">
        <v>184</v>
      </c>
      <c r="BJ180" s="20">
        <f>VLOOKUP(Data[[#This Row],[DEVELOPMENT]],Development_Data_Book[[DEVELOPMENT]:[PRIVATE MANAGEMENT]],41,FALSE)</f>
        <v>3</v>
      </c>
      <c r="BK180" s="20">
        <f>VLOOKUP(Data[[#This Row],[DEVELOPMENT]],Development_Data_Book[[DEVELOPMENT]:[PRIVATE MANAGEMENT]],42,FALSE)</f>
        <v>8</v>
      </c>
      <c r="BL180" s="20">
        <f>VLOOKUP(Data[[#This Row],[DEVELOPMENT]],Development_Data_Book[[DEVELOPMENT]:[PRIVATE MANAGEMENT]],43,FALSE)</f>
        <v>25</v>
      </c>
      <c r="BM180" s="20">
        <f>VLOOKUP(Data[[#This Row],[DEVELOPMENT]],Development_Data_Book[[DEVELOPMENT]:[PRIVATE MANAGEMENT]],44,FALSE)</f>
        <v>56</v>
      </c>
      <c r="BN180" s="20">
        <f>VLOOKUP(Data[[#This Row],[DEVELOPMENT]],Development_Data_Book[[DEVELOPMENT]:[PRIVATE MANAGEMENT]],45,FALSE)</f>
        <v>36</v>
      </c>
      <c r="BO180" s="20">
        <f>VLOOKUP(Data[[#This Row],[DEVELOPMENT]],Development_Data_Book[[DEVELOPMENT]:[PRIVATE MANAGEMENT]],24,FALSE)</f>
        <v>3</v>
      </c>
    </row>
    <row r="181" spans="1:67">
      <c r="A181" t="s">
        <v>248</v>
      </c>
      <c r="B181" s="20" t="str">
        <f>VLOOKUP(Data[[#This Row],[DEVELOPMENT]],Development_Data_Book[[DEVELOPMENT]:[BOROUGH]],MATCH("borough",Development_Data_Book[[#Headers],[DEVELOPMENT]:[BOROUGH]],0),FALSE)</f>
        <v>BROOKLYN</v>
      </c>
      <c r="C181" s="20" t="e">
        <f>VLOOKUP(Data[[#This Row],[DEVELOPMENT]],'[1]Cheat-Sheet'!$D$2:$Q$341,2,FALSE)</f>
        <v>#N/A</v>
      </c>
      <c r="D181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181" s="20">
        <f>VLOOKUP(Data[[#This Row],[DEVELOPMENT]],Development_Data_Book[[DEVELOPMENT]:[BOROUGH]],21,FALSE)</f>
        <v>1</v>
      </c>
      <c r="F181" s="20">
        <f>VLOOKUP(Data[[#This Row],[DEVELOPMENT]],Development_Data_Book[[DEVELOPMENT]:[BOROUGH]],23,FALSE)</f>
        <v>5</v>
      </c>
      <c r="G181" s="20">
        <f>VLOOKUP(Data[[#This Row],[DEVELOPMENT]],Development_Data_Book[[DEVELOPMENT]:[BOROUGH]],12,FALSE)</f>
        <v>30</v>
      </c>
      <c r="J181">
        <f>IFERROR(VLOOKUP(Data[[#This Row],[DEVELOPMENT]],IntCompactors_MRST[],4,FALSE),0)</f>
        <v>0</v>
      </c>
      <c r="K181" s="20">
        <f>IFERROR(VLOOKUP(Data[[#This Row],[DEVELOPMENT]],ExtCompactors_MRST[],4,FALSE),0)</f>
        <v>0</v>
      </c>
      <c r="L181" s="27" t="str">
        <f>IF(Data[[#This Row],['# Interior Compactors MRST]]=0,"",VLOOKUP(Data[[#This Row],[DEVELOPMENT]],IntCompactors_MRST[],5,FALSE))</f>
        <v/>
      </c>
      <c r="M181" s="28" t="str">
        <f>IF(Data[[#This Row],['# Exterior Compactors MRST]]=0,"",VLOOKUP(Data[[#This Row],[DEVELOPMENT]],ExtCompactors_MRST[],5,FALSE))</f>
        <v/>
      </c>
      <c r="N181" s="20">
        <f>Data[[#This Row],['# Interior Compactors MRST]]</f>
        <v>0</v>
      </c>
      <c r="O181" s="20">
        <f>IF(Data[[#This Row],['# Bulk Crushers]]=0,1,0)</f>
        <v>1</v>
      </c>
      <c r="P181" s="20">
        <f>1</f>
        <v>1</v>
      </c>
      <c r="Q181" s="20">
        <f>1</f>
        <v>1</v>
      </c>
      <c r="R181" s="20">
        <f>1</f>
        <v>1</v>
      </c>
      <c r="S181" s="20">
        <f>1</f>
        <v>1</v>
      </c>
      <c r="T181" s="20">
        <f>IF(Data[[#This Row],[Sewershed]]="Newtown Creek",Data[[#This Row],[DUs]],0)</f>
        <v>0</v>
      </c>
      <c r="U18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8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8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81" s="82">
        <f>VLOOKUP(Data[[#This Row],[DEVELOPMENT]],Development_Data_Book[[DEVELOPMENT]:[BOROUGH]],3,FALSE)</f>
        <v>358</v>
      </c>
      <c r="Y181" s="20"/>
      <c r="Z181" s="20">
        <f>IFERROR(VLOOKUP(Data[[#This Row],[TDS]],ExtCompactors_PNA[[Development]:[0]],2,FALSE),0)</f>
        <v>0</v>
      </c>
      <c r="AA181" s="20">
        <f>IFERROR(VLOOKUP(Data[[#This Row],[TDS]],IntCompactors_PNA[[TDS]:[0]],2,FALSE),0)</f>
        <v>0</v>
      </c>
      <c r="AB181" s="20"/>
      <c r="AC181" s="20"/>
      <c r="AD181" s="20">
        <f>IFERROR(VLOOKUP(Data[[#This Row],[TDS]],ExtCompactors_PNA[[Development]:[0]],3,FALSE)+VLOOKUP(Data[[#This Row],[TDS]],ExtCompactors_PNA[[Development]:[0]],6,FALSE),0)</f>
        <v>0</v>
      </c>
      <c r="AE181" s="20">
        <f>IFERROR(VLOOKUP(Data[[#This Row],[TDS]],IntCompactors_PNA[[TDS]:[0]],3,FALSE)+VLOOKUP(Data[[#This Row],[TDS]],IntCompactors_PNA[[TDS]:[0]],6,FALSE),0)</f>
        <v>0</v>
      </c>
      <c r="AF181" s="20" t="e">
        <f>VLOOKUP(Data[[#This Row],[DEVELOPMENT]],[3]Developments!$A$2:$A$312,1,FALSE)</f>
        <v>#N/A</v>
      </c>
      <c r="AG181" s="20">
        <f>IFERROR(VLOOKUP(Data[[#This Row],[DEVELOPMENT]],Ops_Priorities_and_Data_Clean[[development]:[ifnoext_comment]],3,FALSE),"")</f>
        <v>0</v>
      </c>
      <c r="AH181" s="20">
        <f>IFERROR(VLOOKUP(Data[[#This Row],[DEVELOPMENT]],Ops_Priorities_and_Data_Clean[[development]:[ifnoext_comment]],4,FALSE),"")</f>
        <v>0</v>
      </c>
      <c r="AI181" s="20">
        <f>IFERROR(VLOOKUP(Data[[#This Row],[DEVELOPMENT]],Ops_Priorities_and_Data_Clean[[development]:[ifnoext_comment]],5,FALSE),"")</f>
        <v>0</v>
      </c>
      <c r="AJ181" s="20">
        <f>IFERROR(VLOOKUP(Data[[#This Row],[DEVELOPMENT]],Ops_Priorities_and_Data_Clean[[development]:[ifnoext_comment]],6,FALSE),"")</f>
        <v>0</v>
      </c>
      <c r="AK181" s="20">
        <f>IFERROR(VLOOKUP(Data[[#This Row],[DEVELOPMENT]],Ops_Priorities_and_Data_Clean[[development]:[ifnoext_comment]],7,FALSE),"")</f>
        <v>1</v>
      </c>
      <c r="AL181" s="20">
        <f>IFERROR(VLOOKUP(Data[[#This Row],[DEVELOPMENT]],Ops_Priorities_and_Data_Clean[[development]:[ifnoext_comment]],8,FALSE),"")</f>
        <v>1</v>
      </c>
      <c r="AM181" s="20">
        <f>IFERROR(VLOOKUP(Data[[#This Row],[DEVELOPMENT]],Ops_Priorities_and_Data_Clean[[development]:[ifnoext_comment]],9,FALSE),"")</f>
        <v>1</v>
      </c>
      <c r="AN181" s="20">
        <f>IFERROR(VLOOKUP(Data[[#This Row],[DEVELOPMENT]],Ops_Priorities_and_Data_Clean[[development]:[ifnoext_comment]],10,FALSE),"")</f>
        <v>0</v>
      </c>
      <c r="AO181" s="20">
        <f>IFERROR(VLOOKUP(Data[[#This Row],[DEVELOPMENT]],Ops_Priorities_and_Data_Clean[[development]:[ifnoext_comment]],11,FALSE),"")</f>
        <v>0</v>
      </c>
      <c r="AP181" s="20">
        <f>IFERROR(VLOOKUP(Data[[#This Row],[DEVELOPMENT]],Ops_Priorities_and_Data_Clean[[development]:[ifnoext_comment]],12,FALSE),"")</f>
        <v>0</v>
      </c>
      <c r="AQ181" s="20">
        <f>VLOOKUP(Data[[#This Row],[DEVELOPMENT]],Ops_Priorities_and_Data_Clean[[development]:[ifnoext_comment]],14,FALSE)</f>
        <v>1</v>
      </c>
      <c r="AR181" s="20">
        <f>VLOOKUP(Data[[#This Row],[DEVELOPMENT]],Ops_Priorities_and_Data_Clean[[development]:[ifnoext_comment]],15,FALSE)</f>
        <v>0</v>
      </c>
      <c r="AS181" s="20" t="str">
        <f>VLOOKUP(Data[[#This Row],[DEVELOPMENT]],Ops_Priorities_and_Data_Clean[[development]:[ifnoext_comment]],16,FALSE)</f>
        <v>NULL</v>
      </c>
      <c r="AT181" s="20" t="str">
        <f>VLOOKUP(Data[[#This Row],[DEVELOPMENT]],Ops_Priorities_and_Data_Clean[[development]:[ifnoext_comment]],17,FALSE)</f>
        <v>NULL</v>
      </c>
      <c r="AU181" s="20" t="str">
        <f>VLOOKUP(Data[[#This Row],[DEVELOPMENT]],Ops_Priorities_and_Data_Clean[[development]:[ifnoext_comment]],18,FALSE)</f>
        <v>yes</v>
      </c>
      <c r="AV181" s="20" t="str">
        <f>VLOOKUP(Data[[#This Row],[DEVELOPMENT]],Ops_Priorities_and_Data_Clean[[development]:[ifnoext_comment]],19,FALSE)</f>
        <v>Curbside pickup for DSNY</v>
      </c>
      <c r="AW181" s="20" t="str">
        <f>VLOOKUP(Data[[#This Row],[DEVELOPMENT]],Ops_Priorities_and_Data_Clean[[development]:[ifnoext_comment]],20,FALSE)</f>
        <v>NULL</v>
      </c>
      <c r="AX181" s="104" t="s">
        <v>2596</v>
      </c>
      <c r="AY181" s="104" t="s">
        <v>2600</v>
      </c>
      <c r="AZ181" s="20" t="str">
        <f>VLOOKUP(Data[[#This Row],[DEVELOPMENT]],Development_Data_Book[[DEVELOPMENT]:[PRIVATE MANAGEMENT]],8,FALSE)</f>
        <v>FEDERAL</v>
      </c>
      <c r="BA181" s="104" t="s">
        <v>2588</v>
      </c>
      <c r="BB181" s="20">
        <f>VLOOKUP(Data[[#This Row],[DEVELOPMENT]],Development_Data_Book[[DEVELOPMENT]:[PRIVATE MANAGEMENT]],22,FALSE)</f>
        <v>0</v>
      </c>
      <c r="BC181" s="20">
        <f>Data[[#This Row],[Non-Dwelling Buildings]]+Data[[#This Row],[Dwelling Buildings]]</f>
        <v>1</v>
      </c>
      <c r="BD181" s="20">
        <f>VLOOKUP(Data[[#This Row],[DEVELOPMENT]],Development_Data_Book[[DEVELOPMENT]:[PRIVATE MANAGEMENT]],26,FALSE)</f>
        <v>0.85</v>
      </c>
      <c r="BE181" s="106">
        <v>41075</v>
      </c>
      <c r="BF181" s="20">
        <f>VLOOKUP(Data[[#This Row],[DEVELOPMENT]],Development_Data_Book[[DEVELOPMENT]:[PRIVATE MANAGEMENT]],18,FALSE)</f>
        <v>76</v>
      </c>
      <c r="BG18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81" s="104" t="s">
        <v>2601</v>
      </c>
      <c r="BI181" t="s">
        <v>184</v>
      </c>
      <c r="BJ181" s="20">
        <f>VLOOKUP(Data[[#This Row],[DEVELOPMENT]],Development_Data_Book[[DEVELOPMENT]:[PRIVATE MANAGEMENT]],41,FALSE)</f>
        <v>3</v>
      </c>
      <c r="BK181" s="20">
        <f>VLOOKUP(Data[[#This Row],[DEVELOPMENT]],Development_Data_Book[[DEVELOPMENT]:[PRIVATE MANAGEMENT]],42,FALSE)</f>
        <v>8</v>
      </c>
      <c r="BL181" s="20">
        <f>VLOOKUP(Data[[#This Row],[DEVELOPMENT]],Development_Data_Book[[DEVELOPMENT]:[PRIVATE MANAGEMENT]],43,FALSE)</f>
        <v>25</v>
      </c>
      <c r="BM181" s="20">
        <f>VLOOKUP(Data[[#This Row],[DEVELOPMENT]],Development_Data_Book[[DEVELOPMENT]:[PRIVATE MANAGEMENT]],44,FALSE)</f>
        <v>56</v>
      </c>
      <c r="BN181" s="20">
        <f>VLOOKUP(Data[[#This Row],[DEVELOPMENT]],Development_Data_Book[[DEVELOPMENT]:[PRIVATE MANAGEMENT]],45,FALSE)</f>
        <v>36</v>
      </c>
      <c r="BO181" s="20">
        <f>VLOOKUP(Data[[#This Row],[DEVELOPMENT]],Development_Data_Book[[DEVELOPMENT]:[PRIVATE MANAGEMENT]],24,FALSE)</f>
        <v>3</v>
      </c>
    </row>
    <row r="182" spans="1:67">
      <c r="A182" t="s">
        <v>344</v>
      </c>
      <c r="B182" s="20" t="str">
        <f>VLOOKUP(Data[[#This Row],[DEVELOPMENT]],Development_Data_Book[[DEVELOPMENT]:[BOROUGH]],MATCH("borough",Development_Data_Book[[#Headers],[DEVELOPMENT]:[BOROUGH]],0),FALSE)</f>
        <v>STATEN ISLAND</v>
      </c>
      <c r="C182" s="20" t="e">
        <f>VLOOKUP(Data[[#This Row],[DEVELOPMENT]],'[1]Cheat-Sheet'!$D$2:$Q$341,2,FALSE)</f>
        <v>#N/A</v>
      </c>
      <c r="D18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82" s="20">
        <f>VLOOKUP(Data[[#This Row],[DEVELOPMENT]],Development_Data_Book[[DEVELOPMENT]:[BOROUGH]],21,FALSE)</f>
        <v>22</v>
      </c>
      <c r="F182" s="20">
        <f>VLOOKUP(Data[[#This Row],[DEVELOPMENT]],Development_Data_Book[[DEVELOPMENT]:[BOROUGH]],23,FALSE)</f>
        <v>32</v>
      </c>
      <c r="G182" s="20">
        <f>VLOOKUP(Data[[#This Row],[DEVELOPMENT]],Development_Data_Book[[DEVELOPMENT]:[BOROUGH]],12,FALSE)</f>
        <v>606</v>
      </c>
      <c r="J182">
        <f>IFERROR(VLOOKUP(Data[[#This Row],[DEVELOPMENT]],IntCompactors_MRST[],4,FALSE),0)</f>
        <v>32</v>
      </c>
      <c r="K182" s="20">
        <f>IFERROR(VLOOKUP(Data[[#This Row],[DEVELOPMENT]],ExtCompactors_MRST[],4,FALSE),0)</f>
        <v>2</v>
      </c>
      <c r="L182" s="27">
        <f>IF(Data[[#This Row],['# Interior Compactors MRST]]=0,"",VLOOKUP(Data[[#This Row],[DEVELOPMENT]],IntCompactors_MRST[],5,FALSE))</f>
        <v>37530</v>
      </c>
      <c r="M182" s="28">
        <f>IF(Data[[#This Row],['# Exterior Compactors MRST]]=0,"",VLOOKUP(Data[[#This Row],[DEVELOPMENT]],ExtCompactors_MRST[],5,FALSE))</f>
        <v>41897</v>
      </c>
      <c r="N182" s="20">
        <f>Data[[#This Row],['# Interior Compactors MRST]]</f>
        <v>32</v>
      </c>
      <c r="O182" s="20">
        <f>IF(Data[[#This Row],['# Bulk Crushers]]=0,1,0)</f>
        <v>1</v>
      </c>
      <c r="P182" s="20">
        <f>1</f>
        <v>1</v>
      </c>
      <c r="Q182" s="20">
        <f>1</f>
        <v>1</v>
      </c>
      <c r="R182" s="20">
        <f>1</f>
        <v>1</v>
      </c>
      <c r="S182" s="20">
        <f>1</f>
        <v>1</v>
      </c>
      <c r="T182" s="20">
        <f>IF(Data[[#This Row],[Sewershed]]="Newtown Creek",Data[[#This Row],[DUs]],0)</f>
        <v>0</v>
      </c>
      <c r="U18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8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8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82" s="82">
        <f>VLOOKUP(Data[[#This Row],[DEVELOPMENT]],Development_Data_Book[[DEVELOPMENT]:[BOROUGH]],3,FALSE)</f>
        <v>77</v>
      </c>
      <c r="Y182" s="20"/>
      <c r="Z182" s="20">
        <f>IFERROR(VLOOKUP(Data[[#This Row],[TDS]],ExtCompactors_PNA[[Development]:[0]],2,FALSE),0)</f>
        <v>2</v>
      </c>
      <c r="AA182" s="20">
        <f>IFERROR(VLOOKUP(Data[[#This Row],[TDS]],IntCompactors_PNA[[TDS]:[0]],2,FALSE),0)</f>
        <v>27</v>
      </c>
      <c r="AB182" s="20"/>
      <c r="AC182" s="20"/>
      <c r="AD182" s="20">
        <f>IFERROR(VLOOKUP(Data[[#This Row],[TDS]],ExtCompactors_PNA[[Development]:[0]],3,FALSE)+VLOOKUP(Data[[#This Row],[TDS]],ExtCompactors_PNA[[Development]:[0]],6,FALSE),0)</f>
        <v>0</v>
      </c>
      <c r="AE182" s="20">
        <f>IFERROR(VLOOKUP(Data[[#This Row],[TDS]],IntCompactors_PNA[[TDS]:[0]],3,FALSE)+VLOOKUP(Data[[#This Row],[TDS]],IntCompactors_PNA[[TDS]:[0]],6,FALSE),0)</f>
        <v>27</v>
      </c>
      <c r="AF182" s="20" t="e">
        <f>VLOOKUP(Data[[#This Row],[DEVELOPMENT]],[3]Developments!$A$2:$A$312,1,FALSE)</f>
        <v>#N/A</v>
      </c>
      <c r="AG182" s="20">
        <f>IFERROR(VLOOKUP(Data[[#This Row],[DEVELOPMENT]],Ops_Priorities_and_Data_Clean[[development]:[ifnoext_comment]],3,FALSE),"")</f>
        <v>2</v>
      </c>
      <c r="AH182" s="20">
        <f>IFERROR(VLOOKUP(Data[[#This Row],[DEVELOPMENT]],Ops_Priorities_and_Data_Clean[[development]:[ifnoext_comment]],4,FALSE),"")</f>
        <v>0</v>
      </c>
      <c r="AI182" s="20">
        <f>IFERROR(VLOOKUP(Data[[#This Row],[DEVELOPMENT]],Ops_Priorities_and_Data_Clean[[development]:[ifnoext_comment]],5,FALSE),"")</f>
        <v>1</v>
      </c>
      <c r="AJ182" s="20">
        <f>IFERROR(VLOOKUP(Data[[#This Row],[DEVELOPMENT]],Ops_Priorities_and_Data_Clean[[development]:[ifnoext_comment]],6,FALSE),"")</f>
        <v>0</v>
      </c>
      <c r="AK182" s="20">
        <f>IFERROR(VLOOKUP(Data[[#This Row],[DEVELOPMENT]],Ops_Priorities_and_Data_Clean[[development]:[ifnoext_comment]],7,FALSE),"")</f>
        <v>0</v>
      </c>
      <c r="AL182" s="20">
        <f>IFERROR(VLOOKUP(Data[[#This Row],[DEVELOPMENT]],Ops_Priorities_and_Data_Clean[[development]:[ifnoext_comment]],8,FALSE),"")</f>
        <v>1</v>
      </c>
      <c r="AM182" s="20">
        <f>IFERROR(VLOOKUP(Data[[#This Row],[DEVELOPMENT]],Ops_Priorities_and_Data_Clean[[development]:[ifnoext_comment]],9,FALSE),"")</f>
        <v>0</v>
      </c>
      <c r="AN182" s="20">
        <f>IFERROR(VLOOKUP(Data[[#This Row],[DEVELOPMENT]],Ops_Priorities_and_Data_Clean[[development]:[ifnoext_comment]],10,FALSE),"")</f>
        <v>2</v>
      </c>
      <c r="AO182" s="20">
        <f>IFERROR(VLOOKUP(Data[[#This Row],[DEVELOPMENT]],Ops_Priorities_and_Data_Clean[[development]:[ifnoext_comment]],11,FALSE),"")</f>
        <v>2</v>
      </c>
      <c r="AP182" s="20">
        <f>IFERROR(VLOOKUP(Data[[#This Row],[DEVELOPMENT]],Ops_Priorities_and_Data_Clean[[development]:[ifnoext_comment]],12,FALSE),"")</f>
        <v>2</v>
      </c>
      <c r="AQ182" s="20">
        <f>VLOOKUP(Data[[#This Row],[DEVELOPMENT]],Ops_Priorities_and_Data_Clean[[development]:[ifnoext_comment]],14,FALSE)</f>
        <v>0</v>
      </c>
      <c r="AR182" s="20">
        <f>VLOOKUP(Data[[#This Row],[DEVELOPMENT]],Ops_Priorities_and_Data_Clean[[development]:[ifnoext_comment]],15,FALSE)</f>
        <v>0</v>
      </c>
      <c r="AS182" s="20" t="str">
        <f>VLOOKUP(Data[[#This Row],[DEVELOPMENT]],Ops_Priorities_and_Data_Clean[[development]:[ifnoext_comment]],16,FALSE)</f>
        <v>NULL</v>
      </c>
      <c r="AT182" s="20" t="str">
        <f>VLOOKUP(Data[[#This Row],[DEVELOPMENT]],Ops_Priorities_and_Data_Clean[[development]:[ifnoext_comment]],17,FALSE)</f>
        <v>NULL</v>
      </c>
      <c r="AU182" s="20" t="str">
        <f>VLOOKUP(Data[[#This Row],[DEVELOPMENT]],Ops_Priorities_and_Data_Clean[[development]:[ifnoext_comment]],18,FALSE)</f>
        <v>NULL</v>
      </c>
      <c r="AV182" s="20" t="str">
        <f>VLOOKUP(Data[[#This Row],[DEVELOPMENT]],Ops_Priorities_and_Data_Clean[[development]:[ifnoext_comment]],19,FALSE)</f>
        <v>NULL</v>
      </c>
      <c r="AW182" s="20" t="str">
        <f>VLOOKUP(Data[[#This Row],[DEVELOPMENT]],Ops_Priorities_and_Data_Clean[[development]:[ifnoext_comment]],20,FALSE)</f>
        <v>NULL</v>
      </c>
      <c r="AX182" s="104" t="s">
        <v>2614</v>
      </c>
      <c r="AY182" s="104" t="s">
        <v>344</v>
      </c>
      <c r="AZ182" s="20" t="str">
        <f>VLOOKUP(Data[[#This Row],[DEVELOPMENT]],Development_Data_Book[[DEVELOPMENT]:[PRIVATE MANAGEMENT]],8,FALSE)</f>
        <v>FEDERAL</v>
      </c>
      <c r="BA182" s="104" t="s">
        <v>2613</v>
      </c>
      <c r="BB182" s="20">
        <f>VLOOKUP(Data[[#This Row],[DEVELOPMENT]],Development_Data_Book[[DEVELOPMENT]:[PRIVATE MANAGEMENT]],22,FALSE)</f>
        <v>0</v>
      </c>
      <c r="BC182" s="20">
        <f>Data[[#This Row],[Non-Dwelling Buildings]]+Data[[#This Row],[Dwelling Buildings]]</f>
        <v>22</v>
      </c>
      <c r="BD182" s="20">
        <f>VLOOKUP(Data[[#This Row],[DEVELOPMENT]],Development_Data_Book[[DEVELOPMENT]:[PRIVATE MANAGEMENT]],26,FALSE)</f>
        <v>21.75</v>
      </c>
      <c r="BE182" s="106">
        <v>627795</v>
      </c>
      <c r="BF182" s="20">
        <f>VLOOKUP(Data[[#This Row],[DEVELOPMENT]],Development_Data_Book[[DEVELOPMENT]:[PRIVATE MANAGEMENT]],18,FALSE)</f>
        <v>1515</v>
      </c>
      <c r="BG18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82" s="104" t="s">
        <v>2591</v>
      </c>
      <c r="BI182" t="s">
        <v>184</v>
      </c>
      <c r="BJ182" s="20">
        <f>VLOOKUP(Data[[#This Row],[DEVELOPMENT]],Development_Data_Book[[DEVELOPMENT]:[PRIVATE MANAGEMENT]],41,FALSE)</f>
        <v>1</v>
      </c>
      <c r="BK182" s="20">
        <f>VLOOKUP(Data[[#This Row],[DEVELOPMENT]],Development_Data_Book[[DEVELOPMENT]:[PRIVATE MANAGEMENT]],42,FALSE)</f>
        <v>11</v>
      </c>
      <c r="BL182" s="20">
        <f>VLOOKUP(Data[[#This Row],[DEVELOPMENT]],Development_Data_Book[[DEVELOPMENT]:[PRIVATE MANAGEMENT]],43,FALSE)</f>
        <v>23</v>
      </c>
      <c r="BM182" s="20">
        <f>VLOOKUP(Data[[#This Row],[DEVELOPMENT]],Development_Data_Book[[DEVELOPMENT]:[PRIVATE MANAGEMENT]],44,FALSE)</f>
        <v>63</v>
      </c>
      <c r="BN182" s="20">
        <f>VLOOKUP(Data[[#This Row],[DEVELOPMENT]],Development_Data_Book[[DEVELOPMENT]:[PRIVATE MANAGEMENT]],45,FALSE)</f>
        <v>49</v>
      </c>
      <c r="BO182" s="20">
        <f>VLOOKUP(Data[[#This Row],[DEVELOPMENT]],Development_Data_Book[[DEVELOPMENT]:[PRIVATE MANAGEMENT]],24,FALSE)</f>
        <v>43530</v>
      </c>
    </row>
    <row r="183" spans="1:67">
      <c r="A183" t="s">
        <v>193</v>
      </c>
      <c r="B183" s="20" t="str">
        <f>VLOOKUP(Data[[#This Row],[DEVELOPMENT]],Development_Data_Book[[DEVELOPMENT]:[BOROUGH]],MATCH("borough",Development_Data_Book[[#Headers],[DEVELOPMENT]:[BOROUGH]],0),FALSE)</f>
        <v>BROOKLYN</v>
      </c>
      <c r="C183" s="20" t="e">
        <f>VLOOKUP(Data[[#This Row],[DEVELOPMENT]],'[1]Cheat-Sheet'!$D$2:$Q$341,2,FALSE)</f>
        <v>#N/A</v>
      </c>
      <c r="D18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83" s="20">
        <f>VLOOKUP(Data[[#This Row],[DEVELOPMENT]],Development_Data_Book[[DEVELOPMENT]:[BOROUGH]],21,FALSE)</f>
        <v>28</v>
      </c>
      <c r="F183" s="20">
        <f>VLOOKUP(Data[[#This Row],[DEVELOPMENT]],Development_Data_Book[[DEVELOPMENT]:[BOROUGH]],23,FALSE)</f>
        <v>30</v>
      </c>
      <c r="G183" s="20">
        <f>VLOOKUP(Data[[#This Row],[DEVELOPMENT]],Development_Data_Book[[DEVELOPMENT]:[BOROUGH]],12,FALSE)</f>
        <v>1764</v>
      </c>
      <c r="J183">
        <f>IFERROR(VLOOKUP(Data[[#This Row],[DEVELOPMENT]],IntCompactors_MRST[],4,FALSE),0)</f>
        <v>28</v>
      </c>
      <c r="K183" s="20">
        <f>IFERROR(VLOOKUP(Data[[#This Row],[DEVELOPMENT]],ExtCompactors_MRST[],4,FALSE),0)</f>
        <v>4</v>
      </c>
      <c r="L183" s="27">
        <f>IF(Data[[#This Row],['# Interior Compactors MRST]]=0,"",VLOOKUP(Data[[#This Row],[DEVELOPMENT]],IntCompactors_MRST[],5,FALSE))</f>
        <v>36770</v>
      </c>
      <c r="M183" s="28">
        <f>IF(Data[[#This Row],['# Exterior Compactors MRST]]=0,"",VLOOKUP(Data[[#This Row],[DEVELOPMENT]],ExtCompactors_MRST[],5,FALSE))</f>
        <v>39077</v>
      </c>
      <c r="N183" s="20">
        <f>Data[[#This Row],['# Interior Compactors MRST]]</f>
        <v>28</v>
      </c>
      <c r="O183" s="20">
        <f>IF(Data[[#This Row],['# Bulk Crushers]]=0,1,0)</f>
        <v>1</v>
      </c>
      <c r="P183" s="20">
        <f>1</f>
        <v>1</v>
      </c>
      <c r="Q183" s="20">
        <f>1</f>
        <v>1</v>
      </c>
      <c r="R183" s="20">
        <f>1</f>
        <v>1</v>
      </c>
      <c r="S183" s="20">
        <f>1</f>
        <v>1</v>
      </c>
      <c r="T183" s="20">
        <f>IF(Data[[#This Row],[Sewershed]]="Newtown Creek",Data[[#This Row],[DUs]],0)</f>
        <v>0</v>
      </c>
      <c r="U18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8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8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83" s="82">
        <f>VLOOKUP(Data[[#This Row],[DEVELOPMENT]],Development_Data_Book[[DEVELOPMENT]:[BOROUGH]],3,FALSE)</f>
        <v>83</v>
      </c>
      <c r="Y183" s="20"/>
      <c r="Z183" s="20">
        <f>IFERROR(VLOOKUP(Data[[#This Row],[TDS]],ExtCompactors_PNA[[Development]:[0]],2,FALSE),0)</f>
        <v>0</v>
      </c>
      <c r="AA183" s="20">
        <f>IFERROR(VLOOKUP(Data[[#This Row],[TDS]],IntCompactors_PNA[[TDS]:[0]],2,FALSE),0)</f>
        <v>28</v>
      </c>
      <c r="AB183" s="20"/>
      <c r="AC183" s="20"/>
      <c r="AD183" s="20">
        <f>IFERROR(VLOOKUP(Data[[#This Row],[TDS]],ExtCompactors_PNA[[Development]:[0]],3,FALSE)+VLOOKUP(Data[[#This Row],[TDS]],ExtCompactors_PNA[[Development]:[0]],6,FALSE),0)</f>
        <v>0</v>
      </c>
      <c r="AE183" s="20">
        <f>IFERROR(VLOOKUP(Data[[#This Row],[TDS]],IntCompactors_PNA[[TDS]:[0]],3,FALSE)+VLOOKUP(Data[[#This Row],[TDS]],IntCompactors_PNA[[TDS]:[0]],6,FALSE),0)</f>
        <v>28</v>
      </c>
      <c r="AF183" s="20" t="e">
        <f>VLOOKUP(Data[[#This Row],[DEVELOPMENT]],[3]Developments!$A$2:$A$312,1,FALSE)</f>
        <v>#N/A</v>
      </c>
      <c r="AG183" s="20">
        <f>IFERROR(VLOOKUP(Data[[#This Row],[DEVELOPMENT]],Ops_Priorities_and_Data_Clean[[development]:[ifnoext_comment]],3,FALSE),"")</f>
        <v>4</v>
      </c>
      <c r="AH183" s="20">
        <f>IFERROR(VLOOKUP(Data[[#This Row],[DEVELOPMENT]],Ops_Priorities_and_Data_Clean[[development]:[ifnoext_comment]],4,FALSE),"")</f>
        <v>0</v>
      </c>
      <c r="AI183" s="20">
        <f>IFERROR(VLOOKUP(Data[[#This Row],[DEVELOPMENT]],Ops_Priorities_and_Data_Clean[[development]:[ifnoext_comment]],5,FALSE),"")</f>
        <v>1</v>
      </c>
      <c r="AJ183" s="20">
        <f>IFERROR(VLOOKUP(Data[[#This Row],[DEVELOPMENT]],Ops_Priorities_and_Data_Clean[[development]:[ifnoext_comment]],6,FALSE),"")</f>
        <v>0</v>
      </c>
      <c r="AK183" s="20">
        <f>IFERROR(VLOOKUP(Data[[#This Row],[DEVELOPMENT]],Ops_Priorities_and_Data_Clean[[development]:[ifnoext_comment]],7,FALSE),"")</f>
        <v>0</v>
      </c>
      <c r="AL183" s="20">
        <f>IFERROR(VLOOKUP(Data[[#This Row],[DEVELOPMENT]],Ops_Priorities_and_Data_Clean[[development]:[ifnoext_comment]],8,FALSE),"")</f>
        <v>1</v>
      </c>
      <c r="AM183" s="20">
        <f>IFERROR(VLOOKUP(Data[[#This Row],[DEVELOPMENT]],Ops_Priorities_and_Data_Clean[[development]:[ifnoext_comment]],9,FALSE),"")</f>
        <v>0</v>
      </c>
      <c r="AN183" s="20">
        <f>IFERROR(VLOOKUP(Data[[#This Row],[DEVELOPMENT]],Ops_Priorities_and_Data_Clean[[development]:[ifnoext_comment]],10,FALSE),"")</f>
        <v>4</v>
      </c>
      <c r="AO183" s="20">
        <f>IFERROR(VLOOKUP(Data[[#This Row],[DEVELOPMENT]],Ops_Priorities_and_Data_Clean[[development]:[ifnoext_comment]],11,FALSE),"")</f>
        <v>4</v>
      </c>
      <c r="AP183" s="20">
        <f>IFERROR(VLOOKUP(Data[[#This Row],[DEVELOPMENT]],Ops_Priorities_and_Data_Clean[[development]:[ifnoext_comment]],12,FALSE),"")</f>
        <v>4</v>
      </c>
      <c r="AQ183" s="20">
        <f>VLOOKUP(Data[[#This Row],[DEVELOPMENT]],Ops_Priorities_and_Data_Clean[[development]:[ifnoext_comment]],14,FALSE)</f>
        <v>0</v>
      </c>
      <c r="AR183" s="20">
        <f>VLOOKUP(Data[[#This Row],[DEVELOPMENT]],Ops_Priorities_and_Data_Clean[[development]:[ifnoext_comment]],15,FALSE)</f>
        <v>0</v>
      </c>
      <c r="AS183" s="20" t="str">
        <f>VLOOKUP(Data[[#This Row],[DEVELOPMENT]],Ops_Priorities_and_Data_Clean[[development]:[ifnoext_comment]],16,FALSE)</f>
        <v>NULL</v>
      </c>
      <c r="AT183" s="20" t="str">
        <f>VLOOKUP(Data[[#This Row],[DEVELOPMENT]],Ops_Priorities_and_Data_Clean[[development]:[ifnoext_comment]],17,FALSE)</f>
        <v>NULL</v>
      </c>
      <c r="AU183" s="20" t="str">
        <f>VLOOKUP(Data[[#This Row],[DEVELOPMENT]],Ops_Priorities_and_Data_Clean[[development]:[ifnoext_comment]],18,FALSE)</f>
        <v>NULL</v>
      </c>
      <c r="AV183" s="20" t="str">
        <f>VLOOKUP(Data[[#This Row],[DEVELOPMENT]],Ops_Priorities_and_Data_Clean[[development]:[ifnoext_comment]],19,FALSE)</f>
        <v>NULL</v>
      </c>
      <c r="AW183" s="20" t="str">
        <f>VLOOKUP(Data[[#This Row],[DEVELOPMENT]],Ops_Priorities_and_Data_Clean[[development]:[ifnoext_comment]],20,FALSE)</f>
        <v>NULL</v>
      </c>
      <c r="AX183" s="104" t="s">
        <v>2605</v>
      </c>
      <c r="AY183" s="104" t="s">
        <v>327</v>
      </c>
      <c r="AZ183" s="20" t="str">
        <f>VLOOKUP(Data[[#This Row],[DEVELOPMENT]],Development_Data_Book[[DEVELOPMENT]:[PRIVATE MANAGEMENT]],8,FALSE)</f>
        <v>MIXED FINANCE/LLC1</v>
      </c>
      <c r="BA183" s="104" t="s">
        <v>2586</v>
      </c>
      <c r="BB183" s="20">
        <f>VLOOKUP(Data[[#This Row],[DEVELOPMENT]],Development_Data_Book[[DEVELOPMENT]:[PRIVATE MANAGEMENT]],22,FALSE)</f>
        <v>2</v>
      </c>
      <c r="BC183" s="20">
        <f>Data[[#This Row],[Non-Dwelling Buildings]]+Data[[#This Row],[Dwelling Buildings]]</f>
        <v>30</v>
      </c>
      <c r="BD183" s="20">
        <f>VLOOKUP(Data[[#This Row],[DEVELOPMENT]],Development_Data_Book[[DEVELOPMENT]:[PRIVATE MANAGEMENT]],26,FALSE)</f>
        <v>34.86</v>
      </c>
      <c r="BE183" s="106">
        <v>1829800</v>
      </c>
      <c r="BF183" s="20">
        <f>VLOOKUP(Data[[#This Row],[DEVELOPMENT]],Development_Data_Book[[DEVELOPMENT]:[PRIVATE MANAGEMENT]],18,FALSE)</f>
        <v>4112</v>
      </c>
      <c r="BG18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83" s="104" t="s">
        <v>2621</v>
      </c>
      <c r="BI183" t="s">
        <v>184</v>
      </c>
      <c r="BJ183" s="20">
        <f>VLOOKUP(Data[[#This Row],[DEVELOPMENT]],Development_Data_Book[[DEVELOPMENT]:[PRIVATE MANAGEMENT]],41,FALSE)</f>
        <v>13</v>
      </c>
      <c r="BK183" s="20">
        <f>VLOOKUP(Data[[#This Row],[DEVELOPMENT]],Development_Data_Book[[DEVELOPMENT]:[PRIVATE MANAGEMENT]],42,FALSE)</f>
        <v>11</v>
      </c>
      <c r="BL183" s="20">
        <f>VLOOKUP(Data[[#This Row],[DEVELOPMENT]],Development_Data_Book[[DEVELOPMENT]:[PRIVATE MANAGEMENT]],43,FALSE)</f>
        <v>23</v>
      </c>
      <c r="BM183" s="20" t="str">
        <f>VLOOKUP(Data[[#This Row],[DEVELOPMENT]],Development_Data_Book[[DEVELOPMENT]:[PRIVATE MANAGEMENT]],44,FALSE)</f>
        <v>45, 47</v>
      </c>
      <c r="BN183" s="20">
        <f>VLOOKUP(Data[[#This Row],[DEVELOPMENT]],Development_Data_Book[[DEVELOPMENT]:[PRIVATE MANAGEMENT]],45,FALSE)</f>
        <v>47</v>
      </c>
      <c r="BO183" s="20">
        <f>VLOOKUP(Data[[#This Row],[DEVELOPMENT]],Development_Data_Book[[DEVELOPMENT]:[PRIVATE MANAGEMENT]],24,FALSE)</f>
        <v>43662</v>
      </c>
    </row>
    <row r="184" spans="1:67">
      <c r="A184" t="s">
        <v>89</v>
      </c>
      <c r="B184" t="str">
        <f>VLOOKUP(Data[[#This Row],[DEVELOPMENT]],Development_Data_Book[[DEVELOPMENT]:[BOROUGH]],MATCH("borough",Development_Data_Book[[#Headers],[DEVELOPMENT]:[BOROUGH]],0),FALSE)</f>
        <v>MANHATTAN</v>
      </c>
      <c r="C184" t="e">
        <f>VLOOKUP(Data[[#This Row],[DEVELOPMENT]],'[1]Cheat-Sheet'!$D$2:$Q$341,2,FALSE)</f>
        <v>#N/A</v>
      </c>
      <c r="D18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184">
        <f>VLOOKUP(Data[[#This Row],[DEVELOPMENT]],Development_Data_Book[[DEVELOPMENT]:[BOROUGH]],21,FALSE)</f>
        <v>1</v>
      </c>
      <c r="F184">
        <f>VLOOKUP(Data[[#This Row],[DEVELOPMENT]],Development_Data_Book[[DEVELOPMENT]:[BOROUGH]],23,FALSE)</f>
        <v>1</v>
      </c>
      <c r="G184">
        <f>VLOOKUP(Data[[#This Row],[DEVELOPMENT]],Development_Data_Book[[DEVELOPMENT]:[BOROUGH]],12,FALSE)</f>
        <v>180</v>
      </c>
      <c r="H184" t="s">
        <v>2248</v>
      </c>
      <c r="I184">
        <v>3</v>
      </c>
      <c r="J184">
        <f>IFERROR(VLOOKUP(Data[[#This Row],[DEVELOPMENT]],IntCompactors_MRST[],4,FALSE),0)</f>
        <v>1</v>
      </c>
      <c r="K184" s="20">
        <f>IFERROR(VLOOKUP(Data[[#This Row],[DEVELOPMENT]],ExtCompactors_MRST[],4,FALSE),0)</f>
        <v>0</v>
      </c>
      <c r="L184" s="27">
        <f>IF(Data[[#This Row],['# Interior Compactors MRST]]=0,"",VLOOKUP(Data[[#This Row],[DEVELOPMENT]],IntCompactors_MRST[],5,FALSE))</f>
        <v>40813</v>
      </c>
      <c r="M184" s="28" t="str">
        <f>IF(Data[[#This Row],['# Exterior Compactors MRST]]=0,"",VLOOKUP(Data[[#This Row],[DEVELOPMENT]],ExtCompactors_MRST[],5,FALSE))</f>
        <v/>
      </c>
      <c r="N184">
        <f>Data[[#This Row],['# Interior Compactors MRST]]</f>
        <v>1</v>
      </c>
      <c r="O184" s="20">
        <f>IF(Data[[#This Row],['# Bulk Crushers]]=0,1,0)</f>
        <v>1</v>
      </c>
      <c r="P184" s="20">
        <f>1</f>
        <v>1</v>
      </c>
      <c r="Q184" s="20">
        <f>1</f>
        <v>1</v>
      </c>
      <c r="R184" s="20">
        <f>1</f>
        <v>1</v>
      </c>
      <c r="S184" s="20">
        <f>1</f>
        <v>1</v>
      </c>
      <c r="T184" s="20">
        <f>IF(Data[[#This Row],[Sewershed]]="Newtown Creek",Data[[#This Row],[DUs]],0)</f>
        <v>0</v>
      </c>
      <c r="U18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8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8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84" s="82">
        <f>VLOOKUP(Data[[#This Row],[DEVELOPMENT]],Development_Data_Book[[DEVELOPMENT]:[BOROUGH]],3,FALSE)</f>
        <v>344</v>
      </c>
      <c r="Y184" s="20"/>
      <c r="Z184" s="20">
        <f>IFERROR(VLOOKUP(Data[[#This Row],[TDS]],ExtCompactors_PNA[[Development]:[0]],2,FALSE),0)</f>
        <v>0</v>
      </c>
      <c r="AA184" s="20">
        <f>IFERROR(VLOOKUP(Data[[#This Row],[TDS]],IntCompactors_PNA[[TDS]:[0]],2,FALSE),0)</f>
        <v>1</v>
      </c>
      <c r="AB184" s="20"/>
      <c r="AC184" s="20"/>
      <c r="AD184" s="20">
        <f>IFERROR(VLOOKUP(Data[[#This Row],[TDS]],ExtCompactors_PNA[[Development]:[0]],3,FALSE)+VLOOKUP(Data[[#This Row],[TDS]],ExtCompactors_PNA[[Development]:[0]],6,FALSE),0)</f>
        <v>0</v>
      </c>
      <c r="AE184" s="20">
        <f>IFERROR(VLOOKUP(Data[[#This Row],[TDS]],IntCompactors_PNA[[TDS]:[0]],3,FALSE)+VLOOKUP(Data[[#This Row],[TDS]],IntCompactors_PNA[[TDS]:[0]],6,FALSE),0)</f>
        <v>1</v>
      </c>
      <c r="AF184" s="20" t="e">
        <f>VLOOKUP(Data[[#This Row],[DEVELOPMENT]],[3]Developments!$A$2:$A$312,1,FALSE)</f>
        <v>#N/A</v>
      </c>
      <c r="AG184" s="20">
        <f>IFERROR(VLOOKUP(Data[[#This Row],[DEVELOPMENT]],Ops_Priorities_and_Data_Clean[[development]:[ifnoext_comment]],3,FALSE),"")</f>
        <v>0</v>
      </c>
      <c r="AH184" s="20">
        <f>IFERROR(VLOOKUP(Data[[#This Row],[DEVELOPMENT]],Ops_Priorities_and_Data_Clean[[development]:[ifnoext_comment]],4,FALSE),"")</f>
        <v>0</v>
      </c>
      <c r="AI184" s="20">
        <f>IFERROR(VLOOKUP(Data[[#This Row],[DEVELOPMENT]],Ops_Priorities_and_Data_Clean[[development]:[ifnoext_comment]],5,FALSE),"")</f>
        <v>0</v>
      </c>
      <c r="AJ184" s="20">
        <f>IFERROR(VLOOKUP(Data[[#This Row],[DEVELOPMENT]],Ops_Priorities_and_Data_Clean[[development]:[ifnoext_comment]],6,FALSE),"")</f>
        <v>1</v>
      </c>
      <c r="AK184" s="20">
        <f>IFERROR(VLOOKUP(Data[[#This Row],[DEVELOPMENT]],Ops_Priorities_and_Data_Clean[[development]:[ifnoext_comment]],7,FALSE),"")</f>
        <v>0</v>
      </c>
      <c r="AL184" s="20">
        <f>IFERROR(VLOOKUP(Data[[#This Row],[DEVELOPMENT]],Ops_Priorities_and_Data_Clean[[development]:[ifnoext_comment]],8,FALSE),"")</f>
        <v>1</v>
      </c>
      <c r="AM184" s="20">
        <f>IFERROR(VLOOKUP(Data[[#This Row],[DEVELOPMENT]],Ops_Priorities_and_Data_Clean[[development]:[ifnoext_comment]],9,FALSE),"")</f>
        <v>0</v>
      </c>
      <c r="AN184" s="20">
        <f>IFERROR(VLOOKUP(Data[[#This Row],[DEVELOPMENT]],Ops_Priorities_and_Data_Clean[[development]:[ifnoext_comment]],10,FALSE),"")</f>
        <v>0</v>
      </c>
      <c r="AO184" s="20">
        <f>IFERROR(VLOOKUP(Data[[#This Row],[DEVELOPMENT]],Ops_Priorities_and_Data_Clean[[development]:[ifnoext_comment]],11,FALSE),"")</f>
        <v>0</v>
      </c>
      <c r="AP184" s="20">
        <f>IFERROR(VLOOKUP(Data[[#This Row],[DEVELOPMENT]],Ops_Priorities_and_Data_Clean[[development]:[ifnoext_comment]],12,FALSE),"")</f>
        <v>0</v>
      </c>
      <c r="AQ184" s="20">
        <f>VLOOKUP(Data[[#This Row],[DEVELOPMENT]],Ops_Priorities_and_Data_Clean[[development]:[ifnoext_comment]],14,FALSE)</f>
        <v>0</v>
      </c>
      <c r="AR184" s="20">
        <f>VLOOKUP(Data[[#This Row],[DEVELOPMENT]],Ops_Priorities_and_Data_Clean[[development]:[ifnoext_comment]],15,FALSE)</f>
        <v>1</v>
      </c>
      <c r="AS184" s="20" t="str">
        <f>VLOOKUP(Data[[#This Row],[DEVELOPMENT]],Ops_Priorities_and_Data_Clean[[development]:[ifnoext_comment]],16,FALSE)</f>
        <v>Bethune Gardens</v>
      </c>
      <c r="AT184" s="20" t="str">
        <f>VLOOKUP(Data[[#This Row],[DEVELOPMENT]],Ops_Priorities_and_Data_Clean[[development]:[ifnoext_comment]],17,FALSE)</f>
        <v>NULL</v>
      </c>
      <c r="AU184" s="20" t="str">
        <f>VLOOKUP(Data[[#This Row],[DEVELOPMENT]],Ops_Priorities_and_Data_Clean[[development]:[ifnoext_comment]],18,FALSE)</f>
        <v>no</v>
      </c>
      <c r="AV184" s="20" t="str">
        <f>VLOOKUP(Data[[#This Row],[DEVELOPMENT]],Ops_Priorities_and_Data_Clean[[development]:[ifnoext_comment]],19,FALSE)</f>
        <v>Serviced by Bethune</v>
      </c>
      <c r="AW184" s="20" t="str">
        <f>VLOOKUP(Data[[#This Row],[DEVELOPMENT]],Ops_Priorities_and_Data_Clean[[development]:[ifnoext_comment]],20,FALSE)</f>
        <v>NULL</v>
      </c>
      <c r="AX184" s="104" t="s">
        <v>2239</v>
      </c>
      <c r="AY184" s="104" t="s">
        <v>2625</v>
      </c>
      <c r="AZ184" s="20" t="str">
        <f>VLOOKUP(Data[[#This Row],[DEVELOPMENT]],Development_Data_Book[[DEVELOPMENT]:[PRIVATE MANAGEMENT]],8,FALSE)</f>
        <v>FEDERAL</v>
      </c>
      <c r="BA184" s="104" t="s">
        <v>2586</v>
      </c>
      <c r="BB184" s="20">
        <f>VLOOKUP(Data[[#This Row],[DEVELOPMENT]],Development_Data_Book[[DEVELOPMENT]:[PRIVATE MANAGEMENT]],22,FALSE)</f>
        <v>0</v>
      </c>
      <c r="BC184" s="20">
        <f>Data[[#This Row],[Non-Dwelling Buildings]]+Data[[#This Row],[Dwelling Buildings]]</f>
        <v>1</v>
      </c>
      <c r="BD184" s="20">
        <f>VLOOKUP(Data[[#This Row],[DEVELOPMENT]],Development_Data_Book[[DEVELOPMENT]:[PRIVATE MANAGEMENT]],26,FALSE)</f>
        <v>0.46</v>
      </c>
      <c r="BE184" s="106">
        <v>143700</v>
      </c>
      <c r="BF184" s="20">
        <f>VLOOKUP(Data[[#This Row],[DEVELOPMENT]],Development_Data_Book[[DEVELOPMENT]:[PRIVATE MANAGEMENT]],18,FALSE)</f>
        <v>207</v>
      </c>
      <c r="BG184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84" s="104" t="s">
        <v>2593</v>
      </c>
      <c r="BI184" t="s">
        <v>184</v>
      </c>
      <c r="BJ184" s="20">
        <f>VLOOKUP(Data[[#This Row],[DEVELOPMENT]],Development_Data_Book[[DEVELOPMENT]:[PRIVATE MANAGEMENT]],41,FALSE)</f>
        <v>12</v>
      </c>
      <c r="BK184" s="20">
        <f>VLOOKUP(Data[[#This Row],[DEVELOPMENT]],Development_Data_Book[[DEVELOPMENT]:[PRIVATE MANAGEMENT]],42,FALSE)</f>
        <v>13</v>
      </c>
      <c r="BL184" s="20">
        <f>VLOOKUP(Data[[#This Row],[DEVELOPMENT]],Development_Data_Book[[DEVELOPMENT]:[PRIVATE MANAGEMENT]],43,FALSE)</f>
        <v>31</v>
      </c>
      <c r="BM184" s="20">
        <f>VLOOKUP(Data[[#This Row],[DEVELOPMENT]],Development_Data_Book[[DEVELOPMENT]:[PRIVATE MANAGEMENT]],44,FALSE)</f>
        <v>71</v>
      </c>
      <c r="BN184" s="20">
        <f>VLOOKUP(Data[[#This Row],[DEVELOPMENT]],Development_Data_Book[[DEVELOPMENT]:[PRIVATE MANAGEMENT]],45,FALSE)</f>
        <v>7</v>
      </c>
      <c r="BO184" s="20">
        <f>VLOOKUP(Data[[#This Row],[DEVELOPMENT]],Development_Data_Book[[DEVELOPMENT]:[PRIVATE MANAGEMENT]],24,FALSE)</f>
        <v>13</v>
      </c>
    </row>
    <row r="185" spans="1:67">
      <c r="A185" t="s">
        <v>222</v>
      </c>
      <c r="B185" s="20" t="str">
        <f>VLOOKUP(Data[[#This Row],[DEVELOPMENT]],Development_Data_Book[[DEVELOPMENT]:[BOROUGH]],MATCH("borough",Development_Data_Book[[#Headers],[DEVELOPMENT]:[BOROUGH]],0),FALSE)</f>
        <v>BRONX</v>
      </c>
      <c r="C185" s="20" t="e">
        <f>VLOOKUP(Data[[#This Row],[DEVELOPMENT]],'[1]Cheat-Sheet'!$D$2:$Q$341,2,FALSE)</f>
        <v>#N/A</v>
      </c>
      <c r="D18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85" s="20">
        <f>VLOOKUP(Data[[#This Row],[DEVELOPMENT]],Development_Data_Book[[DEVELOPMENT]:[BOROUGH]],21,FALSE)</f>
        <v>5</v>
      </c>
      <c r="F185" s="20">
        <f>VLOOKUP(Data[[#This Row],[DEVELOPMENT]],Development_Data_Book[[DEVELOPMENT]:[BOROUGH]],23,FALSE)</f>
        <v>5</v>
      </c>
      <c r="G185" s="20">
        <f>VLOOKUP(Data[[#This Row],[DEVELOPMENT]],Development_Data_Book[[DEVELOPMENT]:[BOROUGH]],12,FALSE)</f>
        <v>615</v>
      </c>
      <c r="H185" t="s">
        <v>2611</v>
      </c>
      <c r="J185">
        <f>IFERROR(VLOOKUP(Data[[#This Row],[DEVELOPMENT]],IntCompactors_MRST[],4,FALSE),0)</f>
        <v>5</v>
      </c>
      <c r="K185" s="20">
        <f>IFERROR(VLOOKUP(Data[[#This Row],[DEVELOPMENT]],ExtCompactors_MRST[],4,FALSE),0)</f>
        <v>2</v>
      </c>
      <c r="L185" s="27">
        <f>IF(Data[[#This Row],['# Interior Compactors MRST]]=0,"",VLOOKUP(Data[[#This Row],[DEVELOPMENT]],IntCompactors_MRST[],5,FALSE))</f>
        <v>38838</v>
      </c>
      <c r="M185" s="28">
        <f>IF(Data[[#This Row],['# Exterior Compactors MRST]]=0,"",VLOOKUP(Data[[#This Row],[DEVELOPMENT]],ExtCompactors_MRST[],5,FALSE))</f>
        <v>36626</v>
      </c>
      <c r="N185" s="20">
        <f>Data[[#This Row],['# Interior Compactors MRST]]</f>
        <v>5</v>
      </c>
      <c r="O185" s="20">
        <f>IF(Data[[#This Row],['# Bulk Crushers]]=0,1,0)</f>
        <v>1</v>
      </c>
      <c r="P185" s="20">
        <f>1</f>
        <v>1</v>
      </c>
      <c r="Q185" s="20">
        <f>1</f>
        <v>1</v>
      </c>
      <c r="R185" s="20">
        <f>1</f>
        <v>1</v>
      </c>
      <c r="S185" s="20">
        <f>1</f>
        <v>1</v>
      </c>
      <c r="T185" s="20">
        <f>IF(Data[[#This Row],[Sewershed]]="Newtown Creek",Data[[#This Row],[DUs]],0)</f>
        <v>0</v>
      </c>
      <c r="U18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8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8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85" s="82">
        <f>VLOOKUP(Data[[#This Row],[DEVELOPMENT]],Development_Data_Book[[DEVELOPMENT]:[BOROUGH]],3,FALSE)</f>
        <v>103</v>
      </c>
      <c r="Y185" s="20"/>
      <c r="Z185" s="20">
        <f>IFERROR(VLOOKUP(Data[[#This Row],[TDS]],ExtCompactors_PNA[[Development]:[0]],2,FALSE),0)</f>
        <v>2</v>
      </c>
      <c r="AA185" s="20">
        <f>IFERROR(VLOOKUP(Data[[#This Row],[TDS]],IntCompactors_PNA[[TDS]:[0]],2,FALSE),0)</f>
        <v>5</v>
      </c>
      <c r="AB185" s="20"/>
      <c r="AC185" s="20"/>
      <c r="AD185" s="20">
        <f>IFERROR(VLOOKUP(Data[[#This Row],[TDS]],ExtCompactors_PNA[[Development]:[0]],3,FALSE)+VLOOKUP(Data[[#This Row],[TDS]],ExtCompactors_PNA[[Development]:[0]],6,FALSE),0)</f>
        <v>2</v>
      </c>
      <c r="AE185" s="20">
        <f>IFERROR(VLOOKUP(Data[[#This Row],[TDS]],IntCompactors_PNA[[TDS]:[0]],3,FALSE)+VLOOKUP(Data[[#This Row],[TDS]],IntCompactors_PNA[[TDS]:[0]],6,FALSE),0)</f>
        <v>5</v>
      </c>
      <c r="AF185" s="20" t="e">
        <f>VLOOKUP(Data[[#This Row],[DEVELOPMENT]],[3]Developments!$A$2:$A$312,1,FALSE)</f>
        <v>#N/A</v>
      </c>
      <c r="AG185" s="20">
        <f>IFERROR(VLOOKUP(Data[[#This Row],[DEVELOPMENT]],Ops_Priorities_and_Data_Clean[[development]:[ifnoext_comment]],3,FALSE),"")</f>
        <v>2</v>
      </c>
      <c r="AH185" s="20">
        <f>IFERROR(VLOOKUP(Data[[#This Row],[DEVELOPMENT]],Ops_Priorities_and_Data_Clean[[development]:[ifnoext_comment]],4,FALSE),"")</f>
        <v>2</v>
      </c>
      <c r="AI185" s="20">
        <f>IFERROR(VLOOKUP(Data[[#This Row],[DEVELOPMENT]],Ops_Priorities_and_Data_Clean[[development]:[ifnoext_comment]],5,FALSE),"")</f>
        <v>1</v>
      </c>
      <c r="AJ185" s="20">
        <f>IFERROR(VLOOKUP(Data[[#This Row],[DEVELOPMENT]],Ops_Priorities_and_Data_Clean[[development]:[ifnoext_comment]],6,FALSE),"")</f>
        <v>0</v>
      </c>
      <c r="AK185" s="20">
        <f>IFERROR(VLOOKUP(Data[[#This Row],[DEVELOPMENT]],Ops_Priorities_and_Data_Clean[[development]:[ifnoext_comment]],7,FALSE),"")</f>
        <v>0</v>
      </c>
      <c r="AL185" s="20">
        <f>IFERROR(VLOOKUP(Data[[#This Row],[DEVELOPMENT]],Ops_Priorities_and_Data_Clean[[development]:[ifnoext_comment]],8,FALSE),"")</f>
        <v>1</v>
      </c>
      <c r="AM185" s="20">
        <f>IFERROR(VLOOKUP(Data[[#This Row],[DEVELOPMENT]],Ops_Priorities_and_Data_Clean[[development]:[ifnoext_comment]],9,FALSE),"")</f>
        <v>0</v>
      </c>
      <c r="AN185" s="20">
        <f>IFERROR(VLOOKUP(Data[[#This Row],[DEVELOPMENT]],Ops_Priorities_and_Data_Clean[[development]:[ifnoext_comment]],10,FALSE),"")</f>
        <v>2</v>
      </c>
      <c r="AO185" s="20">
        <f>IFERROR(VLOOKUP(Data[[#This Row],[DEVELOPMENT]],Ops_Priorities_and_Data_Clean[[development]:[ifnoext_comment]],11,FALSE),"")</f>
        <v>2</v>
      </c>
      <c r="AP185" s="20">
        <f>IFERROR(VLOOKUP(Data[[#This Row],[DEVELOPMENT]],Ops_Priorities_and_Data_Clean[[development]:[ifnoext_comment]],12,FALSE),"")</f>
        <v>2</v>
      </c>
      <c r="AQ185" s="20">
        <f>VLOOKUP(Data[[#This Row],[DEVELOPMENT]],Ops_Priorities_and_Data_Clean[[development]:[ifnoext_comment]],14,FALSE)</f>
        <v>0</v>
      </c>
      <c r="AR185" s="20">
        <f>VLOOKUP(Data[[#This Row],[DEVELOPMENT]],Ops_Priorities_and_Data_Clean[[development]:[ifnoext_comment]],15,FALSE)</f>
        <v>0</v>
      </c>
      <c r="AS185" s="20" t="str">
        <f>VLOOKUP(Data[[#This Row],[DEVELOPMENT]],Ops_Priorities_and_Data_Clean[[development]:[ifnoext_comment]],16,FALSE)</f>
        <v>NULL</v>
      </c>
      <c r="AT185" s="20" t="str">
        <f>VLOOKUP(Data[[#This Row],[DEVELOPMENT]],Ops_Priorities_and_Data_Clean[[development]:[ifnoext_comment]],17,FALSE)</f>
        <v>NULL</v>
      </c>
      <c r="AU185" s="20" t="str">
        <f>VLOOKUP(Data[[#This Row],[DEVELOPMENT]],Ops_Priorities_and_Data_Clean[[development]:[ifnoext_comment]],18,FALSE)</f>
        <v>NULL</v>
      </c>
      <c r="AV185" s="20" t="str">
        <f>VLOOKUP(Data[[#This Row],[DEVELOPMENT]],Ops_Priorities_and_Data_Clean[[development]:[ifnoext_comment]],19,FALSE)</f>
        <v>NULL</v>
      </c>
      <c r="AW185" s="20" t="str">
        <f>VLOOKUP(Data[[#This Row],[DEVELOPMENT]],Ops_Priorities_and_Data_Clean[[development]:[ifnoext_comment]],20,FALSE)</f>
        <v>NULL</v>
      </c>
      <c r="AX185" s="104" t="s">
        <v>2237</v>
      </c>
      <c r="AY185" s="104" t="s">
        <v>147</v>
      </c>
      <c r="AZ185" s="20" t="str">
        <f>VLOOKUP(Data[[#This Row],[DEVELOPMENT]],Development_Data_Book[[DEVELOPMENT]:[PRIVATE MANAGEMENT]],8,FALSE)</f>
        <v>FEDERAL</v>
      </c>
      <c r="BA185" s="104" t="s">
        <v>2586</v>
      </c>
      <c r="BB185" s="20">
        <f>VLOOKUP(Data[[#This Row],[DEVELOPMENT]],Development_Data_Book[[DEVELOPMENT]:[PRIVATE MANAGEMENT]],22,FALSE)</f>
        <v>1</v>
      </c>
      <c r="BC185" s="20">
        <f>Data[[#This Row],[Non-Dwelling Buildings]]+Data[[#This Row],[Dwelling Buildings]]</f>
        <v>6</v>
      </c>
      <c r="BD185" s="20">
        <f>VLOOKUP(Data[[#This Row],[DEVELOPMENT]],Development_Data_Book[[DEVELOPMENT]:[PRIVATE MANAGEMENT]],26,FALSE)</f>
        <v>6.66</v>
      </c>
      <c r="BE185" s="106">
        <v>641719</v>
      </c>
      <c r="BF185" s="20">
        <f>VLOOKUP(Data[[#This Row],[DEVELOPMENT]],Development_Data_Book[[DEVELOPMENT]:[PRIVATE MANAGEMENT]],18,FALSE)</f>
        <v>1441</v>
      </c>
      <c r="BG18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85" s="104" t="s">
        <v>2631</v>
      </c>
      <c r="BI185" t="s">
        <v>184</v>
      </c>
      <c r="BJ185" s="20">
        <f>VLOOKUP(Data[[#This Row],[DEVELOPMENT]],Development_Data_Book[[DEVELOPMENT]:[PRIVATE MANAGEMENT]],41,FALSE)</f>
        <v>3</v>
      </c>
      <c r="BK185" s="20">
        <f>VLOOKUP(Data[[#This Row],[DEVELOPMENT]],Development_Data_Book[[DEVELOPMENT]:[PRIVATE MANAGEMENT]],42,FALSE)</f>
        <v>15</v>
      </c>
      <c r="BL185" s="20">
        <f>VLOOKUP(Data[[#This Row],[DEVELOPMENT]],Development_Data_Book[[DEVELOPMENT]:[PRIVATE MANAGEMENT]],43,FALSE)</f>
        <v>32</v>
      </c>
      <c r="BM185" s="20">
        <f>VLOOKUP(Data[[#This Row],[DEVELOPMENT]],Development_Data_Book[[DEVELOPMENT]:[PRIVATE MANAGEMENT]],44,FALSE)</f>
        <v>79</v>
      </c>
      <c r="BN185" s="20">
        <f>VLOOKUP(Data[[#This Row],[DEVELOPMENT]],Development_Data_Book[[DEVELOPMENT]:[PRIVATE MANAGEMENT]],45,FALSE)</f>
        <v>16</v>
      </c>
      <c r="BO185" s="20">
        <f>VLOOKUP(Data[[#This Row],[DEVELOPMENT]],Development_Data_Book[[DEVELOPMENT]:[PRIVATE MANAGEMENT]],24,FALSE)</f>
        <v>16</v>
      </c>
    </row>
    <row r="186" spans="1:67">
      <c r="A186" s="17" t="s">
        <v>39</v>
      </c>
      <c r="B186" s="17" t="str">
        <f>VLOOKUP(Data[[#This Row],[DEVELOPMENT]],Development_Data_Book[[DEVELOPMENT]:[BOROUGH]],MATCH("borough",Development_Data_Book[[#Headers],[DEVELOPMENT]:[BOROUGH]],0),FALSE)</f>
        <v>BRONX</v>
      </c>
      <c r="C186" t="e">
        <f>VLOOKUP(Data[[#This Row],[DEVELOPMENT]],'[1]Cheat-Sheet'!$D$2:$Q$341,2,FALSE)</f>
        <v>#N/A</v>
      </c>
      <c r="D18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186">
        <f>VLOOKUP(Data[[#This Row],[DEVELOPMENT]],Development_Data_Book[[DEVELOPMENT]:[BOROUGH]],21,FALSE)</f>
        <v>8</v>
      </c>
      <c r="F186">
        <f>VLOOKUP(Data[[#This Row],[DEVELOPMENT]],Development_Data_Book[[DEVELOPMENT]:[BOROUGH]],23,FALSE)</f>
        <v>9</v>
      </c>
      <c r="G186">
        <f>VLOOKUP(Data[[#This Row],[DEVELOPMENT]],Development_Data_Book[[DEVELOPMENT]:[BOROUGH]],12,FALSE)</f>
        <v>1021</v>
      </c>
      <c r="H186" t="s">
        <v>2246</v>
      </c>
      <c r="I186">
        <v>4</v>
      </c>
      <c r="J186">
        <f>IFERROR(VLOOKUP(Data[[#This Row],[DEVELOPMENT]],IntCompactors_MRST[],4,FALSE),0)</f>
        <v>8</v>
      </c>
      <c r="K186" s="20">
        <f>IFERROR(VLOOKUP(Data[[#This Row],[DEVELOPMENT]],ExtCompactors_MRST[],4,FALSE),0)</f>
        <v>3</v>
      </c>
      <c r="L186" s="27">
        <f>IF(Data[[#This Row],['# Interior Compactors MRST]]=0,"",VLOOKUP(Data[[#This Row],[DEVELOPMENT]],IntCompactors_MRST[],5,FALSE))</f>
        <v>38718</v>
      </c>
      <c r="M186" s="28">
        <f>IF(Data[[#This Row],['# Exterior Compactors MRST]]=0,"",VLOOKUP(Data[[#This Row],[DEVELOPMENT]],ExtCompactors_MRST[],5,FALSE))</f>
        <v>36850</v>
      </c>
      <c r="N186">
        <f>Data[[#This Row],['# Interior Compactors MRST]]</f>
        <v>8</v>
      </c>
      <c r="O186" s="20">
        <f>IF(Data[[#This Row],['# Bulk Crushers]]=0,1,0)</f>
        <v>1</v>
      </c>
      <c r="P186" s="20">
        <f>1</f>
        <v>1</v>
      </c>
      <c r="Q186" s="20">
        <f>1</f>
        <v>1</v>
      </c>
      <c r="R186" s="20">
        <f>1</f>
        <v>1</v>
      </c>
      <c r="S186" s="20">
        <f>1</f>
        <v>1</v>
      </c>
      <c r="T186" s="20">
        <f>IF(Data[[#This Row],[Sewershed]]="Newtown Creek",Data[[#This Row],[DUs]],0)</f>
        <v>0</v>
      </c>
      <c r="U186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86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86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86" s="82">
        <f>VLOOKUP(Data[[#This Row],[DEVELOPMENT]],Development_Data_Book[[DEVELOPMENT]:[BOROUGH]],3,FALSE)</f>
        <v>28</v>
      </c>
      <c r="Y186" s="20"/>
      <c r="Z186" s="20">
        <f>IFERROR(VLOOKUP(Data[[#This Row],[TDS]],ExtCompactors_PNA[[Development]:[0]],2,FALSE),0)</f>
        <v>2</v>
      </c>
      <c r="AA186" s="20">
        <f>IFERROR(VLOOKUP(Data[[#This Row],[TDS]],IntCompactors_PNA[[TDS]:[0]],2,FALSE),0)</f>
        <v>8</v>
      </c>
      <c r="AB186" s="20"/>
      <c r="AC186" s="20"/>
      <c r="AD186" s="20">
        <f>IFERROR(VLOOKUP(Data[[#This Row],[TDS]],ExtCompactors_PNA[[Development]:[0]],3,FALSE)+VLOOKUP(Data[[#This Row],[TDS]],ExtCompactors_PNA[[Development]:[0]],6,FALSE),0)</f>
        <v>2</v>
      </c>
      <c r="AE186" s="20">
        <f>IFERROR(VLOOKUP(Data[[#This Row],[TDS]],IntCompactors_PNA[[TDS]:[0]],3,FALSE)+VLOOKUP(Data[[#This Row],[TDS]],IntCompactors_PNA[[TDS]:[0]],6,FALSE),0)</f>
        <v>8</v>
      </c>
      <c r="AF186" s="20" t="e">
        <f>VLOOKUP(Data[[#This Row],[DEVELOPMENT]],[3]Developments!$A$2:$A$312,1,FALSE)</f>
        <v>#N/A</v>
      </c>
      <c r="AG186" s="20">
        <f>IFERROR(VLOOKUP(Data[[#This Row],[DEVELOPMENT]],Ops_Priorities_and_Data_Clean[[development]:[ifnoext_comment]],3,FALSE),"")</f>
        <v>2</v>
      </c>
      <c r="AH186" s="20">
        <f>IFERROR(VLOOKUP(Data[[#This Row],[DEVELOPMENT]],Ops_Priorities_and_Data_Clean[[development]:[ifnoext_comment]],4,FALSE),"")</f>
        <v>2</v>
      </c>
      <c r="AI186" s="20">
        <f>IFERROR(VLOOKUP(Data[[#This Row],[DEVELOPMENT]],Ops_Priorities_and_Data_Clean[[development]:[ifnoext_comment]],5,FALSE),"")</f>
        <v>1</v>
      </c>
      <c r="AJ186" s="20">
        <f>IFERROR(VLOOKUP(Data[[#This Row],[DEVELOPMENT]],Ops_Priorities_and_Data_Clean[[development]:[ifnoext_comment]],6,FALSE),"")</f>
        <v>0</v>
      </c>
      <c r="AK186" s="20">
        <f>IFERROR(VLOOKUP(Data[[#This Row],[DEVELOPMENT]],Ops_Priorities_and_Data_Clean[[development]:[ifnoext_comment]],7,FALSE),"")</f>
        <v>0</v>
      </c>
      <c r="AL186" s="20">
        <f>IFERROR(VLOOKUP(Data[[#This Row],[DEVELOPMENT]],Ops_Priorities_and_Data_Clean[[development]:[ifnoext_comment]],8,FALSE),"")</f>
        <v>1</v>
      </c>
      <c r="AM186" s="20">
        <f>IFERROR(VLOOKUP(Data[[#This Row],[DEVELOPMENT]],Ops_Priorities_and_Data_Clean[[development]:[ifnoext_comment]],9,FALSE),"")</f>
        <v>0</v>
      </c>
      <c r="AN186" s="20">
        <f>IFERROR(VLOOKUP(Data[[#This Row],[DEVELOPMENT]],Ops_Priorities_and_Data_Clean[[development]:[ifnoext_comment]],10,FALSE),"")</f>
        <v>0</v>
      </c>
      <c r="AO186" s="20">
        <f>IFERROR(VLOOKUP(Data[[#This Row],[DEVELOPMENT]],Ops_Priorities_and_Data_Clean[[development]:[ifnoext_comment]],11,FALSE),"")</f>
        <v>3</v>
      </c>
      <c r="AP186" s="20">
        <f>IFERROR(VLOOKUP(Data[[#This Row],[DEVELOPMENT]],Ops_Priorities_and_Data_Clean[[development]:[ifnoext_comment]],12,FALSE),"")</f>
        <v>2</v>
      </c>
      <c r="AQ186" s="20">
        <f>VLOOKUP(Data[[#This Row],[DEVELOPMENT]],Ops_Priorities_and_Data_Clean[[development]:[ifnoext_comment]],14,FALSE)</f>
        <v>0</v>
      </c>
      <c r="AR186" s="20">
        <f>VLOOKUP(Data[[#This Row],[DEVELOPMENT]],Ops_Priorities_and_Data_Clean[[development]:[ifnoext_comment]],15,FALSE)</f>
        <v>0</v>
      </c>
      <c r="AS186" s="20" t="str">
        <f>VLOOKUP(Data[[#This Row],[DEVELOPMENT]],Ops_Priorities_and_Data_Clean[[development]:[ifnoext_comment]],16,FALSE)</f>
        <v>NULL</v>
      </c>
      <c r="AT186" s="20" t="str">
        <f>VLOOKUP(Data[[#This Row],[DEVELOPMENT]],Ops_Priorities_and_Data_Clean[[development]:[ifnoext_comment]],17,FALSE)</f>
        <v>NULL</v>
      </c>
      <c r="AU186" s="20" t="str">
        <f>VLOOKUP(Data[[#This Row],[DEVELOPMENT]],Ops_Priorities_and_Data_Clean[[development]:[ifnoext_comment]],18,FALSE)</f>
        <v>No</v>
      </c>
      <c r="AV186" s="20" t="str">
        <f>VLOOKUP(Data[[#This Row],[DEVELOPMENT]],Ops_Priorities_and_Data_Clean[[development]:[ifnoext_comment]],19,FALSE)</f>
        <v>container on-site</v>
      </c>
      <c r="AW186" s="20" t="str">
        <f>VLOOKUP(Data[[#This Row],[DEVELOPMENT]],Ops_Priorities_and_Data_Clean[[development]:[ifnoext_comment]],20,FALSE)</f>
        <v>There are two here.</v>
      </c>
      <c r="AX186" s="104" t="s">
        <v>2602</v>
      </c>
      <c r="AY186" s="104" t="s">
        <v>39</v>
      </c>
      <c r="AZ186" s="20" t="str">
        <f>VLOOKUP(Data[[#This Row],[DEVELOPMENT]],Development_Data_Book[[DEVELOPMENT]:[PRIVATE MANAGEMENT]],8,FALSE)</f>
        <v>FEDERAL</v>
      </c>
      <c r="BA186" s="104" t="s">
        <v>2586</v>
      </c>
      <c r="BB186" s="20">
        <f>VLOOKUP(Data[[#This Row],[DEVELOPMENT]],Development_Data_Book[[DEVELOPMENT]:[PRIVATE MANAGEMENT]],22,FALSE)</f>
        <v>1</v>
      </c>
      <c r="BC186" s="20">
        <f>Data[[#This Row],[Non-Dwelling Buildings]]+Data[[#This Row],[Dwelling Buildings]]</f>
        <v>9</v>
      </c>
      <c r="BD186" s="20">
        <f>VLOOKUP(Data[[#This Row],[DEVELOPMENT]],Development_Data_Book[[DEVELOPMENT]:[PRIVATE MANAGEMENT]],26,FALSE)</f>
        <v>12.44</v>
      </c>
      <c r="BE186" s="106">
        <v>983100</v>
      </c>
      <c r="BF186" s="20">
        <f>VLOOKUP(Data[[#This Row],[DEVELOPMENT]],Development_Data_Book[[DEVELOPMENT]:[PRIVATE MANAGEMENT]],18,FALSE)</f>
        <v>2418</v>
      </c>
      <c r="BG18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86" s="104" t="s">
        <v>2610</v>
      </c>
      <c r="BI186" t="s">
        <v>184</v>
      </c>
      <c r="BJ186" s="20">
        <f>VLOOKUP(Data[[#This Row],[DEVELOPMENT]],Development_Data_Book[[DEVELOPMENT]:[PRIVATE MANAGEMENT]],41,FALSE)</f>
        <v>1</v>
      </c>
      <c r="BK186" s="20">
        <f>VLOOKUP(Data[[#This Row],[DEVELOPMENT]],Development_Data_Book[[DEVELOPMENT]:[PRIVATE MANAGEMENT]],42,FALSE)</f>
        <v>15</v>
      </c>
      <c r="BL186" s="20">
        <f>VLOOKUP(Data[[#This Row],[DEVELOPMENT]],Development_Data_Book[[DEVELOPMENT]:[PRIVATE MANAGEMENT]],43,FALSE)</f>
        <v>32</v>
      </c>
      <c r="BM186" s="20" t="str">
        <f>VLOOKUP(Data[[#This Row],[DEVELOPMENT]],Development_Data_Book[[DEVELOPMENT]:[PRIVATE MANAGEMENT]],44,FALSE)</f>
        <v>79, 84</v>
      </c>
      <c r="BN186" s="20">
        <f>VLOOKUP(Data[[#This Row],[DEVELOPMENT]],Development_Data_Book[[DEVELOPMENT]:[PRIVATE MANAGEMENT]],45,FALSE)</f>
        <v>17</v>
      </c>
      <c r="BO186" s="20">
        <f>VLOOKUP(Data[[#This Row],[DEVELOPMENT]],Development_Data_Book[[DEVELOPMENT]:[PRIVATE MANAGEMENT]],24,FALSE)</f>
        <v>14</v>
      </c>
    </row>
    <row r="187" spans="1:67">
      <c r="A187" s="17" t="s">
        <v>50</v>
      </c>
      <c r="B187" s="17" t="str">
        <f>VLOOKUP(Data[[#This Row],[DEVELOPMENT]],Development_Data_Book[[DEVELOPMENT]:[BOROUGH]],MATCH("borough",Development_Data_Book[[#Headers],[DEVELOPMENT]:[BOROUGH]],0),FALSE)</f>
        <v>MANHATTAN</v>
      </c>
      <c r="C187" t="e">
        <f>VLOOKUP(Data[[#This Row],[DEVELOPMENT]],'[1]Cheat-Sheet'!$D$2:$Q$341,2,FALSE)</f>
        <v>#N/A</v>
      </c>
      <c r="D18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87">
        <f>VLOOKUP(Data[[#This Row],[DEVELOPMENT]],Development_Data_Book[[DEVELOPMENT]:[BOROUGH]],21,FALSE)</f>
        <v>1</v>
      </c>
      <c r="F187">
        <f>VLOOKUP(Data[[#This Row],[DEVELOPMENT]],Development_Data_Book[[DEVELOPMENT]:[BOROUGH]],23,FALSE)</f>
        <v>1</v>
      </c>
      <c r="G187">
        <f>VLOOKUP(Data[[#This Row],[DEVELOPMENT]],Development_Data_Book[[DEVELOPMENT]:[BOROUGH]],12,FALSE)</f>
        <v>229</v>
      </c>
      <c r="H187" t="s">
        <v>2246</v>
      </c>
      <c r="I187">
        <v>4</v>
      </c>
      <c r="J187">
        <f>IFERROR(VLOOKUP(Data[[#This Row],[DEVELOPMENT]],IntCompactors_MRST[],4,FALSE),0)</f>
        <v>1</v>
      </c>
      <c r="K187" s="20">
        <f>IFERROR(VLOOKUP(Data[[#This Row],[DEVELOPMENT]],ExtCompactors_MRST[],4,FALSE),0)</f>
        <v>0</v>
      </c>
      <c r="L187" s="27">
        <f>IF(Data[[#This Row],['# Interior Compactors MRST]]=0,"",VLOOKUP(Data[[#This Row],[DEVELOPMENT]],IntCompactors_MRST[],5,FALSE))</f>
        <v>29221</v>
      </c>
      <c r="M187" s="28" t="str">
        <f>IF(Data[[#This Row],['# Exterior Compactors MRST]]=0,"",VLOOKUP(Data[[#This Row],[DEVELOPMENT]],ExtCompactors_MRST[],5,FALSE))</f>
        <v/>
      </c>
      <c r="N187">
        <f>Data[[#This Row],['# Interior Compactors MRST]]</f>
        <v>1</v>
      </c>
      <c r="O187" s="20">
        <f>IF(Data[[#This Row],['# Bulk Crushers]]=0,1,0)</f>
        <v>1</v>
      </c>
      <c r="P187" s="20">
        <f>1</f>
        <v>1</v>
      </c>
      <c r="Q187" s="20">
        <f>1</f>
        <v>1</v>
      </c>
      <c r="R187" s="20">
        <f>1</f>
        <v>1</v>
      </c>
      <c r="S187" s="20">
        <f>1</f>
        <v>1</v>
      </c>
      <c r="T187" s="20">
        <f>IF(Data[[#This Row],[Sewershed]]="Newtown Creek",Data[[#This Row],[DUs]],0)</f>
        <v>229</v>
      </c>
      <c r="U18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8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8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87" s="82">
        <f>VLOOKUP(Data[[#This Row],[DEVELOPMENT]],Development_Data_Book[[DEVELOPMENT]:[BOROUGH]],3,FALSE)</f>
        <v>183</v>
      </c>
      <c r="Y187" s="20" t="s">
        <v>2599</v>
      </c>
      <c r="Z187" s="20">
        <f>IFERROR(VLOOKUP(Data[[#This Row],[TDS]],ExtCompactors_PNA[[Development]:[0]],2,FALSE),0)</f>
        <v>0</v>
      </c>
      <c r="AA187" s="20">
        <f>IFERROR(VLOOKUP(Data[[#This Row],[TDS]],IntCompactors_PNA[[TDS]:[0]],2,FALSE),0)</f>
        <v>1</v>
      </c>
      <c r="AB187" s="20"/>
      <c r="AC187" s="20"/>
      <c r="AD187" s="20">
        <f>IFERROR(VLOOKUP(Data[[#This Row],[TDS]],ExtCompactors_PNA[[Development]:[0]],3,FALSE)+VLOOKUP(Data[[#This Row],[TDS]],ExtCompactors_PNA[[Development]:[0]],6,FALSE),0)</f>
        <v>0</v>
      </c>
      <c r="AE187" s="20">
        <f>IFERROR(VLOOKUP(Data[[#This Row],[TDS]],IntCompactors_PNA[[TDS]:[0]],3,FALSE)+VLOOKUP(Data[[#This Row],[TDS]],IntCompactors_PNA[[TDS]:[0]],6,FALSE),0)</f>
        <v>1</v>
      </c>
      <c r="AF187" s="20" t="e">
        <f>VLOOKUP(Data[[#This Row],[DEVELOPMENT]],[3]Developments!$A$2:$A$312,1,FALSE)</f>
        <v>#N/A</v>
      </c>
      <c r="AG187" s="20">
        <f>IFERROR(VLOOKUP(Data[[#This Row],[DEVELOPMENT]],Ops_Priorities_and_Data_Clean[[development]:[ifnoext_comment]],3,FALSE),"")</f>
        <v>0</v>
      </c>
      <c r="AH187" s="20">
        <f>IFERROR(VLOOKUP(Data[[#This Row],[DEVELOPMENT]],Ops_Priorities_and_Data_Clean[[development]:[ifnoext_comment]],4,FALSE),"")</f>
        <v>2</v>
      </c>
      <c r="AI187" s="20">
        <f>IFERROR(VLOOKUP(Data[[#This Row],[DEVELOPMENT]],Ops_Priorities_and_Data_Clean[[development]:[ifnoext_comment]],5,FALSE),"")</f>
        <v>0</v>
      </c>
      <c r="AJ187" s="20">
        <f>IFERROR(VLOOKUP(Data[[#This Row],[DEVELOPMENT]],Ops_Priorities_and_Data_Clean[[development]:[ifnoext_comment]],6,FALSE),"")</f>
        <v>1</v>
      </c>
      <c r="AK187" s="20">
        <f>IFERROR(VLOOKUP(Data[[#This Row],[DEVELOPMENT]],Ops_Priorities_and_Data_Clean[[development]:[ifnoext_comment]],7,FALSE),"")</f>
        <v>0</v>
      </c>
      <c r="AL187" s="20">
        <f>IFERROR(VLOOKUP(Data[[#This Row],[DEVELOPMENT]],Ops_Priorities_and_Data_Clean[[development]:[ifnoext_comment]],8,FALSE),"")</f>
        <v>1</v>
      </c>
      <c r="AM187" s="20">
        <f>IFERROR(VLOOKUP(Data[[#This Row],[DEVELOPMENT]],Ops_Priorities_and_Data_Clean[[development]:[ifnoext_comment]],9,FALSE),"")</f>
        <v>1</v>
      </c>
      <c r="AN187" s="20">
        <f>IFERROR(VLOOKUP(Data[[#This Row],[DEVELOPMENT]],Ops_Priorities_and_Data_Clean[[development]:[ifnoext_comment]],10,FALSE),"")</f>
        <v>0</v>
      </c>
      <c r="AO187" s="20">
        <f>IFERROR(VLOOKUP(Data[[#This Row],[DEVELOPMENT]],Ops_Priorities_and_Data_Clean[[development]:[ifnoext_comment]],11,FALSE),"")</f>
        <v>0</v>
      </c>
      <c r="AP187" s="20">
        <f>IFERROR(VLOOKUP(Data[[#This Row],[DEVELOPMENT]],Ops_Priorities_and_Data_Clean[[development]:[ifnoext_comment]],12,FALSE),"")</f>
        <v>0</v>
      </c>
      <c r="AQ187" s="20">
        <f>VLOOKUP(Data[[#This Row],[DEVELOPMENT]],Ops_Priorities_and_Data_Clean[[development]:[ifnoext_comment]],14,FALSE)</f>
        <v>0</v>
      </c>
      <c r="AR187" s="20">
        <f>VLOOKUP(Data[[#This Row],[DEVELOPMENT]],Ops_Priorities_and_Data_Clean[[development]:[ifnoext_comment]],15,FALSE)</f>
        <v>1</v>
      </c>
      <c r="AS187" s="20" t="str">
        <f>VLOOKUP(Data[[#This Row],[DEVELOPMENT]],Ops_Priorities_and_Data_Clean[[development]:[ifnoext_comment]],16,FALSE)</f>
        <v>Gompers</v>
      </c>
      <c r="AT187" s="20" t="str">
        <f>VLOOKUP(Data[[#This Row],[DEVELOPMENT]],Ops_Priorities_and_Data_Clean[[development]:[ifnoext_comment]],17,FALSE)</f>
        <v>NULL</v>
      </c>
      <c r="AU187" s="20" t="str">
        <f>VLOOKUP(Data[[#This Row],[DEVELOPMENT]],Ops_Priorities_and_Data_Clean[[development]:[ifnoext_comment]],18,FALSE)</f>
        <v>TBD</v>
      </c>
      <c r="AV187" s="20" t="str">
        <f>VLOOKUP(Data[[#This Row],[DEVELOPMENT]],Ops_Priorities_and_Data_Clean[[development]:[ifnoext_comment]],19,FALSE)</f>
        <v>left on curb for pickup to Gompers twice a day.  One truck for entire consolidation, all uses</v>
      </c>
      <c r="AW187" s="20" t="str">
        <f>VLOOKUP(Data[[#This Row],[DEVELOPMENT]],Ops_Priorities_and_Data_Clean[[development]:[ifnoext_comment]],20,FALSE)</f>
        <v>They ar ereceiving a lot of illegal dumping with a meat manufacturer next door and would really benefit now from a bulk crusher with fencing</v>
      </c>
      <c r="AX187" s="104" t="s">
        <v>2239</v>
      </c>
      <c r="AY187" s="104" t="s">
        <v>2160</v>
      </c>
      <c r="AZ187" s="20" t="str">
        <f>VLOOKUP(Data[[#This Row],[DEVELOPMENT]],Development_Data_Book[[DEVELOPMENT]:[PRIVATE MANAGEMENT]],8,FALSE)</f>
        <v>FEDERAL</v>
      </c>
      <c r="BA187" s="104" t="s">
        <v>2586</v>
      </c>
      <c r="BB187" s="20">
        <f>VLOOKUP(Data[[#This Row],[DEVELOPMENT]],Development_Data_Book[[DEVELOPMENT]:[PRIVATE MANAGEMENT]],22,FALSE)</f>
        <v>0</v>
      </c>
      <c r="BC187" s="20">
        <f>Data[[#This Row],[Non-Dwelling Buildings]]+Data[[#This Row],[Dwelling Buildings]]</f>
        <v>1</v>
      </c>
      <c r="BD187" s="20">
        <f>VLOOKUP(Data[[#This Row],[DEVELOPMENT]],Development_Data_Book[[DEVELOPMENT]:[PRIVATE MANAGEMENT]],26,FALSE)</f>
        <v>1.1499999999999999</v>
      </c>
      <c r="BE187" s="106">
        <v>144876</v>
      </c>
      <c r="BF187" s="20">
        <f>VLOOKUP(Data[[#This Row],[DEVELOPMENT]],Development_Data_Book[[DEVELOPMENT]:[PRIVATE MANAGEMENT]],18,FALSE)</f>
        <v>247</v>
      </c>
      <c r="BG187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87" s="104" t="s">
        <v>2607</v>
      </c>
      <c r="BI187" t="s">
        <v>184</v>
      </c>
      <c r="BJ187" s="20">
        <f>VLOOKUP(Data[[#This Row],[DEVELOPMENT]],Development_Data_Book[[DEVELOPMENT]:[PRIVATE MANAGEMENT]],41,FALSE)</f>
        <v>3</v>
      </c>
      <c r="BK187" s="20">
        <f>VLOOKUP(Data[[#This Row],[DEVELOPMENT]],Development_Data_Book[[DEVELOPMENT]:[PRIVATE MANAGEMENT]],42,FALSE)</f>
        <v>12</v>
      </c>
      <c r="BL187" s="20">
        <f>VLOOKUP(Data[[#This Row],[DEVELOPMENT]],Development_Data_Book[[DEVELOPMENT]:[PRIVATE MANAGEMENT]],43,FALSE)</f>
        <v>26</v>
      </c>
      <c r="BM187" s="20">
        <f>VLOOKUP(Data[[#This Row],[DEVELOPMENT]],Development_Data_Book[[DEVELOPMENT]:[PRIVATE MANAGEMENT]],44,FALSE)</f>
        <v>65</v>
      </c>
      <c r="BN187" s="20">
        <f>VLOOKUP(Data[[#This Row],[DEVELOPMENT]],Development_Data_Book[[DEVELOPMENT]:[PRIVATE MANAGEMENT]],45,FALSE)</f>
        <v>2</v>
      </c>
      <c r="BO187" s="20">
        <f>VLOOKUP(Data[[#This Row],[DEVELOPMENT]],Development_Data_Book[[DEVELOPMENT]:[PRIVATE MANAGEMENT]],24,FALSE)</f>
        <v>20</v>
      </c>
    </row>
    <row r="188" spans="1:67">
      <c r="A188" t="s">
        <v>90</v>
      </c>
      <c r="B188" t="str">
        <f>VLOOKUP(Data[[#This Row],[DEVELOPMENT]],Development_Data_Book[[DEVELOPMENT]:[BOROUGH]],MATCH("borough",Development_Data_Book[[#Headers],[DEVELOPMENT]:[BOROUGH]],0),FALSE)</f>
        <v>MANHATTAN</v>
      </c>
      <c r="C188" t="e">
        <f>VLOOKUP(Data[[#This Row],[DEVELOPMENT]],'[1]Cheat-Sheet'!$D$2:$Q$341,2,FALSE)</f>
        <v>#N/A</v>
      </c>
      <c r="D18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88">
        <f>VLOOKUP(Data[[#This Row],[DEVELOPMENT]],Development_Data_Book[[DEVELOPMENT]:[BOROUGH]],21,FALSE)</f>
        <v>3</v>
      </c>
      <c r="F188">
        <f>VLOOKUP(Data[[#This Row],[DEVELOPMENT]],Development_Data_Book[[DEVELOPMENT]:[BOROUGH]],23,FALSE)</f>
        <v>3</v>
      </c>
      <c r="G188">
        <f>VLOOKUP(Data[[#This Row],[DEVELOPMENT]],Development_Data_Book[[DEVELOPMENT]:[BOROUGH]],12,FALSE)</f>
        <v>271</v>
      </c>
      <c r="H188" t="s">
        <v>2247</v>
      </c>
      <c r="I188">
        <v>4</v>
      </c>
      <c r="J188">
        <f>IFERROR(VLOOKUP(Data[[#This Row],[DEVELOPMENT]],IntCompactors_MRST[],4,FALSE),0)</f>
        <v>3</v>
      </c>
      <c r="K188" s="20">
        <f>IFERROR(VLOOKUP(Data[[#This Row],[DEVELOPMENT]],ExtCompactors_MRST[],4,FALSE),0)</f>
        <v>0</v>
      </c>
      <c r="L188" s="27">
        <f>IF(Data[[#This Row],['# Interior Compactors MRST]]=0,"",VLOOKUP(Data[[#This Row],[DEVELOPMENT]],IntCompactors_MRST[],5,FALSE))</f>
        <v>36526</v>
      </c>
      <c r="M188" s="28" t="str">
        <f>IF(Data[[#This Row],['# Exterior Compactors MRST]]=0,"",VLOOKUP(Data[[#This Row],[DEVELOPMENT]],ExtCompactors_MRST[],5,FALSE))</f>
        <v/>
      </c>
      <c r="N188">
        <f>Data[[#This Row],['# Interior Compactors MRST]]</f>
        <v>3</v>
      </c>
      <c r="O188" s="20">
        <f>IF(Data[[#This Row],['# Bulk Crushers]]=0,1,0)</f>
        <v>1</v>
      </c>
      <c r="P188" s="20">
        <f>1</f>
        <v>1</v>
      </c>
      <c r="Q188" s="20">
        <f>1</f>
        <v>1</v>
      </c>
      <c r="R188" s="20">
        <f>1</f>
        <v>1</v>
      </c>
      <c r="S188" s="20">
        <f>1</f>
        <v>1</v>
      </c>
      <c r="T188" s="20">
        <f>IF(Data[[#This Row],[Sewershed]]="Newtown Creek",Data[[#This Row],[DUs]],0)</f>
        <v>0</v>
      </c>
      <c r="U18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8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8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88" s="82">
        <f>VLOOKUP(Data[[#This Row],[DEVELOPMENT]],Development_Data_Book[[DEVELOPMENT]:[BOROUGH]],3,FALSE)</f>
        <v>181</v>
      </c>
      <c r="Y188" s="20"/>
      <c r="Z188" s="20">
        <f>IFERROR(VLOOKUP(Data[[#This Row],[TDS]],ExtCompactors_PNA[[Development]:[0]],2,FALSE),0)</f>
        <v>0</v>
      </c>
      <c r="AA188" s="20">
        <f>IFERROR(VLOOKUP(Data[[#This Row],[TDS]],IntCompactors_PNA[[TDS]:[0]],2,FALSE),0)</f>
        <v>3</v>
      </c>
      <c r="AB188" s="20"/>
      <c r="AC188" s="20"/>
      <c r="AD188" s="20">
        <f>IFERROR(VLOOKUP(Data[[#This Row],[TDS]],ExtCompactors_PNA[[Development]:[0]],3,FALSE)+VLOOKUP(Data[[#This Row],[TDS]],ExtCompactors_PNA[[Development]:[0]],6,FALSE),0)</f>
        <v>0</v>
      </c>
      <c r="AE188" s="20">
        <f>IFERROR(VLOOKUP(Data[[#This Row],[TDS]],IntCompactors_PNA[[TDS]:[0]],3,FALSE)+VLOOKUP(Data[[#This Row],[TDS]],IntCompactors_PNA[[TDS]:[0]],6,FALSE),0)</f>
        <v>3</v>
      </c>
      <c r="AF188" s="20" t="e">
        <f>VLOOKUP(Data[[#This Row],[DEVELOPMENT]],[3]Developments!$A$2:$A$312,1,FALSE)</f>
        <v>#N/A</v>
      </c>
      <c r="AG188" s="20">
        <f>IFERROR(VLOOKUP(Data[[#This Row],[DEVELOPMENT]],Ops_Priorities_and_Data_Clean[[development]:[ifnoext_comment]],3,FALSE),"")</f>
        <v>0</v>
      </c>
      <c r="AH188" s="20">
        <f>IFERROR(VLOOKUP(Data[[#This Row],[DEVELOPMENT]],Ops_Priorities_and_Data_Clean[[development]:[ifnoext_comment]],4,FALSE),"")</f>
        <v>0</v>
      </c>
      <c r="AI188" s="20">
        <f>IFERROR(VLOOKUP(Data[[#This Row],[DEVELOPMENT]],Ops_Priorities_and_Data_Clean[[development]:[ifnoext_comment]],5,FALSE),"")</f>
        <v>0</v>
      </c>
      <c r="AJ188" s="20">
        <f>IFERROR(VLOOKUP(Data[[#This Row],[DEVELOPMENT]],Ops_Priorities_and_Data_Clean[[development]:[ifnoext_comment]],6,FALSE),"")</f>
        <v>1</v>
      </c>
      <c r="AK188" s="20">
        <f>IFERROR(VLOOKUP(Data[[#This Row],[DEVELOPMENT]],Ops_Priorities_and_Data_Clean[[development]:[ifnoext_comment]],7,FALSE),"")</f>
        <v>0</v>
      </c>
      <c r="AL188" s="20">
        <f>IFERROR(VLOOKUP(Data[[#This Row],[DEVELOPMENT]],Ops_Priorities_and_Data_Clean[[development]:[ifnoext_comment]],8,FALSE),"")</f>
        <v>1</v>
      </c>
      <c r="AM188" s="20">
        <f>IFERROR(VLOOKUP(Data[[#This Row],[DEVELOPMENT]],Ops_Priorities_and_Data_Clean[[development]:[ifnoext_comment]],9,FALSE),"")</f>
        <v>0</v>
      </c>
      <c r="AN188" s="20">
        <f>IFERROR(VLOOKUP(Data[[#This Row],[DEVELOPMENT]],Ops_Priorities_and_Data_Clean[[development]:[ifnoext_comment]],10,FALSE),"")</f>
        <v>0</v>
      </c>
      <c r="AO188" s="20">
        <f>IFERROR(VLOOKUP(Data[[#This Row],[DEVELOPMENT]],Ops_Priorities_and_Data_Clean[[development]:[ifnoext_comment]],11,FALSE),"")</f>
        <v>0</v>
      </c>
      <c r="AP188" s="20">
        <f>IFERROR(VLOOKUP(Data[[#This Row],[DEVELOPMENT]],Ops_Priorities_and_Data_Clean[[development]:[ifnoext_comment]],12,FALSE),"")</f>
        <v>0</v>
      </c>
      <c r="AQ188" s="20">
        <f>VLOOKUP(Data[[#This Row],[DEVELOPMENT]],Ops_Priorities_and_Data_Clean[[development]:[ifnoext_comment]],14,FALSE)</f>
        <v>0</v>
      </c>
      <c r="AR188" s="20">
        <f>VLOOKUP(Data[[#This Row],[DEVELOPMENT]],Ops_Priorities_and_Data_Clean[[development]:[ifnoext_comment]],15,FALSE)</f>
        <v>1</v>
      </c>
      <c r="AS188" s="20" t="str">
        <f>VLOOKUP(Data[[#This Row],[DEVELOPMENT]],Ops_Priorities_and_Data_Clean[[development]:[ifnoext_comment]],16,FALSE)</f>
        <v>Wilson</v>
      </c>
      <c r="AT188" s="20" t="str">
        <f>VLOOKUP(Data[[#This Row],[DEVELOPMENT]],Ops_Priorities_and_Data_Clean[[development]:[ifnoext_comment]],17,FALSE)</f>
        <v>NULL</v>
      </c>
      <c r="AU188" s="20" t="str">
        <f>VLOOKUP(Data[[#This Row],[DEVELOPMENT]],Ops_Priorities_and_Data_Clean[[development]:[ifnoext_comment]],18,FALSE)</f>
        <v>NULL</v>
      </c>
      <c r="AV188" s="20" t="str">
        <f>VLOOKUP(Data[[#This Row],[DEVELOPMENT]],Ops_Priorities_and_Data_Clean[[development]:[ifnoext_comment]],19,FALSE)</f>
        <v>NULL</v>
      </c>
      <c r="AW188" s="20" t="str">
        <f>VLOOKUP(Data[[#This Row],[DEVELOPMENT]],Ops_Priorities_and_Data_Clean[[development]:[ifnoext_comment]],20,FALSE)</f>
        <v>NULL</v>
      </c>
      <c r="AX188" s="104" t="s">
        <v>2602</v>
      </c>
      <c r="AY188" s="104" t="s">
        <v>2603</v>
      </c>
      <c r="AZ188" s="20" t="str">
        <f>VLOOKUP(Data[[#This Row],[DEVELOPMENT]],Development_Data_Book[[DEVELOPMENT]:[PRIVATE MANAGEMENT]],8,FALSE)</f>
        <v>FEDERAL</v>
      </c>
      <c r="BA188" s="104" t="s">
        <v>2586</v>
      </c>
      <c r="BB188" s="20">
        <f>VLOOKUP(Data[[#This Row],[DEVELOPMENT]],Development_Data_Book[[DEVELOPMENT]:[PRIVATE MANAGEMENT]],22,FALSE)</f>
        <v>0</v>
      </c>
      <c r="BC188" s="20">
        <f>Data[[#This Row],[Non-Dwelling Buildings]]+Data[[#This Row],[Dwelling Buildings]]</f>
        <v>3</v>
      </c>
      <c r="BD188" s="20">
        <f>VLOOKUP(Data[[#This Row],[DEVELOPMENT]],Development_Data_Book[[DEVELOPMENT]:[PRIVATE MANAGEMENT]],26,FALSE)</f>
        <v>2.29</v>
      </c>
      <c r="BE188" s="106">
        <v>289602</v>
      </c>
      <c r="BF188" s="20">
        <f>VLOOKUP(Data[[#This Row],[DEVELOPMENT]],Development_Data_Book[[DEVELOPMENT]:[PRIVATE MANAGEMENT]],18,FALSE)</f>
        <v>643</v>
      </c>
      <c r="BG18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88" s="104" t="s">
        <v>2604</v>
      </c>
      <c r="BI188" t="s">
        <v>184</v>
      </c>
      <c r="BJ188" s="20">
        <f>VLOOKUP(Data[[#This Row],[DEVELOPMENT]],Development_Data_Book[[DEVELOPMENT]:[PRIVATE MANAGEMENT]],41,FALSE)</f>
        <v>11</v>
      </c>
      <c r="BK188" s="20">
        <f>VLOOKUP(Data[[#This Row],[DEVELOPMENT]],Development_Data_Book[[DEVELOPMENT]:[PRIVATE MANAGEMENT]],42,FALSE)</f>
        <v>13</v>
      </c>
      <c r="BL188" s="20">
        <f>VLOOKUP(Data[[#This Row],[DEVELOPMENT]],Development_Data_Book[[DEVELOPMENT]:[PRIVATE MANAGEMENT]],43,FALSE)</f>
        <v>29</v>
      </c>
      <c r="BM188" s="20">
        <f>VLOOKUP(Data[[#This Row],[DEVELOPMENT]],Development_Data_Book[[DEVELOPMENT]:[PRIVATE MANAGEMENT]],44,FALSE)</f>
        <v>68</v>
      </c>
      <c r="BN188" s="20">
        <f>VLOOKUP(Data[[#This Row],[DEVELOPMENT]],Development_Data_Book[[DEVELOPMENT]:[PRIVATE MANAGEMENT]],45,FALSE)</f>
        <v>8</v>
      </c>
      <c r="BO188" s="20">
        <f>VLOOKUP(Data[[#This Row],[DEVELOPMENT]],Development_Data_Book[[DEVELOPMENT]:[PRIVATE MANAGEMENT]],24,FALSE)</f>
        <v>40732</v>
      </c>
    </row>
    <row r="189" spans="1:67">
      <c r="A189" t="s">
        <v>345</v>
      </c>
      <c r="B189" s="20" t="str">
        <f>VLOOKUP(Data[[#This Row],[DEVELOPMENT]],Development_Data_Book[[DEVELOPMENT]:[BOROUGH]],MATCH("borough",Development_Data_Book[[#Headers],[DEVELOPMENT]:[BOROUGH]],0),FALSE)</f>
        <v>BRONX</v>
      </c>
      <c r="C189" s="20" t="e">
        <f>VLOOKUP(Data[[#This Row],[DEVELOPMENT]],'[1]Cheat-Sheet'!$D$2:$Q$341,2,FALSE)</f>
        <v>#N/A</v>
      </c>
      <c r="D18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89" s="20">
        <f>VLOOKUP(Data[[#This Row],[DEVELOPMENT]],Development_Data_Book[[DEVELOPMENT]:[BOROUGH]],21,FALSE)</f>
        <v>1</v>
      </c>
      <c r="F189" s="20">
        <f>VLOOKUP(Data[[#This Row],[DEVELOPMENT]],Development_Data_Book[[DEVELOPMENT]:[BOROUGH]],23,FALSE)</f>
        <v>1</v>
      </c>
      <c r="G189" s="20">
        <f>VLOOKUP(Data[[#This Row],[DEVELOPMENT]],Development_Data_Book[[DEVELOPMENT]:[BOROUGH]],12,FALSE)</f>
        <v>177</v>
      </c>
      <c r="J189">
        <f>IFERROR(VLOOKUP(Data[[#This Row],[DEVELOPMENT]],IntCompactors_MRST[],4,FALSE),0)</f>
        <v>1</v>
      </c>
      <c r="K189" s="20">
        <f>IFERROR(VLOOKUP(Data[[#This Row],[DEVELOPMENT]],ExtCompactors_MRST[],4,FALSE),0)</f>
        <v>0</v>
      </c>
      <c r="L189" s="27">
        <f>IF(Data[[#This Row],['# Interior Compactors MRST]]=0,"",VLOOKUP(Data[[#This Row],[DEVELOPMENT]],IntCompactors_MRST[],5,FALSE))</f>
        <v>30682</v>
      </c>
      <c r="M189" s="28" t="str">
        <f>IF(Data[[#This Row],['# Exterior Compactors MRST]]=0,"",VLOOKUP(Data[[#This Row],[DEVELOPMENT]],ExtCompactors_MRST[],5,FALSE))</f>
        <v/>
      </c>
      <c r="N189" s="20">
        <f>Data[[#This Row],['# Interior Compactors MRST]]</f>
        <v>1</v>
      </c>
      <c r="O189" s="20">
        <f>IF(Data[[#This Row],['# Bulk Crushers]]=0,1,0)</f>
        <v>1</v>
      </c>
      <c r="P189" s="20">
        <f>1</f>
        <v>1</v>
      </c>
      <c r="Q189" s="20">
        <f>1</f>
        <v>1</v>
      </c>
      <c r="R189" s="20">
        <f>1</f>
        <v>1</v>
      </c>
      <c r="S189" s="20">
        <f>1</f>
        <v>1</v>
      </c>
      <c r="T189" s="20">
        <f>IF(Data[[#This Row],[Sewershed]]="Newtown Creek",Data[[#This Row],[DUs]],0)</f>
        <v>0</v>
      </c>
      <c r="U18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8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8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89" s="82">
        <f>VLOOKUP(Data[[#This Row],[DEVELOPMENT]],Development_Data_Book[[DEVELOPMENT]:[BOROUGH]],3,FALSE)</f>
        <v>191</v>
      </c>
      <c r="Y189" s="20"/>
      <c r="Z189" s="20">
        <f>IFERROR(VLOOKUP(Data[[#This Row],[TDS]],ExtCompactors_PNA[[Development]:[0]],2,FALSE),0)</f>
        <v>0</v>
      </c>
      <c r="AA189" s="20">
        <f>IFERROR(VLOOKUP(Data[[#This Row],[TDS]],IntCompactors_PNA[[TDS]:[0]],2,FALSE),0)</f>
        <v>1</v>
      </c>
      <c r="AB189" s="20"/>
      <c r="AC189" s="20"/>
      <c r="AD189" s="20">
        <f>IFERROR(VLOOKUP(Data[[#This Row],[TDS]],ExtCompactors_PNA[[Development]:[0]],3,FALSE)+VLOOKUP(Data[[#This Row],[TDS]],ExtCompactors_PNA[[Development]:[0]],6,FALSE),0)</f>
        <v>0</v>
      </c>
      <c r="AE189" s="20">
        <f>IFERROR(VLOOKUP(Data[[#This Row],[TDS]],IntCompactors_PNA[[TDS]:[0]],3,FALSE)+VLOOKUP(Data[[#This Row],[TDS]],IntCompactors_PNA[[TDS]:[0]],6,FALSE),0)</f>
        <v>1</v>
      </c>
      <c r="AF189" s="20" t="e">
        <f>VLOOKUP(Data[[#This Row],[DEVELOPMENT]],[3]Developments!$A$2:$A$312,1,FALSE)</f>
        <v>#N/A</v>
      </c>
      <c r="AG189" s="20">
        <f>IFERROR(VLOOKUP(Data[[#This Row],[DEVELOPMENT]],Ops_Priorities_and_Data_Clean[[development]:[ifnoext_comment]],3,FALSE),"")</f>
        <v>0</v>
      </c>
      <c r="AH189" s="20">
        <f>IFERROR(VLOOKUP(Data[[#This Row],[DEVELOPMENT]],Ops_Priorities_and_Data_Clean[[development]:[ifnoext_comment]],4,FALSE),"")</f>
        <v>0</v>
      </c>
      <c r="AI189" s="20">
        <f>IFERROR(VLOOKUP(Data[[#This Row],[DEVELOPMENT]],Ops_Priorities_and_Data_Clean[[development]:[ifnoext_comment]],5,FALSE),"")</f>
        <v>0</v>
      </c>
      <c r="AJ189" s="20">
        <f>IFERROR(VLOOKUP(Data[[#This Row],[DEVELOPMENT]],Ops_Priorities_and_Data_Clean[[development]:[ifnoext_comment]],6,FALSE),"")</f>
        <v>0</v>
      </c>
      <c r="AK189" s="20">
        <f>IFERROR(VLOOKUP(Data[[#This Row],[DEVELOPMENT]],Ops_Priorities_and_Data_Clean[[development]:[ifnoext_comment]],7,FALSE),"")</f>
        <v>1</v>
      </c>
      <c r="AL189" s="20">
        <f>IFERROR(VLOOKUP(Data[[#This Row],[DEVELOPMENT]],Ops_Priorities_and_Data_Clean[[development]:[ifnoext_comment]],8,FALSE),"")</f>
        <v>1</v>
      </c>
      <c r="AM189" s="20">
        <f>IFERROR(VLOOKUP(Data[[#This Row],[DEVELOPMENT]],Ops_Priorities_and_Data_Clean[[development]:[ifnoext_comment]],9,FALSE),"")</f>
        <v>1</v>
      </c>
      <c r="AN189" s="20">
        <f>IFERROR(VLOOKUP(Data[[#This Row],[DEVELOPMENT]],Ops_Priorities_and_Data_Clean[[development]:[ifnoext_comment]],10,FALSE),"")</f>
        <v>0</v>
      </c>
      <c r="AO189" s="20">
        <f>IFERROR(VLOOKUP(Data[[#This Row],[DEVELOPMENT]],Ops_Priorities_and_Data_Clean[[development]:[ifnoext_comment]],11,FALSE),"")</f>
        <v>0</v>
      </c>
      <c r="AP189" s="20">
        <f>IFERROR(VLOOKUP(Data[[#This Row],[DEVELOPMENT]],Ops_Priorities_and_Data_Clean[[development]:[ifnoext_comment]],12,FALSE),"")</f>
        <v>0</v>
      </c>
      <c r="AQ189" s="20">
        <f>VLOOKUP(Data[[#This Row],[DEVELOPMENT]],Ops_Priorities_and_Data_Clean[[development]:[ifnoext_comment]],14,FALSE)</f>
        <v>1</v>
      </c>
      <c r="AR189" s="20">
        <f>VLOOKUP(Data[[#This Row],[DEVELOPMENT]],Ops_Priorities_and_Data_Clean[[development]:[ifnoext_comment]],15,FALSE)</f>
        <v>0</v>
      </c>
      <c r="AS189" s="20" t="str">
        <f>VLOOKUP(Data[[#This Row],[DEVELOPMENT]],Ops_Priorities_and_Data_Clean[[development]:[ifnoext_comment]],16,FALSE)</f>
        <v>NULL</v>
      </c>
      <c r="AT189" s="20" t="str">
        <f>VLOOKUP(Data[[#This Row],[DEVELOPMENT]],Ops_Priorities_and_Data_Clean[[development]:[ifnoext_comment]],17,FALSE)</f>
        <v>NULL</v>
      </c>
      <c r="AU189" s="20" t="str">
        <f>VLOOKUP(Data[[#This Row],[DEVELOPMENT]],Ops_Priorities_and_Data_Clean[[development]:[ifnoext_comment]],18,FALSE)</f>
        <v>NULL</v>
      </c>
      <c r="AV189" s="20" t="str">
        <f>VLOOKUP(Data[[#This Row],[DEVELOPMENT]],Ops_Priorities_and_Data_Clean[[development]:[ifnoext_comment]],19,FALSE)</f>
        <v>NULL</v>
      </c>
      <c r="AW189" s="20" t="str">
        <f>VLOOKUP(Data[[#This Row],[DEVELOPMENT]],Ops_Priorities_and_Data_Clean[[development]:[ifnoext_comment]],20,FALSE)</f>
        <v>NULL</v>
      </c>
      <c r="AX189" s="104" t="s">
        <v>2237</v>
      </c>
      <c r="AY189" s="104" t="s">
        <v>2661</v>
      </c>
      <c r="AZ189" s="20" t="str">
        <f>VLOOKUP(Data[[#This Row],[DEVELOPMENT]],Development_Data_Book[[DEVELOPMENT]:[PRIVATE MANAGEMENT]],8,FALSE)</f>
        <v>FEDERAL</v>
      </c>
      <c r="BA189" s="104" t="s">
        <v>2586</v>
      </c>
      <c r="BB189" s="20">
        <f>VLOOKUP(Data[[#This Row],[DEVELOPMENT]],Development_Data_Book[[DEVELOPMENT]:[PRIVATE MANAGEMENT]],22,FALSE)</f>
        <v>0</v>
      </c>
      <c r="BC189" s="20">
        <f>Data[[#This Row],[Non-Dwelling Buildings]]+Data[[#This Row],[Dwelling Buildings]]</f>
        <v>1</v>
      </c>
      <c r="BD189" s="20">
        <f>VLOOKUP(Data[[#This Row],[DEVELOPMENT]],Development_Data_Book[[DEVELOPMENT]:[PRIVATE MANAGEMENT]],26,FALSE)</f>
        <v>1.1299999999999999</v>
      </c>
      <c r="BE189" s="106">
        <v>150800</v>
      </c>
      <c r="BF189" s="20">
        <f>VLOOKUP(Data[[#This Row],[DEVELOPMENT]],Development_Data_Book[[DEVELOPMENT]:[PRIVATE MANAGEMENT]],18,FALSE)</f>
        <v>192</v>
      </c>
      <c r="BG189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89" s="104" t="s">
        <v>2595</v>
      </c>
      <c r="BI189" t="s">
        <v>184</v>
      </c>
      <c r="BJ189" s="20">
        <f>VLOOKUP(Data[[#This Row],[DEVELOPMENT]],Development_Data_Book[[DEVELOPMENT]:[PRIVATE MANAGEMENT]],41,FALSE)</f>
        <v>10</v>
      </c>
      <c r="BK189" s="20">
        <f>VLOOKUP(Data[[#This Row],[DEVELOPMENT]],Development_Data_Book[[DEVELOPMENT]:[PRIVATE MANAGEMENT]],42,FALSE)</f>
        <v>14</v>
      </c>
      <c r="BL189" s="20">
        <f>VLOOKUP(Data[[#This Row],[DEVELOPMENT]],Development_Data_Book[[DEVELOPMENT]:[PRIVATE MANAGEMENT]],43,FALSE)</f>
        <v>34</v>
      </c>
      <c r="BM189" s="20">
        <f>VLOOKUP(Data[[#This Row],[DEVELOPMENT]],Development_Data_Book[[DEVELOPMENT]:[PRIVATE MANAGEMENT]],44,FALSE)</f>
        <v>82</v>
      </c>
      <c r="BN189" s="20">
        <f>VLOOKUP(Data[[#This Row],[DEVELOPMENT]],Development_Data_Book[[DEVELOPMENT]:[PRIVATE MANAGEMENT]],45,FALSE)</f>
        <v>13</v>
      </c>
      <c r="BO189" s="20">
        <f>VLOOKUP(Data[[#This Row],[DEVELOPMENT]],Development_Data_Book[[DEVELOPMENT]:[PRIVATE MANAGEMENT]],24,FALSE)</f>
        <v>15</v>
      </c>
    </row>
    <row r="190" spans="1:67">
      <c r="A190" t="s">
        <v>267</v>
      </c>
      <c r="B190" s="20" t="str">
        <f>VLOOKUP(Data[[#This Row],[DEVELOPMENT]],Development_Data_Book[[DEVELOPMENT]:[BOROUGH]],MATCH("borough",Development_Data_Book[[#Headers],[DEVELOPMENT]:[BOROUGH]],0),FALSE)</f>
        <v>BRONX</v>
      </c>
      <c r="C190" s="20" t="e">
        <f>VLOOKUP(Data[[#This Row],[DEVELOPMENT]],'[1]Cheat-Sheet'!$D$2:$Q$341,2,FALSE)</f>
        <v>#N/A</v>
      </c>
      <c r="D19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90" s="20">
        <f>VLOOKUP(Data[[#This Row],[DEVELOPMENT]],Development_Data_Book[[DEVELOPMENT]:[BOROUGH]],21,FALSE)</f>
        <v>9</v>
      </c>
      <c r="F190" s="20">
        <f>VLOOKUP(Data[[#This Row],[DEVELOPMENT]],Development_Data_Book[[DEVELOPMENT]:[BOROUGH]],23,FALSE)</f>
        <v>9</v>
      </c>
      <c r="G190" s="20">
        <f>VLOOKUP(Data[[#This Row],[DEVELOPMENT]],Development_Data_Book[[DEVELOPMENT]:[BOROUGH]],12,FALSE)</f>
        <v>1251</v>
      </c>
      <c r="J190">
        <f>IFERROR(VLOOKUP(Data[[#This Row],[DEVELOPMENT]],IntCompactors_MRST[],4,FALSE),0)</f>
        <v>12</v>
      </c>
      <c r="K190" s="20">
        <f>IFERROR(VLOOKUP(Data[[#This Row],[DEVELOPMENT]],ExtCompactors_MRST[],4,FALSE),0)</f>
        <v>3</v>
      </c>
      <c r="L190" s="27">
        <f>IF(Data[[#This Row],['# Interior Compactors MRST]]=0,"",VLOOKUP(Data[[#This Row],[DEVELOPMENT]],IntCompactors_MRST[],5,FALSE))</f>
        <v>37987</v>
      </c>
      <c r="M190" s="28">
        <f>IF(Data[[#This Row],['# Exterior Compactors MRST]]=0,"",VLOOKUP(Data[[#This Row],[DEVELOPMENT]],ExtCompactors_MRST[],5,FALSE))</f>
        <v>40909</v>
      </c>
      <c r="N190" s="20">
        <f>Data[[#This Row],['# Interior Compactors MRST]]</f>
        <v>12</v>
      </c>
      <c r="O190" s="20">
        <f>IF(Data[[#This Row],['# Bulk Crushers]]=0,1,0)</f>
        <v>1</v>
      </c>
      <c r="P190" s="20">
        <f>1</f>
        <v>1</v>
      </c>
      <c r="Q190" s="20">
        <f>1</f>
        <v>1</v>
      </c>
      <c r="R190" s="20">
        <f>1</f>
        <v>1</v>
      </c>
      <c r="S190" s="20">
        <f>1</f>
        <v>1</v>
      </c>
      <c r="T190" s="20">
        <f>IF(Data[[#This Row],[Sewershed]]="Newtown Creek",Data[[#This Row],[DUs]],0)</f>
        <v>0</v>
      </c>
      <c r="U19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9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9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90" s="82">
        <f>VLOOKUP(Data[[#This Row],[DEVELOPMENT]],Development_Data_Book[[DEVELOPMENT]:[BOROUGH]],3,FALSE)</f>
        <v>84</v>
      </c>
      <c r="Y190" s="20"/>
      <c r="Z190" s="20">
        <f>IFERROR(VLOOKUP(Data[[#This Row],[TDS]],ExtCompactors_PNA[[Development]:[0]],2,FALSE),0)</f>
        <v>3</v>
      </c>
      <c r="AA190" s="20">
        <f>IFERROR(VLOOKUP(Data[[#This Row],[TDS]],IntCompactors_PNA[[TDS]:[0]],2,FALSE),0)</f>
        <v>9</v>
      </c>
      <c r="AB190" s="20"/>
      <c r="AC190" s="20"/>
      <c r="AD190" s="20">
        <f>IFERROR(VLOOKUP(Data[[#This Row],[TDS]],ExtCompactors_PNA[[Development]:[0]],3,FALSE)+VLOOKUP(Data[[#This Row],[TDS]],ExtCompactors_PNA[[Development]:[0]],6,FALSE),0)</f>
        <v>3</v>
      </c>
      <c r="AE190" s="20">
        <f>IFERROR(VLOOKUP(Data[[#This Row],[TDS]],IntCompactors_PNA[[TDS]:[0]],3,FALSE)+VLOOKUP(Data[[#This Row],[TDS]],IntCompactors_PNA[[TDS]:[0]],6,FALSE),0)</f>
        <v>9</v>
      </c>
      <c r="AF190" s="20" t="e">
        <f>VLOOKUP(Data[[#This Row],[DEVELOPMENT]],[3]Developments!$A$2:$A$312,1,FALSE)</f>
        <v>#N/A</v>
      </c>
      <c r="AG190" s="20">
        <f>IFERROR(VLOOKUP(Data[[#This Row],[DEVELOPMENT]],Ops_Priorities_and_Data_Clean[[development]:[ifnoext_comment]],3,FALSE),"")</f>
        <v>2</v>
      </c>
      <c r="AH190" s="20">
        <f>IFERROR(VLOOKUP(Data[[#This Row],[DEVELOPMENT]],Ops_Priorities_and_Data_Clean[[development]:[ifnoext_comment]],4,FALSE),"")</f>
        <v>2</v>
      </c>
      <c r="AI190" s="20">
        <f>IFERROR(VLOOKUP(Data[[#This Row],[DEVELOPMENT]],Ops_Priorities_and_Data_Clean[[development]:[ifnoext_comment]],5,FALSE),"")</f>
        <v>1</v>
      </c>
      <c r="AJ190" s="20">
        <f>IFERROR(VLOOKUP(Data[[#This Row],[DEVELOPMENT]],Ops_Priorities_and_Data_Clean[[development]:[ifnoext_comment]],6,FALSE),"")</f>
        <v>0</v>
      </c>
      <c r="AK190" s="20">
        <f>IFERROR(VLOOKUP(Data[[#This Row],[DEVELOPMENT]],Ops_Priorities_and_Data_Clean[[development]:[ifnoext_comment]],7,FALSE),"")</f>
        <v>0</v>
      </c>
      <c r="AL190" s="20">
        <f>IFERROR(VLOOKUP(Data[[#This Row],[DEVELOPMENT]],Ops_Priorities_and_Data_Clean[[development]:[ifnoext_comment]],8,FALSE),"")</f>
        <v>1</v>
      </c>
      <c r="AM190" s="20">
        <f>IFERROR(VLOOKUP(Data[[#This Row],[DEVELOPMENT]],Ops_Priorities_and_Data_Clean[[development]:[ifnoext_comment]],9,FALSE),"")</f>
        <v>0</v>
      </c>
      <c r="AN190" s="20">
        <f>IFERROR(VLOOKUP(Data[[#This Row],[DEVELOPMENT]],Ops_Priorities_and_Data_Clean[[development]:[ifnoext_comment]],10,FALSE),"")</f>
        <v>10</v>
      </c>
      <c r="AO190" s="20">
        <f>IFERROR(VLOOKUP(Data[[#This Row],[DEVELOPMENT]],Ops_Priorities_and_Data_Clean[[development]:[ifnoext_comment]],11,FALSE),"")</f>
        <v>3</v>
      </c>
      <c r="AP190" s="20">
        <f>IFERROR(VLOOKUP(Data[[#This Row],[DEVELOPMENT]],Ops_Priorities_and_Data_Clean[[development]:[ifnoext_comment]],12,FALSE),"")</f>
        <v>0</v>
      </c>
      <c r="AQ190" s="20">
        <f>VLOOKUP(Data[[#This Row],[DEVELOPMENT]],Ops_Priorities_and_Data_Clean[[development]:[ifnoext_comment]],14,FALSE)</f>
        <v>0</v>
      </c>
      <c r="AR190" s="20">
        <f>VLOOKUP(Data[[#This Row],[DEVELOPMENT]],Ops_Priorities_and_Data_Clean[[development]:[ifnoext_comment]],15,FALSE)</f>
        <v>0</v>
      </c>
      <c r="AS190" s="20" t="str">
        <f>VLOOKUP(Data[[#This Row],[DEVELOPMENT]],Ops_Priorities_and_Data_Clean[[development]:[ifnoext_comment]],16,FALSE)</f>
        <v>NULL</v>
      </c>
      <c r="AT190" s="20" t="str">
        <f>VLOOKUP(Data[[#This Row],[DEVELOPMENT]],Ops_Priorities_and_Data_Clean[[development]:[ifnoext_comment]],17,FALSE)</f>
        <v>NULL</v>
      </c>
      <c r="AU190" s="20" t="str">
        <f>VLOOKUP(Data[[#This Row],[DEVELOPMENT]],Ops_Priorities_and_Data_Clean[[development]:[ifnoext_comment]],18,FALSE)</f>
        <v>NULL</v>
      </c>
      <c r="AV190" s="20" t="str">
        <f>VLOOKUP(Data[[#This Row],[DEVELOPMENT]],Ops_Priorities_and_Data_Clean[[development]:[ifnoext_comment]],19,FALSE)</f>
        <v>NULL</v>
      </c>
      <c r="AW190" s="20" t="str">
        <f>VLOOKUP(Data[[#This Row],[DEVELOPMENT]],Ops_Priorities_and_Data_Clean[[development]:[ifnoext_comment]],20,FALSE)</f>
        <v xml:space="preserve">There's 2 here. You can see a lot of garbage on the floor in the aerial. One of their compactors is currently (9-30-2019) down and its leaking oil </v>
      </c>
      <c r="AX190" s="104" t="s">
        <v>2602</v>
      </c>
      <c r="AY190" s="104" t="s">
        <v>346</v>
      </c>
      <c r="AZ190" s="20" t="str">
        <f>VLOOKUP(Data[[#This Row],[DEVELOPMENT]],Development_Data_Book[[DEVELOPMENT]:[PRIVATE MANAGEMENT]],8,FALSE)</f>
        <v>FEDERAL</v>
      </c>
      <c r="BA190" s="104" t="s">
        <v>2586</v>
      </c>
      <c r="BB190" s="20">
        <f>VLOOKUP(Data[[#This Row],[DEVELOPMENT]],Development_Data_Book[[DEVELOPMENT]:[PRIVATE MANAGEMENT]],22,FALSE)</f>
        <v>0</v>
      </c>
      <c r="BC190" s="20">
        <f>Data[[#This Row],[Non-Dwelling Buildings]]+Data[[#This Row],[Dwelling Buildings]]</f>
        <v>9</v>
      </c>
      <c r="BD190" s="20">
        <f>VLOOKUP(Data[[#This Row],[DEVELOPMENT]],Development_Data_Book[[DEVELOPMENT]:[PRIVATE MANAGEMENT]],26,FALSE)</f>
        <v>11.65</v>
      </c>
      <c r="BE190" s="106">
        <v>1158740</v>
      </c>
      <c r="BF190" s="20">
        <f>VLOOKUP(Data[[#This Row],[DEVELOPMENT]],Development_Data_Book[[DEVELOPMENT]:[PRIVATE MANAGEMENT]],18,FALSE)</f>
        <v>2814</v>
      </c>
      <c r="BG19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90" s="104" t="s">
        <v>2610</v>
      </c>
      <c r="BI190" t="s">
        <v>184</v>
      </c>
      <c r="BJ190" s="20">
        <f>VLOOKUP(Data[[#This Row],[DEVELOPMENT]],Development_Data_Book[[DEVELOPMENT]:[PRIVATE MANAGEMENT]],41,FALSE)</f>
        <v>1</v>
      </c>
      <c r="BK190" s="20">
        <f>VLOOKUP(Data[[#This Row],[DEVELOPMENT]],Development_Data_Book[[DEVELOPMENT]:[PRIVATE MANAGEMENT]],42,FALSE)</f>
        <v>15</v>
      </c>
      <c r="BL190" s="20">
        <f>VLOOKUP(Data[[#This Row],[DEVELOPMENT]],Development_Data_Book[[DEVELOPMENT]:[PRIVATE MANAGEMENT]],43,FALSE)</f>
        <v>29</v>
      </c>
      <c r="BM190" s="20">
        <f>VLOOKUP(Data[[#This Row],[DEVELOPMENT]],Development_Data_Book[[DEVELOPMENT]:[PRIVATE MANAGEMENT]],44,FALSE)</f>
        <v>84</v>
      </c>
      <c r="BN190" s="20">
        <f>VLOOKUP(Data[[#This Row],[DEVELOPMENT]],Development_Data_Book[[DEVELOPMENT]:[PRIVATE MANAGEMENT]],45,FALSE)</f>
        <v>8</v>
      </c>
      <c r="BO190" s="20">
        <f>VLOOKUP(Data[[#This Row],[DEVELOPMENT]],Development_Data_Book[[DEVELOPMENT]:[PRIVATE MANAGEMENT]],24,FALSE)</f>
        <v>16</v>
      </c>
    </row>
    <row r="191" spans="1:67">
      <c r="A191" t="s">
        <v>277</v>
      </c>
      <c r="B191" s="20" t="str">
        <f>VLOOKUP(Data[[#This Row],[DEVELOPMENT]],Development_Data_Book[[DEVELOPMENT]:[BOROUGH]],MATCH("borough",Development_Data_Book[[#Headers],[DEVELOPMENT]:[BOROUGH]],0),FALSE)</f>
        <v>BRONX</v>
      </c>
      <c r="C191" s="20" t="e">
        <f>VLOOKUP(Data[[#This Row],[DEVELOPMENT]],'[1]Cheat-Sheet'!$D$2:$Q$341,2,FALSE)</f>
        <v>#N/A</v>
      </c>
      <c r="D19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91" s="20">
        <f>VLOOKUP(Data[[#This Row],[DEVELOPMENT]],Development_Data_Book[[DEVELOPMENT]:[BOROUGH]],21,FALSE)</f>
        <v>1</v>
      </c>
      <c r="F191" s="20">
        <f>VLOOKUP(Data[[#This Row],[DEVELOPMENT]],Development_Data_Book[[DEVELOPMENT]:[BOROUGH]],23,FALSE)</f>
        <v>1</v>
      </c>
      <c r="G191" s="20">
        <f>VLOOKUP(Data[[#This Row],[DEVELOPMENT]],Development_Data_Book[[DEVELOPMENT]:[BOROUGH]],12,FALSE)</f>
        <v>125</v>
      </c>
      <c r="J191">
        <f>IFERROR(VLOOKUP(Data[[#This Row],[DEVELOPMENT]],IntCompactors_MRST[],4,FALSE),0)</f>
        <v>1</v>
      </c>
      <c r="K191" s="20">
        <f>IFERROR(VLOOKUP(Data[[#This Row],[DEVELOPMENT]],ExtCompactors_MRST[],4,FALSE),0)</f>
        <v>0</v>
      </c>
      <c r="L191" s="27">
        <f>IF(Data[[#This Row],['# Interior Compactors MRST]]=0,"",VLOOKUP(Data[[#This Row],[DEVELOPMENT]],IntCompactors_MRST[],5,FALSE))</f>
        <v>37987</v>
      </c>
      <c r="M191" s="28" t="str">
        <f>IF(Data[[#This Row],['# Exterior Compactors MRST]]=0,"",VLOOKUP(Data[[#This Row],[DEVELOPMENT]],ExtCompactors_MRST[],5,FALSE))</f>
        <v/>
      </c>
      <c r="N191" s="20">
        <f>Data[[#This Row],['# Interior Compactors MRST]]</f>
        <v>1</v>
      </c>
      <c r="O191" s="20">
        <f>IF(Data[[#This Row],['# Bulk Crushers]]=0,1,0)</f>
        <v>1</v>
      </c>
      <c r="P191" s="20">
        <f>1</f>
        <v>1</v>
      </c>
      <c r="Q191" s="20">
        <f>1</f>
        <v>1</v>
      </c>
      <c r="R191" s="20">
        <f>1</f>
        <v>1</v>
      </c>
      <c r="S191" s="20">
        <f>1</f>
        <v>1</v>
      </c>
      <c r="T191" s="20">
        <f>IF(Data[[#This Row],[Sewershed]]="Newtown Creek",Data[[#This Row],[DUs]],0)</f>
        <v>0</v>
      </c>
      <c r="U19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9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9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91" s="82">
        <f>VLOOKUP(Data[[#This Row],[DEVELOPMENT]],Development_Data_Book[[DEVELOPMENT]:[BOROUGH]],3,FALSE)</f>
        <v>132</v>
      </c>
      <c r="Y191" s="20"/>
      <c r="Z191" s="20">
        <f>IFERROR(VLOOKUP(Data[[#This Row],[TDS]],ExtCompactors_PNA[[Development]:[0]],2,FALSE),0)</f>
        <v>0</v>
      </c>
      <c r="AA191" s="20">
        <f>IFERROR(VLOOKUP(Data[[#This Row],[TDS]],IntCompactors_PNA[[TDS]:[0]],2,FALSE),0)</f>
        <v>1</v>
      </c>
      <c r="AB191" s="20"/>
      <c r="AC191" s="20"/>
      <c r="AD191" s="20">
        <f>IFERROR(VLOOKUP(Data[[#This Row],[TDS]],ExtCompactors_PNA[[Development]:[0]],3,FALSE)+VLOOKUP(Data[[#This Row],[TDS]],ExtCompactors_PNA[[Development]:[0]],6,FALSE),0)</f>
        <v>0</v>
      </c>
      <c r="AE191" s="20">
        <f>IFERROR(VLOOKUP(Data[[#This Row],[TDS]],IntCompactors_PNA[[TDS]:[0]],3,FALSE)+VLOOKUP(Data[[#This Row],[TDS]],IntCompactors_PNA[[TDS]:[0]],6,FALSE),0)</f>
        <v>1</v>
      </c>
      <c r="AF191" s="20" t="e">
        <f>VLOOKUP(Data[[#This Row],[DEVELOPMENT]],[3]Developments!$A$2:$A$312,1,FALSE)</f>
        <v>#N/A</v>
      </c>
      <c r="AG191" s="20">
        <f>IFERROR(VLOOKUP(Data[[#This Row],[DEVELOPMENT]],Ops_Priorities_and_Data_Clean[[development]:[ifnoext_comment]],3,FALSE),"")</f>
        <v>1</v>
      </c>
      <c r="AH191" s="20">
        <f>IFERROR(VLOOKUP(Data[[#This Row],[DEVELOPMENT]],Ops_Priorities_and_Data_Clean[[development]:[ifnoext_comment]],4,FALSE),"")</f>
        <v>3</v>
      </c>
      <c r="AI191" s="20">
        <f>IFERROR(VLOOKUP(Data[[#This Row],[DEVELOPMENT]],Ops_Priorities_and_Data_Clean[[development]:[ifnoext_comment]],5,FALSE),"")</f>
        <v>1</v>
      </c>
      <c r="AJ191" s="20">
        <f>IFERROR(VLOOKUP(Data[[#This Row],[DEVELOPMENT]],Ops_Priorities_and_Data_Clean[[development]:[ifnoext_comment]],6,FALSE),"")</f>
        <v>0</v>
      </c>
      <c r="AK191" s="20">
        <f>IFERROR(VLOOKUP(Data[[#This Row],[DEVELOPMENT]],Ops_Priorities_and_Data_Clean[[development]:[ifnoext_comment]],7,FALSE),"")</f>
        <v>0</v>
      </c>
      <c r="AL191" s="20">
        <f>IFERROR(VLOOKUP(Data[[#This Row],[DEVELOPMENT]],Ops_Priorities_and_Data_Clean[[development]:[ifnoext_comment]],8,FALSE),"")</f>
        <v>1</v>
      </c>
      <c r="AM191" s="20">
        <f>IFERROR(VLOOKUP(Data[[#This Row],[DEVELOPMENT]],Ops_Priorities_and_Data_Clean[[development]:[ifnoext_comment]],9,FALSE),"")</f>
        <v>0</v>
      </c>
      <c r="AN191" s="20">
        <f>IFERROR(VLOOKUP(Data[[#This Row],[DEVELOPMENT]],Ops_Priorities_and_Data_Clean[[development]:[ifnoext_comment]],10,FALSE),"")</f>
        <v>2</v>
      </c>
      <c r="AO191" s="20">
        <f>IFERROR(VLOOKUP(Data[[#This Row],[DEVELOPMENT]],Ops_Priorities_and_Data_Clean[[development]:[ifnoext_comment]],11,FALSE),"")</f>
        <v>0</v>
      </c>
      <c r="AP191" s="20">
        <f>IFERROR(VLOOKUP(Data[[#This Row],[DEVELOPMENT]],Ops_Priorities_and_Data_Clean[[development]:[ifnoext_comment]],12,FALSE),"")</f>
        <v>3</v>
      </c>
      <c r="AQ191" s="20">
        <f>VLOOKUP(Data[[#This Row],[DEVELOPMENT]],Ops_Priorities_and_Data_Clean[[development]:[ifnoext_comment]],14,FALSE)</f>
        <v>0</v>
      </c>
      <c r="AR191" s="20">
        <f>VLOOKUP(Data[[#This Row],[DEVELOPMENT]],Ops_Priorities_and_Data_Clean[[development]:[ifnoext_comment]],15,FALSE)</f>
        <v>1</v>
      </c>
      <c r="AS191" s="20" t="str">
        <f>VLOOKUP(Data[[#This Row],[DEVELOPMENT]],Ops_Priorities_and_Data_Clean[[development]:[ifnoext_comment]],16,FALSE)</f>
        <v>Mill brook</v>
      </c>
      <c r="AT191" s="20" t="str">
        <f>VLOOKUP(Data[[#This Row],[DEVELOPMENT]],Ops_Priorities_and_Data_Clean[[development]:[ifnoext_comment]],17,FALSE)</f>
        <v>NULL</v>
      </c>
      <c r="AU191" s="20" t="str">
        <f>VLOOKUP(Data[[#This Row],[DEVELOPMENT]],Ops_Priorities_and_Data_Clean[[development]:[ifnoext_comment]],18,FALSE)</f>
        <v>NULL</v>
      </c>
      <c r="AV191" s="20" t="str">
        <f>VLOOKUP(Data[[#This Row],[DEVELOPMENT]],Ops_Priorities_and_Data_Clean[[development]:[ifnoext_comment]],19,FALSE)</f>
        <v>NULL</v>
      </c>
      <c r="AW191" s="20" t="str">
        <f>VLOOKUP(Data[[#This Row],[DEVELOPMENT]],Ops_Priorities_and_Data_Clean[[development]:[ifnoext_comment]],20,FALSE)</f>
        <v xml:space="preserve">There's 1 here. </v>
      </c>
      <c r="AX191" s="104" t="s">
        <v>2602</v>
      </c>
      <c r="AY191" s="104" t="s">
        <v>346</v>
      </c>
      <c r="AZ191" s="20" t="str">
        <f>VLOOKUP(Data[[#This Row],[DEVELOPMENT]],Development_Data_Book[[DEVELOPMENT]:[PRIVATE MANAGEMENT]],8,FALSE)</f>
        <v>FEDERAL</v>
      </c>
      <c r="BA191" s="104" t="s">
        <v>2586</v>
      </c>
      <c r="BB191" s="20">
        <f>VLOOKUP(Data[[#This Row],[DEVELOPMENT]],Development_Data_Book[[DEVELOPMENT]:[PRIVATE MANAGEMENT]],22,FALSE)</f>
        <v>0</v>
      </c>
      <c r="BC191" s="20">
        <f>Data[[#This Row],[Non-Dwelling Buildings]]+Data[[#This Row],[Dwelling Buildings]]</f>
        <v>1</v>
      </c>
      <c r="BD191" s="20">
        <f>VLOOKUP(Data[[#This Row],[DEVELOPMENT]],Development_Data_Book[[DEVELOPMENT]:[PRIVATE MANAGEMENT]],26,FALSE)</f>
        <v>0.52</v>
      </c>
      <c r="BE191" s="106">
        <v>129600</v>
      </c>
      <c r="BF191" s="20">
        <f>VLOOKUP(Data[[#This Row],[DEVELOPMENT]],Development_Data_Book[[DEVELOPMENT]:[PRIVATE MANAGEMENT]],18,FALSE)</f>
        <v>297</v>
      </c>
      <c r="BG19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91" s="104" t="s">
        <v>2610</v>
      </c>
      <c r="BI191" t="s">
        <v>184</v>
      </c>
      <c r="BJ191" s="20">
        <f>VLOOKUP(Data[[#This Row],[DEVELOPMENT]],Development_Data_Book[[DEVELOPMENT]:[PRIVATE MANAGEMENT]],41,FALSE)</f>
        <v>1</v>
      </c>
      <c r="BK191" s="20">
        <f>VLOOKUP(Data[[#This Row],[DEVELOPMENT]],Development_Data_Book[[DEVELOPMENT]:[PRIVATE MANAGEMENT]],42,FALSE)</f>
        <v>15</v>
      </c>
      <c r="BL191" s="20">
        <f>VLOOKUP(Data[[#This Row],[DEVELOPMENT]],Development_Data_Book[[DEVELOPMENT]:[PRIVATE MANAGEMENT]],43,FALSE)</f>
        <v>29</v>
      </c>
      <c r="BM191" s="20">
        <f>VLOOKUP(Data[[#This Row],[DEVELOPMENT]],Development_Data_Book[[DEVELOPMENT]:[PRIVATE MANAGEMENT]],44,FALSE)</f>
        <v>84</v>
      </c>
      <c r="BN191" s="20">
        <f>VLOOKUP(Data[[#This Row],[DEVELOPMENT]],Development_Data_Book[[DEVELOPMENT]:[PRIVATE MANAGEMENT]],45,FALSE)</f>
        <v>8</v>
      </c>
      <c r="BO191" s="20">
        <f>VLOOKUP(Data[[#This Row],[DEVELOPMENT]],Development_Data_Book[[DEVELOPMENT]:[PRIVATE MANAGEMENT]],24,FALSE)</f>
        <v>16</v>
      </c>
    </row>
    <row r="192" spans="1:67">
      <c r="A192" t="s">
        <v>223</v>
      </c>
      <c r="B192" s="20" t="str">
        <f>VLOOKUP(Data[[#This Row],[DEVELOPMENT]],Development_Data_Book[[DEVELOPMENT]:[BOROUGH]],MATCH("borough",Development_Data_Book[[#Headers],[DEVELOPMENT]:[BOROUGH]],0),FALSE)</f>
        <v>BRONX</v>
      </c>
      <c r="C192" s="20" t="e">
        <f>VLOOKUP(Data[[#This Row],[DEVELOPMENT]],'[1]Cheat-Sheet'!$D$2:$Q$341,2,FALSE)</f>
        <v>#N/A</v>
      </c>
      <c r="D19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92" s="20">
        <f>VLOOKUP(Data[[#This Row],[DEVELOPMENT]],Development_Data_Book[[DEVELOPMENT]:[BOROUGH]],21,FALSE)</f>
        <v>10</v>
      </c>
      <c r="F192" s="20">
        <f>VLOOKUP(Data[[#This Row],[DEVELOPMENT]],Development_Data_Book[[DEVELOPMENT]:[BOROUGH]],23,FALSE)</f>
        <v>12</v>
      </c>
      <c r="G192" s="20">
        <f>VLOOKUP(Data[[#This Row],[DEVELOPMENT]],Development_Data_Book[[DEVELOPMENT]:[BOROUGH]],12,FALSE)</f>
        <v>1732</v>
      </c>
      <c r="J192">
        <f>IFERROR(VLOOKUP(Data[[#This Row],[DEVELOPMENT]],IntCompactors_MRST[],4,FALSE),0)</f>
        <v>10</v>
      </c>
      <c r="K192" s="20">
        <f>IFERROR(VLOOKUP(Data[[#This Row],[DEVELOPMENT]],ExtCompactors_MRST[],4,FALSE),0)</f>
        <v>4</v>
      </c>
      <c r="L192" s="27">
        <f>IF(Data[[#This Row],['# Interior Compactors MRST]]=0,"",VLOOKUP(Data[[#This Row],[DEVELOPMENT]],IntCompactors_MRST[],5,FALSE))</f>
        <v>37257</v>
      </c>
      <c r="M192" s="28">
        <f>IF(Data[[#This Row],['# Exterior Compactors MRST]]=0,"",VLOOKUP(Data[[#This Row],[DEVELOPMENT]],ExtCompactors_MRST[],5,FALSE))</f>
        <v>37845</v>
      </c>
      <c r="N192" s="20">
        <f>Data[[#This Row],['# Interior Compactors MRST]]</f>
        <v>10</v>
      </c>
      <c r="O192" s="20">
        <f>IF(Data[[#This Row],['# Bulk Crushers]]=0,1,0)</f>
        <v>1</v>
      </c>
      <c r="P192" s="20">
        <f>1</f>
        <v>1</v>
      </c>
      <c r="Q192" s="20">
        <f>1</f>
        <v>1</v>
      </c>
      <c r="R192" s="20">
        <f>1</f>
        <v>1</v>
      </c>
      <c r="S192" s="20">
        <f>1</f>
        <v>1</v>
      </c>
      <c r="T192" s="20">
        <f>IF(Data[[#This Row],[Sewershed]]="Newtown Creek",Data[[#This Row],[DUs]],0)</f>
        <v>0</v>
      </c>
      <c r="U19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9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9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92" s="82">
        <f>VLOOKUP(Data[[#This Row],[DEVELOPMENT]],Development_Data_Book[[DEVELOPMENT]:[BOROUGH]],3,FALSE)</f>
        <v>145</v>
      </c>
      <c r="Y192" s="20"/>
      <c r="Z192" s="20">
        <f>IFERROR(VLOOKUP(Data[[#This Row],[TDS]],ExtCompactors_PNA[[Development]:[0]],2,FALSE),0)</f>
        <v>4</v>
      </c>
      <c r="AA192" s="20">
        <f>IFERROR(VLOOKUP(Data[[#This Row],[TDS]],IntCompactors_PNA[[TDS]:[0]],2,FALSE),0)</f>
        <v>20</v>
      </c>
      <c r="AB192" s="20"/>
      <c r="AC192" s="20"/>
      <c r="AD192" s="20">
        <f>IFERROR(VLOOKUP(Data[[#This Row],[TDS]],ExtCompactors_PNA[[Development]:[0]],3,FALSE)+VLOOKUP(Data[[#This Row],[TDS]],ExtCompactors_PNA[[Development]:[0]],6,FALSE),0)</f>
        <v>4</v>
      </c>
      <c r="AE192" s="20">
        <f>IFERROR(VLOOKUP(Data[[#This Row],[TDS]],IntCompactors_PNA[[TDS]:[0]],3,FALSE)+VLOOKUP(Data[[#This Row],[TDS]],IntCompactors_PNA[[TDS]:[0]],6,FALSE),0)</f>
        <v>20</v>
      </c>
      <c r="AF192" s="20" t="e">
        <f>VLOOKUP(Data[[#This Row],[DEVELOPMENT]],[3]Developments!$A$2:$A$312,1,FALSE)</f>
        <v>#N/A</v>
      </c>
      <c r="AG192" s="20">
        <f>IFERROR(VLOOKUP(Data[[#This Row],[DEVELOPMENT]],Ops_Priorities_and_Data_Clean[[development]:[ifnoext_comment]],3,FALSE),"")</f>
        <v>4</v>
      </c>
      <c r="AH192" s="20">
        <f>IFERROR(VLOOKUP(Data[[#This Row],[DEVELOPMENT]],Ops_Priorities_and_Data_Clean[[development]:[ifnoext_comment]],4,FALSE),"")</f>
        <v>2</v>
      </c>
      <c r="AI192" s="20">
        <f>IFERROR(VLOOKUP(Data[[#This Row],[DEVELOPMENT]],Ops_Priorities_and_Data_Clean[[development]:[ifnoext_comment]],5,FALSE),"")</f>
        <v>1</v>
      </c>
      <c r="AJ192" s="20">
        <f>IFERROR(VLOOKUP(Data[[#This Row],[DEVELOPMENT]],Ops_Priorities_and_Data_Clean[[development]:[ifnoext_comment]],6,FALSE),"")</f>
        <v>0</v>
      </c>
      <c r="AK192" s="20">
        <f>IFERROR(VLOOKUP(Data[[#This Row],[DEVELOPMENT]],Ops_Priorities_and_Data_Clean[[development]:[ifnoext_comment]],7,FALSE),"")</f>
        <v>0</v>
      </c>
      <c r="AL192" s="20">
        <f>IFERROR(VLOOKUP(Data[[#This Row],[DEVELOPMENT]],Ops_Priorities_and_Data_Clean[[development]:[ifnoext_comment]],8,FALSE),"")</f>
        <v>1</v>
      </c>
      <c r="AM192" s="20">
        <f>IFERROR(VLOOKUP(Data[[#This Row],[DEVELOPMENT]],Ops_Priorities_and_Data_Clean[[development]:[ifnoext_comment]],9,FALSE),"")</f>
        <v>0</v>
      </c>
      <c r="AN192" s="20">
        <f>IFERROR(VLOOKUP(Data[[#This Row],[DEVELOPMENT]],Ops_Priorities_and_Data_Clean[[development]:[ifnoext_comment]],10,FALSE),"")</f>
        <v>0</v>
      </c>
      <c r="AO192" s="20">
        <f>IFERROR(VLOOKUP(Data[[#This Row],[DEVELOPMENT]],Ops_Priorities_and_Data_Clean[[development]:[ifnoext_comment]],11,FALSE),"")</f>
        <v>4</v>
      </c>
      <c r="AP192" s="20">
        <f>IFERROR(VLOOKUP(Data[[#This Row],[DEVELOPMENT]],Ops_Priorities_and_Data_Clean[[development]:[ifnoext_comment]],12,FALSE),"")</f>
        <v>4</v>
      </c>
      <c r="AQ192" s="20">
        <f>VLOOKUP(Data[[#This Row],[DEVELOPMENT]],Ops_Priorities_and_Data_Clean[[development]:[ifnoext_comment]],14,FALSE)</f>
        <v>0</v>
      </c>
      <c r="AR192" s="20">
        <f>VLOOKUP(Data[[#This Row],[DEVELOPMENT]],Ops_Priorities_and_Data_Clean[[development]:[ifnoext_comment]],15,FALSE)</f>
        <v>0</v>
      </c>
      <c r="AS192" s="20" t="str">
        <f>VLOOKUP(Data[[#This Row],[DEVELOPMENT]],Ops_Priorities_and_Data_Clean[[development]:[ifnoext_comment]],16,FALSE)</f>
        <v>NULL</v>
      </c>
      <c r="AT192" s="20" t="str">
        <f>VLOOKUP(Data[[#This Row],[DEVELOPMENT]],Ops_Priorities_and_Data_Clean[[development]:[ifnoext_comment]],17,FALSE)</f>
        <v>NULL</v>
      </c>
      <c r="AU192" s="20" t="str">
        <f>VLOOKUP(Data[[#This Row],[DEVELOPMENT]],Ops_Priorities_and_Data_Clean[[development]:[ifnoext_comment]],18,FALSE)</f>
        <v>NULL</v>
      </c>
      <c r="AV192" s="20" t="str">
        <f>VLOOKUP(Data[[#This Row],[DEVELOPMENT]],Ops_Priorities_and_Data_Clean[[development]:[ifnoext_comment]],19,FALSE)</f>
        <v>NULL</v>
      </c>
      <c r="AW192" s="20" t="str">
        <f>VLOOKUP(Data[[#This Row],[DEVELOPMENT]],Ops_Priorities_and_Data_Clean[[development]:[ifnoext_comment]],20,FALSE)</f>
        <v>NULL</v>
      </c>
      <c r="AX192" s="104" t="s">
        <v>2602</v>
      </c>
      <c r="AY192" s="104" t="s">
        <v>346</v>
      </c>
      <c r="AZ192" s="20" t="str">
        <f>VLOOKUP(Data[[#This Row],[DEVELOPMENT]],Development_Data_Book[[DEVELOPMENT]:[PRIVATE MANAGEMENT]],8,FALSE)</f>
        <v>FEDERAL</v>
      </c>
      <c r="BA192" s="104" t="s">
        <v>2586</v>
      </c>
      <c r="BB192" s="20">
        <f>VLOOKUP(Data[[#This Row],[DEVELOPMENT]],Development_Data_Book[[DEVELOPMENT]:[PRIVATE MANAGEMENT]],22,FALSE)</f>
        <v>1</v>
      </c>
      <c r="BC192" s="20">
        <f>Data[[#This Row],[Non-Dwelling Buildings]]+Data[[#This Row],[Dwelling Buildings]]</f>
        <v>11</v>
      </c>
      <c r="BD192" s="20">
        <f>VLOOKUP(Data[[#This Row],[DEVELOPMENT]],Development_Data_Book[[DEVELOPMENT]:[PRIVATE MANAGEMENT]],26,FALSE)</f>
        <v>16.059999999999999</v>
      </c>
      <c r="BE192" s="106">
        <v>1668042</v>
      </c>
      <c r="BF192" s="20">
        <f>VLOOKUP(Data[[#This Row],[DEVELOPMENT]],Development_Data_Book[[DEVELOPMENT]:[PRIVATE MANAGEMENT]],18,FALSE)</f>
        <v>4010</v>
      </c>
      <c r="BG192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192" s="104" t="s">
        <v>2610</v>
      </c>
      <c r="BI192" t="s">
        <v>184</v>
      </c>
      <c r="BJ192" s="20">
        <f>VLOOKUP(Data[[#This Row],[DEVELOPMENT]],Development_Data_Book[[DEVELOPMENT]:[PRIVATE MANAGEMENT]],41,FALSE)</f>
        <v>1</v>
      </c>
      <c r="BK192" s="20">
        <f>VLOOKUP(Data[[#This Row],[DEVELOPMENT]],Development_Data_Book[[DEVELOPMENT]:[PRIVATE MANAGEMENT]],42,FALSE)</f>
        <v>15</v>
      </c>
      <c r="BL192" s="20">
        <f>VLOOKUP(Data[[#This Row],[DEVELOPMENT]],Development_Data_Book[[DEVELOPMENT]:[PRIVATE MANAGEMENT]],43,FALSE)</f>
        <v>29</v>
      </c>
      <c r="BM192" s="20">
        <f>VLOOKUP(Data[[#This Row],[DEVELOPMENT]],Development_Data_Book[[DEVELOPMENT]:[PRIVATE MANAGEMENT]],44,FALSE)</f>
        <v>84</v>
      </c>
      <c r="BN192" s="20">
        <f>VLOOKUP(Data[[#This Row],[DEVELOPMENT]],Development_Data_Book[[DEVELOPMENT]:[PRIVATE MANAGEMENT]],45,FALSE)</f>
        <v>8</v>
      </c>
      <c r="BO192" s="20" t="str">
        <f>VLOOKUP(Data[[#This Row],[DEVELOPMENT]],Development_Data_Book[[DEVELOPMENT]:[PRIVATE MANAGEMENT]],24,FALSE)</f>
        <v>17-19-20</v>
      </c>
    </row>
    <row r="193" spans="1:67">
      <c r="A193" t="s">
        <v>114</v>
      </c>
      <c r="B193" t="str">
        <f>VLOOKUP(Data[[#This Row],[DEVELOPMENT]],Development_Data_Book[[DEVELOPMENT]:[BOROUGH]],MATCH("borough",Development_Data_Book[[#Headers],[DEVELOPMENT]:[BOROUGH]],0),FALSE)</f>
        <v>BRONX</v>
      </c>
      <c r="C193" t="e">
        <f>VLOOKUP(Data[[#This Row],[DEVELOPMENT]],'[1]Cheat-Sheet'!$D$2:$Q$341,2,FALSE)</f>
        <v>#N/A</v>
      </c>
      <c r="D19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93">
        <f>VLOOKUP(Data[[#This Row],[DEVELOPMENT]],Development_Data_Book[[DEVELOPMENT]:[BOROUGH]],21,FALSE)</f>
        <v>12</v>
      </c>
      <c r="F193">
        <f>VLOOKUP(Data[[#This Row],[DEVELOPMENT]],Development_Data_Book[[DEVELOPMENT]:[BOROUGH]],23,FALSE)</f>
        <v>20</v>
      </c>
      <c r="G193">
        <f>VLOOKUP(Data[[#This Row],[DEVELOPMENT]],Development_Data_Book[[DEVELOPMENT]:[BOROUGH]],12,FALSE)</f>
        <v>1100</v>
      </c>
      <c r="H193" t="s">
        <v>2248</v>
      </c>
      <c r="I193">
        <v>4</v>
      </c>
      <c r="J193">
        <f>IFERROR(VLOOKUP(Data[[#This Row],[DEVELOPMENT]],IntCompactors_MRST[],4,FALSE),0)</f>
        <v>18</v>
      </c>
      <c r="K193" s="20">
        <f>IFERROR(VLOOKUP(Data[[#This Row],[DEVELOPMENT]],ExtCompactors_MRST[],4,FALSE),0)</f>
        <v>2</v>
      </c>
      <c r="L193" s="27">
        <f>IF(Data[[#This Row],['# Interior Compactors MRST]]=0,"",VLOOKUP(Data[[#This Row],[DEVELOPMENT]],IntCompactors_MRST[],5,FALSE))</f>
        <v>36526</v>
      </c>
      <c r="M193" s="28">
        <f>IF(Data[[#This Row],['# Exterior Compactors MRST]]=0,"",VLOOKUP(Data[[#This Row],[DEVELOPMENT]],ExtCompactors_MRST[],5,FALSE))</f>
        <v>36829</v>
      </c>
      <c r="N193">
        <f>Data[[#This Row],['# Interior Compactors MRST]]</f>
        <v>18</v>
      </c>
      <c r="O193" s="20">
        <f>IF(Data[[#This Row],['# Bulk Crushers]]=0,1,0)</f>
        <v>1</v>
      </c>
      <c r="P193" s="20">
        <f>1</f>
        <v>1</v>
      </c>
      <c r="Q193" s="20">
        <f>1</f>
        <v>1</v>
      </c>
      <c r="R193" s="20">
        <f>1</f>
        <v>1</v>
      </c>
      <c r="S193" s="20">
        <f>1</f>
        <v>1</v>
      </c>
      <c r="T193" s="20">
        <f>IF(Data[[#This Row],[Sewershed]]="Newtown Creek",Data[[#This Row],[DUs]],0)</f>
        <v>0</v>
      </c>
      <c r="U19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9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9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93" s="82">
        <f>VLOOKUP(Data[[#This Row],[DEVELOPMENT]],Development_Data_Book[[DEVELOPMENT]:[BOROUGH]],3,FALSE)</f>
        <v>88</v>
      </c>
      <c r="Y193" s="20"/>
      <c r="Z193" s="20">
        <f>IFERROR(VLOOKUP(Data[[#This Row],[TDS]],ExtCompactors_PNA[[Development]:[0]],2,FALSE),0)</f>
        <v>2</v>
      </c>
      <c r="AA193" s="20">
        <f>IFERROR(VLOOKUP(Data[[#This Row],[TDS]],IntCompactors_PNA[[TDS]:[0]],2,FALSE),0)</f>
        <v>18</v>
      </c>
      <c r="AB193" s="20"/>
      <c r="AC193" s="20"/>
      <c r="AD193" s="20">
        <f>IFERROR(VLOOKUP(Data[[#This Row],[TDS]],ExtCompactors_PNA[[Development]:[0]],3,FALSE)+VLOOKUP(Data[[#This Row],[TDS]],ExtCompactors_PNA[[Development]:[0]],6,FALSE),0)</f>
        <v>2</v>
      </c>
      <c r="AE193" s="20">
        <f>IFERROR(VLOOKUP(Data[[#This Row],[TDS]],IntCompactors_PNA[[TDS]:[0]],3,FALSE)+VLOOKUP(Data[[#This Row],[TDS]],IntCompactors_PNA[[TDS]:[0]],6,FALSE),0)</f>
        <v>18</v>
      </c>
      <c r="AF193" s="20" t="e">
        <f>VLOOKUP(Data[[#This Row],[DEVELOPMENT]],[3]Developments!$A$2:$A$312,1,FALSE)</f>
        <v>#N/A</v>
      </c>
      <c r="AG193" s="20">
        <f>IFERROR(VLOOKUP(Data[[#This Row],[DEVELOPMENT]],Ops_Priorities_and_Data_Clean[[development]:[ifnoext_comment]],3,FALSE),"")</f>
        <v>2</v>
      </c>
      <c r="AH193" s="20">
        <f>IFERROR(VLOOKUP(Data[[#This Row],[DEVELOPMENT]],Ops_Priorities_and_Data_Clean[[development]:[ifnoext_comment]],4,FALSE),"")</f>
        <v>1</v>
      </c>
      <c r="AI193" s="20">
        <f>IFERROR(VLOOKUP(Data[[#This Row],[DEVELOPMENT]],Ops_Priorities_and_Data_Clean[[development]:[ifnoext_comment]],5,FALSE),"")</f>
        <v>1</v>
      </c>
      <c r="AJ193" s="20">
        <f>IFERROR(VLOOKUP(Data[[#This Row],[DEVELOPMENT]],Ops_Priorities_and_Data_Clean[[development]:[ifnoext_comment]],6,FALSE),"")</f>
        <v>0</v>
      </c>
      <c r="AK193" s="20">
        <f>IFERROR(VLOOKUP(Data[[#This Row],[DEVELOPMENT]],Ops_Priorities_and_Data_Clean[[development]:[ifnoext_comment]],7,FALSE),"")</f>
        <v>0</v>
      </c>
      <c r="AL193" s="20">
        <f>IFERROR(VLOOKUP(Data[[#This Row],[DEVELOPMENT]],Ops_Priorities_and_Data_Clean[[development]:[ifnoext_comment]],8,FALSE),"")</f>
        <v>1</v>
      </c>
      <c r="AM193" s="20">
        <f>IFERROR(VLOOKUP(Data[[#This Row],[DEVELOPMENT]],Ops_Priorities_and_Data_Clean[[development]:[ifnoext_comment]],9,FALSE),"")</f>
        <v>0</v>
      </c>
      <c r="AN193" s="20">
        <f>IFERROR(VLOOKUP(Data[[#This Row],[DEVELOPMENT]],Ops_Priorities_and_Data_Clean[[development]:[ifnoext_comment]],10,FALSE),"")</f>
        <v>2</v>
      </c>
      <c r="AO193" s="20">
        <f>IFERROR(VLOOKUP(Data[[#This Row],[DEVELOPMENT]],Ops_Priorities_and_Data_Clean[[development]:[ifnoext_comment]],11,FALSE),"")</f>
        <v>2</v>
      </c>
      <c r="AP193" s="20">
        <f>IFERROR(VLOOKUP(Data[[#This Row],[DEVELOPMENT]],Ops_Priorities_and_Data_Clean[[development]:[ifnoext_comment]],12,FALSE),"")</f>
        <v>2</v>
      </c>
      <c r="AQ193" s="20">
        <f>VLOOKUP(Data[[#This Row],[DEVELOPMENT]],Ops_Priorities_and_Data_Clean[[development]:[ifnoext_comment]],14,FALSE)</f>
        <v>0</v>
      </c>
      <c r="AR193" s="20">
        <f>VLOOKUP(Data[[#This Row],[DEVELOPMENT]],Ops_Priorities_and_Data_Clean[[development]:[ifnoext_comment]],15,FALSE)</f>
        <v>0</v>
      </c>
      <c r="AS193" s="20" t="str">
        <f>VLOOKUP(Data[[#This Row],[DEVELOPMENT]],Ops_Priorities_and_Data_Clean[[development]:[ifnoext_comment]],16,FALSE)</f>
        <v>NULL</v>
      </c>
      <c r="AT193" s="20" t="str">
        <f>VLOOKUP(Data[[#This Row],[DEVELOPMENT]],Ops_Priorities_and_Data_Clean[[development]:[ifnoext_comment]],17,FALSE)</f>
        <v>NULL</v>
      </c>
      <c r="AU193" s="20" t="str">
        <f>VLOOKUP(Data[[#This Row],[DEVELOPMENT]],Ops_Priorities_and_Data_Clean[[development]:[ifnoext_comment]],18,FALSE)</f>
        <v>NULL</v>
      </c>
      <c r="AV193" s="20" t="str">
        <f>VLOOKUP(Data[[#This Row],[DEVELOPMENT]],Ops_Priorities_and_Data_Clean[[development]:[ifnoext_comment]],19,FALSE)</f>
        <v>NULL</v>
      </c>
      <c r="AW193" s="20" t="str">
        <f>VLOOKUP(Data[[#This Row],[DEVELOPMENT]],Ops_Priorities_and_Data_Clean[[development]:[ifnoext_comment]],20,FALSE)</f>
        <v>NULL</v>
      </c>
      <c r="AX193" s="104" t="s">
        <v>2237</v>
      </c>
      <c r="AY193" s="104" t="s">
        <v>363</v>
      </c>
      <c r="AZ193" s="20" t="str">
        <f>VLOOKUP(Data[[#This Row],[DEVELOPMENT]],Development_Data_Book[[DEVELOPMENT]:[PRIVATE MANAGEMENT]],8,FALSE)</f>
        <v>FEDERAL</v>
      </c>
      <c r="BA193" s="104" t="s">
        <v>2586</v>
      </c>
      <c r="BB193" s="20">
        <f>VLOOKUP(Data[[#This Row],[DEVELOPMENT]],Development_Data_Book[[DEVELOPMENT]:[PRIVATE MANAGEMENT]],22,FALSE)</f>
        <v>1</v>
      </c>
      <c r="BC193" s="20">
        <f>Data[[#This Row],[Non-Dwelling Buildings]]+Data[[#This Row],[Dwelling Buildings]]</f>
        <v>13</v>
      </c>
      <c r="BD193" s="20">
        <f>VLOOKUP(Data[[#This Row],[DEVELOPMENT]],Development_Data_Book[[DEVELOPMENT]:[PRIVATE MANAGEMENT]],26,FALSE)</f>
        <v>18.489999999999998</v>
      </c>
      <c r="BE193" s="106">
        <v>1170600</v>
      </c>
      <c r="BF193" s="20">
        <f>VLOOKUP(Data[[#This Row],[DEVELOPMENT]],Development_Data_Book[[DEVELOPMENT]:[PRIVATE MANAGEMENT]],18,FALSE)</f>
        <v>2691</v>
      </c>
      <c r="BG19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93" s="104" t="s">
        <v>2595</v>
      </c>
      <c r="BI193" t="s">
        <v>184</v>
      </c>
      <c r="BJ193" s="20">
        <f>VLOOKUP(Data[[#This Row],[DEVELOPMENT]],Development_Data_Book[[DEVELOPMENT]:[PRIVATE MANAGEMENT]],41,FALSE)</f>
        <v>9</v>
      </c>
      <c r="BK193" s="20">
        <f>VLOOKUP(Data[[#This Row],[DEVELOPMENT]],Development_Data_Book[[DEVELOPMENT]:[PRIVATE MANAGEMENT]],42,FALSE)</f>
        <v>15</v>
      </c>
      <c r="BL193" s="20">
        <f>VLOOKUP(Data[[#This Row],[DEVELOPMENT]],Development_Data_Book[[DEVELOPMENT]:[PRIVATE MANAGEMENT]],43,FALSE)</f>
        <v>32</v>
      </c>
      <c r="BM193" s="20">
        <f>VLOOKUP(Data[[#This Row],[DEVELOPMENT]],Development_Data_Book[[DEVELOPMENT]:[PRIVATE MANAGEMENT]],44,FALSE)</f>
        <v>85</v>
      </c>
      <c r="BN193" s="20">
        <f>VLOOKUP(Data[[#This Row],[DEVELOPMENT]],Development_Data_Book[[DEVELOPMENT]:[PRIVATE MANAGEMENT]],45,FALSE)</f>
        <v>18</v>
      </c>
      <c r="BO193" s="20">
        <f>VLOOKUP(Data[[#This Row],[DEVELOPMENT]],Development_Data_Book[[DEVELOPMENT]:[PRIVATE MANAGEMENT]],24,FALSE)</f>
        <v>42230</v>
      </c>
    </row>
    <row r="194" spans="1:67">
      <c r="A194" t="s">
        <v>91</v>
      </c>
      <c r="B194" t="str">
        <f>VLOOKUP(Data[[#This Row],[DEVELOPMENT]],Development_Data_Book[[DEVELOPMENT]:[BOROUGH]],MATCH("borough",Development_Data_Book[[#Headers],[DEVELOPMENT]:[BOROUGH]],0),FALSE)</f>
        <v>BRONX</v>
      </c>
      <c r="C194" t="e">
        <f>VLOOKUP(Data[[#This Row],[DEVELOPMENT]],'[1]Cheat-Sheet'!$D$2:$Q$341,2,FALSE)</f>
        <v>#N/A</v>
      </c>
      <c r="D19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194">
        <f>VLOOKUP(Data[[#This Row],[DEVELOPMENT]],Development_Data_Book[[DEVELOPMENT]:[BOROUGH]],21,FALSE)</f>
        <v>2</v>
      </c>
      <c r="F194">
        <f>VLOOKUP(Data[[#This Row],[DEVELOPMENT]],Development_Data_Book[[DEVELOPMENT]:[BOROUGH]],23,FALSE)</f>
        <v>4</v>
      </c>
      <c r="G194">
        <f>VLOOKUP(Data[[#This Row],[DEVELOPMENT]],Development_Data_Book[[DEVELOPMENT]:[BOROUGH]],12,FALSE)</f>
        <v>463</v>
      </c>
      <c r="H194" t="s">
        <v>2248</v>
      </c>
      <c r="I194">
        <v>3</v>
      </c>
      <c r="J194">
        <f>IFERROR(VLOOKUP(Data[[#This Row],[DEVELOPMENT]],IntCompactors_MRST[],4,FALSE),0)</f>
        <v>4</v>
      </c>
      <c r="K194" s="20">
        <f>IFERROR(VLOOKUP(Data[[#This Row],[DEVELOPMENT]],ExtCompactors_MRST[],4,FALSE),0)</f>
        <v>1</v>
      </c>
      <c r="L194" s="27">
        <f>IF(Data[[#This Row],['# Interior Compactors MRST]]=0,"",VLOOKUP(Data[[#This Row],[DEVELOPMENT]],IntCompactors_MRST[],5,FALSE))</f>
        <v>36831</v>
      </c>
      <c r="M194" s="28">
        <f>IF(Data[[#This Row],['# Exterior Compactors MRST]]=0,"",VLOOKUP(Data[[#This Row],[DEVELOPMENT]],ExtCompactors_MRST[],5,FALSE))</f>
        <v>37042</v>
      </c>
      <c r="N194">
        <f>Data[[#This Row],['# Interior Compactors MRST]]</f>
        <v>4</v>
      </c>
      <c r="O194" s="20">
        <f>IF(Data[[#This Row],['# Bulk Crushers]]=0,1,0)</f>
        <v>1</v>
      </c>
      <c r="P194" s="20">
        <f>1</f>
        <v>1</v>
      </c>
      <c r="Q194" s="20">
        <f>1</f>
        <v>1</v>
      </c>
      <c r="R194" s="20">
        <f>1</f>
        <v>1</v>
      </c>
      <c r="S194" s="20">
        <f>1</f>
        <v>1</v>
      </c>
      <c r="T194" s="20">
        <f>IF(Data[[#This Row],[Sewershed]]="Newtown Creek",Data[[#This Row],[DUs]],0)</f>
        <v>0</v>
      </c>
      <c r="U19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9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9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94" s="82">
        <f>VLOOKUP(Data[[#This Row],[DEVELOPMENT]],Development_Data_Book[[DEVELOPMENT]:[BOROUGH]],3,FALSE)</f>
        <v>129</v>
      </c>
      <c r="Y194" s="20"/>
      <c r="Z194" s="20">
        <f>IFERROR(VLOOKUP(Data[[#This Row],[TDS]],ExtCompactors_PNA[[Development]:[0]],2,FALSE),0)</f>
        <v>1</v>
      </c>
      <c r="AA194" s="20">
        <f>IFERROR(VLOOKUP(Data[[#This Row],[TDS]],IntCompactors_PNA[[TDS]:[0]],2,FALSE),0)</f>
        <v>4</v>
      </c>
      <c r="AB194" s="20"/>
      <c r="AC194" s="20"/>
      <c r="AD194" s="20">
        <f>IFERROR(VLOOKUP(Data[[#This Row],[TDS]],ExtCompactors_PNA[[Development]:[0]],3,FALSE)+VLOOKUP(Data[[#This Row],[TDS]],ExtCompactors_PNA[[Development]:[0]],6,FALSE),0)</f>
        <v>1</v>
      </c>
      <c r="AE194" s="20">
        <f>IFERROR(VLOOKUP(Data[[#This Row],[TDS]],IntCompactors_PNA[[TDS]:[0]],3,FALSE)+VLOOKUP(Data[[#This Row],[TDS]],IntCompactors_PNA[[TDS]:[0]],6,FALSE),0)</f>
        <v>4</v>
      </c>
      <c r="AF194" s="20" t="e">
        <f>VLOOKUP(Data[[#This Row],[DEVELOPMENT]],[3]Developments!$A$2:$A$312,1,FALSE)</f>
        <v>#N/A</v>
      </c>
      <c r="AG194" s="20">
        <f>IFERROR(VLOOKUP(Data[[#This Row],[DEVELOPMENT]],Ops_Priorities_and_Data_Clean[[development]:[ifnoext_comment]],3,FALSE),"")</f>
        <v>1</v>
      </c>
      <c r="AH194" s="20">
        <f>IFERROR(VLOOKUP(Data[[#This Row],[DEVELOPMENT]],Ops_Priorities_and_Data_Clean[[development]:[ifnoext_comment]],4,FALSE),"")</f>
        <v>4</v>
      </c>
      <c r="AI194" s="20">
        <f>IFERROR(VLOOKUP(Data[[#This Row],[DEVELOPMENT]],Ops_Priorities_and_Data_Clean[[development]:[ifnoext_comment]],5,FALSE),"")</f>
        <v>1</v>
      </c>
      <c r="AJ194" s="20">
        <f>IFERROR(VLOOKUP(Data[[#This Row],[DEVELOPMENT]],Ops_Priorities_and_Data_Clean[[development]:[ifnoext_comment]],6,FALSE),"")</f>
        <v>0</v>
      </c>
      <c r="AK194" s="20">
        <f>IFERROR(VLOOKUP(Data[[#This Row],[DEVELOPMENT]],Ops_Priorities_and_Data_Clean[[development]:[ifnoext_comment]],7,FALSE),"")</f>
        <v>0</v>
      </c>
      <c r="AL194" s="20">
        <f>IFERROR(VLOOKUP(Data[[#This Row],[DEVELOPMENT]],Ops_Priorities_and_Data_Clean[[development]:[ifnoext_comment]],8,FALSE),"")</f>
        <v>1</v>
      </c>
      <c r="AM194" s="20">
        <f>IFERROR(VLOOKUP(Data[[#This Row],[DEVELOPMENT]],Ops_Priorities_and_Data_Clean[[development]:[ifnoext_comment]],9,FALSE),"")</f>
        <v>0</v>
      </c>
      <c r="AN194" s="20">
        <f>IFERROR(VLOOKUP(Data[[#This Row],[DEVELOPMENT]],Ops_Priorities_and_Data_Clean[[development]:[ifnoext_comment]],10,FALSE),"")</f>
        <v>1</v>
      </c>
      <c r="AO194" s="20">
        <f>IFERROR(VLOOKUP(Data[[#This Row],[DEVELOPMENT]],Ops_Priorities_and_Data_Clean[[development]:[ifnoext_comment]],11,FALSE),"")</f>
        <v>1</v>
      </c>
      <c r="AP194" s="20">
        <f>IFERROR(VLOOKUP(Data[[#This Row],[DEVELOPMENT]],Ops_Priorities_and_Data_Clean[[development]:[ifnoext_comment]],12,FALSE),"")</f>
        <v>1</v>
      </c>
      <c r="AQ194" s="20">
        <f>VLOOKUP(Data[[#This Row],[DEVELOPMENT]],Ops_Priorities_and_Data_Clean[[development]:[ifnoext_comment]],14,FALSE)</f>
        <v>0</v>
      </c>
      <c r="AR194" s="20">
        <f>VLOOKUP(Data[[#This Row],[DEVELOPMENT]],Ops_Priorities_and_Data_Clean[[development]:[ifnoext_comment]],15,FALSE)</f>
        <v>0</v>
      </c>
      <c r="AS194" s="20" t="str">
        <f>VLOOKUP(Data[[#This Row],[DEVELOPMENT]],Ops_Priorities_and_Data_Clean[[development]:[ifnoext_comment]],16,FALSE)</f>
        <v>NULL</v>
      </c>
      <c r="AT194" s="20" t="str">
        <f>VLOOKUP(Data[[#This Row],[DEVELOPMENT]],Ops_Priorities_and_Data_Clean[[development]:[ifnoext_comment]],17,FALSE)</f>
        <v>NULL</v>
      </c>
      <c r="AU194" s="20" t="str">
        <f>VLOOKUP(Data[[#This Row],[DEVELOPMENT]],Ops_Priorities_and_Data_Clean[[development]:[ifnoext_comment]],18,FALSE)</f>
        <v>NULL</v>
      </c>
      <c r="AV194" s="20" t="str">
        <f>VLOOKUP(Data[[#This Row],[DEVELOPMENT]],Ops_Priorities_and_Data_Clean[[development]:[ifnoext_comment]],19,FALSE)</f>
        <v>NULL</v>
      </c>
      <c r="AW194" s="20" t="str">
        <f>VLOOKUP(Data[[#This Row],[DEVELOPMENT]],Ops_Priorities_and_Data_Clean[[development]:[ifnoext_comment]],20,FALSE)</f>
        <v>NULL</v>
      </c>
      <c r="AX194" s="104" t="s">
        <v>2605</v>
      </c>
      <c r="AY194" s="104" t="s">
        <v>346</v>
      </c>
      <c r="AZ194" s="20" t="str">
        <f>VLOOKUP(Data[[#This Row],[DEVELOPMENT]],Development_Data_Book[[DEVELOPMENT]:[PRIVATE MANAGEMENT]],8,FALSE)</f>
        <v>FEDERAL</v>
      </c>
      <c r="BA194" s="104" t="s">
        <v>2586</v>
      </c>
      <c r="BB194" s="20">
        <f>VLOOKUP(Data[[#This Row],[DEVELOPMENT]],Development_Data_Book[[DEVELOPMENT]:[PRIVATE MANAGEMENT]],22,FALSE)</f>
        <v>0</v>
      </c>
      <c r="BC194" s="20">
        <f>Data[[#This Row],[Non-Dwelling Buildings]]+Data[[#This Row],[Dwelling Buildings]]</f>
        <v>2</v>
      </c>
      <c r="BD194" s="20">
        <f>VLOOKUP(Data[[#This Row],[DEVELOPMENT]],Development_Data_Book[[DEVELOPMENT]:[PRIVATE MANAGEMENT]],26,FALSE)</f>
        <v>2.69</v>
      </c>
      <c r="BE194" s="106">
        <v>448280</v>
      </c>
      <c r="BF194" s="20">
        <f>VLOOKUP(Data[[#This Row],[DEVELOPMENT]],Development_Data_Book[[DEVELOPMENT]:[PRIVATE MANAGEMENT]],18,FALSE)</f>
        <v>1133</v>
      </c>
      <c r="BG19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94" s="104" t="s">
        <v>2610</v>
      </c>
      <c r="BI194" t="s">
        <v>184</v>
      </c>
      <c r="BJ194" s="20">
        <f>VLOOKUP(Data[[#This Row],[DEVELOPMENT]],Development_Data_Book[[DEVELOPMENT]:[PRIVATE MANAGEMENT]],41,FALSE)</f>
        <v>1</v>
      </c>
      <c r="BK194" s="20">
        <f>VLOOKUP(Data[[#This Row],[DEVELOPMENT]],Development_Data_Book[[DEVELOPMENT]:[PRIVATE MANAGEMENT]],42,FALSE)</f>
        <v>15</v>
      </c>
      <c r="BL194" s="20">
        <f>VLOOKUP(Data[[#This Row],[DEVELOPMENT]],Development_Data_Book[[DEVELOPMENT]:[PRIVATE MANAGEMENT]],43,FALSE)</f>
        <v>29</v>
      </c>
      <c r="BM194" s="20">
        <f>VLOOKUP(Data[[#This Row],[DEVELOPMENT]],Development_Data_Book[[DEVELOPMENT]:[PRIVATE MANAGEMENT]],44,FALSE)</f>
        <v>84</v>
      </c>
      <c r="BN194" s="20">
        <f>VLOOKUP(Data[[#This Row],[DEVELOPMENT]],Development_Data_Book[[DEVELOPMENT]:[PRIVATE MANAGEMENT]],45,FALSE)</f>
        <v>8</v>
      </c>
      <c r="BO194" s="20">
        <f>VLOOKUP(Data[[#This Row],[DEVELOPMENT]],Development_Data_Book[[DEVELOPMENT]:[PRIVATE MANAGEMENT]],24,FALSE)</f>
        <v>20</v>
      </c>
    </row>
    <row r="195" spans="1:67">
      <c r="A195" s="17" t="s">
        <v>40</v>
      </c>
      <c r="B195" s="17" t="str">
        <f>VLOOKUP(Data[[#This Row],[DEVELOPMENT]],Development_Data_Book[[DEVELOPMENT]:[BOROUGH]],MATCH("borough",Development_Data_Book[[#Headers],[DEVELOPMENT]:[BOROUGH]],0),FALSE)</f>
        <v>BRONX</v>
      </c>
      <c r="C195" t="e">
        <f>VLOOKUP(Data[[#This Row],[DEVELOPMENT]],'[1]Cheat-Sheet'!$D$2:$Q$341,2,FALSE)</f>
        <v>#N/A</v>
      </c>
      <c r="D19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95">
        <f>VLOOKUP(Data[[#This Row],[DEVELOPMENT]],Development_Data_Book[[DEVELOPMENT]:[BOROUGH]],21,FALSE)</f>
        <v>10</v>
      </c>
      <c r="F195">
        <f>VLOOKUP(Data[[#This Row],[DEVELOPMENT]],Development_Data_Book[[DEVELOPMENT]:[BOROUGH]],23,FALSE)</f>
        <v>10</v>
      </c>
      <c r="G195">
        <f>VLOOKUP(Data[[#This Row],[DEVELOPMENT]],Development_Data_Book[[DEVELOPMENT]:[BOROUGH]],12,FALSE)</f>
        <v>1083</v>
      </c>
      <c r="H195" t="s">
        <v>2246</v>
      </c>
      <c r="I195">
        <v>3</v>
      </c>
      <c r="J195">
        <f>IFERROR(VLOOKUP(Data[[#This Row],[DEVELOPMENT]],IntCompactors_MRST[],4,FALSE),0)</f>
        <v>9</v>
      </c>
      <c r="K195" s="20">
        <f>IFERROR(VLOOKUP(Data[[#This Row],[DEVELOPMENT]],ExtCompactors_MRST[],4,FALSE),0)</f>
        <v>5</v>
      </c>
      <c r="L195" s="27">
        <f>IF(Data[[#This Row],['# Interior Compactors MRST]]=0,"",VLOOKUP(Data[[#This Row],[DEVELOPMENT]],IntCompactors_MRST[],5,FALSE))</f>
        <v>43466</v>
      </c>
      <c r="M195" s="28">
        <f>IF(Data[[#This Row],['# Exterior Compactors MRST]]=0,"",VLOOKUP(Data[[#This Row],[DEVELOPMENT]],ExtCompactors_MRST[],5,FALSE))</f>
        <v>43696</v>
      </c>
      <c r="N195">
        <f>Data[[#This Row],['# Interior Compactors MRST]]</f>
        <v>9</v>
      </c>
      <c r="O195" s="20">
        <f>IF(Data[[#This Row],['# Bulk Crushers]]=0,1,0)</f>
        <v>1</v>
      </c>
      <c r="P195" s="20">
        <f>1</f>
        <v>1</v>
      </c>
      <c r="Q195" s="20">
        <f>1</f>
        <v>1</v>
      </c>
      <c r="R195" s="20">
        <f>1</f>
        <v>1</v>
      </c>
      <c r="S195" s="20">
        <f>1</f>
        <v>1</v>
      </c>
      <c r="T195" s="20">
        <f>IF(Data[[#This Row],[Sewershed]]="Newtown Creek",Data[[#This Row],[DUs]],0)</f>
        <v>0</v>
      </c>
      <c r="U19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9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9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95" s="82">
        <f>VLOOKUP(Data[[#This Row],[DEVELOPMENT]],Development_Data_Book[[DEVELOPMENT]:[BOROUGH]],3,FALSE)</f>
        <v>102</v>
      </c>
      <c r="Y195" s="20"/>
      <c r="Z195" s="20">
        <f>IFERROR(VLOOKUP(Data[[#This Row],[TDS]],ExtCompactors_PNA[[Development]:[0]],2,FALSE),0)</f>
        <v>3</v>
      </c>
      <c r="AA195" s="20">
        <f>IFERROR(VLOOKUP(Data[[#This Row],[TDS]],IntCompactors_PNA[[TDS]:[0]],2,FALSE),0)</f>
        <v>10</v>
      </c>
      <c r="AB195" s="20"/>
      <c r="AC195" s="20"/>
      <c r="AD195" s="20">
        <f>IFERROR(VLOOKUP(Data[[#This Row],[TDS]],ExtCompactors_PNA[[Development]:[0]],3,FALSE)+VLOOKUP(Data[[#This Row],[TDS]],ExtCompactors_PNA[[Development]:[0]],6,FALSE),0)</f>
        <v>3</v>
      </c>
      <c r="AE195" s="20">
        <f>IFERROR(VLOOKUP(Data[[#This Row],[TDS]],IntCompactors_PNA[[TDS]:[0]],3,FALSE)+VLOOKUP(Data[[#This Row],[TDS]],IntCompactors_PNA[[TDS]:[0]],6,FALSE),0)</f>
        <v>10</v>
      </c>
      <c r="AF195" s="20" t="e">
        <f>VLOOKUP(Data[[#This Row],[DEVELOPMENT]],[3]Developments!$A$2:$A$312,1,FALSE)</f>
        <v>#N/A</v>
      </c>
      <c r="AG195" s="20">
        <f>IFERROR(VLOOKUP(Data[[#This Row],[DEVELOPMENT]],Ops_Priorities_and_Data_Clean[[development]:[ifnoext_comment]],3,FALSE),"")</f>
        <v>3</v>
      </c>
      <c r="AH195" s="20">
        <f>IFERROR(VLOOKUP(Data[[#This Row],[DEVELOPMENT]],Ops_Priorities_and_Data_Clean[[development]:[ifnoext_comment]],4,FALSE),"")</f>
        <v>0</v>
      </c>
      <c r="AI195" s="20">
        <f>IFERROR(VLOOKUP(Data[[#This Row],[DEVELOPMENT]],Ops_Priorities_and_Data_Clean[[development]:[ifnoext_comment]],5,FALSE),"")</f>
        <v>1</v>
      </c>
      <c r="AJ195" s="20">
        <f>IFERROR(VLOOKUP(Data[[#This Row],[DEVELOPMENT]],Ops_Priorities_and_Data_Clean[[development]:[ifnoext_comment]],6,FALSE),"")</f>
        <v>0</v>
      </c>
      <c r="AK195" s="20">
        <f>IFERROR(VLOOKUP(Data[[#This Row],[DEVELOPMENT]],Ops_Priorities_and_Data_Clean[[development]:[ifnoext_comment]],7,FALSE),"")</f>
        <v>0</v>
      </c>
      <c r="AL195" s="20">
        <f>IFERROR(VLOOKUP(Data[[#This Row],[DEVELOPMENT]],Ops_Priorities_and_Data_Clean[[development]:[ifnoext_comment]],8,FALSE),"")</f>
        <v>1</v>
      </c>
      <c r="AM195" s="20">
        <f>IFERROR(VLOOKUP(Data[[#This Row],[DEVELOPMENT]],Ops_Priorities_and_Data_Clean[[development]:[ifnoext_comment]],9,FALSE),"")</f>
        <v>0</v>
      </c>
      <c r="AN195" s="20">
        <f>IFERROR(VLOOKUP(Data[[#This Row],[DEVELOPMENT]],Ops_Priorities_and_Data_Clean[[development]:[ifnoext_comment]],10,FALSE),"")</f>
        <v>0</v>
      </c>
      <c r="AO195" s="20">
        <f>IFERROR(VLOOKUP(Data[[#This Row],[DEVELOPMENT]],Ops_Priorities_and_Data_Clean[[development]:[ifnoext_comment]],11,FALSE),"")</f>
        <v>5</v>
      </c>
      <c r="AP195" s="20">
        <f>IFERROR(VLOOKUP(Data[[#This Row],[DEVELOPMENT]],Ops_Priorities_and_Data_Clean[[development]:[ifnoext_comment]],12,FALSE),"")</f>
        <v>5</v>
      </c>
      <c r="AQ195" s="20">
        <f>VLOOKUP(Data[[#This Row],[DEVELOPMENT]],Ops_Priorities_and_Data_Clean[[development]:[ifnoext_comment]],14,FALSE)</f>
        <v>0</v>
      </c>
      <c r="AR195" s="20">
        <f>VLOOKUP(Data[[#This Row],[DEVELOPMENT]],Ops_Priorities_and_Data_Clean[[development]:[ifnoext_comment]],15,FALSE)</f>
        <v>1</v>
      </c>
      <c r="AS195" s="20" t="str">
        <f>VLOOKUP(Data[[#This Row],[DEVELOPMENT]],Ops_Priorities_and_Data_Clean[[development]:[ifnoext_comment]],16,FALSE)</f>
        <v>NULL</v>
      </c>
      <c r="AT195" s="20" t="str">
        <f>VLOOKUP(Data[[#This Row],[DEVELOPMENT]],Ops_Priorities_and_Data_Clean[[development]:[ifnoext_comment]],17,FALSE)</f>
        <v>NULL</v>
      </c>
      <c r="AU195" s="20" t="str">
        <f>VLOOKUP(Data[[#This Row],[DEVELOPMENT]],Ops_Priorities_and_Data_Clean[[development]:[ifnoext_comment]],18,FALSE)</f>
        <v>No</v>
      </c>
      <c r="AV195" s="20" t="str">
        <f>VLOOKUP(Data[[#This Row],[DEVELOPMENT]],Ops_Priorities_and_Data_Clean[[development]:[ifnoext_comment]],19,FALSE)</f>
        <v>container on-site</v>
      </c>
      <c r="AW195" s="20" t="str">
        <f>VLOOKUP(Data[[#This Row],[DEVELOPMENT]],Ops_Priorities_and_Data_Clean[[development]:[ifnoext_comment]],20,FALSE)</f>
        <v>NULL</v>
      </c>
      <c r="AX195" s="104" t="s">
        <v>2237</v>
      </c>
      <c r="AY195" s="104" t="s">
        <v>2590</v>
      </c>
      <c r="AZ195" s="20" t="str">
        <f>VLOOKUP(Data[[#This Row],[DEVELOPMENT]],Development_Data_Book[[DEVELOPMENT]:[PRIVATE MANAGEMENT]],8,FALSE)</f>
        <v>FEDERAL</v>
      </c>
      <c r="BA195" s="104" t="s">
        <v>2586</v>
      </c>
      <c r="BB195" s="20">
        <f>VLOOKUP(Data[[#This Row],[DEVELOPMENT]],Development_Data_Book[[DEVELOPMENT]:[PRIVATE MANAGEMENT]],22,FALSE)</f>
        <v>0</v>
      </c>
      <c r="BC195" s="20">
        <f>Data[[#This Row],[Non-Dwelling Buildings]]+Data[[#This Row],[Dwelling Buildings]]</f>
        <v>10</v>
      </c>
      <c r="BD195" s="20">
        <f>VLOOKUP(Data[[#This Row],[DEVELOPMENT]],Development_Data_Book[[DEVELOPMENT]:[PRIVATE MANAGEMENT]],26,FALSE)</f>
        <v>9.57</v>
      </c>
      <c r="BE195" s="106">
        <v>1128150</v>
      </c>
      <c r="BF195" s="20">
        <f>VLOOKUP(Data[[#This Row],[DEVELOPMENT]],Development_Data_Book[[DEVELOPMENT]:[PRIVATE MANAGEMENT]],18,FALSE)</f>
        <v>2889</v>
      </c>
      <c r="BG19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95" s="104" t="s">
        <v>2631</v>
      </c>
      <c r="BI195" t="s">
        <v>184</v>
      </c>
      <c r="BJ195" s="20">
        <f>VLOOKUP(Data[[#This Row],[DEVELOPMENT]],Development_Data_Book[[DEVELOPMENT]:[PRIVATE MANAGEMENT]],41,FALSE)</f>
        <v>3</v>
      </c>
      <c r="BK195" s="20">
        <f>VLOOKUP(Data[[#This Row],[DEVELOPMENT]],Development_Data_Book[[DEVELOPMENT]:[PRIVATE MANAGEMENT]],42,FALSE)</f>
        <v>15</v>
      </c>
      <c r="BL195" s="20">
        <f>VLOOKUP(Data[[#This Row],[DEVELOPMENT]],Development_Data_Book[[DEVELOPMENT]:[PRIVATE MANAGEMENT]],43,FALSE)</f>
        <v>33</v>
      </c>
      <c r="BM195" s="20">
        <f>VLOOKUP(Data[[#This Row],[DEVELOPMENT]],Development_Data_Book[[DEVELOPMENT]:[PRIVATE MANAGEMENT]],44,FALSE)</f>
        <v>79</v>
      </c>
      <c r="BN195" s="20">
        <f>VLOOKUP(Data[[#This Row],[DEVELOPMENT]],Development_Data_Book[[DEVELOPMENT]:[PRIVATE MANAGEMENT]],45,FALSE)</f>
        <v>16</v>
      </c>
      <c r="BO195" s="20" t="str">
        <f>VLOOKUP(Data[[#This Row],[DEVELOPMENT]],Development_Data_Book[[DEVELOPMENT]:[PRIVATE MANAGEMENT]],24,FALSE)</f>
        <v>16-20</v>
      </c>
    </row>
    <row r="196" spans="1:67">
      <c r="A196" s="17" t="s">
        <v>140</v>
      </c>
      <c r="B196" s="17" t="str">
        <f>VLOOKUP(Data[[#This Row],[DEVELOPMENT]],Development_Data_Book[[DEVELOPMENT]:[BOROUGH]],MATCH("borough",Development_Data_Book[[#Headers],[DEVELOPMENT]:[BOROUGH]],0),FALSE)</f>
        <v>BRONX</v>
      </c>
      <c r="C196" t="e">
        <f>VLOOKUP(Data[[#This Row],[DEVELOPMENT]],'[1]Cheat-Sheet'!$D$2:$Q$341,2,FALSE)</f>
        <v>#N/A</v>
      </c>
      <c r="D19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96">
        <f>VLOOKUP(Data[[#This Row],[DEVELOPMENT]],Development_Data_Book[[DEVELOPMENT]:[BOROUGH]],21,FALSE)</f>
        <v>7</v>
      </c>
      <c r="F196">
        <f>VLOOKUP(Data[[#This Row],[DEVELOPMENT]],Development_Data_Book[[DEVELOPMENT]:[BOROUGH]],23,FALSE)</f>
        <v>7</v>
      </c>
      <c r="G196">
        <f>VLOOKUP(Data[[#This Row],[DEVELOPMENT]],Development_Data_Book[[DEVELOPMENT]:[BOROUGH]],12,FALSE)</f>
        <v>802</v>
      </c>
      <c r="H196" t="s">
        <v>2246</v>
      </c>
      <c r="I196">
        <v>2</v>
      </c>
      <c r="J196">
        <f>IFERROR(VLOOKUP(Data[[#This Row],[DEVELOPMENT]],IntCompactors_MRST[],4,FALSE),0)</f>
        <v>8</v>
      </c>
      <c r="K196" s="20">
        <f>IFERROR(VLOOKUP(Data[[#This Row],[DEVELOPMENT]],ExtCompactors_MRST[],4,FALSE),0)</f>
        <v>0</v>
      </c>
      <c r="L196" s="27">
        <f>IF(Data[[#This Row],['# Interior Compactors MRST]]=0,"",VLOOKUP(Data[[#This Row],[DEVELOPMENT]],IntCompactors_MRST[],5,FALSE))</f>
        <v>0</v>
      </c>
      <c r="M196" s="28" t="str">
        <f>IF(Data[[#This Row],['# Exterior Compactors MRST]]=0,"",VLOOKUP(Data[[#This Row],[DEVELOPMENT]],ExtCompactors_MRST[],5,FALSE))</f>
        <v/>
      </c>
      <c r="N196">
        <f>Data[[#This Row],['# Interior Compactors MRST]]</f>
        <v>8</v>
      </c>
      <c r="O196" s="20">
        <f>IF(Data[[#This Row],['# Bulk Crushers]]=0,1,0)</f>
        <v>1</v>
      </c>
      <c r="P196" s="20">
        <f>1</f>
        <v>1</v>
      </c>
      <c r="Q196" s="20">
        <f>1</f>
        <v>1</v>
      </c>
      <c r="R196" s="20">
        <f>1</f>
        <v>1</v>
      </c>
      <c r="S196" s="20">
        <f>1</f>
        <v>1</v>
      </c>
      <c r="T196" s="20">
        <f>IF(Data[[#This Row],[Sewershed]]="Newtown Creek",Data[[#This Row],[DUs]],0)</f>
        <v>0</v>
      </c>
      <c r="U19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9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9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96" s="82">
        <f>VLOOKUP(Data[[#This Row],[DEVELOPMENT]],Development_Data_Book[[DEVELOPMENT]:[BOROUGH]],3,FALSE)</f>
        <v>502</v>
      </c>
      <c r="Y196" s="20"/>
      <c r="Z196" s="20">
        <f>IFERROR(VLOOKUP(Data[[#This Row],[TDS]],ExtCompactors_PNA[[Development]:[0]],2,FALSE),0)</f>
        <v>2</v>
      </c>
      <c r="AA196" s="20">
        <f>IFERROR(VLOOKUP(Data[[#This Row],[TDS]],IntCompactors_PNA[[TDS]:[0]],2,FALSE),0)</f>
        <v>7</v>
      </c>
      <c r="AB196" s="20"/>
      <c r="AC196" s="20"/>
      <c r="AD196" s="20">
        <f>IFERROR(VLOOKUP(Data[[#This Row],[TDS]],ExtCompactors_PNA[[Development]:[0]],3,FALSE)+VLOOKUP(Data[[#This Row],[TDS]],ExtCompactors_PNA[[Development]:[0]],6,FALSE),0)</f>
        <v>2</v>
      </c>
      <c r="AE196" s="20">
        <f>IFERROR(VLOOKUP(Data[[#This Row],[TDS]],IntCompactors_PNA[[TDS]:[0]],3,FALSE)+VLOOKUP(Data[[#This Row],[TDS]],IntCompactors_PNA[[TDS]:[0]],6,FALSE),0)</f>
        <v>7</v>
      </c>
      <c r="AF196" s="20" t="e">
        <f>VLOOKUP(Data[[#This Row],[DEVELOPMENT]],[3]Developments!$A$2:$A$312,1,FALSE)</f>
        <v>#N/A</v>
      </c>
      <c r="AG196" s="20">
        <f>IFERROR(VLOOKUP(Data[[#This Row],[DEVELOPMENT]],Ops_Priorities_and_Data_Clean[[development]:[ifnoext_comment]],3,FALSE),"")</f>
        <v>2</v>
      </c>
      <c r="AH196" s="20">
        <f>IFERROR(VLOOKUP(Data[[#This Row],[DEVELOPMENT]],Ops_Priorities_and_Data_Clean[[development]:[ifnoext_comment]],4,FALSE),"")</f>
        <v>0</v>
      </c>
      <c r="AI196" s="20">
        <f>IFERROR(VLOOKUP(Data[[#This Row],[DEVELOPMENT]],Ops_Priorities_and_Data_Clean[[development]:[ifnoext_comment]],5,FALSE),"")</f>
        <v>1</v>
      </c>
      <c r="AJ196" s="20">
        <f>IFERROR(VLOOKUP(Data[[#This Row],[DEVELOPMENT]],Ops_Priorities_and_Data_Clean[[development]:[ifnoext_comment]],6,FALSE),"")</f>
        <v>0</v>
      </c>
      <c r="AK196" s="20">
        <f>IFERROR(VLOOKUP(Data[[#This Row],[DEVELOPMENT]],Ops_Priorities_and_Data_Clean[[development]:[ifnoext_comment]],7,FALSE),"")</f>
        <v>0</v>
      </c>
      <c r="AL196" s="20">
        <f>IFERROR(VLOOKUP(Data[[#This Row],[DEVELOPMENT]],Ops_Priorities_and_Data_Clean[[development]:[ifnoext_comment]],8,FALSE),"")</f>
        <v>1</v>
      </c>
      <c r="AM196" s="20">
        <f>IFERROR(VLOOKUP(Data[[#This Row],[DEVELOPMENT]],Ops_Priorities_and_Data_Clean[[development]:[ifnoext_comment]],9,FALSE),"")</f>
        <v>0</v>
      </c>
      <c r="AN196" s="20">
        <f>IFERROR(VLOOKUP(Data[[#This Row],[DEVELOPMENT]],Ops_Priorities_and_Data_Clean[[development]:[ifnoext_comment]],10,FALSE),"")</f>
        <v>0</v>
      </c>
      <c r="AO196" s="20">
        <f>IFERROR(VLOOKUP(Data[[#This Row],[DEVELOPMENT]],Ops_Priorities_and_Data_Clean[[development]:[ifnoext_comment]],11,FALSE),"")</f>
        <v>0</v>
      </c>
      <c r="AP196" s="20">
        <f>IFERROR(VLOOKUP(Data[[#This Row],[DEVELOPMENT]],Ops_Priorities_and_Data_Clean[[development]:[ifnoext_comment]],12,FALSE),"")</f>
        <v>0</v>
      </c>
      <c r="AQ196" s="20">
        <f>VLOOKUP(Data[[#This Row],[DEVELOPMENT]],Ops_Priorities_and_Data_Clean[[development]:[ifnoext_comment]],14,FALSE)</f>
        <v>0</v>
      </c>
      <c r="AR196" s="20">
        <f>VLOOKUP(Data[[#This Row],[DEVELOPMENT]],Ops_Priorities_and_Data_Clean[[development]:[ifnoext_comment]],15,FALSE)</f>
        <v>1</v>
      </c>
      <c r="AS196" s="20" t="str">
        <f>VLOOKUP(Data[[#This Row],[DEVELOPMENT]],Ops_Priorities_and_Data_Clean[[development]:[ifnoext_comment]],16,FALSE)</f>
        <v>NULL</v>
      </c>
      <c r="AT196" s="20" t="str">
        <f>VLOOKUP(Data[[#This Row],[DEVELOPMENT]],Ops_Priorities_and_Data_Clean[[development]:[ifnoext_comment]],17,FALSE)</f>
        <v>NULL</v>
      </c>
      <c r="AU196" s="20" t="str">
        <f>VLOOKUP(Data[[#This Row],[DEVELOPMENT]],Ops_Priorities_and_Data_Clean[[development]:[ifnoext_comment]],18,FALSE)</f>
        <v>No</v>
      </c>
      <c r="AV196" s="20" t="str">
        <f>VLOOKUP(Data[[#This Row],[DEVELOPMENT]],Ops_Priorities_and_Data_Clean[[development]:[ifnoext_comment]],19,FALSE)</f>
        <v>container on-site</v>
      </c>
      <c r="AW196" s="20" t="str">
        <f>VLOOKUP(Data[[#This Row],[DEVELOPMENT]],Ops_Priorities_and_Data_Clean[[development]:[ifnoext_comment]],20,FALSE)</f>
        <v>NULL</v>
      </c>
      <c r="AX196" s="104" t="s">
        <v>2237</v>
      </c>
      <c r="AY196" s="104" t="s">
        <v>2590</v>
      </c>
      <c r="AZ196" s="20" t="str">
        <f>VLOOKUP(Data[[#This Row],[DEVELOPMENT]],Development_Data_Book[[DEVELOPMENT]:[PRIVATE MANAGEMENT]],8,FALSE)</f>
        <v>FEDERAL</v>
      </c>
      <c r="BA196" s="104" t="s">
        <v>2586</v>
      </c>
      <c r="BB196" s="20">
        <f>VLOOKUP(Data[[#This Row],[DEVELOPMENT]],Development_Data_Book[[DEVELOPMENT]:[PRIVATE MANAGEMENT]],22,FALSE)</f>
        <v>0</v>
      </c>
      <c r="BC196" s="20">
        <f>Data[[#This Row],[Non-Dwelling Buildings]]+Data[[#This Row],[Dwelling Buildings]]</f>
        <v>7</v>
      </c>
      <c r="BD196" s="20">
        <f>VLOOKUP(Data[[#This Row],[DEVELOPMENT]],Development_Data_Book[[DEVELOPMENT]:[PRIVATE MANAGEMENT]],26,FALSE)</f>
        <v>8.24</v>
      </c>
      <c r="BE196" s="106">
        <v>792250</v>
      </c>
      <c r="BF196" s="20">
        <f>VLOOKUP(Data[[#This Row],[DEVELOPMENT]],Development_Data_Book[[DEVELOPMENT]:[PRIVATE MANAGEMENT]],18,FALSE)</f>
        <v>1989</v>
      </c>
      <c r="BG19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96" s="104" t="s">
        <v>2631</v>
      </c>
      <c r="BI196" t="s">
        <v>184</v>
      </c>
      <c r="BJ196" s="20">
        <f>VLOOKUP(Data[[#This Row],[DEVELOPMENT]],Development_Data_Book[[DEVELOPMENT]:[PRIVATE MANAGEMENT]],41,FALSE)</f>
        <v>3</v>
      </c>
      <c r="BK196" s="20">
        <f>VLOOKUP(Data[[#This Row],[DEVELOPMENT]],Development_Data_Book[[DEVELOPMENT]:[PRIVATE MANAGEMENT]],42,FALSE)</f>
        <v>15</v>
      </c>
      <c r="BL196" s="20">
        <f>VLOOKUP(Data[[#This Row],[DEVELOPMENT]],Development_Data_Book[[DEVELOPMENT]:[PRIVATE MANAGEMENT]],43,FALSE)</f>
        <v>33</v>
      </c>
      <c r="BM196" s="20">
        <f>VLOOKUP(Data[[#This Row],[DEVELOPMENT]],Development_Data_Book[[DEVELOPMENT]:[PRIVATE MANAGEMENT]],44,FALSE)</f>
        <v>79</v>
      </c>
      <c r="BN196" s="20">
        <f>VLOOKUP(Data[[#This Row],[DEVELOPMENT]],Development_Data_Book[[DEVELOPMENT]:[PRIVATE MANAGEMENT]],45,FALSE)</f>
        <v>16</v>
      </c>
      <c r="BO196" s="20" t="str">
        <f>VLOOKUP(Data[[#This Row],[DEVELOPMENT]],Development_Data_Book[[DEVELOPMENT]:[PRIVATE MANAGEMENT]],24,FALSE)</f>
        <v>16-20</v>
      </c>
    </row>
    <row r="197" spans="1:67">
      <c r="A197" t="s">
        <v>92</v>
      </c>
      <c r="B197" t="str">
        <f>VLOOKUP(Data[[#This Row],[DEVELOPMENT]],Development_Data_Book[[DEVELOPMENT]:[BOROUGH]],MATCH("borough",Development_Data_Book[[#Headers],[DEVELOPMENT]:[BOROUGH]],0),FALSE)</f>
        <v>MANHATTAN</v>
      </c>
      <c r="C197" t="e">
        <f>VLOOKUP(Data[[#This Row],[DEVELOPMENT]],'[1]Cheat-Sheet'!$D$2:$Q$341,2,FALSE)</f>
        <v>#N/A</v>
      </c>
      <c r="D19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97">
        <f>VLOOKUP(Data[[#This Row],[DEVELOPMENT]],Development_Data_Book[[DEVELOPMENT]:[BOROUGH]],21,FALSE)</f>
        <v>1</v>
      </c>
      <c r="F197">
        <f>VLOOKUP(Data[[#This Row],[DEVELOPMENT]],Development_Data_Book[[DEVELOPMENT]:[BOROUGH]],23,FALSE)</f>
        <v>1</v>
      </c>
      <c r="G197">
        <f>VLOOKUP(Data[[#This Row],[DEVELOPMENT]],Development_Data_Book[[DEVELOPMENT]:[BOROUGH]],12,FALSE)</f>
        <v>97</v>
      </c>
      <c r="H197" t="s">
        <v>2247</v>
      </c>
      <c r="I197">
        <v>1</v>
      </c>
      <c r="J197">
        <f>IFERROR(VLOOKUP(Data[[#This Row],[DEVELOPMENT]],IntCompactors_MRST[],4,FALSE),0)</f>
        <v>1</v>
      </c>
      <c r="K197" s="20">
        <f>IFERROR(VLOOKUP(Data[[#This Row],[DEVELOPMENT]],ExtCompactors_MRST[],4,FALSE),0)</f>
        <v>0</v>
      </c>
      <c r="L197" s="27">
        <f>IF(Data[[#This Row],['# Interior Compactors MRST]]=0,"",VLOOKUP(Data[[#This Row],[DEVELOPMENT]],IntCompactors_MRST[],5,FALSE))</f>
        <v>36526</v>
      </c>
      <c r="M197" s="28" t="str">
        <f>IF(Data[[#This Row],['# Exterior Compactors MRST]]=0,"",VLOOKUP(Data[[#This Row],[DEVELOPMENT]],ExtCompactors_MRST[],5,FALSE))</f>
        <v/>
      </c>
      <c r="N197">
        <f>Data[[#This Row],['# Interior Compactors MRST]]</f>
        <v>1</v>
      </c>
      <c r="O197" s="20">
        <f>IF(Data[[#This Row],['# Bulk Crushers]]=0,1,0)</f>
        <v>1</v>
      </c>
      <c r="P197" s="20">
        <f>1</f>
        <v>1</v>
      </c>
      <c r="Q197" s="20">
        <f>1</f>
        <v>1</v>
      </c>
      <c r="R197" s="20">
        <f>1</f>
        <v>1</v>
      </c>
      <c r="S197" s="20">
        <f>1</f>
        <v>1</v>
      </c>
      <c r="T197" s="20">
        <f>IF(Data[[#This Row],[Sewershed]]="Newtown Creek",Data[[#This Row],[DUs]],0)</f>
        <v>0</v>
      </c>
      <c r="U19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9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9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97" s="82">
        <f>VLOOKUP(Data[[#This Row],[DEVELOPMENT]],Development_Data_Book[[DEVELOPMENT]:[BOROUGH]],3,FALSE)</f>
        <v>277</v>
      </c>
      <c r="Y197" s="20"/>
      <c r="Z197" s="20">
        <f>IFERROR(VLOOKUP(Data[[#This Row],[TDS]],ExtCompactors_PNA[[Development]:[0]],2,FALSE),0)</f>
        <v>0</v>
      </c>
      <c r="AA197" s="20">
        <f>IFERROR(VLOOKUP(Data[[#This Row],[TDS]],IntCompactors_PNA[[TDS]:[0]],2,FALSE),0)</f>
        <v>1</v>
      </c>
      <c r="AB197" s="20"/>
      <c r="AC197" s="20"/>
      <c r="AD197" s="20">
        <f>IFERROR(VLOOKUP(Data[[#This Row],[TDS]],ExtCompactors_PNA[[Development]:[0]],3,FALSE)+VLOOKUP(Data[[#This Row],[TDS]],ExtCompactors_PNA[[Development]:[0]],6,FALSE),0)</f>
        <v>0</v>
      </c>
      <c r="AE197" s="20">
        <f>IFERROR(VLOOKUP(Data[[#This Row],[TDS]],IntCompactors_PNA[[TDS]:[0]],3,FALSE)+VLOOKUP(Data[[#This Row],[TDS]],IntCompactors_PNA[[TDS]:[0]],6,FALSE),0)</f>
        <v>1</v>
      </c>
      <c r="AF197" s="20" t="e">
        <f>VLOOKUP(Data[[#This Row],[DEVELOPMENT]],[3]Developments!$A$2:$A$312,1,FALSE)</f>
        <v>#N/A</v>
      </c>
      <c r="AG197" s="20">
        <f>IFERROR(VLOOKUP(Data[[#This Row],[DEVELOPMENT]],Ops_Priorities_and_Data_Clean[[development]:[ifnoext_comment]],3,FALSE),"")</f>
        <v>0</v>
      </c>
      <c r="AH197" s="20">
        <f>IFERROR(VLOOKUP(Data[[#This Row],[DEVELOPMENT]],Ops_Priorities_and_Data_Clean[[development]:[ifnoext_comment]],4,FALSE),"")</f>
        <v>0</v>
      </c>
      <c r="AI197" s="20">
        <f>IFERROR(VLOOKUP(Data[[#This Row],[DEVELOPMENT]],Ops_Priorities_and_Data_Clean[[development]:[ifnoext_comment]],5,FALSE),"")</f>
        <v>0</v>
      </c>
      <c r="AJ197" s="20">
        <f>IFERROR(VLOOKUP(Data[[#This Row],[DEVELOPMENT]],Ops_Priorities_and_Data_Clean[[development]:[ifnoext_comment]],6,FALSE),"")</f>
        <v>1</v>
      </c>
      <c r="AK197" s="20">
        <f>IFERROR(VLOOKUP(Data[[#This Row],[DEVELOPMENT]],Ops_Priorities_and_Data_Clean[[development]:[ifnoext_comment]],7,FALSE),"")</f>
        <v>0</v>
      </c>
      <c r="AL197" s="20">
        <f>IFERROR(VLOOKUP(Data[[#This Row],[DEVELOPMENT]],Ops_Priorities_and_Data_Clean[[development]:[ifnoext_comment]],8,FALSE),"")</f>
        <v>1</v>
      </c>
      <c r="AM197" s="20">
        <f>IFERROR(VLOOKUP(Data[[#This Row],[DEVELOPMENT]],Ops_Priorities_and_Data_Clean[[development]:[ifnoext_comment]],9,FALSE),"")</f>
        <v>0</v>
      </c>
      <c r="AN197" s="20">
        <f>IFERROR(VLOOKUP(Data[[#This Row],[DEVELOPMENT]],Ops_Priorities_and_Data_Clean[[development]:[ifnoext_comment]],10,FALSE),"")</f>
        <v>0</v>
      </c>
      <c r="AO197" s="20">
        <f>IFERROR(VLOOKUP(Data[[#This Row],[DEVELOPMENT]],Ops_Priorities_and_Data_Clean[[development]:[ifnoext_comment]],11,FALSE),"")</f>
        <v>0</v>
      </c>
      <c r="AP197" s="20">
        <f>IFERROR(VLOOKUP(Data[[#This Row],[DEVELOPMENT]],Ops_Priorities_and_Data_Clean[[development]:[ifnoext_comment]],12,FALSE),"")</f>
        <v>0</v>
      </c>
      <c r="AQ197" s="20">
        <f>VLOOKUP(Data[[#This Row],[DEVELOPMENT]],Ops_Priorities_and_Data_Clean[[development]:[ifnoext_comment]],14,FALSE)</f>
        <v>0</v>
      </c>
      <c r="AR197" s="20">
        <f>VLOOKUP(Data[[#This Row],[DEVELOPMENT]],Ops_Priorities_and_Data_Clean[[development]:[ifnoext_comment]],15,FALSE)</f>
        <v>1</v>
      </c>
      <c r="AS197" s="20" t="str">
        <f>VLOOKUP(Data[[#This Row],[DEVELOPMENT]],Ops_Priorities_and_Data_Clean[[development]:[ifnoext_comment]],16,FALSE)</f>
        <v>UPACA (SITE 6)</v>
      </c>
      <c r="AT197" s="20" t="str">
        <f>VLOOKUP(Data[[#This Row],[DEVELOPMENT]],Ops_Priorities_and_Data_Clean[[development]:[ifnoext_comment]],17,FALSE)</f>
        <v>NULL</v>
      </c>
      <c r="AU197" s="20" t="str">
        <f>VLOOKUP(Data[[#This Row],[DEVELOPMENT]],Ops_Priorities_and_Data_Clean[[development]:[ifnoext_comment]],18,FALSE)</f>
        <v>NULL</v>
      </c>
      <c r="AV197" s="20" t="str">
        <f>VLOOKUP(Data[[#This Row],[DEVELOPMENT]],Ops_Priorities_and_Data_Clean[[development]:[ifnoext_comment]],19,FALSE)</f>
        <v>NULL</v>
      </c>
      <c r="AW197" s="20" t="str">
        <f>VLOOKUP(Data[[#This Row],[DEVELOPMENT]],Ops_Priorities_and_Data_Clean[[development]:[ifnoext_comment]],20,FALSE)</f>
        <v>NULL</v>
      </c>
      <c r="AX197" s="104" t="s">
        <v>2239</v>
      </c>
      <c r="AY197" s="104" t="s">
        <v>2592</v>
      </c>
      <c r="AZ197" s="20" t="str">
        <f>VLOOKUP(Data[[#This Row],[DEVELOPMENT]],Development_Data_Book[[DEVELOPMENT]:[PRIVATE MANAGEMENT]],8,FALSE)</f>
        <v>FEDERAL</v>
      </c>
      <c r="BA197" s="104" t="s">
        <v>2586</v>
      </c>
      <c r="BB197" s="20">
        <f>VLOOKUP(Data[[#This Row],[DEVELOPMENT]],Development_Data_Book[[DEVELOPMENT]:[PRIVATE MANAGEMENT]],22,FALSE)</f>
        <v>0</v>
      </c>
      <c r="BC197" s="20">
        <f>Data[[#This Row],[Non-Dwelling Buildings]]+Data[[#This Row],[Dwelling Buildings]]</f>
        <v>1</v>
      </c>
      <c r="BD197" s="20">
        <f>VLOOKUP(Data[[#This Row],[DEVELOPMENT]],Development_Data_Book[[DEVELOPMENT]:[PRIVATE MANAGEMENT]],26,FALSE)</f>
        <v>0.23</v>
      </c>
      <c r="BE197" s="106">
        <v>63700</v>
      </c>
      <c r="BF197" s="20">
        <f>VLOOKUP(Data[[#This Row],[DEVELOPMENT]],Development_Data_Book[[DEVELOPMENT]:[PRIVATE MANAGEMENT]],18,FALSE)</f>
        <v>103</v>
      </c>
      <c r="BG197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197" s="104" t="s">
        <v>2604</v>
      </c>
      <c r="BI197" t="s">
        <v>184</v>
      </c>
      <c r="BJ197" s="20">
        <f>VLOOKUP(Data[[#This Row],[DEVELOPMENT]],Development_Data_Book[[DEVELOPMENT]:[PRIVATE MANAGEMENT]],41,FALSE)</f>
        <v>11</v>
      </c>
      <c r="BK197" s="20">
        <f>VLOOKUP(Data[[#This Row],[DEVELOPMENT]],Development_Data_Book[[DEVELOPMENT]:[PRIVATE MANAGEMENT]],42,FALSE)</f>
        <v>13</v>
      </c>
      <c r="BL197" s="20">
        <f>VLOOKUP(Data[[#This Row],[DEVELOPMENT]],Development_Data_Book[[DEVELOPMENT]:[PRIVATE MANAGEMENT]],43,FALSE)</f>
        <v>30</v>
      </c>
      <c r="BM197" s="20">
        <f>VLOOKUP(Data[[#This Row],[DEVELOPMENT]],Development_Data_Book[[DEVELOPMENT]:[PRIVATE MANAGEMENT]],44,FALSE)</f>
        <v>68</v>
      </c>
      <c r="BN197" s="20">
        <f>VLOOKUP(Data[[#This Row],[DEVELOPMENT]],Development_Data_Book[[DEVELOPMENT]:[PRIVATE MANAGEMENT]],45,FALSE)</f>
        <v>9</v>
      </c>
      <c r="BO197" s="20">
        <f>VLOOKUP(Data[[#This Row],[DEVELOPMENT]],Development_Data_Book[[DEVELOPMENT]:[PRIVATE MANAGEMENT]],24,FALSE)</f>
        <v>9</v>
      </c>
    </row>
    <row r="198" spans="1:67">
      <c r="A198" s="17" t="s">
        <v>147</v>
      </c>
      <c r="B198" s="17" t="str">
        <f>VLOOKUP(Data[[#This Row],[DEVELOPMENT]],Development_Data_Book[[DEVELOPMENT]:[BOROUGH]],MATCH("borough",Development_Data_Book[[#Headers],[DEVELOPMENT]:[BOROUGH]],0),FALSE)</f>
        <v>BRONX</v>
      </c>
      <c r="C198" t="e">
        <f>VLOOKUP(Data[[#This Row],[DEVELOPMENT]],'[1]Cheat-Sheet'!$D$2:$Q$341,2,FALSE)</f>
        <v>#N/A</v>
      </c>
      <c r="D19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98">
        <f>VLOOKUP(Data[[#This Row],[DEVELOPMENT]],Development_Data_Book[[DEVELOPMENT]:[BOROUGH]],21,FALSE)</f>
        <v>2</v>
      </c>
      <c r="F198">
        <f>VLOOKUP(Data[[#This Row],[DEVELOPMENT]],Development_Data_Book[[DEVELOPMENT]:[BOROUGH]],23,FALSE)</f>
        <v>2</v>
      </c>
      <c r="G198">
        <f>VLOOKUP(Data[[#This Row],[DEVELOPMENT]],Development_Data_Book[[DEVELOPMENT]:[BOROUGH]],12,FALSE)</f>
        <v>206</v>
      </c>
      <c r="H198" t="s">
        <v>2246</v>
      </c>
      <c r="I198">
        <v>1</v>
      </c>
      <c r="J198">
        <f>IFERROR(VLOOKUP(Data[[#This Row],[DEVELOPMENT]],IntCompactors_MRST[],4,FALSE),0)</f>
        <v>2</v>
      </c>
      <c r="K198" s="20">
        <f>IFERROR(VLOOKUP(Data[[#This Row],[DEVELOPMENT]],ExtCompactors_MRST[],4,FALSE),0)</f>
        <v>0</v>
      </c>
      <c r="L198" s="27">
        <f>IF(Data[[#This Row],['# Interior Compactors MRST]]=0,"",VLOOKUP(Data[[#This Row],[DEVELOPMENT]],IntCompactors_MRST[],5,FALSE))</f>
        <v>38353</v>
      </c>
      <c r="M198" s="28" t="str">
        <f>IF(Data[[#This Row],['# Exterior Compactors MRST]]=0,"",VLOOKUP(Data[[#This Row],[DEVELOPMENT]],ExtCompactors_MRST[],5,FALSE))</f>
        <v/>
      </c>
      <c r="N198">
        <f>Data[[#This Row],['# Interior Compactors MRST]]</f>
        <v>2</v>
      </c>
      <c r="O198" s="20">
        <f>IF(Data[[#This Row],['# Bulk Crushers]]=0,1,0)</f>
        <v>1</v>
      </c>
      <c r="P198" s="20">
        <f>1</f>
        <v>1</v>
      </c>
      <c r="Q198" s="20">
        <f>1</f>
        <v>1</v>
      </c>
      <c r="R198" s="20">
        <f>1</f>
        <v>1</v>
      </c>
      <c r="S198" s="20">
        <f>1</f>
        <v>1</v>
      </c>
      <c r="T198" s="20">
        <f>IF(Data[[#This Row],[Sewershed]]="Newtown Creek",Data[[#This Row],[DUs]],0)</f>
        <v>0</v>
      </c>
      <c r="U19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19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19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198" s="82">
        <f>VLOOKUP(Data[[#This Row],[DEVELOPMENT]],Development_Data_Book[[DEVELOPMENT]:[BOROUGH]],3,FALSE)</f>
        <v>130</v>
      </c>
      <c r="Y198" s="20"/>
      <c r="Z198" s="20">
        <f>IFERROR(VLOOKUP(Data[[#This Row],[TDS]],ExtCompactors_PNA[[Development]:[0]],2,FALSE),0)</f>
        <v>0</v>
      </c>
      <c r="AA198" s="20">
        <f>IFERROR(VLOOKUP(Data[[#This Row],[TDS]],IntCompactors_PNA[[TDS]:[0]],2,FALSE),0)</f>
        <v>2</v>
      </c>
      <c r="AB198" s="20"/>
      <c r="AC198" s="20"/>
      <c r="AD198" s="20">
        <f>IFERROR(VLOOKUP(Data[[#This Row],[TDS]],ExtCompactors_PNA[[Development]:[0]],3,FALSE)+VLOOKUP(Data[[#This Row],[TDS]],ExtCompactors_PNA[[Development]:[0]],6,FALSE),0)</f>
        <v>0</v>
      </c>
      <c r="AE198" s="20">
        <f>IFERROR(VLOOKUP(Data[[#This Row],[TDS]],IntCompactors_PNA[[TDS]:[0]],3,FALSE)+VLOOKUP(Data[[#This Row],[TDS]],IntCompactors_PNA[[TDS]:[0]],6,FALSE),0)</f>
        <v>2</v>
      </c>
      <c r="AF198" s="20" t="e">
        <f>VLOOKUP(Data[[#This Row],[DEVELOPMENT]],[3]Developments!$A$2:$A$312,1,FALSE)</f>
        <v>#N/A</v>
      </c>
      <c r="AG198" s="20">
        <f>IFERROR(VLOOKUP(Data[[#This Row],[DEVELOPMENT]],Ops_Priorities_and_Data_Clean[[development]:[ifnoext_comment]],3,FALSE),"")</f>
        <v>0</v>
      </c>
      <c r="AH198" s="20">
        <f>IFERROR(VLOOKUP(Data[[#This Row],[DEVELOPMENT]],Ops_Priorities_and_Data_Clean[[development]:[ifnoext_comment]],4,FALSE),"")</f>
        <v>3</v>
      </c>
      <c r="AI198" s="20">
        <f>IFERROR(VLOOKUP(Data[[#This Row],[DEVELOPMENT]],Ops_Priorities_and_Data_Clean[[development]:[ifnoext_comment]],5,FALSE),"")</f>
        <v>0</v>
      </c>
      <c r="AJ198" s="20">
        <f>IFERROR(VLOOKUP(Data[[#This Row],[DEVELOPMENT]],Ops_Priorities_and_Data_Clean[[development]:[ifnoext_comment]],6,FALSE),"")</f>
        <v>1</v>
      </c>
      <c r="AK198" s="20">
        <f>IFERROR(VLOOKUP(Data[[#This Row],[DEVELOPMENT]],Ops_Priorities_and_Data_Clean[[development]:[ifnoext_comment]],7,FALSE),"")</f>
        <v>0</v>
      </c>
      <c r="AL198" s="20">
        <f>IFERROR(VLOOKUP(Data[[#This Row],[DEVELOPMENT]],Ops_Priorities_and_Data_Clean[[development]:[ifnoext_comment]],8,FALSE),"")</f>
        <v>1</v>
      </c>
      <c r="AM198" s="20">
        <f>IFERROR(VLOOKUP(Data[[#This Row],[DEVELOPMENT]],Ops_Priorities_and_Data_Clean[[development]:[ifnoext_comment]],9,FALSE),"")</f>
        <v>0</v>
      </c>
      <c r="AN198" s="20">
        <f>IFERROR(VLOOKUP(Data[[#This Row],[DEVELOPMENT]],Ops_Priorities_and_Data_Clean[[development]:[ifnoext_comment]],10,FALSE),"")</f>
        <v>0</v>
      </c>
      <c r="AO198" s="20">
        <f>IFERROR(VLOOKUP(Data[[#This Row],[DEVELOPMENT]],Ops_Priorities_and_Data_Clean[[development]:[ifnoext_comment]],11,FALSE),"")</f>
        <v>0</v>
      </c>
      <c r="AP198" s="20">
        <f>IFERROR(VLOOKUP(Data[[#This Row],[DEVELOPMENT]],Ops_Priorities_and_Data_Clean[[development]:[ifnoext_comment]],12,FALSE),"")</f>
        <v>0</v>
      </c>
      <c r="AQ198" s="20">
        <f>VLOOKUP(Data[[#This Row],[DEVELOPMENT]],Ops_Priorities_and_Data_Clean[[development]:[ifnoext_comment]],14,FALSE)</f>
        <v>0</v>
      </c>
      <c r="AR198" s="20">
        <f>VLOOKUP(Data[[#This Row],[DEVELOPMENT]],Ops_Priorities_and_Data_Clean[[development]:[ifnoext_comment]],15,FALSE)</f>
        <v>1</v>
      </c>
      <c r="AS198" s="20" t="str">
        <f>VLOOKUP(Data[[#This Row],[DEVELOPMENT]],Ops_Priorities_and_Data_Clean[[development]:[ifnoext_comment]],16,FALSE)</f>
        <v>Webster</v>
      </c>
      <c r="AT198" s="20" t="str">
        <f>VLOOKUP(Data[[#This Row],[DEVELOPMENT]],Ops_Priorities_and_Data_Clean[[development]:[ifnoext_comment]],17,FALSE)</f>
        <v>NULL</v>
      </c>
      <c r="AU198" s="20" t="str">
        <f>VLOOKUP(Data[[#This Row],[DEVELOPMENT]],Ops_Priorities_and_Data_Clean[[development]:[ifnoext_comment]],18,FALSE)</f>
        <v>No</v>
      </c>
      <c r="AV198" s="20" t="str">
        <f>VLOOKUP(Data[[#This Row],[DEVELOPMENT]],Ops_Priorities_and_Data_Clean[[development]:[ifnoext_comment]],19,FALSE)</f>
        <v>served by Webster- confirmed</v>
      </c>
      <c r="AW198" s="20" t="str">
        <f>VLOOKUP(Data[[#This Row],[DEVELOPMENT]],Ops_Priorities_and_Data_Clean[[development]:[ifnoext_comment]],20,FALSE)</f>
        <v>NULL</v>
      </c>
      <c r="AX198" s="104" t="s">
        <v>2237</v>
      </c>
      <c r="AY198" s="104" t="s">
        <v>147</v>
      </c>
      <c r="AZ198" s="20" t="str">
        <f>VLOOKUP(Data[[#This Row],[DEVELOPMENT]],Development_Data_Book[[DEVELOPMENT]:[PRIVATE MANAGEMENT]],8,FALSE)</f>
        <v>FEDERAL</v>
      </c>
      <c r="BA198" s="104" t="s">
        <v>2586</v>
      </c>
      <c r="BB198" s="20">
        <f>VLOOKUP(Data[[#This Row],[DEVELOPMENT]],Development_Data_Book[[DEVELOPMENT]:[PRIVATE MANAGEMENT]],22,FALSE)</f>
        <v>0</v>
      </c>
      <c r="BC198" s="20">
        <f>Data[[#This Row],[Non-Dwelling Buildings]]+Data[[#This Row],[Dwelling Buildings]]</f>
        <v>2</v>
      </c>
      <c r="BD198" s="20">
        <f>VLOOKUP(Data[[#This Row],[DEVELOPMENT]],Development_Data_Book[[DEVELOPMENT]:[PRIVATE MANAGEMENT]],26,FALSE)</f>
        <v>1.4</v>
      </c>
      <c r="BE198" s="106">
        <v>194550</v>
      </c>
      <c r="BF198" s="20">
        <f>VLOOKUP(Data[[#This Row],[DEVELOPMENT]],Development_Data_Book[[DEVELOPMENT]:[PRIVATE MANAGEMENT]],18,FALSE)</f>
        <v>531</v>
      </c>
      <c r="BG19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198" s="104" t="s">
        <v>2631</v>
      </c>
      <c r="BI198" t="s">
        <v>184</v>
      </c>
      <c r="BJ198" s="20">
        <f>VLOOKUP(Data[[#This Row],[DEVELOPMENT]],Development_Data_Book[[DEVELOPMENT]:[PRIVATE MANAGEMENT]],41,FALSE)</f>
        <v>3</v>
      </c>
      <c r="BK198" s="20">
        <f>VLOOKUP(Data[[#This Row],[DEVELOPMENT]],Development_Data_Book[[DEVELOPMENT]:[PRIVATE MANAGEMENT]],42,FALSE)</f>
        <v>15</v>
      </c>
      <c r="BL198" s="20">
        <f>VLOOKUP(Data[[#This Row],[DEVELOPMENT]],Development_Data_Book[[DEVELOPMENT]:[PRIVATE MANAGEMENT]],43,FALSE)</f>
        <v>32</v>
      </c>
      <c r="BM198" s="20">
        <f>VLOOKUP(Data[[#This Row],[DEVELOPMENT]],Development_Data_Book[[DEVELOPMENT]:[PRIVATE MANAGEMENT]],44,FALSE)</f>
        <v>79</v>
      </c>
      <c r="BN198" s="20">
        <f>VLOOKUP(Data[[#This Row],[DEVELOPMENT]],Development_Data_Book[[DEVELOPMENT]:[PRIVATE MANAGEMENT]],45,FALSE)</f>
        <v>16</v>
      </c>
      <c r="BO198" s="20">
        <f>VLOOKUP(Data[[#This Row],[DEVELOPMENT]],Development_Data_Book[[DEVELOPMENT]:[PRIVATE MANAGEMENT]],24,FALSE)</f>
        <v>16</v>
      </c>
    </row>
    <row r="199" spans="1:67">
      <c r="A199" s="17" t="s">
        <v>41</v>
      </c>
      <c r="B199" s="17" t="str">
        <f>VLOOKUP(Data[[#This Row],[DEVELOPMENT]],Development_Data_Book[[DEVELOPMENT]:[BOROUGH]],MATCH("borough",Development_Data_Book[[#Headers],[DEVELOPMENT]:[BOROUGH]],0),FALSE)</f>
        <v>BRONX</v>
      </c>
      <c r="C199" t="e">
        <f>VLOOKUP(Data[[#This Row],[DEVELOPMENT]],'[1]Cheat-Sheet'!$D$2:$Q$341,2,FALSE)</f>
        <v>#N/A</v>
      </c>
      <c r="D19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199">
        <f>VLOOKUP(Data[[#This Row],[DEVELOPMENT]],Development_Data_Book[[DEVELOPMENT]:[BOROUGH]],21,FALSE)</f>
        <v>3</v>
      </c>
      <c r="F199">
        <f>VLOOKUP(Data[[#This Row],[DEVELOPMENT]],Development_Data_Book[[DEVELOPMENT]:[BOROUGH]],23,FALSE)</f>
        <v>5</v>
      </c>
      <c r="G199">
        <f>VLOOKUP(Data[[#This Row],[DEVELOPMENT]],Development_Data_Book[[DEVELOPMENT]:[BOROUGH]],12,FALSE)</f>
        <v>841</v>
      </c>
      <c r="H199" t="s">
        <v>2246</v>
      </c>
      <c r="I199">
        <v>4</v>
      </c>
      <c r="J199">
        <f>IFERROR(VLOOKUP(Data[[#This Row],[DEVELOPMENT]],IntCompactors_MRST[],4,FALSE),0)</f>
        <v>5</v>
      </c>
      <c r="K199" s="20">
        <f>IFERROR(VLOOKUP(Data[[#This Row],[DEVELOPMENT]],ExtCompactors_MRST[],4,FALSE),0)</f>
        <v>2</v>
      </c>
      <c r="L199" s="27">
        <f>IF(Data[[#This Row],['# Interior Compactors MRST]]=0,"",VLOOKUP(Data[[#This Row],[DEVELOPMENT]],IntCompactors_MRST[],5,FALSE))</f>
        <v>38353</v>
      </c>
      <c r="M199" s="28">
        <f>IF(Data[[#This Row],['# Exterior Compactors MRST]]=0,"",VLOOKUP(Data[[#This Row],[DEVELOPMENT]],ExtCompactors_MRST[],5,FALSE))</f>
        <v>42278</v>
      </c>
      <c r="N199">
        <f>Data[[#This Row],['# Interior Compactors MRST]]</f>
        <v>5</v>
      </c>
      <c r="O199" s="20">
        <f>IF(Data[[#This Row],['# Bulk Crushers]]=0,1,0)</f>
        <v>1</v>
      </c>
      <c r="P199" s="20">
        <f>1</f>
        <v>1</v>
      </c>
      <c r="Q199" s="20">
        <f>1</f>
        <v>1</v>
      </c>
      <c r="R199" s="20">
        <f>1</f>
        <v>1</v>
      </c>
      <c r="S199" s="20">
        <f>1</f>
        <v>1</v>
      </c>
      <c r="T199" s="20">
        <f>IF(Data[[#This Row],[Sewershed]]="Newtown Creek",Data[[#This Row],[DUs]],0)</f>
        <v>0</v>
      </c>
      <c r="U19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19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19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199" s="82">
        <f>VLOOKUP(Data[[#This Row],[DEVELOPMENT]],Development_Data_Book[[DEVELOPMENT]:[BOROUGH]],3,FALSE)</f>
        <v>267</v>
      </c>
      <c r="Y199" s="20"/>
      <c r="Z199" s="20">
        <f>IFERROR(VLOOKUP(Data[[#This Row],[TDS]],ExtCompactors_PNA[[Development]:[0]],2,FALSE),0)</f>
        <v>0</v>
      </c>
      <c r="AA199" s="20">
        <f>IFERROR(VLOOKUP(Data[[#This Row],[TDS]],IntCompactors_PNA[[TDS]:[0]],2,FALSE),0)</f>
        <v>5</v>
      </c>
      <c r="AB199" s="20"/>
      <c r="AC199" s="20"/>
      <c r="AD199" s="20">
        <f>IFERROR(VLOOKUP(Data[[#This Row],[TDS]],ExtCompactors_PNA[[Development]:[0]],3,FALSE)+VLOOKUP(Data[[#This Row],[TDS]],ExtCompactors_PNA[[Development]:[0]],6,FALSE),0)</f>
        <v>0</v>
      </c>
      <c r="AE199" s="20">
        <f>IFERROR(VLOOKUP(Data[[#This Row],[TDS]],IntCompactors_PNA[[TDS]:[0]],3,FALSE)+VLOOKUP(Data[[#This Row],[TDS]],IntCompactors_PNA[[TDS]:[0]],6,FALSE),0)</f>
        <v>5</v>
      </c>
      <c r="AF199" s="20" t="e">
        <f>VLOOKUP(Data[[#This Row],[DEVELOPMENT]],[3]Developments!$A$2:$A$312,1,FALSE)</f>
        <v>#N/A</v>
      </c>
      <c r="AG199" s="20">
        <f>IFERROR(VLOOKUP(Data[[#This Row],[DEVELOPMENT]],Ops_Priorities_and_Data_Clean[[development]:[ifnoext_comment]],3,FALSE),"")</f>
        <v>2</v>
      </c>
      <c r="AH199" s="20">
        <f>IFERROR(VLOOKUP(Data[[#This Row],[DEVELOPMENT]],Ops_Priorities_and_Data_Clean[[development]:[ifnoext_comment]],4,FALSE),"")</f>
        <v>1</v>
      </c>
      <c r="AI199" s="20">
        <f>IFERROR(VLOOKUP(Data[[#This Row],[DEVELOPMENT]],Ops_Priorities_and_Data_Clean[[development]:[ifnoext_comment]],5,FALSE),"")</f>
        <v>1</v>
      </c>
      <c r="AJ199" s="20">
        <f>IFERROR(VLOOKUP(Data[[#This Row],[DEVELOPMENT]],Ops_Priorities_and_Data_Clean[[development]:[ifnoext_comment]],6,FALSE),"")</f>
        <v>0</v>
      </c>
      <c r="AK199" s="20">
        <f>IFERROR(VLOOKUP(Data[[#This Row],[DEVELOPMENT]],Ops_Priorities_and_Data_Clean[[development]:[ifnoext_comment]],7,FALSE),"")</f>
        <v>0</v>
      </c>
      <c r="AL199" s="20">
        <f>IFERROR(VLOOKUP(Data[[#This Row],[DEVELOPMENT]],Ops_Priorities_and_Data_Clean[[development]:[ifnoext_comment]],8,FALSE),"")</f>
        <v>1</v>
      </c>
      <c r="AM199" s="20">
        <f>IFERROR(VLOOKUP(Data[[#This Row],[DEVELOPMENT]],Ops_Priorities_and_Data_Clean[[development]:[ifnoext_comment]],9,FALSE),"")</f>
        <v>0</v>
      </c>
      <c r="AN199" s="20">
        <f>IFERROR(VLOOKUP(Data[[#This Row],[DEVELOPMENT]],Ops_Priorities_and_Data_Clean[[development]:[ifnoext_comment]],10,FALSE),"")</f>
        <v>2</v>
      </c>
      <c r="AO199" s="20">
        <f>IFERROR(VLOOKUP(Data[[#This Row],[DEVELOPMENT]],Ops_Priorities_and_Data_Clean[[development]:[ifnoext_comment]],11,FALSE),"")</f>
        <v>2</v>
      </c>
      <c r="AP199" s="20">
        <f>IFERROR(VLOOKUP(Data[[#This Row],[DEVELOPMENT]],Ops_Priorities_and_Data_Clean[[development]:[ifnoext_comment]],12,FALSE),"")</f>
        <v>0</v>
      </c>
      <c r="AQ199" s="20">
        <f>VLOOKUP(Data[[#This Row],[DEVELOPMENT]],Ops_Priorities_and_Data_Clean[[development]:[ifnoext_comment]],14,FALSE)</f>
        <v>0</v>
      </c>
      <c r="AR199" s="20">
        <f>VLOOKUP(Data[[#This Row],[DEVELOPMENT]],Ops_Priorities_and_Data_Clean[[development]:[ifnoext_comment]],15,FALSE)</f>
        <v>0</v>
      </c>
      <c r="AS199" s="20" t="str">
        <f>VLOOKUP(Data[[#This Row],[DEVELOPMENT]],Ops_Priorities_and_Data_Clean[[development]:[ifnoext_comment]],16,FALSE)</f>
        <v>NULL</v>
      </c>
      <c r="AT199" s="20" t="str">
        <f>VLOOKUP(Data[[#This Row],[DEVELOPMENT]],Ops_Priorities_and_Data_Clean[[development]:[ifnoext_comment]],17,FALSE)</f>
        <v>NULL</v>
      </c>
      <c r="AU199" s="20" t="str">
        <f>VLOOKUP(Data[[#This Row],[DEVELOPMENT]],Ops_Priorities_and_Data_Clean[[development]:[ifnoext_comment]],18,FALSE)</f>
        <v>No</v>
      </c>
      <c r="AV199" s="20" t="str">
        <f>VLOOKUP(Data[[#This Row],[DEVELOPMENT]],Ops_Priorities_and_Data_Clean[[development]:[ifnoext_comment]],19,FALSE)</f>
        <v>container on-site</v>
      </c>
      <c r="AW199" s="20" t="str">
        <f>VLOOKUP(Data[[#This Row],[DEVELOPMENT]],Ops_Priorities_and_Data_Clean[[development]:[ifnoext_comment]],20,FALSE)</f>
        <v xml:space="preserve">Having problems with the compactors and they need brand new ones. </v>
      </c>
      <c r="AX199" s="104" t="s">
        <v>2237</v>
      </c>
      <c r="AY199" s="104" t="s">
        <v>39</v>
      </c>
      <c r="AZ199" s="20" t="str">
        <f>VLOOKUP(Data[[#This Row],[DEVELOPMENT]],Development_Data_Book[[DEVELOPMENT]:[PRIVATE MANAGEMENT]],8,FALSE)</f>
        <v>FEDERAL</v>
      </c>
      <c r="BA199" s="104" t="s">
        <v>2586</v>
      </c>
      <c r="BB199" s="20">
        <f>VLOOKUP(Data[[#This Row],[DEVELOPMENT]],Development_Data_Book[[DEVELOPMENT]:[PRIVATE MANAGEMENT]],22,FALSE)</f>
        <v>0</v>
      </c>
      <c r="BC199" s="20">
        <f>Data[[#This Row],[Non-Dwelling Buildings]]+Data[[#This Row],[Dwelling Buildings]]</f>
        <v>3</v>
      </c>
      <c r="BD199" s="20">
        <f>VLOOKUP(Data[[#This Row],[DEVELOPMENT]],Development_Data_Book[[DEVELOPMENT]:[PRIVATE MANAGEMENT]],26,FALSE)</f>
        <v>6.3</v>
      </c>
      <c r="BE199" s="106">
        <v>1006300</v>
      </c>
      <c r="BF199" s="20">
        <f>VLOOKUP(Data[[#This Row],[DEVELOPMENT]],Development_Data_Book[[DEVELOPMENT]:[PRIVATE MANAGEMENT]],18,FALSE)</f>
        <v>1681</v>
      </c>
      <c r="BG199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199" s="104" t="s">
        <v>2631</v>
      </c>
      <c r="BI199" t="s">
        <v>184</v>
      </c>
      <c r="BJ199" s="20" t="str">
        <f>VLOOKUP(Data[[#This Row],[DEVELOPMENT]],Development_Data_Book[[DEVELOPMENT]:[PRIVATE MANAGEMENT]],41,FALSE)</f>
        <v>3, 4</v>
      </c>
      <c r="BK199" s="20">
        <f>VLOOKUP(Data[[#This Row],[DEVELOPMENT]],Development_Data_Book[[DEVELOPMENT]:[PRIVATE MANAGEMENT]],42,FALSE)</f>
        <v>15</v>
      </c>
      <c r="BL199" s="20">
        <f>VLOOKUP(Data[[#This Row],[DEVELOPMENT]],Development_Data_Book[[DEVELOPMENT]:[PRIVATE MANAGEMENT]],43,FALSE)</f>
        <v>32</v>
      </c>
      <c r="BM199" s="20">
        <f>VLOOKUP(Data[[#This Row],[DEVELOPMENT]],Development_Data_Book[[DEVELOPMENT]:[PRIVATE MANAGEMENT]],44,FALSE)</f>
        <v>79</v>
      </c>
      <c r="BN199" s="20" t="str">
        <f>VLOOKUP(Data[[#This Row],[DEVELOPMENT]],Development_Data_Book[[DEVELOPMENT]:[PRIVATE MANAGEMENT]],45,FALSE)</f>
        <v>16, 17</v>
      </c>
      <c r="BO199" s="20" t="str">
        <f>VLOOKUP(Data[[#This Row],[DEVELOPMENT]],Development_Data_Book[[DEVELOPMENT]:[PRIVATE MANAGEMENT]],24,FALSE)</f>
        <v>19-23-29</v>
      </c>
    </row>
    <row r="200" spans="1:67">
      <c r="A200" t="s">
        <v>346</v>
      </c>
      <c r="B200" s="20" t="str">
        <f>VLOOKUP(Data[[#This Row],[DEVELOPMENT]],Development_Data_Book[[DEVELOPMENT]:[BOROUGH]],MATCH("borough",Development_Data_Book[[#Headers],[DEVELOPMENT]:[BOROUGH]],0),FALSE)</f>
        <v>BRONX</v>
      </c>
      <c r="C200" s="20" t="e">
        <f>VLOOKUP(Data[[#This Row],[DEVELOPMENT]],'[1]Cheat-Sheet'!$D$2:$Q$341,2,FALSE)</f>
        <v>#N/A</v>
      </c>
      <c r="D20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00" s="20">
        <f>VLOOKUP(Data[[#This Row],[DEVELOPMENT]],Development_Data_Book[[DEVELOPMENT]:[BOROUGH]],21,FALSE)</f>
        <v>8</v>
      </c>
      <c r="F200" s="20">
        <f>VLOOKUP(Data[[#This Row],[DEVELOPMENT]],Development_Data_Book[[DEVELOPMENT]:[BOROUGH]],23,FALSE)</f>
        <v>9</v>
      </c>
      <c r="G200" s="20">
        <f>VLOOKUP(Data[[#This Row],[DEVELOPMENT]],Development_Data_Book[[DEVELOPMENT]:[BOROUGH]],12,FALSE)</f>
        <v>992</v>
      </c>
      <c r="J200">
        <f>IFERROR(VLOOKUP(Data[[#This Row],[DEVELOPMENT]],IntCompactors_MRST[],4,FALSE),0)</f>
        <v>8</v>
      </c>
      <c r="K200" s="20">
        <f>IFERROR(VLOOKUP(Data[[#This Row],[DEVELOPMENT]],ExtCompactors_MRST[],4,FALSE),0)</f>
        <v>2</v>
      </c>
      <c r="L200" s="27">
        <f>IF(Data[[#This Row],['# Interior Compactors MRST]]=0,"",VLOOKUP(Data[[#This Row],[DEVELOPMENT]],IntCompactors_MRST[],5,FALSE))</f>
        <v>36192</v>
      </c>
      <c r="M200" s="28">
        <f>IF(Data[[#This Row],['# Exterior Compactors MRST]]=0,"",VLOOKUP(Data[[#This Row],[DEVELOPMENT]],ExtCompactors_MRST[],5,FALSE))</f>
        <v>38244</v>
      </c>
      <c r="N200" s="20">
        <f>Data[[#This Row],['# Interior Compactors MRST]]</f>
        <v>8</v>
      </c>
      <c r="O200" s="20">
        <f>IF(Data[[#This Row],['# Bulk Crushers]]=0,1,0)</f>
        <v>1</v>
      </c>
      <c r="P200" s="20">
        <f>1</f>
        <v>1</v>
      </c>
      <c r="Q200" s="20">
        <f>1</f>
        <v>1</v>
      </c>
      <c r="R200" s="20">
        <f>1</f>
        <v>1</v>
      </c>
      <c r="S200" s="20">
        <f>1</f>
        <v>1</v>
      </c>
      <c r="T200" s="20">
        <f>IF(Data[[#This Row],[Sewershed]]="Newtown Creek",Data[[#This Row],[DUs]],0)</f>
        <v>0</v>
      </c>
      <c r="U20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0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0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00" s="82">
        <f>VLOOKUP(Data[[#This Row],[DEVELOPMENT]],Development_Data_Book[[DEVELOPMENT]:[BOROUGH]],3,FALSE)</f>
        <v>121</v>
      </c>
      <c r="Y200" s="20"/>
      <c r="Z200" s="20">
        <f>IFERROR(VLOOKUP(Data[[#This Row],[TDS]],ExtCompactors_PNA[[Development]:[0]],2,FALSE),0)</f>
        <v>2</v>
      </c>
      <c r="AA200" s="20">
        <f>IFERROR(VLOOKUP(Data[[#This Row],[TDS]],IntCompactors_PNA[[TDS]:[0]],2,FALSE),0)</f>
        <v>8</v>
      </c>
      <c r="AB200" s="20"/>
      <c r="AC200" s="20"/>
      <c r="AD200" s="20">
        <f>IFERROR(VLOOKUP(Data[[#This Row],[TDS]],ExtCompactors_PNA[[Development]:[0]],3,FALSE)+VLOOKUP(Data[[#This Row],[TDS]],ExtCompactors_PNA[[Development]:[0]],6,FALSE),0)</f>
        <v>2</v>
      </c>
      <c r="AE200" s="20">
        <f>IFERROR(VLOOKUP(Data[[#This Row],[TDS]],IntCompactors_PNA[[TDS]:[0]],3,FALSE)+VLOOKUP(Data[[#This Row],[TDS]],IntCompactors_PNA[[TDS]:[0]],6,FALSE),0)</f>
        <v>8</v>
      </c>
      <c r="AF200" s="20" t="e">
        <f>VLOOKUP(Data[[#This Row],[DEVELOPMENT]],[3]Developments!$A$2:$A$312,1,FALSE)</f>
        <v>#N/A</v>
      </c>
      <c r="AG200" s="20">
        <f>IFERROR(VLOOKUP(Data[[#This Row],[DEVELOPMENT]],Ops_Priorities_and_Data_Clean[[development]:[ifnoext_comment]],3,FALSE),"")</f>
        <v>2</v>
      </c>
      <c r="AH200" s="20">
        <f>IFERROR(VLOOKUP(Data[[#This Row],[DEVELOPMENT]],Ops_Priorities_and_Data_Clean[[development]:[ifnoext_comment]],4,FALSE),"")</f>
        <v>0</v>
      </c>
      <c r="AI200" s="20">
        <f>IFERROR(VLOOKUP(Data[[#This Row],[DEVELOPMENT]],Ops_Priorities_and_Data_Clean[[development]:[ifnoext_comment]],5,FALSE),"")</f>
        <v>1</v>
      </c>
      <c r="AJ200" s="20">
        <f>IFERROR(VLOOKUP(Data[[#This Row],[DEVELOPMENT]],Ops_Priorities_and_Data_Clean[[development]:[ifnoext_comment]],6,FALSE),"")</f>
        <v>0</v>
      </c>
      <c r="AK200" s="20">
        <f>IFERROR(VLOOKUP(Data[[#This Row],[DEVELOPMENT]],Ops_Priorities_and_Data_Clean[[development]:[ifnoext_comment]],7,FALSE),"")</f>
        <v>0</v>
      </c>
      <c r="AL200" s="20">
        <f>IFERROR(VLOOKUP(Data[[#This Row],[DEVELOPMENT]],Ops_Priorities_and_Data_Clean[[development]:[ifnoext_comment]],8,FALSE),"")</f>
        <v>1</v>
      </c>
      <c r="AM200" s="20">
        <f>IFERROR(VLOOKUP(Data[[#This Row],[DEVELOPMENT]],Ops_Priorities_and_Data_Clean[[development]:[ifnoext_comment]],9,FALSE),"")</f>
        <v>0</v>
      </c>
      <c r="AN200" s="20">
        <f>IFERROR(VLOOKUP(Data[[#This Row],[DEVELOPMENT]],Ops_Priorities_and_Data_Clean[[development]:[ifnoext_comment]],10,FALSE),"")</f>
        <v>0</v>
      </c>
      <c r="AO200" s="20">
        <f>IFERROR(VLOOKUP(Data[[#This Row],[DEVELOPMENT]],Ops_Priorities_and_Data_Clean[[development]:[ifnoext_comment]],11,FALSE),"")</f>
        <v>2</v>
      </c>
      <c r="AP200" s="20">
        <f>IFERROR(VLOOKUP(Data[[#This Row],[DEVELOPMENT]],Ops_Priorities_and_Data_Clean[[development]:[ifnoext_comment]],12,FALSE),"")</f>
        <v>2</v>
      </c>
      <c r="AQ200" s="20">
        <f>VLOOKUP(Data[[#This Row],[DEVELOPMENT]],Ops_Priorities_and_Data_Clean[[development]:[ifnoext_comment]],14,FALSE)</f>
        <v>0</v>
      </c>
      <c r="AR200" s="20">
        <f>VLOOKUP(Data[[#This Row],[DEVELOPMENT]],Ops_Priorities_and_Data_Clean[[development]:[ifnoext_comment]],15,FALSE)</f>
        <v>0</v>
      </c>
      <c r="AS200" s="20" t="str">
        <f>VLOOKUP(Data[[#This Row],[DEVELOPMENT]],Ops_Priorities_and_Data_Clean[[development]:[ifnoext_comment]],16,FALSE)</f>
        <v>NULL</v>
      </c>
      <c r="AT200" s="20" t="str">
        <f>VLOOKUP(Data[[#This Row],[DEVELOPMENT]],Ops_Priorities_and_Data_Clean[[development]:[ifnoext_comment]],17,FALSE)</f>
        <v>NULL</v>
      </c>
      <c r="AU200" s="20" t="str">
        <f>VLOOKUP(Data[[#This Row],[DEVELOPMENT]],Ops_Priorities_and_Data_Clean[[development]:[ifnoext_comment]],18,FALSE)</f>
        <v>NULL</v>
      </c>
      <c r="AV200" s="20" t="str">
        <f>VLOOKUP(Data[[#This Row],[DEVELOPMENT]],Ops_Priorities_and_Data_Clean[[development]:[ifnoext_comment]],19,FALSE)</f>
        <v>NULL</v>
      </c>
      <c r="AW200" s="20" t="str">
        <f>VLOOKUP(Data[[#This Row],[DEVELOPMENT]],Ops_Priorities_and_Data_Clean[[development]:[ifnoext_comment]],20,FALSE)</f>
        <v>NULL</v>
      </c>
      <c r="AX200" s="104" t="s">
        <v>2602</v>
      </c>
      <c r="AY200" s="104" t="s">
        <v>346</v>
      </c>
      <c r="AZ200" s="20" t="str">
        <f>VLOOKUP(Data[[#This Row],[DEVELOPMENT]],Development_Data_Book[[DEVELOPMENT]:[PRIVATE MANAGEMENT]],8,FALSE)</f>
        <v>FEDERAL</v>
      </c>
      <c r="BA200" s="104" t="s">
        <v>2586</v>
      </c>
      <c r="BB200" s="20">
        <f>VLOOKUP(Data[[#This Row],[DEVELOPMENT]],Development_Data_Book[[DEVELOPMENT]:[PRIVATE MANAGEMENT]],22,FALSE)</f>
        <v>1</v>
      </c>
      <c r="BC200" s="20">
        <f>Data[[#This Row],[Non-Dwelling Buildings]]+Data[[#This Row],[Dwelling Buildings]]</f>
        <v>9</v>
      </c>
      <c r="BD200" s="20">
        <f>VLOOKUP(Data[[#This Row],[DEVELOPMENT]],Development_Data_Book[[DEVELOPMENT]:[PRIVATE MANAGEMENT]],26,FALSE)</f>
        <v>9.58</v>
      </c>
      <c r="BE200" s="106">
        <v>1017350</v>
      </c>
      <c r="BF200" s="20">
        <f>VLOOKUP(Data[[#This Row],[DEVELOPMENT]],Development_Data_Book[[DEVELOPMENT]:[PRIVATE MANAGEMENT]],18,FALSE)</f>
        <v>2542</v>
      </c>
      <c r="BG20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00" s="104" t="s">
        <v>2610</v>
      </c>
      <c r="BI200" t="s">
        <v>184</v>
      </c>
      <c r="BJ200" s="20">
        <f>VLOOKUP(Data[[#This Row],[DEVELOPMENT]],Development_Data_Book[[DEVELOPMENT]:[PRIVATE MANAGEMENT]],41,FALSE)</f>
        <v>1</v>
      </c>
      <c r="BK200" s="20">
        <f>VLOOKUP(Data[[#This Row],[DEVELOPMENT]],Development_Data_Book[[DEVELOPMENT]:[PRIVATE MANAGEMENT]],42,FALSE)</f>
        <v>15</v>
      </c>
      <c r="BL200" s="20">
        <f>VLOOKUP(Data[[#This Row],[DEVELOPMENT]],Development_Data_Book[[DEVELOPMENT]:[PRIVATE MANAGEMENT]],43,FALSE)</f>
        <v>29</v>
      </c>
      <c r="BM200" s="20">
        <f>VLOOKUP(Data[[#This Row],[DEVELOPMENT]],Development_Data_Book[[DEVELOPMENT]:[PRIVATE MANAGEMENT]],44,FALSE)</f>
        <v>84</v>
      </c>
      <c r="BN200" s="20">
        <f>VLOOKUP(Data[[#This Row],[DEVELOPMENT]],Development_Data_Book[[DEVELOPMENT]:[PRIVATE MANAGEMENT]],45,FALSE)</f>
        <v>8</v>
      </c>
      <c r="BO200" s="20" t="str">
        <f>VLOOKUP(Data[[#This Row],[DEVELOPMENT]],Development_Data_Book[[DEVELOPMENT]:[PRIVATE MANAGEMENT]],24,FALSE)</f>
        <v>20-22</v>
      </c>
    </row>
    <row r="201" spans="1:67">
      <c r="A201" t="s">
        <v>347</v>
      </c>
      <c r="B201" s="20" t="str">
        <f>VLOOKUP(Data[[#This Row],[DEVELOPMENT]],Development_Data_Book[[DEVELOPMENT]:[BOROUGH]],MATCH("borough",Development_Data_Book[[#Headers],[DEVELOPMENT]:[BOROUGH]],0),FALSE)</f>
        <v>STATEN ISLAND</v>
      </c>
      <c r="C201" s="20" t="e">
        <f>VLOOKUP(Data[[#This Row],[DEVELOPMENT]],'[1]Cheat-Sheet'!$D$2:$Q$341,2,FALSE)</f>
        <v>#N/A</v>
      </c>
      <c r="D20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01" s="20">
        <f>VLOOKUP(Data[[#This Row],[DEVELOPMENT]],Development_Data_Book[[DEVELOPMENT]:[BOROUGH]],21,FALSE)</f>
        <v>1</v>
      </c>
      <c r="F201" s="20">
        <f>VLOOKUP(Data[[#This Row],[DEVELOPMENT]],Development_Data_Book[[DEVELOPMENT]:[BOROUGH]],23,FALSE)</f>
        <v>2</v>
      </c>
      <c r="G201" s="20">
        <f>VLOOKUP(Data[[#This Row],[DEVELOPMENT]],Development_Data_Book[[DEVELOPMENT]:[BOROUGH]],12,FALSE)</f>
        <v>276</v>
      </c>
      <c r="J201">
        <f>IFERROR(VLOOKUP(Data[[#This Row],[DEVELOPMENT]],IntCompactors_MRST[],4,FALSE),0)</f>
        <v>1</v>
      </c>
      <c r="K201" s="20">
        <f>IFERROR(VLOOKUP(Data[[#This Row],[DEVELOPMENT]],ExtCompactors_MRST[],4,FALSE),0)</f>
        <v>0</v>
      </c>
      <c r="L201" s="27">
        <f>IF(Data[[#This Row],['# Interior Compactors MRST]]=0,"",VLOOKUP(Data[[#This Row],[DEVELOPMENT]],IntCompactors_MRST[],5,FALSE))</f>
        <v>35309</v>
      </c>
      <c r="M201" s="28" t="str">
        <f>IF(Data[[#This Row],['# Exterior Compactors MRST]]=0,"",VLOOKUP(Data[[#This Row],[DEVELOPMENT]],ExtCompactors_MRST[],5,FALSE))</f>
        <v/>
      </c>
      <c r="N201" s="20">
        <f>Data[[#This Row],['# Interior Compactors MRST]]</f>
        <v>1</v>
      </c>
      <c r="O201" s="20">
        <f>IF(Data[[#This Row],['# Bulk Crushers]]=0,1,0)</f>
        <v>1</v>
      </c>
      <c r="P201" s="20">
        <f>1</f>
        <v>1</v>
      </c>
      <c r="Q201" s="20">
        <f>1</f>
        <v>1</v>
      </c>
      <c r="R201" s="20">
        <f>1</f>
        <v>1</v>
      </c>
      <c r="S201" s="20">
        <f>1</f>
        <v>1</v>
      </c>
      <c r="T201" s="20">
        <f>IF(Data[[#This Row],[Sewershed]]="Newtown Creek",Data[[#This Row],[DUs]],0)</f>
        <v>0</v>
      </c>
      <c r="U20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0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0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01" s="82">
        <f>VLOOKUP(Data[[#This Row],[DEVELOPMENT]],Development_Data_Book[[DEVELOPMENT]:[BOROUGH]],3,FALSE)</f>
        <v>314</v>
      </c>
      <c r="Y201" s="20"/>
      <c r="Z201" s="20">
        <f>IFERROR(VLOOKUP(Data[[#This Row],[TDS]],ExtCompactors_PNA[[Development]:[0]],2,FALSE),0)</f>
        <v>0</v>
      </c>
      <c r="AA201" s="20">
        <f>IFERROR(VLOOKUP(Data[[#This Row],[TDS]],IntCompactors_PNA[[TDS]:[0]],2,FALSE),0)</f>
        <v>2</v>
      </c>
      <c r="AB201" s="20"/>
      <c r="AC201" s="20"/>
      <c r="AD201" s="20">
        <f>IFERROR(VLOOKUP(Data[[#This Row],[TDS]],ExtCompactors_PNA[[Development]:[0]],3,FALSE)+VLOOKUP(Data[[#This Row],[TDS]],ExtCompactors_PNA[[Development]:[0]],6,FALSE),0)</f>
        <v>0</v>
      </c>
      <c r="AE201" s="20">
        <f>IFERROR(VLOOKUP(Data[[#This Row],[TDS]],IntCompactors_PNA[[TDS]:[0]],3,FALSE)+VLOOKUP(Data[[#This Row],[TDS]],IntCompactors_PNA[[TDS]:[0]],6,FALSE),0)</f>
        <v>2</v>
      </c>
      <c r="AF201" s="20" t="e">
        <f>VLOOKUP(Data[[#This Row],[DEVELOPMENT]],[3]Developments!$A$2:$A$312,1,FALSE)</f>
        <v>#N/A</v>
      </c>
      <c r="AG201" s="20">
        <f>IFERROR(VLOOKUP(Data[[#This Row],[DEVELOPMENT]],Ops_Priorities_and_Data_Clean[[development]:[ifnoext_comment]],3,FALSE),"")</f>
        <v>0</v>
      </c>
      <c r="AH201" s="20">
        <f>IFERROR(VLOOKUP(Data[[#This Row],[DEVELOPMENT]],Ops_Priorities_and_Data_Clean[[development]:[ifnoext_comment]],4,FALSE),"")</f>
        <v>0</v>
      </c>
      <c r="AI201" s="20">
        <f>IFERROR(VLOOKUP(Data[[#This Row],[DEVELOPMENT]],Ops_Priorities_and_Data_Clean[[development]:[ifnoext_comment]],5,FALSE),"")</f>
        <v>0</v>
      </c>
      <c r="AJ201" s="20">
        <f>IFERROR(VLOOKUP(Data[[#This Row],[DEVELOPMENT]],Ops_Priorities_and_Data_Clean[[development]:[ifnoext_comment]],6,FALSE),"")</f>
        <v>0</v>
      </c>
      <c r="AK201" s="20">
        <f>IFERROR(VLOOKUP(Data[[#This Row],[DEVELOPMENT]],Ops_Priorities_and_Data_Clean[[development]:[ifnoext_comment]],7,FALSE),"")</f>
        <v>1</v>
      </c>
      <c r="AL201" s="20">
        <f>IFERROR(VLOOKUP(Data[[#This Row],[DEVELOPMENT]],Ops_Priorities_and_Data_Clean[[development]:[ifnoext_comment]],8,FALSE),"")</f>
        <v>1</v>
      </c>
      <c r="AM201" s="20">
        <f>IFERROR(VLOOKUP(Data[[#This Row],[DEVELOPMENT]],Ops_Priorities_and_Data_Clean[[development]:[ifnoext_comment]],9,FALSE),"")</f>
        <v>1</v>
      </c>
      <c r="AN201" s="20">
        <f>IFERROR(VLOOKUP(Data[[#This Row],[DEVELOPMENT]],Ops_Priorities_and_Data_Clean[[development]:[ifnoext_comment]],10,FALSE),"")</f>
        <v>0</v>
      </c>
      <c r="AO201" s="20">
        <f>IFERROR(VLOOKUP(Data[[#This Row],[DEVELOPMENT]],Ops_Priorities_and_Data_Clean[[development]:[ifnoext_comment]],11,FALSE),"")</f>
        <v>0</v>
      </c>
      <c r="AP201" s="20">
        <f>IFERROR(VLOOKUP(Data[[#This Row],[DEVELOPMENT]],Ops_Priorities_and_Data_Clean[[development]:[ifnoext_comment]],12,FALSE),"")</f>
        <v>0</v>
      </c>
      <c r="AQ201" s="20">
        <f>VLOOKUP(Data[[#This Row],[DEVELOPMENT]],Ops_Priorities_and_Data_Clean[[development]:[ifnoext_comment]],14,FALSE)</f>
        <v>1</v>
      </c>
      <c r="AR201" s="20">
        <f>VLOOKUP(Data[[#This Row],[DEVELOPMENT]],Ops_Priorities_and_Data_Clean[[development]:[ifnoext_comment]],15,FALSE)</f>
        <v>0</v>
      </c>
      <c r="AS201" s="20" t="str">
        <f>VLOOKUP(Data[[#This Row],[DEVELOPMENT]],Ops_Priorities_and_Data_Clean[[development]:[ifnoext_comment]],16,FALSE)</f>
        <v>NULL</v>
      </c>
      <c r="AT201" s="20" t="str">
        <f>VLOOKUP(Data[[#This Row],[DEVELOPMENT]],Ops_Priorities_and_Data_Clean[[development]:[ifnoext_comment]],17,FALSE)</f>
        <v>NULL</v>
      </c>
      <c r="AU201" s="20" t="str">
        <f>VLOOKUP(Data[[#This Row],[DEVELOPMENT]],Ops_Priorities_and_Data_Clean[[development]:[ifnoext_comment]],18,FALSE)</f>
        <v>NULL</v>
      </c>
      <c r="AV201" s="20" t="str">
        <f>VLOOKUP(Data[[#This Row],[DEVELOPMENT]],Ops_Priorities_and_Data_Clean[[development]:[ifnoext_comment]],19,FALSE)</f>
        <v>NULL</v>
      </c>
      <c r="AW201" s="20" t="str">
        <f>VLOOKUP(Data[[#This Row],[DEVELOPMENT]],Ops_Priorities_and_Data_Clean[[development]:[ifnoext_comment]],20,FALSE)</f>
        <v>NULL</v>
      </c>
      <c r="AX201" s="104" t="s">
        <v>2614</v>
      </c>
      <c r="AY201" s="104" t="s">
        <v>2662</v>
      </c>
      <c r="AZ201" s="20" t="str">
        <f>VLOOKUP(Data[[#This Row],[DEVELOPMENT]],Development_Data_Book[[DEVELOPMENT]:[PRIVATE MANAGEMENT]],8,FALSE)</f>
        <v>FEDERAL</v>
      </c>
      <c r="BA201" s="104" t="s">
        <v>2586</v>
      </c>
      <c r="BB201" s="20">
        <f>VLOOKUP(Data[[#This Row],[DEVELOPMENT]],Development_Data_Book[[DEVELOPMENT]:[PRIVATE MANAGEMENT]],22,FALSE)</f>
        <v>0</v>
      </c>
      <c r="BC201" s="20">
        <f>Data[[#This Row],[Non-Dwelling Buildings]]+Data[[#This Row],[Dwelling Buildings]]</f>
        <v>1</v>
      </c>
      <c r="BD201" s="20">
        <f>VLOOKUP(Data[[#This Row],[DEVELOPMENT]],Development_Data_Book[[DEVELOPMENT]:[PRIVATE MANAGEMENT]],26,FALSE)</f>
        <v>2.78</v>
      </c>
      <c r="BE201" s="106">
        <v>227520</v>
      </c>
      <c r="BF201" s="20">
        <f>VLOOKUP(Data[[#This Row],[DEVELOPMENT]],Development_Data_Book[[DEVELOPMENT]:[PRIVATE MANAGEMENT]],18,FALSE)</f>
        <v>348</v>
      </c>
      <c r="BG201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01" s="104" t="s">
        <v>2591</v>
      </c>
      <c r="BI201" t="s">
        <v>184</v>
      </c>
      <c r="BJ201" s="20">
        <f>VLOOKUP(Data[[#This Row],[DEVELOPMENT]],Development_Data_Book[[DEVELOPMENT]:[PRIVATE MANAGEMENT]],41,FALSE)</f>
        <v>1</v>
      </c>
      <c r="BK201" s="20">
        <f>VLOOKUP(Data[[#This Row],[DEVELOPMENT]],Development_Data_Book[[DEVELOPMENT]:[PRIVATE MANAGEMENT]],42,FALSE)</f>
        <v>11</v>
      </c>
      <c r="BL201" s="20">
        <f>VLOOKUP(Data[[#This Row],[DEVELOPMENT]],Development_Data_Book[[DEVELOPMENT]:[PRIVATE MANAGEMENT]],43,FALSE)</f>
        <v>23</v>
      </c>
      <c r="BM201" s="20">
        <f>VLOOKUP(Data[[#This Row],[DEVELOPMENT]],Development_Data_Book[[DEVELOPMENT]:[PRIVATE MANAGEMENT]],44,FALSE)</f>
        <v>64</v>
      </c>
      <c r="BN201" s="20">
        <f>VLOOKUP(Data[[#This Row],[DEVELOPMENT]],Development_Data_Book[[DEVELOPMENT]:[PRIVATE MANAGEMENT]],45,FALSE)</f>
        <v>49</v>
      </c>
      <c r="BO201" s="20">
        <f>VLOOKUP(Data[[#This Row],[DEVELOPMENT]],Development_Data_Book[[DEVELOPMENT]:[PRIVATE MANAGEMENT]],24,FALSE)</f>
        <v>10</v>
      </c>
    </row>
    <row r="202" spans="1:67">
      <c r="A202" t="s">
        <v>209</v>
      </c>
      <c r="B202" s="20" t="str">
        <f>VLOOKUP(Data[[#This Row],[DEVELOPMENT]],Development_Data_Book[[DEVELOPMENT]:[BOROUGH]],MATCH("borough",Development_Data_Book[[#Headers],[DEVELOPMENT]:[BOROUGH]],0),FALSE)</f>
        <v>BROOKLYN</v>
      </c>
      <c r="C202" s="20" t="e">
        <f>VLOOKUP(Data[[#This Row],[DEVELOPMENT]],'[1]Cheat-Sheet'!$D$2:$Q$341,2,FALSE)</f>
        <v>#N/A</v>
      </c>
      <c r="D20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02" s="20">
        <f>VLOOKUP(Data[[#This Row],[DEVELOPMENT]],Development_Data_Book[[DEVELOPMENT]:[BOROUGH]],21,FALSE)</f>
        <v>16</v>
      </c>
      <c r="F202" s="20">
        <f>VLOOKUP(Data[[#This Row],[DEVELOPMENT]],Development_Data_Book[[DEVELOPMENT]:[BOROUGH]],23,FALSE)</f>
        <v>33</v>
      </c>
      <c r="G202" s="20">
        <f>VLOOKUP(Data[[#This Row],[DEVELOPMENT]],Development_Data_Book[[DEVELOPMENT]:[BOROUGH]],12,FALSE)</f>
        <v>1146</v>
      </c>
      <c r="J202">
        <f>IFERROR(VLOOKUP(Data[[#This Row],[DEVELOPMENT]],IntCompactors_MRST[],4,FALSE),0)</f>
        <v>32</v>
      </c>
      <c r="K202" s="20">
        <f>IFERROR(VLOOKUP(Data[[#This Row],[DEVELOPMENT]],ExtCompactors_MRST[],4,FALSE),0)</f>
        <v>1</v>
      </c>
      <c r="L202" s="27">
        <f>IF(Data[[#This Row],['# Interior Compactors MRST]]=0,"",VLOOKUP(Data[[#This Row],[DEVELOPMENT]],IntCompactors_MRST[],5,FALSE))</f>
        <v>37956</v>
      </c>
      <c r="M202" s="28">
        <f>IF(Data[[#This Row],['# Exterior Compactors MRST]]=0,"",VLOOKUP(Data[[#This Row],[DEVELOPMENT]],ExtCompactors_MRST[],5,FALSE))</f>
        <v>39478</v>
      </c>
      <c r="N202" s="20">
        <f>Data[[#This Row],['# Interior Compactors MRST]]</f>
        <v>32</v>
      </c>
      <c r="O202" s="20">
        <f>IF(Data[[#This Row],['# Bulk Crushers]]=0,1,0)</f>
        <v>1</v>
      </c>
      <c r="P202" s="20">
        <f>1</f>
        <v>1</v>
      </c>
      <c r="Q202" s="20">
        <f>1</f>
        <v>1</v>
      </c>
      <c r="R202" s="20">
        <f>1</f>
        <v>1</v>
      </c>
      <c r="S202" s="20">
        <f>1</f>
        <v>1</v>
      </c>
      <c r="T202" s="20">
        <f>IF(Data[[#This Row],[Sewershed]]="Newtown Creek",Data[[#This Row],[DUs]],0)</f>
        <v>0</v>
      </c>
      <c r="U20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0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0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02" s="82">
        <f>VLOOKUP(Data[[#This Row],[DEVELOPMENT]],Development_Data_Book[[DEVELOPMENT]:[BOROUGH]],3,FALSE)</f>
        <v>43</v>
      </c>
      <c r="Y202" s="20"/>
      <c r="Z202" s="20">
        <f>IFERROR(VLOOKUP(Data[[#This Row],[TDS]],ExtCompactors_PNA[[Development]:[0]],2,FALSE),0)</f>
        <v>0</v>
      </c>
      <c r="AA202" s="20">
        <f>IFERROR(VLOOKUP(Data[[#This Row],[TDS]],IntCompactors_PNA[[TDS]:[0]],2,FALSE),0)</f>
        <v>32</v>
      </c>
      <c r="AB202" s="20"/>
      <c r="AC202" s="20"/>
      <c r="AD202" s="20">
        <f>IFERROR(VLOOKUP(Data[[#This Row],[TDS]],ExtCompactors_PNA[[Development]:[0]],3,FALSE)+VLOOKUP(Data[[#This Row],[TDS]],ExtCompactors_PNA[[Development]:[0]],6,FALSE),0)</f>
        <v>0</v>
      </c>
      <c r="AE202" s="20">
        <f>IFERROR(VLOOKUP(Data[[#This Row],[TDS]],IntCompactors_PNA[[TDS]:[0]],3,FALSE)+VLOOKUP(Data[[#This Row],[TDS]],IntCompactors_PNA[[TDS]:[0]],6,FALSE),0)</f>
        <v>32</v>
      </c>
      <c r="AF202" s="20" t="e">
        <f>VLOOKUP(Data[[#This Row],[DEVELOPMENT]],[3]Developments!$A$2:$A$312,1,FALSE)</f>
        <v>#N/A</v>
      </c>
      <c r="AG202" s="20">
        <f>IFERROR(VLOOKUP(Data[[#This Row],[DEVELOPMENT]],Ops_Priorities_and_Data_Clean[[development]:[ifnoext_comment]],3,FALSE),"")</f>
        <v>0</v>
      </c>
      <c r="AH202" s="20">
        <f>IFERROR(VLOOKUP(Data[[#This Row],[DEVELOPMENT]],Ops_Priorities_and_Data_Clean[[development]:[ifnoext_comment]],4,FALSE),"")</f>
        <v>1</v>
      </c>
      <c r="AI202" s="20">
        <f>IFERROR(VLOOKUP(Data[[#This Row],[DEVELOPMENT]],Ops_Priorities_and_Data_Clean[[development]:[ifnoext_comment]],5,FALSE),"")</f>
        <v>0</v>
      </c>
      <c r="AJ202" s="20">
        <v>1</v>
      </c>
      <c r="AK202" s="20">
        <v>0</v>
      </c>
      <c r="AL202" s="20">
        <f>IFERROR(VLOOKUP(Data[[#This Row],[DEVELOPMENT]],Ops_Priorities_and_Data_Clean[[development]:[ifnoext_comment]],8,FALSE),"")</f>
        <v>1</v>
      </c>
      <c r="AM202" s="20">
        <f>IFERROR(VLOOKUP(Data[[#This Row],[DEVELOPMENT]],Ops_Priorities_and_Data_Clean[[development]:[ifnoext_comment]],9,FALSE),"")</f>
        <v>1</v>
      </c>
      <c r="AN202" s="20">
        <f>IFERROR(VLOOKUP(Data[[#This Row],[DEVELOPMENT]],Ops_Priorities_and_Data_Clean[[development]:[ifnoext_comment]],10,FALSE),"")</f>
        <v>0</v>
      </c>
      <c r="AO202" s="20">
        <f>IFERROR(VLOOKUP(Data[[#This Row],[DEVELOPMENT]],Ops_Priorities_and_Data_Clean[[development]:[ifnoext_comment]],11,FALSE),"")</f>
        <v>1</v>
      </c>
      <c r="AP202" s="20">
        <f>IFERROR(VLOOKUP(Data[[#This Row],[DEVELOPMENT]],Ops_Priorities_and_Data_Clean[[development]:[ifnoext_comment]],12,FALSE),"")</f>
        <v>1</v>
      </c>
      <c r="AQ202" s="20">
        <f>VLOOKUP(Data[[#This Row],[DEVELOPMENT]],Ops_Priorities_and_Data_Clean[[development]:[ifnoext_comment]],14,FALSE)</f>
        <v>0</v>
      </c>
      <c r="AR202" s="20">
        <f>VLOOKUP(Data[[#This Row],[DEVELOPMENT]],Ops_Priorities_and_Data_Clean[[development]:[ifnoext_comment]],15,FALSE)</f>
        <v>1</v>
      </c>
      <c r="AS202" s="20" t="str">
        <f>VLOOKUP(Data[[#This Row],[DEVELOPMENT]],Ops_Priorities_and_Data_Clean[[development]:[ifnoext_comment]],16,FALSE)</f>
        <v>Sheepshead Bay</v>
      </c>
      <c r="AT202" s="20" t="str">
        <f>VLOOKUP(Data[[#This Row],[DEVELOPMENT]],Ops_Priorities_and_Data_Clean[[development]:[ifnoext_comment]],17,FALSE)</f>
        <v>NULL</v>
      </c>
      <c r="AU202" s="20" t="str">
        <f>VLOOKUP(Data[[#This Row],[DEVELOPMENT]],Ops_Priorities_and_Data_Clean[[development]:[ifnoext_comment]],18,FALSE)</f>
        <v>NULL</v>
      </c>
      <c r="AV202" s="20" t="str">
        <f>VLOOKUP(Data[[#This Row],[DEVELOPMENT]],Ops_Priorities_and_Data_Clean[[development]:[ifnoext_comment]],19,FALSE)</f>
        <v>NULL</v>
      </c>
      <c r="AW202" s="20" t="str">
        <f>VLOOKUP(Data[[#This Row],[DEVELOPMENT]],Ops_Priorities_and_Data_Clean[[development]:[ifnoext_comment]],20,FALSE)</f>
        <v>NULL</v>
      </c>
      <c r="AX202" s="104" t="s">
        <v>2238</v>
      </c>
      <c r="AY202" s="104" t="s">
        <v>196</v>
      </c>
      <c r="AZ202" s="20" t="str">
        <f>VLOOKUP(Data[[#This Row],[DEVELOPMENT]],Development_Data_Book[[DEVELOPMENT]:[PRIVATE MANAGEMENT]],8,FALSE)</f>
        <v>FEDERAL</v>
      </c>
      <c r="BA202" s="104" t="s">
        <v>2586</v>
      </c>
      <c r="BB202" s="20">
        <f>VLOOKUP(Data[[#This Row],[DEVELOPMENT]],Development_Data_Book[[DEVELOPMENT]:[PRIVATE MANAGEMENT]],22,FALSE)</f>
        <v>1</v>
      </c>
      <c r="BC202" s="20">
        <f>Data[[#This Row],[Non-Dwelling Buildings]]+Data[[#This Row],[Dwelling Buildings]]</f>
        <v>17</v>
      </c>
      <c r="BD202" s="20">
        <f>VLOOKUP(Data[[#This Row],[DEVELOPMENT]],Development_Data_Book[[DEVELOPMENT]:[PRIVATE MANAGEMENT]],26,FALSE)</f>
        <v>23.8</v>
      </c>
      <c r="BE202" s="106">
        <v>1129800</v>
      </c>
      <c r="BF202" s="20">
        <f>VLOOKUP(Data[[#This Row],[DEVELOPMENT]],Development_Data_Book[[DEVELOPMENT]:[PRIVATE MANAGEMENT]],18,FALSE)</f>
        <v>2327</v>
      </c>
      <c r="BG20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02" s="104" t="s">
        <v>2621</v>
      </c>
      <c r="BI202" t="s">
        <v>184</v>
      </c>
      <c r="BJ202" s="20">
        <f>VLOOKUP(Data[[#This Row],[DEVELOPMENT]],Development_Data_Book[[DEVELOPMENT]:[PRIVATE MANAGEMENT]],41,FALSE)</f>
        <v>15</v>
      </c>
      <c r="BK202" s="20">
        <f>VLOOKUP(Data[[#This Row],[DEVELOPMENT]],Development_Data_Book[[DEVELOPMENT]:[PRIVATE MANAGEMENT]],42,FALSE)</f>
        <v>9</v>
      </c>
      <c r="BL202" s="20">
        <f>VLOOKUP(Data[[#This Row],[DEVELOPMENT]],Development_Data_Book[[DEVELOPMENT]:[PRIVATE MANAGEMENT]],43,FALSE)</f>
        <v>19</v>
      </c>
      <c r="BM202" s="20">
        <f>VLOOKUP(Data[[#This Row],[DEVELOPMENT]],Development_Data_Book[[DEVELOPMENT]:[PRIVATE MANAGEMENT]],44,FALSE)</f>
        <v>41</v>
      </c>
      <c r="BN202" s="20">
        <f>VLOOKUP(Data[[#This Row],[DEVELOPMENT]],Development_Data_Book[[DEVELOPMENT]:[PRIVATE MANAGEMENT]],45,FALSE)</f>
        <v>46</v>
      </c>
      <c r="BO202" s="20">
        <f>VLOOKUP(Data[[#This Row],[DEVELOPMENT]],Development_Data_Book[[DEVELOPMENT]:[PRIVATE MANAGEMENT]],24,FALSE)</f>
        <v>6</v>
      </c>
    </row>
    <row r="203" spans="1:67">
      <c r="A203" t="s">
        <v>348</v>
      </c>
      <c r="B203" s="20" t="str">
        <f>VLOOKUP(Data[[#This Row],[DEVELOPMENT]],Development_Data_Book[[DEVELOPMENT]:[BOROUGH]],MATCH("borough",Development_Data_Book[[#Headers],[DEVELOPMENT]:[BOROUGH]],0),FALSE)</f>
        <v>QUEENS</v>
      </c>
      <c r="C203" s="20" t="e">
        <f>VLOOKUP(Data[[#This Row],[DEVELOPMENT]],'[1]Cheat-Sheet'!$D$2:$Q$341,2,FALSE)</f>
        <v>#N/A</v>
      </c>
      <c r="D20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03" s="20">
        <f>VLOOKUP(Data[[#This Row],[DEVELOPMENT]],Development_Data_Book[[DEVELOPMENT]:[BOROUGH]],21,FALSE)</f>
        <v>7</v>
      </c>
      <c r="F203" s="20">
        <f>VLOOKUP(Data[[#This Row],[DEVELOPMENT]],Development_Data_Book[[DEVELOPMENT]:[BOROUGH]],23,FALSE)</f>
        <v>14</v>
      </c>
      <c r="G203" s="20">
        <f>VLOOKUP(Data[[#This Row],[DEVELOPMENT]],Development_Data_Book[[DEVELOPMENT]:[BOROUGH]],12,FALSE)</f>
        <v>417</v>
      </c>
      <c r="J203">
        <f>IFERROR(VLOOKUP(Data[[#This Row],[DEVELOPMENT]],IntCompactors_MRST[],4,FALSE),0)</f>
        <v>14</v>
      </c>
      <c r="K203" s="20">
        <f>IFERROR(VLOOKUP(Data[[#This Row],[DEVELOPMENT]],ExtCompactors_MRST[],4,FALSE),0)</f>
        <v>0</v>
      </c>
      <c r="L203" s="27">
        <f>IF(Data[[#This Row],['# Interior Compactors MRST]]=0,"",VLOOKUP(Data[[#This Row],[DEVELOPMENT]],IntCompactors_MRST[],5,FALSE))</f>
        <v>36892</v>
      </c>
      <c r="M203" s="28" t="str">
        <f>IF(Data[[#This Row],['# Exterior Compactors MRST]]=0,"",VLOOKUP(Data[[#This Row],[DEVELOPMENT]],ExtCompactors_MRST[],5,FALSE))</f>
        <v/>
      </c>
      <c r="N203" s="20">
        <f>Data[[#This Row],['# Interior Compactors MRST]]</f>
        <v>14</v>
      </c>
      <c r="O203" s="20">
        <f>IF(Data[[#This Row],['# Bulk Crushers]]=0,1,0)</f>
        <v>1</v>
      </c>
      <c r="P203" s="20">
        <f>1</f>
        <v>1</v>
      </c>
      <c r="Q203" s="20">
        <f>1</f>
        <v>1</v>
      </c>
      <c r="R203" s="20">
        <f>1</f>
        <v>1</v>
      </c>
      <c r="S203" s="20">
        <f>1</f>
        <v>1</v>
      </c>
      <c r="T203" s="20">
        <f>IF(Data[[#This Row],[Sewershed]]="Newtown Creek",Data[[#This Row],[DUs]],0)</f>
        <v>0</v>
      </c>
      <c r="U20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0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0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03" s="82">
        <f>VLOOKUP(Data[[#This Row],[DEVELOPMENT]],Development_Data_Book[[DEVELOPMENT]:[BOROUGH]],3,FALSE)</f>
        <v>51</v>
      </c>
      <c r="Y203" s="20"/>
      <c r="Z203" s="20">
        <f>IFERROR(VLOOKUP(Data[[#This Row],[TDS]],ExtCompactors_PNA[[Development]:[0]],2,FALSE),0)</f>
        <v>0</v>
      </c>
      <c r="AA203" s="20">
        <f>IFERROR(VLOOKUP(Data[[#This Row],[TDS]],IntCompactors_PNA[[TDS]:[0]],2,FALSE),0)</f>
        <v>13</v>
      </c>
      <c r="AB203" s="20"/>
      <c r="AC203" s="20"/>
      <c r="AD203" s="20">
        <f>IFERROR(VLOOKUP(Data[[#This Row],[TDS]],ExtCompactors_PNA[[Development]:[0]],3,FALSE)+VLOOKUP(Data[[#This Row],[TDS]],ExtCompactors_PNA[[Development]:[0]],6,FALSE),0)</f>
        <v>0</v>
      </c>
      <c r="AE203" s="20">
        <f>IFERROR(VLOOKUP(Data[[#This Row],[TDS]],IntCompactors_PNA[[TDS]:[0]],3,FALSE)+VLOOKUP(Data[[#This Row],[TDS]],IntCompactors_PNA[[TDS]:[0]],6,FALSE),0)</f>
        <v>13</v>
      </c>
      <c r="AF203" s="20" t="e">
        <f>VLOOKUP(Data[[#This Row],[DEVELOPMENT]],[3]Developments!$A$2:$A$312,1,FALSE)</f>
        <v>#N/A</v>
      </c>
      <c r="AG203" s="20">
        <f>IFERROR(VLOOKUP(Data[[#This Row],[DEVELOPMENT]],Ops_Priorities_and_Data_Clean[[development]:[ifnoext_comment]],3,FALSE),"")</f>
        <v>0</v>
      </c>
      <c r="AH203" s="20">
        <f>IFERROR(VLOOKUP(Data[[#This Row],[DEVELOPMENT]],Ops_Priorities_and_Data_Clean[[development]:[ifnoext_comment]],4,FALSE),"")</f>
        <v>0</v>
      </c>
      <c r="AI203" s="20">
        <f>IFERROR(VLOOKUP(Data[[#This Row],[DEVELOPMENT]],Ops_Priorities_and_Data_Clean[[development]:[ifnoext_comment]],5,FALSE),"")</f>
        <v>0</v>
      </c>
      <c r="AJ203" s="20">
        <f>IFERROR(VLOOKUP(Data[[#This Row],[DEVELOPMENT]],Ops_Priorities_and_Data_Clean[[development]:[ifnoext_comment]],6,FALSE),"")</f>
        <v>0</v>
      </c>
      <c r="AK203" s="20">
        <f>IFERROR(VLOOKUP(Data[[#This Row],[DEVELOPMENT]],Ops_Priorities_and_Data_Clean[[development]:[ifnoext_comment]],7,FALSE),"")</f>
        <v>1</v>
      </c>
      <c r="AL203" s="20">
        <f>IFERROR(VLOOKUP(Data[[#This Row],[DEVELOPMENT]],Ops_Priorities_and_Data_Clean[[development]:[ifnoext_comment]],8,FALSE),"")</f>
        <v>1</v>
      </c>
      <c r="AM203" s="20">
        <f>IFERROR(VLOOKUP(Data[[#This Row],[DEVELOPMENT]],Ops_Priorities_and_Data_Clean[[development]:[ifnoext_comment]],9,FALSE),"")</f>
        <v>1</v>
      </c>
      <c r="AN203" s="20">
        <f>IFERROR(VLOOKUP(Data[[#This Row],[DEVELOPMENT]],Ops_Priorities_and_Data_Clean[[development]:[ifnoext_comment]],10,FALSE),"")</f>
        <v>0</v>
      </c>
      <c r="AO203" s="20">
        <f>IFERROR(VLOOKUP(Data[[#This Row],[DEVELOPMENT]],Ops_Priorities_and_Data_Clean[[development]:[ifnoext_comment]],11,FALSE),"")</f>
        <v>0</v>
      </c>
      <c r="AP203" s="20">
        <f>IFERROR(VLOOKUP(Data[[#This Row],[DEVELOPMENT]],Ops_Priorities_and_Data_Clean[[development]:[ifnoext_comment]],12,FALSE),"")</f>
        <v>0</v>
      </c>
      <c r="AQ203" s="20">
        <f>VLOOKUP(Data[[#This Row],[DEVELOPMENT]],Ops_Priorities_and_Data_Clean[[development]:[ifnoext_comment]],14,FALSE)</f>
        <v>1</v>
      </c>
      <c r="AR203" s="20">
        <f>VLOOKUP(Data[[#This Row],[DEVELOPMENT]],Ops_Priorities_and_Data_Clean[[development]:[ifnoext_comment]],15,FALSE)</f>
        <v>0</v>
      </c>
      <c r="AS203" s="20" t="str">
        <f>VLOOKUP(Data[[#This Row],[DEVELOPMENT]],Ops_Priorities_and_Data_Clean[[development]:[ifnoext_comment]],16,FALSE)</f>
        <v>NULL</v>
      </c>
      <c r="AT203" s="20" t="str">
        <f>VLOOKUP(Data[[#This Row],[DEVELOPMENT]],Ops_Priorities_and_Data_Clean[[development]:[ifnoext_comment]],17,FALSE)</f>
        <v>NULL</v>
      </c>
      <c r="AU203" s="20" t="str">
        <f>VLOOKUP(Data[[#This Row],[DEVELOPMENT]],Ops_Priorities_and_Data_Clean[[development]:[ifnoext_comment]],18,FALSE)</f>
        <v>NULL</v>
      </c>
      <c r="AV203" s="20" t="str">
        <f>VLOOKUP(Data[[#This Row],[DEVELOPMENT]],Ops_Priorities_and_Data_Clean[[development]:[ifnoext_comment]],19,FALSE)</f>
        <v>NULL</v>
      </c>
      <c r="AW203" s="20" t="str">
        <f>VLOOKUP(Data[[#This Row],[DEVELOPMENT]],Ops_Priorities_and_Data_Clean[[development]:[ifnoext_comment]],20,FALSE)</f>
        <v>They have ltos of room for compactors and DSNY called about them</v>
      </c>
      <c r="AX203" s="104" t="s">
        <v>2614</v>
      </c>
      <c r="AY203" s="104" t="s">
        <v>2622</v>
      </c>
      <c r="AZ203" s="20" t="str">
        <f>VLOOKUP(Data[[#This Row],[DEVELOPMENT]],Development_Data_Book[[DEVELOPMENT]:[PRIVATE MANAGEMENT]],8,FALSE)</f>
        <v>FEDERAL</v>
      </c>
      <c r="BA203" s="104" t="s">
        <v>2586</v>
      </c>
      <c r="BB203" s="20">
        <f>VLOOKUP(Data[[#This Row],[DEVELOPMENT]],Development_Data_Book[[DEVELOPMENT]:[PRIVATE MANAGEMENT]],22,FALSE)</f>
        <v>0</v>
      </c>
      <c r="BC203" s="20">
        <f>Data[[#This Row],[Non-Dwelling Buildings]]+Data[[#This Row],[Dwelling Buildings]]</f>
        <v>7</v>
      </c>
      <c r="BD203" s="20">
        <f>VLOOKUP(Data[[#This Row],[DEVELOPMENT]],Development_Data_Book[[DEVELOPMENT]:[PRIVATE MANAGEMENT]],26,FALSE)</f>
        <v>8.1300000000000008</v>
      </c>
      <c r="BE203" s="106">
        <v>390000</v>
      </c>
      <c r="BF203" s="20">
        <f>VLOOKUP(Data[[#This Row],[DEVELOPMENT]],Development_Data_Book[[DEVELOPMENT]:[PRIVATE MANAGEMENT]],18,FALSE)</f>
        <v>837</v>
      </c>
      <c r="BG20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03" s="104" t="s">
        <v>2619</v>
      </c>
      <c r="BI203" t="s">
        <v>184</v>
      </c>
      <c r="BJ203" s="20">
        <f>VLOOKUP(Data[[#This Row],[DEVELOPMENT]],Development_Data_Book[[DEVELOPMENT]:[PRIVATE MANAGEMENT]],41,FALSE)</f>
        <v>14</v>
      </c>
      <c r="BK203" s="20">
        <f>VLOOKUP(Data[[#This Row],[DEVELOPMENT]],Development_Data_Book[[DEVELOPMENT]:[PRIVATE MANAGEMENT]],42,FALSE)</f>
        <v>5</v>
      </c>
      <c r="BL203" s="20">
        <f>VLOOKUP(Data[[#This Row],[DEVELOPMENT]],Development_Data_Book[[DEVELOPMENT]:[PRIVATE MANAGEMENT]],43,FALSE)</f>
        <v>10</v>
      </c>
      <c r="BM203" s="20">
        <f>VLOOKUP(Data[[#This Row],[DEVELOPMENT]],Development_Data_Book[[DEVELOPMENT]:[PRIVATE MANAGEMENT]],44,FALSE)</f>
        <v>31</v>
      </c>
      <c r="BN203" s="20">
        <f>VLOOKUP(Data[[#This Row],[DEVELOPMENT]],Development_Data_Book[[DEVELOPMENT]:[PRIVATE MANAGEMENT]],45,FALSE)</f>
        <v>31</v>
      </c>
      <c r="BO203" s="20">
        <f>VLOOKUP(Data[[#This Row],[DEVELOPMENT]],Development_Data_Book[[DEVELOPMENT]:[PRIVATE MANAGEMENT]],24,FALSE)</f>
        <v>6</v>
      </c>
    </row>
    <row r="204" spans="1:67">
      <c r="A204" t="s">
        <v>349</v>
      </c>
      <c r="B204" s="20" t="str">
        <f>VLOOKUP(Data[[#This Row],[DEVELOPMENT]],Development_Data_Book[[DEVELOPMENT]:[BOROUGH]],MATCH("borough",Development_Data_Book[[#Headers],[DEVELOPMENT]:[BOROUGH]],0),FALSE)</f>
        <v>BROOKLYN</v>
      </c>
      <c r="C204" s="20" t="e">
        <f>VLOOKUP(Data[[#This Row],[DEVELOPMENT]],'[1]Cheat-Sheet'!$D$2:$Q$341,2,FALSE)</f>
        <v>#N/A</v>
      </c>
      <c r="D20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04" s="20">
        <f>VLOOKUP(Data[[#This Row],[DEVELOPMENT]],Development_Data_Book[[DEVELOPMENT]:[BOROUGH]],21,FALSE)</f>
        <v>3</v>
      </c>
      <c r="F204" s="20">
        <f>VLOOKUP(Data[[#This Row],[DEVELOPMENT]],Development_Data_Book[[DEVELOPMENT]:[BOROUGH]],23,FALSE)</f>
        <v>4</v>
      </c>
      <c r="G204" s="20">
        <f>VLOOKUP(Data[[#This Row],[DEVELOPMENT]],Development_Data_Book[[DEVELOPMENT]:[BOROUGH]],12,FALSE)</f>
        <v>238</v>
      </c>
      <c r="J204">
        <f>IFERROR(VLOOKUP(Data[[#This Row],[DEVELOPMENT]],IntCompactors_MRST[],4,FALSE),0)</f>
        <v>3</v>
      </c>
      <c r="K204" s="20">
        <f>IFERROR(VLOOKUP(Data[[#This Row],[DEVELOPMENT]],ExtCompactors_MRST[],4,FALSE),0)</f>
        <v>0</v>
      </c>
      <c r="L204" s="27">
        <f>IF(Data[[#This Row],['# Interior Compactors MRST]]=0,"",VLOOKUP(Data[[#This Row],[DEVELOPMENT]],IntCompactors_MRST[],5,FALSE))</f>
        <v>36342</v>
      </c>
      <c r="M204" s="28" t="str">
        <f>IF(Data[[#This Row],['# Exterior Compactors MRST]]=0,"",VLOOKUP(Data[[#This Row],[DEVELOPMENT]],ExtCompactors_MRST[],5,FALSE))</f>
        <v/>
      </c>
      <c r="N204" s="20">
        <f>Data[[#This Row],['# Interior Compactors MRST]]</f>
        <v>3</v>
      </c>
      <c r="O204" s="20">
        <f>IF(Data[[#This Row],['# Bulk Crushers]]=0,1,0)</f>
        <v>1</v>
      </c>
      <c r="P204" s="20">
        <f>1</f>
        <v>1</v>
      </c>
      <c r="Q204" s="20">
        <f>1</f>
        <v>1</v>
      </c>
      <c r="R204" s="20">
        <f>1</f>
        <v>1</v>
      </c>
      <c r="S204" s="20">
        <f>1</f>
        <v>1</v>
      </c>
      <c r="T204" s="20">
        <f>IF(Data[[#This Row],[Sewershed]]="Newtown Creek",Data[[#This Row],[DUs]],0)</f>
        <v>238</v>
      </c>
      <c r="U20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0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0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04" s="82">
        <f>VLOOKUP(Data[[#This Row],[DEVELOPMENT]],Development_Data_Book[[DEVELOPMENT]:[BOROUGH]],3,FALSE)</f>
        <v>162</v>
      </c>
      <c r="Y204" s="20" t="s">
        <v>2599</v>
      </c>
      <c r="Z204" s="20">
        <f>IFERROR(VLOOKUP(Data[[#This Row],[TDS]],ExtCompactors_PNA[[Development]:[0]],2,FALSE),0)</f>
        <v>0</v>
      </c>
      <c r="AA204" s="20">
        <f>IFERROR(VLOOKUP(Data[[#This Row],[TDS]],IntCompactors_PNA[[TDS]:[0]],2,FALSE),0)</f>
        <v>3</v>
      </c>
      <c r="AB204" s="20"/>
      <c r="AC204" s="20"/>
      <c r="AD204" s="20">
        <f>IFERROR(VLOOKUP(Data[[#This Row],[TDS]],ExtCompactors_PNA[[Development]:[0]],3,FALSE)+VLOOKUP(Data[[#This Row],[TDS]],ExtCompactors_PNA[[Development]:[0]],6,FALSE),0)</f>
        <v>0</v>
      </c>
      <c r="AE204" s="20">
        <f>IFERROR(VLOOKUP(Data[[#This Row],[TDS]],IntCompactors_PNA[[TDS]:[0]],3,FALSE)+VLOOKUP(Data[[#This Row],[TDS]],IntCompactors_PNA[[TDS]:[0]],6,FALSE),0)</f>
        <v>3</v>
      </c>
      <c r="AF204" s="20" t="e">
        <f>VLOOKUP(Data[[#This Row],[DEVELOPMENT]],[3]Developments!$A$2:$A$312,1,FALSE)</f>
        <v>#N/A</v>
      </c>
      <c r="AG204" s="20">
        <f>IFERROR(VLOOKUP(Data[[#This Row],[DEVELOPMENT]],Ops_Priorities_and_Data_Clean[[development]:[ifnoext_comment]],3,FALSE),"")</f>
        <v>0</v>
      </c>
      <c r="AH204" s="20">
        <f>IFERROR(VLOOKUP(Data[[#This Row],[DEVELOPMENT]],Ops_Priorities_and_Data_Clean[[development]:[ifnoext_comment]],4,FALSE),"")</f>
        <v>0</v>
      </c>
      <c r="AI204" s="20">
        <f>IFERROR(VLOOKUP(Data[[#This Row],[DEVELOPMENT]],Ops_Priorities_and_Data_Clean[[development]:[ifnoext_comment]],5,FALSE),"")</f>
        <v>0</v>
      </c>
      <c r="AJ204" s="20">
        <f>IFERROR(VLOOKUP(Data[[#This Row],[DEVELOPMENT]],Ops_Priorities_and_Data_Clean[[development]:[ifnoext_comment]],6,FALSE),"")</f>
        <v>0</v>
      </c>
      <c r="AK204" s="20">
        <f>IFERROR(VLOOKUP(Data[[#This Row],[DEVELOPMENT]],Ops_Priorities_and_Data_Clean[[development]:[ifnoext_comment]],7,FALSE),"")</f>
        <v>1</v>
      </c>
      <c r="AL204" s="20">
        <f>IFERROR(VLOOKUP(Data[[#This Row],[DEVELOPMENT]],Ops_Priorities_and_Data_Clean[[development]:[ifnoext_comment]],8,FALSE),"")</f>
        <v>1</v>
      </c>
      <c r="AM204" s="20">
        <f>IFERROR(VLOOKUP(Data[[#This Row],[DEVELOPMENT]],Ops_Priorities_and_Data_Clean[[development]:[ifnoext_comment]],9,FALSE),"")</f>
        <v>1</v>
      </c>
      <c r="AN204" s="20">
        <f>IFERROR(VLOOKUP(Data[[#This Row],[DEVELOPMENT]],Ops_Priorities_and_Data_Clean[[development]:[ifnoext_comment]],10,FALSE),"")</f>
        <v>0</v>
      </c>
      <c r="AO204" s="20">
        <f>IFERROR(VLOOKUP(Data[[#This Row],[DEVELOPMENT]],Ops_Priorities_and_Data_Clean[[development]:[ifnoext_comment]],11,FALSE),"")</f>
        <v>0</v>
      </c>
      <c r="AP204" s="20">
        <f>IFERROR(VLOOKUP(Data[[#This Row],[DEVELOPMENT]],Ops_Priorities_and_Data_Clean[[development]:[ifnoext_comment]],12,FALSE),"")</f>
        <v>0</v>
      </c>
      <c r="AQ204" s="20">
        <f>VLOOKUP(Data[[#This Row],[DEVELOPMENT]],Ops_Priorities_and_Data_Clean[[development]:[ifnoext_comment]],14,FALSE)</f>
        <v>1</v>
      </c>
      <c r="AR204" s="20">
        <f>VLOOKUP(Data[[#This Row],[DEVELOPMENT]],Ops_Priorities_and_Data_Clean[[development]:[ifnoext_comment]],15,FALSE)</f>
        <v>0</v>
      </c>
      <c r="AS204" s="20" t="str">
        <f>VLOOKUP(Data[[#This Row],[DEVELOPMENT]],Ops_Priorities_and_Data_Clean[[development]:[ifnoext_comment]],16,FALSE)</f>
        <v>NULL</v>
      </c>
      <c r="AT204" s="20" t="str">
        <f>VLOOKUP(Data[[#This Row],[DEVELOPMENT]],Ops_Priorities_and_Data_Clean[[development]:[ifnoext_comment]],17,FALSE)</f>
        <v>NULL</v>
      </c>
      <c r="AU204" s="20" t="str">
        <f>VLOOKUP(Data[[#This Row],[DEVELOPMENT]],Ops_Priorities_and_Data_Clean[[development]:[ifnoext_comment]],18,FALSE)</f>
        <v>NULL</v>
      </c>
      <c r="AV204" s="20" t="str">
        <f>VLOOKUP(Data[[#This Row],[DEVELOPMENT]],Ops_Priorities_and_Data_Clean[[development]:[ifnoext_comment]],19,FALSE)</f>
        <v>NULL</v>
      </c>
      <c r="AW204" s="20" t="str">
        <f>VLOOKUP(Data[[#This Row],[DEVELOPMENT]],Ops_Priorities_and_Data_Clean[[development]:[ifnoext_comment]],20,FALSE)</f>
        <v>NULL</v>
      </c>
      <c r="AX204" s="104" t="s">
        <v>2238</v>
      </c>
      <c r="AY204" s="104" t="s">
        <v>2656</v>
      </c>
      <c r="AZ204" s="20" t="str">
        <f>VLOOKUP(Data[[#This Row],[DEVELOPMENT]],Development_Data_Book[[DEVELOPMENT]:[PRIVATE MANAGEMENT]],8,FALSE)</f>
        <v>FEDERAL</v>
      </c>
      <c r="BA204" s="104" t="s">
        <v>2586</v>
      </c>
      <c r="BB204" s="20">
        <f>VLOOKUP(Data[[#This Row],[DEVELOPMENT]],Development_Data_Book[[DEVELOPMENT]:[PRIVATE MANAGEMENT]],22,FALSE)</f>
        <v>1</v>
      </c>
      <c r="BC204" s="20">
        <f>Data[[#This Row],[Non-Dwelling Buildings]]+Data[[#This Row],[Dwelling Buildings]]</f>
        <v>4</v>
      </c>
      <c r="BD204" s="20">
        <f>VLOOKUP(Data[[#This Row],[DEVELOPMENT]],Development_Data_Book[[DEVELOPMENT]:[PRIVATE MANAGEMENT]],26,FALSE)</f>
        <v>2.59</v>
      </c>
      <c r="BE204" s="106">
        <v>237400</v>
      </c>
      <c r="BF204" s="20">
        <f>VLOOKUP(Data[[#This Row],[DEVELOPMENT]],Development_Data_Book[[DEVELOPMENT]:[PRIVATE MANAGEMENT]],18,FALSE)</f>
        <v>640</v>
      </c>
      <c r="BG20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04" s="104" t="s">
        <v>2589</v>
      </c>
      <c r="BI204" t="s">
        <v>184</v>
      </c>
      <c r="BJ204" s="20">
        <f>VLOOKUP(Data[[#This Row],[DEVELOPMENT]],Development_Data_Book[[DEVELOPMENT]:[PRIVATE MANAGEMENT]],41,FALSE)</f>
        <v>16</v>
      </c>
      <c r="BK204" s="20">
        <f>VLOOKUP(Data[[#This Row],[DEVELOPMENT]],Development_Data_Book[[DEVELOPMENT]:[PRIVATE MANAGEMENT]],42,FALSE)</f>
        <v>8</v>
      </c>
      <c r="BL204" s="20">
        <f>VLOOKUP(Data[[#This Row],[DEVELOPMENT]],Development_Data_Book[[DEVELOPMENT]:[PRIVATE MANAGEMENT]],43,FALSE)</f>
        <v>18</v>
      </c>
      <c r="BM204" s="20">
        <f>VLOOKUP(Data[[#This Row],[DEVELOPMENT]],Development_Data_Book[[DEVELOPMENT]:[PRIVATE MANAGEMENT]],44,FALSE)</f>
        <v>55</v>
      </c>
      <c r="BN204" s="20">
        <f>VLOOKUP(Data[[#This Row],[DEVELOPMENT]],Development_Data_Book[[DEVELOPMENT]:[PRIVATE MANAGEMENT]],45,FALSE)</f>
        <v>37</v>
      </c>
      <c r="BO204" s="20">
        <f>VLOOKUP(Data[[#This Row],[DEVELOPMENT]],Development_Data_Book[[DEVELOPMENT]:[PRIVATE MANAGEMENT]],24,FALSE)</f>
        <v>14</v>
      </c>
    </row>
    <row r="205" spans="1:67">
      <c r="A205" t="s">
        <v>350</v>
      </c>
      <c r="B205" s="20" t="str">
        <f>VLOOKUP(Data[[#This Row],[DEVELOPMENT]],Development_Data_Book[[DEVELOPMENT]:[BOROUGH]],MATCH("borough",Development_Data_Book[[#Headers],[DEVELOPMENT]:[BOROUGH]],0),FALSE)</f>
        <v>BROOKLYN</v>
      </c>
      <c r="C205" s="20" t="e">
        <f>VLOOKUP(Data[[#This Row],[DEVELOPMENT]],'[1]Cheat-Sheet'!$D$2:$Q$341,2,FALSE)</f>
        <v>#N/A</v>
      </c>
      <c r="D20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05" s="20">
        <f>VLOOKUP(Data[[#This Row],[DEVELOPMENT]],Development_Data_Book[[DEVELOPMENT]:[BOROUGH]],21,FALSE)</f>
        <v>5</v>
      </c>
      <c r="F205" s="20">
        <f>VLOOKUP(Data[[#This Row],[DEVELOPMENT]],Development_Data_Book[[DEVELOPMENT]:[BOROUGH]],23,FALSE)</f>
        <v>5</v>
      </c>
      <c r="G205" s="20">
        <f>VLOOKUP(Data[[#This Row],[DEVELOPMENT]],Development_Data_Book[[DEVELOPMENT]:[BOROUGH]],12,FALSE)</f>
        <v>125</v>
      </c>
      <c r="J205">
        <f>IFERROR(VLOOKUP(Data[[#This Row],[DEVELOPMENT]],IntCompactors_MRST[],4,FALSE),0)</f>
        <v>6</v>
      </c>
      <c r="K205" s="20">
        <f>IFERROR(VLOOKUP(Data[[#This Row],[DEVELOPMENT]],ExtCompactors_MRST[],4,FALSE),0)</f>
        <v>0</v>
      </c>
      <c r="L205" s="27">
        <f>IF(Data[[#This Row],['# Interior Compactors MRST]]=0,"",VLOOKUP(Data[[#This Row],[DEVELOPMENT]],IntCompactors_MRST[],5,FALSE))</f>
        <v>31413</v>
      </c>
      <c r="M205" s="28" t="str">
        <f>IF(Data[[#This Row],['# Exterior Compactors MRST]]=0,"",VLOOKUP(Data[[#This Row],[DEVELOPMENT]],ExtCompactors_MRST[],5,FALSE))</f>
        <v/>
      </c>
      <c r="N205" s="20">
        <f>Data[[#This Row],['# Interior Compactors MRST]]</f>
        <v>6</v>
      </c>
      <c r="O205" s="20">
        <f>IF(Data[[#This Row],['# Bulk Crushers]]=0,1,0)</f>
        <v>1</v>
      </c>
      <c r="P205" s="20">
        <f>1</f>
        <v>1</v>
      </c>
      <c r="Q205" s="20">
        <f>1</f>
        <v>1</v>
      </c>
      <c r="R205" s="20">
        <f>1</f>
        <v>1</v>
      </c>
      <c r="S205" s="20">
        <f>1</f>
        <v>1</v>
      </c>
      <c r="T205" s="20">
        <f>IF(Data[[#This Row],[Sewershed]]="Newtown Creek",Data[[#This Row],[DUs]],0)</f>
        <v>125</v>
      </c>
      <c r="U20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0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0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05" s="82">
        <f>VLOOKUP(Data[[#This Row],[DEVELOPMENT]],Development_Data_Book[[DEVELOPMENT]:[BOROUGH]],3,FALSE)</f>
        <v>313</v>
      </c>
      <c r="Y205" s="20" t="s">
        <v>2599</v>
      </c>
      <c r="Z205" s="20">
        <f>IFERROR(VLOOKUP(Data[[#This Row],[TDS]],ExtCompactors_PNA[[Development]:[0]],2,FALSE),0)</f>
        <v>0</v>
      </c>
      <c r="AA205" s="20">
        <f>IFERROR(VLOOKUP(Data[[#This Row],[TDS]],IntCompactors_PNA[[TDS]:[0]],2,FALSE),0)</f>
        <v>6</v>
      </c>
      <c r="AB205" s="20"/>
      <c r="AC205" s="20"/>
      <c r="AD205" s="20">
        <f>IFERROR(VLOOKUP(Data[[#This Row],[TDS]],ExtCompactors_PNA[[Development]:[0]],3,FALSE)+VLOOKUP(Data[[#This Row],[TDS]],ExtCompactors_PNA[[Development]:[0]],6,FALSE),0)</f>
        <v>0</v>
      </c>
      <c r="AE205" s="20">
        <f>IFERROR(VLOOKUP(Data[[#This Row],[TDS]],IntCompactors_PNA[[TDS]:[0]],3,FALSE)+VLOOKUP(Data[[#This Row],[TDS]],IntCompactors_PNA[[TDS]:[0]],6,FALSE),0)</f>
        <v>6</v>
      </c>
      <c r="AF205" s="20" t="e">
        <f>VLOOKUP(Data[[#This Row],[DEVELOPMENT]],[3]Developments!$A$2:$A$312,1,FALSE)</f>
        <v>#N/A</v>
      </c>
      <c r="AG205" s="20">
        <f>IFERROR(VLOOKUP(Data[[#This Row],[DEVELOPMENT]],Ops_Priorities_and_Data_Clean[[development]:[ifnoext_comment]],3,FALSE),"")</f>
        <v>0</v>
      </c>
      <c r="AH205" s="20">
        <f>IFERROR(VLOOKUP(Data[[#This Row],[DEVELOPMENT]],Ops_Priorities_and_Data_Clean[[development]:[ifnoext_comment]],4,FALSE),"")</f>
        <v>0</v>
      </c>
      <c r="AI205" s="20">
        <f>IFERROR(VLOOKUP(Data[[#This Row],[DEVELOPMENT]],Ops_Priorities_and_Data_Clean[[development]:[ifnoext_comment]],5,FALSE),"")</f>
        <v>0</v>
      </c>
      <c r="AJ205" s="20">
        <f>IFERROR(VLOOKUP(Data[[#This Row],[DEVELOPMENT]],Ops_Priorities_and_Data_Clean[[development]:[ifnoext_comment]],6,FALSE),"")</f>
        <v>0</v>
      </c>
      <c r="AK205" s="20">
        <f>IFERROR(VLOOKUP(Data[[#This Row],[DEVELOPMENT]],Ops_Priorities_and_Data_Clean[[development]:[ifnoext_comment]],7,FALSE),"")</f>
        <v>1</v>
      </c>
      <c r="AL205" s="20">
        <f>IFERROR(VLOOKUP(Data[[#This Row],[DEVELOPMENT]],Ops_Priorities_and_Data_Clean[[development]:[ifnoext_comment]],8,FALSE),"")</f>
        <v>1</v>
      </c>
      <c r="AM205" s="20">
        <f>IFERROR(VLOOKUP(Data[[#This Row],[DEVELOPMENT]],Ops_Priorities_and_Data_Clean[[development]:[ifnoext_comment]],9,FALSE),"")</f>
        <v>0</v>
      </c>
      <c r="AN205" s="20">
        <f>IFERROR(VLOOKUP(Data[[#This Row],[DEVELOPMENT]],Ops_Priorities_and_Data_Clean[[development]:[ifnoext_comment]],10,FALSE),"")</f>
        <v>0</v>
      </c>
      <c r="AO205" s="20">
        <f>IFERROR(VLOOKUP(Data[[#This Row],[DEVELOPMENT]],Ops_Priorities_and_Data_Clean[[development]:[ifnoext_comment]],11,FALSE),"")</f>
        <v>0</v>
      </c>
      <c r="AP205" s="20">
        <f>IFERROR(VLOOKUP(Data[[#This Row],[DEVELOPMENT]],Ops_Priorities_and_Data_Clean[[development]:[ifnoext_comment]],12,FALSE),"")</f>
        <v>0</v>
      </c>
      <c r="AQ205" s="20">
        <f>VLOOKUP(Data[[#This Row],[DEVELOPMENT]],Ops_Priorities_and_Data_Clean[[development]:[ifnoext_comment]],14,FALSE)</f>
        <v>1</v>
      </c>
      <c r="AR205" s="20">
        <f>VLOOKUP(Data[[#This Row],[DEVELOPMENT]],Ops_Priorities_and_Data_Clean[[development]:[ifnoext_comment]],15,FALSE)</f>
        <v>0</v>
      </c>
      <c r="AS205" s="20" t="str">
        <f>VLOOKUP(Data[[#This Row],[DEVELOPMENT]],Ops_Priorities_and_Data_Clean[[development]:[ifnoext_comment]],16,FALSE)</f>
        <v>NULL</v>
      </c>
      <c r="AT205" s="20" t="str">
        <f>VLOOKUP(Data[[#This Row],[DEVELOPMENT]],Ops_Priorities_and_Data_Clean[[development]:[ifnoext_comment]],17,FALSE)</f>
        <v>NULL</v>
      </c>
      <c r="AU205" s="20" t="str">
        <f>VLOOKUP(Data[[#This Row],[DEVELOPMENT]],Ops_Priorities_and_Data_Clean[[development]:[ifnoext_comment]],18,FALSE)</f>
        <v>NULL</v>
      </c>
      <c r="AV205" s="20" t="str">
        <f>VLOOKUP(Data[[#This Row],[DEVELOPMENT]],Ops_Priorities_and_Data_Clean[[development]:[ifnoext_comment]],19,FALSE)</f>
        <v>NULL</v>
      </c>
      <c r="AW205" s="20" t="str">
        <f>VLOOKUP(Data[[#This Row],[DEVELOPMENT]],Ops_Priorities_and_Data_Clean[[development]:[ifnoext_comment]],20,FALSE)</f>
        <v>NULL</v>
      </c>
      <c r="AX205" s="104" t="s">
        <v>2238</v>
      </c>
      <c r="AY205" s="104" t="s">
        <v>350</v>
      </c>
      <c r="AZ205" s="20" t="str">
        <f>VLOOKUP(Data[[#This Row],[DEVELOPMENT]],Development_Data_Book[[DEVELOPMENT]:[PRIVATE MANAGEMENT]],8,FALSE)</f>
        <v>FEDERAL</v>
      </c>
      <c r="BA205" s="104" t="s">
        <v>2588</v>
      </c>
      <c r="BB205" s="20">
        <f>VLOOKUP(Data[[#This Row],[DEVELOPMENT]],Development_Data_Book[[DEVELOPMENT]:[PRIVATE MANAGEMENT]],22,FALSE)</f>
        <v>0</v>
      </c>
      <c r="BC205" s="20">
        <f>Data[[#This Row],[Non-Dwelling Buildings]]+Data[[#This Row],[Dwelling Buildings]]</f>
        <v>5</v>
      </c>
      <c r="BD205" s="20">
        <f>VLOOKUP(Data[[#This Row],[DEVELOPMENT]],Development_Data_Book[[DEVELOPMENT]:[PRIVATE MANAGEMENT]],26,FALSE)</f>
        <v>5.56</v>
      </c>
      <c r="BE205" s="106">
        <v>127100</v>
      </c>
      <c r="BF205" s="20">
        <f>VLOOKUP(Data[[#This Row],[DEVELOPMENT]],Development_Data_Book[[DEVELOPMENT]:[PRIVATE MANAGEMENT]],18,FALSE)</f>
        <v>304</v>
      </c>
      <c r="BG20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05" s="104" t="s">
        <v>2589</v>
      </c>
      <c r="BI205" t="s">
        <v>184</v>
      </c>
      <c r="BJ205" s="20">
        <f>VLOOKUP(Data[[#This Row],[DEVELOPMENT]],Development_Data_Book[[DEVELOPMENT]:[PRIVATE MANAGEMENT]],41,FALSE)</f>
        <v>16</v>
      </c>
      <c r="BK205" s="20">
        <f>VLOOKUP(Data[[#This Row],[DEVELOPMENT]],Development_Data_Book[[DEVELOPMENT]:[PRIVATE MANAGEMENT]],42,FALSE)</f>
        <v>8</v>
      </c>
      <c r="BL205" s="20">
        <f>VLOOKUP(Data[[#This Row],[DEVELOPMENT]],Development_Data_Book[[DEVELOPMENT]:[PRIVATE MANAGEMENT]],43,FALSE)</f>
        <v>25</v>
      </c>
      <c r="BM205" s="20">
        <f>VLOOKUP(Data[[#This Row],[DEVELOPMENT]],Development_Data_Book[[DEVELOPMENT]:[PRIVATE MANAGEMENT]],44,FALSE)</f>
        <v>55</v>
      </c>
      <c r="BN205" s="20">
        <f>VLOOKUP(Data[[#This Row],[DEVELOPMENT]],Development_Data_Book[[DEVELOPMENT]:[PRIVATE MANAGEMENT]],45,FALSE)</f>
        <v>41</v>
      </c>
      <c r="BO205" s="20">
        <f>VLOOKUP(Data[[#This Row],[DEVELOPMENT]],Development_Data_Book[[DEVELOPMENT]:[PRIVATE MANAGEMENT]],24,FALSE)</f>
        <v>4</v>
      </c>
    </row>
    <row r="206" spans="1:67">
      <c r="A206" t="s">
        <v>351</v>
      </c>
      <c r="B206" s="20" t="str">
        <f>VLOOKUP(Data[[#This Row],[DEVELOPMENT]],Development_Data_Book[[DEVELOPMENT]:[BOROUGH]],MATCH("borough",Development_Data_Book[[#Headers],[DEVELOPMENT]:[BOROUGH]],0),FALSE)</f>
        <v>BROOKLYN</v>
      </c>
      <c r="C206" s="20" t="e">
        <f>VLOOKUP(Data[[#This Row],[DEVELOPMENT]],'[1]Cheat-Sheet'!$D$2:$Q$341,2,FALSE)</f>
        <v>#N/A</v>
      </c>
      <c r="D20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06" s="20">
        <f>VLOOKUP(Data[[#This Row],[DEVELOPMENT]],Development_Data_Book[[DEVELOPMENT]:[BOROUGH]],21,FALSE)</f>
        <v>6</v>
      </c>
      <c r="F206" s="20">
        <f>VLOOKUP(Data[[#This Row],[DEVELOPMENT]],Development_Data_Book[[DEVELOPMENT]:[BOROUGH]],23,FALSE)</f>
        <v>7</v>
      </c>
      <c r="G206" s="20">
        <f>VLOOKUP(Data[[#This Row],[DEVELOPMENT]],Development_Data_Book[[DEVELOPMENT]:[BOROUGH]],12,FALSE)</f>
        <v>570</v>
      </c>
      <c r="J206">
        <f>IFERROR(VLOOKUP(Data[[#This Row],[DEVELOPMENT]],IntCompactors_MRST[],4,FALSE),0)</f>
        <v>6</v>
      </c>
      <c r="K206" s="20">
        <f>IFERROR(VLOOKUP(Data[[#This Row],[DEVELOPMENT]],ExtCompactors_MRST[],4,FALSE),0)</f>
        <v>0</v>
      </c>
      <c r="L206" s="27">
        <f>IF(Data[[#This Row],['# Interior Compactors MRST]]=0,"",VLOOKUP(Data[[#This Row],[DEVELOPMENT]],IntCompactors_MRST[],5,FALSE))</f>
        <v>40960</v>
      </c>
      <c r="M206" s="28" t="str">
        <f>IF(Data[[#This Row],['# Exterior Compactors MRST]]=0,"",VLOOKUP(Data[[#This Row],[DEVELOPMENT]],ExtCompactors_MRST[],5,FALSE))</f>
        <v/>
      </c>
      <c r="N206" s="20">
        <f>Data[[#This Row],['# Interior Compactors MRST]]</f>
        <v>6</v>
      </c>
      <c r="O206" s="20">
        <f>IF(Data[[#This Row],['# Bulk Crushers]]=0,1,0)</f>
        <v>1</v>
      </c>
      <c r="P206" s="20">
        <f>1</f>
        <v>1</v>
      </c>
      <c r="Q206" s="20">
        <f>1</f>
        <v>1</v>
      </c>
      <c r="R206" s="20">
        <f>1</f>
        <v>1</v>
      </c>
      <c r="S206" s="20">
        <f>1</f>
        <v>1</v>
      </c>
      <c r="T206" s="20">
        <f>IF(Data[[#This Row],[Sewershed]]="Newtown Creek",Data[[#This Row],[DUs]],0)</f>
        <v>0</v>
      </c>
      <c r="U20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0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0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06" s="82">
        <f>VLOOKUP(Data[[#This Row],[DEVELOPMENT]],Development_Data_Book[[DEVELOPMENT]:[BOROUGH]],3,FALSE)</f>
        <v>172</v>
      </c>
      <c r="Y206" s="20"/>
      <c r="Z206" s="20">
        <f>IFERROR(VLOOKUP(Data[[#This Row],[TDS]],ExtCompactors_PNA[[Development]:[0]],2,FALSE),0)</f>
        <v>0</v>
      </c>
      <c r="AA206" s="20">
        <f>IFERROR(VLOOKUP(Data[[#This Row],[TDS]],IntCompactors_PNA[[TDS]:[0]],2,FALSE),0)</f>
        <v>6</v>
      </c>
      <c r="AB206" s="20"/>
      <c r="AC206" s="20"/>
      <c r="AD206" s="20">
        <f>IFERROR(VLOOKUP(Data[[#This Row],[TDS]],ExtCompactors_PNA[[Development]:[0]],3,FALSE)+VLOOKUP(Data[[#This Row],[TDS]],ExtCompactors_PNA[[Development]:[0]],6,FALSE),0)</f>
        <v>0</v>
      </c>
      <c r="AE206" s="20">
        <f>IFERROR(VLOOKUP(Data[[#This Row],[TDS]],IntCompactors_PNA[[TDS]:[0]],3,FALSE)+VLOOKUP(Data[[#This Row],[TDS]],IntCompactors_PNA[[TDS]:[0]],6,FALSE),0)</f>
        <v>6</v>
      </c>
      <c r="AF206" s="20" t="e">
        <f>VLOOKUP(Data[[#This Row],[DEVELOPMENT]],[3]Developments!$A$2:$A$312,1,FALSE)</f>
        <v>#N/A</v>
      </c>
      <c r="AG206" s="20">
        <f>IFERROR(VLOOKUP(Data[[#This Row],[DEVELOPMENT]],Ops_Priorities_and_Data_Clean[[development]:[ifnoext_comment]],3,FALSE),"")</f>
        <v>0</v>
      </c>
      <c r="AH206" s="20">
        <f>IFERROR(VLOOKUP(Data[[#This Row],[DEVELOPMENT]],Ops_Priorities_and_Data_Clean[[development]:[ifnoext_comment]],4,FALSE),"")</f>
        <v>0</v>
      </c>
      <c r="AI206" s="20">
        <f>IFERROR(VLOOKUP(Data[[#This Row],[DEVELOPMENT]],Ops_Priorities_and_Data_Clean[[development]:[ifnoext_comment]],5,FALSE),"")</f>
        <v>0</v>
      </c>
      <c r="AJ206" s="20">
        <f>IFERROR(VLOOKUP(Data[[#This Row],[DEVELOPMENT]],Ops_Priorities_and_Data_Clean[[development]:[ifnoext_comment]],6,FALSE),"")</f>
        <v>0</v>
      </c>
      <c r="AK206" s="20">
        <f>IFERROR(VLOOKUP(Data[[#This Row],[DEVELOPMENT]],Ops_Priorities_and_Data_Clean[[development]:[ifnoext_comment]],7,FALSE),"")</f>
        <v>1</v>
      </c>
      <c r="AL206" s="20">
        <f>IFERROR(VLOOKUP(Data[[#This Row],[DEVELOPMENT]],Ops_Priorities_and_Data_Clean[[development]:[ifnoext_comment]],8,FALSE),"")</f>
        <v>1</v>
      </c>
      <c r="AM206" s="20">
        <f>IFERROR(VLOOKUP(Data[[#This Row],[DEVELOPMENT]],Ops_Priorities_and_Data_Clean[[development]:[ifnoext_comment]],9,FALSE),"")</f>
        <v>1</v>
      </c>
      <c r="AN206" s="20">
        <f>IFERROR(VLOOKUP(Data[[#This Row],[DEVELOPMENT]],Ops_Priorities_and_Data_Clean[[development]:[ifnoext_comment]],10,FALSE),"")</f>
        <v>0</v>
      </c>
      <c r="AO206" s="20">
        <f>IFERROR(VLOOKUP(Data[[#This Row],[DEVELOPMENT]],Ops_Priorities_and_Data_Clean[[development]:[ifnoext_comment]],11,FALSE),"")</f>
        <v>0</v>
      </c>
      <c r="AP206" s="20">
        <f>IFERROR(VLOOKUP(Data[[#This Row],[DEVELOPMENT]],Ops_Priorities_and_Data_Clean[[development]:[ifnoext_comment]],12,FALSE),"")</f>
        <v>0</v>
      </c>
      <c r="AQ206" s="20">
        <f>VLOOKUP(Data[[#This Row],[DEVELOPMENT]],Ops_Priorities_and_Data_Clean[[development]:[ifnoext_comment]],14,FALSE)</f>
        <v>1</v>
      </c>
      <c r="AR206" s="20">
        <f>VLOOKUP(Data[[#This Row],[DEVELOPMENT]],Ops_Priorities_and_Data_Clean[[development]:[ifnoext_comment]],15,FALSE)</f>
        <v>0</v>
      </c>
      <c r="AS206" s="20" t="str">
        <f>VLOOKUP(Data[[#This Row],[DEVELOPMENT]],Ops_Priorities_and_Data_Clean[[development]:[ifnoext_comment]],16,FALSE)</f>
        <v>NULL</v>
      </c>
      <c r="AT206" s="20" t="str">
        <f>VLOOKUP(Data[[#This Row],[DEVELOPMENT]],Ops_Priorities_and_Data_Clean[[development]:[ifnoext_comment]],17,FALSE)</f>
        <v>NULL</v>
      </c>
      <c r="AU206" s="20" t="str">
        <f>VLOOKUP(Data[[#This Row],[DEVELOPMENT]],Ops_Priorities_and_Data_Clean[[development]:[ifnoext_comment]],18,FALSE)</f>
        <v>NULL</v>
      </c>
      <c r="AV206" s="20" t="str">
        <f>VLOOKUP(Data[[#This Row],[DEVELOPMENT]],Ops_Priorities_and_Data_Clean[[development]:[ifnoext_comment]],19,FALSE)</f>
        <v>NULL</v>
      </c>
      <c r="AW206" s="20" t="str">
        <f>VLOOKUP(Data[[#This Row],[DEVELOPMENT]],Ops_Priorities_and_Data_Clean[[development]:[ifnoext_comment]],20,FALSE)</f>
        <v>NULL</v>
      </c>
      <c r="AX206" s="104" t="s">
        <v>2238</v>
      </c>
      <c r="AY206" s="104" t="s">
        <v>235</v>
      </c>
      <c r="AZ206" s="20" t="str">
        <f>VLOOKUP(Data[[#This Row],[DEVELOPMENT]],Development_Data_Book[[DEVELOPMENT]:[PRIVATE MANAGEMENT]],8,FALSE)</f>
        <v>FEDERAL</v>
      </c>
      <c r="BA206" s="104" t="s">
        <v>2586</v>
      </c>
      <c r="BB206" s="20">
        <f>VLOOKUP(Data[[#This Row],[DEVELOPMENT]],Development_Data_Book[[DEVELOPMENT]:[PRIVATE MANAGEMENT]],22,FALSE)</f>
        <v>1</v>
      </c>
      <c r="BC206" s="20">
        <f>Data[[#This Row],[Non-Dwelling Buildings]]+Data[[#This Row],[Dwelling Buildings]]</f>
        <v>7</v>
      </c>
      <c r="BD206" s="20">
        <f>VLOOKUP(Data[[#This Row],[DEVELOPMENT]],Development_Data_Book[[DEVELOPMENT]:[PRIVATE MANAGEMENT]],26,FALSE)</f>
        <v>6.34</v>
      </c>
      <c r="BE206" s="106">
        <v>564650</v>
      </c>
      <c r="BF206" s="20">
        <f>VLOOKUP(Data[[#This Row],[DEVELOPMENT]],Development_Data_Book[[DEVELOPMENT]:[PRIVATE MANAGEMENT]],18,FALSE)</f>
        <v>947</v>
      </c>
      <c r="BG20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06" s="104" t="s">
        <v>2621</v>
      </c>
      <c r="BI206" t="s">
        <v>184</v>
      </c>
      <c r="BJ206" s="20">
        <f>VLOOKUP(Data[[#This Row],[DEVELOPMENT]],Development_Data_Book[[DEVELOPMENT]:[PRIVATE MANAGEMENT]],41,FALSE)</f>
        <v>13</v>
      </c>
      <c r="BK206" s="20">
        <f>VLOOKUP(Data[[#This Row],[DEVELOPMENT]],Development_Data_Book[[DEVELOPMENT]:[PRIVATE MANAGEMENT]],42,FALSE)</f>
        <v>8</v>
      </c>
      <c r="BL206" s="20">
        <f>VLOOKUP(Data[[#This Row],[DEVELOPMENT]],Development_Data_Book[[DEVELOPMENT]:[PRIVATE MANAGEMENT]],43,FALSE)</f>
        <v>23</v>
      </c>
      <c r="BM206" s="20">
        <f>VLOOKUP(Data[[#This Row],[DEVELOPMENT]],Development_Data_Book[[DEVELOPMENT]:[PRIVATE MANAGEMENT]],44,FALSE)</f>
        <v>46</v>
      </c>
      <c r="BN206" s="20">
        <f>VLOOKUP(Data[[#This Row],[DEVELOPMENT]],Development_Data_Book[[DEVELOPMENT]:[PRIVATE MANAGEMENT]],45,FALSE)</f>
        <v>47</v>
      </c>
      <c r="BO206" s="20" t="str">
        <f>VLOOKUP(Data[[#This Row],[DEVELOPMENT]],Development_Data_Book[[DEVELOPMENT]:[PRIVATE MANAGEMENT]],24,FALSE)</f>
        <v>15-16</v>
      </c>
    </row>
    <row r="207" spans="1:67">
      <c r="A207" t="s">
        <v>1780</v>
      </c>
      <c r="B207" s="20" t="str">
        <f>VLOOKUP(Data[[#This Row],[DEVELOPMENT]],Development_Data_Book[[DEVELOPMENT]:[BOROUGH]],MATCH("borough",Development_Data_Book[[#Headers],[DEVELOPMENT]:[BOROUGH]],0),FALSE)</f>
        <v>BROOKLYN</v>
      </c>
      <c r="C207" s="20" t="e">
        <f>VLOOKUP(Data[[#This Row],[DEVELOPMENT]],'[1]Cheat-Sheet'!$D$2:$Q$341,2,FALSE)</f>
        <v>#N/A</v>
      </c>
      <c r="D207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207" s="20">
        <f>VLOOKUP(Data[[#This Row],[DEVELOPMENT]],Development_Data_Book[[DEVELOPMENT]:[BOROUGH]],21,FALSE)</f>
        <v>1</v>
      </c>
      <c r="F207" s="20">
        <f>VLOOKUP(Data[[#This Row],[DEVELOPMENT]],Development_Data_Book[[DEVELOPMENT]:[BOROUGH]],23,FALSE)</f>
        <v>1</v>
      </c>
      <c r="G207" s="20">
        <f>VLOOKUP(Data[[#This Row],[DEVELOPMENT]],Development_Data_Book[[DEVELOPMENT]:[BOROUGH]],12,FALSE)</f>
        <v>113</v>
      </c>
      <c r="J207">
        <f>IFERROR(VLOOKUP(Data[[#This Row],[DEVELOPMENT]],IntCompactors_MRST[],4,FALSE),0)</f>
        <v>1</v>
      </c>
      <c r="K207" s="20">
        <f>IFERROR(VLOOKUP(Data[[#This Row],[DEVELOPMENT]],ExtCompactors_MRST[],4,FALSE),0)</f>
        <v>0</v>
      </c>
      <c r="L207" s="27">
        <f>IF(Data[[#This Row],['# Interior Compactors MRST]]=0,"",VLOOKUP(Data[[#This Row],[DEVELOPMENT]],IntCompactors_MRST[],5,FALSE))</f>
        <v>35309</v>
      </c>
      <c r="M207" s="28" t="str">
        <f>IF(Data[[#This Row],['# Exterior Compactors MRST]]=0,"",VLOOKUP(Data[[#This Row],[DEVELOPMENT]],ExtCompactors_MRST[],5,FALSE))</f>
        <v/>
      </c>
      <c r="N207" s="20">
        <f>Data[[#This Row],['# Interior Compactors MRST]]</f>
        <v>1</v>
      </c>
      <c r="O207" s="20">
        <f>IF(Data[[#This Row],['# Bulk Crushers]]=0,1,0)</f>
        <v>1</v>
      </c>
      <c r="P207" s="20">
        <f>1</f>
        <v>1</v>
      </c>
      <c r="Q207" s="20">
        <f>1</f>
        <v>1</v>
      </c>
      <c r="R207" s="20">
        <f>1</f>
        <v>1</v>
      </c>
      <c r="S207" s="20">
        <f>1</f>
        <v>1</v>
      </c>
      <c r="T207" s="20">
        <f>IF(Data[[#This Row],[Sewershed]]="Newtown Creek",Data[[#This Row],[DUs]],0)</f>
        <v>113</v>
      </c>
      <c r="U20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0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0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07" s="82">
        <f>VLOOKUP(Data[[#This Row],[DEVELOPMENT]],Development_Data_Book[[DEVELOPMENT]:[BOROUGH]],3,FALSE)</f>
        <v>195</v>
      </c>
      <c r="Y207" s="20" t="s">
        <v>2599</v>
      </c>
      <c r="Z207" s="20">
        <f>IFERROR(VLOOKUP(Data[[#This Row],[TDS]],ExtCompactors_PNA[[Development]:[0]],2,FALSE),0)</f>
        <v>0</v>
      </c>
      <c r="AA207" s="20">
        <f>IFERROR(VLOOKUP(Data[[#This Row],[TDS]],IntCompactors_PNA[[TDS]:[0]],2,FALSE),0)</f>
        <v>1</v>
      </c>
      <c r="AB207" s="20"/>
      <c r="AC207" s="20"/>
      <c r="AD207" s="20">
        <f>IFERROR(VLOOKUP(Data[[#This Row],[TDS]],ExtCompactors_PNA[[Development]:[0]],3,FALSE)+VLOOKUP(Data[[#This Row],[TDS]],ExtCompactors_PNA[[Development]:[0]],6,FALSE),0)</f>
        <v>0</v>
      </c>
      <c r="AE207" s="20">
        <f>IFERROR(VLOOKUP(Data[[#This Row],[TDS]],IntCompactors_PNA[[TDS]:[0]],3,FALSE)+VLOOKUP(Data[[#This Row],[TDS]],IntCompactors_PNA[[TDS]:[0]],6,FALSE),0)</f>
        <v>1</v>
      </c>
      <c r="AF207" s="20" t="e">
        <f>VLOOKUP(Data[[#This Row],[DEVELOPMENT]],[3]Developments!$A$2:$A$312,1,FALSE)</f>
        <v>#N/A</v>
      </c>
      <c r="AG207" s="20" t="str">
        <f>IFERROR(VLOOKUP(Data[[#This Row],[DEVELOPMENT]],Ops_Priorities_and_Data_Clean[[development]:[ifnoext_comment]],3,FALSE),"")</f>
        <v/>
      </c>
      <c r="AH207" s="20" t="str">
        <f>IFERROR(VLOOKUP(Data[[#This Row],[DEVELOPMENT]],Ops_Priorities_and_Data_Clean[[development]:[ifnoext_comment]],4,FALSE),"")</f>
        <v/>
      </c>
      <c r="AI207" s="20" t="str">
        <f>IFERROR(VLOOKUP(Data[[#This Row],[DEVELOPMENT]],Ops_Priorities_and_Data_Clean[[development]:[ifnoext_comment]],5,FALSE),"")</f>
        <v/>
      </c>
      <c r="AJ207" s="20" t="str">
        <f>IFERROR(VLOOKUP(Data[[#This Row],[DEVELOPMENT]],Ops_Priorities_and_Data_Clean[[development]:[ifnoext_comment]],6,FALSE),"")</f>
        <v/>
      </c>
      <c r="AK207" s="20" t="str">
        <f>IFERROR(VLOOKUP(Data[[#This Row],[DEVELOPMENT]],Ops_Priorities_and_Data_Clean[[development]:[ifnoext_comment]],7,FALSE),"")</f>
        <v/>
      </c>
      <c r="AL207" s="20" t="str">
        <f>IFERROR(VLOOKUP(Data[[#This Row],[DEVELOPMENT]],Ops_Priorities_and_Data_Clean[[development]:[ifnoext_comment]],8,FALSE),"")</f>
        <v/>
      </c>
      <c r="AM207" s="20" t="str">
        <f>IFERROR(VLOOKUP(Data[[#This Row],[DEVELOPMENT]],Ops_Priorities_and_Data_Clean[[development]:[ifnoext_comment]],9,FALSE),"")</f>
        <v/>
      </c>
      <c r="AN207" s="20" t="str">
        <f>IFERROR(VLOOKUP(Data[[#This Row],[DEVELOPMENT]],Ops_Priorities_and_Data_Clean[[development]:[ifnoext_comment]],10,FALSE),"")</f>
        <v/>
      </c>
      <c r="AO207" s="20" t="str">
        <f>IFERROR(VLOOKUP(Data[[#This Row],[DEVELOPMENT]],Ops_Priorities_and_Data_Clean[[development]:[ifnoext_comment]],11,FALSE),"")</f>
        <v/>
      </c>
      <c r="AP207" s="20" t="str">
        <f>IFERROR(VLOOKUP(Data[[#This Row],[DEVELOPMENT]],Ops_Priorities_and_Data_Clean[[development]:[ifnoext_comment]],12,FALSE),"")</f>
        <v/>
      </c>
      <c r="AQ207" s="20" t="e">
        <f>VLOOKUP(Data[[#This Row],[DEVELOPMENT]],Ops_Priorities_and_Data_Clean[[development]:[ifnoext_comment]],14,FALSE)</f>
        <v>#N/A</v>
      </c>
      <c r="AR207" s="20" t="e">
        <f>VLOOKUP(Data[[#This Row],[DEVELOPMENT]],Ops_Priorities_and_Data_Clean[[development]:[ifnoext_comment]],15,FALSE)</f>
        <v>#N/A</v>
      </c>
      <c r="AS207" s="20" t="e">
        <f>VLOOKUP(Data[[#This Row],[DEVELOPMENT]],Ops_Priorities_and_Data_Clean[[development]:[ifnoext_comment]],16,FALSE)</f>
        <v>#N/A</v>
      </c>
      <c r="AT207" s="20" t="e">
        <f>VLOOKUP(Data[[#This Row],[DEVELOPMENT]],Ops_Priorities_and_Data_Clean[[development]:[ifnoext_comment]],17,FALSE)</f>
        <v>#N/A</v>
      </c>
      <c r="AU207" s="20" t="e">
        <f>VLOOKUP(Data[[#This Row],[DEVELOPMENT]],Ops_Priorities_and_Data_Clean[[development]:[ifnoext_comment]],18,FALSE)</f>
        <v>#N/A</v>
      </c>
      <c r="AV207" s="20" t="e">
        <f>VLOOKUP(Data[[#This Row],[DEVELOPMENT]],Ops_Priorities_and_Data_Clean[[development]:[ifnoext_comment]],19,FALSE)</f>
        <v>#N/A</v>
      </c>
      <c r="AW207" s="20" t="e">
        <f>VLOOKUP(Data[[#This Row],[DEVELOPMENT]],Ops_Priorities_and_Data_Clean[[development]:[ifnoext_comment]],20,FALSE)</f>
        <v>#N/A</v>
      </c>
      <c r="AX207" s="20"/>
      <c r="AY207" s="20"/>
      <c r="AZ207" s="20" t="str">
        <f>VLOOKUP(Data[[#This Row],[DEVELOPMENT]],Development_Data_Book[[DEVELOPMENT]:[PRIVATE MANAGEMENT]],8,FALSE)</f>
        <v>FEDERAL</v>
      </c>
      <c r="BA207" s="20"/>
      <c r="BB207" s="20">
        <f>VLOOKUP(Data[[#This Row],[DEVELOPMENT]],Development_Data_Book[[DEVELOPMENT]:[PRIVATE MANAGEMENT]],22,FALSE)</f>
        <v>0</v>
      </c>
      <c r="BC207" s="20">
        <f>Data[[#This Row],[Non-Dwelling Buildings]]+Data[[#This Row],[Dwelling Buildings]]</f>
        <v>1</v>
      </c>
      <c r="BD207" s="20">
        <f>VLOOKUP(Data[[#This Row],[DEVELOPMENT]],Development_Data_Book[[DEVELOPMENT]:[PRIVATE MANAGEMENT]],26,FALSE)</f>
        <v>0.63</v>
      </c>
      <c r="BE207" s="20"/>
      <c r="BF207" s="20">
        <f>VLOOKUP(Data[[#This Row],[DEVELOPMENT]],Development_Data_Book[[DEVELOPMENT]:[PRIVATE MANAGEMENT]],18,FALSE)</f>
        <v>117</v>
      </c>
      <c r="BG207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07" s="20"/>
      <c r="BI207" s="20"/>
      <c r="BJ207" s="20">
        <f>VLOOKUP(Data[[#This Row],[DEVELOPMENT]],Development_Data_Book[[DEVELOPMENT]:[PRIVATE MANAGEMENT]],41,FALSE)</f>
        <v>4</v>
      </c>
      <c r="BK207" s="20">
        <f>VLOOKUP(Data[[#This Row],[DEVELOPMENT]],Development_Data_Book[[DEVELOPMENT]:[PRIVATE MANAGEMENT]],42,FALSE)</f>
        <v>8</v>
      </c>
      <c r="BL207" s="20">
        <f>VLOOKUP(Data[[#This Row],[DEVELOPMENT]],Development_Data_Book[[DEVELOPMENT]:[PRIVATE MANAGEMENT]],43,FALSE)</f>
        <v>18</v>
      </c>
      <c r="BM207" s="20">
        <f>VLOOKUP(Data[[#This Row],[DEVELOPMENT]],Development_Data_Book[[DEVELOPMENT]:[PRIVATE MANAGEMENT]],44,FALSE)</f>
        <v>54</v>
      </c>
      <c r="BN207" s="20">
        <f>VLOOKUP(Data[[#This Row],[DEVELOPMENT]],Development_Data_Book[[DEVELOPMENT]:[PRIVATE MANAGEMENT]],45,FALSE)</f>
        <v>34</v>
      </c>
      <c r="BO207" s="20">
        <f>VLOOKUP(Data[[#This Row],[DEVELOPMENT]],Development_Data_Book[[DEVELOPMENT]:[PRIVATE MANAGEMENT]],24,FALSE)</f>
        <v>6</v>
      </c>
    </row>
    <row r="208" spans="1:67">
      <c r="A208" t="s">
        <v>93</v>
      </c>
      <c r="B208" t="str">
        <f>VLOOKUP(Data[[#This Row],[DEVELOPMENT]],Development_Data_Book[[DEVELOPMENT]:[BOROUGH]],MATCH("borough",Development_Data_Book[[#Headers],[DEVELOPMENT]:[BOROUGH]],0),FALSE)</f>
        <v>MANHATTAN</v>
      </c>
      <c r="C208" t="e">
        <f>VLOOKUP(Data[[#This Row],[DEVELOPMENT]],'[1]Cheat-Sheet'!$D$2:$Q$341,2,FALSE)</f>
        <v>#N/A</v>
      </c>
      <c r="D20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08">
        <f>VLOOKUP(Data[[#This Row],[DEVELOPMENT]],Development_Data_Book[[DEVELOPMENT]:[BOROUGH]],21,FALSE)</f>
        <v>2</v>
      </c>
      <c r="F208">
        <f>VLOOKUP(Data[[#This Row],[DEVELOPMENT]],Development_Data_Book[[DEVELOPMENT]:[BOROUGH]],23,FALSE)</f>
        <v>2</v>
      </c>
      <c r="G208">
        <f>VLOOKUP(Data[[#This Row],[DEVELOPMENT]],Development_Data_Book[[DEVELOPMENT]:[BOROUGH]],12,FALSE)</f>
        <v>90</v>
      </c>
      <c r="H208" t="s">
        <v>2248</v>
      </c>
      <c r="I208">
        <v>3</v>
      </c>
      <c r="J208">
        <f>IFERROR(VLOOKUP(Data[[#This Row],[DEVELOPMENT]],IntCompactors_MRST[],4,FALSE),0)</f>
        <v>2</v>
      </c>
      <c r="K208" s="20">
        <f>IFERROR(VLOOKUP(Data[[#This Row],[DEVELOPMENT]],ExtCompactors_MRST[],4,FALSE),0)</f>
        <v>0</v>
      </c>
      <c r="L208" s="27">
        <f>IF(Data[[#This Row],['# Interior Compactors MRST]]=0,"",VLOOKUP(Data[[#This Row],[DEVELOPMENT]],IntCompactors_MRST[],5,FALSE))</f>
        <v>29221</v>
      </c>
      <c r="M208" s="28" t="str">
        <f>IF(Data[[#This Row],['# Exterior Compactors MRST]]=0,"",VLOOKUP(Data[[#This Row],[DEVELOPMENT]],ExtCompactors_MRST[],5,FALSE))</f>
        <v/>
      </c>
      <c r="N208">
        <f>Data[[#This Row],['# Interior Compactors MRST]]</f>
        <v>2</v>
      </c>
      <c r="O208" s="20">
        <f>IF(Data[[#This Row],['# Bulk Crushers]]=0,1,0)</f>
        <v>1</v>
      </c>
      <c r="P208" s="20">
        <f>1</f>
        <v>1</v>
      </c>
      <c r="Q208" s="20">
        <f>1</f>
        <v>1</v>
      </c>
      <c r="R208" s="20">
        <f>1</f>
        <v>1</v>
      </c>
      <c r="S208" s="20">
        <f>1</f>
        <v>1</v>
      </c>
      <c r="T208" s="20">
        <f>IF(Data[[#This Row],[Sewershed]]="Newtown Creek",Data[[#This Row],[DUs]],0)</f>
        <v>0</v>
      </c>
      <c r="U20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0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0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08" s="82">
        <f>VLOOKUP(Data[[#This Row],[DEVELOPMENT]],Development_Data_Book[[DEVELOPMENT]:[BOROUGH]],3,FALSE)</f>
        <v>204</v>
      </c>
      <c r="Y208" s="20"/>
      <c r="Z208" s="20">
        <f>IFERROR(VLOOKUP(Data[[#This Row],[TDS]],ExtCompactors_PNA[[Development]:[0]],2,FALSE),0)</f>
        <v>0</v>
      </c>
      <c r="AA208" s="20">
        <f>IFERROR(VLOOKUP(Data[[#This Row],[TDS]],IntCompactors_PNA[[TDS]:[0]],2,FALSE),0)</f>
        <v>2</v>
      </c>
      <c r="AB208" s="20"/>
      <c r="AC208" s="20"/>
      <c r="AD208" s="20">
        <f>IFERROR(VLOOKUP(Data[[#This Row],[TDS]],ExtCompactors_PNA[[Development]:[0]],3,FALSE)+VLOOKUP(Data[[#This Row],[TDS]],ExtCompactors_PNA[[Development]:[0]],6,FALSE),0)</f>
        <v>0</v>
      </c>
      <c r="AE208" s="20">
        <f>IFERROR(VLOOKUP(Data[[#This Row],[TDS]],IntCompactors_PNA[[TDS]:[0]],3,FALSE)+VLOOKUP(Data[[#This Row],[TDS]],IntCompactors_PNA[[TDS]:[0]],6,FALSE),0)</f>
        <v>2</v>
      </c>
      <c r="AF208" s="20" t="e">
        <f>VLOOKUP(Data[[#This Row],[DEVELOPMENT]],[3]Developments!$A$2:$A$312,1,FALSE)</f>
        <v>#N/A</v>
      </c>
      <c r="AG208" s="20">
        <f>IFERROR(VLOOKUP(Data[[#This Row],[DEVELOPMENT]],Ops_Priorities_and_Data_Clean[[development]:[ifnoext_comment]],3,FALSE),"")</f>
        <v>0</v>
      </c>
      <c r="AH208" s="20">
        <f>IFERROR(VLOOKUP(Data[[#This Row],[DEVELOPMENT]],Ops_Priorities_and_Data_Clean[[development]:[ifnoext_comment]],4,FALSE),"")</f>
        <v>0</v>
      </c>
      <c r="AI208" s="20">
        <f>IFERROR(VLOOKUP(Data[[#This Row],[DEVELOPMENT]],Ops_Priorities_and_Data_Clean[[development]:[ifnoext_comment]],5,FALSE),"")</f>
        <v>0</v>
      </c>
      <c r="AJ208" s="20">
        <f>IFERROR(VLOOKUP(Data[[#This Row],[DEVELOPMENT]],Ops_Priorities_and_Data_Clean[[development]:[ifnoext_comment]],6,FALSE),"")</f>
        <v>1</v>
      </c>
      <c r="AK208" s="20">
        <f>IFERROR(VLOOKUP(Data[[#This Row],[DEVELOPMENT]],Ops_Priorities_and_Data_Clean[[development]:[ifnoext_comment]],7,FALSE),"")</f>
        <v>0</v>
      </c>
      <c r="AL208" s="20">
        <f>IFERROR(VLOOKUP(Data[[#This Row],[DEVELOPMENT]],Ops_Priorities_and_Data_Clean[[development]:[ifnoext_comment]],8,FALSE),"")</f>
        <v>1</v>
      </c>
      <c r="AM208" s="20">
        <f>IFERROR(VLOOKUP(Data[[#This Row],[DEVELOPMENT]],Ops_Priorities_and_Data_Clean[[development]:[ifnoext_comment]],9,FALSE),"")</f>
        <v>0</v>
      </c>
      <c r="AN208" s="20">
        <f>IFERROR(VLOOKUP(Data[[#This Row],[DEVELOPMENT]],Ops_Priorities_and_Data_Clean[[development]:[ifnoext_comment]],10,FALSE),"")</f>
        <v>0</v>
      </c>
      <c r="AO208" s="20">
        <f>IFERROR(VLOOKUP(Data[[#This Row],[DEVELOPMENT]],Ops_Priorities_and_Data_Clean[[development]:[ifnoext_comment]],11,FALSE),"")</f>
        <v>0</v>
      </c>
      <c r="AP208" s="20">
        <f>IFERROR(VLOOKUP(Data[[#This Row],[DEVELOPMENT]],Ops_Priorities_and_Data_Clean[[development]:[ifnoext_comment]],12,FALSE),"")</f>
        <v>0</v>
      </c>
      <c r="AQ208" s="20">
        <f>VLOOKUP(Data[[#This Row],[DEVELOPMENT]],Ops_Priorities_and_Data_Clean[[development]:[ifnoext_comment]],14,FALSE)</f>
        <v>0</v>
      </c>
      <c r="AR208" s="20">
        <f>VLOOKUP(Data[[#This Row],[DEVELOPMENT]],Ops_Priorities_and_Data_Clean[[development]:[ifnoext_comment]],15,FALSE)</f>
        <v>1</v>
      </c>
      <c r="AS208" s="20" t="str">
        <f>VLOOKUP(Data[[#This Row],[DEVELOPMENT]],Ops_Priorities_and_Data_Clean[[development]:[ifnoext_comment]],16,FALSE)</f>
        <v>UPACA (SITE 6)</v>
      </c>
      <c r="AT208" s="20" t="str">
        <f>VLOOKUP(Data[[#This Row],[DEVELOPMENT]],Ops_Priorities_and_Data_Clean[[development]:[ifnoext_comment]],17,FALSE)</f>
        <v>NULL</v>
      </c>
      <c r="AU208" s="20" t="str">
        <f>VLOOKUP(Data[[#This Row],[DEVELOPMENT]],Ops_Priorities_and_Data_Clean[[development]:[ifnoext_comment]],18,FALSE)</f>
        <v>no</v>
      </c>
      <c r="AV208" s="20" t="str">
        <f>VLOOKUP(Data[[#This Row],[DEVELOPMENT]],Ops_Priorities_and_Data_Clean[[development]:[ifnoext_comment]],19,FALSE)</f>
        <v>Has exterior compactor</v>
      </c>
      <c r="AW208" s="20" t="str">
        <f>VLOOKUP(Data[[#This Row],[DEVELOPMENT]],Ops_Priorities_and_Data_Clean[[development]:[ifnoext_comment]],20,FALSE)</f>
        <v>NULL</v>
      </c>
      <c r="AX208" s="104" t="s">
        <v>2239</v>
      </c>
      <c r="AY208" s="104" t="s">
        <v>2660</v>
      </c>
      <c r="AZ208" s="20" t="str">
        <f>VLOOKUP(Data[[#This Row],[DEVELOPMENT]],Development_Data_Book[[DEVELOPMENT]:[PRIVATE MANAGEMENT]],8,FALSE)</f>
        <v>FEDERAL</v>
      </c>
      <c r="BA208" s="104" t="s">
        <v>2586</v>
      </c>
      <c r="BB208" s="20">
        <f>VLOOKUP(Data[[#This Row],[DEVELOPMENT]],Development_Data_Book[[DEVELOPMENT]:[PRIVATE MANAGEMENT]],22,FALSE)</f>
        <v>1</v>
      </c>
      <c r="BC208" s="20">
        <f>Data[[#This Row],[Non-Dwelling Buildings]]+Data[[#This Row],[Dwelling Buildings]]</f>
        <v>3</v>
      </c>
      <c r="BD208" s="20">
        <f>VLOOKUP(Data[[#This Row],[DEVELOPMENT]],Development_Data_Book[[DEVELOPMENT]:[PRIVATE MANAGEMENT]],26,FALSE)</f>
        <v>0.74</v>
      </c>
      <c r="BE208" s="106">
        <v>103100</v>
      </c>
      <c r="BF208" s="20">
        <f>VLOOKUP(Data[[#This Row],[DEVELOPMENT]],Development_Data_Book[[DEVELOPMENT]:[PRIVATE MANAGEMENT]],18,FALSE)</f>
        <v>205</v>
      </c>
      <c r="BG20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08" s="104" t="s">
        <v>2604</v>
      </c>
      <c r="BI208" t="s">
        <v>184</v>
      </c>
      <c r="BJ208" s="20">
        <f>VLOOKUP(Data[[#This Row],[DEVELOPMENT]],Development_Data_Book[[DEVELOPMENT]:[PRIVATE MANAGEMENT]],41,FALSE)</f>
        <v>11</v>
      </c>
      <c r="BK208" s="20">
        <f>VLOOKUP(Data[[#This Row],[DEVELOPMENT]],Development_Data_Book[[DEVELOPMENT]:[PRIVATE MANAGEMENT]],42,FALSE)</f>
        <v>13</v>
      </c>
      <c r="BL208" s="20">
        <f>VLOOKUP(Data[[#This Row],[DEVELOPMENT]],Development_Data_Book[[DEVELOPMENT]:[PRIVATE MANAGEMENT]],43,FALSE)</f>
        <v>30</v>
      </c>
      <c r="BM208" s="20">
        <f>VLOOKUP(Data[[#This Row],[DEVELOPMENT]],Development_Data_Book[[DEVELOPMENT]:[PRIVATE MANAGEMENT]],44,FALSE)</f>
        <v>68</v>
      </c>
      <c r="BN208" s="20">
        <f>VLOOKUP(Data[[#This Row],[DEVELOPMENT]],Development_Data_Book[[DEVELOPMENT]:[PRIVATE MANAGEMENT]],45,FALSE)</f>
        <v>9</v>
      </c>
      <c r="BO208" s="20">
        <f>VLOOKUP(Data[[#This Row],[DEVELOPMENT]],Development_Data_Book[[DEVELOPMENT]:[PRIVATE MANAGEMENT]],24,FALSE)</f>
        <v>6</v>
      </c>
    </row>
    <row r="209" spans="1:67">
      <c r="A209" t="s">
        <v>352</v>
      </c>
      <c r="B209" s="20" t="str">
        <f>VLOOKUP(Data[[#This Row],[DEVELOPMENT]],Development_Data_Book[[DEVELOPMENT]:[BOROUGH]],MATCH("borough",Development_Data_Book[[#Headers],[DEVELOPMENT]:[BOROUGH]],0),FALSE)</f>
        <v>BROOKLYN</v>
      </c>
      <c r="C209" s="20" t="e">
        <f>VLOOKUP(Data[[#This Row],[DEVELOPMENT]],'[1]Cheat-Sheet'!$D$2:$Q$341,2,FALSE)</f>
        <v>#N/A</v>
      </c>
      <c r="D20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09" s="20">
        <f>VLOOKUP(Data[[#This Row],[DEVELOPMENT]],Development_Data_Book[[DEVELOPMENT]:[BOROUGH]],21,FALSE)</f>
        <v>9</v>
      </c>
      <c r="F209" s="20">
        <f>VLOOKUP(Data[[#This Row],[DEVELOPMENT]],Development_Data_Book[[DEVELOPMENT]:[BOROUGH]],23,FALSE)</f>
        <v>9</v>
      </c>
      <c r="G209" s="20">
        <f>VLOOKUP(Data[[#This Row],[DEVELOPMENT]],Development_Data_Book[[DEVELOPMENT]:[BOROUGH]],12,FALSE)</f>
        <v>134</v>
      </c>
      <c r="J209">
        <f>IFERROR(VLOOKUP(Data[[#This Row],[DEVELOPMENT]],IntCompactors_MRST[],4,FALSE),0)</f>
        <v>7</v>
      </c>
      <c r="K209" s="20">
        <f>IFERROR(VLOOKUP(Data[[#This Row],[DEVELOPMENT]],ExtCompactors_MRST[],4,FALSE),0)</f>
        <v>0</v>
      </c>
      <c r="L209" s="27">
        <f>IF(Data[[#This Row],['# Interior Compactors MRST]]=0,"",VLOOKUP(Data[[#This Row],[DEVELOPMENT]],IntCompactors_MRST[],5,FALSE))</f>
        <v>31048</v>
      </c>
      <c r="M209" s="28" t="str">
        <f>IF(Data[[#This Row],['# Exterior Compactors MRST]]=0,"",VLOOKUP(Data[[#This Row],[DEVELOPMENT]],ExtCompactors_MRST[],5,FALSE))</f>
        <v/>
      </c>
      <c r="N209" s="20">
        <f>Data[[#This Row],['# Interior Compactors MRST]]</f>
        <v>7</v>
      </c>
      <c r="O209" s="20">
        <f>IF(Data[[#This Row],['# Bulk Crushers]]=0,1,0)</f>
        <v>1</v>
      </c>
      <c r="P209" s="20">
        <f>1</f>
        <v>1</v>
      </c>
      <c r="Q209" s="20">
        <f>1</f>
        <v>1</v>
      </c>
      <c r="R209" s="20">
        <f>1</f>
        <v>1</v>
      </c>
      <c r="S209" s="20">
        <f>1</f>
        <v>1</v>
      </c>
      <c r="T209" s="20">
        <f>IF(Data[[#This Row],[Sewershed]]="Newtown Creek",Data[[#This Row],[DUs]],0)</f>
        <v>134</v>
      </c>
      <c r="U20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0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0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09" s="82">
        <f>VLOOKUP(Data[[#This Row],[DEVELOPMENT]],Development_Data_Book[[DEVELOPMENT]:[BOROUGH]],3,FALSE)</f>
        <v>351</v>
      </c>
      <c r="Y209" s="20" t="s">
        <v>2599</v>
      </c>
      <c r="Z209" s="20">
        <f>IFERROR(VLOOKUP(Data[[#This Row],[TDS]],ExtCompactors_PNA[[Development]:[0]],2,FALSE),0)</f>
        <v>0</v>
      </c>
      <c r="AA209" s="20">
        <f>IFERROR(VLOOKUP(Data[[#This Row],[TDS]],IntCompactors_PNA[[TDS]:[0]],2,FALSE),0)</f>
        <v>6</v>
      </c>
      <c r="AB209" s="20"/>
      <c r="AC209" s="20"/>
      <c r="AD209" s="20">
        <f>IFERROR(VLOOKUP(Data[[#This Row],[TDS]],ExtCompactors_PNA[[Development]:[0]],3,FALSE)+VLOOKUP(Data[[#This Row],[TDS]],ExtCompactors_PNA[[Development]:[0]],6,FALSE),0)</f>
        <v>0</v>
      </c>
      <c r="AE209" s="20">
        <f>IFERROR(VLOOKUP(Data[[#This Row],[TDS]],IntCompactors_PNA[[TDS]:[0]],3,FALSE)+VLOOKUP(Data[[#This Row],[TDS]],IntCompactors_PNA[[TDS]:[0]],6,FALSE),0)</f>
        <v>6</v>
      </c>
      <c r="AF209" s="20" t="e">
        <f>VLOOKUP(Data[[#This Row],[DEVELOPMENT]],[3]Developments!$A$2:$A$312,1,FALSE)</f>
        <v>#N/A</v>
      </c>
      <c r="AG209" s="20">
        <f>IFERROR(VLOOKUP(Data[[#This Row],[DEVELOPMENT]],Ops_Priorities_and_Data_Clean[[development]:[ifnoext_comment]],3,FALSE),"")</f>
        <v>0</v>
      </c>
      <c r="AH209" s="20">
        <f>IFERROR(VLOOKUP(Data[[#This Row],[DEVELOPMENT]],Ops_Priorities_and_Data_Clean[[development]:[ifnoext_comment]],4,FALSE),"")</f>
        <v>0</v>
      </c>
      <c r="AI209" s="20">
        <f>IFERROR(VLOOKUP(Data[[#This Row],[DEVELOPMENT]],Ops_Priorities_and_Data_Clean[[development]:[ifnoext_comment]],5,FALSE),"")</f>
        <v>0</v>
      </c>
      <c r="AJ209" s="20">
        <f>IFERROR(VLOOKUP(Data[[#This Row],[DEVELOPMENT]],Ops_Priorities_and_Data_Clean[[development]:[ifnoext_comment]],6,FALSE),"")</f>
        <v>0</v>
      </c>
      <c r="AK209" s="20">
        <f>IFERROR(VLOOKUP(Data[[#This Row],[DEVELOPMENT]],Ops_Priorities_and_Data_Clean[[development]:[ifnoext_comment]],7,FALSE),"")</f>
        <v>1</v>
      </c>
      <c r="AL209" s="20">
        <f>IFERROR(VLOOKUP(Data[[#This Row],[DEVELOPMENT]],Ops_Priorities_and_Data_Clean[[development]:[ifnoext_comment]],8,FALSE),"")</f>
        <v>1</v>
      </c>
      <c r="AM209" s="20">
        <f>IFERROR(VLOOKUP(Data[[#This Row],[DEVELOPMENT]],Ops_Priorities_and_Data_Clean[[development]:[ifnoext_comment]],9,FALSE),"")</f>
        <v>0</v>
      </c>
      <c r="AN209" s="20">
        <f>IFERROR(VLOOKUP(Data[[#This Row],[DEVELOPMENT]],Ops_Priorities_and_Data_Clean[[development]:[ifnoext_comment]],10,FALSE),"")</f>
        <v>0</v>
      </c>
      <c r="AO209" s="20">
        <f>IFERROR(VLOOKUP(Data[[#This Row],[DEVELOPMENT]],Ops_Priorities_and_Data_Clean[[development]:[ifnoext_comment]],11,FALSE),"")</f>
        <v>0</v>
      </c>
      <c r="AP209" s="20">
        <f>IFERROR(VLOOKUP(Data[[#This Row],[DEVELOPMENT]],Ops_Priorities_and_Data_Clean[[development]:[ifnoext_comment]],12,FALSE),"")</f>
        <v>0</v>
      </c>
      <c r="AQ209" s="20">
        <f>VLOOKUP(Data[[#This Row],[DEVELOPMENT]],Ops_Priorities_and_Data_Clean[[development]:[ifnoext_comment]],14,FALSE)</f>
        <v>1</v>
      </c>
      <c r="AR209" s="20">
        <f>VLOOKUP(Data[[#This Row],[DEVELOPMENT]],Ops_Priorities_and_Data_Clean[[development]:[ifnoext_comment]],15,FALSE)</f>
        <v>0</v>
      </c>
      <c r="AS209" s="20" t="str">
        <f>VLOOKUP(Data[[#This Row],[DEVELOPMENT]],Ops_Priorities_and_Data_Clean[[development]:[ifnoext_comment]],16,FALSE)</f>
        <v>NULL</v>
      </c>
      <c r="AT209" s="20" t="str">
        <f>VLOOKUP(Data[[#This Row],[DEVELOPMENT]],Ops_Priorities_and_Data_Clean[[development]:[ifnoext_comment]],17,FALSE)</f>
        <v>NULL</v>
      </c>
      <c r="AU209" s="20" t="str">
        <f>VLOOKUP(Data[[#This Row],[DEVELOPMENT]],Ops_Priorities_and_Data_Clean[[development]:[ifnoext_comment]],18,FALSE)</f>
        <v>NULL</v>
      </c>
      <c r="AV209" s="20" t="str">
        <f>VLOOKUP(Data[[#This Row],[DEVELOPMENT]],Ops_Priorities_and_Data_Clean[[development]:[ifnoext_comment]],19,FALSE)</f>
        <v>NULL</v>
      </c>
      <c r="AW209" s="20" t="str">
        <f>VLOOKUP(Data[[#This Row],[DEVELOPMENT]],Ops_Priorities_and_Data_Clean[[development]:[ifnoext_comment]],20,FALSE)</f>
        <v>NULL</v>
      </c>
      <c r="AX209" s="104" t="s">
        <v>2238</v>
      </c>
      <c r="AY209" s="104" t="s">
        <v>314</v>
      </c>
      <c r="AZ209" s="20" t="str">
        <f>VLOOKUP(Data[[#This Row],[DEVELOPMENT]],Development_Data_Book[[DEVELOPMENT]:[PRIVATE MANAGEMENT]],8,FALSE)</f>
        <v>FEDERAL</v>
      </c>
      <c r="BA209" s="104" t="s">
        <v>2588</v>
      </c>
      <c r="BB209" s="20">
        <f>VLOOKUP(Data[[#This Row],[DEVELOPMENT]],Development_Data_Book[[DEVELOPMENT]:[PRIVATE MANAGEMENT]],22,FALSE)</f>
        <v>0</v>
      </c>
      <c r="BC209" s="20">
        <f>Data[[#This Row],[Non-Dwelling Buildings]]+Data[[#This Row],[Dwelling Buildings]]</f>
        <v>9</v>
      </c>
      <c r="BD209" s="20">
        <f>VLOOKUP(Data[[#This Row],[DEVELOPMENT]],Development_Data_Book[[DEVELOPMENT]:[PRIVATE MANAGEMENT]],26,FALSE)</f>
        <v>1.24</v>
      </c>
      <c r="BE209" s="106">
        <v>147600</v>
      </c>
      <c r="BF209" s="20">
        <f>VLOOKUP(Data[[#This Row],[DEVELOPMENT]],Development_Data_Book[[DEVELOPMENT]:[PRIVATE MANAGEMENT]],18,FALSE)</f>
        <v>319</v>
      </c>
      <c r="BG20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09" s="104" t="s">
        <v>2608</v>
      </c>
      <c r="BI209" t="s">
        <v>184</v>
      </c>
      <c r="BJ209" s="20">
        <f>VLOOKUP(Data[[#This Row],[DEVELOPMENT]],Development_Data_Book[[DEVELOPMENT]:[PRIVATE MANAGEMENT]],41,FALSE)</f>
        <v>8</v>
      </c>
      <c r="BK209" s="20">
        <f>VLOOKUP(Data[[#This Row],[DEVELOPMENT]],Development_Data_Book[[DEVELOPMENT]:[PRIVATE MANAGEMENT]],42,FALSE)</f>
        <v>9</v>
      </c>
      <c r="BL209" s="20" t="str">
        <f>VLOOKUP(Data[[#This Row],[DEVELOPMENT]],Development_Data_Book[[DEVELOPMENT]:[PRIVATE MANAGEMENT]],43,FALSE)</f>
        <v>20, 25</v>
      </c>
      <c r="BM209" s="20">
        <f>VLOOKUP(Data[[#This Row],[DEVELOPMENT]],Development_Data_Book[[DEVELOPMENT]:[PRIVATE MANAGEMENT]],44,FALSE)</f>
        <v>55</v>
      </c>
      <c r="BN209" s="20">
        <f>VLOOKUP(Data[[#This Row],[DEVELOPMENT]],Development_Data_Book[[DEVELOPMENT]:[PRIVATE MANAGEMENT]],45,FALSE)</f>
        <v>36</v>
      </c>
      <c r="BO209" s="20">
        <f>VLOOKUP(Data[[#This Row],[DEVELOPMENT]],Development_Data_Book[[DEVELOPMENT]:[PRIVATE MANAGEMENT]],24,FALSE)</f>
        <v>4</v>
      </c>
    </row>
    <row r="210" spans="1:67">
      <c r="A210" t="s">
        <v>353</v>
      </c>
      <c r="B210" s="20" t="str">
        <f>VLOOKUP(Data[[#This Row],[DEVELOPMENT]],Development_Data_Book[[DEVELOPMENT]:[BOROUGH]],MATCH("borough",Development_Data_Book[[#Headers],[DEVELOPMENT]:[BOROUGH]],0),FALSE)</f>
        <v>BRONX</v>
      </c>
      <c r="C210" s="20" t="e">
        <f>VLOOKUP(Data[[#This Row],[DEVELOPMENT]],'[1]Cheat-Sheet'!$D$2:$Q$341,2,FALSE)</f>
        <v>#N/A</v>
      </c>
      <c r="D21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10" s="20">
        <f>VLOOKUP(Data[[#This Row],[DEVELOPMENT]],Development_Data_Book[[DEVELOPMENT]:[BOROUGH]],21,FALSE)</f>
        <v>14</v>
      </c>
      <c r="F210" s="20">
        <f>VLOOKUP(Data[[#This Row],[DEVELOPMENT]],Development_Data_Book[[DEVELOPMENT]:[BOROUGH]],23,FALSE)</f>
        <v>20</v>
      </c>
      <c r="G210" s="20">
        <f>VLOOKUP(Data[[#This Row],[DEVELOPMENT]],Development_Data_Book[[DEVELOPMENT]:[BOROUGH]],12,FALSE)</f>
        <v>879</v>
      </c>
      <c r="J210">
        <f>IFERROR(VLOOKUP(Data[[#This Row],[DEVELOPMENT]],IntCompactors_MRST[],4,FALSE),0)</f>
        <v>20</v>
      </c>
      <c r="K210" s="20">
        <f>IFERROR(VLOOKUP(Data[[#This Row],[DEVELOPMENT]],ExtCompactors_MRST[],4,FALSE),0)</f>
        <v>2</v>
      </c>
      <c r="L210" s="27">
        <f>IF(Data[[#This Row],['# Interior Compactors MRST]]=0,"",VLOOKUP(Data[[#This Row],[DEVELOPMENT]],IntCompactors_MRST[],5,FALSE))</f>
        <v>34425</v>
      </c>
      <c r="M210" s="28">
        <f>IF(Data[[#This Row],['# Exterior Compactors MRST]]=0,"",VLOOKUP(Data[[#This Row],[DEVELOPMENT]],ExtCompactors_MRST[],5,FALSE))</f>
        <v>37145</v>
      </c>
      <c r="N210" s="20">
        <f>Data[[#This Row],['# Interior Compactors MRST]]</f>
        <v>20</v>
      </c>
      <c r="O210" s="20">
        <f>IF(Data[[#This Row],['# Bulk Crushers]]=0,1,0)</f>
        <v>1</v>
      </c>
      <c r="P210" s="20">
        <f>1</f>
        <v>1</v>
      </c>
      <c r="Q210" s="20">
        <f>1</f>
        <v>1</v>
      </c>
      <c r="R210" s="20">
        <f>1</f>
        <v>1</v>
      </c>
      <c r="S210" s="20">
        <f>1</f>
        <v>1</v>
      </c>
      <c r="T210" s="20">
        <f>IF(Data[[#This Row],[Sewershed]]="Newtown Creek",Data[[#This Row],[DUs]],0)</f>
        <v>0</v>
      </c>
      <c r="U21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1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1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10" s="82">
        <f>VLOOKUP(Data[[#This Row],[DEVELOPMENT]],Development_Data_Book[[DEVELOPMENT]:[BOROUGH]],3,FALSE)</f>
        <v>47</v>
      </c>
      <c r="Y210" s="20"/>
      <c r="Z210" s="20">
        <f>IFERROR(VLOOKUP(Data[[#This Row],[TDS]],ExtCompactors_PNA[[Development]:[0]],2,FALSE),0)</f>
        <v>2</v>
      </c>
      <c r="AA210" s="20">
        <f>IFERROR(VLOOKUP(Data[[#This Row],[TDS]],IntCompactors_PNA[[TDS]:[0]],2,FALSE),0)</f>
        <v>21</v>
      </c>
      <c r="AB210" s="20"/>
      <c r="AC210" s="20"/>
      <c r="AD210" s="20">
        <f>IFERROR(VLOOKUP(Data[[#This Row],[TDS]],ExtCompactors_PNA[[Development]:[0]],3,FALSE)+VLOOKUP(Data[[#This Row],[TDS]],ExtCompactors_PNA[[Development]:[0]],6,FALSE),0)</f>
        <v>2</v>
      </c>
      <c r="AE210" s="20">
        <f>IFERROR(VLOOKUP(Data[[#This Row],[TDS]],IntCompactors_PNA[[TDS]:[0]],3,FALSE)+VLOOKUP(Data[[#This Row],[TDS]],IntCompactors_PNA[[TDS]:[0]],6,FALSE),0)</f>
        <v>21</v>
      </c>
      <c r="AF210" s="20" t="e">
        <f>VLOOKUP(Data[[#This Row],[DEVELOPMENT]],[3]Developments!$A$2:$A$312,1,FALSE)</f>
        <v>#N/A</v>
      </c>
      <c r="AG210" s="20">
        <f>IFERROR(VLOOKUP(Data[[#This Row],[DEVELOPMENT]],Ops_Priorities_and_Data_Clean[[development]:[ifnoext_comment]],3,FALSE),"")</f>
        <v>2</v>
      </c>
      <c r="AH210" s="20">
        <f>IFERROR(VLOOKUP(Data[[#This Row],[DEVELOPMENT]],Ops_Priorities_and_Data_Clean[[development]:[ifnoext_comment]],4,FALSE),"")</f>
        <v>0</v>
      </c>
      <c r="AI210" s="20">
        <f>IFERROR(VLOOKUP(Data[[#This Row],[DEVELOPMENT]],Ops_Priorities_and_Data_Clean[[development]:[ifnoext_comment]],5,FALSE),"")</f>
        <v>1</v>
      </c>
      <c r="AJ210" s="20">
        <f>IFERROR(VLOOKUP(Data[[#This Row],[DEVELOPMENT]],Ops_Priorities_and_Data_Clean[[development]:[ifnoext_comment]],6,FALSE),"")</f>
        <v>0</v>
      </c>
      <c r="AK210" s="20">
        <f>IFERROR(VLOOKUP(Data[[#This Row],[DEVELOPMENT]],Ops_Priorities_and_Data_Clean[[development]:[ifnoext_comment]],7,FALSE),"")</f>
        <v>0</v>
      </c>
      <c r="AL210" s="20">
        <f>IFERROR(VLOOKUP(Data[[#This Row],[DEVELOPMENT]],Ops_Priorities_and_Data_Clean[[development]:[ifnoext_comment]],8,FALSE),"")</f>
        <v>1</v>
      </c>
      <c r="AM210" s="20">
        <f>IFERROR(VLOOKUP(Data[[#This Row],[DEVELOPMENT]],Ops_Priorities_and_Data_Clean[[development]:[ifnoext_comment]],9,FALSE),"")</f>
        <v>0</v>
      </c>
      <c r="AN210" s="20">
        <f>IFERROR(VLOOKUP(Data[[#This Row],[DEVELOPMENT]],Ops_Priorities_and_Data_Clean[[development]:[ifnoext_comment]],10,FALSE),"")</f>
        <v>2</v>
      </c>
      <c r="AO210" s="20">
        <f>IFERROR(VLOOKUP(Data[[#This Row],[DEVELOPMENT]],Ops_Priorities_and_Data_Clean[[development]:[ifnoext_comment]],11,FALSE),"")</f>
        <v>2</v>
      </c>
      <c r="AP210" s="20">
        <f>IFERROR(VLOOKUP(Data[[#This Row],[DEVELOPMENT]],Ops_Priorities_and_Data_Clean[[development]:[ifnoext_comment]],12,FALSE),"")</f>
        <v>2</v>
      </c>
      <c r="AQ210" s="20">
        <f>VLOOKUP(Data[[#This Row],[DEVELOPMENT]],Ops_Priorities_and_Data_Clean[[development]:[ifnoext_comment]],14,FALSE)</f>
        <v>0</v>
      </c>
      <c r="AR210" s="20">
        <f>VLOOKUP(Data[[#This Row],[DEVELOPMENT]],Ops_Priorities_and_Data_Clean[[development]:[ifnoext_comment]],15,FALSE)</f>
        <v>0</v>
      </c>
      <c r="AS210" s="20" t="str">
        <f>VLOOKUP(Data[[#This Row],[DEVELOPMENT]],Ops_Priorities_and_Data_Clean[[development]:[ifnoext_comment]],16,FALSE)</f>
        <v>NULL</v>
      </c>
      <c r="AT210" s="20" t="str">
        <f>VLOOKUP(Data[[#This Row],[DEVELOPMENT]],Ops_Priorities_and_Data_Clean[[development]:[ifnoext_comment]],17,FALSE)</f>
        <v>NULL</v>
      </c>
      <c r="AU210" s="20" t="str">
        <f>VLOOKUP(Data[[#This Row],[DEVELOPMENT]],Ops_Priorities_and_Data_Clean[[development]:[ifnoext_comment]],18,FALSE)</f>
        <v>NULL</v>
      </c>
      <c r="AV210" s="20" t="str">
        <f>VLOOKUP(Data[[#This Row],[DEVELOPMENT]],Ops_Priorities_and_Data_Clean[[development]:[ifnoext_comment]],19,FALSE)</f>
        <v>NULL</v>
      </c>
      <c r="AW210" s="20" t="str">
        <f>VLOOKUP(Data[[#This Row],[DEVELOPMENT]],Ops_Priorities_and_Data_Clean[[development]:[ifnoext_comment]],20,FALSE)</f>
        <v>NULL</v>
      </c>
      <c r="AX210" s="104" t="s">
        <v>2237</v>
      </c>
      <c r="AY210" s="104" t="s">
        <v>2627</v>
      </c>
      <c r="AZ210" s="20" t="str">
        <f>VLOOKUP(Data[[#This Row],[DEVELOPMENT]],Development_Data_Book[[DEVELOPMENT]:[PRIVATE MANAGEMENT]],8,FALSE)</f>
        <v>FEDERAL</v>
      </c>
      <c r="BA210" s="104" t="s">
        <v>2586</v>
      </c>
      <c r="BB210" s="20">
        <f>VLOOKUP(Data[[#This Row],[DEVELOPMENT]],Development_Data_Book[[DEVELOPMENT]:[PRIVATE MANAGEMENT]],22,FALSE)</f>
        <v>0</v>
      </c>
      <c r="BC210" s="20">
        <f>Data[[#This Row],[Non-Dwelling Buildings]]+Data[[#This Row],[Dwelling Buildings]]</f>
        <v>14</v>
      </c>
      <c r="BD210" s="20">
        <f>VLOOKUP(Data[[#This Row],[DEVELOPMENT]],Development_Data_Book[[DEVELOPMENT]:[PRIVATE MANAGEMENT]],26,FALSE)</f>
        <v>11.14</v>
      </c>
      <c r="BE210" s="106">
        <v>837200</v>
      </c>
      <c r="BF210" s="20">
        <f>VLOOKUP(Data[[#This Row],[DEVELOPMENT]],Development_Data_Book[[DEVELOPMENT]:[PRIVATE MANAGEMENT]],18,FALSE)</f>
        <v>1734</v>
      </c>
      <c r="BG21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10" s="104" t="s">
        <v>2595</v>
      </c>
      <c r="BI210" t="s">
        <v>184</v>
      </c>
      <c r="BJ210" s="20">
        <f>VLOOKUP(Data[[#This Row],[DEVELOPMENT]],Development_Data_Book[[DEVELOPMENT]:[PRIVATE MANAGEMENT]],41,FALSE)</f>
        <v>11</v>
      </c>
      <c r="BK210" s="20">
        <f>VLOOKUP(Data[[#This Row],[DEVELOPMENT]],Development_Data_Book[[DEVELOPMENT]:[PRIVATE MANAGEMENT]],42,FALSE)</f>
        <v>14</v>
      </c>
      <c r="BL210" s="20">
        <f>VLOOKUP(Data[[#This Row],[DEVELOPMENT]],Development_Data_Book[[DEVELOPMENT]:[PRIVATE MANAGEMENT]],43,FALSE)</f>
        <v>36</v>
      </c>
      <c r="BM210" s="20">
        <f>VLOOKUP(Data[[#This Row],[DEVELOPMENT]],Development_Data_Book[[DEVELOPMENT]:[PRIVATE MANAGEMENT]],44,FALSE)</f>
        <v>80</v>
      </c>
      <c r="BN210" s="20">
        <f>VLOOKUP(Data[[#This Row],[DEVELOPMENT]],Development_Data_Book[[DEVELOPMENT]:[PRIVATE MANAGEMENT]],45,FALSE)</f>
        <v>15</v>
      </c>
      <c r="BO210" s="20" t="str">
        <f>VLOOKUP(Data[[#This Row],[DEVELOPMENT]],Development_Data_Book[[DEVELOPMENT]:[PRIVATE MANAGEMENT]],24,FALSE)</f>
        <v>6-7-14-15</v>
      </c>
    </row>
    <row r="211" spans="1:67">
      <c r="A211" t="s">
        <v>132</v>
      </c>
      <c r="B211" t="str">
        <f>VLOOKUP(Data[[#This Row],[DEVELOPMENT]],Development_Data_Book[[DEVELOPMENT]:[BOROUGH]],MATCH("borough",Development_Data_Book[[#Headers],[DEVELOPMENT]:[BOROUGH]],0),FALSE)</f>
        <v>BRONX</v>
      </c>
      <c r="C211" t="e">
        <f>VLOOKUP(Data[[#This Row],[DEVELOPMENT]],'[1]Cheat-Sheet'!$D$2:$Q$341,2,FALSE)</f>
        <v>#N/A</v>
      </c>
      <c r="D21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11">
        <f>VLOOKUP(Data[[#This Row],[DEVELOPMENT]],Development_Data_Book[[DEVELOPMENT]:[BOROUGH]],21,FALSE)</f>
        <v>15</v>
      </c>
      <c r="F211">
        <f>VLOOKUP(Data[[#This Row],[DEVELOPMENT]],Development_Data_Book[[DEVELOPMENT]:[BOROUGH]],23,FALSE)</f>
        <v>25</v>
      </c>
      <c r="G211">
        <f>VLOOKUP(Data[[#This Row],[DEVELOPMENT]],Development_Data_Book[[DEVELOPMENT]:[BOROUGH]],12,FALSE)</f>
        <v>1789</v>
      </c>
      <c r="H211" t="s">
        <v>2248</v>
      </c>
      <c r="I211">
        <v>3</v>
      </c>
      <c r="J211">
        <f>IFERROR(VLOOKUP(Data[[#This Row],[DEVELOPMENT]],IntCompactors_MRST[],4,FALSE),0)</f>
        <v>25</v>
      </c>
      <c r="K211" s="20">
        <f>IFERROR(VLOOKUP(Data[[#This Row],[DEVELOPMENT]],ExtCompactors_MRST[],4,FALSE),0)</f>
        <v>3</v>
      </c>
      <c r="L211" s="27">
        <f>IF(Data[[#This Row],['# Interior Compactors MRST]]=0,"",VLOOKUP(Data[[#This Row],[DEVELOPMENT]],IntCompactors_MRST[],5,FALSE))</f>
        <v>42283</v>
      </c>
      <c r="M211" s="28">
        <f>IF(Data[[#This Row],['# Exterior Compactors MRST]]=0,"",VLOOKUP(Data[[#This Row],[DEVELOPMENT]],ExtCompactors_MRST[],5,FALSE))</f>
        <v>41214</v>
      </c>
      <c r="N211">
        <f>Data[[#This Row],['# Interior Compactors MRST]]</f>
        <v>25</v>
      </c>
      <c r="O211" s="20">
        <f>IF(Data[[#This Row],['# Bulk Crushers]]=0,1,0)</f>
        <v>1</v>
      </c>
      <c r="P211" s="20">
        <f>1</f>
        <v>1</v>
      </c>
      <c r="Q211" s="20">
        <f>1</f>
        <v>1</v>
      </c>
      <c r="R211" s="20">
        <f>1</f>
        <v>1</v>
      </c>
      <c r="S211" s="20">
        <f>1</f>
        <v>1</v>
      </c>
      <c r="T211" s="20">
        <f>IF(Data[[#This Row],[Sewershed]]="Newtown Creek",Data[[#This Row],[DUs]],0)</f>
        <v>0</v>
      </c>
      <c r="U21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1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1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11" s="82">
        <f>VLOOKUP(Data[[#This Row],[DEVELOPMENT]],Development_Data_Book[[DEVELOPMENT]:[BOROUGH]],3,FALSE)</f>
        <v>24</v>
      </c>
      <c r="Y211" s="20"/>
      <c r="Z211" s="20">
        <f>IFERROR(VLOOKUP(Data[[#This Row],[TDS]],ExtCompactors_PNA[[Development]:[0]],2,FALSE),0)</f>
        <v>4</v>
      </c>
      <c r="AA211" s="20">
        <f>IFERROR(VLOOKUP(Data[[#This Row],[TDS]],IntCompactors_PNA[[TDS]:[0]],2,FALSE),0)</f>
        <v>25</v>
      </c>
      <c r="AB211" s="20"/>
      <c r="AC211" s="20"/>
      <c r="AD211" s="20">
        <f>IFERROR(VLOOKUP(Data[[#This Row],[TDS]],ExtCompactors_PNA[[Development]:[0]],3,FALSE)+VLOOKUP(Data[[#This Row],[TDS]],ExtCompactors_PNA[[Development]:[0]],6,FALSE),0)</f>
        <v>0</v>
      </c>
      <c r="AE211" s="20">
        <f>IFERROR(VLOOKUP(Data[[#This Row],[TDS]],IntCompactors_PNA[[TDS]:[0]],3,FALSE)+VLOOKUP(Data[[#This Row],[TDS]],IntCompactors_PNA[[TDS]:[0]],6,FALSE),0)</f>
        <v>0</v>
      </c>
      <c r="AF211" s="20" t="e">
        <f>VLOOKUP(Data[[#This Row],[DEVELOPMENT]],[3]Developments!$A$2:$A$312,1,FALSE)</f>
        <v>#N/A</v>
      </c>
      <c r="AG211" s="20">
        <f>IFERROR(VLOOKUP(Data[[#This Row],[DEVELOPMENT]],Ops_Priorities_and_Data_Clean[[development]:[ifnoext_comment]],3,FALSE),"")</f>
        <v>4</v>
      </c>
      <c r="AH211" s="20">
        <f>IFERROR(VLOOKUP(Data[[#This Row],[DEVELOPMENT]],Ops_Priorities_and_Data_Clean[[development]:[ifnoext_comment]],4,FALSE),"")</f>
        <v>1</v>
      </c>
      <c r="AI211" s="20">
        <f>IFERROR(VLOOKUP(Data[[#This Row],[DEVELOPMENT]],Ops_Priorities_and_Data_Clean[[development]:[ifnoext_comment]],5,FALSE),"")</f>
        <v>1</v>
      </c>
      <c r="AJ211" s="20">
        <f>IFERROR(VLOOKUP(Data[[#This Row],[DEVELOPMENT]],Ops_Priorities_and_Data_Clean[[development]:[ifnoext_comment]],6,FALSE),"")</f>
        <v>0</v>
      </c>
      <c r="AK211" s="20">
        <f>IFERROR(VLOOKUP(Data[[#This Row],[DEVELOPMENT]],Ops_Priorities_and_Data_Clean[[development]:[ifnoext_comment]],7,FALSE),"")</f>
        <v>0</v>
      </c>
      <c r="AL211" s="20">
        <f>IFERROR(VLOOKUP(Data[[#This Row],[DEVELOPMENT]],Ops_Priorities_and_Data_Clean[[development]:[ifnoext_comment]],8,FALSE),"")</f>
        <v>1</v>
      </c>
      <c r="AM211" s="20">
        <f>IFERROR(VLOOKUP(Data[[#This Row],[DEVELOPMENT]],Ops_Priorities_and_Data_Clean[[development]:[ifnoext_comment]],9,FALSE),"")</f>
        <v>0</v>
      </c>
      <c r="AN211" s="20">
        <f>IFERROR(VLOOKUP(Data[[#This Row],[DEVELOPMENT]],Ops_Priorities_and_Data_Clean[[development]:[ifnoext_comment]],10,FALSE),"")</f>
        <v>2</v>
      </c>
      <c r="AO211" s="20">
        <f>IFERROR(VLOOKUP(Data[[#This Row],[DEVELOPMENT]],Ops_Priorities_and_Data_Clean[[development]:[ifnoext_comment]],11,FALSE),"")</f>
        <v>3</v>
      </c>
      <c r="AP211" s="20">
        <f>IFERROR(VLOOKUP(Data[[#This Row],[DEVELOPMENT]],Ops_Priorities_and_Data_Clean[[development]:[ifnoext_comment]],12,FALSE),"")</f>
        <v>4</v>
      </c>
      <c r="AQ211" s="20">
        <f>VLOOKUP(Data[[#This Row],[DEVELOPMENT]],Ops_Priorities_and_Data_Clean[[development]:[ifnoext_comment]],14,FALSE)</f>
        <v>0</v>
      </c>
      <c r="AR211" s="20">
        <f>VLOOKUP(Data[[#This Row],[DEVELOPMENT]],Ops_Priorities_and_Data_Clean[[development]:[ifnoext_comment]],15,FALSE)</f>
        <v>0</v>
      </c>
      <c r="AS211" s="20" t="str">
        <f>VLOOKUP(Data[[#This Row],[DEVELOPMENT]],Ops_Priorities_and_Data_Clean[[development]:[ifnoext_comment]],16,FALSE)</f>
        <v>NULL</v>
      </c>
      <c r="AT211" s="20" t="str">
        <f>VLOOKUP(Data[[#This Row],[DEVELOPMENT]],Ops_Priorities_and_Data_Clean[[development]:[ifnoext_comment]],17,FALSE)</f>
        <v>NULL</v>
      </c>
      <c r="AU211" s="20" t="str">
        <f>VLOOKUP(Data[[#This Row],[DEVELOPMENT]],Ops_Priorities_and_Data_Clean[[development]:[ifnoext_comment]],18,FALSE)</f>
        <v>NULL</v>
      </c>
      <c r="AV211" s="20" t="str">
        <f>VLOOKUP(Data[[#This Row],[DEVELOPMENT]],Ops_Priorities_and_Data_Clean[[development]:[ifnoext_comment]],19,FALSE)</f>
        <v>NULL</v>
      </c>
      <c r="AW211" s="20" t="str">
        <f>VLOOKUP(Data[[#This Row],[DEVELOPMENT]],Ops_Priorities_and_Data_Clean[[development]:[ifnoext_comment]],20,FALSE)</f>
        <v xml:space="preserve">Three's 4 but they are on two different sites, separated by a street </v>
      </c>
      <c r="AX211" s="104" t="s">
        <v>2602</v>
      </c>
      <c r="AY211" s="104" t="s">
        <v>346</v>
      </c>
      <c r="AZ211" s="20" t="str">
        <f>VLOOKUP(Data[[#This Row],[DEVELOPMENT]],Development_Data_Book[[DEVELOPMENT]:[PRIVATE MANAGEMENT]],8,FALSE)</f>
        <v>FEDERAL</v>
      </c>
      <c r="BA211" s="104" t="s">
        <v>2586</v>
      </c>
      <c r="BB211" s="20">
        <f>VLOOKUP(Data[[#This Row],[DEVELOPMENT]],Development_Data_Book[[DEVELOPMENT]:[PRIVATE MANAGEMENT]],22,FALSE)</f>
        <v>0</v>
      </c>
      <c r="BC211" s="20">
        <f>Data[[#This Row],[Non-Dwelling Buildings]]+Data[[#This Row],[Dwelling Buildings]]</f>
        <v>15</v>
      </c>
      <c r="BD211" s="20">
        <f>VLOOKUP(Data[[#This Row],[DEVELOPMENT]],Development_Data_Book[[DEVELOPMENT]:[PRIVATE MANAGEMENT]],26,FALSE)</f>
        <v>17.18</v>
      </c>
      <c r="BE211" s="106">
        <v>1624100</v>
      </c>
      <c r="BF211" s="20">
        <f>VLOOKUP(Data[[#This Row],[DEVELOPMENT]],Development_Data_Book[[DEVELOPMENT]:[PRIVATE MANAGEMENT]],18,FALSE)</f>
        <v>4194</v>
      </c>
      <c r="BG21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11" s="104" t="s">
        <v>2610</v>
      </c>
      <c r="BI211" t="s">
        <v>183</v>
      </c>
      <c r="BJ211" s="20">
        <f>VLOOKUP(Data[[#This Row],[DEVELOPMENT]],Development_Data_Book[[DEVELOPMENT]:[PRIVATE MANAGEMENT]],41,FALSE)</f>
        <v>1</v>
      </c>
      <c r="BK211" s="20">
        <f>VLOOKUP(Data[[#This Row],[DEVELOPMENT]],Development_Data_Book[[DEVELOPMENT]:[PRIVATE MANAGEMENT]],42,FALSE)</f>
        <v>15</v>
      </c>
      <c r="BL211" s="20">
        <f>VLOOKUP(Data[[#This Row],[DEVELOPMENT]],Development_Data_Book[[DEVELOPMENT]:[PRIVATE MANAGEMENT]],43,FALSE)</f>
        <v>29</v>
      </c>
      <c r="BM211" s="20">
        <f>VLOOKUP(Data[[#This Row],[DEVELOPMENT]],Development_Data_Book[[DEVELOPMENT]:[PRIVATE MANAGEMENT]],44,FALSE)</f>
        <v>84</v>
      </c>
      <c r="BN211" s="20">
        <f>VLOOKUP(Data[[#This Row],[DEVELOPMENT]],Development_Data_Book[[DEVELOPMENT]:[PRIVATE MANAGEMENT]],45,FALSE)</f>
        <v>8</v>
      </c>
      <c r="BO211" s="20">
        <f>VLOOKUP(Data[[#This Row],[DEVELOPMENT]],Development_Data_Book[[DEVELOPMENT]:[PRIVATE MANAGEMENT]],24,FALSE)</f>
        <v>43629</v>
      </c>
    </row>
    <row r="212" spans="1:67">
      <c r="A212" t="s">
        <v>210</v>
      </c>
      <c r="B212" s="20" t="str">
        <f>VLOOKUP(Data[[#This Row],[DEVELOPMENT]],Development_Data_Book[[DEVELOPMENT]:[BOROUGH]],MATCH("borough",Development_Data_Book[[#Headers],[DEVELOPMENT]:[BOROUGH]],0),FALSE)</f>
        <v>BRONX</v>
      </c>
      <c r="C212" s="20" t="e">
        <f>VLOOKUP(Data[[#This Row],[DEVELOPMENT]],'[1]Cheat-Sheet'!$D$2:$Q$341,2,FALSE)</f>
        <v>#N/A</v>
      </c>
      <c r="D21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12" s="20">
        <f>VLOOKUP(Data[[#This Row],[DEVELOPMENT]],Development_Data_Book[[DEVELOPMENT]:[BOROUGH]],21,FALSE)</f>
        <v>23</v>
      </c>
      <c r="F212" s="20">
        <f>VLOOKUP(Data[[#This Row],[DEVELOPMENT]],Development_Data_Book[[DEVELOPMENT]:[BOROUGH]],23,FALSE)</f>
        <v>38</v>
      </c>
      <c r="G212" s="20">
        <f>VLOOKUP(Data[[#This Row],[DEVELOPMENT]],Development_Data_Book[[DEVELOPMENT]:[BOROUGH]],12,FALSE)</f>
        <v>1265</v>
      </c>
      <c r="J212">
        <f>IFERROR(VLOOKUP(Data[[#This Row],[DEVELOPMENT]],IntCompactors_MRST[],4,FALSE),0)</f>
        <v>38</v>
      </c>
      <c r="K212" s="20">
        <f>IFERROR(VLOOKUP(Data[[#This Row],[DEVELOPMENT]],ExtCompactors_MRST[],4,FALSE),0)</f>
        <v>3</v>
      </c>
      <c r="L212" s="27">
        <f>IF(Data[[#This Row],['# Interior Compactors MRST]]=0,"",VLOOKUP(Data[[#This Row],[DEVELOPMENT]],IntCompactors_MRST[],5,FALSE))</f>
        <v>37395</v>
      </c>
      <c r="M212" s="28">
        <f>IF(Data[[#This Row],['# Exterior Compactors MRST]]=0,"",VLOOKUP(Data[[#This Row],[DEVELOPMENT]],ExtCompactors_MRST[],5,FALSE))</f>
        <v>36871</v>
      </c>
      <c r="N212" s="20">
        <f>Data[[#This Row],['# Interior Compactors MRST]]</f>
        <v>38</v>
      </c>
      <c r="O212" s="20">
        <f>IF(Data[[#This Row],['# Bulk Crushers]]=0,1,0)</f>
        <v>1</v>
      </c>
      <c r="P212" s="20">
        <f>1</f>
        <v>1</v>
      </c>
      <c r="Q212" s="20">
        <f>1</f>
        <v>1</v>
      </c>
      <c r="R212" s="20">
        <f>1</f>
        <v>1</v>
      </c>
      <c r="S212" s="20">
        <f>1</f>
        <v>1</v>
      </c>
      <c r="T212" s="20">
        <f>IF(Data[[#This Row],[Sewershed]]="Newtown Creek",Data[[#This Row],[DUs]],0)</f>
        <v>0</v>
      </c>
      <c r="U21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1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1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12" s="82">
        <f>VLOOKUP(Data[[#This Row],[DEVELOPMENT]],Development_Data_Book[[DEVELOPMENT]:[BOROUGH]],3,FALSE)</f>
        <v>39</v>
      </c>
      <c r="Y212" s="20"/>
      <c r="Z212" s="20">
        <f>IFERROR(VLOOKUP(Data[[#This Row],[TDS]],ExtCompactors_PNA[[Development]:[0]],2,FALSE),0)</f>
        <v>3</v>
      </c>
      <c r="AA212" s="20">
        <f>IFERROR(VLOOKUP(Data[[#This Row],[TDS]],IntCompactors_PNA[[TDS]:[0]],2,FALSE),0)</f>
        <v>38</v>
      </c>
      <c r="AB212" s="20"/>
      <c r="AC212" s="20"/>
      <c r="AD212" s="20">
        <f>IFERROR(VLOOKUP(Data[[#This Row],[TDS]],ExtCompactors_PNA[[Development]:[0]],3,FALSE)+VLOOKUP(Data[[#This Row],[TDS]],ExtCompactors_PNA[[Development]:[0]],6,FALSE),0)</f>
        <v>3</v>
      </c>
      <c r="AE212" s="20">
        <f>IFERROR(VLOOKUP(Data[[#This Row],[TDS]],IntCompactors_PNA[[TDS]:[0]],3,FALSE)+VLOOKUP(Data[[#This Row],[TDS]],IntCompactors_PNA[[TDS]:[0]],6,FALSE),0)</f>
        <v>38</v>
      </c>
      <c r="AF212" s="20" t="e">
        <f>VLOOKUP(Data[[#This Row],[DEVELOPMENT]],[3]Developments!$A$2:$A$312,1,FALSE)</f>
        <v>#N/A</v>
      </c>
      <c r="AG212" s="20">
        <f>IFERROR(VLOOKUP(Data[[#This Row],[DEVELOPMENT]],Ops_Priorities_and_Data_Clean[[development]:[ifnoext_comment]],3,FALSE),"")</f>
        <v>3</v>
      </c>
      <c r="AH212" s="20">
        <f>IFERROR(VLOOKUP(Data[[#This Row],[DEVELOPMENT]],Ops_Priorities_and_Data_Clean[[development]:[ifnoext_comment]],4,FALSE),"")</f>
        <v>1</v>
      </c>
      <c r="AI212" s="20">
        <f>IFERROR(VLOOKUP(Data[[#This Row],[DEVELOPMENT]],Ops_Priorities_and_Data_Clean[[development]:[ifnoext_comment]],5,FALSE),"")</f>
        <v>1</v>
      </c>
      <c r="AJ212" s="20">
        <f>IFERROR(VLOOKUP(Data[[#This Row],[DEVELOPMENT]],Ops_Priorities_and_Data_Clean[[development]:[ifnoext_comment]],6,FALSE),"")</f>
        <v>0</v>
      </c>
      <c r="AK212" s="20">
        <f>IFERROR(VLOOKUP(Data[[#This Row],[DEVELOPMENT]],Ops_Priorities_and_Data_Clean[[development]:[ifnoext_comment]],7,FALSE),"")</f>
        <v>0</v>
      </c>
      <c r="AL212" s="20">
        <f>IFERROR(VLOOKUP(Data[[#This Row],[DEVELOPMENT]],Ops_Priorities_and_Data_Clean[[development]:[ifnoext_comment]],8,FALSE),"")</f>
        <v>1</v>
      </c>
      <c r="AM212" s="20">
        <f>IFERROR(VLOOKUP(Data[[#This Row],[DEVELOPMENT]],Ops_Priorities_and_Data_Clean[[development]:[ifnoext_comment]],9,FALSE),"")</f>
        <v>0</v>
      </c>
      <c r="AN212" s="20">
        <f>IFERROR(VLOOKUP(Data[[#This Row],[DEVELOPMENT]],Ops_Priorities_and_Data_Clean[[development]:[ifnoext_comment]],10,FALSE),"")</f>
        <v>3</v>
      </c>
      <c r="AO212" s="20">
        <f>IFERROR(VLOOKUP(Data[[#This Row],[DEVELOPMENT]],Ops_Priorities_and_Data_Clean[[development]:[ifnoext_comment]],11,FALSE),"")</f>
        <v>3</v>
      </c>
      <c r="AP212" s="20">
        <f>IFERROR(VLOOKUP(Data[[#This Row],[DEVELOPMENT]],Ops_Priorities_and_Data_Clean[[development]:[ifnoext_comment]],12,FALSE),"")</f>
        <v>3</v>
      </c>
      <c r="AQ212" s="20">
        <f>VLOOKUP(Data[[#This Row],[DEVELOPMENT]],Ops_Priorities_and_Data_Clean[[development]:[ifnoext_comment]],14,FALSE)</f>
        <v>0</v>
      </c>
      <c r="AR212" s="20">
        <f>VLOOKUP(Data[[#This Row],[DEVELOPMENT]],Ops_Priorities_and_Data_Clean[[development]:[ifnoext_comment]],15,FALSE)</f>
        <v>0</v>
      </c>
      <c r="AS212" s="20" t="str">
        <f>VLOOKUP(Data[[#This Row],[DEVELOPMENT]],Ops_Priorities_and_Data_Clean[[development]:[ifnoext_comment]],16,FALSE)</f>
        <v>NULL</v>
      </c>
      <c r="AT212" s="20" t="str">
        <f>VLOOKUP(Data[[#This Row],[DEVELOPMENT]],Ops_Priorities_and_Data_Clean[[development]:[ifnoext_comment]],17,FALSE)</f>
        <v>NULL</v>
      </c>
      <c r="AU212" s="20" t="str">
        <f>VLOOKUP(Data[[#This Row],[DEVELOPMENT]],Ops_Priorities_and_Data_Clean[[development]:[ifnoext_comment]],18,FALSE)</f>
        <v>NULL</v>
      </c>
      <c r="AV212" s="20" t="str">
        <f>VLOOKUP(Data[[#This Row],[DEVELOPMENT]],Ops_Priorities_and_Data_Clean[[development]:[ifnoext_comment]],19,FALSE)</f>
        <v>NULL</v>
      </c>
      <c r="AW212" s="20" t="str">
        <f>VLOOKUP(Data[[#This Row],[DEVELOPMENT]],Ops_Priorities_and_Data_Clean[[development]:[ifnoext_comment]],20,FALSE)</f>
        <v>NULL</v>
      </c>
      <c r="AX212" s="104" t="s">
        <v>2237</v>
      </c>
      <c r="AY212" s="104" t="s">
        <v>2627</v>
      </c>
      <c r="AZ212" s="20" t="str">
        <f>VLOOKUP(Data[[#This Row],[DEVELOPMENT]],Development_Data_Book[[DEVELOPMENT]:[PRIVATE MANAGEMENT]],8,FALSE)</f>
        <v>FEDERAL</v>
      </c>
      <c r="BA212" s="104" t="s">
        <v>2586</v>
      </c>
      <c r="BB212" s="20">
        <f>VLOOKUP(Data[[#This Row],[DEVELOPMENT]],Development_Data_Book[[DEVELOPMENT]:[PRIVATE MANAGEMENT]],22,FALSE)</f>
        <v>0</v>
      </c>
      <c r="BC212" s="20">
        <f>Data[[#This Row],[Non-Dwelling Buildings]]+Data[[#This Row],[Dwelling Buildings]]</f>
        <v>23</v>
      </c>
      <c r="BD212" s="20">
        <f>VLOOKUP(Data[[#This Row],[DEVELOPMENT]],Development_Data_Book[[DEVELOPMENT]:[PRIVATE MANAGEMENT]],26,FALSE)</f>
        <v>23.74</v>
      </c>
      <c r="BE212" s="106">
        <v>1329900</v>
      </c>
      <c r="BF212" s="20">
        <f>VLOOKUP(Data[[#This Row],[DEVELOPMENT]],Development_Data_Book[[DEVELOPMENT]:[PRIVATE MANAGEMENT]],18,FALSE)</f>
        <v>2472</v>
      </c>
      <c r="BG21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12" s="104" t="s">
        <v>2595</v>
      </c>
      <c r="BI212" t="s">
        <v>184</v>
      </c>
      <c r="BJ212" s="20">
        <f>VLOOKUP(Data[[#This Row],[DEVELOPMENT]],Development_Data_Book[[DEVELOPMENT]:[PRIVATE MANAGEMENT]],41,FALSE)</f>
        <v>11</v>
      </c>
      <c r="BK212" s="20">
        <f>VLOOKUP(Data[[#This Row],[DEVELOPMENT]],Development_Data_Book[[DEVELOPMENT]:[PRIVATE MANAGEMENT]],42,FALSE)</f>
        <v>14</v>
      </c>
      <c r="BL212" s="20">
        <f>VLOOKUP(Data[[#This Row],[DEVELOPMENT]],Development_Data_Book[[DEVELOPMENT]:[PRIVATE MANAGEMENT]],43,FALSE)</f>
        <v>34</v>
      </c>
      <c r="BM212" s="20">
        <f>VLOOKUP(Data[[#This Row],[DEVELOPMENT]],Development_Data_Book[[DEVELOPMENT]:[PRIVATE MANAGEMENT]],44,FALSE)</f>
        <v>80</v>
      </c>
      <c r="BN212" s="20">
        <f>VLOOKUP(Data[[#This Row],[DEVELOPMENT]],Development_Data_Book[[DEVELOPMENT]:[PRIVATE MANAGEMENT]],45,FALSE)</f>
        <v>13</v>
      </c>
      <c r="BO212" s="20">
        <f>VLOOKUP(Data[[#This Row],[DEVELOPMENT]],Development_Data_Book[[DEVELOPMENT]:[PRIVATE MANAGEMENT]],24,FALSE)</f>
        <v>6</v>
      </c>
    </row>
    <row r="213" spans="1:67">
      <c r="A213" t="s">
        <v>354</v>
      </c>
      <c r="B213" s="20" t="str">
        <f>VLOOKUP(Data[[#This Row],[DEVELOPMENT]],Development_Data_Book[[DEVELOPMENT]:[BOROUGH]],MATCH("borough",Development_Data_Book[[#Headers],[DEVELOPMENT]:[BOROUGH]],0),FALSE)</f>
        <v>BROOKLYN</v>
      </c>
      <c r="C213" s="20" t="e">
        <f>VLOOKUP(Data[[#This Row],[DEVELOPMENT]],'[1]Cheat-Sheet'!$D$2:$Q$341,2,FALSE)</f>
        <v>#N/A</v>
      </c>
      <c r="D21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13" s="20">
        <f>VLOOKUP(Data[[#This Row],[DEVELOPMENT]],Development_Data_Book[[DEVELOPMENT]:[BOROUGH]],21,FALSE)</f>
        <v>3</v>
      </c>
      <c r="F213" s="20">
        <f>VLOOKUP(Data[[#This Row],[DEVELOPMENT]],Development_Data_Book[[DEVELOPMENT]:[BOROUGH]],23,FALSE)</f>
        <v>3</v>
      </c>
      <c r="G213" s="20">
        <f>VLOOKUP(Data[[#This Row],[DEVELOPMENT]],Development_Data_Book[[DEVELOPMENT]:[BOROUGH]],12,FALSE)</f>
        <v>336</v>
      </c>
      <c r="J213">
        <f>IFERROR(VLOOKUP(Data[[#This Row],[DEVELOPMENT]],IntCompactors_MRST[],4,FALSE),0)</f>
        <v>3</v>
      </c>
      <c r="K213" s="20">
        <f>IFERROR(VLOOKUP(Data[[#This Row],[DEVELOPMENT]],ExtCompactors_MRST[],4,FALSE),0)</f>
        <v>1</v>
      </c>
      <c r="L213" s="27">
        <f>IF(Data[[#This Row],['# Interior Compactors MRST]]=0,"",VLOOKUP(Data[[#This Row],[DEVELOPMENT]],IntCompactors_MRST[],5,FALSE))</f>
        <v>33239</v>
      </c>
      <c r="M213" s="28">
        <f>IF(Data[[#This Row],['# Exterior Compactors MRST]]=0,"",VLOOKUP(Data[[#This Row],[DEVELOPMENT]],ExtCompactors_MRST[],5,FALSE))</f>
        <v>37569</v>
      </c>
      <c r="N213" s="20">
        <f>Data[[#This Row],['# Interior Compactors MRST]]</f>
        <v>3</v>
      </c>
      <c r="O213" s="20">
        <f>IF(Data[[#This Row],['# Bulk Crushers]]=0,1,0)</f>
        <v>1</v>
      </c>
      <c r="P213" s="20">
        <f>1</f>
        <v>1</v>
      </c>
      <c r="Q213" s="20">
        <f>1</f>
        <v>1</v>
      </c>
      <c r="R213" s="20">
        <f>1</f>
        <v>1</v>
      </c>
      <c r="S213" s="20">
        <f>1</f>
        <v>1</v>
      </c>
      <c r="T213" s="20">
        <f>IF(Data[[#This Row],[Sewershed]]="Newtown Creek",Data[[#This Row],[DUs]],0)</f>
        <v>0</v>
      </c>
      <c r="U21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1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1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13" s="82">
        <f>VLOOKUP(Data[[#This Row],[DEVELOPMENT]],Development_Data_Book[[DEVELOPMENT]:[BOROUGH]],3,FALSE)</f>
        <v>194</v>
      </c>
      <c r="Y213" s="20"/>
      <c r="Z213" s="20">
        <f>IFERROR(VLOOKUP(Data[[#This Row],[TDS]],ExtCompactors_PNA[[Development]:[0]],2,FALSE),0)</f>
        <v>0</v>
      </c>
      <c r="AA213" s="20">
        <f>IFERROR(VLOOKUP(Data[[#This Row],[TDS]],IntCompactors_PNA[[TDS]:[0]],2,FALSE),0)</f>
        <v>3</v>
      </c>
      <c r="AB213" s="20"/>
      <c r="AC213" s="20"/>
      <c r="AD213" s="20">
        <f>IFERROR(VLOOKUP(Data[[#This Row],[TDS]],ExtCompactors_PNA[[Development]:[0]],3,FALSE)+VLOOKUP(Data[[#This Row],[TDS]],ExtCompactors_PNA[[Development]:[0]],6,FALSE),0)</f>
        <v>0</v>
      </c>
      <c r="AE213" s="20">
        <f>IFERROR(VLOOKUP(Data[[#This Row],[TDS]],IntCompactors_PNA[[TDS]:[0]],3,FALSE)+VLOOKUP(Data[[#This Row],[TDS]],IntCompactors_PNA[[TDS]:[0]],6,FALSE),0)</f>
        <v>3</v>
      </c>
      <c r="AF213" s="20" t="e">
        <f>VLOOKUP(Data[[#This Row],[DEVELOPMENT]],[3]Developments!$A$2:$A$312,1,FALSE)</f>
        <v>#N/A</v>
      </c>
      <c r="AG213" s="20">
        <f>IFERROR(VLOOKUP(Data[[#This Row],[DEVELOPMENT]],Ops_Priorities_and_Data_Clean[[development]:[ifnoext_comment]],3,FALSE),"")</f>
        <v>1</v>
      </c>
      <c r="AH213" s="20">
        <f>IFERROR(VLOOKUP(Data[[#This Row],[DEVELOPMENT]],Ops_Priorities_and_Data_Clean[[development]:[ifnoext_comment]],4,FALSE),"")</f>
        <v>0</v>
      </c>
      <c r="AI213" s="20">
        <f>IFERROR(VLOOKUP(Data[[#This Row],[DEVELOPMENT]],Ops_Priorities_and_Data_Clean[[development]:[ifnoext_comment]],5,FALSE),"")</f>
        <v>1</v>
      </c>
      <c r="AJ213" s="20">
        <f>IFERROR(VLOOKUP(Data[[#This Row],[DEVELOPMENT]],Ops_Priorities_and_Data_Clean[[development]:[ifnoext_comment]],6,FALSE),"")</f>
        <v>0</v>
      </c>
      <c r="AK213" s="20">
        <f>IFERROR(VLOOKUP(Data[[#This Row],[DEVELOPMENT]],Ops_Priorities_and_Data_Clean[[development]:[ifnoext_comment]],7,FALSE),"")</f>
        <v>0</v>
      </c>
      <c r="AL213" s="20">
        <f>IFERROR(VLOOKUP(Data[[#This Row],[DEVELOPMENT]],Ops_Priorities_and_Data_Clean[[development]:[ifnoext_comment]],8,FALSE),"")</f>
        <v>1</v>
      </c>
      <c r="AM213" s="20">
        <f>IFERROR(VLOOKUP(Data[[#This Row],[DEVELOPMENT]],Ops_Priorities_and_Data_Clean[[development]:[ifnoext_comment]],9,FALSE),"")</f>
        <v>0</v>
      </c>
      <c r="AN213" s="20">
        <f>IFERROR(VLOOKUP(Data[[#This Row],[DEVELOPMENT]],Ops_Priorities_and_Data_Clean[[development]:[ifnoext_comment]],10,FALSE),"")</f>
        <v>1</v>
      </c>
      <c r="AO213" s="20">
        <f>IFERROR(VLOOKUP(Data[[#This Row],[DEVELOPMENT]],Ops_Priorities_and_Data_Clean[[development]:[ifnoext_comment]],11,FALSE),"")</f>
        <v>1</v>
      </c>
      <c r="AP213" s="20">
        <f>IFERROR(VLOOKUP(Data[[#This Row],[DEVELOPMENT]],Ops_Priorities_and_Data_Clean[[development]:[ifnoext_comment]],12,FALSE),"")</f>
        <v>1</v>
      </c>
      <c r="AQ213" s="20">
        <f>VLOOKUP(Data[[#This Row],[DEVELOPMENT]],Ops_Priorities_and_Data_Clean[[development]:[ifnoext_comment]],14,FALSE)</f>
        <v>0</v>
      </c>
      <c r="AR213" s="20">
        <f>VLOOKUP(Data[[#This Row],[DEVELOPMENT]],Ops_Priorities_and_Data_Clean[[development]:[ifnoext_comment]],15,FALSE)</f>
        <v>0</v>
      </c>
      <c r="AS213" s="20" t="str">
        <f>VLOOKUP(Data[[#This Row],[DEVELOPMENT]],Ops_Priorities_and_Data_Clean[[development]:[ifnoext_comment]],16,FALSE)</f>
        <v>NULL</v>
      </c>
      <c r="AT213" s="20" t="str">
        <f>VLOOKUP(Data[[#This Row],[DEVELOPMENT]],Ops_Priorities_and_Data_Clean[[development]:[ifnoext_comment]],17,FALSE)</f>
        <v>NULL</v>
      </c>
      <c r="AU213" s="20" t="str">
        <f>VLOOKUP(Data[[#This Row],[DEVELOPMENT]],Ops_Priorities_and_Data_Clean[[development]:[ifnoext_comment]],18,FALSE)</f>
        <v>NULL</v>
      </c>
      <c r="AV213" s="20" t="str">
        <f>VLOOKUP(Data[[#This Row],[DEVELOPMENT]],Ops_Priorities_and_Data_Clean[[development]:[ifnoext_comment]],19,FALSE)</f>
        <v>NULL</v>
      </c>
      <c r="AW213" s="20" t="str">
        <f>VLOOKUP(Data[[#This Row],[DEVELOPMENT]],Ops_Priorities_and_Data_Clean[[development]:[ifnoext_comment]],20,FALSE)</f>
        <v xml:space="preserve">They have a ridiculous amount of garbage in the aerial view. They have no redundancy. </v>
      </c>
      <c r="AX213" s="104" t="s">
        <v>2238</v>
      </c>
      <c r="AY213" s="104" t="s">
        <v>2629</v>
      </c>
      <c r="AZ213" s="20" t="str">
        <f>VLOOKUP(Data[[#This Row],[DEVELOPMENT]],Development_Data_Book[[DEVELOPMENT]:[PRIVATE MANAGEMENT]],8,FALSE)</f>
        <v>FEDERAL</v>
      </c>
      <c r="BA213" s="104" t="s">
        <v>2586</v>
      </c>
      <c r="BB213" s="20">
        <f>VLOOKUP(Data[[#This Row],[DEVELOPMENT]],Development_Data_Book[[DEVELOPMENT]:[PRIVATE MANAGEMENT]],22,FALSE)</f>
        <v>1</v>
      </c>
      <c r="BC213" s="20">
        <f>Data[[#This Row],[Non-Dwelling Buildings]]+Data[[#This Row],[Dwelling Buildings]]</f>
        <v>4</v>
      </c>
      <c r="BD213" s="20">
        <f>VLOOKUP(Data[[#This Row],[DEVELOPMENT]],Development_Data_Book[[DEVELOPMENT]:[PRIVATE MANAGEMENT]],26,FALSE)</f>
        <v>5.44</v>
      </c>
      <c r="BE213" s="106">
        <v>322400</v>
      </c>
      <c r="BF213" s="20">
        <f>VLOOKUP(Data[[#This Row],[DEVELOPMENT]],Development_Data_Book[[DEVELOPMENT]:[PRIVATE MANAGEMENT]],18,FALSE)</f>
        <v>627</v>
      </c>
      <c r="BG21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13" s="104" t="s">
        <v>2589</v>
      </c>
      <c r="BI213" t="s">
        <v>184</v>
      </c>
      <c r="BJ213" s="20">
        <f>VLOOKUP(Data[[#This Row],[DEVELOPMENT]],Development_Data_Book[[DEVELOPMENT]:[PRIVATE MANAGEMENT]],41,FALSE)</f>
        <v>5</v>
      </c>
      <c r="BK213" s="20">
        <f>VLOOKUP(Data[[#This Row],[DEVELOPMENT]],Development_Data_Book[[DEVELOPMENT]:[PRIVATE MANAGEMENT]],42,FALSE)</f>
        <v>8</v>
      </c>
      <c r="BL213" s="20">
        <f>VLOOKUP(Data[[#This Row],[DEVELOPMENT]],Development_Data_Book[[DEVELOPMENT]:[PRIVATE MANAGEMENT]],43,FALSE)</f>
        <v>19</v>
      </c>
      <c r="BM213" s="20">
        <f>VLOOKUP(Data[[#This Row],[DEVELOPMENT]],Development_Data_Book[[DEVELOPMENT]:[PRIVATE MANAGEMENT]],44,FALSE)</f>
        <v>60</v>
      </c>
      <c r="BN213" s="20">
        <f>VLOOKUP(Data[[#This Row],[DEVELOPMENT]],Development_Data_Book[[DEVELOPMENT]:[PRIVATE MANAGEMENT]],45,FALSE)</f>
        <v>42</v>
      </c>
      <c r="BO213" s="20">
        <f>VLOOKUP(Data[[#This Row],[DEVELOPMENT]],Development_Data_Book[[DEVELOPMENT]:[PRIVATE MANAGEMENT]],24,FALSE)</f>
        <v>43693</v>
      </c>
    </row>
    <row r="214" spans="1:67">
      <c r="A214" t="s">
        <v>249</v>
      </c>
      <c r="B214" s="20" t="str">
        <f>VLOOKUP(Data[[#This Row],[DEVELOPMENT]],Development_Data_Book[[DEVELOPMENT]:[BOROUGH]],MATCH("borough",Development_Data_Book[[#Headers],[DEVELOPMENT]:[BOROUGH]],0),FALSE)</f>
        <v>BROOKLYN</v>
      </c>
      <c r="C214" s="20" t="e">
        <f>VLOOKUP(Data[[#This Row],[DEVELOPMENT]],'[1]Cheat-Sheet'!$D$2:$Q$341,2,FALSE)</f>
        <v>#N/A</v>
      </c>
      <c r="D21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14" s="20">
        <f>VLOOKUP(Data[[#This Row],[DEVELOPMENT]],Development_Data_Book[[DEVELOPMENT]:[BOROUGH]],21,FALSE)</f>
        <v>22</v>
      </c>
      <c r="F214" s="20">
        <f>VLOOKUP(Data[[#This Row],[DEVELOPMENT]],Development_Data_Book[[DEVELOPMENT]:[BOROUGH]],23,FALSE)</f>
        <v>25</v>
      </c>
      <c r="G214" s="20">
        <f>VLOOKUP(Data[[#This Row],[DEVELOPMENT]],Development_Data_Book[[DEVELOPMENT]:[BOROUGH]],12,FALSE)</f>
        <v>1500</v>
      </c>
      <c r="J214">
        <f>IFERROR(VLOOKUP(Data[[#This Row],[DEVELOPMENT]],IntCompactors_MRST[],4,FALSE),0)</f>
        <v>22</v>
      </c>
      <c r="K214" s="20">
        <f>IFERROR(VLOOKUP(Data[[#This Row],[DEVELOPMENT]],ExtCompactors_MRST[],4,FALSE),0)</f>
        <v>3</v>
      </c>
      <c r="L214" s="27">
        <f>IF(Data[[#This Row],['# Interior Compactors MRST]]=0,"",VLOOKUP(Data[[#This Row],[DEVELOPMENT]],IntCompactors_MRST[],5,FALSE))</f>
        <v>32509</v>
      </c>
      <c r="M214" s="28">
        <f>IF(Data[[#This Row],['# Exterior Compactors MRST]]=0,"",VLOOKUP(Data[[#This Row],[DEVELOPMENT]],ExtCompactors_MRST[],5,FALSE))</f>
        <v>40634</v>
      </c>
      <c r="N214" s="20">
        <f>Data[[#This Row],['# Interior Compactors MRST]]</f>
        <v>22</v>
      </c>
      <c r="O214" s="20">
        <f>IF(Data[[#This Row],['# Bulk Crushers]]=0,1,0)</f>
        <v>1</v>
      </c>
      <c r="P214" s="20">
        <f>1</f>
        <v>1</v>
      </c>
      <c r="Q214" s="20">
        <f>1</f>
        <v>1</v>
      </c>
      <c r="R214" s="20">
        <f>1</f>
        <v>1</v>
      </c>
      <c r="S214" s="20">
        <f>1</f>
        <v>1</v>
      </c>
      <c r="T214" s="20">
        <f>IF(Data[[#This Row],[Sewershed]]="Newtown Creek",Data[[#This Row],[DUs]],0)</f>
        <v>0</v>
      </c>
      <c r="U21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1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1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14" s="82">
        <f>VLOOKUP(Data[[#This Row],[DEVELOPMENT]],Development_Data_Book[[DEVELOPMENT]:[BOROUGH]],3,FALSE)</f>
        <v>89</v>
      </c>
      <c r="Y214" s="20"/>
      <c r="Z214" s="20">
        <f>IFERROR(VLOOKUP(Data[[#This Row],[TDS]],ExtCompactors_PNA[[Development]:[0]],2,FALSE),0)</f>
        <v>0</v>
      </c>
      <c r="AA214" s="20">
        <f>IFERROR(VLOOKUP(Data[[#This Row],[TDS]],IntCompactors_PNA[[TDS]:[0]],2,FALSE),0)</f>
        <v>22</v>
      </c>
      <c r="AB214" s="20"/>
      <c r="AC214" s="20"/>
      <c r="AD214" s="20">
        <f>IFERROR(VLOOKUP(Data[[#This Row],[TDS]],ExtCompactors_PNA[[Development]:[0]],3,FALSE)+VLOOKUP(Data[[#This Row],[TDS]],ExtCompactors_PNA[[Development]:[0]],6,FALSE),0)</f>
        <v>0</v>
      </c>
      <c r="AE214" s="20">
        <f>IFERROR(VLOOKUP(Data[[#This Row],[TDS]],IntCompactors_PNA[[TDS]:[0]],3,FALSE)+VLOOKUP(Data[[#This Row],[TDS]],IntCompactors_PNA[[TDS]:[0]],6,FALSE),0)</f>
        <v>22</v>
      </c>
      <c r="AF214" s="20" t="e">
        <f>VLOOKUP(Data[[#This Row],[DEVELOPMENT]],[3]Developments!$A$2:$A$312,1,FALSE)</f>
        <v>#N/A</v>
      </c>
      <c r="AG214" s="20">
        <f>IFERROR(VLOOKUP(Data[[#This Row],[DEVELOPMENT]],Ops_Priorities_and_Data_Clean[[development]:[ifnoext_comment]],3,FALSE),"")</f>
        <v>4</v>
      </c>
      <c r="AH214" s="20">
        <f>IFERROR(VLOOKUP(Data[[#This Row],[DEVELOPMENT]],Ops_Priorities_and_Data_Clean[[development]:[ifnoext_comment]],4,FALSE),"")</f>
        <v>0</v>
      </c>
      <c r="AI214" s="20">
        <f>IFERROR(VLOOKUP(Data[[#This Row],[DEVELOPMENT]],Ops_Priorities_and_Data_Clean[[development]:[ifnoext_comment]],5,FALSE),"")</f>
        <v>1</v>
      </c>
      <c r="AJ214" s="20">
        <f>IFERROR(VLOOKUP(Data[[#This Row],[DEVELOPMENT]],Ops_Priorities_and_Data_Clean[[development]:[ifnoext_comment]],6,FALSE),"")</f>
        <v>0</v>
      </c>
      <c r="AK214" s="20">
        <f>IFERROR(VLOOKUP(Data[[#This Row],[DEVELOPMENT]],Ops_Priorities_and_Data_Clean[[development]:[ifnoext_comment]],7,FALSE),"")</f>
        <v>0</v>
      </c>
      <c r="AL214" s="20">
        <f>IFERROR(VLOOKUP(Data[[#This Row],[DEVELOPMENT]],Ops_Priorities_and_Data_Clean[[development]:[ifnoext_comment]],8,FALSE),"")</f>
        <v>1</v>
      </c>
      <c r="AM214" s="20">
        <f>IFERROR(VLOOKUP(Data[[#This Row],[DEVELOPMENT]],Ops_Priorities_and_Data_Clean[[development]:[ifnoext_comment]],9,FALSE),"")</f>
        <v>0</v>
      </c>
      <c r="AN214" s="20">
        <f>IFERROR(VLOOKUP(Data[[#This Row],[DEVELOPMENT]],Ops_Priorities_and_Data_Clean[[development]:[ifnoext_comment]],10,FALSE),"")</f>
        <v>4</v>
      </c>
      <c r="AO214" s="20">
        <f>IFERROR(VLOOKUP(Data[[#This Row],[DEVELOPMENT]],Ops_Priorities_and_Data_Clean[[development]:[ifnoext_comment]],11,FALSE),"")</f>
        <v>3</v>
      </c>
      <c r="AP214" s="20">
        <f>IFERROR(VLOOKUP(Data[[#This Row],[DEVELOPMENT]],Ops_Priorities_and_Data_Clean[[development]:[ifnoext_comment]],12,FALSE),"")</f>
        <v>0</v>
      </c>
      <c r="AQ214" s="20">
        <f>VLOOKUP(Data[[#This Row],[DEVELOPMENT]],Ops_Priorities_and_Data_Clean[[development]:[ifnoext_comment]],14,FALSE)</f>
        <v>0</v>
      </c>
      <c r="AR214" s="20">
        <f>VLOOKUP(Data[[#This Row],[DEVELOPMENT]],Ops_Priorities_and_Data_Clean[[development]:[ifnoext_comment]],15,FALSE)</f>
        <v>0</v>
      </c>
      <c r="AS214" s="20" t="str">
        <f>VLOOKUP(Data[[#This Row],[DEVELOPMENT]],Ops_Priorities_and_Data_Clean[[development]:[ifnoext_comment]],16,FALSE)</f>
        <v>NULL</v>
      </c>
      <c r="AT214" s="20" t="str">
        <f>VLOOKUP(Data[[#This Row],[DEVELOPMENT]],Ops_Priorities_and_Data_Clean[[development]:[ifnoext_comment]],17,FALSE)</f>
        <v>NULL</v>
      </c>
      <c r="AU214" s="20" t="str">
        <f>VLOOKUP(Data[[#This Row],[DEVELOPMENT]],Ops_Priorities_and_Data_Clean[[development]:[ifnoext_comment]],18,FALSE)</f>
        <v>NULL</v>
      </c>
      <c r="AV214" s="20" t="str">
        <f>VLOOKUP(Data[[#This Row],[DEVELOPMENT]],Ops_Priorities_and_Data_Clean[[development]:[ifnoext_comment]],19,FALSE)</f>
        <v>NULL</v>
      </c>
      <c r="AW214" s="20" t="str">
        <f>VLOOKUP(Data[[#This Row],[DEVELOPMENT]],Ops_Priorities_and_Data_Clean[[development]:[ifnoext_comment]],20,FALSE)</f>
        <v xml:space="preserve">There's 4 exterior compactors </v>
      </c>
      <c r="AX214" s="104" t="s">
        <v>2238</v>
      </c>
      <c r="AY214" s="104" t="s">
        <v>2629</v>
      </c>
      <c r="AZ214" s="20" t="str">
        <f>VLOOKUP(Data[[#This Row],[DEVELOPMENT]],Development_Data_Book[[DEVELOPMENT]:[PRIVATE MANAGEMENT]],8,FALSE)</f>
        <v>FEDERAL</v>
      </c>
      <c r="BA214" s="104" t="s">
        <v>2586</v>
      </c>
      <c r="BB214" s="20">
        <f>VLOOKUP(Data[[#This Row],[DEVELOPMENT]],Development_Data_Book[[DEVELOPMENT]:[PRIVATE MANAGEMENT]],22,FALSE)</f>
        <v>2</v>
      </c>
      <c r="BC214" s="20">
        <f>Data[[#This Row],[Non-Dwelling Buildings]]+Data[[#This Row],[Dwelling Buildings]]</f>
        <v>24</v>
      </c>
      <c r="BD214" s="20">
        <f>VLOOKUP(Data[[#This Row],[DEVELOPMENT]],Development_Data_Book[[DEVELOPMENT]:[PRIVATE MANAGEMENT]],26,FALSE)</f>
        <v>31.1</v>
      </c>
      <c r="BE214" s="106">
        <v>1527025</v>
      </c>
      <c r="BF214" s="20">
        <f>VLOOKUP(Data[[#This Row],[DEVELOPMENT]],Development_Data_Book[[DEVELOPMENT]:[PRIVATE MANAGEMENT]],18,FALSE)</f>
        <v>3651</v>
      </c>
      <c r="BG21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14" s="104" t="s">
        <v>2589</v>
      </c>
      <c r="BI214" t="s">
        <v>184</v>
      </c>
      <c r="BJ214" s="20">
        <f>VLOOKUP(Data[[#This Row],[DEVELOPMENT]],Development_Data_Book[[DEVELOPMENT]:[PRIVATE MANAGEMENT]],41,FALSE)</f>
        <v>5</v>
      </c>
      <c r="BK214" s="20">
        <f>VLOOKUP(Data[[#This Row],[DEVELOPMENT]],Development_Data_Book[[DEVELOPMENT]:[PRIVATE MANAGEMENT]],42,FALSE)</f>
        <v>8</v>
      </c>
      <c r="BL214" s="20">
        <f>VLOOKUP(Data[[#This Row],[DEVELOPMENT]],Development_Data_Book[[DEVELOPMENT]:[PRIVATE MANAGEMENT]],43,FALSE)</f>
        <v>19</v>
      </c>
      <c r="BM214" s="20">
        <f>VLOOKUP(Data[[#This Row],[DEVELOPMENT]],Development_Data_Book[[DEVELOPMENT]:[PRIVATE MANAGEMENT]],44,FALSE)</f>
        <v>60</v>
      </c>
      <c r="BN214" s="20">
        <f>VLOOKUP(Data[[#This Row],[DEVELOPMENT]],Development_Data_Book[[DEVELOPMENT]:[PRIVATE MANAGEMENT]],45,FALSE)</f>
        <v>42</v>
      </c>
      <c r="BO214" s="20">
        <f>VLOOKUP(Data[[#This Row],[DEVELOPMENT]],Development_Data_Book[[DEVELOPMENT]:[PRIVATE MANAGEMENT]],24,FALSE)</f>
        <v>8</v>
      </c>
    </row>
    <row r="215" spans="1:67">
      <c r="A215" t="s">
        <v>133</v>
      </c>
      <c r="B215" t="str">
        <f>VLOOKUP(Data[[#This Row],[DEVELOPMENT]],Development_Data_Book[[DEVELOPMENT]:[BOROUGH]],MATCH("borough",Development_Data_Book[[#Headers],[DEVELOPMENT]:[BOROUGH]],0),FALSE)</f>
        <v>MANHATTAN</v>
      </c>
      <c r="C215" t="e">
        <f>VLOOKUP(Data[[#This Row],[DEVELOPMENT]],'[1]Cheat-Sheet'!$D$2:$Q$341,2,FALSE)</f>
        <v>#N/A</v>
      </c>
      <c r="D21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15">
        <f>VLOOKUP(Data[[#This Row],[DEVELOPMENT]],Development_Data_Book[[DEVELOPMENT]:[BOROUGH]],21,FALSE)</f>
        <v>4</v>
      </c>
      <c r="F215">
        <f>VLOOKUP(Data[[#This Row],[DEVELOPMENT]],Development_Data_Book[[DEVELOPMENT]:[BOROUGH]],23,FALSE)</f>
        <v>12</v>
      </c>
      <c r="G215">
        <f>VLOOKUP(Data[[#This Row],[DEVELOPMENT]],Development_Data_Book[[DEVELOPMENT]:[BOROUGH]],12,FALSE)</f>
        <v>1614</v>
      </c>
      <c r="H215" t="s">
        <v>2247</v>
      </c>
      <c r="I215">
        <v>4</v>
      </c>
      <c r="J215">
        <f>IFERROR(VLOOKUP(Data[[#This Row],[DEVELOPMENT]],IntCompactors_MRST[],4,FALSE),0)</f>
        <v>8</v>
      </c>
      <c r="K215" s="20">
        <f>IFERROR(VLOOKUP(Data[[#This Row],[DEVELOPMENT]],ExtCompactors_MRST[],4,FALSE),0)</f>
        <v>3</v>
      </c>
      <c r="L215" s="27">
        <f>IF(Data[[#This Row],['# Interior Compactors MRST]]=0,"",VLOOKUP(Data[[#This Row],[DEVELOPMENT]],IntCompactors_MRST[],5,FALSE))</f>
        <v>39561</v>
      </c>
      <c r="M215" s="28">
        <f>IF(Data[[#This Row],['# Exterior Compactors MRST]]=0,"",VLOOKUP(Data[[#This Row],[DEVELOPMENT]],ExtCompactors_MRST[],5,FALSE))</f>
        <v>41593</v>
      </c>
      <c r="N215">
        <f>Data[[#This Row],['# Interior Compactors MRST]]</f>
        <v>8</v>
      </c>
      <c r="O215" s="20">
        <f>IF(Data[[#This Row],['# Bulk Crushers]]=0,1,0)</f>
        <v>1</v>
      </c>
      <c r="P215" s="20">
        <f>1</f>
        <v>1</v>
      </c>
      <c r="Q215" s="20">
        <f>1</f>
        <v>1</v>
      </c>
      <c r="R215" s="20">
        <f>1</f>
        <v>1</v>
      </c>
      <c r="S215" s="20">
        <f>1</f>
        <v>1</v>
      </c>
      <c r="T215" s="20">
        <f>IF(Data[[#This Row],[Sewershed]]="Newtown Creek",Data[[#This Row],[DUs]],0)</f>
        <v>0</v>
      </c>
      <c r="U21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1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1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15" s="82">
        <f>VLOOKUP(Data[[#This Row],[DEVELOPMENT]],Development_Data_Book[[DEVELOPMENT]:[BOROUGH]],3,FALSE)</f>
        <v>149</v>
      </c>
      <c r="Y215" s="20"/>
      <c r="Z215" s="20">
        <f>IFERROR(VLOOKUP(Data[[#This Row],[TDS]],ExtCompactors_PNA[[Development]:[0]],2,FALSE),0)</f>
        <v>3</v>
      </c>
      <c r="AA215" s="20">
        <f>IFERROR(VLOOKUP(Data[[#This Row],[TDS]],IntCompactors_PNA[[TDS]:[0]],2,FALSE),0)</f>
        <v>9</v>
      </c>
      <c r="AB215" s="20"/>
      <c r="AC215" s="20"/>
      <c r="AD215" s="20">
        <f>IFERROR(VLOOKUP(Data[[#This Row],[TDS]],ExtCompactors_PNA[[Development]:[0]],3,FALSE)+VLOOKUP(Data[[#This Row],[TDS]],ExtCompactors_PNA[[Development]:[0]],6,FALSE),0)</f>
        <v>3</v>
      </c>
      <c r="AE215" s="20">
        <f>IFERROR(VLOOKUP(Data[[#This Row],[TDS]],IntCompactors_PNA[[TDS]:[0]],3,FALSE)+VLOOKUP(Data[[#This Row],[TDS]],IntCompactors_PNA[[TDS]:[0]],6,FALSE),0)</f>
        <v>9</v>
      </c>
      <c r="AF215" s="20" t="e">
        <f>VLOOKUP(Data[[#This Row],[DEVELOPMENT]],[3]Developments!$A$2:$A$312,1,FALSE)</f>
        <v>#N/A</v>
      </c>
      <c r="AG215" s="20">
        <f>IFERROR(VLOOKUP(Data[[#This Row],[DEVELOPMENT]],Ops_Priorities_and_Data_Clean[[development]:[ifnoext_comment]],3,FALSE),"")</f>
        <v>3</v>
      </c>
      <c r="AH215" s="20">
        <f>IFERROR(VLOOKUP(Data[[#This Row],[DEVELOPMENT]],Ops_Priorities_and_Data_Clean[[development]:[ifnoext_comment]],4,FALSE),"")</f>
        <v>0</v>
      </c>
      <c r="AI215" s="20">
        <f>IFERROR(VLOOKUP(Data[[#This Row],[DEVELOPMENT]],Ops_Priorities_and_Data_Clean[[development]:[ifnoext_comment]],5,FALSE),"")</f>
        <v>1</v>
      </c>
      <c r="AJ215" s="20">
        <f>IFERROR(VLOOKUP(Data[[#This Row],[DEVELOPMENT]],Ops_Priorities_and_Data_Clean[[development]:[ifnoext_comment]],6,FALSE),"")</f>
        <v>0</v>
      </c>
      <c r="AK215" s="20">
        <f>IFERROR(VLOOKUP(Data[[#This Row],[DEVELOPMENT]],Ops_Priorities_and_Data_Clean[[development]:[ifnoext_comment]],7,FALSE),"")</f>
        <v>0</v>
      </c>
      <c r="AL215" s="20">
        <f>IFERROR(VLOOKUP(Data[[#This Row],[DEVELOPMENT]],Ops_Priorities_and_Data_Clean[[development]:[ifnoext_comment]],8,FALSE),"")</f>
        <v>1</v>
      </c>
      <c r="AM215" s="20">
        <f>IFERROR(VLOOKUP(Data[[#This Row],[DEVELOPMENT]],Ops_Priorities_and_Data_Clean[[development]:[ifnoext_comment]],9,FALSE),"")</f>
        <v>0</v>
      </c>
      <c r="AN215" s="20">
        <f>IFERROR(VLOOKUP(Data[[#This Row],[DEVELOPMENT]],Ops_Priorities_and_Data_Clean[[development]:[ifnoext_comment]],10,FALSE),"")</f>
        <v>3</v>
      </c>
      <c r="AO215" s="20">
        <f>IFERROR(VLOOKUP(Data[[#This Row],[DEVELOPMENT]],Ops_Priorities_and_Data_Clean[[development]:[ifnoext_comment]],11,FALSE),"")</f>
        <v>3</v>
      </c>
      <c r="AP215" s="20">
        <f>IFERROR(VLOOKUP(Data[[#This Row],[DEVELOPMENT]],Ops_Priorities_and_Data_Clean[[development]:[ifnoext_comment]],12,FALSE),"")</f>
        <v>3</v>
      </c>
      <c r="AQ215" s="20">
        <f>VLOOKUP(Data[[#This Row],[DEVELOPMENT]],Ops_Priorities_and_Data_Clean[[development]:[ifnoext_comment]],14,FALSE)</f>
        <v>0</v>
      </c>
      <c r="AR215" s="20">
        <f>VLOOKUP(Data[[#This Row],[DEVELOPMENT]],Ops_Priorities_and_Data_Clean[[development]:[ifnoext_comment]],15,FALSE)</f>
        <v>0</v>
      </c>
      <c r="AS215" s="20" t="str">
        <f>VLOOKUP(Data[[#This Row],[DEVELOPMENT]],Ops_Priorities_and_Data_Clean[[development]:[ifnoext_comment]],16,FALSE)</f>
        <v>NULL</v>
      </c>
      <c r="AT215" s="20" t="str">
        <f>VLOOKUP(Data[[#This Row],[DEVELOPMENT]],Ops_Priorities_and_Data_Clean[[development]:[ifnoext_comment]],17,FALSE)</f>
        <v>NULL</v>
      </c>
      <c r="AU215" s="20" t="str">
        <f>VLOOKUP(Data[[#This Row],[DEVELOPMENT]],Ops_Priorities_and_Data_Clean[[development]:[ifnoext_comment]],18,FALSE)</f>
        <v>NULL</v>
      </c>
      <c r="AV215" s="20" t="str">
        <f>VLOOKUP(Data[[#This Row],[DEVELOPMENT]],Ops_Priorities_and_Data_Clean[[development]:[ifnoext_comment]],19,FALSE)</f>
        <v>NULL</v>
      </c>
      <c r="AW215" s="20" t="str">
        <f>VLOOKUP(Data[[#This Row],[DEVELOPMENT]],Ops_Priorities_and_Data_Clean[[development]:[ifnoext_comment]],20,FALSE)</f>
        <v>NULL</v>
      </c>
      <c r="AX215" s="104" t="s">
        <v>2239</v>
      </c>
      <c r="AY215" s="104" t="s">
        <v>2592</v>
      </c>
      <c r="AZ215" s="20" t="str">
        <f>VLOOKUP(Data[[#This Row],[DEVELOPMENT]],Development_Data_Book[[DEVELOPMENT]:[PRIVATE MANAGEMENT]],8,FALSE)</f>
        <v>FEDERAL</v>
      </c>
      <c r="BA215" s="104" t="s">
        <v>2586</v>
      </c>
      <c r="BB215" s="20">
        <f>VLOOKUP(Data[[#This Row],[DEVELOPMENT]],Development_Data_Book[[DEVELOPMENT]:[PRIVATE MANAGEMENT]],22,FALSE)</f>
        <v>4</v>
      </c>
      <c r="BC215" s="20">
        <f>Data[[#This Row],[Non-Dwelling Buildings]]+Data[[#This Row],[Dwelling Buildings]]</f>
        <v>8</v>
      </c>
      <c r="BD215" s="20">
        <f>VLOOKUP(Data[[#This Row],[DEVELOPMENT]],Development_Data_Book[[DEVELOPMENT]:[PRIVATE MANAGEMENT]],26,FALSE)</f>
        <v>15.15</v>
      </c>
      <c r="BE215" s="106">
        <v>1754703</v>
      </c>
      <c r="BF215" s="20">
        <f>VLOOKUP(Data[[#This Row],[DEVELOPMENT]],Development_Data_Book[[DEVELOPMENT]:[PRIVATE MANAGEMENT]],18,FALSE)</f>
        <v>3941</v>
      </c>
      <c r="BG21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15" s="104" t="s">
        <v>2593</v>
      </c>
      <c r="BI215" t="s">
        <v>183</v>
      </c>
      <c r="BJ215" s="20">
        <f>VLOOKUP(Data[[#This Row],[DEVELOPMENT]],Development_Data_Book[[DEVELOPMENT]:[PRIVATE MANAGEMENT]],41,FALSE)</f>
        <v>10</v>
      </c>
      <c r="BK215" s="20">
        <f>VLOOKUP(Data[[#This Row],[DEVELOPMENT]],Development_Data_Book[[DEVELOPMENT]:[PRIVATE MANAGEMENT]],42,FALSE)</f>
        <v>13</v>
      </c>
      <c r="BL215" s="20">
        <f>VLOOKUP(Data[[#This Row],[DEVELOPMENT]],Development_Data_Book[[DEVELOPMENT]:[PRIVATE MANAGEMENT]],43,FALSE)</f>
        <v>30</v>
      </c>
      <c r="BM215" s="20">
        <f>VLOOKUP(Data[[#This Row],[DEVELOPMENT]],Development_Data_Book[[DEVELOPMENT]:[PRIVATE MANAGEMENT]],44,FALSE)</f>
        <v>71</v>
      </c>
      <c r="BN215" s="20">
        <f>VLOOKUP(Data[[#This Row],[DEVELOPMENT]],Development_Data_Book[[DEVELOPMENT]:[PRIVATE MANAGEMENT]],45,FALSE)</f>
        <v>9</v>
      </c>
      <c r="BO215" s="20">
        <f>VLOOKUP(Data[[#This Row],[DEVELOPMENT]],Development_Data_Book[[DEVELOPMENT]:[PRIVATE MANAGEMENT]],24,FALSE)</f>
        <v>30</v>
      </c>
    </row>
    <row r="216" spans="1:67">
      <c r="A216" t="s">
        <v>211</v>
      </c>
      <c r="B216" s="20" t="str">
        <f>VLOOKUP(Data[[#This Row],[DEVELOPMENT]],Development_Data_Book[[DEVELOPMENT]:[BOROUGH]],MATCH("borough",Development_Data_Book[[#Headers],[DEVELOPMENT]:[BOROUGH]],0),FALSE)</f>
        <v>QUEENS</v>
      </c>
      <c r="C216" s="20" t="e">
        <f>VLOOKUP(Data[[#This Row],[DEVELOPMENT]],'[1]Cheat-Sheet'!$D$2:$Q$341,2,FALSE)</f>
        <v>#N/A</v>
      </c>
      <c r="D21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16" s="20">
        <f>VLOOKUP(Data[[#This Row],[DEVELOPMENT]],Development_Data_Book[[DEVELOPMENT]:[BOROUGH]],21,FALSE)</f>
        <v>35</v>
      </c>
      <c r="F216" s="20">
        <f>VLOOKUP(Data[[#This Row],[DEVELOPMENT]],Development_Data_Book[[DEVELOPMENT]:[BOROUGH]],23,FALSE)</f>
        <v>121</v>
      </c>
      <c r="G216" s="20">
        <f>VLOOKUP(Data[[#This Row],[DEVELOPMENT]],Development_Data_Book[[DEVELOPMENT]:[BOROUGH]],12,FALSE)</f>
        <v>2069</v>
      </c>
      <c r="J216">
        <f>IFERROR(VLOOKUP(Data[[#This Row],[DEVELOPMENT]],IntCompactors_MRST[],4,FALSE),0)</f>
        <v>121</v>
      </c>
      <c r="K216" s="20">
        <f>IFERROR(VLOOKUP(Data[[#This Row],[DEVELOPMENT]],ExtCompactors_MRST[],4,FALSE),0)</f>
        <v>5</v>
      </c>
      <c r="L216" s="27">
        <f>IF(Data[[#This Row],['# Interior Compactors MRST]]=0,"",VLOOKUP(Data[[#This Row],[DEVELOPMENT]],IntCompactors_MRST[],5,FALSE))</f>
        <v>36526</v>
      </c>
      <c r="M216" s="28">
        <f>IF(Data[[#This Row],['# Exterior Compactors MRST]]=0,"",VLOOKUP(Data[[#This Row],[DEVELOPMENT]],ExtCompactors_MRST[],5,FALSE))</f>
        <v>39569</v>
      </c>
      <c r="N216" s="20">
        <f>Data[[#This Row],['# Interior Compactors MRST]]</f>
        <v>121</v>
      </c>
      <c r="O216" s="20">
        <f>IF(Data[[#This Row],['# Bulk Crushers]]=0,1,0)</f>
        <v>1</v>
      </c>
      <c r="P216" s="20">
        <f>1</f>
        <v>1</v>
      </c>
      <c r="Q216" s="20">
        <f>1</f>
        <v>1</v>
      </c>
      <c r="R216" s="20">
        <f>1</f>
        <v>1</v>
      </c>
      <c r="S216" s="20">
        <f>1</f>
        <v>1</v>
      </c>
      <c r="T216" s="20">
        <f>IF(Data[[#This Row],[Sewershed]]="Newtown Creek",Data[[#This Row],[DUs]],0)</f>
        <v>0</v>
      </c>
      <c r="U216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16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16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16" s="82">
        <f>VLOOKUP(Data[[#This Row],[DEVELOPMENT]],Development_Data_Book[[DEVELOPMENT]:[BOROUGH]],3,FALSE)</f>
        <v>53</v>
      </c>
      <c r="Y216" s="20"/>
      <c r="Z216" s="20">
        <f>IFERROR(VLOOKUP(Data[[#This Row],[TDS]],ExtCompactors_PNA[[Development]:[0]],2,FALSE),0)</f>
        <v>5</v>
      </c>
      <c r="AA216" s="20">
        <f>IFERROR(VLOOKUP(Data[[#This Row],[TDS]],IntCompactors_PNA[[TDS]:[0]],2,FALSE),0)</f>
        <v>121</v>
      </c>
      <c r="AB216" s="20"/>
      <c r="AC216" s="20"/>
      <c r="AD216" s="20">
        <f>IFERROR(VLOOKUP(Data[[#This Row],[TDS]],ExtCompactors_PNA[[Development]:[0]],3,FALSE)+VLOOKUP(Data[[#This Row],[TDS]],ExtCompactors_PNA[[Development]:[0]],6,FALSE),0)</f>
        <v>5</v>
      </c>
      <c r="AE216" s="20">
        <f>IFERROR(VLOOKUP(Data[[#This Row],[TDS]],IntCompactors_PNA[[TDS]:[0]],3,FALSE)+VLOOKUP(Data[[#This Row],[TDS]],IntCompactors_PNA[[TDS]:[0]],6,FALSE),0)</f>
        <v>121</v>
      </c>
      <c r="AF216" s="20" t="e">
        <f>VLOOKUP(Data[[#This Row],[DEVELOPMENT]],[3]Developments!$A$2:$A$312,1,FALSE)</f>
        <v>#N/A</v>
      </c>
      <c r="AG216" s="20">
        <f>IFERROR(VLOOKUP(Data[[#This Row],[DEVELOPMENT]],Ops_Priorities_and_Data_Clean[[development]:[ifnoext_comment]],3,FALSE),"")</f>
        <v>5</v>
      </c>
      <c r="AH216" s="20">
        <f>IFERROR(VLOOKUP(Data[[#This Row],[DEVELOPMENT]],Ops_Priorities_and_Data_Clean[[development]:[ifnoext_comment]],4,FALSE),"")</f>
        <v>1</v>
      </c>
      <c r="AI216" s="20">
        <f>IFERROR(VLOOKUP(Data[[#This Row],[DEVELOPMENT]],Ops_Priorities_and_Data_Clean[[development]:[ifnoext_comment]],5,FALSE),"")</f>
        <v>1</v>
      </c>
      <c r="AJ216" s="20">
        <f>IFERROR(VLOOKUP(Data[[#This Row],[DEVELOPMENT]],Ops_Priorities_and_Data_Clean[[development]:[ifnoext_comment]],6,FALSE),"")</f>
        <v>0</v>
      </c>
      <c r="AK216" s="20">
        <f>IFERROR(VLOOKUP(Data[[#This Row],[DEVELOPMENT]],Ops_Priorities_and_Data_Clean[[development]:[ifnoext_comment]],7,FALSE),"")</f>
        <v>0</v>
      </c>
      <c r="AL216" s="20">
        <f>IFERROR(VLOOKUP(Data[[#This Row],[DEVELOPMENT]],Ops_Priorities_and_Data_Clean[[development]:[ifnoext_comment]],8,FALSE),"")</f>
        <v>1</v>
      </c>
      <c r="AM216" s="20">
        <f>IFERROR(VLOOKUP(Data[[#This Row],[DEVELOPMENT]],Ops_Priorities_and_Data_Clean[[development]:[ifnoext_comment]],9,FALSE),"")</f>
        <v>0</v>
      </c>
      <c r="AN216" s="20">
        <f>IFERROR(VLOOKUP(Data[[#This Row],[DEVELOPMENT]],Ops_Priorities_and_Data_Clean[[development]:[ifnoext_comment]],10,FALSE),"")</f>
        <v>5</v>
      </c>
      <c r="AO216" s="20">
        <f>IFERROR(VLOOKUP(Data[[#This Row],[DEVELOPMENT]],Ops_Priorities_and_Data_Clean[[development]:[ifnoext_comment]],11,FALSE),"")</f>
        <v>5</v>
      </c>
      <c r="AP216" s="20">
        <f>IFERROR(VLOOKUP(Data[[#This Row],[DEVELOPMENT]],Ops_Priorities_and_Data_Clean[[development]:[ifnoext_comment]],12,FALSE),"")</f>
        <v>5</v>
      </c>
      <c r="AQ216" s="20">
        <f>VLOOKUP(Data[[#This Row],[DEVELOPMENT]],Ops_Priorities_and_Data_Clean[[development]:[ifnoext_comment]],14,FALSE)</f>
        <v>0</v>
      </c>
      <c r="AR216" s="20">
        <f>VLOOKUP(Data[[#This Row],[DEVELOPMENT]],Ops_Priorities_and_Data_Clean[[development]:[ifnoext_comment]],15,FALSE)</f>
        <v>0</v>
      </c>
      <c r="AS216" s="20" t="str">
        <f>VLOOKUP(Data[[#This Row],[DEVELOPMENT]],Ops_Priorities_and_Data_Clean[[development]:[ifnoext_comment]],16,FALSE)</f>
        <v>NULL</v>
      </c>
      <c r="AT216" s="20" t="str">
        <f>VLOOKUP(Data[[#This Row],[DEVELOPMENT]],Ops_Priorities_and_Data_Clean[[development]:[ifnoext_comment]],17,FALSE)</f>
        <v>NULL</v>
      </c>
      <c r="AU216" s="20" t="str">
        <f>VLOOKUP(Data[[#This Row],[DEVELOPMENT]],Ops_Priorities_and_Data_Clean[[development]:[ifnoext_comment]],18,FALSE)</f>
        <v>NULL</v>
      </c>
      <c r="AV216" s="20" t="str">
        <f>VLOOKUP(Data[[#This Row],[DEVELOPMENT]],Ops_Priorities_and_Data_Clean[[development]:[ifnoext_comment]],19,FALSE)</f>
        <v>NULL</v>
      </c>
      <c r="AW216" s="20" t="str">
        <f>VLOOKUP(Data[[#This Row],[DEVELOPMENT]],Ops_Priorities_and_Data_Clean[[development]:[ifnoext_comment]],20,FALSE)</f>
        <v>NULL</v>
      </c>
      <c r="AX216" s="104" t="s">
        <v>2614</v>
      </c>
      <c r="AY216" s="104" t="s">
        <v>211</v>
      </c>
      <c r="AZ216" s="20" t="str">
        <f>VLOOKUP(Data[[#This Row],[DEVELOPMENT]],Development_Data_Book[[DEVELOPMENT]:[PRIVATE MANAGEMENT]],8,FALSE)</f>
        <v>FEDERAL</v>
      </c>
      <c r="BA216" s="104" t="s">
        <v>2613</v>
      </c>
      <c r="BB216" s="20">
        <f>VLOOKUP(Data[[#This Row],[DEVELOPMENT]],Development_Data_Book[[DEVELOPMENT]:[PRIVATE MANAGEMENT]],22,FALSE)</f>
        <v>0</v>
      </c>
      <c r="BC216" s="20">
        <f>Data[[#This Row],[Non-Dwelling Buildings]]+Data[[#This Row],[Dwelling Buildings]]</f>
        <v>35</v>
      </c>
      <c r="BD216" s="20">
        <f>VLOOKUP(Data[[#This Row],[DEVELOPMENT]],Development_Data_Book[[DEVELOPMENT]:[PRIVATE MANAGEMENT]],26,FALSE)</f>
        <v>51.4</v>
      </c>
      <c r="BE216" s="106">
        <v>2232000</v>
      </c>
      <c r="BF216" s="20">
        <f>VLOOKUP(Data[[#This Row],[DEVELOPMENT]],Development_Data_Book[[DEVELOPMENT]:[PRIVATE MANAGEMENT]],18,FALSE)</f>
        <v>4219</v>
      </c>
      <c r="BG21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16" s="104" t="s">
        <v>2619</v>
      </c>
      <c r="BI216" t="s">
        <v>184</v>
      </c>
      <c r="BJ216" s="20">
        <f>VLOOKUP(Data[[#This Row],[DEVELOPMENT]],Development_Data_Book[[DEVELOPMENT]:[PRIVATE MANAGEMENT]],41,FALSE)</f>
        <v>8</v>
      </c>
      <c r="BK216" s="20">
        <f>VLOOKUP(Data[[#This Row],[DEVELOPMENT]],Development_Data_Book[[DEVELOPMENT]:[PRIVATE MANAGEMENT]],42,FALSE)</f>
        <v>6</v>
      </c>
      <c r="BL216" s="20">
        <f>VLOOKUP(Data[[#This Row],[DEVELOPMENT]],Development_Data_Book[[DEVELOPMENT]:[PRIVATE MANAGEMENT]],43,FALSE)</f>
        <v>16</v>
      </c>
      <c r="BM216" s="20">
        <f>VLOOKUP(Data[[#This Row],[DEVELOPMENT]],Development_Data_Book[[DEVELOPMENT]:[PRIVATE MANAGEMENT]],44,FALSE)</f>
        <v>27</v>
      </c>
      <c r="BN216" s="20">
        <f>VLOOKUP(Data[[#This Row],[DEVELOPMENT]],Development_Data_Book[[DEVELOPMENT]:[PRIVATE MANAGEMENT]],45,FALSE)</f>
        <v>24</v>
      </c>
      <c r="BO216" s="20">
        <f>VLOOKUP(Data[[#This Row],[DEVELOPMENT]],Development_Data_Book[[DEVELOPMENT]:[PRIVATE MANAGEMENT]],24,FALSE)</f>
        <v>39514</v>
      </c>
    </row>
    <row r="217" spans="1:67">
      <c r="A217" t="s">
        <v>1814</v>
      </c>
      <c r="B217" s="20" t="str">
        <f>VLOOKUP(Data[[#This Row],[DEVELOPMENT]],Development_Data_Book[[DEVELOPMENT]:[BOROUGH]],MATCH("borough",Development_Data_Book[[#Headers],[DEVELOPMENT]:[BOROUGH]],0),FALSE)</f>
        <v>BRONX</v>
      </c>
      <c r="C217" s="210" t="s">
        <v>2663</v>
      </c>
      <c r="D21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17" s="20">
        <f>VLOOKUP(Data[[#This Row],[DEVELOPMENT]],Development_Data_Book[[DEVELOPMENT]:[BOROUGH]],21,FALSE)</f>
        <v>1</v>
      </c>
      <c r="F217" s="20">
        <f>VLOOKUP(Data[[#This Row],[DEVELOPMENT]],Development_Data_Book[[DEVELOPMENT]:[BOROUGH]],23,FALSE)</f>
        <v>1</v>
      </c>
      <c r="G217" s="20">
        <f>VLOOKUP(Data[[#This Row],[DEVELOPMENT]],Development_Data_Book[[DEVELOPMENT]:[BOROUGH]],12,FALSE)</f>
        <v>50</v>
      </c>
      <c r="J217">
        <f>IFERROR(VLOOKUP(Data[[#This Row],[DEVELOPMENT]],IntCompactors_MRST[],4,FALSE),0)</f>
        <v>0</v>
      </c>
      <c r="K217" s="20">
        <f>IFERROR(VLOOKUP(Data[[#This Row],[DEVELOPMENT]],ExtCompactors_MRST[],4,FALSE),0)</f>
        <v>0</v>
      </c>
      <c r="L217" s="27" t="str">
        <f>IF(Data[[#This Row],['# Interior Compactors MRST]]=0,"",VLOOKUP(Data[[#This Row],[DEVELOPMENT]],IntCompactors_MRST[],5,FALSE))</f>
        <v/>
      </c>
      <c r="M217" s="28" t="str">
        <f>IF(Data[[#This Row],['# Exterior Compactors MRST]]=0,"",VLOOKUP(Data[[#This Row],[DEVELOPMENT]],ExtCompactors_MRST[],5,FALSE))</f>
        <v/>
      </c>
      <c r="N217" s="20">
        <f>Data[[#This Row],['# Interior Compactors MRST]]</f>
        <v>0</v>
      </c>
      <c r="O217" s="20">
        <f>IF(Data[[#This Row],['# Bulk Crushers]]=0,1,0)</f>
        <v>1</v>
      </c>
      <c r="P217" s="20">
        <f>1</f>
        <v>1</v>
      </c>
      <c r="Q217" s="20">
        <f>1</f>
        <v>1</v>
      </c>
      <c r="R217" s="20">
        <f>1</f>
        <v>1</v>
      </c>
      <c r="S217" s="20">
        <f>1</f>
        <v>1</v>
      </c>
      <c r="T217" s="20">
        <f>IF(Data[[#This Row],[Sewershed]]="Newtown Creek",Data[[#This Row],[DUs]],0)</f>
        <v>0</v>
      </c>
      <c r="U21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1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1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17" s="82">
        <f>VLOOKUP(Data[[#This Row],[DEVELOPMENT]],Development_Data_Book[[DEVELOPMENT]:[BOROUGH]],3,FALSE)</f>
        <v>560</v>
      </c>
      <c r="Y217" s="20"/>
      <c r="Z217" s="20">
        <f>IFERROR(VLOOKUP(Data[[#This Row],[TDS]],ExtCompactors_PNA[[Development]:[0]],2,FALSE),0)</f>
        <v>0</v>
      </c>
      <c r="AA217" s="20">
        <f>IFERROR(VLOOKUP(Data[[#This Row],[TDS]],IntCompactors_PNA[[TDS]:[0]],2,FALSE),0)</f>
        <v>0</v>
      </c>
      <c r="AB217" s="20"/>
      <c r="AC217" s="20"/>
      <c r="AD217" s="20">
        <f>IFERROR(VLOOKUP(Data[[#This Row],[TDS]],ExtCompactors_PNA[[Development]:[0]],3,FALSE)+VLOOKUP(Data[[#This Row],[TDS]],ExtCompactors_PNA[[Development]:[0]],6,FALSE),0)</f>
        <v>0</v>
      </c>
      <c r="AE217" s="20">
        <f>IFERROR(VLOOKUP(Data[[#This Row],[TDS]],IntCompactors_PNA[[TDS]:[0]],3,FALSE)+VLOOKUP(Data[[#This Row],[TDS]],IntCompactors_PNA[[TDS]:[0]],6,FALSE),0)</f>
        <v>0</v>
      </c>
      <c r="AF217" s="20" t="e">
        <f>VLOOKUP(Data[[#This Row],[DEVELOPMENT]],[3]Developments!$A$2:$A$312,1,FALSE)</f>
        <v>#N/A</v>
      </c>
      <c r="AG217" s="20" t="str">
        <f>IFERROR(VLOOKUP(Data[[#This Row],[DEVELOPMENT]],Ops_Priorities_and_Data_Clean[[development]:[ifnoext_comment]],3,FALSE),"")</f>
        <v/>
      </c>
      <c r="AH217" s="20" t="str">
        <f>IFERROR(VLOOKUP(Data[[#This Row],[DEVELOPMENT]],Ops_Priorities_and_Data_Clean[[development]:[ifnoext_comment]],4,FALSE),"")</f>
        <v/>
      </c>
      <c r="AI217" s="20" t="str">
        <f>IFERROR(VLOOKUP(Data[[#This Row],[DEVELOPMENT]],Ops_Priorities_and_Data_Clean[[development]:[ifnoext_comment]],5,FALSE),"")</f>
        <v/>
      </c>
      <c r="AJ217" s="20" t="str">
        <f>IFERROR(VLOOKUP(Data[[#This Row],[DEVELOPMENT]],Ops_Priorities_and_Data_Clean[[development]:[ifnoext_comment]],6,FALSE),"")</f>
        <v/>
      </c>
      <c r="AK217" s="20" t="str">
        <f>IFERROR(VLOOKUP(Data[[#This Row],[DEVELOPMENT]],Ops_Priorities_and_Data_Clean[[development]:[ifnoext_comment]],7,FALSE),"")</f>
        <v/>
      </c>
      <c r="AL217" s="20" t="str">
        <f>IFERROR(VLOOKUP(Data[[#This Row],[DEVELOPMENT]],Ops_Priorities_and_Data_Clean[[development]:[ifnoext_comment]],8,FALSE),"")</f>
        <v/>
      </c>
      <c r="AM217" s="20" t="str">
        <f>IFERROR(VLOOKUP(Data[[#This Row],[DEVELOPMENT]],Ops_Priorities_and_Data_Clean[[development]:[ifnoext_comment]],9,FALSE),"")</f>
        <v/>
      </c>
      <c r="AN217" s="20" t="str">
        <f>IFERROR(VLOOKUP(Data[[#This Row],[DEVELOPMENT]],Ops_Priorities_and_Data_Clean[[development]:[ifnoext_comment]],10,FALSE),"")</f>
        <v/>
      </c>
      <c r="AO217" s="20" t="str">
        <f>IFERROR(VLOOKUP(Data[[#This Row],[DEVELOPMENT]],Ops_Priorities_and_Data_Clean[[development]:[ifnoext_comment]],11,FALSE),"")</f>
        <v/>
      </c>
      <c r="AP217" s="20" t="str">
        <f>IFERROR(VLOOKUP(Data[[#This Row],[DEVELOPMENT]],Ops_Priorities_and_Data_Clean[[development]:[ifnoext_comment]],12,FALSE),"")</f>
        <v/>
      </c>
      <c r="AQ217" s="20" t="e">
        <f>VLOOKUP(Data[[#This Row],[DEVELOPMENT]],Ops_Priorities_and_Data_Clean[[development]:[ifnoext_comment]],14,FALSE)</f>
        <v>#N/A</v>
      </c>
      <c r="AR217" s="20" t="e">
        <f>VLOOKUP(Data[[#This Row],[DEVELOPMENT]],Ops_Priorities_and_Data_Clean[[development]:[ifnoext_comment]],15,FALSE)</f>
        <v>#N/A</v>
      </c>
      <c r="AS217" s="20" t="e">
        <f>VLOOKUP(Data[[#This Row],[DEVELOPMENT]],Ops_Priorities_and_Data_Clean[[development]:[ifnoext_comment]],16,FALSE)</f>
        <v>#N/A</v>
      </c>
      <c r="AT217" s="20" t="e">
        <f>VLOOKUP(Data[[#This Row],[DEVELOPMENT]],Ops_Priorities_and_Data_Clean[[development]:[ifnoext_comment]],17,FALSE)</f>
        <v>#N/A</v>
      </c>
      <c r="AU217" s="20" t="e">
        <f>VLOOKUP(Data[[#This Row],[DEVELOPMENT]],Ops_Priorities_and_Data_Clean[[development]:[ifnoext_comment]],18,FALSE)</f>
        <v>#N/A</v>
      </c>
      <c r="AV217" s="20" t="e">
        <f>VLOOKUP(Data[[#This Row],[DEVELOPMENT]],Ops_Priorities_and_Data_Clean[[development]:[ifnoext_comment]],19,FALSE)</f>
        <v>#N/A</v>
      </c>
      <c r="AW217" s="20" t="e">
        <f>VLOOKUP(Data[[#This Row],[DEVELOPMENT]],Ops_Priorities_and_Data_Clean[[development]:[ifnoext_comment]],20,FALSE)</f>
        <v>#N/A</v>
      </c>
      <c r="AX217" s="20"/>
      <c r="AY217" s="20"/>
      <c r="AZ217" s="20" t="str">
        <f>VLOOKUP(Data[[#This Row],[DEVELOPMENT]],Development_Data_Book[[DEVELOPMENT]:[PRIVATE MANAGEMENT]],8,FALSE)</f>
        <v>MIXED FINANCE</v>
      </c>
      <c r="BA217" s="20"/>
      <c r="BB217" s="20">
        <f>VLOOKUP(Data[[#This Row],[DEVELOPMENT]],Development_Data_Book[[DEVELOPMENT]:[PRIVATE MANAGEMENT]],22,FALSE)</f>
        <v>0</v>
      </c>
      <c r="BC217" s="20">
        <f>Data[[#This Row],[Non-Dwelling Buildings]]+Data[[#This Row],[Dwelling Buildings]]</f>
        <v>1</v>
      </c>
      <c r="BD217" s="20">
        <f>VLOOKUP(Data[[#This Row],[DEVELOPMENT]],Development_Data_Book[[DEVELOPMENT]:[PRIVATE MANAGEMENT]],26,FALSE)</f>
        <v>0.59</v>
      </c>
      <c r="BE217" s="20"/>
      <c r="BF217" s="20">
        <f>VLOOKUP(Data[[#This Row],[DEVELOPMENT]],Development_Data_Book[[DEVELOPMENT]:[PRIVATE MANAGEMENT]],18,FALSE)</f>
        <v>0</v>
      </c>
      <c r="BG21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17" s="20"/>
      <c r="BI217" s="20"/>
      <c r="BJ217" s="20">
        <f>VLOOKUP(Data[[#This Row],[DEVELOPMENT]],Development_Data_Book[[DEVELOPMENT]:[PRIVATE MANAGEMENT]],41,FALSE)</f>
        <v>3</v>
      </c>
      <c r="BK217" s="20">
        <f>VLOOKUP(Data[[#This Row],[DEVELOPMENT]],Development_Data_Book[[DEVELOPMENT]:[PRIVATE MANAGEMENT]],42,FALSE)</f>
        <v>15</v>
      </c>
      <c r="BL217" s="20">
        <f>VLOOKUP(Data[[#This Row],[DEVELOPMENT]],Development_Data_Book[[DEVELOPMENT]:[PRIVATE MANAGEMENT]],43,FALSE)</f>
        <v>32</v>
      </c>
      <c r="BM217" s="20">
        <f>VLOOKUP(Data[[#This Row],[DEVELOPMENT]],Development_Data_Book[[DEVELOPMENT]:[PRIVATE MANAGEMENT]],44,FALSE)</f>
        <v>79</v>
      </c>
      <c r="BN217" s="20">
        <f>VLOOKUP(Data[[#This Row],[DEVELOPMENT]],Development_Data_Book[[DEVELOPMENT]:[PRIVATE MANAGEMENT]],45,FALSE)</f>
        <v>17</v>
      </c>
      <c r="BO217" s="20">
        <f>VLOOKUP(Data[[#This Row],[DEVELOPMENT]],Development_Data_Book[[DEVELOPMENT]:[PRIVATE MANAGEMENT]],24,FALSE)</f>
        <v>6</v>
      </c>
    </row>
    <row r="218" spans="1:67">
      <c r="A218" t="s">
        <v>94</v>
      </c>
      <c r="B218" t="str">
        <f>VLOOKUP(Data[[#This Row],[DEVELOPMENT]],Development_Data_Book[[DEVELOPMENT]:[BOROUGH]],MATCH("borough",Development_Data_Book[[#Headers],[DEVELOPMENT]:[BOROUGH]],0),FALSE)</f>
        <v>MANHATTAN</v>
      </c>
      <c r="C218" t="e">
        <f>VLOOKUP(Data[[#This Row],[DEVELOPMENT]],'[1]Cheat-Sheet'!$D$2:$Q$341,2,FALSE)</f>
        <v>#N/A</v>
      </c>
      <c r="D21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18">
        <f>VLOOKUP(Data[[#This Row],[DEVELOPMENT]],Development_Data_Book[[DEVELOPMENT]:[BOROUGH]],21,FALSE)</f>
        <v>1</v>
      </c>
      <c r="F218">
        <f>VLOOKUP(Data[[#This Row],[DEVELOPMENT]],Development_Data_Book[[DEVELOPMENT]:[BOROUGH]],23,FALSE)</f>
        <v>2</v>
      </c>
      <c r="G218">
        <f>VLOOKUP(Data[[#This Row],[DEVELOPMENT]],Development_Data_Book[[DEVELOPMENT]:[BOROUGH]],12,FALSE)</f>
        <v>125</v>
      </c>
      <c r="H218" t="s">
        <v>2248</v>
      </c>
      <c r="I218">
        <v>4</v>
      </c>
      <c r="J218">
        <f>IFERROR(VLOOKUP(Data[[#This Row],[DEVELOPMENT]],IntCompactors_MRST[],4,FALSE),0)</f>
        <v>1</v>
      </c>
      <c r="K218" s="20">
        <f>IFERROR(VLOOKUP(Data[[#This Row],[DEVELOPMENT]],ExtCompactors_MRST[],4,FALSE),0)</f>
        <v>0</v>
      </c>
      <c r="L218" s="27">
        <f>IF(Data[[#This Row],['# Interior Compactors MRST]]=0,"",VLOOKUP(Data[[#This Row],[DEVELOPMENT]],IntCompactors_MRST[],5,FALSE))</f>
        <v>32874</v>
      </c>
      <c r="M218" s="28" t="str">
        <f>IF(Data[[#This Row],['# Exterior Compactors MRST]]=0,"",VLOOKUP(Data[[#This Row],[DEVELOPMENT]],ExtCompactors_MRST[],5,FALSE))</f>
        <v/>
      </c>
      <c r="N218">
        <f>Data[[#This Row],['# Interior Compactors MRST]]</f>
        <v>1</v>
      </c>
      <c r="O218" s="20">
        <f>IF(Data[[#This Row],['# Bulk Crushers]]=0,1,0)</f>
        <v>1</v>
      </c>
      <c r="P218" s="20">
        <f>1</f>
        <v>1</v>
      </c>
      <c r="Q218" s="20">
        <f>1</f>
        <v>1</v>
      </c>
      <c r="R218" s="20">
        <f>1</f>
        <v>1</v>
      </c>
      <c r="S218" s="20">
        <f>1</f>
        <v>1</v>
      </c>
      <c r="T218" s="20">
        <f>IF(Data[[#This Row],[Sewershed]]="Newtown Creek",Data[[#This Row],[DUs]],0)</f>
        <v>0</v>
      </c>
      <c r="U21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1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1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18" s="82">
        <f>VLOOKUP(Data[[#This Row],[DEVELOPMENT]],Development_Data_Book[[DEVELOPMENT]:[BOROUGH]],3,FALSE)</f>
        <v>340</v>
      </c>
      <c r="Y218" s="20"/>
      <c r="Z218" s="20">
        <f>IFERROR(VLOOKUP(Data[[#This Row],[TDS]],ExtCompactors_PNA[[Development]:[0]],2,FALSE),0)</f>
        <v>0</v>
      </c>
      <c r="AA218" s="20">
        <f>IFERROR(VLOOKUP(Data[[#This Row],[TDS]],IntCompactors_PNA[[TDS]:[0]],2,FALSE),0)</f>
        <v>1</v>
      </c>
      <c r="AB218" s="20"/>
      <c r="AC218" s="20"/>
      <c r="AD218" s="20">
        <f>IFERROR(VLOOKUP(Data[[#This Row],[TDS]],ExtCompactors_PNA[[Development]:[0]],3,FALSE)+VLOOKUP(Data[[#This Row],[TDS]],ExtCompactors_PNA[[Development]:[0]],6,FALSE),0)</f>
        <v>0</v>
      </c>
      <c r="AE218" s="20">
        <f>IFERROR(VLOOKUP(Data[[#This Row],[TDS]],IntCompactors_PNA[[TDS]:[0]],3,FALSE)+VLOOKUP(Data[[#This Row],[TDS]],IntCompactors_PNA[[TDS]:[0]],6,FALSE),0)</f>
        <v>1</v>
      </c>
      <c r="AF218" s="20" t="e">
        <f>VLOOKUP(Data[[#This Row],[DEVELOPMENT]],[3]Developments!$A$2:$A$312,1,FALSE)</f>
        <v>#N/A</v>
      </c>
      <c r="AG218" s="20">
        <f>IFERROR(VLOOKUP(Data[[#This Row],[DEVELOPMENT]],Ops_Priorities_and_Data_Clean[[development]:[ifnoext_comment]],3,FALSE),"")</f>
        <v>0</v>
      </c>
      <c r="AH218" s="20">
        <f>IFERROR(VLOOKUP(Data[[#This Row],[DEVELOPMENT]],Ops_Priorities_and_Data_Clean[[development]:[ifnoext_comment]],4,FALSE),"")</f>
        <v>0</v>
      </c>
      <c r="AI218" s="20">
        <f>IFERROR(VLOOKUP(Data[[#This Row],[DEVELOPMENT]],Ops_Priorities_and_Data_Clean[[development]:[ifnoext_comment]],5,FALSE),"")</f>
        <v>0</v>
      </c>
      <c r="AJ218" s="20">
        <f>IFERROR(VLOOKUP(Data[[#This Row],[DEVELOPMENT]],Ops_Priorities_and_Data_Clean[[development]:[ifnoext_comment]],6,FALSE),"")</f>
        <v>1</v>
      </c>
      <c r="AK218" s="20">
        <f>IFERROR(VLOOKUP(Data[[#This Row],[DEVELOPMENT]],Ops_Priorities_and_Data_Clean[[development]:[ifnoext_comment]],7,FALSE),"")</f>
        <v>0</v>
      </c>
      <c r="AL218" s="20">
        <f>IFERROR(VLOOKUP(Data[[#This Row],[DEVELOPMENT]],Ops_Priorities_and_Data_Clean[[development]:[ifnoext_comment]],8,FALSE),"")</f>
        <v>1</v>
      </c>
      <c r="AM218" s="20">
        <f>IFERROR(VLOOKUP(Data[[#This Row],[DEVELOPMENT]],Ops_Priorities_and_Data_Clean[[development]:[ifnoext_comment]],9,FALSE),"")</f>
        <v>0</v>
      </c>
      <c r="AN218" s="20">
        <f>IFERROR(VLOOKUP(Data[[#This Row],[DEVELOPMENT]],Ops_Priorities_and_Data_Clean[[development]:[ifnoext_comment]],10,FALSE),"")</f>
        <v>0</v>
      </c>
      <c r="AO218" s="20">
        <f>IFERROR(VLOOKUP(Data[[#This Row],[DEVELOPMENT]],Ops_Priorities_and_Data_Clean[[development]:[ifnoext_comment]],11,FALSE),"")</f>
        <v>0</v>
      </c>
      <c r="AP218" s="20">
        <f>IFERROR(VLOOKUP(Data[[#This Row],[DEVELOPMENT]],Ops_Priorities_and_Data_Clean[[development]:[ifnoext_comment]],12,FALSE),"")</f>
        <v>0</v>
      </c>
      <c r="AQ218" s="20">
        <f>VLOOKUP(Data[[#This Row],[DEVELOPMENT]],Ops_Priorities_and_Data_Clean[[development]:[ifnoext_comment]],14,FALSE)</f>
        <v>0</v>
      </c>
      <c r="AR218" s="20">
        <f>VLOOKUP(Data[[#This Row],[DEVELOPMENT]],Ops_Priorities_and_Data_Clean[[development]:[ifnoext_comment]],15,FALSE)</f>
        <v>1</v>
      </c>
      <c r="AS218" s="20" t="str">
        <f>VLOOKUP(Data[[#This Row],[DEVELOPMENT]],Ops_Priorities_and_Data_Clean[[development]:[ifnoext_comment]],16,FALSE)</f>
        <v>DREW-HAMILTON</v>
      </c>
      <c r="AT218" s="20" t="str">
        <f>VLOOKUP(Data[[#This Row],[DEVELOPMENT]],Ops_Priorities_and_Data_Clean[[development]:[ifnoext_comment]],17,FALSE)</f>
        <v>NULL</v>
      </c>
      <c r="AU218" s="20" t="str">
        <f>VLOOKUP(Data[[#This Row],[DEVELOPMENT]],Ops_Priorities_and_Data_Clean[[development]:[ifnoext_comment]],18,FALSE)</f>
        <v>yes</v>
      </c>
      <c r="AV218" s="20" t="str">
        <f>VLOOKUP(Data[[#This Row],[DEVELOPMENT]],Ops_Priorities_and_Data_Clean[[development]:[ifnoext_comment]],19,FALSE)</f>
        <v>Curbside pickup for DSNY</v>
      </c>
      <c r="AW218" s="20" t="str">
        <f>VLOOKUP(Data[[#This Row],[DEVELOPMENT]],Ops_Priorities_and_Data_Clean[[development]:[ifnoext_comment]],20,FALSE)</f>
        <v>NULL</v>
      </c>
      <c r="AX218" s="104" t="s">
        <v>2605</v>
      </c>
      <c r="AY218" s="104" t="s">
        <v>2592</v>
      </c>
      <c r="AZ218" s="20" t="str">
        <f>VLOOKUP(Data[[#This Row],[DEVELOPMENT]],Development_Data_Book[[DEVELOPMENT]:[PRIVATE MANAGEMENT]],8,FALSE)</f>
        <v>FEDERAL</v>
      </c>
      <c r="BA218" s="104" t="s">
        <v>2586</v>
      </c>
      <c r="BB218" s="20">
        <f>VLOOKUP(Data[[#This Row],[DEVELOPMENT]],Development_Data_Book[[DEVELOPMENT]:[PRIVATE MANAGEMENT]],22,FALSE)</f>
        <v>0</v>
      </c>
      <c r="BC218" s="20">
        <f>Data[[#This Row],[Non-Dwelling Buildings]]+Data[[#This Row],[Dwelling Buildings]]</f>
        <v>1</v>
      </c>
      <c r="BD218" s="20">
        <f>VLOOKUP(Data[[#This Row],[DEVELOPMENT]],Development_Data_Book[[DEVELOPMENT]:[PRIVATE MANAGEMENT]],26,FALSE)</f>
        <v>1.49</v>
      </c>
      <c r="BE218" s="106">
        <v>99750</v>
      </c>
      <c r="BF218" s="20">
        <f>VLOOKUP(Data[[#This Row],[DEVELOPMENT]],Development_Data_Book[[DEVELOPMENT]:[PRIVATE MANAGEMENT]],18,FALSE)</f>
        <v>140</v>
      </c>
      <c r="BG218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18" s="104" t="s">
        <v>2593</v>
      </c>
      <c r="BI218" t="s">
        <v>184</v>
      </c>
      <c r="BJ218" s="20">
        <f>VLOOKUP(Data[[#This Row],[DEVELOPMENT]],Development_Data_Book[[DEVELOPMENT]:[PRIVATE MANAGEMENT]],41,FALSE)</f>
        <v>10</v>
      </c>
      <c r="BK218" s="20">
        <f>VLOOKUP(Data[[#This Row],[DEVELOPMENT]],Development_Data_Book[[DEVELOPMENT]:[PRIVATE MANAGEMENT]],42,FALSE)</f>
        <v>13</v>
      </c>
      <c r="BL218" s="20">
        <f>VLOOKUP(Data[[#This Row],[DEVELOPMENT]],Development_Data_Book[[DEVELOPMENT]:[PRIVATE MANAGEMENT]],43,FALSE)</f>
        <v>30</v>
      </c>
      <c r="BM218" s="20">
        <f>VLOOKUP(Data[[#This Row],[DEVELOPMENT]],Development_Data_Book[[DEVELOPMENT]:[PRIVATE MANAGEMENT]],44,FALSE)</f>
        <v>70</v>
      </c>
      <c r="BN218" s="20">
        <f>VLOOKUP(Data[[#This Row],[DEVELOPMENT]],Development_Data_Book[[DEVELOPMENT]:[PRIVATE MANAGEMENT]],45,FALSE)</f>
        <v>9</v>
      </c>
      <c r="BO218" s="20">
        <f>VLOOKUP(Data[[#This Row],[DEVELOPMENT]],Development_Data_Book[[DEVELOPMENT]:[PRIVATE MANAGEMENT]],24,FALSE)</f>
        <v>5</v>
      </c>
    </row>
    <row r="219" spans="1:67">
      <c r="A219" t="s">
        <v>134</v>
      </c>
      <c r="B219" t="str">
        <f>VLOOKUP(Data[[#This Row],[DEVELOPMENT]],Development_Data_Book[[DEVELOPMENT]:[BOROUGH]],MATCH("borough",Development_Data_Book[[#Headers],[DEVELOPMENT]:[BOROUGH]],0),FALSE)</f>
        <v>QUEENS</v>
      </c>
      <c r="C219" t="e">
        <f>VLOOKUP(Data[[#This Row],[DEVELOPMENT]],'[1]Cheat-Sheet'!$D$2:$Q$341,2,FALSE)</f>
        <v>#N/A</v>
      </c>
      <c r="D21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19">
        <f>VLOOKUP(Data[[#This Row],[DEVELOPMENT]],Development_Data_Book[[DEVELOPMENT]:[BOROUGH]],21,FALSE)</f>
        <v>13</v>
      </c>
      <c r="F219">
        <f>VLOOKUP(Data[[#This Row],[DEVELOPMENT]],Development_Data_Book[[DEVELOPMENT]:[BOROUGH]],23,FALSE)</f>
        <v>48</v>
      </c>
      <c r="G219">
        <f>VLOOKUP(Data[[#This Row],[DEVELOPMENT]],Development_Data_Book[[DEVELOPMENT]:[BOROUGH]],12,FALSE)</f>
        <v>1542</v>
      </c>
      <c r="H219" t="s">
        <v>2248</v>
      </c>
      <c r="I219">
        <v>4</v>
      </c>
      <c r="J219">
        <f>IFERROR(VLOOKUP(Data[[#This Row],[DEVELOPMENT]],IntCompactors_MRST[],4,FALSE),0)</f>
        <v>47</v>
      </c>
      <c r="K219" s="20">
        <f>IFERROR(VLOOKUP(Data[[#This Row],[DEVELOPMENT]],ExtCompactors_MRST[],4,FALSE),0)</f>
        <v>3</v>
      </c>
      <c r="L219" s="27">
        <f>IF(Data[[#This Row],['# Interior Compactors MRST]]=0,"",VLOOKUP(Data[[#This Row],[DEVELOPMENT]],IntCompactors_MRST[],5,FALSE))</f>
        <v>37653</v>
      </c>
      <c r="M219" s="28">
        <f>IF(Data[[#This Row],['# Exterior Compactors MRST]]=0,"",VLOOKUP(Data[[#This Row],[DEVELOPMENT]],ExtCompactors_MRST[],5,FALSE))</f>
        <v>40194</v>
      </c>
      <c r="N219">
        <f>Data[[#This Row],['# Interior Compactors MRST]]</f>
        <v>47</v>
      </c>
      <c r="O219" s="20">
        <f>IF(Data[[#This Row],['# Bulk Crushers]]=0,1,0)</f>
        <v>1</v>
      </c>
      <c r="P219" s="20">
        <f>1</f>
        <v>1</v>
      </c>
      <c r="Q219" s="20">
        <f>1</f>
        <v>1</v>
      </c>
      <c r="R219" s="20">
        <f>1</f>
        <v>1</v>
      </c>
      <c r="S219" s="20">
        <f>1</f>
        <v>1</v>
      </c>
      <c r="T219" s="20">
        <f>IF(Data[[#This Row],[Sewershed]]="Newtown Creek",Data[[#This Row],[DUs]],0)</f>
        <v>0</v>
      </c>
      <c r="U21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1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1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19" s="82">
        <f>VLOOKUP(Data[[#This Row],[DEVELOPMENT]],Development_Data_Book[[DEVELOPMENT]:[BOROUGH]],3,FALSE)</f>
        <v>505</v>
      </c>
      <c r="Y219" s="20"/>
      <c r="Z219" s="20">
        <f>IFERROR(VLOOKUP(Data[[#This Row],[TDS]],ExtCompactors_PNA[[Development]:[0]],2,FALSE),0)</f>
        <v>0</v>
      </c>
      <c r="AA219" s="20">
        <f>IFERROR(VLOOKUP(Data[[#This Row],[TDS]],IntCompactors_PNA[[TDS]:[0]],2,FALSE),0)</f>
        <v>47</v>
      </c>
      <c r="AB219" s="20"/>
      <c r="AC219" s="20"/>
      <c r="AD219" s="20">
        <f>IFERROR(VLOOKUP(Data[[#This Row],[TDS]],ExtCompactors_PNA[[Development]:[0]],3,FALSE)+VLOOKUP(Data[[#This Row],[TDS]],ExtCompactors_PNA[[Development]:[0]],6,FALSE),0)</f>
        <v>0</v>
      </c>
      <c r="AE219" s="20">
        <f>IFERROR(VLOOKUP(Data[[#This Row],[TDS]],IntCompactors_PNA[[TDS]:[0]],3,FALSE)+VLOOKUP(Data[[#This Row],[TDS]],IntCompactors_PNA[[TDS]:[0]],6,FALSE),0)</f>
        <v>47</v>
      </c>
      <c r="AF219" s="20" t="e">
        <f>VLOOKUP(Data[[#This Row],[DEVELOPMENT]],[3]Developments!$A$2:$A$312,1,FALSE)</f>
        <v>#N/A</v>
      </c>
      <c r="AG219" s="20">
        <f>IFERROR(VLOOKUP(Data[[#This Row],[DEVELOPMENT]],Ops_Priorities_and_Data_Clean[[development]:[ifnoext_comment]],3,FALSE),"")</f>
        <v>3</v>
      </c>
      <c r="AH219" s="20">
        <f>IFERROR(VLOOKUP(Data[[#This Row],[DEVELOPMENT]],Ops_Priorities_and_Data_Clean[[development]:[ifnoext_comment]],4,FALSE),"")</f>
        <v>2</v>
      </c>
      <c r="AI219" s="20">
        <f>IFERROR(VLOOKUP(Data[[#This Row],[DEVELOPMENT]],Ops_Priorities_and_Data_Clean[[development]:[ifnoext_comment]],5,FALSE),"")</f>
        <v>1</v>
      </c>
      <c r="AJ219" s="20">
        <f>IFERROR(VLOOKUP(Data[[#This Row],[DEVELOPMENT]],Ops_Priorities_and_Data_Clean[[development]:[ifnoext_comment]],6,FALSE),"")</f>
        <v>0</v>
      </c>
      <c r="AK219" s="20">
        <f>IFERROR(VLOOKUP(Data[[#This Row],[DEVELOPMENT]],Ops_Priorities_and_Data_Clean[[development]:[ifnoext_comment]],7,FALSE),"")</f>
        <v>0</v>
      </c>
      <c r="AL219" s="20">
        <f>IFERROR(VLOOKUP(Data[[#This Row],[DEVELOPMENT]],Ops_Priorities_and_Data_Clean[[development]:[ifnoext_comment]],8,FALSE),"")</f>
        <v>1</v>
      </c>
      <c r="AM219" s="20">
        <f>IFERROR(VLOOKUP(Data[[#This Row],[DEVELOPMENT]],Ops_Priorities_and_Data_Clean[[development]:[ifnoext_comment]],9,FALSE),"")</f>
        <v>0</v>
      </c>
      <c r="AN219" s="20">
        <f>IFERROR(VLOOKUP(Data[[#This Row],[DEVELOPMENT]],Ops_Priorities_and_Data_Clean[[development]:[ifnoext_comment]],10,FALSE),"")</f>
        <v>3</v>
      </c>
      <c r="AO219" s="20">
        <f>IFERROR(VLOOKUP(Data[[#This Row],[DEVELOPMENT]],Ops_Priorities_and_Data_Clean[[development]:[ifnoext_comment]],11,FALSE),"")</f>
        <v>3</v>
      </c>
      <c r="AP219" s="20">
        <f>IFERROR(VLOOKUP(Data[[#This Row],[DEVELOPMENT]],Ops_Priorities_and_Data_Clean[[development]:[ifnoext_comment]],12,FALSE),"")</f>
        <v>3</v>
      </c>
      <c r="AQ219" s="20">
        <f>VLOOKUP(Data[[#This Row],[DEVELOPMENT]],Ops_Priorities_and_Data_Clean[[development]:[ifnoext_comment]],14,FALSE)</f>
        <v>0</v>
      </c>
      <c r="AR219" s="20">
        <f>VLOOKUP(Data[[#This Row],[DEVELOPMENT]],Ops_Priorities_and_Data_Clean[[development]:[ifnoext_comment]],15,FALSE)</f>
        <v>0</v>
      </c>
      <c r="AS219" s="20" t="str">
        <f>VLOOKUP(Data[[#This Row],[DEVELOPMENT]],Ops_Priorities_and_Data_Clean[[development]:[ifnoext_comment]],16,FALSE)</f>
        <v>NULL</v>
      </c>
      <c r="AT219" s="20" t="str">
        <f>VLOOKUP(Data[[#This Row],[DEVELOPMENT]],Ops_Priorities_and_Data_Clean[[development]:[ifnoext_comment]],17,FALSE)</f>
        <v>NULL</v>
      </c>
      <c r="AU219" s="20" t="str">
        <f>VLOOKUP(Data[[#This Row],[DEVELOPMENT]],Ops_Priorities_and_Data_Clean[[development]:[ifnoext_comment]],18,FALSE)</f>
        <v>NULL</v>
      </c>
      <c r="AV219" s="20" t="str">
        <f>VLOOKUP(Data[[#This Row],[DEVELOPMENT]],Ops_Priorities_and_Data_Clean[[development]:[ifnoext_comment]],19,FALSE)</f>
        <v>NULL</v>
      </c>
      <c r="AW219" s="20" t="str">
        <f>VLOOKUP(Data[[#This Row],[DEVELOPMENT]],Ops_Priorities_and_Data_Clean[[development]:[ifnoext_comment]],20,FALSE)</f>
        <v>NULL</v>
      </c>
      <c r="AX219" s="104" t="s">
        <v>2614</v>
      </c>
      <c r="AY219" s="104" t="s">
        <v>2664</v>
      </c>
      <c r="AZ219" s="20" t="str">
        <f>VLOOKUP(Data[[#This Row],[DEVELOPMENT]],Development_Data_Book[[DEVELOPMENT]:[PRIVATE MANAGEMENT]],8,FALSE)</f>
        <v>FEDERAL</v>
      </c>
      <c r="BA219" s="104" t="s">
        <v>2586</v>
      </c>
      <c r="BB219" s="20">
        <f>VLOOKUP(Data[[#This Row],[DEVELOPMENT]],Development_Data_Book[[DEVELOPMENT]:[PRIVATE MANAGEMENT]],22,FALSE)</f>
        <v>1</v>
      </c>
      <c r="BC219" s="20">
        <f>Data[[#This Row],[Non-Dwelling Buildings]]+Data[[#This Row],[Dwelling Buildings]]</f>
        <v>14</v>
      </c>
      <c r="BD219" s="20">
        <f>VLOOKUP(Data[[#This Row],[DEVELOPMENT]],Development_Data_Book[[DEVELOPMENT]:[PRIVATE MANAGEMENT]],26,FALSE)</f>
        <v>20.350000000000001</v>
      </c>
      <c r="BE219" s="106">
        <v>1249000</v>
      </c>
      <c r="BF219" s="20">
        <f>VLOOKUP(Data[[#This Row],[DEVELOPMENT]],Development_Data_Book[[DEVELOPMENT]:[PRIVATE MANAGEMENT]],18,FALSE)</f>
        <v>3129</v>
      </c>
      <c r="BG21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19" s="104" t="s">
        <v>2615</v>
      </c>
      <c r="BI219" t="s">
        <v>183</v>
      </c>
      <c r="BJ219" s="20">
        <f>VLOOKUP(Data[[#This Row],[DEVELOPMENT]],Development_Data_Book[[DEVELOPMENT]:[PRIVATE MANAGEMENT]],41,FALSE)</f>
        <v>1</v>
      </c>
      <c r="BK219" s="20">
        <f>VLOOKUP(Data[[#This Row],[DEVELOPMENT]],Development_Data_Book[[DEVELOPMENT]:[PRIVATE MANAGEMENT]],42,FALSE)</f>
        <v>12</v>
      </c>
      <c r="BL219" s="20">
        <f>VLOOKUP(Data[[#This Row],[DEVELOPMENT]],Development_Data_Book[[DEVELOPMENT]:[PRIVATE MANAGEMENT]],43,FALSE)</f>
        <v>12</v>
      </c>
      <c r="BM219" s="20">
        <f>VLOOKUP(Data[[#This Row],[DEVELOPMENT]],Development_Data_Book[[DEVELOPMENT]:[PRIVATE MANAGEMENT]],44,FALSE)</f>
        <v>37</v>
      </c>
      <c r="BN219" s="20">
        <f>VLOOKUP(Data[[#This Row],[DEVELOPMENT]],Development_Data_Book[[DEVELOPMENT]:[PRIVATE MANAGEMENT]],45,FALSE)</f>
        <v>26</v>
      </c>
      <c r="BO219" s="20">
        <f>VLOOKUP(Data[[#This Row],[DEVELOPMENT]],Development_Data_Book[[DEVELOPMENT]:[PRIVATE MANAGEMENT]],24,FALSE)</f>
        <v>6</v>
      </c>
    </row>
    <row r="220" spans="1:67">
      <c r="A220" t="s">
        <v>135</v>
      </c>
      <c r="B220" t="str">
        <f>VLOOKUP(Data[[#This Row],[DEVELOPMENT]],Development_Data_Book[[DEVELOPMENT]:[BOROUGH]],MATCH("borough",Development_Data_Book[[#Headers],[DEVELOPMENT]:[BOROUGH]],0),FALSE)</f>
        <v>QUEENS</v>
      </c>
      <c r="C220" t="e">
        <f>VLOOKUP(Data[[#This Row],[DEVELOPMENT]],'[1]Cheat-Sheet'!$D$2:$Q$341,2,FALSE)</f>
        <v>#N/A</v>
      </c>
      <c r="D22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20">
        <f>VLOOKUP(Data[[#This Row],[DEVELOPMENT]],Development_Data_Book[[DEVELOPMENT]:[BOROUGH]],21,FALSE)</f>
        <v>13</v>
      </c>
      <c r="F220">
        <f>VLOOKUP(Data[[#This Row],[DEVELOPMENT]],Development_Data_Book[[DEVELOPMENT]:[BOROUGH]],23,FALSE)</f>
        <v>50</v>
      </c>
      <c r="G220">
        <f>VLOOKUP(Data[[#This Row],[DEVELOPMENT]],Development_Data_Book[[DEVELOPMENT]:[BOROUGH]],12,FALSE)</f>
        <v>1603</v>
      </c>
      <c r="H220" t="s">
        <v>2248</v>
      </c>
      <c r="I220">
        <v>4</v>
      </c>
      <c r="J220">
        <f>IFERROR(VLOOKUP(Data[[#This Row],[DEVELOPMENT]],IntCompactors_MRST[],4,FALSE),0)</f>
        <v>49</v>
      </c>
      <c r="K220" s="20">
        <f>IFERROR(VLOOKUP(Data[[#This Row],[DEVELOPMENT]],ExtCompactors_MRST[],4,FALSE),0)</f>
        <v>3</v>
      </c>
      <c r="L220" s="27">
        <f>IF(Data[[#This Row],['# Interior Compactors MRST]]=0,"",VLOOKUP(Data[[#This Row],[DEVELOPMENT]],IntCompactors_MRST[],5,FALSE))</f>
        <v>37712</v>
      </c>
      <c r="M220" s="28">
        <f>IF(Data[[#This Row],['# Exterior Compactors MRST]]=0,"",VLOOKUP(Data[[#This Row],[DEVELOPMENT]],ExtCompactors_MRST[],5,FALSE))</f>
        <v>40194</v>
      </c>
      <c r="N220">
        <f>Data[[#This Row],['# Interior Compactors MRST]]</f>
        <v>49</v>
      </c>
      <c r="O220" s="20">
        <f>IF(Data[[#This Row],['# Bulk Crushers]]=0,1,0)</f>
        <v>1</v>
      </c>
      <c r="P220" s="20">
        <f>1</f>
        <v>1</v>
      </c>
      <c r="Q220" s="20">
        <f>1</f>
        <v>1</v>
      </c>
      <c r="R220" s="20">
        <f>1</f>
        <v>1</v>
      </c>
      <c r="S220" s="20">
        <f>1</f>
        <v>1</v>
      </c>
      <c r="T220" s="20">
        <f>IF(Data[[#This Row],[Sewershed]]="Newtown Creek",Data[[#This Row],[DUs]],0)</f>
        <v>0</v>
      </c>
      <c r="U22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2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2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20" s="82">
        <f>VLOOKUP(Data[[#This Row],[DEVELOPMENT]],Development_Data_Book[[DEVELOPMENT]:[BOROUGH]],3,FALSE)</f>
        <v>5</v>
      </c>
      <c r="Y220" s="20"/>
      <c r="Z220" s="20">
        <f>IFERROR(VLOOKUP(Data[[#This Row],[TDS]],ExtCompactors_PNA[[Development]:[0]],2,FALSE),0)</f>
        <v>12</v>
      </c>
      <c r="AA220" s="20">
        <f>IFERROR(VLOOKUP(Data[[#This Row],[TDS]],IntCompactors_PNA[[TDS]:[0]],2,FALSE),0)</f>
        <v>49</v>
      </c>
      <c r="AB220" s="20"/>
      <c r="AC220" s="20"/>
      <c r="AD220" s="20">
        <f>IFERROR(VLOOKUP(Data[[#This Row],[TDS]],ExtCompactors_PNA[[Development]:[0]],3,FALSE)+VLOOKUP(Data[[#This Row],[TDS]],ExtCompactors_PNA[[Development]:[0]],6,FALSE),0)</f>
        <v>6</v>
      </c>
      <c r="AE220" s="20">
        <f>IFERROR(VLOOKUP(Data[[#This Row],[TDS]],IntCompactors_PNA[[TDS]:[0]],3,FALSE)+VLOOKUP(Data[[#This Row],[TDS]],IntCompactors_PNA[[TDS]:[0]],6,FALSE),0)</f>
        <v>49</v>
      </c>
      <c r="AF220" s="20" t="e">
        <f>VLOOKUP(Data[[#This Row],[DEVELOPMENT]],[3]Developments!$A$2:$A$312,1,FALSE)</f>
        <v>#N/A</v>
      </c>
      <c r="AG220" s="20">
        <f>IFERROR(VLOOKUP(Data[[#This Row],[DEVELOPMENT]],Ops_Priorities_and_Data_Clean[[development]:[ifnoext_comment]],3,FALSE),"")</f>
        <v>3</v>
      </c>
      <c r="AH220" s="20">
        <f>IFERROR(VLOOKUP(Data[[#This Row],[DEVELOPMENT]],Ops_Priorities_and_Data_Clean[[development]:[ifnoext_comment]],4,FALSE),"")</f>
        <v>2</v>
      </c>
      <c r="AI220" s="20">
        <f>IFERROR(VLOOKUP(Data[[#This Row],[DEVELOPMENT]],Ops_Priorities_and_Data_Clean[[development]:[ifnoext_comment]],5,FALSE),"")</f>
        <v>1</v>
      </c>
      <c r="AJ220" s="20">
        <f>IFERROR(VLOOKUP(Data[[#This Row],[DEVELOPMENT]],Ops_Priorities_and_Data_Clean[[development]:[ifnoext_comment]],6,FALSE),"")</f>
        <v>0</v>
      </c>
      <c r="AK220" s="20">
        <f>IFERROR(VLOOKUP(Data[[#This Row],[DEVELOPMENT]],Ops_Priorities_and_Data_Clean[[development]:[ifnoext_comment]],7,FALSE),"")</f>
        <v>0</v>
      </c>
      <c r="AL220" s="20">
        <f>IFERROR(VLOOKUP(Data[[#This Row],[DEVELOPMENT]],Ops_Priorities_and_Data_Clean[[development]:[ifnoext_comment]],8,FALSE),"")</f>
        <v>1</v>
      </c>
      <c r="AM220" s="20">
        <f>IFERROR(VLOOKUP(Data[[#This Row],[DEVELOPMENT]],Ops_Priorities_and_Data_Clean[[development]:[ifnoext_comment]],9,FALSE),"")</f>
        <v>0</v>
      </c>
      <c r="AN220" s="20">
        <f>IFERROR(VLOOKUP(Data[[#This Row],[DEVELOPMENT]],Ops_Priorities_and_Data_Clean[[development]:[ifnoext_comment]],10,FALSE),"")</f>
        <v>3</v>
      </c>
      <c r="AO220" s="20">
        <f>IFERROR(VLOOKUP(Data[[#This Row],[DEVELOPMENT]],Ops_Priorities_and_Data_Clean[[development]:[ifnoext_comment]],11,FALSE),"")</f>
        <v>3</v>
      </c>
      <c r="AP220" s="20">
        <f>IFERROR(VLOOKUP(Data[[#This Row],[DEVELOPMENT]],Ops_Priorities_and_Data_Clean[[development]:[ifnoext_comment]],12,FALSE),"")</f>
        <v>3</v>
      </c>
      <c r="AQ220" s="20">
        <f>VLOOKUP(Data[[#This Row],[DEVELOPMENT]],Ops_Priorities_and_Data_Clean[[development]:[ifnoext_comment]],14,FALSE)</f>
        <v>0</v>
      </c>
      <c r="AR220" s="20">
        <f>VLOOKUP(Data[[#This Row],[DEVELOPMENT]],Ops_Priorities_and_Data_Clean[[development]:[ifnoext_comment]],15,FALSE)</f>
        <v>0</v>
      </c>
      <c r="AS220" s="20" t="str">
        <f>VLOOKUP(Data[[#This Row],[DEVELOPMENT]],Ops_Priorities_and_Data_Clean[[development]:[ifnoext_comment]],16,FALSE)</f>
        <v>NULL</v>
      </c>
      <c r="AT220" s="20" t="str">
        <f>VLOOKUP(Data[[#This Row],[DEVELOPMENT]],Ops_Priorities_and_Data_Clean[[development]:[ifnoext_comment]],17,FALSE)</f>
        <v>NULL</v>
      </c>
      <c r="AU220" s="20" t="str">
        <f>VLOOKUP(Data[[#This Row],[DEVELOPMENT]],Ops_Priorities_and_Data_Clean[[development]:[ifnoext_comment]],18,FALSE)</f>
        <v>NULL</v>
      </c>
      <c r="AV220" s="20" t="str">
        <f>VLOOKUP(Data[[#This Row],[DEVELOPMENT]],Ops_Priorities_and_Data_Clean[[development]:[ifnoext_comment]],19,FALSE)</f>
        <v>NULL</v>
      </c>
      <c r="AW220" s="20" t="str">
        <f>VLOOKUP(Data[[#This Row],[DEVELOPMENT]],Ops_Priorities_and_Data_Clean[[development]:[ifnoext_comment]],20,FALSE)</f>
        <v>NULL</v>
      </c>
      <c r="AX220" s="104" t="s">
        <v>2614</v>
      </c>
      <c r="AY220" s="104" t="s">
        <v>2664</v>
      </c>
      <c r="AZ220" s="20" t="str">
        <f>VLOOKUP(Data[[#This Row],[DEVELOPMENT]],Development_Data_Book[[DEVELOPMENT]:[PRIVATE MANAGEMENT]],8,FALSE)</f>
        <v>FEDERAL</v>
      </c>
      <c r="BA220" s="104" t="s">
        <v>2586</v>
      </c>
      <c r="BB220" s="20">
        <f>VLOOKUP(Data[[#This Row],[DEVELOPMENT]],Development_Data_Book[[DEVELOPMENT]:[PRIVATE MANAGEMENT]],22,FALSE)</f>
        <v>2</v>
      </c>
      <c r="BC220" s="20">
        <f>Data[[#This Row],[Non-Dwelling Buildings]]+Data[[#This Row],[Dwelling Buildings]]</f>
        <v>15</v>
      </c>
      <c r="BD220" s="20">
        <f>VLOOKUP(Data[[#This Row],[DEVELOPMENT]],Development_Data_Book[[DEVELOPMENT]:[PRIVATE MANAGEMENT]],26,FALSE)</f>
        <v>29.12</v>
      </c>
      <c r="BE220" s="106">
        <v>1289029</v>
      </c>
      <c r="BF220" s="20">
        <f>VLOOKUP(Data[[#This Row],[DEVELOPMENT]],Development_Data_Book[[DEVELOPMENT]:[PRIVATE MANAGEMENT]],18,FALSE)</f>
        <v>3284</v>
      </c>
      <c r="BG22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20" s="104" t="s">
        <v>2615</v>
      </c>
      <c r="BI220" t="s">
        <v>183</v>
      </c>
      <c r="BJ220" s="20">
        <f>VLOOKUP(Data[[#This Row],[DEVELOPMENT]],Development_Data_Book[[DEVELOPMENT]:[PRIVATE MANAGEMENT]],41,FALSE)</f>
        <v>1</v>
      </c>
      <c r="BK220" s="20">
        <f>VLOOKUP(Data[[#This Row],[DEVELOPMENT]],Development_Data_Book[[DEVELOPMENT]:[PRIVATE MANAGEMENT]],42,FALSE)</f>
        <v>12</v>
      </c>
      <c r="BL220" s="20">
        <f>VLOOKUP(Data[[#This Row],[DEVELOPMENT]],Development_Data_Book[[DEVELOPMENT]:[PRIVATE MANAGEMENT]],43,FALSE)</f>
        <v>12</v>
      </c>
      <c r="BM220" s="20">
        <f>VLOOKUP(Data[[#This Row],[DEVELOPMENT]],Development_Data_Book[[DEVELOPMENT]:[PRIVATE MANAGEMENT]],44,FALSE)</f>
        <v>37</v>
      </c>
      <c r="BN220" s="20">
        <f>VLOOKUP(Data[[#This Row],[DEVELOPMENT]],Development_Data_Book[[DEVELOPMENT]:[PRIVATE MANAGEMENT]],45,FALSE)</f>
        <v>26</v>
      </c>
      <c r="BO220" s="20">
        <f>VLOOKUP(Data[[#This Row],[DEVELOPMENT]],Development_Data_Book[[DEVELOPMENT]:[PRIVATE MANAGEMENT]],24,FALSE)</f>
        <v>6</v>
      </c>
    </row>
    <row r="221" spans="1:67">
      <c r="A221" t="s">
        <v>355</v>
      </c>
      <c r="B221" s="20" t="str">
        <f>VLOOKUP(Data[[#This Row],[DEVELOPMENT]],Development_Data_Book[[DEVELOPMENT]:[BOROUGH]],MATCH("borough",Development_Data_Book[[#Headers],[DEVELOPMENT]:[BOROUGH]],0),FALSE)</f>
        <v>BROOKLYN</v>
      </c>
      <c r="C221" s="20" t="e">
        <f>VLOOKUP(Data[[#This Row],[DEVELOPMENT]],'[1]Cheat-Sheet'!$D$2:$Q$341,2,FALSE)</f>
        <v>#N/A</v>
      </c>
      <c r="D22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21" s="20">
        <f>VLOOKUP(Data[[#This Row],[DEVELOPMENT]],Development_Data_Book[[DEVELOPMENT]:[BOROUGH]],21,FALSE)</f>
        <v>5</v>
      </c>
      <c r="F221" s="20">
        <f>VLOOKUP(Data[[#This Row],[DEVELOPMENT]],Development_Data_Book[[DEVELOPMENT]:[BOROUGH]],23,FALSE)</f>
        <v>5</v>
      </c>
      <c r="G221" s="20">
        <f>VLOOKUP(Data[[#This Row],[DEVELOPMENT]],Development_Data_Book[[DEVELOPMENT]:[BOROUGH]],12,FALSE)</f>
        <v>118</v>
      </c>
      <c r="J221">
        <f>IFERROR(VLOOKUP(Data[[#This Row],[DEVELOPMENT]],IntCompactors_MRST[],4,FALSE),0)</f>
        <v>5</v>
      </c>
      <c r="K221" s="20">
        <f>IFERROR(VLOOKUP(Data[[#This Row],[DEVELOPMENT]],ExtCompactors_MRST[],4,FALSE),0)</f>
        <v>2</v>
      </c>
      <c r="L221" s="27">
        <f>IF(Data[[#This Row],['# Interior Compactors MRST]]=0,"",VLOOKUP(Data[[#This Row],[DEVELOPMENT]],IntCompactors_MRST[],5,FALSE))</f>
        <v>33147</v>
      </c>
      <c r="M221" s="28">
        <f>IF(Data[[#This Row],['# Exterior Compactors MRST]]=0,"",VLOOKUP(Data[[#This Row],[DEVELOPMENT]],ExtCompactors_MRST[],5,FALSE))</f>
        <v>36829</v>
      </c>
      <c r="N221" s="20">
        <f>Data[[#This Row],['# Interior Compactors MRST]]</f>
        <v>5</v>
      </c>
      <c r="O221" s="20">
        <f>IF(Data[[#This Row],['# Bulk Crushers]]=0,1,0)</f>
        <v>1</v>
      </c>
      <c r="P221" s="20">
        <f>1</f>
        <v>1</v>
      </c>
      <c r="Q221" s="20">
        <f>1</f>
        <v>1</v>
      </c>
      <c r="R221" s="20">
        <f>1</f>
        <v>1</v>
      </c>
      <c r="S221" s="20">
        <f>1</f>
        <v>1</v>
      </c>
      <c r="T221" s="20">
        <f>IF(Data[[#This Row],[Sewershed]]="Newtown Creek",Data[[#This Row],[DUs]],0)</f>
        <v>0</v>
      </c>
      <c r="U22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2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2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21" s="82">
        <f>VLOOKUP(Data[[#This Row],[DEVELOPMENT]],Development_Data_Book[[DEVELOPMENT]:[BOROUGH]],3,FALSE)</f>
        <v>352</v>
      </c>
      <c r="Y221" s="20"/>
      <c r="Z221" s="20">
        <f>IFERROR(VLOOKUP(Data[[#This Row],[TDS]],ExtCompactors_PNA[[Development]:[0]],2,FALSE),0)</f>
        <v>0</v>
      </c>
      <c r="AA221" s="20">
        <f>IFERROR(VLOOKUP(Data[[#This Row],[TDS]],IntCompactors_PNA[[TDS]:[0]],2,FALSE),0)</f>
        <v>9</v>
      </c>
      <c r="AB221" s="20"/>
      <c r="AC221" s="20"/>
      <c r="AD221" s="20">
        <f>IFERROR(VLOOKUP(Data[[#This Row],[TDS]],ExtCompactors_PNA[[Development]:[0]],3,FALSE)+VLOOKUP(Data[[#This Row],[TDS]],ExtCompactors_PNA[[Development]:[0]],6,FALSE),0)</f>
        <v>0</v>
      </c>
      <c r="AE221" s="20">
        <f>IFERROR(VLOOKUP(Data[[#This Row],[TDS]],IntCompactors_PNA[[TDS]:[0]],3,FALSE)+VLOOKUP(Data[[#This Row],[TDS]],IntCompactors_PNA[[TDS]:[0]],6,FALSE),0)</f>
        <v>9</v>
      </c>
      <c r="AF221" s="20" t="e">
        <f>VLOOKUP(Data[[#This Row],[DEVELOPMENT]],[3]Developments!$A$2:$A$312,1,FALSE)</f>
        <v>#N/A</v>
      </c>
      <c r="AG221" s="20">
        <f>IFERROR(VLOOKUP(Data[[#This Row],[DEVELOPMENT]],Ops_Priorities_and_Data_Clean[[development]:[ifnoext_comment]],3,FALSE),"")</f>
        <v>0</v>
      </c>
      <c r="AH221" s="20">
        <f>IFERROR(VLOOKUP(Data[[#This Row],[DEVELOPMENT]],Ops_Priorities_and_Data_Clean[[development]:[ifnoext_comment]],4,FALSE),"")</f>
        <v>0</v>
      </c>
      <c r="AI221" s="20">
        <f>IFERROR(VLOOKUP(Data[[#This Row],[DEVELOPMENT]],Ops_Priorities_and_Data_Clean[[development]:[ifnoext_comment]],5,FALSE),"")</f>
        <v>0</v>
      </c>
      <c r="AJ221" s="20">
        <f>IFERROR(VLOOKUP(Data[[#This Row],[DEVELOPMENT]],Ops_Priorities_and_Data_Clean[[development]:[ifnoext_comment]],6,FALSE),"")</f>
        <v>0</v>
      </c>
      <c r="AK221" s="20">
        <f>IFERROR(VLOOKUP(Data[[#This Row],[DEVELOPMENT]],Ops_Priorities_and_Data_Clean[[development]:[ifnoext_comment]],7,FALSE),"")</f>
        <v>1</v>
      </c>
      <c r="AL221" s="20">
        <f>IFERROR(VLOOKUP(Data[[#This Row],[DEVELOPMENT]],Ops_Priorities_and_Data_Clean[[development]:[ifnoext_comment]],8,FALSE),"")</f>
        <v>1</v>
      </c>
      <c r="AM221" s="20">
        <f>IFERROR(VLOOKUP(Data[[#This Row],[DEVELOPMENT]],Ops_Priorities_and_Data_Clean[[development]:[ifnoext_comment]],9,FALSE),"")</f>
        <v>0</v>
      </c>
      <c r="AN221" s="20">
        <f>IFERROR(VLOOKUP(Data[[#This Row],[DEVELOPMENT]],Ops_Priorities_and_Data_Clean[[development]:[ifnoext_comment]],10,FALSE),"")</f>
        <v>0</v>
      </c>
      <c r="AO221" s="20">
        <f>IFERROR(VLOOKUP(Data[[#This Row],[DEVELOPMENT]],Ops_Priorities_and_Data_Clean[[development]:[ifnoext_comment]],11,FALSE),"")</f>
        <v>2</v>
      </c>
      <c r="AP221" s="20">
        <f>IFERROR(VLOOKUP(Data[[#This Row],[DEVELOPMENT]],Ops_Priorities_and_Data_Clean[[development]:[ifnoext_comment]],12,FALSE),"")</f>
        <v>0</v>
      </c>
      <c r="AQ221" s="20">
        <f>VLOOKUP(Data[[#This Row],[DEVELOPMENT]],Ops_Priorities_and_Data_Clean[[development]:[ifnoext_comment]],14,FALSE)</f>
        <v>1</v>
      </c>
      <c r="AR221" s="20">
        <f>VLOOKUP(Data[[#This Row],[DEVELOPMENT]],Ops_Priorities_and_Data_Clean[[development]:[ifnoext_comment]],15,FALSE)</f>
        <v>0</v>
      </c>
      <c r="AS221" s="20" t="str">
        <f>VLOOKUP(Data[[#This Row],[DEVELOPMENT]],Ops_Priorities_and_Data_Clean[[development]:[ifnoext_comment]],16,FALSE)</f>
        <v>NULL</v>
      </c>
      <c r="AT221" s="20" t="str">
        <f>VLOOKUP(Data[[#This Row],[DEVELOPMENT]],Ops_Priorities_and_Data_Clean[[development]:[ifnoext_comment]],17,FALSE)</f>
        <v>NULL</v>
      </c>
      <c r="AU221" s="20" t="str">
        <f>VLOOKUP(Data[[#This Row],[DEVELOPMENT]],Ops_Priorities_and_Data_Clean[[development]:[ifnoext_comment]],18,FALSE)</f>
        <v>NULL</v>
      </c>
      <c r="AV221" s="20" t="str">
        <f>VLOOKUP(Data[[#This Row],[DEVELOPMENT]],Ops_Priorities_and_Data_Clean[[development]:[ifnoext_comment]],19,FALSE)</f>
        <v>NULL</v>
      </c>
      <c r="AW221" s="20" t="str">
        <f>VLOOKUP(Data[[#This Row],[DEVELOPMENT]],Ops_Priorities_and_Data_Clean[[development]:[ifnoext_comment]],20,FALSE)</f>
        <v>NULL</v>
      </c>
      <c r="AX221" s="104" t="s">
        <v>2238</v>
      </c>
      <c r="AY221" s="104" t="s">
        <v>392</v>
      </c>
      <c r="AZ221" s="20" t="str">
        <f>VLOOKUP(Data[[#This Row],[DEVELOPMENT]],Development_Data_Book[[DEVELOPMENT]:[PRIVATE MANAGEMENT]],8,FALSE)</f>
        <v>FEDERAL</v>
      </c>
      <c r="BA221" s="104" t="s">
        <v>2588</v>
      </c>
      <c r="BB221" s="20">
        <f>VLOOKUP(Data[[#This Row],[DEVELOPMENT]],Development_Data_Book[[DEVELOPMENT]:[PRIVATE MANAGEMENT]],22,FALSE)</f>
        <v>0</v>
      </c>
      <c r="BC221" s="20">
        <f>Data[[#This Row],[Non-Dwelling Buildings]]+Data[[#This Row],[Dwelling Buildings]]</f>
        <v>5</v>
      </c>
      <c r="BD221" s="20">
        <f>VLOOKUP(Data[[#This Row],[DEVELOPMENT]],Development_Data_Book[[DEVELOPMENT]:[PRIVATE MANAGEMENT]],26,FALSE)</f>
        <v>1.62</v>
      </c>
      <c r="BE221" s="106">
        <v>130200</v>
      </c>
      <c r="BF221" s="20">
        <f>VLOOKUP(Data[[#This Row],[DEVELOPMENT]],Development_Data_Book[[DEVELOPMENT]:[PRIVATE MANAGEMENT]],18,FALSE)</f>
        <v>284</v>
      </c>
      <c r="BG22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21" s="104" t="s">
        <v>2589</v>
      </c>
      <c r="BI221" t="s">
        <v>184</v>
      </c>
      <c r="BJ221" s="20">
        <f>VLOOKUP(Data[[#This Row],[DEVELOPMENT]],Development_Data_Book[[DEVELOPMENT]:[PRIVATE MANAGEMENT]],41,FALSE)</f>
        <v>16</v>
      </c>
      <c r="BK221" s="20">
        <f>VLOOKUP(Data[[#This Row],[DEVELOPMENT]],Development_Data_Book[[DEVELOPMENT]:[PRIVATE MANAGEMENT]],42,FALSE)</f>
        <v>9</v>
      </c>
      <c r="BL221" s="20">
        <f>VLOOKUP(Data[[#This Row],[DEVELOPMENT]],Development_Data_Book[[DEVELOPMENT]:[PRIVATE MANAGEMENT]],43,FALSE)</f>
        <v>20</v>
      </c>
      <c r="BM221" s="20">
        <f>VLOOKUP(Data[[#This Row],[DEVELOPMENT]],Development_Data_Book[[DEVELOPMENT]:[PRIVATE MANAGEMENT]],44,FALSE)</f>
        <v>55</v>
      </c>
      <c r="BN221" s="20">
        <f>VLOOKUP(Data[[#This Row],[DEVELOPMENT]],Development_Data_Book[[DEVELOPMENT]:[PRIVATE MANAGEMENT]],45,FALSE)</f>
        <v>41</v>
      </c>
      <c r="BO221" s="20">
        <f>VLOOKUP(Data[[#This Row],[DEVELOPMENT]],Development_Data_Book[[DEVELOPMENT]:[PRIVATE MANAGEMENT]],24,FALSE)</f>
        <v>4</v>
      </c>
    </row>
    <row r="222" spans="1:67">
      <c r="A222" t="s">
        <v>268</v>
      </c>
      <c r="B222" s="20" t="str">
        <f>VLOOKUP(Data[[#This Row],[DEVELOPMENT]],Development_Data_Book[[DEVELOPMENT]:[BOROUGH]],MATCH("borough",Development_Data_Book[[#Headers],[DEVELOPMENT]:[BOROUGH]],0),FALSE)</f>
        <v>BRONX</v>
      </c>
      <c r="C222" s="20" t="e">
        <f>VLOOKUP(Data[[#This Row],[DEVELOPMENT]],'[1]Cheat-Sheet'!$D$2:$Q$341,2,FALSE)</f>
        <v>#N/A</v>
      </c>
      <c r="D22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22" s="20">
        <f>VLOOKUP(Data[[#This Row],[DEVELOPMENT]],Development_Data_Book[[DEVELOPMENT]:[BOROUGH]],21,FALSE)</f>
        <v>3</v>
      </c>
      <c r="F222" s="20">
        <f>VLOOKUP(Data[[#This Row],[DEVELOPMENT]],Development_Data_Book[[DEVELOPMENT]:[BOROUGH]],23,FALSE)</f>
        <v>3</v>
      </c>
      <c r="G222" s="20">
        <f>VLOOKUP(Data[[#This Row],[DEVELOPMENT]],Development_Data_Book[[DEVELOPMENT]:[BOROUGH]],12,FALSE)</f>
        <v>251</v>
      </c>
      <c r="J222">
        <f>IFERROR(VLOOKUP(Data[[#This Row],[DEVELOPMENT]],IntCompactors_MRST[],4,FALSE),0)</f>
        <v>3</v>
      </c>
      <c r="K222" s="20">
        <f>IFERROR(VLOOKUP(Data[[#This Row],[DEVELOPMENT]],ExtCompactors_MRST[],4,FALSE),0)</f>
        <v>0</v>
      </c>
      <c r="L222" s="27">
        <f>IF(Data[[#This Row],['# Interior Compactors MRST]]=0,"",VLOOKUP(Data[[#This Row],[DEVELOPMENT]],IntCompactors_MRST[],5,FALSE))</f>
        <v>34838</v>
      </c>
      <c r="M222" s="28" t="str">
        <f>IF(Data[[#This Row],['# Exterior Compactors MRST]]=0,"",VLOOKUP(Data[[#This Row],[DEVELOPMENT]],ExtCompactors_MRST[],5,FALSE))</f>
        <v/>
      </c>
      <c r="N222" s="20">
        <f>Data[[#This Row],['# Interior Compactors MRST]]</f>
        <v>3</v>
      </c>
      <c r="O222" s="20">
        <f>IF(Data[[#This Row],['# Bulk Crushers]]=0,1,0)</f>
        <v>1</v>
      </c>
      <c r="P222" s="20">
        <f>1</f>
        <v>1</v>
      </c>
      <c r="Q222" s="20">
        <f>1</f>
        <v>1</v>
      </c>
      <c r="R222" s="20">
        <f>1</f>
        <v>1</v>
      </c>
      <c r="S222" s="20">
        <f>1</f>
        <v>1</v>
      </c>
      <c r="T222" s="20">
        <f>IF(Data[[#This Row],[Sewershed]]="Newtown Creek",Data[[#This Row],[DUs]],0)</f>
        <v>0</v>
      </c>
      <c r="U22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2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2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22" s="82">
        <f>VLOOKUP(Data[[#This Row],[DEVELOPMENT]],Development_Data_Book[[DEVELOPMENT]:[BOROUGH]],3,FALSE)</f>
        <v>245</v>
      </c>
      <c r="Y222" s="20"/>
      <c r="Z222" s="20">
        <f>IFERROR(VLOOKUP(Data[[#This Row],[TDS]],ExtCompactors_PNA[[Development]:[0]],2,FALSE),0)</f>
        <v>0</v>
      </c>
      <c r="AA222" s="20">
        <f>IFERROR(VLOOKUP(Data[[#This Row],[TDS]],IntCompactors_PNA[[TDS]:[0]],2,FALSE),0)</f>
        <v>3</v>
      </c>
      <c r="AB222" s="20"/>
      <c r="AC222" s="20"/>
      <c r="AD222" s="20">
        <f>IFERROR(VLOOKUP(Data[[#This Row],[TDS]],ExtCompactors_PNA[[Development]:[0]],3,FALSE)+VLOOKUP(Data[[#This Row],[TDS]],ExtCompactors_PNA[[Development]:[0]],6,FALSE),0)</f>
        <v>0</v>
      </c>
      <c r="AE222" s="20">
        <f>IFERROR(VLOOKUP(Data[[#This Row],[TDS]],IntCompactors_PNA[[TDS]:[0]],3,FALSE)+VLOOKUP(Data[[#This Row],[TDS]],IntCompactors_PNA[[TDS]:[0]],6,FALSE),0)</f>
        <v>3</v>
      </c>
      <c r="AF222" s="20" t="e">
        <f>VLOOKUP(Data[[#This Row],[DEVELOPMENT]],[3]Developments!$A$2:$A$312,1,FALSE)</f>
        <v>#N/A</v>
      </c>
      <c r="AG222" s="20">
        <f>IFERROR(VLOOKUP(Data[[#This Row],[DEVELOPMENT]],Ops_Priorities_and_Data_Clean[[development]:[ifnoext_comment]],3,FALSE),"")</f>
        <v>1</v>
      </c>
      <c r="AH222" s="20">
        <f>IFERROR(VLOOKUP(Data[[#This Row],[DEVELOPMENT]],Ops_Priorities_and_Data_Clean[[development]:[ifnoext_comment]],4,FALSE),"")</f>
        <v>2</v>
      </c>
      <c r="AI222" s="20">
        <f>IFERROR(VLOOKUP(Data[[#This Row],[DEVELOPMENT]],Ops_Priorities_and_Data_Clean[[development]:[ifnoext_comment]],5,FALSE),"")</f>
        <v>1</v>
      </c>
      <c r="AJ222" s="20">
        <f>IFERROR(VLOOKUP(Data[[#This Row],[DEVELOPMENT]],Ops_Priorities_and_Data_Clean[[development]:[ifnoext_comment]],6,FALSE),"")</f>
        <v>0</v>
      </c>
      <c r="AK222" s="20">
        <f>IFERROR(VLOOKUP(Data[[#This Row],[DEVELOPMENT]],Ops_Priorities_and_Data_Clean[[development]:[ifnoext_comment]],7,FALSE),"")</f>
        <v>0</v>
      </c>
      <c r="AL222" s="20">
        <f>IFERROR(VLOOKUP(Data[[#This Row],[DEVELOPMENT]],Ops_Priorities_and_Data_Clean[[development]:[ifnoext_comment]],8,FALSE),"")</f>
        <v>1</v>
      </c>
      <c r="AM222" s="20">
        <f>IFERROR(VLOOKUP(Data[[#This Row],[DEVELOPMENT]],Ops_Priorities_and_Data_Clean[[development]:[ifnoext_comment]],9,FALSE),"")</f>
        <v>0</v>
      </c>
      <c r="AN222" s="20">
        <f>IFERROR(VLOOKUP(Data[[#This Row],[DEVELOPMENT]],Ops_Priorities_and_Data_Clean[[development]:[ifnoext_comment]],10,FALSE),"")</f>
        <v>1</v>
      </c>
      <c r="AO222" s="20">
        <f>IFERROR(VLOOKUP(Data[[#This Row],[DEVELOPMENT]],Ops_Priorities_and_Data_Clean[[development]:[ifnoext_comment]],11,FALSE),"")</f>
        <v>0</v>
      </c>
      <c r="AP222" s="20">
        <f>IFERROR(VLOOKUP(Data[[#This Row],[DEVELOPMENT]],Ops_Priorities_and_Data_Clean[[development]:[ifnoext_comment]],12,FALSE),"")</f>
        <v>0</v>
      </c>
      <c r="AQ222" s="20">
        <f>VLOOKUP(Data[[#This Row],[DEVELOPMENT]],Ops_Priorities_and_Data_Clean[[development]:[ifnoext_comment]],14,FALSE)</f>
        <v>0</v>
      </c>
      <c r="AR222" s="20">
        <f>VLOOKUP(Data[[#This Row],[DEVELOPMENT]],Ops_Priorities_and_Data_Clean[[development]:[ifnoext_comment]],15,FALSE)</f>
        <v>0</v>
      </c>
      <c r="AS222" s="20" t="str">
        <f>VLOOKUP(Data[[#This Row],[DEVELOPMENT]],Ops_Priorities_and_Data_Clean[[development]:[ifnoext_comment]],16,FALSE)</f>
        <v>NULL</v>
      </c>
      <c r="AT222" s="20" t="str">
        <f>VLOOKUP(Data[[#This Row],[DEVELOPMENT]],Ops_Priorities_and_Data_Clean[[development]:[ifnoext_comment]],17,FALSE)</f>
        <v>NULL</v>
      </c>
      <c r="AU222" s="20" t="str">
        <f>VLOOKUP(Data[[#This Row],[DEVELOPMENT]],Ops_Priorities_and_Data_Clean[[development]:[ifnoext_comment]],18,FALSE)</f>
        <v>NULL</v>
      </c>
      <c r="AV222" s="20" t="str">
        <f>VLOOKUP(Data[[#This Row],[DEVELOPMENT]],Ops_Priorities_and_Data_Clean[[development]:[ifnoext_comment]],19,FALSE)</f>
        <v>NULL</v>
      </c>
      <c r="AW222" s="20" t="str">
        <f>VLOOKUP(Data[[#This Row],[DEVELOPMENT]],Ops_Priorities_and_Data_Clean[[development]:[ifnoext_comment]],20,FALSE)</f>
        <v>NULL</v>
      </c>
      <c r="AX222" s="104" t="s">
        <v>2237</v>
      </c>
      <c r="AY222" s="104" t="s">
        <v>2665</v>
      </c>
      <c r="AZ222" s="20" t="str">
        <f>VLOOKUP(Data[[#This Row],[DEVELOPMENT]],Development_Data_Book[[DEVELOPMENT]:[PRIVATE MANAGEMENT]],8,FALSE)</f>
        <v>FEDERAL</v>
      </c>
      <c r="BA222" s="104" t="s">
        <v>2586</v>
      </c>
      <c r="BB222" s="20">
        <f>VLOOKUP(Data[[#This Row],[DEVELOPMENT]],Development_Data_Book[[DEVELOPMENT]:[PRIVATE MANAGEMENT]],22,FALSE)</f>
        <v>0</v>
      </c>
      <c r="BC222" s="20">
        <f>Data[[#This Row],[Non-Dwelling Buildings]]+Data[[#This Row],[Dwelling Buildings]]</f>
        <v>3</v>
      </c>
      <c r="BD222" s="20">
        <f>VLOOKUP(Data[[#This Row],[DEVELOPMENT]],Development_Data_Book[[DEVELOPMENT]:[PRIVATE MANAGEMENT]],26,FALSE)</f>
        <v>5.28</v>
      </c>
      <c r="BE222" s="106">
        <v>216100</v>
      </c>
      <c r="BF222" s="20">
        <f>VLOOKUP(Data[[#This Row],[DEVELOPMENT]],Development_Data_Book[[DEVELOPMENT]:[PRIVATE MANAGEMENT]],18,FALSE)</f>
        <v>276</v>
      </c>
      <c r="BG222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22" s="104" t="s">
        <v>2595</v>
      </c>
      <c r="BI222" t="s">
        <v>184</v>
      </c>
      <c r="BJ222" s="20">
        <f>VLOOKUP(Data[[#This Row],[DEVELOPMENT]],Development_Data_Book[[DEVELOPMENT]:[PRIVATE MANAGEMENT]],41,FALSE)</f>
        <v>10</v>
      </c>
      <c r="BK222" s="20">
        <f>VLOOKUP(Data[[#This Row],[DEVELOPMENT]],Development_Data_Book[[DEVELOPMENT]:[PRIVATE MANAGEMENT]],42,FALSE)</f>
        <v>14</v>
      </c>
      <c r="BL222" s="20">
        <f>VLOOKUP(Data[[#This Row],[DEVELOPMENT]],Development_Data_Book[[DEVELOPMENT]:[PRIVATE MANAGEMENT]],43,FALSE)</f>
        <v>34</v>
      </c>
      <c r="BM222" s="20">
        <f>VLOOKUP(Data[[#This Row],[DEVELOPMENT]],Development_Data_Book[[DEVELOPMENT]:[PRIVATE MANAGEMENT]],44,FALSE)</f>
        <v>82</v>
      </c>
      <c r="BN222" s="20">
        <f>VLOOKUP(Data[[#This Row],[DEVELOPMENT]],Development_Data_Book[[DEVELOPMENT]:[PRIVATE MANAGEMENT]],45,FALSE)</f>
        <v>13</v>
      </c>
      <c r="BO222" s="20">
        <f>VLOOKUP(Data[[#This Row],[DEVELOPMENT]],Development_Data_Book[[DEVELOPMENT]:[PRIVATE MANAGEMENT]],24,FALSE)</f>
        <v>6</v>
      </c>
    </row>
    <row r="223" spans="1:67">
      <c r="A223" t="s">
        <v>1840</v>
      </c>
      <c r="B223" s="20" t="str">
        <f>VLOOKUP(Data[[#This Row],[DEVELOPMENT]],Development_Data_Book[[DEVELOPMENT]:[BOROUGH]],MATCH("borough",Development_Data_Book[[#Headers],[DEVELOPMENT]:[BOROUGH]],0),FALSE)</f>
        <v>MANHATTAN</v>
      </c>
      <c r="C223" s="210" t="s">
        <v>2666</v>
      </c>
      <c r="D22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23" s="20">
        <f>VLOOKUP(Data[[#This Row],[DEVELOPMENT]],Development_Data_Book[[DEVELOPMENT]:[BOROUGH]],21,FALSE)</f>
        <v>2</v>
      </c>
      <c r="F223" s="20">
        <f>VLOOKUP(Data[[#This Row],[DEVELOPMENT]],Development_Data_Book[[DEVELOPMENT]:[BOROUGH]],23,FALSE)</f>
        <v>0</v>
      </c>
      <c r="G223" s="20">
        <f>VLOOKUP(Data[[#This Row],[DEVELOPMENT]],Development_Data_Book[[DEVELOPMENT]:[BOROUGH]],12,FALSE)</f>
        <v>147</v>
      </c>
      <c r="J223">
        <f>IFERROR(VLOOKUP(Data[[#This Row],[DEVELOPMENT]],IntCompactors_MRST[],4,FALSE),0)</f>
        <v>0</v>
      </c>
      <c r="K223" s="20">
        <f>IFERROR(VLOOKUP(Data[[#This Row],[DEVELOPMENT]],ExtCompactors_MRST[],4,FALSE),0)</f>
        <v>0</v>
      </c>
      <c r="L223" s="27" t="str">
        <f>IF(Data[[#This Row],['# Interior Compactors MRST]]=0,"",VLOOKUP(Data[[#This Row],[DEVELOPMENT]],IntCompactors_MRST[],5,FALSE))</f>
        <v/>
      </c>
      <c r="M223" s="28" t="str">
        <f>IF(Data[[#This Row],['# Exterior Compactors MRST]]=0,"",VLOOKUP(Data[[#This Row],[DEVELOPMENT]],ExtCompactors_MRST[],5,FALSE))</f>
        <v/>
      </c>
      <c r="N223" s="20">
        <f>Data[[#This Row],['# Interior Compactors MRST]]</f>
        <v>0</v>
      </c>
      <c r="O223" s="20">
        <f>IF(Data[[#This Row],['# Bulk Crushers]]=0,1,0)</f>
        <v>1</v>
      </c>
      <c r="P223" s="20">
        <f>1</f>
        <v>1</v>
      </c>
      <c r="Q223" s="20">
        <f>1</f>
        <v>1</v>
      </c>
      <c r="R223" s="20">
        <f>1</f>
        <v>1</v>
      </c>
      <c r="S223" s="20">
        <f>1</f>
        <v>1</v>
      </c>
      <c r="T223" s="20">
        <f>IF(Data[[#This Row],[Sewershed]]="Newtown Creek",Data[[#This Row],[DUs]],0)</f>
        <v>0</v>
      </c>
      <c r="U22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2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2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23" s="82">
        <f>VLOOKUP(Data[[#This Row],[DEVELOPMENT]],Development_Data_Book[[DEVELOPMENT]:[BOROUGH]],3,FALSE)</f>
        <v>561</v>
      </c>
      <c r="Y223" s="20"/>
      <c r="Z223" s="20">
        <f>IFERROR(VLOOKUP(Data[[#This Row],[TDS]],ExtCompactors_PNA[[Development]:[0]],2,FALSE),0)</f>
        <v>0</v>
      </c>
      <c r="AA223" s="20">
        <f>IFERROR(VLOOKUP(Data[[#This Row],[TDS]],IntCompactors_PNA[[TDS]:[0]],2,FALSE),0)</f>
        <v>0</v>
      </c>
      <c r="AB223" s="20"/>
      <c r="AC223" s="20"/>
      <c r="AD223" s="20">
        <f>IFERROR(VLOOKUP(Data[[#This Row],[TDS]],ExtCompactors_PNA[[Development]:[0]],3,FALSE)+VLOOKUP(Data[[#This Row],[TDS]],ExtCompactors_PNA[[Development]:[0]],6,FALSE),0)</f>
        <v>0</v>
      </c>
      <c r="AE223" s="20">
        <f>IFERROR(VLOOKUP(Data[[#This Row],[TDS]],IntCompactors_PNA[[TDS]:[0]],3,FALSE)+VLOOKUP(Data[[#This Row],[TDS]],IntCompactors_PNA[[TDS]:[0]],6,FALSE),0)</f>
        <v>0</v>
      </c>
      <c r="AF223" s="20" t="e">
        <f>VLOOKUP(Data[[#This Row],[DEVELOPMENT]],[3]Developments!$A$2:$A$312,1,FALSE)</f>
        <v>#N/A</v>
      </c>
      <c r="AG223" s="20" t="str">
        <f>IFERROR(VLOOKUP(Data[[#This Row],[DEVELOPMENT]],Ops_Priorities_and_Data_Clean[[development]:[ifnoext_comment]],3,FALSE),"")</f>
        <v/>
      </c>
      <c r="AH223" s="20" t="str">
        <f>IFERROR(VLOOKUP(Data[[#This Row],[DEVELOPMENT]],Ops_Priorities_and_Data_Clean[[development]:[ifnoext_comment]],4,FALSE),"")</f>
        <v/>
      </c>
      <c r="AI223" s="20" t="str">
        <f>IFERROR(VLOOKUP(Data[[#This Row],[DEVELOPMENT]],Ops_Priorities_and_Data_Clean[[development]:[ifnoext_comment]],5,FALSE),"")</f>
        <v/>
      </c>
      <c r="AJ223" s="20" t="str">
        <f>IFERROR(VLOOKUP(Data[[#This Row],[DEVELOPMENT]],Ops_Priorities_and_Data_Clean[[development]:[ifnoext_comment]],6,FALSE),"")</f>
        <v/>
      </c>
      <c r="AK223" s="20" t="str">
        <f>IFERROR(VLOOKUP(Data[[#This Row],[DEVELOPMENT]],Ops_Priorities_and_Data_Clean[[development]:[ifnoext_comment]],7,FALSE),"")</f>
        <v/>
      </c>
      <c r="AL223" s="20" t="str">
        <f>IFERROR(VLOOKUP(Data[[#This Row],[DEVELOPMENT]],Ops_Priorities_and_Data_Clean[[development]:[ifnoext_comment]],8,FALSE),"")</f>
        <v/>
      </c>
      <c r="AM223" s="20" t="str">
        <f>IFERROR(VLOOKUP(Data[[#This Row],[DEVELOPMENT]],Ops_Priorities_and_Data_Clean[[development]:[ifnoext_comment]],9,FALSE),"")</f>
        <v/>
      </c>
      <c r="AN223" s="20" t="str">
        <f>IFERROR(VLOOKUP(Data[[#This Row],[DEVELOPMENT]],Ops_Priorities_and_Data_Clean[[development]:[ifnoext_comment]],10,FALSE),"")</f>
        <v/>
      </c>
      <c r="AO223" s="20" t="str">
        <f>IFERROR(VLOOKUP(Data[[#This Row],[DEVELOPMENT]],Ops_Priorities_and_Data_Clean[[development]:[ifnoext_comment]],11,FALSE),"")</f>
        <v/>
      </c>
      <c r="AP223" s="20" t="str">
        <f>IFERROR(VLOOKUP(Data[[#This Row],[DEVELOPMENT]],Ops_Priorities_and_Data_Clean[[development]:[ifnoext_comment]],12,FALSE),"")</f>
        <v/>
      </c>
      <c r="AQ223" s="20" t="e">
        <f>VLOOKUP(Data[[#This Row],[DEVELOPMENT]],Ops_Priorities_and_Data_Clean[[development]:[ifnoext_comment]],14,FALSE)</f>
        <v>#N/A</v>
      </c>
      <c r="AR223" s="20" t="e">
        <f>VLOOKUP(Data[[#This Row],[DEVELOPMENT]],Ops_Priorities_and_Data_Clean[[development]:[ifnoext_comment]],15,FALSE)</f>
        <v>#N/A</v>
      </c>
      <c r="AS223" s="20" t="e">
        <f>VLOOKUP(Data[[#This Row],[DEVELOPMENT]],Ops_Priorities_and_Data_Clean[[development]:[ifnoext_comment]],16,FALSE)</f>
        <v>#N/A</v>
      </c>
      <c r="AT223" s="20" t="e">
        <f>VLOOKUP(Data[[#This Row],[DEVELOPMENT]],Ops_Priorities_and_Data_Clean[[development]:[ifnoext_comment]],17,FALSE)</f>
        <v>#N/A</v>
      </c>
      <c r="AU223" s="20" t="e">
        <f>VLOOKUP(Data[[#This Row],[DEVELOPMENT]],Ops_Priorities_and_Data_Clean[[development]:[ifnoext_comment]],18,FALSE)</f>
        <v>#N/A</v>
      </c>
      <c r="AV223" s="20" t="e">
        <f>VLOOKUP(Data[[#This Row],[DEVELOPMENT]],Ops_Priorities_and_Data_Clean[[development]:[ifnoext_comment]],19,FALSE)</f>
        <v>#N/A</v>
      </c>
      <c r="AW223" s="20" t="e">
        <f>VLOOKUP(Data[[#This Row],[DEVELOPMENT]],Ops_Priorities_and_Data_Clean[[development]:[ifnoext_comment]],20,FALSE)</f>
        <v>#N/A</v>
      </c>
      <c r="AX223" s="20"/>
      <c r="AY223" s="20"/>
      <c r="AZ223" s="20" t="str">
        <f>VLOOKUP(Data[[#This Row],[DEVELOPMENT]],Development_Data_Book[[DEVELOPMENT]:[PRIVATE MANAGEMENT]],8,FALSE)</f>
        <v>MIXED FINANCE/NON-NYCHA</v>
      </c>
      <c r="BA223" s="20"/>
      <c r="BB223" s="20">
        <f>VLOOKUP(Data[[#This Row],[DEVELOPMENT]],Development_Data_Book[[DEVELOPMENT]:[PRIVATE MANAGEMENT]],22,FALSE)</f>
        <v>0</v>
      </c>
      <c r="BC223" s="20">
        <f>Data[[#This Row],[Non-Dwelling Buildings]]+Data[[#This Row],[Dwelling Buildings]]</f>
        <v>2</v>
      </c>
      <c r="BD223" s="20">
        <f>VLOOKUP(Data[[#This Row],[DEVELOPMENT]],Development_Data_Book[[DEVELOPMENT]:[PRIVATE MANAGEMENT]],26,FALSE)</f>
        <v>0</v>
      </c>
      <c r="BE223" s="20"/>
      <c r="BF223" s="20">
        <f>VLOOKUP(Data[[#This Row],[DEVELOPMENT]],Development_Data_Book[[DEVELOPMENT]:[PRIVATE MANAGEMENT]],18,FALSE)</f>
        <v>0</v>
      </c>
      <c r="BG22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23" s="20"/>
      <c r="BI223" s="20"/>
      <c r="BJ223" s="20">
        <f>VLOOKUP(Data[[#This Row],[DEVELOPMENT]],Development_Data_Book[[DEVELOPMENT]:[PRIVATE MANAGEMENT]],41,FALSE)</f>
        <v>10</v>
      </c>
      <c r="BK223" s="20">
        <f>VLOOKUP(Data[[#This Row],[DEVELOPMENT]],Development_Data_Book[[DEVELOPMENT]:[PRIVATE MANAGEMENT]],42,FALSE)</f>
        <v>13</v>
      </c>
      <c r="BL223" s="20">
        <f>VLOOKUP(Data[[#This Row],[DEVELOPMENT]],Development_Data_Book[[DEVELOPMENT]:[PRIVATE MANAGEMENT]],43,FALSE)</f>
        <v>30</v>
      </c>
      <c r="BM223" s="20">
        <f>VLOOKUP(Data[[#This Row],[DEVELOPMENT]],Development_Data_Book[[DEVELOPMENT]:[PRIVATE MANAGEMENT]],44,FALSE)</f>
        <v>70</v>
      </c>
      <c r="BN223" s="20">
        <f>VLOOKUP(Data[[#This Row],[DEVELOPMENT]],Development_Data_Book[[DEVELOPMENT]:[PRIVATE MANAGEMENT]],45,FALSE)</f>
        <v>9</v>
      </c>
      <c r="BO223" s="20">
        <f>VLOOKUP(Data[[#This Row],[DEVELOPMENT]],Development_Data_Book[[DEVELOPMENT]:[PRIVATE MANAGEMENT]],24,FALSE)</f>
        <v>5</v>
      </c>
    </row>
    <row r="224" spans="1:67">
      <c r="A224" t="s">
        <v>115</v>
      </c>
      <c r="B224" t="str">
        <f>VLOOKUP(Data[[#This Row],[DEVELOPMENT]],Development_Data_Book[[DEVELOPMENT]:[BOROUGH]],MATCH("borough",Development_Data_Book[[#Headers],[DEVELOPMENT]:[BOROUGH]],0),FALSE)</f>
        <v>MANHATTAN</v>
      </c>
      <c r="C224" t="e">
        <f>VLOOKUP(Data[[#This Row],[DEVELOPMENT]],'[1]Cheat-Sheet'!$D$2:$Q$341,2,FALSE)</f>
        <v>#N/A</v>
      </c>
      <c r="D22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24">
        <f>VLOOKUP(Data[[#This Row],[DEVELOPMENT]],Development_Data_Book[[DEVELOPMENT]:[BOROUGH]],21,FALSE)</f>
        <v>8</v>
      </c>
      <c r="F224">
        <f>VLOOKUP(Data[[#This Row],[DEVELOPMENT]],Development_Data_Book[[DEVELOPMENT]:[BOROUGH]],23,FALSE)</f>
        <v>9</v>
      </c>
      <c r="G224">
        <f>VLOOKUP(Data[[#This Row],[DEVELOPMENT]],Development_Data_Book[[DEVELOPMENT]:[BOROUGH]],12,FALSE)</f>
        <v>982</v>
      </c>
      <c r="H224" t="s">
        <v>2247</v>
      </c>
      <c r="I224">
        <v>4</v>
      </c>
      <c r="J224">
        <f>IFERROR(VLOOKUP(Data[[#This Row],[DEVELOPMENT]],IntCompactors_MRST[],4,FALSE),0)</f>
        <v>9</v>
      </c>
      <c r="K224" s="20">
        <f>IFERROR(VLOOKUP(Data[[#This Row],[DEVELOPMENT]],ExtCompactors_MRST[],4,FALSE),0)</f>
        <v>3</v>
      </c>
      <c r="L224" s="27">
        <f>IF(Data[[#This Row],['# Interior Compactors MRST]]=0,"",VLOOKUP(Data[[#This Row],[DEVELOPMENT]],IntCompactors_MRST[],5,FALSE))</f>
        <v>35309</v>
      </c>
      <c r="M224" s="28">
        <f>IF(Data[[#This Row],['# Exterior Compactors MRST]]=0,"",VLOOKUP(Data[[#This Row],[DEVELOPMENT]],ExtCompactors_MRST[],5,FALSE))</f>
        <v>37658</v>
      </c>
      <c r="N224">
        <f>Data[[#This Row],['# Interior Compactors MRST]]</f>
        <v>9</v>
      </c>
      <c r="O224" s="20">
        <f>IF(Data[[#This Row],['# Bulk Crushers]]=0,1,0)</f>
        <v>1</v>
      </c>
      <c r="P224" s="20">
        <f>1</f>
        <v>1</v>
      </c>
      <c r="Q224" s="20">
        <f>1</f>
        <v>1</v>
      </c>
      <c r="R224" s="20">
        <f>1</f>
        <v>1</v>
      </c>
      <c r="S224" s="20">
        <f>1</f>
        <v>1</v>
      </c>
      <c r="T224" s="20">
        <f>IF(Data[[#This Row],[Sewershed]]="Newtown Creek",Data[[#This Row],[DUs]],0)</f>
        <v>0</v>
      </c>
      <c r="U22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2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2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24" s="82">
        <f>VLOOKUP(Data[[#This Row],[DEVELOPMENT]],Development_Data_Book[[DEVELOPMENT]:[BOROUGH]],3,FALSE)</f>
        <v>37</v>
      </c>
      <c r="Y224" s="20"/>
      <c r="Z224" s="20">
        <f>IFERROR(VLOOKUP(Data[[#This Row],[TDS]],ExtCompactors_PNA[[Development]:[0]],2,FALSE),0)</f>
        <v>3</v>
      </c>
      <c r="AA224" s="20">
        <f>IFERROR(VLOOKUP(Data[[#This Row],[TDS]],IntCompactors_PNA[[TDS]:[0]],2,FALSE),0)</f>
        <v>10</v>
      </c>
      <c r="AB224" s="20"/>
      <c r="AC224" s="20"/>
      <c r="AD224" s="20">
        <f>IFERROR(VLOOKUP(Data[[#This Row],[TDS]],ExtCompactors_PNA[[Development]:[0]],3,FALSE)+VLOOKUP(Data[[#This Row],[TDS]],ExtCompactors_PNA[[Development]:[0]],6,FALSE),0)</f>
        <v>3</v>
      </c>
      <c r="AE224" s="20">
        <f>IFERROR(VLOOKUP(Data[[#This Row],[TDS]],IntCompactors_PNA[[TDS]:[0]],3,FALSE)+VLOOKUP(Data[[#This Row],[TDS]],IntCompactors_PNA[[TDS]:[0]],6,FALSE),0)</f>
        <v>10</v>
      </c>
      <c r="AF224" s="20" t="e">
        <f>VLOOKUP(Data[[#This Row],[DEVELOPMENT]],[3]Developments!$A$2:$A$312,1,FALSE)</f>
        <v>#N/A</v>
      </c>
      <c r="AG224" s="20">
        <f>IFERROR(VLOOKUP(Data[[#This Row],[DEVELOPMENT]],Ops_Priorities_and_Data_Clean[[development]:[ifnoext_comment]],3,FALSE),"")</f>
        <v>3</v>
      </c>
      <c r="AH224" s="20">
        <f>IFERROR(VLOOKUP(Data[[#This Row],[DEVELOPMENT]],Ops_Priorities_and_Data_Clean[[development]:[ifnoext_comment]],4,FALSE),"")</f>
        <v>4</v>
      </c>
      <c r="AI224" s="20">
        <f>IFERROR(VLOOKUP(Data[[#This Row],[DEVELOPMENT]],Ops_Priorities_and_Data_Clean[[development]:[ifnoext_comment]],5,FALSE),"")</f>
        <v>1</v>
      </c>
      <c r="AJ224" s="20">
        <f>IFERROR(VLOOKUP(Data[[#This Row],[DEVELOPMENT]],Ops_Priorities_and_Data_Clean[[development]:[ifnoext_comment]],6,FALSE),"")</f>
        <v>0</v>
      </c>
      <c r="AK224" s="20">
        <f>IFERROR(VLOOKUP(Data[[#This Row],[DEVELOPMENT]],Ops_Priorities_and_Data_Clean[[development]:[ifnoext_comment]],7,FALSE),"")</f>
        <v>0</v>
      </c>
      <c r="AL224" s="20">
        <f>IFERROR(VLOOKUP(Data[[#This Row],[DEVELOPMENT]],Ops_Priorities_and_Data_Clean[[development]:[ifnoext_comment]],8,FALSE),"")</f>
        <v>1</v>
      </c>
      <c r="AM224" s="20">
        <f>IFERROR(VLOOKUP(Data[[#This Row],[DEVELOPMENT]],Ops_Priorities_and_Data_Clean[[development]:[ifnoext_comment]],9,FALSE),"")</f>
        <v>0</v>
      </c>
      <c r="AN224" s="20">
        <f>IFERROR(VLOOKUP(Data[[#This Row],[DEVELOPMENT]],Ops_Priorities_and_Data_Clean[[development]:[ifnoext_comment]],10,FALSE),"")</f>
        <v>3</v>
      </c>
      <c r="AO224" s="20">
        <f>IFERROR(VLOOKUP(Data[[#This Row],[DEVELOPMENT]],Ops_Priorities_and_Data_Clean[[development]:[ifnoext_comment]],11,FALSE),"")</f>
        <v>3</v>
      </c>
      <c r="AP224" s="20">
        <f>IFERROR(VLOOKUP(Data[[#This Row],[DEVELOPMENT]],Ops_Priorities_and_Data_Clean[[development]:[ifnoext_comment]],12,FALSE),"")</f>
        <v>3</v>
      </c>
      <c r="AQ224" s="20">
        <f>VLOOKUP(Data[[#This Row],[DEVELOPMENT]],Ops_Priorities_and_Data_Clean[[development]:[ifnoext_comment]],14,FALSE)</f>
        <v>0</v>
      </c>
      <c r="AR224" s="20">
        <f>VLOOKUP(Data[[#This Row],[DEVELOPMENT]],Ops_Priorities_and_Data_Clean[[development]:[ifnoext_comment]],15,FALSE)</f>
        <v>0</v>
      </c>
      <c r="AS224" s="20" t="str">
        <f>VLOOKUP(Data[[#This Row],[DEVELOPMENT]],Ops_Priorities_and_Data_Clean[[development]:[ifnoext_comment]],16,FALSE)</f>
        <v>NULL</v>
      </c>
      <c r="AT224" s="20" t="str">
        <f>VLOOKUP(Data[[#This Row],[DEVELOPMENT]],Ops_Priorities_and_Data_Clean[[development]:[ifnoext_comment]],17,FALSE)</f>
        <v>NULL</v>
      </c>
      <c r="AU224" s="20" t="str">
        <f>VLOOKUP(Data[[#This Row],[DEVELOPMENT]],Ops_Priorities_and_Data_Clean[[development]:[ifnoext_comment]],18,FALSE)</f>
        <v>NULL</v>
      </c>
      <c r="AV224" s="20" t="str">
        <f>VLOOKUP(Data[[#This Row],[DEVELOPMENT]],Ops_Priorities_and_Data_Clean[[development]:[ifnoext_comment]],19,FALSE)</f>
        <v>NULL</v>
      </c>
      <c r="AW224" s="20" t="str">
        <f>VLOOKUP(Data[[#This Row],[DEVELOPMENT]],Ops_Priorities_and_Data_Clean[[development]:[ifnoext_comment]],20,FALSE)</f>
        <v>NULL</v>
      </c>
      <c r="AX224" s="104" t="s">
        <v>2239</v>
      </c>
      <c r="AY224" s="104" t="s">
        <v>2592</v>
      </c>
      <c r="AZ224" s="20" t="str">
        <f>VLOOKUP(Data[[#This Row],[DEVELOPMENT]],Development_Data_Book[[DEVELOPMENT]:[PRIVATE MANAGEMENT]],8,FALSE)</f>
        <v>FEDERAL</v>
      </c>
      <c r="BA224" s="104" t="s">
        <v>2586</v>
      </c>
      <c r="BB224" s="20">
        <f>VLOOKUP(Data[[#This Row],[DEVELOPMENT]],Development_Data_Book[[DEVELOPMENT]:[PRIVATE MANAGEMENT]],22,FALSE)</f>
        <v>0</v>
      </c>
      <c r="BC224" s="20">
        <f>Data[[#This Row],[Non-Dwelling Buildings]]+Data[[#This Row],[Dwelling Buildings]]</f>
        <v>8</v>
      </c>
      <c r="BD224" s="20">
        <f>VLOOKUP(Data[[#This Row],[DEVELOPMENT]],Development_Data_Book[[DEVELOPMENT]:[PRIVATE MANAGEMENT]],26,FALSE)</f>
        <v>10.92</v>
      </c>
      <c r="BE224" s="106">
        <v>834375</v>
      </c>
      <c r="BF224" s="20">
        <f>VLOOKUP(Data[[#This Row],[DEVELOPMENT]],Development_Data_Book[[DEVELOPMENT]:[PRIVATE MANAGEMENT]],18,FALSE)</f>
        <v>2141</v>
      </c>
      <c r="BG22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24" s="104" t="s">
        <v>2593</v>
      </c>
      <c r="BI224" t="s">
        <v>184</v>
      </c>
      <c r="BJ224" s="20">
        <f>VLOOKUP(Data[[#This Row],[DEVELOPMENT]],Development_Data_Book[[DEVELOPMENT]:[PRIVATE MANAGEMENT]],41,FALSE)</f>
        <v>10</v>
      </c>
      <c r="BK224" s="20">
        <f>VLOOKUP(Data[[#This Row],[DEVELOPMENT]],Development_Data_Book[[DEVELOPMENT]:[PRIVATE MANAGEMENT]],42,FALSE)</f>
        <v>13</v>
      </c>
      <c r="BL224" s="20">
        <f>VLOOKUP(Data[[#This Row],[DEVELOPMENT]],Development_Data_Book[[DEVELOPMENT]:[PRIVATE MANAGEMENT]],43,FALSE)</f>
        <v>30</v>
      </c>
      <c r="BM224" s="20">
        <f>VLOOKUP(Data[[#This Row],[DEVELOPMENT]],Development_Data_Book[[DEVELOPMENT]:[PRIVATE MANAGEMENT]],44,FALSE)</f>
        <v>71</v>
      </c>
      <c r="BN224" s="20">
        <f>VLOOKUP(Data[[#This Row],[DEVELOPMENT]],Development_Data_Book[[DEVELOPMENT]:[PRIVATE MANAGEMENT]],45,FALSE)</f>
        <v>9</v>
      </c>
      <c r="BO224" s="20">
        <f>VLOOKUP(Data[[#This Row],[DEVELOPMENT]],Development_Data_Book[[DEVELOPMENT]:[PRIVATE MANAGEMENT]],24,FALSE)</f>
        <v>14</v>
      </c>
    </row>
    <row r="225" spans="1:67">
      <c r="A225" t="s">
        <v>212</v>
      </c>
      <c r="B225" s="20" t="str">
        <f>VLOOKUP(Data[[#This Row],[DEVELOPMENT]],Development_Data_Book[[DEVELOPMENT]:[BOROUGH]],MATCH("borough",Development_Data_Book[[#Headers],[DEVELOPMENT]:[BOROUGH]],0),FALSE)</f>
        <v>QUEENS</v>
      </c>
      <c r="C225" s="20" t="e">
        <f>VLOOKUP(Data[[#This Row],[DEVELOPMENT]],'[1]Cheat-Sheet'!$D$2:$Q$341,2,FALSE)</f>
        <v>#N/A</v>
      </c>
      <c r="D22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25" s="20">
        <f>VLOOKUP(Data[[#This Row],[DEVELOPMENT]],Development_Data_Book[[DEVELOPMENT]:[BOROUGH]],21,FALSE)</f>
        <v>31</v>
      </c>
      <c r="F225" s="20">
        <f>VLOOKUP(Data[[#This Row],[DEVELOPMENT]],Development_Data_Book[[DEVELOPMENT]:[BOROUGH]],23,FALSE)</f>
        <v>45</v>
      </c>
      <c r="G225" s="20">
        <f>VLOOKUP(Data[[#This Row],[DEVELOPMENT]],Development_Data_Book[[DEVELOPMENT]:[BOROUGH]],12,FALSE)</f>
        <v>2164</v>
      </c>
      <c r="J225">
        <f>IFERROR(VLOOKUP(Data[[#This Row],[DEVELOPMENT]],IntCompactors_MRST[],4,FALSE),0)</f>
        <v>45</v>
      </c>
      <c r="K225" s="20">
        <f>IFERROR(VLOOKUP(Data[[#This Row],[DEVELOPMENT]],ExtCompactors_MRST[],4,FALSE),0)</f>
        <v>4</v>
      </c>
      <c r="L225" s="27">
        <f>IF(Data[[#This Row],['# Interior Compactors MRST]]=0,"",VLOOKUP(Data[[#This Row],[DEVELOPMENT]],IntCompactors_MRST[],5,FALSE))</f>
        <v>36373</v>
      </c>
      <c r="M225" s="28">
        <f>IF(Data[[#This Row],['# Exterior Compactors MRST]]=0,"",VLOOKUP(Data[[#This Row],[DEVELOPMENT]],ExtCompactors_MRST[],5,FALSE))</f>
        <v>37727</v>
      </c>
      <c r="N225" s="20">
        <f>Data[[#This Row],['# Interior Compactors MRST]]</f>
        <v>45</v>
      </c>
      <c r="O225" s="20">
        <f>IF(Data[[#This Row],['# Bulk Crushers]]=0,1,0)</f>
        <v>1</v>
      </c>
      <c r="P225" s="20">
        <f>1</f>
        <v>1</v>
      </c>
      <c r="Q225" s="20">
        <f>1</f>
        <v>1</v>
      </c>
      <c r="R225" s="20">
        <f>1</f>
        <v>1</v>
      </c>
      <c r="S225" s="20">
        <f>1</f>
        <v>1</v>
      </c>
      <c r="T225" s="20">
        <f>IF(Data[[#This Row],[Sewershed]]="Newtown Creek",Data[[#This Row],[DUs]],0)</f>
        <v>0</v>
      </c>
      <c r="U22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2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2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25" s="82">
        <f>VLOOKUP(Data[[#This Row],[DEVELOPMENT]],Development_Data_Book[[DEVELOPMENT]:[BOROUGH]],3,FALSE)</f>
        <v>48</v>
      </c>
      <c r="Y225" s="20"/>
      <c r="Z225" s="20">
        <f>IFERROR(VLOOKUP(Data[[#This Row],[TDS]],ExtCompactors_PNA[[Development]:[0]],2,FALSE),0)</f>
        <v>0</v>
      </c>
      <c r="AA225" s="20">
        <f>IFERROR(VLOOKUP(Data[[#This Row],[TDS]],IntCompactors_PNA[[TDS]:[0]],2,FALSE),0)</f>
        <v>39</v>
      </c>
      <c r="AB225" s="20"/>
      <c r="AC225" s="20"/>
      <c r="AD225" s="20">
        <f>IFERROR(VLOOKUP(Data[[#This Row],[TDS]],ExtCompactors_PNA[[Development]:[0]],3,FALSE)+VLOOKUP(Data[[#This Row],[TDS]],ExtCompactors_PNA[[Development]:[0]],6,FALSE),0)</f>
        <v>0</v>
      </c>
      <c r="AE225" s="20">
        <f>IFERROR(VLOOKUP(Data[[#This Row],[TDS]],IntCompactors_PNA[[TDS]:[0]],3,FALSE)+VLOOKUP(Data[[#This Row],[TDS]],IntCompactors_PNA[[TDS]:[0]],6,FALSE),0)</f>
        <v>39</v>
      </c>
      <c r="AF225" s="20" t="e">
        <f>VLOOKUP(Data[[#This Row],[DEVELOPMENT]],[3]Developments!$A$2:$A$312,1,FALSE)</f>
        <v>#N/A</v>
      </c>
      <c r="AG225" s="20">
        <f>IFERROR(VLOOKUP(Data[[#This Row],[DEVELOPMENT]],Ops_Priorities_and_Data_Clean[[development]:[ifnoext_comment]],3,FALSE),"")</f>
        <v>4</v>
      </c>
      <c r="AH225" s="20">
        <f>IFERROR(VLOOKUP(Data[[#This Row],[DEVELOPMENT]],Ops_Priorities_and_Data_Clean[[development]:[ifnoext_comment]],4,FALSE),"")</f>
        <v>1</v>
      </c>
      <c r="AI225" s="20">
        <f>IFERROR(VLOOKUP(Data[[#This Row],[DEVELOPMENT]],Ops_Priorities_and_Data_Clean[[development]:[ifnoext_comment]],5,FALSE),"")</f>
        <v>1</v>
      </c>
      <c r="AJ225" s="20">
        <f>IFERROR(VLOOKUP(Data[[#This Row],[DEVELOPMENT]],Ops_Priorities_and_Data_Clean[[development]:[ifnoext_comment]],6,FALSE),"")</f>
        <v>0</v>
      </c>
      <c r="AK225" s="20">
        <f>IFERROR(VLOOKUP(Data[[#This Row],[DEVELOPMENT]],Ops_Priorities_and_Data_Clean[[development]:[ifnoext_comment]],7,FALSE),"")</f>
        <v>0</v>
      </c>
      <c r="AL225" s="20">
        <f>IFERROR(VLOOKUP(Data[[#This Row],[DEVELOPMENT]],Ops_Priorities_and_Data_Clean[[development]:[ifnoext_comment]],8,FALSE),"")</f>
        <v>1</v>
      </c>
      <c r="AM225" s="20">
        <f>IFERROR(VLOOKUP(Data[[#This Row],[DEVELOPMENT]],Ops_Priorities_and_Data_Clean[[development]:[ifnoext_comment]],9,FALSE),"")</f>
        <v>0</v>
      </c>
      <c r="AN225" s="20">
        <f>IFERROR(VLOOKUP(Data[[#This Row],[DEVELOPMENT]],Ops_Priorities_and_Data_Clean[[development]:[ifnoext_comment]],10,FALSE),"")</f>
        <v>4</v>
      </c>
      <c r="AO225" s="20">
        <f>IFERROR(VLOOKUP(Data[[#This Row],[DEVELOPMENT]],Ops_Priorities_and_Data_Clean[[development]:[ifnoext_comment]],11,FALSE),"")</f>
        <v>4</v>
      </c>
      <c r="AP225" s="20">
        <f>IFERROR(VLOOKUP(Data[[#This Row],[DEVELOPMENT]],Ops_Priorities_and_Data_Clean[[development]:[ifnoext_comment]],12,FALSE),"")</f>
        <v>4</v>
      </c>
      <c r="AQ225" s="20">
        <f>VLOOKUP(Data[[#This Row],[DEVELOPMENT]],Ops_Priorities_and_Data_Clean[[development]:[ifnoext_comment]],14,FALSE)</f>
        <v>0</v>
      </c>
      <c r="AR225" s="20">
        <f>VLOOKUP(Data[[#This Row],[DEVELOPMENT]],Ops_Priorities_and_Data_Clean[[development]:[ifnoext_comment]],15,FALSE)</f>
        <v>0</v>
      </c>
      <c r="AS225" s="20" t="str">
        <f>VLOOKUP(Data[[#This Row],[DEVELOPMENT]],Ops_Priorities_and_Data_Clean[[development]:[ifnoext_comment]],16,FALSE)</f>
        <v>NULL</v>
      </c>
      <c r="AT225" s="20" t="str">
        <f>VLOOKUP(Data[[#This Row],[DEVELOPMENT]],Ops_Priorities_and_Data_Clean[[development]:[ifnoext_comment]],17,FALSE)</f>
        <v>NULL</v>
      </c>
      <c r="AU225" s="20" t="str">
        <f>VLOOKUP(Data[[#This Row],[DEVELOPMENT]],Ops_Priorities_and_Data_Clean[[development]:[ifnoext_comment]],18,FALSE)</f>
        <v>NULL</v>
      </c>
      <c r="AV225" s="20" t="str">
        <f>VLOOKUP(Data[[#This Row],[DEVELOPMENT]],Ops_Priorities_and_Data_Clean[[development]:[ifnoext_comment]],19,FALSE)</f>
        <v>NULL</v>
      </c>
      <c r="AW225" s="20" t="str">
        <f>VLOOKUP(Data[[#This Row],[DEVELOPMENT]],Ops_Priorities_and_Data_Clean[[development]:[ifnoext_comment]],20,FALSE)</f>
        <v>NULL</v>
      </c>
      <c r="AX225" s="104" t="s">
        <v>2614</v>
      </c>
      <c r="AY225" s="104" t="s">
        <v>2664</v>
      </c>
      <c r="AZ225" s="20" t="str">
        <f>VLOOKUP(Data[[#This Row],[DEVELOPMENT]],Development_Data_Book[[DEVELOPMENT]:[PRIVATE MANAGEMENT]],8,FALSE)</f>
        <v>FEDERAL</v>
      </c>
      <c r="BA225" s="104" t="s">
        <v>2586</v>
      </c>
      <c r="BB225" s="20">
        <f>VLOOKUP(Data[[#This Row],[DEVELOPMENT]],Development_Data_Book[[DEVELOPMENT]:[PRIVATE MANAGEMENT]],22,FALSE)</f>
        <v>0</v>
      </c>
      <c r="BC225" s="20">
        <f>Data[[#This Row],[Non-Dwelling Buildings]]+Data[[#This Row],[Dwelling Buildings]]</f>
        <v>31</v>
      </c>
      <c r="BD225" s="20">
        <f>VLOOKUP(Data[[#This Row],[DEVELOPMENT]],Development_Data_Book[[DEVELOPMENT]:[PRIVATE MANAGEMENT]],26,FALSE)</f>
        <v>38.29</v>
      </c>
      <c r="BE225" s="106">
        <v>2197500</v>
      </c>
      <c r="BF225" s="20">
        <f>VLOOKUP(Data[[#This Row],[DEVELOPMENT]],Development_Data_Book[[DEVELOPMENT]:[PRIVATE MANAGEMENT]],18,FALSE)</f>
        <v>4278</v>
      </c>
      <c r="BG22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25" s="104" t="s">
        <v>2615</v>
      </c>
      <c r="BI225" t="s">
        <v>184</v>
      </c>
      <c r="BJ225" s="20">
        <f>VLOOKUP(Data[[#This Row],[DEVELOPMENT]],Development_Data_Book[[DEVELOPMENT]:[PRIVATE MANAGEMENT]],41,FALSE)</f>
        <v>1</v>
      </c>
      <c r="BK225" s="20">
        <f>VLOOKUP(Data[[#This Row],[DEVELOPMENT]],Development_Data_Book[[DEVELOPMENT]:[PRIVATE MANAGEMENT]],42,FALSE)</f>
        <v>12</v>
      </c>
      <c r="BL225" s="20">
        <f>VLOOKUP(Data[[#This Row],[DEVELOPMENT]],Development_Data_Book[[DEVELOPMENT]:[PRIVATE MANAGEMENT]],43,FALSE)</f>
        <v>12</v>
      </c>
      <c r="BM225" s="20">
        <f>VLOOKUP(Data[[#This Row],[DEVELOPMENT]],Development_Data_Book[[DEVELOPMENT]:[PRIVATE MANAGEMENT]],44,FALSE)</f>
        <v>37</v>
      </c>
      <c r="BN225" s="20">
        <f>VLOOKUP(Data[[#This Row],[DEVELOPMENT]],Development_Data_Book[[DEVELOPMENT]:[PRIVATE MANAGEMENT]],45,FALSE)</f>
        <v>26</v>
      </c>
      <c r="BO225" s="20">
        <f>VLOOKUP(Data[[#This Row],[DEVELOPMENT]],Development_Data_Book[[DEVELOPMENT]:[PRIVATE MANAGEMENT]],24,FALSE)</f>
        <v>43623</v>
      </c>
    </row>
    <row r="226" spans="1:67">
      <c r="A226" t="s">
        <v>213</v>
      </c>
      <c r="B226" s="20" t="str">
        <f>VLOOKUP(Data[[#This Row],[DEVELOPMENT]],Development_Data_Book[[DEVELOPMENT]:[BOROUGH]],MATCH("borough",Development_Data_Book[[#Headers],[DEVELOPMENT]:[BOROUGH]],0),FALSE)</f>
        <v>BROOKLYN</v>
      </c>
      <c r="C226" s="20" t="e">
        <f>VLOOKUP(Data[[#This Row],[DEVELOPMENT]],'[1]Cheat-Sheet'!$D$2:$Q$341,2,FALSE)</f>
        <v>#N/A</v>
      </c>
      <c r="D22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26" s="20">
        <f>VLOOKUP(Data[[#This Row],[DEVELOPMENT]],Development_Data_Book[[DEVELOPMENT]:[BOROUGH]],21,FALSE)</f>
        <v>16</v>
      </c>
      <c r="F226" s="20">
        <f>VLOOKUP(Data[[#This Row],[DEVELOPMENT]],Development_Data_Book[[DEVELOPMENT]:[BOROUGH]],23,FALSE)</f>
        <v>51</v>
      </c>
      <c r="G226" s="20">
        <f>VLOOKUP(Data[[#This Row],[DEVELOPMENT]],Development_Data_Book[[DEVELOPMENT]:[BOROUGH]],12,FALSE)</f>
        <v>1404</v>
      </c>
      <c r="J226">
        <f>IFERROR(VLOOKUP(Data[[#This Row],[DEVELOPMENT]],IntCompactors_MRST[],4,FALSE),0)</f>
        <v>47</v>
      </c>
      <c r="K226" s="20">
        <f>IFERROR(VLOOKUP(Data[[#This Row],[DEVELOPMENT]],ExtCompactors_MRST[],4,FALSE),0)</f>
        <v>2</v>
      </c>
      <c r="L226" s="27">
        <f>IF(Data[[#This Row],['# Interior Compactors MRST]]=0,"",VLOOKUP(Data[[#This Row],[DEVELOPMENT]],IntCompactors_MRST[],5,FALSE))</f>
        <v>37622</v>
      </c>
      <c r="M226" s="28">
        <f>IF(Data[[#This Row],['# Exterior Compactors MRST]]=0,"",VLOOKUP(Data[[#This Row],[DEVELOPMENT]],ExtCompactors_MRST[],5,FALSE))</f>
        <v>43040</v>
      </c>
      <c r="N226" s="20">
        <f>Data[[#This Row],['# Interior Compactors MRST]]</f>
        <v>47</v>
      </c>
      <c r="O226" s="20">
        <f>IF(Data[[#This Row],['# Bulk Crushers]]=0,1,0)</f>
        <v>1</v>
      </c>
      <c r="P226" s="20">
        <f>1</f>
        <v>1</v>
      </c>
      <c r="Q226" s="20">
        <f>1</f>
        <v>1</v>
      </c>
      <c r="R226" s="20">
        <f>1</f>
        <v>1</v>
      </c>
      <c r="S226" s="20">
        <f>1</f>
        <v>1</v>
      </c>
      <c r="T226" s="20">
        <f>IF(Data[[#This Row],[Sewershed]]="Newtown Creek",Data[[#This Row],[DUs]],0)</f>
        <v>0</v>
      </c>
      <c r="U226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26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26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26" s="82">
        <f>VLOOKUP(Data[[#This Row],[DEVELOPMENT]],Development_Data_Book[[DEVELOPMENT]:[BOROUGH]],3,FALSE)</f>
        <v>4</v>
      </c>
      <c r="Y226" s="20"/>
      <c r="Z226" s="20">
        <f>IFERROR(VLOOKUP(Data[[#This Row],[TDS]],ExtCompactors_PNA[[Development]:[0]],2,FALSE),0)</f>
        <v>0</v>
      </c>
      <c r="AA226" s="20">
        <f>IFERROR(VLOOKUP(Data[[#This Row],[TDS]],IntCompactors_PNA[[TDS]:[0]],2,FALSE),0)</f>
        <v>47</v>
      </c>
      <c r="AB226" s="20"/>
      <c r="AC226" s="20"/>
      <c r="AD226" s="20">
        <f>IFERROR(VLOOKUP(Data[[#This Row],[TDS]],ExtCompactors_PNA[[Development]:[0]],3,FALSE)+VLOOKUP(Data[[#This Row],[TDS]],ExtCompactors_PNA[[Development]:[0]],6,FALSE),0)</f>
        <v>0</v>
      </c>
      <c r="AE226" s="20">
        <f>IFERROR(VLOOKUP(Data[[#This Row],[TDS]],IntCompactors_PNA[[TDS]:[0]],3,FALSE)+VLOOKUP(Data[[#This Row],[TDS]],IntCompactors_PNA[[TDS]:[0]],6,FALSE),0)</f>
        <v>47</v>
      </c>
      <c r="AF226" s="20" t="e">
        <f>VLOOKUP(Data[[#This Row],[DEVELOPMENT]],[3]Developments!$A$2:$A$312,1,FALSE)</f>
        <v>#N/A</v>
      </c>
      <c r="AG226" s="20">
        <f>IFERROR(VLOOKUP(Data[[#This Row],[DEVELOPMENT]],Ops_Priorities_and_Data_Clean[[development]:[ifnoext_comment]],3,FALSE),"")</f>
        <v>2</v>
      </c>
      <c r="AH226" s="20">
        <f>IFERROR(VLOOKUP(Data[[#This Row],[DEVELOPMENT]],Ops_Priorities_and_Data_Clean[[development]:[ifnoext_comment]],4,FALSE),"")</f>
        <v>1</v>
      </c>
      <c r="AI226" s="20">
        <f>IFERROR(VLOOKUP(Data[[#This Row],[DEVELOPMENT]],Ops_Priorities_and_Data_Clean[[development]:[ifnoext_comment]],5,FALSE),"")</f>
        <v>1</v>
      </c>
      <c r="AJ226" s="20">
        <f>IFERROR(VLOOKUP(Data[[#This Row],[DEVELOPMENT]],Ops_Priorities_and_Data_Clean[[development]:[ifnoext_comment]],6,FALSE),"")</f>
        <v>0</v>
      </c>
      <c r="AK226" s="20">
        <f>IFERROR(VLOOKUP(Data[[#This Row],[DEVELOPMENT]],Ops_Priorities_and_Data_Clean[[development]:[ifnoext_comment]],7,FALSE),"")</f>
        <v>0</v>
      </c>
      <c r="AL226" s="20">
        <f>IFERROR(VLOOKUP(Data[[#This Row],[DEVELOPMENT]],Ops_Priorities_and_Data_Clean[[development]:[ifnoext_comment]],8,FALSE),"")</f>
        <v>1</v>
      </c>
      <c r="AM226" s="20">
        <f>IFERROR(VLOOKUP(Data[[#This Row],[DEVELOPMENT]],Ops_Priorities_and_Data_Clean[[development]:[ifnoext_comment]],9,FALSE),"")</f>
        <v>0</v>
      </c>
      <c r="AN226" s="20">
        <f>IFERROR(VLOOKUP(Data[[#This Row],[DEVELOPMENT]],Ops_Priorities_and_Data_Clean[[development]:[ifnoext_comment]],10,FALSE),"")</f>
        <v>2</v>
      </c>
      <c r="AO226" s="20">
        <f>IFERROR(VLOOKUP(Data[[#This Row],[DEVELOPMENT]],Ops_Priorities_and_Data_Clean[[development]:[ifnoext_comment]],11,FALSE),"")</f>
        <v>2</v>
      </c>
      <c r="AP226" s="20">
        <f>IFERROR(VLOOKUP(Data[[#This Row],[DEVELOPMENT]],Ops_Priorities_and_Data_Clean[[development]:[ifnoext_comment]],12,FALSE),"")</f>
        <v>2</v>
      </c>
      <c r="AQ226" s="20">
        <f>VLOOKUP(Data[[#This Row],[DEVELOPMENT]],Ops_Priorities_and_Data_Clean[[development]:[ifnoext_comment]],14,FALSE)</f>
        <v>0</v>
      </c>
      <c r="AR226" s="20">
        <f>VLOOKUP(Data[[#This Row],[DEVELOPMENT]],Ops_Priorities_and_Data_Clean[[development]:[ifnoext_comment]],15,FALSE)</f>
        <v>0</v>
      </c>
      <c r="AS226" s="20" t="str">
        <f>VLOOKUP(Data[[#This Row],[DEVELOPMENT]],Ops_Priorities_and_Data_Clean[[development]:[ifnoext_comment]],16,FALSE)</f>
        <v>NULL</v>
      </c>
      <c r="AT226" s="20" t="str">
        <f>VLOOKUP(Data[[#This Row],[DEVELOPMENT]],Ops_Priorities_and_Data_Clean[[development]:[ifnoext_comment]],17,FALSE)</f>
        <v>NULL</v>
      </c>
      <c r="AU226" s="20" t="str">
        <f>VLOOKUP(Data[[#This Row],[DEVELOPMENT]],Ops_Priorities_and_Data_Clean[[development]:[ifnoext_comment]],18,FALSE)</f>
        <v>NULL</v>
      </c>
      <c r="AV226" s="20" t="str">
        <f>VLOOKUP(Data[[#This Row],[DEVELOPMENT]],Ops_Priorities_and_Data_Clean[[development]:[ifnoext_comment]],19,FALSE)</f>
        <v>NULL</v>
      </c>
      <c r="AW226" s="20" t="str">
        <f>VLOOKUP(Data[[#This Row],[DEVELOPMENT]],Ops_Priorities_and_Data_Clean[[development]:[ifnoext_comment]],20,FALSE)</f>
        <v>NULL</v>
      </c>
      <c r="AX226" s="104" t="s">
        <v>2238</v>
      </c>
      <c r="AY226" s="104" t="s">
        <v>2667</v>
      </c>
      <c r="AZ226" s="20" t="str">
        <f>VLOOKUP(Data[[#This Row],[DEVELOPMENT]],Development_Data_Book[[DEVELOPMENT]:[PRIVATE MANAGEMENT]],8,FALSE)</f>
        <v>FEDERAL</v>
      </c>
      <c r="BA226" s="104" t="s">
        <v>2613</v>
      </c>
      <c r="BB226" s="20">
        <f>VLOOKUP(Data[[#This Row],[DEVELOPMENT]],Development_Data_Book[[DEVELOPMENT]:[PRIVATE MANAGEMENT]],22,FALSE)</f>
        <v>3</v>
      </c>
      <c r="BC226" s="20">
        <f>Data[[#This Row],[Non-Dwelling Buildings]]+Data[[#This Row],[Dwelling Buildings]]</f>
        <v>19</v>
      </c>
      <c r="BD226" s="20">
        <f>VLOOKUP(Data[[#This Row],[DEVELOPMENT]],Development_Data_Book[[DEVELOPMENT]:[PRIVATE MANAGEMENT]],26,FALSE)</f>
        <v>19.649999999999999</v>
      </c>
      <c r="BE226" s="106">
        <v>1384200</v>
      </c>
      <c r="BF226" s="20">
        <f>VLOOKUP(Data[[#This Row],[DEVELOPMENT]],Development_Data_Book[[DEVELOPMENT]:[PRIVATE MANAGEMENT]],18,FALSE)</f>
        <v>2832</v>
      </c>
      <c r="BG22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26" s="104" t="s">
        <v>2608</v>
      </c>
      <c r="BI226" t="s">
        <v>183</v>
      </c>
      <c r="BJ226" s="20">
        <f>VLOOKUP(Data[[#This Row],[DEVELOPMENT]],Development_Data_Book[[DEVELOPMENT]:[PRIVATE MANAGEMENT]],41,FALSE)</f>
        <v>6</v>
      </c>
      <c r="BK226" s="20">
        <f>VLOOKUP(Data[[#This Row],[DEVELOPMENT]],Development_Data_Book[[DEVELOPMENT]:[PRIVATE MANAGEMENT]],42,FALSE)</f>
        <v>7</v>
      </c>
      <c r="BL226" s="20">
        <f>VLOOKUP(Data[[#This Row],[DEVELOPMENT]],Development_Data_Book[[DEVELOPMENT]:[PRIVATE MANAGEMENT]],43,FALSE)</f>
        <v>25</v>
      </c>
      <c r="BM226" s="20">
        <f>VLOOKUP(Data[[#This Row],[DEVELOPMENT]],Development_Data_Book[[DEVELOPMENT]:[PRIVATE MANAGEMENT]],44,FALSE)</f>
        <v>51</v>
      </c>
      <c r="BN226" s="20">
        <f>VLOOKUP(Data[[#This Row],[DEVELOPMENT]],Development_Data_Book[[DEVELOPMENT]:[PRIVATE MANAGEMENT]],45,FALSE)</f>
        <v>38</v>
      </c>
      <c r="BO226" s="20">
        <f>VLOOKUP(Data[[#This Row],[DEVELOPMENT]],Development_Data_Book[[DEVELOPMENT]:[PRIVATE MANAGEMENT]],24,FALSE)</f>
        <v>43502</v>
      </c>
    </row>
    <row r="227" spans="1:67">
      <c r="A227" t="s">
        <v>214</v>
      </c>
      <c r="B227" s="20" t="str">
        <f>VLOOKUP(Data[[#This Row],[DEVELOPMENT]],Development_Data_Book[[DEVELOPMENT]:[BOROUGH]],MATCH("borough",Development_Data_Book[[#Headers],[DEVELOPMENT]:[BOROUGH]],0),FALSE)</f>
        <v>BROOKLYN</v>
      </c>
      <c r="C227" s="20" t="e">
        <f>VLOOKUP(Data[[#This Row],[DEVELOPMENT]],'[1]Cheat-Sheet'!$D$2:$Q$341,2,FALSE)</f>
        <v>#N/A</v>
      </c>
      <c r="D22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27" s="20">
        <f>VLOOKUP(Data[[#This Row],[DEVELOPMENT]],Development_Data_Book[[DEVELOPMENT]:[BOROUGH]],21,FALSE)</f>
        <v>14</v>
      </c>
      <c r="F227" s="20">
        <f>VLOOKUP(Data[[#This Row],[DEVELOPMENT]],Development_Data_Book[[DEVELOPMENT]:[BOROUGH]],23,FALSE)</f>
        <v>50</v>
      </c>
      <c r="G227" s="20">
        <f>VLOOKUP(Data[[#This Row],[DEVELOPMENT]],Development_Data_Book[[DEVELOPMENT]:[BOROUGH]],12,FALSE)</f>
        <v>1471</v>
      </c>
      <c r="J227">
        <f>IFERROR(VLOOKUP(Data[[#This Row],[DEVELOPMENT]],IntCompactors_MRST[],4,FALSE),0)</f>
        <v>49</v>
      </c>
      <c r="K227" s="20">
        <f>IFERROR(VLOOKUP(Data[[#This Row],[DEVELOPMENT]],ExtCompactors_MRST[],4,FALSE),0)</f>
        <v>2</v>
      </c>
      <c r="L227" s="27">
        <f>IF(Data[[#This Row],['# Interior Compactors MRST]]=0,"",VLOOKUP(Data[[#This Row],[DEVELOPMENT]],IntCompactors_MRST[],5,FALSE))</f>
        <v>37681</v>
      </c>
      <c r="M227" s="28">
        <f>IF(Data[[#This Row],['# Exterior Compactors MRST]]=0,"",VLOOKUP(Data[[#This Row],[DEVELOPMENT]],ExtCompactors_MRST[],5,FALSE))</f>
        <v>36342</v>
      </c>
      <c r="N227" s="20">
        <f>Data[[#This Row],['# Interior Compactors MRST]]</f>
        <v>49</v>
      </c>
      <c r="O227" s="20">
        <f>IF(Data[[#This Row],['# Bulk Crushers]]=0,1,0)</f>
        <v>1</v>
      </c>
      <c r="P227" s="20">
        <f>1</f>
        <v>1</v>
      </c>
      <c r="Q227" s="20">
        <f>1</f>
        <v>1</v>
      </c>
      <c r="R227" s="20">
        <f>1</f>
        <v>1</v>
      </c>
      <c r="S227" s="20">
        <f>1</f>
        <v>1</v>
      </c>
      <c r="T227" s="20">
        <f>IF(Data[[#This Row],[Sewershed]]="Newtown Creek",Data[[#This Row],[DUs]],0)</f>
        <v>0</v>
      </c>
      <c r="U22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2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2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27" s="82">
        <f>VLOOKUP(Data[[#This Row],[DEVELOPMENT]],Development_Data_Book[[DEVELOPMENT]:[BOROUGH]],3,FALSE)</f>
        <v>79</v>
      </c>
      <c r="Y227" s="20"/>
      <c r="Z227" s="20">
        <f>IFERROR(VLOOKUP(Data[[#This Row],[TDS]],ExtCompactors_PNA[[Development]:[0]],2,FALSE),0)</f>
        <v>2</v>
      </c>
      <c r="AA227" s="20">
        <f>IFERROR(VLOOKUP(Data[[#This Row],[TDS]],IntCompactors_PNA[[TDS]:[0]],2,FALSE),0)</f>
        <v>43</v>
      </c>
      <c r="AB227" s="20"/>
      <c r="AC227" s="20"/>
      <c r="AD227" s="20">
        <f>IFERROR(VLOOKUP(Data[[#This Row],[TDS]],ExtCompactors_PNA[[Development]:[0]],3,FALSE)+VLOOKUP(Data[[#This Row],[TDS]],ExtCompactors_PNA[[Development]:[0]],6,FALSE),0)</f>
        <v>2</v>
      </c>
      <c r="AE227" s="20">
        <f>IFERROR(VLOOKUP(Data[[#This Row],[TDS]],IntCompactors_PNA[[TDS]:[0]],3,FALSE)+VLOOKUP(Data[[#This Row],[TDS]],IntCompactors_PNA[[TDS]:[0]],6,FALSE),0)</f>
        <v>43</v>
      </c>
      <c r="AF227" s="20" t="e">
        <f>VLOOKUP(Data[[#This Row],[DEVELOPMENT]],[3]Developments!$A$2:$A$312,1,FALSE)</f>
        <v>#N/A</v>
      </c>
      <c r="AG227" s="20">
        <f>IFERROR(VLOOKUP(Data[[#This Row],[DEVELOPMENT]],Ops_Priorities_and_Data_Clean[[development]:[ifnoext_comment]],3,FALSE),"")</f>
        <v>2</v>
      </c>
      <c r="AH227" s="20">
        <f>IFERROR(VLOOKUP(Data[[#This Row],[DEVELOPMENT]],Ops_Priorities_and_Data_Clean[[development]:[ifnoext_comment]],4,FALSE),"")</f>
        <v>1</v>
      </c>
      <c r="AI227" s="20">
        <f>IFERROR(VLOOKUP(Data[[#This Row],[DEVELOPMENT]],Ops_Priorities_and_Data_Clean[[development]:[ifnoext_comment]],5,FALSE),"")</f>
        <v>1</v>
      </c>
      <c r="AJ227" s="20">
        <f>IFERROR(VLOOKUP(Data[[#This Row],[DEVELOPMENT]],Ops_Priorities_and_Data_Clean[[development]:[ifnoext_comment]],6,FALSE),"")</f>
        <v>0</v>
      </c>
      <c r="AK227" s="20">
        <f>IFERROR(VLOOKUP(Data[[#This Row],[DEVELOPMENT]],Ops_Priorities_and_Data_Clean[[development]:[ifnoext_comment]],7,FALSE),"")</f>
        <v>0</v>
      </c>
      <c r="AL227" s="20">
        <f>IFERROR(VLOOKUP(Data[[#This Row],[DEVELOPMENT]],Ops_Priorities_and_Data_Clean[[development]:[ifnoext_comment]],8,FALSE),"")</f>
        <v>1</v>
      </c>
      <c r="AM227" s="20">
        <f>IFERROR(VLOOKUP(Data[[#This Row],[DEVELOPMENT]],Ops_Priorities_and_Data_Clean[[development]:[ifnoext_comment]],9,FALSE),"")</f>
        <v>0</v>
      </c>
      <c r="AN227" s="20">
        <f>IFERROR(VLOOKUP(Data[[#This Row],[DEVELOPMENT]],Ops_Priorities_and_Data_Clean[[development]:[ifnoext_comment]],10,FALSE),"")</f>
        <v>3</v>
      </c>
      <c r="AO227" s="20">
        <f>IFERROR(VLOOKUP(Data[[#This Row],[DEVELOPMENT]],Ops_Priorities_and_Data_Clean[[development]:[ifnoext_comment]],11,FALSE),"")</f>
        <v>2</v>
      </c>
      <c r="AP227" s="20">
        <f>IFERROR(VLOOKUP(Data[[#This Row],[DEVELOPMENT]],Ops_Priorities_and_Data_Clean[[development]:[ifnoext_comment]],12,FALSE),"")</f>
        <v>2</v>
      </c>
      <c r="AQ227" s="20">
        <f>VLOOKUP(Data[[#This Row],[DEVELOPMENT]],Ops_Priorities_and_Data_Clean[[development]:[ifnoext_comment]],14,FALSE)</f>
        <v>0</v>
      </c>
      <c r="AR227" s="20">
        <f>VLOOKUP(Data[[#This Row],[DEVELOPMENT]],Ops_Priorities_and_Data_Clean[[development]:[ifnoext_comment]],15,FALSE)</f>
        <v>0</v>
      </c>
      <c r="AS227" s="20" t="str">
        <f>VLOOKUP(Data[[#This Row],[DEVELOPMENT]],Ops_Priorities_and_Data_Clean[[development]:[ifnoext_comment]],16,FALSE)</f>
        <v>NULL</v>
      </c>
      <c r="AT227" s="20" t="str">
        <f>VLOOKUP(Data[[#This Row],[DEVELOPMENT]],Ops_Priorities_and_Data_Clean[[development]:[ifnoext_comment]],17,FALSE)</f>
        <v>NULL</v>
      </c>
      <c r="AU227" s="20" t="str">
        <f>VLOOKUP(Data[[#This Row],[DEVELOPMENT]],Ops_Priorities_and_Data_Clean[[development]:[ifnoext_comment]],18,FALSE)</f>
        <v>NULL</v>
      </c>
      <c r="AV227" s="20" t="str">
        <f>VLOOKUP(Data[[#This Row],[DEVELOPMENT]],Ops_Priorities_and_Data_Clean[[development]:[ifnoext_comment]],19,FALSE)</f>
        <v>NULL</v>
      </c>
      <c r="AW227" s="20" t="str">
        <f>VLOOKUP(Data[[#This Row],[DEVELOPMENT]],Ops_Priorities_and_Data_Clean[[development]:[ifnoext_comment]],20,FALSE)</f>
        <v>NULL</v>
      </c>
      <c r="AX227" s="104" t="s">
        <v>2238</v>
      </c>
      <c r="AY227" s="104" t="s">
        <v>2667</v>
      </c>
      <c r="AZ227" s="20" t="str">
        <f>VLOOKUP(Data[[#This Row],[DEVELOPMENT]],Development_Data_Book[[DEVELOPMENT]:[PRIVATE MANAGEMENT]],8,FALSE)</f>
        <v>FEDERAL</v>
      </c>
      <c r="BA227" s="104" t="s">
        <v>2613</v>
      </c>
      <c r="BB227" s="20">
        <f>VLOOKUP(Data[[#This Row],[DEVELOPMENT]],Development_Data_Book[[DEVELOPMENT]:[PRIVATE MANAGEMENT]],22,FALSE)</f>
        <v>1</v>
      </c>
      <c r="BC227" s="20">
        <f>Data[[#This Row],[Non-Dwelling Buildings]]+Data[[#This Row],[Dwelling Buildings]]</f>
        <v>15</v>
      </c>
      <c r="BD227" s="20">
        <f>VLOOKUP(Data[[#This Row],[DEVELOPMENT]],Development_Data_Book[[DEVELOPMENT]:[PRIVATE MANAGEMENT]],26,FALSE)</f>
        <v>19.32</v>
      </c>
      <c r="BE227" s="106">
        <v>1345110</v>
      </c>
      <c r="BF227" s="20">
        <f>VLOOKUP(Data[[#This Row],[DEVELOPMENT]],Development_Data_Book[[DEVELOPMENT]:[PRIVATE MANAGEMENT]],18,FALSE)</f>
        <v>3165</v>
      </c>
      <c r="BG22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27" s="104" t="s">
        <v>2608</v>
      </c>
      <c r="BI227" t="s">
        <v>183</v>
      </c>
      <c r="BJ227" s="20">
        <f>VLOOKUP(Data[[#This Row],[DEVELOPMENT]],Development_Data_Book[[DEVELOPMENT]:[PRIVATE MANAGEMENT]],41,FALSE)</f>
        <v>6</v>
      </c>
      <c r="BK227" s="20">
        <f>VLOOKUP(Data[[#This Row],[DEVELOPMENT]],Development_Data_Book[[DEVELOPMENT]:[PRIVATE MANAGEMENT]],42,FALSE)</f>
        <v>7</v>
      </c>
      <c r="BL227" s="20">
        <f>VLOOKUP(Data[[#This Row],[DEVELOPMENT]],Development_Data_Book[[DEVELOPMENT]:[PRIVATE MANAGEMENT]],43,FALSE)</f>
        <v>25</v>
      </c>
      <c r="BM227" s="20">
        <f>VLOOKUP(Data[[#This Row],[DEVELOPMENT]],Development_Data_Book[[DEVELOPMENT]:[PRIVATE MANAGEMENT]],44,FALSE)</f>
        <v>51</v>
      </c>
      <c r="BN227" s="20">
        <f>VLOOKUP(Data[[#This Row],[DEVELOPMENT]],Development_Data_Book[[DEVELOPMENT]:[PRIVATE MANAGEMENT]],45,FALSE)</f>
        <v>38</v>
      </c>
      <c r="BO227" s="20">
        <f>VLOOKUP(Data[[#This Row],[DEVELOPMENT]],Development_Data_Book[[DEVELOPMENT]:[PRIVATE MANAGEMENT]],24,FALSE)</f>
        <v>41704</v>
      </c>
    </row>
    <row r="228" spans="1:67">
      <c r="A228" t="s">
        <v>194</v>
      </c>
      <c r="B228" s="20" t="str">
        <f>VLOOKUP(Data[[#This Row],[DEVELOPMENT]],Development_Data_Book[[DEVELOPMENT]:[BOROUGH]],MATCH("borough",Development_Data_Book[[#Headers],[DEVELOPMENT]:[BOROUGH]],0),FALSE)</f>
        <v>QUEENS</v>
      </c>
      <c r="C228" s="20" t="e">
        <f>VLOOKUP(Data[[#This Row],[DEVELOPMENT]],'[1]Cheat-Sheet'!$D$2:$Q$341,2,FALSE)</f>
        <v>#N/A</v>
      </c>
      <c r="D22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28" s="20">
        <f>VLOOKUP(Data[[#This Row],[DEVELOPMENT]],Development_Data_Book[[DEVELOPMENT]:[BOROUGH]],21,FALSE)</f>
        <v>9</v>
      </c>
      <c r="F228" s="20">
        <f>VLOOKUP(Data[[#This Row],[DEVELOPMENT]],Development_Data_Book[[DEVELOPMENT]:[BOROUGH]],23,FALSE)</f>
        <v>16</v>
      </c>
      <c r="G228" s="20">
        <f>VLOOKUP(Data[[#This Row],[DEVELOPMENT]],Development_Data_Book[[DEVELOPMENT]:[BOROUGH]],12,FALSE)</f>
        <v>599</v>
      </c>
      <c r="J228">
        <f>IFERROR(VLOOKUP(Data[[#This Row],[DEVELOPMENT]],IntCompactors_MRST[],4,FALSE),0)</f>
        <v>16</v>
      </c>
      <c r="K228" s="20">
        <f>IFERROR(VLOOKUP(Data[[#This Row],[DEVELOPMENT]],ExtCompactors_MRST[],4,FALSE),0)</f>
        <v>2</v>
      </c>
      <c r="L228" s="27">
        <f>IF(Data[[#This Row],['# Interior Compactors MRST]]=0,"",VLOOKUP(Data[[#This Row],[DEVELOPMENT]],IntCompactors_MRST[],5,FALSE))</f>
        <v>35004</v>
      </c>
      <c r="M228" s="28">
        <f>IF(Data[[#This Row],['# Exterior Compactors MRST]]=0,"",VLOOKUP(Data[[#This Row],[DEVELOPMENT]],ExtCompactors_MRST[],5,FALSE))</f>
        <v>38356</v>
      </c>
      <c r="N228" s="20">
        <f>Data[[#This Row],['# Interior Compactors MRST]]</f>
        <v>16</v>
      </c>
      <c r="O228" s="20">
        <f>IF(Data[[#This Row],['# Bulk Crushers]]=0,1,0)</f>
        <v>1</v>
      </c>
      <c r="P228" s="20">
        <f>1</f>
        <v>1</v>
      </c>
      <c r="Q228" s="20">
        <f>1</f>
        <v>1</v>
      </c>
      <c r="R228" s="20">
        <f>1</f>
        <v>1</v>
      </c>
      <c r="S228" s="20">
        <f>1</f>
        <v>1</v>
      </c>
      <c r="T228" s="20">
        <f>IF(Data[[#This Row],[Sewershed]]="Newtown Creek",Data[[#This Row],[DUs]],0)</f>
        <v>0</v>
      </c>
      <c r="U22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2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2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28" s="82">
        <f>VLOOKUP(Data[[#This Row],[DEVELOPMENT]],Development_Data_Book[[DEVELOPMENT]:[BOROUGH]],3,FALSE)</f>
        <v>55</v>
      </c>
      <c r="Y228" s="20"/>
      <c r="Z228" s="20">
        <f>IFERROR(VLOOKUP(Data[[#This Row],[TDS]],ExtCompactors_PNA[[Development]:[0]],2,FALSE),0)</f>
        <v>0</v>
      </c>
      <c r="AA228" s="20">
        <f>IFERROR(VLOOKUP(Data[[#This Row],[TDS]],IntCompactors_PNA[[TDS]:[0]],2,FALSE),0)</f>
        <v>16</v>
      </c>
      <c r="AB228" s="20"/>
      <c r="AC228" s="20"/>
      <c r="AD228" s="20">
        <f>IFERROR(VLOOKUP(Data[[#This Row],[TDS]],ExtCompactors_PNA[[Development]:[0]],3,FALSE)+VLOOKUP(Data[[#This Row],[TDS]],ExtCompactors_PNA[[Development]:[0]],6,FALSE),0)</f>
        <v>0</v>
      </c>
      <c r="AE228" s="20">
        <f>IFERROR(VLOOKUP(Data[[#This Row],[TDS]],IntCompactors_PNA[[TDS]:[0]],3,FALSE)+VLOOKUP(Data[[#This Row],[TDS]],IntCompactors_PNA[[TDS]:[0]],6,FALSE),0)</f>
        <v>16</v>
      </c>
      <c r="AF228" s="20" t="e">
        <f>VLOOKUP(Data[[#This Row],[DEVELOPMENT]],[3]Developments!$A$2:$A$312,1,FALSE)</f>
        <v>#N/A</v>
      </c>
      <c r="AG228" s="20">
        <f>IFERROR(VLOOKUP(Data[[#This Row],[DEVELOPMENT]],Ops_Priorities_and_Data_Clean[[development]:[ifnoext_comment]],3,FALSE),"")</f>
        <v>2</v>
      </c>
      <c r="AH228" s="20">
        <f>IFERROR(VLOOKUP(Data[[#This Row],[DEVELOPMENT]],Ops_Priorities_and_Data_Clean[[development]:[ifnoext_comment]],4,FALSE),"")</f>
        <v>0</v>
      </c>
      <c r="AI228" s="20">
        <f>IFERROR(VLOOKUP(Data[[#This Row],[DEVELOPMENT]],Ops_Priorities_and_Data_Clean[[development]:[ifnoext_comment]],5,FALSE),"")</f>
        <v>1</v>
      </c>
      <c r="AJ228" s="20">
        <f>IFERROR(VLOOKUP(Data[[#This Row],[DEVELOPMENT]],Ops_Priorities_and_Data_Clean[[development]:[ifnoext_comment]],6,FALSE),"")</f>
        <v>0</v>
      </c>
      <c r="AK228" s="20">
        <f>IFERROR(VLOOKUP(Data[[#This Row],[DEVELOPMENT]],Ops_Priorities_and_Data_Clean[[development]:[ifnoext_comment]],7,FALSE),"")</f>
        <v>0</v>
      </c>
      <c r="AL228" s="20">
        <f>IFERROR(VLOOKUP(Data[[#This Row],[DEVELOPMENT]],Ops_Priorities_and_Data_Clean[[development]:[ifnoext_comment]],8,FALSE),"")</f>
        <v>1</v>
      </c>
      <c r="AM228" s="20">
        <f>IFERROR(VLOOKUP(Data[[#This Row],[DEVELOPMENT]],Ops_Priorities_and_Data_Clean[[development]:[ifnoext_comment]],9,FALSE),"")</f>
        <v>0</v>
      </c>
      <c r="AN228" s="20">
        <f>IFERROR(VLOOKUP(Data[[#This Row],[DEVELOPMENT]],Ops_Priorities_and_Data_Clean[[development]:[ifnoext_comment]],10,FALSE),"")</f>
        <v>4</v>
      </c>
      <c r="AO228" s="20">
        <f>IFERROR(VLOOKUP(Data[[#This Row],[DEVELOPMENT]],Ops_Priorities_and_Data_Clean[[development]:[ifnoext_comment]],11,FALSE),"")</f>
        <v>2</v>
      </c>
      <c r="AP228" s="20">
        <f>IFERROR(VLOOKUP(Data[[#This Row],[DEVELOPMENT]],Ops_Priorities_and_Data_Clean[[development]:[ifnoext_comment]],12,FALSE),"")</f>
        <v>2</v>
      </c>
      <c r="AQ228" s="20">
        <f>VLOOKUP(Data[[#This Row],[DEVELOPMENT]],Ops_Priorities_and_Data_Clean[[development]:[ifnoext_comment]],14,FALSE)</f>
        <v>0</v>
      </c>
      <c r="AR228" s="20">
        <f>VLOOKUP(Data[[#This Row],[DEVELOPMENT]],Ops_Priorities_and_Data_Clean[[development]:[ifnoext_comment]],15,FALSE)</f>
        <v>0</v>
      </c>
      <c r="AS228" s="20" t="str">
        <f>VLOOKUP(Data[[#This Row],[DEVELOPMENT]],Ops_Priorities_and_Data_Clean[[development]:[ifnoext_comment]],16,FALSE)</f>
        <v>NULL</v>
      </c>
      <c r="AT228" s="20" t="str">
        <f>VLOOKUP(Data[[#This Row],[DEVELOPMENT]],Ops_Priorities_and_Data_Clean[[development]:[ifnoext_comment]],17,FALSE)</f>
        <v>NULL</v>
      </c>
      <c r="AU228" s="20" t="str">
        <f>VLOOKUP(Data[[#This Row],[DEVELOPMENT]],Ops_Priorities_and_Data_Clean[[development]:[ifnoext_comment]],18,FALSE)</f>
        <v>NULL</v>
      </c>
      <c r="AV228" s="20" t="str">
        <f>VLOOKUP(Data[[#This Row],[DEVELOPMENT]],Ops_Priorities_and_Data_Clean[[development]:[ifnoext_comment]],19,FALSE)</f>
        <v>NULL</v>
      </c>
      <c r="AW228" s="20" t="str">
        <f>VLOOKUP(Data[[#This Row],[DEVELOPMENT]],Ops_Priorities_and_Data_Clean[[development]:[ifnoext_comment]],20,FALSE)</f>
        <v>NULL</v>
      </c>
      <c r="AX228" s="104" t="s">
        <v>2614</v>
      </c>
      <c r="AY228" s="104" t="s">
        <v>2668</v>
      </c>
      <c r="AZ228" s="20" t="str">
        <f>VLOOKUP(Data[[#This Row],[DEVELOPMENT]],Development_Data_Book[[DEVELOPMENT]:[PRIVATE MANAGEMENT]],8,FALSE)</f>
        <v>FEDERAL</v>
      </c>
      <c r="BA228" s="104" t="s">
        <v>2586</v>
      </c>
      <c r="BB228" s="20">
        <f>VLOOKUP(Data[[#This Row],[DEVELOPMENT]],Development_Data_Book[[DEVELOPMENT]:[PRIVATE MANAGEMENT]],22,FALSE)</f>
        <v>0</v>
      </c>
      <c r="BC228" s="20">
        <f>Data[[#This Row],[Non-Dwelling Buildings]]+Data[[#This Row],[Dwelling Buildings]]</f>
        <v>9</v>
      </c>
      <c r="BD228" s="20">
        <f>VLOOKUP(Data[[#This Row],[DEVELOPMENT]],Development_Data_Book[[DEVELOPMENT]:[PRIVATE MANAGEMENT]],26,FALSE)</f>
        <v>18.78</v>
      </c>
      <c r="BE228" s="106">
        <v>627580</v>
      </c>
      <c r="BF228" s="20">
        <f>VLOOKUP(Data[[#This Row],[DEVELOPMENT]],Development_Data_Book[[DEVELOPMENT]:[PRIVATE MANAGEMENT]],18,FALSE)</f>
        <v>1573</v>
      </c>
      <c r="BG22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28" s="104" t="s">
        <v>2619</v>
      </c>
      <c r="BI228" t="s">
        <v>184</v>
      </c>
      <c r="BJ228" s="20">
        <f>VLOOKUP(Data[[#This Row],[DEVELOPMENT]],Development_Data_Book[[DEVELOPMENT]:[PRIVATE MANAGEMENT]],41,FALSE)</f>
        <v>14</v>
      </c>
      <c r="BK228" s="20">
        <f>VLOOKUP(Data[[#This Row],[DEVELOPMENT]],Development_Data_Book[[DEVELOPMENT]:[PRIVATE MANAGEMENT]],42,FALSE)</f>
        <v>5</v>
      </c>
      <c r="BL228" s="20">
        <f>VLOOKUP(Data[[#This Row],[DEVELOPMENT]],Development_Data_Book[[DEVELOPMENT]:[PRIVATE MANAGEMENT]],43,FALSE)</f>
        <v>10</v>
      </c>
      <c r="BM228" s="20">
        <f>VLOOKUP(Data[[#This Row],[DEVELOPMENT]],Development_Data_Book[[DEVELOPMENT]:[PRIVATE MANAGEMENT]],44,FALSE)</f>
        <v>31</v>
      </c>
      <c r="BN228" s="20">
        <f>VLOOKUP(Data[[#This Row],[DEVELOPMENT]],Development_Data_Book[[DEVELOPMENT]:[PRIVATE MANAGEMENT]],45,FALSE)</f>
        <v>31</v>
      </c>
      <c r="BO228" s="20">
        <f>VLOOKUP(Data[[#This Row],[DEVELOPMENT]],Development_Data_Book[[DEVELOPMENT]:[PRIVATE MANAGEMENT]],24,FALSE)</f>
        <v>43623</v>
      </c>
    </row>
    <row r="229" spans="1:67">
      <c r="A229" t="s">
        <v>215</v>
      </c>
      <c r="B229" s="20" t="str">
        <f>VLOOKUP(Data[[#This Row],[DEVELOPMENT]],Development_Data_Book[[DEVELOPMENT]:[BOROUGH]],MATCH("borough",Development_Data_Book[[#Headers],[DEVELOPMENT]:[BOROUGH]],0),FALSE)</f>
        <v>QUEENS</v>
      </c>
      <c r="C229" s="20" t="e">
        <f>VLOOKUP(Data[[#This Row],[DEVELOPMENT]],'[1]Cheat-Sheet'!$D$2:$Q$341,2,FALSE)</f>
        <v>#N/A</v>
      </c>
      <c r="D22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29" s="20">
        <f>VLOOKUP(Data[[#This Row],[DEVELOPMENT]],Development_Data_Book[[DEVELOPMENT]:[BOROUGH]],21,FALSE)</f>
        <v>1</v>
      </c>
      <c r="F229" s="20">
        <f>VLOOKUP(Data[[#This Row],[DEVELOPMENT]],Development_Data_Book[[DEVELOPMENT]:[BOROUGH]],23,FALSE)</f>
        <v>1</v>
      </c>
      <c r="G229" s="20">
        <f>VLOOKUP(Data[[#This Row],[DEVELOPMENT]],Development_Data_Book[[DEVELOPMENT]:[BOROUGH]],12,FALSE)</f>
        <v>13</v>
      </c>
      <c r="J229">
        <f>IFERROR(VLOOKUP(Data[[#This Row],[DEVELOPMENT]],IntCompactors_MRST[],4,FALSE),0)</f>
        <v>0</v>
      </c>
      <c r="K229" s="20">
        <f>IFERROR(VLOOKUP(Data[[#This Row],[DEVELOPMENT]],ExtCompactors_MRST[],4,FALSE),0)</f>
        <v>0</v>
      </c>
      <c r="L229" s="27" t="str">
        <f>IF(Data[[#This Row],['# Interior Compactors MRST]]=0,"",VLOOKUP(Data[[#This Row],[DEVELOPMENT]],IntCompactors_MRST[],5,FALSE))</f>
        <v/>
      </c>
      <c r="M229" s="28" t="str">
        <f>IF(Data[[#This Row],['# Exterior Compactors MRST]]=0,"",VLOOKUP(Data[[#This Row],[DEVELOPMENT]],ExtCompactors_MRST[],5,FALSE))</f>
        <v/>
      </c>
      <c r="N229" s="20">
        <f>Data[[#This Row],['# Interior Compactors MRST]]</f>
        <v>0</v>
      </c>
      <c r="O229" s="20">
        <f>IF(Data[[#This Row],['# Bulk Crushers]]=0,1,0)</f>
        <v>1</v>
      </c>
      <c r="P229" s="20">
        <f>1</f>
        <v>1</v>
      </c>
      <c r="Q229" s="20">
        <f>1</f>
        <v>1</v>
      </c>
      <c r="R229" s="20">
        <f>1</f>
        <v>1</v>
      </c>
      <c r="S229" s="20">
        <f>1</f>
        <v>1</v>
      </c>
      <c r="T229" s="20">
        <f>IF(Data[[#This Row],[Sewershed]]="Newtown Creek",Data[[#This Row],[DUs]],0)</f>
        <v>0</v>
      </c>
      <c r="U22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2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2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29" s="82">
        <f>VLOOKUP(Data[[#This Row],[DEVELOPMENT]],Development_Data_Book[[DEVELOPMENT]:[BOROUGH]],3,FALSE)</f>
        <v>143</v>
      </c>
      <c r="Y229" s="20"/>
      <c r="Z229" s="20">
        <f>IFERROR(VLOOKUP(Data[[#This Row],[TDS]],ExtCompactors_PNA[[Development]:[0]],2,FALSE),0)</f>
        <v>0</v>
      </c>
      <c r="AA229" s="20">
        <f>IFERROR(VLOOKUP(Data[[#This Row],[TDS]],IntCompactors_PNA[[TDS]:[0]],2,FALSE),0)</f>
        <v>0</v>
      </c>
      <c r="AB229" s="20"/>
      <c r="AC229" s="20"/>
      <c r="AD229" s="20">
        <f>IFERROR(VLOOKUP(Data[[#This Row],[TDS]],ExtCompactors_PNA[[Development]:[0]],3,FALSE)+VLOOKUP(Data[[#This Row],[TDS]],ExtCompactors_PNA[[Development]:[0]],6,FALSE),0)</f>
        <v>0</v>
      </c>
      <c r="AE229" s="20">
        <f>IFERROR(VLOOKUP(Data[[#This Row],[TDS]],IntCompactors_PNA[[TDS]:[0]],3,FALSE)+VLOOKUP(Data[[#This Row],[TDS]],IntCompactors_PNA[[TDS]:[0]],6,FALSE),0)</f>
        <v>0</v>
      </c>
      <c r="AF229" s="20" t="e">
        <f>VLOOKUP(Data[[#This Row],[DEVELOPMENT]],[3]Developments!$A$2:$A$312,1,FALSE)</f>
        <v>#N/A</v>
      </c>
      <c r="AG229" s="20">
        <f>IFERROR(VLOOKUP(Data[[#This Row],[DEVELOPMENT]],Ops_Priorities_and_Data_Clean[[development]:[ifnoext_comment]],3,FALSE),"")</f>
        <v>0</v>
      </c>
      <c r="AH229" s="20">
        <f>IFERROR(VLOOKUP(Data[[#This Row],[DEVELOPMENT]],Ops_Priorities_and_Data_Clean[[development]:[ifnoext_comment]],4,FALSE),"")</f>
        <v>1</v>
      </c>
      <c r="AI229" s="20">
        <f>IFERROR(VLOOKUP(Data[[#This Row],[DEVELOPMENT]],Ops_Priorities_and_Data_Clean[[development]:[ifnoext_comment]],5,FALSE),"")</f>
        <v>0</v>
      </c>
      <c r="AJ229" s="20">
        <f>IFERROR(VLOOKUP(Data[[#This Row],[DEVELOPMENT]],Ops_Priorities_and_Data_Clean[[development]:[ifnoext_comment]],6,FALSE),"")</f>
        <v>1</v>
      </c>
      <c r="AK229" s="20">
        <f>IFERROR(VLOOKUP(Data[[#This Row],[DEVELOPMENT]],Ops_Priorities_and_Data_Clean[[development]:[ifnoext_comment]],7,FALSE),"")</f>
        <v>0</v>
      </c>
      <c r="AL229" s="20">
        <f>IFERROR(VLOOKUP(Data[[#This Row],[DEVELOPMENT]],Ops_Priorities_and_Data_Clean[[development]:[ifnoext_comment]],8,FALSE),"")</f>
        <v>1</v>
      </c>
      <c r="AM229" s="20">
        <f>IFERROR(VLOOKUP(Data[[#This Row],[DEVELOPMENT]],Ops_Priorities_and_Data_Clean[[development]:[ifnoext_comment]],9,FALSE),"")</f>
        <v>1</v>
      </c>
      <c r="AN229" s="20">
        <f>IFERROR(VLOOKUP(Data[[#This Row],[DEVELOPMENT]],Ops_Priorities_and_Data_Clean[[development]:[ifnoext_comment]],10,FALSE),"")</f>
        <v>0</v>
      </c>
      <c r="AO229" s="20">
        <f>IFERROR(VLOOKUP(Data[[#This Row],[DEVELOPMENT]],Ops_Priorities_and_Data_Clean[[development]:[ifnoext_comment]],11,FALSE),"")</f>
        <v>0</v>
      </c>
      <c r="AP229" s="20">
        <f>IFERROR(VLOOKUP(Data[[#This Row],[DEVELOPMENT]],Ops_Priorities_and_Data_Clean[[development]:[ifnoext_comment]],12,FALSE),"")</f>
        <v>0</v>
      </c>
      <c r="AQ229" s="20">
        <f>VLOOKUP(Data[[#This Row],[DEVELOPMENT]],Ops_Priorities_and_Data_Clean[[development]:[ifnoext_comment]],14,FALSE)</f>
        <v>0</v>
      </c>
      <c r="AR229" s="20">
        <f>VLOOKUP(Data[[#This Row],[DEVELOPMENT]],Ops_Priorities_and_Data_Clean[[development]:[ifnoext_comment]],15,FALSE)</f>
        <v>1</v>
      </c>
      <c r="AS229" s="20" t="str">
        <f>VLOOKUP(Data[[#This Row],[DEVELOPMENT]],Ops_Priorities_and_Data_Clean[[development]:[ifnoext_comment]],16,FALSE)</f>
        <v>Latimer Gardens</v>
      </c>
      <c r="AT229" s="20" t="str">
        <f>VLOOKUP(Data[[#This Row],[DEVELOPMENT]],Ops_Priorities_and_Data_Clean[[development]:[ifnoext_comment]],17,FALSE)</f>
        <v>No, itâ€™s a one floor senior building that does not generate enough waste to have an E-Z pac. The development truck can make the needed pickups with no problem</v>
      </c>
      <c r="AU229" s="20" t="str">
        <f>VLOOKUP(Data[[#This Row],[DEVELOPMENT]],Ops_Priorities_and_Data_Clean[[development]:[ifnoext_comment]],18,FALSE)</f>
        <v>NULL</v>
      </c>
      <c r="AV229" s="20" t="str">
        <f>VLOOKUP(Data[[#This Row],[DEVELOPMENT]],Ops_Priorities_and_Data_Clean[[development]:[ifnoext_comment]],19,FALSE)</f>
        <v>NULL</v>
      </c>
      <c r="AW229" s="20" t="str">
        <f>VLOOKUP(Data[[#This Row],[DEVELOPMENT]],Ops_Priorities_and_Data_Clean[[development]:[ifnoext_comment]],20,FALSE)</f>
        <v>NULL</v>
      </c>
      <c r="AX229" s="104" t="s">
        <v>2614</v>
      </c>
      <c r="AY229" s="104" t="s">
        <v>2669</v>
      </c>
      <c r="AZ229" s="20" t="str">
        <f>VLOOKUP(Data[[#This Row],[DEVELOPMENT]],Development_Data_Book[[DEVELOPMENT]:[PRIVATE MANAGEMENT]],8,FALSE)</f>
        <v>FEDERAL</v>
      </c>
      <c r="BA229" s="104" t="s">
        <v>2588</v>
      </c>
      <c r="BB229" s="20">
        <f>VLOOKUP(Data[[#This Row],[DEVELOPMENT]],Development_Data_Book[[DEVELOPMENT]:[PRIVATE MANAGEMENT]],22,FALSE)</f>
        <v>0</v>
      </c>
      <c r="BC229" s="20">
        <f>Data[[#This Row],[Non-Dwelling Buildings]]+Data[[#This Row],[Dwelling Buildings]]</f>
        <v>1</v>
      </c>
      <c r="BD229" s="20">
        <f>VLOOKUP(Data[[#This Row],[DEVELOPMENT]],Development_Data_Book[[DEVELOPMENT]:[PRIVATE MANAGEMENT]],26,FALSE)</f>
        <v>0.34</v>
      </c>
      <c r="BE229" s="106">
        <v>9000</v>
      </c>
      <c r="BF229" s="20">
        <f>VLOOKUP(Data[[#This Row],[DEVELOPMENT]],Development_Data_Book[[DEVELOPMENT]:[PRIVATE MANAGEMENT]],18,FALSE)</f>
        <v>13</v>
      </c>
      <c r="BG229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29" s="104" t="s">
        <v>2615</v>
      </c>
      <c r="BI229" t="s">
        <v>184</v>
      </c>
      <c r="BJ229" s="20">
        <f>VLOOKUP(Data[[#This Row],[DEVELOPMENT]],Development_Data_Book[[DEVELOPMENT]:[PRIVATE MANAGEMENT]],41,FALSE)</f>
        <v>7</v>
      </c>
      <c r="BK229" s="20">
        <f>VLOOKUP(Data[[#This Row],[DEVELOPMENT]],Development_Data_Book[[DEVELOPMENT]:[PRIVATE MANAGEMENT]],42,FALSE)</f>
        <v>14</v>
      </c>
      <c r="BL229" s="20">
        <f>VLOOKUP(Data[[#This Row],[DEVELOPMENT]],Development_Data_Book[[DEVELOPMENT]:[PRIVATE MANAGEMENT]],43,FALSE)</f>
        <v>11</v>
      </c>
      <c r="BM229" s="20">
        <f>VLOOKUP(Data[[#This Row],[DEVELOPMENT]],Development_Data_Book[[DEVELOPMENT]:[PRIVATE MANAGEMENT]],44,FALSE)</f>
        <v>27</v>
      </c>
      <c r="BN229" s="20">
        <f>VLOOKUP(Data[[#This Row],[DEVELOPMENT]],Development_Data_Book[[DEVELOPMENT]:[PRIVATE MANAGEMENT]],45,FALSE)</f>
        <v>19</v>
      </c>
      <c r="BO229" s="20">
        <f>VLOOKUP(Data[[#This Row],[DEVELOPMENT]],Development_Data_Book[[DEVELOPMENT]:[PRIVATE MANAGEMENT]],24,FALSE)</f>
        <v>1</v>
      </c>
    </row>
    <row r="230" spans="1:67">
      <c r="A230" t="s">
        <v>250</v>
      </c>
      <c r="B230" s="20" t="str">
        <f>VLOOKUP(Data[[#This Row],[DEVELOPMENT]],Development_Data_Book[[DEVELOPMENT]:[BOROUGH]],MATCH("borough",Development_Data_Book[[#Headers],[DEVELOPMENT]:[BOROUGH]],0),FALSE)</f>
        <v>MANHATTAN</v>
      </c>
      <c r="C230" s="20" t="e">
        <f>VLOOKUP(Data[[#This Row],[DEVELOPMENT]],'[1]Cheat-Sheet'!$D$2:$Q$341,2,FALSE)</f>
        <v>#N/A</v>
      </c>
      <c r="D23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30" s="20">
        <f>VLOOKUP(Data[[#This Row],[DEVELOPMENT]],Development_Data_Book[[DEVELOPMENT]:[BOROUGH]],21,FALSE)</f>
        <v>4</v>
      </c>
      <c r="F230" s="20">
        <f>VLOOKUP(Data[[#This Row],[DEVELOPMENT]],Development_Data_Book[[DEVELOPMENT]:[BOROUGH]],23,FALSE)</f>
        <v>9</v>
      </c>
      <c r="G230" s="20">
        <f>VLOOKUP(Data[[#This Row],[DEVELOPMENT]],Development_Data_Book[[DEVELOPMENT]:[BOROUGH]],12,FALSE)</f>
        <v>112</v>
      </c>
      <c r="H230" t="s">
        <v>2248</v>
      </c>
      <c r="J230">
        <f>IFERROR(VLOOKUP(Data[[#This Row],[DEVELOPMENT]],IntCompactors_MRST[],4,FALSE),0)</f>
        <v>1</v>
      </c>
      <c r="K230" s="20">
        <f>IFERROR(VLOOKUP(Data[[#This Row],[DEVELOPMENT]],ExtCompactors_MRST[],4,FALSE),0)</f>
        <v>0</v>
      </c>
      <c r="L230" s="27">
        <f>IF(Data[[#This Row],['# Interior Compactors MRST]]=0,"",VLOOKUP(Data[[#This Row],[DEVELOPMENT]],IntCompactors_MRST[],5,FALSE))</f>
        <v>31048</v>
      </c>
      <c r="M230" s="28" t="str">
        <f>IF(Data[[#This Row],['# Exterior Compactors MRST]]=0,"",VLOOKUP(Data[[#This Row],[DEVELOPMENT]],ExtCompactors_MRST[],5,FALSE))</f>
        <v/>
      </c>
      <c r="N230" s="20">
        <f>Data[[#This Row],['# Interior Compactors MRST]]</f>
        <v>1</v>
      </c>
      <c r="O230" s="20">
        <f>IF(Data[[#This Row],['# Bulk Crushers]]=0,1,0)</f>
        <v>1</v>
      </c>
      <c r="P230" s="20">
        <f>1</f>
        <v>1</v>
      </c>
      <c r="Q230" s="20">
        <f>1</f>
        <v>1</v>
      </c>
      <c r="R230" s="20">
        <f>1</f>
        <v>1</v>
      </c>
      <c r="S230" s="20">
        <f>1</f>
        <v>1</v>
      </c>
      <c r="T230" s="20">
        <f>IF(Data[[#This Row],[Sewershed]]="Newtown Creek",Data[[#This Row],[DUs]],0)</f>
        <v>0</v>
      </c>
      <c r="U23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3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3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30" s="82">
        <f>VLOOKUP(Data[[#This Row],[DEVELOPMENT]],Development_Data_Book[[DEVELOPMENT]:[BOROUGH]],3,FALSE)</f>
        <v>515</v>
      </c>
      <c r="Y230" s="20"/>
      <c r="Z230" s="20">
        <f>IFERROR(VLOOKUP(Data[[#This Row],[TDS]],ExtCompactors_PNA[[Development]:[0]],2,FALSE),0)</f>
        <v>0</v>
      </c>
      <c r="AA230" s="20">
        <f>IFERROR(VLOOKUP(Data[[#This Row],[TDS]],IntCompactors_PNA[[TDS]:[0]],2,FALSE),0)</f>
        <v>3</v>
      </c>
      <c r="AB230" s="20"/>
      <c r="AC230" s="20"/>
      <c r="AD230" s="20">
        <f>IFERROR(VLOOKUP(Data[[#This Row],[TDS]],ExtCompactors_PNA[[Development]:[0]],3,FALSE)+VLOOKUP(Data[[#This Row],[TDS]],ExtCompactors_PNA[[Development]:[0]],6,FALSE),0)</f>
        <v>0</v>
      </c>
      <c r="AE230" s="20">
        <f>IFERROR(VLOOKUP(Data[[#This Row],[TDS]],IntCompactors_PNA[[TDS]:[0]],3,FALSE)+VLOOKUP(Data[[#This Row],[TDS]],IntCompactors_PNA[[TDS]:[0]],6,FALSE),0)</f>
        <v>3</v>
      </c>
      <c r="AF230" s="20" t="e">
        <f>VLOOKUP(Data[[#This Row],[DEVELOPMENT]],[3]Developments!$A$2:$A$312,1,FALSE)</f>
        <v>#N/A</v>
      </c>
      <c r="AG230" s="20">
        <f>IFERROR(VLOOKUP(Data[[#This Row],[DEVELOPMENT]],Ops_Priorities_and_Data_Clean[[development]:[ifnoext_comment]],3,FALSE),"")</f>
        <v>0</v>
      </c>
      <c r="AH230" s="20">
        <f>IFERROR(VLOOKUP(Data[[#This Row],[DEVELOPMENT]],Ops_Priorities_and_Data_Clean[[development]:[ifnoext_comment]],4,FALSE),"")</f>
        <v>0</v>
      </c>
      <c r="AI230" s="20">
        <f>IFERROR(VLOOKUP(Data[[#This Row],[DEVELOPMENT]],Ops_Priorities_and_Data_Clean[[development]:[ifnoext_comment]],5,FALSE),"")</f>
        <v>0</v>
      </c>
      <c r="AJ230" s="20">
        <f>IFERROR(VLOOKUP(Data[[#This Row],[DEVELOPMENT]],Ops_Priorities_and_Data_Clean[[development]:[ifnoext_comment]],6,FALSE),"")</f>
        <v>0</v>
      </c>
      <c r="AK230" s="20">
        <f>IFERROR(VLOOKUP(Data[[#This Row],[DEVELOPMENT]],Ops_Priorities_and_Data_Clean[[development]:[ifnoext_comment]],7,FALSE),"")</f>
        <v>1</v>
      </c>
      <c r="AL230" s="20">
        <f>IFERROR(VLOOKUP(Data[[#This Row],[DEVELOPMENT]],Ops_Priorities_and_Data_Clean[[development]:[ifnoext_comment]],8,FALSE),"")</f>
        <v>1</v>
      </c>
      <c r="AM230" s="20">
        <f>IFERROR(VLOOKUP(Data[[#This Row],[DEVELOPMENT]],Ops_Priorities_and_Data_Clean[[development]:[ifnoext_comment]],9,FALSE),"")</f>
        <v>0</v>
      </c>
      <c r="AN230" s="20">
        <f>IFERROR(VLOOKUP(Data[[#This Row],[DEVELOPMENT]],Ops_Priorities_and_Data_Clean[[development]:[ifnoext_comment]],10,FALSE),"")</f>
        <v>0</v>
      </c>
      <c r="AO230" s="20">
        <f>IFERROR(VLOOKUP(Data[[#This Row],[DEVELOPMENT]],Ops_Priorities_and_Data_Clean[[development]:[ifnoext_comment]],11,FALSE),"")</f>
        <v>0</v>
      </c>
      <c r="AP230" s="20">
        <f>IFERROR(VLOOKUP(Data[[#This Row],[DEVELOPMENT]],Ops_Priorities_and_Data_Clean[[development]:[ifnoext_comment]],12,FALSE),"")</f>
        <v>0</v>
      </c>
      <c r="AQ230" s="20">
        <f>VLOOKUP(Data[[#This Row],[DEVELOPMENT]],Ops_Priorities_and_Data_Clean[[development]:[ifnoext_comment]],14,FALSE)</f>
        <v>1</v>
      </c>
      <c r="AR230" s="20">
        <f>VLOOKUP(Data[[#This Row],[DEVELOPMENT]],Ops_Priorities_and_Data_Clean[[development]:[ifnoext_comment]],15,FALSE)</f>
        <v>0</v>
      </c>
      <c r="AS230" s="20" t="str">
        <f>VLOOKUP(Data[[#This Row],[DEVELOPMENT]],Ops_Priorities_and_Data_Clean[[development]:[ifnoext_comment]],16,FALSE)</f>
        <v>NULL</v>
      </c>
      <c r="AT230" s="20" t="str">
        <f>VLOOKUP(Data[[#This Row],[DEVELOPMENT]],Ops_Priorities_and_Data_Clean[[development]:[ifnoext_comment]],17,FALSE)</f>
        <v>NULL</v>
      </c>
      <c r="AU230" s="20" t="str">
        <f>VLOOKUP(Data[[#This Row],[DEVELOPMENT]],Ops_Priorities_and_Data_Clean[[development]:[ifnoext_comment]],18,FALSE)</f>
        <v>NULL</v>
      </c>
      <c r="AV230" s="20" t="str">
        <f>VLOOKUP(Data[[#This Row],[DEVELOPMENT]],Ops_Priorities_and_Data_Clean[[development]:[ifnoext_comment]],19,FALSE)</f>
        <v>NULL</v>
      </c>
      <c r="AW230" s="20" t="str">
        <f>VLOOKUP(Data[[#This Row],[DEVELOPMENT]],Ops_Priorities_and_Data_Clean[[development]:[ifnoext_comment]],20,FALSE)</f>
        <v>NULL</v>
      </c>
      <c r="AX230" s="104" t="s">
        <v>2596</v>
      </c>
      <c r="AY230" s="104" t="s">
        <v>2609</v>
      </c>
      <c r="AZ230" s="20" t="str">
        <f>VLOOKUP(Data[[#This Row],[DEVELOPMENT]],Development_Data_Book[[DEVELOPMENT]:[PRIVATE MANAGEMENT]],8,FALSE)</f>
        <v>FEDERAL</v>
      </c>
      <c r="BA230" s="104" t="s">
        <v>2613</v>
      </c>
      <c r="BB230" s="20">
        <f>VLOOKUP(Data[[#This Row],[DEVELOPMENT]],Development_Data_Book[[DEVELOPMENT]:[PRIVATE MANAGEMENT]],22,FALSE)</f>
        <v>0</v>
      </c>
      <c r="BC230" s="20">
        <f>Data[[#This Row],[Non-Dwelling Buildings]]+Data[[#This Row],[Dwelling Buildings]]</f>
        <v>4</v>
      </c>
      <c r="BD230" s="20">
        <f>VLOOKUP(Data[[#This Row],[DEVELOPMENT]],Development_Data_Book[[DEVELOPMENT]:[PRIVATE MANAGEMENT]],26,FALSE)</f>
        <v>0.56000000000000005</v>
      </c>
      <c r="BE230" s="106">
        <v>97100</v>
      </c>
      <c r="BF230" s="20">
        <f>VLOOKUP(Data[[#This Row],[DEVELOPMENT]],Development_Data_Book[[DEVELOPMENT]:[PRIVATE MANAGEMENT]],18,FALSE)</f>
        <v>182</v>
      </c>
      <c r="BG23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30" s="104" t="s">
        <v>2598</v>
      </c>
      <c r="BI230" t="s">
        <v>184</v>
      </c>
      <c r="BJ230" s="20">
        <f>VLOOKUP(Data[[#This Row],[DEVELOPMENT]],Development_Data_Book[[DEVELOPMENT]:[PRIVATE MANAGEMENT]],41,FALSE)</f>
        <v>7</v>
      </c>
      <c r="BK230" s="20">
        <f>VLOOKUP(Data[[#This Row],[DEVELOPMENT]],Development_Data_Book[[DEVELOPMENT]:[PRIVATE MANAGEMENT]],42,FALSE)</f>
        <v>10</v>
      </c>
      <c r="BL230" s="20">
        <f>VLOOKUP(Data[[#This Row],[DEVELOPMENT]],Development_Data_Book[[DEVELOPMENT]:[PRIVATE MANAGEMENT]],43,FALSE)</f>
        <v>31</v>
      </c>
      <c r="BM230" s="20">
        <f>VLOOKUP(Data[[#This Row],[DEVELOPMENT]],Development_Data_Book[[DEVELOPMENT]:[PRIVATE MANAGEMENT]],44,FALSE)</f>
        <v>69</v>
      </c>
      <c r="BN230" s="20">
        <f>VLOOKUP(Data[[#This Row],[DEVELOPMENT]],Development_Data_Book[[DEVELOPMENT]:[PRIVATE MANAGEMENT]],45,FALSE)</f>
        <v>6</v>
      </c>
      <c r="BO230" s="20">
        <f>VLOOKUP(Data[[#This Row],[DEVELOPMENT]],Development_Data_Book[[DEVELOPMENT]:[PRIVATE MANAGEMENT]],24,FALSE)</f>
        <v>39147</v>
      </c>
    </row>
    <row r="231" spans="1:67">
      <c r="A231" t="s">
        <v>251</v>
      </c>
      <c r="B231" s="20" t="str">
        <f>VLOOKUP(Data[[#This Row],[DEVELOPMENT]],Development_Data_Book[[DEVELOPMENT]:[BOROUGH]],MATCH("borough",Development_Data_Book[[#Headers],[DEVELOPMENT]:[BOROUGH]],0),FALSE)</f>
        <v>MANHATTAN</v>
      </c>
      <c r="C231" s="20" t="e">
        <f>VLOOKUP(Data[[#This Row],[DEVELOPMENT]],'[1]Cheat-Sheet'!$D$2:$Q$341,2,FALSE)</f>
        <v>#N/A</v>
      </c>
      <c r="D23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31" s="20">
        <f>VLOOKUP(Data[[#This Row],[DEVELOPMENT]],Development_Data_Book[[DEVELOPMENT]:[BOROUGH]],21,FALSE)</f>
        <v>4</v>
      </c>
      <c r="F231" s="20">
        <f>VLOOKUP(Data[[#This Row],[DEVELOPMENT]],Development_Data_Book[[DEVELOPMENT]:[BOROUGH]],23,FALSE)</f>
        <v>4</v>
      </c>
      <c r="G231" s="20">
        <f>VLOOKUP(Data[[#This Row],[DEVELOPMENT]],Development_Data_Book[[DEVELOPMENT]:[BOROUGH]],12,FALSE)</f>
        <v>156</v>
      </c>
      <c r="J231">
        <f>IFERROR(VLOOKUP(Data[[#This Row],[DEVELOPMENT]],IntCompactors_MRST[],4,FALSE),0)</f>
        <v>0</v>
      </c>
      <c r="K231" s="20">
        <f>IFERROR(VLOOKUP(Data[[#This Row],[DEVELOPMENT]],ExtCompactors_MRST[],4,FALSE),0)</f>
        <v>0</v>
      </c>
      <c r="L231" s="27" t="str">
        <f>IF(Data[[#This Row],['# Interior Compactors MRST]]=0,"",VLOOKUP(Data[[#This Row],[DEVELOPMENT]],IntCompactors_MRST[],5,FALSE))</f>
        <v/>
      </c>
      <c r="M231" s="28" t="str">
        <f>IF(Data[[#This Row],['# Exterior Compactors MRST]]=0,"",VLOOKUP(Data[[#This Row],[DEVELOPMENT]],ExtCompactors_MRST[],5,FALSE))</f>
        <v/>
      </c>
      <c r="N231">
        <f>Data[[#This Row],['# Interior Compactors MRST]]</f>
        <v>0</v>
      </c>
      <c r="O231" s="20">
        <f>IF(Data[[#This Row],['# Bulk Crushers]]=0,1,0)</f>
        <v>1</v>
      </c>
      <c r="P231" s="20">
        <f>1</f>
        <v>1</v>
      </c>
      <c r="Q231" s="20">
        <f>1</f>
        <v>1</v>
      </c>
      <c r="R231" s="20">
        <f>1</f>
        <v>1</v>
      </c>
      <c r="S231" s="20">
        <f>1</f>
        <v>1</v>
      </c>
      <c r="T231" s="20">
        <f>IF(Data[[#This Row],[Sewershed]]="Newtown Creek",Data[[#This Row],[DUs]],0)</f>
        <v>0</v>
      </c>
      <c r="U23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3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3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31" s="82">
        <f>VLOOKUP(Data[[#This Row],[DEVELOPMENT]],Development_Data_Book[[DEVELOPMENT]:[BOROUGH]],3,FALSE)</f>
        <v>516</v>
      </c>
      <c r="Y231" s="20"/>
      <c r="Z231" s="20">
        <f>IFERROR(VLOOKUP(Data[[#This Row],[TDS]],ExtCompactors_PNA[[Development]:[0]],2,FALSE),0)</f>
        <v>0</v>
      </c>
      <c r="AA231" s="20">
        <f>IFERROR(VLOOKUP(Data[[#This Row],[TDS]],IntCompactors_PNA[[TDS]:[0]],2,FALSE),0)</f>
        <v>4</v>
      </c>
      <c r="AB231" s="20"/>
      <c r="AC231" s="20"/>
      <c r="AD231" s="20">
        <f>IFERROR(VLOOKUP(Data[[#This Row],[TDS]],ExtCompactors_PNA[[Development]:[0]],3,FALSE)+VLOOKUP(Data[[#This Row],[TDS]],ExtCompactors_PNA[[Development]:[0]],6,FALSE),0)</f>
        <v>0</v>
      </c>
      <c r="AE231" s="20">
        <f>IFERROR(VLOOKUP(Data[[#This Row],[TDS]],IntCompactors_PNA[[TDS]:[0]],3,FALSE)+VLOOKUP(Data[[#This Row],[TDS]],IntCompactors_PNA[[TDS]:[0]],6,FALSE),0)</f>
        <v>4</v>
      </c>
      <c r="AF231" s="20" t="e">
        <f>VLOOKUP(Data[[#This Row],[DEVELOPMENT]],[3]Developments!$A$2:$A$312,1,FALSE)</f>
        <v>#N/A</v>
      </c>
      <c r="AG231" s="20">
        <f>IFERROR(VLOOKUP(Data[[#This Row],[DEVELOPMENT]],Ops_Priorities_and_Data_Clean[[development]:[ifnoext_comment]],3,FALSE),"")</f>
        <v>0</v>
      </c>
      <c r="AH231" s="20">
        <f>IFERROR(VLOOKUP(Data[[#This Row],[DEVELOPMENT]],Ops_Priorities_and_Data_Clean[[development]:[ifnoext_comment]],4,FALSE),"")</f>
        <v>0</v>
      </c>
      <c r="AI231" s="20">
        <f>IFERROR(VLOOKUP(Data[[#This Row],[DEVELOPMENT]],Ops_Priorities_and_Data_Clean[[development]:[ifnoext_comment]],5,FALSE),"")</f>
        <v>0</v>
      </c>
      <c r="AJ231" s="20">
        <f>IFERROR(VLOOKUP(Data[[#This Row],[DEVELOPMENT]],Ops_Priorities_and_Data_Clean[[development]:[ifnoext_comment]],6,FALSE),"")</f>
        <v>0</v>
      </c>
      <c r="AK231" s="20">
        <f>IFERROR(VLOOKUP(Data[[#This Row],[DEVELOPMENT]],Ops_Priorities_and_Data_Clean[[development]:[ifnoext_comment]],7,FALSE),"")</f>
        <v>1</v>
      </c>
      <c r="AL231" s="20">
        <f>IFERROR(VLOOKUP(Data[[#This Row],[DEVELOPMENT]],Ops_Priorities_and_Data_Clean[[development]:[ifnoext_comment]],8,FALSE),"")</f>
        <v>1</v>
      </c>
      <c r="AM231" s="20">
        <f>IFERROR(VLOOKUP(Data[[#This Row],[DEVELOPMENT]],Ops_Priorities_and_Data_Clean[[development]:[ifnoext_comment]],9,FALSE),"")</f>
        <v>0</v>
      </c>
      <c r="AN231" s="20">
        <f>IFERROR(VLOOKUP(Data[[#This Row],[DEVELOPMENT]],Ops_Priorities_and_Data_Clean[[development]:[ifnoext_comment]],10,FALSE),"")</f>
        <v>0</v>
      </c>
      <c r="AO231" s="20">
        <f>IFERROR(VLOOKUP(Data[[#This Row],[DEVELOPMENT]],Ops_Priorities_and_Data_Clean[[development]:[ifnoext_comment]],11,FALSE),"")</f>
        <v>0</v>
      </c>
      <c r="AP231" s="20">
        <f>IFERROR(VLOOKUP(Data[[#This Row],[DEVELOPMENT]],Ops_Priorities_and_Data_Clean[[development]:[ifnoext_comment]],12,FALSE),"")</f>
        <v>0</v>
      </c>
      <c r="AQ231" s="20">
        <f>VLOOKUP(Data[[#This Row],[DEVELOPMENT]],Ops_Priorities_and_Data_Clean[[development]:[ifnoext_comment]],14,FALSE)</f>
        <v>1</v>
      </c>
      <c r="AR231" s="20">
        <f>VLOOKUP(Data[[#This Row],[DEVELOPMENT]],Ops_Priorities_and_Data_Clean[[development]:[ifnoext_comment]],15,FALSE)</f>
        <v>0</v>
      </c>
      <c r="AS231" s="20" t="str">
        <f>VLOOKUP(Data[[#This Row],[DEVELOPMENT]],Ops_Priorities_and_Data_Clean[[development]:[ifnoext_comment]],16,FALSE)</f>
        <v>NULL</v>
      </c>
      <c r="AT231" s="20" t="str">
        <f>VLOOKUP(Data[[#This Row],[DEVELOPMENT]],Ops_Priorities_and_Data_Clean[[development]:[ifnoext_comment]],17,FALSE)</f>
        <v>NULL</v>
      </c>
      <c r="AU231" s="20" t="str">
        <f>VLOOKUP(Data[[#This Row],[DEVELOPMENT]],Ops_Priorities_and_Data_Clean[[development]:[ifnoext_comment]],18,FALSE)</f>
        <v>NULL</v>
      </c>
      <c r="AV231" s="20" t="str">
        <f>VLOOKUP(Data[[#This Row],[DEVELOPMENT]],Ops_Priorities_and_Data_Clean[[development]:[ifnoext_comment]],19,FALSE)</f>
        <v>NULL</v>
      </c>
      <c r="AW231" s="20" t="str">
        <f>VLOOKUP(Data[[#This Row],[DEVELOPMENT]],Ops_Priorities_and_Data_Clean[[development]:[ifnoext_comment]],20,FALSE)</f>
        <v>NULL</v>
      </c>
      <c r="AX231" s="104" t="s">
        <v>2596</v>
      </c>
      <c r="AY231" s="104" t="s">
        <v>2592</v>
      </c>
      <c r="AZ231" s="20" t="str">
        <f>VLOOKUP(Data[[#This Row],[DEVELOPMENT]],Development_Data_Book[[DEVELOPMENT]:[PRIVATE MANAGEMENT]],8,FALSE)</f>
        <v>FEDERAL</v>
      </c>
      <c r="BA231" s="104" t="s">
        <v>2586</v>
      </c>
      <c r="BB231" s="20">
        <f>VLOOKUP(Data[[#This Row],[DEVELOPMENT]],Development_Data_Book[[DEVELOPMENT]:[PRIVATE MANAGEMENT]],22,FALSE)</f>
        <v>0</v>
      </c>
      <c r="BC231" s="20">
        <f>Data[[#This Row],[Non-Dwelling Buildings]]+Data[[#This Row],[Dwelling Buildings]]</f>
        <v>4</v>
      </c>
      <c r="BD231" s="20">
        <f>VLOOKUP(Data[[#This Row],[DEVELOPMENT]],Development_Data_Book[[DEVELOPMENT]:[PRIVATE MANAGEMENT]],26,FALSE)</f>
        <v>0.62</v>
      </c>
      <c r="BE231" s="106">
        <v>176760</v>
      </c>
      <c r="BF231" s="20">
        <f>VLOOKUP(Data[[#This Row],[DEVELOPMENT]],Development_Data_Book[[DEVELOPMENT]:[PRIVATE MANAGEMENT]],18,FALSE)</f>
        <v>290</v>
      </c>
      <c r="BG23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31" s="104" t="s">
        <v>2593</v>
      </c>
      <c r="BI231" t="s">
        <v>184</v>
      </c>
      <c r="BJ231" s="20">
        <f>VLOOKUP(Data[[#This Row],[DEVELOPMENT]],Development_Data_Book[[DEVELOPMENT]:[PRIVATE MANAGEMENT]],41,FALSE)</f>
        <v>10</v>
      </c>
      <c r="BK231" s="20">
        <f>VLOOKUP(Data[[#This Row],[DEVELOPMENT]],Development_Data_Book[[DEVELOPMENT]:[PRIVATE MANAGEMENT]],42,FALSE)</f>
        <v>13</v>
      </c>
      <c r="BL231" s="20">
        <f>VLOOKUP(Data[[#This Row],[DEVELOPMENT]],Development_Data_Book[[DEVELOPMENT]:[PRIVATE MANAGEMENT]],43,FALSE)</f>
        <v>30</v>
      </c>
      <c r="BM231" s="20">
        <f>VLOOKUP(Data[[#This Row],[DEVELOPMENT]],Development_Data_Book[[DEVELOPMENT]:[PRIVATE MANAGEMENT]],44,FALSE)</f>
        <v>70</v>
      </c>
      <c r="BN231" s="20">
        <f>VLOOKUP(Data[[#This Row],[DEVELOPMENT]],Development_Data_Book[[DEVELOPMENT]:[PRIVATE MANAGEMENT]],45,FALSE)</f>
        <v>9</v>
      </c>
      <c r="BO231" s="20">
        <f>VLOOKUP(Data[[#This Row],[DEVELOPMENT]],Development_Data_Book[[DEVELOPMENT]:[PRIVATE MANAGEMENT]],24,FALSE)</f>
        <v>7</v>
      </c>
    </row>
    <row r="232" spans="1:67">
      <c r="A232" t="s">
        <v>252</v>
      </c>
      <c r="B232" s="20" t="str">
        <f>VLOOKUP(Data[[#This Row],[DEVELOPMENT]],Development_Data_Book[[DEVELOPMENT]:[BOROUGH]],MATCH("borough",Development_Data_Book[[#Headers],[DEVELOPMENT]:[BOROUGH]],0),FALSE)</f>
        <v>MANHATTAN</v>
      </c>
      <c r="C232" s="20" t="e">
        <f>VLOOKUP(Data[[#This Row],[DEVELOPMENT]],'[1]Cheat-Sheet'!$D$2:$Q$341,2,FALSE)</f>
        <v>#N/A</v>
      </c>
      <c r="D23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32" s="20">
        <f>VLOOKUP(Data[[#This Row],[DEVELOPMENT]],Development_Data_Book[[DEVELOPMENT]:[BOROUGH]],21,FALSE)</f>
        <v>1</v>
      </c>
      <c r="F232" s="20">
        <f>VLOOKUP(Data[[#This Row],[DEVELOPMENT]],Development_Data_Book[[DEVELOPMENT]:[BOROUGH]],23,FALSE)</f>
        <v>1</v>
      </c>
      <c r="G232" s="20">
        <f>VLOOKUP(Data[[#This Row],[DEVELOPMENT]],Development_Data_Book[[DEVELOPMENT]:[BOROUGH]],12,FALSE)</f>
        <v>40</v>
      </c>
      <c r="H232" t="s">
        <v>2611</v>
      </c>
      <c r="J232">
        <f>IFERROR(VLOOKUP(Data[[#This Row],[DEVELOPMENT]],IntCompactors_MRST[],4,FALSE),0)</f>
        <v>1</v>
      </c>
      <c r="K232" s="20">
        <f>IFERROR(VLOOKUP(Data[[#This Row],[DEVELOPMENT]],ExtCompactors_MRST[],4,FALSE),0)</f>
        <v>0</v>
      </c>
      <c r="L232" s="27">
        <f>IF(Data[[#This Row],['# Interior Compactors MRST]]=0,"",VLOOKUP(Data[[#This Row],[DEVELOPMENT]],IntCompactors_MRST[],5,FALSE))</f>
        <v>37836</v>
      </c>
      <c r="M232" s="28" t="str">
        <f>IF(Data[[#This Row],['# Exterior Compactors MRST]]=0,"",VLOOKUP(Data[[#This Row],[DEVELOPMENT]],ExtCompactors_MRST[],5,FALSE))</f>
        <v/>
      </c>
      <c r="N232" s="20">
        <f>Data[[#This Row],['# Interior Compactors MRST]]</f>
        <v>1</v>
      </c>
      <c r="O232" s="20">
        <f>IF(Data[[#This Row],['# Bulk Crushers]]=0,1,0)</f>
        <v>1</v>
      </c>
      <c r="P232" s="20">
        <f>1</f>
        <v>1</v>
      </c>
      <c r="Q232" s="20">
        <f>1</f>
        <v>1</v>
      </c>
      <c r="R232" s="20">
        <f>1</f>
        <v>1</v>
      </c>
      <c r="S232" s="20">
        <f>1</f>
        <v>1</v>
      </c>
      <c r="T232" s="20">
        <f>IF(Data[[#This Row],[Sewershed]]="Newtown Creek",Data[[#This Row],[DUs]],0)</f>
        <v>0</v>
      </c>
      <c r="U23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3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3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32" s="82">
        <f>VLOOKUP(Data[[#This Row],[DEVELOPMENT]],Development_Data_Book[[DEVELOPMENT]:[BOROUGH]],3,FALSE)</f>
        <v>517</v>
      </c>
      <c r="Y232" s="20"/>
      <c r="Z232" s="20">
        <f>IFERROR(VLOOKUP(Data[[#This Row],[TDS]],ExtCompactors_PNA[[Development]:[0]],2,FALSE),0)</f>
        <v>0</v>
      </c>
      <c r="AA232" s="20">
        <f>IFERROR(VLOOKUP(Data[[#This Row],[TDS]],IntCompactors_PNA[[TDS]:[0]],2,FALSE),0)</f>
        <v>1</v>
      </c>
      <c r="AB232" s="20"/>
      <c r="AC232" s="20"/>
      <c r="AD232" s="20">
        <f>IFERROR(VLOOKUP(Data[[#This Row],[TDS]],ExtCompactors_PNA[[Development]:[0]],3,FALSE)+VLOOKUP(Data[[#This Row],[TDS]],ExtCompactors_PNA[[Development]:[0]],6,FALSE),0)</f>
        <v>0</v>
      </c>
      <c r="AE232" s="20">
        <f>IFERROR(VLOOKUP(Data[[#This Row],[TDS]],IntCompactors_PNA[[TDS]:[0]],3,FALSE)+VLOOKUP(Data[[#This Row],[TDS]],IntCompactors_PNA[[TDS]:[0]],6,FALSE),0)</f>
        <v>1</v>
      </c>
      <c r="AF232" s="20" t="e">
        <f>VLOOKUP(Data[[#This Row],[DEVELOPMENT]],[3]Developments!$A$2:$A$312,1,FALSE)</f>
        <v>#N/A</v>
      </c>
      <c r="AG232" s="20">
        <f>IFERROR(VLOOKUP(Data[[#This Row],[DEVELOPMENT]],Ops_Priorities_and_Data_Clean[[development]:[ifnoext_comment]],3,FALSE),"")</f>
        <v>0</v>
      </c>
      <c r="AH232" s="20">
        <f>IFERROR(VLOOKUP(Data[[#This Row],[DEVELOPMENT]],Ops_Priorities_and_Data_Clean[[development]:[ifnoext_comment]],4,FALSE),"")</f>
        <v>0</v>
      </c>
      <c r="AI232" s="20">
        <f>IFERROR(VLOOKUP(Data[[#This Row],[DEVELOPMENT]],Ops_Priorities_and_Data_Clean[[development]:[ifnoext_comment]],5,FALSE),"")</f>
        <v>0</v>
      </c>
      <c r="AJ232" s="20">
        <f>IFERROR(VLOOKUP(Data[[#This Row],[DEVELOPMENT]],Ops_Priorities_and_Data_Clean[[development]:[ifnoext_comment]],6,FALSE),"")</f>
        <v>0</v>
      </c>
      <c r="AK232" s="20">
        <f>IFERROR(VLOOKUP(Data[[#This Row],[DEVELOPMENT]],Ops_Priorities_and_Data_Clean[[development]:[ifnoext_comment]],7,FALSE),"")</f>
        <v>1</v>
      </c>
      <c r="AL232" s="20">
        <f>IFERROR(VLOOKUP(Data[[#This Row],[DEVELOPMENT]],Ops_Priorities_and_Data_Clean[[development]:[ifnoext_comment]],8,FALSE),"")</f>
        <v>1</v>
      </c>
      <c r="AM232" s="20">
        <f>IFERROR(VLOOKUP(Data[[#This Row],[DEVELOPMENT]],Ops_Priorities_and_Data_Clean[[development]:[ifnoext_comment]],9,FALSE),"")</f>
        <v>0</v>
      </c>
      <c r="AN232" s="20">
        <f>IFERROR(VLOOKUP(Data[[#This Row],[DEVELOPMENT]],Ops_Priorities_and_Data_Clean[[development]:[ifnoext_comment]],10,FALSE),"")</f>
        <v>0</v>
      </c>
      <c r="AO232" s="20">
        <f>IFERROR(VLOOKUP(Data[[#This Row],[DEVELOPMENT]],Ops_Priorities_and_Data_Clean[[development]:[ifnoext_comment]],11,FALSE),"")</f>
        <v>0</v>
      </c>
      <c r="AP232" s="20">
        <f>IFERROR(VLOOKUP(Data[[#This Row],[DEVELOPMENT]],Ops_Priorities_and_Data_Clean[[development]:[ifnoext_comment]],12,FALSE),"")</f>
        <v>0</v>
      </c>
      <c r="AQ232" s="20">
        <f>VLOOKUP(Data[[#This Row],[DEVELOPMENT]],Ops_Priorities_and_Data_Clean[[development]:[ifnoext_comment]],14,FALSE)</f>
        <v>1</v>
      </c>
      <c r="AR232" s="20">
        <f>VLOOKUP(Data[[#This Row],[DEVELOPMENT]],Ops_Priorities_and_Data_Clean[[development]:[ifnoext_comment]],15,FALSE)</f>
        <v>0</v>
      </c>
      <c r="AS232" s="20" t="str">
        <f>VLOOKUP(Data[[#This Row],[DEVELOPMENT]],Ops_Priorities_and_Data_Clean[[development]:[ifnoext_comment]],16,FALSE)</f>
        <v>NULL</v>
      </c>
      <c r="AT232" s="20" t="str">
        <f>VLOOKUP(Data[[#This Row],[DEVELOPMENT]],Ops_Priorities_and_Data_Clean[[development]:[ifnoext_comment]],17,FALSE)</f>
        <v>NULL</v>
      </c>
      <c r="AU232" s="20" t="str">
        <f>VLOOKUP(Data[[#This Row],[DEVELOPMENT]],Ops_Priorities_and_Data_Clean[[development]:[ifnoext_comment]],18,FALSE)</f>
        <v>NULL</v>
      </c>
      <c r="AV232" s="20" t="str">
        <f>VLOOKUP(Data[[#This Row],[DEVELOPMENT]],Ops_Priorities_and_Data_Clean[[development]:[ifnoext_comment]],19,FALSE)</f>
        <v>NULL</v>
      </c>
      <c r="AW232" s="20" t="str">
        <f>VLOOKUP(Data[[#This Row],[DEVELOPMENT]],Ops_Priorities_and_Data_Clean[[development]:[ifnoext_comment]],20,FALSE)</f>
        <v>NULL</v>
      </c>
      <c r="AX232" s="104" t="s">
        <v>2605</v>
      </c>
      <c r="AY232" s="104" t="s">
        <v>2597</v>
      </c>
      <c r="AZ232" s="20" t="str">
        <f>VLOOKUP(Data[[#This Row],[DEVELOPMENT]],Development_Data_Book[[DEVELOPMENT]:[PRIVATE MANAGEMENT]],8,FALSE)</f>
        <v>FEDERAL</v>
      </c>
      <c r="BA232" s="104" t="s">
        <v>2586</v>
      </c>
      <c r="BB232" s="20">
        <f>VLOOKUP(Data[[#This Row],[DEVELOPMENT]],Development_Data_Book[[DEVELOPMENT]:[PRIVATE MANAGEMENT]],22,FALSE)</f>
        <v>0</v>
      </c>
      <c r="BC232" s="20">
        <f>Data[[#This Row],[Non-Dwelling Buildings]]+Data[[#This Row],[Dwelling Buildings]]</f>
        <v>1</v>
      </c>
      <c r="BD232" s="20">
        <f>VLOOKUP(Data[[#This Row],[DEVELOPMENT]],Development_Data_Book[[DEVELOPMENT]:[PRIVATE MANAGEMENT]],26,FALSE)</f>
        <v>0.23</v>
      </c>
      <c r="BE232" s="106">
        <v>49365</v>
      </c>
      <c r="BF232" s="20">
        <f>VLOOKUP(Data[[#This Row],[DEVELOPMENT]],Development_Data_Book[[DEVELOPMENT]:[PRIVATE MANAGEMENT]],18,FALSE)</f>
        <v>67</v>
      </c>
      <c r="BG23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32" s="104" t="s">
        <v>2598</v>
      </c>
      <c r="BI232" t="s">
        <v>184</v>
      </c>
      <c r="BJ232" s="20">
        <f>VLOOKUP(Data[[#This Row],[DEVELOPMENT]],Development_Data_Book[[DEVELOPMENT]:[PRIVATE MANAGEMENT]],41,FALSE)</f>
        <v>7</v>
      </c>
      <c r="BK232" s="20">
        <f>VLOOKUP(Data[[#This Row],[DEVELOPMENT]],Development_Data_Book[[DEVELOPMENT]:[PRIVATE MANAGEMENT]],42,FALSE)</f>
        <v>10</v>
      </c>
      <c r="BL232" s="20">
        <f>VLOOKUP(Data[[#This Row],[DEVELOPMENT]],Development_Data_Book[[DEVELOPMENT]:[PRIVATE MANAGEMENT]],43,FALSE)</f>
        <v>30</v>
      </c>
      <c r="BM232" s="20">
        <f>VLOOKUP(Data[[#This Row],[DEVELOPMENT]],Development_Data_Book[[DEVELOPMENT]:[PRIVATE MANAGEMENT]],44,FALSE)</f>
        <v>69</v>
      </c>
      <c r="BN232" s="20">
        <f>VLOOKUP(Data[[#This Row],[DEVELOPMENT]],Development_Data_Book[[DEVELOPMENT]:[PRIVATE MANAGEMENT]],45,FALSE)</f>
        <v>6</v>
      </c>
      <c r="BO232" s="20">
        <f>VLOOKUP(Data[[#This Row],[DEVELOPMENT]],Development_Data_Book[[DEVELOPMENT]:[PRIVATE MANAGEMENT]],24,FALSE)</f>
        <v>5</v>
      </c>
    </row>
    <row r="233" spans="1:67">
      <c r="A233" t="s">
        <v>356</v>
      </c>
      <c r="B233" s="20" t="str">
        <f>VLOOKUP(Data[[#This Row],[DEVELOPMENT]],Development_Data_Book[[DEVELOPMENT]:[BOROUGH]],MATCH("borough",Development_Data_Book[[#Headers],[DEVELOPMENT]:[BOROUGH]],0),FALSE)</f>
        <v>BROOKLYN</v>
      </c>
      <c r="C233" s="20" t="e">
        <f>VLOOKUP(Data[[#This Row],[DEVELOPMENT]],'[1]Cheat-Sheet'!$D$2:$Q$341,2,FALSE)</f>
        <v>#N/A</v>
      </c>
      <c r="D23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33" s="20">
        <f>VLOOKUP(Data[[#This Row],[DEVELOPMENT]],Development_Data_Book[[DEVELOPMENT]:[BOROUGH]],21,FALSE)</f>
        <v>1</v>
      </c>
      <c r="F233" s="20">
        <f>VLOOKUP(Data[[#This Row],[DEVELOPMENT]],Development_Data_Book[[DEVELOPMENT]:[BOROUGH]],23,FALSE)</f>
        <v>1</v>
      </c>
      <c r="G233" s="20">
        <f>VLOOKUP(Data[[#This Row],[DEVELOPMENT]],Development_Data_Book[[DEVELOPMENT]:[BOROUGH]],12,FALSE)</f>
        <v>227</v>
      </c>
      <c r="J233">
        <f>IFERROR(VLOOKUP(Data[[#This Row],[DEVELOPMENT]],IntCompactors_MRST[],4,FALSE),0)</f>
        <v>1</v>
      </c>
      <c r="K233" s="20">
        <f>IFERROR(VLOOKUP(Data[[#This Row],[DEVELOPMENT]],ExtCompactors_MRST[],4,FALSE),0)</f>
        <v>0</v>
      </c>
      <c r="L233" s="27">
        <f>IF(Data[[#This Row],['# Interior Compactors MRST]]=0,"",VLOOKUP(Data[[#This Row],[DEVELOPMENT]],IntCompactors_MRST[],5,FALSE))</f>
        <v>42979</v>
      </c>
      <c r="M233" s="28" t="str">
        <f>IF(Data[[#This Row],['# Exterior Compactors MRST]]=0,"",VLOOKUP(Data[[#This Row],[DEVELOPMENT]],ExtCompactors_MRST[],5,FALSE))</f>
        <v/>
      </c>
      <c r="N233" s="20">
        <f>Data[[#This Row],['# Interior Compactors MRST]]</f>
        <v>1</v>
      </c>
      <c r="O233" s="20">
        <f>IF(Data[[#This Row],['# Bulk Crushers]]=0,1,0)</f>
        <v>1</v>
      </c>
      <c r="P233" s="20">
        <f>1</f>
        <v>1</v>
      </c>
      <c r="Q233" s="20">
        <f>1</f>
        <v>1</v>
      </c>
      <c r="R233" s="20">
        <f>1</f>
        <v>1</v>
      </c>
      <c r="S233" s="20">
        <f>1</f>
        <v>1</v>
      </c>
      <c r="T233" s="20">
        <f>IF(Data[[#This Row],[Sewershed]]="Newtown Creek",Data[[#This Row],[DUs]],0)</f>
        <v>0</v>
      </c>
      <c r="U23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3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3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33" s="82">
        <f>VLOOKUP(Data[[#This Row],[DEVELOPMENT]],Development_Data_Book[[DEVELOPMENT]:[BOROUGH]],3,FALSE)</f>
        <v>167</v>
      </c>
      <c r="Y233" s="20"/>
      <c r="Z233" s="20">
        <f>IFERROR(VLOOKUP(Data[[#This Row],[TDS]],ExtCompactors_PNA[[Development]:[0]],2,FALSE),0)</f>
        <v>0</v>
      </c>
      <c r="AA233" s="20">
        <f>IFERROR(VLOOKUP(Data[[#This Row],[TDS]],IntCompactors_PNA[[TDS]:[0]],2,FALSE),0)</f>
        <v>1</v>
      </c>
      <c r="AB233" s="20"/>
      <c r="AC233" s="20"/>
      <c r="AD233" s="20">
        <f>IFERROR(VLOOKUP(Data[[#This Row],[TDS]],ExtCompactors_PNA[[Development]:[0]],3,FALSE)+VLOOKUP(Data[[#This Row],[TDS]],ExtCompactors_PNA[[Development]:[0]],6,FALSE),0)</f>
        <v>0</v>
      </c>
      <c r="AE233" s="20">
        <f>IFERROR(VLOOKUP(Data[[#This Row],[TDS]],IntCompactors_PNA[[TDS]:[0]],3,FALSE)+VLOOKUP(Data[[#This Row],[TDS]],IntCompactors_PNA[[TDS]:[0]],6,FALSE),0)</f>
        <v>1</v>
      </c>
      <c r="AF233" s="20" t="e">
        <f>VLOOKUP(Data[[#This Row],[DEVELOPMENT]],[3]Developments!$A$2:$A$312,1,FALSE)</f>
        <v>#N/A</v>
      </c>
      <c r="AG233" s="20">
        <f>IFERROR(VLOOKUP(Data[[#This Row],[DEVELOPMENT]],Ops_Priorities_and_Data_Clean[[development]:[ifnoext_comment]],3,FALSE),"")</f>
        <v>0</v>
      </c>
      <c r="AH233" s="20">
        <f>IFERROR(VLOOKUP(Data[[#This Row],[DEVELOPMENT]],Ops_Priorities_and_Data_Clean[[development]:[ifnoext_comment]],4,FALSE),"")</f>
        <v>0</v>
      </c>
      <c r="AI233" s="20">
        <f>IFERROR(VLOOKUP(Data[[#This Row],[DEVELOPMENT]],Ops_Priorities_and_Data_Clean[[development]:[ifnoext_comment]],5,FALSE),"")</f>
        <v>0</v>
      </c>
      <c r="AJ233" s="20">
        <f>IFERROR(VLOOKUP(Data[[#This Row],[DEVELOPMENT]],Ops_Priorities_and_Data_Clean[[development]:[ifnoext_comment]],6,FALSE),"")</f>
        <v>0</v>
      </c>
      <c r="AK233" s="20">
        <f>IFERROR(VLOOKUP(Data[[#This Row],[DEVELOPMENT]],Ops_Priorities_and_Data_Clean[[development]:[ifnoext_comment]],7,FALSE),"")</f>
        <v>1</v>
      </c>
      <c r="AL233" s="20">
        <f>IFERROR(VLOOKUP(Data[[#This Row],[DEVELOPMENT]],Ops_Priorities_and_Data_Clean[[development]:[ifnoext_comment]],8,FALSE),"")</f>
        <v>1</v>
      </c>
      <c r="AM233" s="20">
        <f>IFERROR(VLOOKUP(Data[[#This Row],[DEVELOPMENT]],Ops_Priorities_and_Data_Clean[[development]:[ifnoext_comment]],9,FALSE),"")</f>
        <v>1</v>
      </c>
      <c r="AN233" s="20">
        <f>IFERROR(VLOOKUP(Data[[#This Row],[DEVELOPMENT]],Ops_Priorities_and_Data_Clean[[development]:[ifnoext_comment]],10,FALSE),"")</f>
        <v>0</v>
      </c>
      <c r="AO233" s="20">
        <f>IFERROR(VLOOKUP(Data[[#This Row],[DEVELOPMENT]],Ops_Priorities_and_Data_Clean[[development]:[ifnoext_comment]],11,FALSE),"")</f>
        <v>0</v>
      </c>
      <c r="AP233" s="20">
        <f>IFERROR(VLOOKUP(Data[[#This Row],[DEVELOPMENT]],Ops_Priorities_and_Data_Clean[[development]:[ifnoext_comment]],12,FALSE),"")</f>
        <v>0</v>
      </c>
      <c r="AQ233" s="20">
        <f>VLOOKUP(Data[[#This Row],[DEVELOPMENT]],Ops_Priorities_and_Data_Clean[[development]:[ifnoext_comment]],14,FALSE)</f>
        <v>1</v>
      </c>
      <c r="AR233" s="20">
        <f>VLOOKUP(Data[[#This Row],[DEVELOPMENT]],Ops_Priorities_and_Data_Clean[[development]:[ifnoext_comment]],15,FALSE)</f>
        <v>0</v>
      </c>
      <c r="AS233" s="20" t="str">
        <f>VLOOKUP(Data[[#This Row],[DEVELOPMENT]],Ops_Priorities_and_Data_Clean[[development]:[ifnoext_comment]],16,FALSE)</f>
        <v>NULL</v>
      </c>
      <c r="AT233" s="20" t="str">
        <f>VLOOKUP(Data[[#This Row],[DEVELOPMENT]],Ops_Priorities_and_Data_Clean[[development]:[ifnoext_comment]],17,FALSE)</f>
        <v>NULL</v>
      </c>
      <c r="AU233" s="20" t="str">
        <f>VLOOKUP(Data[[#This Row],[DEVELOPMENT]],Ops_Priorities_and_Data_Clean[[development]:[ifnoext_comment]],18,FALSE)</f>
        <v>NULL</v>
      </c>
      <c r="AV233" s="20" t="str">
        <f>VLOOKUP(Data[[#This Row],[DEVELOPMENT]],Ops_Priorities_and_Data_Clean[[development]:[ifnoext_comment]],19,FALSE)</f>
        <v>NULL</v>
      </c>
      <c r="AW233" s="20" t="str">
        <f>VLOOKUP(Data[[#This Row],[DEVELOPMENT]],Ops_Priorities_and_Data_Clean[[development]:[ifnoext_comment]],20,FALSE)</f>
        <v>NULL</v>
      </c>
      <c r="AX233" s="104" t="s">
        <v>2238</v>
      </c>
      <c r="AY233" s="104" t="s">
        <v>2641</v>
      </c>
      <c r="AZ233" s="20" t="str">
        <f>VLOOKUP(Data[[#This Row],[DEVELOPMENT]],Development_Data_Book[[DEVELOPMENT]:[PRIVATE MANAGEMENT]],8,FALSE)</f>
        <v>FEDERAL</v>
      </c>
      <c r="BA233" s="104" t="s">
        <v>2586</v>
      </c>
      <c r="BB233" s="20">
        <f>VLOOKUP(Data[[#This Row],[DEVELOPMENT]],Development_Data_Book[[DEVELOPMENT]:[PRIVATE MANAGEMENT]],22,FALSE)</f>
        <v>0</v>
      </c>
      <c r="BC233" s="20">
        <f>Data[[#This Row],[Non-Dwelling Buildings]]+Data[[#This Row],[Dwelling Buildings]]</f>
        <v>1</v>
      </c>
      <c r="BD233" s="20">
        <f>VLOOKUP(Data[[#This Row],[DEVELOPMENT]],Development_Data_Book[[DEVELOPMENT]:[PRIVATE MANAGEMENT]],26,FALSE)</f>
        <v>1.58</v>
      </c>
      <c r="BE233" s="106">
        <v>151250</v>
      </c>
      <c r="BF233" s="20">
        <f>VLOOKUP(Data[[#This Row],[DEVELOPMENT]],Development_Data_Book[[DEVELOPMENT]:[PRIVATE MANAGEMENT]],18,FALSE)</f>
        <v>235</v>
      </c>
      <c r="BG233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33" s="104" t="s">
        <v>2589</v>
      </c>
      <c r="BI233" t="s">
        <v>184</v>
      </c>
      <c r="BJ233" s="20">
        <f>VLOOKUP(Data[[#This Row],[DEVELOPMENT]],Development_Data_Book[[DEVELOPMENT]:[PRIVATE MANAGEMENT]],41,FALSE)</f>
        <v>9</v>
      </c>
      <c r="BK233" s="20">
        <f>VLOOKUP(Data[[#This Row],[DEVELOPMENT]],Development_Data_Book[[DEVELOPMENT]:[PRIVATE MANAGEMENT]],42,FALSE)</f>
        <v>9</v>
      </c>
      <c r="BL233" s="20">
        <f>VLOOKUP(Data[[#This Row],[DEVELOPMENT]],Development_Data_Book[[DEVELOPMENT]:[PRIVATE MANAGEMENT]],43,FALSE)</f>
        <v>20</v>
      </c>
      <c r="BM233" s="20">
        <f>VLOOKUP(Data[[#This Row],[DEVELOPMENT]],Development_Data_Book[[DEVELOPMENT]:[PRIVATE MANAGEMENT]],44,FALSE)</f>
        <v>43</v>
      </c>
      <c r="BN233" s="20">
        <f>VLOOKUP(Data[[#This Row],[DEVELOPMENT]],Development_Data_Book[[DEVELOPMENT]:[PRIVATE MANAGEMENT]],45,FALSE)</f>
        <v>41</v>
      </c>
      <c r="BO233" s="20">
        <f>VLOOKUP(Data[[#This Row],[DEVELOPMENT]],Development_Data_Book[[DEVELOPMENT]:[PRIVATE MANAGEMENT]],24,FALSE)</f>
        <v>20</v>
      </c>
    </row>
    <row r="234" spans="1:67">
      <c r="A234" t="s">
        <v>357</v>
      </c>
      <c r="B234" s="20" t="str">
        <f>VLOOKUP(Data[[#This Row],[DEVELOPMENT]],Development_Data_Book[[DEVELOPMENT]:[BOROUGH]],MATCH("borough",Development_Data_Book[[#Headers],[DEVELOPMENT]:[BOROUGH]],0),FALSE)</f>
        <v>STATEN ISLAND</v>
      </c>
      <c r="C234" s="20" t="e">
        <f>VLOOKUP(Data[[#This Row],[DEVELOPMENT]],'[1]Cheat-Sheet'!$D$2:$Q$341,2,FALSE)</f>
        <v>#N/A</v>
      </c>
      <c r="D23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34" s="20">
        <f>VLOOKUP(Data[[#This Row],[DEVELOPMENT]],Development_Data_Book[[DEVELOPMENT]:[BOROUGH]],21,FALSE)</f>
        <v>6</v>
      </c>
      <c r="F234" s="20">
        <f>VLOOKUP(Data[[#This Row],[DEVELOPMENT]],Development_Data_Book[[DEVELOPMENT]:[BOROUGH]],23,FALSE)</f>
        <v>7</v>
      </c>
      <c r="G234" s="20">
        <f>VLOOKUP(Data[[#This Row],[DEVELOPMENT]],Development_Data_Book[[DEVELOPMENT]:[BOROUGH]],12,FALSE)</f>
        <v>488</v>
      </c>
      <c r="J234">
        <f>IFERROR(VLOOKUP(Data[[#This Row],[DEVELOPMENT]],IntCompactors_MRST[],4,FALSE),0)</f>
        <v>6</v>
      </c>
      <c r="K234" s="20">
        <f>IFERROR(VLOOKUP(Data[[#This Row],[DEVELOPMENT]],ExtCompactors_MRST[],4,FALSE),0)</f>
        <v>2</v>
      </c>
      <c r="L234" s="27">
        <f>IF(Data[[#This Row],['# Interior Compactors MRST]]=0,"",VLOOKUP(Data[[#This Row],[DEVELOPMENT]],IntCompactors_MRST[],5,FALSE))</f>
        <v>37834</v>
      </c>
      <c r="M234" s="28">
        <f>IF(Data[[#This Row],['# Exterior Compactors MRST]]=0,"",VLOOKUP(Data[[#This Row],[DEVELOPMENT]],ExtCompactors_MRST[],5,FALSE))</f>
        <v>41922</v>
      </c>
      <c r="N234" s="20">
        <f>Data[[#This Row],['# Interior Compactors MRST]]</f>
        <v>6</v>
      </c>
      <c r="O234" s="20">
        <f>IF(Data[[#This Row],['# Bulk Crushers]]=0,1,0)</f>
        <v>1</v>
      </c>
      <c r="P234" s="20">
        <f>1</f>
        <v>1</v>
      </c>
      <c r="Q234" s="20">
        <f>1</f>
        <v>1</v>
      </c>
      <c r="R234" s="20">
        <f>1</f>
        <v>1</v>
      </c>
      <c r="S234" s="20">
        <f>1</f>
        <v>1</v>
      </c>
      <c r="T234" s="20">
        <f>IF(Data[[#This Row],[Sewershed]]="Newtown Creek",Data[[#This Row],[DUs]],0)</f>
        <v>0</v>
      </c>
      <c r="U23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3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3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34" s="82">
        <f>VLOOKUP(Data[[#This Row],[DEVELOPMENT]],Development_Data_Book[[DEVELOPMENT]:[BOROUGH]],3,FALSE)</f>
        <v>117</v>
      </c>
      <c r="Y234" s="20"/>
      <c r="Z234" s="20">
        <f>IFERROR(VLOOKUP(Data[[#This Row],[TDS]],ExtCompactors_PNA[[Development]:[0]],2,FALSE),0)</f>
        <v>2</v>
      </c>
      <c r="AA234" s="20">
        <f>IFERROR(VLOOKUP(Data[[#This Row],[TDS]],IntCompactors_PNA[[TDS]:[0]],2,FALSE),0)</f>
        <v>6</v>
      </c>
      <c r="AB234" s="20"/>
      <c r="AC234" s="20"/>
      <c r="AD234" s="20">
        <f>IFERROR(VLOOKUP(Data[[#This Row],[TDS]],ExtCompactors_PNA[[Development]:[0]],3,FALSE)+VLOOKUP(Data[[#This Row],[TDS]],ExtCompactors_PNA[[Development]:[0]],6,FALSE),0)</f>
        <v>0</v>
      </c>
      <c r="AE234" s="20">
        <f>IFERROR(VLOOKUP(Data[[#This Row],[TDS]],IntCompactors_PNA[[TDS]:[0]],3,FALSE)+VLOOKUP(Data[[#This Row],[TDS]],IntCompactors_PNA[[TDS]:[0]],6,FALSE),0)</f>
        <v>6</v>
      </c>
      <c r="AF234" s="20" t="e">
        <f>VLOOKUP(Data[[#This Row],[DEVELOPMENT]],[3]Developments!$A$2:$A$312,1,FALSE)</f>
        <v>#N/A</v>
      </c>
      <c r="AG234" s="20">
        <f>IFERROR(VLOOKUP(Data[[#This Row],[DEVELOPMENT]],Ops_Priorities_and_Data_Clean[[development]:[ifnoext_comment]],3,FALSE),"")</f>
        <v>2</v>
      </c>
      <c r="AH234" s="20">
        <f>IFERROR(VLOOKUP(Data[[#This Row],[DEVELOPMENT]],Ops_Priorities_and_Data_Clean[[development]:[ifnoext_comment]],4,FALSE),"")</f>
        <v>0</v>
      </c>
      <c r="AI234" s="20">
        <f>IFERROR(VLOOKUP(Data[[#This Row],[DEVELOPMENT]],Ops_Priorities_and_Data_Clean[[development]:[ifnoext_comment]],5,FALSE),"")</f>
        <v>1</v>
      </c>
      <c r="AJ234" s="20">
        <f>IFERROR(VLOOKUP(Data[[#This Row],[DEVELOPMENT]],Ops_Priorities_and_Data_Clean[[development]:[ifnoext_comment]],6,FALSE),"")</f>
        <v>0</v>
      </c>
      <c r="AK234" s="20">
        <f>IFERROR(VLOOKUP(Data[[#This Row],[DEVELOPMENT]],Ops_Priorities_and_Data_Clean[[development]:[ifnoext_comment]],7,FALSE),"")</f>
        <v>0</v>
      </c>
      <c r="AL234" s="20">
        <f>IFERROR(VLOOKUP(Data[[#This Row],[DEVELOPMENT]],Ops_Priorities_and_Data_Clean[[development]:[ifnoext_comment]],8,FALSE),"")</f>
        <v>1</v>
      </c>
      <c r="AM234" s="20">
        <f>IFERROR(VLOOKUP(Data[[#This Row],[DEVELOPMENT]],Ops_Priorities_and_Data_Clean[[development]:[ifnoext_comment]],9,FALSE),"")</f>
        <v>0</v>
      </c>
      <c r="AN234" s="20">
        <f>IFERROR(VLOOKUP(Data[[#This Row],[DEVELOPMENT]],Ops_Priorities_and_Data_Clean[[development]:[ifnoext_comment]],10,FALSE),"")</f>
        <v>1</v>
      </c>
      <c r="AO234" s="20">
        <f>IFERROR(VLOOKUP(Data[[#This Row],[DEVELOPMENT]],Ops_Priorities_and_Data_Clean[[development]:[ifnoext_comment]],11,FALSE),"")</f>
        <v>2</v>
      </c>
      <c r="AP234" s="20">
        <f>IFERROR(VLOOKUP(Data[[#This Row],[DEVELOPMENT]],Ops_Priorities_and_Data_Clean[[development]:[ifnoext_comment]],12,FALSE),"")</f>
        <v>2</v>
      </c>
      <c r="AQ234" s="20">
        <f>VLOOKUP(Data[[#This Row],[DEVELOPMENT]],Ops_Priorities_and_Data_Clean[[development]:[ifnoext_comment]],14,FALSE)</f>
        <v>0</v>
      </c>
      <c r="AR234" s="20">
        <f>VLOOKUP(Data[[#This Row],[DEVELOPMENT]],Ops_Priorities_and_Data_Clean[[development]:[ifnoext_comment]],15,FALSE)</f>
        <v>0</v>
      </c>
      <c r="AS234" s="20" t="str">
        <f>VLOOKUP(Data[[#This Row],[DEVELOPMENT]],Ops_Priorities_and_Data_Clean[[development]:[ifnoext_comment]],16,FALSE)</f>
        <v>NULL</v>
      </c>
      <c r="AT234" s="20" t="str">
        <f>VLOOKUP(Data[[#This Row],[DEVELOPMENT]],Ops_Priorities_and_Data_Clean[[development]:[ifnoext_comment]],17,FALSE)</f>
        <v>NULL</v>
      </c>
      <c r="AU234" s="20" t="str">
        <f>VLOOKUP(Data[[#This Row],[DEVELOPMENT]],Ops_Priorities_and_Data_Clean[[development]:[ifnoext_comment]],18,FALSE)</f>
        <v>NULL</v>
      </c>
      <c r="AV234" s="20" t="str">
        <f>VLOOKUP(Data[[#This Row],[DEVELOPMENT]],Ops_Priorities_and_Data_Clean[[development]:[ifnoext_comment]],19,FALSE)</f>
        <v>NULL</v>
      </c>
      <c r="AW234" s="20" t="str">
        <f>VLOOKUP(Data[[#This Row],[DEVELOPMENT]],Ops_Priorities_and_Data_Clean[[development]:[ifnoext_comment]],20,FALSE)</f>
        <v>NULL</v>
      </c>
      <c r="AX234" s="104" t="s">
        <v>2614</v>
      </c>
      <c r="AY234" s="104" t="s">
        <v>2670</v>
      </c>
      <c r="AZ234" s="20" t="str">
        <f>VLOOKUP(Data[[#This Row],[DEVELOPMENT]],Development_Data_Book[[DEVELOPMENT]:[PRIVATE MANAGEMENT]],8,FALSE)</f>
        <v>FEDERAL</v>
      </c>
      <c r="BA234" s="104" t="s">
        <v>2586</v>
      </c>
      <c r="BB234" s="20">
        <f>VLOOKUP(Data[[#This Row],[DEVELOPMENT]],Development_Data_Book[[DEVELOPMENT]:[PRIVATE MANAGEMENT]],22,FALSE)</f>
        <v>1</v>
      </c>
      <c r="BC234" s="20">
        <f>Data[[#This Row],[Non-Dwelling Buildings]]+Data[[#This Row],[Dwelling Buildings]]</f>
        <v>7</v>
      </c>
      <c r="BD234" s="20">
        <f>VLOOKUP(Data[[#This Row],[DEVELOPMENT]],Development_Data_Book[[DEVELOPMENT]:[PRIVATE MANAGEMENT]],26,FALSE)</f>
        <v>10.66</v>
      </c>
      <c r="BE234" s="106">
        <v>503660</v>
      </c>
      <c r="BF234" s="20">
        <f>VLOOKUP(Data[[#This Row],[DEVELOPMENT]],Development_Data_Book[[DEVELOPMENT]:[PRIVATE MANAGEMENT]],18,FALSE)</f>
        <v>1269</v>
      </c>
      <c r="BG23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34" s="104" t="s">
        <v>2591</v>
      </c>
      <c r="BI234" t="s">
        <v>184</v>
      </c>
      <c r="BJ234" s="20">
        <f>VLOOKUP(Data[[#This Row],[DEVELOPMENT]],Development_Data_Book[[DEVELOPMENT]:[PRIVATE MANAGEMENT]],41,FALSE)</f>
        <v>1</v>
      </c>
      <c r="BK234" s="20">
        <f>VLOOKUP(Data[[#This Row],[DEVELOPMENT]],Development_Data_Book[[DEVELOPMENT]:[PRIVATE MANAGEMENT]],42,FALSE)</f>
        <v>11</v>
      </c>
      <c r="BL234" s="20">
        <f>VLOOKUP(Data[[#This Row],[DEVELOPMENT]],Development_Data_Book[[DEVELOPMENT]:[PRIVATE MANAGEMENT]],43,FALSE)</f>
        <v>23</v>
      </c>
      <c r="BM234" s="20">
        <f>VLOOKUP(Data[[#This Row],[DEVELOPMENT]],Development_Data_Book[[DEVELOPMENT]:[PRIVATE MANAGEMENT]],44,FALSE)</f>
        <v>61</v>
      </c>
      <c r="BN234" s="20">
        <f>VLOOKUP(Data[[#This Row],[DEVELOPMENT]],Development_Data_Book[[DEVELOPMENT]:[PRIVATE MANAGEMENT]],45,FALSE)</f>
        <v>49</v>
      </c>
      <c r="BO234" s="20">
        <f>VLOOKUP(Data[[#This Row],[DEVELOPMENT]],Development_Data_Book[[DEVELOPMENT]:[PRIVATE MANAGEMENT]],24,FALSE)</f>
        <v>8</v>
      </c>
    </row>
    <row r="235" spans="1:67">
      <c r="A235" s="17" t="s">
        <v>55</v>
      </c>
      <c r="B235" s="17" t="str">
        <f>VLOOKUP(Data[[#This Row],[DEVELOPMENT]],Development_Data_Book[[DEVELOPMENT]:[BOROUGH]],MATCH("borough",Development_Data_Book[[#Headers],[DEVELOPMENT]:[BOROUGH]],0),FALSE)</f>
        <v>MANHATTAN</v>
      </c>
      <c r="C235" t="e">
        <f>VLOOKUP(Data[[#This Row],[DEVELOPMENT]],'[1]Cheat-Sheet'!$D$2:$Q$341,2,FALSE)</f>
        <v>#N/A</v>
      </c>
      <c r="D23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35">
        <f>VLOOKUP(Data[[#This Row],[DEVELOPMENT]],Development_Data_Book[[DEVELOPMENT]:[BOROUGH]],21,FALSE)</f>
        <v>13</v>
      </c>
      <c r="F235">
        <f>VLOOKUP(Data[[#This Row],[DEVELOPMENT]],Development_Data_Book[[DEVELOPMENT]:[BOROUGH]],23,FALSE)</f>
        <v>18</v>
      </c>
      <c r="G235">
        <f>VLOOKUP(Data[[#This Row],[DEVELOPMENT]],Development_Data_Book[[DEVELOPMENT]:[BOROUGH]],12,FALSE)</f>
        <v>1191</v>
      </c>
      <c r="H235" t="s">
        <v>2246</v>
      </c>
      <c r="I235">
        <v>4</v>
      </c>
      <c r="J235">
        <f>IFERROR(VLOOKUP(Data[[#This Row],[DEVELOPMENT]],IntCompactors_MRST[],4,FALSE),0)</f>
        <v>18</v>
      </c>
      <c r="K235" s="20">
        <f>IFERROR(VLOOKUP(Data[[#This Row],[DEVELOPMENT]],ExtCompactors_MRST[],4,FALSE),0)</f>
        <v>3</v>
      </c>
      <c r="L235" s="27">
        <f>IF(Data[[#This Row],['# Interior Compactors MRST]]=0,"",VLOOKUP(Data[[#This Row],[DEVELOPMENT]],IntCompactors_MRST[],5,FALSE))</f>
        <v>40173</v>
      </c>
      <c r="M235" s="28">
        <f>IF(Data[[#This Row],['# Exterior Compactors MRST]]=0,"",VLOOKUP(Data[[#This Row],[DEVELOPMENT]],ExtCompactors_MRST[],5,FALSE))</f>
        <v>43727</v>
      </c>
      <c r="N235">
        <f>Data[[#This Row],['# Interior Compactors MRST]]</f>
        <v>18</v>
      </c>
      <c r="O235" s="20">
        <f>IF(Data[[#This Row],['# Bulk Crushers]]=0,1,0)</f>
        <v>1</v>
      </c>
      <c r="P235" s="20">
        <f>1</f>
        <v>1</v>
      </c>
      <c r="Q235" s="20">
        <f>1</f>
        <v>1</v>
      </c>
      <c r="R235" s="20">
        <f>1</f>
        <v>1</v>
      </c>
      <c r="S235" s="20">
        <f>1</f>
        <v>1</v>
      </c>
      <c r="T235" s="20">
        <f>IF(Data[[#This Row],[Sewershed]]="Newtown Creek",Data[[#This Row],[DUs]],0)</f>
        <v>1191</v>
      </c>
      <c r="U23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3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3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35" s="82">
        <f>VLOOKUP(Data[[#This Row],[DEVELOPMENT]],Development_Data_Book[[DEVELOPMENT]:[BOROUGH]],3,FALSE)</f>
        <v>18</v>
      </c>
      <c r="Y235" s="20" t="s">
        <v>2599</v>
      </c>
      <c r="Z235" s="20">
        <f>IFERROR(VLOOKUP(Data[[#This Row],[TDS]],ExtCompactors_PNA[[Development]:[0]],2,FALSE),0)</f>
        <v>2</v>
      </c>
      <c r="AA235" s="20">
        <f>IFERROR(VLOOKUP(Data[[#This Row],[TDS]],IntCompactors_PNA[[TDS]:[0]],2,FALSE),0)</f>
        <v>15</v>
      </c>
      <c r="AB235" s="20"/>
      <c r="AC235" s="20"/>
      <c r="AD235" s="20">
        <f>IFERROR(VLOOKUP(Data[[#This Row],[TDS]],ExtCompactors_PNA[[Development]:[0]],3,FALSE)+VLOOKUP(Data[[#This Row],[TDS]],ExtCompactors_PNA[[Development]:[0]],6,FALSE),0)</f>
        <v>2</v>
      </c>
      <c r="AE235" s="20">
        <f>IFERROR(VLOOKUP(Data[[#This Row],[TDS]],IntCompactors_PNA[[TDS]:[0]],3,FALSE)+VLOOKUP(Data[[#This Row],[TDS]],IntCompactors_PNA[[TDS]:[0]],6,FALSE),0)</f>
        <v>15</v>
      </c>
      <c r="AF235" s="20" t="e">
        <f>VLOOKUP(Data[[#This Row],[DEVELOPMENT]],[3]Developments!$A$2:$A$312,1,FALSE)</f>
        <v>#N/A</v>
      </c>
      <c r="AG235" s="20">
        <f>IFERROR(VLOOKUP(Data[[#This Row],[DEVELOPMENT]],Ops_Priorities_and_Data_Clean[[development]:[ifnoext_comment]],3,FALSE),"")</f>
        <v>2</v>
      </c>
      <c r="AH235" s="20">
        <f>IFERROR(VLOOKUP(Data[[#This Row],[DEVELOPMENT]],Ops_Priorities_and_Data_Clean[[development]:[ifnoext_comment]],4,FALSE),"")</f>
        <v>4</v>
      </c>
      <c r="AI235" s="20">
        <f>IFERROR(VLOOKUP(Data[[#This Row],[DEVELOPMENT]],Ops_Priorities_and_Data_Clean[[development]:[ifnoext_comment]],5,FALSE),"")</f>
        <v>1</v>
      </c>
      <c r="AJ235" s="20">
        <f>IFERROR(VLOOKUP(Data[[#This Row],[DEVELOPMENT]],Ops_Priorities_and_Data_Clean[[development]:[ifnoext_comment]],6,FALSE),"")</f>
        <v>0</v>
      </c>
      <c r="AK235" s="20">
        <f>IFERROR(VLOOKUP(Data[[#This Row],[DEVELOPMENT]],Ops_Priorities_and_Data_Clean[[development]:[ifnoext_comment]],7,FALSE),"")</f>
        <v>0</v>
      </c>
      <c r="AL235" s="20">
        <f>IFERROR(VLOOKUP(Data[[#This Row],[DEVELOPMENT]],Ops_Priorities_and_Data_Clean[[development]:[ifnoext_comment]],8,FALSE),"")</f>
        <v>1</v>
      </c>
      <c r="AM235" s="20">
        <f>IFERROR(VLOOKUP(Data[[#This Row],[DEVELOPMENT]],Ops_Priorities_and_Data_Clean[[development]:[ifnoext_comment]],9,FALSE),"")</f>
        <v>0</v>
      </c>
      <c r="AN235" s="20">
        <f>IFERROR(VLOOKUP(Data[[#This Row],[DEVELOPMENT]],Ops_Priorities_and_Data_Clean[[development]:[ifnoext_comment]],10,FALSE),"")</f>
        <v>2</v>
      </c>
      <c r="AO235" s="20">
        <f>IFERROR(VLOOKUP(Data[[#This Row],[DEVELOPMENT]],Ops_Priorities_and_Data_Clean[[development]:[ifnoext_comment]],11,FALSE),"")</f>
        <v>3</v>
      </c>
      <c r="AP235" s="20">
        <f>IFERROR(VLOOKUP(Data[[#This Row],[DEVELOPMENT]],Ops_Priorities_and_Data_Clean[[development]:[ifnoext_comment]],12,FALSE),"")</f>
        <v>3</v>
      </c>
      <c r="AQ235" s="20">
        <f>VLOOKUP(Data[[#This Row],[DEVELOPMENT]],Ops_Priorities_and_Data_Clean[[development]:[ifnoext_comment]],14,FALSE)</f>
        <v>0</v>
      </c>
      <c r="AR235" s="20">
        <f>VLOOKUP(Data[[#This Row],[DEVELOPMENT]],Ops_Priorities_and_Data_Clean[[development]:[ifnoext_comment]],15,FALSE)</f>
        <v>0</v>
      </c>
      <c r="AS235" s="20" t="str">
        <f>VLOOKUP(Data[[#This Row],[DEVELOPMENT]],Ops_Priorities_and_Data_Clean[[development]:[ifnoext_comment]],16,FALSE)</f>
        <v>NULL</v>
      </c>
      <c r="AT235" s="20" t="str">
        <f>VLOOKUP(Data[[#This Row],[DEVELOPMENT]],Ops_Priorities_and_Data_Clean[[development]:[ifnoext_comment]],17,FALSE)</f>
        <v>NULL</v>
      </c>
      <c r="AU235" s="20" t="str">
        <f>VLOOKUP(Data[[#This Row],[DEVELOPMENT]],Ops_Priorities_and_Data_Clean[[development]:[ifnoext_comment]],18,FALSE)</f>
        <v>No</v>
      </c>
      <c r="AV235" s="20" t="str">
        <f>VLOOKUP(Data[[#This Row],[DEVELOPMENT]],Ops_Priorities_and_Data_Clean[[development]:[ifnoext_comment]],19,FALSE)</f>
        <v>container on-site</v>
      </c>
      <c r="AW235" s="20" t="str">
        <f>VLOOKUP(Data[[#This Row],[DEVELOPMENT]],Ops_Priorities_and_Data_Clean[[development]:[ifnoext_comment]],20,FALSE)</f>
        <v>NULL</v>
      </c>
      <c r="AX235" s="104" t="s">
        <v>2239</v>
      </c>
      <c r="AY235" s="104" t="s">
        <v>2160</v>
      </c>
      <c r="AZ235" s="20" t="str">
        <f>VLOOKUP(Data[[#This Row],[DEVELOPMENT]],Development_Data_Book[[DEVELOPMENT]:[PRIVATE MANAGEMENT]],8,FALSE)</f>
        <v>FEDERAL</v>
      </c>
      <c r="BA235" s="104" t="s">
        <v>2586</v>
      </c>
      <c r="BB235" s="20">
        <f>VLOOKUP(Data[[#This Row],[DEVELOPMENT]],Development_Data_Book[[DEVELOPMENT]:[PRIVATE MANAGEMENT]],22,FALSE)</f>
        <v>0</v>
      </c>
      <c r="BC235" s="20">
        <f>Data[[#This Row],[Non-Dwelling Buildings]]+Data[[#This Row],[Dwelling Buildings]]</f>
        <v>13</v>
      </c>
      <c r="BD235" s="20">
        <f>VLOOKUP(Data[[#This Row],[DEVELOPMENT]],Development_Data_Book[[DEVELOPMENT]:[PRIVATE MANAGEMENT]],26,FALSE)</f>
        <v>11.73</v>
      </c>
      <c r="BE235" s="106">
        <v>1032980</v>
      </c>
      <c r="BF235" s="20">
        <f>VLOOKUP(Data[[#This Row],[DEVELOPMENT]],Development_Data_Book[[DEVELOPMENT]:[PRIVATE MANAGEMENT]],18,FALSE)</f>
        <v>2715</v>
      </c>
      <c r="BG23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35" s="104" t="s">
        <v>2607</v>
      </c>
      <c r="BI235" t="s">
        <v>184</v>
      </c>
      <c r="BJ235" s="20">
        <f>VLOOKUP(Data[[#This Row],[DEVELOPMENT]],Development_Data_Book[[DEVELOPMENT]:[PRIVATE MANAGEMENT]],41,FALSE)</f>
        <v>3</v>
      </c>
      <c r="BK235" s="20">
        <f>VLOOKUP(Data[[#This Row],[DEVELOPMENT]],Development_Data_Book[[DEVELOPMENT]:[PRIVATE MANAGEMENT]],42,FALSE)</f>
        <v>7</v>
      </c>
      <c r="BL235" s="20">
        <f>VLOOKUP(Data[[#This Row],[DEVELOPMENT]],Development_Data_Book[[DEVELOPMENT]:[PRIVATE MANAGEMENT]],43,FALSE)</f>
        <v>27</v>
      </c>
      <c r="BM235" s="20">
        <f>VLOOKUP(Data[[#This Row],[DEVELOPMENT]],Development_Data_Book[[DEVELOPMENT]:[PRIVATE MANAGEMENT]],44,FALSE)</f>
        <v>74</v>
      </c>
      <c r="BN235" s="20">
        <f>VLOOKUP(Data[[#This Row],[DEVELOPMENT]],Development_Data_Book[[DEVELOPMENT]:[PRIVATE MANAGEMENT]],45,FALSE)</f>
        <v>2</v>
      </c>
      <c r="BO235" s="20">
        <f>VLOOKUP(Data[[#This Row],[DEVELOPMENT]],Development_Data_Book[[DEVELOPMENT]:[PRIVATE MANAGEMENT]],24,FALSE)</f>
        <v>41803</v>
      </c>
    </row>
    <row r="236" spans="1:67">
      <c r="A236" s="17" t="s">
        <v>104</v>
      </c>
      <c r="B236" s="17" t="str">
        <f>VLOOKUP(Data[[#This Row],[DEVELOPMENT]],Development_Data_Book[[DEVELOPMENT]:[BOROUGH]],MATCH("borough",Development_Data_Book[[#Headers],[DEVELOPMENT]:[BOROUGH]],0),FALSE)</f>
        <v>MANHATTAN</v>
      </c>
      <c r="C236" t="e">
        <f>VLOOKUP(Data[[#This Row],[DEVELOPMENT]],'[1]Cheat-Sheet'!$D$2:$Q$341,2,FALSE)</f>
        <v>#N/A</v>
      </c>
      <c r="D23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36">
        <f>VLOOKUP(Data[[#This Row],[DEVELOPMENT]],Development_Data_Book[[DEVELOPMENT]:[BOROUGH]],21,FALSE)</f>
        <v>6</v>
      </c>
      <c r="F236">
        <f>VLOOKUP(Data[[#This Row],[DEVELOPMENT]],Development_Data_Book[[DEVELOPMENT]:[BOROUGH]],23,FALSE)</f>
        <v>8</v>
      </c>
      <c r="G236">
        <f>VLOOKUP(Data[[#This Row],[DEVELOPMENT]],Development_Data_Book[[DEVELOPMENT]:[BOROUGH]],12,FALSE)</f>
        <v>577</v>
      </c>
      <c r="H236" t="s">
        <v>2246</v>
      </c>
      <c r="I236">
        <v>3</v>
      </c>
      <c r="J236">
        <f>IFERROR(VLOOKUP(Data[[#This Row],[DEVELOPMENT]],IntCompactors_MRST[],4,FALSE),0)</f>
        <v>8</v>
      </c>
      <c r="K236" s="20">
        <f>IFERROR(VLOOKUP(Data[[#This Row],[DEVELOPMENT]],ExtCompactors_MRST[],4,FALSE),0)</f>
        <v>0</v>
      </c>
      <c r="L236" s="27">
        <f>IF(Data[[#This Row],['# Interior Compactors MRST]]=0,"",VLOOKUP(Data[[#This Row],[DEVELOPMENT]],IntCompactors_MRST[],5,FALSE))</f>
        <v>0</v>
      </c>
      <c r="M236" s="28" t="str">
        <f>IF(Data[[#This Row],['# Exterior Compactors MRST]]=0,"",VLOOKUP(Data[[#This Row],[DEVELOPMENT]],ExtCompactors_MRST[],5,FALSE))</f>
        <v/>
      </c>
      <c r="N236">
        <f>Data[[#This Row],['# Interior Compactors MRST]]</f>
        <v>8</v>
      </c>
      <c r="O236" s="20">
        <f>IF(Data[[#This Row],['# Bulk Crushers]]=0,1,0)</f>
        <v>1</v>
      </c>
      <c r="P236" s="20">
        <f>1</f>
        <v>1</v>
      </c>
      <c r="Q236" s="20">
        <f>1</f>
        <v>1</v>
      </c>
      <c r="R236" s="20">
        <f>1</f>
        <v>1</v>
      </c>
      <c r="S236" s="20">
        <f>1</f>
        <v>1</v>
      </c>
      <c r="T236" s="20">
        <f>IF(Data[[#This Row],[Sewershed]]="Newtown Creek",Data[[#This Row],[DUs]],0)</f>
        <v>577</v>
      </c>
      <c r="U23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3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3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36" s="82">
        <f>VLOOKUP(Data[[#This Row],[DEVELOPMENT]],Development_Data_Book[[DEVELOPMENT]:[BOROUGH]],3,FALSE)</f>
        <v>19</v>
      </c>
      <c r="Y236" s="20" t="s">
        <v>2599</v>
      </c>
      <c r="Z236" s="20">
        <f>IFERROR(VLOOKUP(Data[[#This Row],[TDS]],ExtCompactors_PNA[[Development]:[0]],2,FALSE),0)</f>
        <v>1</v>
      </c>
      <c r="AA236" s="20">
        <f>IFERROR(VLOOKUP(Data[[#This Row],[TDS]],IntCompactors_PNA[[TDS]:[0]],2,FALSE),0)</f>
        <v>7</v>
      </c>
      <c r="AB236" s="20"/>
      <c r="AC236" s="20"/>
      <c r="AD236" s="20">
        <f>IFERROR(VLOOKUP(Data[[#This Row],[TDS]],ExtCompactors_PNA[[Development]:[0]],3,FALSE)+VLOOKUP(Data[[#This Row],[TDS]],ExtCompactors_PNA[[Development]:[0]],6,FALSE),0)</f>
        <v>1</v>
      </c>
      <c r="AE236" s="20">
        <f>IFERROR(VLOOKUP(Data[[#This Row],[TDS]],IntCompactors_PNA[[TDS]:[0]],3,FALSE)+VLOOKUP(Data[[#This Row],[TDS]],IntCompactors_PNA[[TDS]:[0]],6,FALSE),0)</f>
        <v>7</v>
      </c>
      <c r="AF236" s="20" t="e">
        <f>VLOOKUP(Data[[#This Row],[DEVELOPMENT]],[3]Developments!$A$2:$A$312,1,FALSE)</f>
        <v>#N/A</v>
      </c>
      <c r="AG236" s="20">
        <f>IFERROR(VLOOKUP(Data[[#This Row],[DEVELOPMENT]],Ops_Priorities_and_Data_Clean[[development]:[ifnoext_comment]],3,FALSE),"")</f>
        <v>1</v>
      </c>
      <c r="AH236" s="20">
        <f>IFERROR(VLOOKUP(Data[[#This Row],[DEVELOPMENT]],Ops_Priorities_and_Data_Clean[[development]:[ifnoext_comment]],4,FALSE),"")</f>
        <v>4</v>
      </c>
      <c r="AI236" s="20">
        <f>IFERROR(VLOOKUP(Data[[#This Row],[DEVELOPMENT]],Ops_Priorities_and_Data_Clean[[development]:[ifnoext_comment]],5,FALSE),"")</f>
        <v>1</v>
      </c>
      <c r="AJ236" s="20">
        <f>IFERROR(VLOOKUP(Data[[#This Row],[DEVELOPMENT]],Ops_Priorities_and_Data_Clean[[development]:[ifnoext_comment]],6,FALSE),"")</f>
        <v>0</v>
      </c>
      <c r="AK236" s="20">
        <f>IFERROR(VLOOKUP(Data[[#This Row],[DEVELOPMENT]],Ops_Priorities_and_Data_Clean[[development]:[ifnoext_comment]],7,FALSE),"")</f>
        <v>0</v>
      </c>
      <c r="AL236" s="20">
        <f>IFERROR(VLOOKUP(Data[[#This Row],[DEVELOPMENT]],Ops_Priorities_and_Data_Clean[[development]:[ifnoext_comment]],8,FALSE),"")</f>
        <v>1</v>
      </c>
      <c r="AM236" s="20">
        <f>IFERROR(VLOOKUP(Data[[#This Row],[DEVELOPMENT]],Ops_Priorities_and_Data_Clean[[development]:[ifnoext_comment]],9,FALSE),"")</f>
        <v>0</v>
      </c>
      <c r="AN236" s="20">
        <f>IFERROR(VLOOKUP(Data[[#This Row],[DEVELOPMENT]],Ops_Priorities_and_Data_Clean[[development]:[ifnoext_comment]],10,FALSE),"")</f>
        <v>1</v>
      </c>
      <c r="AO236" s="20">
        <f>IFERROR(VLOOKUP(Data[[#This Row],[DEVELOPMENT]],Ops_Priorities_and_Data_Clean[[development]:[ifnoext_comment]],11,FALSE),"")</f>
        <v>0</v>
      </c>
      <c r="AP236" s="20">
        <f>IFERROR(VLOOKUP(Data[[#This Row],[DEVELOPMENT]],Ops_Priorities_and_Data_Clean[[development]:[ifnoext_comment]],12,FALSE),"")</f>
        <v>0</v>
      </c>
      <c r="AQ236" s="20">
        <f>VLOOKUP(Data[[#This Row],[DEVELOPMENT]],Ops_Priorities_and_Data_Clean[[development]:[ifnoext_comment]],14,FALSE)</f>
        <v>0</v>
      </c>
      <c r="AR236" s="20">
        <f>VLOOKUP(Data[[#This Row],[DEVELOPMENT]],Ops_Priorities_and_Data_Clean[[development]:[ifnoext_comment]],15,FALSE)</f>
        <v>0</v>
      </c>
      <c r="AS236" s="20" t="str">
        <f>VLOOKUP(Data[[#This Row],[DEVELOPMENT]],Ops_Priorities_and_Data_Clean[[development]:[ifnoext_comment]],16,FALSE)</f>
        <v>NULL</v>
      </c>
      <c r="AT236" s="20" t="str">
        <f>VLOOKUP(Data[[#This Row],[DEVELOPMENT]],Ops_Priorities_and_Data_Clean[[development]:[ifnoext_comment]],17,FALSE)</f>
        <v>NULL</v>
      </c>
      <c r="AU236" s="20" t="str">
        <f>VLOOKUP(Data[[#This Row],[DEVELOPMENT]],Ops_Priorities_and_Data_Clean[[development]:[ifnoext_comment]],18,FALSE)</f>
        <v>No</v>
      </c>
      <c r="AV236" s="20" t="str">
        <f>VLOOKUP(Data[[#This Row],[DEVELOPMENT]],Ops_Priorities_and_Data_Clean[[development]:[ifnoext_comment]],19,FALSE)</f>
        <v>container on-site</v>
      </c>
      <c r="AW236" s="20" t="str">
        <f>VLOOKUP(Data[[#This Row],[DEVELOPMENT]],Ops_Priorities_and_Data_Clean[[development]:[ifnoext_comment]],20,FALSE)</f>
        <v>NULL</v>
      </c>
      <c r="AX236" s="104" t="s">
        <v>2239</v>
      </c>
      <c r="AY236" s="104" t="s">
        <v>2160</v>
      </c>
      <c r="AZ236" s="20" t="str">
        <f>VLOOKUP(Data[[#This Row],[DEVELOPMENT]],Development_Data_Book[[DEVELOPMENT]:[PRIVATE MANAGEMENT]],8,FALSE)</f>
        <v>FEDERAL</v>
      </c>
      <c r="BA236" s="104" t="s">
        <v>2586</v>
      </c>
      <c r="BB236" s="20">
        <f>VLOOKUP(Data[[#This Row],[DEVELOPMENT]],Development_Data_Book[[DEVELOPMENT]:[PRIVATE MANAGEMENT]],22,FALSE)</f>
        <v>0</v>
      </c>
      <c r="BC236" s="20">
        <f>Data[[#This Row],[Non-Dwelling Buildings]]+Data[[#This Row],[Dwelling Buildings]]</f>
        <v>6</v>
      </c>
      <c r="BD236" s="20">
        <f>VLOOKUP(Data[[#This Row],[DEVELOPMENT]],Development_Data_Book[[DEVELOPMENT]:[PRIVATE MANAGEMENT]],26,FALSE)</f>
        <v>5.94</v>
      </c>
      <c r="BE236" s="106">
        <v>478800</v>
      </c>
      <c r="BF236" s="20">
        <f>VLOOKUP(Data[[#This Row],[DEVELOPMENT]],Development_Data_Book[[DEVELOPMENT]:[PRIVATE MANAGEMENT]],18,FALSE)</f>
        <v>1271</v>
      </c>
      <c r="BG23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36" s="104" t="s">
        <v>2607</v>
      </c>
      <c r="BI236" t="s">
        <v>184</v>
      </c>
      <c r="BJ236" s="20">
        <f>VLOOKUP(Data[[#This Row],[DEVELOPMENT]],Development_Data_Book[[DEVELOPMENT]:[PRIVATE MANAGEMENT]],41,FALSE)</f>
        <v>3</v>
      </c>
      <c r="BK236" s="20">
        <f>VLOOKUP(Data[[#This Row],[DEVELOPMENT]],Development_Data_Book[[DEVELOPMENT]:[PRIVATE MANAGEMENT]],42,FALSE)</f>
        <v>7</v>
      </c>
      <c r="BL236" s="20">
        <f>VLOOKUP(Data[[#This Row],[DEVELOPMENT]],Development_Data_Book[[DEVELOPMENT]:[PRIVATE MANAGEMENT]],43,FALSE)</f>
        <v>27</v>
      </c>
      <c r="BM236" s="20">
        <f>VLOOKUP(Data[[#This Row],[DEVELOPMENT]],Development_Data_Book[[DEVELOPMENT]:[PRIVATE MANAGEMENT]],44,FALSE)</f>
        <v>74</v>
      </c>
      <c r="BN236" s="20">
        <f>VLOOKUP(Data[[#This Row],[DEVELOPMENT]],Development_Data_Book[[DEVELOPMENT]:[PRIVATE MANAGEMENT]],45,FALSE)</f>
        <v>2</v>
      </c>
      <c r="BO236" s="20">
        <f>VLOOKUP(Data[[#This Row],[DEVELOPMENT]],Development_Data_Book[[DEVELOPMENT]:[PRIVATE MANAGEMENT]],24,FALSE)</f>
        <v>41803</v>
      </c>
    </row>
    <row r="237" spans="1:67">
      <c r="A237" t="s">
        <v>195</v>
      </c>
      <c r="B237" s="20" t="str">
        <f>VLOOKUP(Data[[#This Row],[DEVELOPMENT]],Development_Data_Book[[DEVELOPMENT]:[BOROUGH]],MATCH("borough",Development_Data_Book[[#Headers],[DEVELOPMENT]:[BOROUGH]],0),FALSE)</f>
        <v>MANHATTAN</v>
      </c>
      <c r="C237" s="20" t="e">
        <f>VLOOKUP(Data[[#This Row],[DEVELOPMENT]],'[1]Cheat-Sheet'!$D$2:$Q$341,2,FALSE)</f>
        <v>#N/A</v>
      </c>
      <c r="D23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37" s="20">
        <f>VLOOKUP(Data[[#This Row],[DEVELOPMENT]],Development_Data_Book[[DEVELOPMENT]:[BOROUGH]],21,FALSE)</f>
        <v>1</v>
      </c>
      <c r="F237" s="20">
        <f>VLOOKUP(Data[[#This Row],[DEVELOPMENT]],Development_Data_Book[[DEVELOPMENT]:[BOROUGH]],23,FALSE)</f>
        <v>1</v>
      </c>
      <c r="G237" s="20">
        <f>VLOOKUP(Data[[#This Row],[DEVELOPMENT]],Development_Data_Book[[DEVELOPMENT]:[BOROUGH]],12,FALSE)</f>
        <v>150</v>
      </c>
      <c r="J237">
        <f>IFERROR(VLOOKUP(Data[[#This Row],[DEVELOPMENT]],IntCompactors_MRST[],4,FALSE),0)</f>
        <v>1</v>
      </c>
      <c r="K237" s="20">
        <f>IFERROR(VLOOKUP(Data[[#This Row],[DEVELOPMENT]],ExtCompactors_MRST[],4,FALSE),0)</f>
        <v>0</v>
      </c>
      <c r="L237" s="27">
        <f>IF(Data[[#This Row],['# Interior Compactors MRST]]=0,"",VLOOKUP(Data[[#This Row],[DEVELOPMENT]],IntCompactors_MRST[],5,FALSE))</f>
        <v>36586</v>
      </c>
      <c r="M237" s="28" t="str">
        <f>IF(Data[[#This Row],['# Exterior Compactors MRST]]=0,"",VLOOKUP(Data[[#This Row],[DEVELOPMENT]],ExtCompactors_MRST[],5,FALSE))</f>
        <v/>
      </c>
      <c r="N237" s="20">
        <f>Data[[#This Row],['# Interior Compactors MRST]]</f>
        <v>1</v>
      </c>
      <c r="O237" s="20">
        <f>IF(Data[[#This Row],['# Bulk Crushers]]=0,1,0)</f>
        <v>1</v>
      </c>
      <c r="P237" s="20">
        <f>1</f>
        <v>1</v>
      </c>
      <c r="Q237" s="20">
        <f>1</f>
        <v>1</v>
      </c>
      <c r="R237" s="20">
        <f>1</f>
        <v>1</v>
      </c>
      <c r="S237" s="20">
        <f>1</f>
        <v>1</v>
      </c>
      <c r="T237" s="20">
        <f>IF(Data[[#This Row],[Sewershed]]="Newtown Creek",Data[[#This Row],[DUs]],0)</f>
        <v>0</v>
      </c>
      <c r="U23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3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3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37" s="82">
        <f>VLOOKUP(Data[[#This Row],[DEVELOPMENT]],Development_Data_Book[[DEVELOPMENT]:[BOROUGH]],3,FALSE)</f>
        <v>218</v>
      </c>
      <c r="Y237" s="20"/>
      <c r="Z237" s="20">
        <f>IFERROR(VLOOKUP(Data[[#This Row],[TDS]],ExtCompactors_PNA[[Development]:[0]],2,FALSE),0)</f>
        <v>0</v>
      </c>
      <c r="AA237" s="20">
        <f>IFERROR(VLOOKUP(Data[[#This Row],[TDS]],IntCompactors_PNA[[TDS]:[0]],2,FALSE),0)</f>
        <v>1</v>
      </c>
      <c r="AB237" s="20"/>
      <c r="AC237" s="20"/>
      <c r="AD237" s="20">
        <f>IFERROR(VLOOKUP(Data[[#This Row],[TDS]],ExtCompactors_PNA[[Development]:[0]],3,FALSE)+VLOOKUP(Data[[#This Row],[TDS]],ExtCompactors_PNA[[Development]:[0]],6,FALSE),0)</f>
        <v>0</v>
      </c>
      <c r="AE237" s="20">
        <f>IFERROR(VLOOKUP(Data[[#This Row],[TDS]],IntCompactors_PNA[[TDS]:[0]],3,FALSE)+VLOOKUP(Data[[#This Row],[TDS]],IntCompactors_PNA[[TDS]:[0]],6,FALSE),0)</f>
        <v>1</v>
      </c>
      <c r="AF237" s="20" t="e">
        <f>VLOOKUP(Data[[#This Row],[DEVELOPMENT]],[3]Developments!$A$2:$A$312,1,FALSE)</f>
        <v>#N/A</v>
      </c>
      <c r="AG237" s="20">
        <f>IFERROR(VLOOKUP(Data[[#This Row],[DEVELOPMENT]],Ops_Priorities_and_Data_Clean[[development]:[ifnoext_comment]],3,FALSE),"")</f>
        <v>0</v>
      </c>
      <c r="AH237" s="20">
        <f>IFERROR(VLOOKUP(Data[[#This Row],[DEVELOPMENT]],Ops_Priorities_and_Data_Clean[[development]:[ifnoext_comment]],4,FALSE),"")</f>
        <v>0</v>
      </c>
      <c r="AI237" s="20">
        <f>IFERROR(VLOOKUP(Data[[#This Row],[DEVELOPMENT]],Ops_Priorities_and_Data_Clean[[development]:[ifnoext_comment]],5,FALSE),"")</f>
        <v>0</v>
      </c>
      <c r="AJ237" s="20">
        <f>IFERROR(VLOOKUP(Data[[#This Row],[DEVELOPMENT]],Ops_Priorities_and_Data_Clean[[development]:[ifnoext_comment]],6,FALSE),"")</f>
        <v>0</v>
      </c>
      <c r="AK237" s="20">
        <f>IFERROR(VLOOKUP(Data[[#This Row],[DEVELOPMENT]],Ops_Priorities_and_Data_Clean[[development]:[ifnoext_comment]],7,FALSE),"")</f>
        <v>1</v>
      </c>
      <c r="AL237" s="20">
        <f>IFERROR(VLOOKUP(Data[[#This Row],[DEVELOPMENT]],Ops_Priorities_and_Data_Clean[[development]:[ifnoext_comment]],8,FALSE),"")</f>
        <v>1</v>
      </c>
      <c r="AM237" s="20">
        <f>IFERROR(VLOOKUP(Data[[#This Row],[DEVELOPMENT]],Ops_Priorities_and_Data_Clean[[development]:[ifnoext_comment]],9,FALSE),"")</f>
        <v>0</v>
      </c>
      <c r="AN237" s="20">
        <f>IFERROR(VLOOKUP(Data[[#This Row],[DEVELOPMENT]],Ops_Priorities_and_Data_Clean[[development]:[ifnoext_comment]],10,FALSE),"")</f>
        <v>0</v>
      </c>
      <c r="AO237" s="20">
        <f>IFERROR(VLOOKUP(Data[[#This Row],[DEVELOPMENT]],Ops_Priorities_and_Data_Clean[[development]:[ifnoext_comment]],11,FALSE),"")</f>
        <v>0</v>
      </c>
      <c r="AP237" s="20">
        <f>IFERROR(VLOOKUP(Data[[#This Row],[DEVELOPMENT]],Ops_Priorities_and_Data_Clean[[development]:[ifnoext_comment]],12,FALSE),"")</f>
        <v>0</v>
      </c>
      <c r="AQ237" s="20">
        <f>VLOOKUP(Data[[#This Row],[DEVELOPMENT]],Ops_Priorities_and_Data_Clean[[development]:[ifnoext_comment]],14,FALSE)</f>
        <v>1</v>
      </c>
      <c r="AR237" s="20">
        <f>VLOOKUP(Data[[#This Row],[DEVELOPMENT]],Ops_Priorities_and_Data_Clean[[development]:[ifnoext_comment]],15,FALSE)</f>
        <v>0</v>
      </c>
      <c r="AS237" s="20" t="str">
        <f>VLOOKUP(Data[[#This Row],[DEVELOPMENT]],Ops_Priorities_and_Data_Clean[[development]:[ifnoext_comment]],16,FALSE)</f>
        <v>NULL</v>
      </c>
      <c r="AT237" s="20" t="str">
        <f>VLOOKUP(Data[[#This Row],[DEVELOPMENT]],Ops_Priorities_and_Data_Clean[[development]:[ifnoext_comment]],17,FALSE)</f>
        <v>NULL</v>
      </c>
      <c r="AU237" s="20" t="str">
        <f>VLOOKUP(Data[[#This Row],[DEVELOPMENT]],Ops_Priorities_and_Data_Clean[[development]:[ifnoext_comment]],18,FALSE)</f>
        <v>NULL</v>
      </c>
      <c r="AV237" s="20" t="str">
        <f>VLOOKUP(Data[[#This Row],[DEVELOPMENT]],Ops_Priorities_and_Data_Clean[[development]:[ifnoext_comment]],19,FALSE)</f>
        <v>NULL</v>
      </c>
      <c r="AW237" s="20" t="str">
        <f>VLOOKUP(Data[[#This Row],[DEVELOPMENT]],Ops_Priorities_and_Data_Clean[[development]:[ifnoext_comment]],20,FALSE)</f>
        <v>NULL</v>
      </c>
      <c r="AX237" s="104" t="s">
        <v>2239</v>
      </c>
      <c r="AY237" s="104" t="s">
        <v>2671</v>
      </c>
      <c r="AZ237" s="20" t="str">
        <f>VLOOKUP(Data[[#This Row],[DEVELOPMENT]],Development_Data_Book[[DEVELOPMENT]:[PRIVATE MANAGEMENT]],8,FALSE)</f>
        <v>FEDERAL</v>
      </c>
      <c r="BA237" s="104" t="s">
        <v>2586</v>
      </c>
      <c r="BB237" s="20">
        <f>VLOOKUP(Data[[#This Row],[DEVELOPMENT]],Development_Data_Book[[DEVELOPMENT]:[PRIVATE MANAGEMENT]],22,FALSE)</f>
        <v>0</v>
      </c>
      <c r="BC237" s="20">
        <f>Data[[#This Row],[Non-Dwelling Buildings]]+Data[[#This Row],[Dwelling Buildings]]</f>
        <v>1</v>
      </c>
      <c r="BD237" s="20">
        <f>VLOOKUP(Data[[#This Row],[DEVELOPMENT]],Development_Data_Book[[DEVELOPMENT]:[PRIVATE MANAGEMENT]],26,FALSE)</f>
        <v>0.28999999999999998</v>
      </c>
      <c r="BE237" s="106">
        <v>109200</v>
      </c>
      <c r="BF237" s="20">
        <f>VLOOKUP(Data[[#This Row],[DEVELOPMENT]],Development_Data_Book[[DEVELOPMENT]:[PRIVATE MANAGEMENT]],18,FALSE)</f>
        <v>160</v>
      </c>
      <c r="BG237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37" s="104" t="s">
        <v>2604</v>
      </c>
      <c r="BI237" t="s">
        <v>184</v>
      </c>
      <c r="BJ237" s="20">
        <f>VLOOKUP(Data[[#This Row],[DEVELOPMENT]],Development_Data_Book[[DEVELOPMENT]:[PRIVATE MANAGEMENT]],41,FALSE)</f>
        <v>8</v>
      </c>
      <c r="BK237" s="20">
        <f>VLOOKUP(Data[[#This Row],[DEVELOPMENT]],Development_Data_Book[[DEVELOPMENT]:[PRIVATE MANAGEMENT]],42,FALSE)</f>
        <v>12</v>
      </c>
      <c r="BL237" s="20">
        <f>VLOOKUP(Data[[#This Row],[DEVELOPMENT]],Development_Data_Book[[DEVELOPMENT]:[PRIVATE MANAGEMENT]],43,FALSE)</f>
        <v>28</v>
      </c>
      <c r="BM237" s="20">
        <f>VLOOKUP(Data[[#This Row],[DEVELOPMENT]],Development_Data_Book[[DEVELOPMENT]:[PRIVATE MANAGEMENT]],44,FALSE)</f>
        <v>76</v>
      </c>
      <c r="BN237" s="20">
        <f>VLOOKUP(Data[[#This Row],[DEVELOPMENT]],Development_Data_Book[[DEVELOPMENT]:[PRIVATE MANAGEMENT]],45,FALSE)</f>
        <v>5</v>
      </c>
      <c r="BO237" s="20">
        <f>VLOOKUP(Data[[#This Row],[DEVELOPMENT]],Development_Data_Book[[DEVELOPMENT]:[PRIVATE MANAGEMENT]],24,FALSE)</f>
        <v>20</v>
      </c>
    </row>
    <row r="238" spans="1:67">
      <c r="A238" t="s">
        <v>107</v>
      </c>
      <c r="B238" t="str">
        <f>VLOOKUP(Data[[#This Row],[DEVELOPMENT]],Development_Data_Book[[DEVELOPMENT]:[BOROUGH]],MATCH("borough",Development_Data_Book[[#Headers],[DEVELOPMENT]:[BOROUGH]],0),FALSE)</f>
        <v>MANHATTAN</v>
      </c>
      <c r="C238" t="e">
        <f>VLOOKUP(Data[[#This Row],[DEVELOPMENT]],'[1]Cheat-Sheet'!$D$2:$Q$341,2,FALSE)</f>
        <v>#N/A</v>
      </c>
      <c r="D23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38">
        <f>VLOOKUP(Data[[#This Row],[DEVELOPMENT]],Development_Data_Book[[DEVELOPMENT]:[BOROUGH]],21,FALSE)</f>
        <v>1</v>
      </c>
      <c r="F238">
        <f>VLOOKUP(Data[[#This Row],[DEVELOPMENT]],Development_Data_Book[[DEVELOPMENT]:[BOROUGH]],23,FALSE)</f>
        <v>2</v>
      </c>
      <c r="G238">
        <f>VLOOKUP(Data[[#This Row],[DEVELOPMENT]],Development_Data_Book[[DEVELOPMENT]:[BOROUGH]],12,FALSE)</f>
        <v>188</v>
      </c>
      <c r="H238" t="s">
        <v>2247</v>
      </c>
      <c r="I238">
        <v>3</v>
      </c>
      <c r="J238">
        <f>IFERROR(VLOOKUP(Data[[#This Row],[DEVELOPMENT]],IntCompactors_MRST[],4,FALSE),0)</f>
        <v>2</v>
      </c>
      <c r="K238" s="20">
        <f>IFERROR(VLOOKUP(Data[[#This Row],[DEVELOPMENT]],ExtCompactors_MRST[],4,FALSE),0)</f>
        <v>2</v>
      </c>
      <c r="L238" s="27">
        <f>IF(Data[[#This Row],['# Interior Compactors MRST]]=0,"",VLOOKUP(Data[[#This Row],[DEVELOPMENT]],IntCompactors_MRST[],5,FALSE))</f>
        <v>29221</v>
      </c>
      <c r="M238" s="28">
        <f>IF(Data[[#This Row],['# Exterior Compactors MRST]]=0,"",VLOOKUP(Data[[#This Row],[DEVELOPMENT]],ExtCompactors_MRST[],5,FALSE))</f>
        <v>39209</v>
      </c>
      <c r="N238">
        <f>Data[[#This Row],['# Interior Compactors MRST]]</f>
        <v>2</v>
      </c>
      <c r="O238" s="20">
        <f>IF(Data[[#This Row],['# Bulk Crushers]]=0,1,0)</f>
        <v>1</v>
      </c>
      <c r="P238" s="20">
        <f>1</f>
        <v>1</v>
      </c>
      <c r="Q238" s="20">
        <f>1</f>
        <v>1</v>
      </c>
      <c r="R238" s="20">
        <f>1</f>
        <v>1</v>
      </c>
      <c r="S238" s="20">
        <f>1</f>
        <v>1</v>
      </c>
      <c r="T238" s="20">
        <f>IF(Data[[#This Row],[Sewershed]]="Newtown Creek",Data[[#This Row],[DUs]],0)</f>
        <v>0</v>
      </c>
      <c r="U23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3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3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38" s="82">
        <f>VLOOKUP(Data[[#This Row],[DEVELOPMENT]],Development_Data_Book[[DEVELOPMENT]:[BOROUGH]],3,FALSE)</f>
        <v>241</v>
      </c>
      <c r="Y238" s="20"/>
      <c r="Z238" s="20">
        <f>IFERROR(VLOOKUP(Data[[#This Row],[TDS]],ExtCompactors_PNA[[Development]:[0]],2,FALSE),0)</f>
        <v>0</v>
      </c>
      <c r="AA238" s="20">
        <f>IFERROR(VLOOKUP(Data[[#This Row],[TDS]],IntCompactors_PNA[[TDS]:[0]],2,FALSE),0)</f>
        <v>2</v>
      </c>
      <c r="AB238" s="20"/>
      <c r="AC238" s="20"/>
      <c r="AD238" s="20">
        <f>IFERROR(VLOOKUP(Data[[#This Row],[TDS]],ExtCompactors_PNA[[Development]:[0]],3,FALSE)+VLOOKUP(Data[[#This Row],[TDS]],ExtCompactors_PNA[[Development]:[0]],6,FALSE),0)</f>
        <v>0</v>
      </c>
      <c r="AE238" s="20">
        <f>IFERROR(VLOOKUP(Data[[#This Row],[TDS]],IntCompactors_PNA[[TDS]:[0]],3,FALSE)+VLOOKUP(Data[[#This Row],[TDS]],IntCompactors_PNA[[TDS]:[0]],6,FALSE),0)</f>
        <v>2</v>
      </c>
      <c r="AF238" s="20" t="e">
        <f>VLOOKUP(Data[[#This Row],[DEVELOPMENT]],[3]Developments!$A$2:$A$312,1,FALSE)</f>
        <v>#N/A</v>
      </c>
      <c r="AG238" s="20">
        <f>IFERROR(VLOOKUP(Data[[#This Row],[DEVELOPMENT]],Ops_Priorities_and_Data_Clean[[development]:[ifnoext_comment]],3,FALSE),"")</f>
        <v>0</v>
      </c>
      <c r="AH238" s="20">
        <f>IFERROR(VLOOKUP(Data[[#This Row],[DEVELOPMENT]],Ops_Priorities_and_Data_Clean[[development]:[ifnoext_comment]],4,FALSE),"")</f>
        <v>0</v>
      </c>
      <c r="AI238" s="20">
        <f>IFERROR(VLOOKUP(Data[[#This Row],[DEVELOPMENT]],Ops_Priorities_and_Data_Clean[[development]:[ifnoext_comment]],5,FALSE),"")</f>
        <v>0</v>
      </c>
      <c r="AJ238" s="20">
        <f>IFERROR(VLOOKUP(Data[[#This Row],[DEVELOPMENT]],Ops_Priorities_and_Data_Clean[[development]:[ifnoext_comment]],6,FALSE),"")</f>
        <v>1</v>
      </c>
      <c r="AK238" s="20">
        <f>IFERROR(VLOOKUP(Data[[#This Row],[DEVELOPMENT]],Ops_Priorities_and_Data_Clean[[development]:[ifnoext_comment]],7,FALSE),"")</f>
        <v>0</v>
      </c>
      <c r="AL238" s="20">
        <f>IFERROR(VLOOKUP(Data[[#This Row],[DEVELOPMENT]],Ops_Priorities_and_Data_Clean[[development]:[ifnoext_comment]],8,FALSE),"")</f>
        <v>1</v>
      </c>
      <c r="AM238" s="20">
        <f>IFERROR(VLOOKUP(Data[[#This Row],[DEVELOPMENT]],Ops_Priorities_and_Data_Clean[[development]:[ifnoext_comment]],9,FALSE),"")</f>
        <v>1</v>
      </c>
      <c r="AN238" s="20">
        <f>IFERROR(VLOOKUP(Data[[#This Row],[DEVELOPMENT]],Ops_Priorities_and_Data_Clean[[development]:[ifnoext_comment]],10,FALSE),"")</f>
        <v>0</v>
      </c>
      <c r="AO238" s="20">
        <f>IFERROR(VLOOKUP(Data[[#This Row],[DEVELOPMENT]],Ops_Priorities_and_Data_Clean[[development]:[ifnoext_comment]],11,FALSE),"")</f>
        <v>2</v>
      </c>
      <c r="AP238" s="20">
        <f>IFERROR(VLOOKUP(Data[[#This Row],[DEVELOPMENT]],Ops_Priorities_and_Data_Clean[[development]:[ifnoext_comment]],12,FALSE),"")</f>
        <v>0</v>
      </c>
      <c r="AQ238" s="20">
        <f>VLOOKUP(Data[[#This Row],[DEVELOPMENT]],Ops_Priorities_and_Data_Clean[[development]:[ifnoext_comment]],14,FALSE)</f>
        <v>0</v>
      </c>
      <c r="AR238" s="20">
        <f>VLOOKUP(Data[[#This Row],[DEVELOPMENT]],Ops_Priorities_and_Data_Clean[[development]:[ifnoext_comment]],15,FALSE)</f>
        <v>1</v>
      </c>
      <c r="AS238" s="20" t="str">
        <f>VLOOKUP(Data[[#This Row],[DEVELOPMENT]],Ops_Priorities_and_Data_Clean[[development]:[ifnoext_comment]],16,FALSE)</f>
        <v>UPACA (SITE 6)</v>
      </c>
      <c r="AT238" s="20" t="str">
        <f>VLOOKUP(Data[[#This Row],[DEVELOPMENT]],Ops_Priorities_and_Data_Clean[[development]:[ifnoext_comment]],17,FALSE)</f>
        <v>NULL</v>
      </c>
      <c r="AU238" s="20" t="str">
        <f>VLOOKUP(Data[[#This Row],[DEVELOPMENT]],Ops_Priorities_and_Data_Clean[[development]:[ifnoext_comment]],18,FALSE)</f>
        <v>NULL</v>
      </c>
      <c r="AV238" s="20" t="str">
        <f>VLOOKUP(Data[[#This Row],[DEVELOPMENT]],Ops_Priorities_and_Data_Clean[[development]:[ifnoext_comment]],19,FALSE)</f>
        <v>NULL</v>
      </c>
      <c r="AW238" s="20" t="str">
        <f>VLOOKUP(Data[[#This Row],[DEVELOPMENT]],Ops_Priorities_and_Data_Clean[[development]:[ifnoext_comment]],20,FALSE)</f>
        <v>NULL</v>
      </c>
      <c r="AX238" s="104" t="s">
        <v>2239</v>
      </c>
      <c r="AY238" s="104" t="s">
        <v>2660</v>
      </c>
      <c r="AZ238" s="20" t="str">
        <f>VLOOKUP(Data[[#This Row],[DEVELOPMENT]],Development_Data_Book[[DEVELOPMENT]:[PRIVATE MANAGEMENT]],8,FALSE)</f>
        <v>FEDERAL</v>
      </c>
      <c r="BA238" s="104" t="s">
        <v>2586</v>
      </c>
      <c r="BB238" s="20">
        <f>VLOOKUP(Data[[#This Row],[DEVELOPMENT]],Development_Data_Book[[DEVELOPMENT]:[PRIVATE MANAGEMENT]],22,FALSE)</f>
        <v>0</v>
      </c>
      <c r="BC238" s="20">
        <f>Data[[#This Row],[Non-Dwelling Buildings]]+Data[[#This Row],[Dwelling Buildings]]</f>
        <v>1</v>
      </c>
      <c r="BD238" s="20">
        <f>VLOOKUP(Data[[#This Row],[DEVELOPMENT]],Development_Data_Book[[DEVELOPMENT]:[PRIVATE MANAGEMENT]],26,FALSE)</f>
        <v>1.49</v>
      </c>
      <c r="BE238" s="106">
        <v>220400</v>
      </c>
      <c r="BF238" s="20">
        <f>VLOOKUP(Data[[#This Row],[DEVELOPMENT]],Development_Data_Book[[DEVELOPMENT]:[PRIVATE MANAGEMENT]],18,FALSE)</f>
        <v>421</v>
      </c>
      <c r="BG23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38" s="104" t="s">
        <v>2604</v>
      </c>
      <c r="BI238" t="s">
        <v>184</v>
      </c>
      <c r="BJ238" s="20">
        <f>VLOOKUP(Data[[#This Row],[DEVELOPMENT]],Development_Data_Book[[DEVELOPMENT]:[PRIVATE MANAGEMENT]],41,FALSE)</f>
        <v>11</v>
      </c>
      <c r="BK238" s="20">
        <f>VLOOKUP(Data[[#This Row],[DEVELOPMENT]],Development_Data_Book[[DEVELOPMENT]:[PRIVATE MANAGEMENT]],42,FALSE)</f>
        <v>13</v>
      </c>
      <c r="BL238" s="20">
        <f>VLOOKUP(Data[[#This Row],[DEVELOPMENT]],Development_Data_Book[[DEVELOPMENT]:[PRIVATE MANAGEMENT]],43,FALSE)</f>
        <v>30</v>
      </c>
      <c r="BM238" s="20">
        <f>VLOOKUP(Data[[#This Row],[DEVELOPMENT]],Development_Data_Book[[DEVELOPMENT]:[PRIVATE MANAGEMENT]],44,FALSE)</f>
        <v>68</v>
      </c>
      <c r="BN238" s="20">
        <f>VLOOKUP(Data[[#This Row],[DEVELOPMENT]],Development_Data_Book[[DEVELOPMENT]:[PRIVATE MANAGEMENT]],45,FALSE)</f>
        <v>9</v>
      </c>
      <c r="BO238" s="20">
        <f>VLOOKUP(Data[[#This Row],[DEVELOPMENT]],Development_Data_Book[[DEVELOPMENT]:[PRIVATE MANAGEMENT]],24,FALSE)</f>
        <v>8</v>
      </c>
    </row>
    <row r="239" spans="1:67">
      <c r="A239" s="17" t="s">
        <v>42</v>
      </c>
      <c r="B239" s="17" t="str">
        <f>VLOOKUP(Data[[#This Row],[DEVELOPMENT]],Development_Data_Book[[DEVELOPMENT]:[BOROUGH]],MATCH("borough",Development_Data_Book[[#Headers],[DEVELOPMENT]:[BOROUGH]],0),FALSE)</f>
        <v>BROOKLYN</v>
      </c>
      <c r="C239" t="e">
        <f>VLOOKUP(Data[[#This Row],[DEVELOPMENT]],'[1]Cheat-Sheet'!$D$2:$Q$341,2,FALSE)</f>
        <v>#N/A</v>
      </c>
      <c r="D23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39">
        <f>VLOOKUP(Data[[#This Row],[DEVELOPMENT]],Development_Data_Book[[DEVELOPMENT]:[BOROUGH]],21,FALSE)</f>
        <v>6</v>
      </c>
      <c r="F239">
        <f>VLOOKUP(Data[[#This Row],[DEVELOPMENT]],Development_Data_Book[[DEVELOPMENT]:[BOROUGH]],23,FALSE)</f>
        <v>6</v>
      </c>
      <c r="G239">
        <f>VLOOKUP(Data[[#This Row],[DEVELOPMENT]],Development_Data_Book[[DEVELOPMENT]:[BOROUGH]],12,FALSE)</f>
        <v>761</v>
      </c>
      <c r="H239" t="s">
        <v>2246</v>
      </c>
      <c r="I239">
        <v>4</v>
      </c>
      <c r="J239">
        <f>IFERROR(VLOOKUP(Data[[#This Row],[DEVELOPMENT]],IntCompactors_MRST[],4,FALSE),0)</f>
        <v>6</v>
      </c>
      <c r="K239" s="20">
        <f>IFERROR(VLOOKUP(Data[[#This Row],[DEVELOPMENT]],ExtCompactors_MRST[],4,FALSE),0)</f>
        <v>2</v>
      </c>
      <c r="L239" s="27">
        <f>IF(Data[[#This Row],['# Interior Compactors MRST]]=0,"",VLOOKUP(Data[[#This Row],[DEVELOPMENT]],IntCompactors_MRST[],5,FALSE))</f>
        <v>36008</v>
      </c>
      <c r="M239" s="28">
        <f>IF(Data[[#This Row],['# Exterior Compactors MRST]]=0,"",VLOOKUP(Data[[#This Row],[DEVELOPMENT]],ExtCompactors_MRST[],5,FALSE))</f>
        <v>43647</v>
      </c>
      <c r="N239">
        <f>Data[[#This Row],['# Interior Compactors MRST]]</f>
        <v>6</v>
      </c>
      <c r="O239" s="20">
        <f>IF(Data[[#This Row],['# Bulk Crushers]]=0,1,0)</f>
        <v>1</v>
      </c>
      <c r="P239" s="20">
        <f>1</f>
        <v>1</v>
      </c>
      <c r="Q239" s="20">
        <f>1</f>
        <v>1</v>
      </c>
      <c r="R239" s="20">
        <f>1</f>
        <v>1</v>
      </c>
      <c r="S239" s="20">
        <f>1</f>
        <v>1</v>
      </c>
      <c r="T239" s="20">
        <f>IF(Data[[#This Row],[Sewershed]]="Newtown Creek",Data[[#This Row],[DUs]],0)</f>
        <v>761</v>
      </c>
      <c r="U23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3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3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39" s="82">
        <f>VLOOKUP(Data[[#This Row],[DEVELOPMENT]],Development_Data_Book[[DEVELOPMENT]:[BOROUGH]],3,FALSE)</f>
        <v>135</v>
      </c>
      <c r="Y239" s="20" t="s">
        <v>2599</v>
      </c>
      <c r="Z239" s="20">
        <f>IFERROR(VLOOKUP(Data[[#This Row],[TDS]],ExtCompactors_PNA[[Development]:[0]],2,FALSE),0)</f>
        <v>0</v>
      </c>
      <c r="AA239" s="20">
        <f>IFERROR(VLOOKUP(Data[[#This Row],[TDS]],IntCompactors_PNA[[TDS]:[0]],2,FALSE),0)</f>
        <v>6</v>
      </c>
      <c r="AB239" s="20"/>
      <c r="AC239" s="20"/>
      <c r="AD239" s="20">
        <f>IFERROR(VLOOKUP(Data[[#This Row],[TDS]],ExtCompactors_PNA[[Development]:[0]],3,FALSE)+VLOOKUP(Data[[#This Row],[TDS]],ExtCompactors_PNA[[Development]:[0]],6,FALSE),0)</f>
        <v>0</v>
      </c>
      <c r="AE239" s="20">
        <f>IFERROR(VLOOKUP(Data[[#This Row],[TDS]],IntCompactors_PNA[[TDS]:[0]],3,FALSE)+VLOOKUP(Data[[#This Row],[TDS]],IntCompactors_PNA[[TDS]:[0]],6,FALSE),0)</f>
        <v>6</v>
      </c>
      <c r="AF239" s="20" t="e">
        <f>VLOOKUP(Data[[#This Row],[DEVELOPMENT]],[3]Developments!$A$2:$A$312,1,FALSE)</f>
        <v>#N/A</v>
      </c>
      <c r="AG239" s="20">
        <f>IFERROR(VLOOKUP(Data[[#This Row],[DEVELOPMENT]],Ops_Priorities_and_Data_Clean[[development]:[ifnoext_comment]],3,FALSE),"")</f>
        <v>0</v>
      </c>
      <c r="AH239" s="20">
        <f>IFERROR(VLOOKUP(Data[[#This Row],[DEVELOPMENT]],Ops_Priorities_and_Data_Clean[[development]:[ifnoext_comment]],4,FALSE),"")</f>
        <v>0</v>
      </c>
      <c r="AI239" s="20">
        <f>IFERROR(VLOOKUP(Data[[#This Row],[DEVELOPMENT]],Ops_Priorities_and_Data_Clean[[development]:[ifnoext_comment]],5,FALSE),"")</f>
        <v>0</v>
      </c>
      <c r="AJ239" s="20">
        <f>IFERROR(VLOOKUP(Data[[#This Row],[DEVELOPMENT]],Ops_Priorities_and_Data_Clean[[development]:[ifnoext_comment]],6,FALSE),"")</f>
        <v>1</v>
      </c>
      <c r="AK239" s="20">
        <f>IFERROR(VLOOKUP(Data[[#This Row],[DEVELOPMENT]],Ops_Priorities_and_Data_Clean[[development]:[ifnoext_comment]],7,FALSE),"")</f>
        <v>0</v>
      </c>
      <c r="AL239" s="20">
        <f>IFERROR(VLOOKUP(Data[[#This Row],[DEVELOPMENT]],Ops_Priorities_and_Data_Clean[[development]:[ifnoext_comment]],8,FALSE),"")</f>
        <v>1</v>
      </c>
      <c r="AM239" s="20">
        <f>IFERROR(VLOOKUP(Data[[#This Row],[DEVELOPMENT]],Ops_Priorities_and_Data_Clean[[development]:[ifnoext_comment]],9,FALSE),"")</f>
        <v>1</v>
      </c>
      <c r="AN239" s="20">
        <f>IFERROR(VLOOKUP(Data[[#This Row],[DEVELOPMENT]],Ops_Priorities_and_Data_Clean[[development]:[ifnoext_comment]],10,FALSE),"")</f>
        <v>0</v>
      </c>
      <c r="AO239" s="20">
        <f>IFERROR(VLOOKUP(Data[[#This Row],[DEVELOPMENT]],Ops_Priorities_and_Data_Clean[[development]:[ifnoext_comment]],11,FALSE),"")</f>
        <v>2</v>
      </c>
      <c r="AP239" s="20">
        <f>IFERROR(VLOOKUP(Data[[#This Row],[DEVELOPMENT]],Ops_Priorities_and_Data_Clean[[development]:[ifnoext_comment]],12,FALSE),"")</f>
        <v>2</v>
      </c>
      <c r="AQ239" s="20">
        <f>VLOOKUP(Data[[#This Row],[DEVELOPMENT]],Ops_Priorities_and_Data_Clean[[development]:[ifnoext_comment]],14,FALSE)</f>
        <v>0</v>
      </c>
      <c r="AR239" s="20">
        <f>VLOOKUP(Data[[#This Row],[DEVELOPMENT]],Ops_Priorities_and_Data_Clean[[development]:[ifnoext_comment]],15,FALSE)</f>
        <v>1</v>
      </c>
      <c r="AS239" s="20" t="str">
        <f>VLOOKUP(Data[[#This Row],[DEVELOPMENT]],Ops_Priorities_and_Data_Clean[[development]:[ifnoext_comment]],16,FALSE)</f>
        <v>Roosevelt II</v>
      </c>
      <c r="AT239" s="20" t="str">
        <f>VLOOKUP(Data[[#This Row],[DEVELOPMENT]],Ops_Priorities_and_Data_Clean[[development]:[ifnoext_comment]],17,FALSE)</f>
        <v>NULL</v>
      </c>
      <c r="AU239" s="20" t="str">
        <f>VLOOKUP(Data[[#This Row],[DEVELOPMENT]],Ops_Priorities_and_Data_Clean[[development]:[ifnoext_comment]],18,FALSE)</f>
        <v>No</v>
      </c>
      <c r="AV239" s="20" t="str">
        <f>VLOOKUP(Data[[#This Row],[DEVELOPMENT]],Ops_Priorities_and_Data_Clean[[development]:[ifnoext_comment]],19,FALSE)</f>
        <v>served by Roosevelt II</v>
      </c>
      <c r="AW239" s="20" t="str">
        <f>VLOOKUP(Data[[#This Row],[DEVELOPMENT]],Ops_Priorities_and_Data_Clean[[development]:[ifnoext_comment]],20,FALSE)</f>
        <v>NULL</v>
      </c>
      <c r="AX239" s="104" t="s">
        <v>2238</v>
      </c>
      <c r="AY239" s="104" t="s">
        <v>2600</v>
      </c>
      <c r="AZ239" s="20" t="str">
        <f>VLOOKUP(Data[[#This Row],[DEVELOPMENT]],Development_Data_Book[[DEVELOPMENT]:[PRIVATE MANAGEMENT]],8,FALSE)</f>
        <v>FEDERAL</v>
      </c>
      <c r="BA239" s="104" t="s">
        <v>2586</v>
      </c>
      <c r="BB239" s="20">
        <f>VLOOKUP(Data[[#This Row],[DEVELOPMENT]],Development_Data_Book[[DEVELOPMENT]:[PRIVATE MANAGEMENT]],22,FALSE)</f>
        <v>0</v>
      </c>
      <c r="BC239" s="20">
        <f>Data[[#This Row],[Non-Dwelling Buildings]]+Data[[#This Row],[Dwelling Buildings]]</f>
        <v>6</v>
      </c>
      <c r="BD239" s="20">
        <f>VLOOKUP(Data[[#This Row],[DEVELOPMENT]],Development_Data_Book[[DEVELOPMENT]:[PRIVATE MANAGEMENT]],26,FALSE)</f>
        <v>7.81</v>
      </c>
      <c r="BE239" s="106">
        <v>749000</v>
      </c>
      <c r="BF239" s="20">
        <f>VLOOKUP(Data[[#This Row],[DEVELOPMENT]],Development_Data_Book[[DEVELOPMENT]:[PRIVATE MANAGEMENT]],18,FALSE)</f>
        <v>1814</v>
      </c>
      <c r="BG239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239" s="104" t="s">
        <v>2601</v>
      </c>
      <c r="BI239" t="s">
        <v>184</v>
      </c>
      <c r="BJ239" s="20">
        <f>VLOOKUP(Data[[#This Row],[DEVELOPMENT]],Development_Data_Book[[DEVELOPMENT]:[PRIVATE MANAGEMENT]],41,FALSE)</f>
        <v>3</v>
      </c>
      <c r="BK239" s="20">
        <f>VLOOKUP(Data[[#This Row],[DEVELOPMENT]],Development_Data_Book[[DEVELOPMENT]:[PRIVATE MANAGEMENT]],42,FALSE)</f>
        <v>8</v>
      </c>
      <c r="BL239" s="20">
        <f>VLOOKUP(Data[[#This Row],[DEVELOPMENT]],Development_Data_Book[[DEVELOPMENT]:[PRIVATE MANAGEMENT]],43,FALSE)</f>
        <v>18</v>
      </c>
      <c r="BM239" s="20" t="str">
        <f>VLOOKUP(Data[[#This Row],[DEVELOPMENT]],Development_Data_Book[[DEVELOPMENT]:[PRIVATE MANAGEMENT]],44,FALSE)</f>
        <v>54, 56</v>
      </c>
      <c r="BN239" s="20">
        <f>VLOOKUP(Data[[#This Row],[DEVELOPMENT]],Development_Data_Book[[DEVELOPMENT]:[PRIVATE MANAGEMENT]],45,FALSE)</f>
        <v>36</v>
      </c>
      <c r="BO239" s="20" t="str">
        <f>VLOOKUP(Data[[#This Row],[DEVELOPMENT]],Development_Data_Book[[DEVELOPMENT]:[PRIVATE MANAGEMENT]],24,FALSE)</f>
        <v>14-15-18</v>
      </c>
    </row>
    <row r="240" spans="1:67">
      <c r="A240" s="17" t="s">
        <v>148</v>
      </c>
      <c r="B240" s="17" t="str">
        <f>VLOOKUP(Data[[#This Row],[DEVELOPMENT]],Development_Data_Book[[DEVELOPMENT]:[BOROUGH]],MATCH("borough",Development_Data_Book[[#Headers],[DEVELOPMENT]:[BOROUGH]],0),FALSE)</f>
        <v>BROOKLYN</v>
      </c>
      <c r="C240" t="e">
        <f>VLOOKUP(Data[[#This Row],[DEVELOPMENT]],'[1]Cheat-Sheet'!$D$2:$Q$341,2,FALSE)</f>
        <v>#N/A</v>
      </c>
      <c r="D24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40">
        <f>VLOOKUP(Data[[#This Row],[DEVELOPMENT]],Development_Data_Book[[DEVELOPMENT]:[BOROUGH]],21,FALSE)</f>
        <v>3</v>
      </c>
      <c r="F240">
        <f>VLOOKUP(Data[[#This Row],[DEVELOPMENT]],Development_Data_Book[[DEVELOPMENT]:[BOROUGH]],23,FALSE)</f>
        <v>3</v>
      </c>
      <c r="G240">
        <f>VLOOKUP(Data[[#This Row],[DEVELOPMENT]],Development_Data_Book[[DEVELOPMENT]:[BOROUGH]],12,FALSE)</f>
        <v>342</v>
      </c>
      <c r="H240" t="s">
        <v>2246</v>
      </c>
      <c r="I240">
        <v>4</v>
      </c>
      <c r="J240">
        <f>IFERROR(VLOOKUP(Data[[#This Row],[DEVELOPMENT]],IntCompactors_MRST[],4,FALSE),0)</f>
        <v>3</v>
      </c>
      <c r="K240" s="20">
        <f>IFERROR(VLOOKUP(Data[[#This Row],[DEVELOPMENT]],ExtCompactors_MRST[],4,FALSE),0)</f>
        <v>0</v>
      </c>
      <c r="L240" s="27">
        <f>IF(Data[[#This Row],['# Interior Compactors MRST]]=0,"",VLOOKUP(Data[[#This Row],[DEVELOPMENT]],IntCompactors_MRST[],5,FALSE))</f>
        <v>36008</v>
      </c>
      <c r="M240" s="28" t="str">
        <f>IF(Data[[#This Row],['# Exterior Compactors MRST]]=0,"",VLOOKUP(Data[[#This Row],[DEVELOPMENT]],ExtCompactors_MRST[],5,FALSE))</f>
        <v/>
      </c>
      <c r="N240">
        <f>Data[[#This Row],['# Interior Compactors MRST]]</f>
        <v>3</v>
      </c>
      <c r="O240" s="20">
        <f>IF(Data[[#This Row],['# Bulk Crushers]]=0,1,0)</f>
        <v>1</v>
      </c>
      <c r="P240" s="20">
        <f>1</f>
        <v>1</v>
      </c>
      <c r="Q240" s="20">
        <f>1</f>
        <v>1</v>
      </c>
      <c r="R240" s="20">
        <f>1</f>
        <v>1</v>
      </c>
      <c r="S240" s="20">
        <f>1</f>
        <v>1</v>
      </c>
      <c r="T240" s="20">
        <f>IF(Data[[#This Row],[Sewershed]]="Newtown Creek",Data[[#This Row],[DUs]],0)</f>
        <v>342</v>
      </c>
      <c r="U24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4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4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40" s="82">
        <f>VLOOKUP(Data[[#This Row],[DEVELOPMENT]],Development_Data_Book[[DEVELOPMENT]:[BOROUGH]],3,FALSE)</f>
        <v>177</v>
      </c>
      <c r="Y240" s="20" t="s">
        <v>2599</v>
      </c>
      <c r="Z240" s="20">
        <f>IFERROR(VLOOKUP(Data[[#This Row],[TDS]],ExtCompactors_PNA[[Development]:[0]],2,FALSE),0)</f>
        <v>0</v>
      </c>
      <c r="AA240" s="20">
        <f>IFERROR(VLOOKUP(Data[[#This Row],[TDS]],IntCompactors_PNA[[TDS]:[0]],2,FALSE),0)</f>
        <v>3</v>
      </c>
      <c r="AB240" s="20"/>
      <c r="AC240" s="20"/>
      <c r="AD240" s="20">
        <f>IFERROR(VLOOKUP(Data[[#This Row],[TDS]],ExtCompactors_PNA[[Development]:[0]],3,FALSE)+VLOOKUP(Data[[#This Row],[TDS]],ExtCompactors_PNA[[Development]:[0]],6,FALSE),0)</f>
        <v>0</v>
      </c>
      <c r="AE240" s="20">
        <f>IFERROR(VLOOKUP(Data[[#This Row],[TDS]],IntCompactors_PNA[[TDS]:[0]],3,FALSE)+VLOOKUP(Data[[#This Row],[TDS]],IntCompactors_PNA[[TDS]:[0]],6,FALSE),0)</f>
        <v>3</v>
      </c>
      <c r="AF240" s="20" t="e">
        <f>VLOOKUP(Data[[#This Row],[DEVELOPMENT]],[3]Developments!$A$2:$A$312,1,FALSE)</f>
        <v>#N/A</v>
      </c>
      <c r="AG240" s="20">
        <f>IFERROR(VLOOKUP(Data[[#This Row],[DEVELOPMENT]],Ops_Priorities_and_Data_Clean[[development]:[ifnoext_comment]],3,FALSE),"")</f>
        <v>2</v>
      </c>
      <c r="AH240" s="20">
        <f>IFERROR(VLOOKUP(Data[[#This Row],[DEVELOPMENT]],Ops_Priorities_and_Data_Clean[[development]:[ifnoext_comment]],4,FALSE),"")</f>
        <v>0</v>
      </c>
      <c r="AI240" s="20">
        <f>IFERROR(VLOOKUP(Data[[#This Row],[DEVELOPMENT]],Ops_Priorities_and_Data_Clean[[development]:[ifnoext_comment]],5,FALSE),"")</f>
        <v>1</v>
      </c>
      <c r="AJ240" s="20">
        <f>IFERROR(VLOOKUP(Data[[#This Row],[DEVELOPMENT]],Ops_Priorities_and_Data_Clean[[development]:[ifnoext_comment]],6,FALSE),"")</f>
        <v>0</v>
      </c>
      <c r="AK240" s="20">
        <f>IFERROR(VLOOKUP(Data[[#This Row],[DEVELOPMENT]],Ops_Priorities_and_Data_Clean[[development]:[ifnoext_comment]],7,FALSE),"")</f>
        <v>0</v>
      </c>
      <c r="AL240" s="20">
        <f>IFERROR(VLOOKUP(Data[[#This Row],[DEVELOPMENT]],Ops_Priorities_and_Data_Clean[[development]:[ifnoext_comment]],8,FALSE),"")</f>
        <v>1</v>
      </c>
      <c r="AM240" s="20">
        <f>IFERROR(VLOOKUP(Data[[#This Row],[DEVELOPMENT]],Ops_Priorities_and_Data_Clean[[development]:[ifnoext_comment]],9,FALSE),"")</f>
        <v>0</v>
      </c>
      <c r="AN240" s="20">
        <f>IFERROR(VLOOKUP(Data[[#This Row],[DEVELOPMENT]],Ops_Priorities_and_Data_Clean[[development]:[ifnoext_comment]],10,FALSE),"")</f>
        <v>2</v>
      </c>
      <c r="AO240" s="20">
        <f>IFERROR(VLOOKUP(Data[[#This Row],[DEVELOPMENT]],Ops_Priorities_and_Data_Clean[[development]:[ifnoext_comment]],11,FALSE),"")</f>
        <v>0</v>
      </c>
      <c r="AP240" s="20">
        <f>IFERROR(VLOOKUP(Data[[#This Row],[DEVELOPMENT]],Ops_Priorities_and_Data_Clean[[development]:[ifnoext_comment]],12,FALSE),"")</f>
        <v>0</v>
      </c>
      <c r="AQ240" s="20">
        <f>VLOOKUP(Data[[#This Row],[DEVELOPMENT]],Ops_Priorities_and_Data_Clean[[development]:[ifnoext_comment]],14,FALSE)</f>
        <v>0</v>
      </c>
      <c r="AR240" s="20">
        <f>VLOOKUP(Data[[#This Row],[DEVELOPMENT]],Ops_Priorities_and_Data_Clean[[development]:[ifnoext_comment]],15,FALSE)</f>
        <v>0</v>
      </c>
      <c r="AS240" s="20" t="str">
        <f>VLOOKUP(Data[[#This Row],[DEVELOPMENT]],Ops_Priorities_and_Data_Clean[[development]:[ifnoext_comment]],16,FALSE)</f>
        <v>NULL</v>
      </c>
      <c r="AT240" s="20" t="str">
        <f>VLOOKUP(Data[[#This Row],[DEVELOPMENT]],Ops_Priorities_and_Data_Clean[[development]:[ifnoext_comment]],17,FALSE)</f>
        <v>NULL</v>
      </c>
      <c r="AU240" s="20" t="str">
        <f>VLOOKUP(Data[[#This Row],[DEVELOPMENT]],Ops_Priorities_and_Data_Clean[[development]:[ifnoext_comment]],18,FALSE)</f>
        <v>No</v>
      </c>
      <c r="AV240" s="20" t="str">
        <f>VLOOKUP(Data[[#This Row],[DEVELOPMENT]],Ops_Priorities_and_Data_Clean[[development]:[ifnoext_comment]],19,FALSE)</f>
        <v>container on-site</v>
      </c>
      <c r="AW240" s="20" t="str">
        <f>VLOOKUP(Data[[#This Row],[DEVELOPMENT]],Ops_Priorities_and_Data_Clean[[development]:[ifnoext_comment]],20,FALSE)</f>
        <v>NULL</v>
      </c>
      <c r="AX240" s="104" t="s">
        <v>2238</v>
      </c>
      <c r="AY240" s="104" t="s">
        <v>2600</v>
      </c>
      <c r="AZ240" s="20" t="str">
        <f>VLOOKUP(Data[[#This Row],[DEVELOPMENT]],Development_Data_Book[[DEVELOPMENT]:[PRIVATE MANAGEMENT]],8,FALSE)</f>
        <v>FEDERAL</v>
      </c>
      <c r="BA240" s="104" t="s">
        <v>2586</v>
      </c>
      <c r="BB240" s="20">
        <f>VLOOKUP(Data[[#This Row],[DEVELOPMENT]],Development_Data_Book[[DEVELOPMENT]:[PRIVATE MANAGEMENT]],22,FALSE)</f>
        <v>0</v>
      </c>
      <c r="BC240" s="20">
        <f>Data[[#This Row],[Non-Dwelling Buildings]]+Data[[#This Row],[Dwelling Buildings]]</f>
        <v>3</v>
      </c>
      <c r="BD240" s="20">
        <f>VLOOKUP(Data[[#This Row],[DEVELOPMENT]],Development_Data_Book[[DEVELOPMENT]:[PRIVATE MANAGEMENT]],26,FALSE)</f>
        <v>3.36</v>
      </c>
      <c r="BE240" s="106">
        <v>325000</v>
      </c>
      <c r="BF240" s="20">
        <f>VLOOKUP(Data[[#This Row],[DEVELOPMENT]],Development_Data_Book[[DEVELOPMENT]:[PRIVATE MANAGEMENT]],18,FALSE)</f>
        <v>727</v>
      </c>
      <c r="BG24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0" s="104" t="s">
        <v>2601</v>
      </c>
      <c r="BI240" t="s">
        <v>184</v>
      </c>
      <c r="BJ240" s="20">
        <f>VLOOKUP(Data[[#This Row],[DEVELOPMENT]],Development_Data_Book[[DEVELOPMENT]:[PRIVATE MANAGEMENT]],41,FALSE)</f>
        <v>3</v>
      </c>
      <c r="BK240" s="20">
        <f>VLOOKUP(Data[[#This Row],[DEVELOPMENT]],Development_Data_Book[[DEVELOPMENT]:[PRIVATE MANAGEMENT]],42,FALSE)</f>
        <v>8</v>
      </c>
      <c r="BL240" s="20">
        <f>VLOOKUP(Data[[#This Row],[DEVELOPMENT]],Development_Data_Book[[DEVELOPMENT]:[PRIVATE MANAGEMENT]],43,FALSE)</f>
        <v>18</v>
      </c>
      <c r="BM240" s="20">
        <f>VLOOKUP(Data[[#This Row],[DEVELOPMENT]],Development_Data_Book[[DEVELOPMENT]:[PRIVATE MANAGEMENT]],44,FALSE)</f>
        <v>54</v>
      </c>
      <c r="BN240" s="20">
        <f>VLOOKUP(Data[[#This Row],[DEVELOPMENT]],Development_Data_Book[[DEVELOPMENT]:[PRIVATE MANAGEMENT]],45,FALSE)</f>
        <v>36</v>
      </c>
      <c r="BO240" s="20" t="str">
        <f>VLOOKUP(Data[[#This Row],[DEVELOPMENT]],Development_Data_Book[[DEVELOPMENT]:[PRIVATE MANAGEMENT]],24,FALSE)</f>
        <v>14-15</v>
      </c>
    </row>
    <row r="241" spans="1:67">
      <c r="A241" s="17" t="s">
        <v>43</v>
      </c>
      <c r="B241" s="17" t="str">
        <f>VLOOKUP(Data[[#This Row],[DEVELOPMENT]],Development_Data_Book[[DEVELOPMENT]:[BOROUGH]],MATCH("borough",Development_Data_Book[[#Headers],[DEVELOPMENT]:[BOROUGH]],0),FALSE)</f>
        <v>MANHATTAN</v>
      </c>
      <c r="C241" t="e">
        <f>VLOOKUP(Data[[#This Row],[DEVELOPMENT]],'[1]Cheat-Sheet'!$D$2:$Q$341,2,FALSE)</f>
        <v>#N/A</v>
      </c>
      <c r="D24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41">
        <f>VLOOKUP(Data[[#This Row],[DEVELOPMENT]],Development_Data_Book[[DEVELOPMENT]:[BOROUGH]],21,FALSE)</f>
        <v>5</v>
      </c>
      <c r="F241">
        <f>VLOOKUP(Data[[#This Row],[DEVELOPMENT]],Development_Data_Book[[DEVELOPMENT]:[BOROUGH]],23,FALSE)</f>
        <v>5</v>
      </c>
      <c r="G241">
        <f>VLOOKUP(Data[[#This Row],[DEVELOPMENT]],Development_Data_Book[[DEVELOPMENT]:[BOROUGH]],12,FALSE)</f>
        <v>721</v>
      </c>
      <c r="H241" t="s">
        <v>2246</v>
      </c>
      <c r="I241">
        <v>4</v>
      </c>
      <c r="J241">
        <f>IFERROR(VLOOKUP(Data[[#This Row],[DEVELOPMENT]],IntCompactors_MRST[],4,FALSE),0)</f>
        <v>5</v>
      </c>
      <c r="K241" s="20">
        <f>IFERROR(VLOOKUP(Data[[#This Row],[DEVELOPMENT]],ExtCompactors_MRST[],4,FALSE),0)</f>
        <v>1</v>
      </c>
      <c r="L241" s="27">
        <f>IF(Data[[#This Row],['# Interior Compactors MRST]]=0,"",VLOOKUP(Data[[#This Row],[DEVELOPMENT]],IntCompactors_MRST[],5,FALSE))</f>
        <v>37561</v>
      </c>
      <c r="M241" s="28">
        <f>IF(Data[[#This Row],['# Exterior Compactors MRST]]=0,"",VLOOKUP(Data[[#This Row],[DEVELOPMENT]],ExtCompactors_MRST[],5,FALSE))</f>
        <v>38639</v>
      </c>
      <c r="N241">
        <f>Data[[#This Row],['# Interior Compactors MRST]]</f>
        <v>5</v>
      </c>
      <c r="O241" s="20">
        <f>IF(Data[[#This Row],['# Bulk Crushers]]=0,1,0)</f>
        <v>1</v>
      </c>
      <c r="P241" s="20">
        <f>1</f>
        <v>1</v>
      </c>
      <c r="Q241" s="20">
        <f>1</f>
        <v>1</v>
      </c>
      <c r="R241" s="20">
        <f>1</f>
        <v>1</v>
      </c>
      <c r="S241" s="20">
        <f>1</f>
        <v>1</v>
      </c>
      <c r="T241" s="20">
        <f>IF(Data[[#This Row],[Sewershed]]="Newtown Creek",Data[[#This Row],[DUs]],0)</f>
        <v>721</v>
      </c>
      <c r="U24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4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4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41" s="82">
        <f>VLOOKUP(Data[[#This Row],[DEVELOPMENT]],Development_Data_Book[[DEVELOPMENT]:[BOROUGH]],3,FALSE)</f>
        <v>99</v>
      </c>
      <c r="Y241" s="20" t="s">
        <v>2599</v>
      </c>
      <c r="Z241" s="20">
        <f>IFERROR(VLOOKUP(Data[[#This Row],[TDS]],ExtCompactors_PNA[[Development]:[0]],2,FALSE),0)</f>
        <v>1</v>
      </c>
      <c r="AA241" s="20">
        <f>IFERROR(VLOOKUP(Data[[#This Row],[TDS]],IntCompactors_PNA[[TDS]:[0]],2,FALSE),0)</f>
        <v>5</v>
      </c>
      <c r="AB241" s="20"/>
      <c r="AC241" s="20"/>
      <c r="AD241" s="20">
        <f>IFERROR(VLOOKUP(Data[[#This Row],[TDS]],ExtCompactors_PNA[[Development]:[0]],3,FALSE)+VLOOKUP(Data[[#This Row],[TDS]],ExtCompactors_PNA[[Development]:[0]],6,FALSE),0)</f>
        <v>1</v>
      </c>
      <c r="AE241" s="20">
        <f>IFERROR(VLOOKUP(Data[[#This Row],[TDS]],IntCompactors_PNA[[TDS]:[0]],3,FALSE)+VLOOKUP(Data[[#This Row],[TDS]],IntCompactors_PNA[[TDS]:[0]],6,FALSE),0)</f>
        <v>5</v>
      </c>
      <c r="AF241" s="20" t="e">
        <f>VLOOKUP(Data[[#This Row],[DEVELOPMENT]],[3]Developments!$A$2:$A$312,1,FALSE)</f>
        <v>#N/A</v>
      </c>
      <c r="AG241" s="20">
        <f>IFERROR(VLOOKUP(Data[[#This Row],[DEVELOPMENT]],Ops_Priorities_and_Data_Clean[[development]:[ifnoext_comment]],3,FALSE),"")</f>
        <v>1</v>
      </c>
      <c r="AH241" s="20">
        <f>IFERROR(VLOOKUP(Data[[#This Row],[DEVELOPMENT]],Ops_Priorities_and_Data_Clean[[development]:[ifnoext_comment]],4,FALSE),"")</f>
        <v>0</v>
      </c>
      <c r="AI241" s="20">
        <f>IFERROR(VLOOKUP(Data[[#This Row],[DEVELOPMENT]],Ops_Priorities_and_Data_Clean[[development]:[ifnoext_comment]],5,FALSE),"")</f>
        <v>1</v>
      </c>
      <c r="AJ241" s="20">
        <f>IFERROR(VLOOKUP(Data[[#This Row],[DEVELOPMENT]],Ops_Priorities_and_Data_Clean[[development]:[ifnoext_comment]],6,FALSE),"")</f>
        <v>0</v>
      </c>
      <c r="AK241" s="20">
        <f>IFERROR(VLOOKUP(Data[[#This Row],[DEVELOPMENT]],Ops_Priorities_and_Data_Clean[[development]:[ifnoext_comment]],7,FALSE),"")</f>
        <v>0</v>
      </c>
      <c r="AL241" s="20">
        <f>IFERROR(VLOOKUP(Data[[#This Row],[DEVELOPMENT]],Ops_Priorities_and_Data_Clean[[development]:[ifnoext_comment]],8,FALSE),"")</f>
        <v>1</v>
      </c>
      <c r="AM241" s="20">
        <f>IFERROR(VLOOKUP(Data[[#This Row],[DEVELOPMENT]],Ops_Priorities_and_Data_Clean[[development]:[ifnoext_comment]],9,FALSE),"")</f>
        <v>0</v>
      </c>
      <c r="AN241" s="20">
        <f>IFERROR(VLOOKUP(Data[[#This Row],[DEVELOPMENT]],Ops_Priorities_and_Data_Clean[[development]:[ifnoext_comment]],10,FALSE),"")</f>
        <v>1</v>
      </c>
      <c r="AO241" s="20">
        <f>IFERROR(VLOOKUP(Data[[#This Row],[DEVELOPMENT]],Ops_Priorities_and_Data_Clean[[development]:[ifnoext_comment]],11,FALSE),"")</f>
        <v>1</v>
      </c>
      <c r="AP241" s="20">
        <f>IFERROR(VLOOKUP(Data[[#This Row],[DEVELOPMENT]],Ops_Priorities_and_Data_Clean[[development]:[ifnoext_comment]],12,FALSE),"")</f>
        <v>1</v>
      </c>
      <c r="AQ241" s="20">
        <f>VLOOKUP(Data[[#This Row],[DEVELOPMENT]],Ops_Priorities_and_Data_Clean[[development]:[ifnoext_comment]],14,FALSE)</f>
        <v>0</v>
      </c>
      <c r="AR241" s="20">
        <f>VLOOKUP(Data[[#This Row],[DEVELOPMENT]],Ops_Priorities_and_Data_Clean[[development]:[ifnoext_comment]],15,FALSE)</f>
        <v>0</v>
      </c>
      <c r="AS241" s="20" t="str">
        <f>VLOOKUP(Data[[#This Row],[DEVELOPMENT]],Ops_Priorities_and_Data_Clean[[development]:[ifnoext_comment]],16,FALSE)</f>
        <v>NULL</v>
      </c>
      <c r="AT241" s="20" t="str">
        <f>VLOOKUP(Data[[#This Row],[DEVELOPMENT]],Ops_Priorities_and_Data_Clean[[development]:[ifnoext_comment]],17,FALSE)</f>
        <v>NULL</v>
      </c>
      <c r="AU241" s="20" t="str">
        <f>VLOOKUP(Data[[#This Row],[DEVELOPMENT]],Ops_Priorities_and_Data_Clean[[development]:[ifnoext_comment]],18,FALSE)</f>
        <v>No</v>
      </c>
      <c r="AV241" s="20" t="str">
        <f>VLOOKUP(Data[[#This Row],[DEVELOPMENT]],Ops_Priorities_and_Data_Clean[[development]:[ifnoext_comment]],19,FALSE)</f>
        <v>container on-site</v>
      </c>
      <c r="AW241" s="20" t="str">
        <f>VLOOKUP(Data[[#This Row],[DEVELOPMENT]],Ops_Priorities_and_Data_Clean[[development]:[ifnoext_comment]],20,FALSE)</f>
        <v>NULL</v>
      </c>
      <c r="AX241" s="104" t="s">
        <v>2605</v>
      </c>
      <c r="AY241" s="104" t="s">
        <v>2160</v>
      </c>
      <c r="AZ241" s="20" t="str">
        <f>VLOOKUP(Data[[#This Row],[DEVELOPMENT]],Development_Data_Book[[DEVELOPMENT]:[PRIVATE MANAGEMENT]],8,FALSE)</f>
        <v>MIXED FINANCE/LLC1</v>
      </c>
      <c r="BA241" s="104" t="s">
        <v>2586</v>
      </c>
      <c r="BB241" s="20">
        <f>VLOOKUP(Data[[#This Row],[DEVELOPMENT]],Development_Data_Book[[DEVELOPMENT]:[PRIVATE MANAGEMENT]],22,FALSE)</f>
        <v>0</v>
      </c>
      <c r="BC241" s="20">
        <f>Data[[#This Row],[Non-Dwelling Buildings]]+Data[[#This Row],[Dwelling Buildings]]</f>
        <v>5</v>
      </c>
      <c r="BD241" s="20">
        <f>VLOOKUP(Data[[#This Row],[DEVELOPMENT]],Development_Data_Book[[DEVELOPMENT]:[PRIVATE MANAGEMENT]],26,FALSE)</f>
        <v>5.22</v>
      </c>
      <c r="BE241" s="106">
        <v>681101</v>
      </c>
      <c r="BF241" s="20">
        <f>VLOOKUP(Data[[#This Row],[DEVELOPMENT]],Development_Data_Book[[DEVELOPMENT]:[PRIVATE MANAGEMENT]],18,FALSE)</f>
        <v>1585</v>
      </c>
      <c r="BG24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1" s="104" t="s">
        <v>2607</v>
      </c>
      <c r="BI241" t="s">
        <v>184</v>
      </c>
      <c r="BJ241" s="20">
        <f>VLOOKUP(Data[[#This Row],[DEVELOPMENT]],Development_Data_Book[[DEVELOPMENT]:[PRIVATE MANAGEMENT]],41,FALSE)</f>
        <v>3</v>
      </c>
      <c r="BK241" s="20">
        <f>VLOOKUP(Data[[#This Row],[DEVELOPMENT]],Development_Data_Book[[DEVELOPMENT]:[PRIVATE MANAGEMENT]],42,FALSE)</f>
        <v>7</v>
      </c>
      <c r="BL241" s="20">
        <f>VLOOKUP(Data[[#This Row],[DEVELOPMENT]],Development_Data_Book[[DEVELOPMENT]:[PRIVATE MANAGEMENT]],43,FALSE)</f>
        <v>26</v>
      </c>
      <c r="BM241" s="20">
        <f>VLOOKUP(Data[[#This Row],[DEVELOPMENT]],Development_Data_Book[[DEVELOPMENT]:[PRIVATE MANAGEMENT]],44,FALSE)</f>
        <v>65</v>
      </c>
      <c r="BN241" s="20">
        <f>VLOOKUP(Data[[#This Row],[DEVELOPMENT]],Development_Data_Book[[DEVELOPMENT]:[PRIVATE MANAGEMENT]],45,FALSE)</f>
        <v>1</v>
      </c>
      <c r="BO241" s="20">
        <f>VLOOKUP(Data[[#This Row],[DEVELOPMENT]],Development_Data_Book[[DEVELOPMENT]:[PRIVATE MANAGEMENT]],24,FALSE)</f>
        <v>20</v>
      </c>
    </row>
    <row r="242" spans="1:67">
      <c r="A242" t="s">
        <v>216</v>
      </c>
      <c r="B242" s="20" t="str">
        <f>VLOOKUP(Data[[#This Row],[DEVELOPMENT]],Development_Data_Book[[DEVELOPMENT]:[BOROUGH]],MATCH("borough",Development_Data_Book[[#Headers],[DEVELOPMENT]:[BOROUGH]],0),FALSE)</f>
        <v>BROOKLYN</v>
      </c>
      <c r="C242" s="20" t="e">
        <f>VLOOKUP(Data[[#This Row],[DEVELOPMENT]],'[1]Cheat-Sheet'!$D$2:$Q$341,2,FALSE)</f>
        <v>#N/A</v>
      </c>
      <c r="D24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42" s="20">
        <f>VLOOKUP(Data[[#This Row],[DEVELOPMENT]],Development_Data_Book[[DEVELOPMENT]:[BOROUGH]],21,FALSE)</f>
        <v>1</v>
      </c>
      <c r="F242" s="20">
        <f>VLOOKUP(Data[[#This Row],[DEVELOPMENT]],Development_Data_Book[[DEVELOPMENT]:[BOROUGH]],23,FALSE)</f>
        <v>1</v>
      </c>
      <c r="G242" s="20">
        <f>VLOOKUP(Data[[#This Row],[DEVELOPMENT]],Development_Data_Book[[DEVELOPMENT]:[BOROUGH]],12,FALSE)</f>
        <v>60</v>
      </c>
      <c r="J242">
        <f>IFERROR(VLOOKUP(Data[[#This Row],[DEVELOPMENT]],IntCompactors_MRST[],4,FALSE),0)</f>
        <v>1</v>
      </c>
      <c r="K242" s="20">
        <f>IFERROR(VLOOKUP(Data[[#This Row],[DEVELOPMENT]],ExtCompactors_MRST[],4,FALSE),0)</f>
        <v>0</v>
      </c>
      <c r="L242" s="27">
        <f>IF(Data[[#This Row],['# Interior Compactors MRST]]=0,"",VLOOKUP(Data[[#This Row],[DEVELOPMENT]],IntCompactors_MRST[],5,FALSE))</f>
        <v>35217</v>
      </c>
      <c r="M242" s="28" t="str">
        <f>IF(Data[[#This Row],['# Exterior Compactors MRST]]=0,"",VLOOKUP(Data[[#This Row],[DEVELOPMENT]],ExtCompactors_MRST[],5,FALSE))</f>
        <v/>
      </c>
      <c r="N242" s="20">
        <f>Data[[#This Row],['# Interior Compactors MRST]]</f>
        <v>1</v>
      </c>
      <c r="O242" s="20">
        <f>IF(Data[[#This Row],['# Bulk Crushers]]=0,1,0)</f>
        <v>1</v>
      </c>
      <c r="P242" s="20">
        <f>1</f>
        <v>1</v>
      </c>
      <c r="Q242" s="20">
        <f>1</f>
        <v>1</v>
      </c>
      <c r="R242" s="20">
        <f>1</f>
        <v>1</v>
      </c>
      <c r="S242" s="20">
        <f>1</f>
        <v>1</v>
      </c>
      <c r="T242" s="20">
        <f>IF(Data[[#This Row],[Sewershed]]="Newtown Creek",Data[[#This Row],[DUs]],0)</f>
        <v>0</v>
      </c>
      <c r="U24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4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4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42" s="82">
        <f>VLOOKUP(Data[[#This Row],[DEVELOPMENT]],Development_Data_Book[[DEVELOPMENT]:[BOROUGH]],3,FALSE)</f>
        <v>282</v>
      </c>
      <c r="Y242" s="20"/>
      <c r="Z242" s="20">
        <f>IFERROR(VLOOKUP(Data[[#This Row],[TDS]],ExtCompactors_PNA[[Development]:[0]],2,FALSE),0)</f>
        <v>0</v>
      </c>
      <c r="AA242" s="20">
        <f>IFERROR(VLOOKUP(Data[[#This Row],[TDS]],IntCompactors_PNA[[TDS]:[0]],2,FALSE),0)</f>
        <v>1</v>
      </c>
      <c r="AB242" s="20"/>
      <c r="AC242" s="20"/>
      <c r="AD242" s="20">
        <f>IFERROR(VLOOKUP(Data[[#This Row],[TDS]],ExtCompactors_PNA[[Development]:[0]],3,FALSE)+VLOOKUP(Data[[#This Row],[TDS]],ExtCompactors_PNA[[Development]:[0]],6,FALSE),0)</f>
        <v>0</v>
      </c>
      <c r="AE242" s="20">
        <f>IFERROR(VLOOKUP(Data[[#This Row],[TDS]],IntCompactors_PNA[[TDS]:[0]],3,FALSE)+VLOOKUP(Data[[#This Row],[TDS]],IntCompactors_PNA[[TDS]:[0]],6,FALSE),0)</f>
        <v>1</v>
      </c>
      <c r="AF242" s="20" t="e">
        <f>VLOOKUP(Data[[#This Row],[DEVELOPMENT]],[3]Developments!$A$2:$A$312,1,FALSE)</f>
        <v>#N/A</v>
      </c>
      <c r="AG242" s="20">
        <f>IFERROR(VLOOKUP(Data[[#This Row],[DEVELOPMENT]],Ops_Priorities_and_Data_Clean[[development]:[ifnoext_comment]],3,FALSE),"")</f>
        <v>0</v>
      </c>
      <c r="AH242" s="20">
        <f>IFERROR(VLOOKUP(Data[[#This Row],[DEVELOPMENT]],Ops_Priorities_and_Data_Clean[[development]:[ifnoext_comment]],4,FALSE),"")</f>
        <v>1</v>
      </c>
      <c r="AI242" s="20">
        <f>IFERROR(VLOOKUP(Data[[#This Row],[DEVELOPMENT]],Ops_Priorities_and_Data_Clean[[development]:[ifnoext_comment]],5,FALSE),"")</f>
        <v>0</v>
      </c>
      <c r="AJ242" s="20">
        <f>IFERROR(VLOOKUP(Data[[#This Row],[DEVELOPMENT]],Ops_Priorities_and_Data_Clean[[development]:[ifnoext_comment]],6,FALSE),"")</f>
        <v>0</v>
      </c>
      <c r="AK242" s="20">
        <f>IFERROR(VLOOKUP(Data[[#This Row],[DEVELOPMENT]],Ops_Priorities_and_Data_Clean[[development]:[ifnoext_comment]],7,FALSE),"")</f>
        <v>1</v>
      </c>
      <c r="AL242" s="20">
        <f>IFERROR(VLOOKUP(Data[[#This Row],[DEVELOPMENT]],Ops_Priorities_and_Data_Clean[[development]:[ifnoext_comment]],8,FALSE),"")</f>
        <v>1</v>
      </c>
      <c r="AM242" s="20">
        <f>IFERROR(VLOOKUP(Data[[#This Row],[DEVELOPMENT]],Ops_Priorities_and_Data_Clean[[development]:[ifnoext_comment]],9,FALSE),"")</f>
        <v>0</v>
      </c>
      <c r="AN242" s="20">
        <f>IFERROR(VLOOKUP(Data[[#This Row],[DEVELOPMENT]],Ops_Priorities_and_Data_Clean[[development]:[ifnoext_comment]],10,FALSE),"")</f>
        <v>0</v>
      </c>
      <c r="AO242" s="20">
        <f>IFERROR(VLOOKUP(Data[[#This Row],[DEVELOPMENT]],Ops_Priorities_and_Data_Clean[[development]:[ifnoext_comment]],11,FALSE),"")</f>
        <v>0</v>
      </c>
      <c r="AP242" s="20">
        <f>IFERROR(VLOOKUP(Data[[#This Row],[DEVELOPMENT]],Ops_Priorities_and_Data_Clean[[development]:[ifnoext_comment]],12,FALSE),"")</f>
        <v>0</v>
      </c>
      <c r="AQ242" s="20">
        <f>VLOOKUP(Data[[#This Row],[DEVELOPMENT]],Ops_Priorities_and_Data_Clean[[development]:[ifnoext_comment]],14,FALSE)</f>
        <v>1</v>
      </c>
      <c r="AR242" s="20">
        <f>VLOOKUP(Data[[#This Row],[DEVELOPMENT]],Ops_Priorities_and_Data_Clean[[development]:[ifnoext_comment]],15,FALSE)</f>
        <v>0</v>
      </c>
      <c r="AS242" s="20" t="str">
        <f>VLOOKUP(Data[[#This Row],[DEVELOPMENT]],Ops_Priorities_and_Data_Clean[[development]:[ifnoext_comment]],16,FALSE)</f>
        <v>NULL</v>
      </c>
      <c r="AT242" s="20" t="str">
        <f>VLOOKUP(Data[[#This Row],[DEVELOPMENT]],Ops_Priorities_and_Data_Clean[[development]:[ifnoext_comment]],17,FALSE)</f>
        <v>NULL</v>
      </c>
      <c r="AU242" s="20" t="str">
        <f>VLOOKUP(Data[[#This Row],[DEVELOPMENT]],Ops_Priorities_and_Data_Clean[[development]:[ifnoext_comment]],18,FALSE)</f>
        <v>NULL</v>
      </c>
      <c r="AV242" s="20" t="str">
        <f>VLOOKUP(Data[[#This Row],[DEVELOPMENT]],Ops_Priorities_and_Data_Clean[[development]:[ifnoext_comment]],19,FALSE)</f>
        <v>NULL</v>
      </c>
      <c r="AW242" s="20" t="str">
        <f>VLOOKUP(Data[[#This Row],[DEVELOPMENT]],Ops_Priorities_and_Data_Clean[[development]:[ifnoext_comment]],20,FALSE)</f>
        <v>NULL</v>
      </c>
      <c r="AX242" s="104" t="s">
        <v>2238</v>
      </c>
      <c r="AY242" s="104" t="s">
        <v>2659</v>
      </c>
      <c r="AZ242" s="20" t="str">
        <f>VLOOKUP(Data[[#This Row],[DEVELOPMENT]],Development_Data_Book[[DEVELOPMENT]:[PRIVATE MANAGEMENT]],8,FALSE)</f>
        <v>FEDERAL</v>
      </c>
      <c r="BA242" s="104" t="s">
        <v>2586</v>
      </c>
      <c r="BB242" s="20">
        <f>VLOOKUP(Data[[#This Row],[DEVELOPMENT]],Development_Data_Book[[DEVELOPMENT]:[PRIVATE MANAGEMENT]],22,FALSE)</f>
        <v>0</v>
      </c>
      <c r="BC242" s="20">
        <f>Data[[#This Row],[Non-Dwelling Buildings]]+Data[[#This Row],[Dwelling Buildings]]</f>
        <v>1</v>
      </c>
      <c r="BD242" s="20">
        <f>VLOOKUP(Data[[#This Row],[DEVELOPMENT]],Development_Data_Book[[DEVELOPMENT]:[PRIVATE MANAGEMENT]],26,FALSE)</f>
        <v>0.45</v>
      </c>
      <c r="BE242" s="106">
        <v>60700</v>
      </c>
      <c r="BF242" s="20">
        <f>VLOOKUP(Data[[#This Row],[DEVELOPMENT]],Development_Data_Book[[DEVELOPMENT]:[PRIVATE MANAGEMENT]],18,FALSE)</f>
        <v>100</v>
      </c>
      <c r="BG24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2" s="104" t="s">
        <v>2621</v>
      </c>
      <c r="BI242" t="s">
        <v>184</v>
      </c>
      <c r="BJ242" s="20">
        <f>VLOOKUP(Data[[#This Row],[DEVELOPMENT]],Development_Data_Book[[DEVELOPMENT]:[PRIVATE MANAGEMENT]],41,FALSE)</f>
        <v>17</v>
      </c>
      <c r="BK242" s="20">
        <f>VLOOKUP(Data[[#This Row],[DEVELOPMENT]],Development_Data_Book[[DEVELOPMENT]:[PRIVATE MANAGEMENT]],42,FALSE)</f>
        <v>9</v>
      </c>
      <c r="BL242" s="20">
        <f>VLOOKUP(Data[[#This Row],[DEVELOPMENT]],Development_Data_Book[[DEVELOPMENT]:[PRIVATE MANAGEMENT]],43,FALSE)</f>
        <v>20</v>
      </c>
      <c r="BM242" s="20">
        <f>VLOOKUP(Data[[#This Row],[DEVELOPMENT]],Development_Data_Book[[DEVELOPMENT]:[PRIVATE MANAGEMENT]],44,FALSE)</f>
        <v>58</v>
      </c>
      <c r="BN242" s="20">
        <f>VLOOKUP(Data[[#This Row],[DEVELOPMENT]],Development_Data_Book[[DEVELOPMENT]:[PRIVATE MANAGEMENT]],45,FALSE)</f>
        <v>41</v>
      </c>
      <c r="BO242" s="20">
        <f>VLOOKUP(Data[[#This Row],[DEVELOPMENT]],Development_Data_Book[[DEVELOPMENT]:[PRIVATE MANAGEMENT]],24,FALSE)</f>
        <v>6</v>
      </c>
    </row>
    <row r="243" spans="1:67">
      <c r="A243" t="s">
        <v>253</v>
      </c>
      <c r="B243" s="20" t="str">
        <f>VLOOKUP(Data[[#This Row],[DEVELOPMENT]],Development_Data_Book[[DEVELOPMENT]:[BOROUGH]],MATCH("borough",Development_Data_Book[[#Headers],[DEVELOPMENT]:[BOROUGH]],0),FALSE)</f>
        <v>BRONX</v>
      </c>
      <c r="C243" s="20" t="e">
        <f>VLOOKUP(Data[[#This Row],[DEVELOPMENT]],'[1]Cheat-Sheet'!$D$2:$Q$341,2,FALSE)</f>
        <v>#N/A</v>
      </c>
      <c r="D24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43" s="20">
        <f>VLOOKUP(Data[[#This Row],[DEVELOPMENT]],Development_Data_Book[[DEVELOPMENT]:[BOROUGH]],21,FALSE)</f>
        <v>7</v>
      </c>
      <c r="F243" s="20">
        <f>VLOOKUP(Data[[#This Row],[DEVELOPMENT]],Development_Data_Book[[DEVELOPMENT]:[BOROUGH]],23,FALSE)</f>
        <v>8</v>
      </c>
      <c r="G243" s="20">
        <f>VLOOKUP(Data[[#This Row],[DEVELOPMENT]],Development_Data_Book[[DEVELOPMENT]:[BOROUGH]],12,FALSE)</f>
        <v>411</v>
      </c>
      <c r="J243">
        <f>IFERROR(VLOOKUP(Data[[#This Row],[DEVELOPMENT]],IntCompactors_MRST[],4,FALSE),0)</f>
        <v>7</v>
      </c>
      <c r="K243" s="20">
        <f>IFERROR(VLOOKUP(Data[[#This Row],[DEVELOPMENT]],ExtCompactors_MRST[],4,FALSE),0)</f>
        <v>0</v>
      </c>
      <c r="L243" s="27">
        <f>IF(Data[[#This Row],['# Interior Compactors MRST]]=0,"",VLOOKUP(Data[[#This Row],[DEVELOPMENT]],IntCompactors_MRST[],5,FALSE))</f>
        <v>37257</v>
      </c>
      <c r="M243" s="28" t="str">
        <f>IF(Data[[#This Row],['# Exterior Compactors MRST]]=0,"",VLOOKUP(Data[[#This Row],[DEVELOPMENT]],ExtCompactors_MRST[],5,FALSE))</f>
        <v/>
      </c>
      <c r="N243" s="20">
        <f>Data[[#This Row],['# Interior Compactors MRST]]</f>
        <v>7</v>
      </c>
      <c r="O243" s="20">
        <f>IF(Data[[#This Row],['# Bulk Crushers]]=0,1,0)</f>
        <v>1</v>
      </c>
      <c r="P243" s="20">
        <f>1</f>
        <v>1</v>
      </c>
      <c r="Q243" s="20">
        <f>1</f>
        <v>1</v>
      </c>
      <c r="R243" s="20">
        <f>1</f>
        <v>1</v>
      </c>
      <c r="S243" s="20">
        <f>1</f>
        <v>1</v>
      </c>
      <c r="T243" s="20">
        <f>IF(Data[[#This Row],[Sewershed]]="Newtown Creek",Data[[#This Row],[DUs]],0)</f>
        <v>0</v>
      </c>
      <c r="U24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4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4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43" s="82">
        <f>VLOOKUP(Data[[#This Row],[DEVELOPMENT]],Development_Data_Book[[DEVELOPMENT]:[BOROUGH]],3,FALSE)</f>
        <v>280</v>
      </c>
      <c r="Y243" s="20"/>
      <c r="Z243" s="20">
        <f>IFERROR(VLOOKUP(Data[[#This Row],[TDS]],ExtCompactors_PNA[[Development]:[0]],2,FALSE),0)</f>
        <v>0</v>
      </c>
      <c r="AA243" s="20">
        <f>IFERROR(VLOOKUP(Data[[#This Row],[TDS]],IntCompactors_PNA[[TDS]:[0]],2,FALSE),0)</f>
        <v>7</v>
      </c>
      <c r="AB243" s="20"/>
      <c r="AC243" s="20"/>
      <c r="AD243" s="20">
        <f>IFERROR(VLOOKUP(Data[[#This Row],[TDS]],ExtCompactors_PNA[[Development]:[0]],3,FALSE)+VLOOKUP(Data[[#This Row],[TDS]],ExtCompactors_PNA[[Development]:[0]],6,FALSE),0)</f>
        <v>0</v>
      </c>
      <c r="AE243" s="20">
        <f>IFERROR(VLOOKUP(Data[[#This Row],[TDS]],IntCompactors_PNA[[TDS]:[0]],3,FALSE)+VLOOKUP(Data[[#This Row],[TDS]],IntCompactors_PNA[[TDS]:[0]],6,FALSE),0)</f>
        <v>7</v>
      </c>
      <c r="AF243" s="20" t="e">
        <f>VLOOKUP(Data[[#This Row],[DEVELOPMENT]],[3]Developments!$A$2:$A$312,1,FALSE)</f>
        <v>#N/A</v>
      </c>
      <c r="AG243" s="20">
        <f>IFERROR(VLOOKUP(Data[[#This Row],[DEVELOPMENT]],Ops_Priorities_and_Data_Clean[[development]:[ifnoext_comment]],3,FALSE),"")</f>
        <v>0</v>
      </c>
      <c r="AH243" s="20">
        <f>IFERROR(VLOOKUP(Data[[#This Row],[DEVELOPMENT]],Ops_Priorities_and_Data_Clean[[development]:[ifnoext_comment]],4,FALSE),"")</f>
        <v>0</v>
      </c>
      <c r="AI243" s="20">
        <f>IFERROR(VLOOKUP(Data[[#This Row],[DEVELOPMENT]],Ops_Priorities_and_Data_Clean[[development]:[ifnoext_comment]],5,FALSE),"")</f>
        <v>0</v>
      </c>
      <c r="AJ243" s="20">
        <f>IFERROR(VLOOKUP(Data[[#This Row],[DEVELOPMENT]],Ops_Priorities_and_Data_Clean[[development]:[ifnoext_comment]],6,FALSE),"")</f>
        <v>0</v>
      </c>
      <c r="AK243" s="20">
        <f>IFERROR(VLOOKUP(Data[[#This Row],[DEVELOPMENT]],Ops_Priorities_and_Data_Clean[[development]:[ifnoext_comment]],7,FALSE),"")</f>
        <v>1</v>
      </c>
      <c r="AL243" s="20">
        <f>IFERROR(VLOOKUP(Data[[#This Row],[DEVELOPMENT]],Ops_Priorities_and_Data_Clean[[development]:[ifnoext_comment]],8,FALSE),"")</f>
        <v>1</v>
      </c>
      <c r="AM243" s="20">
        <f>IFERROR(VLOOKUP(Data[[#This Row],[DEVELOPMENT]],Ops_Priorities_and_Data_Clean[[development]:[ifnoext_comment]],9,FALSE),"")</f>
        <v>1</v>
      </c>
      <c r="AN243" s="20">
        <f>IFERROR(VLOOKUP(Data[[#This Row],[DEVELOPMENT]],Ops_Priorities_and_Data_Clean[[development]:[ifnoext_comment]],10,FALSE),"")</f>
        <v>0</v>
      </c>
      <c r="AO243" s="20">
        <f>IFERROR(VLOOKUP(Data[[#This Row],[DEVELOPMENT]],Ops_Priorities_and_Data_Clean[[development]:[ifnoext_comment]],11,FALSE),"")</f>
        <v>0</v>
      </c>
      <c r="AP243" s="20">
        <f>IFERROR(VLOOKUP(Data[[#This Row],[DEVELOPMENT]],Ops_Priorities_and_Data_Clean[[development]:[ifnoext_comment]],12,FALSE),"")</f>
        <v>0</v>
      </c>
      <c r="AQ243" s="20">
        <f>VLOOKUP(Data[[#This Row],[DEVELOPMENT]],Ops_Priorities_and_Data_Clean[[development]:[ifnoext_comment]],14,FALSE)</f>
        <v>1</v>
      </c>
      <c r="AR243" s="20">
        <f>VLOOKUP(Data[[#This Row],[DEVELOPMENT]],Ops_Priorities_and_Data_Clean[[development]:[ifnoext_comment]],15,FALSE)</f>
        <v>0</v>
      </c>
      <c r="AS243" s="20" t="str">
        <f>VLOOKUP(Data[[#This Row],[DEVELOPMENT]],Ops_Priorities_and_Data_Clean[[development]:[ifnoext_comment]],16,FALSE)</f>
        <v>NULL</v>
      </c>
      <c r="AT243" s="20" t="str">
        <f>VLOOKUP(Data[[#This Row],[DEVELOPMENT]],Ops_Priorities_and_Data_Clean[[development]:[ifnoext_comment]],17,FALSE)</f>
        <v>NULL</v>
      </c>
      <c r="AU243" s="20" t="str">
        <f>VLOOKUP(Data[[#This Row],[DEVELOPMENT]],Ops_Priorities_and_Data_Clean[[development]:[ifnoext_comment]],18,FALSE)</f>
        <v>NULL</v>
      </c>
      <c r="AV243" s="20" t="str">
        <f>VLOOKUP(Data[[#This Row],[DEVELOPMENT]],Ops_Priorities_and_Data_Clean[[development]:[ifnoext_comment]],19,FALSE)</f>
        <v>NULL</v>
      </c>
      <c r="AW243" s="20" t="str">
        <f>VLOOKUP(Data[[#This Row],[DEVELOPMENT]],Ops_Priorities_and_Data_Clean[[development]:[ifnoext_comment]],20,FALSE)</f>
        <v>NULL</v>
      </c>
      <c r="AX243" s="104" t="s">
        <v>2237</v>
      </c>
      <c r="AY243" s="104" t="s">
        <v>363</v>
      </c>
      <c r="AZ243" s="20" t="str">
        <f>VLOOKUP(Data[[#This Row],[DEVELOPMENT]],Development_Data_Book[[DEVELOPMENT]:[PRIVATE MANAGEMENT]],8,FALSE)</f>
        <v>FEDERAL</v>
      </c>
      <c r="BA243" s="104" t="s">
        <v>2586</v>
      </c>
      <c r="BB243" s="20">
        <f>VLOOKUP(Data[[#This Row],[DEVELOPMENT]],Development_Data_Book[[DEVELOPMENT]:[PRIVATE MANAGEMENT]],22,FALSE)</f>
        <v>1</v>
      </c>
      <c r="BC243" s="20">
        <f>Data[[#This Row],[Non-Dwelling Buildings]]+Data[[#This Row],[Dwelling Buildings]]</f>
        <v>8</v>
      </c>
      <c r="BD243" s="20">
        <f>VLOOKUP(Data[[#This Row],[DEVELOPMENT]],Development_Data_Book[[DEVELOPMENT]:[PRIVATE MANAGEMENT]],26,FALSE)</f>
        <v>5.21</v>
      </c>
      <c r="BE243" s="106">
        <v>430100</v>
      </c>
      <c r="BF243" s="20">
        <f>VLOOKUP(Data[[#This Row],[DEVELOPMENT]],Development_Data_Book[[DEVELOPMENT]:[PRIVATE MANAGEMENT]],18,FALSE)</f>
        <v>864</v>
      </c>
      <c r="BG24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3" s="104" t="s">
        <v>2595</v>
      </c>
      <c r="BI243" t="s">
        <v>184</v>
      </c>
      <c r="BJ243" s="20">
        <f>VLOOKUP(Data[[#This Row],[DEVELOPMENT]],Development_Data_Book[[DEVELOPMENT]:[PRIVATE MANAGEMENT]],41,FALSE)</f>
        <v>9</v>
      </c>
      <c r="BK243" s="20">
        <f>VLOOKUP(Data[[#This Row],[DEVELOPMENT]],Development_Data_Book[[DEVELOPMENT]:[PRIVATE MANAGEMENT]],42,FALSE)</f>
        <v>15</v>
      </c>
      <c r="BL243" s="20">
        <f>VLOOKUP(Data[[#This Row],[DEVELOPMENT]],Development_Data_Book[[DEVELOPMENT]:[PRIVATE MANAGEMENT]],43,FALSE)</f>
        <v>34</v>
      </c>
      <c r="BM243" s="20">
        <f>VLOOKUP(Data[[#This Row],[DEVELOPMENT]],Development_Data_Book[[DEVELOPMENT]:[PRIVATE MANAGEMENT]],44,FALSE)</f>
        <v>85</v>
      </c>
      <c r="BN243" s="20">
        <f>VLOOKUP(Data[[#This Row],[DEVELOPMENT]],Development_Data_Book[[DEVELOPMENT]:[PRIVATE MANAGEMENT]],45,FALSE)</f>
        <v>18</v>
      </c>
      <c r="BO243" s="20">
        <f>VLOOKUP(Data[[#This Row],[DEVELOPMENT]],Development_Data_Book[[DEVELOPMENT]:[PRIVATE MANAGEMENT]],24,FALSE)</f>
        <v>6</v>
      </c>
    </row>
    <row r="244" spans="1:67">
      <c r="A244" t="s">
        <v>123</v>
      </c>
      <c r="B244" t="str">
        <f>VLOOKUP(Data[[#This Row],[DEVELOPMENT]],Development_Data_Book[[DEVELOPMENT]:[BOROUGH]],MATCH("borough",Development_Data_Book[[#Headers],[DEVELOPMENT]:[BOROUGH]],0),FALSE)</f>
        <v>BRONX</v>
      </c>
      <c r="C244" t="e">
        <f>VLOOKUP(Data[[#This Row],[DEVELOPMENT]],'[1]Cheat-Sheet'!$D$2:$Q$341,2,FALSE)</f>
        <v>#N/A</v>
      </c>
      <c r="D24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44">
        <f>VLOOKUP(Data[[#This Row],[DEVELOPMENT]],Development_Data_Book[[DEVELOPMENT]:[BOROUGH]],21,FALSE)</f>
        <v>6</v>
      </c>
      <c r="F244">
        <f>VLOOKUP(Data[[#This Row],[DEVELOPMENT]],Development_Data_Book[[DEVELOPMENT]:[BOROUGH]],23,FALSE)</f>
        <v>6</v>
      </c>
      <c r="G244">
        <f>VLOOKUP(Data[[#This Row],[DEVELOPMENT]],Development_Data_Book[[DEVELOPMENT]:[BOROUGH]],12,FALSE)</f>
        <v>1005</v>
      </c>
      <c r="H244" t="s">
        <v>2248</v>
      </c>
      <c r="I244">
        <v>4</v>
      </c>
      <c r="J244">
        <f>IFERROR(VLOOKUP(Data[[#This Row],[DEVELOPMENT]],IntCompactors_MRST[],4,FALSE),0)</f>
        <v>6</v>
      </c>
      <c r="K244" s="20">
        <f>IFERROR(VLOOKUP(Data[[#This Row],[DEVELOPMENT]],ExtCompactors_MRST[],4,FALSE),0)</f>
        <v>2</v>
      </c>
      <c r="L244" s="27">
        <f>IF(Data[[#This Row],['# Interior Compactors MRST]]=0,"",VLOOKUP(Data[[#This Row],[DEVELOPMENT]],IntCompactors_MRST[],5,FALSE))</f>
        <v>36404</v>
      </c>
      <c r="M244" s="28">
        <f>IF(Data[[#This Row],['# Exterior Compactors MRST]]=0,"",VLOOKUP(Data[[#This Row],[DEVELOPMENT]],ExtCompactors_MRST[],5,FALSE))</f>
        <v>38668</v>
      </c>
      <c r="N244">
        <f>Data[[#This Row],['# Interior Compactors MRST]]</f>
        <v>6</v>
      </c>
      <c r="O244" s="20">
        <f>IF(Data[[#This Row],['# Bulk Crushers]]=0,1,0)</f>
        <v>1</v>
      </c>
      <c r="P244" s="20">
        <f>1</f>
        <v>1</v>
      </c>
      <c r="Q244" s="20">
        <f>1</f>
        <v>1</v>
      </c>
      <c r="R244" s="20">
        <f>1</f>
        <v>1</v>
      </c>
      <c r="S244" s="20">
        <f>1</f>
        <v>1</v>
      </c>
      <c r="T244" s="20">
        <f>IF(Data[[#This Row],[Sewershed]]="Newtown Creek",Data[[#This Row],[DUs]],0)</f>
        <v>0</v>
      </c>
      <c r="U24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4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4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44" s="82">
        <f>VLOOKUP(Data[[#This Row],[DEVELOPMENT]],Development_Data_Book[[DEVELOPMENT]:[BOROUGH]],3,FALSE)</f>
        <v>93</v>
      </c>
      <c r="Y244" s="20"/>
      <c r="Z244" s="20">
        <f>IFERROR(VLOOKUP(Data[[#This Row],[TDS]],ExtCompactors_PNA[[Development]:[0]],2,FALSE),0)</f>
        <v>2</v>
      </c>
      <c r="AA244" s="20">
        <f>IFERROR(VLOOKUP(Data[[#This Row],[TDS]],IntCompactors_PNA[[TDS]:[0]],2,FALSE),0)</f>
        <v>6</v>
      </c>
      <c r="AB244" s="20"/>
      <c r="AC244" s="20"/>
      <c r="AD244" s="20">
        <f>IFERROR(VLOOKUP(Data[[#This Row],[TDS]],ExtCompactors_PNA[[Development]:[0]],3,FALSE)+VLOOKUP(Data[[#This Row],[TDS]],ExtCompactors_PNA[[Development]:[0]],6,FALSE),0)</f>
        <v>2</v>
      </c>
      <c r="AE244" s="20">
        <f>IFERROR(VLOOKUP(Data[[#This Row],[TDS]],IntCompactors_PNA[[TDS]:[0]],3,FALSE)+VLOOKUP(Data[[#This Row],[TDS]],IntCompactors_PNA[[TDS]:[0]],6,FALSE),0)</f>
        <v>6</v>
      </c>
      <c r="AF244" s="20" t="e">
        <f>VLOOKUP(Data[[#This Row],[DEVELOPMENT]],[3]Developments!$A$2:$A$312,1,FALSE)</f>
        <v>#N/A</v>
      </c>
      <c r="AG244" s="20">
        <f>IFERROR(VLOOKUP(Data[[#This Row],[DEVELOPMENT]],Ops_Priorities_and_Data_Clean[[development]:[ifnoext_comment]],3,FALSE),"")</f>
        <v>2</v>
      </c>
      <c r="AH244" s="20">
        <f>IFERROR(VLOOKUP(Data[[#This Row],[DEVELOPMENT]],Ops_Priorities_and_Data_Clean[[development]:[ifnoext_comment]],4,FALSE),"")</f>
        <v>4</v>
      </c>
      <c r="AI244" s="20">
        <f>IFERROR(VLOOKUP(Data[[#This Row],[DEVELOPMENT]],Ops_Priorities_and_Data_Clean[[development]:[ifnoext_comment]],5,FALSE),"")</f>
        <v>1</v>
      </c>
      <c r="AJ244" s="20">
        <f>IFERROR(VLOOKUP(Data[[#This Row],[DEVELOPMENT]],Ops_Priorities_and_Data_Clean[[development]:[ifnoext_comment]],6,FALSE),"")</f>
        <v>0</v>
      </c>
      <c r="AK244" s="20">
        <f>IFERROR(VLOOKUP(Data[[#This Row],[DEVELOPMENT]],Ops_Priorities_and_Data_Clean[[development]:[ifnoext_comment]],7,FALSE),"")</f>
        <v>0</v>
      </c>
      <c r="AL244" s="20">
        <f>IFERROR(VLOOKUP(Data[[#This Row],[DEVELOPMENT]],Ops_Priorities_and_Data_Clean[[development]:[ifnoext_comment]],8,FALSE),"")</f>
        <v>1</v>
      </c>
      <c r="AM244" s="20">
        <f>IFERROR(VLOOKUP(Data[[#This Row],[DEVELOPMENT]],Ops_Priorities_and_Data_Clean[[development]:[ifnoext_comment]],9,FALSE),"")</f>
        <v>0</v>
      </c>
      <c r="AN244" s="20">
        <f>IFERROR(VLOOKUP(Data[[#This Row],[DEVELOPMENT]],Ops_Priorities_and_Data_Clean[[development]:[ifnoext_comment]],10,FALSE),"")</f>
        <v>3</v>
      </c>
      <c r="AO244" s="20">
        <f>IFERROR(VLOOKUP(Data[[#This Row],[DEVELOPMENT]],Ops_Priorities_and_Data_Clean[[development]:[ifnoext_comment]],11,FALSE),"")</f>
        <v>2</v>
      </c>
      <c r="AP244" s="20">
        <f>IFERROR(VLOOKUP(Data[[#This Row],[DEVELOPMENT]],Ops_Priorities_and_Data_Clean[[development]:[ifnoext_comment]],12,FALSE),"")</f>
        <v>2</v>
      </c>
      <c r="AQ244" s="20">
        <f>VLOOKUP(Data[[#This Row],[DEVELOPMENT]],Ops_Priorities_and_Data_Clean[[development]:[ifnoext_comment]],14,FALSE)</f>
        <v>0</v>
      </c>
      <c r="AR244" s="20">
        <f>VLOOKUP(Data[[#This Row],[DEVELOPMENT]],Ops_Priorities_and_Data_Clean[[development]:[ifnoext_comment]],15,FALSE)</f>
        <v>0</v>
      </c>
      <c r="AS244" s="20" t="str">
        <f>VLOOKUP(Data[[#This Row],[DEVELOPMENT]],Ops_Priorities_and_Data_Clean[[development]:[ifnoext_comment]],16,FALSE)</f>
        <v>NULL</v>
      </c>
      <c r="AT244" s="20" t="str">
        <f>VLOOKUP(Data[[#This Row],[DEVELOPMENT]],Ops_Priorities_and_Data_Clean[[development]:[ifnoext_comment]],17,FALSE)</f>
        <v>NULL</v>
      </c>
      <c r="AU244" s="20" t="str">
        <f>VLOOKUP(Data[[#This Row],[DEVELOPMENT]],Ops_Priorities_and_Data_Clean[[development]:[ifnoext_comment]],18,FALSE)</f>
        <v>NULL</v>
      </c>
      <c r="AV244" s="20" t="str">
        <f>VLOOKUP(Data[[#This Row],[DEVELOPMENT]],Ops_Priorities_and_Data_Clean[[development]:[ifnoext_comment]],19,FALSE)</f>
        <v>NULL</v>
      </c>
      <c r="AW244" s="20" t="str">
        <f>VLOOKUP(Data[[#This Row],[DEVELOPMENT]],Ops_Priorities_and_Data_Clean[[development]:[ifnoext_comment]],20,FALSE)</f>
        <v>NULL</v>
      </c>
      <c r="AX244" s="104" t="s">
        <v>2605</v>
      </c>
      <c r="AY244" s="104" t="s">
        <v>39</v>
      </c>
      <c r="AZ244" s="20" t="str">
        <f>VLOOKUP(Data[[#This Row],[DEVELOPMENT]],Development_Data_Book[[DEVELOPMENT]:[PRIVATE MANAGEMENT]],8,FALSE)</f>
        <v>MIXED FINANCE/LLC1</v>
      </c>
      <c r="BA244" s="104" t="s">
        <v>2586</v>
      </c>
      <c r="BB244" s="20">
        <f>VLOOKUP(Data[[#This Row],[DEVELOPMENT]],Development_Data_Book[[DEVELOPMENT]:[PRIVATE MANAGEMENT]],22,FALSE)</f>
        <v>0</v>
      </c>
      <c r="BC244" s="20">
        <f>Data[[#This Row],[Non-Dwelling Buildings]]+Data[[#This Row],[Dwelling Buildings]]</f>
        <v>6</v>
      </c>
      <c r="BD244" s="20">
        <f>VLOOKUP(Data[[#This Row],[DEVELOPMENT]],Development_Data_Book[[DEVELOPMENT]:[PRIVATE MANAGEMENT]],26,FALSE)</f>
        <v>13.52</v>
      </c>
      <c r="BE244" s="106">
        <v>962460</v>
      </c>
      <c r="BF244" s="20">
        <f>VLOOKUP(Data[[#This Row],[DEVELOPMENT]],Development_Data_Book[[DEVELOPMENT]:[PRIVATE MANAGEMENT]],18,FALSE)</f>
        <v>2299</v>
      </c>
      <c r="BG24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4" s="104" t="s">
        <v>2610</v>
      </c>
      <c r="BI244" t="s">
        <v>184</v>
      </c>
      <c r="BJ244" s="20">
        <f>VLOOKUP(Data[[#This Row],[DEVELOPMENT]],Development_Data_Book[[DEVELOPMENT]:[PRIVATE MANAGEMENT]],41,FALSE)</f>
        <v>1</v>
      </c>
      <c r="BK244" s="20">
        <f>VLOOKUP(Data[[#This Row],[DEVELOPMENT]],Development_Data_Book[[DEVELOPMENT]:[PRIVATE MANAGEMENT]],42,FALSE)</f>
        <v>15</v>
      </c>
      <c r="BL244" s="20" t="str">
        <f>VLOOKUP(Data[[#This Row],[DEVELOPMENT]],Development_Data_Book[[DEVELOPMENT]:[PRIVATE MANAGEMENT]],43,FALSE)</f>
        <v>29, 32</v>
      </c>
      <c r="BM244" s="20" t="str">
        <f>VLOOKUP(Data[[#This Row],[DEVELOPMENT]],Development_Data_Book[[DEVELOPMENT]:[PRIVATE MANAGEMENT]],44,FALSE)</f>
        <v>79, 84</v>
      </c>
      <c r="BN244" s="20">
        <f>VLOOKUP(Data[[#This Row],[DEVELOPMENT]],Development_Data_Book[[DEVELOPMENT]:[PRIVATE MANAGEMENT]],45,FALSE)</f>
        <v>17</v>
      </c>
      <c r="BO244" s="20">
        <f>VLOOKUP(Data[[#This Row],[DEVELOPMENT]],Development_Data_Book[[DEVELOPMENT]:[PRIVATE MANAGEMENT]],24,FALSE)</f>
        <v>21</v>
      </c>
    </row>
    <row r="245" spans="1:67">
      <c r="A245" t="s">
        <v>136</v>
      </c>
      <c r="B245" t="str">
        <f>VLOOKUP(Data[[#This Row],[DEVELOPMENT]],Development_Data_Book[[DEVELOPMENT]:[BOROUGH]],MATCH("borough",Development_Data_Book[[#Headers],[DEVELOPMENT]:[BOROUGH]],0),FALSE)</f>
        <v>MANHATTAN</v>
      </c>
      <c r="C245" t="e">
        <f>VLOOKUP(Data[[#This Row],[DEVELOPMENT]],'[1]Cheat-Sheet'!$D$2:$Q$341,2,FALSE)</f>
        <v>#N/A</v>
      </c>
      <c r="D24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45">
        <f>VLOOKUP(Data[[#This Row],[DEVELOPMENT]],Development_Data_Book[[DEVELOPMENT]:[BOROUGH]],21,FALSE)</f>
        <v>13</v>
      </c>
      <c r="F245">
        <f>VLOOKUP(Data[[#This Row],[DEVELOPMENT]],Development_Data_Book[[DEVELOPMENT]:[BOROUGH]],23,FALSE)</f>
        <v>14</v>
      </c>
      <c r="G245">
        <f>VLOOKUP(Data[[#This Row],[DEVELOPMENT]],Development_Data_Book[[DEVELOPMENT]:[BOROUGH]],12,FALSE)</f>
        <v>1525</v>
      </c>
      <c r="H245" t="s">
        <v>2247</v>
      </c>
      <c r="I245">
        <v>4</v>
      </c>
      <c r="J245">
        <f>IFERROR(VLOOKUP(Data[[#This Row],[DEVELOPMENT]],IntCompactors_MRST[],4,FALSE),0)</f>
        <v>14</v>
      </c>
      <c r="K245" s="20">
        <f>IFERROR(VLOOKUP(Data[[#This Row],[DEVELOPMENT]],ExtCompactors_MRST[],4,FALSE),0)</f>
        <v>3</v>
      </c>
      <c r="L245" s="27">
        <f>IF(Data[[#This Row],['# Interior Compactors MRST]]=0,"",VLOOKUP(Data[[#This Row],[DEVELOPMENT]],IntCompactors_MRST[],5,FALSE))</f>
        <v>36678</v>
      </c>
      <c r="M245" s="28">
        <f>IF(Data[[#This Row],['# Exterior Compactors MRST]]=0,"",VLOOKUP(Data[[#This Row],[DEVELOPMENT]],ExtCompactors_MRST[],5,FALSE))</f>
        <v>43040</v>
      </c>
      <c r="N245">
        <f>Data[[#This Row],['# Interior Compactors MRST]]</f>
        <v>14</v>
      </c>
      <c r="O245" s="20">
        <f>IF(Data[[#This Row],['# Bulk Crushers]]=0,1,0)</f>
        <v>1</v>
      </c>
      <c r="P245" s="20">
        <f>1</f>
        <v>1</v>
      </c>
      <c r="Q245" s="20">
        <f>1</f>
        <v>1</v>
      </c>
      <c r="R245" s="20">
        <f>1</f>
        <v>1</v>
      </c>
      <c r="S245" s="20">
        <f>1</f>
        <v>1</v>
      </c>
      <c r="T245" s="20">
        <f>IF(Data[[#This Row],[Sewershed]]="Newtown Creek",Data[[#This Row],[DUs]],0)</f>
        <v>0</v>
      </c>
      <c r="U24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4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4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45" s="82">
        <f>VLOOKUP(Data[[#This Row],[DEVELOPMENT]],Development_Data_Book[[DEVELOPMENT]:[BOROUGH]],3,FALSE)</f>
        <v>38</v>
      </c>
      <c r="Y245" s="20"/>
      <c r="Z245" s="20">
        <f>IFERROR(VLOOKUP(Data[[#This Row],[TDS]],ExtCompactors_PNA[[Development]:[0]],2,FALSE),0)</f>
        <v>3</v>
      </c>
      <c r="AA245" s="20">
        <f>IFERROR(VLOOKUP(Data[[#This Row],[TDS]],IntCompactors_PNA[[TDS]:[0]],2,FALSE),0)</f>
        <v>14</v>
      </c>
      <c r="AB245" s="20"/>
      <c r="AC245" s="20"/>
      <c r="AD245" s="20">
        <f>IFERROR(VLOOKUP(Data[[#This Row],[TDS]],ExtCompactors_PNA[[Development]:[0]],3,FALSE)+VLOOKUP(Data[[#This Row],[TDS]],ExtCompactors_PNA[[Development]:[0]],6,FALSE),0)</f>
        <v>3</v>
      </c>
      <c r="AE245" s="20">
        <f>IFERROR(VLOOKUP(Data[[#This Row],[TDS]],IntCompactors_PNA[[TDS]:[0]],3,FALSE)+VLOOKUP(Data[[#This Row],[TDS]],IntCompactors_PNA[[TDS]:[0]],6,FALSE),0)</f>
        <v>14</v>
      </c>
      <c r="AF245" s="20" t="e">
        <f>VLOOKUP(Data[[#This Row],[DEVELOPMENT]],[3]Developments!$A$2:$A$312,1,FALSE)</f>
        <v>#N/A</v>
      </c>
      <c r="AG245" s="20">
        <f>IFERROR(VLOOKUP(Data[[#This Row],[DEVELOPMENT]],Ops_Priorities_and_Data_Clean[[development]:[ifnoext_comment]],3,FALSE),"")</f>
        <v>3</v>
      </c>
      <c r="AH245" s="20">
        <f>IFERROR(VLOOKUP(Data[[#This Row],[DEVELOPMENT]],Ops_Priorities_and_Data_Clean[[development]:[ifnoext_comment]],4,FALSE),"")</f>
        <v>0</v>
      </c>
      <c r="AI245" s="20">
        <f>IFERROR(VLOOKUP(Data[[#This Row],[DEVELOPMENT]],Ops_Priorities_and_Data_Clean[[development]:[ifnoext_comment]],5,FALSE),"")</f>
        <v>1</v>
      </c>
      <c r="AJ245" s="20">
        <f>IFERROR(VLOOKUP(Data[[#This Row],[DEVELOPMENT]],Ops_Priorities_and_Data_Clean[[development]:[ifnoext_comment]],6,FALSE),"")</f>
        <v>0</v>
      </c>
      <c r="AK245" s="20">
        <f>IFERROR(VLOOKUP(Data[[#This Row],[DEVELOPMENT]],Ops_Priorities_and_Data_Clean[[development]:[ifnoext_comment]],7,FALSE),"")</f>
        <v>0</v>
      </c>
      <c r="AL245" s="20">
        <f>IFERROR(VLOOKUP(Data[[#This Row],[DEVELOPMENT]],Ops_Priorities_and_Data_Clean[[development]:[ifnoext_comment]],8,FALSE),"")</f>
        <v>1</v>
      </c>
      <c r="AM245" s="20">
        <f>IFERROR(VLOOKUP(Data[[#This Row],[DEVELOPMENT]],Ops_Priorities_and_Data_Clean[[development]:[ifnoext_comment]],9,FALSE),"")</f>
        <v>0</v>
      </c>
      <c r="AN245" s="20">
        <f>IFERROR(VLOOKUP(Data[[#This Row],[DEVELOPMENT]],Ops_Priorities_and_Data_Clean[[development]:[ifnoext_comment]],10,FALSE),"")</f>
        <v>3</v>
      </c>
      <c r="AO245" s="20">
        <f>IFERROR(VLOOKUP(Data[[#This Row],[DEVELOPMENT]],Ops_Priorities_and_Data_Clean[[development]:[ifnoext_comment]],11,FALSE),"")</f>
        <v>3</v>
      </c>
      <c r="AP245" s="20">
        <f>IFERROR(VLOOKUP(Data[[#This Row],[DEVELOPMENT]],Ops_Priorities_and_Data_Clean[[development]:[ifnoext_comment]],12,FALSE),"")</f>
        <v>3</v>
      </c>
      <c r="AQ245" s="20">
        <f>VLOOKUP(Data[[#This Row],[DEVELOPMENT]],Ops_Priorities_and_Data_Clean[[development]:[ifnoext_comment]],14,FALSE)</f>
        <v>0</v>
      </c>
      <c r="AR245" s="20">
        <f>VLOOKUP(Data[[#This Row],[DEVELOPMENT]],Ops_Priorities_and_Data_Clean[[development]:[ifnoext_comment]],15,FALSE)</f>
        <v>0</v>
      </c>
      <c r="AS245" s="20" t="str">
        <f>VLOOKUP(Data[[#This Row],[DEVELOPMENT]],Ops_Priorities_and_Data_Clean[[development]:[ifnoext_comment]],16,FALSE)</f>
        <v>NULL</v>
      </c>
      <c r="AT245" s="20" t="str">
        <f>VLOOKUP(Data[[#This Row],[DEVELOPMENT]],Ops_Priorities_and_Data_Clean[[development]:[ifnoext_comment]],17,FALSE)</f>
        <v>NULL</v>
      </c>
      <c r="AU245" s="20" t="str">
        <f>VLOOKUP(Data[[#This Row],[DEVELOPMENT]],Ops_Priorities_and_Data_Clean[[development]:[ifnoext_comment]],18,FALSE)</f>
        <v>NULL</v>
      </c>
      <c r="AV245" s="20" t="str">
        <f>VLOOKUP(Data[[#This Row],[DEVELOPMENT]],Ops_Priorities_and_Data_Clean[[development]:[ifnoext_comment]],19,FALSE)</f>
        <v>NULL</v>
      </c>
      <c r="AW245" s="20" t="str">
        <f>VLOOKUP(Data[[#This Row],[DEVELOPMENT]],Ops_Priorities_and_Data_Clean[[development]:[ifnoext_comment]],20,FALSE)</f>
        <v>NULL</v>
      </c>
      <c r="AX245" s="104" t="s">
        <v>2239</v>
      </c>
      <c r="AY245" s="104" t="s">
        <v>2592</v>
      </c>
      <c r="AZ245" s="20" t="str">
        <f>VLOOKUP(Data[[#This Row],[DEVELOPMENT]],Development_Data_Book[[DEVELOPMENT]:[PRIVATE MANAGEMENT]],8,FALSE)</f>
        <v>FEDERAL</v>
      </c>
      <c r="BA245" s="104" t="s">
        <v>2586</v>
      </c>
      <c r="BB245" s="20">
        <f>VLOOKUP(Data[[#This Row],[DEVELOPMENT]],Development_Data_Book[[DEVELOPMENT]:[PRIVATE MANAGEMENT]],22,FALSE)</f>
        <v>0</v>
      </c>
      <c r="BC245" s="20">
        <f>Data[[#This Row],[Non-Dwelling Buildings]]+Data[[#This Row],[Dwelling Buildings]]</f>
        <v>13</v>
      </c>
      <c r="BD245" s="20">
        <f>VLOOKUP(Data[[#This Row],[DEVELOPMENT]],Development_Data_Book[[DEVELOPMENT]:[PRIVATE MANAGEMENT]],26,FALSE)</f>
        <v>15.63</v>
      </c>
      <c r="BE245" s="106">
        <v>1447826</v>
      </c>
      <c r="BF245" s="20">
        <f>VLOOKUP(Data[[#This Row],[DEVELOPMENT]],Development_Data_Book[[DEVELOPMENT]:[PRIVATE MANAGEMENT]],18,FALSE)</f>
        <v>3426</v>
      </c>
      <c r="BG24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5" s="104" t="s">
        <v>2593</v>
      </c>
      <c r="BI245" t="s">
        <v>183</v>
      </c>
      <c r="BJ245" s="20">
        <f>VLOOKUP(Data[[#This Row],[DEVELOPMENT]],Development_Data_Book[[DEVELOPMENT]:[PRIVATE MANAGEMENT]],41,FALSE)</f>
        <v>10</v>
      </c>
      <c r="BK245" s="20">
        <f>VLOOKUP(Data[[#This Row],[DEVELOPMENT]],Development_Data_Book[[DEVELOPMENT]:[PRIVATE MANAGEMENT]],42,FALSE)</f>
        <v>13</v>
      </c>
      <c r="BL245" s="20">
        <f>VLOOKUP(Data[[#This Row],[DEVELOPMENT]],Development_Data_Book[[DEVELOPMENT]:[PRIVATE MANAGEMENT]],43,FALSE)</f>
        <v>30</v>
      </c>
      <c r="BM245" s="20">
        <f>VLOOKUP(Data[[#This Row],[DEVELOPMENT]],Development_Data_Book[[DEVELOPMENT]:[PRIVATE MANAGEMENT]],44,FALSE)</f>
        <v>70</v>
      </c>
      <c r="BN245" s="20">
        <f>VLOOKUP(Data[[#This Row],[DEVELOPMENT]],Development_Data_Book[[DEVELOPMENT]:[PRIVATE MANAGEMENT]],45,FALSE)</f>
        <v>9</v>
      </c>
      <c r="BO245" s="20">
        <f>VLOOKUP(Data[[#This Row],[DEVELOPMENT]],Development_Data_Book[[DEVELOPMENT]:[PRIVATE MANAGEMENT]],24,FALSE)</f>
        <v>14</v>
      </c>
    </row>
    <row r="246" spans="1:67">
      <c r="A246" t="s">
        <v>95</v>
      </c>
      <c r="B246" t="str">
        <f>VLOOKUP(Data[[#This Row],[DEVELOPMENT]],Development_Data_Book[[DEVELOPMENT]:[BOROUGH]],MATCH("borough",Development_Data_Book[[#Headers],[DEVELOPMENT]:[BOROUGH]],0),FALSE)</f>
        <v>MANHATTAN</v>
      </c>
      <c r="C246" t="e">
        <f>VLOOKUP(Data[[#This Row],[DEVELOPMENT]],'[1]Cheat-Sheet'!$D$2:$Q$341,2,FALSE)</f>
        <v>#N/A</v>
      </c>
      <c r="D24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46">
        <f>VLOOKUP(Data[[#This Row],[DEVELOPMENT]],Development_Data_Book[[DEVELOPMENT]:[BOROUGH]],21,FALSE)</f>
        <v>40</v>
      </c>
      <c r="F246">
        <f>VLOOKUP(Data[[#This Row],[DEVELOPMENT]],Development_Data_Book[[DEVELOPMENT]:[BOROUGH]],23,FALSE)</f>
        <v>43</v>
      </c>
      <c r="G246">
        <f>VLOOKUP(Data[[#This Row],[DEVELOPMENT]],Development_Data_Book[[DEVELOPMENT]:[BOROUGH]],12,FALSE)</f>
        <v>664</v>
      </c>
      <c r="H246" t="s">
        <v>2247</v>
      </c>
      <c r="I246">
        <v>3</v>
      </c>
      <c r="J246">
        <f>IFERROR(VLOOKUP(Data[[#This Row],[DEVELOPMENT]],IntCompactors_MRST[],4,FALSE),0)</f>
        <v>40</v>
      </c>
      <c r="K246" s="20">
        <f>IFERROR(VLOOKUP(Data[[#This Row],[DEVELOPMENT]],ExtCompactors_MRST[],4,FALSE),0)</f>
        <v>0</v>
      </c>
      <c r="L246" s="27">
        <f>IF(Data[[#This Row],['# Interior Compactors MRST]]=0,"",VLOOKUP(Data[[#This Row],[DEVELOPMENT]],IntCompactors_MRST[],5,FALSE))</f>
        <v>36526</v>
      </c>
      <c r="M246" s="28" t="str">
        <f>IF(Data[[#This Row],['# Exterior Compactors MRST]]=0,"",VLOOKUP(Data[[#This Row],[DEVELOPMENT]],ExtCompactors_MRST[],5,FALSE))</f>
        <v/>
      </c>
      <c r="N246">
        <f>Data[[#This Row],['# Interior Compactors MRST]]</f>
        <v>40</v>
      </c>
      <c r="O246" s="20">
        <f>IF(Data[[#This Row],['# Bulk Crushers]]=0,1,0)</f>
        <v>1</v>
      </c>
      <c r="P246" s="20">
        <f>1</f>
        <v>1</v>
      </c>
      <c r="Q246" s="20">
        <f>1</f>
        <v>1</v>
      </c>
      <c r="R246" s="20">
        <f>1</f>
        <v>1</v>
      </c>
      <c r="S246" s="20">
        <f>1</f>
        <v>1</v>
      </c>
      <c r="T246" s="20">
        <f>IF(Data[[#This Row],[Sewershed]]="Newtown Creek",Data[[#This Row],[DUs]],0)</f>
        <v>0</v>
      </c>
      <c r="U24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4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4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46" s="82">
        <f>VLOOKUP(Data[[#This Row],[DEVELOPMENT]],Development_Data_Book[[DEVELOPMENT]:[BOROUGH]],3,FALSE)</f>
        <v>377</v>
      </c>
      <c r="Y246" s="20"/>
      <c r="Z246" s="20">
        <f>IFERROR(VLOOKUP(Data[[#This Row],[TDS]],ExtCompactors_PNA[[Development]:[0]],2,FALSE),0)</f>
        <v>0</v>
      </c>
      <c r="AA246" s="20">
        <f>IFERROR(VLOOKUP(Data[[#This Row],[TDS]],IntCompactors_PNA[[TDS]:[0]],2,FALSE),0)</f>
        <v>40</v>
      </c>
      <c r="AB246" s="20"/>
      <c r="AC246" s="20"/>
      <c r="AD246" s="20">
        <f>IFERROR(VLOOKUP(Data[[#This Row],[TDS]],ExtCompactors_PNA[[Development]:[0]],3,FALSE)+VLOOKUP(Data[[#This Row],[TDS]],ExtCompactors_PNA[[Development]:[0]],6,FALSE),0)</f>
        <v>0</v>
      </c>
      <c r="AE246" s="20">
        <f>IFERROR(VLOOKUP(Data[[#This Row],[TDS]],IntCompactors_PNA[[TDS]:[0]],3,FALSE)+VLOOKUP(Data[[#This Row],[TDS]],IntCompactors_PNA[[TDS]:[0]],6,FALSE),0)</f>
        <v>40</v>
      </c>
      <c r="AF246" s="20" t="e">
        <f>VLOOKUP(Data[[#This Row],[DEVELOPMENT]],[3]Developments!$A$2:$A$312,1,FALSE)</f>
        <v>#N/A</v>
      </c>
      <c r="AG246" s="20">
        <f>IFERROR(VLOOKUP(Data[[#This Row],[DEVELOPMENT]],Ops_Priorities_and_Data_Clean[[development]:[ifnoext_comment]],3,FALSE),"")</f>
        <v>0</v>
      </c>
      <c r="AH246" s="20" t="str">
        <f>IFERROR(VLOOKUP(Data[[#This Row],[DEVELOPMENT]],Ops_Priorities_and_Data_Clean[[development]:[ifnoext_comment]],4,FALSE),"")</f>
        <v>NA</v>
      </c>
      <c r="AI246" s="20">
        <f>IFERROR(VLOOKUP(Data[[#This Row],[DEVELOPMENT]],Ops_Priorities_and_Data_Clean[[development]:[ifnoext_comment]],5,FALSE),"")</f>
        <v>0</v>
      </c>
      <c r="AJ246" s="20">
        <f>IFERROR(VLOOKUP(Data[[#This Row],[DEVELOPMENT]],Ops_Priorities_and_Data_Clean[[development]:[ifnoext_comment]],6,FALSE),"")</f>
        <v>1</v>
      </c>
      <c r="AK246" s="20">
        <f>IFERROR(VLOOKUP(Data[[#This Row],[DEVELOPMENT]],Ops_Priorities_and_Data_Clean[[development]:[ifnoext_comment]],7,FALSE),"")</f>
        <v>0</v>
      </c>
      <c r="AL246" s="20">
        <f>IFERROR(VLOOKUP(Data[[#This Row],[DEVELOPMENT]],Ops_Priorities_and_Data_Clean[[development]:[ifnoext_comment]],8,FALSE),"")</f>
        <v>1</v>
      </c>
      <c r="AM246" s="20">
        <f>IFERROR(VLOOKUP(Data[[#This Row],[DEVELOPMENT]],Ops_Priorities_and_Data_Clean[[development]:[ifnoext_comment]],9,FALSE),"")</f>
        <v>0</v>
      </c>
      <c r="AN246" s="20">
        <f>IFERROR(VLOOKUP(Data[[#This Row],[DEVELOPMENT]],Ops_Priorities_and_Data_Clean[[development]:[ifnoext_comment]],10,FALSE),"")</f>
        <v>0</v>
      </c>
      <c r="AO246" s="20">
        <f>IFERROR(VLOOKUP(Data[[#This Row],[DEVELOPMENT]],Ops_Priorities_and_Data_Clean[[development]:[ifnoext_comment]],11,FALSE),"")</f>
        <v>0</v>
      </c>
      <c r="AP246" s="20">
        <f>IFERROR(VLOOKUP(Data[[#This Row],[DEVELOPMENT]],Ops_Priorities_and_Data_Clean[[development]:[ifnoext_comment]],12,FALSE),"")</f>
        <v>0</v>
      </c>
      <c r="AQ246" s="20">
        <f>VLOOKUP(Data[[#This Row],[DEVELOPMENT]],Ops_Priorities_and_Data_Clean[[development]:[ifnoext_comment]],14,FALSE)</f>
        <v>0</v>
      </c>
      <c r="AR246" s="20">
        <f>VLOOKUP(Data[[#This Row],[DEVELOPMENT]],Ops_Priorities_and_Data_Clean[[development]:[ifnoext_comment]],15,FALSE)</f>
        <v>1</v>
      </c>
      <c r="AS246" s="20" t="str">
        <f>VLOOKUP(Data[[#This Row],[DEVELOPMENT]],Ops_Priorities_and_Data_Clean[[development]:[ifnoext_comment]],16,FALSE)</f>
        <v>Drew-Hamilton</v>
      </c>
      <c r="AT246" s="20" t="str">
        <f>VLOOKUP(Data[[#This Row],[DEVELOPMENT]],Ops_Priorities_and_Data_Clean[[development]:[ifnoext_comment]],17,FALSE)</f>
        <v>NULL</v>
      </c>
      <c r="AU246" s="20" t="str">
        <f>VLOOKUP(Data[[#This Row],[DEVELOPMENT]],Ops_Priorities_and_Data_Clean[[development]:[ifnoext_comment]],18,FALSE)</f>
        <v>NULL</v>
      </c>
      <c r="AV246" s="20" t="str">
        <f>VLOOKUP(Data[[#This Row],[DEVELOPMENT]],Ops_Priorities_and_Data_Clean[[development]:[ifnoext_comment]],19,FALSE)</f>
        <v>NULL</v>
      </c>
      <c r="AW246" s="20" t="str">
        <f>VLOOKUP(Data[[#This Row],[DEVELOPMENT]],Ops_Priorities_and_Data_Clean[[development]:[ifnoext_comment]],20,FALSE)</f>
        <v>NULL</v>
      </c>
      <c r="AX246" s="104" t="s">
        <v>2605</v>
      </c>
      <c r="AY246" s="104" t="s">
        <v>2592</v>
      </c>
      <c r="AZ246" s="20" t="str">
        <f>VLOOKUP(Data[[#This Row],[DEVELOPMENT]],Development_Data_Book[[DEVELOPMENT]:[PRIVATE MANAGEMENT]],8,FALSE)</f>
        <v>MIXED FINANCE/LLC1</v>
      </c>
      <c r="BA246" s="104" t="s">
        <v>2613</v>
      </c>
      <c r="BB246" s="20">
        <f>VLOOKUP(Data[[#This Row],[DEVELOPMENT]],Development_Data_Book[[DEVELOPMENT]:[PRIVATE MANAGEMENT]],22,FALSE)</f>
        <v>2</v>
      </c>
      <c r="BC246" s="20">
        <f>Data[[#This Row],[Non-Dwelling Buildings]]+Data[[#This Row],[Dwelling Buildings]]</f>
        <v>42</v>
      </c>
      <c r="BD246" s="20">
        <f>VLOOKUP(Data[[#This Row],[DEVELOPMENT]],Development_Data_Book[[DEVELOPMENT]:[PRIVATE MANAGEMENT]],26,FALSE)</f>
        <v>4.63</v>
      </c>
      <c r="BE246" s="106">
        <v>795415</v>
      </c>
      <c r="BF246" s="20">
        <f>VLOOKUP(Data[[#This Row],[DEVELOPMENT]],Development_Data_Book[[DEVELOPMENT]:[PRIVATE MANAGEMENT]],18,FALSE)</f>
        <v>1412</v>
      </c>
      <c r="BG24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6" s="104" t="s">
        <v>2593</v>
      </c>
      <c r="BI246" t="s">
        <v>184</v>
      </c>
      <c r="BJ246" s="20">
        <f>VLOOKUP(Data[[#This Row],[DEVELOPMENT]],Development_Data_Book[[DEVELOPMENT]:[PRIVATE MANAGEMENT]],41,FALSE)</f>
        <v>10</v>
      </c>
      <c r="BK246" s="20">
        <f>VLOOKUP(Data[[#This Row],[DEVELOPMENT]],Development_Data_Book[[DEVELOPMENT]:[PRIVATE MANAGEMENT]],42,FALSE)</f>
        <v>13</v>
      </c>
      <c r="BL246" s="20">
        <f>VLOOKUP(Data[[#This Row],[DEVELOPMENT]],Development_Data_Book[[DEVELOPMENT]:[PRIVATE MANAGEMENT]],43,FALSE)</f>
        <v>30</v>
      </c>
      <c r="BM246" s="20" t="str">
        <f>VLOOKUP(Data[[#This Row],[DEVELOPMENT]],Development_Data_Book[[DEVELOPMENT]:[PRIVATE MANAGEMENT]],44,FALSE)</f>
        <v>70, 71</v>
      </c>
      <c r="BN246" s="20">
        <f>VLOOKUP(Data[[#This Row],[DEVELOPMENT]],Development_Data_Book[[DEVELOPMENT]:[PRIVATE MANAGEMENT]],45,FALSE)</f>
        <v>9</v>
      </c>
      <c r="BO246" s="20">
        <f>VLOOKUP(Data[[#This Row],[DEVELOPMENT]],Development_Data_Book[[DEVELOPMENT]:[PRIVATE MANAGEMENT]],24,FALSE)</f>
        <v>39208</v>
      </c>
    </row>
    <row r="247" spans="1:67">
      <c r="A247" t="s">
        <v>358</v>
      </c>
      <c r="B247" s="20" t="str">
        <f>VLOOKUP(Data[[#This Row],[DEVELOPMENT]],Development_Data_Book[[DEVELOPMENT]:[BOROUGH]],MATCH("borough",Development_Data_Book[[#Headers],[DEVELOPMENT]:[BOROUGH]],0),FALSE)</f>
        <v>MANHATTAN</v>
      </c>
      <c r="C247" s="20" t="e">
        <f>VLOOKUP(Data[[#This Row],[DEVELOPMENT]],'[1]Cheat-Sheet'!$D$2:$Q$341,2,FALSE)</f>
        <v>#N/A</v>
      </c>
      <c r="D24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47" s="20">
        <f>VLOOKUP(Data[[#This Row],[DEVELOPMENT]],Development_Data_Book[[DEVELOPMENT]:[BOROUGH]],21,FALSE)</f>
        <v>5</v>
      </c>
      <c r="F247" s="20">
        <f>VLOOKUP(Data[[#This Row],[DEVELOPMENT]],Development_Data_Book[[DEVELOPMENT]:[BOROUGH]],23,FALSE)</f>
        <v>5</v>
      </c>
      <c r="G247" s="20">
        <f>VLOOKUP(Data[[#This Row],[DEVELOPMENT]],Development_Data_Book[[DEVELOPMENT]:[BOROUGH]],12,FALSE)</f>
        <v>24</v>
      </c>
      <c r="J247">
        <f>IFERROR(VLOOKUP(Data[[#This Row],[DEVELOPMENT]],IntCompactors_MRST[],4,FALSE),0)</f>
        <v>0</v>
      </c>
      <c r="K247" s="20">
        <f>IFERROR(VLOOKUP(Data[[#This Row],[DEVELOPMENT]],ExtCompactors_MRST[],4,FALSE),0)</f>
        <v>0</v>
      </c>
      <c r="L247" s="27" t="str">
        <f>IF(Data[[#This Row],['# Interior Compactors MRST]]=0,"",VLOOKUP(Data[[#This Row],[DEVELOPMENT]],IntCompactors_MRST[],5,FALSE))</f>
        <v/>
      </c>
      <c r="M247" s="28" t="str">
        <f>IF(Data[[#This Row],['# Exterior Compactors MRST]]=0,"",VLOOKUP(Data[[#This Row],[DEVELOPMENT]],ExtCompactors_MRST[],5,FALSE))</f>
        <v/>
      </c>
      <c r="N247" s="20">
        <f>Data[[#This Row],['# Interior Compactors MRST]]</f>
        <v>0</v>
      </c>
      <c r="O247" s="20">
        <f>IF(Data[[#This Row],['# Bulk Crushers]]=0,1,0)</f>
        <v>1</v>
      </c>
      <c r="P247" s="20">
        <f>1</f>
        <v>1</v>
      </c>
      <c r="Q247" s="20">
        <f>1</f>
        <v>1</v>
      </c>
      <c r="R247" s="20">
        <f>1</f>
        <v>1</v>
      </c>
      <c r="S247" s="20">
        <f>1</f>
        <v>1</v>
      </c>
      <c r="T247" s="20">
        <f>IF(Data[[#This Row],[Sewershed]]="Newtown Creek",Data[[#This Row],[DUs]],0)</f>
        <v>0</v>
      </c>
      <c r="U24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4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4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47" s="82">
        <f>VLOOKUP(Data[[#This Row],[DEVELOPMENT]],Development_Data_Book[[DEVELOPMENT]:[BOROUGH]],3,FALSE)</f>
        <v>389</v>
      </c>
      <c r="Y247" s="20"/>
      <c r="Z247" s="20">
        <f>IFERROR(VLOOKUP(Data[[#This Row],[TDS]],ExtCompactors_PNA[[Development]:[0]],2,FALSE),0)</f>
        <v>0</v>
      </c>
      <c r="AA247" s="20">
        <f>IFERROR(VLOOKUP(Data[[#This Row],[TDS]],IntCompactors_PNA[[TDS]:[0]],2,FALSE),0)</f>
        <v>1</v>
      </c>
      <c r="AB247" s="20"/>
      <c r="AC247" s="20"/>
      <c r="AD247" s="20">
        <f>IFERROR(VLOOKUP(Data[[#This Row],[TDS]],ExtCompactors_PNA[[Development]:[0]],3,FALSE)+VLOOKUP(Data[[#This Row],[TDS]],ExtCompactors_PNA[[Development]:[0]],6,FALSE),0)</f>
        <v>0</v>
      </c>
      <c r="AE247" s="20">
        <f>IFERROR(VLOOKUP(Data[[#This Row],[TDS]],IntCompactors_PNA[[TDS]:[0]],3,FALSE)+VLOOKUP(Data[[#This Row],[TDS]],IntCompactors_PNA[[TDS]:[0]],6,FALSE),0)</f>
        <v>1</v>
      </c>
      <c r="AF247" s="20" t="e">
        <f>VLOOKUP(Data[[#This Row],[DEVELOPMENT]],[3]Developments!$A$2:$A$312,1,FALSE)</f>
        <v>#N/A</v>
      </c>
      <c r="AG247" s="20">
        <f>IFERROR(VLOOKUP(Data[[#This Row],[DEVELOPMENT]],Ops_Priorities_and_Data_Clean[[development]:[ifnoext_comment]],3,FALSE),"")</f>
        <v>0</v>
      </c>
      <c r="AH247" s="20">
        <f>IFERROR(VLOOKUP(Data[[#This Row],[DEVELOPMENT]],Ops_Priorities_and_Data_Clean[[development]:[ifnoext_comment]],4,FALSE),"")</f>
        <v>0</v>
      </c>
      <c r="AI247" s="20">
        <f>IFERROR(VLOOKUP(Data[[#This Row],[DEVELOPMENT]],Ops_Priorities_and_Data_Clean[[development]:[ifnoext_comment]],5,FALSE),"")</f>
        <v>0</v>
      </c>
      <c r="AJ247" s="20">
        <f>IFERROR(VLOOKUP(Data[[#This Row],[DEVELOPMENT]],Ops_Priorities_and_Data_Clean[[development]:[ifnoext_comment]],6,FALSE),"")</f>
        <v>0</v>
      </c>
      <c r="AK247" s="20">
        <f>IFERROR(VLOOKUP(Data[[#This Row],[DEVELOPMENT]],Ops_Priorities_and_Data_Clean[[development]:[ifnoext_comment]],7,FALSE),"")</f>
        <v>1</v>
      </c>
      <c r="AL247" s="20">
        <f>IFERROR(VLOOKUP(Data[[#This Row],[DEVELOPMENT]],Ops_Priorities_and_Data_Clean[[development]:[ifnoext_comment]],8,FALSE),"")</f>
        <v>1</v>
      </c>
      <c r="AM247" s="20">
        <f>IFERROR(VLOOKUP(Data[[#This Row],[DEVELOPMENT]],Ops_Priorities_and_Data_Clean[[development]:[ifnoext_comment]],9,FALSE),"")</f>
        <v>0</v>
      </c>
      <c r="AN247" s="20">
        <f>IFERROR(VLOOKUP(Data[[#This Row],[DEVELOPMENT]],Ops_Priorities_and_Data_Clean[[development]:[ifnoext_comment]],10,FALSE),"")</f>
        <v>0</v>
      </c>
      <c r="AO247" s="20">
        <f>IFERROR(VLOOKUP(Data[[#This Row],[DEVELOPMENT]],Ops_Priorities_and_Data_Clean[[development]:[ifnoext_comment]],11,FALSE),"")</f>
        <v>0</v>
      </c>
      <c r="AP247" s="20">
        <f>IFERROR(VLOOKUP(Data[[#This Row],[DEVELOPMENT]],Ops_Priorities_and_Data_Clean[[development]:[ifnoext_comment]],12,FALSE),"")</f>
        <v>0</v>
      </c>
      <c r="AQ247" s="20">
        <f>VLOOKUP(Data[[#This Row],[DEVELOPMENT]],Ops_Priorities_and_Data_Clean[[development]:[ifnoext_comment]],14,FALSE)</f>
        <v>1</v>
      </c>
      <c r="AR247" s="20">
        <f>VLOOKUP(Data[[#This Row],[DEVELOPMENT]],Ops_Priorities_and_Data_Clean[[development]:[ifnoext_comment]],15,FALSE)</f>
        <v>0</v>
      </c>
      <c r="AS247" s="20" t="str">
        <f>VLOOKUP(Data[[#This Row],[DEVELOPMENT]],Ops_Priorities_and_Data_Clean[[development]:[ifnoext_comment]],16,FALSE)</f>
        <v>NULL</v>
      </c>
      <c r="AT247" s="20" t="str">
        <f>VLOOKUP(Data[[#This Row],[DEVELOPMENT]],Ops_Priorities_and_Data_Clean[[development]:[ifnoext_comment]],17,FALSE)</f>
        <v>NULL</v>
      </c>
      <c r="AU247" s="20" t="str">
        <f>VLOOKUP(Data[[#This Row],[DEVELOPMENT]],Ops_Priorities_and_Data_Clean[[development]:[ifnoext_comment]],18,FALSE)</f>
        <v>yes</v>
      </c>
      <c r="AV247" s="20" t="str">
        <f>VLOOKUP(Data[[#This Row],[DEVELOPMENT]],Ops_Priorities_and_Data_Clean[[development]:[ifnoext_comment]],19,FALSE)</f>
        <v>Curbside pickup for DSNY</v>
      </c>
      <c r="AW247" s="20" t="str">
        <f>VLOOKUP(Data[[#This Row],[DEVELOPMENT]],Ops_Priorities_and_Data_Clean[[development]:[ifnoext_comment]],20,FALSE)</f>
        <v>NULL</v>
      </c>
      <c r="AX247" s="104" t="s">
        <v>2596</v>
      </c>
      <c r="AY247" s="104" t="s">
        <v>2592</v>
      </c>
      <c r="AZ247" s="20" t="str">
        <f>VLOOKUP(Data[[#This Row],[DEVELOPMENT]],Development_Data_Book[[DEVELOPMENT]:[PRIVATE MANAGEMENT]],8,FALSE)</f>
        <v>MHOP</v>
      </c>
      <c r="BA247" s="104" t="s">
        <v>2588</v>
      </c>
      <c r="BB247" s="20">
        <f>VLOOKUP(Data[[#This Row],[DEVELOPMENT]],Development_Data_Book[[DEVELOPMENT]:[PRIVATE MANAGEMENT]],22,FALSE)</f>
        <v>0</v>
      </c>
      <c r="BC247" s="20">
        <f>Data[[#This Row],[Non-Dwelling Buildings]]+Data[[#This Row],[Dwelling Buildings]]</f>
        <v>5</v>
      </c>
      <c r="BD247" s="20">
        <f>VLOOKUP(Data[[#This Row],[DEVELOPMENT]],Development_Data_Book[[DEVELOPMENT]:[PRIVATE MANAGEMENT]],26,FALSE)</f>
        <v>0.32</v>
      </c>
      <c r="BE247" s="106">
        <v>64684</v>
      </c>
      <c r="BF247" s="20">
        <f>VLOOKUP(Data[[#This Row],[DEVELOPMENT]],Development_Data_Book[[DEVELOPMENT]:[PRIVATE MANAGEMENT]],18,FALSE)</f>
        <v>38</v>
      </c>
      <c r="BG24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7" s="104" t="s">
        <v>2593</v>
      </c>
      <c r="BI247" t="s">
        <v>184</v>
      </c>
      <c r="BJ247" s="20">
        <f>VLOOKUP(Data[[#This Row],[DEVELOPMENT]],Development_Data_Book[[DEVELOPMENT]:[PRIVATE MANAGEMENT]],41,FALSE)</f>
        <v>10</v>
      </c>
      <c r="BK247" s="20">
        <f>VLOOKUP(Data[[#This Row],[DEVELOPMENT]],Development_Data_Book[[DEVELOPMENT]:[PRIVATE MANAGEMENT]],42,FALSE)</f>
        <v>13</v>
      </c>
      <c r="BL247" s="20">
        <f>VLOOKUP(Data[[#This Row],[DEVELOPMENT]],Development_Data_Book[[DEVELOPMENT]:[PRIVATE MANAGEMENT]],43,FALSE)</f>
        <v>30</v>
      </c>
      <c r="BM247" s="20">
        <f>VLOOKUP(Data[[#This Row],[DEVELOPMENT]],Development_Data_Book[[DEVELOPMENT]:[PRIVATE MANAGEMENT]],44,FALSE)</f>
        <v>70</v>
      </c>
      <c r="BN247" s="20">
        <f>VLOOKUP(Data[[#This Row],[DEVELOPMENT]],Development_Data_Book[[DEVELOPMENT]:[PRIVATE MANAGEMENT]],45,FALSE)</f>
        <v>9</v>
      </c>
      <c r="BO247" s="20">
        <f>VLOOKUP(Data[[#This Row],[DEVELOPMENT]],Development_Data_Book[[DEVELOPMENT]:[PRIVATE MANAGEMENT]],24,FALSE)</f>
        <v>5</v>
      </c>
    </row>
    <row r="248" spans="1:67">
      <c r="A248" t="s">
        <v>359</v>
      </c>
      <c r="B248" s="20" t="str">
        <f>VLOOKUP(Data[[#This Row],[DEVELOPMENT]],Development_Data_Book[[DEVELOPMENT]:[BOROUGH]],MATCH("borough",Development_Data_Book[[#Headers],[DEVELOPMENT]:[BOROUGH]],0),FALSE)</f>
        <v>MANHATTAN</v>
      </c>
      <c r="C248" s="20" t="e">
        <f>VLOOKUP(Data[[#This Row],[DEVELOPMENT]],'[1]Cheat-Sheet'!$D$2:$Q$341,2,FALSE)</f>
        <v>#N/A</v>
      </c>
      <c r="D24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48" s="20">
        <f>VLOOKUP(Data[[#This Row],[DEVELOPMENT]],Development_Data_Book[[DEVELOPMENT]:[BOROUGH]],21,FALSE)</f>
        <v>1</v>
      </c>
      <c r="F248" s="20">
        <f>VLOOKUP(Data[[#This Row],[DEVELOPMENT]],Development_Data_Book[[DEVELOPMENT]:[BOROUGH]],23,FALSE)</f>
        <v>1</v>
      </c>
      <c r="G248" s="20">
        <f>VLOOKUP(Data[[#This Row],[DEVELOPMENT]],Development_Data_Book[[DEVELOPMENT]:[BOROUGH]],12,FALSE)</f>
        <v>4</v>
      </c>
      <c r="J248">
        <f>IFERROR(VLOOKUP(Data[[#This Row],[DEVELOPMENT]],IntCompactors_MRST[],4,FALSE),0)</f>
        <v>0</v>
      </c>
      <c r="K248" s="20">
        <f>IFERROR(VLOOKUP(Data[[#This Row],[DEVELOPMENT]],ExtCompactors_MRST[],4,FALSE),0)</f>
        <v>0</v>
      </c>
      <c r="L248" s="27" t="str">
        <f>IF(Data[[#This Row],['# Interior Compactors MRST]]=0,"",VLOOKUP(Data[[#This Row],[DEVELOPMENT]],IntCompactors_MRST[],5,FALSE))</f>
        <v/>
      </c>
      <c r="M248" s="28" t="str">
        <f>IF(Data[[#This Row],['# Exterior Compactors MRST]]=0,"",VLOOKUP(Data[[#This Row],[DEVELOPMENT]],ExtCompactors_MRST[],5,FALSE))</f>
        <v/>
      </c>
      <c r="N248" s="20">
        <f>Data[[#This Row],['# Interior Compactors MRST]]</f>
        <v>0</v>
      </c>
      <c r="O248" s="20">
        <f>IF(Data[[#This Row],['# Bulk Crushers]]=0,1,0)</f>
        <v>1</v>
      </c>
      <c r="P248" s="20">
        <f>1</f>
        <v>1</v>
      </c>
      <c r="Q248" s="20">
        <f>1</f>
        <v>1</v>
      </c>
      <c r="R248" s="20">
        <f>1</f>
        <v>1</v>
      </c>
      <c r="S248" s="20">
        <f>1</f>
        <v>1</v>
      </c>
      <c r="T248" s="20">
        <f>IF(Data[[#This Row],[Sewershed]]="Newtown Creek",Data[[#This Row],[DUs]],0)</f>
        <v>0</v>
      </c>
      <c r="U24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4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4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48" s="82">
        <f>VLOOKUP(Data[[#This Row],[DEVELOPMENT]],Development_Data_Book[[DEVELOPMENT]:[BOROUGH]],3,FALSE)</f>
        <v>398</v>
      </c>
      <c r="Y248" s="20"/>
      <c r="Z248" s="20">
        <f>IFERROR(VLOOKUP(Data[[#This Row],[TDS]],ExtCompactors_PNA[[Development]:[0]],2,FALSE),0)</f>
        <v>0</v>
      </c>
      <c r="AA248" s="20">
        <f>IFERROR(VLOOKUP(Data[[#This Row],[TDS]],IntCompactors_PNA[[TDS]:[0]],2,FALSE),0)</f>
        <v>0</v>
      </c>
      <c r="AB248" s="20"/>
      <c r="AC248" s="20"/>
      <c r="AD248" s="20">
        <f>IFERROR(VLOOKUP(Data[[#This Row],[TDS]],ExtCompactors_PNA[[Development]:[0]],3,FALSE)+VLOOKUP(Data[[#This Row],[TDS]],ExtCompactors_PNA[[Development]:[0]],6,FALSE),0)</f>
        <v>0</v>
      </c>
      <c r="AE248" s="20">
        <f>IFERROR(VLOOKUP(Data[[#This Row],[TDS]],IntCompactors_PNA[[TDS]:[0]],3,FALSE)+VLOOKUP(Data[[#This Row],[TDS]],IntCompactors_PNA[[TDS]:[0]],6,FALSE),0)</f>
        <v>0</v>
      </c>
      <c r="AF248" s="20" t="e">
        <f>VLOOKUP(Data[[#This Row],[DEVELOPMENT]],[3]Developments!$A$2:$A$312,1,FALSE)</f>
        <v>#N/A</v>
      </c>
      <c r="AG248" s="20">
        <f>IFERROR(VLOOKUP(Data[[#This Row],[DEVELOPMENT]],Ops_Priorities_and_Data_Clean[[development]:[ifnoext_comment]],3,FALSE),"")</f>
        <v>0</v>
      </c>
      <c r="AH248" s="20">
        <f>IFERROR(VLOOKUP(Data[[#This Row],[DEVELOPMENT]],Ops_Priorities_and_Data_Clean[[development]:[ifnoext_comment]],4,FALSE),"")</f>
        <v>0</v>
      </c>
      <c r="AI248" s="20">
        <f>IFERROR(VLOOKUP(Data[[#This Row],[DEVELOPMENT]],Ops_Priorities_and_Data_Clean[[development]:[ifnoext_comment]],5,FALSE),"")</f>
        <v>0</v>
      </c>
      <c r="AJ248" s="20">
        <f>IFERROR(VLOOKUP(Data[[#This Row],[DEVELOPMENT]],Ops_Priorities_and_Data_Clean[[development]:[ifnoext_comment]],6,FALSE),"")</f>
        <v>0</v>
      </c>
      <c r="AK248" s="20">
        <f>IFERROR(VLOOKUP(Data[[#This Row],[DEVELOPMENT]],Ops_Priorities_and_Data_Clean[[development]:[ifnoext_comment]],7,FALSE),"")</f>
        <v>1</v>
      </c>
      <c r="AL248" s="20">
        <f>IFERROR(VLOOKUP(Data[[#This Row],[DEVELOPMENT]],Ops_Priorities_and_Data_Clean[[development]:[ifnoext_comment]],8,FALSE),"")</f>
        <v>1</v>
      </c>
      <c r="AM248" s="20">
        <f>IFERROR(VLOOKUP(Data[[#This Row],[DEVELOPMENT]],Ops_Priorities_and_Data_Clean[[development]:[ifnoext_comment]],9,FALSE),"")</f>
        <v>0</v>
      </c>
      <c r="AN248" s="20">
        <f>IFERROR(VLOOKUP(Data[[#This Row],[DEVELOPMENT]],Ops_Priorities_and_Data_Clean[[development]:[ifnoext_comment]],10,FALSE),"")</f>
        <v>0</v>
      </c>
      <c r="AO248" s="20">
        <f>IFERROR(VLOOKUP(Data[[#This Row],[DEVELOPMENT]],Ops_Priorities_and_Data_Clean[[development]:[ifnoext_comment]],11,FALSE),"")</f>
        <v>0</v>
      </c>
      <c r="AP248" s="20">
        <f>IFERROR(VLOOKUP(Data[[#This Row],[DEVELOPMENT]],Ops_Priorities_and_Data_Clean[[development]:[ifnoext_comment]],12,FALSE),"")</f>
        <v>0</v>
      </c>
      <c r="AQ248" s="20">
        <f>VLOOKUP(Data[[#This Row],[DEVELOPMENT]],Ops_Priorities_and_Data_Clean[[development]:[ifnoext_comment]],14,FALSE)</f>
        <v>1</v>
      </c>
      <c r="AR248" s="20">
        <f>VLOOKUP(Data[[#This Row],[DEVELOPMENT]],Ops_Priorities_and_Data_Clean[[development]:[ifnoext_comment]],15,FALSE)</f>
        <v>0</v>
      </c>
      <c r="AS248" s="20" t="str">
        <f>VLOOKUP(Data[[#This Row],[DEVELOPMENT]],Ops_Priorities_and_Data_Clean[[development]:[ifnoext_comment]],16,FALSE)</f>
        <v>NULL</v>
      </c>
      <c r="AT248" s="20" t="str">
        <f>VLOOKUP(Data[[#This Row],[DEVELOPMENT]],Ops_Priorities_and_Data_Clean[[development]:[ifnoext_comment]],17,FALSE)</f>
        <v>NULL</v>
      </c>
      <c r="AU248" s="20" t="str">
        <f>VLOOKUP(Data[[#This Row],[DEVELOPMENT]],Ops_Priorities_and_Data_Clean[[development]:[ifnoext_comment]],18,FALSE)</f>
        <v>yes</v>
      </c>
      <c r="AV248" s="20" t="str">
        <f>VLOOKUP(Data[[#This Row],[DEVELOPMENT]],Ops_Priorities_and_Data_Clean[[development]:[ifnoext_comment]],19,FALSE)</f>
        <v>Curbside pickup for DSNY</v>
      </c>
      <c r="AW248" s="20" t="str">
        <f>VLOOKUP(Data[[#This Row],[DEVELOPMENT]],Ops_Priorities_and_Data_Clean[[development]:[ifnoext_comment]],20,FALSE)</f>
        <v>NULL</v>
      </c>
      <c r="AX248" s="104" t="s">
        <v>2596</v>
      </c>
      <c r="AY248" s="104" t="s">
        <v>2592</v>
      </c>
      <c r="AZ248" s="20" t="str">
        <f>VLOOKUP(Data[[#This Row],[DEVELOPMENT]],Development_Data_Book[[DEVELOPMENT]:[PRIVATE MANAGEMENT]],8,FALSE)</f>
        <v>MHOP</v>
      </c>
      <c r="BA248" s="104" t="s">
        <v>2588</v>
      </c>
      <c r="BB248" s="20">
        <f>VLOOKUP(Data[[#This Row],[DEVELOPMENT]],Development_Data_Book[[DEVELOPMENT]:[PRIVATE MANAGEMENT]],22,FALSE)</f>
        <v>0</v>
      </c>
      <c r="BC248" s="20">
        <f>Data[[#This Row],[Non-Dwelling Buildings]]+Data[[#This Row],[Dwelling Buildings]]</f>
        <v>1</v>
      </c>
      <c r="BD248" s="20">
        <f>VLOOKUP(Data[[#This Row],[DEVELOPMENT]],Development_Data_Book[[DEVELOPMENT]:[PRIVATE MANAGEMENT]],26,FALSE)</f>
        <v>7.0000000000000007E-2</v>
      </c>
      <c r="BE248" s="106">
        <v>14280</v>
      </c>
      <c r="BF248" s="20">
        <f>VLOOKUP(Data[[#This Row],[DEVELOPMENT]],Development_Data_Book[[DEVELOPMENT]:[PRIVATE MANAGEMENT]],18,FALSE)</f>
        <v>12</v>
      </c>
      <c r="BG24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8" s="104" t="s">
        <v>2593</v>
      </c>
      <c r="BI248" t="s">
        <v>184</v>
      </c>
      <c r="BJ248" s="20">
        <f>VLOOKUP(Data[[#This Row],[DEVELOPMENT]],Development_Data_Book[[DEVELOPMENT]:[PRIVATE MANAGEMENT]],41,FALSE)</f>
        <v>10</v>
      </c>
      <c r="BK248" s="20">
        <f>VLOOKUP(Data[[#This Row],[DEVELOPMENT]],Development_Data_Book[[DEVELOPMENT]:[PRIVATE MANAGEMENT]],42,FALSE)</f>
        <v>13</v>
      </c>
      <c r="BL248" s="20">
        <f>VLOOKUP(Data[[#This Row],[DEVELOPMENT]],Development_Data_Book[[DEVELOPMENT]:[PRIVATE MANAGEMENT]],43,FALSE)</f>
        <v>30</v>
      </c>
      <c r="BM248" s="20">
        <f>VLOOKUP(Data[[#This Row],[DEVELOPMENT]],Development_Data_Book[[DEVELOPMENT]:[PRIVATE MANAGEMENT]],44,FALSE)</f>
        <v>70</v>
      </c>
      <c r="BN248" s="20">
        <f>VLOOKUP(Data[[#This Row],[DEVELOPMENT]],Development_Data_Book[[DEVELOPMENT]:[PRIVATE MANAGEMENT]],45,FALSE)</f>
        <v>9</v>
      </c>
      <c r="BO248" s="20">
        <f>VLOOKUP(Data[[#This Row],[DEVELOPMENT]],Development_Data_Book[[DEVELOPMENT]:[PRIVATE MANAGEMENT]],24,FALSE)</f>
        <v>5</v>
      </c>
    </row>
    <row r="249" spans="1:67">
      <c r="A249" t="s">
        <v>360</v>
      </c>
      <c r="B249" s="20" t="str">
        <f>VLOOKUP(Data[[#This Row],[DEVELOPMENT]],Development_Data_Book[[DEVELOPMENT]:[BOROUGH]],MATCH("borough",Development_Data_Book[[#Headers],[DEVELOPMENT]:[BOROUGH]],0),FALSE)</f>
        <v>MANHATTAN</v>
      </c>
      <c r="C249" s="20" t="e">
        <f>VLOOKUP(Data[[#This Row],[DEVELOPMENT]],'[1]Cheat-Sheet'!$D$2:$Q$341,2,FALSE)</f>
        <v>#N/A</v>
      </c>
      <c r="D24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49" s="20">
        <f>VLOOKUP(Data[[#This Row],[DEVELOPMENT]],Development_Data_Book[[DEVELOPMENT]:[BOROUGH]],21,FALSE)</f>
        <v>1</v>
      </c>
      <c r="F249" s="20">
        <f>VLOOKUP(Data[[#This Row],[DEVELOPMENT]],Development_Data_Book[[DEVELOPMENT]:[BOROUGH]],23,FALSE)</f>
        <v>1</v>
      </c>
      <c r="G249" s="20">
        <f>VLOOKUP(Data[[#This Row],[DEVELOPMENT]],Development_Data_Book[[DEVELOPMENT]:[BOROUGH]],12,FALSE)</f>
        <v>1</v>
      </c>
      <c r="J249">
        <f>IFERROR(VLOOKUP(Data[[#This Row],[DEVELOPMENT]],IntCompactors_MRST[],4,FALSE),0)</f>
        <v>0</v>
      </c>
      <c r="K249" s="20">
        <f>IFERROR(VLOOKUP(Data[[#This Row],[DEVELOPMENT]],ExtCompactors_MRST[],4,FALSE),0)</f>
        <v>0</v>
      </c>
      <c r="L249" s="27" t="str">
        <f>IF(Data[[#This Row],['# Interior Compactors MRST]]=0,"",VLOOKUP(Data[[#This Row],[DEVELOPMENT]],IntCompactors_MRST[],5,FALSE))</f>
        <v/>
      </c>
      <c r="M249" s="28" t="str">
        <f>IF(Data[[#This Row],['# Exterior Compactors MRST]]=0,"",VLOOKUP(Data[[#This Row],[DEVELOPMENT]],ExtCompactors_MRST[],5,FALSE))</f>
        <v/>
      </c>
      <c r="N249" s="20">
        <f>Data[[#This Row],['# Interior Compactors MRST]]</f>
        <v>0</v>
      </c>
      <c r="O249" s="20">
        <f>IF(Data[[#This Row],['# Bulk Crushers]]=0,1,0)</f>
        <v>1</v>
      </c>
      <c r="P249" s="20">
        <f>1</f>
        <v>1</v>
      </c>
      <c r="Q249" s="20">
        <f>1</f>
        <v>1</v>
      </c>
      <c r="R249" s="20">
        <f>1</f>
        <v>1</v>
      </c>
      <c r="S249" s="20">
        <f>1</f>
        <v>1</v>
      </c>
      <c r="T249" s="20">
        <f>IF(Data[[#This Row],[Sewershed]]="Newtown Creek",Data[[#This Row],[DUs]],0)</f>
        <v>0</v>
      </c>
      <c r="U24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4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4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49" s="82">
        <f>VLOOKUP(Data[[#This Row],[DEVELOPMENT]],Development_Data_Book[[DEVELOPMENT]:[BOROUGH]],3,FALSE)</f>
        <v>399</v>
      </c>
      <c r="Y249" s="20"/>
      <c r="Z249" s="20">
        <f>IFERROR(VLOOKUP(Data[[#This Row],[TDS]],ExtCompactors_PNA[[Development]:[0]],2,FALSE),0)</f>
        <v>0</v>
      </c>
      <c r="AA249" s="20">
        <f>IFERROR(VLOOKUP(Data[[#This Row],[TDS]],IntCompactors_PNA[[TDS]:[0]],2,FALSE),0)</f>
        <v>1</v>
      </c>
      <c r="AB249" s="20"/>
      <c r="AC249" s="20"/>
      <c r="AD249" s="20">
        <f>IFERROR(VLOOKUP(Data[[#This Row],[TDS]],ExtCompactors_PNA[[Development]:[0]],3,FALSE)+VLOOKUP(Data[[#This Row],[TDS]],ExtCompactors_PNA[[Development]:[0]],6,FALSE),0)</f>
        <v>0</v>
      </c>
      <c r="AE249" s="20">
        <f>IFERROR(VLOOKUP(Data[[#This Row],[TDS]],IntCompactors_PNA[[TDS]:[0]],3,FALSE)+VLOOKUP(Data[[#This Row],[TDS]],IntCompactors_PNA[[TDS]:[0]],6,FALSE),0)</f>
        <v>1</v>
      </c>
      <c r="AF249" s="20" t="e">
        <f>VLOOKUP(Data[[#This Row],[DEVELOPMENT]],[3]Developments!$A$2:$A$312,1,FALSE)</f>
        <v>#N/A</v>
      </c>
      <c r="AG249" s="20">
        <f>IFERROR(VLOOKUP(Data[[#This Row],[DEVELOPMENT]],Ops_Priorities_and_Data_Clean[[development]:[ifnoext_comment]],3,FALSE),"")</f>
        <v>0</v>
      </c>
      <c r="AH249" s="20">
        <f>IFERROR(VLOOKUP(Data[[#This Row],[DEVELOPMENT]],Ops_Priorities_and_Data_Clean[[development]:[ifnoext_comment]],4,FALSE),"")</f>
        <v>0</v>
      </c>
      <c r="AI249" s="20">
        <f>IFERROR(VLOOKUP(Data[[#This Row],[DEVELOPMENT]],Ops_Priorities_and_Data_Clean[[development]:[ifnoext_comment]],5,FALSE),"")</f>
        <v>0</v>
      </c>
      <c r="AJ249" s="20">
        <f>IFERROR(VLOOKUP(Data[[#This Row],[DEVELOPMENT]],Ops_Priorities_and_Data_Clean[[development]:[ifnoext_comment]],6,FALSE),"")</f>
        <v>0</v>
      </c>
      <c r="AK249" s="20">
        <f>IFERROR(VLOOKUP(Data[[#This Row],[DEVELOPMENT]],Ops_Priorities_and_Data_Clean[[development]:[ifnoext_comment]],7,FALSE),"")</f>
        <v>1</v>
      </c>
      <c r="AL249" s="20">
        <f>IFERROR(VLOOKUP(Data[[#This Row],[DEVELOPMENT]],Ops_Priorities_and_Data_Clean[[development]:[ifnoext_comment]],8,FALSE),"")</f>
        <v>1</v>
      </c>
      <c r="AM249" s="20">
        <f>IFERROR(VLOOKUP(Data[[#This Row],[DEVELOPMENT]],Ops_Priorities_and_Data_Clean[[development]:[ifnoext_comment]],9,FALSE),"")</f>
        <v>0</v>
      </c>
      <c r="AN249" s="20">
        <f>IFERROR(VLOOKUP(Data[[#This Row],[DEVELOPMENT]],Ops_Priorities_and_Data_Clean[[development]:[ifnoext_comment]],10,FALSE),"")</f>
        <v>0</v>
      </c>
      <c r="AO249" s="20">
        <f>IFERROR(VLOOKUP(Data[[#This Row],[DEVELOPMENT]],Ops_Priorities_and_Data_Clean[[development]:[ifnoext_comment]],11,FALSE),"")</f>
        <v>0</v>
      </c>
      <c r="AP249" s="20">
        <f>IFERROR(VLOOKUP(Data[[#This Row],[DEVELOPMENT]],Ops_Priorities_and_Data_Clean[[development]:[ifnoext_comment]],12,FALSE),"")</f>
        <v>0</v>
      </c>
      <c r="AQ249" s="20">
        <f>VLOOKUP(Data[[#This Row],[DEVELOPMENT]],Ops_Priorities_and_Data_Clean[[development]:[ifnoext_comment]],14,FALSE)</f>
        <v>1</v>
      </c>
      <c r="AR249" s="20">
        <f>VLOOKUP(Data[[#This Row],[DEVELOPMENT]],Ops_Priorities_and_Data_Clean[[development]:[ifnoext_comment]],15,FALSE)</f>
        <v>0</v>
      </c>
      <c r="AS249" s="20" t="str">
        <f>VLOOKUP(Data[[#This Row],[DEVELOPMENT]],Ops_Priorities_and_Data_Clean[[development]:[ifnoext_comment]],16,FALSE)</f>
        <v>NULL</v>
      </c>
      <c r="AT249" s="20" t="str">
        <f>VLOOKUP(Data[[#This Row],[DEVELOPMENT]],Ops_Priorities_and_Data_Clean[[development]:[ifnoext_comment]],17,FALSE)</f>
        <v>NULL</v>
      </c>
      <c r="AU249" s="20" t="str">
        <f>VLOOKUP(Data[[#This Row],[DEVELOPMENT]],Ops_Priorities_and_Data_Clean[[development]:[ifnoext_comment]],18,FALSE)</f>
        <v>yes</v>
      </c>
      <c r="AV249" s="20" t="str">
        <f>VLOOKUP(Data[[#This Row],[DEVELOPMENT]],Ops_Priorities_and_Data_Clean[[development]:[ifnoext_comment]],19,FALSE)</f>
        <v>Curbside pickup for DSNY</v>
      </c>
      <c r="AW249" s="20" t="str">
        <f>VLOOKUP(Data[[#This Row],[DEVELOPMENT]],Ops_Priorities_and_Data_Clean[[development]:[ifnoext_comment]],20,FALSE)</f>
        <v>NULL</v>
      </c>
      <c r="AX249" s="104" t="s">
        <v>2596</v>
      </c>
      <c r="AY249" s="104" t="s">
        <v>2592</v>
      </c>
      <c r="AZ249" s="20" t="str">
        <f>VLOOKUP(Data[[#This Row],[DEVELOPMENT]],Development_Data_Book[[DEVELOPMENT]:[PRIVATE MANAGEMENT]],8,FALSE)</f>
        <v>MHOP</v>
      </c>
      <c r="BA249" s="104" t="s">
        <v>2588</v>
      </c>
      <c r="BB249" s="20">
        <f>VLOOKUP(Data[[#This Row],[DEVELOPMENT]],Development_Data_Book[[DEVELOPMENT]:[PRIVATE MANAGEMENT]],22,FALSE)</f>
        <v>0</v>
      </c>
      <c r="BC249" s="20">
        <f>Data[[#This Row],[Non-Dwelling Buildings]]+Data[[#This Row],[Dwelling Buildings]]</f>
        <v>1</v>
      </c>
      <c r="BD249" s="20">
        <f>VLOOKUP(Data[[#This Row],[DEVELOPMENT]],Development_Data_Book[[DEVELOPMENT]:[PRIVATE MANAGEMENT]],26,FALSE)</f>
        <v>0.12</v>
      </c>
      <c r="BE249" s="106">
        <v>12680</v>
      </c>
      <c r="BF249" s="20">
        <f>VLOOKUP(Data[[#This Row],[DEVELOPMENT]],Development_Data_Book[[DEVELOPMENT]:[PRIVATE MANAGEMENT]],18,FALSE)</f>
        <v>3</v>
      </c>
      <c r="BG24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49" s="104" t="s">
        <v>2593</v>
      </c>
      <c r="BI249" t="s">
        <v>184</v>
      </c>
      <c r="BJ249" s="20">
        <f>VLOOKUP(Data[[#This Row],[DEVELOPMENT]],Development_Data_Book[[DEVELOPMENT]:[PRIVATE MANAGEMENT]],41,FALSE)</f>
        <v>10</v>
      </c>
      <c r="BK249" s="20">
        <f>VLOOKUP(Data[[#This Row],[DEVELOPMENT]],Development_Data_Book[[DEVELOPMENT]:[PRIVATE MANAGEMENT]],42,FALSE)</f>
        <v>13</v>
      </c>
      <c r="BL249" s="20">
        <f>VLOOKUP(Data[[#This Row],[DEVELOPMENT]],Development_Data_Book[[DEVELOPMENT]:[PRIVATE MANAGEMENT]],43,FALSE)</f>
        <v>30</v>
      </c>
      <c r="BM249" s="20">
        <f>VLOOKUP(Data[[#This Row],[DEVELOPMENT]],Development_Data_Book[[DEVELOPMENT]:[PRIVATE MANAGEMENT]],44,FALSE)</f>
        <v>71</v>
      </c>
      <c r="BN249" s="20">
        <f>VLOOKUP(Data[[#This Row],[DEVELOPMENT]],Development_Data_Book[[DEVELOPMENT]:[PRIVATE MANAGEMENT]],45,FALSE)</f>
        <v>9</v>
      </c>
      <c r="BO249" s="20">
        <f>VLOOKUP(Data[[#This Row],[DEVELOPMENT]],Development_Data_Book[[DEVELOPMENT]:[PRIVATE MANAGEMENT]],24,FALSE)</f>
        <v>5</v>
      </c>
    </row>
    <row r="250" spans="1:67">
      <c r="A250" t="s">
        <v>254</v>
      </c>
      <c r="B250" s="20" t="str">
        <f>VLOOKUP(Data[[#This Row],[DEVELOPMENT]],Development_Data_Book[[DEVELOPMENT]:[BOROUGH]],MATCH("borough",Development_Data_Book[[#Headers],[DEVELOPMENT]:[BOROUGH]],0),FALSE)</f>
        <v>BROOKLYN</v>
      </c>
      <c r="C250" s="20" t="e">
        <f>VLOOKUP(Data[[#This Row],[DEVELOPMENT]],'[1]Cheat-Sheet'!$D$2:$Q$341,2,FALSE)</f>
        <v>#N/A</v>
      </c>
      <c r="D25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50" s="20">
        <f>VLOOKUP(Data[[#This Row],[DEVELOPMENT]],Development_Data_Book[[DEVELOPMENT]:[BOROUGH]],21,FALSE)</f>
        <v>1</v>
      </c>
      <c r="F250" s="20">
        <f>VLOOKUP(Data[[#This Row],[DEVELOPMENT]],Development_Data_Book[[DEVELOPMENT]:[BOROUGH]],23,FALSE)</f>
        <v>1</v>
      </c>
      <c r="G250" s="20">
        <f>VLOOKUP(Data[[#This Row],[DEVELOPMENT]],Development_Data_Book[[DEVELOPMENT]:[BOROUGH]],12,FALSE)</f>
        <v>125</v>
      </c>
      <c r="J250">
        <f>IFERROR(VLOOKUP(Data[[#This Row],[DEVELOPMENT]],IntCompactors_MRST[],4,FALSE),0)</f>
        <v>1</v>
      </c>
      <c r="K250" s="20">
        <f>IFERROR(VLOOKUP(Data[[#This Row],[DEVELOPMENT]],ExtCompactors_MRST[],4,FALSE),0)</f>
        <v>0</v>
      </c>
      <c r="L250" s="27">
        <f>IF(Data[[#This Row],['# Interior Compactors MRST]]=0,"",VLOOKUP(Data[[#This Row],[DEVELOPMENT]],IntCompactors_MRST[],5,FALSE))</f>
        <v>39203</v>
      </c>
      <c r="M250" s="28" t="str">
        <f>IF(Data[[#This Row],['# Exterior Compactors MRST]]=0,"",VLOOKUP(Data[[#This Row],[DEVELOPMENT]],ExtCompactors_MRST[],5,FALSE))</f>
        <v/>
      </c>
      <c r="N250" s="20">
        <f>Data[[#This Row],['# Interior Compactors MRST]]</f>
        <v>1</v>
      </c>
      <c r="O250" s="20">
        <f>IF(Data[[#This Row],['# Bulk Crushers]]=0,1,0)</f>
        <v>1</v>
      </c>
      <c r="P250" s="20">
        <f>1</f>
        <v>1</v>
      </c>
      <c r="Q250" s="20">
        <f>1</f>
        <v>1</v>
      </c>
      <c r="R250" s="20">
        <f>1</f>
        <v>1</v>
      </c>
      <c r="S250" s="20">
        <f>1</f>
        <v>1</v>
      </c>
      <c r="T250" s="20">
        <f>IF(Data[[#This Row],[Sewershed]]="Newtown Creek",Data[[#This Row],[DUs]],0)</f>
        <v>125</v>
      </c>
      <c r="U25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5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5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50" s="82">
        <f>VLOOKUP(Data[[#This Row],[DEVELOPMENT]],Development_Data_Book[[DEVELOPMENT]:[BOROUGH]],3,FALSE)</f>
        <v>158</v>
      </c>
      <c r="Y250" s="20" t="s">
        <v>2599</v>
      </c>
      <c r="Z250" s="20">
        <f>IFERROR(VLOOKUP(Data[[#This Row],[TDS]],ExtCompactors_PNA[[Development]:[0]],2,FALSE),0)</f>
        <v>0</v>
      </c>
      <c r="AA250" s="20">
        <f>IFERROR(VLOOKUP(Data[[#This Row],[TDS]],IntCompactors_PNA[[TDS]:[0]],2,FALSE),0)</f>
        <v>1</v>
      </c>
      <c r="AB250" s="20"/>
      <c r="AC250" s="20"/>
      <c r="AD250" s="20">
        <f>IFERROR(VLOOKUP(Data[[#This Row],[TDS]],ExtCompactors_PNA[[Development]:[0]],3,FALSE)+VLOOKUP(Data[[#This Row],[TDS]],ExtCompactors_PNA[[Development]:[0]],6,FALSE),0)</f>
        <v>0</v>
      </c>
      <c r="AE250" s="20">
        <f>IFERROR(VLOOKUP(Data[[#This Row],[TDS]],IntCompactors_PNA[[TDS]:[0]],3,FALSE)+VLOOKUP(Data[[#This Row],[TDS]],IntCompactors_PNA[[TDS]:[0]],6,FALSE),0)</f>
        <v>1</v>
      </c>
      <c r="AF250" s="20" t="e">
        <f>VLOOKUP(Data[[#This Row],[DEVELOPMENT]],[3]Developments!$A$2:$A$312,1,FALSE)</f>
        <v>#N/A</v>
      </c>
      <c r="AG250" s="20">
        <f>IFERROR(VLOOKUP(Data[[#This Row],[DEVELOPMENT]],Ops_Priorities_and_Data_Clean[[development]:[ifnoext_comment]],3,FALSE),"")</f>
        <v>0</v>
      </c>
      <c r="AH250" s="20">
        <f>IFERROR(VLOOKUP(Data[[#This Row],[DEVELOPMENT]],Ops_Priorities_and_Data_Clean[[development]:[ifnoext_comment]],4,FALSE),"")</f>
        <v>0</v>
      </c>
      <c r="AI250" s="20">
        <f>IFERROR(VLOOKUP(Data[[#This Row],[DEVELOPMENT]],Ops_Priorities_and_Data_Clean[[development]:[ifnoext_comment]],5,FALSE),"")</f>
        <v>0</v>
      </c>
      <c r="AJ250" s="20">
        <f>IFERROR(VLOOKUP(Data[[#This Row],[DEVELOPMENT]],Ops_Priorities_and_Data_Clean[[development]:[ifnoext_comment]],6,FALSE),"")</f>
        <v>0</v>
      </c>
      <c r="AK250" s="20">
        <f>IFERROR(VLOOKUP(Data[[#This Row],[DEVELOPMENT]],Ops_Priorities_and_Data_Clean[[development]:[ifnoext_comment]],7,FALSE),"")</f>
        <v>1</v>
      </c>
      <c r="AL250" s="20">
        <f>IFERROR(VLOOKUP(Data[[#This Row],[DEVELOPMENT]],Ops_Priorities_and_Data_Clean[[development]:[ifnoext_comment]],8,FALSE),"")</f>
        <v>1</v>
      </c>
      <c r="AM250" s="20">
        <f>IFERROR(VLOOKUP(Data[[#This Row],[DEVELOPMENT]],Ops_Priorities_and_Data_Clean[[development]:[ifnoext_comment]],9,FALSE),"")</f>
        <v>1</v>
      </c>
      <c r="AN250" s="20">
        <f>IFERROR(VLOOKUP(Data[[#This Row],[DEVELOPMENT]],Ops_Priorities_and_Data_Clean[[development]:[ifnoext_comment]],10,FALSE),"")</f>
        <v>0</v>
      </c>
      <c r="AO250" s="20">
        <f>IFERROR(VLOOKUP(Data[[#This Row],[DEVELOPMENT]],Ops_Priorities_and_Data_Clean[[development]:[ifnoext_comment]],11,FALSE),"")</f>
        <v>0</v>
      </c>
      <c r="AP250" s="20">
        <f>IFERROR(VLOOKUP(Data[[#This Row],[DEVELOPMENT]],Ops_Priorities_and_Data_Clean[[development]:[ifnoext_comment]],12,FALSE),"")</f>
        <v>0</v>
      </c>
      <c r="AQ250" s="20">
        <f>VLOOKUP(Data[[#This Row],[DEVELOPMENT]],Ops_Priorities_and_Data_Clean[[development]:[ifnoext_comment]],14,FALSE)</f>
        <v>1</v>
      </c>
      <c r="AR250" s="20">
        <f>VLOOKUP(Data[[#This Row],[DEVELOPMENT]],Ops_Priorities_and_Data_Clean[[development]:[ifnoext_comment]],15,FALSE)</f>
        <v>0</v>
      </c>
      <c r="AS250" s="20" t="str">
        <f>VLOOKUP(Data[[#This Row],[DEVELOPMENT]],Ops_Priorities_and_Data_Clean[[development]:[ifnoext_comment]],16,FALSE)</f>
        <v>NULL</v>
      </c>
      <c r="AT250" s="20" t="str">
        <f>VLOOKUP(Data[[#This Row],[DEVELOPMENT]],Ops_Priorities_and_Data_Clean[[development]:[ifnoext_comment]],17,FALSE)</f>
        <v>NULL</v>
      </c>
      <c r="AU250" s="20" t="str">
        <f>VLOOKUP(Data[[#This Row],[DEVELOPMENT]],Ops_Priorities_and_Data_Clean[[development]:[ifnoext_comment]],18,FALSE)</f>
        <v>NULL</v>
      </c>
      <c r="AV250" s="20" t="str">
        <f>VLOOKUP(Data[[#This Row],[DEVELOPMENT]],Ops_Priorities_and_Data_Clean[[development]:[ifnoext_comment]],19,FALSE)</f>
        <v>NULL</v>
      </c>
      <c r="AW250" s="20" t="str">
        <f>VLOOKUP(Data[[#This Row],[DEVELOPMENT]],Ops_Priorities_and_Data_Clean[[development]:[ifnoext_comment]],20,FALSE)</f>
        <v>NULL</v>
      </c>
      <c r="AX250" s="104" t="s">
        <v>2238</v>
      </c>
      <c r="AY250" s="104" t="s">
        <v>2656</v>
      </c>
      <c r="AZ250" s="20" t="str">
        <f>VLOOKUP(Data[[#This Row],[DEVELOPMENT]],Development_Data_Book[[DEVELOPMENT]:[PRIVATE MANAGEMENT]],8,FALSE)</f>
        <v>FEDERAL</v>
      </c>
      <c r="BA250" s="104" t="s">
        <v>2586</v>
      </c>
      <c r="BB250" s="20">
        <f>VLOOKUP(Data[[#This Row],[DEVELOPMENT]],Development_Data_Book[[DEVELOPMENT]:[PRIVATE MANAGEMENT]],22,FALSE)</f>
        <v>0</v>
      </c>
      <c r="BC250" s="20">
        <f>Data[[#This Row],[Non-Dwelling Buildings]]+Data[[#This Row],[Dwelling Buildings]]</f>
        <v>1</v>
      </c>
      <c r="BD250" s="20">
        <f>VLOOKUP(Data[[#This Row],[DEVELOPMENT]],Development_Data_Book[[DEVELOPMENT]:[PRIVATE MANAGEMENT]],26,FALSE)</f>
        <v>1.26</v>
      </c>
      <c r="BE250" s="106">
        <v>114500</v>
      </c>
      <c r="BF250" s="20">
        <f>VLOOKUP(Data[[#This Row],[DEVELOPMENT]],Development_Data_Book[[DEVELOPMENT]:[PRIVATE MANAGEMENT]],18,FALSE)</f>
        <v>298</v>
      </c>
      <c r="BG25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50" s="104" t="s">
        <v>2589</v>
      </c>
      <c r="BI250" t="s">
        <v>184</v>
      </c>
      <c r="BJ250" s="20">
        <f>VLOOKUP(Data[[#This Row],[DEVELOPMENT]],Development_Data_Book[[DEVELOPMENT]:[PRIVATE MANAGEMENT]],41,FALSE)</f>
        <v>16</v>
      </c>
      <c r="BK250" s="20">
        <f>VLOOKUP(Data[[#This Row],[DEVELOPMENT]],Development_Data_Book[[DEVELOPMENT]:[PRIVATE MANAGEMENT]],42,FALSE)</f>
        <v>8</v>
      </c>
      <c r="BL250" s="20">
        <f>VLOOKUP(Data[[#This Row],[DEVELOPMENT]],Development_Data_Book[[DEVELOPMENT]:[PRIVATE MANAGEMENT]],43,FALSE)</f>
        <v>18</v>
      </c>
      <c r="BM250" s="20">
        <f>VLOOKUP(Data[[#This Row],[DEVELOPMENT]],Development_Data_Book[[DEVELOPMENT]:[PRIVATE MANAGEMENT]],44,FALSE)</f>
        <v>55</v>
      </c>
      <c r="BN250" s="20">
        <f>VLOOKUP(Data[[#This Row],[DEVELOPMENT]],Development_Data_Book[[DEVELOPMENT]:[PRIVATE MANAGEMENT]],45,FALSE)</f>
        <v>41</v>
      </c>
      <c r="BO250" s="20">
        <f>VLOOKUP(Data[[#This Row],[DEVELOPMENT]],Development_Data_Book[[DEVELOPMENT]:[PRIVATE MANAGEMENT]],24,FALSE)</f>
        <v>16</v>
      </c>
    </row>
    <row r="251" spans="1:67">
      <c r="A251" t="s">
        <v>361</v>
      </c>
      <c r="B251" s="20" t="str">
        <f>VLOOKUP(Data[[#This Row],[DEVELOPMENT]],Development_Data_Book[[DEVELOPMENT]:[BOROUGH]],MATCH("borough",Development_Data_Book[[#Headers],[DEVELOPMENT]:[BOROUGH]],0),FALSE)</f>
        <v>BRONX</v>
      </c>
      <c r="C251" s="20" t="e">
        <f>VLOOKUP(Data[[#This Row],[DEVELOPMENT]],'[1]Cheat-Sheet'!$D$2:$Q$341,2,FALSE)</f>
        <v>#N/A</v>
      </c>
      <c r="D25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51" s="20">
        <f>VLOOKUP(Data[[#This Row],[DEVELOPMENT]],Development_Data_Book[[DEVELOPMENT]:[BOROUGH]],21,FALSE)</f>
        <v>7</v>
      </c>
      <c r="F251" s="20">
        <f>VLOOKUP(Data[[#This Row],[DEVELOPMENT]],Development_Data_Book[[DEVELOPMENT]:[BOROUGH]],23,FALSE)</f>
        <v>7</v>
      </c>
      <c r="G251" s="20">
        <f>VLOOKUP(Data[[#This Row],[DEVELOPMENT]],Development_Data_Book[[DEVELOPMENT]:[BOROUGH]],12,FALSE)</f>
        <v>783</v>
      </c>
      <c r="J251">
        <f>IFERROR(VLOOKUP(Data[[#This Row],[DEVELOPMENT]],IntCompactors_MRST[],4,FALSE),0)</f>
        <v>7</v>
      </c>
      <c r="K251" s="20">
        <f>IFERROR(VLOOKUP(Data[[#This Row],[DEVELOPMENT]],ExtCompactors_MRST[],4,FALSE),0)</f>
        <v>2</v>
      </c>
      <c r="L251" s="27">
        <f>IF(Data[[#This Row],['# Interior Compactors MRST]]=0,"",VLOOKUP(Data[[#This Row],[DEVELOPMENT]],IntCompactors_MRST[],5,FALSE))</f>
        <v>37485</v>
      </c>
      <c r="M251" s="28">
        <f>IF(Data[[#This Row],['# Exterior Compactors MRST]]=0,"",VLOOKUP(Data[[#This Row],[DEVELOPMENT]],ExtCompactors_MRST[],5,FALSE))</f>
        <v>36995</v>
      </c>
      <c r="N251" s="20">
        <f>Data[[#This Row],['# Interior Compactors MRST]]</f>
        <v>7</v>
      </c>
      <c r="O251" s="20">
        <f>IF(Data[[#This Row],['# Bulk Crushers]]=0,1,0)</f>
        <v>1</v>
      </c>
      <c r="P251" s="20">
        <f>1</f>
        <v>1</v>
      </c>
      <c r="Q251" s="20">
        <f>1</f>
        <v>1</v>
      </c>
      <c r="R251" s="20">
        <f>1</f>
        <v>1</v>
      </c>
      <c r="S251" s="20">
        <f>1</f>
        <v>1</v>
      </c>
      <c r="T251" s="20">
        <f>IF(Data[[#This Row],[Sewershed]]="Newtown Creek",Data[[#This Row],[DUs]],0)</f>
        <v>0</v>
      </c>
      <c r="U25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5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5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51" s="82">
        <f>VLOOKUP(Data[[#This Row],[DEVELOPMENT]],Development_Data_Book[[DEVELOPMENT]:[BOROUGH]],3,FALSE)</f>
        <v>45</v>
      </c>
      <c r="Y251" s="20"/>
      <c r="Z251" s="20">
        <f>IFERROR(VLOOKUP(Data[[#This Row],[TDS]],ExtCompactors_PNA[[Development]:[0]],2,FALSE),0)</f>
        <v>2</v>
      </c>
      <c r="AA251" s="20">
        <f>IFERROR(VLOOKUP(Data[[#This Row],[TDS]],IntCompactors_PNA[[TDS]:[0]],2,FALSE),0)</f>
        <v>7</v>
      </c>
      <c r="AB251" s="20"/>
      <c r="AC251" s="20"/>
      <c r="AD251" s="20">
        <f>IFERROR(VLOOKUP(Data[[#This Row],[TDS]],ExtCompactors_PNA[[Development]:[0]],3,FALSE)+VLOOKUP(Data[[#This Row],[TDS]],ExtCompactors_PNA[[Development]:[0]],6,FALSE),0)</f>
        <v>2</v>
      </c>
      <c r="AE251" s="20">
        <f>IFERROR(VLOOKUP(Data[[#This Row],[TDS]],IntCompactors_PNA[[TDS]:[0]],3,FALSE)+VLOOKUP(Data[[#This Row],[TDS]],IntCompactors_PNA[[TDS]:[0]],6,FALSE),0)</f>
        <v>7</v>
      </c>
      <c r="AF251" s="20" t="e">
        <f>VLOOKUP(Data[[#This Row],[DEVELOPMENT]],[3]Developments!$A$2:$A$312,1,FALSE)</f>
        <v>#N/A</v>
      </c>
      <c r="AG251" s="20">
        <f>IFERROR(VLOOKUP(Data[[#This Row],[DEVELOPMENT]],Ops_Priorities_and_Data_Clean[[development]:[ifnoext_comment]],3,FALSE),"")</f>
        <v>2</v>
      </c>
      <c r="AH251" s="20">
        <f>IFERROR(VLOOKUP(Data[[#This Row],[DEVELOPMENT]],Ops_Priorities_and_Data_Clean[[development]:[ifnoext_comment]],4,FALSE),"")</f>
        <v>0</v>
      </c>
      <c r="AI251" s="20">
        <f>IFERROR(VLOOKUP(Data[[#This Row],[DEVELOPMENT]],Ops_Priorities_and_Data_Clean[[development]:[ifnoext_comment]],5,FALSE),"")</f>
        <v>1</v>
      </c>
      <c r="AJ251" s="20">
        <f>IFERROR(VLOOKUP(Data[[#This Row],[DEVELOPMENT]],Ops_Priorities_and_Data_Clean[[development]:[ifnoext_comment]],6,FALSE),"")</f>
        <v>0</v>
      </c>
      <c r="AK251" s="20">
        <f>IFERROR(VLOOKUP(Data[[#This Row],[DEVELOPMENT]],Ops_Priorities_and_Data_Clean[[development]:[ifnoext_comment]],7,FALSE),"")</f>
        <v>0</v>
      </c>
      <c r="AL251" s="20">
        <f>IFERROR(VLOOKUP(Data[[#This Row],[DEVELOPMENT]],Ops_Priorities_and_Data_Clean[[development]:[ifnoext_comment]],8,FALSE),"")</f>
        <v>1</v>
      </c>
      <c r="AM251" s="20">
        <f>IFERROR(VLOOKUP(Data[[#This Row],[DEVELOPMENT]],Ops_Priorities_and_Data_Clean[[development]:[ifnoext_comment]],9,FALSE),"")</f>
        <v>0</v>
      </c>
      <c r="AN251" s="20">
        <f>IFERROR(VLOOKUP(Data[[#This Row],[DEVELOPMENT]],Ops_Priorities_and_Data_Clean[[development]:[ifnoext_comment]],10,FALSE),"")</f>
        <v>2</v>
      </c>
      <c r="AO251" s="20">
        <f>IFERROR(VLOOKUP(Data[[#This Row],[DEVELOPMENT]],Ops_Priorities_and_Data_Clean[[development]:[ifnoext_comment]],11,FALSE),"")</f>
        <v>2</v>
      </c>
      <c r="AP251" s="20">
        <f>IFERROR(VLOOKUP(Data[[#This Row],[DEVELOPMENT]],Ops_Priorities_and_Data_Clean[[development]:[ifnoext_comment]],12,FALSE),"")</f>
        <v>2</v>
      </c>
      <c r="AQ251" s="20">
        <f>VLOOKUP(Data[[#This Row],[DEVELOPMENT]],Ops_Priorities_and_Data_Clean[[development]:[ifnoext_comment]],14,FALSE)</f>
        <v>0</v>
      </c>
      <c r="AR251" s="20">
        <f>VLOOKUP(Data[[#This Row],[DEVELOPMENT]],Ops_Priorities_and_Data_Clean[[development]:[ifnoext_comment]],15,FALSE)</f>
        <v>0</v>
      </c>
      <c r="AS251" s="20" t="str">
        <f>VLOOKUP(Data[[#This Row],[DEVELOPMENT]],Ops_Priorities_and_Data_Clean[[development]:[ifnoext_comment]],16,FALSE)</f>
        <v>NULL</v>
      </c>
      <c r="AT251" s="20" t="str">
        <f>VLOOKUP(Data[[#This Row],[DEVELOPMENT]],Ops_Priorities_and_Data_Clean[[development]:[ifnoext_comment]],17,FALSE)</f>
        <v>NULL</v>
      </c>
      <c r="AU251" s="20" t="str">
        <f>VLOOKUP(Data[[#This Row],[DEVELOPMENT]],Ops_Priorities_and_Data_Clean[[development]:[ifnoext_comment]],18,FALSE)</f>
        <v>NULL</v>
      </c>
      <c r="AV251" s="20" t="str">
        <f>VLOOKUP(Data[[#This Row],[DEVELOPMENT]],Ops_Priorities_and_Data_Clean[[development]:[ifnoext_comment]],19,FALSE)</f>
        <v>NULL</v>
      </c>
      <c r="AW251" s="20" t="str">
        <f>VLOOKUP(Data[[#This Row],[DEVELOPMENT]],Ops_Priorities_and_Data_Clean[[development]:[ifnoext_comment]],20,FALSE)</f>
        <v>NULL</v>
      </c>
      <c r="AX251" s="104" t="s">
        <v>2237</v>
      </c>
      <c r="AY251" s="104" t="s">
        <v>2672</v>
      </c>
      <c r="AZ251" s="20" t="str">
        <f>VLOOKUP(Data[[#This Row],[DEVELOPMENT]],Development_Data_Book[[DEVELOPMENT]:[PRIVATE MANAGEMENT]],8,FALSE)</f>
        <v>FEDERAL</v>
      </c>
      <c r="BA251" s="104" t="s">
        <v>2586</v>
      </c>
      <c r="BB251" s="20">
        <f>VLOOKUP(Data[[#This Row],[DEVELOPMENT]],Development_Data_Book[[DEVELOPMENT]:[PRIVATE MANAGEMENT]],22,FALSE)</f>
        <v>0</v>
      </c>
      <c r="BC251" s="20">
        <f>Data[[#This Row],[Non-Dwelling Buildings]]+Data[[#This Row],[Dwelling Buildings]]</f>
        <v>7</v>
      </c>
      <c r="BD251" s="20">
        <f>VLOOKUP(Data[[#This Row],[DEVELOPMENT]],Development_Data_Book[[DEVELOPMENT]:[PRIVATE MANAGEMENT]],26,FALSE)</f>
        <v>7.32</v>
      </c>
      <c r="BE251" s="106">
        <v>747700</v>
      </c>
      <c r="BF251" s="20">
        <f>VLOOKUP(Data[[#This Row],[DEVELOPMENT]],Development_Data_Book[[DEVELOPMENT]:[PRIVATE MANAGEMENT]],18,FALSE)</f>
        <v>1457</v>
      </c>
      <c r="BG25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51" s="104" t="s">
        <v>2587</v>
      </c>
      <c r="BI251" t="s">
        <v>184</v>
      </c>
      <c r="BJ251" s="20">
        <f>VLOOKUP(Data[[#This Row],[DEVELOPMENT]],Development_Data_Book[[DEVELOPMENT]:[PRIVATE MANAGEMENT]],41,FALSE)</f>
        <v>5</v>
      </c>
      <c r="BK251" s="20">
        <f>VLOOKUP(Data[[#This Row],[DEVELOPMENT]],Development_Data_Book[[DEVELOPMENT]:[PRIVATE MANAGEMENT]],42,FALSE)</f>
        <v>13</v>
      </c>
      <c r="BL251" s="20">
        <f>VLOOKUP(Data[[#This Row],[DEVELOPMENT]],Development_Data_Book[[DEVELOPMENT]:[PRIVATE MANAGEMENT]],43,FALSE)</f>
        <v>29</v>
      </c>
      <c r="BM251" s="20">
        <f>VLOOKUP(Data[[#This Row],[DEVELOPMENT]],Development_Data_Book[[DEVELOPMENT]:[PRIVATE MANAGEMENT]],44,FALSE)</f>
        <v>77</v>
      </c>
      <c r="BN251" s="20">
        <f>VLOOKUP(Data[[#This Row],[DEVELOPMENT]],Development_Data_Book[[DEVELOPMENT]:[PRIVATE MANAGEMENT]],45,FALSE)</f>
        <v>16</v>
      </c>
      <c r="BO251" s="20" t="str">
        <f>VLOOKUP(Data[[#This Row],[DEVELOPMENT]],Development_Data_Book[[DEVELOPMENT]:[PRIVATE MANAGEMENT]],24,FALSE)</f>
        <v>14-15</v>
      </c>
    </row>
    <row r="252" spans="1:67">
      <c r="A252" s="17" t="s">
        <v>65</v>
      </c>
      <c r="B252" s="17" t="str">
        <f>VLOOKUP(Data[[#This Row],[DEVELOPMENT]],Development_Data_Book[[DEVELOPMENT]:[BOROUGH]],MATCH("borough",Development_Data_Book[[#Headers],[DEVELOPMENT]:[BOROUGH]],0),FALSE)</f>
        <v>MANHATTAN</v>
      </c>
      <c r="C252" t="e">
        <f>VLOOKUP(Data[[#This Row],[DEVELOPMENT]],'[1]Cheat-Sheet'!$D$2:$Q$341,2,FALSE)</f>
        <v>#N/A</v>
      </c>
      <c r="D25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52">
        <f>VLOOKUP(Data[[#This Row],[DEVELOPMENT]],Development_Data_Book[[DEVELOPMENT]:[BOROUGH]],21,FALSE)</f>
        <v>2</v>
      </c>
      <c r="F252">
        <f>VLOOKUP(Data[[#This Row],[DEVELOPMENT]],Development_Data_Book[[DEVELOPMENT]:[BOROUGH]],23,FALSE)</f>
        <v>5</v>
      </c>
      <c r="G252">
        <f>VLOOKUP(Data[[#This Row],[DEVELOPMENT]],Development_Data_Book[[DEVELOPMENT]:[BOROUGH]],12,FALSE)</f>
        <v>360</v>
      </c>
      <c r="H252" t="s">
        <v>2246</v>
      </c>
      <c r="I252">
        <v>4</v>
      </c>
      <c r="J252">
        <f>IFERROR(VLOOKUP(Data[[#This Row],[DEVELOPMENT]],IntCompactors_MRST[],4,FALSE),0)</f>
        <v>2</v>
      </c>
      <c r="K252" s="20">
        <f>IFERROR(VLOOKUP(Data[[#This Row],[DEVELOPMENT]],ExtCompactors_MRST[],4,FALSE),0)</f>
        <v>0</v>
      </c>
      <c r="L252" s="27">
        <f>IF(Data[[#This Row],['# Interior Compactors MRST]]=0,"",VLOOKUP(Data[[#This Row],[DEVELOPMENT]],IntCompactors_MRST[],5,FALSE))</f>
        <v>43009</v>
      </c>
      <c r="M252" s="28" t="str">
        <f>IF(Data[[#This Row],['# Exterior Compactors MRST]]=0,"",VLOOKUP(Data[[#This Row],[DEVELOPMENT]],ExtCompactors_MRST[],5,FALSE))</f>
        <v/>
      </c>
      <c r="N252">
        <f>Data[[#This Row],['# Interior Compactors MRST]]</f>
        <v>2</v>
      </c>
      <c r="O252" s="20">
        <f>IF(Data[[#This Row],['# Bulk Crushers]]=0,1,0)</f>
        <v>1</v>
      </c>
      <c r="P252" s="20">
        <f>1</f>
        <v>1</v>
      </c>
      <c r="Q252" s="20">
        <f>1</f>
        <v>1</v>
      </c>
      <c r="R252" s="20">
        <f>1</f>
        <v>1</v>
      </c>
      <c r="S252" s="20">
        <f>1</f>
        <v>1</v>
      </c>
      <c r="T252" s="20">
        <f>IF(Data[[#This Row],[Sewershed]]="Newtown Creek",Data[[#This Row],[DUs]],0)</f>
        <v>360</v>
      </c>
      <c r="U25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5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5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52" s="82">
        <f>VLOOKUP(Data[[#This Row],[DEVELOPMENT]],Development_Data_Book[[DEVELOPMENT]:[BOROUGH]],3,FALSE)</f>
        <v>192</v>
      </c>
      <c r="Y252" s="20" t="s">
        <v>2599</v>
      </c>
      <c r="Z252" s="20">
        <f>IFERROR(VLOOKUP(Data[[#This Row],[TDS]],ExtCompactors_PNA[[Development]:[0]],2,FALSE),0)</f>
        <v>0</v>
      </c>
      <c r="AA252" s="20">
        <f>IFERROR(VLOOKUP(Data[[#This Row],[TDS]],IntCompactors_PNA[[TDS]:[0]],2,FALSE),0)</f>
        <v>2</v>
      </c>
      <c r="AB252" s="20"/>
      <c r="AC252" s="20"/>
      <c r="AD252" s="20">
        <f>IFERROR(VLOOKUP(Data[[#This Row],[TDS]],ExtCompactors_PNA[[Development]:[0]],3,FALSE)+VLOOKUP(Data[[#This Row],[TDS]],ExtCompactors_PNA[[Development]:[0]],6,FALSE),0)</f>
        <v>0</v>
      </c>
      <c r="AE252" s="20">
        <f>IFERROR(VLOOKUP(Data[[#This Row],[TDS]],IntCompactors_PNA[[TDS]:[0]],3,FALSE)+VLOOKUP(Data[[#This Row],[TDS]],IntCompactors_PNA[[TDS]:[0]],6,FALSE),0)</f>
        <v>2</v>
      </c>
      <c r="AF252" s="20" t="e">
        <f>VLOOKUP(Data[[#This Row],[DEVELOPMENT]],[3]Developments!$A$2:$A$312,1,FALSE)</f>
        <v>#N/A</v>
      </c>
      <c r="AG252" s="20">
        <f>IFERROR(VLOOKUP(Data[[#This Row],[DEVELOPMENT]],Ops_Priorities_and_Data_Clean[[development]:[ifnoext_comment]],3,FALSE),"")</f>
        <v>0</v>
      </c>
      <c r="AH252" s="20">
        <f>IFERROR(VLOOKUP(Data[[#This Row],[DEVELOPMENT]],Ops_Priorities_and_Data_Clean[[development]:[ifnoext_comment]],4,FALSE),"")</f>
        <v>0</v>
      </c>
      <c r="AI252" s="20">
        <f>IFERROR(VLOOKUP(Data[[#This Row],[DEVELOPMENT]],Ops_Priorities_and_Data_Clean[[development]:[ifnoext_comment]],5,FALSE),"")</f>
        <v>0</v>
      </c>
      <c r="AJ252" s="20">
        <f>IFERROR(VLOOKUP(Data[[#This Row],[DEVELOPMENT]],Ops_Priorities_and_Data_Clean[[development]:[ifnoext_comment]],6,FALSE),"")</f>
        <v>1</v>
      </c>
      <c r="AK252" s="20">
        <f>IFERROR(VLOOKUP(Data[[#This Row],[DEVELOPMENT]],Ops_Priorities_and_Data_Clean[[development]:[ifnoext_comment]],7,FALSE),"")</f>
        <v>0</v>
      </c>
      <c r="AL252" s="20">
        <f>IFERROR(VLOOKUP(Data[[#This Row],[DEVELOPMENT]],Ops_Priorities_and_Data_Clean[[development]:[ifnoext_comment]],8,FALSE),"")</f>
        <v>1</v>
      </c>
      <c r="AM252" s="20">
        <f>IFERROR(VLOOKUP(Data[[#This Row],[DEVELOPMENT]],Ops_Priorities_and_Data_Clean[[development]:[ifnoext_comment]],9,FALSE),"")</f>
        <v>0</v>
      </c>
      <c r="AN252" s="20">
        <f>IFERROR(VLOOKUP(Data[[#This Row],[DEVELOPMENT]],Ops_Priorities_and_Data_Clean[[development]:[ifnoext_comment]],10,FALSE),"")</f>
        <v>1</v>
      </c>
      <c r="AO252" s="20">
        <f>IFERROR(VLOOKUP(Data[[#This Row],[DEVELOPMENT]],Ops_Priorities_and_Data_Clean[[development]:[ifnoext_comment]],11,FALSE),"")</f>
        <v>0</v>
      </c>
      <c r="AP252" s="20">
        <f>IFERROR(VLOOKUP(Data[[#This Row],[DEVELOPMENT]],Ops_Priorities_and_Data_Clean[[development]:[ifnoext_comment]],12,FALSE),"")</f>
        <v>0</v>
      </c>
      <c r="AQ252" s="20">
        <f>VLOOKUP(Data[[#This Row],[DEVELOPMENT]],Ops_Priorities_and_Data_Clean[[development]:[ifnoext_comment]],14,FALSE)</f>
        <v>0</v>
      </c>
      <c r="AR252" s="20">
        <f>VLOOKUP(Data[[#This Row],[DEVELOPMENT]],Ops_Priorities_and_Data_Clean[[development]:[ifnoext_comment]],15,FALSE)</f>
        <v>0</v>
      </c>
      <c r="AS252" s="20" t="str">
        <f>VLOOKUP(Data[[#This Row],[DEVELOPMENT]],Ops_Priorities_and_Data_Clean[[development]:[ifnoext_comment]],16,FALSE)</f>
        <v>Gompers</v>
      </c>
      <c r="AT252" s="20" t="str">
        <f>VLOOKUP(Data[[#This Row],[DEVELOPMENT]],Ops_Priorities_and_Data_Clean[[development]:[ifnoext_comment]],17,FALSE)</f>
        <v>NULL</v>
      </c>
      <c r="AU252" s="20" t="str">
        <f>VLOOKUP(Data[[#This Row],[DEVELOPMENT]],Ops_Priorities_and_Data_Clean[[development]:[ifnoext_comment]],18,FALSE)</f>
        <v>TBD</v>
      </c>
      <c r="AV252" s="20" t="str">
        <f>VLOOKUP(Data[[#This Row],[DEVELOPMENT]],Ops_Priorities_and_Data_Clean[[development]:[ifnoext_comment]],19,FALSE)</f>
        <v>left on curb for pickup to Gompers twice a day.  One truck for entire consolidation, all uses</v>
      </c>
      <c r="AW252" s="20" t="str">
        <f>VLOOKUP(Data[[#This Row],[DEVELOPMENT]],Ops_Priorities_and_Data_Clean[[development]:[ifnoext_comment]],20,FALSE)</f>
        <v>NULL</v>
      </c>
      <c r="AX252" s="104" t="s">
        <v>2239</v>
      </c>
      <c r="AY252" s="104" t="s">
        <v>2160</v>
      </c>
      <c r="AZ252" s="20" t="str">
        <f>VLOOKUP(Data[[#This Row],[DEVELOPMENT]],Development_Data_Book[[DEVELOPMENT]:[PRIVATE MANAGEMENT]],8,FALSE)</f>
        <v>FEDERAL</v>
      </c>
      <c r="BA252" s="104" t="s">
        <v>2586</v>
      </c>
      <c r="BB252" s="20">
        <f>VLOOKUP(Data[[#This Row],[DEVELOPMENT]],Development_Data_Book[[DEVELOPMENT]:[PRIVATE MANAGEMENT]],22,FALSE)</f>
        <v>2</v>
      </c>
      <c r="BC252" s="20">
        <f>Data[[#This Row],[Non-Dwelling Buildings]]+Data[[#This Row],[Dwelling Buildings]]</f>
        <v>4</v>
      </c>
      <c r="BD252" s="20">
        <f>VLOOKUP(Data[[#This Row],[DEVELOPMENT]],Development_Data_Book[[DEVELOPMENT]:[PRIVATE MANAGEMENT]],26,FALSE)</f>
        <v>2.08</v>
      </c>
      <c r="BE252" s="106">
        <v>376859</v>
      </c>
      <c r="BF252" s="20">
        <f>VLOOKUP(Data[[#This Row],[DEVELOPMENT]],Development_Data_Book[[DEVELOPMENT]:[PRIVATE MANAGEMENT]],18,FALSE)</f>
        <v>796</v>
      </c>
      <c r="BG25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52" s="104" t="s">
        <v>2607</v>
      </c>
      <c r="BI252" t="s">
        <v>184</v>
      </c>
      <c r="BJ252" s="20">
        <f>VLOOKUP(Data[[#This Row],[DEVELOPMENT]],Development_Data_Book[[DEVELOPMENT]:[PRIVATE MANAGEMENT]],41,FALSE)</f>
        <v>3</v>
      </c>
      <c r="BK252" s="20">
        <f>VLOOKUP(Data[[#This Row],[DEVELOPMENT]],Development_Data_Book[[DEVELOPMENT]:[PRIVATE MANAGEMENT]],42,FALSE)</f>
        <v>12</v>
      </c>
      <c r="BL252" s="20">
        <f>VLOOKUP(Data[[#This Row],[DEVELOPMENT]],Development_Data_Book[[DEVELOPMENT]:[PRIVATE MANAGEMENT]],43,FALSE)</f>
        <v>26</v>
      </c>
      <c r="BM252" s="20">
        <f>VLOOKUP(Data[[#This Row],[DEVELOPMENT]],Development_Data_Book[[DEVELOPMENT]:[PRIVATE MANAGEMENT]],44,FALSE)</f>
        <v>65</v>
      </c>
      <c r="BN252" s="20">
        <f>VLOOKUP(Data[[#This Row],[DEVELOPMENT]],Development_Data_Book[[DEVELOPMENT]:[PRIVATE MANAGEMENT]],45,FALSE)</f>
        <v>1</v>
      </c>
      <c r="BO252" s="20">
        <f>VLOOKUP(Data[[#This Row],[DEVELOPMENT]],Development_Data_Book[[DEVELOPMENT]:[PRIVATE MANAGEMENT]],24,FALSE)</f>
        <v>23</v>
      </c>
    </row>
    <row r="253" spans="1:67">
      <c r="A253" t="s">
        <v>196</v>
      </c>
      <c r="B253" s="20" t="str">
        <f>VLOOKUP(Data[[#This Row],[DEVELOPMENT]],Development_Data_Book[[DEVELOPMENT]:[BOROUGH]],MATCH("borough",Development_Data_Book[[#Headers],[DEVELOPMENT]:[BOROUGH]],0),FALSE)</f>
        <v>BROOKLYN</v>
      </c>
      <c r="C253" s="20" t="e">
        <f>VLOOKUP(Data[[#This Row],[DEVELOPMENT]],'[1]Cheat-Sheet'!$D$2:$Q$341,2,FALSE)</f>
        <v>#N/A</v>
      </c>
      <c r="D25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53" s="20">
        <f>VLOOKUP(Data[[#This Row],[DEVELOPMENT]],Development_Data_Book[[DEVELOPMENT]:[BOROUGH]],21,FALSE)</f>
        <v>18</v>
      </c>
      <c r="F253" s="20">
        <f>VLOOKUP(Data[[#This Row],[DEVELOPMENT]],Development_Data_Book[[DEVELOPMENT]:[BOROUGH]],23,FALSE)</f>
        <v>36</v>
      </c>
      <c r="G253" s="20">
        <f>VLOOKUP(Data[[#This Row],[DEVELOPMENT]],Development_Data_Book[[DEVELOPMENT]:[BOROUGH]],12,FALSE)</f>
        <v>1054</v>
      </c>
      <c r="J253">
        <f>IFERROR(VLOOKUP(Data[[#This Row],[DEVELOPMENT]],IntCompactors_MRST[],4,FALSE),0)</f>
        <v>36</v>
      </c>
      <c r="K253" s="20">
        <f>IFERROR(VLOOKUP(Data[[#This Row],[DEVELOPMENT]],ExtCompactors_MRST[],4,FALSE),0)</f>
        <v>4</v>
      </c>
      <c r="L253" s="27">
        <f>IF(Data[[#This Row],['# Interior Compactors MRST]]=0,"",VLOOKUP(Data[[#This Row],[DEVELOPMENT]],IntCompactors_MRST[],5,FALSE))</f>
        <v>37956</v>
      </c>
      <c r="M253" s="28">
        <f>IF(Data[[#This Row],['# Exterior Compactors MRST]]=0,"",VLOOKUP(Data[[#This Row],[DEVELOPMENT]],ExtCompactors_MRST[],5,FALSE))</f>
        <v>37286</v>
      </c>
      <c r="N253" s="20">
        <f>Data[[#This Row],['# Interior Compactors MRST]]</f>
        <v>36</v>
      </c>
      <c r="O253" s="20">
        <f>IF(Data[[#This Row],['# Bulk Crushers]]=0,1,0)</f>
        <v>1</v>
      </c>
      <c r="P253" s="20">
        <f>1</f>
        <v>1</v>
      </c>
      <c r="Q253" s="20">
        <f>1</f>
        <v>1</v>
      </c>
      <c r="R253" s="20">
        <f>1</f>
        <v>1</v>
      </c>
      <c r="S253" s="20">
        <f>1</f>
        <v>1</v>
      </c>
      <c r="T253" s="20">
        <f>IF(Data[[#This Row],[Sewershed]]="Newtown Creek",Data[[#This Row],[DUs]],0)</f>
        <v>0</v>
      </c>
      <c r="U25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5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5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53" s="82">
        <f>VLOOKUP(Data[[#This Row],[DEVELOPMENT]],Development_Data_Book[[DEVELOPMENT]:[BOROUGH]],3,FALSE)</f>
        <v>36</v>
      </c>
      <c r="Y253" s="20"/>
      <c r="Z253" s="20">
        <f>IFERROR(VLOOKUP(Data[[#This Row],[TDS]],ExtCompactors_PNA[[Development]:[0]],2,FALSE),0)</f>
        <v>6</v>
      </c>
      <c r="AA253" s="20">
        <f>IFERROR(VLOOKUP(Data[[#This Row],[TDS]],IntCompactors_PNA[[TDS]:[0]],2,FALSE),0)</f>
        <v>35</v>
      </c>
      <c r="AB253" s="20"/>
      <c r="AC253" s="20"/>
      <c r="AD253" s="20">
        <f>IFERROR(VLOOKUP(Data[[#This Row],[TDS]],ExtCompactors_PNA[[Development]:[0]],3,FALSE)+VLOOKUP(Data[[#This Row],[TDS]],ExtCompactors_PNA[[Development]:[0]],6,FALSE),0)</f>
        <v>6</v>
      </c>
      <c r="AE253" s="20">
        <f>IFERROR(VLOOKUP(Data[[#This Row],[TDS]],IntCompactors_PNA[[TDS]:[0]],3,FALSE)+VLOOKUP(Data[[#This Row],[TDS]],IntCompactors_PNA[[TDS]:[0]],6,FALSE),0)</f>
        <v>35</v>
      </c>
      <c r="AF253" s="20" t="e">
        <f>VLOOKUP(Data[[#This Row],[DEVELOPMENT]],[3]Developments!$A$2:$A$312,1,FALSE)</f>
        <v>#N/A</v>
      </c>
      <c r="AG253" s="20">
        <f>IFERROR(VLOOKUP(Data[[#This Row],[DEVELOPMENT]],Ops_Priorities_and_Data_Clean[[development]:[ifnoext_comment]],3,FALSE),"")</f>
        <v>5</v>
      </c>
      <c r="AH253" s="20">
        <f>IFERROR(VLOOKUP(Data[[#This Row],[DEVELOPMENT]],Ops_Priorities_and_Data_Clean[[development]:[ifnoext_comment]],4,FALSE),"")</f>
        <v>0</v>
      </c>
      <c r="AI253" s="20">
        <f>IFERROR(VLOOKUP(Data[[#This Row],[DEVELOPMENT]],Ops_Priorities_and_Data_Clean[[development]:[ifnoext_comment]],5,FALSE),"")</f>
        <v>1</v>
      </c>
      <c r="AJ253" s="20">
        <f>IFERROR(VLOOKUP(Data[[#This Row],[DEVELOPMENT]],Ops_Priorities_and_Data_Clean[[development]:[ifnoext_comment]],6,FALSE),"")</f>
        <v>0</v>
      </c>
      <c r="AK253" s="20">
        <f>IFERROR(VLOOKUP(Data[[#This Row],[DEVELOPMENT]],Ops_Priorities_and_Data_Clean[[development]:[ifnoext_comment]],7,FALSE),"")</f>
        <v>0</v>
      </c>
      <c r="AL253" s="20">
        <f>IFERROR(VLOOKUP(Data[[#This Row],[DEVELOPMENT]],Ops_Priorities_and_Data_Clean[[development]:[ifnoext_comment]],8,FALSE),"")</f>
        <v>1</v>
      </c>
      <c r="AM253" s="20">
        <f>IFERROR(VLOOKUP(Data[[#This Row],[DEVELOPMENT]],Ops_Priorities_and_Data_Clean[[development]:[ifnoext_comment]],9,FALSE),"")</f>
        <v>0</v>
      </c>
      <c r="AN253" s="20">
        <f>IFERROR(VLOOKUP(Data[[#This Row],[DEVELOPMENT]],Ops_Priorities_and_Data_Clean[[development]:[ifnoext_comment]],10,FALSE),"")</f>
        <v>5</v>
      </c>
      <c r="AO253" s="20">
        <f>IFERROR(VLOOKUP(Data[[#This Row],[DEVELOPMENT]],Ops_Priorities_and_Data_Clean[[development]:[ifnoext_comment]],11,FALSE),"")</f>
        <v>4</v>
      </c>
      <c r="AP253" s="20">
        <f>IFERROR(VLOOKUP(Data[[#This Row],[DEVELOPMENT]],Ops_Priorities_and_Data_Clean[[development]:[ifnoext_comment]],12,FALSE),"")</f>
        <v>4</v>
      </c>
      <c r="AQ253" s="20">
        <f>VLOOKUP(Data[[#This Row],[DEVELOPMENT]],Ops_Priorities_and_Data_Clean[[development]:[ifnoext_comment]],14,FALSE)</f>
        <v>0</v>
      </c>
      <c r="AR253" s="20">
        <f>VLOOKUP(Data[[#This Row],[DEVELOPMENT]],Ops_Priorities_and_Data_Clean[[development]:[ifnoext_comment]],15,FALSE)</f>
        <v>0</v>
      </c>
      <c r="AS253" s="20" t="str">
        <f>VLOOKUP(Data[[#This Row],[DEVELOPMENT]],Ops_Priorities_and_Data_Clean[[development]:[ifnoext_comment]],16,FALSE)</f>
        <v>NULL</v>
      </c>
      <c r="AT253" s="20" t="str">
        <f>VLOOKUP(Data[[#This Row],[DEVELOPMENT]],Ops_Priorities_and_Data_Clean[[development]:[ifnoext_comment]],17,FALSE)</f>
        <v>NULL</v>
      </c>
      <c r="AU253" s="20" t="str">
        <f>VLOOKUP(Data[[#This Row],[DEVELOPMENT]],Ops_Priorities_and_Data_Clean[[development]:[ifnoext_comment]],18,FALSE)</f>
        <v>NULL</v>
      </c>
      <c r="AV253" s="20" t="str">
        <f>VLOOKUP(Data[[#This Row],[DEVELOPMENT]],Ops_Priorities_and_Data_Clean[[development]:[ifnoext_comment]],19,FALSE)</f>
        <v>NULL</v>
      </c>
      <c r="AW253" s="20" t="str">
        <f>VLOOKUP(Data[[#This Row],[DEVELOPMENT]],Ops_Priorities_and_Data_Clean[[development]:[ifnoext_comment]],20,FALSE)</f>
        <v>bulk crusher on sheepshead side</v>
      </c>
      <c r="AX253" s="104" t="s">
        <v>2238</v>
      </c>
      <c r="AY253" s="104" t="s">
        <v>196</v>
      </c>
      <c r="AZ253" s="20" t="str">
        <f>VLOOKUP(Data[[#This Row],[DEVELOPMENT]],Development_Data_Book[[DEVELOPMENT]:[PRIVATE MANAGEMENT]],8,FALSE)</f>
        <v>FEDERAL</v>
      </c>
      <c r="BA253" s="104" t="s">
        <v>2586</v>
      </c>
      <c r="BB253" s="20">
        <f>VLOOKUP(Data[[#This Row],[DEVELOPMENT]],Development_Data_Book[[DEVELOPMENT]:[PRIVATE MANAGEMENT]],22,FALSE)</f>
        <v>0</v>
      </c>
      <c r="BC253" s="20">
        <f>Data[[#This Row],[Non-Dwelling Buildings]]+Data[[#This Row],[Dwelling Buildings]]</f>
        <v>18</v>
      </c>
      <c r="BD253" s="20">
        <f>VLOOKUP(Data[[#This Row],[DEVELOPMENT]],Development_Data_Book[[DEVELOPMENT]:[PRIVATE MANAGEMENT]],26,FALSE)</f>
        <v>23.8</v>
      </c>
      <c r="BE253" s="106">
        <v>1029200</v>
      </c>
      <c r="BF253" s="20">
        <f>VLOOKUP(Data[[#This Row],[DEVELOPMENT]],Development_Data_Book[[DEVELOPMENT]:[PRIVATE MANAGEMENT]],18,FALSE)</f>
        <v>2383</v>
      </c>
      <c r="BG25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53" s="104" t="s">
        <v>2621</v>
      </c>
      <c r="BI253" t="s">
        <v>184</v>
      </c>
      <c r="BJ253" s="20">
        <f>VLOOKUP(Data[[#This Row],[DEVELOPMENT]],Development_Data_Book[[DEVELOPMENT]:[PRIVATE MANAGEMENT]],41,FALSE)</f>
        <v>15</v>
      </c>
      <c r="BK253" s="20">
        <f>VLOOKUP(Data[[#This Row],[DEVELOPMENT]],Development_Data_Book[[DEVELOPMENT]:[PRIVATE MANAGEMENT]],42,FALSE)</f>
        <v>9</v>
      </c>
      <c r="BL253" s="20">
        <f>VLOOKUP(Data[[#This Row],[DEVELOPMENT]],Development_Data_Book[[DEVELOPMENT]:[PRIVATE MANAGEMENT]],43,FALSE)</f>
        <v>19</v>
      </c>
      <c r="BM253" s="20">
        <f>VLOOKUP(Data[[#This Row],[DEVELOPMENT]],Development_Data_Book[[DEVELOPMENT]:[PRIVATE MANAGEMENT]],44,FALSE)</f>
        <v>41</v>
      </c>
      <c r="BN253" s="20">
        <f>VLOOKUP(Data[[#This Row],[DEVELOPMENT]],Development_Data_Book[[DEVELOPMENT]:[PRIVATE MANAGEMENT]],45,FALSE)</f>
        <v>46</v>
      </c>
      <c r="BO253" s="20">
        <f>VLOOKUP(Data[[#This Row],[DEVELOPMENT]],Development_Data_Book[[DEVELOPMENT]:[PRIVATE MANAGEMENT]],24,FALSE)</f>
        <v>6</v>
      </c>
    </row>
    <row r="254" spans="1:67">
      <c r="A254" t="s">
        <v>362</v>
      </c>
      <c r="B254" s="20" t="str">
        <f>VLOOKUP(Data[[#This Row],[DEVELOPMENT]],Development_Data_Book[[DEVELOPMENT]:[BOROUGH]],MATCH("borough",Development_Data_Book[[#Headers],[DEVELOPMENT]:[BOROUGH]],0),FALSE)</f>
        <v>QUEENS</v>
      </c>
      <c r="C254" s="20" t="e">
        <f>VLOOKUP(Data[[#This Row],[DEVELOPMENT]],'[1]Cheat-Sheet'!$D$2:$Q$341,2,FALSE)</f>
        <v>#N/A</v>
      </c>
      <c r="D25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54" s="20">
        <f>VLOOKUP(Data[[#This Row],[DEVELOPMENT]],Development_Data_Book[[DEVELOPMENT]:[BOROUGH]],21,FALSE)</f>
        <v>1</v>
      </c>
      <c r="F254" s="20">
        <f>VLOOKUP(Data[[#This Row],[DEVELOPMENT]],Development_Data_Book[[DEVELOPMENT]:[BOROUGH]],23,FALSE)</f>
        <v>1</v>
      </c>
      <c r="G254" s="20">
        <f>VLOOKUP(Data[[#This Row],[DEVELOPMENT]],Development_Data_Book[[DEVELOPMENT]:[BOROUGH]],12,FALSE)</f>
        <v>153</v>
      </c>
      <c r="J254">
        <f>IFERROR(VLOOKUP(Data[[#This Row],[DEVELOPMENT]],IntCompactors_MRST[],4,FALSE),0)</f>
        <v>1</v>
      </c>
      <c r="K254" s="20">
        <f>IFERROR(VLOOKUP(Data[[#This Row],[DEVELOPMENT]],ExtCompactors_MRST[],4,FALSE),0)</f>
        <v>0</v>
      </c>
      <c r="L254" s="27">
        <f>IF(Data[[#This Row],['# Interior Compactors MRST]]=0,"",VLOOKUP(Data[[#This Row],[DEVELOPMENT]],IntCompactors_MRST[],5,FALSE))</f>
        <v>38353</v>
      </c>
      <c r="M254" s="28" t="str">
        <f>IF(Data[[#This Row],['# Exterior Compactors MRST]]=0,"",VLOOKUP(Data[[#This Row],[DEVELOPMENT]],ExtCompactors_MRST[],5,FALSE))</f>
        <v/>
      </c>
      <c r="N254" s="20">
        <f>Data[[#This Row],['# Interior Compactors MRST]]</f>
        <v>1</v>
      </c>
      <c r="O254" s="20">
        <f>IF(Data[[#This Row],['# Bulk Crushers]]=0,1,0)</f>
        <v>1</v>
      </c>
      <c r="P254" s="20">
        <f>1</f>
        <v>1</v>
      </c>
      <c r="Q254" s="20">
        <f>1</f>
        <v>1</v>
      </c>
      <c r="R254" s="20">
        <f>1</f>
        <v>1</v>
      </c>
      <c r="S254" s="20">
        <f>1</f>
        <v>1</v>
      </c>
      <c r="T254" s="20">
        <f>IF(Data[[#This Row],[Sewershed]]="Newtown Creek",Data[[#This Row],[DUs]],0)</f>
        <v>0</v>
      </c>
      <c r="U25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5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5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54" s="82">
        <f>VLOOKUP(Data[[#This Row],[DEVELOPMENT]],Development_Data_Book[[DEVELOPMENT]:[BOROUGH]],3,FALSE)</f>
        <v>279</v>
      </c>
      <c r="Y254" s="20"/>
      <c r="Z254" s="20">
        <f>IFERROR(VLOOKUP(Data[[#This Row],[TDS]],ExtCompactors_PNA[[Development]:[0]],2,FALSE),0)</f>
        <v>0</v>
      </c>
      <c r="AA254" s="20">
        <f>IFERROR(VLOOKUP(Data[[#This Row],[TDS]],IntCompactors_PNA[[TDS]:[0]],2,FALSE),0)</f>
        <v>1</v>
      </c>
      <c r="AB254" s="20"/>
      <c r="AC254" s="20"/>
      <c r="AD254" s="20">
        <f>IFERROR(VLOOKUP(Data[[#This Row],[TDS]],ExtCompactors_PNA[[Development]:[0]],3,FALSE)+VLOOKUP(Data[[#This Row],[TDS]],ExtCompactors_PNA[[Development]:[0]],6,FALSE),0)</f>
        <v>0</v>
      </c>
      <c r="AE254" s="20">
        <f>IFERROR(VLOOKUP(Data[[#This Row],[TDS]],IntCompactors_PNA[[TDS]:[0]],3,FALSE)+VLOOKUP(Data[[#This Row],[TDS]],IntCompactors_PNA[[TDS]:[0]],6,FALSE),0)</f>
        <v>1</v>
      </c>
      <c r="AF254" s="20" t="e">
        <f>VLOOKUP(Data[[#This Row],[DEVELOPMENT]],[3]Developments!$A$2:$A$312,1,FALSE)</f>
        <v>#N/A</v>
      </c>
      <c r="AG254" s="20">
        <f>IFERROR(VLOOKUP(Data[[#This Row],[DEVELOPMENT]],Ops_Priorities_and_Data_Clean[[development]:[ifnoext_comment]],3,FALSE),"")</f>
        <v>0</v>
      </c>
      <c r="AH254" s="20">
        <f>IFERROR(VLOOKUP(Data[[#This Row],[DEVELOPMENT]],Ops_Priorities_and_Data_Clean[[development]:[ifnoext_comment]],4,FALSE),"")</f>
        <v>0</v>
      </c>
      <c r="AI254" s="20">
        <f>IFERROR(VLOOKUP(Data[[#This Row],[DEVELOPMENT]],Ops_Priorities_and_Data_Clean[[development]:[ifnoext_comment]],5,FALSE),"")</f>
        <v>0</v>
      </c>
      <c r="AJ254" s="20">
        <f>IFERROR(VLOOKUP(Data[[#This Row],[DEVELOPMENT]],Ops_Priorities_and_Data_Clean[[development]:[ifnoext_comment]],6,FALSE),"")</f>
        <v>1</v>
      </c>
      <c r="AK254" s="20">
        <f>IFERROR(VLOOKUP(Data[[#This Row],[DEVELOPMENT]],Ops_Priorities_and_Data_Clean[[development]:[ifnoext_comment]],7,FALSE),"")</f>
        <v>0</v>
      </c>
      <c r="AL254" s="20">
        <f>IFERROR(VLOOKUP(Data[[#This Row],[DEVELOPMENT]],Ops_Priorities_and_Data_Clean[[development]:[ifnoext_comment]],8,FALSE),"")</f>
        <v>1</v>
      </c>
      <c r="AM254" s="20">
        <f>IFERROR(VLOOKUP(Data[[#This Row],[DEVELOPMENT]],Ops_Priorities_and_Data_Clean[[development]:[ifnoext_comment]],9,FALSE),"")</f>
        <v>0</v>
      </c>
      <c r="AN254" s="20">
        <f>IFERROR(VLOOKUP(Data[[#This Row],[DEVELOPMENT]],Ops_Priorities_and_Data_Clean[[development]:[ifnoext_comment]],10,FALSE),"")</f>
        <v>0</v>
      </c>
      <c r="AO254" s="20">
        <f>IFERROR(VLOOKUP(Data[[#This Row],[DEVELOPMENT]],Ops_Priorities_and_Data_Clean[[development]:[ifnoext_comment]],11,FALSE),"")</f>
        <v>0</v>
      </c>
      <c r="AP254" s="20">
        <f>IFERROR(VLOOKUP(Data[[#This Row],[DEVELOPMENT]],Ops_Priorities_and_Data_Clean[[development]:[ifnoext_comment]],12,FALSE),"")</f>
        <v>0</v>
      </c>
      <c r="AQ254" s="20">
        <f>VLOOKUP(Data[[#This Row],[DEVELOPMENT]],Ops_Priorities_and_Data_Clean[[development]:[ifnoext_comment]],14,FALSE)</f>
        <v>0</v>
      </c>
      <c r="AR254" s="20">
        <f>VLOOKUP(Data[[#This Row],[DEVELOPMENT]],Ops_Priorities_and_Data_Clean[[development]:[ifnoext_comment]],15,FALSE)</f>
        <v>1</v>
      </c>
      <c r="AS254" s="20" t="str">
        <f>VLOOKUP(Data[[#This Row],[DEVELOPMENT]],Ops_Priorities_and_Data_Clean[[development]:[ifnoext_comment]],16,FALSE)</f>
        <v>Conlon Lihfe Tower</v>
      </c>
      <c r="AT254" s="20" t="str">
        <f>VLOOKUP(Data[[#This Row],[DEVELOPMENT]],Ops_Priorities_and_Data_Clean[[development]:[ifnoext_comment]],17,FALSE)</f>
        <v>NULL</v>
      </c>
      <c r="AU254" s="20" t="str">
        <f>VLOOKUP(Data[[#This Row],[DEVELOPMENT]],Ops_Priorities_and_Data_Clean[[development]:[ifnoext_comment]],18,FALSE)</f>
        <v>NULL</v>
      </c>
      <c r="AV254" s="20" t="str">
        <f>VLOOKUP(Data[[#This Row],[DEVELOPMENT]],Ops_Priorities_and_Data_Clean[[development]:[ifnoext_comment]],19,FALSE)</f>
        <v>NULL</v>
      </c>
      <c r="AW254" s="20" t="str">
        <f>VLOOKUP(Data[[#This Row],[DEVELOPMENT]],Ops_Priorities_and_Data_Clean[[development]:[ifnoext_comment]],20,FALSE)</f>
        <v>This is a shared site yet it is quite a distance from Conlohn Life. There's no room for an external compactor.</v>
      </c>
      <c r="AX254" s="104" t="s">
        <v>2614</v>
      </c>
      <c r="AY254" s="104" t="s">
        <v>2636</v>
      </c>
      <c r="AZ254" s="20" t="str">
        <f>VLOOKUP(Data[[#This Row],[DEVELOPMENT]],Development_Data_Book[[DEVELOPMENT]:[PRIVATE MANAGEMENT]],8,FALSE)</f>
        <v>FEDERAL</v>
      </c>
      <c r="BA254" s="104" t="s">
        <v>2586</v>
      </c>
      <c r="BB254" s="20">
        <f>VLOOKUP(Data[[#This Row],[DEVELOPMENT]],Development_Data_Book[[DEVELOPMENT]:[PRIVATE MANAGEMENT]],22,FALSE)</f>
        <v>0</v>
      </c>
      <c r="BC254" s="20">
        <f>Data[[#This Row],[Non-Dwelling Buildings]]+Data[[#This Row],[Dwelling Buildings]]</f>
        <v>1</v>
      </c>
      <c r="BD254" s="20">
        <f>VLOOKUP(Data[[#This Row],[DEVELOPMENT]],Development_Data_Book[[DEVELOPMENT]:[PRIVATE MANAGEMENT]],26,FALSE)</f>
        <v>0.5</v>
      </c>
      <c r="BE254" s="106">
        <v>137100</v>
      </c>
      <c r="BF254" s="20">
        <f>VLOOKUP(Data[[#This Row],[DEVELOPMENT]],Development_Data_Book[[DEVELOPMENT]:[PRIVATE MANAGEMENT]],18,FALSE)</f>
        <v>164</v>
      </c>
      <c r="BG254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54" s="104" t="s">
        <v>2619</v>
      </c>
      <c r="BI254" t="s">
        <v>184</v>
      </c>
      <c r="BJ254" s="20">
        <f>VLOOKUP(Data[[#This Row],[DEVELOPMENT]],Development_Data_Book[[DEVELOPMENT]:[PRIVATE MANAGEMENT]],41,FALSE)</f>
        <v>12</v>
      </c>
      <c r="BK254" s="20">
        <f>VLOOKUP(Data[[#This Row],[DEVELOPMENT]],Development_Data_Book[[DEVELOPMENT]:[PRIVATE MANAGEMENT]],42,FALSE)</f>
        <v>5</v>
      </c>
      <c r="BL254" s="20">
        <f>VLOOKUP(Data[[#This Row],[DEVELOPMENT]],Development_Data_Book[[DEVELOPMENT]:[PRIVATE MANAGEMENT]],43,FALSE)</f>
        <v>14</v>
      </c>
      <c r="BM254" s="20">
        <f>VLOOKUP(Data[[#This Row],[DEVELOPMENT]],Development_Data_Book[[DEVELOPMENT]:[PRIVATE MANAGEMENT]],44,FALSE)</f>
        <v>32</v>
      </c>
      <c r="BN254" s="20">
        <f>VLOOKUP(Data[[#This Row],[DEVELOPMENT]],Development_Data_Book[[DEVELOPMENT]:[PRIVATE MANAGEMENT]],45,FALSE)</f>
        <v>24</v>
      </c>
      <c r="BO254" s="20">
        <f>VLOOKUP(Data[[#This Row],[DEVELOPMENT]],Development_Data_Book[[DEVELOPMENT]:[PRIVATE MANAGEMENT]],24,FALSE)</f>
        <v>12</v>
      </c>
    </row>
    <row r="255" spans="1:67">
      <c r="A255" s="17" t="s">
        <v>44</v>
      </c>
      <c r="B255" s="17" t="str">
        <f>VLOOKUP(Data[[#This Row],[DEVELOPMENT]],Development_Data_Book[[DEVELOPMENT]:[BOROUGH]],MATCH("borough",Development_Data_Book[[#Headers],[DEVELOPMENT]:[BOROUGH]],0),FALSE)</f>
        <v>MANHATTAN</v>
      </c>
      <c r="C255" t="e">
        <f>VLOOKUP(Data[[#This Row],[DEVELOPMENT]],'[1]Cheat-Sheet'!$D$2:$Q$341,2,FALSE)</f>
        <v>#N/A</v>
      </c>
      <c r="D25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55">
        <f>VLOOKUP(Data[[#This Row],[DEVELOPMENT]],Development_Data_Book[[DEVELOPMENT]:[BOROUGH]],21,FALSE)</f>
        <v>12</v>
      </c>
      <c r="F255">
        <f>VLOOKUP(Data[[#This Row],[DEVELOPMENT]],Development_Data_Book[[DEVELOPMENT]:[BOROUGH]],23,FALSE)</f>
        <v>12</v>
      </c>
      <c r="G255">
        <f>VLOOKUP(Data[[#This Row],[DEVELOPMENT]],Development_Data_Book[[DEVELOPMENT]:[BOROUGH]],12,FALSE)</f>
        <v>1934</v>
      </c>
      <c r="H255" t="s">
        <v>2246</v>
      </c>
      <c r="I255">
        <v>4</v>
      </c>
      <c r="J255">
        <f>IFERROR(VLOOKUP(Data[[#This Row],[DEVELOPMENT]],IntCompactors_MRST[],4,FALSE),0)</f>
        <v>12</v>
      </c>
      <c r="K255" s="20">
        <f>IFERROR(VLOOKUP(Data[[#This Row],[DEVELOPMENT]],ExtCompactors_MRST[],4,FALSE),0)</f>
        <v>4</v>
      </c>
      <c r="L255" s="27">
        <f>IF(Data[[#This Row],['# Interior Compactors MRST]]=0,"",VLOOKUP(Data[[#This Row],[DEVELOPMENT]],IntCompactors_MRST[],5,FALSE))</f>
        <v>43555</v>
      </c>
      <c r="M255" s="28">
        <f>IF(Data[[#This Row],['# Exterior Compactors MRST]]=0,"",VLOOKUP(Data[[#This Row],[DEVELOPMENT]],ExtCompactors_MRST[],5,FALSE))</f>
        <v>37979</v>
      </c>
      <c r="N255">
        <f>Data[[#This Row],['# Interior Compactors MRST]]</f>
        <v>12</v>
      </c>
      <c r="O255" s="20">
        <f>IF(Data[[#This Row],['# Bulk Crushers]]=0,1,0)</f>
        <v>1</v>
      </c>
      <c r="P255" s="20">
        <f>1</f>
        <v>1</v>
      </c>
      <c r="Q255" s="20">
        <f>1</f>
        <v>1</v>
      </c>
      <c r="R255" s="20">
        <f>1</f>
        <v>1</v>
      </c>
      <c r="S255" s="20">
        <f>1</f>
        <v>1</v>
      </c>
      <c r="T255" s="20">
        <f>IF(Data[[#This Row],[Sewershed]]="Newtown Creek",Data[[#This Row],[DUs]],0)</f>
        <v>1934</v>
      </c>
      <c r="U25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5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5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55" s="82">
        <f>VLOOKUP(Data[[#This Row],[DEVELOPMENT]],Development_Data_Book[[DEVELOPMENT]:[BOROUGH]],3,FALSE)</f>
        <v>27</v>
      </c>
      <c r="Y255" s="20" t="s">
        <v>2599</v>
      </c>
      <c r="Z255" s="20">
        <f>IFERROR(VLOOKUP(Data[[#This Row],[TDS]],ExtCompactors_PNA[[Development]:[0]],2,FALSE),0)</f>
        <v>4</v>
      </c>
      <c r="AA255" s="20">
        <f>IFERROR(VLOOKUP(Data[[#This Row],[TDS]],IntCompactors_PNA[[TDS]:[0]],2,FALSE),0)</f>
        <v>13</v>
      </c>
      <c r="AB255" s="20"/>
      <c r="AC255" s="20"/>
      <c r="AD255" s="20">
        <f>IFERROR(VLOOKUP(Data[[#This Row],[TDS]],ExtCompactors_PNA[[Development]:[0]],3,FALSE)+VLOOKUP(Data[[#This Row],[TDS]],ExtCompactors_PNA[[Development]:[0]],6,FALSE),0)</f>
        <v>4</v>
      </c>
      <c r="AE255" s="20">
        <f>IFERROR(VLOOKUP(Data[[#This Row],[TDS]],IntCompactors_PNA[[TDS]:[0]],3,FALSE)+VLOOKUP(Data[[#This Row],[TDS]],IntCompactors_PNA[[TDS]:[0]],6,FALSE),0)</f>
        <v>12</v>
      </c>
      <c r="AF255" s="20" t="e">
        <f>VLOOKUP(Data[[#This Row],[DEVELOPMENT]],[3]Developments!$A$2:$A$312,1,FALSE)</f>
        <v>#N/A</v>
      </c>
      <c r="AG255" s="20">
        <f>IFERROR(VLOOKUP(Data[[#This Row],[DEVELOPMENT]],Ops_Priorities_and_Data_Clean[[development]:[ifnoext_comment]],3,FALSE),"")</f>
        <v>4</v>
      </c>
      <c r="AH255" s="20">
        <f>IFERROR(VLOOKUP(Data[[#This Row],[DEVELOPMENT]],Ops_Priorities_and_Data_Clean[[development]:[ifnoext_comment]],4,FALSE),"")</f>
        <v>0</v>
      </c>
      <c r="AI255" s="20">
        <f>IFERROR(VLOOKUP(Data[[#This Row],[DEVELOPMENT]],Ops_Priorities_and_Data_Clean[[development]:[ifnoext_comment]],5,FALSE),"")</f>
        <v>1</v>
      </c>
      <c r="AJ255" s="20">
        <f>IFERROR(VLOOKUP(Data[[#This Row],[DEVELOPMENT]],Ops_Priorities_and_Data_Clean[[development]:[ifnoext_comment]],6,FALSE),"")</f>
        <v>0</v>
      </c>
      <c r="AK255" s="20">
        <f>IFERROR(VLOOKUP(Data[[#This Row],[DEVELOPMENT]],Ops_Priorities_and_Data_Clean[[development]:[ifnoext_comment]],7,FALSE),"")</f>
        <v>0</v>
      </c>
      <c r="AL255" s="20">
        <f>IFERROR(VLOOKUP(Data[[#This Row],[DEVELOPMENT]],Ops_Priorities_and_Data_Clean[[development]:[ifnoext_comment]],8,FALSE),"")</f>
        <v>1</v>
      </c>
      <c r="AM255" s="20">
        <f>IFERROR(VLOOKUP(Data[[#This Row],[DEVELOPMENT]],Ops_Priorities_and_Data_Clean[[development]:[ifnoext_comment]],9,FALSE),"")</f>
        <v>0</v>
      </c>
      <c r="AN255" s="20">
        <f>IFERROR(VLOOKUP(Data[[#This Row],[DEVELOPMENT]],Ops_Priorities_and_Data_Clean[[development]:[ifnoext_comment]],10,FALSE),"")</f>
        <v>4</v>
      </c>
      <c r="AO255" s="20">
        <f>IFERROR(VLOOKUP(Data[[#This Row],[DEVELOPMENT]],Ops_Priorities_and_Data_Clean[[development]:[ifnoext_comment]],11,FALSE),"")</f>
        <v>4</v>
      </c>
      <c r="AP255" s="20">
        <f>IFERROR(VLOOKUP(Data[[#This Row],[DEVELOPMENT]],Ops_Priorities_and_Data_Clean[[development]:[ifnoext_comment]],12,FALSE),"")</f>
        <v>4</v>
      </c>
      <c r="AQ255" s="20">
        <f>VLOOKUP(Data[[#This Row],[DEVELOPMENT]],Ops_Priorities_and_Data_Clean[[development]:[ifnoext_comment]],14,FALSE)</f>
        <v>0</v>
      </c>
      <c r="AR255" s="20">
        <f>VLOOKUP(Data[[#This Row],[DEVELOPMENT]],Ops_Priorities_and_Data_Clean[[development]:[ifnoext_comment]],15,FALSE)</f>
        <v>0</v>
      </c>
      <c r="AS255" s="20" t="str">
        <f>VLOOKUP(Data[[#This Row],[DEVELOPMENT]],Ops_Priorities_and_Data_Clean[[development]:[ifnoext_comment]],16,FALSE)</f>
        <v>NULL</v>
      </c>
      <c r="AT255" s="20" t="str">
        <f>VLOOKUP(Data[[#This Row],[DEVELOPMENT]],Ops_Priorities_and_Data_Clean[[development]:[ifnoext_comment]],17,FALSE)</f>
        <v>NULL</v>
      </c>
      <c r="AU255" s="20" t="str">
        <f>VLOOKUP(Data[[#This Row],[DEVELOPMENT]],Ops_Priorities_and_Data_Clean[[development]:[ifnoext_comment]],18,FALSE)</f>
        <v>No</v>
      </c>
      <c r="AV255" s="20" t="str">
        <f>VLOOKUP(Data[[#This Row],[DEVELOPMENT]],Ops_Priorities_and_Data_Clean[[development]:[ifnoext_comment]],19,FALSE)</f>
        <v>container on-site</v>
      </c>
      <c r="AW255" s="20" t="str">
        <f>VLOOKUP(Data[[#This Row],[DEVELOPMENT]],Ops_Priorities_and_Data_Clean[[development]:[ifnoext_comment]],20,FALSE)</f>
        <v>NULL</v>
      </c>
      <c r="AX255" s="104" t="s">
        <v>2239</v>
      </c>
      <c r="AY255" s="104" t="s">
        <v>2160</v>
      </c>
      <c r="AZ255" s="20" t="str">
        <f>VLOOKUP(Data[[#This Row],[DEVELOPMENT]],Development_Data_Book[[DEVELOPMENT]:[PRIVATE MANAGEMENT]],8,FALSE)</f>
        <v>FEDERAL</v>
      </c>
      <c r="BA255" s="104" t="s">
        <v>2586</v>
      </c>
      <c r="BB255" s="20">
        <f>VLOOKUP(Data[[#This Row],[DEVELOPMENT]],Development_Data_Book[[DEVELOPMENT]:[PRIVATE MANAGEMENT]],22,FALSE)</f>
        <v>0</v>
      </c>
      <c r="BC255" s="20">
        <f>Data[[#This Row],[Non-Dwelling Buildings]]+Data[[#This Row],[Dwelling Buildings]]</f>
        <v>12</v>
      </c>
      <c r="BD255" s="20">
        <f>VLOOKUP(Data[[#This Row],[DEVELOPMENT]],Development_Data_Book[[DEVELOPMENT]:[PRIVATE MANAGEMENT]],26,FALSE)</f>
        <v>21.75</v>
      </c>
      <c r="BE255" s="106">
        <v>2149568</v>
      </c>
      <c r="BF255" s="20">
        <f>VLOOKUP(Data[[#This Row],[DEVELOPMENT]],Development_Data_Book[[DEVELOPMENT]:[PRIVATE MANAGEMENT]],18,FALSE)</f>
        <v>4126</v>
      </c>
      <c r="BG25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55" s="104" t="s">
        <v>2607</v>
      </c>
      <c r="BI255" t="s">
        <v>184</v>
      </c>
      <c r="BJ255" s="20">
        <f>VLOOKUP(Data[[#This Row],[DEVELOPMENT]],Development_Data_Book[[DEVELOPMENT]:[PRIVATE MANAGEMENT]],41,FALSE)</f>
        <v>3</v>
      </c>
      <c r="BK255" s="20">
        <f>VLOOKUP(Data[[#This Row],[DEVELOPMENT]],Development_Data_Book[[DEVELOPMENT]:[PRIVATE MANAGEMENT]],42,FALSE)</f>
        <v>7</v>
      </c>
      <c r="BL255" s="20">
        <f>VLOOKUP(Data[[#This Row],[DEVELOPMENT]],Development_Data_Book[[DEVELOPMENT]:[PRIVATE MANAGEMENT]],43,FALSE)</f>
        <v>26</v>
      </c>
      <c r="BM255" s="20">
        <f>VLOOKUP(Data[[#This Row],[DEVELOPMENT]],Development_Data_Book[[DEVELOPMENT]:[PRIVATE MANAGEMENT]],44,FALSE)</f>
        <v>65</v>
      </c>
      <c r="BN255" s="20">
        <f>VLOOKUP(Data[[#This Row],[DEVELOPMENT]],Development_Data_Book[[DEVELOPMENT]:[PRIVATE MANAGEMENT]],45,FALSE)</f>
        <v>1</v>
      </c>
      <c r="BO255" s="20">
        <f>VLOOKUP(Data[[#This Row],[DEVELOPMENT]],Development_Data_Book[[DEVELOPMENT]:[PRIVATE MANAGEMENT]],24,FALSE)</f>
        <v>17</v>
      </c>
    </row>
    <row r="256" spans="1:67">
      <c r="A256" t="s">
        <v>197</v>
      </c>
      <c r="B256" s="20" t="str">
        <f>VLOOKUP(Data[[#This Row],[DEVELOPMENT]],Development_Data_Book[[DEVELOPMENT]:[BOROUGH]],MATCH("borough",Development_Data_Book[[#Headers],[DEVELOPMENT]:[BOROUGH]],0),FALSE)</f>
        <v>BRONX</v>
      </c>
      <c r="C256" s="20" t="e">
        <f>VLOOKUP(Data[[#This Row],[DEVELOPMENT]],'[1]Cheat-Sheet'!$D$2:$Q$341,2,FALSE)</f>
        <v>#N/A</v>
      </c>
      <c r="D25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56" s="20">
        <f>VLOOKUP(Data[[#This Row],[DEVELOPMENT]],Development_Data_Book[[DEVELOPMENT]:[BOROUGH]],21,FALSE)</f>
        <v>28</v>
      </c>
      <c r="F256" s="20">
        <f>VLOOKUP(Data[[#This Row],[DEVELOPMENT]],Development_Data_Book[[DEVELOPMENT]:[BOROUGH]],23,FALSE)</f>
        <v>31</v>
      </c>
      <c r="G256" s="20">
        <f>VLOOKUP(Data[[#This Row],[DEVELOPMENT]],Development_Data_Book[[DEVELOPMENT]:[BOROUGH]],12,FALSE)</f>
        <v>1495</v>
      </c>
      <c r="J256">
        <f>IFERROR(VLOOKUP(Data[[#This Row],[DEVELOPMENT]],IntCompactors_MRST[],4,FALSE),0)</f>
        <v>28</v>
      </c>
      <c r="K256" s="20">
        <f>IFERROR(VLOOKUP(Data[[#This Row],[DEVELOPMENT]],ExtCompactors_MRST[],4,FALSE),0)</f>
        <v>4</v>
      </c>
      <c r="L256" s="27">
        <f>IF(Data[[#This Row],['# Interior Compactors MRST]]=0,"",VLOOKUP(Data[[#This Row],[DEVELOPMENT]],IntCompactors_MRST[],5,FALSE))</f>
        <v>34912</v>
      </c>
      <c r="M256" s="28">
        <f>IF(Data[[#This Row],['# Exterior Compactors MRST]]=0,"",VLOOKUP(Data[[#This Row],[DEVELOPMENT]],ExtCompactors_MRST[],5,FALSE))</f>
        <v>37834</v>
      </c>
      <c r="N256" s="20">
        <f>Data[[#This Row],['# Interior Compactors MRST]]</f>
        <v>28</v>
      </c>
      <c r="O256" s="20">
        <f>IF(Data[[#This Row],['# Bulk Crushers]]=0,1,0)</f>
        <v>1</v>
      </c>
      <c r="P256" s="20">
        <f>1</f>
        <v>1</v>
      </c>
      <c r="Q256" s="20">
        <f>1</f>
        <v>1</v>
      </c>
      <c r="R256" s="20">
        <f>1</f>
        <v>1</v>
      </c>
      <c r="S256" s="20">
        <f>1</f>
        <v>1</v>
      </c>
      <c r="T256" s="20">
        <f>IF(Data[[#This Row],[Sewershed]]="Newtown Creek",Data[[#This Row],[DUs]],0)</f>
        <v>0</v>
      </c>
      <c r="U256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56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56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56" s="82">
        <f>VLOOKUP(Data[[#This Row],[DEVELOPMENT]],Development_Data_Book[[DEVELOPMENT]:[BOROUGH]],3,FALSE)</f>
        <v>67</v>
      </c>
      <c r="Y256" s="20"/>
      <c r="Z256" s="20">
        <f>IFERROR(VLOOKUP(Data[[#This Row],[TDS]],ExtCompactors_PNA[[Development]:[0]],2,FALSE),0)</f>
        <v>3</v>
      </c>
      <c r="AA256" s="20">
        <f>IFERROR(VLOOKUP(Data[[#This Row],[TDS]],IntCompactors_PNA[[TDS]:[0]],2,FALSE),0)</f>
        <v>28</v>
      </c>
      <c r="AB256" s="20"/>
      <c r="AC256" s="20"/>
      <c r="AD256" s="20">
        <f>IFERROR(VLOOKUP(Data[[#This Row],[TDS]],ExtCompactors_PNA[[Development]:[0]],3,FALSE)+VLOOKUP(Data[[#This Row],[TDS]],ExtCompactors_PNA[[Development]:[0]],6,FALSE),0)</f>
        <v>3</v>
      </c>
      <c r="AE256" s="20">
        <f>IFERROR(VLOOKUP(Data[[#This Row],[TDS]],IntCompactors_PNA[[TDS]:[0]],3,FALSE)+VLOOKUP(Data[[#This Row],[TDS]],IntCompactors_PNA[[TDS]:[0]],6,FALSE),0)</f>
        <v>0</v>
      </c>
      <c r="AF256" s="20" t="e">
        <f>VLOOKUP(Data[[#This Row],[DEVELOPMENT]],[3]Developments!$A$2:$A$312,1,FALSE)</f>
        <v>#N/A</v>
      </c>
      <c r="AG256" s="20">
        <f>IFERROR(VLOOKUP(Data[[#This Row],[DEVELOPMENT]],Ops_Priorities_and_Data_Clean[[development]:[ifnoext_comment]],3,FALSE),"")</f>
        <v>4</v>
      </c>
      <c r="AH256" s="20">
        <f>IFERROR(VLOOKUP(Data[[#This Row],[DEVELOPMENT]],Ops_Priorities_and_Data_Clean[[development]:[ifnoext_comment]],4,FALSE),"")</f>
        <v>0</v>
      </c>
      <c r="AI256" s="20">
        <f>IFERROR(VLOOKUP(Data[[#This Row],[DEVELOPMENT]],Ops_Priorities_and_Data_Clean[[development]:[ifnoext_comment]],5,FALSE),"")</f>
        <v>1</v>
      </c>
      <c r="AJ256" s="20">
        <f>IFERROR(VLOOKUP(Data[[#This Row],[DEVELOPMENT]],Ops_Priorities_and_Data_Clean[[development]:[ifnoext_comment]],6,FALSE),"")</f>
        <v>0</v>
      </c>
      <c r="AK256" s="20">
        <f>IFERROR(VLOOKUP(Data[[#This Row],[DEVELOPMENT]],Ops_Priorities_and_Data_Clean[[development]:[ifnoext_comment]],7,FALSE),"")</f>
        <v>0</v>
      </c>
      <c r="AL256" s="20">
        <f>IFERROR(VLOOKUP(Data[[#This Row],[DEVELOPMENT]],Ops_Priorities_and_Data_Clean[[development]:[ifnoext_comment]],8,FALSE),"")</f>
        <v>1</v>
      </c>
      <c r="AM256" s="20">
        <f>IFERROR(VLOOKUP(Data[[#This Row],[DEVELOPMENT]],Ops_Priorities_and_Data_Clean[[development]:[ifnoext_comment]],9,FALSE),"")</f>
        <v>0</v>
      </c>
      <c r="AN256" s="20">
        <f>IFERROR(VLOOKUP(Data[[#This Row],[DEVELOPMENT]],Ops_Priorities_and_Data_Clean[[development]:[ifnoext_comment]],10,FALSE),"")</f>
        <v>4</v>
      </c>
      <c r="AO256" s="20">
        <f>IFERROR(VLOOKUP(Data[[#This Row],[DEVELOPMENT]],Ops_Priorities_and_Data_Clean[[development]:[ifnoext_comment]],11,FALSE),"")</f>
        <v>4</v>
      </c>
      <c r="AP256" s="20">
        <f>IFERROR(VLOOKUP(Data[[#This Row],[DEVELOPMENT]],Ops_Priorities_and_Data_Clean[[development]:[ifnoext_comment]],12,FALSE),"")</f>
        <v>4</v>
      </c>
      <c r="AQ256" s="20">
        <f>VLOOKUP(Data[[#This Row],[DEVELOPMENT]],Ops_Priorities_and_Data_Clean[[development]:[ifnoext_comment]],14,FALSE)</f>
        <v>0</v>
      </c>
      <c r="AR256" s="20">
        <f>VLOOKUP(Data[[#This Row],[DEVELOPMENT]],Ops_Priorities_and_Data_Clean[[development]:[ifnoext_comment]],15,FALSE)</f>
        <v>0</v>
      </c>
      <c r="AS256" s="20" t="str">
        <f>VLOOKUP(Data[[#This Row],[DEVELOPMENT]],Ops_Priorities_and_Data_Clean[[development]:[ifnoext_comment]],16,FALSE)</f>
        <v>NULL</v>
      </c>
      <c r="AT256" s="20" t="str">
        <f>VLOOKUP(Data[[#This Row],[DEVELOPMENT]],Ops_Priorities_and_Data_Clean[[development]:[ifnoext_comment]],17,FALSE)</f>
        <v>NULL</v>
      </c>
      <c r="AU256" s="20" t="str">
        <f>VLOOKUP(Data[[#This Row],[DEVELOPMENT]],Ops_Priorities_and_Data_Clean[[development]:[ifnoext_comment]],18,FALSE)</f>
        <v>NULL</v>
      </c>
      <c r="AV256" s="20" t="str">
        <f>VLOOKUP(Data[[#This Row],[DEVELOPMENT]],Ops_Priorities_and_Data_Clean[[development]:[ifnoext_comment]],19,FALSE)</f>
        <v>NULL</v>
      </c>
      <c r="AW256" s="20" t="str">
        <f>VLOOKUP(Data[[#This Row],[DEVELOPMENT]],Ops_Priorities_and_Data_Clean[[development]:[ifnoext_comment]],20,FALSE)</f>
        <v>NULL</v>
      </c>
      <c r="AX256" s="104" t="s">
        <v>2237</v>
      </c>
      <c r="AY256" s="104" t="s">
        <v>2594</v>
      </c>
      <c r="AZ256" s="20" t="str">
        <f>VLOOKUP(Data[[#This Row],[DEVELOPMENT]],Development_Data_Book[[DEVELOPMENT]:[PRIVATE MANAGEMENT]],8,FALSE)</f>
        <v>FEDERAL</v>
      </c>
      <c r="BA256" s="104" t="s">
        <v>2586</v>
      </c>
      <c r="BB256" s="20">
        <f>VLOOKUP(Data[[#This Row],[DEVELOPMENT]],Development_Data_Book[[DEVELOPMENT]:[PRIVATE MANAGEMENT]],22,FALSE)</f>
        <v>3</v>
      </c>
      <c r="BC256" s="20">
        <f>Data[[#This Row],[Non-Dwelling Buildings]]+Data[[#This Row],[Dwelling Buildings]]</f>
        <v>31</v>
      </c>
      <c r="BD256" s="20">
        <f>VLOOKUP(Data[[#This Row],[DEVELOPMENT]],Development_Data_Book[[DEVELOPMENT]:[PRIVATE MANAGEMENT]],26,FALSE)</f>
        <v>30.77</v>
      </c>
      <c r="BE256" s="106">
        <v>1504670</v>
      </c>
      <c r="BF256" s="20">
        <f>VLOOKUP(Data[[#This Row],[DEVELOPMENT]],Development_Data_Book[[DEVELOPMENT]:[PRIVATE MANAGEMENT]],18,FALSE)</f>
        <v>3286</v>
      </c>
      <c r="BG25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56" s="104" t="s">
        <v>2595</v>
      </c>
      <c r="BI256" t="s">
        <v>184</v>
      </c>
      <c r="BJ256" s="20">
        <f>VLOOKUP(Data[[#This Row],[DEVELOPMENT]],Development_Data_Book[[DEVELOPMENT]:[PRIVATE MANAGEMENT]],41,FALSE)</f>
        <v>9</v>
      </c>
      <c r="BK256" s="20">
        <f>VLOOKUP(Data[[#This Row],[DEVELOPMENT]],Development_Data_Book[[DEVELOPMENT]:[PRIVATE MANAGEMENT]],42,FALSE)</f>
        <v>15</v>
      </c>
      <c r="BL256" s="20">
        <f>VLOOKUP(Data[[#This Row],[DEVELOPMENT]],Development_Data_Book[[DEVELOPMENT]:[PRIVATE MANAGEMENT]],43,FALSE)</f>
        <v>32</v>
      </c>
      <c r="BM256" s="20">
        <f>VLOOKUP(Data[[#This Row],[DEVELOPMENT]],Development_Data_Book[[DEVELOPMENT]:[PRIVATE MANAGEMENT]],44,FALSE)</f>
        <v>85</v>
      </c>
      <c r="BN256" s="20">
        <f>VLOOKUP(Data[[#This Row],[DEVELOPMENT]],Development_Data_Book[[DEVELOPMENT]:[PRIVATE MANAGEMENT]],45,FALSE)</f>
        <v>18</v>
      </c>
      <c r="BO256" s="20">
        <f>VLOOKUP(Data[[#This Row],[DEVELOPMENT]],Development_Data_Book[[DEVELOPMENT]:[PRIVATE MANAGEMENT]],24,FALSE)</f>
        <v>7</v>
      </c>
    </row>
    <row r="257" spans="1:67">
      <c r="A257" t="s">
        <v>363</v>
      </c>
      <c r="B257" s="20" t="str">
        <f>VLOOKUP(Data[[#This Row],[DEVELOPMENT]],Development_Data_Book[[DEVELOPMENT]:[BOROUGH]],MATCH("borough",Development_Data_Book[[#Headers],[DEVELOPMENT]:[BOROUGH]],0),FALSE)</f>
        <v>BRONX</v>
      </c>
      <c r="C257" s="20" t="e">
        <f>VLOOKUP(Data[[#This Row],[DEVELOPMENT]],'[1]Cheat-Sheet'!$D$2:$Q$341,2,FALSE)</f>
        <v>#N/A</v>
      </c>
      <c r="D25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57" s="20">
        <f>VLOOKUP(Data[[#This Row],[DEVELOPMENT]],Development_Data_Book[[DEVELOPMENT]:[BOROUGH]],21,FALSE)</f>
        <v>13</v>
      </c>
      <c r="F257" s="20">
        <f>VLOOKUP(Data[[#This Row],[DEVELOPMENT]],Development_Data_Book[[DEVELOPMENT]:[BOROUGH]],23,FALSE)</f>
        <v>28</v>
      </c>
      <c r="G257" s="20">
        <f>VLOOKUP(Data[[#This Row],[DEVELOPMENT]],Development_Data_Book[[DEVELOPMENT]:[BOROUGH]],12,FALSE)</f>
        <v>1258</v>
      </c>
      <c r="J257">
        <f>IFERROR(VLOOKUP(Data[[#This Row],[DEVELOPMENT]],IntCompactors_MRST[],4,FALSE),0)</f>
        <v>26</v>
      </c>
      <c r="K257" s="20">
        <f>IFERROR(VLOOKUP(Data[[#This Row],[DEVELOPMENT]],ExtCompactors_MRST[],4,FALSE),0)</f>
        <v>4</v>
      </c>
      <c r="L257" s="27">
        <f>IF(Data[[#This Row],['# Interior Compactors MRST]]=0,"",VLOOKUP(Data[[#This Row],[DEVELOPMENT]],IntCompactors_MRST[],5,FALSE))</f>
        <v>36392</v>
      </c>
      <c r="M257" s="28">
        <f>IF(Data[[#This Row],['# Exterior Compactors MRST]]=0,"",VLOOKUP(Data[[#This Row],[DEVELOPMENT]],ExtCompactors_MRST[],5,FALSE))</f>
        <v>38275</v>
      </c>
      <c r="N257" s="20">
        <f>Data[[#This Row],['# Interior Compactors MRST]]</f>
        <v>26</v>
      </c>
      <c r="O257" s="20">
        <f>IF(Data[[#This Row],['# Bulk Crushers]]=0,1,0)</f>
        <v>1</v>
      </c>
      <c r="P257" s="20">
        <f>1</f>
        <v>1</v>
      </c>
      <c r="Q257" s="20">
        <f>1</f>
        <v>1</v>
      </c>
      <c r="R257" s="20">
        <f>1</f>
        <v>1</v>
      </c>
      <c r="S257" s="20">
        <f>1</f>
        <v>1</v>
      </c>
      <c r="T257" s="20">
        <f>IF(Data[[#This Row],[Sewershed]]="Newtown Creek",Data[[#This Row],[DUs]],0)</f>
        <v>0</v>
      </c>
      <c r="U25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5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5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57" s="82">
        <f>VLOOKUP(Data[[#This Row],[DEVELOPMENT]],Development_Data_Book[[DEVELOPMENT]:[BOROUGH]],3,FALSE)</f>
        <v>71</v>
      </c>
      <c r="Y257" s="20"/>
      <c r="Z257" s="20">
        <f>IFERROR(VLOOKUP(Data[[#This Row],[TDS]],ExtCompactors_PNA[[Development]:[0]],2,FALSE),0)</f>
        <v>4</v>
      </c>
      <c r="AA257" s="20">
        <f>IFERROR(VLOOKUP(Data[[#This Row],[TDS]],IntCompactors_PNA[[TDS]:[0]],2,FALSE),0)</f>
        <v>22</v>
      </c>
      <c r="AB257" s="20"/>
      <c r="AC257" s="20"/>
      <c r="AD257" s="20">
        <f>IFERROR(VLOOKUP(Data[[#This Row],[TDS]],ExtCompactors_PNA[[Development]:[0]],3,FALSE)+VLOOKUP(Data[[#This Row],[TDS]],ExtCompactors_PNA[[Development]:[0]],6,FALSE),0)</f>
        <v>4</v>
      </c>
      <c r="AE257" s="20">
        <f>IFERROR(VLOOKUP(Data[[#This Row],[TDS]],IntCompactors_PNA[[TDS]:[0]],3,FALSE)+VLOOKUP(Data[[#This Row],[TDS]],IntCompactors_PNA[[TDS]:[0]],6,FALSE),0)</f>
        <v>22</v>
      </c>
      <c r="AF257" s="20" t="e">
        <f>VLOOKUP(Data[[#This Row],[DEVELOPMENT]],[3]Developments!$A$2:$A$312,1,FALSE)</f>
        <v>#N/A</v>
      </c>
      <c r="AG257" s="20">
        <f>IFERROR(VLOOKUP(Data[[#This Row],[DEVELOPMENT]],Ops_Priorities_and_Data_Clean[[development]:[ifnoext_comment]],3,FALSE),"")</f>
        <v>4</v>
      </c>
      <c r="AH257" s="20">
        <f>IFERROR(VLOOKUP(Data[[#This Row],[DEVELOPMENT]],Ops_Priorities_and_Data_Clean[[development]:[ifnoext_comment]],4,FALSE),"")</f>
        <v>0</v>
      </c>
      <c r="AI257" s="20">
        <f>IFERROR(VLOOKUP(Data[[#This Row],[DEVELOPMENT]],Ops_Priorities_and_Data_Clean[[development]:[ifnoext_comment]],5,FALSE),"")</f>
        <v>1</v>
      </c>
      <c r="AJ257" s="20">
        <f>IFERROR(VLOOKUP(Data[[#This Row],[DEVELOPMENT]],Ops_Priorities_and_Data_Clean[[development]:[ifnoext_comment]],6,FALSE),"")</f>
        <v>0</v>
      </c>
      <c r="AK257" s="20">
        <f>IFERROR(VLOOKUP(Data[[#This Row],[DEVELOPMENT]],Ops_Priorities_and_Data_Clean[[development]:[ifnoext_comment]],7,FALSE),"")</f>
        <v>0</v>
      </c>
      <c r="AL257" s="20">
        <f>IFERROR(VLOOKUP(Data[[#This Row],[DEVELOPMENT]],Ops_Priorities_and_Data_Clean[[development]:[ifnoext_comment]],8,FALSE),"")</f>
        <v>1</v>
      </c>
      <c r="AM257" s="20">
        <f>IFERROR(VLOOKUP(Data[[#This Row],[DEVELOPMENT]],Ops_Priorities_and_Data_Clean[[development]:[ifnoext_comment]],9,FALSE),"")</f>
        <v>0</v>
      </c>
      <c r="AN257" s="20">
        <f>IFERROR(VLOOKUP(Data[[#This Row],[DEVELOPMENT]],Ops_Priorities_and_Data_Clean[[development]:[ifnoext_comment]],10,FALSE),"")</f>
        <v>4</v>
      </c>
      <c r="AO257" s="20">
        <f>IFERROR(VLOOKUP(Data[[#This Row],[DEVELOPMENT]],Ops_Priorities_and_Data_Clean[[development]:[ifnoext_comment]],11,FALSE),"")</f>
        <v>4</v>
      </c>
      <c r="AP257" s="20">
        <f>IFERROR(VLOOKUP(Data[[#This Row],[DEVELOPMENT]],Ops_Priorities_and_Data_Clean[[development]:[ifnoext_comment]],12,FALSE),"")</f>
        <v>4</v>
      </c>
      <c r="AQ257" s="20">
        <f>VLOOKUP(Data[[#This Row],[DEVELOPMENT]],Ops_Priorities_and_Data_Clean[[development]:[ifnoext_comment]],14,FALSE)</f>
        <v>0</v>
      </c>
      <c r="AR257" s="20">
        <f>VLOOKUP(Data[[#This Row],[DEVELOPMENT]],Ops_Priorities_and_Data_Clean[[development]:[ifnoext_comment]],15,FALSE)</f>
        <v>0</v>
      </c>
      <c r="AS257" s="20" t="str">
        <f>VLOOKUP(Data[[#This Row],[DEVELOPMENT]],Ops_Priorities_and_Data_Clean[[development]:[ifnoext_comment]],16,FALSE)</f>
        <v>NULL</v>
      </c>
      <c r="AT257" s="20" t="str">
        <f>VLOOKUP(Data[[#This Row],[DEVELOPMENT]],Ops_Priorities_and_Data_Clean[[development]:[ifnoext_comment]],17,FALSE)</f>
        <v>NULL</v>
      </c>
      <c r="AU257" s="20" t="str">
        <f>VLOOKUP(Data[[#This Row],[DEVELOPMENT]],Ops_Priorities_and_Data_Clean[[development]:[ifnoext_comment]],18,FALSE)</f>
        <v>NULL</v>
      </c>
      <c r="AV257" s="20" t="str">
        <f>VLOOKUP(Data[[#This Row],[DEVELOPMENT]],Ops_Priorities_and_Data_Clean[[development]:[ifnoext_comment]],19,FALSE)</f>
        <v>NULL</v>
      </c>
      <c r="AW257" s="20" t="str">
        <f>VLOOKUP(Data[[#This Row],[DEVELOPMENT]],Ops_Priorities_and_Data_Clean[[development]:[ifnoext_comment]],20,FALSE)</f>
        <v>NULL</v>
      </c>
      <c r="AX257" s="104" t="s">
        <v>2237</v>
      </c>
      <c r="AY257" s="104" t="s">
        <v>363</v>
      </c>
      <c r="AZ257" s="20" t="str">
        <f>VLOOKUP(Data[[#This Row],[DEVELOPMENT]],Development_Data_Book[[DEVELOPMENT]:[PRIVATE MANAGEMENT]],8,FALSE)</f>
        <v>FEDERAL</v>
      </c>
      <c r="BA257" s="104" t="s">
        <v>2586</v>
      </c>
      <c r="BB257" s="20">
        <f>VLOOKUP(Data[[#This Row],[DEVELOPMENT]],Development_Data_Book[[DEVELOPMENT]:[PRIVATE MANAGEMENT]],22,FALSE)</f>
        <v>2</v>
      </c>
      <c r="BC257" s="20">
        <f>Data[[#This Row],[Non-Dwelling Buildings]]+Data[[#This Row],[Dwelling Buildings]]</f>
        <v>15</v>
      </c>
      <c r="BD257" s="20">
        <f>VLOOKUP(Data[[#This Row],[DEVELOPMENT]],Development_Data_Book[[DEVELOPMENT]:[PRIVATE MANAGEMENT]],26,FALSE)</f>
        <v>24.72</v>
      </c>
      <c r="BE257" s="106">
        <v>1189600</v>
      </c>
      <c r="BF257" s="20">
        <f>VLOOKUP(Data[[#This Row],[DEVELOPMENT]],Development_Data_Book[[DEVELOPMENT]:[PRIVATE MANAGEMENT]],18,FALSE)</f>
        <v>2901</v>
      </c>
      <c r="BG25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57" s="104" t="s">
        <v>2595</v>
      </c>
      <c r="BI257" t="s">
        <v>184</v>
      </c>
      <c r="BJ257" s="20">
        <f>VLOOKUP(Data[[#This Row],[DEVELOPMENT]],Development_Data_Book[[DEVELOPMENT]:[PRIVATE MANAGEMENT]],41,FALSE)</f>
        <v>9</v>
      </c>
      <c r="BK257" s="20">
        <f>VLOOKUP(Data[[#This Row],[DEVELOPMENT]],Development_Data_Book[[DEVELOPMENT]:[PRIVATE MANAGEMENT]],42,FALSE)</f>
        <v>15</v>
      </c>
      <c r="BL257" s="20">
        <f>VLOOKUP(Data[[#This Row],[DEVELOPMENT]],Development_Data_Book[[DEVELOPMENT]:[PRIVATE MANAGEMENT]],43,FALSE)</f>
        <v>32</v>
      </c>
      <c r="BM257" s="20">
        <f>VLOOKUP(Data[[#This Row],[DEVELOPMENT]],Development_Data_Book[[DEVELOPMENT]:[PRIVATE MANAGEMENT]],44,FALSE)</f>
        <v>85</v>
      </c>
      <c r="BN257" s="20">
        <f>VLOOKUP(Data[[#This Row],[DEVELOPMENT]],Development_Data_Book[[DEVELOPMENT]:[PRIVATE MANAGEMENT]],45,FALSE)</f>
        <v>18</v>
      </c>
      <c r="BO257" s="20">
        <f>VLOOKUP(Data[[#This Row],[DEVELOPMENT]],Development_Data_Book[[DEVELOPMENT]:[PRIVATE MANAGEMENT]],24,FALSE)</f>
        <v>7</v>
      </c>
    </row>
    <row r="258" spans="1:67">
      <c r="A258" t="s">
        <v>255</v>
      </c>
      <c r="B258" s="20" t="str">
        <f>VLOOKUP(Data[[#This Row],[DEVELOPMENT]],Development_Data_Book[[DEVELOPMENT]:[BOROUGH]],MATCH("borough",Development_Data_Book[[#Headers],[DEVELOPMENT]:[BOROUGH]],0),FALSE)</f>
        <v>STATEN ISLAND</v>
      </c>
      <c r="C258" s="20" t="e">
        <f>VLOOKUP(Data[[#This Row],[DEVELOPMENT]],'[1]Cheat-Sheet'!$D$2:$Q$341,2,FALSE)</f>
        <v>#N/A</v>
      </c>
      <c r="D25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58" s="20">
        <f>VLOOKUP(Data[[#This Row],[DEVELOPMENT]],Development_Data_Book[[DEVELOPMENT]:[BOROUGH]],21,FALSE)</f>
        <v>8</v>
      </c>
      <c r="F258" s="20">
        <f>VLOOKUP(Data[[#This Row],[DEVELOPMENT]],Development_Data_Book[[DEVELOPMENT]:[BOROUGH]],23,FALSE)</f>
        <v>15</v>
      </c>
      <c r="G258" s="20">
        <f>VLOOKUP(Data[[#This Row],[DEVELOPMENT]],Development_Data_Book[[DEVELOPMENT]:[BOROUGH]],12,FALSE)</f>
        <v>421</v>
      </c>
      <c r="J258">
        <f>IFERROR(VLOOKUP(Data[[#This Row],[DEVELOPMENT]],IntCompactors_MRST[],4,FALSE),0)</f>
        <v>15</v>
      </c>
      <c r="K258" s="20">
        <f>IFERROR(VLOOKUP(Data[[#This Row],[DEVELOPMENT]],ExtCompactors_MRST[],4,FALSE),0)</f>
        <v>1</v>
      </c>
      <c r="L258" s="27">
        <f>IF(Data[[#This Row],['# Interior Compactors MRST]]=0,"",VLOOKUP(Data[[#This Row],[DEVELOPMENT]],IntCompactors_MRST[],5,FALSE))</f>
        <v>38200</v>
      </c>
      <c r="M258" s="28">
        <f>IF(Data[[#This Row],['# Exterior Compactors MRST]]=0,"",VLOOKUP(Data[[#This Row],[DEVELOPMENT]],ExtCompactors_MRST[],5,FALSE))</f>
        <v>39210</v>
      </c>
      <c r="N258" s="20">
        <f>Data[[#This Row],['# Interior Compactors MRST]]</f>
        <v>15</v>
      </c>
      <c r="O258" s="20">
        <f>IF(Data[[#This Row],['# Bulk Crushers]]=0,1,0)</f>
        <v>1</v>
      </c>
      <c r="P258" s="20">
        <f>1</f>
        <v>1</v>
      </c>
      <c r="Q258" s="20">
        <f>1</f>
        <v>1</v>
      </c>
      <c r="R258" s="20">
        <f>1</f>
        <v>1</v>
      </c>
      <c r="S258" s="20">
        <f>1</f>
        <v>1</v>
      </c>
      <c r="T258" s="20">
        <f>IF(Data[[#This Row],[Sewershed]]="Newtown Creek",Data[[#This Row],[DUs]],0)</f>
        <v>0</v>
      </c>
      <c r="U25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5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5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58" s="82">
        <f>VLOOKUP(Data[[#This Row],[DEVELOPMENT]],Development_Data_Book[[DEVELOPMENT]:[BOROUGH]],3,FALSE)</f>
        <v>35</v>
      </c>
      <c r="Y258" s="20"/>
      <c r="Z258" s="20">
        <f>IFERROR(VLOOKUP(Data[[#This Row],[TDS]],ExtCompactors_PNA[[Development]:[0]],2,FALSE),0)</f>
        <v>1</v>
      </c>
      <c r="AA258" s="20">
        <f>IFERROR(VLOOKUP(Data[[#This Row],[TDS]],IntCompactors_PNA[[TDS]:[0]],2,FALSE),0)</f>
        <v>15</v>
      </c>
      <c r="AB258" s="20"/>
      <c r="AC258" s="20"/>
      <c r="AD258" s="20">
        <f>IFERROR(VLOOKUP(Data[[#This Row],[TDS]],ExtCompactors_PNA[[Development]:[0]],3,FALSE)+VLOOKUP(Data[[#This Row],[TDS]],ExtCompactors_PNA[[Development]:[0]],6,FALSE),0)</f>
        <v>1</v>
      </c>
      <c r="AE258" s="20">
        <f>IFERROR(VLOOKUP(Data[[#This Row],[TDS]],IntCompactors_PNA[[TDS]:[0]],3,FALSE)+VLOOKUP(Data[[#This Row],[TDS]],IntCompactors_PNA[[TDS]:[0]],6,FALSE),0)</f>
        <v>15</v>
      </c>
      <c r="AF258" s="20" t="e">
        <f>VLOOKUP(Data[[#This Row],[DEVELOPMENT]],[3]Developments!$A$2:$A$312,1,FALSE)</f>
        <v>#N/A</v>
      </c>
      <c r="AG258" s="20">
        <f>IFERROR(VLOOKUP(Data[[#This Row],[DEVELOPMENT]],Ops_Priorities_and_Data_Clean[[development]:[ifnoext_comment]],3,FALSE),"")</f>
        <v>1</v>
      </c>
      <c r="AH258" s="20">
        <f>IFERROR(VLOOKUP(Data[[#This Row],[DEVELOPMENT]],Ops_Priorities_and_Data_Clean[[development]:[ifnoext_comment]],4,FALSE),"")</f>
        <v>0</v>
      </c>
      <c r="AI258" s="20">
        <f>IFERROR(VLOOKUP(Data[[#This Row],[DEVELOPMENT]],Ops_Priorities_and_Data_Clean[[development]:[ifnoext_comment]],5,FALSE),"")</f>
        <v>1</v>
      </c>
      <c r="AJ258" s="20">
        <f>IFERROR(VLOOKUP(Data[[#This Row],[DEVELOPMENT]],Ops_Priorities_and_Data_Clean[[development]:[ifnoext_comment]],6,FALSE),"")</f>
        <v>0</v>
      </c>
      <c r="AK258" s="20">
        <f>IFERROR(VLOOKUP(Data[[#This Row],[DEVELOPMENT]],Ops_Priorities_and_Data_Clean[[development]:[ifnoext_comment]],7,FALSE),"")</f>
        <v>0</v>
      </c>
      <c r="AL258" s="20">
        <f>IFERROR(VLOOKUP(Data[[#This Row],[DEVELOPMENT]],Ops_Priorities_and_Data_Clean[[development]:[ifnoext_comment]],8,FALSE),"")</f>
        <v>1</v>
      </c>
      <c r="AM258" s="20">
        <f>IFERROR(VLOOKUP(Data[[#This Row],[DEVELOPMENT]],Ops_Priorities_and_Data_Clean[[development]:[ifnoext_comment]],9,FALSE),"")</f>
        <v>0</v>
      </c>
      <c r="AN258" s="20">
        <f>IFERROR(VLOOKUP(Data[[#This Row],[DEVELOPMENT]],Ops_Priorities_and_Data_Clean[[development]:[ifnoext_comment]],10,FALSE),"")</f>
        <v>1</v>
      </c>
      <c r="AO258" s="20">
        <f>IFERROR(VLOOKUP(Data[[#This Row],[DEVELOPMENT]],Ops_Priorities_and_Data_Clean[[development]:[ifnoext_comment]],11,FALSE),"")</f>
        <v>1</v>
      </c>
      <c r="AP258" s="20">
        <f>IFERROR(VLOOKUP(Data[[#This Row],[DEVELOPMENT]],Ops_Priorities_and_Data_Clean[[development]:[ifnoext_comment]],12,FALSE),"")</f>
        <v>1</v>
      </c>
      <c r="AQ258" s="20">
        <f>VLOOKUP(Data[[#This Row],[DEVELOPMENT]],Ops_Priorities_and_Data_Clean[[development]:[ifnoext_comment]],14,FALSE)</f>
        <v>0</v>
      </c>
      <c r="AR258" s="20">
        <f>VLOOKUP(Data[[#This Row],[DEVELOPMENT]],Ops_Priorities_and_Data_Clean[[development]:[ifnoext_comment]],15,FALSE)</f>
        <v>0</v>
      </c>
      <c r="AS258" s="20" t="str">
        <f>VLOOKUP(Data[[#This Row],[DEVELOPMENT]],Ops_Priorities_and_Data_Clean[[development]:[ifnoext_comment]],16,FALSE)</f>
        <v>NULL</v>
      </c>
      <c r="AT258" s="20" t="str">
        <f>VLOOKUP(Data[[#This Row],[DEVELOPMENT]],Ops_Priorities_and_Data_Clean[[development]:[ifnoext_comment]],17,FALSE)</f>
        <v>NULL</v>
      </c>
      <c r="AU258" s="20" t="str">
        <f>VLOOKUP(Data[[#This Row],[DEVELOPMENT]],Ops_Priorities_and_Data_Clean[[development]:[ifnoext_comment]],18,FALSE)</f>
        <v>NULL</v>
      </c>
      <c r="AV258" s="20" t="str">
        <f>VLOOKUP(Data[[#This Row],[DEVELOPMENT]],Ops_Priorities_and_Data_Clean[[development]:[ifnoext_comment]],19,FALSE)</f>
        <v>NULL</v>
      </c>
      <c r="AW258" s="20" t="str">
        <f>VLOOKUP(Data[[#This Row],[DEVELOPMENT]],Ops_Priorities_and_Data_Clean[[development]:[ifnoext_comment]],20,FALSE)</f>
        <v>NULL</v>
      </c>
      <c r="AX258" s="104" t="s">
        <v>2614</v>
      </c>
      <c r="AY258" s="104" t="s">
        <v>255</v>
      </c>
      <c r="AZ258" s="20" t="str">
        <f>VLOOKUP(Data[[#This Row],[DEVELOPMENT]],Development_Data_Book[[DEVELOPMENT]:[PRIVATE MANAGEMENT]],8,FALSE)</f>
        <v>FEDERAL</v>
      </c>
      <c r="BA258" s="104" t="s">
        <v>2586</v>
      </c>
      <c r="BB258" s="20">
        <f>VLOOKUP(Data[[#This Row],[DEVELOPMENT]],Development_Data_Book[[DEVELOPMENT]:[PRIVATE MANAGEMENT]],22,FALSE)</f>
        <v>0</v>
      </c>
      <c r="BC258" s="20">
        <f>Data[[#This Row],[Non-Dwelling Buildings]]+Data[[#This Row],[Dwelling Buildings]]</f>
        <v>8</v>
      </c>
      <c r="BD258" s="20">
        <f>VLOOKUP(Data[[#This Row],[DEVELOPMENT]],Development_Data_Book[[DEVELOPMENT]:[PRIVATE MANAGEMENT]],26,FALSE)</f>
        <v>16.260000000000002</v>
      </c>
      <c r="BE258" s="106">
        <v>445670</v>
      </c>
      <c r="BF258" s="20">
        <f>VLOOKUP(Data[[#This Row],[DEVELOPMENT]],Development_Data_Book[[DEVELOPMENT]:[PRIVATE MANAGEMENT]],18,FALSE)</f>
        <v>891</v>
      </c>
      <c r="BG25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58" s="104" t="s">
        <v>2591</v>
      </c>
      <c r="BI258" t="s">
        <v>184</v>
      </c>
      <c r="BJ258" s="20">
        <f>VLOOKUP(Data[[#This Row],[DEVELOPMENT]],Development_Data_Book[[DEVELOPMENT]:[PRIVATE MANAGEMENT]],41,FALSE)</f>
        <v>2</v>
      </c>
      <c r="BK258" s="20">
        <f>VLOOKUP(Data[[#This Row],[DEVELOPMENT]],Development_Data_Book[[DEVELOPMENT]:[PRIVATE MANAGEMENT]],42,FALSE)</f>
        <v>11</v>
      </c>
      <c r="BL258" s="20">
        <f>VLOOKUP(Data[[#This Row],[DEVELOPMENT]],Development_Data_Book[[DEVELOPMENT]:[PRIVATE MANAGEMENT]],43,FALSE)</f>
        <v>23</v>
      </c>
      <c r="BM258" s="20">
        <f>VLOOKUP(Data[[#This Row],[DEVELOPMENT]],Development_Data_Book[[DEVELOPMENT]:[PRIVATE MANAGEMENT]],44,FALSE)</f>
        <v>64</v>
      </c>
      <c r="BN258" s="20">
        <f>VLOOKUP(Data[[#This Row],[DEVELOPMENT]],Development_Data_Book[[DEVELOPMENT]:[PRIVATE MANAGEMENT]],45,FALSE)</f>
        <v>50</v>
      </c>
      <c r="BO258" s="20">
        <f>VLOOKUP(Data[[#This Row],[DEVELOPMENT]],Development_Data_Book[[DEVELOPMENT]:[PRIVATE MANAGEMENT]],24,FALSE)</f>
        <v>6</v>
      </c>
    </row>
    <row r="259" spans="1:67">
      <c r="A259" t="s">
        <v>96</v>
      </c>
      <c r="B259" t="str">
        <f>VLOOKUP(Data[[#This Row],[DEVELOPMENT]],Development_Data_Book[[DEVELOPMENT]:[BOROUGH]],MATCH("borough",Development_Data_Book[[#Headers],[DEVELOPMENT]:[BOROUGH]],0),FALSE)</f>
        <v>BRONX</v>
      </c>
      <c r="C259" t="e">
        <f>VLOOKUP(Data[[#This Row],[DEVELOPMENT]],'[1]Cheat-Sheet'!$D$2:$Q$341,2,FALSE)</f>
        <v>#N/A</v>
      </c>
      <c r="D25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59">
        <f>VLOOKUP(Data[[#This Row],[DEVELOPMENT]],Development_Data_Book[[DEVELOPMENT]:[BOROUGH]],21,FALSE)</f>
        <v>4</v>
      </c>
      <c r="F259">
        <f>VLOOKUP(Data[[#This Row],[DEVELOPMENT]],Development_Data_Book[[DEVELOPMENT]:[BOROUGH]],23,FALSE)</f>
        <v>19</v>
      </c>
      <c r="G259">
        <f>VLOOKUP(Data[[#This Row],[DEVELOPMENT]],Development_Data_Book[[DEVELOPMENT]:[BOROUGH]],12,FALSE)</f>
        <v>112</v>
      </c>
      <c r="H259" t="s">
        <v>2248</v>
      </c>
      <c r="I259" s="49">
        <v>3</v>
      </c>
      <c r="J259">
        <f>IFERROR(VLOOKUP(Data[[#This Row],[DEVELOPMENT]],IntCompactors_MRST[],4,FALSE),0)</f>
        <v>0</v>
      </c>
      <c r="K259" s="20">
        <f>IFERROR(VLOOKUP(Data[[#This Row],[DEVELOPMENT]],ExtCompactors_MRST[],4,FALSE),0)</f>
        <v>0</v>
      </c>
      <c r="L259" s="27" t="str">
        <f>IF(Data[[#This Row],['# Interior Compactors MRST]]=0,"",VLOOKUP(Data[[#This Row],[DEVELOPMENT]],IntCompactors_MRST[],5,FALSE))</f>
        <v/>
      </c>
      <c r="M259" s="28" t="str">
        <f>IF(Data[[#This Row],['# Exterior Compactors MRST]]=0,"",VLOOKUP(Data[[#This Row],[DEVELOPMENT]],ExtCompactors_MRST[],5,FALSE))</f>
        <v/>
      </c>
      <c r="N259">
        <f>Data[[#This Row],['# Interior Compactors MRST]]</f>
        <v>0</v>
      </c>
      <c r="O259" s="20">
        <f>IF(Data[[#This Row],['# Bulk Crushers]]=0,1,0)</f>
        <v>1</v>
      </c>
      <c r="P259" s="20">
        <f>1</f>
        <v>1</v>
      </c>
      <c r="Q259" s="20">
        <f>1</f>
        <v>1</v>
      </c>
      <c r="R259" s="20">
        <f>1</f>
        <v>1</v>
      </c>
      <c r="S259" s="20">
        <f>1</f>
        <v>1</v>
      </c>
      <c r="T259" s="20">
        <f>IF(Data[[#This Row],[Sewershed]]="Newtown Creek",Data[[#This Row],[DUs]],0)</f>
        <v>0</v>
      </c>
      <c r="U25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5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5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59" s="82">
        <f>VLOOKUP(Data[[#This Row],[DEVELOPMENT]],Development_Data_Book[[DEVELOPMENT]:[BOROUGH]],3,FALSE)</f>
        <v>305</v>
      </c>
      <c r="Y259" s="20"/>
      <c r="Z259" s="20">
        <f>IFERROR(VLOOKUP(Data[[#This Row],[TDS]],ExtCompactors_PNA[[Development]:[0]],2,FALSE),0)</f>
        <v>0</v>
      </c>
      <c r="AA259" s="20">
        <f>IFERROR(VLOOKUP(Data[[#This Row],[TDS]],IntCompactors_PNA[[TDS]:[0]],2,FALSE),0)</f>
        <v>0</v>
      </c>
      <c r="AB259" s="20"/>
      <c r="AC259" s="20"/>
      <c r="AD259" s="20">
        <f>IFERROR(VLOOKUP(Data[[#This Row],[TDS]],ExtCompactors_PNA[[Development]:[0]],3,FALSE)+VLOOKUP(Data[[#This Row],[TDS]],ExtCompactors_PNA[[Development]:[0]],6,FALSE),0)</f>
        <v>0</v>
      </c>
      <c r="AE259" s="20">
        <f>IFERROR(VLOOKUP(Data[[#This Row],[TDS]],IntCompactors_PNA[[TDS]:[0]],3,FALSE)+VLOOKUP(Data[[#This Row],[TDS]],IntCompactors_PNA[[TDS]:[0]],6,FALSE),0)</f>
        <v>0</v>
      </c>
      <c r="AF259" s="20" t="e">
        <f>VLOOKUP(Data[[#This Row],[DEVELOPMENT]],[3]Developments!$A$2:$A$312,1,FALSE)</f>
        <v>#N/A</v>
      </c>
      <c r="AG259" s="20">
        <f>IFERROR(VLOOKUP(Data[[#This Row],[DEVELOPMENT]],Ops_Priorities_and_Data_Clean[[development]:[ifnoext_comment]],3,FALSE),"")</f>
        <v>0</v>
      </c>
      <c r="AH259" s="20">
        <f>IFERROR(VLOOKUP(Data[[#This Row],[DEVELOPMENT]],Ops_Priorities_and_Data_Clean[[development]:[ifnoext_comment]],4,FALSE),"")</f>
        <v>0</v>
      </c>
      <c r="AI259" s="20">
        <f>IFERROR(VLOOKUP(Data[[#This Row],[DEVELOPMENT]],Ops_Priorities_and_Data_Clean[[development]:[ifnoext_comment]],5,FALSE),"")</f>
        <v>0</v>
      </c>
      <c r="AJ259" s="20">
        <f>IFERROR(VLOOKUP(Data[[#This Row],[DEVELOPMENT]],Ops_Priorities_and_Data_Clean[[development]:[ifnoext_comment]],6,FALSE),"")</f>
        <v>1</v>
      </c>
      <c r="AK259" s="20">
        <f>IFERROR(VLOOKUP(Data[[#This Row],[DEVELOPMENT]],Ops_Priorities_and_Data_Clean[[development]:[ifnoext_comment]],7,FALSE),"")</f>
        <v>0</v>
      </c>
      <c r="AL259" s="20">
        <f>IFERROR(VLOOKUP(Data[[#This Row],[DEVELOPMENT]],Ops_Priorities_and_Data_Clean[[development]:[ifnoext_comment]],8,FALSE),"")</f>
        <v>1</v>
      </c>
      <c r="AM259" s="20">
        <f>IFERROR(VLOOKUP(Data[[#This Row],[DEVELOPMENT]],Ops_Priorities_and_Data_Clean[[development]:[ifnoext_comment]],9,FALSE),"")</f>
        <v>1</v>
      </c>
      <c r="AN259" s="20">
        <f>IFERROR(VLOOKUP(Data[[#This Row],[DEVELOPMENT]],Ops_Priorities_and_Data_Clean[[development]:[ifnoext_comment]],10,FALSE),"")</f>
        <v>0</v>
      </c>
      <c r="AO259" s="20">
        <f>IFERROR(VLOOKUP(Data[[#This Row],[DEVELOPMENT]],Ops_Priorities_and_Data_Clean[[development]:[ifnoext_comment]],11,FALSE),"")</f>
        <v>0</v>
      </c>
      <c r="AP259" s="20">
        <f>IFERROR(VLOOKUP(Data[[#This Row],[DEVELOPMENT]],Ops_Priorities_and_Data_Clean[[development]:[ifnoext_comment]],12,FALSE),"")</f>
        <v>0</v>
      </c>
      <c r="AQ259" s="20">
        <f>VLOOKUP(Data[[#This Row],[DEVELOPMENT]],Ops_Priorities_and_Data_Clean[[development]:[ifnoext_comment]],14,FALSE)</f>
        <v>0</v>
      </c>
      <c r="AR259" s="20">
        <f>VLOOKUP(Data[[#This Row],[DEVELOPMENT]],Ops_Priorities_and_Data_Clean[[development]:[ifnoext_comment]],15,FALSE)</f>
        <v>1</v>
      </c>
      <c r="AS259" s="20" t="str">
        <f>VLOOKUP(Data[[#This Row],[DEVELOPMENT]],Ops_Priorities_and_Data_Clean[[development]:[ifnoext_comment]],16,FALSE)</f>
        <v>CLAREMONT PARKWAY-FRANKLIN AVENUE, &amp; DAVIDSON</v>
      </c>
      <c r="AT259" s="20" t="str">
        <f>VLOOKUP(Data[[#This Row],[DEVELOPMENT]],Ops_Priorities_and_Data_Clean[[development]:[ifnoext_comment]],17,FALSE)</f>
        <v>Part of Union Cons.</v>
      </c>
      <c r="AU259" s="20" t="str">
        <f>VLOOKUP(Data[[#This Row],[DEVELOPMENT]],Ops_Priorities_and_Data_Clean[[development]:[ifnoext_comment]],18,FALSE)</f>
        <v>NULL</v>
      </c>
      <c r="AV259" s="20" t="str">
        <f>VLOOKUP(Data[[#This Row],[DEVELOPMENT]],Ops_Priorities_and_Data_Clean[[development]:[ifnoext_comment]],19,FALSE)</f>
        <v>NULL</v>
      </c>
      <c r="AW259" s="20" t="str">
        <f>VLOOKUP(Data[[#This Row],[DEVELOPMENT]],Ops_Priorities_and_Data_Clean[[development]:[ifnoext_comment]],20,FALSE)</f>
        <v>NULL</v>
      </c>
      <c r="AX259" s="104" t="s">
        <v>2237</v>
      </c>
      <c r="AY259" s="104" t="s">
        <v>39</v>
      </c>
      <c r="AZ259" s="20" t="str">
        <f>VLOOKUP(Data[[#This Row],[DEVELOPMENT]],Development_Data_Book[[DEVELOPMENT]:[PRIVATE MANAGEMENT]],8,FALSE)</f>
        <v>FEDERAL</v>
      </c>
      <c r="BA259" s="104" t="s">
        <v>2588</v>
      </c>
      <c r="BB259" s="20">
        <f>VLOOKUP(Data[[#This Row],[DEVELOPMENT]],Development_Data_Book[[DEVELOPMENT]:[PRIVATE MANAGEMENT]],22,FALSE)</f>
        <v>0</v>
      </c>
      <c r="BC259" s="20">
        <f>Data[[#This Row],[Non-Dwelling Buildings]]+Data[[#This Row],[Dwelling Buildings]]</f>
        <v>4</v>
      </c>
      <c r="BD259" s="20">
        <f>VLOOKUP(Data[[#This Row],[DEVELOPMENT]],Development_Data_Book[[DEVELOPMENT]:[PRIVATE MANAGEMENT]],26,FALSE)</f>
        <v>3.43</v>
      </c>
      <c r="BE259" s="106">
        <v>125970</v>
      </c>
      <c r="BF259" s="20">
        <f>VLOOKUP(Data[[#This Row],[DEVELOPMENT]],Development_Data_Book[[DEVELOPMENT]:[PRIVATE MANAGEMENT]],18,FALSE)</f>
        <v>383</v>
      </c>
      <c r="BG25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59" s="104" t="s">
        <v>2610</v>
      </c>
      <c r="BI259" t="s">
        <v>184</v>
      </c>
      <c r="BJ259" s="20">
        <f>VLOOKUP(Data[[#This Row],[DEVELOPMENT]],Development_Data_Book[[DEVELOPMENT]:[PRIVATE MANAGEMENT]],41,FALSE)</f>
        <v>1</v>
      </c>
      <c r="BK259" s="20">
        <f>VLOOKUP(Data[[#This Row],[DEVELOPMENT]],Development_Data_Book[[DEVELOPMENT]:[PRIVATE MANAGEMENT]],42,FALSE)</f>
        <v>15</v>
      </c>
      <c r="BL259" s="20">
        <f>VLOOKUP(Data[[#This Row],[DEVELOPMENT]],Development_Data_Book[[DEVELOPMENT]:[PRIVATE MANAGEMENT]],43,FALSE)</f>
        <v>32</v>
      </c>
      <c r="BM259" s="20">
        <f>VLOOKUP(Data[[#This Row],[DEVELOPMENT]],Development_Data_Book[[DEVELOPMENT]:[PRIVATE MANAGEMENT]],44,FALSE)</f>
        <v>79</v>
      </c>
      <c r="BN259" s="20">
        <f>VLOOKUP(Data[[#This Row],[DEVELOPMENT]],Development_Data_Book[[DEVELOPMENT]:[PRIVATE MANAGEMENT]],45,FALSE)</f>
        <v>17</v>
      </c>
      <c r="BO259" s="20">
        <f>VLOOKUP(Data[[#This Row],[DEVELOPMENT]],Development_Data_Book[[DEVELOPMENT]:[PRIVATE MANAGEMENT]],24,FALSE)</f>
        <v>3</v>
      </c>
    </row>
    <row r="260" spans="1:67">
      <c r="A260" t="s">
        <v>224</v>
      </c>
      <c r="B260" s="20" t="str">
        <f>VLOOKUP(Data[[#This Row],[DEVELOPMENT]],Development_Data_Book[[DEVELOPMENT]:[BOROUGH]],MATCH("borough",Development_Data_Book[[#Headers],[DEVELOPMENT]:[BOROUGH]],0),FALSE)</f>
        <v>QUEENS</v>
      </c>
      <c r="C260" s="20" t="e">
        <f>VLOOKUP(Data[[#This Row],[DEVELOPMENT]],'[1]Cheat-Sheet'!$D$2:$Q$341,2,FALSE)</f>
        <v>#N/A</v>
      </c>
      <c r="D26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60" s="20">
        <f>VLOOKUP(Data[[#This Row],[DEVELOPMENT]],Development_Data_Book[[DEVELOPMENT]:[BOROUGH]],21,FALSE)</f>
        <v>11</v>
      </c>
      <c r="F260" s="20">
        <f>VLOOKUP(Data[[#This Row],[DEVELOPMENT]],Development_Data_Book[[DEVELOPMENT]:[BOROUGH]],23,FALSE)</f>
        <v>33</v>
      </c>
      <c r="G260" s="20">
        <f>VLOOKUP(Data[[#This Row],[DEVELOPMENT]],Development_Data_Book[[DEVELOPMENT]:[BOROUGH]],12,FALSE)</f>
        <v>448</v>
      </c>
      <c r="J260">
        <f>IFERROR(VLOOKUP(Data[[#This Row],[DEVELOPMENT]],IntCompactors_MRST[],4,FALSE),0)</f>
        <v>33</v>
      </c>
      <c r="K260" s="20">
        <f>IFERROR(VLOOKUP(Data[[#This Row],[DEVELOPMENT]],ExtCompactors_MRST[],4,FALSE),0)</f>
        <v>4</v>
      </c>
      <c r="L260" s="27">
        <f>IF(Data[[#This Row],['# Interior Compactors MRST]]=0,"",VLOOKUP(Data[[#This Row],[DEVELOPMENT]],IntCompactors_MRST[],5,FALSE))</f>
        <v>37712</v>
      </c>
      <c r="M260" s="28">
        <f>IF(Data[[#This Row],['# Exterior Compactors MRST]]=0,"",VLOOKUP(Data[[#This Row],[DEVELOPMENT]],ExtCompactors_MRST[],5,FALSE))</f>
        <v>43040</v>
      </c>
      <c r="N260" s="20">
        <f>Data[[#This Row],['# Interior Compactors MRST]]</f>
        <v>33</v>
      </c>
      <c r="O260" s="20">
        <f>IF(Data[[#This Row],['# Bulk Crushers]]=0,1,0)</f>
        <v>1</v>
      </c>
      <c r="P260" s="20">
        <f>1</f>
        <v>1</v>
      </c>
      <c r="Q260" s="20">
        <f>1</f>
        <v>1</v>
      </c>
      <c r="R260" s="20">
        <f>1</f>
        <v>1</v>
      </c>
      <c r="S260" s="20">
        <f>1</f>
        <v>1</v>
      </c>
      <c r="T260" s="20">
        <f>IF(Data[[#This Row],[Sewershed]]="Newtown Creek",Data[[#This Row],[DUs]],0)</f>
        <v>0</v>
      </c>
      <c r="U26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6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6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60" s="82">
        <f>VLOOKUP(Data[[#This Row],[DEVELOPMENT]],Development_Data_Book[[DEVELOPMENT]:[BOROUGH]],3,FALSE)</f>
        <v>8</v>
      </c>
      <c r="Y260" s="20"/>
      <c r="Z260" s="20">
        <f>IFERROR(VLOOKUP(Data[[#This Row],[TDS]],ExtCompactors_PNA[[Development]:[0]],2,FALSE),0)</f>
        <v>0</v>
      </c>
      <c r="AA260" s="20">
        <f>IFERROR(VLOOKUP(Data[[#This Row],[TDS]],IntCompactors_PNA[[TDS]:[0]],2,FALSE),0)</f>
        <v>33</v>
      </c>
      <c r="AB260" s="20"/>
      <c r="AC260" s="20"/>
      <c r="AD260" s="20">
        <f>IFERROR(VLOOKUP(Data[[#This Row],[TDS]],ExtCompactors_PNA[[Development]:[0]],3,FALSE)+VLOOKUP(Data[[#This Row],[TDS]],ExtCompactors_PNA[[Development]:[0]],6,FALSE),0)</f>
        <v>0</v>
      </c>
      <c r="AE260" s="20">
        <f>IFERROR(VLOOKUP(Data[[#This Row],[TDS]],IntCompactors_PNA[[TDS]:[0]],3,FALSE)+VLOOKUP(Data[[#This Row],[TDS]],IntCompactors_PNA[[TDS]:[0]],6,FALSE),0)</f>
        <v>33</v>
      </c>
      <c r="AF260" s="20" t="e">
        <f>VLOOKUP(Data[[#This Row],[DEVELOPMENT]],[3]Developments!$A$2:$A$312,1,FALSE)</f>
        <v>#N/A</v>
      </c>
      <c r="AG260" s="20">
        <f>IFERROR(VLOOKUP(Data[[#This Row],[DEVELOPMENT]],Ops_Priorities_and_Data_Clean[[development]:[ifnoext_comment]],3,FALSE),"")</f>
        <v>2</v>
      </c>
      <c r="AH260" s="20">
        <f>IFERROR(VLOOKUP(Data[[#This Row],[DEVELOPMENT]],Ops_Priorities_and_Data_Clean[[development]:[ifnoext_comment]],4,FALSE),"")</f>
        <v>2</v>
      </c>
      <c r="AI260" s="20">
        <f>IFERROR(VLOOKUP(Data[[#This Row],[DEVELOPMENT]],Ops_Priorities_and_Data_Clean[[development]:[ifnoext_comment]],5,FALSE),"")</f>
        <v>1</v>
      </c>
      <c r="AJ260" s="20">
        <f>IFERROR(VLOOKUP(Data[[#This Row],[DEVELOPMENT]],Ops_Priorities_and_Data_Clean[[development]:[ifnoext_comment]],6,FALSE),"")</f>
        <v>0</v>
      </c>
      <c r="AK260" s="20">
        <f>IFERROR(VLOOKUP(Data[[#This Row],[DEVELOPMENT]],Ops_Priorities_and_Data_Clean[[development]:[ifnoext_comment]],7,FALSE),"")</f>
        <v>0</v>
      </c>
      <c r="AL260" s="20">
        <f>IFERROR(VLOOKUP(Data[[#This Row],[DEVELOPMENT]],Ops_Priorities_and_Data_Clean[[development]:[ifnoext_comment]],8,FALSE),"")</f>
        <v>1</v>
      </c>
      <c r="AM260" s="20">
        <f>IFERROR(VLOOKUP(Data[[#This Row],[DEVELOPMENT]],Ops_Priorities_and_Data_Clean[[development]:[ifnoext_comment]],9,FALSE),"")</f>
        <v>0</v>
      </c>
      <c r="AN260" s="20">
        <f>IFERROR(VLOOKUP(Data[[#This Row],[DEVELOPMENT]],Ops_Priorities_and_Data_Clean[[development]:[ifnoext_comment]],10,FALSE),"")</f>
        <v>4</v>
      </c>
      <c r="AO260" s="20">
        <f>IFERROR(VLOOKUP(Data[[#This Row],[DEVELOPMENT]],Ops_Priorities_and_Data_Clean[[development]:[ifnoext_comment]],11,FALSE),"")</f>
        <v>4</v>
      </c>
      <c r="AP260" s="20">
        <f>IFERROR(VLOOKUP(Data[[#This Row],[DEVELOPMENT]],Ops_Priorities_and_Data_Clean[[development]:[ifnoext_comment]],12,FALSE),"")</f>
        <v>4</v>
      </c>
      <c r="AQ260" s="20">
        <f>VLOOKUP(Data[[#This Row],[DEVELOPMENT]],Ops_Priorities_and_Data_Clean[[development]:[ifnoext_comment]],14,FALSE)</f>
        <v>0</v>
      </c>
      <c r="AR260" s="20">
        <f>VLOOKUP(Data[[#This Row],[DEVELOPMENT]],Ops_Priorities_and_Data_Clean[[development]:[ifnoext_comment]],15,FALSE)</f>
        <v>0</v>
      </c>
      <c r="AS260" s="20" t="str">
        <f>VLOOKUP(Data[[#This Row],[DEVELOPMENT]],Ops_Priorities_and_Data_Clean[[development]:[ifnoext_comment]],16,FALSE)</f>
        <v>NULL</v>
      </c>
      <c r="AT260" s="20" t="str">
        <f>VLOOKUP(Data[[#This Row],[DEVELOPMENT]],Ops_Priorities_and_Data_Clean[[development]:[ifnoext_comment]],17,FALSE)</f>
        <v>NULL</v>
      </c>
      <c r="AU260" s="20" t="str">
        <f>VLOOKUP(Data[[#This Row],[DEVELOPMENT]],Ops_Priorities_and_Data_Clean[[development]:[ifnoext_comment]],18,FALSE)</f>
        <v>NULL</v>
      </c>
      <c r="AV260" s="20" t="str">
        <f>VLOOKUP(Data[[#This Row],[DEVELOPMENT]],Ops_Priorities_and_Data_Clean[[development]:[ifnoext_comment]],19,FALSE)</f>
        <v>NULL</v>
      </c>
      <c r="AW260" s="20" t="str">
        <f>VLOOKUP(Data[[#This Row],[DEVELOPMENT]],Ops_Priorities_and_Data_Clean[[development]:[ifnoext_comment]],20,FALSE)</f>
        <v>NULL</v>
      </c>
      <c r="AX260" s="104" t="s">
        <v>2614</v>
      </c>
      <c r="AY260" s="104" t="s">
        <v>2168</v>
      </c>
      <c r="AZ260" s="20" t="str">
        <f>VLOOKUP(Data[[#This Row],[DEVELOPMENT]],Development_Data_Book[[DEVELOPMENT]:[PRIVATE MANAGEMENT]],8,FALSE)</f>
        <v>FEDERAL</v>
      </c>
      <c r="BA260" s="104" t="s">
        <v>2588</v>
      </c>
      <c r="BB260" s="20">
        <f>VLOOKUP(Data[[#This Row],[DEVELOPMENT]],Development_Data_Book[[DEVELOPMENT]:[PRIVATE MANAGEMENT]],22,FALSE)</f>
        <v>1</v>
      </c>
      <c r="BC260" s="20">
        <f>Data[[#This Row],[Non-Dwelling Buildings]]+Data[[#This Row],[Dwelling Buildings]]</f>
        <v>12</v>
      </c>
      <c r="BD260" s="20">
        <f>VLOOKUP(Data[[#This Row],[DEVELOPMENT]],Development_Data_Book[[DEVELOPMENT]:[PRIVATE MANAGEMENT]],26,FALSE)</f>
        <v>9.02</v>
      </c>
      <c r="BE260" s="106">
        <v>342626</v>
      </c>
      <c r="BF260" s="20">
        <f>VLOOKUP(Data[[#This Row],[DEVELOPMENT]],Development_Data_Book[[DEVELOPMENT]:[PRIVATE MANAGEMENT]],18,FALSE)</f>
        <v>841</v>
      </c>
      <c r="BG26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60" s="104" t="s">
        <v>2619</v>
      </c>
      <c r="BI260" t="s">
        <v>184</v>
      </c>
      <c r="BJ260" s="20">
        <f>VLOOKUP(Data[[#This Row],[DEVELOPMENT]],Development_Data_Book[[DEVELOPMENT]:[PRIVATE MANAGEMENT]],41,FALSE)</f>
        <v>12</v>
      </c>
      <c r="BK260" s="20">
        <f>VLOOKUP(Data[[#This Row],[DEVELOPMENT]],Development_Data_Book[[DEVELOPMENT]:[PRIVATE MANAGEMENT]],42,FALSE)</f>
        <v>5</v>
      </c>
      <c r="BL260" s="20" t="str">
        <f>VLOOKUP(Data[[#This Row],[DEVELOPMENT]],Development_Data_Book[[DEVELOPMENT]:[PRIVATE MANAGEMENT]],43,FALSE)</f>
        <v>10, 14</v>
      </c>
      <c r="BM260" s="20">
        <f>VLOOKUP(Data[[#This Row],[DEVELOPMENT]],Development_Data_Book[[DEVELOPMENT]:[PRIVATE MANAGEMENT]],44,FALSE)</f>
        <v>32</v>
      </c>
      <c r="BN260" s="20">
        <f>VLOOKUP(Data[[#This Row],[DEVELOPMENT]],Development_Data_Book[[DEVELOPMENT]:[PRIVATE MANAGEMENT]],45,FALSE)</f>
        <v>28</v>
      </c>
      <c r="BO260" s="20">
        <f>VLOOKUP(Data[[#This Row],[DEVELOPMENT]],Development_Data_Book[[DEVELOPMENT]:[PRIVATE MANAGEMENT]],24,FALSE)</f>
        <v>43528</v>
      </c>
    </row>
    <row r="261" spans="1:67">
      <c r="A261" t="s">
        <v>269</v>
      </c>
      <c r="B261" s="20" t="str">
        <f>VLOOKUP(Data[[#This Row],[DEVELOPMENT]],Development_Data_Book[[DEVELOPMENT]:[BOROUGH]],MATCH("borough",Development_Data_Book[[#Headers],[DEVELOPMENT]:[BOROUGH]],0),FALSE)</f>
        <v>QUEENS</v>
      </c>
      <c r="C261" s="20" t="e">
        <f>VLOOKUP(Data[[#This Row],[DEVELOPMENT]],'[1]Cheat-Sheet'!$D$2:$Q$341,2,FALSE)</f>
        <v>#N/A</v>
      </c>
      <c r="D26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61" s="20">
        <f>VLOOKUP(Data[[#This Row],[DEVELOPMENT]],Development_Data_Book[[DEVELOPMENT]:[BOROUGH]],21,FALSE)</f>
        <v>16</v>
      </c>
      <c r="F261" s="20">
        <f>VLOOKUP(Data[[#This Row],[DEVELOPMENT]],Development_Data_Book[[DEVELOPMENT]:[BOROUGH]],23,FALSE)</f>
        <v>27</v>
      </c>
      <c r="G261" s="20">
        <f>VLOOKUP(Data[[#This Row],[DEVELOPMENT]],Development_Data_Book[[DEVELOPMENT]:[BOROUGH]],12,FALSE)</f>
        <v>598</v>
      </c>
      <c r="J261">
        <f>IFERROR(VLOOKUP(Data[[#This Row],[DEVELOPMENT]],IntCompactors_MRST[],4,FALSE),0)</f>
        <v>27</v>
      </c>
      <c r="K261" s="20">
        <f>IFERROR(VLOOKUP(Data[[#This Row],[DEVELOPMENT]],ExtCompactors_MRST[],4,FALSE),0)</f>
        <v>0</v>
      </c>
      <c r="L261" s="27">
        <f>IF(Data[[#This Row],['# Interior Compactors MRST]]=0,"",VLOOKUP(Data[[#This Row],[DEVELOPMENT]],IntCompactors_MRST[],5,FALSE))</f>
        <v>37712</v>
      </c>
      <c r="M261" s="28" t="str">
        <f>IF(Data[[#This Row],['# Exterior Compactors MRST]]=0,"",VLOOKUP(Data[[#This Row],[DEVELOPMENT]],ExtCompactors_MRST[],5,FALSE))</f>
        <v/>
      </c>
      <c r="N261" s="20">
        <f>Data[[#This Row],['# Interior Compactors MRST]]</f>
        <v>27</v>
      </c>
      <c r="O261" s="20">
        <f>IF(Data[[#This Row],['# Bulk Crushers]]=0,1,0)</f>
        <v>1</v>
      </c>
      <c r="P261" s="20">
        <f>1</f>
        <v>1</v>
      </c>
      <c r="Q261" s="20">
        <f>1</f>
        <v>1</v>
      </c>
      <c r="R261" s="20">
        <f>1</f>
        <v>1</v>
      </c>
      <c r="S261" s="20">
        <f>1</f>
        <v>1</v>
      </c>
      <c r="T261" s="20">
        <f>IF(Data[[#This Row],[Sewershed]]="Newtown Creek",Data[[#This Row],[DUs]],0)</f>
        <v>0</v>
      </c>
      <c r="U26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6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6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61" s="82">
        <f>VLOOKUP(Data[[#This Row],[DEVELOPMENT]],Development_Data_Book[[DEVELOPMENT]:[BOROUGH]],3,FALSE)</f>
        <v>66</v>
      </c>
      <c r="Y261" s="20"/>
      <c r="Z261" s="20">
        <f>IFERROR(VLOOKUP(Data[[#This Row],[TDS]],ExtCompactors_PNA[[Development]:[0]],2,FALSE),0)</f>
        <v>4</v>
      </c>
      <c r="AA261" s="20">
        <f>IFERROR(VLOOKUP(Data[[#This Row],[TDS]],IntCompactors_PNA[[TDS]:[0]],2,FALSE),0)</f>
        <v>27</v>
      </c>
      <c r="AB261" s="20"/>
      <c r="AC261" s="20"/>
      <c r="AD261" s="20">
        <f>IFERROR(VLOOKUP(Data[[#This Row],[TDS]],ExtCompactors_PNA[[Development]:[0]],3,FALSE)+VLOOKUP(Data[[#This Row],[TDS]],ExtCompactors_PNA[[Development]:[0]],6,FALSE),0)</f>
        <v>4</v>
      </c>
      <c r="AE261" s="20">
        <f>IFERROR(VLOOKUP(Data[[#This Row],[TDS]],IntCompactors_PNA[[TDS]:[0]],3,FALSE)+VLOOKUP(Data[[#This Row],[TDS]],IntCompactors_PNA[[TDS]:[0]],6,FALSE),0)</f>
        <v>27</v>
      </c>
      <c r="AF261" s="20" t="e">
        <f>VLOOKUP(Data[[#This Row],[DEVELOPMENT]],[3]Developments!$A$2:$A$312,1,FALSE)</f>
        <v>#N/A</v>
      </c>
      <c r="AG261" s="20">
        <f>IFERROR(VLOOKUP(Data[[#This Row],[DEVELOPMENT]],Ops_Priorities_and_Data_Clean[[development]:[ifnoext_comment]],3,FALSE),"")</f>
        <v>2</v>
      </c>
      <c r="AH261" s="20">
        <f>IFERROR(VLOOKUP(Data[[#This Row],[DEVELOPMENT]],Ops_Priorities_and_Data_Clean[[development]:[ifnoext_comment]],4,FALSE),"")</f>
        <v>2</v>
      </c>
      <c r="AI261" s="20">
        <f>IFERROR(VLOOKUP(Data[[#This Row],[DEVELOPMENT]],Ops_Priorities_and_Data_Clean[[development]:[ifnoext_comment]],5,FALSE),"")</f>
        <v>1</v>
      </c>
      <c r="AJ261" s="20">
        <f>IFERROR(VLOOKUP(Data[[#This Row],[DEVELOPMENT]],Ops_Priorities_and_Data_Clean[[development]:[ifnoext_comment]],6,FALSE),"")</f>
        <v>0</v>
      </c>
      <c r="AK261" s="20">
        <f>IFERROR(VLOOKUP(Data[[#This Row],[DEVELOPMENT]],Ops_Priorities_and_Data_Clean[[development]:[ifnoext_comment]],7,FALSE),"")</f>
        <v>0</v>
      </c>
      <c r="AL261" s="20">
        <f>IFERROR(VLOOKUP(Data[[#This Row],[DEVELOPMENT]],Ops_Priorities_and_Data_Clean[[development]:[ifnoext_comment]],8,FALSE),"")</f>
        <v>1</v>
      </c>
      <c r="AM261" s="20">
        <f>IFERROR(VLOOKUP(Data[[#This Row],[DEVELOPMENT]],Ops_Priorities_and_Data_Clean[[development]:[ifnoext_comment]],9,FALSE),"")</f>
        <v>0</v>
      </c>
      <c r="AN261" s="20">
        <f>IFERROR(VLOOKUP(Data[[#This Row],[DEVELOPMENT]],Ops_Priorities_and_Data_Clean[[development]:[ifnoext_comment]],10,FALSE),"")</f>
        <v>2</v>
      </c>
      <c r="AO261" s="20">
        <f>IFERROR(VLOOKUP(Data[[#This Row],[DEVELOPMENT]],Ops_Priorities_and_Data_Clean[[development]:[ifnoext_comment]],11,FALSE),"")</f>
        <v>0</v>
      </c>
      <c r="AP261" s="20">
        <f>IFERROR(VLOOKUP(Data[[#This Row],[DEVELOPMENT]],Ops_Priorities_and_Data_Clean[[development]:[ifnoext_comment]],12,FALSE),"")</f>
        <v>0</v>
      </c>
      <c r="AQ261" s="20">
        <f>VLOOKUP(Data[[#This Row],[DEVELOPMENT]],Ops_Priorities_and_Data_Clean[[development]:[ifnoext_comment]],14,FALSE)</f>
        <v>0</v>
      </c>
      <c r="AR261" s="20">
        <f>VLOOKUP(Data[[#This Row],[DEVELOPMENT]],Ops_Priorities_and_Data_Clean[[development]:[ifnoext_comment]],15,FALSE)</f>
        <v>0</v>
      </c>
      <c r="AS261" s="20" t="str">
        <f>VLOOKUP(Data[[#This Row],[DEVELOPMENT]],Ops_Priorities_and_Data_Clean[[development]:[ifnoext_comment]],16,FALSE)</f>
        <v>NULL</v>
      </c>
      <c r="AT261" s="20" t="str">
        <f>VLOOKUP(Data[[#This Row],[DEVELOPMENT]],Ops_Priorities_and_Data_Clean[[development]:[ifnoext_comment]],17,FALSE)</f>
        <v>NULL</v>
      </c>
      <c r="AU261" s="20" t="str">
        <f>VLOOKUP(Data[[#This Row],[DEVELOPMENT]],Ops_Priorities_and_Data_Clean[[development]:[ifnoext_comment]],18,FALSE)</f>
        <v>NULL</v>
      </c>
      <c r="AV261" s="20" t="str">
        <f>VLOOKUP(Data[[#This Row],[DEVELOPMENT]],Ops_Priorities_and_Data_Clean[[development]:[ifnoext_comment]],19,FALSE)</f>
        <v>NULL</v>
      </c>
      <c r="AW261" s="20" t="str">
        <f>VLOOKUP(Data[[#This Row],[DEVELOPMENT]],Ops_Priorities_and_Data_Clean[[development]:[ifnoext_comment]],20,FALSE)</f>
        <v xml:space="preserve">they're on the border lines of south jamaica I and ii, but we are calling it for south jamaica 1. </v>
      </c>
      <c r="AX261" s="104" t="s">
        <v>2614</v>
      </c>
      <c r="AY261" s="104" t="s">
        <v>2168</v>
      </c>
      <c r="AZ261" s="20" t="str">
        <f>VLOOKUP(Data[[#This Row],[DEVELOPMENT]],Development_Data_Book[[DEVELOPMENT]:[PRIVATE MANAGEMENT]],8,FALSE)</f>
        <v>FEDERAL</v>
      </c>
      <c r="BA261" s="104" t="s">
        <v>2613</v>
      </c>
      <c r="BB261" s="20">
        <f>VLOOKUP(Data[[#This Row],[DEVELOPMENT]],Development_Data_Book[[DEVELOPMENT]:[PRIVATE MANAGEMENT]],22,FALSE)</f>
        <v>0</v>
      </c>
      <c r="BC261" s="20">
        <f>Data[[#This Row],[Non-Dwelling Buildings]]+Data[[#This Row],[Dwelling Buildings]]</f>
        <v>16</v>
      </c>
      <c r="BD261" s="20">
        <f>VLOOKUP(Data[[#This Row],[DEVELOPMENT]],Development_Data_Book[[DEVELOPMENT]:[PRIVATE MANAGEMENT]],26,FALSE)</f>
        <v>13.3</v>
      </c>
      <c r="BE261" s="106">
        <v>658918</v>
      </c>
      <c r="BF261" s="20">
        <f>VLOOKUP(Data[[#This Row],[DEVELOPMENT]],Development_Data_Book[[DEVELOPMENT]:[PRIVATE MANAGEMENT]],18,FALSE)</f>
        <v>1449</v>
      </c>
      <c r="BG26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61" s="104" t="s">
        <v>2619</v>
      </c>
      <c r="BI261" t="s">
        <v>184</v>
      </c>
      <c r="BJ261" s="20">
        <f>VLOOKUP(Data[[#This Row],[DEVELOPMENT]],Development_Data_Book[[DEVELOPMENT]:[PRIVATE MANAGEMENT]],41,FALSE)</f>
        <v>12</v>
      </c>
      <c r="BK261" s="20">
        <f>VLOOKUP(Data[[#This Row],[DEVELOPMENT]],Development_Data_Book[[DEVELOPMENT]:[PRIVATE MANAGEMENT]],42,FALSE)</f>
        <v>5</v>
      </c>
      <c r="BL261" s="20" t="str">
        <f>VLOOKUP(Data[[#This Row],[DEVELOPMENT]],Development_Data_Book[[DEVELOPMENT]:[PRIVATE MANAGEMENT]],43,FALSE)</f>
        <v>10, 14</v>
      </c>
      <c r="BM261" s="20">
        <f>VLOOKUP(Data[[#This Row],[DEVELOPMENT]],Development_Data_Book[[DEVELOPMENT]:[PRIVATE MANAGEMENT]],44,FALSE)</f>
        <v>32</v>
      </c>
      <c r="BN261" s="20">
        <f>VLOOKUP(Data[[#This Row],[DEVELOPMENT]],Development_Data_Book[[DEVELOPMENT]:[PRIVATE MANAGEMENT]],45,FALSE)</f>
        <v>28</v>
      </c>
      <c r="BO261" s="20">
        <f>VLOOKUP(Data[[#This Row],[DEVELOPMENT]],Development_Data_Book[[DEVELOPMENT]:[PRIVATE MANAGEMENT]],24,FALSE)</f>
        <v>43531</v>
      </c>
    </row>
    <row r="262" spans="1:67">
      <c r="A262" t="s">
        <v>364</v>
      </c>
      <c r="B262" s="20" t="str">
        <f>VLOOKUP(Data[[#This Row],[DEVELOPMENT]],Development_Data_Book[[DEVELOPMENT]:[BOROUGH]],MATCH("borough",Development_Data_Book[[#Headers],[DEVELOPMENT]:[BOROUGH]],0),FALSE)</f>
        <v>MANHATTAN</v>
      </c>
      <c r="C262" s="20" t="e">
        <f>VLOOKUP(Data[[#This Row],[DEVELOPMENT]],'[1]Cheat-Sheet'!$D$2:$Q$341,2,FALSE)</f>
        <v>#N/A</v>
      </c>
      <c r="D26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62" s="20">
        <f>VLOOKUP(Data[[#This Row],[DEVELOPMENT]],Development_Data_Book[[DEVELOPMENT]:[BOROUGH]],21,FALSE)</f>
        <v>1</v>
      </c>
      <c r="F262" s="20">
        <f>VLOOKUP(Data[[#This Row],[DEVELOPMENT]],Development_Data_Book[[DEVELOPMENT]:[BOROUGH]],23,FALSE)</f>
        <v>1</v>
      </c>
      <c r="G262" s="20">
        <f>VLOOKUP(Data[[#This Row],[DEVELOPMENT]],Development_Data_Book[[DEVELOPMENT]:[BOROUGH]],12,FALSE)</f>
        <v>13</v>
      </c>
      <c r="J262">
        <f>IFERROR(VLOOKUP(Data[[#This Row],[DEVELOPMENT]],IntCompactors_MRST[],4,FALSE),0)</f>
        <v>0</v>
      </c>
      <c r="K262" s="20">
        <f>IFERROR(VLOOKUP(Data[[#This Row],[DEVELOPMENT]],ExtCompactors_MRST[],4,FALSE),0)</f>
        <v>0</v>
      </c>
      <c r="L262" s="27" t="str">
        <f>IF(Data[[#This Row],['# Interior Compactors MRST]]=0,"",VLOOKUP(Data[[#This Row],[DEVELOPMENT]],IntCompactors_MRST[],5,FALSE))</f>
        <v/>
      </c>
      <c r="M262" s="28" t="str">
        <f>IF(Data[[#This Row],['# Exterior Compactors MRST]]=0,"",VLOOKUP(Data[[#This Row],[DEVELOPMENT]],ExtCompactors_MRST[],5,FALSE))</f>
        <v/>
      </c>
      <c r="N262" s="20">
        <f>Data[[#This Row],['# Interior Compactors MRST]]</f>
        <v>0</v>
      </c>
      <c r="O262" s="20">
        <f>IF(Data[[#This Row],['# Bulk Crushers]]=0,1,0)</f>
        <v>1</v>
      </c>
      <c r="P262" s="20">
        <f>1</f>
        <v>1</v>
      </c>
      <c r="Q262" s="20">
        <f>1</f>
        <v>1</v>
      </c>
      <c r="R262" s="20">
        <f>1</f>
        <v>1</v>
      </c>
      <c r="S262" s="20">
        <f>1</f>
        <v>1</v>
      </c>
      <c r="T262" s="20">
        <f>IF(Data[[#This Row],[Sewershed]]="Newtown Creek",Data[[#This Row],[DUs]],0)</f>
        <v>13</v>
      </c>
      <c r="U26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6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6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62" s="82">
        <f>VLOOKUP(Data[[#This Row],[DEVELOPMENT]],Development_Data_Book[[DEVELOPMENT]:[BOROUGH]],3,FALSE)</f>
        <v>559</v>
      </c>
      <c r="Y262" s="20" t="s">
        <v>2599</v>
      </c>
      <c r="Z262" s="20">
        <f>IFERROR(VLOOKUP(Data[[#This Row],[TDS]],ExtCompactors_PNA[[Development]:[0]],2,FALSE),0)</f>
        <v>0</v>
      </c>
      <c r="AA262" s="20">
        <f>IFERROR(VLOOKUP(Data[[#This Row],[TDS]],IntCompactors_PNA[[TDS]:[0]],2,FALSE),0)</f>
        <v>1</v>
      </c>
      <c r="AB262" s="20"/>
      <c r="AC262" s="20"/>
      <c r="AD262" s="20">
        <f>IFERROR(VLOOKUP(Data[[#This Row],[TDS]],ExtCompactors_PNA[[Development]:[0]],3,FALSE)+VLOOKUP(Data[[#This Row],[TDS]],ExtCompactors_PNA[[Development]:[0]],6,FALSE),0)</f>
        <v>0</v>
      </c>
      <c r="AE262" s="20">
        <f>IFERROR(VLOOKUP(Data[[#This Row],[TDS]],IntCompactors_PNA[[TDS]:[0]],3,FALSE)+VLOOKUP(Data[[#This Row],[TDS]],IntCompactors_PNA[[TDS]:[0]],6,FALSE),0)</f>
        <v>1</v>
      </c>
      <c r="AF262" s="20" t="e">
        <f>VLOOKUP(Data[[#This Row],[DEVELOPMENT]],[3]Developments!$A$2:$A$312,1,FALSE)</f>
        <v>#N/A</v>
      </c>
      <c r="AG262" s="20">
        <f>IFERROR(VLOOKUP(Data[[#This Row],[DEVELOPMENT]],Ops_Priorities_and_Data_Clean[[development]:[ifnoext_comment]],3,FALSE),"")</f>
        <v>0</v>
      </c>
      <c r="AH262" s="20">
        <f>IFERROR(VLOOKUP(Data[[#This Row],[DEVELOPMENT]],Ops_Priorities_and_Data_Clean[[development]:[ifnoext_comment]],4,FALSE),"")</f>
        <v>0</v>
      </c>
      <c r="AI262" s="20">
        <f>IFERROR(VLOOKUP(Data[[#This Row],[DEVELOPMENT]],Ops_Priorities_and_Data_Clean[[development]:[ifnoext_comment]],5,FALSE),"")</f>
        <v>0</v>
      </c>
      <c r="AJ262" s="20">
        <f>IFERROR(VLOOKUP(Data[[#This Row],[DEVELOPMENT]],Ops_Priorities_and_Data_Clean[[development]:[ifnoext_comment]],6,FALSE),"")</f>
        <v>0</v>
      </c>
      <c r="AK262" s="20">
        <f>IFERROR(VLOOKUP(Data[[#This Row],[DEVELOPMENT]],Ops_Priorities_and_Data_Clean[[development]:[ifnoext_comment]],7,FALSE),"")</f>
        <v>1</v>
      </c>
      <c r="AL262" s="20">
        <f>IFERROR(VLOOKUP(Data[[#This Row],[DEVELOPMENT]],Ops_Priorities_and_Data_Clean[[development]:[ifnoext_comment]],8,FALSE),"")</f>
        <v>1</v>
      </c>
      <c r="AM262" s="20">
        <f>IFERROR(VLOOKUP(Data[[#This Row],[DEVELOPMENT]],Ops_Priorities_and_Data_Clean[[development]:[ifnoext_comment]],9,FALSE),"")</f>
        <v>0</v>
      </c>
      <c r="AN262" s="20">
        <f>IFERROR(VLOOKUP(Data[[#This Row],[DEVELOPMENT]],Ops_Priorities_and_Data_Clean[[development]:[ifnoext_comment]],10,FALSE),"")</f>
        <v>0</v>
      </c>
      <c r="AO262" s="20">
        <f>IFERROR(VLOOKUP(Data[[#This Row],[DEVELOPMENT]],Ops_Priorities_and_Data_Clean[[development]:[ifnoext_comment]],11,FALSE),"")</f>
        <v>0</v>
      </c>
      <c r="AP262" s="20">
        <f>IFERROR(VLOOKUP(Data[[#This Row],[DEVELOPMENT]],Ops_Priorities_and_Data_Clean[[development]:[ifnoext_comment]],12,FALSE),"")</f>
        <v>0</v>
      </c>
      <c r="AQ262" s="20">
        <f>VLOOKUP(Data[[#This Row],[DEVELOPMENT]],Ops_Priorities_and_Data_Clean[[development]:[ifnoext_comment]],14,FALSE)</f>
        <v>1</v>
      </c>
      <c r="AR262" s="20">
        <f>VLOOKUP(Data[[#This Row],[DEVELOPMENT]],Ops_Priorities_and_Data_Clean[[development]:[ifnoext_comment]],15,FALSE)</f>
        <v>0</v>
      </c>
      <c r="AS262" s="20" t="str">
        <f>VLOOKUP(Data[[#This Row],[DEVELOPMENT]],Ops_Priorities_and_Data_Clean[[development]:[ifnoext_comment]],16,FALSE)</f>
        <v>NULL</v>
      </c>
      <c r="AT262" s="20" t="str">
        <f>VLOOKUP(Data[[#This Row],[DEVELOPMENT]],Ops_Priorities_and_Data_Clean[[development]:[ifnoext_comment]],17,FALSE)</f>
        <v>NULL</v>
      </c>
      <c r="AU262" s="20" t="str">
        <f>VLOOKUP(Data[[#This Row],[DEVELOPMENT]],Ops_Priorities_and_Data_Clean[[development]:[ifnoext_comment]],18,FALSE)</f>
        <v>NULL</v>
      </c>
      <c r="AV262" s="20" t="str">
        <f>VLOOKUP(Data[[#This Row],[DEVELOPMENT]],Ops_Priorities_and_Data_Clean[[development]:[ifnoext_comment]],19,FALSE)</f>
        <v>NULL</v>
      </c>
      <c r="AW262" s="20" t="str">
        <f>VLOOKUP(Data[[#This Row],[DEVELOPMENT]],Ops_Priorities_and_Data_Clean[[development]:[ifnoext_comment]],20,FALSE)</f>
        <v>NULL</v>
      </c>
      <c r="AX262" s="104" t="s">
        <v>2596</v>
      </c>
      <c r="AY262" s="104" t="s">
        <v>2160</v>
      </c>
      <c r="AZ262" s="20" t="str">
        <f>VLOOKUP(Data[[#This Row],[DEVELOPMENT]],Development_Data_Book[[DEVELOPMENT]:[PRIVATE MANAGEMENT]],8,FALSE)</f>
        <v>FEDERAL</v>
      </c>
      <c r="BA262" s="104" t="s">
        <v>2586</v>
      </c>
      <c r="BB262" s="20">
        <f>VLOOKUP(Data[[#This Row],[DEVELOPMENT]],Development_Data_Book[[DEVELOPMENT]:[PRIVATE MANAGEMENT]],22,FALSE)</f>
        <v>0</v>
      </c>
      <c r="BC262" s="20">
        <f>Data[[#This Row],[Non-Dwelling Buildings]]+Data[[#This Row],[Dwelling Buildings]]</f>
        <v>1</v>
      </c>
      <c r="BD262" s="20">
        <f>VLOOKUP(Data[[#This Row],[DEVELOPMENT]],Development_Data_Book[[DEVELOPMENT]:[PRIVATE MANAGEMENT]],26,FALSE)</f>
        <v>0.11</v>
      </c>
      <c r="BE262" s="106">
        <v>19700</v>
      </c>
      <c r="BF262" s="20">
        <f>VLOOKUP(Data[[#This Row],[DEVELOPMENT]],Development_Data_Book[[DEVELOPMENT]:[PRIVATE MANAGEMENT]],18,FALSE)</f>
        <v>35</v>
      </c>
      <c r="BG26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62" s="104" t="s">
        <v>2607</v>
      </c>
      <c r="BI262" t="s">
        <v>184</v>
      </c>
      <c r="BJ262" s="20">
        <f>VLOOKUP(Data[[#This Row],[DEVELOPMENT]],Development_Data_Book[[DEVELOPMENT]:[PRIVATE MANAGEMENT]],41,FALSE)</f>
        <v>3</v>
      </c>
      <c r="BK262" s="20">
        <f>VLOOKUP(Data[[#This Row],[DEVELOPMENT]],Development_Data_Book[[DEVELOPMENT]:[PRIVATE MANAGEMENT]],42,FALSE)</f>
        <v>12</v>
      </c>
      <c r="BL262" s="20">
        <f>VLOOKUP(Data[[#This Row],[DEVELOPMENT]],Development_Data_Book[[DEVELOPMENT]:[PRIVATE MANAGEMENT]],43,FALSE)</f>
        <v>26</v>
      </c>
      <c r="BM262" s="20">
        <f>VLOOKUP(Data[[#This Row],[DEVELOPMENT]],Development_Data_Book[[DEVELOPMENT]:[PRIVATE MANAGEMENT]],44,FALSE)</f>
        <v>65</v>
      </c>
      <c r="BN262" s="20">
        <f>VLOOKUP(Data[[#This Row],[DEVELOPMENT]],Development_Data_Book[[DEVELOPMENT]:[PRIVATE MANAGEMENT]],45,FALSE)</f>
        <v>1</v>
      </c>
      <c r="BO262" s="20">
        <f>VLOOKUP(Data[[#This Row],[DEVELOPMENT]],Development_Data_Book[[DEVELOPMENT]:[PRIVATE MANAGEMENT]],24,FALSE)</f>
        <v>6</v>
      </c>
    </row>
    <row r="263" spans="1:67">
      <c r="A263" t="s">
        <v>365</v>
      </c>
      <c r="B263" s="20" t="str">
        <f>VLOOKUP(Data[[#This Row],[DEVELOPMENT]],Development_Data_Book[[DEVELOPMENT]:[BOROUGH]],MATCH("borough",Development_Data_Book[[#Headers],[DEVELOPMENT]:[BOROUGH]],0),FALSE)</f>
        <v>STATEN ISLAND</v>
      </c>
      <c r="C263" s="20" t="e">
        <f>VLOOKUP(Data[[#This Row],[DEVELOPMENT]],'[1]Cheat-Sheet'!$D$2:$Q$341,2,FALSE)</f>
        <v>#N/A</v>
      </c>
      <c r="D26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63" s="20">
        <f>VLOOKUP(Data[[#This Row],[DEVELOPMENT]],Development_Data_Book[[DEVELOPMENT]:[BOROUGH]],21,FALSE)</f>
        <v>6</v>
      </c>
      <c r="F263" s="20">
        <f>VLOOKUP(Data[[#This Row],[DEVELOPMENT]],Development_Data_Book[[DEVELOPMENT]:[BOROUGH]],23,FALSE)</f>
        <v>12</v>
      </c>
      <c r="G263" s="20">
        <f>VLOOKUP(Data[[#This Row],[DEVELOPMENT]],Development_Data_Book[[DEVELOPMENT]:[BOROUGH]],12,FALSE)</f>
        <v>693</v>
      </c>
      <c r="J263">
        <f>IFERROR(VLOOKUP(Data[[#This Row],[DEVELOPMENT]],IntCompactors_MRST[],4,FALSE),0)</f>
        <v>12</v>
      </c>
      <c r="K263" s="20">
        <f>IFERROR(VLOOKUP(Data[[#This Row],[DEVELOPMENT]],ExtCompactors_MRST[],4,FALSE),0)</f>
        <v>2</v>
      </c>
      <c r="L263" s="27">
        <f>IF(Data[[#This Row],['# Interior Compactors MRST]]=0,"",VLOOKUP(Data[[#This Row],[DEVELOPMENT]],IntCompactors_MRST[],5,FALSE))</f>
        <v>38353</v>
      </c>
      <c r="M263" s="28">
        <f>IF(Data[[#This Row],['# Exterior Compactors MRST]]=0,"",VLOOKUP(Data[[#This Row],[DEVELOPMENT]],ExtCompactors_MRST[],5,FALSE))</f>
        <v>37326</v>
      </c>
      <c r="N263" s="20">
        <f>Data[[#This Row],['# Interior Compactors MRST]]</f>
        <v>12</v>
      </c>
      <c r="O263" s="20">
        <f>IF(Data[[#This Row],['# Bulk Crushers]]=0,1,0)</f>
        <v>1</v>
      </c>
      <c r="P263" s="20">
        <f>1</f>
        <v>1</v>
      </c>
      <c r="Q263" s="20">
        <f>1</f>
        <v>1</v>
      </c>
      <c r="R263" s="20">
        <f>1</f>
        <v>1</v>
      </c>
      <c r="S263" s="20">
        <f>1</f>
        <v>1</v>
      </c>
      <c r="T263" s="20">
        <f>IF(Data[[#This Row],[Sewershed]]="Newtown Creek",Data[[#This Row],[DUs]],0)</f>
        <v>0</v>
      </c>
      <c r="U26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6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6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63" s="82">
        <f>VLOOKUP(Data[[#This Row],[DEVELOPMENT]],Development_Data_Book[[DEVELOPMENT]:[BOROUGH]],3,FALSE)</f>
        <v>114</v>
      </c>
      <c r="Y263" s="20"/>
      <c r="Z263" s="20">
        <f>IFERROR(VLOOKUP(Data[[#This Row],[TDS]],ExtCompactors_PNA[[Development]:[0]],2,FALSE),0)</f>
        <v>2</v>
      </c>
      <c r="AA263" s="20">
        <f>IFERROR(VLOOKUP(Data[[#This Row],[TDS]],IntCompactors_PNA[[TDS]:[0]],2,FALSE),0)</f>
        <v>12</v>
      </c>
      <c r="AB263" s="20"/>
      <c r="AC263" s="20"/>
      <c r="AD263" s="20">
        <f>IFERROR(VLOOKUP(Data[[#This Row],[TDS]],ExtCompactors_PNA[[Development]:[0]],3,FALSE)+VLOOKUP(Data[[#This Row],[TDS]],ExtCompactors_PNA[[Development]:[0]],6,FALSE),0)</f>
        <v>2</v>
      </c>
      <c r="AE263" s="20">
        <f>IFERROR(VLOOKUP(Data[[#This Row],[TDS]],IntCompactors_PNA[[TDS]:[0]],3,FALSE)+VLOOKUP(Data[[#This Row],[TDS]],IntCompactors_PNA[[TDS]:[0]],6,FALSE),0)</f>
        <v>12</v>
      </c>
      <c r="AF263" s="20" t="e">
        <f>VLOOKUP(Data[[#This Row],[DEVELOPMENT]],[3]Developments!$A$2:$A$312,1,FALSE)</f>
        <v>#N/A</v>
      </c>
      <c r="AG263" s="20">
        <f>IFERROR(VLOOKUP(Data[[#This Row],[DEVELOPMENT]],Ops_Priorities_and_Data_Clean[[development]:[ifnoext_comment]],3,FALSE),"")</f>
        <v>2</v>
      </c>
      <c r="AH263" s="20">
        <f>IFERROR(VLOOKUP(Data[[#This Row],[DEVELOPMENT]],Ops_Priorities_and_Data_Clean[[development]:[ifnoext_comment]],4,FALSE),"")</f>
        <v>0</v>
      </c>
      <c r="AI263" s="20">
        <f>IFERROR(VLOOKUP(Data[[#This Row],[DEVELOPMENT]],Ops_Priorities_and_Data_Clean[[development]:[ifnoext_comment]],5,FALSE),"")</f>
        <v>1</v>
      </c>
      <c r="AJ263" s="20">
        <f>IFERROR(VLOOKUP(Data[[#This Row],[DEVELOPMENT]],Ops_Priorities_and_Data_Clean[[development]:[ifnoext_comment]],6,FALSE),"")</f>
        <v>0</v>
      </c>
      <c r="AK263" s="20">
        <f>IFERROR(VLOOKUP(Data[[#This Row],[DEVELOPMENT]],Ops_Priorities_and_Data_Clean[[development]:[ifnoext_comment]],7,FALSE),"")</f>
        <v>0</v>
      </c>
      <c r="AL263" s="20">
        <f>IFERROR(VLOOKUP(Data[[#This Row],[DEVELOPMENT]],Ops_Priorities_and_Data_Clean[[development]:[ifnoext_comment]],8,FALSE),"")</f>
        <v>1</v>
      </c>
      <c r="AM263" s="20">
        <f>IFERROR(VLOOKUP(Data[[#This Row],[DEVELOPMENT]],Ops_Priorities_and_Data_Clean[[development]:[ifnoext_comment]],9,FALSE),"")</f>
        <v>0</v>
      </c>
      <c r="AN263" s="20">
        <f>IFERROR(VLOOKUP(Data[[#This Row],[DEVELOPMENT]],Ops_Priorities_and_Data_Clean[[development]:[ifnoext_comment]],10,FALSE),"")</f>
        <v>2</v>
      </c>
      <c r="AO263" s="20">
        <f>IFERROR(VLOOKUP(Data[[#This Row],[DEVELOPMENT]],Ops_Priorities_and_Data_Clean[[development]:[ifnoext_comment]],11,FALSE),"")</f>
        <v>2</v>
      </c>
      <c r="AP263" s="20">
        <f>IFERROR(VLOOKUP(Data[[#This Row],[DEVELOPMENT]],Ops_Priorities_and_Data_Clean[[development]:[ifnoext_comment]],12,FALSE),"")</f>
        <v>2</v>
      </c>
      <c r="AQ263" s="20">
        <f>VLOOKUP(Data[[#This Row],[DEVELOPMENT]],Ops_Priorities_and_Data_Clean[[development]:[ifnoext_comment]],14,FALSE)</f>
        <v>0</v>
      </c>
      <c r="AR263" s="20">
        <f>VLOOKUP(Data[[#This Row],[DEVELOPMENT]],Ops_Priorities_and_Data_Clean[[development]:[ifnoext_comment]],15,FALSE)</f>
        <v>0</v>
      </c>
      <c r="AS263" s="20" t="str">
        <f>VLOOKUP(Data[[#This Row],[DEVELOPMENT]],Ops_Priorities_and_Data_Clean[[development]:[ifnoext_comment]],16,FALSE)</f>
        <v>NULL</v>
      </c>
      <c r="AT263" s="20" t="str">
        <f>VLOOKUP(Data[[#This Row],[DEVELOPMENT]],Ops_Priorities_and_Data_Clean[[development]:[ifnoext_comment]],17,FALSE)</f>
        <v>NULL</v>
      </c>
      <c r="AU263" s="20" t="str">
        <f>VLOOKUP(Data[[#This Row],[DEVELOPMENT]],Ops_Priorities_and_Data_Clean[[development]:[ifnoext_comment]],18,FALSE)</f>
        <v>NULL</v>
      </c>
      <c r="AV263" s="20" t="str">
        <f>VLOOKUP(Data[[#This Row],[DEVELOPMENT]],Ops_Priorities_and_Data_Clean[[development]:[ifnoext_comment]],19,FALSE)</f>
        <v>NULL</v>
      </c>
      <c r="AW263" s="20" t="str">
        <f>VLOOKUP(Data[[#This Row],[DEVELOPMENT]],Ops_Priorities_and_Data_Clean[[development]:[ifnoext_comment]],20,FALSE)</f>
        <v>NULL</v>
      </c>
      <c r="AX263" s="104" t="s">
        <v>2605</v>
      </c>
      <c r="AY263" s="104" t="s">
        <v>365</v>
      </c>
      <c r="AZ263" s="20" t="str">
        <f>VLOOKUP(Data[[#This Row],[DEVELOPMENT]],Development_Data_Book[[DEVELOPMENT]:[PRIVATE MANAGEMENT]],8,FALSE)</f>
        <v>MIXED FINANCE/LLC1</v>
      </c>
      <c r="BA263" s="104" t="s">
        <v>2586</v>
      </c>
      <c r="BB263" s="20">
        <f>VLOOKUP(Data[[#This Row],[DEVELOPMENT]],Development_Data_Book[[DEVELOPMENT]:[PRIVATE MANAGEMENT]],22,FALSE)</f>
        <v>1</v>
      </c>
      <c r="BC263" s="20">
        <f>Data[[#This Row],[Non-Dwelling Buildings]]+Data[[#This Row],[Dwelling Buildings]]</f>
        <v>7</v>
      </c>
      <c r="BD263" s="20">
        <f>VLOOKUP(Data[[#This Row],[DEVELOPMENT]],Development_Data_Book[[DEVELOPMENT]:[PRIVATE MANAGEMENT]],26,FALSE)</f>
        <v>16.87</v>
      </c>
      <c r="BE263" s="106">
        <v>736450</v>
      </c>
      <c r="BF263" s="20">
        <f>VLOOKUP(Data[[#This Row],[DEVELOPMENT]],Development_Data_Book[[DEVELOPMENT]:[PRIVATE MANAGEMENT]],18,FALSE)</f>
        <v>2066</v>
      </c>
      <c r="BG26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63" s="104" t="s">
        <v>2591</v>
      </c>
      <c r="BI263" t="s">
        <v>183</v>
      </c>
      <c r="BJ263" s="20">
        <f>VLOOKUP(Data[[#This Row],[DEVELOPMENT]],Development_Data_Book[[DEVELOPMENT]:[PRIVATE MANAGEMENT]],41,FALSE)</f>
        <v>1</v>
      </c>
      <c r="BK263" s="20">
        <f>VLOOKUP(Data[[#This Row],[DEVELOPMENT]],Development_Data_Book[[DEVELOPMENT]:[PRIVATE MANAGEMENT]],42,FALSE)</f>
        <v>11</v>
      </c>
      <c r="BL263" s="20">
        <f>VLOOKUP(Data[[#This Row],[DEVELOPMENT]],Development_Data_Book[[DEVELOPMENT]:[PRIVATE MANAGEMENT]],43,FALSE)</f>
        <v>23</v>
      </c>
      <c r="BM263" s="20">
        <f>VLOOKUP(Data[[#This Row],[DEVELOPMENT]],Development_Data_Book[[DEVELOPMENT]:[PRIVATE MANAGEMENT]],44,FALSE)</f>
        <v>61</v>
      </c>
      <c r="BN263" s="20">
        <f>VLOOKUP(Data[[#This Row],[DEVELOPMENT]],Development_Data_Book[[DEVELOPMENT]:[PRIVATE MANAGEMENT]],45,FALSE)</f>
        <v>49</v>
      </c>
      <c r="BO263" s="20" t="str">
        <f>VLOOKUP(Data[[#This Row],[DEVELOPMENT]],Development_Data_Book[[DEVELOPMENT]:[PRIVATE MANAGEMENT]],24,FALSE)</f>
        <v>1, 8</v>
      </c>
    </row>
    <row r="264" spans="1:67">
      <c r="A264" t="s">
        <v>97</v>
      </c>
      <c r="B264" t="str">
        <f>VLOOKUP(Data[[#This Row],[DEVELOPMENT]],Development_Data_Book[[DEVELOPMENT]:[BOROUGH]],MATCH("borough",Development_Data_Book[[#Headers],[DEVELOPMENT]:[BOROUGH]],0),FALSE)</f>
        <v>BRONX</v>
      </c>
      <c r="C264" t="e">
        <f>VLOOKUP(Data[[#This Row],[DEVELOPMENT]],'[1]Cheat-Sheet'!$D$2:$Q$341,2,FALSE)</f>
        <v>#N/A</v>
      </c>
      <c r="D26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64">
        <f>VLOOKUP(Data[[#This Row],[DEVELOPMENT]],Development_Data_Book[[DEVELOPMENT]:[BOROUGH]],21,FALSE)</f>
        <v>2</v>
      </c>
      <c r="F264">
        <f>VLOOKUP(Data[[#This Row],[DEVELOPMENT]],Development_Data_Book[[DEVELOPMENT]:[BOROUGH]],23,FALSE)</f>
        <v>14</v>
      </c>
      <c r="G264">
        <f>VLOOKUP(Data[[#This Row],[DEVELOPMENT]],Development_Data_Book[[DEVELOPMENT]:[BOROUGH]],12,FALSE)</f>
        <v>119</v>
      </c>
      <c r="H264" t="s">
        <v>2248</v>
      </c>
      <c r="I264">
        <v>2</v>
      </c>
      <c r="J264">
        <f>IFERROR(VLOOKUP(Data[[#This Row],[DEVELOPMENT]],IntCompactors_MRST[],4,FALSE),0)</f>
        <v>0</v>
      </c>
      <c r="K264" s="20">
        <f>IFERROR(VLOOKUP(Data[[#This Row],[DEVELOPMENT]],ExtCompactors_MRST[],4,FALSE),0)</f>
        <v>0</v>
      </c>
      <c r="L264" s="27" t="str">
        <f>IF(Data[[#This Row],['# Interior Compactors MRST]]=0,"",VLOOKUP(Data[[#This Row],[DEVELOPMENT]],IntCompactors_MRST[],5,FALSE))</f>
        <v/>
      </c>
      <c r="M264" s="28" t="str">
        <f>IF(Data[[#This Row],['# Exterior Compactors MRST]]=0,"",VLOOKUP(Data[[#This Row],[DEVELOPMENT]],ExtCompactors_MRST[],5,FALSE))</f>
        <v/>
      </c>
      <c r="N264">
        <f>Data[[#This Row],['# Interior Compactors MRST]]</f>
        <v>0</v>
      </c>
      <c r="O264" s="20">
        <f>IF(Data[[#This Row],['# Bulk Crushers]]=0,1,0)</f>
        <v>1</v>
      </c>
      <c r="P264" s="20">
        <f>1</f>
        <v>1</v>
      </c>
      <c r="Q264" s="20">
        <f>1</f>
        <v>1</v>
      </c>
      <c r="R264" s="20">
        <f>1</f>
        <v>1</v>
      </c>
      <c r="S264" s="20">
        <f>1</f>
        <v>1</v>
      </c>
      <c r="T264" s="20">
        <f>IF(Data[[#This Row],[Sewershed]]="Newtown Creek",Data[[#This Row],[DUs]],0)</f>
        <v>0</v>
      </c>
      <c r="U26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6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6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64" s="82">
        <f>VLOOKUP(Data[[#This Row],[DEVELOPMENT]],Development_Data_Book[[DEVELOPMENT]:[BOROUGH]],3,FALSE)</f>
        <v>353</v>
      </c>
      <c r="Y264" s="20"/>
      <c r="Z264" s="20">
        <f>IFERROR(VLOOKUP(Data[[#This Row],[TDS]],ExtCompactors_PNA[[Development]:[0]],2,FALSE),0)</f>
        <v>0</v>
      </c>
      <c r="AA264" s="20">
        <f>IFERROR(VLOOKUP(Data[[#This Row],[TDS]],IntCompactors_PNA[[TDS]:[0]],2,FALSE),0)</f>
        <v>0</v>
      </c>
      <c r="AB264" s="20"/>
      <c r="AC264" s="20"/>
      <c r="AD264" s="20">
        <f>IFERROR(VLOOKUP(Data[[#This Row],[TDS]],ExtCompactors_PNA[[Development]:[0]],3,FALSE)+VLOOKUP(Data[[#This Row],[TDS]],ExtCompactors_PNA[[Development]:[0]],6,FALSE),0)</f>
        <v>0</v>
      </c>
      <c r="AE264" s="20">
        <f>IFERROR(VLOOKUP(Data[[#This Row],[TDS]],IntCompactors_PNA[[TDS]:[0]],3,FALSE)+VLOOKUP(Data[[#This Row],[TDS]],IntCompactors_PNA[[TDS]:[0]],6,FALSE),0)</f>
        <v>0</v>
      </c>
      <c r="AF264" s="20" t="e">
        <f>VLOOKUP(Data[[#This Row],[DEVELOPMENT]],[3]Developments!$A$2:$A$312,1,FALSE)</f>
        <v>#N/A</v>
      </c>
      <c r="AG264" s="20">
        <f>IFERROR(VLOOKUP(Data[[#This Row],[DEVELOPMENT]],Ops_Priorities_and_Data_Clean[[development]:[ifnoext_comment]],3,FALSE),"")</f>
        <v>0</v>
      </c>
      <c r="AH264" s="20">
        <f>IFERROR(VLOOKUP(Data[[#This Row],[DEVELOPMENT]],Ops_Priorities_and_Data_Clean[[development]:[ifnoext_comment]],4,FALSE),"")</f>
        <v>0</v>
      </c>
      <c r="AI264" s="20">
        <f>IFERROR(VLOOKUP(Data[[#This Row],[DEVELOPMENT]],Ops_Priorities_and_Data_Clean[[development]:[ifnoext_comment]],5,FALSE),"")</f>
        <v>0</v>
      </c>
      <c r="AJ264" s="20">
        <f>IFERROR(VLOOKUP(Data[[#This Row],[DEVELOPMENT]],Ops_Priorities_and_Data_Clean[[development]:[ifnoext_comment]],6,FALSE),"")</f>
        <v>1</v>
      </c>
      <c r="AK264" s="20">
        <f>IFERROR(VLOOKUP(Data[[#This Row],[DEVELOPMENT]],Ops_Priorities_and_Data_Clean[[development]:[ifnoext_comment]],7,FALSE),"")</f>
        <v>0</v>
      </c>
      <c r="AL264" s="20">
        <f>IFERROR(VLOOKUP(Data[[#This Row],[DEVELOPMENT]],Ops_Priorities_and_Data_Clean[[development]:[ifnoext_comment]],8,FALSE),"")</f>
        <v>1</v>
      </c>
      <c r="AM264" s="20">
        <f>IFERROR(VLOOKUP(Data[[#This Row],[DEVELOPMENT]],Ops_Priorities_and_Data_Clean[[development]:[ifnoext_comment]],9,FALSE),"")</f>
        <v>1</v>
      </c>
      <c r="AN264" s="20">
        <f>IFERROR(VLOOKUP(Data[[#This Row],[DEVELOPMENT]],Ops_Priorities_and_Data_Clean[[development]:[ifnoext_comment]],10,FALSE),"")</f>
        <v>0</v>
      </c>
      <c r="AO264" s="20">
        <f>IFERROR(VLOOKUP(Data[[#This Row],[DEVELOPMENT]],Ops_Priorities_and_Data_Clean[[development]:[ifnoext_comment]],11,FALSE),"")</f>
        <v>0</v>
      </c>
      <c r="AP264" s="20">
        <f>IFERROR(VLOOKUP(Data[[#This Row],[DEVELOPMENT]],Ops_Priorities_and_Data_Clean[[development]:[ifnoext_comment]],12,FALSE),"")</f>
        <v>0</v>
      </c>
      <c r="AQ264" s="20">
        <f>VLOOKUP(Data[[#This Row],[DEVELOPMENT]],Ops_Priorities_and_Data_Clean[[development]:[ifnoext_comment]],14,FALSE)</f>
        <v>0</v>
      </c>
      <c r="AR264" s="20">
        <f>VLOOKUP(Data[[#This Row],[DEVELOPMENT]],Ops_Priorities_and_Data_Clean[[development]:[ifnoext_comment]],15,FALSE)</f>
        <v>1</v>
      </c>
      <c r="AS264" s="20" t="str">
        <f>VLOOKUP(Data[[#This Row],[DEVELOPMENT]],Ops_Priorities_and_Data_Clean[[development]:[ifnoext_comment]],16,FALSE)</f>
        <v>CLAREMONT PARKWAY-FRANKLIN AVENUE, &amp; DAVIDSON</v>
      </c>
      <c r="AT264" s="20" t="str">
        <f>VLOOKUP(Data[[#This Row],[DEVELOPMENT]],Ops_Priorities_and_Data_Clean[[development]:[ifnoext_comment]],17,FALSE)</f>
        <v>Part of Union Cons.</v>
      </c>
      <c r="AU264" s="20" t="str">
        <f>VLOOKUP(Data[[#This Row],[DEVELOPMENT]],Ops_Priorities_and_Data_Clean[[development]:[ifnoext_comment]],18,FALSE)</f>
        <v>NULL</v>
      </c>
      <c r="AV264" s="20" t="str">
        <f>VLOOKUP(Data[[#This Row],[DEVELOPMENT]],Ops_Priorities_and_Data_Clean[[development]:[ifnoext_comment]],19,FALSE)</f>
        <v>NULL</v>
      </c>
      <c r="AW264" s="20" t="str">
        <f>VLOOKUP(Data[[#This Row],[DEVELOPMENT]],Ops_Priorities_and_Data_Clean[[development]:[ifnoext_comment]],20,FALSE)</f>
        <v>NULL</v>
      </c>
      <c r="AX264" s="104" t="s">
        <v>2237</v>
      </c>
      <c r="AY264" s="104" t="s">
        <v>2637</v>
      </c>
      <c r="AZ264" s="20" t="str">
        <f>VLOOKUP(Data[[#This Row],[DEVELOPMENT]],Development_Data_Book[[DEVELOPMENT]:[PRIVATE MANAGEMENT]],8,FALSE)</f>
        <v>FEDERAL</v>
      </c>
      <c r="BA264" s="104" t="s">
        <v>2588</v>
      </c>
      <c r="BB264" s="20">
        <f>VLOOKUP(Data[[#This Row],[DEVELOPMENT]],Development_Data_Book[[DEVELOPMENT]:[PRIVATE MANAGEMENT]],22,FALSE)</f>
        <v>0</v>
      </c>
      <c r="BC264" s="20">
        <f>Data[[#This Row],[Non-Dwelling Buildings]]+Data[[#This Row],[Dwelling Buildings]]</f>
        <v>2</v>
      </c>
      <c r="BD264" s="20">
        <f>VLOOKUP(Data[[#This Row],[DEVELOPMENT]],Development_Data_Book[[DEVELOPMENT]:[PRIVATE MANAGEMENT]],26,FALSE)</f>
        <v>2.83</v>
      </c>
      <c r="BE264" s="106">
        <v>128150</v>
      </c>
      <c r="BF264" s="20">
        <f>VLOOKUP(Data[[#This Row],[DEVELOPMENT]],Development_Data_Book[[DEVELOPMENT]:[PRIVATE MANAGEMENT]],18,FALSE)</f>
        <v>274</v>
      </c>
      <c r="BG26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64" s="104" t="s">
        <v>2610</v>
      </c>
      <c r="BI264" t="s">
        <v>184</v>
      </c>
      <c r="BJ264" s="20">
        <f>VLOOKUP(Data[[#This Row],[DEVELOPMENT]],Development_Data_Book[[DEVELOPMENT]:[PRIVATE MANAGEMENT]],41,FALSE)</f>
        <v>2</v>
      </c>
      <c r="BK264" s="20">
        <f>VLOOKUP(Data[[#This Row],[DEVELOPMENT]],Development_Data_Book[[DEVELOPMENT]:[PRIVATE MANAGEMENT]],42,FALSE)</f>
        <v>15</v>
      </c>
      <c r="BL264" s="20">
        <f>VLOOKUP(Data[[#This Row],[DEVELOPMENT]],Development_Data_Book[[DEVELOPMENT]:[PRIVATE MANAGEMENT]],43,FALSE)</f>
        <v>32</v>
      </c>
      <c r="BM264" s="20">
        <f>VLOOKUP(Data[[#This Row],[DEVELOPMENT]],Development_Data_Book[[DEVELOPMENT]:[PRIVATE MANAGEMENT]],44,FALSE)</f>
        <v>85</v>
      </c>
      <c r="BN264" s="20">
        <f>VLOOKUP(Data[[#This Row],[DEVELOPMENT]],Development_Data_Book[[DEVELOPMENT]:[PRIVATE MANAGEMENT]],45,FALSE)</f>
        <v>17</v>
      </c>
      <c r="BO264" s="20">
        <f>VLOOKUP(Data[[#This Row],[DEVELOPMENT]],Development_Data_Book[[DEVELOPMENT]:[PRIVATE MANAGEMENT]],24,FALSE)</f>
        <v>3</v>
      </c>
    </row>
    <row r="265" spans="1:67">
      <c r="A265" t="s">
        <v>366</v>
      </c>
      <c r="B265" s="20" t="str">
        <f>VLOOKUP(Data[[#This Row],[DEVELOPMENT]],Development_Data_Book[[DEVELOPMENT]:[BOROUGH]],MATCH("borough",Development_Data_Book[[#Headers],[DEVELOPMENT]:[BOROUGH]],0),FALSE)</f>
        <v>BROOKLYN</v>
      </c>
      <c r="C265" s="20" t="e">
        <f>VLOOKUP(Data[[#This Row],[DEVELOPMENT]],'[1]Cheat-Sheet'!$D$2:$Q$341,2,FALSE)</f>
        <v>#N/A</v>
      </c>
      <c r="D26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65" s="20">
        <f>VLOOKUP(Data[[#This Row],[DEVELOPMENT]],Development_Data_Book[[DEVELOPMENT]:[BOROUGH]],21,FALSE)</f>
        <v>5</v>
      </c>
      <c r="F265" s="20">
        <f>VLOOKUP(Data[[#This Row],[DEVELOPMENT]],Development_Data_Book[[DEVELOPMENT]:[BOROUGH]],23,FALSE)</f>
        <v>5</v>
      </c>
      <c r="G265" s="20">
        <f>VLOOKUP(Data[[#This Row],[DEVELOPMENT]],Development_Data_Book[[DEVELOPMENT]:[BOROUGH]],12,FALSE)</f>
        <v>83</v>
      </c>
      <c r="J265">
        <f>IFERROR(VLOOKUP(Data[[#This Row],[DEVELOPMENT]],IntCompactors_MRST[],4,FALSE),0)</f>
        <v>5</v>
      </c>
      <c r="K265" s="20">
        <f>IFERROR(VLOOKUP(Data[[#This Row],[DEVELOPMENT]],ExtCompactors_MRST[],4,FALSE),0)</f>
        <v>0</v>
      </c>
      <c r="L265" s="27">
        <f>IF(Data[[#This Row],['# Interior Compactors MRST]]=0,"",VLOOKUP(Data[[#This Row],[DEVELOPMENT]],IntCompactors_MRST[],5,FALSE))</f>
        <v>33031</v>
      </c>
      <c r="M265" s="28" t="str">
        <f>IF(Data[[#This Row],['# Exterior Compactors MRST]]=0,"",VLOOKUP(Data[[#This Row],[DEVELOPMENT]],ExtCompactors_MRST[],5,FALSE))</f>
        <v/>
      </c>
      <c r="N265" s="20">
        <f>Data[[#This Row],['# Interior Compactors MRST]]</f>
        <v>5</v>
      </c>
      <c r="O265" s="20">
        <f>IF(Data[[#This Row],['# Bulk Crushers]]=0,1,0)</f>
        <v>1</v>
      </c>
      <c r="P265" s="20">
        <f>1</f>
        <v>1</v>
      </c>
      <c r="Q265" s="20">
        <f>1</f>
        <v>1</v>
      </c>
      <c r="R265" s="20">
        <f>1</f>
        <v>1</v>
      </c>
      <c r="S265" s="20">
        <f>1</f>
        <v>1</v>
      </c>
      <c r="T265" s="20">
        <f>IF(Data[[#This Row],[Sewershed]]="Newtown Creek",Data[[#This Row],[DUs]],0)</f>
        <v>83</v>
      </c>
      <c r="U26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6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6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65" s="82">
        <f>VLOOKUP(Data[[#This Row],[DEVELOPMENT]],Development_Data_Book[[DEVELOPMENT]:[BOROUGH]],3,FALSE)</f>
        <v>366</v>
      </c>
      <c r="Y265" s="20" t="s">
        <v>2599</v>
      </c>
      <c r="Z265" s="20">
        <f>IFERROR(VLOOKUP(Data[[#This Row],[TDS]],ExtCompactors_PNA[[Development]:[0]],2,FALSE),0)</f>
        <v>0</v>
      </c>
      <c r="AA265" s="20">
        <f>IFERROR(VLOOKUP(Data[[#This Row],[TDS]],IntCompactors_PNA[[TDS]:[0]],2,FALSE),0)</f>
        <v>5</v>
      </c>
      <c r="AB265" s="20"/>
      <c r="AC265" s="20"/>
      <c r="AD265" s="20">
        <f>IFERROR(VLOOKUP(Data[[#This Row],[TDS]],ExtCompactors_PNA[[Development]:[0]],3,FALSE)+VLOOKUP(Data[[#This Row],[TDS]],ExtCompactors_PNA[[Development]:[0]],6,FALSE),0)</f>
        <v>0</v>
      </c>
      <c r="AE265" s="20">
        <f>IFERROR(VLOOKUP(Data[[#This Row],[TDS]],IntCompactors_PNA[[TDS]:[0]],3,FALSE)+VLOOKUP(Data[[#This Row],[TDS]],IntCompactors_PNA[[TDS]:[0]],6,FALSE),0)</f>
        <v>5</v>
      </c>
      <c r="AF265" s="20" t="e">
        <f>VLOOKUP(Data[[#This Row],[DEVELOPMENT]],[3]Developments!$A$2:$A$312,1,FALSE)</f>
        <v>#N/A</v>
      </c>
      <c r="AG265" s="20">
        <f>IFERROR(VLOOKUP(Data[[#This Row],[DEVELOPMENT]],Ops_Priorities_and_Data_Clean[[development]:[ifnoext_comment]],3,FALSE),"")</f>
        <v>0</v>
      </c>
      <c r="AH265" s="20">
        <f>IFERROR(VLOOKUP(Data[[#This Row],[DEVELOPMENT]],Ops_Priorities_and_Data_Clean[[development]:[ifnoext_comment]],4,FALSE),"")</f>
        <v>0</v>
      </c>
      <c r="AI265" s="20">
        <f>IFERROR(VLOOKUP(Data[[#This Row],[DEVELOPMENT]],Ops_Priorities_and_Data_Clean[[development]:[ifnoext_comment]],5,FALSE),"")</f>
        <v>0</v>
      </c>
      <c r="AJ265" s="20">
        <f>IFERROR(VLOOKUP(Data[[#This Row],[DEVELOPMENT]],Ops_Priorities_and_Data_Clean[[development]:[ifnoext_comment]],6,FALSE),"")</f>
        <v>0</v>
      </c>
      <c r="AK265" s="20">
        <f>IFERROR(VLOOKUP(Data[[#This Row],[DEVELOPMENT]],Ops_Priorities_and_Data_Clean[[development]:[ifnoext_comment]],7,FALSE),"")</f>
        <v>1</v>
      </c>
      <c r="AL265" s="20">
        <f>IFERROR(VLOOKUP(Data[[#This Row],[DEVELOPMENT]],Ops_Priorities_and_Data_Clean[[development]:[ifnoext_comment]],8,FALSE),"")</f>
        <v>1</v>
      </c>
      <c r="AM265" s="20">
        <f>IFERROR(VLOOKUP(Data[[#This Row],[DEVELOPMENT]],Ops_Priorities_and_Data_Clean[[development]:[ifnoext_comment]],9,FALSE),"")</f>
        <v>0</v>
      </c>
      <c r="AN265" s="20">
        <f>IFERROR(VLOOKUP(Data[[#This Row],[DEVELOPMENT]],Ops_Priorities_and_Data_Clean[[development]:[ifnoext_comment]],10,FALSE),"")</f>
        <v>0</v>
      </c>
      <c r="AO265" s="20">
        <f>IFERROR(VLOOKUP(Data[[#This Row],[DEVELOPMENT]],Ops_Priorities_and_Data_Clean[[development]:[ifnoext_comment]],11,FALSE),"")</f>
        <v>0</v>
      </c>
      <c r="AP265" s="20">
        <f>IFERROR(VLOOKUP(Data[[#This Row],[DEVELOPMENT]],Ops_Priorities_and_Data_Clean[[development]:[ifnoext_comment]],12,FALSE),"")</f>
        <v>0</v>
      </c>
      <c r="AQ265" s="20">
        <f>VLOOKUP(Data[[#This Row],[DEVELOPMENT]],Ops_Priorities_and_Data_Clean[[development]:[ifnoext_comment]],14,FALSE)</f>
        <v>1</v>
      </c>
      <c r="AR265" s="20">
        <f>VLOOKUP(Data[[#This Row],[DEVELOPMENT]],Ops_Priorities_and_Data_Clean[[development]:[ifnoext_comment]],15,FALSE)</f>
        <v>0</v>
      </c>
      <c r="AS265" s="20" t="str">
        <f>VLOOKUP(Data[[#This Row],[DEVELOPMENT]],Ops_Priorities_and_Data_Clean[[development]:[ifnoext_comment]],16,FALSE)</f>
        <v>NULL</v>
      </c>
      <c r="AT265" s="20" t="str">
        <f>VLOOKUP(Data[[#This Row],[DEVELOPMENT]],Ops_Priorities_and_Data_Clean[[development]:[ifnoext_comment]],17,FALSE)</f>
        <v>NULL</v>
      </c>
      <c r="AU265" s="20" t="str">
        <f>VLOOKUP(Data[[#This Row],[DEVELOPMENT]],Ops_Priorities_and_Data_Clean[[development]:[ifnoext_comment]],18,FALSE)</f>
        <v>NULL</v>
      </c>
      <c r="AV265" s="20" t="str">
        <f>VLOOKUP(Data[[#This Row],[DEVELOPMENT]],Ops_Priorities_and_Data_Clean[[development]:[ifnoext_comment]],19,FALSE)</f>
        <v>NULL</v>
      </c>
      <c r="AW265" s="20" t="str">
        <f>VLOOKUP(Data[[#This Row],[DEVELOPMENT]],Ops_Priorities_and_Data_Clean[[development]:[ifnoext_comment]],20,FALSE)</f>
        <v>NULL</v>
      </c>
      <c r="AX265" s="104" t="s">
        <v>2238</v>
      </c>
      <c r="AY265" s="104" t="s">
        <v>314</v>
      </c>
      <c r="AZ265" s="20" t="str">
        <f>VLOOKUP(Data[[#This Row],[DEVELOPMENT]],Development_Data_Book[[DEVELOPMENT]:[PRIVATE MANAGEMENT]],8,FALSE)</f>
        <v>FEDERAL</v>
      </c>
      <c r="BA265" s="104" t="s">
        <v>2588</v>
      </c>
      <c r="BB265" s="20">
        <f>VLOOKUP(Data[[#This Row],[DEVELOPMENT]],Development_Data_Book[[DEVELOPMENT]:[PRIVATE MANAGEMENT]],22,FALSE)</f>
        <v>0</v>
      </c>
      <c r="BC265" s="20">
        <f>Data[[#This Row],[Non-Dwelling Buildings]]+Data[[#This Row],[Dwelling Buildings]]</f>
        <v>5</v>
      </c>
      <c r="BD265" s="20">
        <f>VLOOKUP(Data[[#This Row],[DEVELOPMENT]],Development_Data_Book[[DEVELOPMENT]:[PRIVATE MANAGEMENT]],26,FALSE)</f>
        <v>1.1299999999999999</v>
      </c>
      <c r="BE265" s="106">
        <v>114450</v>
      </c>
      <c r="BF265" s="20">
        <f>VLOOKUP(Data[[#This Row],[DEVELOPMENT]],Development_Data_Book[[DEVELOPMENT]:[PRIVATE MANAGEMENT]],18,FALSE)</f>
        <v>275</v>
      </c>
      <c r="BG26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65" s="104" t="s">
        <v>2608</v>
      </c>
      <c r="BI265" t="s">
        <v>184</v>
      </c>
      <c r="BJ265" s="20">
        <f>VLOOKUP(Data[[#This Row],[DEVELOPMENT]],Development_Data_Book[[DEVELOPMENT]:[PRIVATE MANAGEMENT]],41,FALSE)</f>
        <v>8</v>
      </c>
      <c r="BK265" s="20">
        <f>VLOOKUP(Data[[#This Row],[DEVELOPMENT]],Development_Data_Book[[DEVELOPMENT]:[PRIVATE MANAGEMENT]],42,FALSE)</f>
        <v>9</v>
      </c>
      <c r="BL265" s="20" t="str">
        <f>VLOOKUP(Data[[#This Row],[DEVELOPMENT]],Development_Data_Book[[DEVELOPMENT]:[PRIVATE MANAGEMENT]],43,FALSE)</f>
        <v>20, 25</v>
      </c>
      <c r="BM265" s="20">
        <f>VLOOKUP(Data[[#This Row],[DEVELOPMENT]],Development_Data_Book[[DEVELOPMENT]:[PRIVATE MANAGEMENT]],44,FALSE)</f>
        <v>55</v>
      </c>
      <c r="BN265" s="20" t="str">
        <f>VLOOKUP(Data[[#This Row],[DEVELOPMENT]],Development_Data_Book[[DEVELOPMENT]:[PRIVATE MANAGEMENT]],45,FALSE)</f>
        <v>36, 41</v>
      </c>
      <c r="BO265" s="20">
        <f>VLOOKUP(Data[[#This Row],[DEVELOPMENT]],Development_Data_Book[[DEVELOPMENT]:[PRIVATE MANAGEMENT]],24,FALSE)</f>
        <v>4</v>
      </c>
    </row>
    <row r="266" spans="1:67">
      <c r="A266" t="s">
        <v>256</v>
      </c>
      <c r="B266" s="20" t="str">
        <f>VLOOKUP(Data[[#This Row],[DEVELOPMENT]],Development_Data_Book[[DEVELOPMENT]:[BOROUGH]],MATCH("borough",Development_Data_Book[[#Headers],[DEVELOPMENT]:[BOROUGH]],0),FALSE)</f>
        <v>BROOKLYN</v>
      </c>
      <c r="C266" s="20" t="e">
        <f>VLOOKUP(Data[[#This Row],[DEVELOPMENT]],'[1]Cheat-Sheet'!$D$2:$Q$341,2,FALSE)</f>
        <v>#N/A</v>
      </c>
      <c r="D26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66" s="20">
        <f>VLOOKUP(Data[[#This Row],[DEVELOPMENT]],Development_Data_Book[[DEVELOPMENT]:[BOROUGH]],21,FALSE)</f>
        <v>7</v>
      </c>
      <c r="F266" s="20">
        <f>VLOOKUP(Data[[#This Row],[DEVELOPMENT]],Development_Data_Book[[DEVELOPMENT]:[BOROUGH]],23,FALSE)</f>
        <v>7</v>
      </c>
      <c r="G266" s="20">
        <f>VLOOKUP(Data[[#This Row],[DEVELOPMENT]],Development_Data_Book[[DEVELOPMENT]:[BOROUGH]],12,FALSE)</f>
        <v>125</v>
      </c>
      <c r="J266">
        <f>IFERROR(VLOOKUP(Data[[#This Row],[DEVELOPMENT]],IntCompactors_MRST[],4,FALSE),0)</f>
        <v>7</v>
      </c>
      <c r="K266" s="20">
        <f>IFERROR(VLOOKUP(Data[[#This Row],[DEVELOPMENT]],ExtCompactors_MRST[],4,FALSE),0)</f>
        <v>0</v>
      </c>
      <c r="L266" s="27">
        <f>IF(Data[[#This Row],['# Interior Compactors MRST]]=0,"",VLOOKUP(Data[[#This Row],[DEVELOPMENT]],IntCompactors_MRST[],5,FALSE))</f>
        <v>33031</v>
      </c>
      <c r="M266" s="28" t="str">
        <f>IF(Data[[#This Row],['# Exterior Compactors MRST]]=0,"",VLOOKUP(Data[[#This Row],[DEVELOPMENT]],ExtCompactors_MRST[],5,FALSE))</f>
        <v/>
      </c>
      <c r="N266" s="20">
        <f>Data[[#This Row],['# Interior Compactors MRST]]</f>
        <v>7</v>
      </c>
      <c r="O266" s="20">
        <f>IF(Data[[#This Row],['# Bulk Crushers]]=0,1,0)</f>
        <v>1</v>
      </c>
      <c r="P266" s="20">
        <f>1</f>
        <v>1</v>
      </c>
      <c r="Q266" s="20">
        <f>1</f>
        <v>1</v>
      </c>
      <c r="R266" s="20">
        <f>1</f>
        <v>1</v>
      </c>
      <c r="S266" s="20">
        <f>1</f>
        <v>1</v>
      </c>
      <c r="T266" s="20">
        <f>IF(Data[[#This Row],[Sewershed]]="Newtown Creek",Data[[#This Row],[DUs]],0)</f>
        <v>125</v>
      </c>
      <c r="U26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6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6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66" s="82">
        <f>VLOOKUP(Data[[#This Row],[DEVELOPMENT]],Development_Data_Book[[DEVELOPMENT]:[BOROUGH]],3,FALSE)</f>
        <v>368</v>
      </c>
      <c r="Y266" s="20" t="s">
        <v>2599</v>
      </c>
      <c r="Z266" s="20">
        <f>IFERROR(VLOOKUP(Data[[#This Row],[TDS]],ExtCompactors_PNA[[Development]:[0]],2,FALSE),0)</f>
        <v>0</v>
      </c>
      <c r="AA266" s="20">
        <f>IFERROR(VLOOKUP(Data[[#This Row],[TDS]],IntCompactors_PNA[[TDS]:[0]],2,FALSE),0)</f>
        <v>7</v>
      </c>
      <c r="AB266" s="20"/>
      <c r="AC266" s="20"/>
      <c r="AD266" s="20">
        <f>IFERROR(VLOOKUP(Data[[#This Row],[TDS]],ExtCompactors_PNA[[Development]:[0]],3,FALSE)+VLOOKUP(Data[[#This Row],[TDS]],ExtCompactors_PNA[[Development]:[0]],6,FALSE),0)</f>
        <v>0</v>
      </c>
      <c r="AE266" s="20">
        <f>IFERROR(VLOOKUP(Data[[#This Row],[TDS]],IntCompactors_PNA[[TDS]:[0]],3,FALSE)+VLOOKUP(Data[[#This Row],[TDS]],IntCompactors_PNA[[TDS]:[0]],6,FALSE),0)</f>
        <v>7</v>
      </c>
      <c r="AF266" s="20" t="e">
        <f>VLOOKUP(Data[[#This Row],[DEVELOPMENT]],[3]Developments!$A$2:$A$312,1,FALSE)</f>
        <v>#N/A</v>
      </c>
      <c r="AG266" s="20">
        <f>IFERROR(VLOOKUP(Data[[#This Row],[DEVELOPMENT]],Ops_Priorities_and_Data_Clean[[development]:[ifnoext_comment]],3,FALSE),"")</f>
        <v>0</v>
      </c>
      <c r="AH266" s="20">
        <f>IFERROR(VLOOKUP(Data[[#This Row],[DEVELOPMENT]],Ops_Priorities_and_Data_Clean[[development]:[ifnoext_comment]],4,FALSE),"")</f>
        <v>0</v>
      </c>
      <c r="AI266" s="20">
        <f>IFERROR(VLOOKUP(Data[[#This Row],[DEVELOPMENT]],Ops_Priorities_and_Data_Clean[[development]:[ifnoext_comment]],5,FALSE),"")</f>
        <v>0</v>
      </c>
      <c r="AJ266" s="20">
        <f>IFERROR(VLOOKUP(Data[[#This Row],[DEVELOPMENT]],Ops_Priorities_and_Data_Clean[[development]:[ifnoext_comment]],6,FALSE),"")</f>
        <v>0</v>
      </c>
      <c r="AK266" s="20">
        <f>IFERROR(VLOOKUP(Data[[#This Row],[DEVELOPMENT]],Ops_Priorities_and_Data_Clean[[development]:[ifnoext_comment]],7,FALSE),"")</f>
        <v>1</v>
      </c>
      <c r="AL266" s="20">
        <f>IFERROR(VLOOKUP(Data[[#This Row],[DEVELOPMENT]],Ops_Priorities_and_Data_Clean[[development]:[ifnoext_comment]],8,FALSE),"")</f>
        <v>1</v>
      </c>
      <c r="AM266" s="20">
        <f>IFERROR(VLOOKUP(Data[[#This Row],[DEVELOPMENT]],Ops_Priorities_and_Data_Clean[[development]:[ifnoext_comment]],9,FALSE),"")</f>
        <v>0</v>
      </c>
      <c r="AN266" s="20">
        <f>IFERROR(VLOOKUP(Data[[#This Row],[DEVELOPMENT]],Ops_Priorities_and_Data_Clean[[development]:[ifnoext_comment]],10,FALSE),"")</f>
        <v>0</v>
      </c>
      <c r="AO266" s="20">
        <f>IFERROR(VLOOKUP(Data[[#This Row],[DEVELOPMENT]],Ops_Priorities_and_Data_Clean[[development]:[ifnoext_comment]],11,FALSE),"")</f>
        <v>0</v>
      </c>
      <c r="AP266" s="20">
        <f>IFERROR(VLOOKUP(Data[[#This Row],[DEVELOPMENT]],Ops_Priorities_and_Data_Clean[[development]:[ifnoext_comment]],12,FALSE),"")</f>
        <v>0</v>
      </c>
      <c r="AQ266" s="20">
        <f>VLOOKUP(Data[[#This Row],[DEVELOPMENT]],Ops_Priorities_and_Data_Clean[[development]:[ifnoext_comment]],14,FALSE)</f>
        <v>1</v>
      </c>
      <c r="AR266" s="20">
        <f>VLOOKUP(Data[[#This Row],[DEVELOPMENT]],Ops_Priorities_and_Data_Clean[[development]:[ifnoext_comment]],15,FALSE)</f>
        <v>0</v>
      </c>
      <c r="AS266" s="20" t="str">
        <f>VLOOKUP(Data[[#This Row],[DEVELOPMENT]],Ops_Priorities_and_Data_Clean[[development]:[ifnoext_comment]],16,FALSE)</f>
        <v>NULL</v>
      </c>
      <c r="AT266" s="20" t="str">
        <f>VLOOKUP(Data[[#This Row],[DEVELOPMENT]],Ops_Priorities_and_Data_Clean[[development]:[ifnoext_comment]],17,FALSE)</f>
        <v>NULL</v>
      </c>
      <c r="AU266" s="20" t="str">
        <f>VLOOKUP(Data[[#This Row],[DEVELOPMENT]],Ops_Priorities_and_Data_Clean[[development]:[ifnoext_comment]],18,FALSE)</f>
        <v>NULL</v>
      </c>
      <c r="AV266" s="20" t="str">
        <f>VLOOKUP(Data[[#This Row],[DEVELOPMENT]],Ops_Priorities_and_Data_Clean[[development]:[ifnoext_comment]],19,FALSE)</f>
        <v>NULL</v>
      </c>
      <c r="AW266" s="20" t="str">
        <f>VLOOKUP(Data[[#This Row],[DEVELOPMENT]],Ops_Priorities_and_Data_Clean[[development]:[ifnoext_comment]],20,FALSE)</f>
        <v>NULL</v>
      </c>
      <c r="AX266" s="104" t="s">
        <v>2238</v>
      </c>
      <c r="AY266" s="104" t="s">
        <v>314</v>
      </c>
      <c r="AZ266" s="20" t="str">
        <f>VLOOKUP(Data[[#This Row],[DEVELOPMENT]],Development_Data_Book[[DEVELOPMENT]:[PRIVATE MANAGEMENT]],8,FALSE)</f>
        <v>FEDERAL</v>
      </c>
      <c r="BA266" s="104" t="s">
        <v>2588</v>
      </c>
      <c r="BB266" s="20">
        <f>VLOOKUP(Data[[#This Row],[DEVELOPMENT]],Development_Data_Book[[DEVELOPMENT]:[PRIVATE MANAGEMENT]],22,FALSE)</f>
        <v>0</v>
      </c>
      <c r="BC266" s="20">
        <f>Data[[#This Row],[Non-Dwelling Buildings]]+Data[[#This Row],[Dwelling Buildings]]</f>
        <v>7</v>
      </c>
      <c r="BD266" s="20">
        <f>VLOOKUP(Data[[#This Row],[DEVELOPMENT]],Development_Data_Book[[DEVELOPMENT]:[PRIVATE MANAGEMENT]],26,FALSE)</f>
        <v>1.1200000000000001</v>
      </c>
      <c r="BE266" s="106">
        <v>146070</v>
      </c>
      <c r="BF266" s="20">
        <f>VLOOKUP(Data[[#This Row],[DEVELOPMENT]],Development_Data_Book[[DEVELOPMENT]:[PRIVATE MANAGEMENT]],18,FALSE)</f>
        <v>329</v>
      </c>
      <c r="BG26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66" s="104" t="s">
        <v>2608</v>
      </c>
      <c r="BI266" t="s">
        <v>184</v>
      </c>
      <c r="BJ266" s="20">
        <f>VLOOKUP(Data[[#This Row],[DEVELOPMENT]],Development_Data_Book[[DEVELOPMENT]:[PRIVATE MANAGEMENT]],41,FALSE)</f>
        <v>8</v>
      </c>
      <c r="BK266" s="20">
        <f>VLOOKUP(Data[[#This Row],[DEVELOPMENT]],Development_Data_Book[[DEVELOPMENT]:[PRIVATE MANAGEMENT]],42,FALSE)</f>
        <v>9</v>
      </c>
      <c r="BL266" s="20" t="str">
        <f>VLOOKUP(Data[[#This Row],[DEVELOPMENT]],Development_Data_Book[[DEVELOPMENT]:[PRIVATE MANAGEMENT]],43,FALSE)</f>
        <v>20, 25</v>
      </c>
      <c r="BM266" s="20">
        <f>VLOOKUP(Data[[#This Row],[DEVELOPMENT]],Development_Data_Book[[DEVELOPMENT]:[PRIVATE MANAGEMENT]],44,FALSE)</f>
        <v>55</v>
      </c>
      <c r="BN266" s="20" t="str">
        <f>VLOOKUP(Data[[#This Row],[DEVELOPMENT]],Development_Data_Book[[DEVELOPMENT]:[PRIVATE MANAGEMENT]],45,FALSE)</f>
        <v>36, 41</v>
      </c>
      <c r="BO266" s="20">
        <f>VLOOKUP(Data[[#This Row],[DEVELOPMENT]],Development_Data_Book[[DEVELOPMENT]:[PRIVATE MANAGEMENT]],24,FALSE)</f>
        <v>4</v>
      </c>
    </row>
    <row r="267" spans="1:67">
      <c r="A267" t="s">
        <v>198</v>
      </c>
      <c r="B267" s="20" t="str">
        <f>VLOOKUP(Data[[#This Row],[DEVELOPMENT]],Development_Data_Book[[DEVELOPMENT]:[BOROUGH]],MATCH("borough",Development_Data_Book[[#Headers],[DEVELOPMENT]:[BOROUGH]],0),FALSE)</f>
        <v>MANHATTAN</v>
      </c>
      <c r="C267" s="20" t="e">
        <f>VLOOKUP(Data[[#This Row],[DEVELOPMENT]],'[1]Cheat-Sheet'!$D$2:$Q$341,2,FALSE)</f>
        <v>#N/A</v>
      </c>
      <c r="D26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67" s="20">
        <f>VLOOKUP(Data[[#This Row],[DEVELOPMENT]],Development_Data_Book[[DEVELOPMENT]:[BOROUGH]],21,FALSE)</f>
        <v>2</v>
      </c>
      <c r="F267" s="20">
        <f>VLOOKUP(Data[[#This Row],[DEVELOPMENT]],Development_Data_Book[[DEVELOPMENT]:[BOROUGH]],23,FALSE)</f>
        <v>2</v>
      </c>
      <c r="G267" s="20">
        <f>VLOOKUP(Data[[#This Row],[DEVELOPMENT]],Development_Data_Book[[DEVELOPMENT]:[BOROUGH]],12,FALSE)</f>
        <v>267</v>
      </c>
      <c r="J267">
        <f>IFERROR(VLOOKUP(Data[[#This Row],[DEVELOPMENT]],IntCompactors_MRST[],4,FALSE),0)</f>
        <v>2</v>
      </c>
      <c r="K267" s="20">
        <f>IFERROR(VLOOKUP(Data[[#This Row],[DEVELOPMENT]],ExtCompactors_MRST[],4,FALSE),0)</f>
        <v>0</v>
      </c>
      <c r="L267" s="27">
        <f>IF(Data[[#This Row],['# Interior Compactors MRST]]=0,"",VLOOKUP(Data[[#This Row],[DEVELOPMENT]],IntCompactors_MRST[],5,FALSE))</f>
        <v>38718</v>
      </c>
      <c r="M267" s="28" t="str">
        <f>IF(Data[[#This Row],['# Exterior Compactors MRST]]=0,"",VLOOKUP(Data[[#This Row],[DEVELOPMENT]],ExtCompactors_MRST[],5,FALSE))</f>
        <v/>
      </c>
      <c r="N267" s="20">
        <f>Data[[#This Row],['# Interior Compactors MRST]]</f>
        <v>2</v>
      </c>
      <c r="O267" s="20">
        <f>IF(Data[[#This Row],['# Bulk Crushers]]=0,1,0)</f>
        <v>1</v>
      </c>
      <c r="P267" s="20">
        <f>1</f>
        <v>1</v>
      </c>
      <c r="Q267" s="20">
        <f>1</f>
        <v>1</v>
      </c>
      <c r="R267" s="20">
        <f>1</f>
        <v>1</v>
      </c>
      <c r="S267" s="20">
        <f>1</f>
        <v>1</v>
      </c>
      <c r="T267" s="20">
        <f>IF(Data[[#This Row],[Sewershed]]="Newtown Creek",Data[[#This Row],[DUs]],0)</f>
        <v>267</v>
      </c>
      <c r="U26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6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6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67" s="82">
        <f>VLOOKUP(Data[[#This Row],[DEVELOPMENT]],Development_Data_Book[[DEVELOPMENT]:[BOROUGH]],3,FALSE)</f>
        <v>153</v>
      </c>
      <c r="Y267" s="20" t="s">
        <v>2599</v>
      </c>
      <c r="Z267" s="20">
        <f>IFERROR(VLOOKUP(Data[[#This Row],[TDS]],ExtCompactors_PNA[[Development]:[0]],2,FALSE),0)</f>
        <v>0</v>
      </c>
      <c r="AA267" s="20">
        <f>IFERROR(VLOOKUP(Data[[#This Row],[TDS]],IntCompactors_PNA[[TDS]:[0]],2,FALSE),0)</f>
        <v>2</v>
      </c>
      <c r="AB267" s="20"/>
      <c r="AC267" s="20"/>
      <c r="AD267" s="20">
        <f>IFERROR(VLOOKUP(Data[[#This Row],[TDS]],ExtCompactors_PNA[[Development]:[0]],3,FALSE)+VLOOKUP(Data[[#This Row],[TDS]],ExtCompactors_PNA[[Development]:[0]],6,FALSE),0)</f>
        <v>0</v>
      </c>
      <c r="AE267" s="20">
        <f>IFERROR(VLOOKUP(Data[[#This Row],[TDS]],IntCompactors_PNA[[TDS]:[0]],3,FALSE)+VLOOKUP(Data[[#This Row],[TDS]],IntCompactors_PNA[[TDS]:[0]],6,FALSE),0)</f>
        <v>2</v>
      </c>
      <c r="AF267" s="20" t="e">
        <f>VLOOKUP(Data[[#This Row],[DEVELOPMENT]],[3]Developments!$A$2:$A$312,1,FALSE)</f>
        <v>#N/A</v>
      </c>
      <c r="AG267" s="20">
        <f>IFERROR(VLOOKUP(Data[[#This Row],[DEVELOPMENT]],Ops_Priorities_and_Data_Clean[[development]:[ifnoext_comment]],3,FALSE),"")</f>
        <v>0</v>
      </c>
      <c r="AH267" s="20">
        <f>IFERROR(VLOOKUP(Data[[#This Row],[DEVELOPMENT]],Ops_Priorities_and_Data_Clean[[development]:[ifnoext_comment]],4,FALSE),"")</f>
        <v>0</v>
      </c>
      <c r="AI267" s="20">
        <f>IFERROR(VLOOKUP(Data[[#This Row],[DEVELOPMENT]],Ops_Priorities_and_Data_Clean[[development]:[ifnoext_comment]],5,FALSE),"")</f>
        <v>0</v>
      </c>
      <c r="AJ267" s="20">
        <f>IFERROR(VLOOKUP(Data[[#This Row],[DEVELOPMENT]],Ops_Priorities_and_Data_Clean[[development]:[ifnoext_comment]],6,FALSE),"")</f>
        <v>0</v>
      </c>
      <c r="AK267" s="20">
        <f>IFERROR(VLOOKUP(Data[[#This Row],[DEVELOPMENT]],Ops_Priorities_and_Data_Clean[[development]:[ifnoext_comment]],7,FALSE),"")</f>
        <v>1</v>
      </c>
      <c r="AL267" s="20">
        <f>IFERROR(VLOOKUP(Data[[#This Row],[DEVELOPMENT]],Ops_Priorities_and_Data_Clean[[development]:[ifnoext_comment]],8,FALSE),"")</f>
        <v>1</v>
      </c>
      <c r="AM267" s="20">
        <f>IFERROR(VLOOKUP(Data[[#This Row],[DEVELOPMENT]],Ops_Priorities_and_Data_Clean[[development]:[ifnoext_comment]],9,FALSE),"")</f>
        <v>0</v>
      </c>
      <c r="AN267" s="20">
        <f>IFERROR(VLOOKUP(Data[[#This Row],[DEVELOPMENT]],Ops_Priorities_and_Data_Clean[[development]:[ifnoext_comment]],10,FALSE),"")</f>
        <v>0</v>
      </c>
      <c r="AO267" s="20">
        <f>IFERROR(VLOOKUP(Data[[#This Row],[DEVELOPMENT]],Ops_Priorities_and_Data_Clean[[development]:[ifnoext_comment]],11,FALSE),"")</f>
        <v>0</v>
      </c>
      <c r="AP267" s="20">
        <f>IFERROR(VLOOKUP(Data[[#This Row],[DEVELOPMENT]],Ops_Priorities_and_Data_Clean[[development]:[ifnoext_comment]],12,FALSE),"")</f>
        <v>0</v>
      </c>
      <c r="AQ267" s="20">
        <f>VLOOKUP(Data[[#This Row],[DEVELOPMENT]],Ops_Priorities_and_Data_Clean[[development]:[ifnoext_comment]],14,FALSE)</f>
        <v>1</v>
      </c>
      <c r="AR267" s="20">
        <f>VLOOKUP(Data[[#This Row],[DEVELOPMENT]],Ops_Priorities_and_Data_Clean[[development]:[ifnoext_comment]],15,FALSE)</f>
        <v>0</v>
      </c>
      <c r="AS267" s="20" t="str">
        <f>VLOOKUP(Data[[#This Row],[DEVELOPMENT]],Ops_Priorities_and_Data_Clean[[development]:[ifnoext_comment]],16,FALSE)</f>
        <v>NULL</v>
      </c>
      <c r="AT267" s="20" t="str">
        <f>VLOOKUP(Data[[#This Row],[DEVELOPMENT]],Ops_Priorities_and_Data_Clean[[development]:[ifnoext_comment]],17,FALSE)</f>
        <v>NULL</v>
      </c>
      <c r="AU267" s="20" t="str">
        <f>VLOOKUP(Data[[#This Row],[DEVELOPMENT]],Ops_Priorities_and_Data_Clean[[development]:[ifnoext_comment]],18,FALSE)</f>
        <v>NULL</v>
      </c>
      <c r="AV267" s="20" t="str">
        <f>VLOOKUP(Data[[#This Row],[DEVELOPMENT]],Ops_Priorities_and_Data_Clean[[development]:[ifnoext_comment]],19,FALSE)</f>
        <v>NULL</v>
      </c>
      <c r="AW267" s="20" t="str">
        <f>VLOOKUP(Data[[#This Row],[DEVELOPMENT]],Ops_Priorities_and_Data_Clean[[development]:[ifnoext_comment]],20,FALSE)</f>
        <v>NULL</v>
      </c>
      <c r="AX267" s="104" t="s">
        <v>2605</v>
      </c>
      <c r="AY267" s="104" t="s">
        <v>2606</v>
      </c>
      <c r="AZ267" s="20" t="str">
        <f>VLOOKUP(Data[[#This Row],[DEVELOPMENT]],Development_Data_Book[[DEVELOPMENT]:[PRIVATE MANAGEMENT]],8,FALSE)</f>
        <v>FEDERAL</v>
      </c>
      <c r="BA267" s="104" t="s">
        <v>2586</v>
      </c>
      <c r="BB267" s="20">
        <f>VLOOKUP(Data[[#This Row],[DEVELOPMENT]],Development_Data_Book[[DEVELOPMENT]:[PRIVATE MANAGEMENT]],22,FALSE)</f>
        <v>0</v>
      </c>
      <c r="BC267" s="20">
        <f>Data[[#This Row],[Non-Dwelling Buildings]]+Data[[#This Row],[Dwelling Buildings]]</f>
        <v>2</v>
      </c>
      <c r="BD267" s="20">
        <f>VLOOKUP(Data[[#This Row],[DEVELOPMENT]],Development_Data_Book[[DEVELOPMENT]:[PRIVATE MANAGEMENT]],26,FALSE)</f>
        <v>1.06</v>
      </c>
      <c r="BE267" s="106">
        <v>230513</v>
      </c>
      <c r="BF267" s="20">
        <f>VLOOKUP(Data[[#This Row],[DEVELOPMENT]],Development_Data_Book[[DEVELOPMENT]:[PRIVATE MANAGEMENT]],18,FALSE)</f>
        <v>550</v>
      </c>
      <c r="BG26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67" s="104" t="s">
        <v>2607</v>
      </c>
      <c r="BI267" t="s">
        <v>184</v>
      </c>
      <c r="BJ267" s="20">
        <f>VLOOKUP(Data[[#This Row],[DEVELOPMENT]],Development_Data_Book[[DEVELOPMENT]:[PRIVATE MANAGEMENT]],41,FALSE)</f>
        <v>6</v>
      </c>
      <c r="BK267" s="20">
        <f>VLOOKUP(Data[[#This Row],[DEVELOPMENT]],Development_Data_Book[[DEVELOPMENT]:[PRIVATE MANAGEMENT]],42,FALSE)</f>
        <v>12</v>
      </c>
      <c r="BL267" s="20">
        <f>VLOOKUP(Data[[#This Row],[DEVELOPMENT]],Development_Data_Book[[DEVELOPMENT]:[PRIVATE MANAGEMENT]],43,FALSE)</f>
        <v>28</v>
      </c>
      <c r="BM267" s="20">
        <f>VLOOKUP(Data[[#This Row],[DEVELOPMENT]],Development_Data_Book[[DEVELOPMENT]:[PRIVATE MANAGEMENT]],44,FALSE)</f>
        <v>74</v>
      </c>
      <c r="BN267" s="20">
        <f>VLOOKUP(Data[[#This Row],[DEVELOPMENT]],Development_Data_Book[[DEVELOPMENT]:[PRIVATE MANAGEMENT]],45,FALSE)</f>
        <v>2</v>
      </c>
      <c r="BO267" s="20" t="str">
        <f>VLOOKUP(Data[[#This Row],[DEVELOPMENT]],Development_Data_Book[[DEVELOPMENT]:[PRIVATE MANAGEMENT]],24,FALSE)</f>
        <v>19-20</v>
      </c>
    </row>
    <row r="268" spans="1:67">
      <c r="A268" s="17" t="s">
        <v>257</v>
      </c>
      <c r="B268" s="17" t="str">
        <f>VLOOKUP(Data[[#This Row],[DEVELOPMENT]],Development_Data_Book[[DEVELOPMENT]:[BOROUGH]],MATCH("borough",Development_Data_Book[[#Headers],[DEVELOPMENT]:[BOROUGH]],0),FALSE)</f>
        <v>BROOKLYN</v>
      </c>
      <c r="C268" t="e">
        <f>VLOOKUP(Data[[#This Row],[DEVELOPMENT]],'[1]Cheat-Sheet'!$D$2:$Q$341,2,FALSE)</f>
        <v>#N/A</v>
      </c>
      <c r="D26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68">
        <f>VLOOKUP(Data[[#This Row],[DEVELOPMENT]],Development_Data_Book[[DEVELOPMENT]:[BOROUGH]],21,FALSE)</f>
        <v>5</v>
      </c>
      <c r="F268">
        <f>VLOOKUP(Data[[#This Row],[DEVELOPMENT]],Development_Data_Book[[DEVELOPMENT]:[BOROUGH]],23,FALSE)</f>
        <v>25</v>
      </c>
      <c r="G268">
        <f>VLOOKUP(Data[[#This Row],[DEVELOPMENT]],Development_Data_Book[[DEVELOPMENT]:[BOROUGH]],12,FALSE)</f>
        <v>329</v>
      </c>
      <c r="J268">
        <f>IFERROR(VLOOKUP(Data[[#This Row],[DEVELOPMENT]],IntCompactors_MRST[],4,FALSE),0)</f>
        <v>11</v>
      </c>
      <c r="K268" s="20">
        <f>IFERROR(VLOOKUP(Data[[#This Row],[DEVELOPMENT]],ExtCompactors_MRST[],4,FALSE),0)</f>
        <v>1</v>
      </c>
      <c r="L268" s="27">
        <f>IF(Data[[#This Row],['# Interior Compactors MRST]]=0,"",VLOOKUP(Data[[#This Row],[DEVELOPMENT]],IntCompactors_MRST[],5,FALSE))</f>
        <v>32874</v>
      </c>
      <c r="M268" s="28">
        <f>IF(Data[[#This Row],['# Exterior Compactors MRST]]=0,"",VLOOKUP(Data[[#This Row],[DEVELOPMENT]],ExtCompactors_MRST[],5,FALSE))</f>
        <v>39427</v>
      </c>
      <c r="N268">
        <f>Data[[#This Row],['# Interior Compactors MRST]]</f>
        <v>11</v>
      </c>
      <c r="O268" s="20">
        <f>IF(Data[[#This Row],['# Bulk Crushers]]=0,1,0)</f>
        <v>1</v>
      </c>
      <c r="P268" s="20">
        <f>1</f>
        <v>1</v>
      </c>
      <c r="Q268" s="20">
        <f>1</f>
        <v>1</v>
      </c>
      <c r="R268" s="20">
        <f>1</f>
        <v>1</v>
      </c>
      <c r="S268" s="20">
        <f>1</f>
        <v>1</v>
      </c>
      <c r="T268" s="20">
        <f>IF(Data[[#This Row],[Sewershed]]="Newtown Creek",Data[[#This Row],[DUs]],0)</f>
        <v>329</v>
      </c>
      <c r="U26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6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6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68" s="82">
        <f>VLOOKUP(Data[[#This Row],[DEVELOPMENT]],Development_Data_Book[[DEVELOPMENT]:[BOROUGH]],3,FALSE)</f>
        <v>221</v>
      </c>
      <c r="Y268" s="20" t="s">
        <v>2599</v>
      </c>
      <c r="Z268" s="20">
        <f>IFERROR(VLOOKUP(Data[[#This Row],[TDS]],ExtCompactors_PNA[[Development]:[0]],2,FALSE),0)</f>
        <v>0</v>
      </c>
      <c r="AA268" s="20">
        <f>IFERROR(VLOOKUP(Data[[#This Row],[TDS]],IntCompactors_PNA[[TDS]:[0]],2,FALSE),0)</f>
        <v>11</v>
      </c>
      <c r="AB268" s="20"/>
      <c r="AC268" s="20"/>
      <c r="AD268" s="20">
        <f>IFERROR(VLOOKUP(Data[[#This Row],[TDS]],ExtCompactors_PNA[[Development]:[0]],3,FALSE)+VLOOKUP(Data[[#This Row],[TDS]],ExtCompactors_PNA[[Development]:[0]],6,FALSE),0)</f>
        <v>0</v>
      </c>
      <c r="AE268" s="20">
        <f>IFERROR(VLOOKUP(Data[[#This Row],[TDS]],IntCompactors_PNA[[TDS]:[0]],3,FALSE)+VLOOKUP(Data[[#This Row],[TDS]],IntCompactors_PNA[[TDS]:[0]],6,FALSE),0)</f>
        <v>11</v>
      </c>
      <c r="AF268" s="20" t="e">
        <f>VLOOKUP(Data[[#This Row],[DEVELOPMENT]],[3]Developments!$A$2:$A$312,1,FALSE)</f>
        <v>#N/A</v>
      </c>
      <c r="AG268" s="20">
        <f>IFERROR(VLOOKUP(Data[[#This Row],[DEVELOPMENT]],Ops_Priorities_and_Data_Clean[[development]:[ifnoext_comment]],3,FALSE),"")</f>
        <v>1</v>
      </c>
      <c r="AH268" s="20">
        <f>IFERROR(VLOOKUP(Data[[#This Row],[DEVELOPMENT]],Ops_Priorities_and_Data_Clean[[development]:[ifnoext_comment]],4,FALSE),"")</f>
        <v>0</v>
      </c>
      <c r="AI268" s="20">
        <f>IFERROR(VLOOKUP(Data[[#This Row],[DEVELOPMENT]],Ops_Priorities_and_Data_Clean[[development]:[ifnoext_comment]],5,FALSE),"")</f>
        <v>1</v>
      </c>
      <c r="AJ268" s="20">
        <f>IFERROR(VLOOKUP(Data[[#This Row],[DEVELOPMENT]],Ops_Priorities_and_Data_Clean[[development]:[ifnoext_comment]],6,FALSE),"")</f>
        <v>0</v>
      </c>
      <c r="AK268" s="20">
        <f>IFERROR(VLOOKUP(Data[[#This Row],[DEVELOPMENT]],Ops_Priorities_and_Data_Clean[[development]:[ifnoext_comment]],7,FALSE),"")</f>
        <v>0</v>
      </c>
      <c r="AL268" s="20">
        <f>IFERROR(VLOOKUP(Data[[#This Row],[DEVELOPMENT]],Ops_Priorities_and_Data_Clean[[development]:[ifnoext_comment]],8,FALSE),"")</f>
        <v>1</v>
      </c>
      <c r="AM268" s="20">
        <f>IFERROR(VLOOKUP(Data[[#This Row],[DEVELOPMENT]],Ops_Priorities_and_Data_Clean[[development]:[ifnoext_comment]],9,FALSE),"")</f>
        <v>0</v>
      </c>
      <c r="AN268" s="20">
        <f>IFERROR(VLOOKUP(Data[[#This Row],[DEVELOPMENT]],Ops_Priorities_and_Data_Clean[[development]:[ifnoext_comment]],10,FALSE),"")</f>
        <v>1</v>
      </c>
      <c r="AO268" s="20">
        <f>IFERROR(VLOOKUP(Data[[#This Row],[DEVELOPMENT]],Ops_Priorities_and_Data_Clean[[development]:[ifnoext_comment]],11,FALSE),"")</f>
        <v>1</v>
      </c>
      <c r="AP268" s="20">
        <f>IFERROR(VLOOKUP(Data[[#This Row],[DEVELOPMENT]],Ops_Priorities_and_Data_Clean[[development]:[ifnoext_comment]],12,FALSE),"")</f>
        <v>1</v>
      </c>
      <c r="AQ268" s="20">
        <f>VLOOKUP(Data[[#This Row],[DEVELOPMENT]],Ops_Priorities_and_Data_Clean[[development]:[ifnoext_comment]],14,FALSE)</f>
        <v>0</v>
      </c>
      <c r="AR268" s="20">
        <f>VLOOKUP(Data[[#This Row],[DEVELOPMENT]],Ops_Priorities_and_Data_Clean[[development]:[ifnoext_comment]],15,FALSE)</f>
        <v>0</v>
      </c>
      <c r="AS268" s="20" t="str">
        <f>VLOOKUP(Data[[#This Row],[DEVELOPMENT]],Ops_Priorities_and_Data_Clean[[development]:[ifnoext_comment]],16,FALSE)</f>
        <v>NULL</v>
      </c>
      <c r="AT268" s="20" t="str">
        <f>VLOOKUP(Data[[#This Row],[DEVELOPMENT]],Ops_Priorities_and_Data_Clean[[development]:[ifnoext_comment]],17,FALSE)</f>
        <v>NULL</v>
      </c>
      <c r="AU268" s="20" t="str">
        <f>VLOOKUP(Data[[#This Row],[DEVELOPMENT]],Ops_Priorities_and_Data_Clean[[development]:[ifnoext_comment]],18,FALSE)</f>
        <v>No</v>
      </c>
      <c r="AV268" s="20" t="str">
        <f>VLOOKUP(Data[[#This Row],[DEVELOPMENT]],Ops_Priorities_and_Data_Clean[[development]:[ifnoext_comment]],19,FALSE)</f>
        <v>container on-site</v>
      </c>
      <c r="AW268" s="20" t="str">
        <f>VLOOKUP(Data[[#This Row],[DEVELOPMENT]],Ops_Priorities_and_Data_Clean[[development]:[ifnoext_comment]],20,FALSE)</f>
        <v>NULL</v>
      </c>
      <c r="AX268" s="104" t="s">
        <v>2238</v>
      </c>
      <c r="AY268" s="104" t="s">
        <v>2600</v>
      </c>
      <c r="AZ268" s="20" t="str">
        <f>VLOOKUP(Data[[#This Row],[DEVELOPMENT]],Development_Data_Book[[DEVELOPMENT]:[PRIVATE MANAGEMENT]],8,FALSE)</f>
        <v>FEDERAL</v>
      </c>
      <c r="BA268" s="104" t="s">
        <v>2588</v>
      </c>
      <c r="BB268" s="20">
        <f>VLOOKUP(Data[[#This Row],[DEVELOPMENT]],Development_Data_Book[[DEVELOPMENT]:[PRIVATE MANAGEMENT]],22,FALSE)</f>
        <v>0</v>
      </c>
      <c r="BC268" s="20">
        <f>Data[[#This Row],[Non-Dwelling Buildings]]+Data[[#This Row],[Dwelling Buildings]]</f>
        <v>5</v>
      </c>
      <c r="BD268" s="20">
        <f>VLOOKUP(Data[[#This Row],[DEVELOPMENT]],Development_Data_Book[[DEVELOPMENT]:[PRIVATE MANAGEMENT]],26,FALSE)</f>
        <v>4.6399999999999997</v>
      </c>
      <c r="BE268" s="106">
        <v>389000</v>
      </c>
      <c r="BF268" s="20">
        <f>VLOOKUP(Data[[#This Row],[DEVELOPMENT]],Development_Data_Book[[DEVELOPMENT]:[PRIVATE MANAGEMENT]],18,FALSE)</f>
        <v>828</v>
      </c>
      <c r="BG26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68" s="104" t="s">
        <v>2601</v>
      </c>
      <c r="BI268" t="s">
        <v>184</v>
      </c>
      <c r="BJ268" s="20">
        <f>VLOOKUP(Data[[#This Row],[DEVELOPMENT]],Development_Data_Book[[DEVELOPMENT]:[PRIVATE MANAGEMENT]],41,FALSE)</f>
        <v>3</v>
      </c>
      <c r="BK268" s="20">
        <f>VLOOKUP(Data[[#This Row],[DEVELOPMENT]],Development_Data_Book[[DEVELOPMENT]:[PRIVATE MANAGEMENT]],42,FALSE)</f>
        <v>8</v>
      </c>
      <c r="BL268" s="20">
        <f>VLOOKUP(Data[[#This Row],[DEVELOPMENT]],Development_Data_Book[[DEVELOPMENT]:[PRIVATE MANAGEMENT]],43,FALSE)</f>
        <v>25</v>
      </c>
      <c r="BM268" s="20">
        <f>VLOOKUP(Data[[#This Row],[DEVELOPMENT]],Development_Data_Book[[DEVELOPMENT]:[PRIVATE MANAGEMENT]],44,FALSE)</f>
        <v>56</v>
      </c>
      <c r="BN268" s="20">
        <f>VLOOKUP(Data[[#This Row],[DEVELOPMENT]],Development_Data_Book[[DEVELOPMENT]:[PRIVATE MANAGEMENT]],45,FALSE)</f>
        <v>36</v>
      </c>
      <c r="BO268" s="20">
        <f>VLOOKUP(Data[[#This Row],[DEVELOPMENT]],Development_Data_Book[[DEVELOPMENT]:[PRIVATE MANAGEMENT]],24,FALSE)</f>
        <v>4</v>
      </c>
    </row>
    <row r="269" spans="1:67">
      <c r="A269" s="17" t="s">
        <v>258</v>
      </c>
      <c r="B269" s="17" t="str">
        <f>VLOOKUP(Data[[#This Row],[DEVELOPMENT]],Development_Data_Book[[DEVELOPMENT]:[BOROUGH]],MATCH("borough",Development_Data_Book[[#Headers],[DEVELOPMENT]:[BOROUGH]],0),FALSE)</f>
        <v>BROOKLYN</v>
      </c>
      <c r="C269" t="e">
        <f>VLOOKUP(Data[[#This Row],[DEVELOPMENT]],'[1]Cheat-Sheet'!$D$2:$Q$341,2,FALSE)</f>
        <v>#N/A</v>
      </c>
      <c r="D26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69">
        <f>VLOOKUP(Data[[#This Row],[DEVELOPMENT]],Development_Data_Book[[DEVELOPMENT]:[BOROUGH]],21,FALSE)</f>
        <v>1</v>
      </c>
      <c r="F269">
        <f>VLOOKUP(Data[[#This Row],[DEVELOPMENT]],Development_Data_Book[[DEVELOPMENT]:[BOROUGH]],23,FALSE)</f>
        <v>1</v>
      </c>
      <c r="G269">
        <f>VLOOKUP(Data[[#This Row],[DEVELOPMENT]],Development_Data_Book[[DEVELOPMENT]:[BOROUGH]],12,FALSE)</f>
        <v>150</v>
      </c>
      <c r="J269">
        <f>IFERROR(VLOOKUP(Data[[#This Row],[DEVELOPMENT]],IntCompactors_MRST[],4,FALSE),0)</f>
        <v>1</v>
      </c>
      <c r="K269" s="20">
        <f>IFERROR(VLOOKUP(Data[[#This Row],[DEVELOPMENT]],ExtCompactors_MRST[],4,FALSE),0)</f>
        <v>0</v>
      </c>
      <c r="L269" s="27">
        <f>IF(Data[[#This Row],['# Interior Compactors MRST]]=0,"",VLOOKUP(Data[[#This Row],[DEVELOPMENT]],IntCompactors_MRST[],5,FALSE))</f>
        <v>31048</v>
      </c>
      <c r="M269" s="28" t="str">
        <f>IF(Data[[#This Row],['# Exterior Compactors MRST]]=0,"",VLOOKUP(Data[[#This Row],[DEVELOPMENT]],ExtCompactors_MRST[],5,FALSE))</f>
        <v/>
      </c>
      <c r="N269">
        <f>Data[[#This Row],['# Interior Compactors MRST]]</f>
        <v>1</v>
      </c>
      <c r="O269" s="20">
        <f>IF(Data[[#This Row],['# Bulk Crushers]]=0,1,0)</f>
        <v>1</v>
      </c>
      <c r="P269" s="20">
        <f>1</f>
        <v>1</v>
      </c>
      <c r="Q269" s="20">
        <f>1</f>
        <v>1</v>
      </c>
      <c r="R269" s="20">
        <f>1</f>
        <v>1</v>
      </c>
      <c r="S269" s="20">
        <f>1</f>
        <v>1</v>
      </c>
      <c r="T269" s="20">
        <f>IF(Data[[#This Row],[Sewershed]]="Newtown Creek",Data[[#This Row],[DUs]],0)</f>
        <v>150</v>
      </c>
      <c r="U26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6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6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69" s="82">
        <f>VLOOKUP(Data[[#This Row],[DEVELOPMENT]],Development_Data_Book[[DEVELOPMENT]:[BOROUGH]],3,FALSE)</f>
        <v>333</v>
      </c>
      <c r="Y269" s="20" t="s">
        <v>2599</v>
      </c>
      <c r="Z269" s="20">
        <f>IFERROR(VLOOKUP(Data[[#This Row],[TDS]],ExtCompactors_PNA[[Development]:[0]],2,FALSE),0)</f>
        <v>0</v>
      </c>
      <c r="AA269" s="20">
        <f>IFERROR(VLOOKUP(Data[[#This Row],[TDS]],IntCompactors_PNA[[TDS]:[0]],2,FALSE),0)</f>
        <v>1</v>
      </c>
      <c r="AB269" s="20"/>
      <c r="AC269" s="20"/>
      <c r="AD269" s="20">
        <f>IFERROR(VLOOKUP(Data[[#This Row],[TDS]],ExtCompactors_PNA[[Development]:[0]],3,FALSE)+VLOOKUP(Data[[#This Row],[TDS]],ExtCompactors_PNA[[Development]:[0]],6,FALSE),0)</f>
        <v>0</v>
      </c>
      <c r="AE269" s="20">
        <f>IFERROR(VLOOKUP(Data[[#This Row],[TDS]],IntCompactors_PNA[[TDS]:[0]],3,FALSE)+VLOOKUP(Data[[#This Row],[TDS]],IntCompactors_PNA[[TDS]:[0]],6,FALSE),0)</f>
        <v>1</v>
      </c>
      <c r="AF269" s="20" t="e">
        <f>VLOOKUP(Data[[#This Row],[DEVELOPMENT]],[3]Developments!$A$2:$A$312,1,FALSE)</f>
        <v>#N/A</v>
      </c>
      <c r="AG269" s="20">
        <f>IFERROR(VLOOKUP(Data[[#This Row],[DEVELOPMENT]],Ops_Priorities_and_Data_Clean[[development]:[ifnoext_comment]],3,FALSE),"")</f>
        <v>0</v>
      </c>
      <c r="AH269" s="20">
        <f>IFERROR(VLOOKUP(Data[[#This Row],[DEVELOPMENT]],Ops_Priorities_and_Data_Clean[[development]:[ifnoext_comment]],4,FALSE),"")</f>
        <v>0</v>
      </c>
      <c r="AI269" s="20">
        <f>IFERROR(VLOOKUP(Data[[#This Row],[DEVELOPMENT]],Ops_Priorities_and_Data_Clean[[development]:[ifnoext_comment]],5,FALSE),"")</f>
        <v>0</v>
      </c>
      <c r="AJ269" s="20">
        <f>IFERROR(VLOOKUP(Data[[#This Row],[DEVELOPMENT]],Ops_Priorities_and_Data_Clean[[development]:[ifnoext_comment]],6,FALSE),"")</f>
        <v>1</v>
      </c>
      <c r="AK269" s="20">
        <f>IFERROR(VLOOKUP(Data[[#This Row],[DEVELOPMENT]],Ops_Priorities_and_Data_Clean[[development]:[ifnoext_comment]],7,FALSE),"")</f>
        <v>0</v>
      </c>
      <c r="AL269" s="20">
        <f>IFERROR(VLOOKUP(Data[[#This Row],[DEVELOPMENT]],Ops_Priorities_and_Data_Clean[[development]:[ifnoext_comment]],8,FALSE),"")</f>
        <v>1</v>
      </c>
      <c r="AM269" s="20">
        <f>IFERROR(VLOOKUP(Data[[#This Row],[DEVELOPMENT]],Ops_Priorities_and_Data_Clean[[development]:[ifnoext_comment]],9,FALSE),"")</f>
        <v>1</v>
      </c>
      <c r="AN269" s="20">
        <f>IFERROR(VLOOKUP(Data[[#This Row],[DEVELOPMENT]],Ops_Priorities_and_Data_Clean[[development]:[ifnoext_comment]],10,FALSE),"")</f>
        <v>1</v>
      </c>
      <c r="AO269" s="20">
        <f>IFERROR(VLOOKUP(Data[[#This Row],[DEVELOPMENT]],Ops_Priorities_and_Data_Clean[[development]:[ifnoext_comment]],11,FALSE),"")</f>
        <v>0</v>
      </c>
      <c r="AP269" s="20">
        <f>IFERROR(VLOOKUP(Data[[#This Row],[DEVELOPMENT]],Ops_Priorities_and_Data_Clean[[development]:[ifnoext_comment]],12,FALSE),"")</f>
        <v>0</v>
      </c>
      <c r="AQ269" s="20">
        <f>VLOOKUP(Data[[#This Row],[DEVELOPMENT]],Ops_Priorities_and_Data_Clean[[development]:[ifnoext_comment]],14,FALSE)</f>
        <v>0</v>
      </c>
      <c r="AR269" s="20">
        <f>VLOOKUP(Data[[#This Row],[DEVELOPMENT]],Ops_Priorities_and_Data_Clean[[development]:[ifnoext_comment]],15,FALSE)</f>
        <v>0</v>
      </c>
      <c r="AS269" s="20" t="str">
        <f>VLOOKUP(Data[[#This Row],[DEVELOPMENT]],Ops_Priorities_and_Data_Clean[[development]:[ifnoext_comment]],16,FALSE)</f>
        <v>Stuyvesant Gardens I</v>
      </c>
      <c r="AT269" s="20" t="str">
        <f>VLOOKUP(Data[[#This Row],[DEVELOPMENT]],Ops_Priorities_and_Data_Clean[[development]:[ifnoext_comment]],17,FALSE)</f>
        <v>NULL</v>
      </c>
      <c r="AU269" s="20" t="str">
        <f>VLOOKUP(Data[[#This Row],[DEVELOPMENT]],Ops_Priorities_and_Data_Clean[[development]:[ifnoext_comment]],18,FALSE)</f>
        <v>No</v>
      </c>
      <c r="AV269" s="20" t="str">
        <f>VLOOKUP(Data[[#This Row],[DEVELOPMENT]],Ops_Priorities_and_Data_Clean[[development]:[ifnoext_comment]],19,FALSE)</f>
        <v>served by Stuyvesant Gardens I</v>
      </c>
      <c r="AW269" s="20" t="str">
        <f>VLOOKUP(Data[[#This Row],[DEVELOPMENT]],Ops_Priorities_and_Data_Clean[[development]:[ifnoext_comment]],20,FALSE)</f>
        <v>NULL</v>
      </c>
      <c r="AX269" s="104" t="s">
        <v>2238</v>
      </c>
      <c r="AY269" s="104" t="s">
        <v>2600</v>
      </c>
      <c r="AZ269" s="20" t="str">
        <f>VLOOKUP(Data[[#This Row],[DEVELOPMENT]],Development_Data_Book[[DEVELOPMENT]:[PRIVATE MANAGEMENT]],8,FALSE)</f>
        <v>FEDERAL</v>
      </c>
      <c r="BA269" s="104" t="s">
        <v>2586</v>
      </c>
      <c r="BB269" s="20">
        <f>VLOOKUP(Data[[#This Row],[DEVELOPMENT]],Development_Data_Book[[DEVELOPMENT]:[PRIVATE MANAGEMENT]],22,FALSE)</f>
        <v>0</v>
      </c>
      <c r="BC269" s="20">
        <f>Data[[#This Row],[Non-Dwelling Buildings]]+Data[[#This Row],[Dwelling Buildings]]</f>
        <v>1</v>
      </c>
      <c r="BD269" s="20">
        <f>VLOOKUP(Data[[#This Row],[DEVELOPMENT]],Development_Data_Book[[DEVELOPMENT]:[PRIVATE MANAGEMENT]],26,FALSE)</f>
        <v>1.61</v>
      </c>
      <c r="BE269" s="106">
        <v>121000</v>
      </c>
      <c r="BF269" s="20">
        <f>VLOOKUP(Data[[#This Row],[DEVELOPMENT]],Development_Data_Book[[DEVELOPMENT]:[PRIVATE MANAGEMENT]],18,FALSE)</f>
        <v>166</v>
      </c>
      <c r="BG269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69" s="104" t="s">
        <v>2601</v>
      </c>
      <c r="BI269" t="s">
        <v>184</v>
      </c>
      <c r="BJ269" s="20">
        <f>VLOOKUP(Data[[#This Row],[DEVELOPMENT]],Development_Data_Book[[DEVELOPMENT]:[PRIVATE MANAGEMENT]],41,FALSE)</f>
        <v>3</v>
      </c>
      <c r="BK269" s="20">
        <f>VLOOKUP(Data[[#This Row],[DEVELOPMENT]],Development_Data_Book[[DEVELOPMENT]:[PRIVATE MANAGEMENT]],42,FALSE)</f>
        <v>8</v>
      </c>
      <c r="BL269" s="20">
        <f>VLOOKUP(Data[[#This Row],[DEVELOPMENT]],Development_Data_Book[[DEVELOPMENT]:[PRIVATE MANAGEMENT]],43,FALSE)</f>
        <v>25</v>
      </c>
      <c r="BM269" s="20">
        <f>VLOOKUP(Data[[#This Row],[DEVELOPMENT]],Development_Data_Book[[DEVELOPMENT]:[PRIVATE MANAGEMENT]],44,FALSE)</f>
        <v>56</v>
      </c>
      <c r="BN269" s="20">
        <f>VLOOKUP(Data[[#This Row],[DEVELOPMENT]],Development_Data_Book[[DEVELOPMENT]:[PRIVATE MANAGEMENT]],45,FALSE)</f>
        <v>36</v>
      </c>
      <c r="BO269" s="20">
        <f>VLOOKUP(Data[[#This Row],[DEVELOPMENT]],Development_Data_Book[[DEVELOPMENT]:[PRIVATE MANAGEMENT]],24,FALSE)</f>
        <v>7</v>
      </c>
    </row>
    <row r="270" spans="1:67">
      <c r="A270" s="17" t="s">
        <v>45</v>
      </c>
      <c r="B270" s="17" t="str">
        <f>VLOOKUP(Data[[#This Row],[DEVELOPMENT]],Development_Data_Book[[DEVELOPMENT]:[BOROUGH]],MATCH("borough",Development_Data_Book[[#Headers],[DEVELOPMENT]:[BOROUGH]],0),FALSE)</f>
        <v>BROOKLYN</v>
      </c>
      <c r="C270" t="e">
        <f>VLOOKUP(Data[[#This Row],[DEVELOPMENT]],'[1]Cheat-Sheet'!$D$2:$Q$341,2,FALSE)</f>
        <v>#N/A</v>
      </c>
      <c r="D27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70">
        <f>VLOOKUP(Data[[#This Row],[DEVELOPMENT]],Development_Data_Book[[DEVELOPMENT]:[BOROUGH]],21,FALSE)</f>
        <v>13</v>
      </c>
      <c r="F270">
        <f>VLOOKUP(Data[[#This Row],[DEVELOPMENT]],Development_Data_Book[[DEVELOPMENT]:[BOROUGH]],23,FALSE)</f>
        <v>24</v>
      </c>
      <c r="G270">
        <f>VLOOKUP(Data[[#This Row],[DEVELOPMENT]],Development_Data_Book[[DEVELOPMENT]:[BOROUGH]],12,FALSE)</f>
        <v>1098</v>
      </c>
      <c r="H270" t="s">
        <v>2246</v>
      </c>
      <c r="I270">
        <v>4</v>
      </c>
      <c r="J270">
        <f>IFERROR(VLOOKUP(Data[[#This Row],[DEVELOPMENT]],IntCompactors_MRST[],4,FALSE),0)</f>
        <v>24</v>
      </c>
      <c r="K270" s="20">
        <f>IFERROR(VLOOKUP(Data[[#This Row],[DEVELOPMENT]],ExtCompactors_MRST[],4,FALSE),0)</f>
        <v>3</v>
      </c>
      <c r="L270" s="27">
        <f>IF(Data[[#This Row],['# Interior Compactors MRST]]=0,"",VLOOKUP(Data[[#This Row],[DEVELOPMENT]],IntCompactors_MRST[],5,FALSE))</f>
        <v>43585</v>
      </c>
      <c r="M270" s="28">
        <f>IF(Data[[#This Row],['# Exterior Compactors MRST]]=0,"",VLOOKUP(Data[[#This Row],[DEVELOPMENT]],ExtCompactors_MRST[],5,FALSE))</f>
        <v>43619</v>
      </c>
      <c r="N270">
        <f>Data[[#This Row],['# Interior Compactors MRST]]</f>
        <v>24</v>
      </c>
      <c r="O270" s="20">
        <f>IF(Data[[#This Row],['# Bulk Crushers]]=0,1,0)</f>
        <v>1</v>
      </c>
      <c r="P270" s="20">
        <f>1</f>
        <v>1</v>
      </c>
      <c r="Q270" s="20">
        <f>1</f>
        <v>1</v>
      </c>
      <c r="R270" s="20">
        <f>1</f>
        <v>1</v>
      </c>
      <c r="S270" s="20">
        <f>1</f>
        <v>1</v>
      </c>
      <c r="T270" s="20">
        <f>IF(Data[[#This Row],[Sewershed]]="Newtown Creek",Data[[#This Row],[DUs]],0)</f>
        <v>1098</v>
      </c>
      <c r="U27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7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7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70" s="82">
        <f>VLOOKUP(Data[[#This Row],[DEVELOPMENT]],Development_Data_Book[[DEVELOPMENT]:[BOROUGH]],3,FALSE)</f>
        <v>73</v>
      </c>
      <c r="Y270" s="20" t="s">
        <v>2599</v>
      </c>
      <c r="Z270" s="20">
        <f>IFERROR(VLOOKUP(Data[[#This Row],[TDS]],ExtCompactors_PNA[[Development]:[0]],2,FALSE),0)</f>
        <v>2</v>
      </c>
      <c r="AA270" s="20">
        <f>IFERROR(VLOOKUP(Data[[#This Row],[TDS]],IntCompactors_PNA[[TDS]:[0]],2,FALSE),0)</f>
        <v>24</v>
      </c>
      <c r="AB270" s="20"/>
      <c r="AC270" s="20"/>
      <c r="AD270" s="20">
        <f>IFERROR(VLOOKUP(Data[[#This Row],[TDS]],ExtCompactors_PNA[[Development]:[0]],3,FALSE)+VLOOKUP(Data[[#This Row],[TDS]],ExtCompactors_PNA[[Development]:[0]],6,FALSE),0)</f>
        <v>2</v>
      </c>
      <c r="AE270" s="20">
        <f>IFERROR(VLOOKUP(Data[[#This Row],[TDS]],IntCompactors_PNA[[TDS]:[0]],3,FALSE)+VLOOKUP(Data[[#This Row],[TDS]],IntCompactors_PNA[[TDS]:[0]],6,FALSE),0)</f>
        <v>24</v>
      </c>
      <c r="AF270" s="20" t="e">
        <f>VLOOKUP(Data[[#This Row],[DEVELOPMENT]],[3]Developments!$A$2:$A$312,1,FALSE)</f>
        <v>#N/A</v>
      </c>
      <c r="AG270" s="20">
        <f>IFERROR(VLOOKUP(Data[[#This Row],[DEVELOPMENT]],Ops_Priorities_and_Data_Clean[[development]:[ifnoext_comment]],3,FALSE),"")</f>
        <v>3</v>
      </c>
      <c r="AH270" s="20">
        <f>IFERROR(VLOOKUP(Data[[#This Row],[DEVELOPMENT]],Ops_Priorities_and_Data_Clean[[development]:[ifnoext_comment]],4,FALSE),"")</f>
        <v>2</v>
      </c>
      <c r="AI270" s="20">
        <f>IFERROR(VLOOKUP(Data[[#This Row],[DEVELOPMENT]],Ops_Priorities_and_Data_Clean[[development]:[ifnoext_comment]],5,FALSE),"")</f>
        <v>1</v>
      </c>
      <c r="AJ270" s="20">
        <f>IFERROR(VLOOKUP(Data[[#This Row],[DEVELOPMENT]],Ops_Priorities_and_Data_Clean[[development]:[ifnoext_comment]],6,FALSE),"")</f>
        <v>0</v>
      </c>
      <c r="AK270" s="20">
        <f>IFERROR(VLOOKUP(Data[[#This Row],[DEVELOPMENT]],Ops_Priorities_and_Data_Clean[[development]:[ifnoext_comment]],7,FALSE),"")</f>
        <v>0</v>
      </c>
      <c r="AL270" s="20">
        <f>IFERROR(VLOOKUP(Data[[#This Row],[DEVELOPMENT]],Ops_Priorities_and_Data_Clean[[development]:[ifnoext_comment]],8,FALSE),"")</f>
        <v>1</v>
      </c>
      <c r="AM270" s="20">
        <f>IFERROR(VLOOKUP(Data[[#This Row],[DEVELOPMENT]],Ops_Priorities_and_Data_Clean[[development]:[ifnoext_comment]],9,FALSE),"")</f>
        <v>0</v>
      </c>
      <c r="AN270" s="20">
        <f>IFERROR(VLOOKUP(Data[[#This Row],[DEVELOPMENT]],Ops_Priorities_and_Data_Clean[[development]:[ifnoext_comment]],10,FALSE),"")</f>
        <v>3</v>
      </c>
      <c r="AO270" s="20">
        <f>IFERROR(VLOOKUP(Data[[#This Row],[DEVELOPMENT]],Ops_Priorities_and_Data_Clean[[development]:[ifnoext_comment]],11,FALSE),"")</f>
        <v>3</v>
      </c>
      <c r="AP270" s="20">
        <f>IFERROR(VLOOKUP(Data[[#This Row],[DEVELOPMENT]],Ops_Priorities_and_Data_Clean[[development]:[ifnoext_comment]],12,FALSE),"")</f>
        <v>3</v>
      </c>
      <c r="AQ270" s="20">
        <f>VLOOKUP(Data[[#This Row],[DEVELOPMENT]],Ops_Priorities_and_Data_Clean[[development]:[ifnoext_comment]],14,FALSE)</f>
        <v>0</v>
      </c>
      <c r="AR270" s="20">
        <f>VLOOKUP(Data[[#This Row],[DEVELOPMENT]],Ops_Priorities_and_Data_Clean[[development]:[ifnoext_comment]],15,FALSE)</f>
        <v>0</v>
      </c>
      <c r="AS270" s="20" t="str">
        <f>VLOOKUP(Data[[#This Row],[DEVELOPMENT]],Ops_Priorities_and_Data_Clean[[development]:[ifnoext_comment]],16,FALSE)</f>
        <v>NULL</v>
      </c>
      <c r="AT270" s="20" t="str">
        <f>VLOOKUP(Data[[#This Row],[DEVELOPMENT]],Ops_Priorities_and_Data_Clean[[development]:[ifnoext_comment]],17,FALSE)</f>
        <v>NULL</v>
      </c>
      <c r="AU270" s="20" t="str">
        <f>VLOOKUP(Data[[#This Row],[DEVELOPMENT]],Ops_Priorities_and_Data_Clean[[development]:[ifnoext_comment]],18,FALSE)</f>
        <v>No</v>
      </c>
      <c r="AV270" s="20" t="str">
        <f>VLOOKUP(Data[[#This Row],[DEVELOPMENT]],Ops_Priorities_and_Data_Clean[[development]:[ifnoext_comment]],19,FALSE)</f>
        <v>container on-site</v>
      </c>
      <c r="AW270" s="20" t="str">
        <f>VLOOKUP(Data[[#This Row],[DEVELOPMENT]],Ops_Priorities_and_Data_Clean[[development]:[ifnoext_comment]],20,FALSE)</f>
        <v>NULL</v>
      </c>
      <c r="AX270" s="104" t="s">
        <v>2238</v>
      </c>
      <c r="AY270" s="104" t="s">
        <v>2600</v>
      </c>
      <c r="AZ270" s="20" t="str">
        <f>VLOOKUP(Data[[#This Row],[DEVELOPMENT]],Development_Data_Book[[DEVELOPMENT]:[PRIVATE MANAGEMENT]],8,FALSE)</f>
        <v>FEDERAL</v>
      </c>
      <c r="BA270" s="104" t="s">
        <v>2586</v>
      </c>
      <c r="BB270" s="20">
        <f>VLOOKUP(Data[[#This Row],[DEVELOPMENT]],Development_Data_Book[[DEVELOPMENT]:[PRIVATE MANAGEMENT]],22,FALSE)</f>
        <v>0</v>
      </c>
      <c r="BC270" s="20">
        <f>Data[[#This Row],[Non-Dwelling Buildings]]+Data[[#This Row],[Dwelling Buildings]]</f>
        <v>13</v>
      </c>
      <c r="BD270" s="20">
        <f>VLOOKUP(Data[[#This Row],[DEVELOPMENT]],Development_Data_Book[[DEVELOPMENT]:[PRIVATE MANAGEMENT]],26,FALSE)</f>
        <v>22.11</v>
      </c>
      <c r="BE270" s="106">
        <v>1045000</v>
      </c>
      <c r="BF270" s="20">
        <f>VLOOKUP(Data[[#This Row],[DEVELOPMENT]],Development_Data_Book[[DEVELOPMENT]:[PRIVATE MANAGEMENT]],18,FALSE)</f>
        <v>2288</v>
      </c>
      <c r="BG27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70" s="104" t="s">
        <v>2601</v>
      </c>
      <c r="BI270" t="s">
        <v>184</v>
      </c>
      <c r="BJ270" s="20">
        <f>VLOOKUP(Data[[#This Row],[DEVELOPMENT]],Development_Data_Book[[DEVELOPMENT]:[PRIVATE MANAGEMENT]],41,FALSE)</f>
        <v>3</v>
      </c>
      <c r="BK270" s="20">
        <f>VLOOKUP(Data[[#This Row],[DEVELOPMENT]],Development_Data_Book[[DEVELOPMENT]:[PRIVATE MANAGEMENT]],42,FALSE)</f>
        <v>8</v>
      </c>
      <c r="BL270" s="20">
        <f>VLOOKUP(Data[[#This Row],[DEVELOPMENT]],Development_Data_Book[[DEVELOPMENT]:[PRIVATE MANAGEMENT]],43,FALSE)</f>
        <v>18</v>
      </c>
      <c r="BM270" s="20">
        <f>VLOOKUP(Data[[#This Row],[DEVELOPMENT]],Development_Data_Book[[DEVELOPMENT]:[PRIVATE MANAGEMENT]],44,FALSE)</f>
        <v>56</v>
      </c>
      <c r="BN270" s="20">
        <f>VLOOKUP(Data[[#This Row],[DEVELOPMENT]],Development_Data_Book[[DEVELOPMENT]:[PRIVATE MANAGEMENT]],45,FALSE)</f>
        <v>36</v>
      </c>
      <c r="BO270" s="20">
        <f>VLOOKUP(Data[[#This Row],[DEVELOPMENT]],Development_Data_Book[[DEVELOPMENT]:[PRIVATE MANAGEMENT]],24,FALSE)</f>
        <v>43658</v>
      </c>
    </row>
    <row r="271" spans="1:67">
      <c r="A271" t="s">
        <v>367</v>
      </c>
      <c r="B271" s="20" t="str">
        <f>VLOOKUP(Data[[#This Row],[DEVELOPMENT]],Development_Data_Book[[DEVELOPMENT]:[BOROUGH]],MATCH("borough",Development_Data_Book[[#Headers],[DEVELOPMENT]:[BOROUGH]],0),FALSE)</f>
        <v>BROOKLYN</v>
      </c>
      <c r="C271" s="20" t="e">
        <f>VLOOKUP(Data[[#This Row],[DEVELOPMENT]],'[1]Cheat-Sheet'!$D$2:$Q$341,2,FALSE)</f>
        <v>#N/A</v>
      </c>
      <c r="D27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71" s="20">
        <f>VLOOKUP(Data[[#This Row],[DEVELOPMENT]],Development_Data_Book[[DEVELOPMENT]:[BOROUGH]],21,FALSE)</f>
        <v>5</v>
      </c>
      <c r="F271" s="20">
        <f>VLOOKUP(Data[[#This Row],[DEVELOPMENT]],Development_Data_Book[[DEVELOPMENT]:[BOROUGH]],23,FALSE)</f>
        <v>5</v>
      </c>
      <c r="G271" s="20">
        <f>VLOOKUP(Data[[#This Row],[DEVELOPMENT]],Development_Data_Book[[DEVELOPMENT]:[BOROUGH]],12,FALSE)</f>
        <v>594</v>
      </c>
      <c r="J271">
        <f>IFERROR(VLOOKUP(Data[[#This Row],[DEVELOPMENT]],IntCompactors_MRST[],4,FALSE),0)</f>
        <v>5</v>
      </c>
      <c r="K271" s="20">
        <f>IFERROR(VLOOKUP(Data[[#This Row],[DEVELOPMENT]],ExtCompactors_MRST[],4,FALSE),0)</f>
        <v>2</v>
      </c>
      <c r="L271" s="27">
        <f>IF(Data[[#This Row],['# Interior Compactors MRST]]=0,"",VLOOKUP(Data[[#This Row],[DEVELOPMENT]],IntCompactors_MRST[],5,FALSE))</f>
        <v>40909</v>
      </c>
      <c r="M271" s="28">
        <f>IF(Data[[#This Row],['# Exterior Compactors MRST]]=0,"",VLOOKUP(Data[[#This Row],[DEVELOPMENT]],ExtCompactors_MRST[],5,FALSE))</f>
        <v>39563</v>
      </c>
      <c r="N271" s="20">
        <f>Data[[#This Row],['# Interior Compactors MRST]]</f>
        <v>5</v>
      </c>
      <c r="O271" s="20">
        <f>IF(Data[[#This Row],['# Bulk Crushers]]=0,1,0)</f>
        <v>1</v>
      </c>
      <c r="P271" s="20">
        <f>1</f>
        <v>1</v>
      </c>
      <c r="Q271" s="20">
        <f>1</f>
        <v>1</v>
      </c>
      <c r="R271" s="20">
        <f>1</f>
        <v>1</v>
      </c>
      <c r="S271" s="20">
        <f>1</f>
        <v>1</v>
      </c>
      <c r="T271" s="20">
        <f>IF(Data[[#This Row],[Sewershed]]="Newtown Creek",Data[[#This Row],[DUs]],0)</f>
        <v>0</v>
      </c>
      <c r="U271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71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71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71" s="82">
        <f>VLOOKUP(Data[[#This Row],[DEVELOPMENT]],Development_Data_Book[[DEVELOPMENT]:[BOROUGH]],3,FALSE)</f>
        <v>170</v>
      </c>
      <c r="Y271" s="20"/>
      <c r="Z271" s="20">
        <f>IFERROR(VLOOKUP(Data[[#This Row],[TDS]],ExtCompactors_PNA[[Development]:[0]],2,FALSE),0)</f>
        <v>1</v>
      </c>
      <c r="AA271" s="20">
        <f>IFERROR(VLOOKUP(Data[[#This Row],[TDS]],IntCompactors_PNA[[TDS]:[0]],2,FALSE),0)</f>
        <v>5</v>
      </c>
      <c r="AB271" s="20"/>
      <c r="AC271" s="20"/>
      <c r="AD271" s="20">
        <f>IFERROR(VLOOKUP(Data[[#This Row],[TDS]],ExtCompactors_PNA[[Development]:[0]],3,FALSE)+VLOOKUP(Data[[#This Row],[TDS]],ExtCompactors_PNA[[Development]:[0]],6,FALSE),0)</f>
        <v>1</v>
      </c>
      <c r="AE271" s="20">
        <f>IFERROR(VLOOKUP(Data[[#This Row],[TDS]],IntCompactors_PNA[[TDS]:[0]],3,FALSE)+VLOOKUP(Data[[#This Row],[TDS]],IntCompactors_PNA[[TDS]:[0]],6,FALSE),0)</f>
        <v>5</v>
      </c>
      <c r="AF271" s="20" t="e">
        <f>VLOOKUP(Data[[#This Row],[DEVELOPMENT]],[3]Developments!$A$2:$A$312,1,FALSE)</f>
        <v>#N/A</v>
      </c>
      <c r="AG271" s="20">
        <f>IFERROR(VLOOKUP(Data[[#This Row],[DEVELOPMENT]],Ops_Priorities_and_Data_Clean[[development]:[ifnoext_comment]],3,FALSE),"")</f>
        <v>2</v>
      </c>
      <c r="AH271" s="20">
        <f>IFERROR(VLOOKUP(Data[[#This Row],[DEVELOPMENT]],Ops_Priorities_and_Data_Clean[[development]:[ifnoext_comment]],4,FALSE),"")</f>
        <v>0</v>
      </c>
      <c r="AI271" s="20">
        <f>IFERROR(VLOOKUP(Data[[#This Row],[DEVELOPMENT]],Ops_Priorities_and_Data_Clean[[development]:[ifnoext_comment]],5,FALSE),"")</f>
        <v>1</v>
      </c>
      <c r="AJ271" s="20">
        <f>IFERROR(VLOOKUP(Data[[#This Row],[DEVELOPMENT]],Ops_Priorities_and_Data_Clean[[development]:[ifnoext_comment]],6,FALSE),"")</f>
        <v>0</v>
      </c>
      <c r="AK271" s="20">
        <f>IFERROR(VLOOKUP(Data[[#This Row],[DEVELOPMENT]],Ops_Priorities_and_Data_Clean[[development]:[ifnoext_comment]],7,FALSE),"")</f>
        <v>0</v>
      </c>
      <c r="AL271" s="20">
        <f>IFERROR(VLOOKUP(Data[[#This Row],[DEVELOPMENT]],Ops_Priorities_and_Data_Clean[[development]:[ifnoext_comment]],8,FALSE),"")</f>
        <v>1</v>
      </c>
      <c r="AM271" s="20">
        <f>IFERROR(VLOOKUP(Data[[#This Row],[DEVELOPMENT]],Ops_Priorities_and_Data_Clean[[development]:[ifnoext_comment]],9,FALSE),"")</f>
        <v>0</v>
      </c>
      <c r="AN271" s="20">
        <f>IFERROR(VLOOKUP(Data[[#This Row],[DEVELOPMENT]],Ops_Priorities_and_Data_Clean[[development]:[ifnoext_comment]],10,FALSE),"")</f>
        <v>3</v>
      </c>
      <c r="AO271" s="20">
        <f>IFERROR(VLOOKUP(Data[[#This Row],[DEVELOPMENT]],Ops_Priorities_and_Data_Clean[[development]:[ifnoext_comment]],11,FALSE),"")</f>
        <v>2</v>
      </c>
      <c r="AP271" s="20">
        <f>IFERROR(VLOOKUP(Data[[#This Row],[DEVELOPMENT]],Ops_Priorities_and_Data_Clean[[development]:[ifnoext_comment]],12,FALSE),"")</f>
        <v>2</v>
      </c>
      <c r="AQ271" s="20">
        <f>VLOOKUP(Data[[#This Row],[DEVELOPMENT]],Ops_Priorities_and_Data_Clean[[development]:[ifnoext_comment]],14,FALSE)</f>
        <v>0</v>
      </c>
      <c r="AR271" s="20">
        <f>VLOOKUP(Data[[#This Row],[DEVELOPMENT]],Ops_Priorities_and_Data_Clean[[development]:[ifnoext_comment]],15,FALSE)</f>
        <v>0</v>
      </c>
      <c r="AS271" s="20" t="str">
        <f>VLOOKUP(Data[[#This Row],[DEVELOPMENT]],Ops_Priorities_and_Data_Clean[[development]:[ifnoext_comment]],16,FALSE)</f>
        <v>NULL</v>
      </c>
      <c r="AT271" s="20" t="str">
        <f>VLOOKUP(Data[[#This Row],[DEVELOPMENT]],Ops_Priorities_and_Data_Clean[[development]:[ifnoext_comment]],17,FALSE)</f>
        <v>NULL</v>
      </c>
      <c r="AU271" s="20" t="str">
        <f>VLOOKUP(Data[[#This Row],[DEVELOPMENT]],Ops_Priorities_and_Data_Clean[[development]:[ifnoext_comment]],18,FALSE)</f>
        <v>NULL</v>
      </c>
      <c r="AV271" s="20" t="str">
        <f>VLOOKUP(Data[[#This Row],[DEVELOPMENT]],Ops_Priorities_and_Data_Clean[[development]:[ifnoext_comment]],19,FALSE)</f>
        <v>NULL</v>
      </c>
      <c r="AW271" s="20" t="str">
        <f>VLOOKUP(Data[[#This Row],[DEVELOPMENT]],Ops_Priorities_and_Data_Clean[[development]:[ifnoext_comment]],20,FALSE)</f>
        <v>NULL</v>
      </c>
      <c r="AX271" s="104" t="s">
        <v>2238</v>
      </c>
      <c r="AY271" s="104" t="s">
        <v>235</v>
      </c>
      <c r="AZ271" s="20" t="str">
        <f>VLOOKUP(Data[[#This Row],[DEVELOPMENT]],Development_Data_Book[[DEVELOPMENT]:[PRIVATE MANAGEMENT]],8,FALSE)</f>
        <v>FEDERAL</v>
      </c>
      <c r="BA271" s="104" t="s">
        <v>2586</v>
      </c>
      <c r="BB271" s="20">
        <f>VLOOKUP(Data[[#This Row],[DEVELOPMENT]],Development_Data_Book[[DEVELOPMENT]:[PRIVATE MANAGEMENT]],22,FALSE)</f>
        <v>0</v>
      </c>
      <c r="BC271" s="20">
        <f>Data[[#This Row],[Non-Dwelling Buildings]]+Data[[#This Row],[Dwelling Buildings]]</f>
        <v>5</v>
      </c>
      <c r="BD271" s="20">
        <f>VLOOKUP(Data[[#This Row],[DEVELOPMENT]],Development_Data_Book[[DEVELOPMENT]:[PRIVATE MANAGEMENT]],26,FALSE)</f>
        <v>7.42</v>
      </c>
      <c r="BE271" s="106">
        <v>553000</v>
      </c>
      <c r="BF271" s="20">
        <f>VLOOKUP(Data[[#This Row],[DEVELOPMENT]],Development_Data_Book[[DEVELOPMENT]:[PRIVATE MANAGEMENT]],18,FALSE)</f>
        <v>1141</v>
      </c>
      <c r="BG271" s="20" t="str">
        <f>IF(ISBLANK(VLOOKUP(Data[[#This Row],[DEVELOPMENT]],Development_Data_Book[[DEVELOPMENT]:[PRIVATE MANAGEMENT]],48,FALSE)),"",VLOOKUP(Data[[#This Row],[DEVELOPMENT]],Development_Data_Book[[DEVELOPMENT]:[PRIVATE MANAGEMENT]],48,FALSE))</f>
        <v>PARTIALLY</v>
      </c>
      <c r="BH271" s="104" t="s">
        <v>2621</v>
      </c>
      <c r="BI271" t="s">
        <v>184</v>
      </c>
      <c r="BJ271" s="20">
        <f>VLOOKUP(Data[[#This Row],[DEVELOPMENT]],Development_Data_Book[[DEVELOPMENT]:[PRIVATE MANAGEMENT]],41,FALSE)</f>
        <v>13</v>
      </c>
      <c r="BK271" s="20">
        <f>VLOOKUP(Data[[#This Row],[DEVELOPMENT]],Development_Data_Book[[DEVELOPMENT]:[PRIVATE MANAGEMENT]],42,FALSE)</f>
        <v>8</v>
      </c>
      <c r="BL271" s="20">
        <f>VLOOKUP(Data[[#This Row],[DEVELOPMENT]],Development_Data_Book[[DEVELOPMENT]:[PRIVATE MANAGEMENT]],43,FALSE)</f>
        <v>23</v>
      </c>
      <c r="BM271" s="20">
        <f>VLOOKUP(Data[[#This Row],[DEVELOPMENT]],Development_Data_Book[[DEVELOPMENT]:[PRIVATE MANAGEMENT]],44,FALSE)</f>
        <v>46</v>
      </c>
      <c r="BN271" s="20">
        <f>VLOOKUP(Data[[#This Row],[DEVELOPMENT]],Development_Data_Book[[DEVELOPMENT]:[PRIVATE MANAGEMENT]],45,FALSE)</f>
        <v>47</v>
      </c>
      <c r="BO271" s="20" t="str">
        <f>VLOOKUP(Data[[#This Row],[DEVELOPMENT]],Development_Data_Book[[DEVELOPMENT]:[PRIVATE MANAGEMENT]],24,FALSE)</f>
        <v>14-15</v>
      </c>
    </row>
    <row r="272" spans="1:67">
      <c r="A272" t="s">
        <v>368</v>
      </c>
      <c r="B272" s="20" t="str">
        <f>VLOOKUP(Data[[#This Row],[DEVELOPMENT]],Development_Data_Book[[DEVELOPMENT]:[BOROUGH]],MATCH("borough",Development_Data_Book[[#Headers],[DEVELOPMENT]:[BOROUGH]],0),FALSE)</f>
        <v>BROOKLYN</v>
      </c>
      <c r="C272" s="20" t="e">
        <f>VLOOKUP(Data[[#This Row],[DEVELOPMENT]],'[1]Cheat-Sheet'!$D$2:$Q$341,2,FALSE)</f>
        <v>#N/A</v>
      </c>
      <c r="D27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72" s="20">
        <f>VLOOKUP(Data[[#This Row],[DEVELOPMENT]],Development_Data_Book[[DEVELOPMENT]:[BOROUGH]],21,FALSE)</f>
        <v>3</v>
      </c>
      <c r="F272" s="20">
        <f>VLOOKUP(Data[[#This Row],[DEVELOPMENT]],Development_Data_Book[[DEVELOPMENT]:[BOROUGH]],23,FALSE)</f>
        <v>3</v>
      </c>
      <c r="G272" s="20">
        <f>VLOOKUP(Data[[#This Row],[DEVELOPMENT]],Development_Data_Book[[DEVELOPMENT]:[BOROUGH]],12,FALSE)</f>
        <v>100</v>
      </c>
      <c r="J272">
        <f>IFERROR(VLOOKUP(Data[[#This Row],[DEVELOPMENT]],IntCompactors_MRST[],4,FALSE),0)</f>
        <v>6</v>
      </c>
      <c r="K272" s="20">
        <f>IFERROR(VLOOKUP(Data[[#This Row],[DEVELOPMENT]],ExtCompactors_MRST[],4,FALSE),0)</f>
        <v>0</v>
      </c>
      <c r="L272" s="27">
        <f>IF(Data[[#This Row],['# Interior Compactors MRST]]=0,"",VLOOKUP(Data[[#This Row],[DEVELOPMENT]],IntCompactors_MRST[],5,FALSE))</f>
        <v>34335</v>
      </c>
      <c r="M272" s="28" t="str">
        <f>IF(Data[[#This Row],['# Exterior Compactors MRST]]=0,"",VLOOKUP(Data[[#This Row],[DEVELOPMENT]],ExtCompactors_MRST[],5,FALSE))</f>
        <v/>
      </c>
      <c r="N272" s="20">
        <f>Data[[#This Row],['# Interior Compactors MRST]]</f>
        <v>6</v>
      </c>
      <c r="O272" s="20">
        <f>IF(Data[[#This Row],['# Bulk Crushers]]=0,1,0)</f>
        <v>1</v>
      </c>
      <c r="P272" s="20">
        <f>1</f>
        <v>1</v>
      </c>
      <c r="Q272" s="20">
        <f>1</f>
        <v>1</v>
      </c>
      <c r="R272" s="20">
        <f>1</f>
        <v>1</v>
      </c>
      <c r="S272" s="20">
        <f>1</f>
        <v>1</v>
      </c>
      <c r="T272" s="20">
        <f>IF(Data[[#This Row],[Sewershed]]="Newtown Creek",Data[[#This Row],[DUs]],0)</f>
        <v>0</v>
      </c>
      <c r="U27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7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7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72" s="82">
        <f>VLOOKUP(Data[[#This Row],[DEVELOPMENT]],Development_Data_Book[[DEVELOPMENT]:[BOROUGH]],3,FALSE)</f>
        <v>369</v>
      </c>
      <c r="Y272" s="20"/>
      <c r="Z272" s="20">
        <f>IFERROR(VLOOKUP(Data[[#This Row],[TDS]],ExtCompactors_PNA[[Development]:[0]],2,FALSE),0)</f>
        <v>0</v>
      </c>
      <c r="AA272" s="20">
        <f>IFERROR(VLOOKUP(Data[[#This Row],[TDS]],IntCompactors_PNA[[TDS]:[0]],2,FALSE),0)</f>
        <v>5</v>
      </c>
      <c r="AB272" s="20"/>
      <c r="AC272" s="20"/>
      <c r="AD272" s="20">
        <f>IFERROR(VLOOKUP(Data[[#This Row],[TDS]],ExtCompactors_PNA[[Development]:[0]],3,FALSE)+VLOOKUP(Data[[#This Row],[TDS]],ExtCompactors_PNA[[Development]:[0]],6,FALSE),0)</f>
        <v>0</v>
      </c>
      <c r="AE272" s="20">
        <f>IFERROR(VLOOKUP(Data[[#This Row],[TDS]],IntCompactors_PNA[[TDS]:[0]],3,FALSE)+VLOOKUP(Data[[#This Row],[TDS]],IntCompactors_PNA[[TDS]:[0]],6,FALSE),0)</f>
        <v>5</v>
      </c>
      <c r="AF272" s="20" t="e">
        <f>VLOOKUP(Data[[#This Row],[DEVELOPMENT]],[3]Developments!$A$2:$A$312,1,FALSE)</f>
        <v>#N/A</v>
      </c>
      <c r="AG272" s="20">
        <f>IFERROR(VLOOKUP(Data[[#This Row],[DEVELOPMENT]],Ops_Priorities_and_Data_Clean[[development]:[ifnoext_comment]],3,FALSE),"")</f>
        <v>0</v>
      </c>
      <c r="AH272" s="20">
        <f>IFERROR(VLOOKUP(Data[[#This Row],[DEVELOPMENT]],Ops_Priorities_and_Data_Clean[[development]:[ifnoext_comment]],4,FALSE),"")</f>
        <v>0</v>
      </c>
      <c r="AI272" s="20">
        <f>IFERROR(VLOOKUP(Data[[#This Row],[DEVELOPMENT]],Ops_Priorities_and_Data_Clean[[development]:[ifnoext_comment]],5,FALSE),"")</f>
        <v>0</v>
      </c>
      <c r="AJ272" s="20">
        <f>IFERROR(VLOOKUP(Data[[#This Row],[DEVELOPMENT]],Ops_Priorities_and_Data_Clean[[development]:[ifnoext_comment]],6,FALSE),"")</f>
        <v>0</v>
      </c>
      <c r="AK272" s="20">
        <f>IFERROR(VLOOKUP(Data[[#This Row],[DEVELOPMENT]],Ops_Priorities_and_Data_Clean[[development]:[ifnoext_comment]],7,FALSE),"")</f>
        <v>1</v>
      </c>
      <c r="AL272" s="20">
        <f>IFERROR(VLOOKUP(Data[[#This Row],[DEVELOPMENT]],Ops_Priorities_and_Data_Clean[[development]:[ifnoext_comment]],8,FALSE),"")</f>
        <v>1</v>
      </c>
      <c r="AM272" s="20">
        <f>IFERROR(VLOOKUP(Data[[#This Row],[DEVELOPMENT]],Ops_Priorities_and_Data_Clean[[development]:[ifnoext_comment]],9,FALSE),"")</f>
        <v>0</v>
      </c>
      <c r="AN272" s="20">
        <f>IFERROR(VLOOKUP(Data[[#This Row],[DEVELOPMENT]],Ops_Priorities_and_Data_Clean[[development]:[ifnoext_comment]],10,FALSE),"")</f>
        <v>0</v>
      </c>
      <c r="AO272" s="20">
        <f>IFERROR(VLOOKUP(Data[[#This Row],[DEVELOPMENT]],Ops_Priorities_and_Data_Clean[[development]:[ifnoext_comment]],11,FALSE),"")</f>
        <v>0</v>
      </c>
      <c r="AP272" s="20">
        <f>IFERROR(VLOOKUP(Data[[#This Row],[DEVELOPMENT]],Ops_Priorities_and_Data_Clean[[development]:[ifnoext_comment]],12,FALSE),"")</f>
        <v>0</v>
      </c>
      <c r="AQ272" s="20">
        <f>VLOOKUP(Data[[#This Row],[DEVELOPMENT]],Ops_Priorities_and_Data_Clean[[development]:[ifnoext_comment]],14,FALSE)</f>
        <v>1</v>
      </c>
      <c r="AR272" s="20">
        <f>VLOOKUP(Data[[#This Row],[DEVELOPMENT]],Ops_Priorities_and_Data_Clean[[development]:[ifnoext_comment]],15,FALSE)</f>
        <v>0</v>
      </c>
      <c r="AS272" s="20" t="str">
        <f>VLOOKUP(Data[[#This Row],[DEVELOPMENT]],Ops_Priorities_and_Data_Clean[[development]:[ifnoext_comment]],16,FALSE)</f>
        <v>NULL</v>
      </c>
      <c r="AT272" s="20" t="str">
        <f>VLOOKUP(Data[[#This Row],[DEVELOPMENT]],Ops_Priorities_and_Data_Clean[[development]:[ifnoext_comment]],17,FALSE)</f>
        <v>NULL</v>
      </c>
      <c r="AU272" s="20" t="str">
        <f>VLOOKUP(Data[[#This Row],[DEVELOPMENT]],Ops_Priorities_and_Data_Clean[[development]:[ifnoext_comment]],18,FALSE)</f>
        <v>NULL</v>
      </c>
      <c r="AV272" s="20" t="str">
        <f>VLOOKUP(Data[[#This Row],[DEVELOPMENT]],Ops_Priorities_and_Data_Clean[[development]:[ifnoext_comment]],19,FALSE)</f>
        <v>NULL</v>
      </c>
      <c r="AW272" s="20" t="str">
        <f>VLOOKUP(Data[[#This Row],[DEVELOPMENT]],Ops_Priorities_and_Data_Clean[[development]:[ifnoext_comment]],20,FALSE)</f>
        <v>NULL</v>
      </c>
      <c r="AX272" s="104" t="s">
        <v>2238</v>
      </c>
      <c r="AY272" s="104" t="s">
        <v>392</v>
      </c>
      <c r="AZ272" s="20" t="str">
        <f>VLOOKUP(Data[[#This Row],[DEVELOPMENT]],Development_Data_Book[[DEVELOPMENT]:[PRIVATE MANAGEMENT]],8,FALSE)</f>
        <v>FEDERAL</v>
      </c>
      <c r="BA272" s="104" t="s">
        <v>2613</v>
      </c>
      <c r="BB272" s="20">
        <f>VLOOKUP(Data[[#This Row],[DEVELOPMENT]],Development_Data_Book[[DEVELOPMENT]:[PRIVATE MANAGEMENT]],22,FALSE)</f>
        <v>0</v>
      </c>
      <c r="BC272" s="20">
        <f>Data[[#This Row],[Non-Dwelling Buildings]]+Data[[#This Row],[Dwelling Buildings]]</f>
        <v>3</v>
      </c>
      <c r="BD272" s="20">
        <f>VLOOKUP(Data[[#This Row],[DEVELOPMENT]],Development_Data_Book[[DEVELOPMENT]:[PRIVATE MANAGEMENT]],26,FALSE)</f>
        <v>0.86</v>
      </c>
      <c r="BE272" s="106">
        <v>110100</v>
      </c>
      <c r="BF272" s="20">
        <f>VLOOKUP(Data[[#This Row],[DEVELOPMENT]],Development_Data_Book[[DEVELOPMENT]:[PRIVATE MANAGEMENT]],18,FALSE)</f>
        <v>254</v>
      </c>
      <c r="BG27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72" s="104" t="s">
        <v>2589</v>
      </c>
      <c r="BI272" t="s">
        <v>184</v>
      </c>
      <c r="BJ272" s="20">
        <f>VLOOKUP(Data[[#This Row],[DEVELOPMENT]],Development_Data_Book[[DEVELOPMENT]:[PRIVATE MANAGEMENT]],41,FALSE)</f>
        <v>16</v>
      </c>
      <c r="BK272" s="20">
        <f>VLOOKUP(Data[[#This Row],[DEVELOPMENT]],Development_Data_Book[[DEVELOPMENT]:[PRIVATE MANAGEMENT]],42,FALSE)</f>
        <v>9</v>
      </c>
      <c r="BL272" s="20">
        <f>VLOOKUP(Data[[#This Row],[DEVELOPMENT]],Development_Data_Book[[DEVELOPMENT]:[PRIVATE MANAGEMENT]],43,FALSE)</f>
        <v>20</v>
      </c>
      <c r="BM272" s="20">
        <f>VLOOKUP(Data[[#This Row],[DEVELOPMENT]],Development_Data_Book[[DEVELOPMENT]:[PRIVATE MANAGEMENT]],44,FALSE)</f>
        <v>55</v>
      </c>
      <c r="BN272" s="20">
        <f>VLOOKUP(Data[[#This Row],[DEVELOPMENT]],Development_Data_Book[[DEVELOPMENT]:[PRIVATE MANAGEMENT]],45,FALSE)</f>
        <v>41</v>
      </c>
      <c r="BO272" s="20">
        <f>VLOOKUP(Data[[#This Row],[DEVELOPMENT]],Development_Data_Book[[DEVELOPMENT]:[PRIVATE MANAGEMENT]],24,FALSE)</f>
        <v>43561</v>
      </c>
    </row>
    <row r="273" spans="1:67">
      <c r="A273" t="s">
        <v>128</v>
      </c>
      <c r="B273" t="str">
        <f>VLOOKUP(Data[[#This Row],[DEVELOPMENT]],Development_Data_Book[[DEVELOPMENT]:[BOROUGH]],MATCH("borough",Development_Data_Book[[#Headers],[DEVELOPMENT]:[BOROUGH]],0),FALSE)</f>
        <v>MANHATTAN</v>
      </c>
      <c r="C273" t="e">
        <f>VLOOKUP(Data[[#This Row],[DEVELOPMENT]],'[1]Cheat-Sheet'!$D$2:$Q$341,2,FALSE)</f>
        <v>#N/A</v>
      </c>
      <c r="D27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73">
        <f>VLOOKUP(Data[[#This Row],[DEVELOPMENT]],Development_Data_Book[[DEVELOPMENT]:[BOROUGH]],21,FALSE)</f>
        <v>9</v>
      </c>
      <c r="F273">
        <f>VLOOKUP(Data[[#This Row],[DEVELOPMENT]],Development_Data_Book[[DEVELOPMENT]:[BOROUGH]],23,FALSE)</f>
        <v>19</v>
      </c>
      <c r="G273">
        <f>VLOOKUP(Data[[#This Row],[DEVELOPMENT]],Development_Data_Book[[DEVELOPMENT]:[BOROUGH]],12,FALSE)</f>
        <v>1463</v>
      </c>
      <c r="H273" t="s">
        <v>2247</v>
      </c>
      <c r="I273">
        <v>2</v>
      </c>
      <c r="J273">
        <f>IFERROR(VLOOKUP(Data[[#This Row],[DEVELOPMENT]],IntCompactors_MRST[],4,FALSE),0)</f>
        <v>18</v>
      </c>
      <c r="K273" s="20">
        <f>IFERROR(VLOOKUP(Data[[#This Row],[DEVELOPMENT]],ExtCompactors_MRST[],4,FALSE),0)</f>
        <v>4</v>
      </c>
      <c r="L273" s="27">
        <f>IF(Data[[#This Row],['# Interior Compactors MRST]]=0,"",VLOOKUP(Data[[#This Row],[DEVELOPMENT]],IntCompactors_MRST[],5,FALSE))</f>
        <v>36192</v>
      </c>
      <c r="M273" s="28">
        <f>IF(Data[[#This Row],['# Exterior Compactors MRST]]=0,"",VLOOKUP(Data[[#This Row],[DEVELOPMENT]],ExtCompactors_MRST[],5,FALSE))</f>
        <v>43040</v>
      </c>
      <c r="N273">
        <f>Data[[#This Row],['# Interior Compactors MRST]]</f>
        <v>18</v>
      </c>
      <c r="O273" s="20">
        <f>IF(Data[[#This Row],['# Bulk Crushers]]=0,1,0)</f>
        <v>1</v>
      </c>
      <c r="P273" s="20">
        <f>1</f>
        <v>1</v>
      </c>
      <c r="Q273" s="20">
        <f>1</f>
        <v>1</v>
      </c>
      <c r="R273" s="20">
        <f>1</f>
        <v>1</v>
      </c>
      <c r="S273" s="20">
        <f>1</f>
        <v>1</v>
      </c>
      <c r="T273" s="20">
        <f>IF(Data[[#This Row],[Sewershed]]="Newtown Creek",Data[[#This Row],[DUs]],0)</f>
        <v>0</v>
      </c>
      <c r="U273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73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73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73" s="82">
        <f>VLOOKUP(Data[[#This Row],[DEVELOPMENT]],Development_Data_Book[[DEVELOPMENT]:[BOROUGH]],3,FALSE)</f>
        <v>97</v>
      </c>
      <c r="Y273" s="20"/>
      <c r="Z273" s="20">
        <f>IFERROR(VLOOKUP(Data[[#This Row],[TDS]],ExtCompactors_PNA[[Development]:[0]],2,FALSE),0)</f>
        <v>4</v>
      </c>
      <c r="AA273" s="20">
        <f>IFERROR(VLOOKUP(Data[[#This Row],[TDS]],IntCompactors_PNA[[TDS]:[0]],2,FALSE),0)</f>
        <v>11</v>
      </c>
      <c r="AB273" s="20"/>
      <c r="AC273" s="20"/>
      <c r="AD273" s="20">
        <f>IFERROR(VLOOKUP(Data[[#This Row],[TDS]],ExtCompactors_PNA[[Development]:[0]],3,FALSE)+VLOOKUP(Data[[#This Row],[TDS]],ExtCompactors_PNA[[Development]:[0]],6,FALSE),0)</f>
        <v>4</v>
      </c>
      <c r="AE273" s="20">
        <f>IFERROR(VLOOKUP(Data[[#This Row],[TDS]],IntCompactors_PNA[[TDS]:[0]],3,FALSE)+VLOOKUP(Data[[#This Row],[TDS]],IntCompactors_PNA[[TDS]:[0]],6,FALSE),0)</f>
        <v>11</v>
      </c>
      <c r="AF273" s="20" t="e">
        <f>VLOOKUP(Data[[#This Row],[DEVELOPMENT]],[3]Developments!$A$2:$A$312,1,FALSE)</f>
        <v>#N/A</v>
      </c>
      <c r="AG273" s="20">
        <f>IFERROR(VLOOKUP(Data[[#This Row],[DEVELOPMENT]],Ops_Priorities_and_Data_Clean[[development]:[ifnoext_comment]],3,FALSE),"")</f>
        <v>4</v>
      </c>
      <c r="AH273" s="20">
        <f>IFERROR(VLOOKUP(Data[[#This Row],[DEVELOPMENT]],Ops_Priorities_and_Data_Clean[[development]:[ifnoext_comment]],4,FALSE),"")</f>
        <v>0</v>
      </c>
      <c r="AI273" s="20">
        <f>IFERROR(VLOOKUP(Data[[#This Row],[DEVELOPMENT]],Ops_Priorities_and_Data_Clean[[development]:[ifnoext_comment]],5,FALSE),"")</f>
        <v>1</v>
      </c>
      <c r="AJ273" s="20">
        <f>IFERROR(VLOOKUP(Data[[#This Row],[DEVELOPMENT]],Ops_Priorities_and_Data_Clean[[development]:[ifnoext_comment]],6,FALSE),"")</f>
        <v>0</v>
      </c>
      <c r="AK273" s="20">
        <f>IFERROR(VLOOKUP(Data[[#This Row],[DEVELOPMENT]],Ops_Priorities_and_Data_Clean[[development]:[ifnoext_comment]],7,FALSE),"")</f>
        <v>0</v>
      </c>
      <c r="AL273" s="20">
        <f>IFERROR(VLOOKUP(Data[[#This Row],[DEVELOPMENT]],Ops_Priorities_and_Data_Clean[[development]:[ifnoext_comment]],8,FALSE),"")</f>
        <v>1</v>
      </c>
      <c r="AM273" s="20">
        <f>IFERROR(VLOOKUP(Data[[#This Row],[DEVELOPMENT]],Ops_Priorities_and_Data_Clean[[development]:[ifnoext_comment]],9,FALSE),"")</f>
        <v>0</v>
      </c>
      <c r="AN273" s="20">
        <f>IFERROR(VLOOKUP(Data[[#This Row],[DEVELOPMENT]],Ops_Priorities_and_Data_Clean[[development]:[ifnoext_comment]],10,FALSE),"")</f>
        <v>4</v>
      </c>
      <c r="AO273" s="20">
        <f>IFERROR(VLOOKUP(Data[[#This Row],[DEVELOPMENT]],Ops_Priorities_and_Data_Clean[[development]:[ifnoext_comment]],11,FALSE),"")</f>
        <v>4</v>
      </c>
      <c r="AP273" s="20">
        <f>IFERROR(VLOOKUP(Data[[#This Row],[DEVELOPMENT]],Ops_Priorities_and_Data_Clean[[development]:[ifnoext_comment]],12,FALSE),"")</f>
        <v>4</v>
      </c>
      <c r="AQ273" s="20">
        <f>VLOOKUP(Data[[#This Row],[DEVELOPMENT]],Ops_Priorities_and_Data_Clean[[development]:[ifnoext_comment]],14,FALSE)</f>
        <v>0</v>
      </c>
      <c r="AR273" s="20">
        <f>VLOOKUP(Data[[#This Row],[DEVELOPMENT]],Ops_Priorities_and_Data_Clean[[development]:[ifnoext_comment]],15,FALSE)</f>
        <v>0</v>
      </c>
      <c r="AS273" s="20" t="str">
        <f>VLOOKUP(Data[[#This Row],[DEVELOPMENT]],Ops_Priorities_and_Data_Clean[[development]:[ifnoext_comment]],16,FALSE)</f>
        <v>NULL</v>
      </c>
      <c r="AT273" s="20" t="str">
        <f>VLOOKUP(Data[[#This Row],[DEVELOPMENT]],Ops_Priorities_and_Data_Clean[[development]:[ifnoext_comment]],17,FALSE)</f>
        <v>NULL</v>
      </c>
      <c r="AU273" s="20" t="str">
        <f>VLOOKUP(Data[[#This Row],[DEVELOPMENT]],Ops_Priorities_and_Data_Clean[[development]:[ifnoext_comment]],18,FALSE)</f>
        <v>NULL</v>
      </c>
      <c r="AV273" s="20" t="str">
        <f>VLOOKUP(Data[[#This Row],[DEVELOPMENT]],Ops_Priorities_and_Data_Clean[[development]:[ifnoext_comment]],19,FALSE)</f>
        <v>NULL</v>
      </c>
      <c r="AW273" s="20" t="str">
        <f>VLOOKUP(Data[[#This Row],[DEVELOPMENT]],Ops_Priorities_and_Data_Clean[[development]:[ifnoext_comment]],20,FALSE)</f>
        <v>NULL</v>
      </c>
      <c r="AX273" s="104" t="s">
        <v>2239</v>
      </c>
      <c r="AY273" s="104" t="s">
        <v>2603</v>
      </c>
      <c r="AZ273" s="20" t="str">
        <f>VLOOKUP(Data[[#This Row],[DEVELOPMENT]],Development_Data_Book[[DEVELOPMENT]:[PRIVATE MANAGEMENT]],8,FALSE)</f>
        <v>FEDERAL</v>
      </c>
      <c r="BA273" s="104" t="s">
        <v>2586</v>
      </c>
      <c r="BB273" s="20">
        <f>VLOOKUP(Data[[#This Row],[DEVELOPMENT]],Development_Data_Book[[DEVELOPMENT]:[PRIVATE MANAGEMENT]],22,FALSE)</f>
        <v>1</v>
      </c>
      <c r="BC273" s="20">
        <f>Data[[#This Row],[Non-Dwelling Buildings]]+Data[[#This Row],[Dwelling Buildings]]</f>
        <v>10</v>
      </c>
      <c r="BD273" s="20">
        <f>VLOOKUP(Data[[#This Row],[DEVELOPMENT]],Development_Data_Book[[DEVELOPMENT]:[PRIVATE MANAGEMENT]],26,FALSE)</f>
        <v>12.34</v>
      </c>
      <c r="BE273" s="106">
        <v>1564990</v>
      </c>
      <c r="BF273" s="20">
        <f>VLOOKUP(Data[[#This Row],[DEVELOPMENT]],Development_Data_Book[[DEVELOPMENT]:[PRIVATE MANAGEMENT]],18,FALSE)</f>
        <v>3074</v>
      </c>
      <c r="BG27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73" s="104" t="s">
        <v>2604</v>
      </c>
      <c r="BI273" t="s">
        <v>184</v>
      </c>
      <c r="BJ273" s="20">
        <f>VLOOKUP(Data[[#This Row],[DEVELOPMENT]],Development_Data_Book[[DEVELOPMENT]:[PRIVATE MANAGEMENT]],41,FALSE)</f>
        <v>11</v>
      </c>
      <c r="BK273" s="20">
        <f>VLOOKUP(Data[[#This Row],[DEVELOPMENT]],Development_Data_Book[[DEVELOPMENT]:[PRIVATE MANAGEMENT]],42,FALSE)</f>
        <v>13</v>
      </c>
      <c r="BL273" s="20">
        <f>VLOOKUP(Data[[#This Row],[DEVELOPMENT]],Development_Data_Book[[DEVELOPMENT]:[PRIVATE MANAGEMENT]],43,FALSE)</f>
        <v>30</v>
      </c>
      <c r="BM273" s="20">
        <f>VLOOKUP(Data[[#This Row],[DEVELOPMENT]],Development_Data_Book[[DEVELOPMENT]:[PRIVATE MANAGEMENT]],44,FALSE)</f>
        <v>68</v>
      </c>
      <c r="BN273" s="20" t="str">
        <f>VLOOKUP(Data[[#This Row],[DEVELOPMENT]],Development_Data_Book[[DEVELOPMENT]:[PRIVATE MANAGEMENT]],45,FALSE)</f>
        <v>08, 09</v>
      </c>
      <c r="BO273" s="20">
        <f>VLOOKUP(Data[[#This Row],[DEVELOPMENT]],Development_Data_Book[[DEVELOPMENT]:[PRIVATE MANAGEMENT]],24,FALSE)</f>
        <v>19</v>
      </c>
    </row>
    <row r="274" spans="1:67">
      <c r="A274" t="s">
        <v>369</v>
      </c>
      <c r="B274" s="20" t="str">
        <f>VLOOKUP(Data[[#This Row],[DEVELOPMENT]],Development_Data_Book[[DEVELOPMENT]:[BOROUGH]],MATCH("borough",Development_Data_Book[[#Headers],[DEVELOPMENT]:[BOROUGH]],0),FALSE)</f>
        <v>BROOKLYN</v>
      </c>
      <c r="C274" s="20" t="e">
        <f>VLOOKUP(Data[[#This Row],[DEVELOPMENT]],'[1]Cheat-Sheet'!$D$2:$Q$341,2,FALSE)</f>
        <v>#N/A</v>
      </c>
      <c r="D27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74" s="20">
        <f>VLOOKUP(Data[[#This Row],[DEVELOPMENT]],Development_Data_Book[[DEVELOPMENT]:[BOROUGH]],21,FALSE)</f>
        <v>8</v>
      </c>
      <c r="F274" s="20">
        <f>VLOOKUP(Data[[#This Row],[DEVELOPMENT]],Development_Data_Book[[DEVELOPMENT]:[BOROUGH]],23,FALSE)</f>
        <v>8</v>
      </c>
      <c r="G274" s="20">
        <f>VLOOKUP(Data[[#This Row],[DEVELOPMENT]],Development_Data_Book[[DEVELOPMENT]:[BOROUGH]],12,FALSE)</f>
        <v>155</v>
      </c>
      <c r="J274">
        <f>IFERROR(VLOOKUP(Data[[#This Row],[DEVELOPMENT]],IntCompactors_MRST[],4,FALSE),0)</f>
        <v>8</v>
      </c>
      <c r="K274" s="20">
        <f>IFERROR(VLOOKUP(Data[[#This Row],[DEVELOPMENT]],ExtCompactors_MRST[],4,FALSE),0)</f>
        <v>0</v>
      </c>
      <c r="L274" s="27">
        <f>IF(Data[[#This Row],['# Interior Compactors MRST]]=0,"",VLOOKUP(Data[[#This Row],[DEVELOPMENT]],IntCompactors_MRST[],5,FALSE))</f>
        <v>31048</v>
      </c>
      <c r="M274" s="28" t="str">
        <f>IF(Data[[#This Row],['# Exterior Compactors MRST]]=0,"",VLOOKUP(Data[[#This Row],[DEVELOPMENT]],ExtCompactors_MRST[],5,FALSE))</f>
        <v/>
      </c>
      <c r="N274" s="20">
        <f>Data[[#This Row],['# Interior Compactors MRST]]</f>
        <v>8</v>
      </c>
      <c r="O274" s="20">
        <f>IF(Data[[#This Row],['# Bulk Crushers]]=0,1,0)</f>
        <v>1</v>
      </c>
      <c r="P274" s="20">
        <f>1</f>
        <v>1</v>
      </c>
      <c r="Q274" s="20">
        <f>1</f>
        <v>1</v>
      </c>
      <c r="R274" s="20">
        <f>1</f>
        <v>1</v>
      </c>
      <c r="S274" s="20">
        <f>1</f>
        <v>1</v>
      </c>
      <c r="T274" s="20">
        <f>IF(Data[[#This Row],[Sewershed]]="Newtown Creek",Data[[#This Row],[DUs]],0)</f>
        <v>0</v>
      </c>
      <c r="U27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7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7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74" s="82">
        <f>VLOOKUP(Data[[#This Row],[DEVELOPMENT]],Development_Data_Book[[DEVELOPMENT]:[BOROUGH]],3,FALSE)</f>
        <v>354</v>
      </c>
      <c r="Y274" s="20"/>
      <c r="Z274" s="20">
        <f>IFERROR(VLOOKUP(Data[[#This Row],[TDS]],ExtCompactors_PNA[[Development]:[0]],2,FALSE),0)</f>
        <v>0</v>
      </c>
      <c r="AA274" s="20">
        <f>IFERROR(VLOOKUP(Data[[#This Row],[TDS]],IntCompactors_PNA[[TDS]:[0]],2,FALSE),0)</f>
        <v>9</v>
      </c>
      <c r="AB274" s="20"/>
      <c r="AC274" s="20"/>
      <c r="AD274" s="20">
        <f>IFERROR(VLOOKUP(Data[[#This Row],[TDS]],ExtCompactors_PNA[[Development]:[0]],3,FALSE)+VLOOKUP(Data[[#This Row],[TDS]],ExtCompactors_PNA[[Development]:[0]],6,FALSE),0)</f>
        <v>0</v>
      </c>
      <c r="AE274" s="20">
        <f>IFERROR(VLOOKUP(Data[[#This Row],[TDS]],IntCompactors_PNA[[TDS]:[0]],3,FALSE)+VLOOKUP(Data[[#This Row],[TDS]],IntCompactors_PNA[[TDS]:[0]],6,FALSE),0)</f>
        <v>9</v>
      </c>
      <c r="AF274" s="20" t="e">
        <f>VLOOKUP(Data[[#This Row],[DEVELOPMENT]],[3]Developments!$A$2:$A$312,1,FALSE)</f>
        <v>#N/A</v>
      </c>
      <c r="AG274" s="20">
        <f>IFERROR(VLOOKUP(Data[[#This Row],[DEVELOPMENT]],Ops_Priorities_and_Data_Clean[[development]:[ifnoext_comment]],3,FALSE),"")</f>
        <v>0</v>
      </c>
      <c r="AH274" s="20">
        <f>IFERROR(VLOOKUP(Data[[#This Row],[DEVELOPMENT]],Ops_Priorities_and_Data_Clean[[development]:[ifnoext_comment]],4,FALSE),"")</f>
        <v>0</v>
      </c>
      <c r="AI274" s="20">
        <f>IFERROR(VLOOKUP(Data[[#This Row],[DEVELOPMENT]],Ops_Priorities_and_Data_Clean[[development]:[ifnoext_comment]],5,FALSE),"")</f>
        <v>0</v>
      </c>
      <c r="AJ274" s="20">
        <f>IFERROR(VLOOKUP(Data[[#This Row],[DEVELOPMENT]],Ops_Priorities_and_Data_Clean[[development]:[ifnoext_comment]],6,FALSE),"")</f>
        <v>0</v>
      </c>
      <c r="AK274" s="20">
        <f>IFERROR(VLOOKUP(Data[[#This Row],[DEVELOPMENT]],Ops_Priorities_and_Data_Clean[[development]:[ifnoext_comment]],7,FALSE),"")</f>
        <v>1</v>
      </c>
      <c r="AL274" s="20">
        <f>IFERROR(VLOOKUP(Data[[#This Row],[DEVELOPMENT]],Ops_Priorities_and_Data_Clean[[development]:[ifnoext_comment]],8,FALSE),"")</f>
        <v>1</v>
      </c>
      <c r="AM274" s="20">
        <f>IFERROR(VLOOKUP(Data[[#This Row],[DEVELOPMENT]],Ops_Priorities_and_Data_Clean[[development]:[ifnoext_comment]],9,FALSE),"")</f>
        <v>1</v>
      </c>
      <c r="AN274" s="20">
        <f>IFERROR(VLOOKUP(Data[[#This Row],[DEVELOPMENT]],Ops_Priorities_and_Data_Clean[[development]:[ifnoext_comment]],10,FALSE),"")</f>
        <v>0</v>
      </c>
      <c r="AO274" s="20">
        <f>IFERROR(VLOOKUP(Data[[#This Row],[DEVELOPMENT]],Ops_Priorities_and_Data_Clean[[development]:[ifnoext_comment]],11,FALSE),"")</f>
        <v>0</v>
      </c>
      <c r="AP274" s="20">
        <f>IFERROR(VLOOKUP(Data[[#This Row],[DEVELOPMENT]],Ops_Priorities_and_Data_Clean[[development]:[ifnoext_comment]],12,FALSE),"")</f>
        <v>0</v>
      </c>
      <c r="AQ274" s="20">
        <f>VLOOKUP(Data[[#This Row],[DEVELOPMENT]],Ops_Priorities_and_Data_Clean[[development]:[ifnoext_comment]],14,FALSE)</f>
        <v>1</v>
      </c>
      <c r="AR274" s="20">
        <f>VLOOKUP(Data[[#This Row],[DEVELOPMENT]],Ops_Priorities_and_Data_Clean[[development]:[ifnoext_comment]],15,FALSE)</f>
        <v>0</v>
      </c>
      <c r="AS274" s="20" t="str">
        <f>VLOOKUP(Data[[#This Row],[DEVELOPMENT]],Ops_Priorities_and_Data_Clean[[development]:[ifnoext_comment]],16,FALSE)</f>
        <v>NULL</v>
      </c>
      <c r="AT274" s="20" t="str">
        <f>VLOOKUP(Data[[#This Row],[DEVELOPMENT]],Ops_Priorities_and_Data_Clean[[development]:[ifnoext_comment]],17,FALSE)</f>
        <v>NULL</v>
      </c>
      <c r="AU274" s="20" t="str">
        <f>VLOOKUP(Data[[#This Row],[DEVELOPMENT]],Ops_Priorities_and_Data_Clean[[development]:[ifnoext_comment]],18,FALSE)</f>
        <v>NULL</v>
      </c>
      <c r="AV274" s="20" t="str">
        <f>VLOOKUP(Data[[#This Row],[DEVELOPMENT]],Ops_Priorities_and_Data_Clean[[development]:[ifnoext_comment]],19,FALSE)</f>
        <v>NULL</v>
      </c>
      <c r="AW274" s="20" t="str">
        <f>VLOOKUP(Data[[#This Row],[DEVELOPMENT]],Ops_Priorities_and_Data_Clean[[development]:[ifnoext_comment]],20,FALSE)</f>
        <v>NULL</v>
      </c>
      <c r="AX274" s="104" t="s">
        <v>2238</v>
      </c>
      <c r="AY274" s="104" t="s">
        <v>392</v>
      </c>
      <c r="AZ274" s="20" t="str">
        <f>VLOOKUP(Data[[#This Row],[DEVELOPMENT]],Development_Data_Book[[DEVELOPMENT]:[PRIVATE MANAGEMENT]],8,FALSE)</f>
        <v>FEDERAL</v>
      </c>
      <c r="BA274" s="104" t="s">
        <v>2588</v>
      </c>
      <c r="BB274" s="20">
        <f>VLOOKUP(Data[[#This Row],[DEVELOPMENT]],Development_Data_Book[[DEVELOPMENT]:[PRIVATE MANAGEMENT]],22,FALSE)</f>
        <v>0</v>
      </c>
      <c r="BC274" s="20">
        <f>Data[[#This Row],[Non-Dwelling Buildings]]+Data[[#This Row],[Dwelling Buildings]]</f>
        <v>8</v>
      </c>
      <c r="BD274" s="20">
        <f>VLOOKUP(Data[[#This Row],[DEVELOPMENT]],Development_Data_Book[[DEVELOPMENT]:[PRIVATE MANAGEMENT]],26,FALSE)</f>
        <v>1.49</v>
      </c>
      <c r="BE274" s="106">
        <v>166070</v>
      </c>
      <c r="BF274" s="20">
        <f>VLOOKUP(Data[[#This Row],[DEVELOPMENT]],Development_Data_Book[[DEVELOPMENT]:[PRIVATE MANAGEMENT]],18,FALSE)</f>
        <v>349</v>
      </c>
      <c r="BG27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74" s="104" t="s">
        <v>2589</v>
      </c>
      <c r="BI274" t="s">
        <v>184</v>
      </c>
      <c r="BJ274" s="20">
        <f>VLOOKUP(Data[[#This Row],[DEVELOPMENT]],Development_Data_Book[[DEVELOPMENT]:[PRIVATE MANAGEMENT]],41,FALSE)</f>
        <v>16</v>
      </c>
      <c r="BK274" s="20">
        <f>VLOOKUP(Data[[#This Row],[DEVELOPMENT]],Development_Data_Book[[DEVELOPMENT]:[PRIVATE MANAGEMENT]],42,FALSE)</f>
        <v>9</v>
      </c>
      <c r="BL274" s="20">
        <f>VLOOKUP(Data[[#This Row],[DEVELOPMENT]],Development_Data_Book[[DEVELOPMENT]:[PRIVATE MANAGEMENT]],43,FALSE)</f>
        <v>20</v>
      </c>
      <c r="BM274" s="20">
        <f>VLOOKUP(Data[[#This Row],[DEVELOPMENT]],Development_Data_Book[[DEVELOPMENT]:[PRIVATE MANAGEMENT]],44,FALSE)</f>
        <v>55</v>
      </c>
      <c r="BN274" s="20">
        <f>VLOOKUP(Data[[#This Row],[DEVELOPMENT]],Development_Data_Book[[DEVELOPMENT]:[PRIVATE MANAGEMENT]],45,FALSE)</f>
        <v>41</v>
      </c>
      <c r="BO274" s="20">
        <f>VLOOKUP(Data[[#This Row],[DEVELOPMENT]],Development_Data_Book[[DEVELOPMENT]:[PRIVATE MANAGEMENT]],24,FALSE)</f>
        <v>4</v>
      </c>
    </row>
    <row r="275" spans="1:67">
      <c r="A275" t="s">
        <v>370</v>
      </c>
      <c r="B275" s="20" t="str">
        <f>VLOOKUP(Data[[#This Row],[DEVELOPMENT]],Development_Data_Book[[DEVELOPMENT]:[BOROUGH]],MATCH("borough",Development_Data_Book[[#Headers],[DEVELOPMENT]:[BOROUGH]],0),FALSE)</f>
        <v>BROOKLYN</v>
      </c>
      <c r="C275" s="20" t="e">
        <f>VLOOKUP(Data[[#This Row],[DEVELOPMENT]],'[1]Cheat-Sheet'!$D$2:$Q$341,2,FALSE)</f>
        <v>#N/A</v>
      </c>
      <c r="D27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75" s="20">
        <f>VLOOKUP(Data[[#This Row],[DEVELOPMENT]],Development_Data_Book[[DEVELOPMENT]:[BOROUGH]],21,FALSE)</f>
        <v>5</v>
      </c>
      <c r="F275" s="20">
        <f>VLOOKUP(Data[[#This Row],[DEVELOPMENT]],Development_Data_Book[[DEVELOPMENT]:[BOROUGH]],23,FALSE)</f>
        <v>6</v>
      </c>
      <c r="G275" s="20">
        <f>VLOOKUP(Data[[#This Row],[DEVELOPMENT]],Development_Data_Book[[DEVELOPMENT]:[BOROUGH]],12,FALSE)</f>
        <v>525</v>
      </c>
      <c r="J275">
        <f>IFERROR(VLOOKUP(Data[[#This Row],[DEVELOPMENT]],IntCompactors_MRST[],4,FALSE),0)</f>
        <v>5</v>
      </c>
      <c r="K275" s="20">
        <f>IFERROR(VLOOKUP(Data[[#This Row],[DEVELOPMENT]],ExtCompactors_MRST[],4,FALSE),0)</f>
        <v>2</v>
      </c>
      <c r="L275" s="27">
        <f>IF(Data[[#This Row],['# Interior Compactors MRST]]=0,"",VLOOKUP(Data[[#This Row],[DEVELOPMENT]],IntCompactors_MRST[],5,FALSE))</f>
        <v>36251</v>
      </c>
      <c r="M275" s="28">
        <f>IF(Data[[#This Row],['# Exterior Compactors MRST]]=0,"",VLOOKUP(Data[[#This Row],[DEVELOPMENT]],ExtCompactors_MRST[],5,FALSE))</f>
        <v>36518</v>
      </c>
      <c r="N275" s="20">
        <f>Data[[#This Row],['# Interior Compactors MRST]]</f>
        <v>5</v>
      </c>
      <c r="O275" s="20">
        <f>IF(Data[[#This Row],['# Bulk Crushers]]=0,1,0)</f>
        <v>1</v>
      </c>
      <c r="P275" s="20">
        <f>1</f>
        <v>1</v>
      </c>
      <c r="Q275" s="20">
        <f>1</f>
        <v>1</v>
      </c>
      <c r="R275" s="20">
        <f>1</f>
        <v>1</v>
      </c>
      <c r="S275" s="20">
        <f>1</f>
        <v>1</v>
      </c>
      <c r="T275" s="20">
        <f>IF(Data[[#This Row],[Sewershed]]="Newtown Creek",Data[[#This Row],[DUs]],0)</f>
        <v>525</v>
      </c>
      <c r="U27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7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7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75" s="82">
        <f>VLOOKUP(Data[[#This Row],[DEVELOPMENT]],Development_Data_Book[[DEVELOPMENT]:[BOROUGH]],3,FALSE)</f>
        <v>234</v>
      </c>
      <c r="Y275" s="20" t="s">
        <v>2599</v>
      </c>
      <c r="Z275" s="20">
        <f>IFERROR(VLOOKUP(Data[[#This Row],[TDS]],ExtCompactors_PNA[[Development]:[0]],2,FALSE),0)</f>
        <v>0</v>
      </c>
      <c r="AA275" s="20">
        <f>IFERROR(VLOOKUP(Data[[#This Row],[TDS]],IntCompactors_PNA[[TDS]:[0]],2,FALSE),0)</f>
        <v>6</v>
      </c>
      <c r="AB275" s="20"/>
      <c r="AC275" s="20"/>
      <c r="AD275" s="20">
        <f>IFERROR(VLOOKUP(Data[[#This Row],[TDS]],ExtCompactors_PNA[[Development]:[0]],3,FALSE)+VLOOKUP(Data[[#This Row],[TDS]],ExtCompactors_PNA[[Development]:[0]],6,FALSE),0)</f>
        <v>0</v>
      </c>
      <c r="AE275" s="20">
        <f>IFERROR(VLOOKUP(Data[[#This Row],[TDS]],IntCompactors_PNA[[TDS]:[0]],3,FALSE)+VLOOKUP(Data[[#This Row],[TDS]],IntCompactors_PNA[[TDS]:[0]],6,FALSE),0)</f>
        <v>1</v>
      </c>
      <c r="AF275" s="20" t="e">
        <f>VLOOKUP(Data[[#This Row],[DEVELOPMENT]],[3]Developments!$A$2:$A$312,1,FALSE)</f>
        <v>#N/A</v>
      </c>
      <c r="AG275" s="20">
        <f>IFERROR(VLOOKUP(Data[[#This Row],[DEVELOPMENT]],Ops_Priorities_and_Data_Clean[[development]:[ifnoext_comment]],3,FALSE),"")</f>
        <v>2</v>
      </c>
      <c r="AH275" s="20">
        <f>IFERROR(VLOOKUP(Data[[#This Row],[DEVELOPMENT]],Ops_Priorities_and_Data_Clean[[development]:[ifnoext_comment]],4,FALSE),"")</f>
        <v>0</v>
      </c>
      <c r="AI275" s="20">
        <f>IFERROR(VLOOKUP(Data[[#This Row],[DEVELOPMENT]],Ops_Priorities_and_Data_Clean[[development]:[ifnoext_comment]],5,FALSE),"")</f>
        <v>1</v>
      </c>
      <c r="AJ275" s="20">
        <f>IFERROR(VLOOKUP(Data[[#This Row],[DEVELOPMENT]],Ops_Priorities_and_Data_Clean[[development]:[ifnoext_comment]],6,FALSE),"")</f>
        <v>0</v>
      </c>
      <c r="AK275" s="20">
        <f>IFERROR(VLOOKUP(Data[[#This Row],[DEVELOPMENT]],Ops_Priorities_and_Data_Clean[[development]:[ifnoext_comment]],7,FALSE),"")</f>
        <v>0</v>
      </c>
      <c r="AL275" s="20">
        <f>IFERROR(VLOOKUP(Data[[#This Row],[DEVELOPMENT]],Ops_Priorities_and_Data_Clean[[development]:[ifnoext_comment]],8,FALSE),"")</f>
        <v>1</v>
      </c>
      <c r="AM275" s="20">
        <f>IFERROR(VLOOKUP(Data[[#This Row],[DEVELOPMENT]],Ops_Priorities_and_Data_Clean[[development]:[ifnoext_comment]],9,FALSE),"")</f>
        <v>0</v>
      </c>
      <c r="AN275" s="20">
        <f>IFERROR(VLOOKUP(Data[[#This Row],[DEVELOPMENT]],Ops_Priorities_and_Data_Clean[[development]:[ifnoext_comment]],10,FALSE),"")</f>
        <v>0</v>
      </c>
      <c r="AO275" s="20">
        <f>IFERROR(VLOOKUP(Data[[#This Row],[DEVELOPMENT]],Ops_Priorities_and_Data_Clean[[development]:[ifnoext_comment]],11,FALSE),"")</f>
        <v>2</v>
      </c>
      <c r="AP275" s="20">
        <f>IFERROR(VLOOKUP(Data[[#This Row],[DEVELOPMENT]],Ops_Priorities_and_Data_Clean[[development]:[ifnoext_comment]],12,FALSE),"")</f>
        <v>2</v>
      </c>
      <c r="AQ275" s="20">
        <f>VLOOKUP(Data[[#This Row],[DEVELOPMENT]],Ops_Priorities_and_Data_Clean[[development]:[ifnoext_comment]],14,FALSE)</f>
        <v>0</v>
      </c>
      <c r="AR275" s="20">
        <f>VLOOKUP(Data[[#This Row],[DEVELOPMENT]],Ops_Priorities_and_Data_Clean[[development]:[ifnoext_comment]],15,FALSE)</f>
        <v>1</v>
      </c>
      <c r="AS275" s="20" t="str">
        <f>VLOOKUP(Data[[#This Row],[DEVELOPMENT]],Ops_Priorities_and_Data_Clean[[development]:[ifnoext_comment]],16,FALSE)</f>
        <v>Independence</v>
      </c>
      <c r="AT275" s="20" t="str">
        <f>VLOOKUP(Data[[#This Row],[DEVELOPMENT]],Ops_Priorities_and_Data_Clean[[development]:[ifnoext_comment]],17,FALSE)</f>
        <v>NULL</v>
      </c>
      <c r="AU275" s="20" t="str">
        <f>VLOOKUP(Data[[#This Row],[DEVELOPMENT]],Ops_Priorities_and_Data_Clean[[development]:[ifnoext_comment]],18,FALSE)</f>
        <v>NULL</v>
      </c>
      <c r="AV275" s="20" t="str">
        <f>VLOOKUP(Data[[#This Row],[DEVELOPMENT]],Ops_Priorities_and_Data_Clean[[development]:[ifnoext_comment]],19,FALSE)</f>
        <v>NULL</v>
      </c>
      <c r="AW275" s="20" t="str">
        <f>VLOOKUP(Data[[#This Row],[DEVELOPMENT]],Ops_Priorities_and_Data_Clean[[development]:[ifnoext_comment]],20,FALSE)</f>
        <v>There's 2 on Taylor Wythe -- it's technically on Taylor Wythe but people think it's independenceâ€¦</v>
      </c>
      <c r="AX275" s="104" t="s">
        <v>2605</v>
      </c>
      <c r="AY275" s="104" t="s">
        <v>385</v>
      </c>
      <c r="AZ275" s="20" t="str">
        <f>VLOOKUP(Data[[#This Row],[DEVELOPMENT]],Development_Data_Book[[DEVELOPMENT]:[PRIVATE MANAGEMENT]],8,FALSE)</f>
        <v>FEDERAL</v>
      </c>
      <c r="BA275" s="104" t="s">
        <v>2586</v>
      </c>
      <c r="BB275" s="20">
        <f>VLOOKUP(Data[[#This Row],[DEVELOPMENT]],Development_Data_Book[[DEVELOPMENT]:[PRIVATE MANAGEMENT]],22,FALSE)</f>
        <v>1</v>
      </c>
      <c r="BC275" s="20">
        <f>Data[[#This Row],[Non-Dwelling Buildings]]+Data[[#This Row],[Dwelling Buildings]]</f>
        <v>6</v>
      </c>
      <c r="BD275" s="20">
        <f>VLOOKUP(Data[[#This Row],[DEVELOPMENT]],Development_Data_Book[[DEVELOPMENT]:[PRIVATE MANAGEMENT]],26,FALSE)</f>
        <v>4.2</v>
      </c>
      <c r="BE275" s="106">
        <v>631040</v>
      </c>
      <c r="BF275" s="20">
        <f>VLOOKUP(Data[[#This Row],[DEVELOPMENT]],Development_Data_Book[[DEVELOPMENT]:[PRIVATE MANAGEMENT]],18,FALSE)</f>
        <v>1226</v>
      </c>
      <c r="BG27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75" s="104" t="s">
        <v>2601</v>
      </c>
      <c r="BI275" t="s">
        <v>184</v>
      </c>
      <c r="BJ275" s="20">
        <f>VLOOKUP(Data[[#This Row],[DEVELOPMENT]],Development_Data_Book[[DEVELOPMENT]:[PRIVATE MANAGEMENT]],41,FALSE)</f>
        <v>1</v>
      </c>
      <c r="BK275" s="20">
        <f>VLOOKUP(Data[[#This Row],[DEVELOPMENT]],Development_Data_Book[[DEVELOPMENT]:[PRIVATE MANAGEMENT]],42,FALSE)</f>
        <v>7</v>
      </c>
      <c r="BL275" s="20">
        <f>VLOOKUP(Data[[#This Row],[DEVELOPMENT]],Development_Data_Book[[DEVELOPMENT]:[PRIVATE MANAGEMENT]],43,FALSE)</f>
        <v>18</v>
      </c>
      <c r="BM275" s="20">
        <f>VLOOKUP(Data[[#This Row],[DEVELOPMENT]],Development_Data_Book[[DEVELOPMENT]:[PRIVATE MANAGEMENT]],44,FALSE)</f>
        <v>50</v>
      </c>
      <c r="BN275" s="20">
        <f>VLOOKUP(Data[[#This Row],[DEVELOPMENT]],Development_Data_Book[[DEVELOPMENT]:[PRIVATE MANAGEMENT]],45,FALSE)</f>
        <v>33</v>
      </c>
      <c r="BO275" s="20" t="str">
        <f>VLOOKUP(Data[[#This Row],[DEVELOPMENT]],Development_Data_Book[[DEVELOPMENT]:[PRIVATE MANAGEMENT]],24,FALSE)</f>
        <v>8-11-12-13</v>
      </c>
    </row>
    <row r="276" spans="1:67">
      <c r="A276" s="17" t="s">
        <v>149</v>
      </c>
      <c r="B276" s="17" t="str">
        <f>VLOOKUP(Data[[#This Row],[DEVELOPMENT]],Development_Data_Book[[DEVELOPMENT]:[BOROUGH]],MATCH("borough",Development_Data_Book[[#Headers],[DEVELOPMENT]:[BOROUGH]],0),FALSE)</f>
        <v>BRONX</v>
      </c>
      <c r="C276" t="e">
        <f>VLOOKUP(Data[[#This Row],[DEVELOPMENT]],'[1]Cheat-Sheet'!$D$2:$Q$341,2,FALSE)</f>
        <v>#N/A</v>
      </c>
      <c r="D27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76">
        <f>VLOOKUP(Data[[#This Row],[DEVELOPMENT]],Development_Data_Book[[DEVELOPMENT]:[BOROUGH]],21,FALSE)</f>
        <v>1</v>
      </c>
      <c r="F276">
        <f>VLOOKUP(Data[[#This Row],[DEVELOPMENT]],Development_Data_Book[[DEVELOPMENT]:[BOROUGH]],23,FALSE)</f>
        <v>1</v>
      </c>
      <c r="G276">
        <f>VLOOKUP(Data[[#This Row],[DEVELOPMENT]],Development_Data_Book[[DEVELOPMENT]:[BOROUGH]],12,FALSE)</f>
        <v>90</v>
      </c>
      <c r="H276" t="s">
        <v>2246</v>
      </c>
      <c r="I276">
        <v>4</v>
      </c>
      <c r="J276">
        <f>IFERROR(VLOOKUP(Data[[#This Row],[DEVELOPMENT]],IntCompactors_MRST[],4,FALSE),0)</f>
        <v>2</v>
      </c>
      <c r="K276" s="20">
        <f>IFERROR(VLOOKUP(Data[[#This Row],[DEVELOPMENT]],ExtCompactors_MRST[],4,FALSE),0)</f>
        <v>0</v>
      </c>
      <c r="L276" s="27">
        <f>IF(Data[[#This Row],['# Interior Compactors MRST]]=0,"",VLOOKUP(Data[[#This Row],[DEVELOPMENT]],IntCompactors_MRST[],5,FALSE))</f>
        <v>35217</v>
      </c>
      <c r="M276" s="28" t="str">
        <f>IF(Data[[#This Row],['# Exterior Compactors MRST]]=0,"",VLOOKUP(Data[[#This Row],[DEVELOPMENT]],ExtCompactors_MRST[],5,FALSE))</f>
        <v/>
      </c>
      <c r="N276">
        <f>Data[[#This Row],['# Interior Compactors MRST]]</f>
        <v>2</v>
      </c>
      <c r="O276" s="20">
        <f>IF(Data[[#This Row],['# Bulk Crushers]]=0,1,0)</f>
        <v>1</v>
      </c>
      <c r="P276" s="20">
        <f>1</f>
        <v>1</v>
      </c>
      <c r="Q276" s="20">
        <f>1</f>
        <v>1</v>
      </c>
      <c r="R276" s="20">
        <f>1</f>
        <v>1</v>
      </c>
      <c r="S276" s="20">
        <f>1</f>
        <v>1</v>
      </c>
      <c r="T276" s="20">
        <f>IF(Data[[#This Row],[Sewershed]]="Newtown Creek",Data[[#This Row],[DUs]],0)</f>
        <v>0</v>
      </c>
      <c r="U27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7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7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76" s="82">
        <f>VLOOKUP(Data[[#This Row],[DEVELOPMENT]],Development_Data_Book[[DEVELOPMENT]:[BOROUGH]],3,FALSE)</f>
        <v>223</v>
      </c>
      <c r="Y276" s="20"/>
      <c r="Z276" s="20">
        <f>IFERROR(VLOOKUP(Data[[#This Row],[TDS]],ExtCompactors_PNA[[Development]:[0]],2,FALSE),0)</f>
        <v>0</v>
      </c>
      <c r="AA276" s="20">
        <f>IFERROR(VLOOKUP(Data[[#This Row],[TDS]],IntCompactors_PNA[[TDS]:[0]],2,FALSE),0)</f>
        <v>2</v>
      </c>
      <c r="AB276" s="20"/>
      <c r="AC276" s="20"/>
      <c r="AD276" s="20">
        <f>IFERROR(VLOOKUP(Data[[#This Row],[TDS]],ExtCompactors_PNA[[Development]:[0]],3,FALSE)+VLOOKUP(Data[[#This Row],[TDS]],ExtCompactors_PNA[[Development]:[0]],6,FALSE),0)</f>
        <v>0</v>
      </c>
      <c r="AE276" s="20">
        <f>IFERROR(VLOOKUP(Data[[#This Row],[TDS]],IntCompactors_PNA[[TDS]:[0]],3,FALSE)+VLOOKUP(Data[[#This Row],[TDS]],IntCompactors_PNA[[TDS]:[0]],6,FALSE),0)</f>
        <v>2</v>
      </c>
      <c r="AF276" s="20" t="e">
        <f>VLOOKUP(Data[[#This Row],[DEVELOPMENT]],[3]Developments!$A$2:$A$312,1,FALSE)</f>
        <v>#N/A</v>
      </c>
      <c r="AG276" s="20">
        <f>IFERROR(VLOOKUP(Data[[#This Row],[DEVELOPMENT]],Ops_Priorities_and_Data_Clean[[development]:[ifnoext_comment]],3,FALSE),"")</f>
        <v>1</v>
      </c>
      <c r="AH276" s="20">
        <f>IFERROR(VLOOKUP(Data[[#This Row],[DEVELOPMENT]],Ops_Priorities_and_Data_Clean[[development]:[ifnoext_comment]],4,FALSE),"")</f>
        <v>0</v>
      </c>
      <c r="AI276" s="20">
        <f>IFERROR(VLOOKUP(Data[[#This Row],[DEVELOPMENT]],Ops_Priorities_and_Data_Clean[[development]:[ifnoext_comment]],5,FALSE),"")</f>
        <v>1</v>
      </c>
      <c r="AJ276" s="20">
        <f>IFERROR(VLOOKUP(Data[[#This Row],[DEVELOPMENT]],Ops_Priorities_and_Data_Clean[[development]:[ifnoext_comment]],6,FALSE),"")</f>
        <v>0</v>
      </c>
      <c r="AK276" s="20">
        <f>IFERROR(VLOOKUP(Data[[#This Row],[DEVELOPMENT]],Ops_Priorities_and_Data_Clean[[development]:[ifnoext_comment]],7,FALSE),"")</f>
        <v>0</v>
      </c>
      <c r="AL276" s="20">
        <f>IFERROR(VLOOKUP(Data[[#This Row],[DEVELOPMENT]],Ops_Priorities_and_Data_Clean[[development]:[ifnoext_comment]],8,FALSE),"")</f>
        <v>1</v>
      </c>
      <c r="AM276" s="20">
        <f>IFERROR(VLOOKUP(Data[[#This Row],[DEVELOPMENT]],Ops_Priorities_and_Data_Clean[[development]:[ifnoext_comment]],9,FALSE),"")</f>
        <v>0</v>
      </c>
      <c r="AN276" s="20">
        <f>IFERROR(VLOOKUP(Data[[#This Row],[DEVELOPMENT]],Ops_Priorities_and_Data_Clean[[development]:[ifnoext_comment]],10,FALSE),"")</f>
        <v>1</v>
      </c>
      <c r="AO276" s="20">
        <f>IFERROR(VLOOKUP(Data[[#This Row],[DEVELOPMENT]],Ops_Priorities_and_Data_Clean[[development]:[ifnoext_comment]],11,FALSE),"")</f>
        <v>0</v>
      </c>
      <c r="AP276" s="20">
        <f>IFERROR(VLOOKUP(Data[[#This Row],[DEVELOPMENT]],Ops_Priorities_and_Data_Clean[[development]:[ifnoext_comment]],12,FALSE),"")</f>
        <v>0</v>
      </c>
      <c r="AQ276" s="20">
        <f>VLOOKUP(Data[[#This Row],[DEVELOPMENT]],Ops_Priorities_and_Data_Clean[[development]:[ifnoext_comment]],14,FALSE)</f>
        <v>0</v>
      </c>
      <c r="AR276" s="20">
        <f>VLOOKUP(Data[[#This Row],[DEVELOPMENT]],Ops_Priorities_and_Data_Clean[[development]:[ifnoext_comment]],15,FALSE)</f>
        <v>0</v>
      </c>
      <c r="AS276" s="20" t="str">
        <f>VLOOKUP(Data[[#This Row],[DEVELOPMENT]],Ops_Priorities_and_Data_Clean[[development]:[ifnoext_comment]],16,FALSE)</f>
        <v>NULL</v>
      </c>
      <c r="AT276" s="20" t="str">
        <f>VLOOKUP(Data[[#This Row],[DEVELOPMENT]],Ops_Priorities_and_Data_Clean[[development]:[ifnoext_comment]],17,FALSE)</f>
        <v>NULL</v>
      </c>
      <c r="AU276" s="20" t="str">
        <f>VLOOKUP(Data[[#This Row],[DEVELOPMENT]],Ops_Priorities_and_Data_Clean[[development]:[ifnoext_comment]],18,FALSE)</f>
        <v>No</v>
      </c>
      <c r="AV276" s="20" t="str">
        <f>VLOOKUP(Data[[#This Row],[DEVELOPMENT]],Ops_Priorities_and_Data_Clean[[development]:[ifnoext_comment]],19,FALSE)</f>
        <v>1020 college</v>
      </c>
      <c r="AW276" s="20" t="str">
        <f>VLOOKUP(Data[[#This Row],[DEVELOPMENT]],Ops_Priorities_and_Data_Clean[[development]:[ifnoext_comment]],20,FALSE)</f>
        <v>NULL</v>
      </c>
      <c r="AX276" s="104" t="s">
        <v>2237</v>
      </c>
      <c r="AY276" s="104" t="s">
        <v>2590</v>
      </c>
      <c r="AZ276" s="20" t="str">
        <f>VLOOKUP(Data[[#This Row],[DEVELOPMENT]],Development_Data_Book[[DEVELOPMENT]:[PRIVATE MANAGEMENT]],8,FALSE)</f>
        <v>FEDERAL</v>
      </c>
      <c r="BA276" s="104" t="s">
        <v>2586</v>
      </c>
      <c r="BB276" s="20">
        <f>VLOOKUP(Data[[#This Row],[DEVELOPMENT]],Development_Data_Book[[DEVELOPMENT]:[PRIVATE MANAGEMENT]],22,FALSE)</f>
        <v>0</v>
      </c>
      <c r="BC276" s="20">
        <f>Data[[#This Row],[Non-Dwelling Buildings]]+Data[[#This Row],[Dwelling Buildings]]</f>
        <v>1</v>
      </c>
      <c r="BD276" s="20">
        <f>VLOOKUP(Data[[#This Row],[DEVELOPMENT]],Development_Data_Book[[DEVELOPMENT]:[PRIVATE MANAGEMENT]],26,FALSE)</f>
        <v>0.63</v>
      </c>
      <c r="BE276" s="106">
        <v>74500</v>
      </c>
      <c r="BF276" s="20">
        <f>VLOOKUP(Data[[#This Row],[DEVELOPMENT]],Development_Data_Book[[DEVELOPMENT]:[PRIVATE MANAGEMENT]],18,FALSE)</f>
        <v>185</v>
      </c>
      <c r="BG27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76" s="104" t="s">
        <v>2631</v>
      </c>
      <c r="BI276" t="s">
        <v>184</v>
      </c>
      <c r="BJ276" s="20">
        <f>VLOOKUP(Data[[#This Row],[DEVELOPMENT]],Development_Data_Book[[DEVELOPMENT]:[PRIVATE MANAGEMENT]],41,FALSE)</f>
        <v>4</v>
      </c>
      <c r="BK276" s="20">
        <f>VLOOKUP(Data[[#This Row],[DEVELOPMENT]],Development_Data_Book[[DEVELOPMENT]:[PRIVATE MANAGEMENT]],42,FALSE)</f>
        <v>15</v>
      </c>
      <c r="BL276" s="20">
        <f>VLOOKUP(Data[[#This Row],[DEVELOPMENT]],Development_Data_Book[[DEVELOPMENT]:[PRIVATE MANAGEMENT]],43,FALSE)</f>
        <v>32</v>
      </c>
      <c r="BM276" s="20">
        <f>VLOOKUP(Data[[#This Row],[DEVELOPMENT]],Development_Data_Book[[DEVELOPMENT]:[PRIVATE MANAGEMENT]],44,FALSE)</f>
        <v>77</v>
      </c>
      <c r="BN276" s="20">
        <f>VLOOKUP(Data[[#This Row],[DEVELOPMENT]],Development_Data_Book[[DEVELOPMENT]:[PRIVATE MANAGEMENT]],45,FALSE)</f>
        <v>16</v>
      </c>
      <c r="BO276" s="20">
        <f>VLOOKUP(Data[[#This Row],[DEVELOPMENT]],Development_Data_Book[[DEVELOPMENT]:[PRIVATE MANAGEMENT]],24,FALSE)</f>
        <v>6</v>
      </c>
    </row>
    <row r="277" spans="1:67">
      <c r="A277" t="s">
        <v>371</v>
      </c>
      <c r="B277" s="20" t="str">
        <f>VLOOKUP(Data[[#This Row],[DEVELOPMENT]],Development_Data_Book[[DEVELOPMENT]:[BOROUGH]],MATCH("borough",Development_Data_Book[[#Headers],[DEVELOPMENT]:[BOROUGH]],0),FALSE)</f>
        <v>MANHATTAN</v>
      </c>
      <c r="C277" s="20" t="e">
        <f>VLOOKUP(Data[[#This Row],[DEVELOPMENT]],'[1]Cheat-Sheet'!$D$2:$Q$341,2,FALSE)</f>
        <v>#N/A</v>
      </c>
      <c r="D27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77" s="20">
        <f>VLOOKUP(Data[[#This Row],[DEVELOPMENT]],Development_Data_Book[[DEVELOPMENT]:[BOROUGH]],21,FALSE)</f>
        <v>1</v>
      </c>
      <c r="F277" s="20">
        <f>VLOOKUP(Data[[#This Row],[DEVELOPMENT]],Development_Data_Book[[DEVELOPMENT]:[BOROUGH]],23,FALSE)</f>
        <v>1</v>
      </c>
      <c r="G277" s="20">
        <f>VLOOKUP(Data[[#This Row],[DEVELOPMENT]],Development_Data_Book[[DEVELOPMENT]:[BOROUGH]],12,FALSE)</f>
        <v>87</v>
      </c>
      <c r="H277" t="s">
        <v>2611</v>
      </c>
      <c r="J277">
        <f>IFERROR(VLOOKUP(Data[[#This Row],[DEVELOPMENT]],IntCompactors_MRST[],4,FALSE),0)</f>
        <v>0</v>
      </c>
      <c r="K277" s="20">
        <f>IFERROR(VLOOKUP(Data[[#This Row],[DEVELOPMENT]],ExtCompactors_MRST[],4,FALSE),0)</f>
        <v>0</v>
      </c>
      <c r="L277" s="27" t="str">
        <f>IF(Data[[#This Row],['# Interior Compactors MRST]]=0,"",VLOOKUP(Data[[#This Row],[DEVELOPMENT]],IntCompactors_MRST[],5,FALSE))</f>
        <v/>
      </c>
      <c r="M277" s="28" t="str">
        <f>IF(Data[[#This Row],['# Exterior Compactors MRST]]=0,"",VLOOKUP(Data[[#This Row],[DEVELOPMENT]],ExtCompactors_MRST[],5,FALSE))</f>
        <v/>
      </c>
      <c r="N277" s="20">
        <f>Data[[#This Row],['# Interior Compactors MRST]]</f>
        <v>0</v>
      </c>
      <c r="O277" s="20">
        <f>IF(Data[[#This Row],['# Bulk Crushers]]=0,1,0)</f>
        <v>1</v>
      </c>
      <c r="P277" s="20">
        <f>1</f>
        <v>1</v>
      </c>
      <c r="Q277" s="20">
        <f>1</f>
        <v>1</v>
      </c>
      <c r="R277" s="20">
        <f>1</f>
        <v>1</v>
      </c>
      <c r="S277" s="20">
        <f>1</f>
        <v>1</v>
      </c>
      <c r="T277" s="20">
        <f>IF(Data[[#This Row],[Sewershed]]="Newtown Creek",Data[[#This Row],[DUs]],0)</f>
        <v>0</v>
      </c>
      <c r="U27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7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7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77" s="82">
        <f>VLOOKUP(Data[[#This Row],[DEVELOPMENT]],Development_Data_Book[[DEVELOPMENT]:[BOROUGH]],3,FALSE)</f>
        <v>268</v>
      </c>
      <c r="Y277" s="20"/>
      <c r="Z277" s="20">
        <f>IFERROR(VLOOKUP(Data[[#This Row],[TDS]],ExtCompactors_PNA[[Development]:[0]],2,FALSE),0)</f>
        <v>0</v>
      </c>
      <c r="AA277" s="20">
        <f>IFERROR(VLOOKUP(Data[[#This Row],[TDS]],IntCompactors_PNA[[TDS]:[0]],2,FALSE),0)</f>
        <v>1</v>
      </c>
      <c r="AB277" s="20"/>
      <c r="AC277" s="20"/>
      <c r="AD277" s="20">
        <f>IFERROR(VLOOKUP(Data[[#This Row],[TDS]],ExtCompactors_PNA[[Development]:[0]],3,FALSE)+VLOOKUP(Data[[#This Row],[TDS]],ExtCompactors_PNA[[Development]:[0]],6,FALSE),0)</f>
        <v>0</v>
      </c>
      <c r="AE277" s="20">
        <f>IFERROR(VLOOKUP(Data[[#This Row],[TDS]],IntCompactors_PNA[[TDS]:[0]],3,FALSE)+VLOOKUP(Data[[#This Row],[TDS]],IntCompactors_PNA[[TDS]:[0]],6,FALSE),0)</f>
        <v>1</v>
      </c>
      <c r="AF277" s="20" t="e">
        <f>VLOOKUP(Data[[#This Row],[DEVELOPMENT]],[3]Developments!$A$2:$A$312,1,FALSE)</f>
        <v>#N/A</v>
      </c>
      <c r="AG277" s="20">
        <f>IFERROR(VLOOKUP(Data[[#This Row],[DEVELOPMENT]],Ops_Priorities_and_Data_Clean[[development]:[ifnoext_comment]],3,FALSE),"")</f>
        <v>0</v>
      </c>
      <c r="AH277" s="20">
        <f>IFERROR(VLOOKUP(Data[[#This Row],[DEVELOPMENT]],Ops_Priorities_and_Data_Clean[[development]:[ifnoext_comment]],4,FALSE),"")</f>
        <v>0</v>
      </c>
      <c r="AI277" s="20">
        <f>IFERROR(VLOOKUP(Data[[#This Row],[DEVELOPMENT]],Ops_Priorities_and_Data_Clean[[development]:[ifnoext_comment]],5,FALSE),"")</f>
        <v>0</v>
      </c>
      <c r="AJ277" s="20">
        <f>IFERROR(VLOOKUP(Data[[#This Row],[DEVELOPMENT]],Ops_Priorities_and_Data_Clean[[development]:[ifnoext_comment]],6,FALSE),"")</f>
        <v>0</v>
      </c>
      <c r="AK277" s="20">
        <f>IFERROR(VLOOKUP(Data[[#This Row],[DEVELOPMENT]],Ops_Priorities_and_Data_Clean[[development]:[ifnoext_comment]],7,FALSE),"")</f>
        <v>1</v>
      </c>
      <c r="AL277" s="20">
        <f>IFERROR(VLOOKUP(Data[[#This Row],[DEVELOPMENT]],Ops_Priorities_and_Data_Clean[[development]:[ifnoext_comment]],8,FALSE),"")</f>
        <v>1</v>
      </c>
      <c r="AM277" s="20">
        <f>IFERROR(VLOOKUP(Data[[#This Row],[DEVELOPMENT]],Ops_Priorities_and_Data_Clean[[development]:[ifnoext_comment]],9,FALSE),"")</f>
        <v>0</v>
      </c>
      <c r="AN277" s="20">
        <f>IFERROR(VLOOKUP(Data[[#This Row],[DEVELOPMENT]],Ops_Priorities_and_Data_Clean[[development]:[ifnoext_comment]],10,FALSE),"")</f>
        <v>0</v>
      </c>
      <c r="AO277" s="20">
        <f>IFERROR(VLOOKUP(Data[[#This Row],[DEVELOPMENT]],Ops_Priorities_and_Data_Clean[[development]:[ifnoext_comment]],11,FALSE),"")</f>
        <v>0</v>
      </c>
      <c r="AP277" s="20">
        <f>IFERROR(VLOOKUP(Data[[#This Row],[DEVELOPMENT]],Ops_Priorities_and_Data_Clean[[development]:[ifnoext_comment]],12,FALSE),"")</f>
        <v>0</v>
      </c>
      <c r="AQ277" s="20">
        <f>VLOOKUP(Data[[#This Row],[DEVELOPMENT]],Ops_Priorities_and_Data_Clean[[development]:[ifnoext_comment]],14,FALSE)</f>
        <v>1</v>
      </c>
      <c r="AR277" s="20">
        <f>VLOOKUP(Data[[#This Row],[DEVELOPMENT]],Ops_Priorities_and_Data_Clean[[development]:[ifnoext_comment]],15,FALSE)</f>
        <v>0</v>
      </c>
      <c r="AS277" s="20" t="str">
        <f>VLOOKUP(Data[[#This Row],[DEVELOPMENT]],Ops_Priorities_and_Data_Clean[[development]:[ifnoext_comment]],16,FALSE)</f>
        <v>NULL</v>
      </c>
      <c r="AT277" s="20" t="str">
        <f>VLOOKUP(Data[[#This Row],[DEVELOPMENT]],Ops_Priorities_and_Data_Clean[[development]:[ifnoext_comment]],17,FALSE)</f>
        <v>NULL</v>
      </c>
      <c r="AU277" s="20" t="str">
        <f>VLOOKUP(Data[[#This Row],[DEVELOPMENT]],Ops_Priorities_and_Data_Clean[[development]:[ifnoext_comment]],18,FALSE)</f>
        <v>NULL</v>
      </c>
      <c r="AV277" s="20" t="str">
        <f>VLOOKUP(Data[[#This Row],[DEVELOPMENT]],Ops_Priorities_and_Data_Clean[[development]:[ifnoext_comment]],19,FALSE)</f>
        <v>NULL</v>
      </c>
      <c r="AW277" s="20" t="str">
        <f>VLOOKUP(Data[[#This Row],[DEVELOPMENT]],Ops_Priorities_and_Data_Clean[[development]:[ifnoext_comment]],20,FALSE)</f>
        <v>NULL</v>
      </c>
      <c r="AX277" s="104" t="s">
        <v>2605</v>
      </c>
      <c r="AY277" s="104" t="s">
        <v>2597</v>
      </c>
      <c r="AZ277" s="20" t="str">
        <f>VLOOKUP(Data[[#This Row],[DEVELOPMENT]],Development_Data_Book[[DEVELOPMENT]:[PRIVATE MANAGEMENT]],8,FALSE)</f>
        <v>FEDERAL</v>
      </c>
      <c r="BA277" s="104" t="s">
        <v>2586</v>
      </c>
      <c r="BB277" s="20">
        <f>VLOOKUP(Data[[#This Row],[DEVELOPMENT]],Development_Data_Book[[DEVELOPMENT]:[PRIVATE MANAGEMENT]],22,FALSE)</f>
        <v>0</v>
      </c>
      <c r="BC277" s="20">
        <f>Data[[#This Row],[Non-Dwelling Buildings]]+Data[[#This Row],[Dwelling Buildings]]</f>
        <v>1</v>
      </c>
      <c r="BD277" s="20">
        <f>VLOOKUP(Data[[#This Row],[DEVELOPMENT]],Development_Data_Book[[DEVELOPMENT]:[PRIVATE MANAGEMENT]],26,FALSE)</f>
        <v>0.22</v>
      </c>
      <c r="BE277" s="106">
        <v>69683</v>
      </c>
      <c r="BF277" s="20">
        <f>VLOOKUP(Data[[#This Row],[DEVELOPMENT]],Development_Data_Book[[DEVELOPMENT]:[PRIVATE MANAGEMENT]],18,FALSE)</f>
        <v>96</v>
      </c>
      <c r="BG277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77" s="104" t="s">
        <v>2598</v>
      </c>
      <c r="BI277" t="s">
        <v>184</v>
      </c>
      <c r="BJ277" s="20">
        <f>VLOOKUP(Data[[#This Row],[DEVELOPMENT]],Development_Data_Book[[DEVELOPMENT]:[PRIVATE MANAGEMENT]],41,FALSE)</f>
        <v>7</v>
      </c>
      <c r="BK277" s="20">
        <f>VLOOKUP(Data[[#This Row],[DEVELOPMENT]],Development_Data_Book[[DEVELOPMENT]:[PRIVATE MANAGEMENT]],42,FALSE)</f>
        <v>10</v>
      </c>
      <c r="BL277" s="20">
        <f>VLOOKUP(Data[[#This Row],[DEVELOPMENT]],Development_Data_Book[[DEVELOPMENT]:[PRIVATE MANAGEMENT]],43,FALSE)</f>
        <v>30</v>
      </c>
      <c r="BM277" s="20">
        <f>VLOOKUP(Data[[#This Row],[DEVELOPMENT]],Development_Data_Book[[DEVELOPMENT]:[PRIVATE MANAGEMENT]],44,FALSE)</f>
        <v>69</v>
      </c>
      <c r="BN277" s="20">
        <f>VLOOKUP(Data[[#This Row],[DEVELOPMENT]],Development_Data_Book[[DEVELOPMENT]:[PRIVATE MANAGEMENT]],45,FALSE)</f>
        <v>6</v>
      </c>
      <c r="BO277" s="20">
        <f>VLOOKUP(Data[[#This Row],[DEVELOPMENT]],Development_Data_Book[[DEVELOPMENT]:[PRIVATE MANAGEMENT]],24,FALSE)</f>
        <v>11</v>
      </c>
    </row>
    <row r="278" spans="1:67">
      <c r="A278" t="s">
        <v>217</v>
      </c>
      <c r="B278" s="20" t="str">
        <f>VLOOKUP(Data[[#This Row],[DEVELOPMENT]],Development_Data_Book[[DEVELOPMENT]:[BOROUGH]],MATCH("borough",Development_Data_Book[[#Headers],[DEVELOPMENT]:[BOROUGH]],0),FALSE)</f>
        <v>BRONX</v>
      </c>
      <c r="C278" s="20" t="e">
        <f>VLOOKUP(Data[[#This Row],[DEVELOPMENT]],'[1]Cheat-Sheet'!$D$2:$Q$341,2,FALSE)</f>
        <v>#N/A</v>
      </c>
      <c r="D27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78" s="20">
        <f>VLOOKUP(Data[[#This Row],[DEVELOPMENT]],Development_Data_Book[[DEVELOPMENT]:[BOROUGH]],21,FALSE)</f>
        <v>29</v>
      </c>
      <c r="F278" s="20">
        <f>VLOOKUP(Data[[#This Row],[DEVELOPMENT]],Development_Data_Book[[DEVELOPMENT]:[BOROUGH]],23,FALSE)</f>
        <v>66</v>
      </c>
      <c r="G278" s="20">
        <f>VLOOKUP(Data[[#This Row],[DEVELOPMENT]],Development_Data_Book[[DEVELOPMENT]:[BOROUGH]],12,FALSE)</f>
        <v>1182</v>
      </c>
      <c r="J278">
        <f>IFERROR(VLOOKUP(Data[[#This Row],[DEVELOPMENT]],IntCompactors_MRST[],4,FALSE),0)</f>
        <v>62</v>
      </c>
      <c r="K278" s="20">
        <f>IFERROR(VLOOKUP(Data[[#This Row],[DEVELOPMENT]],ExtCompactors_MRST[],4,FALSE),0)</f>
        <v>6</v>
      </c>
      <c r="L278" s="27">
        <f>IF(Data[[#This Row],['# Interior Compactors MRST]]=0,"",VLOOKUP(Data[[#This Row],[DEVELOPMENT]],IntCompactors_MRST[],5,FALSE))</f>
        <v>37774</v>
      </c>
      <c r="M278" s="28">
        <f>IF(Data[[#This Row],['# Exterior Compactors MRST]]=0,"",VLOOKUP(Data[[#This Row],[DEVELOPMENT]],ExtCompactors_MRST[],5,FALSE))</f>
        <v>43040</v>
      </c>
      <c r="N278" s="20">
        <f>Data[[#This Row],['# Interior Compactors MRST]]</f>
        <v>62</v>
      </c>
      <c r="O278" s="20">
        <f>IF(Data[[#This Row],['# Bulk Crushers]]=0,1,0)</f>
        <v>1</v>
      </c>
      <c r="P278" s="20">
        <f>1</f>
        <v>1</v>
      </c>
      <c r="Q278" s="20">
        <f>1</f>
        <v>1</v>
      </c>
      <c r="R278" s="20">
        <f>1</f>
        <v>1</v>
      </c>
      <c r="S278" s="20">
        <f>1</f>
        <v>1</v>
      </c>
      <c r="T278" s="20">
        <f>IF(Data[[#This Row],[Sewershed]]="Newtown Creek",Data[[#This Row],[DUs]],0)</f>
        <v>0</v>
      </c>
      <c r="U27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7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7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78" s="82">
        <f>VLOOKUP(Data[[#This Row],[DEVELOPMENT]],Development_Data_Book[[DEVELOPMENT]:[BOROUGH]],3,FALSE)</f>
        <v>63</v>
      </c>
      <c r="Y278" s="20"/>
      <c r="Z278" s="20">
        <f>IFERROR(VLOOKUP(Data[[#This Row],[TDS]],ExtCompactors_PNA[[Development]:[0]],2,FALSE),0)</f>
        <v>6</v>
      </c>
      <c r="AA278" s="20">
        <f>IFERROR(VLOOKUP(Data[[#This Row],[TDS]],IntCompactors_PNA[[TDS]:[0]],2,FALSE),0)</f>
        <v>60</v>
      </c>
      <c r="AB278" s="20"/>
      <c r="AC278" s="20"/>
      <c r="AD278" s="20">
        <f>IFERROR(VLOOKUP(Data[[#This Row],[TDS]],ExtCompactors_PNA[[Development]:[0]],3,FALSE)+VLOOKUP(Data[[#This Row],[TDS]],ExtCompactors_PNA[[Development]:[0]],6,FALSE),0)</f>
        <v>6</v>
      </c>
      <c r="AE278" s="20">
        <f>IFERROR(VLOOKUP(Data[[#This Row],[TDS]],IntCompactors_PNA[[TDS]:[0]],3,FALSE)+VLOOKUP(Data[[#This Row],[TDS]],IntCompactors_PNA[[TDS]:[0]],6,FALSE),0)</f>
        <v>60</v>
      </c>
      <c r="AF278" s="20" t="e">
        <f>VLOOKUP(Data[[#This Row],[DEVELOPMENT]],[3]Developments!$A$2:$A$312,1,FALSE)</f>
        <v>#N/A</v>
      </c>
      <c r="AG278" s="20">
        <f>IFERROR(VLOOKUP(Data[[#This Row],[DEVELOPMENT]],Ops_Priorities_and_Data_Clean[[development]:[ifnoext_comment]],3,FALSE),"")</f>
        <v>5</v>
      </c>
      <c r="AH278" s="20">
        <f>IFERROR(VLOOKUP(Data[[#This Row],[DEVELOPMENT]],Ops_Priorities_and_Data_Clean[[development]:[ifnoext_comment]],4,FALSE),"")</f>
        <v>1</v>
      </c>
      <c r="AI278" s="20">
        <f>IFERROR(VLOOKUP(Data[[#This Row],[DEVELOPMENT]],Ops_Priorities_and_Data_Clean[[development]:[ifnoext_comment]],5,FALSE),"")</f>
        <v>1</v>
      </c>
      <c r="AJ278" s="20">
        <f>IFERROR(VLOOKUP(Data[[#This Row],[DEVELOPMENT]],Ops_Priorities_and_Data_Clean[[development]:[ifnoext_comment]],6,FALSE),"")</f>
        <v>0</v>
      </c>
      <c r="AK278" s="20">
        <f>IFERROR(VLOOKUP(Data[[#This Row],[DEVELOPMENT]],Ops_Priorities_and_Data_Clean[[development]:[ifnoext_comment]],7,FALSE),"")</f>
        <v>0</v>
      </c>
      <c r="AL278" s="20">
        <f>IFERROR(VLOOKUP(Data[[#This Row],[DEVELOPMENT]],Ops_Priorities_and_Data_Clean[[development]:[ifnoext_comment]],8,FALSE),"")</f>
        <v>1</v>
      </c>
      <c r="AM278" s="20">
        <f>IFERROR(VLOOKUP(Data[[#This Row],[DEVELOPMENT]],Ops_Priorities_and_Data_Clean[[development]:[ifnoext_comment]],9,FALSE),"")</f>
        <v>0</v>
      </c>
      <c r="AN278" s="20">
        <f>IFERROR(VLOOKUP(Data[[#This Row],[DEVELOPMENT]],Ops_Priorities_and_Data_Clean[[development]:[ifnoext_comment]],10,FALSE),"")</f>
        <v>5</v>
      </c>
      <c r="AO278" s="20">
        <f>IFERROR(VLOOKUP(Data[[#This Row],[DEVELOPMENT]],Ops_Priorities_and_Data_Clean[[development]:[ifnoext_comment]],11,FALSE),"")</f>
        <v>6</v>
      </c>
      <c r="AP278" s="20">
        <f>IFERROR(VLOOKUP(Data[[#This Row],[DEVELOPMENT]],Ops_Priorities_and_Data_Clean[[development]:[ifnoext_comment]],12,FALSE),"")</f>
        <v>6</v>
      </c>
      <c r="AQ278" s="20">
        <f>VLOOKUP(Data[[#This Row],[DEVELOPMENT]],Ops_Priorities_and_Data_Clean[[development]:[ifnoext_comment]],14,FALSE)</f>
        <v>0</v>
      </c>
      <c r="AR278" s="20">
        <f>VLOOKUP(Data[[#This Row],[DEVELOPMENT]],Ops_Priorities_and_Data_Clean[[development]:[ifnoext_comment]],15,FALSE)</f>
        <v>0</v>
      </c>
      <c r="AS278" s="20" t="str">
        <f>VLOOKUP(Data[[#This Row],[DEVELOPMENT]],Ops_Priorities_and_Data_Clean[[development]:[ifnoext_comment]],16,FALSE)</f>
        <v>NULL</v>
      </c>
      <c r="AT278" s="20" t="str">
        <f>VLOOKUP(Data[[#This Row],[DEVELOPMENT]],Ops_Priorities_and_Data_Clean[[development]:[ifnoext_comment]],17,FALSE)</f>
        <v>NULL</v>
      </c>
      <c r="AU278" s="20" t="str">
        <f>VLOOKUP(Data[[#This Row],[DEVELOPMENT]],Ops_Priorities_and_Data_Clean[[development]:[ifnoext_comment]],18,FALSE)</f>
        <v>NULL</v>
      </c>
      <c r="AV278" s="20" t="str">
        <f>VLOOKUP(Data[[#This Row],[DEVELOPMENT]],Ops_Priorities_and_Data_Clean[[development]:[ifnoext_comment]],19,FALSE)</f>
        <v>NULL</v>
      </c>
      <c r="AW278" s="20" t="str">
        <f>VLOOKUP(Data[[#This Row],[DEVELOPMENT]],Ops_Priorities_and_Data_Clean[[development]:[ifnoext_comment]],20,FALSE)</f>
        <v>NULL</v>
      </c>
      <c r="AX278" s="104" t="s">
        <v>2237</v>
      </c>
      <c r="AY278" s="104" t="s">
        <v>2665</v>
      </c>
      <c r="AZ278" s="20" t="str">
        <f>VLOOKUP(Data[[#This Row],[DEVELOPMENT]],Development_Data_Book[[DEVELOPMENT]:[PRIVATE MANAGEMENT]],8,FALSE)</f>
        <v>FEDERAL</v>
      </c>
      <c r="BA278" s="104" t="s">
        <v>2613</v>
      </c>
      <c r="BB278" s="20">
        <f>VLOOKUP(Data[[#This Row],[DEVELOPMENT]],Development_Data_Book[[DEVELOPMENT]:[PRIVATE MANAGEMENT]],22,FALSE)</f>
        <v>2</v>
      </c>
      <c r="BC278" s="20">
        <f>Data[[#This Row],[Non-Dwelling Buildings]]+Data[[#This Row],[Dwelling Buildings]]</f>
        <v>31</v>
      </c>
      <c r="BD278" s="20">
        <f>VLOOKUP(Data[[#This Row],[DEVELOPMENT]],Development_Data_Book[[DEVELOPMENT]:[PRIVATE MANAGEMENT]],26,FALSE)</f>
        <v>32.83</v>
      </c>
      <c r="BE278" s="106">
        <v>1286080</v>
      </c>
      <c r="BF278" s="20">
        <f>VLOOKUP(Data[[#This Row],[DEVELOPMENT]],Development_Data_Book[[DEVELOPMENT]:[PRIVATE MANAGEMENT]],18,FALSE)</f>
        <v>2648</v>
      </c>
      <c r="BG27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78" s="104" t="s">
        <v>2595</v>
      </c>
      <c r="BI278" t="s">
        <v>184</v>
      </c>
      <c r="BJ278" s="20">
        <f>VLOOKUP(Data[[#This Row],[DEVELOPMENT]],Development_Data_Book[[DEVELOPMENT]:[PRIVATE MANAGEMENT]],41,FALSE)</f>
        <v>10</v>
      </c>
      <c r="BK278" s="20">
        <f>VLOOKUP(Data[[#This Row],[DEVELOPMENT]],Development_Data_Book[[DEVELOPMENT]:[PRIVATE MANAGEMENT]],42,FALSE)</f>
        <v>14</v>
      </c>
      <c r="BL278" s="20">
        <f>VLOOKUP(Data[[#This Row],[DEVELOPMENT]],Development_Data_Book[[DEVELOPMENT]:[PRIVATE MANAGEMENT]],43,FALSE)</f>
        <v>34</v>
      </c>
      <c r="BM278" s="20">
        <f>VLOOKUP(Data[[#This Row],[DEVELOPMENT]],Development_Data_Book[[DEVELOPMENT]:[PRIVATE MANAGEMENT]],44,FALSE)</f>
        <v>82</v>
      </c>
      <c r="BN278" s="20">
        <f>VLOOKUP(Data[[#This Row],[DEVELOPMENT]],Development_Data_Book[[DEVELOPMENT]:[PRIVATE MANAGEMENT]],45,FALSE)</f>
        <v>13</v>
      </c>
      <c r="BO278" s="20">
        <f>VLOOKUP(Data[[#This Row],[DEVELOPMENT]],Development_Data_Book[[DEVELOPMENT]:[PRIVATE MANAGEMENT]],24,FALSE)</f>
        <v>43531</v>
      </c>
    </row>
    <row r="279" spans="1:67">
      <c r="A279" t="s">
        <v>225</v>
      </c>
      <c r="B279" s="20" t="str">
        <f>VLOOKUP(Data[[#This Row],[DEVELOPMENT]],Development_Data_Book[[DEVELOPMENT]:[BOROUGH]],MATCH("borough",Development_Data_Book[[#Headers],[DEVELOPMENT]:[BOROUGH]],0),FALSE)</f>
        <v>BRONX</v>
      </c>
      <c r="C279" s="20" t="e">
        <f>VLOOKUP(Data[[#This Row],[DEVELOPMENT]],'[1]Cheat-Sheet'!$D$2:$Q$341,2,FALSE)</f>
        <v>#N/A</v>
      </c>
      <c r="D27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279" s="20">
        <f>VLOOKUP(Data[[#This Row],[DEVELOPMENT]],Development_Data_Book[[DEVELOPMENT]:[BOROUGH]],21,FALSE)</f>
        <v>4</v>
      </c>
      <c r="F279" s="20">
        <f>VLOOKUP(Data[[#This Row],[DEVELOPMENT]],Development_Data_Book[[DEVELOPMENT]:[BOROUGH]],23,FALSE)</f>
        <v>4</v>
      </c>
      <c r="G279" s="20">
        <f>VLOOKUP(Data[[#This Row],[DEVELOPMENT]],Development_Data_Book[[DEVELOPMENT]:[BOROUGH]],12,FALSE)</f>
        <v>287</v>
      </c>
      <c r="J279">
        <f>IFERROR(VLOOKUP(Data[[#This Row],[DEVELOPMENT]],IntCompactors_MRST[],4,FALSE),0)</f>
        <v>4</v>
      </c>
      <c r="K279" s="20">
        <f>IFERROR(VLOOKUP(Data[[#This Row],[DEVELOPMENT]],ExtCompactors_MRST[],4,FALSE),0)</f>
        <v>0</v>
      </c>
      <c r="L279" s="27">
        <f>IF(Data[[#This Row],['# Interior Compactors MRST]]=0,"",VLOOKUP(Data[[#This Row],[DEVELOPMENT]],IntCompactors_MRST[],5,FALSE))</f>
        <v>34455</v>
      </c>
      <c r="M279" s="28" t="str">
        <f>IF(Data[[#This Row],['# Exterior Compactors MRST]]=0,"",VLOOKUP(Data[[#This Row],[DEVELOPMENT]],ExtCompactors_MRST[],5,FALSE))</f>
        <v/>
      </c>
      <c r="N279" s="20">
        <f>Data[[#This Row],['# Interior Compactors MRST]]</f>
        <v>4</v>
      </c>
      <c r="O279" s="20">
        <f>IF(Data[[#This Row],['# Bulk Crushers]]=0,1,0)</f>
        <v>1</v>
      </c>
      <c r="P279" s="20">
        <f>1</f>
        <v>1</v>
      </c>
      <c r="Q279" s="20">
        <f>1</f>
        <v>1</v>
      </c>
      <c r="R279" s="20">
        <f>1</f>
        <v>1</v>
      </c>
      <c r="S279" s="20">
        <f>1</f>
        <v>1</v>
      </c>
      <c r="T279" s="20">
        <f>IF(Data[[#This Row],[Sewershed]]="Newtown Creek",Data[[#This Row],[DUs]],0)</f>
        <v>0</v>
      </c>
      <c r="U27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7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7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79" s="82">
        <f>VLOOKUP(Data[[#This Row],[DEVELOPMENT]],Development_Data_Book[[DEVELOPMENT]:[BOROUGH]],3,FALSE)</f>
        <v>193</v>
      </c>
      <c r="Y279" s="20"/>
      <c r="Z279" s="20">
        <f>IFERROR(VLOOKUP(Data[[#This Row],[TDS]],ExtCompactors_PNA[[Development]:[0]],2,FALSE),0)</f>
        <v>0</v>
      </c>
      <c r="AA279" s="20">
        <f>IFERROR(VLOOKUP(Data[[#This Row],[TDS]],IntCompactors_PNA[[TDS]:[0]],2,FALSE),0)</f>
        <v>4</v>
      </c>
      <c r="AB279" s="20"/>
      <c r="AC279" s="20"/>
      <c r="AD279" s="20">
        <f>IFERROR(VLOOKUP(Data[[#This Row],[TDS]],ExtCompactors_PNA[[Development]:[0]],3,FALSE)+VLOOKUP(Data[[#This Row],[TDS]],ExtCompactors_PNA[[Development]:[0]],6,FALSE),0)</f>
        <v>0</v>
      </c>
      <c r="AE279" s="20">
        <f>IFERROR(VLOOKUP(Data[[#This Row],[TDS]],IntCompactors_PNA[[TDS]:[0]],3,FALSE)+VLOOKUP(Data[[#This Row],[TDS]],IntCompactors_PNA[[TDS]:[0]],6,FALSE),0)</f>
        <v>4</v>
      </c>
      <c r="AF279" s="20" t="e">
        <f>VLOOKUP(Data[[#This Row],[DEVELOPMENT]],[3]Developments!$A$2:$A$312,1,FALSE)</f>
        <v>#N/A</v>
      </c>
      <c r="AG279" s="20">
        <f>IFERROR(VLOOKUP(Data[[#This Row],[DEVELOPMENT]],Ops_Priorities_and_Data_Clean[[development]:[ifnoext_comment]],3,FALSE),"")</f>
        <v>0</v>
      </c>
      <c r="AH279" s="20">
        <f>IFERROR(VLOOKUP(Data[[#This Row],[DEVELOPMENT]],Ops_Priorities_and_Data_Clean[[development]:[ifnoext_comment]],4,FALSE),"")</f>
        <v>2</v>
      </c>
      <c r="AI279" s="20">
        <f>IFERROR(VLOOKUP(Data[[#This Row],[DEVELOPMENT]],Ops_Priorities_and_Data_Clean[[development]:[ifnoext_comment]],5,FALSE),"")</f>
        <v>0</v>
      </c>
      <c r="AJ279" s="20">
        <f>IFERROR(VLOOKUP(Data[[#This Row],[DEVELOPMENT]],Ops_Priorities_and_Data_Clean[[development]:[ifnoext_comment]],6,FALSE),"")</f>
        <v>1</v>
      </c>
      <c r="AK279" s="20">
        <f>IFERROR(VLOOKUP(Data[[#This Row],[DEVELOPMENT]],Ops_Priorities_and_Data_Clean[[development]:[ifnoext_comment]],7,FALSE),"")</f>
        <v>0</v>
      </c>
      <c r="AL279" s="20">
        <f>IFERROR(VLOOKUP(Data[[#This Row],[DEVELOPMENT]],Ops_Priorities_and_Data_Clean[[development]:[ifnoext_comment]],8,FALSE),"")</f>
        <v>1</v>
      </c>
      <c r="AM279" s="20">
        <f>IFERROR(VLOOKUP(Data[[#This Row],[DEVELOPMENT]],Ops_Priorities_and_Data_Clean[[development]:[ifnoext_comment]],9,FALSE),"")</f>
        <v>1</v>
      </c>
      <c r="AN279" s="20">
        <f>IFERROR(VLOOKUP(Data[[#This Row],[DEVELOPMENT]],Ops_Priorities_and_Data_Clean[[development]:[ifnoext_comment]],10,FALSE),"")</f>
        <v>0</v>
      </c>
      <c r="AO279" s="20">
        <f>IFERROR(VLOOKUP(Data[[#This Row],[DEVELOPMENT]],Ops_Priorities_and_Data_Clean[[development]:[ifnoext_comment]],11,FALSE),"")</f>
        <v>0</v>
      </c>
      <c r="AP279" s="20">
        <f>IFERROR(VLOOKUP(Data[[#This Row],[DEVELOPMENT]],Ops_Priorities_and_Data_Clean[[development]:[ifnoext_comment]],12,FALSE),"")</f>
        <v>0</v>
      </c>
      <c r="AQ279" s="20">
        <f>VLOOKUP(Data[[#This Row],[DEVELOPMENT]],Ops_Priorities_and_Data_Clean[[development]:[ifnoext_comment]],14,FALSE)</f>
        <v>0</v>
      </c>
      <c r="AR279" s="20">
        <f>VLOOKUP(Data[[#This Row],[DEVELOPMENT]],Ops_Priorities_and_Data_Clean[[development]:[ifnoext_comment]],15,FALSE)</f>
        <v>1</v>
      </c>
      <c r="AS279" s="20" t="str">
        <f>VLOOKUP(Data[[#This Row],[DEVELOPMENT]],Ops_Priorities_and_Data_Clean[[development]:[ifnoext_comment]],16,FALSE)</f>
        <v>Throggs Neck</v>
      </c>
      <c r="AT279" s="20" t="str">
        <f>VLOOKUP(Data[[#This Row],[DEVELOPMENT]],Ops_Priorities_and_Data_Clean[[development]:[ifnoext_comment]],17,FALSE)</f>
        <v>NULL</v>
      </c>
      <c r="AU279" s="20" t="str">
        <f>VLOOKUP(Data[[#This Row],[DEVELOPMENT]],Ops_Priorities_and_Data_Clean[[development]:[ifnoext_comment]],18,FALSE)</f>
        <v>NULL</v>
      </c>
      <c r="AV279" s="20" t="str">
        <f>VLOOKUP(Data[[#This Row],[DEVELOPMENT]],Ops_Priorities_and_Data_Clean[[development]:[ifnoext_comment]],19,FALSE)</f>
        <v>NULL</v>
      </c>
      <c r="AW279" s="20" t="str">
        <f>VLOOKUP(Data[[#This Row],[DEVELOPMENT]],Ops_Priorities_and_Data_Clean[[development]:[ifnoext_comment]],20,FALSE)</f>
        <v>NULL</v>
      </c>
      <c r="AX279" s="104" t="s">
        <v>2237</v>
      </c>
      <c r="AY279" s="104" t="s">
        <v>2665</v>
      </c>
      <c r="AZ279" s="20" t="str">
        <f>VLOOKUP(Data[[#This Row],[DEVELOPMENT]],Development_Data_Book[[DEVELOPMENT]:[PRIVATE MANAGEMENT]],8,FALSE)</f>
        <v>FEDERAL</v>
      </c>
      <c r="BA279" s="104" t="s">
        <v>2586</v>
      </c>
      <c r="BB279" s="20">
        <f>VLOOKUP(Data[[#This Row],[DEVELOPMENT]],Development_Data_Book[[DEVELOPMENT]:[PRIVATE MANAGEMENT]],22,FALSE)</f>
        <v>0</v>
      </c>
      <c r="BC279" s="20">
        <f>Data[[#This Row],[Non-Dwelling Buildings]]+Data[[#This Row],[Dwelling Buildings]]</f>
        <v>4</v>
      </c>
      <c r="BD279" s="20">
        <f>VLOOKUP(Data[[#This Row],[DEVELOPMENT]],Development_Data_Book[[DEVELOPMENT]:[PRIVATE MANAGEMENT]],26,FALSE)</f>
        <v>8.84</v>
      </c>
      <c r="BE279" s="106">
        <v>397970</v>
      </c>
      <c r="BF279" s="20">
        <f>VLOOKUP(Data[[#This Row],[DEVELOPMENT]],Development_Data_Book[[DEVELOPMENT]:[PRIVATE MANAGEMENT]],18,FALSE)</f>
        <v>692</v>
      </c>
      <c r="BG27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79" s="104" t="s">
        <v>2595</v>
      </c>
      <c r="BI279" t="s">
        <v>184</v>
      </c>
      <c r="BJ279" s="20">
        <f>VLOOKUP(Data[[#This Row],[DEVELOPMENT]],Development_Data_Book[[DEVELOPMENT]:[PRIVATE MANAGEMENT]],41,FALSE)</f>
        <v>10</v>
      </c>
      <c r="BK279" s="20">
        <f>VLOOKUP(Data[[#This Row],[DEVELOPMENT]],Development_Data_Book[[DEVELOPMENT]:[PRIVATE MANAGEMENT]],42,FALSE)</f>
        <v>14</v>
      </c>
      <c r="BL279" s="20">
        <f>VLOOKUP(Data[[#This Row],[DEVELOPMENT]],Development_Data_Book[[DEVELOPMENT]:[PRIVATE MANAGEMENT]],43,FALSE)</f>
        <v>34</v>
      </c>
      <c r="BM279" s="20">
        <f>VLOOKUP(Data[[#This Row],[DEVELOPMENT]],Development_Data_Book[[DEVELOPMENT]:[PRIVATE MANAGEMENT]],44,FALSE)</f>
        <v>82</v>
      </c>
      <c r="BN279" s="20">
        <f>VLOOKUP(Data[[#This Row],[DEVELOPMENT]],Development_Data_Book[[DEVELOPMENT]:[PRIVATE MANAGEMENT]],45,FALSE)</f>
        <v>13</v>
      </c>
      <c r="BO279" s="20">
        <f>VLOOKUP(Data[[#This Row],[DEVELOPMENT]],Development_Data_Book[[DEVELOPMENT]:[PRIVATE MANAGEMENT]],24,FALSE)</f>
        <v>43688</v>
      </c>
    </row>
    <row r="280" spans="1:67">
      <c r="A280" t="s">
        <v>270</v>
      </c>
      <c r="B280" s="20" t="str">
        <f>VLOOKUP(Data[[#This Row],[DEVELOPMENT]],Development_Data_Book[[DEVELOPMENT]:[BOROUGH]],MATCH("borough",Development_Data_Book[[#Headers],[DEVELOPMENT]:[BOROUGH]],0),FALSE)</f>
        <v>BROOKLYN</v>
      </c>
      <c r="C280" s="20" t="e">
        <f>VLOOKUP(Data[[#This Row],[DEVELOPMENT]],'[1]Cheat-Sheet'!$D$2:$Q$341,2,FALSE)</f>
        <v>#N/A</v>
      </c>
      <c r="D28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80" s="20">
        <f>VLOOKUP(Data[[#This Row],[DEVELOPMENT]],Development_Data_Book[[DEVELOPMENT]:[BOROUGH]],21,FALSE)</f>
        <v>8</v>
      </c>
      <c r="F280" s="20">
        <f>VLOOKUP(Data[[#This Row],[DEVELOPMENT]],Development_Data_Book[[DEVELOPMENT]:[BOROUGH]],23,FALSE)</f>
        <v>9</v>
      </c>
      <c r="G280" s="20">
        <f>VLOOKUP(Data[[#This Row],[DEVELOPMENT]],Development_Data_Book[[DEVELOPMENT]:[BOROUGH]],12,FALSE)</f>
        <v>998</v>
      </c>
      <c r="J280">
        <f>IFERROR(VLOOKUP(Data[[#This Row],[DEVELOPMENT]],IntCompactors_MRST[],4,FALSE),0)</f>
        <v>8</v>
      </c>
      <c r="K280" s="20">
        <f>IFERROR(VLOOKUP(Data[[#This Row],[DEVELOPMENT]],ExtCompactors_MRST[],4,FALSE),0)</f>
        <v>2</v>
      </c>
      <c r="L280" s="27">
        <f>IF(Data[[#This Row],['# Interior Compactors MRST]]=0,"",VLOOKUP(Data[[#This Row],[DEVELOPMENT]],IntCompactors_MRST[],5,FALSE))</f>
        <v>37987</v>
      </c>
      <c r="M280" s="28">
        <f>IF(Data[[#This Row],['# Exterior Compactors MRST]]=0,"",VLOOKUP(Data[[#This Row],[DEVELOPMENT]],ExtCompactors_MRST[],5,FALSE))</f>
        <v>39422</v>
      </c>
      <c r="N280" s="20">
        <f>Data[[#This Row],['# Interior Compactors MRST]]</f>
        <v>8</v>
      </c>
      <c r="O280" s="20">
        <f>IF(Data[[#This Row],['# Bulk Crushers]]=0,1,0)</f>
        <v>1</v>
      </c>
      <c r="P280" s="20">
        <f>1</f>
        <v>1</v>
      </c>
      <c r="Q280" s="20">
        <f>1</f>
        <v>1</v>
      </c>
      <c r="R280" s="20">
        <f>1</f>
        <v>1</v>
      </c>
      <c r="S280" s="20">
        <f>1</f>
        <v>1</v>
      </c>
      <c r="T280" s="20">
        <f>IF(Data[[#This Row],[Sewershed]]="Newtown Creek",Data[[#This Row],[DUs]],0)</f>
        <v>0</v>
      </c>
      <c r="U28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8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8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80" s="82">
        <f>VLOOKUP(Data[[#This Row],[DEVELOPMENT]],Development_Data_Book[[DEVELOPMENT]:[BOROUGH]],3,FALSE)</f>
        <v>96</v>
      </c>
      <c r="Y280" s="20"/>
      <c r="Z280" s="20">
        <f>IFERROR(VLOOKUP(Data[[#This Row],[TDS]],ExtCompactors_PNA[[Development]:[0]],2,FALSE),0)</f>
        <v>2</v>
      </c>
      <c r="AA280" s="20">
        <f>IFERROR(VLOOKUP(Data[[#This Row],[TDS]],IntCompactors_PNA[[TDS]:[0]],2,FALSE),0)</f>
        <v>8</v>
      </c>
      <c r="AB280" s="20"/>
      <c r="AC280" s="20"/>
      <c r="AD280" s="20">
        <f>IFERROR(VLOOKUP(Data[[#This Row],[TDS]],ExtCompactors_PNA[[Development]:[0]],3,FALSE)+VLOOKUP(Data[[#This Row],[TDS]],ExtCompactors_PNA[[Development]:[0]],6,FALSE),0)</f>
        <v>2</v>
      </c>
      <c r="AE280" s="20">
        <f>IFERROR(VLOOKUP(Data[[#This Row],[TDS]],IntCompactors_PNA[[TDS]:[0]],3,FALSE)+VLOOKUP(Data[[#This Row],[TDS]],IntCompactors_PNA[[TDS]:[0]],6,FALSE),0)</f>
        <v>8</v>
      </c>
      <c r="AF280" s="20" t="e">
        <f>VLOOKUP(Data[[#This Row],[DEVELOPMENT]],[3]Developments!$A$2:$A$312,1,FALSE)</f>
        <v>#N/A</v>
      </c>
      <c r="AG280" s="20">
        <f>IFERROR(VLOOKUP(Data[[#This Row],[DEVELOPMENT]],Ops_Priorities_and_Data_Clean[[development]:[ifnoext_comment]],3,FALSE),"")</f>
        <v>2</v>
      </c>
      <c r="AH280" s="20">
        <f>IFERROR(VLOOKUP(Data[[#This Row],[DEVELOPMENT]],Ops_Priorities_and_Data_Clean[[development]:[ifnoext_comment]],4,FALSE),"")</f>
        <v>2</v>
      </c>
      <c r="AI280" s="20">
        <f>IFERROR(VLOOKUP(Data[[#This Row],[DEVELOPMENT]],Ops_Priorities_and_Data_Clean[[development]:[ifnoext_comment]],5,FALSE),"")</f>
        <v>1</v>
      </c>
      <c r="AJ280" s="20">
        <f>IFERROR(VLOOKUP(Data[[#This Row],[DEVELOPMENT]],Ops_Priorities_and_Data_Clean[[development]:[ifnoext_comment]],6,FALSE),"")</f>
        <v>0</v>
      </c>
      <c r="AK280" s="20">
        <f>IFERROR(VLOOKUP(Data[[#This Row],[DEVELOPMENT]],Ops_Priorities_and_Data_Clean[[development]:[ifnoext_comment]],7,FALSE),"")</f>
        <v>0</v>
      </c>
      <c r="AL280" s="20">
        <f>IFERROR(VLOOKUP(Data[[#This Row],[DEVELOPMENT]],Ops_Priorities_and_Data_Clean[[development]:[ifnoext_comment]],8,FALSE),"")</f>
        <v>1</v>
      </c>
      <c r="AM280" s="20">
        <f>IFERROR(VLOOKUP(Data[[#This Row],[DEVELOPMENT]],Ops_Priorities_and_Data_Clean[[development]:[ifnoext_comment]],9,FALSE),"")</f>
        <v>0</v>
      </c>
      <c r="AN280" s="20">
        <f>IFERROR(VLOOKUP(Data[[#This Row],[DEVELOPMENT]],Ops_Priorities_and_Data_Clean[[development]:[ifnoext_comment]],10,FALSE),"")</f>
        <v>1</v>
      </c>
      <c r="AO280" s="20">
        <f>IFERROR(VLOOKUP(Data[[#This Row],[DEVELOPMENT]],Ops_Priorities_and_Data_Clean[[development]:[ifnoext_comment]],11,FALSE),"")</f>
        <v>2</v>
      </c>
      <c r="AP280" s="20">
        <f>IFERROR(VLOOKUP(Data[[#This Row],[DEVELOPMENT]],Ops_Priorities_and_Data_Clean[[development]:[ifnoext_comment]],12,FALSE),"")</f>
        <v>2</v>
      </c>
      <c r="AQ280" s="20">
        <f>VLOOKUP(Data[[#This Row],[DEVELOPMENT]],Ops_Priorities_and_Data_Clean[[development]:[ifnoext_comment]],14,FALSE)</f>
        <v>0</v>
      </c>
      <c r="AR280" s="20">
        <f>VLOOKUP(Data[[#This Row],[DEVELOPMENT]],Ops_Priorities_and_Data_Clean[[development]:[ifnoext_comment]],15,FALSE)</f>
        <v>0</v>
      </c>
      <c r="AS280" s="20" t="str">
        <f>VLOOKUP(Data[[#This Row],[DEVELOPMENT]],Ops_Priorities_and_Data_Clean[[development]:[ifnoext_comment]],16,FALSE)</f>
        <v>NULL</v>
      </c>
      <c r="AT280" s="20" t="str">
        <f>VLOOKUP(Data[[#This Row],[DEVELOPMENT]],Ops_Priorities_and_Data_Clean[[development]:[ifnoext_comment]],17,FALSE)</f>
        <v>NULL</v>
      </c>
      <c r="AU280" s="20" t="str">
        <f>VLOOKUP(Data[[#This Row],[DEVELOPMENT]],Ops_Priorities_and_Data_Clean[[development]:[ifnoext_comment]],18,FALSE)</f>
        <v>NULL</v>
      </c>
      <c r="AV280" s="20" t="str">
        <f>VLOOKUP(Data[[#This Row],[DEVELOPMENT]],Ops_Priorities_and_Data_Clean[[development]:[ifnoext_comment]],19,FALSE)</f>
        <v>NULL</v>
      </c>
      <c r="AW280" s="20" t="str">
        <f>VLOOKUP(Data[[#This Row],[DEVELOPMENT]],Ops_Priorities_and_Data_Clean[[development]:[ifnoext_comment]],20,FALSE)</f>
        <v>NULL</v>
      </c>
      <c r="AX280" s="104" t="s">
        <v>2602</v>
      </c>
      <c r="AY280" s="104" t="s">
        <v>392</v>
      </c>
      <c r="AZ280" s="20" t="str">
        <f>VLOOKUP(Data[[#This Row],[DEVELOPMENT]],Development_Data_Book[[DEVELOPMENT]:[PRIVATE MANAGEMENT]],8,FALSE)</f>
        <v>FEDERAL</v>
      </c>
      <c r="BA280" s="104" t="s">
        <v>2586</v>
      </c>
      <c r="BB280" s="20">
        <f>VLOOKUP(Data[[#This Row],[DEVELOPMENT]],Development_Data_Book[[DEVELOPMENT]:[PRIVATE MANAGEMENT]],22,FALSE)</f>
        <v>1</v>
      </c>
      <c r="BC280" s="20">
        <f>Data[[#This Row],[Non-Dwelling Buildings]]+Data[[#This Row],[Dwelling Buildings]]</f>
        <v>9</v>
      </c>
      <c r="BD280" s="20">
        <f>VLOOKUP(Data[[#This Row],[DEVELOPMENT]],Development_Data_Book[[DEVELOPMENT]:[PRIVATE MANAGEMENT]],26,FALSE)</f>
        <v>10.69</v>
      </c>
      <c r="BE280" s="106">
        <v>986300</v>
      </c>
      <c r="BF280" s="20">
        <f>VLOOKUP(Data[[#This Row],[DEVELOPMENT]],Development_Data_Book[[DEVELOPMENT]:[PRIVATE MANAGEMENT]],18,FALSE)</f>
        <v>2556</v>
      </c>
      <c r="BG28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80" s="104" t="s">
        <v>2589</v>
      </c>
      <c r="BI280" t="s">
        <v>184</v>
      </c>
      <c r="BJ280" s="20">
        <f>VLOOKUP(Data[[#This Row],[DEVELOPMENT]],Development_Data_Book[[DEVELOPMENT]:[PRIVATE MANAGEMENT]],41,FALSE)</f>
        <v>16</v>
      </c>
      <c r="BK280" s="20">
        <f>VLOOKUP(Data[[#This Row],[DEVELOPMENT]],Development_Data_Book[[DEVELOPMENT]:[PRIVATE MANAGEMENT]],42,FALSE)</f>
        <v>9</v>
      </c>
      <c r="BL280" s="20">
        <f>VLOOKUP(Data[[#This Row],[DEVELOPMENT]],Development_Data_Book[[DEVELOPMENT]:[PRIVATE MANAGEMENT]],43,FALSE)</f>
        <v>20</v>
      </c>
      <c r="BM280" s="20">
        <f>VLOOKUP(Data[[#This Row],[DEVELOPMENT]],Development_Data_Book[[DEVELOPMENT]:[PRIVATE MANAGEMENT]],44,FALSE)</f>
        <v>55</v>
      </c>
      <c r="BN280" s="20">
        <f>VLOOKUP(Data[[#This Row],[DEVELOPMENT]],Development_Data_Book[[DEVELOPMENT]:[PRIVATE MANAGEMENT]],45,FALSE)</f>
        <v>41</v>
      </c>
      <c r="BO280" s="20">
        <f>VLOOKUP(Data[[#This Row],[DEVELOPMENT]],Development_Data_Book[[DEVELOPMENT]:[PRIVATE MANAGEMENT]],24,FALSE)</f>
        <v>16</v>
      </c>
    </row>
    <row r="281" spans="1:67">
      <c r="A281" t="s">
        <v>288</v>
      </c>
      <c r="B281" s="20" t="str">
        <f>VLOOKUP(Data[[#This Row],[DEVELOPMENT]],Development_Data_Book[[DEVELOPMENT]:[BOROUGH]],MATCH("borough",Development_Data_Book[[#Headers],[DEVELOPMENT]:[BOROUGH]],0),FALSE)</f>
        <v>STATEN ISLAND</v>
      </c>
      <c r="C281" s="20" t="e">
        <f>VLOOKUP(Data[[#This Row],[DEVELOPMENT]],'[1]Cheat-Sheet'!$D$2:$Q$341,2,FALSE)</f>
        <v>#N/A</v>
      </c>
      <c r="D28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81" s="20">
        <f>VLOOKUP(Data[[#This Row],[DEVELOPMENT]],Development_Data_Book[[DEVELOPMENT]:[BOROUGH]],21,FALSE)</f>
        <v>7</v>
      </c>
      <c r="F281" s="20">
        <f>VLOOKUP(Data[[#This Row],[DEVELOPMENT]],Development_Data_Book[[DEVELOPMENT]:[BOROUGH]],23,FALSE)</f>
        <v>14</v>
      </c>
      <c r="G281" s="20">
        <f>VLOOKUP(Data[[#This Row],[DEVELOPMENT]],Development_Data_Book[[DEVELOPMENT]:[BOROUGH]],12,FALSE)</f>
        <v>502</v>
      </c>
      <c r="J281">
        <f>IFERROR(VLOOKUP(Data[[#This Row],[DEVELOPMENT]],IntCompactors_MRST[],4,FALSE),0)</f>
        <v>14</v>
      </c>
      <c r="K281" s="20">
        <f>IFERROR(VLOOKUP(Data[[#This Row],[DEVELOPMENT]],ExtCompactors_MRST[],4,FALSE),0)</f>
        <v>0</v>
      </c>
      <c r="L281" s="27">
        <f>IF(Data[[#This Row],['# Interior Compactors MRST]]=0,"",VLOOKUP(Data[[#This Row],[DEVELOPMENT]],IntCompactors_MRST[],5,FALSE))</f>
        <v>37316</v>
      </c>
      <c r="M281" s="28" t="str">
        <f>IF(Data[[#This Row],['# Exterior Compactors MRST]]=0,"",VLOOKUP(Data[[#This Row],[DEVELOPMENT]],ExtCompactors_MRST[],5,FALSE))</f>
        <v/>
      </c>
      <c r="N281" s="20">
        <f>Data[[#This Row],['# Interior Compactors MRST]]</f>
        <v>14</v>
      </c>
      <c r="O281" s="20">
        <f>IF(Data[[#This Row],['# Bulk Crushers]]=0,1,0)</f>
        <v>1</v>
      </c>
      <c r="P281" s="20">
        <f>1</f>
        <v>1</v>
      </c>
      <c r="Q281" s="20">
        <f>1</f>
        <v>1</v>
      </c>
      <c r="R281" s="20">
        <f>1</f>
        <v>1</v>
      </c>
      <c r="S281" s="20">
        <f>1</f>
        <v>1</v>
      </c>
      <c r="T281" s="20">
        <f>IF(Data[[#This Row],[Sewershed]]="Newtown Creek",Data[[#This Row],[DUs]],0)</f>
        <v>0</v>
      </c>
      <c r="U28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8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8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81" s="82">
        <f>VLOOKUP(Data[[#This Row],[DEVELOPMENT]],Development_Data_Book[[DEVELOPMENT]:[BOROUGH]],3,FALSE)</f>
        <v>42</v>
      </c>
      <c r="Y281" s="20"/>
      <c r="Z281" s="20">
        <f>IFERROR(VLOOKUP(Data[[#This Row],[TDS]],ExtCompactors_PNA[[Development]:[0]],2,FALSE),0)</f>
        <v>0</v>
      </c>
      <c r="AA281" s="20">
        <f>IFERROR(VLOOKUP(Data[[#This Row],[TDS]],IntCompactors_PNA[[TDS]:[0]],2,FALSE),0)</f>
        <v>13</v>
      </c>
      <c r="AB281" s="20"/>
      <c r="AC281" s="20"/>
      <c r="AD281" s="20">
        <f>IFERROR(VLOOKUP(Data[[#This Row],[TDS]],ExtCompactors_PNA[[Development]:[0]],3,FALSE)+VLOOKUP(Data[[#This Row],[TDS]],ExtCompactors_PNA[[Development]:[0]],6,FALSE),0)</f>
        <v>0</v>
      </c>
      <c r="AE281" s="20">
        <f>IFERROR(VLOOKUP(Data[[#This Row],[TDS]],IntCompactors_PNA[[TDS]:[0]],3,FALSE)+VLOOKUP(Data[[#This Row],[TDS]],IntCompactors_PNA[[TDS]:[0]],6,FALSE),0)</f>
        <v>13</v>
      </c>
      <c r="AF281" s="20" t="e">
        <f>VLOOKUP(Data[[#This Row],[DEVELOPMENT]],[3]Developments!$A$2:$A$312,1,FALSE)</f>
        <v>#N/A</v>
      </c>
      <c r="AG281" s="20">
        <f>IFERROR(VLOOKUP(Data[[#This Row],[DEVELOPMENT]],Ops_Priorities_and_Data_Clean[[development]:[ifnoext_comment]],3,FALSE),"")</f>
        <v>1</v>
      </c>
      <c r="AH281" s="20">
        <f>IFERROR(VLOOKUP(Data[[#This Row],[DEVELOPMENT]],Ops_Priorities_and_Data_Clean[[development]:[ifnoext_comment]],4,FALSE),"")</f>
        <v>4</v>
      </c>
      <c r="AI281" s="20">
        <f>IFERROR(VLOOKUP(Data[[#This Row],[DEVELOPMENT]],Ops_Priorities_and_Data_Clean[[development]:[ifnoext_comment]],5,FALSE),"")</f>
        <v>1</v>
      </c>
      <c r="AJ281" s="20">
        <f>IFERROR(VLOOKUP(Data[[#This Row],[DEVELOPMENT]],Ops_Priorities_and_Data_Clean[[development]:[ifnoext_comment]],6,FALSE),"")</f>
        <v>0</v>
      </c>
      <c r="AK281" s="20">
        <f>IFERROR(VLOOKUP(Data[[#This Row],[DEVELOPMENT]],Ops_Priorities_and_Data_Clean[[development]:[ifnoext_comment]],7,FALSE),"")</f>
        <v>0</v>
      </c>
      <c r="AL281" s="20">
        <f>IFERROR(VLOOKUP(Data[[#This Row],[DEVELOPMENT]],Ops_Priorities_and_Data_Clean[[development]:[ifnoext_comment]],8,FALSE),"")</f>
        <v>1</v>
      </c>
      <c r="AM281" s="20">
        <f>IFERROR(VLOOKUP(Data[[#This Row],[DEVELOPMENT]],Ops_Priorities_and_Data_Clean[[development]:[ifnoext_comment]],9,FALSE),"")</f>
        <v>0</v>
      </c>
      <c r="AN281" s="20">
        <f>IFERROR(VLOOKUP(Data[[#This Row],[DEVELOPMENT]],Ops_Priorities_and_Data_Clean[[development]:[ifnoext_comment]],10,FALSE),"")</f>
        <v>0</v>
      </c>
      <c r="AO281" s="20">
        <f>IFERROR(VLOOKUP(Data[[#This Row],[DEVELOPMENT]],Ops_Priorities_and_Data_Clean[[development]:[ifnoext_comment]],11,FALSE),"")</f>
        <v>0</v>
      </c>
      <c r="AP281" s="20">
        <f>IFERROR(VLOOKUP(Data[[#This Row],[DEVELOPMENT]],Ops_Priorities_and_Data_Clean[[development]:[ifnoext_comment]],12,FALSE),"")</f>
        <v>0</v>
      </c>
      <c r="AQ281" s="20">
        <f>VLOOKUP(Data[[#This Row],[DEVELOPMENT]],Ops_Priorities_and_Data_Clean[[development]:[ifnoext_comment]],14,FALSE)</f>
        <v>1</v>
      </c>
      <c r="AR281" s="20">
        <f>VLOOKUP(Data[[#This Row],[DEVELOPMENT]],Ops_Priorities_and_Data_Clean[[development]:[ifnoext_comment]],15,FALSE)</f>
        <v>0</v>
      </c>
      <c r="AS281" s="20" t="str">
        <f>VLOOKUP(Data[[#This Row],[DEVELOPMENT]],Ops_Priorities_and_Data_Clean[[development]:[ifnoext_comment]],16,FALSE)</f>
        <v>NULL</v>
      </c>
      <c r="AT281" s="20" t="str">
        <f>VLOOKUP(Data[[#This Row],[DEVELOPMENT]],Ops_Priorities_and_Data_Clean[[development]:[ifnoext_comment]],17,FALSE)</f>
        <v>NULL</v>
      </c>
      <c r="AU281" s="20" t="str">
        <f>VLOOKUP(Data[[#This Row],[DEVELOPMENT]],Ops_Priorities_and_Data_Clean[[development]:[ifnoext_comment]],18,FALSE)</f>
        <v>NULL</v>
      </c>
      <c r="AV281" s="20" t="str">
        <f>VLOOKUP(Data[[#This Row],[DEVELOPMENT]],Ops_Priorities_and_Data_Clean[[development]:[ifnoext_comment]],19,FALSE)</f>
        <v>NULL</v>
      </c>
      <c r="AW281" s="20" t="str">
        <f>VLOOKUP(Data[[#This Row],[DEVELOPMENT]],Ops_Priorities_and_Data_Clean[[development]:[ifnoext_comment]],20,FALSE)</f>
        <v>Compactor currently being installed</v>
      </c>
      <c r="AX281" s="104" t="s">
        <v>2614</v>
      </c>
      <c r="AY281" s="104" t="s">
        <v>288</v>
      </c>
      <c r="AZ281" s="20" t="str">
        <f>VLOOKUP(Data[[#This Row],[DEVELOPMENT]],Development_Data_Book[[DEVELOPMENT]:[PRIVATE MANAGEMENT]],8,FALSE)</f>
        <v>FEDERAL</v>
      </c>
      <c r="BA281" s="104" t="s">
        <v>2586</v>
      </c>
      <c r="BB281" s="20">
        <f>VLOOKUP(Data[[#This Row],[DEVELOPMENT]],Development_Data_Book[[DEVELOPMENT]:[PRIVATE MANAGEMENT]],22,FALSE)</f>
        <v>0</v>
      </c>
      <c r="BC281" s="20">
        <f>Data[[#This Row],[Non-Dwelling Buildings]]+Data[[#This Row],[Dwelling Buildings]]</f>
        <v>7</v>
      </c>
      <c r="BD281" s="20">
        <f>VLOOKUP(Data[[#This Row],[DEVELOPMENT]],Development_Data_Book[[DEVELOPMENT]:[PRIVATE MANAGEMENT]],26,FALSE)</f>
        <v>13.34</v>
      </c>
      <c r="BE281" s="106">
        <v>490530</v>
      </c>
      <c r="BF281" s="20">
        <f>VLOOKUP(Data[[#This Row],[DEVELOPMENT]],Development_Data_Book[[DEVELOPMENT]:[PRIVATE MANAGEMENT]],18,FALSE)</f>
        <v>1005</v>
      </c>
      <c r="BG28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81" s="104" t="s">
        <v>2591</v>
      </c>
      <c r="BI281" t="s">
        <v>184</v>
      </c>
      <c r="BJ281" s="20">
        <f>VLOOKUP(Data[[#This Row],[DEVELOPMENT]],Development_Data_Book[[DEVELOPMENT]:[PRIVATE MANAGEMENT]],41,FALSE)</f>
        <v>2</v>
      </c>
      <c r="BK281" s="20">
        <f>VLOOKUP(Data[[#This Row],[DEVELOPMENT]],Development_Data_Book[[DEVELOPMENT]:[PRIVATE MANAGEMENT]],42,FALSE)</f>
        <v>11</v>
      </c>
      <c r="BL281" s="20">
        <f>VLOOKUP(Data[[#This Row],[DEVELOPMENT]],Development_Data_Book[[DEVELOPMENT]:[PRIVATE MANAGEMENT]],43,FALSE)</f>
        <v>24</v>
      </c>
      <c r="BM281" s="20">
        <f>VLOOKUP(Data[[#This Row],[DEVELOPMENT]],Development_Data_Book[[DEVELOPMENT]:[PRIVATE MANAGEMENT]],44,FALSE)</f>
        <v>63</v>
      </c>
      <c r="BN281" s="20">
        <f>VLOOKUP(Data[[#This Row],[DEVELOPMENT]],Development_Data_Book[[DEVELOPMENT]:[PRIVATE MANAGEMENT]],45,FALSE)</f>
        <v>49</v>
      </c>
      <c r="BO281" s="20">
        <f>VLOOKUP(Data[[#This Row],[DEVELOPMENT]],Development_Data_Book[[DEVELOPMENT]:[PRIVATE MANAGEMENT]],24,FALSE)</f>
        <v>6</v>
      </c>
    </row>
    <row r="282" spans="1:67">
      <c r="A282" s="17" t="s">
        <v>46</v>
      </c>
      <c r="B282" s="17" t="str">
        <f>VLOOKUP(Data[[#This Row],[DEVELOPMENT]],Development_Data_Book[[DEVELOPMENT]:[BOROUGH]],MATCH("borough",Development_Data_Book[[#Headers],[DEVELOPMENT]:[BOROUGH]],0),FALSE)</f>
        <v>BROOKLYN</v>
      </c>
      <c r="C282" t="e">
        <f>VLOOKUP(Data[[#This Row],[DEVELOPMENT]],'[1]Cheat-Sheet'!$D$2:$Q$341,2,FALSE)</f>
        <v>#N/A</v>
      </c>
      <c r="D28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82">
        <f>VLOOKUP(Data[[#This Row],[DEVELOPMENT]],Development_Data_Book[[DEVELOPMENT]:[BOROUGH]],21,FALSE)</f>
        <v>8</v>
      </c>
      <c r="F282">
        <f>VLOOKUP(Data[[#This Row],[DEVELOPMENT]],Development_Data_Book[[DEVELOPMENT]:[BOROUGH]],23,FALSE)</f>
        <v>13</v>
      </c>
      <c r="G282">
        <f>VLOOKUP(Data[[#This Row],[DEVELOPMENT]],Development_Data_Book[[DEVELOPMENT]:[BOROUGH]],12,FALSE)</f>
        <v>1045</v>
      </c>
      <c r="H282" t="s">
        <v>2246</v>
      </c>
      <c r="I282">
        <v>4</v>
      </c>
      <c r="J282">
        <f>IFERROR(VLOOKUP(Data[[#This Row],[DEVELOPMENT]],IntCompactors_MRST[],4,FALSE),0)</f>
        <v>12</v>
      </c>
      <c r="K282" s="20">
        <f>IFERROR(VLOOKUP(Data[[#This Row],[DEVELOPMENT]],ExtCompactors_MRST[],4,FALSE),0)</f>
        <v>2</v>
      </c>
      <c r="L282" s="27">
        <f>IF(Data[[#This Row],['# Interior Compactors MRST]]=0,"",VLOOKUP(Data[[#This Row],[DEVELOPMENT]],IntCompactors_MRST[],5,FALSE))</f>
        <v>37622</v>
      </c>
      <c r="M282" s="28">
        <f>IF(Data[[#This Row],['# Exterior Compactors MRST]]=0,"",VLOOKUP(Data[[#This Row],[DEVELOPMENT]],ExtCompactors_MRST[],5,FALSE))</f>
        <v>43586</v>
      </c>
      <c r="N282">
        <f>Data[[#This Row],['# Interior Compactors MRST]]</f>
        <v>12</v>
      </c>
      <c r="O282" s="20">
        <f>IF(Data[[#This Row],['# Bulk Crushers]]=0,1,0)</f>
        <v>1</v>
      </c>
      <c r="P282" s="20">
        <f>1</f>
        <v>1</v>
      </c>
      <c r="Q282" s="20">
        <f>1</f>
        <v>1</v>
      </c>
      <c r="R282" s="20">
        <f>1</f>
        <v>1</v>
      </c>
      <c r="S282" s="20">
        <f>1</f>
        <v>1</v>
      </c>
      <c r="T282" s="20">
        <f>IF(Data[[#This Row],[Sewershed]]="Newtown Creek",Data[[#This Row],[DUs]],0)</f>
        <v>1045</v>
      </c>
      <c r="U28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8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8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82" s="82">
        <f>VLOOKUP(Data[[#This Row],[DEVELOPMENT]],Development_Data_Book[[DEVELOPMENT]:[BOROUGH]],3,FALSE)</f>
        <v>131</v>
      </c>
      <c r="Y282" s="20" t="s">
        <v>2599</v>
      </c>
      <c r="Z282" s="20">
        <f>IFERROR(VLOOKUP(Data[[#This Row],[TDS]],ExtCompactors_PNA[[Development]:[0]],2,FALSE),0)</f>
        <v>0</v>
      </c>
      <c r="AA282" s="20">
        <f>IFERROR(VLOOKUP(Data[[#This Row],[TDS]],IntCompactors_PNA[[TDS]:[0]],2,FALSE),0)</f>
        <v>12</v>
      </c>
      <c r="AB282" s="20"/>
      <c r="AC282" s="20"/>
      <c r="AD282" s="20">
        <f>IFERROR(VLOOKUP(Data[[#This Row],[TDS]],ExtCompactors_PNA[[Development]:[0]],3,FALSE)+VLOOKUP(Data[[#This Row],[TDS]],ExtCompactors_PNA[[Development]:[0]],6,FALSE),0)</f>
        <v>0</v>
      </c>
      <c r="AE282" s="20">
        <f>IFERROR(VLOOKUP(Data[[#This Row],[TDS]],IntCompactors_PNA[[TDS]:[0]],3,FALSE)+VLOOKUP(Data[[#This Row],[TDS]],IntCompactors_PNA[[TDS]:[0]],6,FALSE),0)</f>
        <v>11</v>
      </c>
      <c r="AF282" s="20" t="e">
        <f>VLOOKUP(Data[[#This Row],[DEVELOPMENT]],[3]Developments!$A$2:$A$312,1,FALSE)</f>
        <v>#N/A</v>
      </c>
      <c r="AG282" s="20">
        <f>IFERROR(VLOOKUP(Data[[#This Row],[DEVELOPMENT]],Ops_Priorities_and_Data_Clean[[development]:[ifnoext_comment]],3,FALSE),"")</f>
        <v>2</v>
      </c>
      <c r="AH282" s="20">
        <f>IFERROR(VLOOKUP(Data[[#This Row],[DEVELOPMENT]],Ops_Priorities_and_Data_Clean[[development]:[ifnoext_comment]],4,FALSE),"")</f>
        <v>0</v>
      </c>
      <c r="AI282" s="20">
        <f>IFERROR(VLOOKUP(Data[[#This Row],[DEVELOPMENT]],Ops_Priorities_and_Data_Clean[[development]:[ifnoext_comment]],5,FALSE),"")</f>
        <v>1</v>
      </c>
      <c r="AJ282" s="20">
        <f>IFERROR(VLOOKUP(Data[[#This Row],[DEVELOPMENT]],Ops_Priorities_and_Data_Clean[[development]:[ifnoext_comment]],6,FALSE),"")</f>
        <v>0</v>
      </c>
      <c r="AK282" s="20">
        <f>IFERROR(VLOOKUP(Data[[#This Row],[DEVELOPMENT]],Ops_Priorities_and_Data_Clean[[development]:[ifnoext_comment]],7,FALSE),"")</f>
        <v>0</v>
      </c>
      <c r="AL282" s="20">
        <f>IFERROR(VLOOKUP(Data[[#This Row],[DEVELOPMENT]],Ops_Priorities_and_Data_Clean[[development]:[ifnoext_comment]],8,FALSE),"")</f>
        <v>1</v>
      </c>
      <c r="AM282" s="20">
        <f>IFERROR(VLOOKUP(Data[[#This Row],[DEVELOPMENT]],Ops_Priorities_and_Data_Clean[[development]:[ifnoext_comment]],9,FALSE),"")</f>
        <v>0</v>
      </c>
      <c r="AN282" s="20">
        <f>IFERROR(VLOOKUP(Data[[#This Row],[DEVELOPMENT]],Ops_Priorities_and_Data_Clean[[development]:[ifnoext_comment]],10,FALSE),"")</f>
        <v>2</v>
      </c>
      <c r="AO282" s="20">
        <f>IFERROR(VLOOKUP(Data[[#This Row],[DEVELOPMENT]],Ops_Priorities_and_Data_Clean[[development]:[ifnoext_comment]],11,FALSE),"")</f>
        <v>2</v>
      </c>
      <c r="AP282" s="20">
        <f>IFERROR(VLOOKUP(Data[[#This Row],[DEVELOPMENT]],Ops_Priorities_and_Data_Clean[[development]:[ifnoext_comment]],12,FALSE),"")</f>
        <v>2</v>
      </c>
      <c r="AQ282" s="20">
        <f>VLOOKUP(Data[[#This Row],[DEVELOPMENT]],Ops_Priorities_and_Data_Clean[[development]:[ifnoext_comment]],14,FALSE)</f>
        <v>1</v>
      </c>
      <c r="AR282" s="20">
        <f>VLOOKUP(Data[[#This Row],[DEVELOPMENT]],Ops_Priorities_and_Data_Clean[[development]:[ifnoext_comment]],15,FALSE)</f>
        <v>1</v>
      </c>
      <c r="AS282" s="20" t="str">
        <f>VLOOKUP(Data[[#This Row],[DEVELOPMENT]],Ops_Priorities_and_Data_Clean[[development]:[ifnoext_comment]],16,FALSE)</f>
        <v>FARRAGUT/ SUMNER/ ROOSEVELT</v>
      </c>
      <c r="AT282" s="20" t="str">
        <f>VLOOKUP(Data[[#This Row],[DEVELOPMENT]],Ops_Priorities_and_Data_Clean[[development]:[ifnoext_comment]],17,FALSE)</f>
        <v>Tompkins exterior compactors are being replaced - they have two new compactors which are not running. They partially use DSNY curbside but then also bring some of their trash to a nearby development.</v>
      </c>
      <c r="AU282" s="20" t="str">
        <f>VLOOKUP(Data[[#This Row],[DEVELOPMENT]],Ops_Priorities_and_Data_Clean[[development]:[ifnoext_comment]],18,FALSE)</f>
        <v>No</v>
      </c>
      <c r="AV282" s="20" t="str">
        <f>VLOOKUP(Data[[#This Row],[DEVELOPMENT]],Ops_Priorities_and_Data_Clean[[development]:[ifnoext_comment]],19,FALSE)</f>
        <v>container on-site</v>
      </c>
      <c r="AW282" s="20" t="str">
        <f>VLOOKUP(Data[[#This Row],[DEVELOPMENT]],Ops_Priorities_and_Data_Clean[[development]:[ifnoext_comment]],20,FALSE)</f>
        <v>NULL</v>
      </c>
      <c r="AX282" s="104" t="s">
        <v>2238</v>
      </c>
      <c r="AY282" s="104" t="s">
        <v>2600</v>
      </c>
      <c r="AZ282" s="20" t="str">
        <f>VLOOKUP(Data[[#This Row],[DEVELOPMENT]],Development_Data_Book[[DEVELOPMENT]:[PRIVATE MANAGEMENT]],8,FALSE)</f>
        <v>FEDERAL</v>
      </c>
      <c r="BA282" s="104" t="s">
        <v>2586</v>
      </c>
      <c r="BB282" s="20">
        <f>VLOOKUP(Data[[#This Row],[DEVELOPMENT]],Development_Data_Book[[DEVELOPMENT]:[PRIVATE MANAGEMENT]],22,FALSE)</f>
        <v>1</v>
      </c>
      <c r="BC282" s="20">
        <f>Data[[#This Row],[Non-Dwelling Buildings]]+Data[[#This Row],[Dwelling Buildings]]</f>
        <v>9</v>
      </c>
      <c r="BD282" s="20">
        <f>VLOOKUP(Data[[#This Row],[DEVELOPMENT]],Development_Data_Book[[DEVELOPMENT]:[PRIVATE MANAGEMENT]],26,FALSE)</f>
        <v>11.98</v>
      </c>
      <c r="BE282" s="106">
        <v>1143000</v>
      </c>
      <c r="BF282" s="20">
        <f>VLOOKUP(Data[[#This Row],[DEVELOPMENT]],Development_Data_Book[[DEVELOPMENT]:[PRIVATE MANAGEMENT]],18,FALSE)</f>
        <v>2818</v>
      </c>
      <c r="BG28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82" s="104" t="s">
        <v>2601</v>
      </c>
      <c r="BI282" t="s">
        <v>183</v>
      </c>
      <c r="BJ282" s="20">
        <f>VLOOKUP(Data[[#This Row],[DEVELOPMENT]],Development_Data_Book[[DEVELOPMENT]:[PRIVATE MANAGEMENT]],41,FALSE)</f>
        <v>3</v>
      </c>
      <c r="BK282" s="20">
        <f>VLOOKUP(Data[[#This Row],[DEVELOPMENT]],Development_Data_Book[[DEVELOPMENT]:[PRIVATE MANAGEMENT]],42,FALSE)</f>
        <v>8</v>
      </c>
      <c r="BL282" s="20">
        <f>VLOOKUP(Data[[#This Row],[DEVELOPMENT]],Development_Data_Book[[DEVELOPMENT]:[PRIVATE MANAGEMENT]],43,FALSE)</f>
        <v>18</v>
      </c>
      <c r="BM282" s="20">
        <f>VLOOKUP(Data[[#This Row],[DEVELOPMENT]],Development_Data_Book[[DEVELOPMENT]:[PRIVATE MANAGEMENT]],44,FALSE)</f>
        <v>56</v>
      </c>
      <c r="BN282" s="20">
        <f>VLOOKUP(Data[[#This Row],[DEVELOPMENT]],Development_Data_Book[[DEVELOPMENT]:[PRIVATE MANAGEMENT]],45,FALSE)</f>
        <v>36</v>
      </c>
      <c r="BO282" s="20">
        <f>VLOOKUP(Data[[#This Row],[DEVELOPMENT]],Development_Data_Book[[DEVELOPMENT]:[PRIVATE MANAGEMENT]],24,FALSE)</f>
        <v>43693</v>
      </c>
    </row>
    <row r="283" spans="1:67">
      <c r="A283" s="17" t="s">
        <v>138</v>
      </c>
      <c r="B283" s="17" t="str">
        <f>VLOOKUP(Data[[#This Row],[DEVELOPMENT]],Development_Data_Book[[DEVELOPMENT]:[BOROUGH]],MATCH("borough",Development_Data_Book[[#Headers],[DEVELOPMENT]:[BOROUGH]],0),FALSE)</f>
        <v>BRONX</v>
      </c>
      <c r="C283" t="e">
        <f>VLOOKUP(Data[[#This Row],[DEVELOPMENT]],'[1]Cheat-Sheet'!$D$2:$Q$341,2,FALSE)</f>
        <v>#N/A</v>
      </c>
      <c r="D28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83">
        <f>VLOOKUP(Data[[#This Row],[DEVELOPMENT]],Development_Data_Book[[DEVELOPMENT]:[BOROUGH]],21,FALSE)</f>
        <v>1</v>
      </c>
      <c r="F283">
        <f>VLOOKUP(Data[[#This Row],[DEVELOPMENT]],Development_Data_Book[[DEVELOPMENT]:[BOROUGH]],23,FALSE)</f>
        <v>1</v>
      </c>
      <c r="G283">
        <f>VLOOKUP(Data[[#This Row],[DEVELOPMENT]],Development_Data_Book[[DEVELOPMENT]:[BOROUGH]],12,FALSE)</f>
        <v>219</v>
      </c>
      <c r="H283" t="s">
        <v>2246</v>
      </c>
      <c r="I283">
        <v>4</v>
      </c>
      <c r="J283">
        <f>IFERROR(VLOOKUP(Data[[#This Row],[DEVELOPMENT]],IntCompactors_MRST[],4,FALSE),0)</f>
        <v>1</v>
      </c>
      <c r="K283" s="20">
        <f>IFERROR(VLOOKUP(Data[[#This Row],[DEVELOPMENT]],ExtCompactors_MRST[],4,FALSE),0)</f>
        <v>0</v>
      </c>
      <c r="L283" s="27">
        <f>IF(Data[[#This Row],['# Interior Compactors MRST]]=0,"",VLOOKUP(Data[[#This Row],[DEVELOPMENT]],IntCompactors_MRST[],5,FALSE))</f>
        <v>38670</v>
      </c>
      <c r="M283" s="28" t="str">
        <f>IF(Data[[#This Row],['# Exterior Compactors MRST]]=0,"",VLOOKUP(Data[[#This Row],[DEVELOPMENT]],ExtCompactors_MRST[],5,FALSE))</f>
        <v/>
      </c>
      <c r="N283">
        <f>Data[[#This Row],['# Interior Compactors MRST]]</f>
        <v>1</v>
      </c>
      <c r="O283" s="20">
        <f>IF(Data[[#This Row],['# Bulk Crushers]]=0,1,0)</f>
        <v>1</v>
      </c>
      <c r="P283" s="20">
        <f>1</f>
        <v>1</v>
      </c>
      <c r="Q283" s="20">
        <f>1</f>
        <v>1</v>
      </c>
      <c r="R283" s="20">
        <f>1</f>
        <v>1</v>
      </c>
      <c r="S283" s="20">
        <f>1</f>
        <v>1</v>
      </c>
      <c r="T283" s="20">
        <f>IF(Data[[#This Row],[Sewershed]]="Newtown Creek",Data[[#This Row],[DUs]],0)</f>
        <v>0</v>
      </c>
      <c r="U28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8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8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83" s="82">
        <f>VLOOKUP(Data[[#This Row],[DEVELOPMENT]],Development_Data_Book[[DEVELOPMENT]:[BOROUGH]],3,FALSE)</f>
        <v>287</v>
      </c>
      <c r="Y283" s="20"/>
      <c r="Z283" s="20">
        <f>IFERROR(VLOOKUP(Data[[#This Row],[TDS]],ExtCompactors_PNA[[Development]:[0]],2,FALSE),0)</f>
        <v>0</v>
      </c>
      <c r="AA283" s="20">
        <f>IFERROR(VLOOKUP(Data[[#This Row],[TDS]],IntCompactors_PNA[[TDS]:[0]],2,FALSE),0)</f>
        <v>1</v>
      </c>
      <c r="AB283" s="20"/>
      <c r="AC283" s="20"/>
      <c r="AD283" s="20">
        <f>IFERROR(VLOOKUP(Data[[#This Row],[TDS]],ExtCompactors_PNA[[Development]:[0]],3,FALSE)+VLOOKUP(Data[[#This Row],[TDS]],ExtCompactors_PNA[[Development]:[0]],6,FALSE),0)</f>
        <v>0</v>
      </c>
      <c r="AE283" s="20">
        <f>IFERROR(VLOOKUP(Data[[#This Row],[TDS]],IntCompactors_PNA[[TDS]:[0]],3,FALSE)+VLOOKUP(Data[[#This Row],[TDS]],IntCompactors_PNA[[TDS]:[0]],6,FALSE),0)</f>
        <v>1</v>
      </c>
      <c r="AF283" s="20" t="e">
        <f>VLOOKUP(Data[[#This Row],[DEVELOPMENT]],[3]Developments!$A$2:$A$312,1,FALSE)</f>
        <v>#N/A</v>
      </c>
      <c r="AG283" s="20">
        <f>IFERROR(VLOOKUP(Data[[#This Row],[DEVELOPMENT]],Ops_Priorities_and_Data_Clean[[development]:[ifnoext_comment]],3,FALSE),"")</f>
        <v>0</v>
      </c>
      <c r="AH283" s="20">
        <f>IFERROR(VLOOKUP(Data[[#This Row],[DEVELOPMENT]],Ops_Priorities_and_Data_Clean[[development]:[ifnoext_comment]],4,FALSE),"")</f>
        <v>1</v>
      </c>
      <c r="AI283" s="20">
        <f>IFERROR(VLOOKUP(Data[[#This Row],[DEVELOPMENT]],Ops_Priorities_and_Data_Clean[[development]:[ifnoext_comment]],5,FALSE),"")</f>
        <v>0</v>
      </c>
      <c r="AJ283" s="20">
        <f>IFERROR(VLOOKUP(Data[[#This Row],[DEVELOPMENT]],Ops_Priorities_and_Data_Clean[[development]:[ifnoext_comment]],6,FALSE),"")</f>
        <v>0</v>
      </c>
      <c r="AK283" s="20">
        <f>IFERROR(VLOOKUP(Data[[#This Row],[DEVELOPMENT]],Ops_Priorities_and_Data_Clean[[development]:[ifnoext_comment]],7,FALSE),"")</f>
        <v>1</v>
      </c>
      <c r="AL283" s="20">
        <f>IFERROR(VLOOKUP(Data[[#This Row],[DEVELOPMENT]],Ops_Priorities_and_Data_Clean[[development]:[ifnoext_comment]],8,FALSE),"")</f>
        <v>1</v>
      </c>
      <c r="AM283" s="20">
        <f>IFERROR(VLOOKUP(Data[[#This Row],[DEVELOPMENT]],Ops_Priorities_and_Data_Clean[[development]:[ifnoext_comment]],9,FALSE),"")</f>
        <v>1</v>
      </c>
      <c r="AN283" s="20">
        <f>IFERROR(VLOOKUP(Data[[#This Row],[DEVELOPMENT]],Ops_Priorities_and_Data_Clean[[development]:[ifnoext_comment]],10,FALSE),"")</f>
        <v>0</v>
      </c>
      <c r="AO283" s="20">
        <f>IFERROR(VLOOKUP(Data[[#This Row],[DEVELOPMENT]],Ops_Priorities_and_Data_Clean[[development]:[ifnoext_comment]],11,FALSE),"")</f>
        <v>0</v>
      </c>
      <c r="AP283" s="20">
        <f>IFERROR(VLOOKUP(Data[[#This Row],[DEVELOPMENT]],Ops_Priorities_and_Data_Clean[[development]:[ifnoext_comment]],12,FALSE),"")</f>
        <v>0</v>
      </c>
      <c r="AQ283" s="20">
        <f>VLOOKUP(Data[[#This Row],[DEVELOPMENT]],Ops_Priorities_and_Data_Clean[[development]:[ifnoext_comment]],14,FALSE)</f>
        <v>1</v>
      </c>
      <c r="AR283" s="20">
        <f>VLOOKUP(Data[[#This Row],[DEVELOPMENT]],Ops_Priorities_and_Data_Clean[[development]:[ifnoext_comment]],15,FALSE)</f>
        <v>0</v>
      </c>
      <c r="AS283" s="20" t="str">
        <f>VLOOKUP(Data[[#This Row],[DEVELOPMENT]],Ops_Priorities_and_Data_Clean[[development]:[ifnoext_comment]],16,FALSE)</f>
        <v>NULL</v>
      </c>
      <c r="AT283" s="20" t="str">
        <f>VLOOKUP(Data[[#This Row],[DEVELOPMENT]],Ops_Priorities_and_Data_Clean[[development]:[ifnoext_comment]],17,FALSE)</f>
        <v>Mon, Wed &amp; Fri Santiation does pickup.</v>
      </c>
      <c r="AU283" s="20" t="str">
        <f>VLOOKUP(Data[[#This Row],[DEVELOPMENT]],Ops_Priorities_and_Data_Clean[[development]:[ifnoext_comment]],18,FALSE)</f>
        <v>Yes</v>
      </c>
      <c r="AV283" s="20" t="str">
        <f>VLOOKUP(Data[[#This Row],[DEVELOPMENT]],Ops_Priorities_and_Data_Clean[[development]:[ifnoext_comment]],19,FALSE)</f>
        <v>DSNY picks up from open-top containers on site</v>
      </c>
      <c r="AW283" s="20" t="str">
        <f>VLOOKUP(Data[[#This Row],[DEVELOPMENT]],Ops_Priorities_and_Data_Clean[[development]:[ifnoext_comment]],20,FALSE)</f>
        <v>It is a curbside site that has room for a compactor.</v>
      </c>
      <c r="AX283" s="104" t="s">
        <v>2237</v>
      </c>
      <c r="AY283" s="104" t="s">
        <v>2638</v>
      </c>
      <c r="AZ283" s="20" t="str">
        <f>VLOOKUP(Data[[#This Row],[DEVELOPMENT]],Development_Data_Book[[DEVELOPMENT]:[PRIVATE MANAGEMENT]],8,FALSE)</f>
        <v>FEDERAL</v>
      </c>
      <c r="BA283" s="104" t="s">
        <v>2586</v>
      </c>
      <c r="BB283" s="20">
        <f>VLOOKUP(Data[[#This Row],[DEVELOPMENT]],Development_Data_Book[[DEVELOPMENT]:[PRIVATE MANAGEMENT]],22,FALSE)</f>
        <v>0</v>
      </c>
      <c r="BC283" s="20">
        <f>Data[[#This Row],[Non-Dwelling Buildings]]+Data[[#This Row],[Dwelling Buildings]]</f>
        <v>1</v>
      </c>
      <c r="BD283" s="20">
        <f>VLOOKUP(Data[[#This Row],[DEVELOPMENT]],Development_Data_Book[[DEVELOPMENT]:[PRIVATE MANAGEMENT]],26,FALSE)</f>
        <v>1.64</v>
      </c>
      <c r="BE283" s="106">
        <v>193800</v>
      </c>
      <c r="BF283" s="20">
        <f>VLOOKUP(Data[[#This Row],[DEVELOPMENT]],Development_Data_Book[[DEVELOPMENT]:[PRIVATE MANAGEMENT]],18,FALSE)</f>
        <v>231</v>
      </c>
      <c r="BG283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83" s="104" t="s">
        <v>2587</v>
      </c>
      <c r="BI283" t="s">
        <v>184</v>
      </c>
      <c r="BJ283" s="20">
        <f>VLOOKUP(Data[[#This Row],[DEVELOPMENT]],Development_Data_Book[[DEVELOPMENT]:[PRIVATE MANAGEMENT]],41,FALSE)</f>
        <v>6</v>
      </c>
      <c r="BK283" s="20">
        <f>VLOOKUP(Data[[#This Row],[DEVELOPMENT]],Development_Data_Book[[DEVELOPMENT]:[PRIVATE MANAGEMENT]],42,FALSE)</f>
        <v>15</v>
      </c>
      <c r="BL283" s="20">
        <f>VLOOKUP(Data[[#This Row],[DEVELOPMENT]],Development_Data_Book[[DEVELOPMENT]:[PRIVATE MANAGEMENT]],43,FALSE)</f>
        <v>33</v>
      </c>
      <c r="BM283" s="20">
        <f>VLOOKUP(Data[[#This Row],[DEVELOPMENT]],Development_Data_Book[[DEVELOPMENT]:[PRIVATE MANAGEMENT]],44,FALSE)</f>
        <v>79</v>
      </c>
      <c r="BN283" s="20">
        <f>VLOOKUP(Data[[#This Row],[DEVELOPMENT]],Development_Data_Book[[DEVELOPMENT]:[PRIVATE MANAGEMENT]],45,FALSE)</f>
        <v>15</v>
      </c>
      <c r="BO283" s="20">
        <f>VLOOKUP(Data[[#This Row],[DEVELOPMENT]],Development_Data_Book[[DEVELOPMENT]:[PRIVATE MANAGEMENT]],24,FALSE)</f>
        <v>14</v>
      </c>
    </row>
    <row r="284" spans="1:67">
      <c r="A284" s="17" t="s">
        <v>51</v>
      </c>
      <c r="B284" s="17" t="str">
        <f>VLOOKUP(Data[[#This Row],[DEVELOPMENT]],Development_Data_Book[[DEVELOPMENT]:[BOROUGH]],MATCH("borough",Development_Data_Book[[#Headers],[DEVELOPMENT]:[BOROUGH]],0),FALSE)</f>
        <v>MANHATTAN</v>
      </c>
      <c r="C284" t="e">
        <f>VLOOKUP(Data[[#This Row],[DEVELOPMENT]],'[1]Cheat-Sheet'!$D$2:$Q$341,2,FALSE)</f>
        <v>#N/A</v>
      </c>
      <c r="D28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84">
        <f>VLOOKUP(Data[[#This Row],[DEVELOPMENT]],Development_Data_Book[[DEVELOPMENT]:[BOROUGH]],21,FALSE)</f>
        <v>1</v>
      </c>
      <c r="F284">
        <f>VLOOKUP(Data[[#This Row],[DEVELOPMENT]],Development_Data_Book[[DEVELOPMENT]:[BOROUGH]],23,FALSE)</f>
        <v>1</v>
      </c>
      <c r="G284">
        <f>VLOOKUP(Data[[#This Row],[DEVELOPMENT]],Development_Data_Book[[DEVELOPMENT]:[BOROUGH]],12,FALSE)</f>
        <v>250</v>
      </c>
      <c r="H284" t="s">
        <v>2246</v>
      </c>
      <c r="I284">
        <v>4</v>
      </c>
      <c r="J284">
        <f>IFERROR(VLOOKUP(Data[[#This Row],[DEVELOPMENT]],IntCompactors_MRST[],4,FALSE),0)</f>
        <v>1</v>
      </c>
      <c r="K284" s="20">
        <f>IFERROR(VLOOKUP(Data[[#This Row],[DEVELOPMENT]],ExtCompactors_MRST[],4,FALSE),0)</f>
        <v>0</v>
      </c>
      <c r="L284" s="27">
        <f>IF(Data[[#This Row],['# Interior Compactors MRST]]=0,"",VLOOKUP(Data[[#This Row],[DEVELOPMENT]],IntCompactors_MRST[],5,FALSE))</f>
        <v>38718</v>
      </c>
      <c r="M284" s="28" t="str">
        <f>IF(Data[[#This Row],['# Exterior Compactors MRST]]=0,"",VLOOKUP(Data[[#This Row],[DEVELOPMENT]],ExtCompactors_MRST[],5,FALSE))</f>
        <v/>
      </c>
      <c r="N284">
        <f>Data[[#This Row],['# Interior Compactors MRST]]</f>
        <v>1</v>
      </c>
      <c r="O284" s="20">
        <f>IF(Data[[#This Row],['# Bulk Crushers]]=0,1,0)</f>
        <v>1</v>
      </c>
      <c r="P284" s="20">
        <f>1</f>
        <v>1</v>
      </c>
      <c r="Q284" s="20">
        <f>1</f>
        <v>1</v>
      </c>
      <c r="R284" s="20">
        <f>1</f>
        <v>1</v>
      </c>
      <c r="S284" s="20">
        <f>1</f>
        <v>1</v>
      </c>
      <c r="T284" s="20">
        <f>IF(Data[[#This Row],[Sewershed]]="Newtown Creek",Data[[#This Row],[DUs]],0)</f>
        <v>250</v>
      </c>
      <c r="U28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8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8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84" s="82">
        <f>VLOOKUP(Data[[#This Row],[DEVELOPMENT]],Development_Data_Book[[DEVELOPMENT]:[BOROUGH]],3,FALSE)</f>
        <v>266</v>
      </c>
      <c r="Y284" s="20" t="s">
        <v>2599</v>
      </c>
      <c r="Z284" s="20">
        <f>IFERROR(VLOOKUP(Data[[#This Row],[TDS]],ExtCompactors_PNA[[Development]:[0]],2,FALSE),0)</f>
        <v>0</v>
      </c>
      <c r="AA284" s="20">
        <f>IFERROR(VLOOKUP(Data[[#This Row],[TDS]],IntCompactors_PNA[[TDS]:[0]],2,FALSE),0)</f>
        <v>1</v>
      </c>
      <c r="AB284" s="20"/>
      <c r="AC284" s="20"/>
      <c r="AD284" s="20">
        <f>IFERROR(VLOOKUP(Data[[#This Row],[TDS]],ExtCompactors_PNA[[Development]:[0]],3,FALSE)+VLOOKUP(Data[[#This Row],[TDS]],ExtCompactors_PNA[[Development]:[0]],6,FALSE),0)</f>
        <v>0</v>
      </c>
      <c r="AE284" s="20">
        <f>IFERROR(VLOOKUP(Data[[#This Row],[TDS]],IntCompactors_PNA[[TDS]:[0]],3,FALSE)+VLOOKUP(Data[[#This Row],[TDS]],IntCompactors_PNA[[TDS]:[0]],6,FALSE),0)</f>
        <v>1</v>
      </c>
      <c r="AF284" s="20" t="e">
        <f>VLOOKUP(Data[[#This Row],[DEVELOPMENT]],[3]Developments!$A$2:$A$312,1,FALSE)</f>
        <v>#N/A</v>
      </c>
      <c r="AG284" s="20">
        <f>IFERROR(VLOOKUP(Data[[#This Row],[DEVELOPMENT]],Ops_Priorities_and_Data_Clean[[development]:[ifnoext_comment]],3,FALSE),"")</f>
        <v>0</v>
      </c>
      <c r="AH284" s="20">
        <f>IFERROR(VLOOKUP(Data[[#This Row],[DEVELOPMENT]],Ops_Priorities_and_Data_Clean[[development]:[ifnoext_comment]],4,FALSE),"")</f>
        <v>4</v>
      </c>
      <c r="AI284" s="20">
        <f>IFERROR(VLOOKUP(Data[[#This Row],[DEVELOPMENT]],Ops_Priorities_and_Data_Clean[[development]:[ifnoext_comment]],5,FALSE),"")</f>
        <v>0</v>
      </c>
      <c r="AJ284" s="20">
        <f>IFERROR(VLOOKUP(Data[[#This Row],[DEVELOPMENT]],Ops_Priorities_and_Data_Clean[[development]:[ifnoext_comment]],6,FALSE),"")</f>
        <v>0</v>
      </c>
      <c r="AK284" s="20">
        <f>IFERROR(VLOOKUP(Data[[#This Row],[DEVELOPMENT]],Ops_Priorities_and_Data_Clean[[development]:[ifnoext_comment]],7,FALSE),"")</f>
        <v>1</v>
      </c>
      <c r="AL284" s="20">
        <f>IFERROR(VLOOKUP(Data[[#This Row],[DEVELOPMENT]],Ops_Priorities_and_Data_Clean[[development]:[ifnoext_comment]],8,FALSE),"")</f>
        <v>1</v>
      </c>
      <c r="AM284" s="20">
        <f>IFERROR(VLOOKUP(Data[[#This Row],[DEVELOPMENT]],Ops_Priorities_and_Data_Clean[[development]:[ifnoext_comment]],9,FALSE),"")</f>
        <v>0</v>
      </c>
      <c r="AN284" s="20">
        <f>IFERROR(VLOOKUP(Data[[#This Row],[DEVELOPMENT]],Ops_Priorities_and_Data_Clean[[development]:[ifnoext_comment]],10,FALSE),"")</f>
        <v>0</v>
      </c>
      <c r="AO284" s="20">
        <f>IFERROR(VLOOKUP(Data[[#This Row],[DEVELOPMENT]],Ops_Priorities_and_Data_Clean[[development]:[ifnoext_comment]],11,FALSE),"")</f>
        <v>0</v>
      </c>
      <c r="AP284" s="20">
        <f>IFERROR(VLOOKUP(Data[[#This Row],[DEVELOPMENT]],Ops_Priorities_and_Data_Clean[[development]:[ifnoext_comment]],12,FALSE),"")</f>
        <v>0</v>
      </c>
      <c r="AQ284" s="20">
        <f>VLOOKUP(Data[[#This Row],[DEVELOPMENT]],Ops_Priorities_and_Data_Clean[[development]:[ifnoext_comment]],14,FALSE)</f>
        <v>1</v>
      </c>
      <c r="AR284" s="20">
        <f>VLOOKUP(Data[[#This Row],[DEVELOPMENT]],Ops_Priorities_and_Data_Clean[[development]:[ifnoext_comment]],15,FALSE)</f>
        <v>0</v>
      </c>
      <c r="AS284" s="20" t="str">
        <f>VLOOKUP(Data[[#This Row],[DEVELOPMENT]],Ops_Priorities_and_Data_Clean[[development]:[ifnoext_comment]],16,FALSE)</f>
        <v>NULL</v>
      </c>
      <c r="AT284" s="20" t="str">
        <f>VLOOKUP(Data[[#This Row],[DEVELOPMENT]],Ops_Priorities_and_Data_Clean[[development]:[ifnoext_comment]],17,FALSE)</f>
        <v>NULL</v>
      </c>
      <c r="AU284" s="20" t="str">
        <f>VLOOKUP(Data[[#This Row],[DEVELOPMENT]],Ops_Priorities_and_Data_Clean[[development]:[ifnoext_comment]],18,FALSE)</f>
        <v>Yes</v>
      </c>
      <c r="AV284" s="20" t="str">
        <f>VLOOKUP(Data[[#This Row],[DEVELOPMENT]],Ops_Priorities_and_Data_Clean[[development]:[ifnoext_comment]],19,FALSE)</f>
        <v>curbside- however, bulk waste goes to LaGuardia; also will sometimes drive trash to LaGuardia compactors during the holiday season</v>
      </c>
      <c r="AW284" s="20" t="str">
        <f>VLOOKUP(Data[[#This Row],[DEVELOPMENT]],Ops_Priorities_and_Data_Clean[[development]:[ifnoext_comment]],20,FALSE)</f>
        <v>NULL</v>
      </c>
      <c r="AX284" s="104" t="s">
        <v>2239</v>
      </c>
      <c r="AY284" s="104" t="s">
        <v>2160</v>
      </c>
      <c r="AZ284" s="20" t="str">
        <f>VLOOKUP(Data[[#This Row],[DEVELOPMENT]],Development_Data_Book[[DEVELOPMENT]:[PRIVATE MANAGEMENT]],8,FALSE)</f>
        <v>FEDERAL</v>
      </c>
      <c r="BA284" s="104" t="s">
        <v>2586</v>
      </c>
      <c r="BB284" s="20">
        <f>VLOOKUP(Data[[#This Row],[DEVELOPMENT]],Development_Data_Book[[DEVELOPMENT]:[PRIVATE MANAGEMENT]],22,FALSE)</f>
        <v>0</v>
      </c>
      <c r="BC284" s="20">
        <f>Data[[#This Row],[Non-Dwelling Buildings]]+Data[[#This Row],[Dwelling Buildings]]</f>
        <v>1</v>
      </c>
      <c r="BD284" s="20">
        <f>VLOOKUP(Data[[#This Row],[DEVELOPMENT]],Development_Data_Book[[DEVELOPMENT]:[PRIVATE MANAGEMENT]],26,FALSE)</f>
        <v>0.73</v>
      </c>
      <c r="BE284" s="106">
        <v>256556</v>
      </c>
      <c r="BF284" s="20">
        <f>VLOOKUP(Data[[#This Row],[DEVELOPMENT]],Development_Data_Book[[DEVELOPMENT]:[PRIVATE MANAGEMENT]],18,FALSE)</f>
        <v>622</v>
      </c>
      <c r="BG28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84" s="104" t="s">
        <v>2607</v>
      </c>
      <c r="BI284" t="s">
        <v>184</v>
      </c>
      <c r="BJ284" s="20">
        <f>VLOOKUP(Data[[#This Row],[DEVELOPMENT]],Development_Data_Book[[DEVELOPMENT]:[PRIVATE MANAGEMENT]],41,FALSE)</f>
        <v>3</v>
      </c>
      <c r="BK284" s="20">
        <f>VLOOKUP(Data[[#This Row],[DEVELOPMENT]],Development_Data_Book[[DEVELOPMENT]:[PRIVATE MANAGEMENT]],42,FALSE)</f>
        <v>7</v>
      </c>
      <c r="BL284" s="20">
        <f>VLOOKUP(Data[[#This Row],[DEVELOPMENT]],Development_Data_Book[[DEVELOPMENT]:[PRIVATE MANAGEMENT]],43,FALSE)</f>
        <v>26</v>
      </c>
      <c r="BM284" s="20">
        <f>VLOOKUP(Data[[#This Row],[DEVELOPMENT]],Development_Data_Book[[DEVELOPMENT]:[PRIVATE MANAGEMENT]],44,FALSE)</f>
        <v>65</v>
      </c>
      <c r="BN284" s="20">
        <f>VLOOKUP(Data[[#This Row],[DEVELOPMENT]],Development_Data_Book[[DEVELOPMENT]:[PRIVATE MANAGEMENT]],45,FALSE)</f>
        <v>1</v>
      </c>
      <c r="BO284" s="20">
        <f>VLOOKUP(Data[[#This Row],[DEVELOPMENT]],Development_Data_Book[[DEVELOPMENT]:[PRIVATE MANAGEMENT]],24,FALSE)</f>
        <v>26</v>
      </c>
    </row>
    <row r="285" spans="1:67">
      <c r="A285" t="s">
        <v>98</v>
      </c>
      <c r="B285" t="str">
        <f>VLOOKUP(Data[[#This Row],[DEVELOPMENT]],Development_Data_Book[[DEVELOPMENT]:[BOROUGH]],MATCH("borough",Development_Data_Book[[#Headers],[DEVELOPMENT]:[BOROUGH]],0),FALSE)</f>
        <v>BRONX</v>
      </c>
      <c r="C285" t="e">
        <f>VLOOKUP(Data[[#This Row],[DEVELOPMENT]],'[1]Cheat-Sheet'!$D$2:$Q$341,2,FALSE)</f>
        <v>#N/A</v>
      </c>
      <c r="D28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85">
        <f>VLOOKUP(Data[[#This Row],[DEVELOPMENT]],Development_Data_Book[[DEVELOPMENT]:[BOROUGH]],21,FALSE)</f>
        <v>1</v>
      </c>
      <c r="F285">
        <f>VLOOKUP(Data[[#This Row],[DEVELOPMENT]],Development_Data_Book[[DEVELOPMENT]:[BOROUGH]],23,FALSE)</f>
        <v>1</v>
      </c>
      <c r="G285">
        <f>VLOOKUP(Data[[#This Row],[DEVELOPMENT]],Development_Data_Book[[DEVELOPMENT]:[BOROUGH]],12,FALSE)</f>
        <v>199</v>
      </c>
      <c r="H285" t="s">
        <v>2248</v>
      </c>
      <c r="I285">
        <v>4</v>
      </c>
      <c r="J285">
        <f>IFERROR(VLOOKUP(Data[[#This Row],[DEVELOPMENT]],IntCompactors_MRST[],4,FALSE),0)</f>
        <v>1</v>
      </c>
      <c r="K285" s="20">
        <f>IFERROR(VLOOKUP(Data[[#This Row],[DEVELOPMENT]],ExtCompactors_MRST[],4,FALSE),0)</f>
        <v>0</v>
      </c>
      <c r="L285" s="27">
        <f>IF(Data[[#This Row],['# Interior Compactors MRST]]=0,"",VLOOKUP(Data[[#This Row],[DEVELOPMENT]],IntCompactors_MRST[],5,FALSE))</f>
        <v>37227</v>
      </c>
      <c r="M285" s="28" t="str">
        <f>IF(Data[[#This Row],['# Exterior Compactors MRST]]=0,"",VLOOKUP(Data[[#This Row],[DEVELOPMENT]],ExtCompactors_MRST[],5,FALSE))</f>
        <v/>
      </c>
      <c r="N285">
        <f>Data[[#This Row],['# Interior Compactors MRST]]</f>
        <v>1</v>
      </c>
      <c r="O285" s="20">
        <f>IF(Data[[#This Row],['# Bulk Crushers]]=0,1,0)</f>
        <v>1</v>
      </c>
      <c r="P285" s="20">
        <f>1</f>
        <v>1</v>
      </c>
      <c r="Q285" s="20">
        <f>1</f>
        <v>1</v>
      </c>
      <c r="R285" s="20">
        <f>1</f>
        <v>1</v>
      </c>
      <c r="S285" s="20">
        <f>1</f>
        <v>1</v>
      </c>
      <c r="T285" s="20">
        <f>IF(Data[[#This Row],[Sewershed]]="Newtown Creek",Data[[#This Row],[DUs]],0)</f>
        <v>0</v>
      </c>
      <c r="U28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8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8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85" s="82">
        <f>VLOOKUP(Data[[#This Row],[DEVELOPMENT]],Development_Data_Book[[DEVELOPMENT]:[BOROUGH]],3,FALSE)</f>
        <v>342</v>
      </c>
      <c r="Y285" s="20"/>
      <c r="Z285" s="20">
        <f>IFERROR(VLOOKUP(Data[[#This Row],[TDS]],ExtCompactors_PNA[[Development]:[0]],2,FALSE),0)</f>
        <v>0</v>
      </c>
      <c r="AA285" s="20">
        <f>IFERROR(VLOOKUP(Data[[#This Row],[TDS]],IntCompactors_PNA[[TDS]:[0]],2,FALSE),0)</f>
        <v>1</v>
      </c>
      <c r="AB285" s="20"/>
      <c r="AC285" s="20"/>
      <c r="AD285" s="20">
        <f>IFERROR(VLOOKUP(Data[[#This Row],[TDS]],ExtCompactors_PNA[[Development]:[0]],3,FALSE)+VLOOKUP(Data[[#This Row],[TDS]],ExtCompactors_PNA[[Development]:[0]],6,FALSE),0)</f>
        <v>0</v>
      </c>
      <c r="AE285" s="20">
        <f>IFERROR(VLOOKUP(Data[[#This Row],[TDS]],IntCompactors_PNA[[TDS]:[0]],3,FALSE)+VLOOKUP(Data[[#This Row],[TDS]],IntCompactors_PNA[[TDS]:[0]],6,FALSE),0)</f>
        <v>1</v>
      </c>
      <c r="AF285" s="20" t="e">
        <f>VLOOKUP(Data[[#This Row],[DEVELOPMENT]],[3]Developments!$A$2:$A$312,1,FALSE)</f>
        <v>#N/A</v>
      </c>
      <c r="AG285" s="20">
        <f>IFERROR(VLOOKUP(Data[[#This Row],[DEVELOPMENT]],Ops_Priorities_and_Data_Clean[[development]:[ifnoext_comment]],3,FALSE),"")</f>
        <v>0</v>
      </c>
      <c r="AH285" s="20">
        <f>IFERROR(VLOOKUP(Data[[#This Row],[DEVELOPMENT]],Ops_Priorities_and_Data_Clean[[development]:[ifnoext_comment]],4,FALSE),"")</f>
        <v>0</v>
      </c>
      <c r="AI285" s="20">
        <f>IFERROR(VLOOKUP(Data[[#This Row],[DEVELOPMENT]],Ops_Priorities_and_Data_Clean[[development]:[ifnoext_comment]],5,FALSE),"")</f>
        <v>0</v>
      </c>
      <c r="AJ285" s="20">
        <f>IFERROR(VLOOKUP(Data[[#This Row],[DEVELOPMENT]],Ops_Priorities_and_Data_Clean[[development]:[ifnoext_comment]],6,FALSE),"")</f>
        <v>1</v>
      </c>
      <c r="AK285" s="20">
        <f>IFERROR(VLOOKUP(Data[[#This Row],[DEVELOPMENT]],Ops_Priorities_and_Data_Clean[[development]:[ifnoext_comment]],7,FALSE),"")</f>
        <v>0</v>
      </c>
      <c r="AL285" s="20">
        <f>IFERROR(VLOOKUP(Data[[#This Row],[DEVELOPMENT]],Ops_Priorities_and_Data_Clean[[development]:[ifnoext_comment]],8,FALSE),"")</f>
        <v>1</v>
      </c>
      <c r="AM285" s="20">
        <f>IFERROR(VLOOKUP(Data[[#This Row],[DEVELOPMENT]],Ops_Priorities_and_Data_Clean[[development]:[ifnoext_comment]],9,FALSE),"")</f>
        <v>1</v>
      </c>
      <c r="AN285" s="20">
        <f>IFERROR(VLOOKUP(Data[[#This Row],[DEVELOPMENT]],Ops_Priorities_and_Data_Clean[[development]:[ifnoext_comment]],10,FALSE),"")</f>
        <v>0</v>
      </c>
      <c r="AO285" s="20">
        <f>IFERROR(VLOOKUP(Data[[#This Row],[DEVELOPMENT]],Ops_Priorities_and_Data_Clean[[development]:[ifnoext_comment]],11,FALSE),"")</f>
        <v>0</v>
      </c>
      <c r="AP285" s="20">
        <f>IFERROR(VLOOKUP(Data[[#This Row],[DEVELOPMENT]],Ops_Priorities_and_Data_Clean[[development]:[ifnoext_comment]],12,FALSE),"")</f>
        <v>0</v>
      </c>
      <c r="AQ285" s="20">
        <f>VLOOKUP(Data[[#This Row],[DEVELOPMENT]],Ops_Priorities_and_Data_Clean[[development]:[ifnoext_comment]],14,FALSE)</f>
        <v>0</v>
      </c>
      <c r="AR285" s="20">
        <f>VLOOKUP(Data[[#This Row],[DEVELOPMENT]],Ops_Priorities_and_Data_Clean[[development]:[ifnoext_comment]],15,FALSE)</f>
        <v>1</v>
      </c>
      <c r="AS285" s="20" t="str">
        <f>VLOOKUP(Data[[#This Row],[DEVELOPMENT]],Ops_Priorities_and_Data_Clean[[development]:[ifnoext_comment]],16,FALSE)</f>
        <v>CLAREMONT PARKWAY-FRANKLIN AVENUE, &amp; DAVIDSON</v>
      </c>
      <c r="AT285" s="20" t="str">
        <f>VLOOKUP(Data[[#This Row],[DEVELOPMENT]],Ops_Priorities_and_Data_Clean[[development]:[ifnoext_comment]],17,FALSE)</f>
        <v>Part of Union Cons.</v>
      </c>
      <c r="AU285" s="20" t="str">
        <f>VLOOKUP(Data[[#This Row],[DEVELOPMENT]],Ops_Priorities_and_Data_Clean[[development]:[ifnoext_comment]],18,FALSE)</f>
        <v>NULL</v>
      </c>
      <c r="AV285" s="20" t="str">
        <f>VLOOKUP(Data[[#This Row],[DEVELOPMENT]],Ops_Priorities_and_Data_Clean[[development]:[ifnoext_comment]],19,FALSE)</f>
        <v>NULL</v>
      </c>
      <c r="AW285" s="20" t="str">
        <f>VLOOKUP(Data[[#This Row],[DEVELOPMENT]],Ops_Priorities_and_Data_Clean[[development]:[ifnoext_comment]],20,FALSE)</f>
        <v>NULL</v>
      </c>
      <c r="AX285" s="104" t="s">
        <v>2237</v>
      </c>
      <c r="AY285" s="104" t="s">
        <v>147</v>
      </c>
      <c r="AZ285" s="20" t="str">
        <f>VLOOKUP(Data[[#This Row],[DEVELOPMENT]],Development_Data_Book[[DEVELOPMENT]:[PRIVATE MANAGEMENT]],8,FALSE)</f>
        <v>FEDERAL</v>
      </c>
      <c r="BA285" s="104" t="s">
        <v>2586</v>
      </c>
      <c r="BB285" s="20">
        <f>VLOOKUP(Data[[#This Row],[DEVELOPMENT]],Development_Data_Book[[DEVELOPMENT]:[PRIVATE MANAGEMENT]],22,FALSE)</f>
        <v>0</v>
      </c>
      <c r="BC285" s="20">
        <f>Data[[#This Row],[Non-Dwelling Buildings]]+Data[[#This Row],[Dwelling Buildings]]</f>
        <v>1</v>
      </c>
      <c r="BD285" s="20">
        <f>VLOOKUP(Data[[#This Row],[DEVELOPMENT]],Development_Data_Book[[DEVELOPMENT]:[PRIVATE MANAGEMENT]],26,FALSE)</f>
        <v>2.65</v>
      </c>
      <c r="BE285" s="106">
        <v>171000</v>
      </c>
      <c r="BF285" s="20">
        <f>VLOOKUP(Data[[#This Row],[DEVELOPMENT]],Development_Data_Book[[DEVELOPMENT]:[PRIVATE MANAGEMENT]],18,FALSE)</f>
        <v>229</v>
      </c>
      <c r="BG285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85" s="104" t="s">
        <v>2631</v>
      </c>
      <c r="BI285" t="s">
        <v>184</v>
      </c>
      <c r="BJ285" s="20">
        <f>VLOOKUP(Data[[#This Row],[DEVELOPMENT]],Development_Data_Book[[DEVELOPMENT]:[PRIVATE MANAGEMENT]],41,FALSE)</f>
        <v>3</v>
      </c>
      <c r="BK285" s="20">
        <f>VLOOKUP(Data[[#This Row],[DEVELOPMENT]],Development_Data_Book[[DEVELOPMENT]:[PRIVATE MANAGEMENT]],42,FALSE)</f>
        <v>15</v>
      </c>
      <c r="BL285" s="20">
        <f>VLOOKUP(Data[[#This Row],[DEVELOPMENT]],Development_Data_Book[[DEVELOPMENT]:[PRIVATE MANAGEMENT]],43,FALSE)</f>
        <v>32</v>
      </c>
      <c r="BM285" s="20">
        <f>VLOOKUP(Data[[#This Row],[DEVELOPMENT]],Development_Data_Book[[DEVELOPMENT]:[PRIVATE MANAGEMENT]],44,FALSE)</f>
        <v>79</v>
      </c>
      <c r="BN285" s="20">
        <f>VLOOKUP(Data[[#This Row],[DEVELOPMENT]],Development_Data_Book[[DEVELOPMENT]:[PRIVATE MANAGEMENT]],45,FALSE)</f>
        <v>17</v>
      </c>
      <c r="BO285" s="20">
        <f>VLOOKUP(Data[[#This Row],[DEVELOPMENT]],Development_Data_Book[[DEVELOPMENT]:[PRIVATE MANAGEMENT]],24,FALSE)</f>
        <v>9</v>
      </c>
    </row>
    <row r="286" spans="1:67">
      <c r="A286" t="s">
        <v>99</v>
      </c>
      <c r="B286" t="str">
        <f>VLOOKUP(Data[[#This Row],[DEVELOPMENT]],Development_Data_Book[[DEVELOPMENT]:[BOROUGH]],MATCH("borough",Development_Data_Book[[#Headers],[DEVELOPMENT]:[BOROUGH]],0),FALSE)</f>
        <v>BRONX</v>
      </c>
      <c r="C286" t="e">
        <f>VLOOKUP(Data[[#This Row],[DEVELOPMENT]],'[1]Cheat-Sheet'!$D$2:$Q$341,2,FALSE)</f>
        <v>#N/A</v>
      </c>
      <c r="D28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86">
        <f>VLOOKUP(Data[[#This Row],[DEVELOPMENT]],Development_Data_Book[[DEVELOPMENT]:[BOROUGH]],21,FALSE)</f>
        <v>6</v>
      </c>
      <c r="F286">
        <f>VLOOKUP(Data[[#This Row],[DEVELOPMENT]],Development_Data_Book[[DEVELOPMENT]:[BOROUGH]],23,FALSE)</f>
        <v>20</v>
      </c>
      <c r="G286">
        <f>VLOOKUP(Data[[#This Row],[DEVELOPMENT]],Development_Data_Book[[DEVELOPMENT]:[BOROUGH]],12,FALSE)</f>
        <v>120</v>
      </c>
      <c r="H286" t="s">
        <v>2248</v>
      </c>
      <c r="I286">
        <v>4</v>
      </c>
      <c r="J286">
        <f>IFERROR(VLOOKUP(Data[[#This Row],[DEVELOPMENT]],IntCompactors_MRST[],4,FALSE),0)</f>
        <v>0</v>
      </c>
      <c r="K286" s="20">
        <f>IFERROR(VLOOKUP(Data[[#This Row],[DEVELOPMENT]],ExtCompactors_MRST[],4,FALSE),0)</f>
        <v>0</v>
      </c>
      <c r="L286" s="27" t="str">
        <f>IF(Data[[#This Row],['# Interior Compactors MRST]]=0,"",VLOOKUP(Data[[#This Row],[DEVELOPMENT]],IntCompactors_MRST[],5,FALSE))</f>
        <v/>
      </c>
      <c r="M286" s="28" t="str">
        <f>IF(Data[[#This Row],['# Exterior Compactors MRST]]=0,"",VLOOKUP(Data[[#This Row],[DEVELOPMENT]],ExtCompactors_MRST[],5,FALSE))</f>
        <v/>
      </c>
      <c r="N286">
        <f>Data[[#This Row],['# Interior Compactors MRST]]</f>
        <v>0</v>
      </c>
      <c r="O286" s="20">
        <f>IF(Data[[#This Row],['# Bulk Crushers]]=0,1,0)</f>
        <v>1</v>
      </c>
      <c r="P286" s="20">
        <f>1</f>
        <v>1</v>
      </c>
      <c r="Q286" s="20">
        <f>1</f>
        <v>1</v>
      </c>
      <c r="R286" s="20">
        <f>1</f>
        <v>1</v>
      </c>
      <c r="S286" s="20">
        <f>1</f>
        <v>1</v>
      </c>
      <c r="T286" s="20">
        <f>IF(Data[[#This Row],[Sewershed]]="Newtown Creek",Data[[#This Row],[DUs]],0)</f>
        <v>0</v>
      </c>
      <c r="U28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8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8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86" s="82">
        <f>VLOOKUP(Data[[#This Row],[DEVELOPMENT]],Development_Data_Book[[DEVELOPMENT]:[BOROUGH]],3,FALSE)</f>
        <v>356</v>
      </c>
      <c r="Y286" s="20"/>
      <c r="Z286" s="20">
        <f>IFERROR(VLOOKUP(Data[[#This Row],[TDS]],ExtCompactors_PNA[[Development]:[0]],2,FALSE),0)</f>
        <v>1</v>
      </c>
      <c r="AA286" s="20">
        <f>IFERROR(VLOOKUP(Data[[#This Row],[TDS]],IntCompactors_PNA[[TDS]:[0]],2,FALSE),0)</f>
        <v>0</v>
      </c>
      <c r="AB286" s="20"/>
      <c r="AC286" s="20"/>
      <c r="AD286" s="20">
        <f>IFERROR(VLOOKUP(Data[[#This Row],[TDS]],ExtCompactors_PNA[[Development]:[0]],3,FALSE)+VLOOKUP(Data[[#This Row],[TDS]],ExtCompactors_PNA[[Development]:[0]],6,FALSE),0)</f>
        <v>1</v>
      </c>
      <c r="AE286" s="20">
        <f>IFERROR(VLOOKUP(Data[[#This Row],[TDS]],IntCompactors_PNA[[TDS]:[0]],3,FALSE)+VLOOKUP(Data[[#This Row],[TDS]],IntCompactors_PNA[[TDS]:[0]],6,FALSE),0)</f>
        <v>0</v>
      </c>
      <c r="AF286" s="20" t="e">
        <f>VLOOKUP(Data[[#This Row],[DEVELOPMENT]],[3]Developments!$A$2:$A$312,1,FALSE)</f>
        <v>#N/A</v>
      </c>
      <c r="AG286" s="20">
        <f>IFERROR(VLOOKUP(Data[[#This Row],[DEVELOPMENT]],Ops_Priorities_and_Data_Clean[[development]:[ifnoext_comment]],3,FALSE),"")</f>
        <v>1</v>
      </c>
      <c r="AH286" s="20">
        <f>IFERROR(VLOOKUP(Data[[#This Row],[DEVELOPMENT]],Ops_Priorities_and_Data_Clean[[development]:[ifnoext_comment]],4,FALSE),"")</f>
        <v>0</v>
      </c>
      <c r="AI286" s="20">
        <f>IFERROR(VLOOKUP(Data[[#This Row],[DEVELOPMENT]],Ops_Priorities_and_Data_Clean[[development]:[ifnoext_comment]],5,FALSE),"")</f>
        <v>1</v>
      </c>
      <c r="AJ286" s="20">
        <f>IFERROR(VLOOKUP(Data[[#This Row],[DEVELOPMENT]],Ops_Priorities_and_Data_Clean[[development]:[ifnoext_comment]],6,FALSE),"")</f>
        <v>0</v>
      </c>
      <c r="AK286" s="20">
        <f>IFERROR(VLOOKUP(Data[[#This Row],[DEVELOPMENT]],Ops_Priorities_and_Data_Clean[[development]:[ifnoext_comment]],7,FALSE),"")</f>
        <v>0</v>
      </c>
      <c r="AL286" s="20">
        <f>IFERROR(VLOOKUP(Data[[#This Row],[DEVELOPMENT]],Ops_Priorities_and_Data_Clean[[development]:[ifnoext_comment]],8,FALSE),"")</f>
        <v>1</v>
      </c>
      <c r="AM286" s="20">
        <f>IFERROR(VLOOKUP(Data[[#This Row],[DEVELOPMENT]],Ops_Priorities_and_Data_Clean[[development]:[ifnoext_comment]],9,FALSE),"")</f>
        <v>0</v>
      </c>
      <c r="AN286" s="20">
        <f>IFERROR(VLOOKUP(Data[[#This Row],[DEVELOPMENT]],Ops_Priorities_and_Data_Clean[[development]:[ifnoext_comment]],10,FALSE),"")</f>
        <v>0</v>
      </c>
      <c r="AO286" s="20">
        <f>IFERROR(VLOOKUP(Data[[#This Row],[DEVELOPMENT]],Ops_Priorities_and_Data_Clean[[development]:[ifnoext_comment]],11,FALSE),"")</f>
        <v>0</v>
      </c>
      <c r="AP286" s="20">
        <f>IFERROR(VLOOKUP(Data[[#This Row],[DEVELOPMENT]],Ops_Priorities_and_Data_Clean[[development]:[ifnoext_comment]],12,FALSE),"")</f>
        <v>0</v>
      </c>
      <c r="AQ286" s="20">
        <f>VLOOKUP(Data[[#This Row],[DEVELOPMENT]],Ops_Priorities_and_Data_Clean[[development]:[ifnoext_comment]],14,FALSE)</f>
        <v>0</v>
      </c>
      <c r="AR286" s="20">
        <f>VLOOKUP(Data[[#This Row],[DEVELOPMENT]],Ops_Priorities_and_Data_Clean[[development]:[ifnoext_comment]],15,FALSE)</f>
        <v>1</v>
      </c>
      <c r="AS286" s="20" t="str">
        <f>VLOOKUP(Data[[#This Row],[DEVELOPMENT]],Ops_Priorities_and_Data_Clean[[development]:[ifnoext_comment]],16,FALSE)</f>
        <v>CLAREMONT PARKWAY-FRANKLIN AVENUE, &amp; DAVIDSON</v>
      </c>
      <c r="AT286" s="20" t="str">
        <f>VLOOKUP(Data[[#This Row],[DEVELOPMENT]],Ops_Priorities_and_Data_Clean[[development]:[ifnoext_comment]],17,FALSE)</f>
        <v>Part of Union Cons.</v>
      </c>
      <c r="AU286" s="20" t="str">
        <f>VLOOKUP(Data[[#This Row],[DEVELOPMENT]],Ops_Priorities_and_Data_Clean[[development]:[ifnoext_comment]],18,FALSE)</f>
        <v>NULL</v>
      </c>
      <c r="AV286" s="20" t="str">
        <f>VLOOKUP(Data[[#This Row],[DEVELOPMENT]],Ops_Priorities_and_Data_Clean[[development]:[ifnoext_comment]],19,FALSE)</f>
        <v>NULL</v>
      </c>
      <c r="AW286" s="20" t="str">
        <f>VLOOKUP(Data[[#This Row],[DEVELOPMENT]],Ops_Priorities_and_Data_Clean[[development]:[ifnoext_comment]],20,FALSE)</f>
        <v>NULL</v>
      </c>
      <c r="AX286" s="104" t="s">
        <v>2237</v>
      </c>
      <c r="AY286" s="104" t="s">
        <v>147</v>
      </c>
      <c r="AZ286" s="20" t="str">
        <f>VLOOKUP(Data[[#This Row],[DEVELOPMENT]],Development_Data_Book[[DEVELOPMENT]:[PRIVATE MANAGEMENT]],8,FALSE)</f>
        <v>FEDERAL</v>
      </c>
      <c r="BA286" s="104" t="s">
        <v>2588</v>
      </c>
      <c r="BB286" s="20">
        <f>VLOOKUP(Data[[#This Row],[DEVELOPMENT]],Development_Data_Book[[DEVELOPMENT]:[PRIVATE MANAGEMENT]],22,FALSE)</f>
        <v>0</v>
      </c>
      <c r="BC286" s="20">
        <f>Data[[#This Row],[Non-Dwelling Buildings]]+Data[[#This Row],[Dwelling Buildings]]</f>
        <v>6</v>
      </c>
      <c r="BD286" s="20">
        <f>VLOOKUP(Data[[#This Row],[DEVELOPMENT]],Development_Data_Book[[DEVELOPMENT]:[PRIVATE MANAGEMENT]],26,FALSE)</f>
        <v>2.27</v>
      </c>
      <c r="BE286" s="106">
        <v>115400</v>
      </c>
      <c r="BF286" s="20">
        <f>VLOOKUP(Data[[#This Row],[DEVELOPMENT]],Development_Data_Book[[DEVELOPMENT]:[PRIVATE MANAGEMENT]],18,FALSE)</f>
        <v>280</v>
      </c>
      <c r="BG28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86" s="104" t="s">
        <v>2631</v>
      </c>
      <c r="BI286" t="s">
        <v>184</v>
      </c>
      <c r="BJ286" s="20">
        <f>VLOOKUP(Data[[#This Row],[DEVELOPMENT]],Development_Data_Book[[DEVELOPMENT]:[PRIVATE MANAGEMENT]],41,FALSE)</f>
        <v>3</v>
      </c>
      <c r="BK286" s="20">
        <f>VLOOKUP(Data[[#This Row],[DEVELOPMENT]],Development_Data_Book[[DEVELOPMENT]:[PRIVATE MANAGEMENT]],42,FALSE)</f>
        <v>15</v>
      </c>
      <c r="BL286" s="20">
        <f>VLOOKUP(Data[[#This Row],[DEVELOPMENT]],Development_Data_Book[[DEVELOPMENT]:[PRIVATE MANAGEMENT]],43,FALSE)</f>
        <v>32</v>
      </c>
      <c r="BM286" s="20">
        <f>VLOOKUP(Data[[#This Row],[DEVELOPMENT]],Development_Data_Book[[DEVELOPMENT]:[PRIVATE MANAGEMENT]],44,FALSE)</f>
        <v>79</v>
      </c>
      <c r="BN286" s="20">
        <f>VLOOKUP(Data[[#This Row],[DEVELOPMENT]],Development_Data_Book[[DEVELOPMENT]:[PRIVATE MANAGEMENT]],45,FALSE)</f>
        <v>17</v>
      </c>
      <c r="BO286" s="20">
        <f>VLOOKUP(Data[[#This Row],[DEVELOPMENT]],Development_Data_Book[[DEVELOPMENT]:[PRIVATE MANAGEMENT]],24,FALSE)</f>
        <v>3</v>
      </c>
    </row>
    <row r="287" spans="1:67">
      <c r="A287" t="s">
        <v>218</v>
      </c>
      <c r="B287" s="20" t="str">
        <f>VLOOKUP(Data[[#This Row],[DEVELOPMENT]],Development_Data_Book[[DEVELOPMENT]:[BOROUGH]],MATCH("borough",Development_Data_Book[[#Headers],[DEVELOPMENT]:[BOROUGH]],0),FALSE)</f>
        <v>BROOKLYN</v>
      </c>
      <c r="C287" s="20" t="e">
        <f>VLOOKUP(Data[[#This Row],[DEVELOPMENT]],'[1]Cheat-Sheet'!$D$2:$Q$341,2,FALSE)</f>
        <v>#N/A</v>
      </c>
      <c r="D28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87" s="20">
        <f>VLOOKUP(Data[[#This Row],[DEVELOPMENT]],Development_Data_Book[[DEVELOPMENT]:[BOROUGH]],21,FALSE)</f>
        <v>3</v>
      </c>
      <c r="F287" s="20">
        <f>VLOOKUP(Data[[#This Row],[DEVELOPMENT]],Development_Data_Book[[DEVELOPMENT]:[BOROUGH]],23,FALSE)</f>
        <v>3</v>
      </c>
      <c r="G287" s="20">
        <f>VLOOKUP(Data[[#This Row],[DEVELOPMENT]],Development_Data_Book[[DEVELOPMENT]:[BOROUGH]],12,FALSE)</f>
        <v>167</v>
      </c>
      <c r="J287">
        <f>IFERROR(VLOOKUP(Data[[#This Row],[DEVELOPMENT]],IntCompactors_MRST[],4,FALSE),0)</f>
        <v>4</v>
      </c>
      <c r="K287" s="20">
        <f>IFERROR(VLOOKUP(Data[[#This Row],[DEVELOPMENT]],ExtCompactors_MRST[],4,FALSE),0)</f>
        <v>0</v>
      </c>
      <c r="L287" s="27">
        <f>IF(Data[[#This Row],['# Interior Compactors MRST]]=0,"",VLOOKUP(Data[[#This Row],[DEVELOPMENT]],IntCompactors_MRST[],5,FALSE))</f>
        <v>39448</v>
      </c>
      <c r="M287" s="28" t="str">
        <f>IF(Data[[#This Row],['# Exterior Compactors MRST]]=0,"",VLOOKUP(Data[[#This Row],[DEVELOPMENT]],ExtCompactors_MRST[],5,FALSE))</f>
        <v/>
      </c>
      <c r="N287" s="20">
        <f>Data[[#This Row],['# Interior Compactors MRST]]</f>
        <v>4</v>
      </c>
      <c r="O287" s="20">
        <f>IF(Data[[#This Row],['# Bulk Crushers]]=0,1,0)</f>
        <v>1</v>
      </c>
      <c r="P287" s="20">
        <f>1</f>
        <v>1</v>
      </c>
      <c r="Q287" s="20">
        <f>1</f>
        <v>1</v>
      </c>
      <c r="R287" s="20">
        <f>1</f>
        <v>1</v>
      </c>
      <c r="S287" s="20">
        <f>1</f>
        <v>1</v>
      </c>
      <c r="T287" s="20">
        <f>IF(Data[[#This Row],[Sewershed]]="Newtown Creek",Data[[#This Row],[DUs]],0)</f>
        <v>0</v>
      </c>
      <c r="U28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8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8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87" s="82">
        <f>VLOOKUP(Data[[#This Row],[DEVELOPMENT]],Development_Data_Book[[DEVELOPMENT]:[BOROUGH]],3,FALSE)</f>
        <v>240</v>
      </c>
      <c r="Y287" s="20"/>
      <c r="Z287" s="20">
        <f>IFERROR(VLOOKUP(Data[[#This Row],[TDS]],ExtCompactors_PNA[[Development]:[0]],2,FALSE),0)</f>
        <v>0</v>
      </c>
      <c r="AA287" s="20">
        <f>IFERROR(VLOOKUP(Data[[#This Row],[TDS]],IntCompactors_PNA[[TDS]:[0]],2,FALSE),0)</f>
        <v>3</v>
      </c>
      <c r="AB287" s="20"/>
      <c r="AC287" s="20"/>
      <c r="AD287" s="20">
        <f>IFERROR(VLOOKUP(Data[[#This Row],[TDS]],ExtCompactors_PNA[[Development]:[0]],3,FALSE)+VLOOKUP(Data[[#This Row],[TDS]],ExtCompactors_PNA[[Development]:[0]],6,FALSE),0)</f>
        <v>0</v>
      </c>
      <c r="AE287" s="20">
        <f>IFERROR(VLOOKUP(Data[[#This Row],[TDS]],IntCompactors_PNA[[TDS]:[0]],3,FALSE)+VLOOKUP(Data[[#This Row],[TDS]],IntCompactors_PNA[[TDS]:[0]],6,FALSE),0)</f>
        <v>3</v>
      </c>
      <c r="AF287" s="20" t="e">
        <f>VLOOKUP(Data[[#This Row],[DEVELOPMENT]],[3]Developments!$A$2:$A$312,1,FALSE)</f>
        <v>#N/A</v>
      </c>
      <c r="AG287" s="20">
        <f>IFERROR(VLOOKUP(Data[[#This Row],[DEVELOPMENT]],Ops_Priorities_and_Data_Clean[[development]:[ifnoext_comment]],3,FALSE),"")</f>
        <v>0</v>
      </c>
      <c r="AH287" s="20">
        <f>IFERROR(VLOOKUP(Data[[#This Row],[DEVELOPMENT]],Ops_Priorities_and_Data_Clean[[development]:[ifnoext_comment]],4,FALSE),"")</f>
        <v>1</v>
      </c>
      <c r="AI287" s="20">
        <f>IFERROR(VLOOKUP(Data[[#This Row],[DEVELOPMENT]],Ops_Priorities_and_Data_Clean[[development]:[ifnoext_comment]],5,FALSE),"")</f>
        <v>0</v>
      </c>
      <c r="AJ287" s="20">
        <f>IFERROR(VLOOKUP(Data[[#This Row],[DEVELOPMENT]],Ops_Priorities_and_Data_Clean[[development]:[ifnoext_comment]],6,FALSE),"")</f>
        <v>0</v>
      </c>
      <c r="AK287" s="20">
        <f>IFERROR(VLOOKUP(Data[[#This Row],[DEVELOPMENT]],Ops_Priorities_and_Data_Clean[[development]:[ifnoext_comment]],7,FALSE),"")</f>
        <v>1</v>
      </c>
      <c r="AL287" s="20">
        <f>IFERROR(VLOOKUP(Data[[#This Row],[DEVELOPMENT]],Ops_Priorities_and_Data_Clean[[development]:[ifnoext_comment]],8,FALSE),"")</f>
        <v>1</v>
      </c>
      <c r="AM287" s="20">
        <f>IFERROR(VLOOKUP(Data[[#This Row],[DEVELOPMENT]],Ops_Priorities_and_Data_Clean[[development]:[ifnoext_comment]],9,FALSE),"")</f>
        <v>1</v>
      </c>
      <c r="AN287" s="20">
        <f>IFERROR(VLOOKUP(Data[[#This Row],[DEVELOPMENT]],Ops_Priorities_and_Data_Clean[[development]:[ifnoext_comment]],10,FALSE),"")</f>
        <v>2</v>
      </c>
      <c r="AO287" s="20">
        <f>IFERROR(VLOOKUP(Data[[#This Row],[DEVELOPMENT]],Ops_Priorities_and_Data_Clean[[development]:[ifnoext_comment]],11,FALSE),"")</f>
        <v>0</v>
      </c>
      <c r="AP287" s="20">
        <f>IFERROR(VLOOKUP(Data[[#This Row],[DEVELOPMENT]],Ops_Priorities_and_Data_Clean[[development]:[ifnoext_comment]],12,FALSE),"")</f>
        <v>0</v>
      </c>
      <c r="AQ287" s="20">
        <f>VLOOKUP(Data[[#This Row],[DEVELOPMENT]],Ops_Priorities_and_Data_Clean[[development]:[ifnoext_comment]],14,FALSE)</f>
        <v>1</v>
      </c>
      <c r="AR287" s="20">
        <f>VLOOKUP(Data[[#This Row],[DEVELOPMENT]],Ops_Priorities_and_Data_Clean[[development]:[ifnoext_comment]],15,FALSE)</f>
        <v>0</v>
      </c>
      <c r="AS287" s="20" t="str">
        <f>VLOOKUP(Data[[#This Row],[DEVELOPMENT]],Ops_Priorities_and_Data_Clean[[development]:[ifnoext_comment]],16,FALSE)</f>
        <v>NULL</v>
      </c>
      <c r="AT287" s="20" t="str">
        <f>VLOOKUP(Data[[#This Row],[DEVELOPMENT]],Ops_Priorities_and_Data_Clean[[development]:[ifnoext_comment]],17,FALSE)</f>
        <v>NULL</v>
      </c>
      <c r="AU287" s="20" t="str">
        <f>VLOOKUP(Data[[#This Row],[DEVELOPMENT]],Ops_Priorities_and_Data_Clean[[development]:[ifnoext_comment]],18,FALSE)</f>
        <v>NULL</v>
      </c>
      <c r="AV287" s="20" t="str">
        <f>VLOOKUP(Data[[#This Row],[DEVELOPMENT]],Ops_Priorities_and_Data_Clean[[development]:[ifnoext_comment]],19,FALSE)</f>
        <v>NULL</v>
      </c>
      <c r="AW287" s="20" t="str">
        <f>VLOOKUP(Data[[#This Row],[DEVELOPMENT]],Ops_Priorities_and_Data_Clean[[development]:[ifnoext_comment]],20,FALSE)</f>
        <v>NULL</v>
      </c>
      <c r="AX287" s="104" t="s">
        <v>2602</v>
      </c>
      <c r="AY287" s="104" t="s">
        <v>2623</v>
      </c>
      <c r="AZ287" s="20" t="str">
        <f>VLOOKUP(Data[[#This Row],[DEVELOPMENT]],Development_Data_Book[[DEVELOPMENT]:[PRIVATE MANAGEMENT]],8,FALSE)</f>
        <v>FEDERAL</v>
      </c>
      <c r="BA287" s="104" t="s">
        <v>2586</v>
      </c>
      <c r="BB287" s="20">
        <f>VLOOKUP(Data[[#This Row],[DEVELOPMENT]],Development_Data_Book[[DEVELOPMENT]:[PRIVATE MANAGEMENT]],22,FALSE)</f>
        <v>0</v>
      </c>
      <c r="BC287" s="20">
        <f>Data[[#This Row],[Non-Dwelling Buildings]]+Data[[#This Row],[Dwelling Buildings]]</f>
        <v>3</v>
      </c>
      <c r="BD287" s="20">
        <f>VLOOKUP(Data[[#This Row],[DEVELOPMENT]],Development_Data_Book[[DEVELOPMENT]:[PRIVATE MANAGEMENT]],26,FALSE)</f>
        <v>1.85</v>
      </c>
      <c r="BE287" s="106">
        <v>186600</v>
      </c>
      <c r="BF287" s="20">
        <f>VLOOKUP(Data[[#This Row],[DEVELOPMENT]],Development_Data_Book[[DEVELOPMENT]:[PRIVATE MANAGEMENT]],18,FALSE)</f>
        <v>471</v>
      </c>
      <c r="BG28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87" s="104" t="s">
        <v>2589</v>
      </c>
      <c r="BI287" t="s">
        <v>184</v>
      </c>
      <c r="BJ287" s="20">
        <f>VLOOKUP(Data[[#This Row],[DEVELOPMENT]],Development_Data_Book[[DEVELOPMENT]:[PRIVATE MANAGEMENT]],41,FALSE)</f>
        <v>5</v>
      </c>
      <c r="BK287" s="20">
        <f>VLOOKUP(Data[[#This Row],[DEVELOPMENT]],Development_Data_Book[[DEVELOPMENT]:[PRIVATE MANAGEMENT]],42,FALSE)</f>
        <v>8</v>
      </c>
      <c r="BL287" s="20">
        <f>VLOOKUP(Data[[#This Row],[DEVELOPMENT]],Development_Data_Book[[DEVELOPMENT]:[PRIVATE MANAGEMENT]],43,FALSE)</f>
        <v>19</v>
      </c>
      <c r="BM287" s="20">
        <f>VLOOKUP(Data[[#This Row],[DEVELOPMENT]],Development_Data_Book[[DEVELOPMENT]:[PRIVATE MANAGEMENT]],44,FALSE)</f>
        <v>60</v>
      </c>
      <c r="BN287" s="20">
        <f>VLOOKUP(Data[[#This Row],[DEVELOPMENT]],Development_Data_Book[[DEVELOPMENT]:[PRIVATE MANAGEMENT]],45,FALSE)</f>
        <v>42</v>
      </c>
      <c r="BO287" s="20">
        <f>VLOOKUP(Data[[#This Row],[DEVELOPMENT]],Development_Data_Book[[DEVELOPMENT]:[PRIVATE MANAGEMENT]],24,FALSE)</f>
        <v>6</v>
      </c>
    </row>
    <row r="288" spans="1:67">
      <c r="A288" t="s">
        <v>219</v>
      </c>
      <c r="B288" s="20" t="str">
        <f>VLOOKUP(Data[[#This Row],[DEVELOPMENT]],Development_Data_Book[[DEVELOPMENT]:[BOROUGH]],MATCH("borough",Development_Data_Book[[#Headers],[DEVELOPMENT]:[BOROUGH]],0),FALSE)</f>
        <v>BROOKLYN</v>
      </c>
      <c r="C288" s="20" t="e">
        <f>VLOOKUP(Data[[#This Row],[DEVELOPMENT]],'[1]Cheat-Sheet'!$D$2:$Q$341,2,FALSE)</f>
        <v>#N/A</v>
      </c>
      <c r="D28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88" s="20">
        <f>VLOOKUP(Data[[#This Row],[DEVELOPMENT]],Development_Data_Book[[DEVELOPMENT]:[BOROUGH]],21,FALSE)</f>
        <v>5</v>
      </c>
      <c r="F288" s="20">
        <f>VLOOKUP(Data[[#This Row],[DEVELOPMENT]],Development_Data_Book[[DEVELOPMENT]:[BOROUGH]],23,FALSE)</f>
        <v>13</v>
      </c>
      <c r="G288" s="20">
        <f>VLOOKUP(Data[[#This Row],[DEVELOPMENT]],Development_Data_Book[[DEVELOPMENT]:[BOROUGH]],12,FALSE)</f>
        <v>460</v>
      </c>
      <c r="J288">
        <f>IFERROR(VLOOKUP(Data[[#This Row],[DEVELOPMENT]],IntCompactors_MRST[],4,FALSE),0)</f>
        <v>13</v>
      </c>
      <c r="K288" s="20">
        <f>IFERROR(VLOOKUP(Data[[#This Row],[DEVELOPMENT]],ExtCompactors_MRST[],4,FALSE),0)</f>
        <v>0</v>
      </c>
      <c r="L288" s="27">
        <f>IF(Data[[#This Row],['# Interior Compactors MRST]]=0,"",VLOOKUP(Data[[#This Row],[DEVELOPMENT]],IntCompactors_MRST[],5,FALSE))</f>
        <v>39448</v>
      </c>
      <c r="M288" s="28" t="str">
        <f>IF(Data[[#This Row],['# Exterior Compactors MRST]]=0,"",VLOOKUP(Data[[#This Row],[DEVELOPMENT]],ExtCompactors_MRST[],5,FALSE))</f>
        <v/>
      </c>
      <c r="N288" s="20">
        <f>Data[[#This Row],['# Interior Compactors MRST]]</f>
        <v>13</v>
      </c>
      <c r="O288" s="20">
        <f>IF(Data[[#This Row],['# Bulk Crushers]]=0,1,0)</f>
        <v>1</v>
      </c>
      <c r="P288" s="20">
        <f>1</f>
        <v>1</v>
      </c>
      <c r="Q288" s="20">
        <f>1</f>
        <v>1</v>
      </c>
      <c r="R288" s="20">
        <f>1</f>
        <v>1</v>
      </c>
      <c r="S288" s="20">
        <f>1</f>
        <v>1</v>
      </c>
      <c r="T288" s="20">
        <f>IF(Data[[#This Row],[Sewershed]]="Newtown Creek",Data[[#This Row],[DUs]],0)</f>
        <v>0</v>
      </c>
      <c r="U28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8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8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88" s="82">
        <f>VLOOKUP(Data[[#This Row],[DEVELOPMENT]],Development_Data_Book[[DEVELOPMENT]:[BOROUGH]],3,FALSE)</f>
        <v>261</v>
      </c>
      <c r="Y288" s="20"/>
      <c r="Z288" s="20">
        <f>IFERROR(VLOOKUP(Data[[#This Row],[TDS]],ExtCompactors_PNA[[Development]:[0]],2,FALSE),0)</f>
        <v>0</v>
      </c>
      <c r="AA288" s="20">
        <f>IFERROR(VLOOKUP(Data[[#This Row],[TDS]],IntCompactors_PNA[[TDS]:[0]],2,FALSE),0)</f>
        <v>12</v>
      </c>
      <c r="AB288" s="20"/>
      <c r="AC288" s="20"/>
      <c r="AD288" s="20">
        <f>IFERROR(VLOOKUP(Data[[#This Row],[TDS]],ExtCompactors_PNA[[Development]:[0]],3,FALSE)+VLOOKUP(Data[[#This Row],[TDS]],ExtCompactors_PNA[[Development]:[0]],6,FALSE),0)</f>
        <v>0</v>
      </c>
      <c r="AE288" s="20">
        <f>IFERROR(VLOOKUP(Data[[#This Row],[TDS]],IntCompactors_PNA[[TDS]:[0]],3,FALSE)+VLOOKUP(Data[[#This Row],[TDS]],IntCompactors_PNA[[TDS]:[0]],6,FALSE),0)</f>
        <v>12</v>
      </c>
      <c r="AF288" s="20" t="e">
        <f>VLOOKUP(Data[[#This Row],[DEVELOPMENT]],[3]Developments!$A$2:$A$312,1,FALSE)</f>
        <v>#N/A</v>
      </c>
      <c r="AG288" s="20">
        <f>IFERROR(VLOOKUP(Data[[#This Row],[DEVELOPMENT]],Ops_Priorities_and_Data_Clean[[development]:[ifnoext_comment]],3,FALSE),"")</f>
        <v>0</v>
      </c>
      <c r="AH288" s="20">
        <f>IFERROR(VLOOKUP(Data[[#This Row],[DEVELOPMENT]],Ops_Priorities_and_Data_Clean[[development]:[ifnoext_comment]],4,FALSE),"")</f>
        <v>1</v>
      </c>
      <c r="AI288" s="20">
        <f>IFERROR(VLOOKUP(Data[[#This Row],[DEVELOPMENT]],Ops_Priorities_and_Data_Clean[[development]:[ifnoext_comment]],5,FALSE),"")</f>
        <v>0</v>
      </c>
      <c r="AJ288" s="20">
        <f>IFERROR(VLOOKUP(Data[[#This Row],[DEVELOPMENT]],Ops_Priorities_and_Data_Clean[[development]:[ifnoext_comment]],6,FALSE),"")</f>
        <v>0</v>
      </c>
      <c r="AK288" s="20">
        <f>IFERROR(VLOOKUP(Data[[#This Row],[DEVELOPMENT]],Ops_Priorities_and_Data_Clean[[development]:[ifnoext_comment]],7,FALSE),"")</f>
        <v>1</v>
      </c>
      <c r="AL288" s="20">
        <f>IFERROR(VLOOKUP(Data[[#This Row],[DEVELOPMENT]],Ops_Priorities_and_Data_Clean[[development]:[ifnoext_comment]],8,FALSE),"")</f>
        <v>1</v>
      </c>
      <c r="AM288" s="20">
        <f>IFERROR(VLOOKUP(Data[[#This Row],[DEVELOPMENT]],Ops_Priorities_and_Data_Clean[[development]:[ifnoext_comment]],9,FALSE),"")</f>
        <v>1</v>
      </c>
      <c r="AN288" s="20">
        <f>IFERROR(VLOOKUP(Data[[#This Row],[DEVELOPMENT]],Ops_Priorities_and_Data_Clean[[development]:[ifnoext_comment]],10,FALSE),"")</f>
        <v>4</v>
      </c>
      <c r="AO288" s="20">
        <f>IFERROR(VLOOKUP(Data[[#This Row],[DEVELOPMENT]],Ops_Priorities_and_Data_Clean[[development]:[ifnoext_comment]],11,FALSE),"")</f>
        <v>0</v>
      </c>
      <c r="AP288" s="20">
        <f>IFERROR(VLOOKUP(Data[[#This Row],[DEVELOPMENT]],Ops_Priorities_and_Data_Clean[[development]:[ifnoext_comment]],12,FALSE),"")</f>
        <v>0</v>
      </c>
      <c r="AQ288" s="20">
        <f>VLOOKUP(Data[[#This Row],[DEVELOPMENT]],Ops_Priorities_and_Data_Clean[[development]:[ifnoext_comment]],14,FALSE)</f>
        <v>1</v>
      </c>
      <c r="AR288" s="20">
        <f>VLOOKUP(Data[[#This Row],[DEVELOPMENT]],Ops_Priorities_and_Data_Clean[[development]:[ifnoext_comment]],15,FALSE)</f>
        <v>0</v>
      </c>
      <c r="AS288" s="20" t="str">
        <f>VLOOKUP(Data[[#This Row],[DEVELOPMENT]],Ops_Priorities_and_Data_Clean[[development]:[ifnoext_comment]],16,FALSE)</f>
        <v>NULL</v>
      </c>
      <c r="AT288" s="20" t="str">
        <f>VLOOKUP(Data[[#This Row],[DEVELOPMENT]],Ops_Priorities_and_Data_Clean[[development]:[ifnoext_comment]],17,FALSE)</f>
        <v>NULL</v>
      </c>
      <c r="AU288" s="20" t="str">
        <f>VLOOKUP(Data[[#This Row],[DEVELOPMENT]],Ops_Priorities_and_Data_Clean[[development]:[ifnoext_comment]],18,FALSE)</f>
        <v>NULL</v>
      </c>
      <c r="AV288" s="20" t="str">
        <f>VLOOKUP(Data[[#This Row],[DEVELOPMENT]],Ops_Priorities_and_Data_Clean[[development]:[ifnoext_comment]],19,FALSE)</f>
        <v>NULL</v>
      </c>
      <c r="AW288" s="20" t="str">
        <f>VLOOKUP(Data[[#This Row],[DEVELOPMENT]],Ops_Priorities_and_Data_Clean[[development]:[ifnoext_comment]],20,FALSE)</f>
        <v>NULL</v>
      </c>
      <c r="AX288" s="104" t="s">
        <v>2602</v>
      </c>
      <c r="AY288" s="104" t="s">
        <v>2623</v>
      </c>
      <c r="AZ288" s="20" t="str">
        <f>VLOOKUP(Data[[#This Row],[DEVELOPMENT]],Development_Data_Book[[DEVELOPMENT]:[PRIVATE MANAGEMENT]],8,FALSE)</f>
        <v>FEDERAL</v>
      </c>
      <c r="BA288" s="104" t="s">
        <v>2586</v>
      </c>
      <c r="BB288" s="20">
        <f>VLOOKUP(Data[[#This Row],[DEVELOPMENT]],Development_Data_Book[[DEVELOPMENT]:[PRIVATE MANAGEMENT]],22,FALSE)</f>
        <v>0</v>
      </c>
      <c r="BC288" s="20">
        <f>Data[[#This Row],[Non-Dwelling Buildings]]+Data[[#This Row],[Dwelling Buildings]]</f>
        <v>5</v>
      </c>
      <c r="BD288" s="20">
        <f>VLOOKUP(Data[[#This Row],[DEVELOPMENT]],Development_Data_Book[[DEVELOPMENT]:[PRIVATE MANAGEMENT]],26,FALSE)</f>
        <v>5.72</v>
      </c>
      <c r="BE288" s="106">
        <v>504240</v>
      </c>
      <c r="BF288" s="20">
        <f>VLOOKUP(Data[[#This Row],[DEVELOPMENT]],Development_Data_Book[[DEVELOPMENT]:[PRIVATE MANAGEMENT]],18,FALSE)</f>
        <v>1133</v>
      </c>
      <c r="BG28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88" s="104" t="s">
        <v>2589</v>
      </c>
      <c r="BI288" t="s">
        <v>184</v>
      </c>
      <c r="BJ288" s="20">
        <f>VLOOKUP(Data[[#This Row],[DEVELOPMENT]],Development_Data_Book[[DEVELOPMENT]:[PRIVATE MANAGEMENT]],41,FALSE)</f>
        <v>5</v>
      </c>
      <c r="BK288" s="20">
        <f>VLOOKUP(Data[[#This Row],[DEVELOPMENT]],Development_Data_Book[[DEVELOPMENT]:[PRIVATE MANAGEMENT]],42,FALSE)</f>
        <v>8</v>
      </c>
      <c r="BL288" s="20">
        <f>VLOOKUP(Data[[#This Row],[DEVELOPMENT]],Development_Data_Book[[DEVELOPMENT]:[PRIVATE MANAGEMENT]],43,FALSE)</f>
        <v>19</v>
      </c>
      <c r="BM288" s="20">
        <f>VLOOKUP(Data[[#This Row],[DEVELOPMENT]],Development_Data_Book[[DEVELOPMENT]:[PRIVATE MANAGEMENT]],44,FALSE)</f>
        <v>60</v>
      </c>
      <c r="BN288" s="20">
        <f>VLOOKUP(Data[[#This Row],[DEVELOPMENT]],Development_Data_Book[[DEVELOPMENT]:[PRIVATE MANAGEMENT]],45,FALSE)</f>
        <v>42</v>
      </c>
      <c r="BO288" s="20">
        <f>VLOOKUP(Data[[#This Row],[DEVELOPMENT]],Development_Data_Book[[DEVELOPMENT]:[PRIVATE MANAGEMENT]],24,FALSE)</f>
        <v>6</v>
      </c>
    </row>
    <row r="289" spans="1:67">
      <c r="A289" t="s">
        <v>372</v>
      </c>
      <c r="B289" s="20" t="str">
        <f>VLOOKUP(Data[[#This Row],[DEVELOPMENT]],Development_Data_Book[[DEVELOPMENT]:[BOROUGH]],MATCH("borough",Development_Data_Book[[#Headers],[DEVELOPMENT]:[BOROUGH]],0),FALSE)</f>
        <v>BRONX</v>
      </c>
      <c r="C289" s="20" t="e">
        <f>VLOOKUP(Data[[#This Row],[DEVELOPMENT]],'[1]Cheat-Sheet'!$D$2:$Q$341,2,FALSE)</f>
        <v>#N/A</v>
      </c>
      <c r="D28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89" s="20">
        <f>VLOOKUP(Data[[#This Row],[DEVELOPMENT]],Development_Data_Book[[DEVELOPMENT]:[BOROUGH]],21,FALSE)</f>
        <v>4</v>
      </c>
      <c r="F289" s="20">
        <f>VLOOKUP(Data[[#This Row],[DEVELOPMENT]],Development_Data_Book[[DEVELOPMENT]:[BOROUGH]],23,FALSE)</f>
        <v>5</v>
      </c>
      <c r="G289" s="20">
        <f>VLOOKUP(Data[[#This Row],[DEVELOPMENT]],Development_Data_Book[[DEVELOPMENT]:[BOROUGH]],12,FALSE)</f>
        <v>230</v>
      </c>
      <c r="J289">
        <f>IFERROR(VLOOKUP(Data[[#This Row],[DEVELOPMENT]],IntCompactors_MRST[],4,FALSE),0)</f>
        <v>0</v>
      </c>
      <c r="K289" s="20">
        <f>IFERROR(VLOOKUP(Data[[#This Row],[DEVELOPMENT]],ExtCompactors_MRST[],4,FALSE),0)</f>
        <v>0</v>
      </c>
      <c r="L289" s="27" t="str">
        <f>IF(Data[[#This Row],['# Interior Compactors MRST]]=0,"",VLOOKUP(Data[[#This Row],[DEVELOPMENT]],IntCompactors_MRST[],5,FALSE))</f>
        <v/>
      </c>
      <c r="M289" s="28" t="str">
        <f>IF(Data[[#This Row],['# Exterior Compactors MRST]]=0,"",VLOOKUP(Data[[#This Row],[DEVELOPMENT]],ExtCompactors_MRST[],5,FALSE))</f>
        <v/>
      </c>
      <c r="N289" s="20">
        <f>Data[[#This Row],['# Interior Compactors MRST]]</f>
        <v>0</v>
      </c>
      <c r="O289" s="20">
        <f>IF(Data[[#This Row],['# Bulk Crushers]]=0,1,0)</f>
        <v>1</v>
      </c>
      <c r="P289" s="20">
        <f>1</f>
        <v>1</v>
      </c>
      <c r="Q289" s="20">
        <f>1</f>
        <v>1</v>
      </c>
      <c r="R289" s="20">
        <f>1</f>
        <v>1</v>
      </c>
      <c r="S289" s="20">
        <f>1</f>
        <v>1</v>
      </c>
      <c r="T289" s="20">
        <f>IF(Data[[#This Row],[Sewershed]]="Newtown Creek",Data[[#This Row],[DUs]],0)</f>
        <v>0</v>
      </c>
      <c r="U28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8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8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89" s="82">
        <f>VLOOKUP(Data[[#This Row],[DEVELOPMENT]],Development_Data_Book[[DEVELOPMENT]:[BOROUGH]],3,FALSE)</f>
        <v>341</v>
      </c>
      <c r="Y289" s="20"/>
      <c r="Z289" s="20">
        <f>IFERROR(VLOOKUP(Data[[#This Row],[TDS]],ExtCompactors_PNA[[Development]:[0]],2,FALSE),0)</f>
        <v>0</v>
      </c>
      <c r="AA289" s="20">
        <f>IFERROR(VLOOKUP(Data[[#This Row],[TDS]],IntCompactors_PNA[[TDS]:[0]],2,FALSE),0)</f>
        <v>5</v>
      </c>
      <c r="AB289" s="20"/>
      <c r="AC289" s="20"/>
      <c r="AD289" s="20">
        <f>IFERROR(VLOOKUP(Data[[#This Row],[TDS]],ExtCompactors_PNA[[Development]:[0]],3,FALSE)+VLOOKUP(Data[[#This Row],[TDS]],ExtCompactors_PNA[[Development]:[0]],6,FALSE),0)</f>
        <v>0</v>
      </c>
      <c r="AE289" s="20">
        <f>IFERROR(VLOOKUP(Data[[#This Row],[TDS]],IntCompactors_PNA[[TDS]:[0]],3,FALSE)+VLOOKUP(Data[[#This Row],[TDS]],IntCompactors_PNA[[TDS]:[0]],6,FALSE),0)</f>
        <v>5</v>
      </c>
      <c r="AF289" s="20" t="e">
        <f>VLOOKUP(Data[[#This Row],[DEVELOPMENT]],[3]Developments!$A$2:$A$312,1,FALSE)</f>
        <v>#N/A</v>
      </c>
      <c r="AG289" s="20">
        <f>IFERROR(VLOOKUP(Data[[#This Row],[DEVELOPMENT]],Ops_Priorities_and_Data_Clean[[development]:[ifnoext_comment]],3,FALSE),"")</f>
        <v>0</v>
      </c>
      <c r="AH289" s="20">
        <f>IFERROR(VLOOKUP(Data[[#This Row],[DEVELOPMENT]],Ops_Priorities_and_Data_Clean[[development]:[ifnoext_comment]],4,FALSE),"")</f>
        <v>0</v>
      </c>
      <c r="AI289" s="20">
        <f>IFERROR(VLOOKUP(Data[[#This Row],[DEVELOPMENT]],Ops_Priorities_and_Data_Clean[[development]:[ifnoext_comment]],5,FALSE),"")</f>
        <v>0</v>
      </c>
      <c r="AJ289" s="20">
        <f>IFERROR(VLOOKUP(Data[[#This Row],[DEVELOPMENT]],Ops_Priorities_and_Data_Clean[[development]:[ifnoext_comment]],6,FALSE),"")</f>
        <v>0</v>
      </c>
      <c r="AK289" s="20">
        <f>IFERROR(VLOOKUP(Data[[#This Row],[DEVELOPMENT]],Ops_Priorities_and_Data_Clean[[development]:[ifnoext_comment]],7,FALSE),"")</f>
        <v>1</v>
      </c>
      <c r="AL289" s="20">
        <f>IFERROR(VLOOKUP(Data[[#This Row],[DEVELOPMENT]],Ops_Priorities_and_Data_Clean[[development]:[ifnoext_comment]],8,FALSE),"")</f>
        <v>1</v>
      </c>
      <c r="AM289" s="20">
        <f>IFERROR(VLOOKUP(Data[[#This Row],[DEVELOPMENT]],Ops_Priorities_and_Data_Clean[[development]:[ifnoext_comment]],9,FALSE),"")</f>
        <v>0</v>
      </c>
      <c r="AN289" s="20">
        <f>IFERROR(VLOOKUP(Data[[#This Row],[DEVELOPMENT]],Ops_Priorities_and_Data_Clean[[development]:[ifnoext_comment]],10,FALSE),"")</f>
        <v>0</v>
      </c>
      <c r="AO289" s="20">
        <f>IFERROR(VLOOKUP(Data[[#This Row],[DEVELOPMENT]],Ops_Priorities_and_Data_Clean[[development]:[ifnoext_comment]],11,FALSE),"")</f>
        <v>0</v>
      </c>
      <c r="AP289" s="20">
        <f>IFERROR(VLOOKUP(Data[[#This Row],[DEVELOPMENT]],Ops_Priorities_and_Data_Clean[[development]:[ifnoext_comment]],12,FALSE),"")</f>
        <v>0</v>
      </c>
      <c r="AQ289" s="20">
        <f>VLOOKUP(Data[[#This Row],[DEVELOPMENT]],Ops_Priorities_and_Data_Clean[[development]:[ifnoext_comment]],14,FALSE)</f>
        <v>1</v>
      </c>
      <c r="AR289" s="20">
        <f>VLOOKUP(Data[[#This Row],[DEVELOPMENT]],Ops_Priorities_and_Data_Clean[[development]:[ifnoext_comment]],15,FALSE)</f>
        <v>0</v>
      </c>
      <c r="AS289" s="20" t="str">
        <f>VLOOKUP(Data[[#This Row],[DEVELOPMENT]],Ops_Priorities_and_Data_Clean[[development]:[ifnoext_comment]],16,FALSE)</f>
        <v>NULL</v>
      </c>
      <c r="AT289" s="20" t="str">
        <f>VLOOKUP(Data[[#This Row],[DEVELOPMENT]],Ops_Priorities_and_Data_Clean[[development]:[ifnoext_comment]],17,FALSE)</f>
        <v>NULL</v>
      </c>
      <c r="AU289" s="20" t="str">
        <f>VLOOKUP(Data[[#This Row],[DEVELOPMENT]],Ops_Priorities_and_Data_Clean[[development]:[ifnoext_comment]],18,FALSE)</f>
        <v>NULL</v>
      </c>
      <c r="AV289" s="20" t="str">
        <f>VLOOKUP(Data[[#This Row],[DEVELOPMENT]],Ops_Priorities_and_Data_Clean[[development]:[ifnoext_comment]],19,FALSE)</f>
        <v>NULL</v>
      </c>
      <c r="AW289" s="20" t="str">
        <f>VLOOKUP(Data[[#This Row],[DEVELOPMENT]],Ops_Priorities_and_Data_Clean[[development]:[ifnoext_comment]],20,FALSE)</f>
        <v>NULL</v>
      </c>
      <c r="AX289" s="104" t="s">
        <v>2596</v>
      </c>
      <c r="AY289" s="104" t="s">
        <v>2653</v>
      </c>
      <c r="AZ289" s="20" t="str">
        <f>VLOOKUP(Data[[#This Row],[DEVELOPMENT]],Development_Data_Book[[DEVELOPMENT]:[PRIVATE MANAGEMENT]],8,FALSE)</f>
        <v>FEDERAL</v>
      </c>
      <c r="BA289" s="104" t="s">
        <v>2586</v>
      </c>
      <c r="BB289" s="20">
        <f>VLOOKUP(Data[[#This Row],[DEVELOPMENT]],Development_Data_Book[[DEVELOPMENT]:[PRIVATE MANAGEMENT]],22,FALSE)</f>
        <v>0</v>
      </c>
      <c r="BC289" s="20">
        <f>Data[[#This Row],[Non-Dwelling Buildings]]+Data[[#This Row],[Dwelling Buildings]]</f>
        <v>4</v>
      </c>
      <c r="BD289" s="20">
        <f>VLOOKUP(Data[[#This Row],[DEVELOPMENT]],Development_Data_Book[[DEVELOPMENT]:[PRIVATE MANAGEMENT]],26,FALSE)</f>
        <v>1.79</v>
      </c>
      <c r="BE289" s="106">
        <v>275700</v>
      </c>
      <c r="BF289" s="20">
        <f>VLOOKUP(Data[[#This Row],[DEVELOPMENT]],Development_Data_Book[[DEVELOPMENT]:[PRIVATE MANAGEMENT]],18,FALSE)</f>
        <v>519</v>
      </c>
      <c r="BG28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89" s="104" t="s">
        <v>2587</v>
      </c>
      <c r="BI289" t="s">
        <v>184</v>
      </c>
      <c r="BJ289" s="20">
        <f>VLOOKUP(Data[[#This Row],[DEVELOPMENT]],Development_Data_Book[[DEVELOPMENT]:[PRIVATE MANAGEMENT]],41,FALSE)</f>
        <v>5</v>
      </c>
      <c r="BK289" s="20">
        <f>VLOOKUP(Data[[#This Row],[DEVELOPMENT]],Development_Data_Book[[DEVELOPMENT]:[PRIVATE MANAGEMENT]],42,FALSE)</f>
        <v>15</v>
      </c>
      <c r="BL289" s="20">
        <f>VLOOKUP(Data[[#This Row],[DEVELOPMENT]],Development_Data_Book[[DEVELOPMENT]:[PRIVATE MANAGEMENT]],43,FALSE)</f>
        <v>29</v>
      </c>
      <c r="BM289" s="20">
        <f>VLOOKUP(Data[[#This Row],[DEVELOPMENT]],Development_Data_Book[[DEVELOPMENT]:[PRIVATE MANAGEMENT]],44,FALSE)</f>
        <v>86</v>
      </c>
      <c r="BN289" s="20">
        <f>VLOOKUP(Data[[#This Row],[DEVELOPMENT]],Development_Data_Book[[DEVELOPMENT]:[PRIVATE MANAGEMENT]],45,FALSE)</f>
        <v>14</v>
      </c>
      <c r="BO289" s="20">
        <f>VLOOKUP(Data[[#This Row],[DEVELOPMENT]],Development_Data_Book[[DEVELOPMENT]:[PRIVATE MANAGEMENT]],24,FALSE)</f>
        <v>6</v>
      </c>
    </row>
    <row r="290" spans="1:67">
      <c r="A290" t="s">
        <v>126</v>
      </c>
      <c r="B290" t="str">
        <f>VLOOKUP(Data[[#This Row],[DEVELOPMENT]],Development_Data_Book[[DEVELOPMENT]:[BOROUGH]],MATCH("borough",Development_Data_Book[[#Headers],[DEVELOPMENT]:[BOROUGH]],0),FALSE)</f>
        <v>MANHATTAN</v>
      </c>
      <c r="C290" t="e">
        <f>VLOOKUP(Data[[#This Row],[DEVELOPMENT]],'[1]Cheat-Sheet'!$D$2:$Q$341,2,FALSE)</f>
        <v>#N/A</v>
      </c>
      <c r="D29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90">
        <f>VLOOKUP(Data[[#This Row],[DEVELOPMENT]],Development_Data_Book[[DEVELOPMENT]:[BOROUGH]],21,FALSE)</f>
        <v>1</v>
      </c>
      <c r="F290">
        <f>VLOOKUP(Data[[#This Row],[DEVELOPMENT]],Development_Data_Book[[DEVELOPMENT]:[BOROUGH]],23,FALSE)</f>
        <v>1</v>
      </c>
      <c r="G290">
        <f>VLOOKUP(Data[[#This Row],[DEVELOPMENT]],Development_Data_Book[[DEVELOPMENT]:[BOROUGH]],12,FALSE)</f>
        <v>179</v>
      </c>
      <c r="H290" t="s">
        <v>2247</v>
      </c>
      <c r="I290">
        <v>4</v>
      </c>
      <c r="J290">
        <f>IFERROR(VLOOKUP(Data[[#This Row],[DEVELOPMENT]],IntCompactors_MRST[],4,FALSE),0)</f>
        <v>1</v>
      </c>
      <c r="K290" s="20">
        <f>IFERROR(VLOOKUP(Data[[#This Row],[DEVELOPMENT]],ExtCompactors_MRST[],4,FALSE),0)</f>
        <v>2</v>
      </c>
      <c r="L290" s="27">
        <f>IF(Data[[#This Row],['# Interior Compactors MRST]]=0,"",VLOOKUP(Data[[#This Row],[DEVELOPMENT]],IntCompactors_MRST[],5,FALSE))</f>
        <v>39600</v>
      </c>
      <c r="M290" s="28">
        <f>IF(Data[[#This Row],['# Exterior Compactors MRST]]=0,"",VLOOKUP(Data[[#This Row],[DEVELOPMENT]],ExtCompactors_MRST[],5,FALSE))</f>
        <v>39209</v>
      </c>
      <c r="N290">
        <f>Data[[#This Row],['# Interior Compactors MRST]]</f>
        <v>1</v>
      </c>
      <c r="O290" s="20">
        <f>IF(Data[[#This Row],['# Bulk Crushers]]=0,1,0)</f>
        <v>1</v>
      </c>
      <c r="P290" s="20">
        <f>1</f>
        <v>1</v>
      </c>
      <c r="Q290" s="20">
        <f>1</f>
        <v>1</v>
      </c>
      <c r="R290" s="20">
        <f>1</f>
        <v>1</v>
      </c>
      <c r="S290" s="20">
        <f>1</f>
        <v>1</v>
      </c>
      <c r="T290" s="20">
        <f>IF(Data[[#This Row],[Sewershed]]="Newtown Creek",Data[[#This Row],[DUs]],0)</f>
        <v>0</v>
      </c>
      <c r="U29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9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9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90" s="82">
        <f>VLOOKUP(Data[[#This Row],[DEVELOPMENT]],Development_Data_Book[[DEVELOPMENT]:[BOROUGH]],3,FALSE)</f>
        <v>343</v>
      </c>
      <c r="Y290" s="20"/>
      <c r="Z290" s="20">
        <f>IFERROR(VLOOKUP(Data[[#This Row],[TDS]],ExtCompactors_PNA[[Development]:[0]],2,FALSE),0)</f>
        <v>0</v>
      </c>
      <c r="AA290" s="20">
        <f>IFERROR(VLOOKUP(Data[[#This Row],[TDS]],IntCompactors_PNA[[TDS]:[0]],2,FALSE),0)</f>
        <v>1</v>
      </c>
      <c r="AB290" s="20"/>
      <c r="AC290" s="20"/>
      <c r="AD290" s="20">
        <f>IFERROR(VLOOKUP(Data[[#This Row],[TDS]],ExtCompactors_PNA[[Development]:[0]],3,FALSE)+VLOOKUP(Data[[#This Row],[TDS]],ExtCompactors_PNA[[Development]:[0]],6,FALSE),0)</f>
        <v>0</v>
      </c>
      <c r="AE290" s="20">
        <f>IFERROR(VLOOKUP(Data[[#This Row],[TDS]],IntCompactors_PNA[[TDS]:[0]],3,FALSE)+VLOOKUP(Data[[#This Row],[TDS]],IntCompactors_PNA[[TDS]:[0]],6,FALSE),0)</f>
        <v>1</v>
      </c>
      <c r="AF290" s="20" t="e">
        <f>VLOOKUP(Data[[#This Row],[DEVELOPMENT]],[3]Developments!$A$2:$A$312,1,FALSE)</f>
        <v>#N/A</v>
      </c>
      <c r="AG290" s="20">
        <f>IFERROR(VLOOKUP(Data[[#This Row],[DEVELOPMENT]],Ops_Priorities_and_Data_Clean[[development]:[ifnoext_comment]],3,FALSE),"")</f>
        <v>0</v>
      </c>
      <c r="AH290" s="20">
        <f>IFERROR(VLOOKUP(Data[[#This Row],[DEVELOPMENT]],Ops_Priorities_and_Data_Clean[[development]:[ifnoext_comment]],4,FALSE),"")</f>
        <v>0</v>
      </c>
      <c r="AI290" s="20">
        <f>IFERROR(VLOOKUP(Data[[#This Row],[DEVELOPMENT]],Ops_Priorities_and_Data_Clean[[development]:[ifnoext_comment]],5,FALSE),"")</f>
        <v>0</v>
      </c>
      <c r="AJ290" s="20">
        <f>IFERROR(VLOOKUP(Data[[#This Row],[DEVELOPMENT]],Ops_Priorities_and_Data_Clean[[development]:[ifnoext_comment]],6,FALSE),"")</f>
        <v>1</v>
      </c>
      <c r="AK290" s="20">
        <f>IFERROR(VLOOKUP(Data[[#This Row],[DEVELOPMENT]],Ops_Priorities_and_Data_Clean[[development]:[ifnoext_comment]],7,FALSE),"")</f>
        <v>0</v>
      </c>
      <c r="AL290" s="20">
        <f>IFERROR(VLOOKUP(Data[[#This Row],[DEVELOPMENT]],Ops_Priorities_and_Data_Clean[[development]:[ifnoext_comment]],8,FALSE),"")</f>
        <v>1</v>
      </c>
      <c r="AM290" s="20">
        <f>IFERROR(VLOOKUP(Data[[#This Row],[DEVELOPMENT]],Ops_Priorities_and_Data_Clean[[development]:[ifnoext_comment]],9,FALSE),"")</f>
        <v>0</v>
      </c>
      <c r="AN290" s="20">
        <f>IFERROR(VLOOKUP(Data[[#This Row],[DEVELOPMENT]],Ops_Priorities_and_Data_Clean[[development]:[ifnoext_comment]],10,FALSE),"")</f>
        <v>0</v>
      </c>
      <c r="AO290" s="20">
        <f>IFERROR(VLOOKUP(Data[[#This Row],[DEVELOPMENT]],Ops_Priorities_and_Data_Clean[[development]:[ifnoext_comment]],11,FALSE),"")</f>
        <v>2</v>
      </c>
      <c r="AP290" s="20">
        <f>IFERROR(VLOOKUP(Data[[#This Row],[DEVELOPMENT]],Ops_Priorities_and_Data_Clean[[development]:[ifnoext_comment]],12,FALSE),"")</f>
        <v>2</v>
      </c>
      <c r="AQ290" s="20">
        <f>VLOOKUP(Data[[#This Row],[DEVELOPMENT]],Ops_Priorities_and_Data_Clean[[development]:[ifnoext_comment]],14,FALSE)</f>
        <v>0</v>
      </c>
      <c r="AR290" s="20">
        <f>VLOOKUP(Data[[#This Row],[DEVELOPMENT]],Ops_Priorities_and_Data_Clean[[development]:[ifnoext_comment]],15,FALSE)</f>
        <v>1</v>
      </c>
      <c r="AS290" s="20" t="str">
        <f>VLOOKUP(Data[[#This Row],[DEVELOPMENT]],Ops_Priorities_and_Data_Clean[[development]:[ifnoext_comment]],16,FALSE)</f>
        <v>UPACA (SITE 6)</v>
      </c>
      <c r="AT290" s="20" t="str">
        <f>VLOOKUP(Data[[#This Row],[DEVELOPMENT]],Ops_Priorities_and_Data_Clean[[development]:[ifnoext_comment]],17,FALSE)</f>
        <v>NULL</v>
      </c>
      <c r="AU290" s="20" t="str">
        <f>VLOOKUP(Data[[#This Row],[DEVELOPMENT]],Ops_Priorities_and_Data_Clean[[development]:[ifnoext_comment]],18,FALSE)</f>
        <v>NULL</v>
      </c>
      <c r="AV290" s="20" t="str">
        <f>VLOOKUP(Data[[#This Row],[DEVELOPMENT]],Ops_Priorities_and_Data_Clean[[development]:[ifnoext_comment]],19,FALSE)</f>
        <v>NULL</v>
      </c>
      <c r="AW290" s="20" t="str">
        <f>VLOOKUP(Data[[#This Row],[DEVELOPMENT]],Ops_Priorities_and_Data_Clean[[development]:[ifnoext_comment]],20,FALSE)</f>
        <v>NULL</v>
      </c>
      <c r="AX290" s="104" t="s">
        <v>2239</v>
      </c>
      <c r="AY290" s="104" t="s">
        <v>2660</v>
      </c>
      <c r="AZ290" s="20" t="str">
        <f>VLOOKUP(Data[[#This Row],[DEVELOPMENT]],Development_Data_Book[[DEVELOPMENT]:[PRIVATE MANAGEMENT]],8,FALSE)</f>
        <v>FEDERAL</v>
      </c>
      <c r="BA290" s="104" t="s">
        <v>2586</v>
      </c>
      <c r="BB290" s="20">
        <f>VLOOKUP(Data[[#This Row],[DEVELOPMENT]],Development_Data_Book[[DEVELOPMENT]:[PRIVATE MANAGEMENT]],22,FALSE)</f>
        <v>0</v>
      </c>
      <c r="BC290" s="20">
        <f>Data[[#This Row],[Non-Dwelling Buildings]]+Data[[#This Row],[Dwelling Buildings]]</f>
        <v>1</v>
      </c>
      <c r="BD290" s="20">
        <f>VLOOKUP(Data[[#This Row],[DEVELOPMENT]],Development_Data_Book[[DEVELOPMENT]:[PRIVATE MANAGEMENT]],26,FALSE)</f>
        <v>1.46</v>
      </c>
      <c r="BE290" s="106">
        <v>158200</v>
      </c>
      <c r="BF290" s="20">
        <f>VLOOKUP(Data[[#This Row],[DEVELOPMENT]],Development_Data_Book[[DEVELOPMENT]:[PRIVATE MANAGEMENT]],18,FALSE)</f>
        <v>204</v>
      </c>
      <c r="BG290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90" s="104" t="s">
        <v>2604</v>
      </c>
      <c r="BI290" t="s">
        <v>184</v>
      </c>
      <c r="BJ290" s="20">
        <f>VLOOKUP(Data[[#This Row],[DEVELOPMENT]],Development_Data_Book[[DEVELOPMENT]:[PRIVATE MANAGEMENT]],41,FALSE)</f>
        <v>11</v>
      </c>
      <c r="BK290" s="20">
        <f>VLOOKUP(Data[[#This Row],[DEVELOPMENT]],Development_Data_Book[[DEVELOPMENT]:[PRIVATE MANAGEMENT]],42,FALSE)</f>
        <v>13</v>
      </c>
      <c r="BL290" s="20">
        <f>VLOOKUP(Data[[#This Row],[DEVELOPMENT]],Development_Data_Book[[DEVELOPMENT]:[PRIVATE MANAGEMENT]],43,FALSE)</f>
        <v>30</v>
      </c>
      <c r="BM290" s="20">
        <f>VLOOKUP(Data[[#This Row],[DEVELOPMENT]],Development_Data_Book[[DEVELOPMENT]:[PRIVATE MANAGEMENT]],44,FALSE)</f>
        <v>68</v>
      </c>
      <c r="BN290" s="20">
        <f>VLOOKUP(Data[[#This Row],[DEVELOPMENT]],Development_Data_Book[[DEVELOPMENT]:[PRIVATE MANAGEMENT]],45,FALSE)</f>
        <v>9</v>
      </c>
      <c r="BO290" s="20">
        <f>VLOOKUP(Data[[#This Row],[DEVELOPMENT]],Development_Data_Book[[DEVELOPMENT]:[PRIVATE MANAGEMENT]],24,FALSE)</f>
        <v>11</v>
      </c>
    </row>
    <row r="291" spans="1:67">
      <c r="A291" t="s">
        <v>100</v>
      </c>
      <c r="B291" t="str">
        <f>VLOOKUP(Data[[#This Row],[DEVELOPMENT]],Development_Data_Book[[DEVELOPMENT]:[BOROUGH]],MATCH("borough",Development_Data_Book[[#Headers],[DEVELOPMENT]:[BOROUGH]],0),FALSE)</f>
        <v>MANHATTAN</v>
      </c>
      <c r="C291" t="e">
        <f>VLOOKUP(Data[[#This Row],[DEVELOPMENT]],'[1]Cheat-Sheet'!$D$2:$Q$341,2,FALSE)</f>
        <v>#N/A</v>
      </c>
      <c r="D29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91">
        <f>VLOOKUP(Data[[#This Row],[DEVELOPMENT]],Development_Data_Book[[DEVELOPMENT]:[BOROUGH]],21,FALSE)</f>
        <v>1</v>
      </c>
      <c r="F291">
        <f>VLOOKUP(Data[[#This Row],[DEVELOPMENT]],Development_Data_Book[[DEVELOPMENT]:[BOROUGH]],23,FALSE)</f>
        <v>1</v>
      </c>
      <c r="G291">
        <f>VLOOKUP(Data[[#This Row],[DEVELOPMENT]],Development_Data_Book[[DEVELOPMENT]:[BOROUGH]],12,FALSE)</f>
        <v>150</v>
      </c>
      <c r="H291" t="s">
        <v>2247</v>
      </c>
      <c r="I291">
        <v>4</v>
      </c>
      <c r="J291">
        <f>IFERROR(VLOOKUP(Data[[#This Row],[DEVELOPMENT]],IntCompactors_MRST[],4,FALSE),0)</f>
        <v>1</v>
      </c>
      <c r="K291" s="20">
        <f>IFERROR(VLOOKUP(Data[[#This Row],[DEVELOPMENT]],ExtCompactors_MRST[],4,FALSE),0)</f>
        <v>0</v>
      </c>
      <c r="L291" s="27">
        <f>IF(Data[[#This Row],['# Interior Compactors MRST]]=0,"",VLOOKUP(Data[[#This Row],[DEVELOPMENT]],IntCompactors_MRST[],5,FALSE))</f>
        <v>39600</v>
      </c>
      <c r="M291" s="28" t="str">
        <f>IF(Data[[#This Row],['# Exterior Compactors MRST]]=0,"",VLOOKUP(Data[[#This Row],[DEVELOPMENT]],ExtCompactors_MRST[],5,FALSE))</f>
        <v/>
      </c>
      <c r="N291">
        <f>Data[[#This Row],['# Interior Compactors MRST]]</f>
        <v>1</v>
      </c>
      <c r="O291" s="20">
        <f>IF(Data[[#This Row],['# Bulk Crushers]]=0,1,0)</f>
        <v>1</v>
      </c>
      <c r="P291" s="20">
        <f>1</f>
        <v>1</v>
      </c>
      <c r="Q291" s="20">
        <f>1</f>
        <v>1</v>
      </c>
      <c r="R291" s="20">
        <f>1</f>
        <v>1</v>
      </c>
      <c r="S291" s="20">
        <f>1</f>
        <v>1</v>
      </c>
      <c r="T291" s="20">
        <f>IF(Data[[#This Row],[Sewershed]]="Newtown Creek",Data[[#This Row],[DUs]],0)</f>
        <v>0</v>
      </c>
      <c r="U29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9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9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91" s="82">
        <f>VLOOKUP(Data[[#This Row],[DEVELOPMENT]],Development_Data_Book[[DEVELOPMENT]:[BOROUGH]],3,FALSE)</f>
        <v>355</v>
      </c>
      <c r="Y291" s="20"/>
      <c r="Z291" s="20">
        <f>IFERROR(VLOOKUP(Data[[#This Row],[TDS]],ExtCompactors_PNA[[Development]:[0]],2,FALSE),0)</f>
        <v>0</v>
      </c>
      <c r="AA291" s="20">
        <f>IFERROR(VLOOKUP(Data[[#This Row],[TDS]],IntCompactors_PNA[[TDS]:[0]],2,FALSE),0)</f>
        <v>1</v>
      </c>
      <c r="AB291" s="20"/>
      <c r="AC291" s="20"/>
      <c r="AD291" s="20">
        <f>IFERROR(VLOOKUP(Data[[#This Row],[TDS]],ExtCompactors_PNA[[Development]:[0]],3,FALSE)+VLOOKUP(Data[[#This Row],[TDS]],ExtCompactors_PNA[[Development]:[0]],6,FALSE),0)</f>
        <v>0</v>
      </c>
      <c r="AE291" s="20">
        <f>IFERROR(VLOOKUP(Data[[#This Row],[TDS]],IntCompactors_PNA[[TDS]:[0]],3,FALSE)+VLOOKUP(Data[[#This Row],[TDS]],IntCompactors_PNA[[TDS]:[0]],6,FALSE),0)</f>
        <v>1</v>
      </c>
      <c r="AF291" s="20" t="e">
        <f>VLOOKUP(Data[[#This Row],[DEVELOPMENT]],[3]Developments!$A$2:$A$312,1,FALSE)</f>
        <v>#N/A</v>
      </c>
      <c r="AG291" s="20">
        <f>IFERROR(VLOOKUP(Data[[#This Row],[DEVELOPMENT]],Ops_Priorities_and_Data_Clean[[development]:[ifnoext_comment]],3,FALSE),"")</f>
        <v>2</v>
      </c>
      <c r="AH291" s="20">
        <f>IFERROR(VLOOKUP(Data[[#This Row],[DEVELOPMENT]],Ops_Priorities_and_Data_Clean[[development]:[ifnoext_comment]],4,FALSE),"")</f>
        <v>0</v>
      </c>
      <c r="AI291" s="20">
        <f>IFERROR(VLOOKUP(Data[[#This Row],[DEVELOPMENT]],Ops_Priorities_and_Data_Clean[[development]:[ifnoext_comment]],5,FALSE),"")</f>
        <v>1</v>
      </c>
      <c r="AJ291" s="20">
        <f>IFERROR(VLOOKUP(Data[[#This Row],[DEVELOPMENT]],Ops_Priorities_and_Data_Clean[[development]:[ifnoext_comment]],6,FALSE),"")</f>
        <v>0</v>
      </c>
      <c r="AK291" s="20">
        <f>IFERROR(VLOOKUP(Data[[#This Row],[DEVELOPMENT]],Ops_Priorities_and_Data_Clean[[development]:[ifnoext_comment]],7,FALSE),"")</f>
        <v>0</v>
      </c>
      <c r="AL291" s="20">
        <f>IFERROR(VLOOKUP(Data[[#This Row],[DEVELOPMENT]],Ops_Priorities_and_Data_Clean[[development]:[ifnoext_comment]],8,FALSE),"")</f>
        <v>1</v>
      </c>
      <c r="AM291" s="20">
        <f>IFERROR(VLOOKUP(Data[[#This Row],[DEVELOPMENT]],Ops_Priorities_and_Data_Clean[[development]:[ifnoext_comment]],9,FALSE),"")</f>
        <v>0</v>
      </c>
      <c r="AN291" s="20">
        <f>IFERROR(VLOOKUP(Data[[#This Row],[DEVELOPMENT]],Ops_Priorities_and_Data_Clean[[development]:[ifnoext_comment]],10,FALSE),"")</f>
        <v>2</v>
      </c>
      <c r="AO291" s="20">
        <f>IFERROR(VLOOKUP(Data[[#This Row],[DEVELOPMENT]],Ops_Priorities_and_Data_Clean[[development]:[ifnoext_comment]],11,FALSE),"")</f>
        <v>0</v>
      </c>
      <c r="AP291" s="20">
        <f>IFERROR(VLOOKUP(Data[[#This Row],[DEVELOPMENT]],Ops_Priorities_and_Data_Clean[[development]:[ifnoext_comment]],12,FALSE),"")</f>
        <v>0</v>
      </c>
      <c r="AQ291" s="20">
        <f>VLOOKUP(Data[[#This Row],[DEVELOPMENT]],Ops_Priorities_and_Data_Clean[[development]:[ifnoext_comment]],14,FALSE)</f>
        <v>0</v>
      </c>
      <c r="AR291" s="20">
        <f>VLOOKUP(Data[[#This Row],[DEVELOPMENT]],Ops_Priorities_and_Data_Clean[[development]:[ifnoext_comment]],15,FALSE)</f>
        <v>0</v>
      </c>
      <c r="AS291" s="20" t="str">
        <f>VLOOKUP(Data[[#This Row],[DEVELOPMENT]],Ops_Priorities_and_Data_Clean[[development]:[ifnoext_comment]],16,FALSE)</f>
        <v>NULL</v>
      </c>
      <c r="AT291" s="20" t="str">
        <f>VLOOKUP(Data[[#This Row],[DEVELOPMENT]],Ops_Priorities_and_Data_Clean[[development]:[ifnoext_comment]],17,FALSE)</f>
        <v>NULL</v>
      </c>
      <c r="AU291" s="20" t="str">
        <f>VLOOKUP(Data[[#This Row],[DEVELOPMENT]],Ops_Priorities_and_Data_Clean[[development]:[ifnoext_comment]],18,FALSE)</f>
        <v>NULL</v>
      </c>
      <c r="AV291" s="20" t="str">
        <f>VLOOKUP(Data[[#This Row],[DEVELOPMENT]],Ops_Priorities_and_Data_Clean[[development]:[ifnoext_comment]],19,FALSE)</f>
        <v>NULL</v>
      </c>
      <c r="AW291" s="20" t="str">
        <f>VLOOKUP(Data[[#This Row],[DEVELOPMENT]],Ops_Priorities_and_Data_Clean[[development]:[ifnoext_comment]],20,FALSE)</f>
        <v>NULL</v>
      </c>
      <c r="AX291" s="104" t="s">
        <v>2239</v>
      </c>
      <c r="AY291" s="104" t="s">
        <v>2660</v>
      </c>
      <c r="AZ291" s="20" t="str">
        <f>VLOOKUP(Data[[#This Row],[DEVELOPMENT]],Development_Data_Book[[DEVELOPMENT]:[PRIVATE MANAGEMENT]],8,FALSE)</f>
        <v>FEDERAL</v>
      </c>
      <c r="BA291" s="104" t="s">
        <v>2586</v>
      </c>
      <c r="BB291" s="20">
        <f>VLOOKUP(Data[[#This Row],[DEVELOPMENT]],Development_Data_Book[[DEVELOPMENT]:[PRIVATE MANAGEMENT]],22,FALSE)</f>
        <v>0</v>
      </c>
      <c r="BC291" s="20">
        <f>Data[[#This Row],[Non-Dwelling Buildings]]+Data[[#This Row],[Dwelling Buildings]]</f>
        <v>1</v>
      </c>
      <c r="BD291" s="20">
        <f>VLOOKUP(Data[[#This Row],[DEVELOPMENT]],Development_Data_Book[[DEVELOPMENT]:[PRIVATE MANAGEMENT]],26,FALSE)</f>
        <v>1.04</v>
      </c>
      <c r="BE291" s="106">
        <v>134100</v>
      </c>
      <c r="BF291" s="20">
        <f>VLOOKUP(Data[[#This Row],[DEVELOPMENT]],Development_Data_Book[[DEVELOPMENT]:[PRIVATE MANAGEMENT]],18,FALSE)</f>
        <v>173</v>
      </c>
      <c r="BG291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91" s="104" t="s">
        <v>2604</v>
      </c>
      <c r="BI291" t="s">
        <v>184</v>
      </c>
      <c r="BJ291" s="20">
        <f>VLOOKUP(Data[[#This Row],[DEVELOPMENT]],Development_Data_Book[[DEVELOPMENT]:[PRIVATE MANAGEMENT]],41,FALSE)</f>
        <v>11</v>
      </c>
      <c r="BK291" s="20">
        <f>VLOOKUP(Data[[#This Row],[DEVELOPMENT]],Development_Data_Book[[DEVELOPMENT]:[PRIVATE MANAGEMENT]],42,FALSE)</f>
        <v>13</v>
      </c>
      <c r="BL291" s="20">
        <f>VLOOKUP(Data[[#This Row],[DEVELOPMENT]],Development_Data_Book[[DEVELOPMENT]:[PRIVATE MANAGEMENT]],43,FALSE)</f>
        <v>30</v>
      </c>
      <c r="BM291" s="20">
        <f>VLOOKUP(Data[[#This Row],[DEVELOPMENT]],Development_Data_Book[[DEVELOPMENT]:[PRIVATE MANAGEMENT]],44,FALSE)</f>
        <v>68</v>
      </c>
      <c r="BN291" s="20">
        <f>VLOOKUP(Data[[#This Row],[DEVELOPMENT]],Development_Data_Book[[DEVELOPMENT]:[PRIVATE MANAGEMENT]],45,FALSE)</f>
        <v>9</v>
      </c>
      <c r="BO291" s="20">
        <f>VLOOKUP(Data[[#This Row],[DEVELOPMENT]],Development_Data_Book[[DEVELOPMENT]:[PRIVATE MANAGEMENT]],24,FALSE)</f>
        <v>12</v>
      </c>
    </row>
    <row r="292" spans="1:67">
      <c r="A292" t="s">
        <v>373</v>
      </c>
      <c r="B292" s="20" t="str">
        <f>VLOOKUP(Data[[#This Row],[DEVELOPMENT]],Development_Data_Book[[DEVELOPMENT]:[BOROUGH]],MATCH("borough",Development_Data_Book[[#Headers],[DEVELOPMENT]:[BOROUGH]],0),FALSE)</f>
        <v>BROOKLYN</v>
      </c>
      <c r="C292" s="20" t="e">
        <f>VLOOKUP(Data[[#This Row],[DEVELOPMENT]],'[1]Cheat-Sheet'!$D$2:$Q$341,2,FALSE)</f>
        <v>#N/A</v>
      </c>
      <c r="D29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92" s="20">
        <f>VLOOKUP(Data[[#This Row],[DEVELOPMENT]],Development_Data_Book[[DEVELOPMENT]:[BOROUGH]],21,FALSE)</f>
        <v>22</v>
      </c>
      <c r="F292" s="20">
        <f>VLOOKUP(Data[[#This Row],[DEVELOPMENT]],Development_Data_Book[[DEVELOPMENT]:[BOROUGH]],23,FALSE)</f>
        <v>32</v>
      </c>
      <c r="G292" s="20">
        <f>VLOOKUP(Data[[#This Row],[DEVELOPMENT]],Development_Data_Book[[DEVELOPMENT]:[BOROUGH]],12,FALSE)</f>
        <v>1603</v>
      </c>
      <c r="J292">
        <f>IFERROR(VLOOKUP(Data[[#This Row],[DEVELOPMENT]],IntCompactors_MRST[],4,FALSE),0)</f>
        <v>31</v>
      </c>
      <c r="K292" s="20">
        <f>IFERROR(VLOOKUP(Data[[#This Row],[DEVELOPMENT]],ExtCompactors_MRST[],4,FALSE),0)</f>
        <v>3</v>
      </c>
      <c r="L292" s="27">
        <f>IF(Data[[#This Row],['# Interior Compactors MRST]]=0,"",VLOOKUP(Data[[#This Row],[DEVELOPMENT]],IntCompactors_MRST[],5,FALSE))</f>
        <v>35886</v>
      </c>
      <c r="M292" s="28">
        <f>IF(Data[[#This Row],['# Exterior Compactors MRST]]=0,"",VLOOKUP(Data[[#This Row],[DEVELOPMENT]],ExtCompactors_MRST[],5,FALSE))</f>
        <v>43586</v>
      </c>
      <c r="N292" s="20">
        <f>Data[[#This Row],['# Interior Compactors MRST]]</f>
        <v>31</v>
      </c>
      <c r="O292" s="20">
        <f>IF(Data[[#This Row],['# Bulk Crushers]]=0,1,0)</f>
        <v>1</v>
      </c>
      <c r="P292" s="20">
        <f>1</f>
        <v>1</v>
      </c>
      <c r="Q292" s="20">
        <f>1</f>
        <v>1</v>
      </c>
      <c r="R292" s="20">
        <f>1</f>
        <v>1</v>
      </c>
      <c r="S292" s="20">
        <f>1</f>
        <v>1</v>
      </c>
      <c r="T292" s="20">
        <f>IF(Data[[#This Row],[Sewershed]]="Newtown Creek",Data[[#This Row],[DUs]],0)</f>
        <v>0</v>
      </c>
      <c r="U292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92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92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92" s="82">
        <f>VLOOKUP(Data[[#This Row],[DEVELOPMENT]],Development_Data_Book[[DEVELOPMENT]:[BOROUGH]],3,FALSE)</f>
        <v>61</v>
      </c>
      <c r="Y292" s="20"/>
      <c r="Z292" s="20">
        <f>IFERROR(VLOOKUP(Data[[#This Row],[TDS]],ExtCompactors_PNA[[Development]:[0]],2,FALSE),0)</f>
        <v>0</v>
      </c>
      <c r="AA292" s="20">
        <f>IFERROR(VLOOKUP(Data[[#This Row],[TDS]],IntCompactors_PNA[[TDS]:[0]],2,FALSE),0)</f>
        <v>31</v>
      </c>
      <c r="AB292" s="20"/>
      <c r="AC292" s="20"/>
      <c r="AD292" s="20">
        <f>IFERROR(VLOOKUP(Data[[#This Row],[TDS]],ExtCompactors_PNA[[Development]:[0]],3,FALSE)+VLOOKUP(Data[[#This Row],[TDS]],ExtCompactors_PNA[[Development]:[0]],6,FALSE),0)</f>
        <v>0</v>
      </c>
      <c r="AE292" s="20">
        <f>IFERROR(VLOOKUP(Data[[#This Row],[TDS]],IntCompactors_PNA[[TDS]:[0]],3,FALSE)+VLOOKUP(Data[[#This Row],[TDS]],IntCompactors_PNA[[TDS]:[0]],6,FALSE),0)</f>
        <v>31</v>
      </c>
      <c r="AF292" s="20" t="e">
        <f>VLOOKUP(Data[[#This Row],[DEVELOPMENT]],[3]Developments!$A$2:$A$312,1,FALSE)</f>
        <v>#N/A</v>
      </c>
      <c r="AG292" s="20">
        <f>IFERROR(VLOOKUP(Data[[#This Row],[DEVELOPMENT]],Ops_Priorities_and_Data_Clean[[development]:[ifnoext_comment]],3,FALSE),"")</f>
        <v>3</v>
      </c>
      <c r="AH292" s="20">
        <f>IFERROR(VLOOKUP(Data[[#This Row],[DEVELOPMENT]],Ops_Priorities_and_Data_Clean[[development]:[ifnoext_comment]],4,FALSE),"")</f>
        <v>0</v>
      </c>
      <c r="AI292" s="20">
        <f>IFERROR(VLOOKUP(Data[[#This Row],[DEVELOPMENT]],Ops_Priorities_and_Data_Clean[[development]:[ifnoext_comment]],5,FALSE),"")</f>
        <v>1</v>
      </c>
      <c r="AJ292" s="20">
        <f>IFERROR(VLOOKUP(Data[[#This Row],[DEVELOPMENT]],Ops_Priorities_and_Data_Clean[[development]:[ifnoext_comment]],6,FALSE),"")</f>
        <v>0</v>
      </c>
      <c r="AK292" s="20">
        <f>IFERROR(VLOOKUP(Data[[#This Row],[DEVELOPMENT]],Ops_Priorities_and_Data_Clean[[development]:[ifnoext_comment]],7,FALSE),"")</f>
        <v>0</v>
      </c>
      <c r="AL292" s="20">
        <f>IFERROR(VLOOKUP(Data[[#This Row],[DEVELOPMENT]],Ops_Priorities_and_Data_Clean[[development]:[ifnoext_comment]],8,FALSE),"")</f>
        <v>1</v>
      </c>
      <c r="AM292" s="20">
        <f>IFERROR(VLOOKUP(Data[[#This Row],[DEVELOPMENT]],Ops_Priorities_and_Data_Clean[[development]:[ifnoext_comment]],9,FALSE),"")</f>
        <v>0</v>
      </c>
      <c r="AN292" s="20">
        <f>IFERROR(VLOOKUP(Data[[#This Row],[DEVELOPMENT]],Ops_Priorities_and_Data_Clean[[development]:[ifnoext_comment]],10,FALSE),"")</f>
        <v>0</v>
      </c>
      <c r="AO292" s="20">
        <f>IFERROR(VLOOKUP(Data[[#This Row],[DEVELOPMENT]],Ops_Priorities_and_Data_Clean[[development]:[ifnoext_comment]],11,FALSE),"")</f>
        <v>3</v>
      </c>
      <c r="AP292" s="20">
        <f>IFERROR(VLOOKUP(Data[[#This Row],[DEVELOPMENT]],Ops_Priorities_and_Data_Clean[[development]:[ifnoext_comment]],12,FALSE),"")</f>
        <v>3</v>
      </c>
      <c r="AQ292" s="20">
        <f>VLOOKUP(Data[[#This Row],[DEVELOPMENT]],Ops_Priorities_and_Data_Clean[[development]:[ifnoext_comment]],14,FALSE)</f>
        <v>0</v>
      </c>
      <c r="AR292" s="20">
        <f>VLOOKUP(Data[[#This Row],[DEVELOPMENT]],Ops_Priorities_and_Data_Clean[[development]:[ifnoext_comment]],15,FALSE)</f>
        <v>0</v>
      </c>
      <c r="AS292" s="20" t="str">
        <f>VLOOKUP(Data[[#This Row],[DEVELOPMENT]],Ops_Priorities_and_Data_Clean[[development]:[ifnoext_comment]],16,FALSE)</f>
        <v>NULL</v>
      </c>
      <c r="AT292" s="20" t="str">
        <f>VLOOKUP(Data[[#This Row],[DEVELOPMENT]],Ops_Priorities_and_Data_Clean[[development]:[ifnoext_comment]],17,FALSE)</f>
        <v>NULL</v>
      </c>
      <c r="AU292" s="20" t="str">
        <f>VLOOKUP(Data[[#This Row],[DEVELOPMENT]],Ops_Priorities_and_Data_Clean[[development]:[ifnoext_comment]],18,FALSE)</f>
        <v>NULL</v>
      </c>
      <c r="AV292" s="20" t="str">
        <f>VLOOKUP(Data[[#This Row],[DEVELOPMENT]],Ops_Priorities_and_Data_Clean[[development]:[ifnoext_comment]],19,FALSE)</f>
        <v>NULL</v>
      </c>
      <c r="AW292" s="20" t="str">
        <f>VLOOKUP(Data[[#This Row],[DEVELOPMENT]],Ops_Priorities_and_Data_Clean[[development]:[ifnoext_comment]],20,FALSE)</f>
        <v>NULL</v>
      </c>
      <c r="AX292" s="104" t="s">
        <v>2602</v>
      </c>
      <c r="AY292" s="104" t="s">
        <v>392</v>
      </c>
      <c r="AZ292" s="20" t="str">
        <f>VLOOKUP(Data[[#This Row],[DEVELOPMENT]],Development_Data_Book[[DEVELOPMENT]:[PRIVATE MANAGEMENT]],8,FALSE)</f>
        <v>FEDERAL</v>
      </c>
      <c r="BA292" s="104" t="s">
        <v>2613</v>
      </c>
      <c r="BB292" s="20">
        <f>VLOOKUP(Data[[#This Row],[DEVELOPMENT]],Development_Data_Book[[DEVELOPMENT]:[PRIVATE MANAGEMENT]],22,FALSE)</f>
        <v>1</v>
      </c>
      <c r="BC292" s="20">
        <f>Data[[#This Row],[Non-Dwelling Buildings]]+Data[[#This Row],[Dwelling Buildings]]</f>
        <v>23</v>
      </c>
      <c r="BD292" s="20">
        <f>VLOOKUP(Data[[#This Row],[DEVELOPMENT]],Development_Data_Book[[DEVELOPMENT]:[PRIVATE MANAGEMENT]],26,FALSE)</f>
        <v>20.81</v>
      </c>
      <c r="BE292" s="106">
        <v>1575450</v>
      </c>
      <c r="BF292" s="20">
        <f>VLOOKUP(Data[[#This Row],[DEVELOPMENT]],Development_Data_Book[[DEVELOPMENT]:[PRIVATE MANAGEMENT]],18,FALSE)</f>
        <v>3855</v>
      </c>
      <c r="BG29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92" s="104" t="s">
        <v>2589</v>
      </c>
      <c r="BI292" t="s">
        <v>183</v>
      </c>
      <c r="BJ292" s="20">
        <f>VLOOKUP(Data[[#This Row],[DEVELOPMENT]],Development_Data_Book[[DEVELOPMENT]:[PRIVATE MANAGEMENT]],41,FALSE)</f>
        <v>16</v>
      </c>
      <c r="BK292" s="20">
        <f>VLOOKUP(Data[[#This Row],[DEVELOPMENT]],Development_Data_Book[[DEVELOPMENT]:[PRIVATE MANAGEMENT]],42,FALSE)</f>
        <v>9</v>
      </c>
      <c r="BL292" s="20" t="str">
        <f>VLOOKUP(Data[[#This Row],[DEVELOPMENT]],Development_Data_Book[[DEVELOPMENT]:[PRIVATE MANAGEMENT]],43,FALSE)</f>
        <v>19, 20</v>
      </c>
      <c r="BM292" s="20">
        <f>VLOOKUP(Data[[#This Row],[DEVELOPMENT]],Development_Data_Book[[DEVELOPMENT]:[PRIVATE MANAGEMENT]],44,FALSE)</f>
        <v>55</v>
      </c>
      <c r="BN292" s="20">
        <f>VLOOKUP(Data[[#This Row],[DEVELOPMENT]],Development_Data_Book[[DEVELOPMENT]:[PRIVATE MANAGEMENT]],45,FALSE)</f>
        <v>41</v>
      </c>
      <c r="BO292" s="20">
        <f>VLOOKUP(Data[[#This Row],[DEVELOPMENT]],Development_Data_Book[[DEVELOPMENT]:[PRIVATE MANAGEMENT]],24,FALSE)</f>
        <v>43538</v>
      </c>
    </row>
    <row r="293" spans="1:67">
      <c r="A293" t="s">
        <v>374</v>
      </c>
      <c r="B293" s="20" t="str">
        <f>VLOOKUP(Data[[#This Row],[DEVELOPMENT]],Development_Data_Book[[DEVELOPMENT]:[BOROUGH]],MATCH("borough",Development_Data_Book[[#Headers],[DEVELOPMENT]:[BOROUGH]],0),FALSE)</f>
        <v>BROOKLYN</v>
      </c>
      <c r="C293" s="20" t="e">
        <f>VLOOKUP(Data[[#This Row],[DEVELOPMENT]],'[1]Cheat-Sheet'!$D$2:$Q$341,2,FALSE)</f>
        <v>#N/A</v>
      </c>
      <c r="D29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93" s="20">
        <f>VLOOKUP(Data[[#This Row],[DEVELOPMENT]],Development_Data_Book[[DEVELOPMENT]:[BOROUGH]],21,FALSE)</f>
        <v>1</v>
      </c>
      <c r="F293" s="20">
        <f>VLOOKUP(Data[[#This Row],[DEVELOPMENT]],Development_Data_Book[[DEVELOPMENT]:[BOROUGH]],23,FALSE)</f>
        <v>1</v>
      </c>
      <c r="G293" s="20">
        <f>VLOOKUP(Data[[#This Row],[DEVELOPMENT]],Development_Data_Book[[DEVELOPMENT]:[BOROUGH]],12,FALSE)</f>
        <v>111</v>
      </c>
      <c r="J293">
        <f>IFERROR(VLOOKUP(Data[[#This Row],[DEVELOPMENT]],IntCompactors_MRST[],4,FALSE),0)</f>
        <v>1</v>
      </c>
      <c r="K293" s="20">
        <f>IFERROR(VLOOKUP(Data[[#This Row],[DEVELOPMENT]],ExtCompactors_MRST[],4,FALSE),0)</f>
        <v>0</v>
      </c>
      <c r="L293" s="27">
        <f>IF(Data[[#This Row],['# Interior Compactors MRST]]=0,"",VLOOKUP(Data[[#This Row],[DEVELOPMENT]],IntCompactors_MRST[],5,FALSE))</f>
        <v>37346</v>
      </c>
      <c r="M293" s="28" t="str">
        <f>IF(Data[[#This Row],['# Exterior Compactors MRST]]=0,"",VLOOKUP(Data[[#This Row],[DEVELOPMENT]],ExtCompactors_MRST[],5,FALSE))</f>
        <v/>
      </c>
      <c r="N293" s="20">
        <f>Data[[#This Row],['# Interior Compactors MRST]]</f>
        <v>1</v>
      </c>
      <c r="O293" s="20">
        <f>IF(Data[[#This Row],['# Bulk Crushers]]=0,1,0)</f>
        <v>1</v>
      </c>
      <c r="P293" s="20">
        <f>1</f>
        <v>1</v>
      </c>
      <c r="Q293" s="20">
        <f>1</f>
        <v>1</v>
      </c>
      <c r="R293" s="20">
        <f>1</f>
        <v>1</v>
      </c>
      <c r="S293" s="20">
        <f>1</f>
        <v>1</v>
      </c>
      <c r="T293" s="20">
        <f>IF(Data[[#This Row],[Sewershed]]="Newtown Creek",Data[[#This Row],[DUs]],0)</f>
        <v>0</v>
      </c>
      <c r="U29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9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9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93" s="82">
        <f>VLOOKUP(Data[[#This Row],[DEVELOPMENT]],Development_Data_Book[[DEVELOPMENT]:[BOROUGH]],3,FALSE)</f>
        <v>146</v>
      </c>
      <c r="Y293" s="20"/>
      <c r="Z293" s="20">
        <f>IFERROR(VLOOKUP(Data[[#This Row],[TDS]],ExtCompactors_PNA[[Development]:[0]],2,FALSE),0)</f>
        <v>0</v>
      </c>
      <c r="AA293" s="20">
        <f>IFERROR(VLOOKUP(Data[[#This Row],[TDS]],IntCompactors_PNA[[TDS]:[0]],2,FALSE),0)</f>
        <v>1</v>
      </c>
      <c r="AB293" s="20"/>
      <c r="AC293" s="20"/>
      <c r="AD293" s="20">
        <f>IFERROR(VLOOKUP(Data[[#This Row],[TDS]],ExtCompactors_PNA[[Development]:[0]],3,FALSE)+VLOOKUP(Data[[#This Row],[TDS]],ExtCompactors_PNA[[Development]:[0]],6,FALSE),0)</f>
        <v>0</v>
      </c>
      <c r="AE293" s="20">
        <f>IFERROR(VLOOKUP(Data[[#This Row],[TDS]],IntCompactors_PNA[[TDS]:[0]],3,FALSE)+VLOOKUP(Data[[#This Row],[TDS]],IntCompactors_PNA[[TDS]:[0]],6,FALSE),0)</f>
        <v>1</v>
      </c>
      <c r="AF293" s="20" t="e">
        <f>VLOOKUP(Data[[#This Row],[DEVELOPMENT]],[3]Developments!$A$2:$A$312,1,FALSE)</f>
        <v>#N/A</v>
      </c>
      <c r="AG293" s="20">
        <f>IFERROR(VLOOKUP(Data[[#This Row],[DEVELOPMENT]],Ops_Priorities_and_Data_Clean[[development]:[ifnoext_comment]],3,FALSE),"")</f>
        <v>0</v>
      </c>
      <c r="AH293" s="20">
        <f>IFERROR(VLOOKUP(Data[[#This Row],[DEVELOPMENT]],Ops_Priorities_and_Data_Clean[[development]:[ifnoext_comment]],4,FALSE),"")</f>
        <v>0</v>
      </c>
      <c r="AI293" s="20">
        <f>IFERROR(VLOOKUP(Data[[#This Row],[DEVELOPMENT]],Ops_Priorities_and_Data_Clean[[development]:[ifnoext_comment]],5,FALSE),"")</f>
        <v>0</v>
      </c>
      <c r="AJ293" s="20">
        <f>IFERROR(VLOOKUP(Data[[#This Row],[DEVELOPMENT]],Ops_Priorities_and_Data_Clean[[development]:[ifnoext_comment]],6,FALSE),"")</f>
        <v>1</v>
      </c>
      <c r="AK293" s="20">
        <f>IFERROR(VLOOKUP(Data[[#This Row],[DEVELOPMENT]],Ops_Priorities_and_Data_Clean[[development]:[ifnoext_comment]],7,FALSE),"")</f>
        <v>0</v>
      </c>
      <c r="AL293" s="20">
        <f>IFERROR(VLOOKUP(Data[[#This Row],[DEVELOPMENT]],Ops_Priorities_and_Data_Clean[[development]:[ifnoext_comment]],8,FALSE),"")</f>
        <v>1</v>
      </c>
      <c r="AM293" s="20">
        <f>IFERROR(VLOOKUP(Data[[#This Row],[DEVELOPMENT]],Ops_Priorities_and_Data_Clean[[development]:[ifnoext_comment]],9,FALSE),"")</f>
        <v>0</v>
      </c>
      <c r="AN293" s="20">
        <f>IFERROR(VLOOKUP(Data[[#This Row],[DEVELOPMENT]],Ops_Priorities_and_Data_Clean[[development]:[ifnoext_comment]],10,FALSE),"")</f>
        <v>0</v>
      </c>
      <c r="AO293" s="20">
        <f>IFERROR(VLOOKUP(Data[[#This Row],[DEVELOPMENT]],Ops_Priorities_and_Data_Clean[[development]:[ifnoext_comment]],11,FALSE),"")</f>
        <v>0</v>
      </c>
      <c r="AP293" s="20">
        <f>IFERROR(VLOOKUP(Data[[#This Row],[DEVELOPMENT]],Ops_Priorities_and_Data_Clean[[development]:[ifnoext_comment]],12,FALSE),"")</f>
        <v>0</v>
      </c>
      <c r="AQ293" s="20">
        <f>VLOOKUP(Data[[#This Row],[DEVELOPMENT]],Ops_Priorities_and_Data_Clean[[development]:[ifnoext_comment]],14,FALSE)</f>
        <v>0</v>
      </c>
      <c r="AR293" s="20">
        <f>VLOOKUP(Data[[#This Row],[DEVELOPMENT]],Ops_Priorities_and_Data_Clean[[development]:[ifnoext_comment]],15,FALSE)</f>
        <v>1</v>
      </c>
      <c r="AS293" s="20" t="str">
        <f>VLOOKUP(Data[[#This Row],[DEVELOPMENT]],Ops_Priorities_and_Data_Clean[[development]:[ifnoext_comment]],16,FALSE)</f>
        <v>Woodson</v>
      </c>
      <c r="AT293" s="20" t="str">
        <f>VLOOKUP(Data[[#This Row],[DEVELOPMENT]],Ops_Priorities_and_Data_Clean[[development]:[ifnoext_comment]],17,FALSE)</f>
        <v>NULL</v>
      </c>
      <c r="AU293" s="20" t="str">
        <f>VLOOKUP(Data[[#This Row],[DEVELOPMENT]],Ops_Priorities_and_Data_Clean[[development]:[ifnoext_comment]],18,FALSE)</f>
        <v>NULL</v>
      </c>
      <c r="AV293" s="20" t="str">
        <f>VLOOKUP(Data[[#This Row],[DEVELOPMENT]],Ops_Priorities_and_Data_Clean[[development]:[ifnoext_comment]],19,FALSE)</f>
        <v>NULL</v>
      </c>
      <c r="AW293" s="20" t="str">
        <f>VLOOKUP(Data[[#This Row],[DEVELOPMENT]],Ops_Priorities_and_Data_Clean[[development]:[ifnoext_comment]],20,FALSE)</f>
        <v>NULL</v>
      </c>
      <c r="AX293" s="104" t="s">
        <v>2602</v>
      </c>
      <c r="AY293" s="104" t="s">
        <v>392</v>
      </c>
      <c r="AZ293" s="20" t="str">
        <f>VLOOKUP(Data[[#This Row],[DEVELOPMENT]],Development_Data_Book[[DEVELOPMENT]:[PRIVATE MANAGEMENT]],8,FALSE)</f>
        <v>FEDERAL</v>
      </c>
      <c r="BA293" s="104" t="s">
        <v>2586</v>
      </c>
      <c r="BB293" s="20">
        <f>VLOOKUP(Data[[#This Row],[DEVELOPMENT]],Development_Data_Book[[DEVELOPMENT]:[PRIVATE MANAGEMENT]],22,FALSE)</f>
        <v>0</v>
      </c>
      <c r="BC293" s="20">
        <f>Data[[#This Row],[Non-Dwelling Buildings]]+Data[[#This Row],[Dwelling Buildings]]</f>
        <v>1</v>
      </c>
      <c r="BD293" s="20">
        <f>VLOOKUP(Data[[#This Row],[DEVELOPMENT]],Development_Data_Book[[DEVELOPMENT]:[PRIVATE MANAGEMENT]],26,FALSE)</f>
        <v>0.93</v>
      </c>
      <c r="BE293" s="106">
        <v>141800</v>
      </c>
      <c r="BF293" s="20">
        <f>VLOOKUP(Data[[#This Row],[DEVELOPMENT]],Development_Data_Book[[DEVELOPMENT]:[PRIVATE MANAGEMENT]],18,FALSE)</f>
        <v>128</v>
      </c>
      <c r="BG293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93" s="104" t="s">
        <v>2589</v>
      </c>
      <c r="BI293" t="s">
        <v>183</v>
      </c>
      <c r="BJ293" s="20">
        <f>VLOOKUP(Data[[#This Row],[DEVELOPMENT]],Development_Data_Book[[DEVELOPMENT]:[PRIVATE MANAGEMENT]],41,FALSE)</f>
        <v>16</v>
      </c>
      <c r="BK293" s="20">
        <f>VLOOKUP(Data[[#This Row],[DEVELOPMENT]],Development_Data_Book[[DEVELOPMENT]:[PRIVATE MANAGEMENT]],42,FALSE)</f>
        <v>9</v>
      </c>
      <c r="BL293" s="20">
        <f>VLOOKUP(Data[[#This Row],[DEVELOPMENT]],Development_Data_Book[[DEVELOPMENT]:[PRIVATE MANAGEMENT]],43,FALSE)</f>
        <v>19</v>
      </c>
      <c r="BM293" s="20">
        <f>VLOOKUP(Data[[#This Row],[DEVELOPMENT]],Development_Data_Book[[DEVELOPMENT]:[PRIVATE MANAGEMENT]],44,FALSE)</f>
        <v>55</v>
      </c>
      <c r="BN293" s="20">
        <f>VLOOKUP(Data[[#This Row],[DEVELOPMENT]],Development_Data_Book[[DEVELOPMENT]:[PRIVATE MANAGEMENT]],45,FALSE)</f>
        <v>41</v>
      </c>
      <c r="BO293" s="20">
        <f>VLOOKUP(Data[[#This Row],[DEVELOPMENT]],Development_Data_Book[[DEVELOPMENT]:[PRIVATE MANAGEMENT]],24,FALSE)</f>
        <v>14</v>
      </c>
    </row>
    <row r="294" spans="1:67">
      <c r="A294" t="s">
        <v>375</v>
      </c>
      <c r="B294" s="20" t="str">
        <f>VLOOKUP(Data[[#This Row],[DEVELOPMENT]],Development_Data_Book[[DEVELOPMENT]:[BOROUGH]],MATCH("borough",Development_Data_Book[[#Headers],[DEVELOPMENT]:[BOROUGH]],0),FALSE)</f>
        <v>BROOKLYN</v>
      </c>
      <c r="C294" s="20" t="e">
        <f>VLOOKUP(Data[[#This Row],[DEVELOPMENT]],'[1]Cheat-Sheet'!$D$2:$Q$341,2,FALSE)</f>
        <v>#N/A</v>
      </c>
      <c r="D29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94" s="20">
        <f>VLOOKUP(Data[[#This Row],[DEVELOPMENT]],Development_Data_Book[[DEVELOPMENT]:[BOROUGH]],21,FALSE)</f>
        <v>2</v>
      </c>
      <c r="F294" s="20">
        <f>VLOOKUP(Data[[#This Row],[DEVELOPMENT]],Development_Data_Book[[DEVELOPMENT]:[BOROUGH]],23,FALSE)</f>
        <v>3</v>
      </c>
      <c r="G294" s="20">
        <f>VLOOKUP(Data[[#This Row],[DEVELOPMENT]],Development_Data_Book[[DEVELOPMENT]:[BOROUGH]],12,FALSE)</f>
        <v>288</v>
      </c>
      <c r="J294">
        <f>IFERROR(VLOOKUP(Data[[#This Row],[DEVELOPMENT]],IntCompactors_MRST[],4,FALSE),0)</f>
        <v>2</v>
      </c>
      <c r="K294" s="20">
        <f>IFERROR(VLOOKUP(Data[[#This Row],[DEVELOPMENT]],ExtCompactors_MRST[],4,FALSE),0)</f>
        <v>0</v>
      </c>
      <c r="L294" s="27">
        <f>IF(Data[[#This Row],['# Interior Compactors MRST]]=0,"",VLOOKUP(Data[[#This Row],[DEVELOPMENT]],IntCompactors_MRST[],5,FALSE))</f>
        <v>36495</v>
      </c>
      <c r="M294" s="28" t="str">
        <f>IF(Data[[#This Row],['# Exterior Compactors MRST]]=0,"",VLOOKUP(Data[[#This Row],[DEVELOPMENT]],ExtCompactors_MRST[],5,FALSE))</f>
        <v/>
      </c>
      <c r="N294" s="20">
        <f>Data[[#This Row],['# Interior Compactors MRST]]</f>
        <v>2</v>
      </c>
      <c r="O294" s="20">
        <f>IF(Data[[#This Row],['# Bulk Crushers]]=0,1,0)</f>
        <v>1</v>
      </c>
      <c r="P294" s="20">
        <f>1</f>
        <v>1</v>
      </c>
      <c r="Q294" s="20">
        <f>1</f>
        <v>1</v>
      </c>
      <c r="R294" s="20">
        <f>1</f>
        <v>1</v>
      </c>
      <c r="S294" s="20">
        <f>1</f>
        <v>1</v>
      </c>
      <c r="T294" s="20">
        <f>IF(Data[[#This Row],[Sewershed]]="Newtown Creek",Data[[#This Row],[DUs]],0)</f>
        <v>0</v>
      </c>
      <c r="U29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9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9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94" s="82">
        <f>VLOOKUP(Data[[#This Row],[DEVELOPMENT]],Development_Data_Book[[DEVELOPMENT]:[BOROUGH]],3,FALSE)</f>
        <v>315</v>
      </c>
      <c r="Y294" s="20"/>
      <c r="Z294" s="20">
        <f>IFERROR(VLOOKUP(Data[[#This Row],[TDS]],ExtCompactors_PNA[[Development]:[0]],2,FALSE),0)</f>
        <v>0</v>
      </c>
      <c r="AA294" s="20">
        <f>IFERROR(VLOOKUP(Data[[#This Row],[TDS]],IntCompactors_PNA[[TDS]:[0]],2,FALSE),0)</f>
        <v>2</v>
      </c>
      <c r="AB294" s="20"/>
      <c r="AC294" s="20"/>
      <c r="AD294" s="20">
        <f>IFERROR(VLOOKUP(Data[[#This Row],[TDS]],ExtCompactors_PNA[[Development]:[0]],3,FALSE)+VLOOKUP(Data[[#This Row],[TDS]],ExtCompactors_PNA[[Development]:[0]],6,FALSE),0)</f>
        <v>0</v>
      </c>
      <c r="AE294" s="20">
        <f>IFERROR(VLOOKUP(Data[[#This Row],[TDS]],IntCompactors_PNA[[TDS]:[0]],3,FALSE)+VLOOKUP(Data[[#This Row],[TDS]],IntCompactors_PNA[[TDS]:[0]],6,FALSE),0)</f>
        <v>2</v>
      </c>
      <c r="AF294" s="20" t="e">
        <f>VLOOKUP(Data[[#This Row],[DEVELOPMENT]],[3]Developments!$A$2:$A$312,1,FALSE)</f>
        <v>#N/A</v>
      </c>
      <c r="AG294" s="20">
        <f>IFERROR(VLOOKUP(Data[[#This Row],[DEVELOPMENT]],Ops_Priorities_and_Data_Clean[[development]:[ifnoext_comment]],3,FALSE),"")</f>
        <v>0</v>
      </c>
      <c r="AH294" s="20">
        <f>IFERROR(VLOOKUP(Data[[#This Row],[DEVELOPMENT]],Ops_Priorities_and_Data_Clean[[development]:[ifnoext_comment]],4,FALSE),"")</f>
        <v>0</v>
      </c>
      <c r="AI294" s="20">
        <f>IFERROR(VLOOKUP(Data[[#This Row],[DEVELOPMENT]],Ops_Priorities_and_Data_Clean[[development]:[ifnoext_comment]],5,FALSE),"")</f>
        <v>0</v>
      </c>
      <c r="AJ294" s="20">
        <f>IFERROR(VLOOKUP(Data[[#This Row],[DEVELOPMENT]],Ops_Priorities_and_Data_Clean[[development]:[ifnoext_comment]],6,FALSE),"")</f>
        <v>0</v>
      </c>
      <c r="AK294" s="20">
        <f>IFERROR(VLOOKUP(Data[[#This Row],[DEVELOPMENT]],Ops_Priorities_and_Data_Clean[[development]:[ifnoext_comment]],7,FALSE),"")</f>
        <v>1</v>
      </c>
      <c r="AL294" s="20">
        <f>IFERROR(VLOOKUP(Data[[#This Row],[DEVELOPMENT]],Ops_Priorities_and_Data_Clean[[development]:[ifnoext_comment]],8,FALSE),"")</f>
        <v>1</v>
      </c>
      <c r="AM294" s="20">
        <f>IFERROR(VLOOKUP(Data[[#This Row],[DEVELOPMENT]],Ops_Priorities_and_Data_Clean[[development]:[ifnoext_comment]],9,FALSE),"")</f>
        <v>1</v>
      </c>
      <c r="AN294" s="20">
        <f>IFERROR(VLOOKUP(Data[[#This Row],[DEVELOPMENT]],Ops_Priorities_and_Data_Clean[[development]:[ifnoext_comment]],10,FALSE),"")</f>
        <v>0</v>
      </c>
      <c r="AO294" s="20">
        <f>IFERROR(VLOOKUP(Data[[#This Row],[DEVELOPMENT]],Ops_Priorities_and_Data_Clean[[development]:[ifnoext_comment]],11,FALSE),"")</f>
        <v>0</v>
      </c>
      <c r="AP294" s="20">
        <f>IFERROR(VLOOKUP(Data[[#This Row],[DEVELOPMENT]],Ops_Priorities_and_Data_Clean[[development]:[ifnoext_comment]],12,FALSE),"")</f>
        <v>0</v>
      </c>
      <c r="AQ294" s="20">
        <f>VLOOKUP(Data[[#This Row],[DEVELOPMENT]],Ops_Priorities_and_Data_Clean[[development]:[ifnoext_comment]],14,FALSE)</f>
        <v>1</v>
      </c>
      <c r="AR294" s="20">
        <f>VLOOKUP(Data[[#This Row],[DEVELOPMENT]],Ops_Priorities_and_Data_Clean[[development]:[ifnoext_comment]],15,FALSE)</f>
        <v>0</v>
      </c>
      <c r="AS294" s="20" t="str">
        <f>VLOOKUP(Data[[#This Row],[DEVELOPMENT]],Ops_Priorities_and_Data_Clean[[development]:[ifnoext_comment]],16,FALSE)</f>
        <v>NULL</v>
      </c>
      <c r="AT294" s="20" t="str">
        <f>VLOOKUP(Data[[#This Row],[DEVELOPMENT]],Ops_Priorities_and_Data_Clean[[development]:[ifnoext_comment]],17,FALSE)</f>
        <v>NULL</v>
      </c>
      <c r="AU294" s="20" t="str">
        <f>VLOOKUP(Data[[#This Row],[DEVELOPMENT]],Ops_Priorities_and_Data_Clean[[development]:[ifnoext_comment]],18,FALSE)</f>
        <v>NULL</v>
      </c>
      <c r="AV294" s="20" t="str">
        <f>VLOOKUP(Data[[#This Row],[DEVELOPMENT]],Ops_Priorities_and_Data_Clean[[development]:[ifnoext_comment]],19,FALSE)</f>
        <v>NULL</v>
      </c>
      <c r="AW294" s="20" t="str">
        <f>VLOOKUP(Data[[#This Row],[DEVELOPMENT]],Ops_Priorities_and_Data_Clean[[development]:[ifnoext_comment]],20,FALSE)</f>
        <v>NULL</v>
      </c>
      <c r="AX294" s="104" t="s">
        <v>2238</v>
      </c>
      <c r="AY294" s="104" t="s">
        <v>2673</v>
      </c>
      <c r="AZ294" s="20" t="str">
        <f>VLOOKUP(Data[[#This Row],[DEVELOPMENT]],Development_Data_Book[[DEVELOPMENT]:[PRIVATE MANAGEMENT]],8,FALSE)</f>
        <v>FEDERAL</v>
      </c>
      <c r="BA294" s="104" t="s">
        <v>2586</v>
      </c>
      <c r="BB294" s="20">
        <f>VLOOKUP(Data[[#This Row],[DEVELOPMENT]],Development_Data_Book[[DEVELOPMENT]:[PRIVATE MANAGEMENT]],22,FALSE)</f>
        <v>1</v>
      </c>
      <c r="BC294" s="20">
        <f>Data[[#This Row],[Non-Dwelling Buildings]]+Data[[#This Row],[Dwelling Buildings]]</f>
        <v>3</v>
      </c>
      <c r="BD294" s="20">
        <f>VLOOKUP(Data[[#This Row],[DEVELOPMENT]],Development_Data_Book[[DEVELOPMENT]:[PRIVATE MANAGEMENT]],26,FALSE)</f>
        <v>5.88</v>
      </c>
      <c r="BE294" s="106">
        <v>287200</v>
      </c>
      <c r="BF294" s="20">
        <f>VLOOKUP(Data[[#This Row],[DEVELOPMENT]],Development_Data_Book[[DEVELOPMENT]:[PRIVATE MANAGEMENT]],18,FALSE)</f>
        <v>333</v>
      </c>
      <c r="BG294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294" s="104" t="s">
        <v>2589</v>
      </c>
      <c r="BI294" t="s">
        <v>184</v>
      </c>
      <c r="BJ294" s="20">
        <f>VLOOKUP(Data[[#This Row],[DEVELOPMENT]],Development_Data_Book[[DEVELOPMENT]:[PRIVATE MANAGEMENT]],41,FALSE)</f>
        <v>5</v>
      </c>
      <c r="BK294" s="20">
        <f>VLOOKUP(Data[[#This Row],[DEVELOPMENT]],Development_Data_Book[[DEVELOPMENT]:[PRIVATE MANAGEMENT]],42,FALSE)</f>
        <v>8</v>
      </c>
      <c r="BL294" s="20">
        <f>VLOOKUP(Data[[#This Row],[DEVELOPMENT]],Development_Data_Book[[DEVELOPMENT]:[PRIVATE MANAGEMENT]],43,FALSE)</f>
        <v>19</v>
      </c>
      <c r="BM294" s="20">
        <f>VLOOKUP(Data[[#This Row],[DEVELOPMENT]],Development_Data_Book[[DEVELOPMENT]:[PRIVATE MANAGEMENT]],44,FALSE)</f>
        <v>60</v>
      </c>
      <c r="BN294" s="20">
        <f>VLOOKUP(Data[[#This Row],[DEVELOPMENT]],Development_Data_Book[[DEVELOPMENT]:[PRIVATE MANAGEMENT]],45,FALSE)</f>
        <v>42</v>
      </c>
      <c r="BO294" s="20">
        <f>VLOOKUP(Data[[#This Row],[DEVELOPMENT]],Development_Data_Book[[DEVELOPMENT]:[PRIVATE MANAGEMENT]],24,FALSE)</f>
        <v>10</v>
      </c>
    </row>
    <row r="295" spans="1:67">
      <c r="A295" s="17" t="s">
        <v>56</v>
      </c>
      <c r="B295" s="17" t="str">
        <f>VLOOKUP(Data[[#This Row],[DEVELOPMENT]],Development_Data_Book[[DEVELOPMENT]:[BOROUGH]],MATCH("borough",Development_Data_Book[[#Headers],[DEVELOPMENT]:[BOROUGH]],0),FALSE)</f>
        <v>MANHATTAN</v>
      </c>
      <c r="C295" t="e">
        <f>VLOOKUP(Data[[#This Row],[DEVELOPMENT]],'[1]Cheat-Sheet'!$D$2:$Q$341,2,FALSE)</f>
        <v>#N/A</v>
      </c>
      <c r="D29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95">
        <f>VLOOKUP(Data[[#This Row],[DEVELOPMENT]],Development_Data_Book[[DEVELOPMENT]:[BOROUGH]],21,FALSE)</f>
        <v>20</v>
      </c>
      <c r="F295">
        <f>VLOOKUP(Data[[#This Row],[DEVELOPMENT]],Development_Data_Book[[DEVELOPMENT]:[BOROUGH]],23,FALSE)</f>
        <v>46</v>
      </c>
      <c r="G295">
        <f>VLOOKUP(Data[[#This Row],[DEVELOPMENT]],Development_Data_Book[[DEVELOPMENT]:[BOROUGH]],12,FALSE)</f>
        <v>1527</v>
      </c>
      <c r="H295" t="s">
        <v>2246</v>
      </c>
      <c r="I295">
        <v>3</v>
      </c>
      <c r="J295">
        <f>IFERROR(VLOOKUP(Data[[#This Row],[DEVELOPMENT]],IntCompactors_MRST[],4,FALSE),0)</f>
        <v>46</v>
      </c>
      <c r="K295" s="20">
        <f>IFERROR(VLOOKUP(Data[[#This Row],[DEVELOPMENT]],ExtCompactors_MRST[],4,FALSE),0)</f>
        <v>0</v>
      </c>
      <c r="L295" s="27">
        <f>IF(Data[[#This Row],['# Interior Compactors MRST]]=0,"",VLOOKUP(Data[[#This Row],[DEVELOPMENT]],IntCompactors_MRST[],5,FALSE))</f>
        <v>36800</v>
      </c>
      <c r="M295" s="28" t="str">
        <f>IF(Data[[#This Row],['# Exterior Compactors MRST]]=0,"",VLOOKUP(Data[[#This Row],[DEVELOPMENT]],ExtCompactors_MRST[],5,FALSE))</f>
        <v/>
      </c>
      <c r="N295">
        <f>Data[[#This Row],['# Interior Compactors MRST]]</f>
        <v>46</v>
      </c>
      <c r="O295" s="20">
        <f>IF(Data[[#This Row],['# Bulk Crushers]]=0,1,0)</f>
        <v>1</v>
      </c>
      <c r="P295" s="20">
        <f>1</f>
        <v>1</v>
      </c>
      <c r="Q295" s="20">
        <f>1</f>
        <v>1</v>
      </c>
      <c r="R295" s="20">
        <f>1</f>
        <v>1</v>
      </c>
      <c r="S295" s="20">
        <f>1</f>
        <v>1</v>
      </c>
      <c r="T295" s="20">
        <f>IF(Data[[#This Row],[Sewershed]]="Newtown Creek",Data[[#This Row],[DUs]],0)</f>
        <v>1527</v>
      </c>
      <c r="U29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9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9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95" s="82">
        <f>VLOOKUP(Data[[#This Row],[DEVELOPMENT]],Development_Data_Book[[DEVELOPMENT]:[BOROUGH]],3,FALSE)</f>
        <v>6</v>
      </c>
      <c r="Y295" s="20" t="s">
        <v>2599</v>
      </c>
      <c r="Z295" s="20">
        <f>IFERROR(VLOOKUP(Data[[#This Row],[TDS]],ExtCompactors_PNA[[Development]:[0]],2,FALSE),0)</f>
        <v>0</v>
      </c>
      <c r="AA295" s="20">
        <f>IFERROR(VLOOKUP(Data[[#This Row],[TDS]],IntCompactors_PNA[[TDS]:[0]],2,FALSE),0)</f>
        <v>45</v>
      </c>
      <c r="AB295" s="20"/>
      <c r="AC295" s="20"/>
      <c r="AD295" s="20">
        <f>IFERROR(VLOOKUP(Data[[#This Row],[TDS]],ExtCompactors_PNA[[Development]:[0]],3,FALSE)+VLOOKUP(Data[[#This Row],[TDS]],ExtCompactors_PNA[[Development]:[0]],6,FALSE),0)</f>
        <v>0</v>
      </c>
      <c r="AE295" s="20">
        <f>IFERROR(VLOOKUP(Data[[#This Row],[TDS]],IntCompactors_PNA[[TDS]:[0]],3,FALSE)+VLOOKUP(Data[[#This Row],[TDS]],IntCompactors_PNA[[TDS]:[0]],6,FALSE),0)</f>
        <v>2</v>
      </c>
      <c r="AF295" s="20" t="e">
        <f>VLOOKUP(Data[[#This Row],[DEVELOPMENT]],[3]Developments!$A$2:$A$312,1,FALSE)</f>
        <v>#N/A</v>
      </c>
      <c r="AG295" s="20">
        <f>IFERROR(VLOOKUP(Data[[#This Row],[DEVELOPMENT]],Ops_Priorities_and_Data_Clean[[development]:[ifnoext_comment]],3,FALSE),"")</f>
        <v>0</v>
      </c>
      <c r="AH295" s="20">
        <f>IFERROR(VLOOKUP(Data[[#This Row],[DEVELOPMENT]],Ops_Priorities_and_Data_Clean[[development]:[ifnoext_comment]],4,FALSE),"")</f>
        <v>1</v>
      </c>
      <c r="AI295" s="20">
        <f>IFERROR(VLOOKUP(Data[[#This Row],[DEVELOPMENT]],Ops_Priorities_and_Data_Clean[[development]:[ifnoext_comment]],5,FALSE),"")</f>
        <v>0</v>
      </c>
      <c r="AJ295" s="20">
        <f>IFERROR(VLOOKUP(Data[[#This Row],[DEVELOPMENT]],Ops_Priorities_and_Data_Clean[[development]:[ifnoext_comment]],6,FALSE),"")</f>
        <v>0</v>
      </c>
      <c r="AK295" s="20">
        <f>IFERROR(VLOOKUP(Data[[#This Row],[DEVELOPMENT]],Ops_Priorities_and_Data_Clean[[development]:[ifnoext_comment]],7,FALSE),"")</f>
        <v>1</v>
      </c>
      <c r="AL295" s="20">
        <f>IFERROR(VLOOKUP(Data[[#This Row],[DEVELOPMENT]],Ops_Priorities_and_Data_Clean[[development]:[ifnoext_comment]],8,FALSE),"")</f>
        <v>1</v>
      </c>
      <c r="AM295" s="20">
        <f>IFERROR(VLOOKUP(Data[[#This Row],[DEVELOPMENT]],Ops_Priorities_and_Data_Clean[[development]:[ifnoext_comment]],9,FALSE),"")</f>
        <v>1</v>
      </c>
      <c r="AN295" s="20">
        <f>IFERROR(VLOOKUP(Data[[#This Row],[DEVELOPMENT]],Ops_Priorities_and_Data_Clean[[development]:[ifnoext_comment]],10,FALSE),"")</f>
        <v>0</v>
      </c>
      <c r="AO295" s="20">
        <f>IFERROR(VLOOKUP(Data[[#This Row],[DEVELOPMENT]],Ops_Priorities_and_Data_Clean[[development]:[ifnoext_comment]],11,FALSE),"")</f>
        <v>0</v>
      </c>
      <c r="AP295" s="20">
        <f>IFERROR(VLOOKUP(Data[[#This Row],[DEVELOPMENT]],Ops_Priorities_and_Data_Clean[[development]:[ifnoext_comment]],12,FALSE),"")</f>
        <v>0</v>
      </c>
      <c r="AQ295" s="20">
        <f>VLOOKUP(Data[[#This Row],[DEVELOPMENT]],Ops_Priorities_and_Data_Clean[[development]:[ifnoext_comment]],14,FALSE)</f>
        <v>1</v>
      </c>
      <c r="AR295" s="20">
        <f>VLOOKUP(Data[[#This Row],[DEVELOPMENT]],Ops_Priorities_and_Data_Clean[[development]:[ifnoext_comment]],15,FALSE)</f>
        <v>0</v>
      </c>
      <c r="AS295" s="20" t="str">
        <f>VLOOKUP(Data[[#This Row],[DEVELOPMENT]],Ops_Priorities_and_Data_Clean[[development]:[ifnoext_comment]],16,FALSE)</f>
        <v>NULL</v>
      </c>
      <c r="AT295" s="20" t="str">
        <f>VLOOKUP(Data[[#This Row],[DEVELOPMENT]],Ops_Priorities_and_Data_Clean[[development]:[ifnoext_comment]],17,FALSE)</f>
        <v>NULL</v>
      </c>
      <c r="AU295" s="20" t="str">
        <f>VLOOKUP(Data[[#This Row],[DEVELOPMENT]],Ops_Priorities_and_Data_Clean[[development]:[ifnoext_comment]],18,FALSE)</f>
        <v>Yes</v>
      </c>
      <c r="AV295" s="20" t="str">
        <f>VLOOKUP(Data[[#This Row],[DEVELOPMENT]],Ops_Priorities_and_Data_Clean[[development]:[ifnoext_comment]],19,FALSE)</f>
        <v>curbside- confirmed</v>
      </c>
      <c r="AW295" s="20" t="str">
        <f>VLOOKUP(Data[[#This Row],[DEVELOPMENT]],Ops_Priorities_and_Data_Clean[[development]:[ifnoext_comment]],20,FALSE)</f>
        <v>NULL</v>
      </c>
      <c r="AX295" s="104" t="s">
        <v>2239</v>
      </c>
      <c r="AY295" s="104" t="s">
        <v>2160</v>
      </c>
      <c r="AZ295" s="20" t="str">
        <f>VLOOKUP(Data[[#This Row],[DEVELOPMENT]],Development_Data_Book[[DEVELOPMENT]:[PRIVATE MANAGEMENT]],8,FALSE)</f>
        <v>FEDERAL</v>
      </c>
      <c r="BA295" s="104" t="s">
        <v>2586</v>
      </c>
      <c r="BB295" s="20">
        <f>VLOOKUP(Data[[#This Row],[DEVELOPMENT]],Development_Data_Book[[DEVELOPMENT]:[PRIVATE MANAGEMENT]],22,FALSE)</f>
        <v>0</v>
      </c>
      <c r="BC295" s="20">
        <f>Data[[#This Row],[Non-Dwelling Buildings]]+Data[[#This Row],[Dwelling Buildings]]</f>
        <v>20</v>
      </c>
      <c r="BD295" s="20">
        <f>VLOOKUP(Data[[#This Row],[DEVELOPMENT]],Development_Data_Book[[DEVELOPMENT]:[PRIVATE MANAGEMENT]],26,FALSE)</f>
        <v>13</v>
      </c>
      <c r="BE295" s="106">
        <v>1190112</v>
      </c>
      <c r="BF295" s="20">
        <f>VLOOKUP(Data[[#This Row],[DEVELOPMENT]],Development_Data_Book[[DEVELOPMENT]:[PRIVATE MANAGEMENT]],18,FALSE)</f>
        <v>2894</v>
      </c>
      <c r="BG29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95" s="104" t="s">
        <v>2607</v>
      </c>
      <c r="BI295" t="s">
        <v>184</v>
      </c>
      <c r="BJ295" s="20">
        <f>VLOOKUP(Data[[#This Row],[DEVELOPMENT]],Development_Data_Book[[DEVELOPMENT]:[PRIVATE MANAGEMENT]],41,FALSE)</f>
        <v>3</v>
      </c>
      <c r="BK295" s="20">
        <f>VLOOKUP(Data[[#This Row],[DEVELOPMENT]],Development_Data_Book[[DEVELOPMENT]:[PRIVATE MANAGEMENT]],42,FALSE)</f>
        <v>7</v>
      </c>
      <c r="BL295" s="20">
        <f>VLOOKUP(Data[[#This Row],[DEVELOPMENT]],Development_Data_Book[[DEVELOPMENT]:[PRIVATE MANAGEMENT]],43,FALSE)</f>
        <v>26</v>
      </c>
      <c r="BM295" s="20">
        <f>VLOOKUP(Data[[#This Row],[DEVELOPMENT]],Development_Data_Book[[DEVELOPMENT]:[PRIVATE MANAGEMENT]],44,FALSE)</f>
        <v>65</v>
      </c>
      <c r="BN295" s="20">
        <f>VLOOKUP(Data[[#This Row],[DEVELOPMENT]],Development_Data_Book[[DEVELOPMENT]:[PRIVATE MANAGEMENT]],45,FALSE)</f>
        <v>2</v>
      </c>
      <c r="BO295" s="20">
        <f>VLOOKUP(Data[[#This Row],[DEVELOPMENT]],Development_Data_Book[[DEVELOPMENT]:[PRIVATE MANAGEMENT]],24,FALSE)</f>
        <v>6</v>
      </c>
    </row>
    <row r="296" spans="1:67">
      <c r="A296" s="17" t="s">
        <v>108</v>
      </c>
      <c r="B296" s="17" t="str">
        <f>VLOOKUP(Data[[#This Row],[DEVELOPMENT]],Development_Data_Book[[DEVELOPMENT]:[BOROUGH]],MATCH("borough",Development_Data_Book[[#Headers],[DEVELOPMENT]:[BOROUGH]],0),FALSE)</f>
        <v>MANHATTAN</v>
      </c>
      <c r="C296" t="e">
        <f>VLOOKUP(Data[[#This Row],[DEVELOPMENT]],'[1]Cheat-Sheet'!$D$2:$Q$341,2,FALSE)</f>
        <v>#N/A</v>
      </c>
      <c r="D29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96">
        <f>VLOOKUP(Data[[#This Row],[DEVELOPMENT]],Development_Data_Book[[DEVELOPMENT]:[BOROUGH]],21,FALSE)</f>
        <v>4</v>
      </c>
      <c r="F296">
        <f>VLOOKUP(Data[[#This Row],[DEVELOPMENT]],Development_Data_Book[[DEVELOPMENT]:[BOROUGH]],23,FALSE)</f>
        <v>8</v>
      </c>
      <c r="G296">
        <f>VLOOKUP(Data[[#This Row],[DEVELOPMENT]],Development_Data_Book[[DEVELOPMENT]:[BOROUGH]],12,FALSE)</f>
        <v>240</v>
      </c>
      <c r="H296" t="s">
        <v>2246</v>
      </c>
      <c r="I296">
        <v>4</v>
      </c>
      <c r="J296">
        <f>IFERROR(VLOOKUP(Data[[#This Row],[DEVELOPMENT]],IntCompactors_MRST[],4,FALSE),0)</f>
        <v>8</v>
      </c>
      <c r="K296" s="20">
        <f>IFERROR(VLOOKUP(Data[[#This Row],[DEVELOPMENT]],ExtCompactors_MRST[],4,FALSE),0)</f>
        <v>0</v>
      </c>
      <c r="L296" s="27">
        <f>IF(Data[[#This Row],['# Interior Compactors MRST]]=0,"",VLOOKUP(Data[[#This Row],[DEVELOPMENT]],IntCompactors_MRST[],5,FALSE))</f>
        <v>36800</v>
      </c>
      <c r="M296" s="28" t="str">
        <f>IF(Data[[#This Row],['# Exterior Compactors MRST]]=0,"",VLOOKUP(Data[[#This Row],[DEVELOPMENT]],ExtCompactors_MRST[],5,FALSE))</f>
        <v/>
      </c>
      <c r="N296">
        <f>Data[[#This Row],['# Interior Compactors MRST]]</f>
        <v>8</v>
      </c>
      <c r="O296" s="20">
        <f>IF(Data[[#This Row],['# Bulk Crushers]]=0,1,0)</f>
        <v>1</v>
      </c>
      <c r="P296" s="20">
        <f>1</f>
        <v>1</v>
      </c>
      <c r="Q296" s="20">
        <f>1</f>
        <v>1</v>
      </c>
      <c r="R296" s="20">
        <f>1</f>
        <v>1</v>
      </c>
      <c r="S296" s="20">
        <f>1</f>
        <v>1</v>
      </c>
      <c r="T296" s="20">
        <f>IF(Data[[#This Row],[Sewershed]]="Newtown Creek",Data[[#This Row],[DUs]],0)</f>
        <v>240</v>
      </c>
      <c r="U29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29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29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296" s="82">
        <f>VLOOKUP(Data[[#This Row],[DEVELOPMENT]],Development_Data_Book[[DEVELOPMENT]:[BOROUGH]],3,FALSE)</f>
        <v>7</v>
      </c>
      <c r="Y296" s="20" t="s">
        <v>2599</v>
      </c>
      <c r="Z296" s="20">
        <f>IFERROR(VLOOKUP(Data[[#This Row],[TDS]],ExtCompactors_PNA[[Development]:[0]],2,FALSE),0)</f>
        <v>0</v>
      </c>
      <c r="AA296" s="20">
        <f>IFERROR(VLOOKUP(Data[[#This Row],[TDS]],IntCompactors_PNA[[TDS]:[0]],2,FALSE),0)</f>
        <v>7</v>
      </c>
      <c r="AB296" s="20"/>
      <c r="AC296" s="20"/>
      <c r="AD296" s="20">
        <f>IFERROR(VLOOKUP(Data[[#This Row],[TDS]],ExtCompactors_PNA[[Development]:[0]],3,FALSE)+VLOOKUP(Data[[#This Row],[TDS]],ExtCompactors_PNA[[Development]:[0]],6,FALSE),0)</f>
        <v>0</v>
      </c>
      <c r="AE296" s="20">
        <f>IFERROR(VLOOKUP(Data[[#This Row],[TDS]],IntCompactors_PNA[[TDS]:[0]],3,FALSE)+VLOOKUP(Data[[#This Row],[TDS]],IntCompactors_PNA[[TDS]:[0]],6,FALSE),0)</f>
        <v>7</v>
      </c>
      <c r="AF296" s="20" t="e">
        <f>VLOOKUP(Data[[#This Row],[DEVELOPMENT]],[3]Developments!$A$2:$A$312,1,FALSE)</f>
        <v>#N/A</v>
      </c>
      <c r="AG296" s="20">
        <f>IFERROR(VLOOKUP(Data[[#This Row],[DEVELOPMENT]],Ops_Priorities_and_Data_Clean[[development]:[ifnoext_comment]],3,FALSE),"")</f>
        <v>0</v>
      </c>
      <c r="AH296" s="20">
        <f>IFERROR(VLOOKUP(Data[[#This Row],[DEVELOPMENT]],Ops_Priorities_and_Data_Clean[[development]:[ifnoext_comment]],4,FALSE),"")</f>
        <v>0</v>
      </c>
      <c r="AI296" s="20">
        <f>IFERROR(VLOOKUP(Data[[#This Row],[DEVELOPMENT]],Ops_Priorities_and_Data_Clean[[development]:[ifnoext_comment]],5,FALSE),"")</f>
        <v>0</v>
      </c>
      <c r="AJ296" s="20">
        <f>IFERROR(VLOOKUP(Data[[#This Row],[DEVELOPMENT]],Ops_Priorities_and_Data_Clean[[development]:[ifnoext_comment]],6,FALSE),"")</f>
        <v>0</v>
      </c>
      <c r="AK296" s="20">
        <f>IFERROR(VLOOKUP(Data[[#This Row],[DEVELOPMENT]],Ops_Priorities_and_Data_Clean[[development]:[ifnoext_comment]],7,FALSE),"")</f>
        <v>1</v>
      </c>
      <c r="AL296" s="20">
        <f>IFERROR(VLOOKUP(Data[[#This Row],[DEVELOPMENT]],Ops_Priorities_and_Data_Clean[[development]:[ifnoext_comment]],8,FALSE),"")</f>
        <v>1</v>
      </c>
      <c r="AM296" s="20">
        <f>IFERROR(VLOOKUP(Data[[#This Row],[DEVELOPMENT]],Ops_Priorities_and_Data_Clean[[development]:[ifnoext_comment]],9,FALSE),"")</f>
        <v>0</v>
      </c>
      <c r="AN296" s="20">
        <f>IFERROR(VLOOKUP(Data[[#This Row],[DEVELOPMENT]],Ops_Priorities_and_Data_Clean[[development]:[ifnoext_comment]],10,FALSE),"")</f>
        <v>0</v>
      </c>
      <c r="AO296" s="20">
        <f>IFERROR(VLOOKUP(Data[[#This Row],[DEVELOPMENT]],Ops_Priorities_and_Data_Clean[[development]:[ifnoext_comment]],11,FALSE),"")</f>
        <v>0</v>
      </c>
      <c r="AP296" s="20">
        <f>IFERROR(VLOOKUP(Data[[#This Row],[DEVELOPMENT]],Ops_Priorities_and_Data_Clean[[development]:[ifnoext_comment]],12,FALSE),"")</f>
        <v>0</v>
      </c>
      <c r="AQ296" s="20">
        <f>VLOOKUP(Data[[#This Row],[DEVELOPMENT]],Ops_Priorities_and_Data_Clean[[development]:[ifnoext_comment]],14,FALSE)</f>
        <v>1</v>
      </c>
      <c r="AR296" s="20">
        <f>VLOOKUP(Data[[#This Row],[DEVELOPMENT]],Ops_Priorities_and_Data_Clean[[development]:[ifnoext_comment]],15,FALSE)</f>
        <v>0</v>
      </c>
      <c r="AS296" s="20" t="str">
        <f>VLOOKUP(Data[[#This Row],[DEVELOPMENT]],Ops_Priorities_and_Data_Clean[[development]:[ifnoext_comment]],16,FALSE)</f>
        <v>NULL</v>
      </c>
      <c r="AT296" s="20" t="str">
        <f>VLOOKUP(Data[[#This Row],[DEVELOPMENT]],Ops_Priorities_and_Data_Clean[[development]:[ifnoext_comment]],17,FALSE)</f>
        <v>NULL</v>
      </c>
      <c r="AU296" s="20" t="str">
        <f>VLOOKUP(Data[[#This Row],[DEVELOPMENT]],Ops_Priorities_and_Data_Clean[[development]:[ifnoext_comment]],18,FALSE)</f>
        <v>Yes</v>
      </c>
      <c r="AV296" s="20" t="str">
        <f>VLOOKUP(Data[[#This Row],[DEVELOPMENT]],Ops_Priorities_and_Data_Clean[[development]:[ifnoext_comment]],19,FALSE)</f>
        <v>curbside- confirmed</v>
      </c>
      <c r="AW296" s="20" t="str">
        <f>VLOOKUP(Data[[#This Row],[DEVELOPMENT]],Ops_Priorities_and_Data_Clean[[development]:[ifnoext_comment]],20,FALSE)</f>
        <v>NULL</v>
      </c>
      <c r="AX296" s="104" t="s">
        <v>2239</v>
      </c>
      <c r="AY296" s="104" t="s">
        <v>2160</v>
      </c>
      <c r="AZ296" s="20" t="str">
        <f>VLOOKUP(Data[[#This Row],[DEVELOPMENT]],Development_Data_Book[[DEVELOPMENT]:[PRIVATE MANAGEMENT]],8,FALSE)</f>
        <v>FEDERAL</v>
      </c>
      <c r="BA296" s="104" t="s">
        <v>2586</v>
      </c>
      <c r="BB296" s="20">
        <f>VLOOKUP(Data[[#This Row],[DEVELOPMENT]],Development_Data_Book[[DEVELOPMENT]:[PRIVATE MANAGEMENT]],22,FALSE)</f>
        <v>0</v>
      </c>
      <c r="BC296" s="20">
        <f>Data[[#This Row],[Non-Dwelling Buildings]]+Data[[#This Row],[Dwelling Buildings]]</f>
        <v>4</v>
      </c>
      <c r="BD296" s="20">
        <f>VLOOKUP(Data[[#This Row],[DEVELOPMENT]],Development_Data_Book[[DEVELOPMENT]:[PRIVATE MANAGEMENT]],26,FALSE)</f>
        <v>2.23</v>
      </c>
      <c r="BE296" s="106">
        <v>201144</v>
      </c>
      <c r="BF296" s="20">
        <f>VLOOKUP(Data[[#This Row],[DEVELOPMENT]],Development_Data_Book[[DEVELOPMENT]:[PRIVATE MANAGEMENT]],18,FALSE)</f>
        <v>545</v>
      </c>
      <c r="BG29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96" s="104" t="s">
        <v>2607</v>
      </c>
      <c r="BI296" t="s">
        <v>184</v>
      </c>
      <c r="BJ296" s="20">
        <f>VLOOKUP(Data[[#This Row],[DEVELOPMENT]],Development_Data_Book[[DEVELOPMENT]:[PRIVATE MANAGEMENT]],41,FALSE)</f>
        <v>3</v>
      </c>
      <c r="BK296" s="20">
        <f>VLOOKUP(Data[[#This Row],[DEVELOPMENT]],Development_Data_Book[[DEVELOPMENT]:[PRIVATE MANAGEMENT]],42,FALSE)</f>
        <v>7</v>
      </c>
      <c r="BL296" s="20">
        <f>VLOOKUP(Data[[#This Row],[DEVELOPMENT]],Development_Data_Book[[DEVELOPMENT]:[PRIVATE MANAGEMENT]],43,FALSE)</f>
        <v>26</v>
      </c>
      <c r="BM296" s="20">
        <f>VLOOKUP(Data[[#This Row],[DEVELOPMENT]],Development_Data_Book[[DEVELOPMENT]:[PRIVATE MANAGEMENT]],44,FALSE)</f>
        <v>65</v>
      </c>
      <c r="BN296" s="20">
        <f>VLOOKUP(Data[[#This Row],[DEVELOPMENT]],Development_Data_Book[[DEVELOPMENT]:[PRIVATE MANAGEMENT]],45,FALSE)</f>
        <v>2</v>
      </c>
      <c r="BO296" s="20">
        <f>VLOOKUP(Data[[#This Row],[DEVELOPMENT]],Development_Data_Book[[DEVELOPMENT]:[PRIVATE MANAGEMENT]],24,FALSE)</f>
        <v>6</v>
      </c>
    </row>
    <row r="297" spans="1:67">
      <c r="A297" t="s">
        <v>127</v>
      </c>
      <c r="B297" t="str">
        <f>VLOOKUP(Data[[#This Row],[DEVELOPMENT]],Development_Data_Book[[DEVELOPMENT]:[BOROUGH]],MATCH("borough",Development_Data_Book[[#Headers],[DEVELOPMENT]:[BOROUGH]],0),FALSE)</f>
        <v>MANHATTAN</v>
      </c>
      <c r="C297" t="e">
        <f>VLOOKUP(Data[[#This Row],[DEVELOPMENT]],'[1]Cheat-Sheet'!$D$2:$Q$341,2,FALSE)</f>
        <v>#N/A</v>
      </c>
      <c r="D29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297">
        <f>VLOOKUP(Data[[#This Row],[DEVELOPMENT]],Development_Data_Book[[DEVELOPMENT]:[BOROUGH]],21,FALSE)</f>
        <v>22</v>
      </c>
      <c r="F297">
        <f>VLOOKUP(Data[[#This Row],[DEVELOPMENT]],Development_Data_Book[[DEVELOPMENT]:[BOROUGH]],23,FALSE)</f>
        <v>22</v>
      </c>
      <c r="G297">
        <f>VLOOKUP(Data[[#This Row],[DEVELOPMENT]],Development_Data_Book[[DEVELOPMENT]:[BOROUGH]],12,FALSE)</f>
        <v>2151</v>
      </c>
      <c r="H297" t="s">
        <v>2247</v>
      </c>
      <c r="I297">
        <v>4</v>
      </c>
      <c r="J297">
        <f>IFERROR(VLOOKUP(Data[[#This Row],[DEVELOPMENT]],IntCompactors_MRST[],4,FALSE),0)</f>
        <v>22</v>
      </c>
      <c r="K297" s="20">
        <f>IFERROR(VLOOKUP(Data[[#This Row],[DEVELOPMENT]],ExtCompactors_MRST[],4,FALSE),0)</f>
        <v>5</v>
      </c>
      <c r="L297" s="27">
        <f>IF(Data[[#This Row],['# Interior Compactors MRST]]=0,"",VLOOKUP(Data[[#This Row],[DEVELOPMENT]],IntCompactors_MRST[],5,FALSE))</f>
        <v>36281</v>
      </c>
      <c r="M297" s="28">
        <f>IF(Data[[#This Row],['# Exterior Compactors MRST]]=0,"",VLOOKUP(Data[[#This Row],[DEVELOPMENT]],ExtCompactors_MRST[],5,FALSE))</f>
        <v>39112</v>
      </c>
      <c r="N297">
        <f>Data[[#This Row],['# Interior Compactors MRST]]</f>
        <v>22</v>
      </c>
      <c r="O297" s="20">
        <f>IF(Data[[#This Row],['# Bulk Crushers]]=0,1,0)</f>
        <v>1</v>
      </c>
      <c r="P297" s="20">
        <f>1</f>
        <v>1</v>
      </c>
      <c r="Q297" s="20">
        <f>1</f>
        <v>1</v>
      </c>
      <c r="R297" s="20">
        <f>1</f>
        <v>1</v>
      </c>
      <c r="S297" s="20">
        <f>1</f>
        <v>1</v>
      </c>
      <c r="T297" s="20">
        <f>IF(Data[[#This Row],[Sewershed]]="Newtown Creek",Data[[#This Row],[DUs]],0)</f>
        <v>0</v>
      </c>
      <c r="U29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9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9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97" s="82">
        <f>VLOOKUP(Data[[#This Row],[DEVELOPMENT]],Development_Data_Book[[DEVELOPMENT]:[BOROUGH]],3,FALSE)</f>
        <v>74</v>
      </c>
      <c r="Y297" s="20"/>
      <c r="Z297" s="20">
        <f>IFERROR(VLOOKUP(Data[[#This Row],[TDS]],ExtCompactors_PNA[[Development]:[0]],2,FALSE),0)</f>
        <v>4</v>
      </c>
      <c r="AA297" s="20">
        <f>IFERROR(VLOOKUP(Data[[#This Row],[TDS]],IntCompactors_PNA[[TDS]:[0]],2,FALSE),0)</f>
        <v>22</v>
      </c>
      <c r="AB297" s="20"/>
      <c r="AC297" s="20"/>
      <c r="AD297" s="20">
        <f>IFERROR(VLOOKUP(Data[[#This Row],[TDS]],ExtCompactors_PNA[[Development]:[0]],3,FALSE)+VLOOKUP(Data[[#This Row],[TDS]],ExtCompactors_PNA[[Development]:[0]],6,FALSE),0)</f>
        <v>4</v>
      </c>
      <c r="AE297" s="20">
        <f>IFERROR(VLOOKUP(Data[[#This Row],[TDS]],IntCompactors_PNA[[TDS]:[0]],3,FALSE)+VLOOKUP(Data[[#This Row],[TDS]],IntCompactors_PNA[[TDS]:[0]],6,FALSE),0)</f>
        <v>22</v>
      </c>
      <c r="AF297" s="20" t="e">
        <f>VLOOKUP(Data[[#This Row],[DEVELOPMENT]],[3]Developments!$A$2:$A$312,1,FALSE)</f>
        <v>#N/A</v>
      </c>
      <c r="AG297" s="20">
        <f>IFERROR(VLOOKUP(Data[[#This Row],[DEVELOPMENT]],Ops_Priorities_and_Data_Clean[[development]:[ifnoext_comment]],3,FALSE),"")</f>
        <v>5</v>
      </c>
      <c r="AH297" s="20">
        <f>IFERROR(VLOOKUP(Data[[#This Row],[DEVELOPMENT]],Ops_Priorities_and_Data_Clean[[development]:[ifnoext_comment]],4,FALSE),"")</f>
        <v>0</v>
      </c>
      <c r="AI297" s="20">
        <f>IFERROR(VLOOKUP(Data[[#This Row],[DEVELOPMENT]],Ops_Priorities_and_Data_Clean[[development]:[ifnoext_comment]],5,FALSE),"")</f>
        <v>1</v>
      </c>
      <c r="AJ297" s="20">
        <f>IFERROR(VLOOKUP(Data[[#This Row],[DEVELOPMENT]],Ops_Priorities_and_Data_Clean[[development]:[ifnoext_comment]],6,FALSE),"")</f>
        <v>0</v>
      </c>
      <c r="AK297" s="20">
        <f>IFERROR(VLOOKUP(Data[[#This Row],[DEVELOPMENT]],Ops_Priorities_and_Data_Clean[[development]:[ifnoext_comment]],7,FALSE),"")</f>
        <v>0</v>
      </c>
      <c r="AL297" s="20">
        <f>IFERROR(VLOOKUP(Data[[#This Row],[DEVELOPMENT]],Ops_Priorities_and_Data_Clean[[development]:[ifnoext_comment]],8,FALSE),"")</f>
        <v>1</v>
      </c>
      <c r="AM297" s="20">
        <f>IFERROR(VLOOKUP(Data[[#This Row],[DEVELOPMENT]],Ops_Priorities_and_Data_Clean[[development]:[ifnoext_comment]],9,FALSE),"")</f>
        <v>0</v>
      </c>
      <c r="AN297" s="20">
        <f>IFERROR(VLOOKUP(Data[[#This Row],[DEVELOPMENT]],Ops_Priorities_and_Data_Clean[[development]:[ifnoext_comment]],10,FALSE),"")</f>
        <v>3</v>
      </c>
      <c r="AO297" s="20">
        <f>IFERROR(VLOOKUP(Data[[#This Row],[DEVELOPMENT]],Ops_Priorities_and_Data_Clean[[development]:[ifnoext_comment]],11,FALSE),"")</f>
        <v>5</v>
      </c>
      <c r="AP297" s="20">
        <f>IFERROR(VLOOKUP(Data[[#This Row],[DEVELOPMENT]],Ops_Priorities_and_Data_Clean[[development]:[ifnoext_comment]],12,FALSE),"")</f>
        <v>5</v>
      </c>
      <c r="AQ297" s="20">
        <f>VLOOKUP(Data[[#This Row],[DEVELOPMENT]],Ops_Priorities_and_Data_Clean[[development]:[ifnoext_comment]],14,FALSE)</f>
        <v>0</v>
      </c>
      <c r="AR297" s="20">
        <f>VLOOKUP(Data[[#This Row],[DEVELOPMENT]],Ops_Priorities_and_Data_Clean[[development]:[ifnoext_comment]],15,FALSE)</f>
        <v>0</v>
      </c>
      <c r="AS297" s="20" t="str">
        <f>VLOOKUP(Data[[#This Row],[DEVELOPMENT]],Ops_Priorities_and_Data_Clean[[development]:[ifnoext_comment]],16,FALSE)</f>
        <v>NULL</v>
      </c>
      <c r="AT297" s="20" t="str">
        <f>VLOOKUP(Data[[#This Row],[DEVELOPMENT]],Ops_Priorities_and_Data_Clean[[development]:[ifnoext_comment]],17,FALSE)</f>
        <v>NULL</v>
      </c>
      <c r="AU297" s="20" t="str">
        <f>VLOOKUP(Data[[#This Row],[DEVELOPMENT]],Ops_Priorities_and_Data_Clean[[development]:[ifnoext_comment]],18,FALSE)</f>
        <v>NULL</v>
      </c>
      <c r="AV297" s="20" t="str">
        <f>VLOOKUP(Data[[#This Row],[DEVELOPMENT]],Ops_Priorities_and_Data_Clean[[development]:[ifnoext_comment]],19,FALSE)</f>
        <v>NULL</v>
      </c>
      <c r="AW297" s="20" t="str">
        <f>VLOOKUP(Data[[#This Row],[DEVELOPMENT]],Ops_Priorities_and_Data_Clean[[development]:[ifnoext_comment]],20,FALSE)</f>
        <v>NULL</v>
      </c>
      <c r="AX297" s="104" t="s">
        <v>2602</v>
      </c>
      <c r="AY297" s="104" t="s">
        <v>2660</v>
      </c>
      <c r="AZ297" s="20" t="str">
        <f>VLOOKUP(Data[[#This Row],[DEVELOPMENT]],Development_Data_Book[[DEVELOPMENT]:[PRIVATE MANAGEMENT]],8,FALSE)</f>
        <v>FEDERAL</v>
      </c>
      <c r="BA297" s="104" t="s">
        <v>2586</v>
      </c>
      <c r="BB297" s="20">
        <f>VLOOKUP(Data[[#This Row],[DEVELOPMENT]],Development_Data_Book[[DEVELOPMENT]:[PRIVATE MANAGEMENT]],22,FALSE)</f>
        <v>1</v>
      </c>
      <c r="BC297" s="20">
        <f>Data[[#This Row],[Non-Dwelling Buildings]]+Data[[#This Row],[Dwelling Buildings]]</f>
        <v>23</v>
      </c>
      <c r="BD297" s="20">
        <f>VLOOKUP(Data[[#This Row],[DEVELOPMENT]],Development_Data_Book[[DEVELOPMENT]:[PRIVATE MANAGEMENT]],26,FALSE)</f>
        <v>26.91</v>
      </c>
      <c r="BE297" s="106">
        <v>1982310</v>
      </c>
      <c r="BF297" s="20">
        <f>VLOOKUP(Data[[#This Row],[DEVELOPMENT]],Development_Data_Book[[DEVELOPMENT]:[PRIVATE MANAGEMENT]],18,FALSE)</f>
        <v>4814</v>
      </c>
      <c r="BG29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97" s="104" t="s">
        <v>2604</v>
      </c>
      <c r="BI297" t="s">
        <v>183</v>
      </c>
      <c r="BJ297" s="20">
        <f>VLOOKUP(Data[[#This Row],[DEVELOPMENT]],Development_Data_Book[[DEVELOPMENT]:[PRIVATE MANAGEMENT]],41,FALSE)</f>
        <v>11</v>
      </c>
      <c r="BK297" s="20">
        <f>VLOOKUP(Data[[#This Row],[DEVELOPMENT]],Development_Data_Book[[DEVELOPMENT]:[PRIVATE MANAGEMENT]],42,FALSE)</f>
        <v>13</v>
      </c>
      <c r="BL297" s="20">
        <f>VLOOKUP(Data[[#This Row],[DEVELOPMENT]],Development_Data_Book[[DEVELOPMENT]:[PRIVATE MANAGEMENT]],43,FALSE)</f>
        <v>30</v>
      </c>
      <c r="BM297" s="20">
        <f>VLOOKUP(Data[[#This Row],[DEVELOPMENT]],Development_Data_Book[[DEVELOPMENT]:[PRIVATE MANAGEMENT]],44,FALSE)</f>
        <v>68</v>
      </c>
      <c r="BN297" s="20">
        <f>VLOOKUP(Data[[#This Row],[DEVELOPMENT]],Development_Data_Book[[DEVELOPMENT]:[PRIVATE MANAGEMENT]],45,FALSE)</f>
        <v>8</v>
      </c>
      <c r="BO297" s="20">
        <f>VLOOKUP(Data[[#This Row],[DEVELOPMENT]],Development_Data_Book[[DEVELOPMENT]:[PRIVATE MANAGEMENT]],24,FALSE)</f>
        <v>43662</v>
      </c>
    </row>
    <row r="298" spans="1:67">
      <c r="A298" s="17" t="s">
        <v>66</v>
      </c>
      <c r="B298" s="17" t="str">
        <f>VLOOKUP(Data[[#This Row],[DEVELOPMENT]],Development_Data_Book[[DEVELOPMENT]:[BOROUGH]],MATCH("borough",Development_Data_Book[[#Headers],[DEVELOPMENT]:[BOROUGH]],0),FALSE)</f>
        <v>MANHATTAN</v>
      </c>
      <c r="C298" t="e">
        <f>VLOOKUP(Data[[#This Row],[DEVELOPMENT]],'[1]Cheat-Sheet'!$D$2:$Q$341,2,FALSE)</f>
        <v>#N/A</v>
      </c>
      <c r="D29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298">
        <f>VLOOKUP(Data[[#This Row],[DEVELOPMENT]],Development_Data_Book[[DEVELOPMENT]:[BOROUGH]],21,FALSE)</f>
        <v>16</v>
      </c>
      <c r="F298">
        <f>VLOOKUP(Data[[#This Row],[DEVELOPMENT]],Development_Data_Book[[DEVELOPMENT]:[BOROUGH]],23,FALSE)</f>
        <v>19</v>
      </c>
      <c r="G298">
        <f>VLOOKUP(Data[[#This Row],[DEVELOPMENT]],Development_Data_Book[[DEVELOPMENT]:[BOROUGH]],12,FALSE)</f>
        <v>1861</v>
      </c>
      <c r="H298" t="s">
        <v>2246</v>
      </c>
      <c r="I298">
        <v>4</v>
      </c>
      <c r="J298">
        <f>IFERROR(VLOOKUP(Data[[#This Row],[DEVELOPMENT]],IntCompactors_MRST[],4,FALSE),0)</f>
        <v>16</v>
      </c>
      <c r="K298" s="20">
        <f>IFERROR(VLOOKUP(Data[[#This Row],[DEVELOPMENT]],ExtCompactors_MRST[],4,FALSE),0)</f>
        <v>3</v>
      </c>
      <c r="L298" s="27">
        <f>IF(Data[[#This Row],['# Interior Compactors MRST]]=0,"",VLOOKUP(Data[[#This Row],[DEVELOPMENT]],IntCompactors_MRST[],5,FALSE))</f>
        <v>43647</v>
      </c>
      <c r="M298" s="28">
        <f>IF(Data[[#This Row],['# Exterior Compactors MRST]]=0,"",VLOOKUP(Data[[#This Row],[DEVELOPMENT]],ExtCompactors_MRST[],5,FALSE))</f>
        <v>37492</v>
      </c>
      <c r="N298">
        <f>Data[[#This Row],['# Interior Compactors MRST]]</f>
        <v>16</v>
      </c>
      <c r="O298" s="20">
        <f>IF(Data[[#This Row],['# Bulk Crushers]]=0,1,0)</f>
        <v>1</v>
      </c>
      <c r="P298" s="20">
        <f>1</f>
        <v>1</v>
      </c>
      <c r="Q298" s="20">
        <f>1</f>
        <v>1</v>
      </c>
      <c r="R298" s="20">
        <f>1</f>
        <v>1</v>
      </c>
      <c r="S298" s="20">
        <f>1</f>
        <v>1</v>
      </c>
      <c r="T298" s="20">
        <f>IF(Data[[#This Row],[Sewershed]]="Newtown Creek",Data[[#This Row],[DUs]],0)</f>
        <v>1861</v>
      </c>
      <c r="U29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9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9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98" s="82">
        <f>VLOOKUP(Data[[#This Row],[DEVELOPMENT]],Development_Data_Book[[DEVELOPMENT]:[BOROUGH]],3,FALSE)</f>
        <v>23</v>
      </c>
      <c r="Y298" s="20" t="s">
        <v>2599</v>
      </c>
      <c r="Z298" s="20">
        <f>IFERROR(VLOOKUP(Data[[#This Row],[TDS]],ExtCompactors_PNA[[Development]:[0]],2,FALSE),0)</f>
        <v>3</v>
      </c>
      <c r="AA298" s="20">
        <f>IFERROR(VLOOKUP(Data[[#This Row],[TDS]],IntCompactors_PNA[[TDS]:[0]],2,FALSE),0)</f>
        <v>17</v>
      </c>
      <c r="AB298" s="20"/>
      <c r="AC298" s="20"/>
      <c r="AD298" s="20">
        <f>IFERROR(VLOOKUP(Data[[#This Row],[TDS]],ExtCompactors_PNA[[Development]:[0]],3,FALSE)+VLOOKUP(Data[[#This Row],[TDS]],ExtCompactors_PNA[[Development]:[0]],6,FALSE),0)</f>
        <v>3</v>
      </c>
      <c r="AE298" s="20">
        <f>IFERROR(VLOOKUP(Data[[#This Row],[TDS]],IntCompactors_PNA[[TDS]:[0]],3,FALSE)+VLOOKUP(Data[[#This Row],[TDS]],IntCompactors_PNA[[TDS]:[0]],6,FALSE),0)</f>
        <v>17</v>
      </c>
      <c r="AF298" s="20" t="e">
        <f>VLOOKUP(Data[[#This Row],[DEVELOPMENT]],[3]Developments!$A$2:$A$312,1,FALSE)</f>
        <v>#N/A</v>
      </c>
      <c r="AG298" s="20">
        <f>IFERROR(VLOOKUP(Data[[#This Row],[DEVELOPMENT]],Ops_Priorities_and_Data_Clean[[development]:[ifnoext_comment]],3,FALSE),"")</f>
        <v>3</v>
      </c>
      <c r="AH298" s="20">
        <f>IFERROR(VLOOKUP(Data[[#This Row],[DEVELOPMENT]],Ops_Priorities_and_Data_Clean[[development]:[ifnoext_comment]],4,FALSE),"")</f>
        <v>0</v>
      </c>
      <c r="AI298" s="20">
        <f>IFERROR(VLOOKUP(Data[[#This Row],[DEVELOPMENT]],Ops_Priorities_and_Data_Clean[[development]:[ifnoext_comment]],5,FALSE),"")</f>
        <v>1</v>
      </c>
      <c r="AJ298" s="20">
        <f>IFERROR(VLOOKUP(Data[[#This Row],[DEVELOPMENT]],Ops_Priorities_and_Data_Clean[[development]:[ifnoext_comment]],6,FALSE),"")</f>
        <v>0</v>
      </c>
      <c r="AK298" s="20">
        <f>IFERROR(VLOOKUP(Data[[#This Row],[DEVELOPMENT]],Ops_Priorities_and_Data_Clean[[development]:[ifnoext_comment]],7,FALSE),"")</f>
        <v>0</v>
      </c>
      <c r="AL298" s="20">
        <f>IFERROR(VLOOKUP(Data[[#This Row],[DEVELOPMENT]],Ops_Priorities_and_Data_Clean[[development]:[ifnoext_comment]],8,FALSE),"")</f>
        <v>1</v>
      </c>
      <c r="AM298" s="20">
        <f>IFERROR(VLOOKUP(Data[[#This Row],[DEVELOPMENT]],Ops_Priorities_and_Data_Clean[[development]:[ifnoext_comment]],9,FALSE),"")</f>
        <v>0</v>
      </c>
      <c r="AN298" s="20">
        <f>IFERROR(VLOOKUP(Data[[#This Row],[DEVELOPMENT]],Ops_Priorities_and_Data_Clean[[development]:[ifnoext_comment]],10,FALSE),"")</f>
        <v>3</v>
      </c>
      <c r="AO298" s="20">
        <f>IFERROR(VLOOKUP(Data[[#This Row],[DEVELOPMENT]],Ops_Priorities_and_Data_Clean[[development]:[ifnoext_comment]],11,FALSE),"")</f>
        <v>3</v>
      </c>
      <c r="AP298" s="20">
        <f>IFERROR(VLOOKUP(Data[[#This Row],[DEVELOPMENT]],Ops_Priorities_and_Data_Clean[[development]:[ifnoext_comment]],12,FALSE),"")</f>
        <v>4</v>
      </c>
      <c r="AQ298" s="20">
        <f>VLOOKUP(Data[[#This Row],[DEVELOPMENT]],Ops_Priorities_and_Data_Clean[[development]:[ifnoext_comment]],14,FALSE)</f>
        <v>0</v>
      </c>
      <c r="AR298" s="20">
        <f>VLOOKUP(Data[[#This Row],[DEVELOPMENT]],Ops_Priorities_and_Data_Clean[[development]:[ifnoext_comment]],15,FALSE)</f>
        <v>0</v>
      </c>
      <c r="AS298" s="20" t="str">
        <f>VLOOKUP(Data[[#This Row],[DEVELOPMENT]],Ops_Priorities_and_Data_Clean[[development]:[ifnoext_comment]],16,FALSE)</f>
        <v>NULL</v>
      </c>
      <c r="AT298" s="20" t="str">
        <f>VLOOKUP(Data[[#This Row],[DEVELOPMENT]],Ops_Priorities_and_Data_Clean[[development]:[ifnoext_comment]],17,FALSE)</f>
        <v>NULL</v>
      </c>
      <c r="AU298" s="20" t="str">
        <f>VLOOKUP(Data[[#This Row],[DEVELOPMENT]],Ops_Priorities_and_Data_Clean[[development]:[ifnoext_comment]],18,FALSE)</f>
        <v>No</v>
      </c>
      <c r="AV298" s="20" t="str">
        <f>VLOOKUP(Data[[#This Row],[DEVELOPMENT]],Ops_Priorities_and_Data_Clean[[development]:[ifnoext_comment]],19,FALSE)</f>
        <v>container on-site</v>
      </c>
      <c r="AW298" s="20" t="str">
        <f>VLOOKUP(Data[[#This Row],[DEVELOPMENT]],Ops_Priorities_and_Data_Clean[[development]:[ifnoext_comment]],20,FALSE)</f>
        <v>NULL</v>
      </c>
      <c r="AX298" s="104" t="s">
        <v>2239</v>
      </c>
      <c r="AY298" s="104" t="s">
        <v>2160</v>
      </c>
      <c r="AZ298" s="20" t="str">
        <f>VLOOKUP(Data[[#This Row],[DEVELOPMENT]],Development_Data_Book[[DEVELOPMENT]:[PRIVATE MANAGEMENT]],8,FALSE)</f>
        <v>FEDERAL</v>
      </c>
      <c r="BA298" s="104" t="s">
        <v>2586</v>
      </c>
      <c r="BB298" s="20">
        <f>VLOOKUP(Data[[#This Row],[DEVELOPMENT]],Development_Data_Book[[DEVELOPMENT]:[PRIVATE MANAGEMENT]],22,FALSE)</f>
        <v>2</v>
      </c>
      <c r="BC298" s="20">
        <f>Data[[#This Row],[Non-Dwelling Buildings]]+Data[[#This Row],[Dwelling Buildings]]</f>
        <v>18</v>
      </c>
      <c r="BD298" s="20">
        <f>VLOOKUP(Data[[#This Row],[DEVELOPMENT]],Development_Data_Book[[DEVELOPMENT]:[PRIVATE MANAGEMENT]],26,FALSE)</f>
        <v>16.46</v>
      </c>
      <c r="BE298" s="106">
        <v>1702331</v>
      </c>
      <c r="BF298" s="20">
        <f>VLOOKUP(Data[[#This Row],[DEVELOPMENT]],Development_Data_Book[[DEVELOPMENT]:[PRIVATE MANAGEMENT]],18,FALSE)</f>
        <v>3985</v>
      </c>
      <c r="BG29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98" s="104" t="s">
        <v>2607</v>
      </c>
      <c r="BI298" t="s">
        <v>184</v>
      </c>
      <c r="BJ298" s="20">
        <f>VLOOKUP(Data[[#This Row],[DEVELOPMENT]],Development_Data_Book[[DEVELOPMENT]:[PRIVATE MANAGEMENT]],41,FALSE)</f>
        <v>3</v>
      </c>
      <c r="BK298" s="20">
        <f>VLOOKUP(Data[[#This Row],[DEVELOPMENT]],Development_Data_Book[[DEVELOPMENT]:[PRIVATE MANAGEMENT]],42,FALSE)</f>
        <v>7</v>
      </c>
      <c r="BL298" s="20">
        <f>VLOOKUP(Data[[#This Row],[DEVELOPMENT]],Development_Data_Book[[DEVELOPMENT]:[PRIVATE MANAGEMENT]],43,FALSE)</f>
        <v>26</v>
      </c>
      <c r="BM298" s="20">
        <f>VLOOKUP(Data[[#This Row],[DEVELOPMENT]],Development_Data_Book[[DEVELOPMENT]:[PRIVATE MANAGEMENT]],44,FALSE)</f>
        <v>74</v>
      </c>
      <c r="BN298" s="20">
        <f>VLOOKUP(Data[[#This Row],[DEVELOPMENT]],Development_Data_Book[[DEVELOPMENT]:[PRIVATE MANAGEMENT]],45,FALSE)</f>
        <v>2</v>
      </c>
      <c r="BO298" s="20">
        <f>VLOOKUP(Data[[#This Row],[DEVELOPMENT]],Development_Data_Book[[DEVELOPMENT]:[PRIVATE MANAGEMENT]],24,FALSE)</f>
        <v>43783</v>
      </c>
    </row>
    <row r="299" spans="1:67">
      <c r="A299" t="s">
        <v>137</v>
      </c>
      <c r="B299" t="str">
        <f>VLOOKUP(Data[[#This Row],[DEVELOPMENT]],Development_Data_Book[[DEVELOPMENT]:[BOROUGH]],MATCH("borough",Development_Data_Book[[#Headers],[DEVELOPMENT]:[BOROUGH]],0),FALSE)</f>
        <v>MANHATTAN</v>
      </c>
      <c r="C299" t="e">
        <f>VLOOKUP(Data[[#This Row],[DEVELOPMENT]],'[1]Cheat-Sheet'!$D$2:$Q$341,2,FALSE)</f>
        <v>#N/A</v>
      </c>
      <c r="D29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2022-2025</v>
      </c>
      <c r="E299">
        <f>VLOOKUP(Data[[#This Row],[DEVELOPMENT]],Development_Data_Book[[DEVELOPMENT]:[BOROUGH]],21,FALSE)</f>
        <v>14</v>
      </c>
      <c r="F299">
        <f>VLOOKUP(Data[[#This Row],[DEVELOPMENT]],Development_Data_Book[[DEVELOPMENT]:[BOROUGH]],23,FALSE)</f>
        <v>18</v>
      </c>
      <c r="G299">
        <f>VLOOKUP(Data[[#This Row],[DEVELOPMENT]],Development_Data_Book[[DEVELOPMENT]:[BOROUGH]],12,FALSE)</f>
        <v>1515</v>
      </c>
      <c r="H299" t="s">
        <v>2247</v>
      </c>
      <c r="I299">
        <v>2</v>
      </c>
      <c r="J299">
        <f>IFERROR(VLOOKUP(Data[[#This Row],[DEVELOPMENT]],IntCompactors_MRST[],4,FALSE),0)</f>
        <v>14</v>
      </c>
      <c r="K299" s="20">
        <f>IFERROR(VLOOKUP(Data[[#This Row],[DEVELOPMENT]],ExtCompactors_MRST[],4,FALSE),0)</f>
        <v>4</v>
      </c>
      <c r="L299" s="27">
        <f>IF(Data[[#This Row],['# Interior Compactors MRST]]=0,"",VLOOKUP(Data[[#This Row],[DEVELOPMENT]],IntCompactors_MRST[],5,FALSE))</f>
        <v>40198</v>
      </c>
      <c r="M299" s="28">
        <f>IF(Data[[#This Row],['# Exterior Compactors MRST]]=0,"",VLOOKUP(Data[[#This Row],[DEVELOPMENT]],ExtCompactors_MRST[],5,FALSE))</f>
        <v>40909</v>
      </c>
      <c r="N299">
        <f>Data[[#This Row],['# Interior Compactors MRST]]</f>
        <v>14</v>
      </c>
      <c r="O299" s="20">
        <f>IF(Data[[#This Row],['# Bulk Crushers]]=0,1,0)</f>
        <v>0</v>
      </c>
      <c r="P299" s="20">
        <f>1</f>
        <v>1</v>
      </c>
      <c r="Q299" s="20">
        <f>1</f>
        <v>1</v>
      </c>
      <c r="R299" s="20">
        <f>1</f>
        <v>1</v>
      </c>
      <c r="S299" s="20">
        <f>1</f>
        <v>1</v>
      </c>
      <c r="T299" s="20">
        <f>IF(Data[[#This Row],[Sewershed]]="Newtown Creek",Data[[#This Row],[DUs]],0)</f>
        <v>0</v>
      </c>
      <c r="U29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29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29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299" s="82">
        <f>VLOOKUP(Data[[#This Row],[DEVELOPMENT]],Development_Data_Book[[DEVELOPMENT]:[BOROUGH]],3,FALSE)</f>
        <v>62</v>
      </c>
      <c r="Y299" s="20"/>
      <c r="Z299" s="20">
        <f>IFERROR(VLOOKUP(Data[[#This Row],[TDS]],ExtCompactors_PNA[[Development]:[0]],2,FALSE),0)</f>
        <v>1</v>
      </c>
      <c r="AA299" s="20">
        <f>IFERROR(VLOOKUP(Data[[#This Row],[TDS]],IntCompactors_PNA[[TDS]:[0]],2,FALSE),0)</f>
        <v>14</v>
      </c>
      <c r="AB299" s="20">
        <v>1</v>
      </c>
      <c r="AC299" s="20"/>
      <c r="AD299" s="20">
        <f>IFERROR(VLOOKUP(Data[[#This Row],[TDS]],ExtCompactors_PNA[[Development]:[0]],3,FALSE)+VLOOKUP(Data[[#This Row],[TDS]],ExtCompactors_PNA[[Development]:[0]],6,FALSE),0)</f>
        <v>1</v>
      </c>
      <c r="AE299" s="20">
        <f>IFERROR(VLOOKUP(Data[[#This Row],[TDS]],IntCompactors_PNA[[TDS]:[0]],3,FALSE)+VLOOKUP(Data[[#This Row],[TDS]],IntCompactors_PNA[[TDS]:[0]],6,FALSE),0)</f>
        <v>14</v>
      </c>
      <c r="AF299" s="20" t="e">
        <f>VLOOKUP(Data[[#This Row],[DEVELOPMENT]],[3]Developments!$A$2:$A$312,1,FALSE)</f>
        <v>#N/A</v>
      </c>
      <c r="AG299" s="20">
        <f>IFERROR(VLOOKUP(Data[[#This Row],[DEVELOPMENT]],Ops_Priorities_and_Data_Clean[[development]:[ifnoext_comment]],3,FALSE),"")</f>
        <v>4</v>
      </c>
      <c r="AH299" s="20">
        <f>IFERROR(VLOOKUP(Data[[#This Row],[DEVELOPMENT]],Ops_Priorities_and_Data_Clean[[development]:[ifnoext_comment]],4,FALSE),"")</f>
        <v>4</v>
      </c>
      <c r="AI299" s="20">
        <f>IFERROR(VLOOKUP(Data[[#This Row],[DEVELOPMENT]],Ops_Priorities_and_Data_Clean[[development]:[ifnoext_comment]],5,FALSE),"")</f>
        <v>1</v>
      </c>
      <c r="AJ299" s="20">
        <f>IFERROR(VLOOKUP(Data[[#This Row],[DEVELOPMENT]],Ops_Priorities_and_Data_Clean[[development]:[ifnoext_comment]],6,FALSE),"")</f>
        <v>0</v>
      </c>
      <c r="AK299" s="20">
        <f>IFERROR(VLOOKUP(Data[[#This Row],[DEVELOPMENT]],Ops_Priorities_and_Data_Clean[[development]:[ifnoext_comment]],7,FALSE),"")</f>
        <v>0</v>
      </c>
      <c r="AL299" s="20">
        <f>IFERROR(VLOOKUP(Data[[#This Row],[DEVELOPMENT]],Ops_Priorities_and_Data_Clean[[development]:[ifnoext_comment]],8,FALSE),"")</f>
        <v>1</v>
      </c>
      <c r="AM299" s="20">
        <f>IFERROR(VLOOKUP(Data[[#This Row],[DEVELOPMENT]],Ops_Priorities_and_Data_Clean[[development]:[ifnoext_comment]],9,FALSE),"")</f>
        <v>0</v>
      </c>
      <c r="AN299" s="20">
        <f>IFERROR(VLOOKUP(Data[[#This Row],[DEVELOPMENT]],Ops_Priorities_and_Data_Clean[[development]:[ifnoext_comment]],10,FALSE),"")</f>
        <v>4</v>
      </c>
      <c r="AO299" s="20">
        <f>IFERROR(VLOOKUP(Data[[#This Row],[DEVELOPMENT]],Ops_Priorities_and_Data_Clean[[development]:[ifnoext_comment]],11,FALSE),"")</f>
        <v>4</v>
      </c>
      <c r="AP299" s="20">
        <f>IFERROR(VLOOKUP(Data[[#This Row],[DEVELOPMENT]],Ops_Priorities_and_Data_Clean[[development]:[ifnoext_comment]],12,FALSE),"")</f>
        <v>5</v>
      </c>
      <c r="AQ299" s="20">
        <f>VLOOKUP(Data[[#This Row],[DEVELOPMENT]],Ops_Priorities_and_Data_Clean[[development]:[ifnoext_comment]],14,FALSE)</f>
        <v>0</v>
      </c>
      <c r="AR299" s="20">
        <f>VLOOKUP(Data[[#This Row],[DEVELOPMENT]],Ops_Priorities_and_Data_Clean[[development]:[ifnoext_comment]],15,FALSE)</f>
        <v>0</v>
      </c>
      <c r="AS299" s="20" t="str">
        <f>VLOOKUP(Data[[#This Row],[DEVELOPMENT]],Ops_Priorities_and_Data_Clean[[development]:[ifnoext_comment]],16,FALSE)</f>
        <v>NULL</v>
      </c>
      <c r="AT299" s="20" t="str">
        <f>VLOOKUP(Data[[#This Row],[DEVELOPMENT]],Ops_Priorities_and_Data_Clean[[development]:[ifnoext_comment]],17,FALSE)</f>
        <v>NULL</v>
      </c>
      <c r="AU299" s="20" t="str">
        <f>VLOOKUP(Data[[#This Row],[DEVELOPMENT]],Ops_Priorities_and_Data_Clean[[development]:[ifnoext_comment]],18,FALSE)</f>
        <v>NULL</v>
      </c>
      <c r="AV299" s="20" t="str">
        <f>VLOOKUP(Data[[#This Row],[DEVELOPMENT]],Ops_Priorities_and_Data_Clean[[development]:[ifnoext_comment]],19,FALSE)</f>
        <v>NULL</v>
      </c>
      <c r="AW299" s="20" t="str">
        <f>VLOOKUP(Data[[#This Row],[DEVELOPMENT]],Ops_Priorities_and_Data_Clean[[development]:[ifnoext_comment]],20,FALSE)</f>
        <v>NULL</v>
      </c>
      <c r="AX299" s="104" t="s">
        <v>2239</v>
      </c>
      <c r="AY299" s="104" t="s">
        <v>2603</v>
      </c>
      <c r="AZ299" s="20" t="str">
        <f>VLOOKUP(Data[[#This Row],[DEVELOPMENT]],Development_Data_Book[[DEVELOPMENT]:[PRIVATE MANAGEMENT]],8,FALSE)</f>
        <v>FEDERAL</v>
      </c>
      <c r="BA299" s="104" t="s">
        <v>2586</v>
      </c>
      <c r="BB299" s="20">
        <f>VLOOKUP(Data[[#This Row],[DEVELOPMENT]],Development_Data_Book[[DEVELOPMENT]:[PRIVATE MANAGEMENT]],22,FALSE)</f>
        <v>1</v>
      </c>
      <c r="BC299" s="20">
        <f>Data[[#This Row],[Non-Dwelling Buildings]]+Data[[#This Row],[Dwelling Buildings]]</f>
        <v>15</v>
      </c>
      <c r="BD299" s="20">
        <f>VLOOKUP(Data[[#This Row],[DEVELOPMENT]],Development_Data_Book[[DEVELOPMENT]:[PRIVATE MANAGEMENT]],26,FALSE)</f>
        <v>20.82</v>
      </c>
      <c r="BE299" s="106">
        <v>1404388</v>
      </c>
      <c r="BF299" s="20">
        <f>VLOOKUP(Data[[#This Row],[DEVELOPMENT]],Development_Data_Book[[DEVELOPMENT]:[PRIVATE MANAGEMENT]],18,FALSE)</f>
        <v>3416</v>
      </c>
      <c r="BG29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299" s="104" t="s">
        <v>2604</v>
      </c>
      <c r="BI299" t="s">
        <v>184</v>
      </c>
      <c r="BJ299" s="20">
        <f>VLOOKUP(Data[[#This Row],[DEVELOPMENT]],Development_Data_Book[[DEVELOPMENT]:[PRIVATE MANAGEMENT]],41,FALSE)</f>
        <v>11</v>
      </c>
      <c r="BK299" s="20">
        <f>VLOOKUP(Data[[#This Row],[DEVELOPMENT]],Development_Data_Book[[DEVELOPMENT]:[PRIVATE MANAGEMENT]],42,FALSE)</f>
        <v>13</v>
      </c>
      <c r="BL299" s="20">
        <f>VLOOKUP(Data[[#This Row],[DEVELOPMENT]],Development_Data_Book[[DEVELOPMENT]:[PRIVATE MANAGEMENT]],43,FALSE)</f>
        <v>29</v>
      </c>
      <c r="BM299" s="20">
        <f>VLOOKUP(Data[[#This Row],[DEVELOPMENT]],Development_Data_Book[[DEVELOPMENT]:[PRIVATE MANAGEMENT]],44,FALSE)</f>
        <v>68</v>
      </c>
      <c r="BN299" s="20">
        <f>VLOOKUP(Data[[#This Row],[DEVELOPMENT]],Development_Data_Book[[DEVELOPMENT]:[PRIVATE MANAGEMENT]],45,FALSE)</f>
        <v>8</v>
      </c>
      <c r="BO299" s="20" t="str">
        <f>VLOOKUP(Data[[#This Row],[DEVELOPMENT]],Development_Data_Book[[DEVELOPMENT]:[PRIVATE MANAGEMENT]],24,FALSE)</f>
        <v>2, 12-14</v>
      </c>
    </row>
    <row r="300" spans="1:67">
      <c r="A300" t="s">
        <v>376</v>
      </c>
      <c r="B300" s="20" t="str">
        <f>VLOOKUP(Data[[#This Row],[DEVELOPMENT]],Development_Data_Book[[DEVELOPMENT]:[BOROUGH]],MATCH("borough",Development_Data_Book[[#Headers],[DEVELOPMENT]:[BOROUGH]],0),FALSE)</f>
        <v>MANHATTAN</v>
      </c>
      <c r="C300" s="20" t="e">
        <f>VLOOKUP(Data[[#This Row],[DEVELOPMENT]],'[1]Cheat-Sheet'!$D$2:$Q$341,2,FALSE)</f>
        <v>#N/A</v>
      </c>
      <c r="D30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300" s="20">
        <f>VLOOKUP(Data[[#This Row],[DEVELOPMENT]],Development_Data_Book[[DEVELOPMENT]:[BOROUGH]],21,FALSE)</f>
        <v>5</v>
      </c>
      <c r="F300" s="20">
        <f>VLOOKUP(Data[[#This Row],[DEVELOPMENT]],Development_Data_Book[[DEVELOPMENT]:[BOROUGH]],23,FALSE)</f>
        <v>6</v>
      </c>
      <c r="G300" s="20">
        <f>VLOOKUP(Data[[#This Row],[DEVELOPMENT]],Development_Data_Book[[DEVELOPMENT]:[BOROUGH]],12,FALSE)</f>
        <v>215</v>
      </c>
      <c r="J300">
        <f>IFERROR(VLOOKUP(Data[[#This Row],[DEVELOPMENT]],IntCompactors_MRST[],4,FALSE),0)</f>
        <v>7</v>
      </c>
      <c r="K300" s="20">
        <f>IFERROR(VLOOKUP(Data[[#This Row],[DEVELOPMENT]],ExtCompactors_MRST[],4,FALSE),0)</f>
        <v>0</v>
      </c>
      <c r="L300" s="27">
        <f>IF(Data[[#This Row],['# Interior Compactors MRST]]=0,"",VLOOKUP(Data[[#This Row],[DEVELOPMENT]],IntCompactors_MRST[],5,FALSE))</f>
        <v>40813</v>
      </c>
      <c r="M300" s="28" t="str">
        <f>IF(Data[[#This Row],['# Exterior Compactors MRST]]=0,"",VLOOKUP(Data[[#This Row],[DEVELOPMENT]],ExtCompactors_MRST[],5,FALSE))</f>
        <v/>
      </c>
      <c r="N300" s="20">
        <f>Data[[#This Row],['# Interior Compactors MRST]]</f>
        <v>7</v>
      </c>
      <c r="O300" s="20">
        <f>IF(Data[[#This Row],['# Bulk Crushers]]=0,1,0)</f>
        <v>1</v>
      </c>
      <c r="P300" s="20">
        <f>1</f>
        <v>1</v>
      </c>
      <c r="Q300" s="20">
        <f>1</f>
        <v>1</v>
      </c>
      <c r="R300" s="20">
        <f>1</f>
        <v>1</v>
      </c>
      <c r="S300" s="20">
        <f>1</f>
        <v>1</v>
      </c>
      <c r="T300" s="20">
        <f>IF(Data[[#This Row],[Sewershed]]="Newtown Creek",Data[[#This Row],[DUs]],0)</f>
        <v>0</v>
      </c>
      <c r="U30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0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0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00" s="82">
        <f>VLOOKUP(Data[[#This Row],[DEVELOPMENT]],Development_Data_Book[[DEVELOPMENT]:[BOROUGH]],3,FALSE)</f>
        <v>293</v>
      </c>
      <c r="Y300" s="20"/>
      <c r="Z300" s="20">
        <f>IFERROR(VLOOKUP(Data[[#This Row],[TDS]],ExtCompactors_PNA[[Development]:[0]],2,FALSE),0)</f>
        <v>0</v>
      </c>
      <c r="AA300" s="20">
        <f>IFERROR(VLOOKUP(Data[[#This Row],[TDS]],IntCompactors_PNA[[TDS]:[0]],2,FALSE),0)</f>
        <v>6</v>
      </c>
      <c r="AB300" s="20"/>
      <c r="AC300" s="20"/>
      <c r="AD300" s="20">
        <f>IFERROR(VLOOKUP(Data[[#This Row],[TDS]],ExtCompactors_PNA[[Development]:[0]],3,FALSE)+VLOOKUP(Data[[#This Row],[TDS]],ExtCompactors_PNA[[Development]:[0]],6,FALSE),0)</f>
        <v>0</v>
      </c>
      <c r="AE300" s="20">
        <f>IFERROR(VLOOKUP(Data[[#This Row],[TDS]],IntCompactors_PNA[[TDS]:[0]],3,FALSE)+VLOOKUP(Data[[#This Row],[TDS]],IntCompactors_PNA[[TDS]:[0]],6,FALSE),0)</f>
        <v>6</v>
      </c>
      <c r="AF300" s="20" t="e">
        <f>VLOOKUP(Data[[#This Row],[DEVELOPMENT]],[3]Developments!$A$2:$A$312,1,FALSE)</f>
        <v>#N/A</v>
      </c>
      <c r="AG300" s="20">
        <f>IFERROR(VLOOKUP(Data[[#This Row],[DEVELOPMENT]],Ops_Priorities_and_Data_Clean[[development]:[ifnoext_comment]],3,FALSE),"")</f>
        <v>0</v>
      </c>
      <c r="AH300" s="20">
        <f>IFERROR(VLOOKUP(Data[[#This Row],[DEVELOPMENT]],Ops_Priorities_and_Data_Clean[[development]:[ifnoext_comment]],4,FALSE),"")</f>
        <v>0</v>
      </c>
      <c r="AI300" s="20">
        <f>IFERROR(VLOOKUP(Data[[#This Row],[DEVELOPMENT]],Ops_Priorities_and_Data_Clean[[development]:[ifnoext_comment]],5,FALSE),"")</f>
        <v>0</v>
      </c>
      <c r="AJ300" s="20">
        <f>IFERROR(VLOOKUP(Data[[#This Row],[DEVELOPMENT]],Ops_Priorities_and_Data_Clean[[development]:[ifnoext_comment]],6,FALSE),"")</f>
        <v>0</v>
      </c>
      <c r="AK300" s="20">
        <f>IFERROR(VLOOKUP(Data[[#This Row],[DEVELOPMENT]],Ops_Priorities_and_Data_Clean[[development]:[ifnoext_comment]],7,FALSE),"")</f>
        <v>1</v>
      </c>
      <c r="AL300" s="20">
        <f>IFERROR(VLOOKUP(Data[[#This Row],[DEVELOPMENT]],Ops_Priorities_and_Data_Clean[[development]:[ifnoext_comment]],8,FALSE),"")</f>
        <v>1</v>
      </c>
      <c r="AM300" s="20">
        <f>IFERROR(VLOOKUP(Data[[#This Row],[DEVELOPMENT]],Ops_Priorities_and_Data_Clean[[development]:[ifnoext_comment]],9,FALSE),"")</f>
        <v>0</v>
      </c>
      <c r="AN300" s="20">
        <f>IFERROR(VLOOKUP(Data[[#This Row],[DEVELOPMENT]],Ops_Priorities_and_Data_Clean[[development]:[ifnoext_comment]],10,FALSE),"")</f>
        <v>0</v>
      </c>
      <c r="AO300" s="20">
        <f>IFERROR(VLOOKUP(Data[[#This Row],[DEVELOPMENT]],Ops_Priorities_and_Data_Clean[[development]:[ifnoext_comment]],11,FALSE),"")</f>
        <v>0</v>
      </c>
      <c r="AP300" s="20">
        <f>IFERROR(VLOOKUP(Data[[#This Row],[DEVELOPMENT]],Ops_Priorities_and_Data_Clean[[development]:[ifnoext_comment]],12,FALSE),"")</f>
        <v>0</v>
      </c>
      <c r="AQ300" s="20">
        <f>VLOOKUP(Data[[#This Row],[DEVELOPMENT]],Ops_Priorities_and_Data_Clean[[development]:[ifnoext_comment]],14,FALSE)</f>
        <v>1</v>
      </c>
      <c r="AR300" s="20">
        <f>VLOOKUP(Data[[#This Row],[DEVELOPMENT]],Ops_Priorities_and_Data_Clean[[development]:[ifnoext_comment]],15,FALSE)</f>
        <v>0</v>
      </c>
      <c r="AS300" s="20" t="str">
        <f>VLOOKUP(Data[[#This Row],[DEVELOPMENT]],Ops_Priorities_and_Data_Clean[[development]:[ifnoext_comment]],16,FALSE)</f>
        <v>NULL</v>
      </c>
      <c r="AT300" s="20" t="str">
        <f>VLOOKUP(Data[[#This Row],[DEVELOPMENT]],Ops_Priorities_and_Data_Clean[[development]:[ifnoext_comment]],17,FALSE)</f>
        <v>NULL</v>
      </c>
      <c r="AU300" s="20" t="str">
        <f>VLOOKUP(Data[[#This Row],[DEVELOPMENT]],Ops_Priorities_and_Data_Clean[[development]:[ifnoext_comment]],18,FALSE)</f>
        <v>yes</v>
      </c>
      <c r="AV300" s="20" t="str">
        <f>VLOOKUP(Data[[#This Row],[DEVELOPMENT]],Ops_Priorities_and_Data_Clean[[development]:[ifnoext_comment]],19,FALSE)</f>
        <v>Curbside pickup for DSNY</v>
      </c>
      <c r="AW300" s="20" t="str">
        <f>VLOOKUP(Data[[#This Row],[DEVELOPMENT]],Ops_Priorities_and_Data_Clean[[development]:[ifnoext_comment]],20,FALSE)</f>
        <v>NULL</v>
      </c>
      <c r="AX300" s="104" t="s">
        <v>2239</v>
      </c>
      <c r="AY300" s="104" t="s">
        <v>2625</v>
      </c>
      <c r="AZ300" s="20" t="str">
        <f>VLOOKUP(Data[[#This Row],[DEVELOPMENT]],Development_Data_Book[[DEVELOPMENT]:[PRIVATE MANAGEMENT]],8,FALSE)</f>
        <v>FEDERAL</v>
      </c>
      <c r="BA300" s="104" t="s">
        <v>2586</v>
      </c>
      <c r="BB300" s="20">
        <f>VLOOKUP(Data[[#This Row],[DEVELOPMENT]],Development_Data_Book[[DEVELOPMENT]:[PRIVATE MANAGEMENT]],22,FALSE)</f>
        <v>0</v>
      </c>
      <c r="BC300" s="20">
        <f>Data[[#This Row],[Non-Dwelling Buildings]]+Data[[#This Row],[Dwelling Buildings]]</f>
        <v>5</v>
      </c>
      <c r="BD300" s="20">
        <f>VLOOKUP(Data[[#This Row],[DEVELOPMENT]],Development_Data_Book[[DEVELOPMENT]:[PRIVATE MANAGEMENT]],26,FALSE)</f>
        <v>1.32</v>
      </c>
      <c r="BE300" s="106">
        <v>204600</v>
      </c>
      <c r="BF300" s="20">
        <f>VLOOKUP(Data[[#This Row],[DEVELOPMENT]],Development_Data_Book[[DEVELOPMENT]:[PRIVATE MANAGEMENT]],18,FALSE)</f>
        <v>406</v>
      </c>
      <c r="BG30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00" s="104" t="s">
        <v>2593</v>
      </c>
      <c r="BI300" t="s">
        <v>184</v>
      </c>
      <c r="BJ300" s="20">
        <f>VLOOKUP(Data[[#This Row],[DEVELOPMENT]],Development_Data_Book[[DEVELOPMENT]:[PRIVATE MANAGEMENT]],41,FALSE)</f>
        <v>12</v>
      </c>
      <c r="BK300" s="20">
        <f>VLOOKUP(Data[[#This Row],[DEVELOPMENT]],Development_Data_Book[[DEVELOPMENT]:[PRIVATE MANAGEMENT]],42,FALSE)</f>
        <v>13</v>
      </c>
      <c r="BL300" s="20">
        <f>VLOOKUP(Data[[#This Row],[DEVELOPMENT]],Development_Data_Book[[DEVELOPMENT]:[PRIVATE MANAGEMENT]],43,FALSE)</f>
        <v>31</v>
      </c>
      <c r="BM300" s="20">
        <f>VLOOKUP(Data[[#This Row],[DEVELOPMENT]],Development_Data_Book[[DEVELOPMENT]:[PRIVATE MANAGEMENT]],44,FALSE)</f>
        <v>72</v>
      </c>
      <c r="BN300" s="20">
        <f>VLOOKUP(Data[[#This Row],[DEVELOPMENT]],Development_Data_Book[[DEVELOPMENT]:[PRIVATE MANAGEMENT]],45,FALSE)</f>
        <v>10</v>
      </c>
      <c r="BO300" s="20">
        <f>VLOOKUP(Data[[#This Row],[DEVELOPMENT]],Development_Data_Book[[DEVELOPMENT]:[PRIVATE MANAGEMENT]],24,FALSE)</f>
        <v>43591</v>
      </c>
    </row>
    <row r="301" spans="1:67">
      <c r="A301" t="s">
        <v>101</v>
      </c>
      <c r="B301" t="str">
        <f>VLOOKUP(Data[[#This Row],[DEVELOPMENT]],Development_Data_Book[[DEVELOPMENT]:[BOROUGH]],MATCH("borough",Development_Data_Book[[#Headers],[DEVELOPMENT]:[BOROUGH]],0),FALSE)</f>
        <v>MANHATTAN</v>
      </c>
      <c r="C301" t="s">
        <v>117</v>
      </c>
      <c r="D30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301">
        <f>VLOOKUP(Data[[#This Row],[DEVELOPMENT]],Development_Data_Book[[DEVELOPMENT]:[BOROUGH]],21,FALSE)</f>
        <v>8</v>
      </c>
      <c r="F301">
        <f>VLOOKUP(Data[[#This Row],[DEVELOPMENT]],Development_Data_Book[[DEVELOPMENT]:[BOROUGH]],23,FALSE)</f>
        <v>8</v>
      </c>
      <c r="G301">
        <f>VLOOKUP(Data[[#This Row],[DEVELOPMENT]],Development_Data_Book[[DEVELOPMENT]:[BOROUGH]],12,FALSE)</f>
        <v>102</v>
      </c>
      <c r="H301" t="s">
        <v>2248</v>
      </c>
      <c r="I301">
        <v>4</v>
      </c>
      <c r="J301">
        <f>IFERROR(VLOOKUP(Data[[#This Row],[DEVELOPMENT]],IntCompactors_MRST[],4,FALSE),0)</f>
        <v>0</v>
      </c>
      <c r="K301" s="20">
        <f>IFERROR(VLOOKUP(Data[[#This Row],[DEVELOPMENT]],ExtCompactors_MRST[],4,FALSE),0)</f>
        <v>0</v>
      </c>
      <c r="L301" s="27" t="str">
        <f>IF(Data[[#This Row],['# Interior Compactors MRST]]=0,"",VLOOKUP(Data[[#This Row],[DEVELOPMENT]],IntCompactors_MRST[],5,FALSE))</f>
        <v/>
      </c>
      <c r="M301" s="28" t="str">
        <f>IF(Data[[#This Row],['# Exterior Compactors MRST]]=0,"",VLOOKUP(Data[[#This Row],[DEVELOPMENT]],ExtCompactors_MRST[],5,FALSE))</f>
        <v/>
      </c>
      <c r="N301">
        <f>Data[[#This Row],['# Interior Compactors MRST]]</f>
        <v>0</v>
      </c>
      <c r="O301" s="20">
        <f>IF(Data[[#This Row],['# Bulk Crushers]]=0,1,0)</f>
        <v>1</v>
      </c>
      <c r="P301" s="20">
        <f>1</f>
        <v>1</v>
      </c>
      <c r="Q301" s="20">
        <f>1</f>
        <v>1</v>
      </c>
      <c r="R301" s="20">
        <f>1</f>
        <v>1</v>
      </c>
      <c r="S301" s="20">
        <f>1</f>
        <v>1</v>
      </c>
      <c r="T301" s="20">
        <f>IF(Data[[#This Row],[Sewershed]]="Newtown Creek",Data[[#This Row],[DUs]],0)</f>
        <v>0</v>
      </c>
      <c r="U30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0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0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01" s="82" t="str">
        <f>VLOOKUP(Data[[#This Row],[DEVELOPMENT]],Development_Data_Book[[DEVELOPMENT]:[BOROUGH]],3,FALSE)</f>
        <v>329, 523</v>
      </c>
      <c r="Y301" s="20"/>
      <c r="Z301" s="20">
        <f>IFERROR(VLOOKUP(Data[[#This Row],[TDS]],ExtCompactors_PNA[[Development]:[0]],2,FALSE),0)</f>
        <v>0</v>
      </c>
      <c r="AA301" s="20">
        <f>IFERROR(VLOOKUP(Data[[#This Row],[TDS]],IntCompactors_PNA[[TDS]:[0]],2,FALSE),0)</f>
        <v>0</v>
      </c>
      <c r="AB301" s="20"/>
      <c r="AC301" s="20"/>
      <c r="AD301" s="20">
        <f>IFERROR(VLOOKUP(Data[[#This Row],[TDS]],ExtCompactors_PNA[[Development]:[0]],3,FALSE)+VLOOKUP(Data[[#This Row],[TDS]],ExtCompactors_PNA[[Development]:[0]],6,FALSE),0)</f>
        <v>0</v>
      </c>
      <c r="AE301" s="20">
        <f>IFERROR(VLOOKUP(Data[[#This Row],[TDS]],IntCompactors_PNA[[TDS]:[0]],3,FALSE)+VLOOKUP(Data[[#This Row],[TDS]],IntCompactors_PNA[[TDS]:[0]],6,FALSE),0)</f>
        <v>0</v>
      </c>
      <c r="AF301" s="20" t="e">
        <f>VLOOKUP(Data[[#This Row],[DEVELOPMENT]],[3]Developments!$A$2:$A$312,1,FALSE)</f>
        <v>#N/A</v>
      </c>
      <c r="AG301" s="20" t="str">
        <f>IFERROR(VLOOKUP(Data[[#This Row],[DEVELOPMENT]],Ops_Priorities_and_Data_Clean[[development]:[ifnoext_comment]],3,FALSE),"")</f>
        <v/>
      </c>
      <c r="AH301" s="20" t="str">
        <f>IFERROR(VLOOKUP(Data[[#This Row],[DEVELOPMENT]],Ops_Priorities_and_Data_Clean[[development]:[ifnoext_comment]],4,FALSE),"")</f>
        <v/>
      </c>
      <c r="AI301" s="20" t="str">
        <f>IFERROR(VLOOKUP(Data[[#This Row],[DEVELOPMENT]],Ops_Priorities_and_Data_Clean[[development]:[ifnoext_comment]],5,FALSE),"")</f>
        <v/>
      </c>
      <c r="AJ301" s="20" t="str">
        <f>IFERROR(VLOOKUP(Data[[#This Row],[DEVELOPMENT]],Ops_Priorities_and_Data_Clean[[development]:[ifnoext_comment]],6,FALSE),"")</f>
        <v/>
      </c>
      <c r="AK301" s="20" t="str">
        <f>IFERROR(VLOOKUP(Data[[#This Row],[DEVELOPMENT]],Ops_Priorities_and_Data_Clean[[development]:[ifnoext_comment]],7,FALSE),"")</f>
        <v/>
      </c>
      <c r="AL301" s="20" t="str">
        <f>IFERROR(VLOOKUP(Data[[#This Row],[DEVELOPMENT]],Ops_Priorities_and_Data_Clean[[development]:[ifnoext_comment]],8,FALSE),"")</f>
        <v/>
      </c>
      <c r="AM301" s="20" t="str">
        <f>IFERROR(VLOOKUP(Data[[#This Row],[DEVELOPMENT]],Ops_Priorities_and_Data_Clean[[development]:[ifnoext_comment]],9,FALSE),"")</f>
        <v/>
      </c>
      <c r="AN301" s="20" t="str">
        <f>IFERROR(VLOOKUP(Data[[#This Row],[DEVELOPMENT]],Ops_Priorities_and_Data_Clean[[development]:[ifnoext_comment]],10,FALSE),"")</f>
        <v/>
      </c>
      <c r="AO301" s="20" t="str">
        <f>IFERROR(VLOOKUP(Data[[#This Row],[DEVELOPMENT]],Ops_Priorities_and_Data_Clean[[development]:[ifnoext_comment]],11,FALSE),"")</f>
        <v/>
      </c>
      <c r="AP301" s="20" t="str">
        <f>IFERROR(VLOOKUP(Data[[#This Row],[DEVELOPMENT]],Ops_Priorities_and_Data_Clean[[development]:[ifnoext_comment]],12,FALSE),"")</f>
        <v/>
      </c>
      <c r="AQ301" s="20" t="e">
        <f>VLOOKUP(Data[[#This Row],[DEVELOPMENT]],Ops_Priorities_and_Data_Clean[[development]:[ifnoext_comment]],14,FALSE)</f>
        <v>#N/A</v>
      </c>
      <c r="AR301" s="20" t="e">
        <f>VLOOKUP(Data[[#This Row],[DEVELOPMENT]],Ops_Priorities_and_Data_Clean[[development]:[ifnoext_comment]],15,FALSE)</f>
        <v>#N/A</v>
      </c>
      <c r="AS301" s="20" t="e">
        <f>VLOOKUP(Data[[#This Row],[DEVELOPMENT]],Ops_Priorities_and_Data_Clean[[development]:[ifnoext_comment]],16,FALSE)</f>
        <v>#N/A</v>
      </c>
      <c r="AT301" s="20" t="e">
        <f>VLOOKUP(Data[[#This Row],[DEVELOPMENT]],Ops_Priorities_and_Data_Clean[[development]:[ifnoext_comment]],17,FALSE)</f>
        <v>#N/A</v>
      </c>
      <c r="AU301" s="20" t="e">
        <f>VLOOKUP(Data[[#This Row],[DEVELOPMENT]],Ops_Priorities_and_Data_Clean[[development]:[ifnoext_comment]],18,FALSE)</f>
        <v>#N/A</v>
      </c>
      <c r="AV301" s="20" t="e">
        <f>VLOOKUP(Data[[#This Row],[DEVELOPMENT]],Ops_Priorities_and_Data_Clean[[development]:[ifnoext_comment]],19,FALSE)</f>
        <v>#N/A</v>
      </c>
      <c r="AW301" s="20" t="e">
        <f>VLOOKUP(Data[[#This Row],[DEVELOPMENT]],Ops_Priorities_and_Data_Clean[[development]:[ifnoext_comment]],20,FALSE)</f>
        <v>#N/A</v>
      </c>
      <c r="AX301" s="20"/>
      <c r="AY301" s="20"/>
      <c r="AZ301" s="20" t="str">
        <f>VLOOKUP(Data[[#This Row],[DEVELOPMENT]],Development_Data_Book[[DEVELOPMENT]:[PRIVATE MANAGEMENT]],8,FALSE)</f>
        <v>FEDERAL</v>
      </c>
      <c r="BA301" s="20"/>
      <c r="BB301" s="20">
        <f>VLOOKUP(Data[[#This Row],[DEVELOPMENT]],Development_Data_Book[[DEVELOPMENT]:[PRIVATE MANAGEMENT]],22,FALSE)</f>
        <v>0</v>
      </c>
      <c r="BC301" s="20">
        <f>Data[[#This Row],[Non-Dwelling Buildings]]+Data[[#This Row],[Dwelling Buildings]]</f>
        <v>8</v>
      </c>
      <c r="BD301" s="20">
        <f>VLOOKUP(Data[[#This Row],[DEVELOPMENT]],Development_Data_Book[[DEVELOPMENT]:[PRIVATE MANAGEMENT]],26,FALSE)</f>
        <v>0.67</v>
      </c>
      <c r="BE301" s="20"/>
      <c r="BF301" s="20">
        <f>VLOOKUP(Data[[#This Row],[DEVELOPMENT]],Development_Data_Book[[DEVELOPMENT]:[PRIVATE MANAGEMENT]],18,FALSE)</f>
        <v>204</v>
      </c>
      <c r="BG30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01" s="20"/>
      <c r="BI301" s="20"/>
      <c r="BJ301" s="20">
        <f>VLOOKUP(Data[[#This Row],[DEVELOPMENT]],Development_Data_Book[[DEVELOPMENT]:[PRIVATE MANAGEMENT]],41,FALSE)</f>
        <v>12</v>
      </c>
      <c r="BK301" s="20">
        <f>VLOOKUP(Data[[#This Row],[DEVELOPMENT]],Development_Data_Book[[DEVELOPMENT]:[PRIVATE MANAGEMENT]],42,FALSE)</f>
        <v>13</v>
      </c>
      <c r="BL301" s="20">
        <f>VLOOKUP(Data[[#This Row],[DEVELOPMENT]],Development_Data_Book[[DEVELOPMENT]:[PRIVATE MANAGEMENT]],43,FALSE)</f>
        <v>31</v>
      </c>
      <c r="BM301" s="20" t="str">
        <f>VLOOKUP(Data[[#This Row],[DEVELOPMENT]],Development_Data_Book[[DEVELOPMENT]:[PRIVATE MANAGEMENT]],44,FALSE)</f>
        <v>71, 72</v>
      </c>
      <c r="BN301" s="20" t="str">
        <f>VLOOKUP(Data[[#This Row],[DEVELOPMENT]],Development_Data_Book[[DEVELOPMENT]:[PRIVATE MANAGEMENT]],45,FALSE)</f>
        <v>07, 10</v>
      </c>
      <c r="BO301" s="20">
        <f>VLOOKUP(Data[[#This Row],[DEVELOPMENT]],Development_Data_Book[[DEVELOPMENT]:[PRIVATE MANAGEMENT]],24,FALSE)</f>
        <v>5</v>
      </c>
    </row>
    <row r="302" spans="1:67">
      <c r="A302" t="s">
        <v>377</v>
      </c>
      <c r="B302" s="20" t="str">
        <f>VLOOKUP(Data[[#This Row],[DEVELOPMENT]],Development_Data_Book[[DEVELOPMENT]:[BOROUGH]],MATCH("borough",Development_Data_Book[[#Headers],[DEVELOPMENT]:[BOROUGH]],0),FALSE)</f>
        <v>MANHATTAN</v>
      </c>
      <c r="C302" s="20" t="e">
        <f>VLOOKUP(Data[[#This Row],[DEVELOPMENT]],'[1]Cheat-Sheet'!$D$2:$Q$341,2,FALSE)</f>
        <v>#N/A</v>
      </c>
      <c r="D30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02" s="20">
        <f>VLOOKUP(Data[[#This Row],[DEVELOPMENT]],Development_Data_Book[[DEVELOPMENT]:[BOROUGH]],21,FALSE)</f>
        <v>7</v>
      </c>
      <c r="F302" s="20">
        <f>VLOOKUP(Data[[#This Row],[DEVELOPMENT]],Development_Data_Book[[DEVELOPMENT]:[BOROUGH]],23,FALSE)</f>
        <v>7</v>
      </c>
      <c r="G302" s="20">
        <f>VLOOKUP(Data[[#This Row],[DEVELOPMENT]],Development_Data_Book[[DEVELOPMENT]:[BOROUGH]],12,FALSE)</f>
        <v>88</v>
      </c>
      <c r="J302">
        <f>IFERROR(VLOOKUP(Data[[#This Row],[DEVELOPMENT]],IntCompactors_MRST[],4,FALSE),0)</f>
        <v>0</v>
      </c>
      <c r="K302" s="20">
        <f>IFERROR(VLOOKUP(Data[[#This Row],[DEVELOPMENT]],ExtCompactors_MRST[],4,FALSE),0)</f>
        <v>0</v>
      </c>
      <c r="L302" s="27" t="str">
        <f>IF(Data[[#This Row],['# Interior Compactors MRST]]=0,"",VLOOKUP(Data[[#This Row],[DEVELOPMENT]],IntCompactors_MRST[],5,FALSE))</f>
        <v/>
      </c>
      <c r="M302" s="28" t="str">
        <f>IF(Data[[#This Row],['# Exterior Compactors MRST]]=0,"",VLOOKUP(Data[[#This Row],[DEVELOPMENT]],ExtCompactors_MRST[],5,FALSE))</f>
        <v/>
      </c>
      <c r="N302" s="20">
        <f>Data[[#This Row],['# Interior Compactors MRST]]</f>
        <v>0</v>
      </c>
      <c r="O302" s="20">
        <f>IF(Data[[#This Row],['# Bulk Crushers]]=0,1,0)</f>
        <v>1</v>
      </c>
      <c r="P302" s="20">
        <f>1</f>
        <v>1</v>
      </c>
      <c r="Q302" s="20">
        <f>1</f>
        <v>1</v>
      </c>
      <c r="R302" s="20">
        <f>1</f>
        <v>1</v>
      </c>
      <c r="S302" s="20">
        <f>1</f>
        <v>1</v>
      </c>
      <c r="T302" s="20">
        <f>IF(Data[[#This Row],[Sewershed]]="Newtown Creek",Data[[#This Row],[DUs]],0)</f>
        <v>0</v>
      </c>
      <c r="U30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0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0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02" s="82">
        <f>VLOOKUP(Data[[#This Row],[DEVELOPMENT]],Development_Data_Book[[DEVELOPMENT]:[BOROUGH]],3,FALSE)</f>
        <v>523</v>
      </c>
      <c r="Y302" s="20"/>
      <c r="Z302" s="20">
        <f>IFERROR(VLOOKUP(Data[[#This Row],[TDS]],ExtCompactors_PNA[[Development]:[0]],2,FALSE),0)</f>
        <v>0</v>
      </c>
      <c r="AA302" s="20">
        <f>IFERROR(VLOOKUP(Data[[#This Row],[TDS]],IntCompactors_PNA[[TDS]:[0]],2,FALSE),0)</f>
        <v>3</v>
      </c>
      <c r="AB302" s="20"/>
      <c r="AC302" s="20"/>
      <c r="AD302" s="20">
        <f>IFERROR(VLOOKUP(Data[[#This Row],[TDS]],ExtCompactors_PNA[[Development]:[0]],3,FALSE)+VLOOKUP(Data[[#This Row],[TDS]],ExtCompactors_PNA[[Development]:[0]],6,FALSE),0)</f>
        <v>0</v>
      </c>
      <c r="AE302" s="20">
        <f>IFERROR(VLOOKUP(Data[[#This Row],[TDS]],IntCompactors_PNA[[TDS]:[0]],3,FALSE)+VLOOKUP(Data[[#This Row],[TDS]],IntCompactors_PNA[[TDS]:[0]],6,FALSE),0)</f>
        <v>3</v>
      </c>
      <c r="AF302" s="20" t="e">
        <f>VLOOKUP(Data[[#This Row],[DEVELOPMENT]],[3]Developments!$A$2:$A$312,1,FALSE)</f>
        <v>#N/A</v>
      </c>
      <c r="AG302" s="20">
        <f>IFERROR(VLOOKUP(Data[[#This Row],[DEVELOPMENT]],Ops_Priorities_and_Data_Clean[[development]:[ifnoext_comment]],3,FALSE),"")</f>
        <v>0</v>
      </c>
      <c r="AH302" s="20">
        <f>IFERROR(VLOOKUP(Data[[#This Row],[DEVELOPMENT]],Ops_Priorities_and_Data_Clean[[development]:[ifnoext_comment]],4,FALSE),"")</f>
        <v>0</v>
      </c>
      <c r="AI302" s="20">
        <f>IFERROR(VLOOKUP(Data[[#This Row],[DEVELOPMENT]],Ops_Priorities_and_Data_Clean[[development]:[ifnoext_comment]],5,FALSE),"")</f>
        <v>0</v>
      </c>
      <c r="AJ302" s="20">
        <f>IFERROR(VLOOKUP(Data[[#This Row],[DEVELOPMENT]],Ops_Priorities_and_Data_Clean[[development]:[ifnoext_comment]],6,FALSE),"")</f>
        <v>0</v>
      </c>
      <c r="AK302" s="20">
        <f>IFERROR(VLOOKUP(Data[[#This Row],[DEVELOPMENT]],Ops_Priorities_and_Data_Clean[[development]:[ifnoext_comment]],7,FALSE),"")</f>
        <v>1</v>
      </c>
      <c r="AL302" s="20">
        <f>IFERROR(VLOOKUP(Data[[#This Row],[DEVELOPMENT]],Ops_Priorities_and_Data_Clean[[development]:[ifnoext_comment]],8,FALSE),"")</f>
        <v>1</v>
      </c>
      <c r="AM302" s="20">
        <f>IFERROR(VLOOKUP(Data[[#This Row],[DEVELOPMENT]],Ops_Priorities_and_Data_Clean[[development]:[ifnoext_comment]],9,FALSE),"")</f>
        <v>0</v>
      </c>
      <c r="AN302" s="20">
        <f>IFERROR(VLOOKUP(Data[[#This Row],[DEVELOPMENT]],Ops_Priorities_and_Data_Clean[[development]:[ifnoext_comment]],10,FALSE),"")</f>
        <v>0</v>
      </c>
      <c r="AO302" s="20">
        <f>IFERROR(VLOOKUP(Data[[#This Row],[DEVELOPMENT]],Ops_Priorities_and_Data_Clean[[development]:[ifnoext_comment]],11,FALSE),"")</f>
        <v>0</v>
      </c>
      <c r="AP302" s="20">
        <f>IFERROR(VLOOKUP(Data[[#This Row],[DEVELOPMENT]],Ops_Priorities_and_Data_Clean[[development]:[ifnoext_comment]],12,FALSE),"")</f>
        <v>0</v>
      </c>
      <c r="AQ302" s="20">
        <f>VLOOKUP(Data[[#This Row],[DEVELOPMENT]],Ops_Priorities_and_Data_Clean[[development]:[ifnoext_comment]],14,FALSE)</f>
        <v>1</v>
      </c>
      <c r="AR302" s="20">
        <f>VLOOKUP(Data[[#This Row],[DEVELOPMENT]],Ops_Priorities_and_Data_Clean[[development]:[ifnoext_comment]],15,FALSE)</f>
        <v>0</v>
      </c>
      <c r="AS302" s="20" t="str">
        <f>VLOOKUP(Data[[#This Row],[DEVELOPMENT]],Ops_Priorities_and_Data_Clean[[development]:[ifnoext_comment]],16,FALSE)</f>
        <v>NULL</v>
      </c>
      <c r="AT302" s="20" t="str">
        <f>VLOOKUP(Data[[#This Row],[DEVELOPMENT]],Ops_Priorities_and_Data_Clean[[development]:[ifnoext_comment]],17,FALSE)</f>
        <v>NULL</v>
      </c>
      <c r="AU302" s="20" t="str">
        <f>VLOOKUP(Data[[#This Row],[DEVELOPMENT]],Ops_Priorities_and_Data_Clean[[development]:[ifnoext_comment]],18,FALSE)</f>
        <v>yes</v>
      </c>
      <c r="AV302" s="20" t="str">
        <f>VLOOKUP(Data[[#This Row],[DEVELOPMENT]],Ops_Priorities_and_Data_Clean[[development]:[ifnoext_comment]],19,FALSE)</f>
        <v>Curbside pickup for DSNY</v>
      </c>
      <c r="AW302" s="20" t="str">
        <f>VLOOKUP(Data[[#This Row],[DEVELOPMENT]],Ops_Priorities_and_Data_Clean[[development]:[ifnoext_comment]],20,FALSE)</f>
        <v>NULL</v>
      </c>
      <c r="AX302" s="104" t="s">
        <v>2239</v>
      </c>
      <c r="AY302" s="104" t="s">
        <v>2625</v>
      </c>
      <c r="AZ302" s="20" t="str">
        <f>VLOOKUP(Data[[#This Row],[DEVELOPMENT]],Development_Data_Book[[DEVELOPMENT]:[PRIVATE MANAGEMENT]],8,FALSE)</f>
        <v>FEDERAL</v>
      </c>
      <c r="BA302" s="104" t="s">
        <v>2588</v>
      </c>
      <c r="BB302" s="20">
        <f>VLOOKUP(Data[[#This Row],[DEVELOPMENT]],Development_Data_Book[[DEVELOPMENT]:[PRIVATE MANAGEMENT]],22,FALSE)</f>
        <v>0</v>
      </c>
      <c r="BC302" s="20">
        <f>Data[[#This Row],[Non-Dwelling Buildings]]+Data[[#This Row],[Dwelling Buildings]]</f>
        <v>7</v>
      </c>
      <c r="BD302" s="20">
        <f>VLOOKUP(Data[[#This Row],[DEVELOPMENT]],Development_Data_Book[[DEVELOPMENT]:[PRIVATE MANAGEMENT]],26,FALSE)</f>
        <v>0.57999999999999996</v>
      </c>
      <c r="BE302" s="106">
        <v>100520</v>
      </c>
      <c r="BF302" s="20">
        <f>VLOOKUP(Data[[#This Row],[DEVELOPMENT]],Development_Data_Book[[DEVELOPMENT]:[PRIVATE MANAGEMENT]],18,FALSE)</f>
        <v>174</v>
      </c>
      <c r="BG30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02" s="104" t="s">
        <v>2593</v>
      </c>
      <c r="BI302" t="s">
        <v>184</v>
      </c>
      <c r="BJ302" s="20">
        <f>VLOOKUP(Data[[#This Row],[DEVELOPMENT]],Development_Data_Book[[DEVELOPMENT]:[PRIVATE MANAGEMENT]],41,FALSE)</f>
        <v>12</v>
      </c>
      <c r="BK302" s="20">
        <f>VLOOKUP(Data[[#This Row],[DEVELOPMENT]],Development_Data_Book[[DEVELOPMENT]:[PRIVATE MANAGEMENT]],42,FALSE)</f>
        <v>13</v>
      </c>
      <c r="BL302" s="20">
        <f>VLOOKUP(Data[[#This Row],[DEVELOPMENT]],Development_Data_Book[[DEVELOPMENT]:[PRIVATE MANAGEMENT]],43,FALSE)</f>
        <v>31</v>
      </c>
      <c r="BM302" s="20" t="str">
        <f>VLOOKUP(Data[[#This Row],[DEVELOPMENT]],Development_Data_Book[[DEVELOPMENT]:[PRIVATE MANAGEMENT]],44,FALSE)</f>
        <v>71, 72</v>
      </c>
      <c r="BN302" s="20" t="str">
        <f>VLOOKUP(Data[[#This Row],[DEVELOPMENT]],Development_Data_Book[[DEVELOPMENT]:[PRIVATE MANAGEMENT]],45,FALSE)</f>
        <v>07, 10</v>
      </c>
      <c r="BO302" s="20">
        <f>VLOOKUP(Data[[#This Row],[DEVELOPMENT]],Development_Data_Book[[DEVELOPMENT]:[PRIVATE MANAGEMENT]],24,FALSE)</f>
        <v>5</v>
      </c>
    </row>
    <row r="303" spans="1:67">
      <c r="A303" t="s">
        <v>378</v>
      </c>
      <c r="B303" s="20" t="str">
        <f>VLOOKUP(Data[[#This Row],[DEVELOPMENT]],Development_Data_Book[[DEVELOPMENT]:[BOROUGH]],MATCH("borough",Development_Data_Book[[#Headers],[DEVELOPMENT]:[BOROUGH]],0),FALSE)</f>
        <v>MANHATTAN</v>
      </c>
      <c r="C303" s="20" t="e">
        <f>VLOOKUP(Data[[#This Row],[DEVELOPMENT]],'[1]Cheat-Sheet'!$D$2:$Q$341,2,FALSE)</f>
        <v>#N/A</v>
      </c>
      <c r="D30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03" s="20">
        <f>VLOOKUP(Data[[#This Row],[DEVELOPMENT]],Development_Data_Book[[DEVELOPMENT]:[BOROUGH]],21,FALSE)</f>
        <v>1</v>
      </c>
      <c r="F303" s="20">
        <f>VLOOKUP(Data[[#This Row],[DEVELOPMENT]],Development_Data_Book[[DEVELOPMENT]:[BOROUGH]],23,FALSE)</f>
        <v>1</v>
      </c>
      <c r="G303" s="20">
        <f>VLOOKUP(Data[[#This Row],[DEVELOPMENT]],Development_Data_Book[[DEVELOPMENT]:[BOROUGH]],12,FALSE)</f>
        <v>14</v>
      </c>
      <c r="J303">
        <f>IFERROR(VLOOKUP(Data[[#This Row],[DEVELOPMENT]],IntCompactors_MRST[],4,FALSE),0)</f>
        <v>0</v>
      </c>
      <c r="K303" s="20">
        <f>IFERROR(VLOOKUP(Data[[#This Row],[DEVELOPMENT]],ExtCompactors_MRST[],4,FALSE),0)</f>
        <v>0</v>
      </c>
      <c r="L303" s="27" t="str">
        <f>IF(Data[[#This Row],['# Interior Compactors MRST]]=0,"",VLOOKUP(Data[[#This Row],[DEVELOPMENT]],IntCompactors_MRST[],5,FALSE))</f>
        <v/>
      </c>
      <c r="M303" s="28" t="str">
        <f>IF(Data[[#This Row],['# Exterior Compactors MRST]]=0,"",VLOOKUP(Data[[#This Row],[DEVELOPMENT]],ExtCompactors_MRST[],5,FALSE))</f>
        <v/>
      </c>
      <c r="N303" s="20">
        <f>Data[[#This Row],['# Interior Compactors MRST]]</f>
        <v>0</v>
      </c>
      <c r="O303" s="20">
        <f>IF(Data[[#This Row],['# Bulk Crushers]]=0,1,0)</f>
        <v>1</v>
      </c>
      <c r="P303" s="20">
        <f>1</f>
        <v>1</v>
      </c>
      <c r="Q303" s="20">
        <f>1</f>
        <v>1</v>
      </c>
      <c r="R303" s="20">
        <f>1</f>
        <v>1</v>
      </c>
      <c r="S303" s="20">
        <f>1</f>
        <v>1</v>
      </c>
      <c r="T303" s="20">
        <f>IF(Data[[#This Row],[Sewershed]]="Newtown Creek",Data[[#This Row],[DUs]],0)</f>
        <v>0</v>
      </c>
      <c r="U30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0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0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03" s="82">
        <f>VLOOKUP(Data[[#This Row],[DEVELOPMENT]],Development_Data_Book[[DEVELOPMENT]:[BOROUGH]],3,FALSE)</f>
        <v>329</v>
      </c>
      <c r="Y303" s="20"/>
      <c r="Z303" s="20">
        <f>IFERROR(VLOOKUP(Data[[#This Row],[TDS]],ExtCompactors_PNA[[Development]:[0]],2,FALSE),0)</f>
        <v>0</v>
      </c>
      <c r="AA303" s="20">
        <f>IFERROR(VLOOKUP(Data[[#This Row],[TDS]],IntCompactors_PNA[[TDS]:[0]],2,FALSE),0)</f>
        <v>1</v>
      </c>
      <c r="AB303" s="20"/>
      <c r="AC303" s="20"/>
      <c r="AD303" s="20">
        <f>IFERROR(VLOOKUP(Data[[#This Row],[TDS]],ExtCompactors_PNA[[Development]:[0]],3,FALSE)+VLOOKUP(Data[[#This Row],[TDS]],ExtCompactors_PNA[[Development]:[0]],6,FALSE),0)</f>
        <v>0</v>
      </c>
      <c r="AE303" s="20">
        <f>IFERROR(VLOOKUP(Data[[#This Row],[TDS]],IntCompactors_PNA[[TDS]:[0]],3,FALSE)+VLOOKUP(Data[[#This Row],[TDS]],IntCompactors_PNA[[TDS]:[0]],6,FALSE),0)</f>
        <v>1</v>
      </c>
      <c r="AF303" s="20" t="e">
        <f>VLOOKUP(Data[[#This Row],[DEVELOPMENT]],[3]Developments!$A$2:$A$312,1,FALSE)</f>
        <v>#N/A</v>
      </c>
      <c r="AG303" s="20">
        <f>IFERROR(VLOOKUP(Data[[#This Row],[DEVELOPMENT]],Ops_Priorities_and_Data_Clean[[development]:[ifnoext_comment]],3,FALSE),"")</f>
        <v>0</v>
      </c>
      <c r="AH303" s="20">
        <f>IFERROR(VLOOKUP(Data[[#This Row],[DEVELOPMENT]],Ops_Priorities_and_Data_Clean[[development]:[ifnoext_comment]],4,FALSE),"")</f>
        <v>0</v>
      </c>
      <c r="AI303" s="20">
        <f>IFERROR(VLOOKUP(Data[[#This Row],[DEVELOPMENT]],Ops_Priorities_and_Data_Clean[[development]:[ifnoext_comment]],5,FALSE),"")</f>
        <v>0</v>
      </c>
      <c r="AJ303" s="20">
        <f>IFERROR(VLOOKUP(Data[[#This Row],[DEVELOPMENT]],Ops_Priorities_and_Data_Clean[[development]:[ifnoext_comment]],6,FALSE),"")</f>
        <v>1</v>
      </c>
      <c r="AK303" s="20">
        <f>IFERROR(VLOOKUP(Data[[#This Row],[DEVELOPMENT]],Ops_Priorities_and_Data_Clean[[development]:[ifnoext_comment]],7,FALSE),"")</f>
        <v>0</v>
      </c>
      <c r="AL303" s="20">
        <f>IFERROR(VLOOKUP(Data[[#This Row],[DEVELOPMENT]],Ops_Priorities_and_Data_Clean[[development]:[ifnoext_comment]],8,FALSE),"")</f>
        <v>1</v>
      </c>
      <c r="AM303" s="20">
        <f>IFERROR(VLOOKUP(Data[[#This Row],[DEVELOPMENT]],Ops_Priorities_and_Data_Clean[[development]:[ifnoext_comment]],9,FALSE),"")</f>
        <v>0</v>
      </c>
      <c r="AN303" s="20">
        <f>IFERROR(VLOOKUP(Data[[#This Row],[DEVELOPMENT]],Ops_Priorities_and_Data_Clean[[development]:[ifnoext_comment]],10,FALSE),"")</f>
        <v>0</v>
      </c>
      <c r="AO303" s="20">
        <f>IFERROR(VLOOKUP(Data[[#This Row],[DEVELOPMENT]],Ops_Priorities_and_Data_Clean[[development]:[ifnoext_comment]],11,FALSE),"")</f>
        <v>0</v>
      </c>
      <c r="AP303" s="20">
        <f>IFERROR(VLOOKUP(Data[[#This Row],[DEVELOPMENT]],Ops_Priorities_and_Data_Clean[[development]:[ifnoext_comment]],12,FALSE),"")</f>
        <v>0</v>
      </c>
      <c r="AQ303" s="20">
        <f>VLOOKUP(Data[[#This Row],[DEVELOPMENT]],Ops_Priorities_and_Data_Clean[[development]:[ifnoext_comment]],14,FALSE)</f>
        <v>0</v>
      </c>
      <c r="AR303" s="20">
        <f>VLOOKUP(Data[[#This Row],[DEVELOPMENT]],Ops_Priorities_and_Data_Clean[[development]:[ifnoext_comment]],15,FALSE)</f>
        <v>1</v>
      </c>
      <c r="AS303" s="20" t="str">
        <f>VLOOKUP(Data[[#This Row],[DEVELOPMENT]],Ops_Priorities_and_Data_Clean[[development]:[ifnoext_comment]],16,FALSE)</f>
        <v>Bethune Gardens</v>
      </c>
      <c r="AT303" s="20" t="str">
        <f>VLOOKUP(Data[[#This Row],[DEVELOPMENT]],Ops_Priorities_and_Data_Clean[[development]:[ifnoext_comment]],17,FALSE)</f>
        <v>NULL</v>
      </c>
      <c r="AU303" s="20" t="str">
        <f>VLOOKUP(Data[[#This Row],[DEVELOPMENT]],Ops_Priorities_and_Data_Clean[[development]:[ifnoext_comment]],18,FALSE)</f>
        <v>NULL</v>
      </c>
      <c r="AV303" s="20" t="str">
        <f>VLOOKUP(Data[[#This Row],[DEVELOPMENT]],Ops_Priorities_and_Data_Clean[[development]:[ifnoext_comment]],19,FALSE)</f>
        <v>NULL</v>
      </c>
      <c r="AW303" s="20" t="str">
        <f>VLOOKUP(Data[[#This Row],[DEVELOPMENT]],Ops_Priorities_and_Data_Clean[[development]:[ifnoext_comment]],20,FALSE)</f>
        <v>NULL</v>
      </c>
      <c r="AX303" s="104" t="s">
        <v>2239</v>
      </c>
      <c r="AY303" s="104" t="s">
        <v>2625</v>
      </c>
      <c r="AZ303" s="20" t="str">
        <f>VLOOKUP(Data[[#This Row],[DEVELOPMENT]],Development_Data_Book[[DEVELOPMENT]:[PRIVATE MANAGEMENT]],8,FALSE)</f>
        <v>FEDERAL</v>
      </c>
      <c r="BA303" s="104" t="s">
        <v>2588</v>
      </c>
      <c r="BB303" s="20">
        <f>VLOOKUP(Data[[#This Row],[DEVELOPMENT]],Development_Data_Book[[DEVELOPMENT]:[PRIVATE MANAGEMENT]],22,FALSE)</f>
        <v>0</v>
      </c>
      <c r="BC303" s="20">
        <f>Data[[#This Row],[Non-Dwelling Buildings]]+Data[[#This Row],[Dwelling Buildings]]</f>
        <v>1</v>
      </c>
      <c r="BD303" s="20">
        <f>VLOOKUP(Data[[#This Row],[DEVELOPMENT]],Development_Data_Book[[DEVELOPMENT]:[PRIVATE MANAGEMENT]],26,FALSE)</f>
        <v>0.09</v>
      </c>
      <c r="BE303" s="106">
        <v>15700</v>
      </c>
      <c r="BF303" s="20">
        <f>VLOOKUP(Data[[#This Row],[DEVELOPMENT]],Development_Data_Book[[DEVELOPMENT]:[PRIVATE MANAGEMENT]],18,FALSE)</f>
        <v>30</v>
      </c>
      <c r="BG30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03" s="104" t="s">
        <v>2593</v>
      </c>
      <c r="BI303" t="s">
        <v>184</v>
      </c>
      <c r="BJ303" s="20">
        <f>VLOOKUP(Data[[#This Row],[DEVELOPMENT]],Development_Data_Book[[DEVELOPMENT]:[PRIVATE MANAGEMENT]],41,FALSE)</f>
        <v>12</v>
      </c>
      <c r="BK303" s="20">
        <f>VLOOKUP(Data[[#This Row],[DEVELOPMENT]],Development_Data_Book[[DEVELOPMENT]:[PRIVATE MANAGEMENT]],42,FALSE)</f>
        <v>13</v>
      </c>
      <c r="BL303" s="20">
        <f>VLOOKUP(Data[[#This Row],[DEVELOPMENT]],Development_Data_Book[[DEVELOPMENT]:[PRIVATE MANAGEMENT]],43,FALSE)</f>
        <v>31</v>
      </c>
      <c r="BM303" s="20">
        <f>VLOOKUP(Data[[#This Row],[DEVELOPMENT]],Development_Data_Book[[DEVELOPMENT]:[PRIVATE MANAGEMENT]],44,FALSE)</f>
        <v>71</v>
      </c>
      <c r="BN303" s="20">
        <f>VLOOKUP(Data[[#This Row],[DEVELOPMENT]],Development_Data_Book[[DEVELOPMENT]:[PRIVATE MANAGEMENT]],45,FALSE)</f>
        <v>7</v>
      </c>
      <c r="BO303" s="20">
        <f>VLOOKUP(Data[[#This Row],[DEVELOPMENT]],Development_Data_Book[[DEVELOPMENT]:[PRIVATE MANAGEMENT]],24,FALSE)</f>
        <v>5</v>
      </c>
    </row>
    <row r="304" spans="1:67">
      <c r="A304" t="s">
        <v>259</v>
      </c>
      <c r="B304" s="20" t="str">
        <f>VLOOKUP(Data[[#This Row],[DEVELOPMENT]],Development_Data_Book[[DEVELOPMENT]:[BOROUGH]],MATCH("borough",Development_Data_Book[[#Headers],[DEVELOPMENT]:[BOROUGH]],0),FALSE)</f>
        <v>MANHATTAN</v>
      </c>
      <c r="C304" s="20" t="e">
        <f>VLOOKUP(Data[[#This Row],[DEVELOPMENT]],'[1]Cheat-Sheet'!$D$2:$Q$341,2,FALSE)</f>
        <v>#N/A</v>
      </c>
      <c r="D30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304" s="20">
        <f>VLOOKUP(Data[[#This Row],[DEVELOPMENT]],Development_Data_Book[[DEVELOPMENT]:[BOROUGH]],21,FALSE)</f>
        <v>2</v>
      </c>
      <c r="F304" s="20">
        <f>VLOOKUP(Data[[#This Row],[DEVELOPMENT]],Development_Data_Book[[DEVELOPMENT]:[BOROUGH]],23,FALSE)</f>
        <v>2</v>
      </c>
      <c r="G304" s="20">
        <f>VLOOKUP(Data[[#This Row],[DEVELOPMENT]],Development_Data_Book[[DEVELOPMENT]:[BOROUGH]],12,FALSE)</f>
        <v>32</v>
      </c>
      <c r="J304">
        <f>IFERROR(VLOOKUP(Data[[#This Row],[DEVELOPMENT]],IntCompactors_MRST[],4,FALSE),0)</f>
        <v>0</v>
      </c>
      <c r="K304" s="20">
        <f>IFERROR(VLOOKUP(Data[[#This Row],[DEVELOPMENT]],ExtCompactors_MRST[],4,FALSE),0)</f>
        <v>0</v>
      </c>
      <c r="L304" s="27" t="str">
        <f>IF(Data[[#This Row],['# Interior Compactors MRST]]=0,"",VLOOKUP(Data[[#This Row],[DEVELOPMENT]],IntCompactors_MRST[],5,FALSE))</f>
        <v/>
      </c>
      <c r="M304" s="28" t="str">
        <f>IF(Data[[#This Row],['# Exterior Compactors MRST]]=0,"",VLOOKUP(Data[[#This Row],[DEVELOPMENT]],ExtCompactors_MRST[],5,FALSE))</f>
        <v/>
      </c>
      <c r="N304" s="20">
        <f>Data[[#This Row],['# Interior Compactors MRST]]</f>
        <v>0</v>
      </c>
      <c r="O304" s="20">
        <f>IF(Data[[#This Row],['# Bulk Crushers]]=0,1,0)</f>
        <v>1</v>
      </c>
      <c r="P304" s="20">
        <f>1</f>
        <v>1</v>
      </c>
      <c r="Q304" s="20">
        <f>1</f>
        <v>1</v>
      </c>
      <c r="R304" s="20">
        <f>1</f>
        <v>1</v>
      </c>
      <c r="S304" s="20">
        <f>1</f>
        <v>1</v>
      </c>
      <c r="T304" s="20">
        <f>IF(Data[[#This Row],[Sewershed]]="Newtown Creek",Data[[#This Row],[DUs]],0)</f>
        <v>0</v>
      </c>
      <c r="U30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0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0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04" s="82">
        <f>VLOOKUP(Data[[#This Row],[DEVELOPMENT]],Development_Data_Book[[DEVELOPMENT]:[BOROUGH]],3,FALSE)</f>
        <v>330</v>
      </c>
      <c r="Y304" s="20"/>
      <c r="Z304" s="20">
        <f>IFERROR(VLOOKUP(Data[[#This Row],[TDS]],ExtCompactors_PNA[[Development]:[0]],2,FALSE),0)</f>
        <v>0</v>
      </c>
      <c r="AA304" s="20">
        <f>IFERROR(VLOOKUP(Data[[#This Row],[TDS]],IntCompactors_PNA[[TDS]:[0]],2,FALSE),0)</f>
        <v>2</v>
      </c>
      <c r="AB304" s="20"/>
      <c r="AC304" s="20"/>
      <c r="AD304" s="20">
        <f>IFERROR(VLOOKUP(Data[[#This Row],[TDS]],ExtCompactors_PNA[[Development]:[0]],3,FALSE)+VLOOKUP(Data[[#This Row],[TDS]],ExtCompactors_PNA[[Development]:[0]],6,FALSE),0)</f>
        <v>0</v>
      </c>
      <c r="AE304" s="20">
        <f>IFERROR(VLOOKUP(Data[[#This Row],[TDS]],IntCompactors_PNA[[TDS]:[0]],3,FALSE)+VLOOKUP(Data[[#This Row],[TDS]],IntCompactors_PNA[[TDS]:[0]],6,FALSE),0)</f>
        <v>2</v>
      </c>
      <c r="AF304" s="20" t="e">
        <f>VLOOKUP(Data[[#This Row],[DEVELOPMENT]],[3]Developments!$A$2:$A$312,1,FALSE)</f>
        <v>#N/A</v>
      </c>
      <c r="AG304" s="20">
        <f>IFERROR(VLOOKUP(Data[[#This Row],[DEVELOPMENT]],Ops_Priorities_and_Data_Clean[[development]:[ifnoext_comment]],3,FALSE),"")</f>
        <v>0</v>
      </c>
      <c r="AH304" s="20">
        <f>IFERROR(VLOOKUP(Data[[#This Row],[DEVELOPMENT]],Ops_Priorities_and_Data_Clean[[development]:[ifnoext_comment]],4,FALSE),"")</f>
        <v>0</v>
      </c>
      <c r="AI304" s="20">
        <f>IFERROR(VLOOKUP(Data[[#This Row],[DEVELOPMENT]],Ops_Priorities_and_Data_Clean[[development]:[ifnoext_comment]],5,FALSE),"")</f>
        <v>0</v>
      </c>
      <c r="AJ304" s="20">
        <f>IFERROR(VLOOKUP(Data[[#This Row],[DEVELOPMENT]],Ops_Priorities_and_Data_Clean[[development]:[ifnoext_comment]],6,FALSE),"")</f>
        <v>0</v>
      </c>
      <c r="AK304" s="20">
        <f>IFERROR(VLOOKUP(Data[[#This Row],[DEVELOPMENT]],Ops_Priorities_and_Data_Clean[[development]:[ifnoext_comment]],7,FALSE),"")</f>
        <v>1</v>
      </c>
      <c r="AL304" s="20">
        <f>IFERROR(VLOOKUP(Data[[#This Row],[DEVELOPMENT]],Ops_Priorities_and_Data_Clean[[development]:[ifnoext_comment]],8,FALSE),"")</f>
        <v>1</v>
      </c>
      <c r="AM304" s="20">
        <f>IFERROR(VLOOKUP(Data[[#This Row],[DEVELOPMENT]],Ops_Priorities_and_Data_Clean[[development]:[ifnoext_comment]],9,FALSE),"")</f>
        <v>0</v>
      </c>
      <c r="AN304" s="20">
        <f>IFERROR(VLOOKUP(Data[[#This Row],[DEVELOPMENT]],Ops_Priorities_and_Data_Clean[[development]:[ifnoext_comment]],10,FALSE),"")</f>
        <v>0</v>
      </c>
      <c r="AO304" s="20">
        <f>IFERROR(VLOOKUP(Data[[#This Row],[DEVELOPMENT]],Ops_Priorities_and_Data_Clean[[development]:[ifnoext_comment]],11,FALSE),"")</f>
        <v>0</v>
      </c>
      <c r="AP304" s="20">
        <f>IFERROR(VLOOKUP(Data[[#This Row],[DEVELOPMENT]],Ops_Priorities_and_Data_Clean[[development]:[ifnoext_comment]],12,FALSE),"")</f>
        <v>0</v>
      </c>
      <c r="AQ304" s="20">
        <f>VLOOKUP(Data[[#This Row],[DEVELOPMENT]],Ops_Priorities_and_Data_Clean[[development]:[ifnoext_comment]],14,FALSE)</f>
        <v>1</v>
      </c>
      <c r="AR304" s="20">
        <f>VLOOKUP(Data[[#This Row],[DEVELOPMENT]],Ops_Priorities_and_Data_Clean[[development]:[ifnoext_comment]],15,FALSE)</f>
        <v>0</v>
      </c>
      <c r="AS304" s="20" t="str">
        <f>VLOOKUP(Data[[#This Row],[DEVELOPMENT]],Ops_Priorities_and_Data_Clean[[development]:[ifnoext_comment]],16,FALSE)</f>
        <v>NULL</v>
      </c>
      <c r="AT304" s="20" t="str">
        <f>VLOOKUP(Data[[#This Row],[DEVELOPMENT]],Ops_Priorities_and_Data_Clean[[development]:[ifnoext_comment]],17,FALSE)</f>
        <v>NULL</v>
      </c>
      <c r="AU304" s="20" t="str">
        <f>VLOOKUP(Data[[#This Row],[DEVELOPMENT]],Ops_Priorities_and_Data_Clean[[development]:[ifnoext_comment]],18,FALSE)</f>
        <v>yes</v>
      </c>
      <c r="AV304" s="20" t="str">
        <f>VLOOKUP(Data[[#This Row],[DEVELOPMENT]],Ops_Priorities_and_Data_Clean[[development]:[ifnoext_comment]],19,FALSE)</f>
        <v>Curbside pickup for DSNY</v>
      </c>
      <c r="AW304" s="20" t="str">
        <f>VLOOKUP(Data[[#This Row],[DEVELOPMENT]],Ops_Priorities_and_Data_Clean[[development]:[ifnoext_comment]],20,FALSE)</f>
        <v>NULL</v>
      </c>
      <c r="AX304" s="104" t="s">
        <v>2239</v>
      </c>
      <c r="AY304" s="104" t="s">
        <v>2625</v>
      </c>
      <c r="AZ304" s="20" t="str">
        <f>VLOOKUP(Data[[#This Row],[DEVELOPMENT]],Development_Data_Book[[DEVELOPMENT]:[PRIVATE MANAGEMENT]],8,FALSE)</f>
        <v>FEDERAL</v>
      </c>
      <c r="BA304" s="104" t="s">
        <v>2588</v>
      </c>
      <c r="BB304" s="20">
        <f>VLOOKUP(Data[[#This Row],[DEVELOPMENT]],Development_Data_Book[[DEVELOPMENT]:[PRIVATE MANAGEMENT]],22,FALSE)</f>
        <v>0</v>
      </c>
      <c r="BC304" s="20">
        <f>Data[[#This Row],[Non-Dwelling Buildings]]+Data[[#This Row],[Dwelling Buildings]]</f>
        <v>2</v>
      </c>
      <c r="BD304" s="20">
        <f>VLOOKUP(Data[[#This Row],[DEVELOPMENT]],Development_Data_Book[[DEVELOPMENT]:[PRIVATE MANAGEMENT]],26,FALSE)</f>
        <v>0.2</v>
      </c>
      <c r="BE304" s="106">
        <v>31310</v>
      </c>
      <c r="BF304" s="20">
        <f>VLOOKUP(Data[[#This Row],[DEVELOPMENT]],Development_Data_Book[[DEVELOPMENT]:[PRIVATE MANAGEMENT]],18,FALSE)</f>
        <v>67</v>
      </c>
      <c r="BG30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04" s="104" t="s">
        <v>2593</v>
      </c>
      <c r="BI304" t="s">
        <v>184</v>
      </c>
      <c r="BJ304" s="20">
        <f>VLOOKUP(Data[[#This Row],[DEVELOPMENT]],Development_Data_Book[[DEVELOPMENT]:[PRIVATE MANAGEMENT]],41,FALSE)</f>
        <v>12</v>
      </c>
      <c r="BK304" s="20">
        <f>VLOOKUP(Data[[#This Row],[DEVELOPMENT]],Development_Data_Book[[DEVELOPMENT]:[PRIVATE MANAGEMENT]],42,FALSE)</f>
        <v>13</v>
      </c>
      <c r="BL304" s="20">
        <f>VLOOKUP(Data[[#This Row],[DEVELOPMENT]],Development_Data_Book[[DEVELOPMENT]:[PRIVATE MANAGEMENT]],43,FALSE)</f>
        <v>31</v>
      </c>
      <c r="BM304" s="20">
        <f>VLOOKUP(Data[[#This Row],[DEVELOPMENT]],Development_Data_Book[[DEVELOPMENT]:[PRIVATE MANAGEMENT]],44,FALSE)</f>
        <v>72</v>
      </c>
      <c r="BN304" s="20">
        <f>VLOOKUP(Data[[#This Row],[DEVELOPMENT]],Development_Data_Book[[DEVELOPMENT]:[PRIVATE MANAGEMENT]],45,FALSE)</f>
        <v>10</v>
      </c>
      <c r="BO304" s="20">
        <f>VLOOKUP(Data[[#This Row],[DEVELOPMENT]],Development_Data_Book[[DEVELOPMENT]:[PRIVATE MANAGEMENT]],24,FALSE)</f>
        <v>5</v>
      </c>
    </row>
    <row r="305" spans="1:67">
      <c r="A305" t="s">
        <v>379</v>
      </c>
      <c r="B305" s="20" t="str">
        <f>VLOOKUP(Data[[#This Row],[DEVELOPMENT]],Development_Data_Book[[DEVELOPMENT]:[BOROUGH]],MATCH("borough",Development_Data_Book[[#Headers],[DEVELOPMENT]:[BOROUGH]],0),FALSE)</f>
        <v>MANHATTAN</v>
      </c>
      <c r="C305" s="20" t="e">
        <f>VLOOKUP(Data[[#This Row],[DEVELOPMENT]],'[1]Cheat-Sheet'!$D$2:$Q$341,2,FALSE)</f>
        <v>#N/A</v>
      </c>
      <c r="D30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305" s="20">
        <f>VLOOKUP(Data[[#This Row],[DEVELOPMENT]],Development_Data_Book[[DEVELOPMENT]:[BOROUGH]],21,FALSE)</f>
        <v>2</v>
      </c>
      <c r="F305" s="20">
        <f>VLOOKUP(Data[[#This Row],[DEVELOPMENT]],Development_Data_Book[[DEVELOPMENT]:[BOROUGH]],23,FALSE)</f>
        <v>2</v>
      </c>
      <c r="G305" s="20">
        <f>VLOOKUP(Data[[#This Row],[DEVELOPMENT]],Development_Data_Book[[DEVELOPMENT]:[BOROUGH]],12,FALSE)</f>
        <v>32</v>
      </c>
      <c r="J305">
        <f>IFERROR(VLOOKUP(Data[[#This Row],[DEVELOPMENT]],IntCompactors_MRST[],4,FALSE),0)</f>
        <v>0</v>
      </c>
      <c r="K305" s="20">
        <f>IFERROR(VLOOKUP(Data[[#This Row],[DEVELOPMENT]],ExtCompactors_MRST[],4,FALSE),0)</f>
        <v>0</v>
      </c>
      <c r="L305" s="27" t="str">
        <f>IF(Data[[#This Row],['# Interior Compactors MRST]]=0,"",VLOOKUP(Data[[#This Row],[DEVELOPMENT]],IntCompactors_MRST[],5,FALSE))</f>
        <v/>
      </c>
      <c r="M305" s="28" t="str">
        <f>IF(Data[[#This Row],['# Exterior Compactors MRST]]=0,"",VLOOKUP(Data[[#This Row],[DEVELOPMENT]],ExtCompactors_MRST[],5,FALSE))</f>
        <v/>
      </c>
      <c r="N305" s="20">
        <f>Data[[#This Row],['# Interior Compactors MRST]]</f>
        <v>0</v>
      </c>
      <c r="O305" s="20">
        <f>IF(Data[[#This Row],['# Bulk Crushers]]=0,1,0)</f>
        <v>1</v>
      </c>
      <c r="P305" s="20">
        <f>1</f>
        <v>1</v>
      </c>
      <c r="Q305" s="20">
        <f>1</f>
        <v>1</v>
      </c>
      <c r="R305" s="20">
        <f>1</f>
        <v>1</v>
      </c>
      <c r="S305" s="20">
        <f>1</f>
        <v>1</v>
      </c>
      <c r="T305" s="20">
        <f>IF(Data[[#This Row],[Sewershed]]="Newtown Creek",Data[[#This Row],[DUs]],0)</f>
        <v>0</v>
      </c>
      <c r="U305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05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05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05" s="82">
        <f>VLOOKUP(Data[[#This Row],[DEVELOPMENT]],Development_Data_Book[[DEVELOPMENT]:[BOROUGH]],3,FALSE)</f>
        <v>331</v>
      </c>
      <c r="Y305" s="20"/>
      <c r="Z305" s="20">
        <f>IFERROR(VLOOKUP(Data[[#This Row],[TDS]],ExtCompactors_PNA[[Development]:[0]],2,FALSE),0)</f>
        <v>0</v>
      </c>
      <c r="AA305" s="20">
        <f>IFERROR(VLOOKUP(Data[[#This Row],[TDS]],IntCompactors_PNA[[TDS]:[0]],2,FALSE),0)</f>
        <v>2</v>
      </c>
      <c r="AB305" s="20"/>
      <c r="AC305" s="20"/>
      <c r="AD305" s="20">
        <f>IFERROR(VLOOKUP(Data[[#This Row],[TDS]],ExtCompactors_PNA[[Development]:[0]],3,FALSE)+VLOOKUP(Data[[#This Row],[TDS]],ExtCompactors_PNA[[Development]:[0]],6,FALSE),0)</f>
        <v>0</v>
      </c>
      <c r="AE305" s="20">
        <f>IFERROR(VLOOKUP(Data[[#This Row],[TDS]],IntCompactors_PNA[[TDS]:[0]],3,FALSE)+VLOOKUP(Data[[#This Row],[TDS]],IntCompactors_PNA[[TDS]:[0]],6,FALSE),0)</f>
        <v>2</v>
      </c>
      <c r="AF305" s="20" t="e">
        <f>VLOOKUP(Data[[#This Row],[DEVELOPMENT]],[3]Developments!$A$2:$A$312,1,FALSE)</f>
        <v>#N/A</v>
      </c>
      <c r="AG305" s="20">
        <f>IFERROR(VLOOKUP(Data[[#This Row],[DEVELOPMENT]],Ops_Priorities_and_Data_Clean[[development]:[ifnoext_comment]],3,FALSE),"")</f>
        <v>0</v>
      </c>
      <c r="AH305" s="20">
        <f>IFERROR(VLOOKUP(Data[[#This Row],[DEVELOPMENT]],Ops_Priorities_and_Data_Clean[[development]:[ifnoext_comment]],4,FALSE),"")</f>
        <v>0</v>
      </c>
      <c r="AI305" s="20">
        <f>IFERROR(VLOOKUP(Data[[#This Row],[DEVELOPMENT]],Ops_Priorities_and_Data_Clean[[development]:[ifnoext_comment]],5,FALSE),"")</f>
        <v>0</v>
      </c>
      <c r="AJ305" s="20">
        <f>IFERROR(VLOOKUP(Data[[#This Row],[DEVELOPMENT]],Ops_Priorities_and_Data_Clean[[development]:[ifnoext_comment]],6,FALSE),"")</f>
        <v>0</v>
      </c>
      <c r="AK305" s="20">
        <f>IFERROR(VLOOKUP(Data[[#This Row],[DEVELOPMENT]],Ops_Priorities_and_Data_Clean[[development]:[ifnoext_comment]],7,FALSE),"")</f>
        <v>1</v>
      </c>
      <c r="AL305" s="20">
        <f>IFERROR(VLOOKUP(Data[[#This Row],[DEVELOPMENT]],Ops_Priorities_and_Data_Clean[[development]:[ifnoext_comment]],8,FALSE),"")</f>
        <v>1</v>
      </c>
      <c r="AM305" s="20">
        <f>IFERROR(VLOOKUP(Data[[#This Row],[DEVELOPMENT]],Ops_Priorities_and_Data_Clean[[development]:[ifnoext_comment]],9,FALSE),"")</f>
        <v>0</v>
      </c>
      <c r="AN305" s="20">
        <f>IFERROR(VLOOKUP(Data[[#This Row],[DEVELOPMENT]],Ops_Priorities_and_Data_Clean[[development]:[ifnoext_comment]],10,FALSE),"")</f>
        <v>0</v>
      </c>
      <c r="AO305" s="20">
        <f>IFERROR(VLOOKUP(Data[[#This Row],[DEVELOPMENT]],Ops_Priorities_and_Data_Clean[[development]:[ifnoext_comment]],11,FALSE),"")</f>
        <v>0</v>
      </c>
      <c r="AP305" s="20">
        <f>IFERROR(VLOOKUP(Data[[#This Row],[DEVELOPMENT]],Ops_Priorities_and_Data_Clean[[development]:[ifnoext_comment]],12,FALSE),"")</f>
        <v>0</v>
      </c>
      <c r="AQ305" s="20">
        <f>VLOOKUP(Data[[#This Row],[DEVELOPMENT]],Ops_Priorities_and_Data_Clean[[development]:[ifnoext_comment]],14,FALSE)</f>
        <v>1</v>
      </c>
      <c r="AR305" s="20">
        <f>VLOOKUP(Data[[#This Row],[DEVELOPMENT]],Ops_Priorities_and_Data_Clean[[development]:[ifnoext_comment]],15,FALSE)</f>
        <v>0</v>
      </c>
      <c r="AS305" s="20" t="str">
        <f>VLOOKUP(Data[[#This Row],[DEVELOPMENT]],Ops_Priorities_and_Data_Clean[[development]:[ifnoext_comment]],16,FALSE)</f>
        <v>NULL</v>
      </c>
      <c r="AT305" s="20" t="str">
        <f>VLOOKUP(Data[[#This Row],[DEVELOPMENT]],Ops_Priorities_and_Data_Clean[[development]:[ifnoext_comment]],17,FALSE)</f>
        <v>NULL</v>
      </c>
      <c r="AU305" s="20" t="str">
        <f>VLOOKUP(Data[[#This Row],[DEVELOPMENT]],Ops_Priorities_and_Data_Clean[[development]:[ifnoext_comment]],18,FALSE)</f>
        <v>yes</v>
      </c>
      <c r="AV305" s="20" t="str">
        <f>VLOOKUP(Data[[#This Row],[DEVELOPMENT]],Ops_Priorities_and_Data_Clean[[development]:[ifnoext_comment]],19,FALSE)</f>
        <v>Curbside pickup for DSNY</v>
      </c>
      <c r="AW305" s="20" t="str">
        <f>VLOOKUP(Data[[#This Row],[DEVELOPMENT]],Ops_Priorities_and_Data_Clean[[development]:[ifnoext_comment]],20,FALSE)</f>
        <v>NULL</v>
      </c>
      <c r="AX305" s="104" t="s">
        <v>2239</v>
      </c>
      <c r="AY305" s="104" t="s">
        <v>2625</v>
      </c>
      <c r="AZ305" s="20" t="str">
        <f>VLOOKUP(Data[[#This Row],[DEVELOPMENT]],Development_Data_Book[[DEVELOPMENT]:[PRIVATE MANAGEMENT]],8,FALSE)</f>
        <v>FEDERAL</v>
      </c>
      <c r="BA305" s="104" t="s">
        <v>2588</v>
      </c>
      <c r="BB305" s="20">
        <f>VLOOKUP(Data[[#This Row],[DEVELOPMENT]],Development_Data_Book[[DEVELOPMENT]:[PRIVATE MANAGEMENT]],22,FALSE)</f>
        <v>0</v>
      </c>
      <c r="BC305" s="20">
        <f>Data[[#This Row],[Non-Dwelling Buildings]]+Data[[#This Row],[Dwelling Buildings]]</f>
        <v>2</v>
      </c>
      <c r="BD305" s="20">
        <f>VLOOKUP(Data[[#This Row],[DEVELOPMENT]],Development_Data_Book[[DEVELOPMENT]:[PRIVATE MANAGEMENT]],26,FALSE)</f>
        <v>0.2</v>
      </c>
      <c r="BE305" s="106">
        <v>32150</v>
      </c>
      <c r="BF305" s="20">
        <f>VLOOKUP(Data[[#This Row],[DEVELOPMENT]],Development_Data_Book[[DEVELOPMENT]:[PRIVATE MANAGEMENT]],18,FALSE)</f>
        <v>60</v>
      </c>
      <c r="BG30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05" s="104" t="s">
        <v>2593</v>
      </c>
      <c r="BI305" t="s">
        <v>184</v>
      </c>
      <c r="BJ305" s="20">
        <f>VLOOKUP(Data[[#This Row],[DEVELOPMENT]],Development_Data_Book[[DEVELOPMENT]:[PRIVATE MANAGEMENT]],41,FALSE)</f>
        <v>12</v>
      </c>
      <c r="BK305" s="20">
        <f>VLOOKUP(Data[[#This Row],[DEVELOPMENT]],Development_Data_Book[[DEVELOPMENT]:[PRIVATE MANAGEMENT]],42,FALSE)</f>
        <v>13</v>
      </c>
      <c r="BL305" s="20">
        <f>VLOOKUP(Data[[#This Row],[DEVELOPMENT]],Development_Data_Book[[DEVELOPMENT]:[PRIVATE MANAGEMENT]],43,FALSE)</f>
        <v>31</v>
      </c>
      <c r="BM305" s="20">
        <f>VLOOKUP(Data[[#This Row],[DEVELOPMENT]],Development_Data_Book[[DEVELOPMENT]:[PRIVATE MANAGEMENT]],44,FALSE)</f>
        <v>72</v>
      </c>
      <c r="BN305" s="20">
        <f>VLOOKUP(Data[[#This Row],[DEVELOPMENT]],Development_Data_Book[[DEVELOPMENT]:[PRIVATE MANAGEMENT]],45,FALSE)</f>
        <v>10</v>
      </c>
      <c r="BO305" s="20">
        <f>VLOOKUP(Data[[#This Row],[DEVELOPMENT]],Development_Data_Book[[DEVELOPMENT]:[PRIVATE MANAGEMENT]],24,FALSE)</f>
        <v>5</v>
      </c>
    </row>
    <row r="306" spans="1:67">
      <c r="A306" s="17" t="s">
        <v>47</v>
      </c>
      <c r="B306" s="17" t="str">
        <f>VLOOKUP(Data[[#This Row],[DEVELOPMENT]],Development_Data_Book[[DEVELOPMENT]:[BOROUGH]],MATCH("borough",Development_Data_Book[[#Headers],[DEVELOPMENT]:[BOROUGH]],0),FALSE)</f>
        <v>BRONX</v>
      </c>
      <c r="C306" t="e">
        <f>VLOOKUP(Data[[#This Row],[DEVELOPMENT]],'[1]Cheat-Sheet'!$D$2:$Q$341,2,FALSE)</f>
        <v>#N/A</v>
      </c>
      <c r="D30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06">
        <f>VLOOKUP(Data[[#This Row],[DEVELOPMENT]],Development_Data_Book[[DEVELOPMENT]:[BOROUGH]],21,FALSE)</f>
        <v>5</v>
      </c>
      <c r="F306">
        <f>VLOOKUP(Data[[#This Row],[DEVELOPMENT]],Development_Data_Book[[DEVELOPMENT]:[BOROUGH]],23,FALSE)</f>
        <v>6</v>
      </c>
      <c r="G306">
        <f>VLOOKUP(Data[[#This Row],[DEVELOPMENT]],Development_Data_Book[[DEVELOPMENT]:[BOROUGH]],12,FALSE)</f>
        <v>606</v>
      </c>
      <c r="H306" t="s">
        <v>2246</v>
      </c>
      <c r="I306">
        <v>4</v>
      </c>
      <c r="J306">
        <f>IFERROR(VLOOKUP(Data[[#This Row],[DEVELOPMENT]],IntCompactors_MRST[],4,FALSE),0)</f>
        <v>5</v>
      </c>
      <c r="K306" s="20">
        <f>IFERROR(VLOOKUP(Data[[#This Row],[DEVELOPMENT]],ExtCompactors_MRST[],4,FALSE),0)</f>
        <v>2</v>
      </c>
      <c r="L306" s="27">
        <f>IF(Data[[#This Row],['# Interior Compactors MRST]]=0,"",VLOOKUP(Data[[#This Row],[DEVELOPMENT]],IntCompactors_MRST[],5,FALSE))</f>
        <v>42156</v>
      </c>
      <c r="M306" s="28">
        <f>IF(Data[[#This Row],['# Exterior Compactors MRST]]=0,"",VLOOKUP(Data[[#This Row],[DEVELOPMENT]],ExtCompactors_MRST[],5,FALSE))</f>
        <v>39380</v>
      </c>
      <c r="N306">
        <f>Data[[#This Row],['# Interior Compactors MRST]]</f>
        <v>5</v>
      </c>
      <c r="O306" s="20">
        <f>IF(Data[[#This Row],['# Bulk Crushers]]=0,1,0)</f>
        <v>1</v>
      </c>
      <c r="P306" s="20">
        <f>1</f>
        <v>1</v>
      </c>
      <c r="Q306" s="20">
        <f>1</f>
        <v>1</v>
      </c>
      <c r="R306" s="20">
        <f>1</f>
        <v>1</v>
      </c>
      <c r="S306" s="20">
        <f>1</f>
        <v>1</v>
      </c>
      <c r="T306" s="20">
        <f>IF(Data[[#This Row],[Sewershed]]="Newtown Creek",Data[[#This Row],[DUs]],0)</f>
        <v>0</v>
      </c>
      <c r="U306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06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06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06" s="82">
        <f>VLOOKUP(Data[[#This Row],[DEVELOPMENT]],Development_Data_Book[[DEVELOPMENT]:[BOROUGH]],3,FALSE)</f>
        <v>141</v>
      </c>
      <c r="Y306" s="20"/>
      <c r="Z306" s="20">
        <f>IFERROR(VLOOKUP(Data[[#This Row],[TDS]],ExtCompactors_PNA[[Development]:[0]],2,FALSE),0)</f>
        <v>2</v>
      </c>
      <c r="AA306" s="20">
        <f>IFERROR(VLOOKUP(Data[[#This Row],[TDS]],IntCompactors_PNA[[TDS]:[0]],2,FALSE),0)</f>
        <v>5</v>
      </c>
      <c r="AB306" s="20"/>
      <c r="AC306" s="20"/>
      <c r="AD306" s="20">
        <f>IFERROR(VLOOKUP(Data[[#This Row],[TDS]],ExtCompactors_PNA[[Development]:[0]],3,FALSE)+VLOOKUP(Data[[#This Row],[TDS]],ExtCompactors_PNA[[Development]:[0]],6,FALSE),0)</f>
        <v>2</v>
      </c>
      <c r="AE306" s="20">
        <f>IFERROR(VLOOKUP(Data[[#This Row],[TDS]],IntCompactors_PNA[[TDS]:[0]],3,FALSE)+VLOOKUP(Data[[#This Row],[TDS]],IntCompactors_PNA[[TDS]:[0]],6,FALSE),0)</f>
        <v>5</v>
      </c>
      <c r="AF306" s="20" t="e">
        <f>VLOOKUP(Data[[#This Row],[DEVELOPMENT]],[3]Developments!$A$2:$A$312,1,FALSE)</f>
        <v>#N/A</v>
      </c>
      <c r="AG306" s="20">
        <f>IFERROR(VLOOKUP(Data[[#This Row],[DEVELOPMENT]],Ops_Priorities_and_Data_Clean[[development]:[ifnoext_comment]],3,FALSE),"")</f>
        <v>2</v>
      </c>
      <c r="AH306" s="20">
        <f>IFERROR(VLOOKUP(Data[[#This Row],[DEVELOPMENT]],Ops_Priorities_and_Data_Clean[[development]:[ifnoext_comment]],4,FALSE),"")</f>
        <v>3</v>
      </c>
      <c r="AI306" s="20">
        <f>IFERROR(VLOOKUP(Data[[#This Row],[DEVELOPMENT]],Ops_Priorities_and_Data_Clean[[development]:[ifnoext_comment]],5,FALSE),"")</f>
        <v>1</v>
      </c>
      <c r="AJ306" s="20">
        <f>IFERROR(VLOOKUP(Data[[#This Row],[DEVELOPMENT]],Ops_Priorities_and_Data_Clean[[development]:[ifnoext_comment]],6,FALSE),"")</f>
        <v>0</v>
      </c>
      <c r="AK306" s="20">
        <f>IFERROR(VLOOKUP(Data[[#This Row],[DEVELOPMENT]],Ops_Priorities_and_Data_Clean[[development]:[ifnoext_comment]],7,FALSE),"")</f>
        <v>0</v>
      </c>
      <c r="AL306" s="20">
        <f>IFERROR(VLOOKUP(Data[[#This Row],[DEVELOPMENT]],Ops_Priorities_and_Data_Clean[[development]:[ifnoext_comment]],8,FALSE),"")</f>
        <v>1</v>
      </c>
      <c r="AM306" s="20">
        <f>IFERROR(VLOOKUP(Data[[#This Row],[DEVELOPMENT]],Ops_Priorities_and_Data_Clean[[development]:[ifnoext_comment]],9,FALSE),"")</f>
        <v>0</v>
      </c>
      <c r="AN306" s="20">
        <f>IFERROR(VLOOKUP(Data[[#This Row],[DEVELOPMENT]],Ops_Priorities_and_Data_Clean[[development]:[ifnoext_comment]],10,FALSE),"")</f>
        <v>2</v>
      </c>
      <c r="AO306" s="20">
        <f>IFERROR(VLOOKUP(Data[[#This Row],[DEVELOPMENT]],Ops_Priorities_and_Data_Clean[[development]:[ifnoext_comment]],11,FALSE),"")</f>
        <v>2</v>
      </c>
      <c r="AP306" s="20">
        <f>IFERROR(VLOOKUP(Data[[#This Row],[DEVELOPMENT]],Ops_Priorities_and_Data_Clean[[development]:[ifnoext_comment]],12,FALSE),"")</f>
        <v>2</v>
      </c>
      <c r="AQ306" s="20">
        <f>VLOOKUP(Data[[#This Row],[DEVELOPMENT]],Ops_Priorities_and_Data_Clean[[development]:[ifnoext_comment]],14,FALSE)</f>
        <v>0</v>
      </c>
      <c r="AR306" s="20">
        <f>VLOOKUP(Data[[#This Row],[DEVELOPMENT]],Ops_Priorities_and_Data_Clean[[development]:[ifnoext_comment]],15,FALSE)</f>
        <v>0</v>
      </c>
      <c r="AS306" s="20" t="str">
        <f>VLOOKUP(Data[[#This Row],[DEVELOPMENT]],Ops_Priorities_and_Data_Clean[[development]:[ifnoext_comment]],16,FALSE)</f>
        <v>NULL</v>
      </c>
      <c r="AT306" s="20" t="str">
        <f>VLOOKUP(Data[[#This Row],[DEVELOPMENT]],Ops_Priorities_and_Data_Clean[[development]:[ifnoext_comment]],17,FALSE)</f>
        <v>NULL</v>
      </c>
      <c r="AU306" s="20" t="str">
        <f>VLOOKUP(Data[[#This Row],[DEVELOPMENT]],Ops_Priorities_and_Data_Clean[[development]:[ifnoext_comment]],18,FALSE)</f>
        <v xml:space="preserve">No </v>
      </c>
      <c r="AV306" s="20" t="str">
        <f>VLOOKUP(Data[[#This Row],[DEVELOPMENT]],Ops_Priorities_and_Data_Clean[[development]:[ifnoext_comment]],19,FALSE)</f>
        <v>container on-site</v>
      </c>
      <c r="AW306" s="20" t="str">
        <f>VLOOKUP(Data[[#This Row],[DEVELOPMENT]],Ops_Priorities_and_Data_Clean[[development]:[ifnoext_comment]],20,FALSE)</f>
        <v>NULL</v>
      </c>
      <c r="AX306" s="104" t="s">
        <v>2237</v>
      </c>
      <c r="AY306" s="104" t="s">
        <v>2590</v>
      </c>
      <c r="AZ306" s="20" t="str">
        <f>VLOOKUP(Data[[#This Row],[DEVELOPMENT]],Development_Data_Book[[DEVELOPMENT]:[PRIVATE MANAGEMENT]],8,FALSE)</f>
        <v>FEDERAL</v>
      </c>
      <c r="BA306" s="104" t="s">
        <v>2586</v>
      </c>
      <c r="BB306" s="20">
        <f>VLOOKUP(Data[[#This Row],[DEVELOPMENT]],Development_Data_Book[[DEVELOPMENT]:[PRIVATE MANAGEMENT]],22,FALSE)</f>
        <v>1</v>
      </c>
      <c r="BC306" s="20">
        <f>Data[[#This Row],[Non-Dwelling Buildings]]+Data[[#This Row],[Dwelling Buildings]]</f>
        <v>6</v>
      </c>
      <c r="BD306" s="20">
        <f>VLOOKUP(Data[[#This Row],[DEVELOPMENT]],Development_Data_Book[[DEVELOPMENT]:[PRIVATE MANAGEMENT]],26,FALSE)</f>
        <v>4.53</v>
      </c>
      <c r="BE306" s="106">
        <v>584050</v>
      </c>
      <c r="BF306" s="20">
        <f>VLOOKUP(Data[[#This Row],[DEVELOPMENT]],Development_Data_Book[[DEVELOPMENT]:[PRIVATE MANAGEMENT]],18,FALSE)</f>
        <v>1562</v>
      </c>
      <c r="BG30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06" s="104" t="s">
        <v>2631</v>
      </c>
      <c r="BI306" t="s">
        <v>184</v>
      </c>
      <c r="BJ306" s="20">
        <f>VLOOKUP(Data[[#This Row],[DEVELOPMENT]],Development_Data_Book[[DEVELOPMENT]:[PRIVATE MANAGEMENT]],41,FALSE)</f>
        <v>3</v>
      </c>
      <c r="BK306" s="20">
        <f>VLOOKUP(Data[[#This Row],[DEVELOPMENT]],Development_Data_Book[[DEVELOPMENT]:[PRIVATE MANAGEMENT]],42,FALSE)</f>
        <v>15</v>
      </c>
      <c r="BL306" s="20">
        <f>VLOOKUP(Data[[#This Row],[DEVELOPMENT]],Development_Data_Book[[DEVELOPMENT]:[PRIVATE MANAGEMENT]],43,FALSE)</f>
        <v>32</v>
      </c>
      <c r="BM306" s="20">
        <f>VLOOKUP(Data[[#This Row],[DEVELOPMENT]],Development_Data_Book[[DEVELOPMENT]:[PRIVATE MANAGEMENT]],44,FALSE)</f>
        <v>79</v>
      </c>
      <c r="BN306" s="20">
        <f>VLOOKUP(Data[[#This Row],[DEVELOPMENT]],Development_Data_Book[[DEVELOPMENT]:[PRIVATE MANAGEMENT]],45,FALSE)</f>
        <v>16</v>
      </c>
      <c r="BO306" s="20">
        <f>VLOOKUP(Data[[#This Row],[DEVELOPMENT]],Development_Data_Book[[DEVELOPMENT]:[PRIVATE MANAGEMENT]],24,FALSE)</f>
        <v>21</v>
      </c>
    </row>
    <row r="307" spans="1:67">
      <c r="A307" t="s">
        <v>220</v>
      </c>
      <c r="B307" s="20" t="str">
        <f>VLOOKUP(Data[[#This Row],[DEVELOPMENT]],Development_Data_Book[[DEVELOPMENT]:[BOROUGH]],MATCH("borough",Development_Data_Book[[#Headers],[DEVELOPMENT]:[BOROUGH]],0),FALSE)</f>
        <v>BROOKLYN</v>
      </c>
      <c r="C307" s="20" t="e">
        <f>VLOOKUP(Data[[#This Row],[DEVELOPMENT]],'[1]Cheat-Sheet'!$D$2:$Q$341,2,FALSE)</f>
        <v>#N/A</v>
      </c>
      <c r="D307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307" s="20">
        <f>VLOOKUP(Data[[#This Row],[DEVELOPMENT]],Development_Data_Book[[DEVELOPMENT]:[BOROUGH]],21,FALSE)</f>
        <v>2</v>
      </c>
      <c r="F307" s="20">
        <f>VLOOKUP(Data[[#This Row],[DEVELOPMENT]],Development_Data_Book[[DEVELOPMENT]:[BOROUGH]],23,FALSE)</f>
        <v>14</v>
      </c>
      <c r="G307" s="20">
        <f>VLOOKUP(Data[[#This Row],[DEVELOPMENT]],Development_Data_Book[[DEVELOPMENT]:[BOROUGH]],12,FALSE)</f>
        <v>256</v>
      </c>
      <c r="J307">
        <f>IFERROR(VLOOKUP(Data[[#This Row],[DEVELOPMENT]],IntCompactors_MRST[],4,FALSE),0)</f>
        <v>0</v>
      </c>
      <c r="K307" s="20">
        <f>IFERROR(VLOOKUP(Data[[#This Row],[DEVELOPMENT]],ExtCompactors_MRST[],4,FALSE),0)</f>
        <v>0</v>
      </c>
      <c r="L307" s="27" t="str">
        <f>IF(Data[[#This Row],['# Interior Compactors MRST]]=0,"",VLOOKUP(Data[[#This Row],[DEVELOPMENT]],IntCompactors_MRST[],5,FALSE))</f>
        <v/>
      </c>
      <c r="M307" s="28" t="str">
        <f>IF(Data[[#This Row],['# Exterior Compactors MRST]]=0,"",VLOOKUP(Data[[#This Row],[DEVELOPMENT]],ExtCompactors_MRST[],5,FALSE))</f>
        <v/>
      </c>
      <c r="N307" s="20">
        <f>Data[[#This Row],['# Interior Compactors MRST]]</f>
        <v>0</v>
      </c>
      <c r="O307" s="20">
        <f>IF(Data[[#This Row],['# Bulk Crushers]]=0,1,0)</f>
        <v>1</v>
      </c>
      <c r="P307" s="20">
        <f>1</f>
        <v>1</v>
      </c>
      <c r="Q307" s="20">
        <f>1</f>
        <v>1</v>
      </c>
      <c r="R307" s="20">
        <f>1</f>
        <v>1</v>
      </c>
      <c r="S307" s="20">
        <f>1</f>
        <v>1</v>
      </c>
      <c r="T307" s="20">
        <f>IF(Data[[#This Row],[Sewershed]]="Newtown Creek",Data[[#This Row],[DUs]],0)</f>
        <v>256</v>
      </c>
      <c r="U307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07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07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07" s="82">
        <f>VLOOKUP(Data[[#This Row],[DEVELOPMENT]],Development_Data_Book[[DEVELOPMENT]:[BOROUGH]],3,FALSE)</f>
        <v>229</v>
      </c>
      <c r="Y307" s="20" t="s">
        <v>2599</v>
      </c>
      <c r="Z307" s="20">
        <f>IFERROR(VLOOKUP(Data[[#This Row],[TDS]],ExtCompactors_PNA[[Development]:[0]],2,FALSE),0)</f>
        <v>0</v>
      </c>
      <c r="AA307" s="20">
        <f>IFERROR(VLOOKUP(Data[[#This Row],[TDS]],IntCompactors_PNA[[TDS]:[0]],2,FALSE),0)</f>
        <v>0</v>
      </c>
      <c r="AB307" s="20"/>
      <c r="AC307" s="20"/>
      <c r="AD307" s="20">
        <f>IFERROR(VLOOKUP(Data[[#This Row],[TDS]],ExtCompactors_PNA[[Development]:[0]],3,FALSE)+VLOOKUP(Data[[#This Row],[TDS]],ExtCompactors_PNA[[Development]:[0]],6,FALSE),0)</f>
        <v>0</v>
      </c>
      <c r="AE307" s="20">
        <f>IFERROR(VLOOKUP(Data[[#This Row],[TDS]],IntCompactors_PNA[[TDS]:[0]],3,FALSE)+VLOOKUP(Data[[#This Row],[TDS]],IntCompactors_PNA[[TDS]:[0]],6,FALSE),0)</f>
        <v>0</v>
      </c>
      <c r="AF307" s="20" t="e">
        <f>VLOOKUP(Data[[#This Row],[DEVELOPMENT]],[3]Developments!$A$2:$A$312,1,FALSE)</f>
        <v>#N/A</v>
      </c>
      <c r="AG307" s="20">
        <f>IFERROR(VLOOKUP(Data[[#This Row],[DEVELOPMENT]],Ops_Priorities_and_Data_Clean[[development]:[ifnoext_comment]],3,FALSE),"")</f>
        <v>0</v>
      </c>
      <c r="AH307" s="20">
        <f>IFERROR(VLOOKUP(Data[[#This Row],[DEVELOPMENT]],Ops_Priorities_and_Data_Clean[[development]:[ifnoext_comment]],4,FALSE),"")</f>
        <v>1</v>
      </c>
      <c r="AI307" s="20">
        <f>IFERROR(VLOOKUP(Data[[#This Row],[DEVELOPMENT]],Ops_Priorities_and_Data_Clean[[development]:[ifnoext_comment]],5,FALSE),"")</f>
        <v>0</v>
      </c>
      <c r="AJ307" s="20">
        <f>IFERROR(VLOOKUP(Data[[#This Row],[DEVELOPMENT]],Ops_Priorities_and_Data_Clean[[development]:[ifnoext_comment]],6,FALSE),"")</f>
        <v>0</v>
      </c>
      <c r="AK307" s="20">
        <f>IFERROR(VLOOKUP(Data[[#This Row],[DEVELOPMENT]],Ops_Priorities_and_Data_Clean[[development]:[ifnoext_comment]],7,FALSE),"")</f>
        <v>1</v>
      </c>
      <c r="AL307" s="20">
        <f>IFERROR(VLOOKUP(Data[[#This Row],[DEVELOPMENT]],Ops_Priorities_and_Data_Clean[[development]:[ifnoext_comment]],8,FALSE),"")</f>
        <v>1</v>
      </c>
      <c r="AM307" s="20">
        <f>IFERROR(VLOOKUP(Data[[#This Row],[DEVELOPMENT]],Ops_Priorities_and_Data_Clean[[development]:[ifnoext_comment]],9,FALSE),"")</f>
        <v>1</v>
      </c>
      <c r="AN307" s="20">
        <f>IFERROR(VLOOKUP(Data[[#This Row],[DEVELOPMENT]],Ops_Priorities_and_Data_Clean[[development]:[ifnoext_comment]],10,FALSE),"")</f>
        <v>0</v>
      </c>
      <c r="AO307" s="20">
        <f>IFERROR(VLOOKUP(Data[[#This Row],[DEVELOPMENT]],Ops_Priorities_and_Data_Clean[[development]:[ifnoext_comment]],11,FALSE),"")</f>
        <v>0</v>
      </c>
      <c r="AP307" s="20">
        <f>IFERROR(VLOOKUP(Data[[#This Row],[DEVELOPMENT]],Ops_Priorities_and_Data_Clean[[development]:[ifnoext_comment]],12,FALSE),"")</f>
        <v>0</v>
      </c>
      <c r="AQ307" s="20">
        <f>VLOOKUP(Data[[#This Row],[DEVELOPMENT]],Ops_Priorities_and_Data_Clean[[development]:[ifnoext_comment]],14,FALSE)</f>
        <v>1</v>
      </c>
      <c r="AR307" s="20">
        <f>VLOOKUP(Data[[#This Row],[DEVELOPMENT]],Ops_Priorities_and_Data_Clean[[development]:[ifnoext_comment]],15,FALSE)</f>
        <v>0</v>
      </c>
      <c r="AS307" s="20" t="str">
        <f>VLOOKUP(Data[[#This Row],[DEVELOPMENT]],Ops_Priorities_and_Data_Clean[[development]:[ifnoext_comment]],16,FALSE)</f>
        <v>NULL</v>
      </c>
      <c r="AT307" s="20" t="str">
        <f>VLOOKUP(Data[[#This Row],[DEVELOPMENT]],Ops_Priorities_and_Data_Clean[[development]:[ifnoext_comment]],17,FALSE)</f>
        <v>NULL</v>
      </c>
      <c r="AU307" s="20" t="str">
        <f>VLOOKUP(Data[[#This Row],[DEVELOPMENT]],Ops_Priorities_and_Data_Clean[[development]:[ifnoext_comment]],18,FALSE)</f>
        <v>yes</v>
      </c>
      <c r="AV307" s="20" t="str">
        <f>VLOOKUP(Data[[#This Row],[DEVELOPMENT]],Ops_Priorities_and_Data_Clean[[development]:[ifnoext_comment]],19,FALSE)</f>
        <v>Curbside pickup for DSNY</v>
      </c>
      <c r="AW307" s="20" t="str">
        <f>VLOOKUP(Data[[#This Row],[DEVELOPMENT]],Ops_Priorities_and_Data_Clean[[development]:[ifnoext_comment]],20,FALSE)</f>
        <v>Note that their parking lot is small, but it could potentially fit one.</v>
      </c>
      <c r="AX307" s="104" t="s">
        <v>2238</v>
      </c>
      <c r="AY307" s="104" t="s">
        <v>2674</v>
      </c>
      <c r="AZ307" s="20" t="str">
        <f>VLOOKUP(Data[[#This Row],[DEVELOPMENT]],Development_Data_Book[[DEVELOPMENT]:[PRIVATE MANAGEMENT]],8,FALSE)</f>
        <v>FEDERAL</v>
      </c>
      <c r="BA307" s="104" t="s">
        <v>2588</v>
      </c>
      <c r="BB307" s="20">
        <f>VLOOKUP(Data[[#This Row],[DEVELOPMENT]],Development_Data_Book[[DEVELOPMENT]:[PRIVATE MANAGEMENT]],22,FALSE)</f>
        <v>0</v>
      </c>
      <c r="BC307" s="20">
        <f>Data[[#This Row],[Non-Dwelling Buildings]]+Data[[#This Row],[Dwelling Buildings]]</f>
        <v>2</v>
      </c>
      <c r="BD307" s="20">
        <f>VLOOKUP(Data[[#This Row],[DEVELOPMENT]],Development_Data_Book[[DEVELOPMENT]:[PRIVATE MANAGEMENT]],26,FALSE)</f>
        <v>3.25</v>
      </c>
      <c r="BE307" s="106">
        <v>300150</v>
      </c>
      <c r="BF307" s="20">
        <f>VLOOKUP(Data[[#This Row],[DEVELOPMENT]],Development_Data_Book[[DEVELOPMENT]:[PRIVATE MANAGEMENT]],18,FALSE)</f>
        <v>718</v>
      </c>
      <c r="BG30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07" s="104" t="s">
        <v>2608</v>
      </c>
      <c r="BI307" t="s">
        <v>184</v>
      </c>
      <c r="BJ307" s="20">
        <f>VLOOKUP(Data[[#This Row],[DEVELOPMENT]],Development_Data_Book[[DEVELOPMENT]:[PRIVATE MANAGEMENT]],41,FALSE)</f>
        <v>8</v>
      </c>
      <c r="BK307" s="20">
        <f>VLOOKUP(Data[[#This Row],[DEVELOPMENT]],Development_Data_Book[[DEVELOPMENT]:[PRIVATE MANAGEMENT]],42,FALSE)</f>
        <v>8</v>
      </c>
      <c r="BL307" s="20">
        <f>VLOOKUP(Data[[#This Row],[DEVELOPMENT]],Development_Data_Book[[DEVELOPMENT]:[PRIVATE MANAGEMENT]],43,FALSE)</f>
        <v>25</v>
      </c>
      <c r="BM307" s="20">
        <f>VLOOKUP(Data[[#This Row],[DEVELOPMENT]],Development_Data_Book[[DEVELOPMENT]:[PRIVATE MANAGEMENT]],44,FALSE)</f>
        <v>56</v>
      </c>
      <c r="BN307" s="20">
        <f>VLOOKUP(Data[[#This Row],[DEVELOPMENT]],Development_Data_Book[[DEVELOPMENT]:[PRIVATE MANAGEMENT]],45,FALSE)</f>
        <v>36</v>
      </c>
      <c r="BO307" s="20">
        <f>VLOOKUP(Data[[#This Row],[DEVELOPMENT]],Development_Data_Book[[DEVELOPMENT]:[PRIVATE MANAGEMENT]],24,FALSE)</f>
        <v>43560</v>
      </c>
    </row>
    <row r="308" spans="1:67">
      <c r="A308" t="s">
        <v>380</v>
      </c>
      <c r="B308" s="20" t="str">
        <f>VLOOKUP(Data[[#This Row],[DEVELOPMENT]],Development_Data_Book[[DEVELOPMENT]:[BOROUGH]],MATCH("borough",Development_Data_Book[[#Headers],[DEVELOPMENT]:[BOROUGH]],0),FALSE)</f>
        <v>STATEN ISLAND</v>
      </c>
      <c r="C308" s="20" t="e">
        <f>VLOOKUP(Data[[#This Row],[DEVELOPMENT]],'[1]Cheat-Sheet'!$D$2:$Q$341,2,FALSE)</f>
        <v>#N/A</v>
      </c>
      <c r="D30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08" s="20">
        <f>VLOOKUP(Data[[#This Row],[DEVELOPMENT]],Development_Data_Book[[DEVELOPMENT]:[BOROUGH]],21,FALSE)</f>
        <v>8</v>
      </c>
      <c r="F308" s="20">
        <f>VLOOKUP(Data[[#This Row],[DEVELOPMENT]],Development_Data_Book[[DEVELOPMENT]:[BOROUGH]],23,FALSE)</f>
        <v>9</v>
      </c>
      <c r="G308" s="20">
        <f>VLOOKUP(Data[[#This Row],[DEVELOPMENT]],Development_Data_Book[[DEVELOPMENT]:[BOROUGH]],12,FALSE)</f>
        <v>487</v>
      </c>
      <c r="J308">
        <f>IFERROR(VLOOKUP(Data[[#This Row],[DEVELOPMENT]],IntCompactors_MRST[],4,FALSE),0)</f>
        <v>8</v>
      </c>
      <c r="K308" s="20">
        <f>IFERROR(VLOOKUP(Data[[#This Row],[DEVELOPMENT]],ExtCompactors_MRST[],4,FALSE),0)</f>
        <v>2</v>
      </c>
      <c r="L308" s="27">
        <f>IF(Data[[#This Row],['# Interior Compactors MRST]]=0,"",VLOOKUP(Data[[#This Row],[DEVELOPMENT]],IntCompactors_MRST[],5,FALSE))</f>
        <v>36008</v>
      </c>
      <c r="M308" s="28">
        <f>IF(Data[[#This Row],['# Exterior Compactors MRST]]=0,"",VLOOKUP(Data[[#This Row],[DEVELOPMENT]],ExtCompactors_MRST[],5,FALSE))</f>
        <v>36695</v>
      </c>
      <c r="N308" s="20">
        <f>Data[[#This Row],['# Interior Compactors MRST]]</f>
        <v>8</v>
      </c>
      <c r="O308" s="20">
        <f>IF(Data[[#This Row],['# Bulk Crushers]]=0,1,0)</f>
        <v>1</v>
      </c>
      <c r="P308" s="20">
        <f>1</f>
        <v>1</v>
      </c>
      <c r="Q308" s="20">
        <f>1</f>
        <v>1</v>
      </c>
      <c r="R308" s="20">
        <f>1</f>
        <v>1</v>
      </c>
      <c r="S308" s="20">
        <f>1</f>
        <v>1</v>
      </c>
      <c r="T308" s="20">
        <f>IF(Data[[#This Row],[Sewershed]]="Newtown Creek",Data[[#This Row],[DUs]],0)</f>
        <v>0</v>
      </c>
      <c r="U308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08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08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08" s="82">
        <f>VLOOKUP(Data[[#This Row],[DEVELOPMENT]],Development_Data_Book[[DEVELOPMENT]:[BOROUGH]],3,FALSE)</f>
        <v>116</v>
      </c>
      <c r="Y308" s="20"/>
      <c r="Z308" s="20">
        <f>IFERROR(VLOOKUP(Data[[#This Row],[TDS]],ExtCompactors_PNA[[Development]:[0]],2,FALSE),0)</f>
        <v>2</v>
      </c>
      <c r="AA308" s="20">
        <f>IFERROR(VLOOKUP(Data[[#This Row],[TDS]],IntCompactors_PNA[[TDS]:[0]],2,FALSE),0)</f>
        <v>8</v>
      </c>
      <c r="AB308" s="20"/>
      <c r="AC308" s="20"/>
      <c r="AD308" s="20">
        <f>IFERROR(VLOOKUP(Data[[#This Row],[TDS]],ExtCompactors_PNA[[Development]:[0]],3,FALSE)+VLOOKUP(Data[[#This Row],[TDS]],ExtCompactors_PNA[[Development]:[0]],6,FALSE),0)</f>
        <v>2</v>
      </c>
      <c r="AE308" s="20">
        <f>IFERROR(VLOOKUP(Data[[#This Row],[TDS]],IntCompactors_PNA[[TDS]:[0]],3,FALSE)+VLOOKUP(Data[[#This Row],[TDS]],IntCompactors_PNA[[TDS]:[0]],6,FALSE),0)</f>
        <v>8</v>
      </c>
      <c r="AF308" s="20" t="e">
        <f>VLOOKUP(Data[[#This Row],[DEVELOPMENT]],[3]Developments!$A$2:$A$312,1,FALSE)</f>
        <v>#N/A</v>
      </c>
      <c r="AG308" s="20">
        <f>IFERROR(VLOOKUP(Data[[#This Row],[DEVELOPMENT]],Ops_Priorities_and_Data_Clean[[development]:[ifnoext_comment]],3,FALSE),"")</f>
        <v>2</v>
      </c>
      <c r="AH308" s="20">
        <f>IFERROR(VLOOKUP(Data[[#This Row],[DEVELOPMENT]],Ops_Priorities_and_Data_Clean[[development]:[ifnoext_comment]],4,FALSE),"")</f>
        <v>0</v>
      </c>
      <c r="AI308" s="20">
        <f>IFERROR(VLOOKUP(Data[[#This Row],[DEVELOPMENT]],Ops_Priorities_and_Data_Clean[[development]:[ifnoext_comment]],5,FALSE),"")</f>
        <v>1</v>
      </c>
      <c r="AJ308" s="20">
        <f>IFERROR(VLOOKUP(Data[[#This Row],[DEVELOPMENT]],Ops_Priorities_and_Data_Clean[[development]:[ifnoext_comment]],6,FALSE),"")</f>
        <v>0</v>
      </c>
      <c r="AK308" s="20">
        <f>IFERROR(VLOOKUP(Data[[#This Row],[DEVELOPMENT]],Ops_Priorities_and_Data_Clean[[development]:[ifnoext_comment]],7,FALSE),"")</f>
        <v>0</v>
      </c>
      <c r="AL308" s="20">
        <f>IFERROR(VLOOKUP(Data[[#This Row],[DEVELOPMENT]],Ops_Priorities_and_Data_Clean[[development]:[ifnoext_comment]],8,FALSE),"")</f>
        <v>1</v>
      </c>
      <c r="AM308" s="20">
        <f>IFERROR(VLOOKUP(Data[[#This Row],[DEVELOPMENT]],Ops_Priorities_and_Data_Clean[[development]:[ifnoext_comment]],9,FALSE),"")</f>
        <v>0</v>
      </c>
      <c r="AN308" s="20">
        <f>IFERROR(VLOOKUP(Data[[#This Row],[DEVELOPMENT]],Ops_Priorities_and_Data_Clean[[development]:[ifnoext_comment]],10,FALSE),"")</f>
        <v>2</v>
      </c>
      <c r="AO308" s="20">
        <f>IFERROR(VLOOKUP(Data[[#This Row],[DEVELOPMENT]],Ops_Priorities_and_Data_Clean[[development]:[ifnoext_comment]],11,FALSE),"")</f>
        <v>2</v>
      </c>
      <c r="AP308" s="20">
        <f>IFERROR(VLOOKUP(Data[[#This Row],[DEVELOPMENT]],Ops_Priorities_and_Data_Clean[[development]:[ifnoext_comment]],12,FALSE),"")</f>
        <v>2</v>
      </c>
      <c r="AQ308" s="20">
        <f>VLOOKUP(Data[[#This Row],[DEVELOPMENT]],Ops_Priorities_and_Data_Clean[[development]:[ifnoext_comment]],14,FALSE)</f>
        <v>0</v>
      </c>
      <c r="AR308" s="20">
        <f>VLOOKUP(Data[[#This Row],[DEVELOPMENT]],Ops_Priorities_and_Data_Clean[[development]:[ifnoext_comment]],15,FALSE)</f>
        <v>0</v>
      </c>
      <c r="AS308" s="20" t="str">
        <f>VLOOKUP(Data[[#This Row],[DEVELOPMENT]],Ops_Priorities_and_Data_Clean[[development]:[ifnoext_comment]],16,FALSE)</f>
        <v>NULL</v>
      </c>
      <c r="AT308" s="20" t="str">
        <f>VLOOKUP(Data[[#This Row],[DEVELOPMENT]],Ops_Priorities_and_Data_Clean[[development]:[ifnoext_comment]],17,FALSE)</f>
        <v>West Brighton l &amp; ll are together.</v>
      </c>
      <c r="AU308" s="20" t="str">
        <f>VLOOKUP(Data[[#This Row],[DEVELOPMENT]],Ops_Priorities_and_Data_Clean[[development]:[ifnoext_comment]],18,FALSE)</f>
        <v>NULL</v>
      </c>
      <c r="AV308" s="20" t="str">
        <f>VLOOKUP(Data[[#This Row],[DEVELOPMENT]],Ops_Priorities_and_Data_Clean[[development]:[ifnoext_comment]],19,FALSE)</f>
        <v>NULL</v>
      </c>
      <c r="AW308" s="20" t="str">
        <f>VLOOKUP(Data[[#This Row],[DEVELOPMENT]],Ops_Priorities_and_Data_Clean[[development]:[ifnoext_comment]],20,FALSE)</f>
        <v>NULL</v>
      </c>
      <c r="AX308" s="104" t="s">
        <v>2614</v>
      </c>
      <c r="AY308" s="104" t="s">
        <v>2675</v>
      </c>
      <c r="AZ308" s="20" t="str">
        <f>VLOOKUP(Data[[#This Row],[DEVELOPMENT]],Development_Data_Book[[DEVELOPMENT]:[PRIVATE MANAGEMENT]],8,FALSE)</f>
        <v>FEDERAL</v>
      </c>
      <c r="BA308" s="104" t="s">
        <v>2586</v>
      </c>
      <c r="BB308" s="20">
        <f>VLOOKUP(Data[[#This Row],[DEVELOPMENT]],Development_Data_Book[[DEVELOPMENT]:[PRIVATE MANAGEMENT]],22,FALSE)</f>
        <v>1</v>
      </c>
      <c r="BC308" s="20">
        <f>Data[[#This Row],[Non-Dwelling Buildings]]+Data[[#This Row],[Dwelling Buildings]]</f>
        <v>9</v>
      </c>
      <c r="BD308" s="20">
        <f>VLOOKUP(Data[[#This Row],[DEVELOPMENT]],Development_Data_Book[[DEVELOPMENT]:[PRIVATE MANAGEMENT]],26,FALSE)</f>
        <v>8.4499999999999993</v>
      </c>
      <c r="BE308" s="106">
        <v>534910</v>
      </c>
      <c r="BF308" s="20">
        <f>VLOOKUP(Data[[#This Row],[DEVELOPMENT]],Development_Data_Book[[DEVELOPMENT]:[PRIVATE MANAGEMENT]],18,FALSE)</f>
        <v>1377</v>
      </c>
      <c r="BG30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08" s="104" t="s">
        <v>2591</v>
      </c>
      <c r="BI308" t="s">
        <v>184</v>
      </c>
      <c r="BJ308" s="20">
        <f>VLOOKUP(Data[[#This Row],[DEVELOPMENT]],Development_Data_Book[[DEVELOPMENT]:[PRIVATE MANAGEMENT]],41,FALSE)</f>
        <v>1</v>
      </c>
      <c r="BK308" s="20">
        <f>VLOOKUP(Data[[#This Row],[DEVELOPMENT]],Development_Data_Book[[DEVELOPMENT]:[PRIVATE MANAGEMENT]],42,FALSE)</f>
        <v>11</v>
      </c>
      <c r="BL308" s="20">
        <f>VLOOKUP(Data[[#This Row],[DEVELOPMENT]],Development_Data_Book[[DEVELOPMENT]:[PRIVATE MANAGEMENT]],43,FALSE)</f>
        <v>23</v>
      </c>
      <c r="BM308" s="20">
        <f>VLOOKUP(Data[[#This Row],[DEVELOPMENT]],Development_Data_Book[[DEVELOPMENT]:[PRIVATE MANAGEMENT]],44,FALSE)</f>
        <v>61</v>
      </c>
      <c r="BN308" s="20">
        <f>VLOOKUP(Data[[#This Row],[DEVELOPMENT]],Development_Data_Book[[DEVELOPMENT]:[PRIVATE MANAGEMENT]],45,FALSE)</f>
        <v>49</v>
      </c>
      <c r="BO308" s="20">
        <f>VLOOKUP(Data[[#This Row],[DEVELOPMENT]],Development_Data_Book[[DEVELOPMENT]:[PRIVATE MANAGEMENT]],24,FALSE)</f>
        <v>8</v>
      </c>
    </row>
    <row r="309" spans="1:67">
      <c r="A309" t="s">
        <v>381</v>
      </c>
      <c r="B309" s="20" t="str">
        <f>VLOOKUP(Data[[#This Row],[DEVELOPMENT]],Development_Data_Book[[DEVELOPMENT]:[BOROUGH]],MATCH("borough",Development_Data_Book[[#Headers],[DEVELOPMENT]:[BOROUGH]],0),FALSE)</f>
        <v>STATEN ISLAND</v>
      </c>
      <c r="C309" s="20" t="e">
        <f>VLOOKUP(Data[[#This Row],[DEVELOPMENT]],'[1]Cheat-Sheet'!$D$2:$Q$341,2,FALSE)</f>
        <v>#N/A</v>
      </c>
      <c r="D30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09" s="20">
        <f>VLOOKUP(Data[[#This Row],[DEVELOPMENT]],Development_Data_Book[[DEVELOPMENT]:[BOROUGH]],21,FALSE)</f>
        <v>8</v>
      </c>
      <c r="F309" s="20">
        <f>VLOOKUP(Data[[#This Row],[DEVELOPMENT]],Development_Data_Book[[DEVELOPMENT]:[BOROUGH]],23,FALSE)</f>
        <v>8</v>
      </c>
      <c r="G309" s="20">
        <f>VLOOKUP(Data[[#This Row],[DEVELOPMENT]],Development_Data_Book[[DEVELOPMENT]:[BOROUGH]],12,FALSE)</f>
        <v>120</v>
      </c>
      <c r="J309">
        <f>IFERROR(VLOOKUP(Data[[#This Row],[DEVELOPMENT]],IntCompactors_MRST[],4,FALSE),0)</f>
        <v>0</v>
      </c>
      <c r="K309" s="20">
        <f>IFERROR(VLOOKUP(Data[[#This Row],[DEVELOPMENT]],ExtCompactors_MRST[],4,FALSE),0)</f>
        <v>0</v>
      </c>
      <c r="L309" s="27" t="str">
        <f>IF(Data[[#This Row],['# Interior Compactors MRST]]=0,"",VLOOKUP(Data[[#This Row],[DEVELOPMENT]],IntCompactors_MRST[],5,FALSE))</f>
        <v/>
      </c>
      <c r="M309" s="28" t="str">
        <f>IF(Data[[#This Row],['# Exterior Compactors MRST]]=0,"",VLOOKUP(Data[[#This Row],[DEVELOPMENT]],ExtCompactors_MRST[],5,FALSE))</f>
        <v/>
      </c>
      <c r="N309" s="20">
        <f>Data[[#This Row],['# Interior Compactors MRST]]</f>
        <v>0</v>
      </c>
      <c r="O309" s="20">
        <f>IF(Data[[#This Row],['# Bulk Crushers]]=0,1,0)</f>
        <v>1</v>
      </c>
      <c r="P309" s="20">
        <f>1</f>
        <v>1</v>
      </c>
      <c r="Q309" s="20">
        <f>1</f>
        <v>1</v>
      </c>
      <c r="R309" s="20">
        <f>1</f>
        <v>1</v>
      </c>
      <c r="S309" s="20">
        <f>1</f>
        <v>1</v>
      </c>
      <c r="T309" s="20">
        <f>IF(Data[[#This Row],[Sewershed]]="Newtown Creek",Data[[#This Row],[DUs]],0)</f>
        <v>0</v>
      </c>
      <c r="U309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09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09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09" s="82">
        <f>VLOOKUP(Data[[#This Row],[DEVELOPMENT]],Development_Data_Book[[DEVELOPMENT]:[BOROUGH]],3,FALSE)</f>
        <v>175</v>
      </c>
      <c r="Y309" s="20"/>
      <c r="Z309" s="20">
        <f>IFERROR(VLOOKUP(Data[[#This Row],[TDS]],ExtCompactors_PNA[[Development]:[0]],2,FALSE),0)</f>
        <v>0</v>
      </c>
      <c r="AA309" s="20">
        <f>IFERROR(VLOOKUP(Data[[#This Row],[TDS]],IntCompactors_PNA[[TDS]:[0]],2,FALSE),0)</f>
        <v>0</v>
      </c>
      <c r="AB309" s="20"/>
      <c r="AC309" s="20"/>
      <c r="AD309" s="20">
        <f>IFERROR(VLOOKUP(Data[[#This Row],[TDS]],ExtCompactors_PNA[[Development]:[0]],3,FALSE)+VLOOKUP(Data[[#This Row],[TDS]],ExtCompactors_PNA[[Development]:[0]],6,FALSE),0)</f>
        <v>0</v>
      </c>
      <c r="AE309" s="20">
        <f>IFERROR(VLOOKUP(Data[[#This Row],[TDS]],IntCompactors_PNA[[TDS]:[0]],3,FALSE)+VLOOKUP(Data[[#This Row],[TDS]],IntCompactors_PNA[[TDS]:[0]],6,FALSE),0)</f>
        <v>0</v>
      </c>
      <c r="AF309" s="20" t="e">
        <f>VLOOKUP(Data[[#This Row],[DEVELOPMENT]],[3]Developments!$A$2:$A$312,1,FALSE)</f>
        <v>#N/A</v>
      </c>
      <c r="AG309" s="20">
        <f>IFERROR(VLOOKUP(Data[[#This Row],[DEVELOPMENT]],Ops_Priorities_and_Data_Clean[[development]:[ifnoext_comment]],3,FALSE),"")</f>
        <v>0</v>
      </c>
      <c r="AH309" s="20">
        <f>IFERROR(VLOOKUP(Data[[#This Row],[DEVELOPMENT]],Ops_Priorities_and_Data_Clean[[development]:[ifnoext_comment]],4,FALSE),"")</f>
        <v>0</v>
      </c>
      <c r="AI309" s="20">
        <f>IFERROR(VLOOKUP(Data[[#This Row],[DEVELOPMENT]],Ops_Priorities_and_Data_Clean[[development]:[ifnoext_comment]],5,FALSE),"")</f>
        <v>0</v>
      </c>
      <c r="AJ309" s="20">
        <f>IFERROR(VLOOKUP(Data[[#This Row],[DEVELOPMENT]],Ops_Priorities_and_Data_Clean[[development]:[ifnoext_comment]],6,FALSE),"")</f>
        <v>1</v>
      </c>
      <c r="AK309" s="20">
        <f>IFERROR(VLOOKUP(Data[[#This Row],[DEVELOPMENT]],Ops_Priorities_and_Data_Clean[[development]:[ifnoext_comment]],7,FALSE),"")</f>
        <v>0</v>
      </c>
      <c r="AL309" s="20">
        <f>IFERROR(VLOOKUP(Data[[#This Row],[DEVELOPMENT]],Ops_Priorities_and_Data_Clean[[development]:[ifnoext_comment]],8,FALSE),"")</f>
        <v>1</v>
      </c>
      <c r="AM309" s="20">
        <f>IFERROR(VLOOKUP(Data[[#This Row],[DEVELOPMENT]],Ops_Priorities_and_Data_Clean[[development]:[ifnoext_comment]],9,FALSE),"")</f>
        <v>0</v>
      </c>
      <c r="AN309" s="20">
        <f>IFERROR(VLOOKUP(Data[[#This Row],[DEVELOPMENT]],Ops_Priorities_and_Data_Clean[[development]:[ifnoext_comment]],10,FALSE),"")</f>
        <v>0</v>
      </c>
      <c r="AO309" s="20">
        <f>IFERROR(VLOOKUP(Data[[#This Row],[DEVELOPMENT]],Ops_Priorities_and_Data_Clean[[development]:[ifnoext_comment]],11,FALSE),"")</f>
        <v>0</v>
      </c>
      <c r="AP309" s="20">
        <f>IFERROR(VLOOKUP(Data[[#This Row],[DEVELOPMENT]],Ops_Priorities_and_Data_Clean[[development]:[ifnoext_comment]],12,FALSE),"")</f>
        <v>0</v>
      </c>
      <c r="AQ309" s="20">
        <f>VLOOKUP(Data[[#This Row],[DEVELOPMENT]],Ops_Priorities_and_Data_Clean[[development]:[ifnoext_comment]],14,FALSE)</f>
        <v>0</v>
      </c>
      <c r="AR309" s="20">
        <f>VLOOKUP(Data[[#This Row],[DEVELOPMENT]],Ops_Priorities_and_Data_Clean[[development]:[ifnoext_comment]],15,FALSE)</f>
        <v>1</v>
      </c>
      <c r="AS309" s="20" t="str">
        <f>VLOOKUP(Data[[#This Row],[DEVELOPMENT]],Ops_Priorities_and_Data_Clean[[development]:[ifnoext_comment]],16,FALSE)</f>
        <v>West Brighton I</v>
      </c>
      <c r="AT309" s="20" t="str">
        <f>VLOOKUP(Data[[#This Row],[DEVELOPMENT]],Ops_Priorities_and_Data_Clean[[development]:[ifnoext_comment]],17,FALSE)</f>
        <v>NULL</v>
      </c>
      <c r="AU309" s="20" t="str">
        <f>VLOOKUP(Data[[#This Row],[DEVELOPMENT]],Ops_Priorities_and_Data_Clean[[development]:[ifnoext_comment]],18,FALSE)</f>
        <v>NULL</v>
      </c>
      <c r="AV309" s="20" t="str">
        <f>VLOOKUP(Data[[#This Row],[DEVELOPMENT]],Ops_Priorities_and_Data_Clean[[development]:[ifnoext_comment]],19,FALSE)</f>
        <v>NULL</v>
      </c>
      <c r="AW309" s="20" t="str">
        <f>VLOOKUP(Data[[#This Row],[DEVELOPMENT]],Ops_Priorities_and_Data_Clean[[development]:[ifnoext_comment]],20,FALSE)</f>
        <v>NULL</v>
      </c>
      <c r="AX309" s="104" t="s">
        <v>2614</v>
      </c>
      <c r="AY309" s="104" t="s">
        <v>2675</v>
      </c>
      <c r="AZ309" s="20" t="str">
        <f>VLOOKUP(Data[[#This Row],[DEVELOPMENT]],Development_Data_Book[[DEVELOPMENT]:[PRIVATE MANAGEMENT]],8,FALSE)</f>
        <v>FEDERAL</v>
      </c>
      <c r="BA309" s="104" t="s">
        <v>2588</v>
      </c>
      <c r="BB309" s="20">
        <f>VLOOKUP(Data[[#This Row],[DEVELOPMENT]],Development_Data_Book[[DEVELOPMENT]:[PRIVATE MANAGEMENT]],22,FALSE)</f>
        <v>0</v>
      </c>
      <c r="BC309" s="20">
        <f>Data[[#This Row],[Non-Dwelling Buildings]]+Data[[#This Row],[Dwelling Buildings]]</f>
        <v>8</v>
      </c>
      <c r="BD309" s="20">
        <f>VLOOKUP(Data[[#This Row],[DEVELOPMENT]],Development_Data_Book[[DEVELOPMENT]:[PRIVATE MANAGEMENT]],26,FALSE)</f>
        <v>4.17</v>
      </c>
      <c r="BE309" s="106">
        <v>74100</v>
      </c>
      <c r="BF309" s="20">
        <f>VLOOKUP(Data[[#This Row],[DEVELOPMENT]],Development_Data_Book[[DEVELOPMENT]:[PRIVATE MANAGEMENT]],18,FALSE)</f>
        <v>99</v>
      </c>
      <c r="BG309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309" s="104" t="s">
        <v>2591</v>
      </c>
      <c r="BI309" t="s">
        <v>184</v>
      </c>
      <c r="BJ309" s="20">
        <f>VLOOKUP(Data[[#This Row],[DEVELOPMENT]],Development_Data_Book[[DEVELOPMENT]:[PRIVATE MANAGEMENT]],41,FALSE)</f>
        <v>1</v>
      </c>
      <c r="BK309" s="20">
        <f>VLOOKUP(Data[[#This Row],[DEVELOPMENT]],Development_Data_Book[[DEVELOPMENT]:[PRIVATE MANAGEMENT]],42,FALSE)</f>
        <v>11</v>
      </c>
      <c r="BL309" s="20">
        <f>VLOOKUP(Data[[#This Row],[DEVELOPMENT]],Development_Data_Book[[DEVELOPMENT]:[PRIVATE MANAGEMENT]],43,FALSE)</f>
        <v>23</v>
      </c>
      <c r="BM309" s="20">
        <f>VLOOKUP(Data[[#This Row],[DEVELOPMENT]],Development_Data_Book[[DEVELOPMENT]:[PRIVATE MANAGEMENT]],44,FALSE)</f>
        <v>61</v>
      </c>
      <c r="BN309" s="20">
        <f>VLOOKUP(Data[[#This Row],[DEVELOPMENT]],Development_Data_Book[[DEVELOPMENT]:[PRIVATE MANAGEMENT]],45,FALSE)</f>
        <v>49</v>
      </c>
      <c r="BO309" s="20">
        <f>VLOOKUP(Data[[#This Row],[DEVELOPMENT]],Development_Data_Book[[DEVELOPMENT]:[PRIVATE MANAGEMENT]],24,FALSE)</f>
        <v>1</v>
      </c>
    </row>
    <row r="310" spans="1:67">
      <c r="A310" t="s">
        <v>289</v>
      </c>
      <c r="B310" s="20" t="str">
        <f>VLOOKUP(Data[[#This Row],[DEVELOPMENT]],Development_Data_Book[[DEVELOPMENT]:[BOROUGH]],MATCH("borough",Development_Data_Book[[#Headers],[DEVELOPMENT]:[BOROUGH]],0),FALSE)</f>
        <v>BRONX</v>
      </c>
      <c r="C310" s="20" t="e">
        <f>VLOOKUP(Data[[#This Row],[DEVELOPMENT]],'[1]Cheat-Sheet'!$D$2:$Q$341,2,FALSE)</f>
        <v>#N/A</v>
      </c>
      <c r="D31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10" s="20">
        <f>VLOOKUP(Data[[#This Row],[DEVELOPMENT]],Development_Data_Book[[DEVELOPMENT]:[BOROUGH]],21,FALSE)</f>
        <v>4</v>
      </c>
      <c r="F310" s="20">
        <f>VLOOKUP(Data[[#This Row],[DEVELOPMENT]],Development_Data_Book[[DEVELOPMENT]:[BOROUGH]],23,FALSE)</f>
        <v>7</v>
      </c>
      <c r="G310" s="20">
        <f>VLOOKUP(Data[[#This Row],[DEVELOPMENT]],Development_Data_Book[[DEVELOPMENT]:[BOROUGH]],12,FALSE)</f>
        <v>208</v>
      </c>
      <c r="J310">
        <f>IFERROR(VLOOKUP(Data[[#This Row],[DEVELOPMENT]],IntCompactors_MRST[],4,FALSE),0)</f>
        <v>0</v>
      </c>
      <c r="K310" s="20">
        <f>IFERROR(VLOOKUP(Data[[#This Row],[DEVELOPMENT]],ExtCompactors_MRST[],4,FALSE),0)</f>
        <v>0</v>
      </c>
      <c r="L310" s="27" t="str">
        <f>IF(Data[[#This Row],['# Interior Compactors MRST]]=0,"",VLOOKUP(Data[[#This Row],[DEVELOPMENT]],IntCompactors_MRST[],5,FALSE))</f>
        <v/>
      </c>
      <c r="M310" s="28" t="str">
        <f>IF(Data[[#This Row],['# Exterior Compactors MRST]]=0,"",VLOOKUP(Data[[#This Row],[DEVELOPMENT]],ExtCompactors_MRST[],5,FALSE))</f>
        <v/>
      </c>
      <c r="N310" s="20">
        <f>Data[[#This Row],['# Interior Compactors MRST]]</f>
        <v>0</v>
      </c>
      <c r="O310" s="20">
        <f>IF(Data[[#This Row],['# Bulk Crushers]]=0,1,0)</f>
        <v>1</v>
      </c>
      <c r="P310" s="20">
        <f>1</f>
        <v>1</v>
      </c>
      <c r="Q310" s="20">
        <f>1</f>
        <v>1</v>
      </c>
      <c r="R310" s="20">
        <f>1</f>
        <v>1</v>
      </c>
      <c r="S310" s="20">
        <f>1</f>
        <v>1</v>
      </c>
      <c r="T310" s="20">
        <f>IF(Data[[#This Row],[Sewershed]]="Newtown Creek",Data[[#This Row],[DUs]],0)</f>
        <v>0</v>
      </c>
      <c r="U310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10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10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10" s="82">
        <f>VLOOKUP(Data[[#This Row],[DEVELOPMENT]],Development_Data_Book[[DEVELOPMENT]:[BOROUGH]],3,FALSE)</f>
        <v>360</v>
      </c>
      <c r="Y310" s="20"/>
      <c r="Z310" s="20">
        <f>IFERROR(VLOOKUP(Data[[#This Row],[TDS]],ExtCompactors_PNA[[Development]:[0]],2,FALSE),0)</f>
        <v>0</v>
      </c>
      <c r="AA310" s="20">
        <f>IFERROR(VLOOKUP(Data[[#This Row],[TDS]],IntCompactors_PNA[[TDS]:[0]],2,FALSE),0)</f>
        <v>7</v>
      </c>
      <c r="AB310" s="20"/>
      <c r="AC310" s="20"/>
      <c r="AD310" s="20">
        <f>IFERROR(VLOOKUP(Data[[#This Row],[TDS]],ExtCompactors_PNA[[Development]:[0]],3,FALSE)+VLOOKUP(Data[[#This Row],[TDS]],ExtCompactors_PNA[[Development]:[0]],6,FALSE),0)</f>
        <v>0</v>
      </c>
      <c r="AE310" s="20">
        <f>IFERROR(VLOOKUP(Data[[#This Row],[TDS]],IntCompactors_PNA[[TDS]:[0]],3,FALSE)+VLOOKUP(Data[[#This Row],[TDS]],IntCompactors_PNA[[TDS]:[0]],6,FALSE),0)</f>
        <v>7</v>
      </c>
      <c r="AF310" s="20" t="e">
        <f>VLOOKUP(Data[[#This Row],[DEVELOPMENT]],[3]Developments!$A$2:$A$312,1,FALSE)</f>
        <v>#N/A</v>
      </c>
      <c r="AG310" s="20">
        <f>IFERROR(VLOOKUP(Data[[#This Row],[DEVELOPMENT]],Ops_Priorities_and_Data_Clean[[development]:[ifnoext_comment]],3,FALSE),"")</f>
        <v>0</v>
      </c>
      <c r="AH310" s="20">
        <f>IFERROR(VLOOKUP(Data[[#This Row],[DEVELOPMENT]],Ops_Priorities_and_Data_Clean[[development]:[ifnoext_comment]],4,FALSE),"")</f>
        <v>4</v>
      </c>
      <c r="AI310" s="20">
        <f>IFERROR(VLOOKUP(Data[[#This Row],[DEVELOPMENT]],Ops_Priorities_and_Data_Clean[[development]:[ifnoext_comment]],5,FALSE),"")</f>
        <v>0</v>
      </c>
      <c r="AJ310" s="20">
        <f>IFERROR(VLOOKUP(Data[[#This Row],[DEVELOPMENT]],Ops_Priorities_and_Data_Clean[[development]:[ifnoext_comment]],6,FALSE),"")</f>
        <v>0</v>
      </c>
      <c r="AK310" s="20">
        <f>IFERROR(VLOOKUP(Data[[#This Row],[DEVELOPMENT]],Ops_Priorities_and_Data_Clean[[development]:[ifnoext_comment]],7,FALSE),"")</f>
        <v>1</v>
      </c>
      <c r="AL310" s="20">
        <f>IFERROR(VLOOKUP(Data[[#This Row],[DEVELOPMENT]],Ops_Priorities_and_Data_Clean[[development]:[ifnoext_comment]],8,FALSE),"")</f>
        <v>1</v>
      </c>
      <c r="AM310" s="20">
        <f>IFERROR(VLOOKUP(Data[[#This Row],[DEVELOPMENT]],Ops_Priorities_and_Data_Clean[[development]:[ifnoext_comment]],9,FALSE),"")</f>
        <v>0</v>
      </c>
      <c r="AN310" s="20">
        <f>IFERROR(VLOOKUP(Data[[#This Row],[DEVELOPMENT]],Ops_Priorities_and_Data_Clean[[development]:[ifnoext_comment]],10,FALSE),"")</f>
        <v>0</v>
      </c>
      <c r="AO310" s="20">
        <f>IFERROR(VLOOKUP(Data[[#This Row],[DEVELOPMENT]],Ops_Priorities_and_Data_Clean[[development]:[ifnoext_comment]],11,FALSE),"")</f>
        <v>0</v>
      </c>
      <c r="AP310" s="20">
        <f>IFERROR(VLOOKUP(Data[[#This Row],[DEVELOPMENT]],Ops_Priorities_and_Data_Clean[[development]:[ifnoext_comment]],12,FALSE),"")</f>
        <v>0</v>
      </c>
      <c r="AQ310" s="20">
        <f>VLOOKUP(Data[[#This Row],[DEVELOPMENT]],Ops_Priorities_and_Data_Clean[[development]:[ifnoext_comment]],14,FALSE)</f>
        <v>1</v>
      </c>
      <c r="AR310" s="20">
        <f>VLOOKUP(Data[[#This Row],[DEVELOPMENT]],Ops_Priorities_and_Data_Clean[[development]:[ifnoext_comment]],15,FALSE)</f>
        <v>0</v>
      </c>
      <c r="AS310" s="20" t="str">
        <f>VLOOKUP(Data[[#This Row],[DEVELOPMENT]],Ops_Priorities_and_Data_Clean[[development]:[ifnoext_comment]],16,FALSE)</f>
        <v>NULL</v>
      </c>
      <c r="AT310" s="20" t="str">
        <f>VLOOKUP(Data[[#This Row],[DEVELOPMENT]],Ops_Priorities_and_Data_Clean[[development]:[ifnoext_comment]],17,FALSE)</f>
        <v>NULL</v>
      </c>
      <c r="AU310" s="20" t="str">
        <f>VLOOKUP(Data[[#This Row],[DEVELOPMENT]],Ops_Priorities_and_Data_Clean[[development]:[ifnoext_comment]],18,FALSE)</f>
        <v>NULL</v>
      </c>
      <c r="AV310" s="20" t="str">
        <f>VLOOKUP(Data[[#This Row],[DEVELOPMENT]],Ops_Priorities_and_Data_Clean[[development]:[ifnoext_comment]],19,FALSE)</f>
        <v>NULL</v>
      </c>
      <c r="AW310" s="20" t="str">
        <f>VLOOKUP(Data[[#This Row],[DEVELOPMENT]],Ops_Priorities_and_Data_Clean[[development]:[ifnoext_comment]],20,FALSE)</f>
        <v xml:space="preserve">There is no room for an exterior </v>
      </c>
      <c r="AX310" s="104" t="s">
        <v>2596</v>
      </c>
      <c r="AY310" s="104" t="s">
        <v>2676</v>
      </c>
      <c r="AZ310" s="20" t="str">
        <f>VLOOKUP(Data[[#This Row],[DEVELOPMENT]],Development_Data_Book[[DEVELOPMENT]:[PRIVATE MANAGEMENT]],8,FALSE)</f>
        <v>FEDERAL</v>
      </c>
      <c r="BA310" s="104" t="s">
        <v>2586</v>
      </c>
      <c r="BB310" s="20">
        <f>VLOOKUP(Data[[#This Row],[DEVELOPMENT]],Development_Data_Book[[DEVELOPMENT]:[PRIVATE MANAGEMENT]],22,FALSE)</f>
        <v>0</v>
      </c>
      <c r="BC310" s="20">
        <f>Data[[#This Row],[Non-Dwelling Buildings]]+Data[[#This Row],[Dwelling Buildings]]</f>
        <v>4</v>
      </c>
      <c r="BD310" s="20">
        <f>VLOOKUP(Data[[#This Row],[DEVELOPMENT]],Development_Data_Book[[DEVELOPMENT]:[PRIVATE MANAGEMENT]],26,FALSE)</f>
        <v>1.19</v>
      </c>
      <c r="BE310" s="106">
        <v>222300</v>
      </c>
      <c r="BF310" s="20">
        <f>VLOOKUP(Data[[#This Row],[DEVELOPMENT]],Development_Data_Book[[DEVELOPMENT]:[PRIVATE MANAGEMENT]],18,FALSE)</f>
        <v>437</v>
      </c>
      <c r="BG310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10" s="104" t="s">
        <v>2631</v>
      </c>
      <c r="BI310" t="s">
        <v>184</v>
      </c>
      <c r="BJ310" s="20" t="str">
        <f>VLOOKUP(Data[[#This Row],[DEVELOPMENT]],Development_Data_Book[[DEVELOPMENT]:[PRIVATE MANAGEMENT]],41,FALSE)</f>
        <v>2, 3</v>
      </c>
      <c r="BK310" s="20">
        <f>VLOOKUP(Data[[#This Row],[DEVELOPMENT]],Development_Data_Book[[DEVELOPMENT]:[PRIVATE MANAGEMENT]],42,FALSE)</f>
        <v>15</v>
      </c>
      <c r="BL310" s="20">
        <f>VLOOKUP(Data[[#This Row],[DEVELOPMENT]],Development_Data_Book[[DEVELOPMENT]:[PRIVATE MANAGEMENT]],43,FALSE)</f>
        <v>32</v>
      </c>
      <c r="BM310" s="20">
        <f>VLOOKUP(Data[[#This Row],[DEVELOPMENT]],Development_Data_Book[[DEVELOPMENT]:[PRIVATE MANAGEMENT]],44,FALSE)</f>
        <v>85</v>
      </c>
      <c r="BN310" s="20">
        <f>VLOOKUP(Data[[#This Row],[DEVELOPMENT]],Development_Data_Book[[DEVELOPMENT]:[PRIVATE MANAGEMENT]],45,FALSE)</f>
        <v>17</v>
      </c>
      <c r="BO310" s="20">
        <f>VLOOKUP(Data[[#This Row],[DEVELOPMENT]],Development_Data_Book[[DEVELOPMENT]:[PRIVATE MANAGEMENT]],24,FALSE)</f>
        <v>6</v>
      </c>
    </row>
    <row r="311" spans="1:67">
      <c r="A311" t="s">
        <v>290</v>
      </c>
      <c r="B311" s="20" t="str">
        <f>VLOOKUP(Data[[#This Row],[DEVELOPMENT]],Development_Data_Book[[DEVELOPMENT]:[BOROUGH]],MATCH("borough",Development_Data_Book[[#Headers],[DEVELOPMENT]:[BOROUGH]],0),FALSE)</f>
        <v>BRONX</v>
      </c>
      <c r="C311" s="20" t="e">
        <f>VLOOKUP(Data[[#This Row],[DEVELOPMENT]],'[1]Cheat-Sheet'!$D$2:$Q$341,2,FALSE)</f>
        <v>#N/A</v>
      </c>
      <c r="D31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11" s="20">
        <f>VLOOKUP(Data[[#This Row],[DEVELOPMENT]],Development_Data_Book[[DEVELOPMENT]:[BOROUGH]],21,FALSE)</f>
        <v>1</v>
      </c>
      <c r="F311" s="20">
        <f>VLOOKUP(Data[[#This Row],[DEVELOPMENT]],Development_Data_Book[[DEVELOPMENT]:[BOROUGH]],23,FALSE)</f>
        <v>1</v>
      </c>
      <c r="G311" s="20">
        <f>VLOOKUP(Data[[#This Row],[DEVELOPMENT]],Development_Data_Book[[DEVELOPMENT]:[BOROUGH]],12,FALSE)</f>
        <v>20</v>
      </c>
      <c r="J311">
        <f>IFERROR(VLOOKUP(Data[[#This Row],[DEVELOPMENT]],IntCompactors_MRST[],4,FALSE),0)</f>
        <v>0</v>
      </c>
      <c r="K311" s="20">
        <f>IFERROR(VLOOKUP(Data[[#This Row],[DEVELOPMENT]],ExtCompactors_MRST[],4,FALSE),0)</f>
        <v>0</v>
      </c>
      <c r="L311" s="27" t="str">
        <f>IF(Data[[#This Row],['# Interior Compactors MRST]]=0,"",VLOOKUP(Data[[#This Row],[DEVELOPMENT]],IntCompactors_MRST[],5,FALSE))</f>
        <v/>
      </c>
      <c r="M311" s="28" t="str">
        <f>IF(Data[[#This Row],['# Exterior Compactors MRST]]=0,"",VLOOKUP(Data[[#This Row],[DEVELOPMENT]],ExtCompactors_MRST[],5,FALSE))</f>
        <v/>
      </c>
      <c r="N311" s="20">
        <f>Data[[#This Row],['# Interior Compactors MRST]]</f>
        <v>0</v>
      </c>
      <c r="O311" s="20">
        <f>IF(Data[[#This Row],['# Bulk Crushers]]=0,1,0)</f>
        <v>1</v>
      </c>
      <c r="P311" s="20">
        <f>1</f>
        <v>1</v>
      </c>
      <c r="Q311" s="20">
        <f>1</f>
        <v>1</v>
      </c>
      <c r="R311" s="20">
        <f>1</f>
        <v>1</v>
      </c>
      <c r="S311" s="20">
        <f>1</f>
        <v>1</v>
      </c>
      <c r="T311" s="20">
        <f>IF(Data[[#This Row],[Sewershed]]="Newtown Creek",Data[[#This Row],[DUs]],0)</f>
        <v>0</v>
      </c>
      <c r="U31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1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1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11" s="82">
        <f>VLOOKUP(Data[[#This Row],[DEVELOPMENT]],Development_Data_Book[[DEVELOPMENT]:[BOROUGH]],3,FALSE)</f>
        <v>526</v>
      </c>
      <c r="Y311" s="20"/>
      <c r="Z311" s="20">
        <f>IFERROR(VLOOKUP(Data[[#This Row],[TDS]],ExtCompactors_PNA[[Development]:[0]],2,FALSE),0)</f>
        <v>0</v>
      </c>
      <c r="AA311" s="20">
        <f>IFERROR(VLOOKUP(Data[[#This Row],[TDS]],IntCompactors_PNA[[TDS]:[0]],2,FALSE),0)</f>
        <v>1</v>
      </c>
      <c r="AB311" s="20"/>
      <c r="AC311" s="20"/>
      <c r="AD311" s="20">
        <f>IFERROR(VLOOKUP(Data[[#This Row],[TDS]],ExtCompactors_PNA[[Development]:[0]],3,FALSE)+VLOOKUP(Data[[#This Row],[TDS]],ExtCompactors_PNA[[Development]:[0]],6,FALSE),0)</f>
        <v>0</v>
      </c>
      <c r="AE311" s="20">
        <f>IFERROR(VLOOKUP(Data[[#This Row],[TDS]],IntCompactors_PNA[[TDS]:[0]],3,FALSE)+VLOOKUP(Data[[#This Row],[TDS]],IntCompactors_PNA[[TDS]:[0]],6,FALSE),0)</f>
        <v>1</v>
      </c>
      <c r="AF311" s="20" t="e">
        <f>VLOOKUP(Data[[#This Row],[DEVELOPMENT]],[3]Developments!$A$2:$A$312,1,FALSE)</f>
        <v>#N/A</v>
      </c>
      <c r="AG311" s="20">
        <f>IFERROR(VLOOKUP(Data[[#This Row],[DEVELOPMENT]],Ops_Priorities_and_Data_Clean[[development]:[ifnoext_comment]],3,FALSE),"")</f>
        <v>0</v>
      </c>
      <c r="AH311" s="20">
        <f>IFERROR(VLOOKUP(Data[[#This Row],[DEVELOPMENT]],Ops_Priorities_and_Data_Clean[[development]:[ifnoext_comment]],4,FALSE),"")</f>
        <v>4</v>
      </c>
      <c r="AI311" s="20">
        <f>IFERROR(VLOOKUP(Data[[#This Row],[DEVELOPMENT]],Ops_Priorities_and_Data_Clean[[development]:[ifnoext_comment]],5,FALSE),"")</f>
        <v>0</v>
      </c>
      <c r="AJ311" s="20">
        <f>IFERROR(VLOOKUP(Data[[#This Row],[DEVELOPMENT]],Ops_Priorities_and_Data_Clean[[development]:[ifnoext_comment]],6,FALSE),"")</f>
        <v>0</v>
      </c>
      <c r="AK311" s="20">
        <f>IFERROR(VLOOKUP(Data[[#This Row],[DEVELOPMENT]],Ops_Priorities_and_Data_Clean[[development]:[ifnoext_comment]],7,FALSE),"")</f>
        <v>1</v>
      </c>
      <c r="AL311" s="20">
        <f>IFERROR(VLOOKUP(Data[[#This Row],[DEVELOPMENT]],Ops_Priorities_and_Data_Clean[[development]:[ifnoext_comment]],8,FALSE),"")</f>
        <v>1</v>
      </c>
      <c r="AM311" s="20">
        <f>IFERROR(VLOOKUP(Data[[#This Row],[DEVELOPMENT]],Ops_Priorities_and_Data_Clean[[development]:[ifnoext_comment]],9,FALSE),"")</f>
        <v>0</v>
      </c>
      <c r="AN311" s="20">
        <f>IFERROR(VLOOKUP(Data[[#This Row],[DEVELOPMENT]],Ops_Priorities_and_Data_Clean[[development]:[ifnoext_comment]],10,FALSE),"")</f>
        <v>0</v>
      </c>
      <c r="AO311" s="20">
        <f>IFERROR(VLOOKUP(Data[[#This Row],[DEVELOPMENT]],Ops_Priorities_and_Data_Clean[[development]:[ifnoext_comment]],11,FALSE),"")</f>
        <v>0</v>
      </c>
      <c r="AP311" s="20">
        <f>IFERROR(VLOOKUP(Data[[#This Row],[DEVELOPMENT]],Ops_Priorities_and_Data_Clean[[development]:[ifnoext_comment]],12,FALSE),"")</f>
        <v>0</v>
      </c>
      <c r="AQ311" s="20">
        <f>VLOOKUP(Data[[#This Row],[DEVELOPMENT]],Ops_Priorities_and_Data_Clean[[development]:[ifnoext_comment]],14,FALSE)</f>
        <v>1</v>
      </c>
      <c r="AR311" s="20">
        <f>VLOOKUP(Data[[#This Row],[DEVELOPMENT]],Ops_Priorities_and_Data_Clean[[development]:[ifnoext_comment]],15,FALSE)</f>
        <v>0</v>
      </c>
      <c r="AS311" s="20" t="str">
        <f>VLOOKUP(Data[[#This Row],[DEVELOPMENT]],Ops_Priorities_and_Data_Clean[[development]:[ifnoext_comment]],16,FALSE)</f>
        <v>NULL</v>
      </c>
      <c r="AT311" s="20" t="str">
        <f>VLOOKUP(Data[[#This Row],[DEVELOPMENT]],Ops_Priorities_and_Data_Clean[[development]:[ifnoext_comment]],17,FALSE)</f>
        <v>NULL</v>
      </c>
      <c r="AU311" s="20" t="str">
        <f>VLOOKUP(Data[[#This Row],[DEVELOPMENT]],Ops_Priorities_and_Data_Clean[[development]:[ifnoext_comment]],18,FALSE)</f>
        <v>NULL</v>
      </c>
      <c r="AV311" s="20" t="str">
        <f>VLOOKUP(Data[[#This Row],[DEVELOPMENT]],Ops_Priorities_and_Data_Clean[[development]:[ifnoext_comment]],19,FALSE)</f>
        <v>NULL</v>
      </c>
      <c r="AW311" s="20" t="str">
        <f>VLOOKUP(Data[[#This Row],[DEVELOPMENT]],Ops_Priorities_and_Data_Clean[[development]:[ifnoext_comment]],20,FALSE)</f>
        <v xml:space="preserve">There is no room for an exterior </v>
      </c>
      <c r="AX311" s="104" t="s">
        <v>2596</v>
      </c>
      <c r="AY311" s="104" t="s">
        <v>2676</v>
      </c>
      <c r="AZ311" s="20" t="str">
        <f>VLOOKUP(Data[[#This Row],[DEVELOPMENT]],Development_Data_Book[[DEVELOPMENT]:[PRIVATE MANAGEMENT]],8,FALSE)</f>
        <v>FEDERAL</v>
      </c>
      <c r="BA311" s="104" t="s">
        <v>2588</v>
      </c>
      <c r="BB311" s="20">
        <f>VLOOKUP(Data[[#This Row],[DEVELOPMENT]],Development_Data_Book[[DEVELOPMENT]:[PRIVATE MANAGEMENT]],22,FALSE)</f>
        <v>0</v>
      </c>
      <c r="BC311" s="20">
        <f>Data[[#This Row],[Non-Dwelling Buildings]]+Data[[#This Row],[Dwelling Buildings]]</f>
        <v>1</v>
      </c>
      <c r="BD311" s="20">
        <f>VLOOKUP(Data[[#This Row],[DEVELOPMENT]],Development_Data_Book[[DEVELOPMENT]:[PRIVATE MANAGEMENT]],26,FALSE)</f>
        <v>0.11</v>
      </c>
      <c r="BE311" s="106">
        <v>19100</v>
      </c>
      <c r="BF311" s="20">
        <f>VLOOKUP(Data[[#This Row],[DEVELOPMENT]],Development_Data_Book[[DEVELOPMENT]:[PRIVATE MANAGEMENT]],18,FALSE)</f>
        <v>50</v>
      </c>
      <c r="BG31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11" s="104" t="s">
        <v>2631</v>
      </c>
      <c r="BI311" t="s">
        <v>184</v>
      </c>
      <c r="BJ311" s="20">
        <f>VLOOKUP(Data[[#This Row],[DEVELOPMENT]],Development_Data_Book[[DEVELOPMENT]:[PRIVATE MANAGEMENT]],41,FALSE)</f>
        <v>3</v>
      </c>
      <c r="BK311" s="20">
        <f>VLOOKUP(Data[[#This Row],[DEVELOPMENT]],Development_Data_Book[[DEVELOPMENT]:[PRIVATE MANAGEMENT]],42,FALSE)</f>
        <v>15</v>
      </c>
      <c r="BL311" s="20">
        <f>VLOOKUP(Data[[#This Row],[DEVELOPMENT]],Development_Data_Book[[DEVELOPMENT]:[PRIVATE MANAGEMENT]],43,FALSE)</f>
        <v>32</v>
      </c>
      <c r="BM311" s="20">
        <f>VLOOKUP(Data[[#This Row],[DEVELOPMENT]],Development_Data_Book[[DEVELOPMENT]:[PRIVATE MANAGEMENT]],44,FALSE)</f>
        <v>85</v>
      </c>
      <c r="BN311" s="20">
        <f>VLOOKUP(Data[[#This Row],[DEVELOPMENT]],Development_Data_Book[[DEVELOPMENT]:[PRIVATE MANAGEMENT]],45,FALSE)</f>
        <v>17</v>
      </c>
      <c r="BO311" s="20">
        <f>VLOOKUP(Data[[#This Row],[DEVELOPMENT]],Development_Data_Book[[DEVELOPMENT]:[PRIVATE MANAGEMENT]],24,FALSE)</f>
        <v>5</v>
      </c>
    </row>
    <row r="312" spans="1:67">
      <c r="A312" t="s">
        <v>382</v>
      </c>
      <c r="B312" s="20" t="str">
        <f>VLOOKUP(Data[[#This Row],[DEVELOPMENT]],Development_Data_Book[[DEVELOPMENT]:[BOROUGH]],MATCH("borough",Development_Data_Book[[#Headers],[DEVELOPMENT]:[BOROUGH]],0),FALSE)</f>
        <v>BRONX</v>
      </c>
      <c r="C312" s="20" t="e">
        <f>VLOOKUP(Data[[#This Row],[DEVELOPMENT]],'[1]Cheat-Sheet'!$D$2:$Q$341,2,FALSE)</f>
        <v>#N/A</v>
      </c>
      <c r="D31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12" s="20">
        <f>VLOOKUP(Data[[#This Row],[DEVELOPMENT]],Development_Data_Book[[DEVELOPMENT]:[BOROUGH]],21,FALSE)</f>
        <v>1</v>
      </c>
      <c r="F312" s="20">
        <f>VLOOKUP(Data[[#This Row],[DEVELOPMENT]],Development_Data_Book[[DEVELOPMENT]:[BOROUGH]],23,FALSE)</f>
        <v>1</v>
      </c>
      <c r="G312" s="20">
        <f>VLOOKUP(Data[[#This Row],[DEVELOPMENT]],Development_Data_Book[[DEVELOPMENT]:[BOROUGH]],12,FALSE)</f>
        <v>148</v>
      </c>
      <c r="H312" t="s">
        <v>2611</v>
      </c>
      <c r="J312">
        <f>IFERROR(VLOOKUP(Data[[#This Row],[DEVELOPMENT]],IntCompactors_MRST[],4,FALSE),0)</f>
        <v>1</v>
      </c>
      <c r="K312" s="20">
        <f>IFERROR(VLOOKUP(Data[[#This Row],[DEVELOPMENT]],ExtCompactors_MRST[],4,FALSE),0)</f>
        <v>0</v>
      </c>
      <c r="L312" s="27">
        <f>IF(Data[[#This Row],['# Interior Compactors MRST]]=0,"",VLOOKUP(Data[[#This Row],[DEVELOPMENT]],IntCompactors_MRST[],5,FALSE))</f>
        <v>29952</v>
      </c>
      <c r="M312" s="28" t="str">
        <f>IF(Data[[#This Row],['# Exterior Compactors MRST]]=0,"",VLOOKUP(Data[[#This Row],[DEVELOPMENT]],ExtCompactors_MRST[],5,FALSE))</f>
        <v/>
      </c>
      <c r="N312" s="20">
        <f>Data[[#This Row],['# Interior Compactors MRST]]</f>
        <v>1</v>
      </c>
      <c r="O312" s="20">
        <f>IF(Data[[#This Row],['# Bulk Crushers]]=0,1,0)</f>
        <v>1</v>
      </c>
      <c r="P312" s="20">
        <f>1</f>
        <v>1</v>
      </c>
      <c r="Q312" s="20">
        <f>1</f>
        <v>1</v>
      </c>
      <c r="R312" s="20">
        <f>1</f>
        <v>1</v>
      </c>
      <c r="S312" s="20">
        <f>1</f>
        <v>1</v>
      </c>
      <c r="T312" s="20">
        <f>IF(Data[[#This Row],[Sewershed]]="Newtown Creek",Data[[#This Row],[DUs]],0)</f>
        <v>0</v>
      </c>
      <c r="U31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1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1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12" s="82">
        <f>VLOOKUP(Data[[#This Row],[DEVELOPMENT]],Development_Data_Book[[DEVELOPMENT]:[BOROUGH]],3,FALSE)</f>
        <v>246</v>
      </c>
      <c r="Y312" s="20"/>
      <c r="Z312" s="20">
        <f>IFERROR(VLOOKUP(Data[[#This Row],[TDS]],ExtCompactors_PNA[[Development]:[0]],2,FALSE),0)</f>
        <v>0</v>
      </c>
      <c r="AA312" s="20">
        <f>IFERROR(VLOOKUP(Data[[#This Row],[TDS]],IntCompactors_PNA[[TDS]:[0]],2,FALSE),0)</f>
        <v>1</v>
      </c>
      <c r="AB312" s="20"/>
      <c r="AC312" s="20"/>
      <c r="AD312" s="20">
        <f>IFERROR(VLOOKUP(Data[[#This Row],[TDS]],ExtCompactors_PNA[[Development]:[0]],3,FALSE)+VLOOKUP(Data[[#This Row],[TDS]],ExtCompactors_PNA[[Development]:[0]],6,FALSE),0)</f>
        <v>0</v>
      </c>
      <c r="AE312" s="20">
        <f>IFERROR(VLOOKUP(Data[[#This Row],[TDS]],IntCompactors_PNA[[TDS]:[0]],3,FALSE)+VLOOKUP(Data[[#This Row],[TDS]],IntCompactors_PNA[[TDS]:[0]],6,FALSE),0)</f>
        <v>1</v>
      </c>
      <c r="AF312" s="20" t="e">
        <f>VLOOKUP(Data[[#This Row],[DEVELOPMENT]],[3]Developments!$A$2:$A$312,1,FALSE)</f>
        <v>#N/A</v>
      </c>
      <c r="AG312" s="20">
        <f>IFERROR(VLOOKUP(Data[[#This Row],[DEVELOPMENT]],Ops_Priorities_and_Data_Clean[[development]:[ifnoext_comment]],3,FALSE),"")</f>
        <v>0</v>
      </c>
      <c r="AH312" s="20">
        <f>IFERROR(VLOOKUP(Data[[#This Row],[DEVELOPMENT]],Ops_Priorities_and_Data_Clean[[development]:[ifnoext_comment]],4,FALSE),"")</f>
        <v>0</v>
      </c>
      <c r="AI312" s="20">
        <f>IFERROR(VLOOKUP(Data[[#This Row],[DEVELOPMENT]],Ops_Priorities_and_Data_Clean[[development]:[ifnoext_comment]],5,FALSE),"")</f>
        <v>0</v>
      </c>
      <c r="AJ312" s="20">
        <f>IFERROR(VLOOKUP(Data[[#This Row],[DEVELOPMENT]],Ops_Priorities_and_Data_Clean[[development]:[ifnoext_comment]],6,FALSE),"")</f>
        <v>1</v>
      </c>
      <c r="AK312" s="20">
        <f>IFERROR(VLOOKUP(Data[[#This Row],[DEVELOPMENT]],Ops_Priorities_and_Data_Clean[[development]:[ifnoext_comment]],7,FALSE),"")</f>
        <v>0</v>
      </c>
      <c r="AL312" s="20">
        <f>IFERROR(VLOOKUP(Data[[#This Row],[DEVELOPMENT]],Ops_Priorities_and_Data_Clean[[development]:[ifnoext_comment]],8,FALSE),"")</f>
        <v>1</v>
      </c>
      <c r="AM312" s="20">
        <f>IFERROR(VLOOKUP(Data[[#This Row],[DEVELOPMENT]],Ops_Priorities_and_Data_Clean[[development]:[ifnoext_comment]],9,FALSE),"")</f>
        <v>0</v>
      </c>
      <c r="AN312" s="20">
        <f>IFERROR(VLOOKUP(Data[[#This Row],[DEVELOPMENT]],Ops_Priorities_and_Data_Clean[[development]:[ifnoext_comment]],10,FALSE),"")</f>
        <v>0</v>
      </c>
      <c r="AO312" s="20">
        <f>IFERROR(VLOOKUP(Data[[#This Row],[DEVELOPMENT]],Ops_Priorities_and_Data_Clean[[development]:[ifnoext_comment]],11,FALSE),"")</f>
        <v>0</v>
      </c>
      <c r="AP312" s="20">
        <f>IFERROR(VLOOKUP(Data[[#This Row],[DEVELOPMENT]],Ops_Priorities_and_Data_Clean[[development]:[ifnoext_comment]],12,FALSE),"")</f>
        <v>0</v>
      </c>
      <c r="AQ312" s="20">
        <f>VLOOKUP(Data[[#This Row],[DEVELOPMENT]],Ops_Priorities_and_Data_Clean[[development]:[ifnoext_comment]],14,FALSE)</f>
        <v>0</v>
      </c>
      <c r="AR312" s="20">
        <f>VLOOKUP(Data[[#This Row],[DEVELOPMENT]],Ops_Priorities_and_Data_Clean[[development]:[ifnoext_comment]],15,FALSE)</f>
        <v>1</v>
      </c>
      <c r="AS312" s="20" t="str">
        <f>VLOOKUP(Data[[#This Row],[DEVELOPMENT]],Ops_Priorities_and_Data_Clean[[development]:[ifnoext_comment]],16,FALSE)</f>
        <v>Sedgwick</v>
      </c>
      <c r="AT312" s="20" t="str">
        <f>VLOOKUP(Data[[#This Row],[DEVELOPMENT]],Ops_Priorities_and_Data_Clean[[development]:[ifnoext_comment]],17,FALSE)</f>
        <v>Part of Sedgwick Houses</v>
      </c>
      <c r="AU312" s="20" t="str">
        <f>VLOOKUP(Data[[#This Row],[DEVELOPMENT]],Ops_Priorities_and_Data_Clean[[development]:[ifnoext_comment]],18,FALSE)</f>
        <v>NULL</v>
      </c>
      <c r="AV312" s="20" t="str">
        <f>VLOOKUP(Data[[#This Row],[DEVELOPMENT]],Ops_Priorities_and_Data_Clean[[development]:[ifnoext_comment]],19,FALSE)</f>
        <v>NULL</v>
      </c>
      <c r="AW312" s="20" t="str">
        <f>VLOOKUP(Data[[#This Row],[DEVELOPMENT]],Ops_Priorities_and_Data_Clean[[development]:[ifnoext_comment]],20,FALSE)</f>
        <v>NULL</v>
      </c>
      <c r="AX312" s="104" t="s">
        <v>2237</v>
      </c>
      <c r="AY312" s="104" t="s">
        <v>2653</v>
      </c>
      <c r="AZ312" s="20" t="str">
        <f>VLOOKUP(Data[[#This Row],[DEVELOPMENT]],Development_Data_Book[[DEVELOPMENT]:[PRIVATE MANAGEMENT]],8,FALSE)</f>
        <v>FEDERAL</v>
      </c>
      <c r="BA312" s="104" t="s">
        <v>2586</v>
      </c>
      <c r="BB312" s="20">
        <f>VLOOKUP(Data[[#This Row],[DEVELOPMENT]],Development_Data_Book[[DEVELOPMENT]:[PRIVATE MANAGEMENT]],22,FALSE)</f>
        <v>0</v>
      </c>
      <c r="BC312" s="20">
        <f>Data[[#This Row],[Non-Dwelling Buildings]]+Data[[#This Row],[Dwelling Buildings]]</f>
        <v>1</v>
      </c>
      <c r="BD312" s="20">
        <f>VLOOKUP(Data[[#This Row],[DEVELOPMENT]],Development_Data_Book[[DEVELOPMENT]:[PRIVATE MANAGEMENT]],26,FALSE)</f>
        <v>0.84</v>
      </c>
      <c r="BE312" s="106">
        <v>110000</v>
      </c>
      <c r="BF312" s="20">
        <f>VLOOKUP(Data[[#This Row],[DEVELOPMENT]],Development_Data_Book[[DEVELOPMENT]:[PRIVATE MANAGEMENT]],18,FALSE)</f>
        <v>159</v>
      </c>
      <c r="BG312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312" s="104" t="s">
        <v>2587</v>
      </c>
      <c r="BI312" t="s">
        <v>184</v>
      </c>
      <c r="BJ312" s="20">
        <f>VLOOKUP(Data[[#This Row],[DEVELOPMENT]],Development_Data_Book[[DEVELOPMENT]:[PRIVATE MANAGEMENT]],41,FALSE)</f>
        <v>5</v>
      </c>
      <c r="BK312" s="20">
        <f>VLOOKUP(Data[[#This Row],[DEVELOPMENT]],Development_Data_Book[[DEVELOPMENT]:[PRIVATE MANAGEMENT]],42,FALSE)</f>
        <v>15</v>
      </c>
      <c r="BL312" s="20">
        <f>VLOOKUP(Data[[#This Row],[DEVELOPMENT]],Development_Data_Book[[DEVELOPMENT]:[PRIVATE MANAGEMENT]],43,FALSE)</f>
        <v>29</v>
      </c>
      <c r="BM312" s="20">
        <f>VLOOKUP(Data[[#This Row],[DEVELOPMENT]],Development_Data_Book[[DEVELOPMENT]:[PRIVATE MANAGEMENT]],44,FALSE)</f>
        <v>77</v>
      </c>
      <c r="BN312" s="20">
        <f>VLOOKUP(Data[[#This Row],[DEVELOPMENT]],Development_Data_Book[[DEVELOPMENT]:[PRIVATE MANAGEMENT]],45,FALSE)</f>
        <v>14</v>
      </c>
      <c r="BO312" s="20">
        <f>VLOOKUP(Data[[#This Row],[DEVELOPMENT]],Development_Data_Book[[DEVELOPMENT]:[PRIVATE MANAGEMENT]],24,FALSE)</f>
        <v>12</v>
      </c>
    </row>
    <row r="313" spans="1:67">
      <c r="A313" t="s">
        <v>102</v>
      </c>
      <c r="B313" t="str">
        <f>VLOOKUP(Data[[#This Row],[DEVELOPMENT]],Development_Data_Book[[DEVELOPMENT]:[BOROUGH]],MATCH("borough",Development_Data_Book[[#Headers],[DEVELOPMENT]:[BOROUGH]],0),FALSE)</f>
        <v>MANHATTAN</v>
      </c>
      <c r="C313" t="e">
        <f>VLOOKUP(Data[[#This Row],[DEVELOPMENT]],'[1]Cheat-Sheet'!$D$2:$Q$341,2,FALSE)</f>
        <v>#N/A</v>
      </c>
      <c r="D31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313">
        <f>VLOOKUP(Data[[#This Row],[DEVELOPMENT]],Development_Data_Book[[DEVELOPMENT]:[BOROUGH]],21,FALSE)</f>
        <v>1</v>
      </c>
      <c r="F313">
        <f>VLOOKUP(Data[[#This Row],[DEVELOPMENT]],Development_Data_Book[[DEVELOPMENT]:[BOROUGH]],23,FALSE)</f>
        <v>1</v>
      </c>
      <c r="G313">
        <f>VLOOKUP(Data[[#This Row],[DEVELOPMENT]],Development_Data_Book[[DEVELOPMENT]:[BOROUGH]],12,FALSE)</f>
        <v>246</v>
      </c>
      <c r="H313" t="s">
        <v>2247</v>
      </c>
      <c r="I313">
        <v>4</v>
      </c>
      <c r="J313">
        <f>IFERROR(VLOOKUP(Data[[#This Row],[DEVELOPMENT]],IntCompactors_MRST[],4,FALSE),0)</f>
        <v>1</v>
      </c>
      <c r="K313" s="20">
        <f>IFERROR(VLOOKUP(Data[[#This Row],[DEVELOPMENT]],ExtCompactors_MRST[],4,FALSE),0)</f>
        <v>0</v>
      </c>
      <c r="L313" s="27">
        <f>IF(Data[[#This Row],['# Interior Compactors MRST]]=0,"",VLOOKUP(Data[[#This Row],[DEVELOPMENT]],IntCompactors_MRST[],5,FALSE))</f>
        <v>35004</v>
      </c>
      <c r="M313" s="28" t="str">
        <f>IF(Data[[#This Row],['# Exterior Compactors MRST]]=0,"",VLOOKUP(Data[[#This Row],[DEVELOPMENT]],ExtCompactors_MRST[],5,FALSE))</f>
        <v/>
      </c>
      <c r="N313">
        <f>Data[[#This Row],['# Interior Compactors MRST]]</f>
        <v>1</v>
      </c>
      <c r="O313" s="20">
        <f>IF(Data[[#This Row],['# Bulk Crushers]]=0,1,0)</f>
        <v>1</v>
      </c>
      <c r="P313" s="20">
        <f>1</f>
        <v>1</v>
      </c>
      <c r="Q313" s="20">
        <f>1</f>
        <v>1</v>
      </c>
      <c r="R313" s="20">
        <f>1</f>
        <v>1</v>
      </c>
      <c r="S313" s="20">
        <f>1</f>
        <v>1</v>
      </c>
      <c r="T313" s="20">
        <f>IF(Data[[#This Row],[Sewershed]]="Newtown Creek",Data[[#This Row],[DUs]],0)</f>
        <v>0</v>
      </c>
      <c r="U31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1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1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13" s="82">
        <f>VLOOKUP(Data[[#This Row],[DEVELOPMENT]],Development_Data_Book[[DEVELOPMENT]:[BOROUGH]],3,FALSE)</f>
        <v>124</v>
      </c>
      <c r="Y313" s="20"/>
      <c r="Z313" s="20">
        <f>IFERROR(VLOOKUP(Data[[#This Row],[TDS]],ExtCompactors_PNA[[Development]:[0]],2,FALSE),0)</f>
        <v>0</v>
      </c>
      <c r="AA313" s="20">
        <f>IFERROR(VLOOKUP(Data[[#This Row],[TDS]],IntCompactors_PNA[[TDS]:[0]],2,FALSE),0)</f>
        <v>2</v>
      </c>
      <c r="AB313" s="20"/>
      <c r="AC313" s="20"/>
      <c r="AD313" s="20">
        <f>IFERROR(VLOOKUP(Data[[#This Row],[TDS]],ExtCompactors_PNA[[Development]:[0]],3,FALSE)+VLOOKUP(Data[[#This Row],[TDS]],ExtCompactors_PNA[[Development]:[0]],6,FALSE),0)</f>
        <v>0</v>
      </c>
      <c r="AE313" s="20">
        <f>IFERROR(VLOOKUP(Data[[#This Row],[TDS]],IntCompactors_PNA[[TDS]:[0]],3,FALSE)+VLOOKUP(Data[[#This Row],[TDS]],IntCompactors_PNA[[TDS]:[0]],6,FALSE),0)</f>
        <v>2</v>
      </c>
      <c r="AF313" s="20" t="e">
        <f>VLOOKUP(Data[[#This Row],[DEVELOPMENT]],[3]Developments!$A$2:$A$312,1,FALSE)</f>
        <v>#N/A</v>
      </c>
      <c r="AG313" s="20">
        <f>IFERROR(VLOOKUP(Data[[#This Row],[DEVELOPMENT]],Ops_Priorities_and_Data_Clean[[development]:[ifnoext_comment]],3,FALSE),"")</f>
        <v>0</v>
      </c>
      <c r="AH313" s="20">
        <f>IFERROR(VLOOKUP(Data[[#This Row],[DEVELOPMENT]],Ops_Priorities_and_Data_Clean[[development]:[ifnoext_comment]],4,FALSE),"")</f>
        <v>0</v>
      </c>
      <c r="AI313" s="20">
        <f>IFERROR(VLOOKUP(Data[[#This Row],[DEVELOPMENT]],Ops_Priorities_and_Data_Clean[[development]:[ifnoext_comment]],5,FALSE),"")</f>
        <v>0</v>
      </c>
      <c r="AJ313" s="20">
        <f>IFERROR(VLOOKUP(Data[[#This Row],[DEVELOPMENT]],Ops_Priorities_and_Data_Clean[[development]:[ifnoext_comment]],6,FALSE),"")</f>
        <v>1</v>
      </c>
      <c r="AK313" s="20">
        <f>IFERROR(VLOOKUP(Data[[#This Row],[DEVELOPMENT]],Ops_Priorities_and_Data_Clean[[development]:[ifnoext_comment]],7,FALSE),"")</f>
        <v>0</v>
      </c>
      <c r="AL313" s="20">
        <f>IFERROR(VLOOKUP(Data[[#This Row],[DEVELOPMENT]],Ops_Priorities_and_Data_Clean[[development]:[ifnoext_comment]],8,FALSE),"")</f>
        <v>1</v>
      </c>
      <c r="AM313" s="20">
        <f>IFERROR(VLOOKUP(Data[[#This Row],[DEVELOPMENT]],Ops_Priorities_and_Data_Clean[[development]:[ifnoext_comment]],9,FALSE),"")</f>
        <v>0</v>
      </c>
      <c r="AN313" s="20">
        <f>IFERROR(VLOOKUP(Data[[#This Row],[DEVELOPMENT]],Ops_Priorities_and_Data_Clean[[development]:[ifnoext_comment]],10,FALSE),"")</f>
        <v>0</v>
      </c>
      <c r="AO313" s="20">
        <f>IFERROR(VLOOKUP(Data[[#This Row],[DEVELOPMENT]],Ops_Priorities_and_Data_Clean[[development]:[ifnoext_comment]],11,FALSE),"")</f>
        <v>0</v>
      </c>
      <c r="AP313" s="20">
        <f>IFERROR(VLOOKUP(Data[[#This Row],[DEVELOPMENT]],Ops_Priorities_and_Data_Clean[[development]:[ifnoext_comment]],12,FALSE),"")</f>
        <v>0</v>
      </c>
      <c r="AQ313" s="20">
        <f>VLOOKUP(Data[[#This Row],[DEVELOPMENT]],Ops_Priorities_and_Data_Clean[[development]:[ifnoext_comment]],14,FALSE)</f>
        <v>0</v>
      </c>
      <c r="AR313" s="20">
        <f>VLOOKUP(Data[[#This Row],[DEVELOPMENT]],Ops_Priorities_and_Data_Clean[[development]:[ifnoext_comment]],15,FALSE)</f>
        <v>1</v>
      </c>
      <c r="AS313" s="20" t="str">
        <f>VLOOKUP(Data[[#This Row],[DEVELOPMENT]],Ops_Priorities_and_Data_Clean[[development]:[ifnoext_comment]],16,FALSE)</f>
        <v>Wilson</v>
      </c>
      <c r="AT313" s="20" t="str">
        <f>VLOOKUP(Data[[#This Row],[DEVELOPMENT]],Ops_Priorities_and_Data_Clean[[development]:[ifnoext_comment]],17,FALSE)</f>
        <v>NULL</v>
      </c>
      <c r="AU313" s="20" t="str">
        <f>VLOOKUP(Data[[#This Row],[DEVELOPMENT]],Ops_Priorities_and_Data_Clean[[development]:[ifnoext_comment]],18,FALSE)</f>
        <v>NULL</v>
      </c>
      <c r="AV313" s="20" t="str">
        <f>VLOOKUP(Data[[#This Row],[DEVELOPMENT]],Ops_Priorities_and_Data_Clean[[development]:[ifnoext_comment]],19,FALSE)</f>
        <v>NULL</v>
      </c>
      <c r="AW313" s="20" t="str">
        <f>VLOOKUP(Data[[#This Row],[DEVELOPMENT]],Ops_Priorities_and_Data_Clean[[development]:[ifnoext_comment]],20,FALSE)</f>
        <v>NULL</v>
      </c>
      <c r="AX313" s="104" t="s">
        <v>2602</v>
      </c>
      <c r="AY313" s="104" t="s">
        <v>2603</v>
      </c>
      <c r="AZ313" s="20" t="str">
        <f>VLOOKUP(Data[[#This Row],[DEVELOPMENT]],Development_Data_Book[[DEVELOPMENT]:[PRIVATE MANAGEMENT]],8,FALSE)</f>
        <v>FEDERAL</v>
      </c>
      <c r="BA313" s="104" t="s">
        <v>2586</v>
      </c>
      <c r="BB313" s="20">
        <f>VLOOKUP(Data[[#This Row],[DEVELOPMENT]],Development_Data_Book[[DEVELOPMENT]:[PRIVATE MANAGEMENT]],22,FALSE)</f>
        <v>0</v>
      </c>
      <c r="BC313" s="20">
        <f>Data[[#This Row],[Non-Dwelling Buildings]]+Data[[#This Row],[Dwelling Buildings]]</f>
        <v>1</v>
      </c>
      <c r="BD313" s="20">
        <f>VLOOKUP(Data[[#This Row],[DEVELOPMENT]],Development_Data_Book[[DEVELOPMENT]:[PRIVATE MANAGEMENT]],26,FALSE)</f>
        <v>0.81</v>
      </c>
      <c r="BE313" s="106">
        <v>146650</v>
      </c>
      <c r="BF313" s="20">
        <f>VLOOKUP(Data[[#This Row],[DEVELOPMENT]],Development_Data_Book[[DEVELOPMENT]:[PRIVATE MANAGEMENT]],18,FALSE)</f>
        <v>270</v>
      </c>
      <c r="BG313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313" s="104" t="s">
        <v>2604</v>
      </c>
      <c r="BI313" t="s">
        <v>184</v>
      </c>
      <c r="BJ313" s="20">
        <f>VLOOKUP(Data[[#This Row],[DEVELOPMENT]],Development_Data_Book[[DEVELOPMENT]:[PRIVATE MANAGEMENT]],41,FALSE)</f>
        <v>11</v>
      </c>
      <c r="BK313" s="20">
        <f>VLOOKUP(Data[[#This Row],[DEVELOPMENT]],Development_Data_Book[[DEVELOPMENT]:[PRIVATE MANAGEMENT]],42,FALSE)</f>
        <v>13</v>
      </c>
      <c r="BL313" s="20">
        <f>VLOOKUP(Data[[#This Row],[DEVELOPMENT]],Development_Data_Book[[DEVELOPMENT]:[PRIVATE MANAGEMENT]],43,FALSE)</f>
        <v>29</v>
      </c>
      <c r="BM313" s="20">
        <f>VLOOKUP(Data[[#This Row],[DEVELOPMENT]],Development_Data_Book[[DEVELOPMENT]:[PRIVATE MANAGEMENT]],44,FALSE)</f>
        <v>68</v>
      </c>
      <c r="BN313" s="20">
        <f>VLOOKUP(Data[[#This Row],[DEVELOPMENT]],Development_Data_Book[[DEVELOPMENT]:[PRIVATE MANAGEMENT]],45,FALSE)</f>
        <v>8</v>
      </c>
      <c r="BO313" s="20">
        <f>VLOOKUP(Data[[#This Row],[DEVELOPMENT]],Development_Data_Book[[DEVELOPMENT]:[PRIVATE MANAGEMENT]],24,FALSE)</f>
        <v>20</v>
      </c>
    </row>
    <row r="314" spans="1:67">
      <c r="A314" t="s">
        <v>383</v>
      </c>
      <c r="B314" s="20" t="str">
        <f>VLOOKUP(Data[[#This Row],[DEVELOPMENT]],Development_Data_Book[[DEVELOPMENT]:[BOROUGH]],MATCH("borough",Development_Data_Book[[#Headers],[DEVELOPMENT]:[BOROUGH]],0),FALSE)</f>
        <v>BROOKLYN</v>
      </c>
      <c r="C314" s="20" t="e">
        <f>VLOOKUP(Data[[#This Row],[DEVELOPMENT]],'[1]Cheat-Sheet'!$D$2:$Q$341,2,FALSE)</f>
        <v>#N/A</v>
      </c>
      <c r="D31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14" s="20">
        <f>VLOOKUP(Data[[#This Row],[DEVELOPMENT]],Development_Data_Book[[DEVELOPMENT]:[BOROUGH]],21,FALSE)</f>
        <v>15</v>
      </c>
      <c r="F314" s="20">
        <f>VLOOKUP(Data[[#This Row],[DEVELOPMENT]],Development_Data_Book[[DEVELOPMENT]:[BOROUGH]],23,FALSE)</f>
        <v>48</v>
      </c>
      <c r="G314" s="20">
        <f>VLOOKUP(Data[[#This Row],[DEVELOPMENT]],Development_Data_Book[[DEVELOPMENT]:[BOROUGH]],12,FALSE)</f>
        <v>1651</v>
      </c>
      <c r="J314">
        <f>IFERROR(VLOOKUP(Data[[#This Row],[DEVELOPMENT]],IntCompactors_MRST[],4,FALSE),0)</f>
        <v>32</v>
      </c>
      <c r="K314" s="20">
        <f>IFERROR(VLOOKUP(Data[[#This Row],[DEVELOPMENT]],ExtCompactors_MRST[],4,FALSE),0)</f>
        <v>3</v>
      </c>
      <c r="L314" s="27">
        <f>IF(Data[[#This Row],['# Interior Compactors MRST]]=0,"",VLOOKUP(Data[[#This Row],[DEVELOPMENT]],IntCompactors_MRST[],5,FALSE))</f>
        <v>35855</v>
      </c>
      <c r="M314" s="28">
        <f>IF(Data[[#This Row],['# Exterior Compactors MRST]]=0,"",VLOOKUP(Data[[#This Row],[DEVELOPMENT]],ExtCompactors_MRST[],5,FALSE))</f>
        <v>39651</v>
      </c>
      <c r="N314" s="20">
        <f>Data[[#This Row],['# Interior Compactors MRST]]</f>
        <v>32</v>
      </c>
      <c r="O314" s="20">
        <f>IF(Data[[#This Row],['# Bulk Crushers]]=0,1,0)</f>
        <v>1</v>
      </c>
      <c r="P314" s="20">
        <f>1</f>
        <v>1</v>
      </c>
      <c r="Q314" s="20">
        <f>1</f>
        <v>1</v>
      </c>
      <c r="R314" s="20">
        <f>1</f>
        <v>1</v>
      </c>
      <c r="S314" s="20">
        <f>1</f>
        <v>1</v>
      </c>
      <c r="T314" s="20">
        <f>IF(Data[[#This Row],[Sewershed]]="Newtown Creek",Data[[#This Row],[DUs]],0)</f>
        <v>1651</v>
      </c>
      <c r="U314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14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14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14" s="82">
        <f>VLOOKUP(Data[[#This Row],[DEVELOPMENT]],Development_Data_Book[[DEVELOPMENT]:[BOROUGH]],3,FALSE)</f>
        <v>514</v>
      </c>
      <c r="Y314" s="20" t="s">
        <v>2599</v>
      </c>
      <c r="Z314" s="20">
        <f>IFERROR(VLOOKUP(Data[[#This Row],[TDS]],ExtCompactors_PNA[[Development]:[0]],2,FALSE),0)</f>
        <v>3</v>
      </c>
      <c r="AA314" s="20">
        <f>IFERROR(VLOOKUP(Data[[#This Row],[TDS]],IntCompactors_PNA[[TDS]:[0]],2,FALSE),0)</f>
        <v>32</v>
      </c>
      <c r="AB314" s="20"/>
      <c r="AC314" s="20"/>
      <c r="AD314" s="20">
        <f>IFERROR(VLOOKUP(Data[[#This Row],[TDS]],ExtCompactors_PNA[[Development]:[0]],3,FALSE)+VLOOKUP(Data[[#This Row],[TDS]],ExtCompactors_PNA[[Development]:[0]],6,FALSE),0)</f>
        <v>3</v>
      </c>
      <c r="AE314" s="20">
        <f>IFERROR(VLOOKUP(Data[[#This Row],[TDS]],IntCompactors_PNA[[TDS]:[0]],3,FALSE)+VLOOKUP(Data[[#This Row],[TDS]],IntCompactors_PNA[[TDS]:[0]],6,FALSE),0)</f>
        <v>32</v>
      </c>
      <c r="AF314" s="20" t="e">
        <f>VLOOKUP(Data[[#This Row],[DEVELOPMENT]],[3]Developments!$A$2:$A$312,1,FALSE)</f>
        <v>#N/A</v>
      </c>
      <c r="AG314" s="20">
        <f>IFERROR(VLOOKUP(Data[[#This Row],[DEVELOPMENT]],Ops_Priorities_and_Data_Clean[[development]:[ifnoext_comment]],3,FALSE),"")</f>
        <v>3</v>
      </c>
      <c r="AH314" s="20">
        <f>IFERROR(VLOOKUP(Data[[#This Row],[DEVELOPMENT]],Ops_Priorities_and_Data_Clean[[development]:[ifnoext_comment]],4,FALSE),"")</f>
        <v>0</v>
      </c>
      <c r="AI314" s="20">
        <f>IFERROR(VLOOKUP(Data[[#This Row],[DEVELOPMENT]],Ops_Priorities_and_Data_Clean[[development]:[ifnoext_comment]],5,FALSE),"")</f>
        <v>1</v>
      </c>
      <c r="AJ314" s="20">
        <f>IFERROR(VLOOKUP(Data[[#This Row],[DEVELOPMENT]],Ops_Priorities_and_Data_Clean[[development]:[ifnoext_comment]],6,FALSE),"")</f>
        <v>0</v>
      </c>
      <c r="AK314" s="20">
        <f>IFERROR(VLOOKUP(Data[[#This Row],[DEVELOPMENT]],Ops_Priorities_and_Data_Clean[[development]:[ifnoext_comment]],7,FALSE),"")</f>
        <v>0</v>
      </c>
      <c r="AL314" s="20">
        <f>IFERROR(VLOOKUP(Data[[#This Row],[DEVELOPMENT]],Ops_Priorities_and_Data_Clean[[development]:[ifnoext_comment]],8,FALSE),"")</f>
        <v>1</v>
      </c>
      <c r="AM314" s="20">
        <f>IFERROR(VLOOKUP(Data[[#This Row],[DEVELOPMENT]],Ops_Priorities_and_Data_Clean[[development]:[ifnoext_comment]],9,FALSE),"")</f>
        <v>0</v>
      </c>
      <c r="AN314" s="20">
        <f>IFERROR(VLOOKUP(Data[[#This Row],[DEVELOPMENT]],Ops_Priorities_and_Data_Clean[[development]:[ifnoext_comment]],10,FALSE),"")</f>
        <v>3</v>
      </c>
      <c r="AO314" s="20">
        <f>IFERROR(VLOOKUP(Data[[#This Row],[DEVELOPMENT]],Ops_Priorities_and_Data_Clean[[development]:[ifnoext_comment]],11,FALSE),"")</f>
        <v>3</v>
      </c>
      <c r="AP314" s="20">
        <f>IFERROR(VLOOKUP(Data[[#This Row],[DEVELOPMENT]],Ops_Priorities_and_Data_Clean[[development]:[ifnoext_comment]],12,FALSE),"")</f>
        <v>3</v>
      </c>
      <c r="AQ314" s="20">
        <f>VLOOKUP(Data[[#This Row],[DEVELOPMENT]],Ops_Priorities_and_Data_Clean[[development]:[ifnoext_comment]],14,FALSE)</f>
        <v>0</v>
      </c>
      <c r="AR314" s="20">
        <f>VLOOKUP(Data[[#This Row],[DEVELOPMENT]],Ops_Priorities_and_Data_Clean[[development]:[ifnoext_comment]],15,FALSE)</f>
        <v>0</v>
      </c>
      <c r="AS314" s="20" t="str">
        <f>VLOOKUP(Data[[#This Row],[DEVELOPMENT]],Ops_Priorities_and_Data_Clean[[development]:[ifnoext_comment]],16,FALSE)</f>
        <v>NULL</v>
      </c>
      <c r="AT314" s="20" t="str">
        <f>VLOOKUP(Data[[#This Row],[DEVELOPMENT]],Ops_Priorities_and_Data_Clean[[development]:[ifnoext_comment]],17,FALSE)</f>
        <v>NULL</v>
      </c>
      <c r="AU314" s="20" t="str">
        <f>VLOOKUP(Data[[#This Row],[DEVELOPMENT]],Ops_Priorities_and_Data_Clean[[development]:[ifnoext_comment]],18,FALSE)</f>
        <v>NULL</v>
      </c>
      <c r="AV314" s="20" t="str">
        <f>VLOOKUP(Data[[#This Row],[DEVELOPMENT]],Ops_Priorities_and_Data_Clean[[development]:[ifnoext_comment]],19,FALSE)</f>
        <v>NULL</v>
      </c>
      <c r="AW314" s="20" t="str">
        <f>VLOOKUP(Data[[#This Row],[DEVELOPMENT]],Ops_Priorities_and_Data_Clean[[development]:[ifnoext_comment]],20,FALSE)</f>
        <v>NULL</v>
      </c>
      <c r="AX314" s="104" t="s">
        <v>2238</v>
      </c>
      <c r="AY314" s="104" t="s">
        <v>2616</v>
      </c>
      <c r="AZ314" s="20" t="str">
        <f>VLOOKUP(Data[[#This Row],[DEVELOPMENT]],Development_Data_Book[[DEVELOPMENT]:[PRIVATE MANAGEMENT]],8,FALSE)</f>
        <v>FEDERAL</v>
      </c>
      <c r="BA314" s="104" t="s">
        <v>2586</v>
      </c>
      <c r="BB314" s="20">
        <f>VLOOKUP(Data[[#This Row],[DEVELOPMENT]],Development_Data_Book[[DEVELOPMENT]:[PRIVATE MANAGEMENT]],22,FALSE)</f>
        <v>3</v>
      </c>
      <c r="BC314" s="20">
        <f>Data[[#This Row],[Non-Dwelling Buildings]]+Data[[#This Row],[Dwelling Buildings]]</f>
        <v>18</v>
      </c>
      <c r="BD314" s="20">
        <f>VLOOKUP(Data[[#This Row],[DEVELOPMENT]],Development_Data_Book[[DEVELOPMENT]:[PRIVATE MANAGEMENT]],26,FALSE)</f>
        <v>18.440000000000001</v>
      </c>
      <c r="BE314" s="106">
        <v>1349100</v>
      </c>
      <c r="BF314" s="20">
        <f>VLOOKUP(Data[[#This Row],[DEVELOPMENT]],Development_Data_Book[[DEVELOPMENT]:[PRIVATE MANAGEMENT]],18,FALSE)</f>
        <v>3866</v>
      </c>
      <c r="BG31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14" s="104" t="s">
        <v>2608</v>
      </c>
      <c r="BI314" t="s">
        <v>184</v>
      </c>
      <c r="BJ314" s="20">
        <f>VLOOKUP(Data[[#This Row],[DEVELOPMENT]],Development_Data_Book[[DEVELOPMENT]:[PRIVATE MANAGEMENT]],41,FALSE)</f>
        <v>2</v>
      </c>
      <c r="BK314" s="20">
        <f>VLOOKUP(Data[[#This Row],[DEVELOPMENT]],Development_Data_Book[[DEVELOPMENT]:[PRIVATE MANAGEMENT]],42,FALSE)</f>
        <v>8</v>
      </c>
      <c r="BL314" s="20">
        <f>VLOOKUP(Data[[#This Row],[DEVELOPMENT]],Development_Data_Book[[DEVELOPMENT]:[PRIVATE MANAGEMENT]],43,FALSE)</f>
        <v>25</v>
      </c>
      <c r="BM314" s="20">
        <f>VLOOKUP(Data[[#This Row],[DEVELOPMENT]],Development_Data_Book[[DEVELOPMENT]:[PRIVATE MANAGEMENT]],44,FALSE)</f>
        <v>57</v>
      </c>
      <c r="BN314" s="20">
        <f>VLOOKUP(Data[[#This Row],[DEVELOPMENT]],Development_Data_Book[[DEVELOPMENT]:[PRIVATE MANAGEMENT]],45,FALSE)</f>
        <v>35</v>
      </c>
      <c r="BO314" s="20">
        <f>VLOOKUP(Data[[#This Row],[DEVELOPMENT]],Development_Data_Book[[DEVELOPMENT]:[PRIVATE MANAGEMENT]],24,FALSE)</f>
        <v>43629</v>
      </c>
    </row>
    <row r="315" spans="1:67">
      <c r="A315" t="s">
        <v>384</v>
      </c>
      <c r="B315" s="20" t="str">
        <f>VLOOKUP(Data[[#This Row],[DEVELOPMENT]],Development_Data_Book[[DEVELOPMENT]:[BOROUGH]],MATCH("borough",Development_Data_Book[[#Headers],[DEVELOPMENT]:[BOROUGH]],0),FALSE)</f>
        <v>BROOKLYN</v>
      </c>
      <c r="C315" s="20" t="e">
        <f>VLOOKUP(Data[[#This Row],[DEVELOPMENT]],'[1]Cheat-Sheet'!$D$2:$Q$341,2,FALSE)</f>
        <v>#N/A</v>
      </c>
      <c r="D315" s="20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2019</v>
      </c>
      <c r="E315" s="20">
        <f>VLOOKUP(Data[[#This Row],[DEVELOPMENT]],Development_Data_Book[[DEVELOPMENT]:[BOROUGH]],21,FALSE)</f>
        <v>5</v>
      </c>
      <c r="F315" s="20">
        <f>VLOOKUP(Data[[#This Row],[DEVELOPMENT]],Development_Data_Book[[DEVELOPMENT]:[BOROUGH]],23,FALSE)</f>
        <v>5</v>
      </c>
      <c r="G315" s="20">
        <f>VLOOKUP(Data[[#This Row],[DEVELOPMENT]],Development_Data_Book[[DEVELOPMENT]:[BOROUGH]],12,FALSE)</f>
        <v>577</v>
      </c>
      <c r="J315">
        <f>IFERROR(VLOOKUP(Data[[#This Row],[DEVELOPMENT]],IntCompactors_MRST[],4,FALSE),0)</f>
        <v>5</v>
      </c>
      <c r="K315" s="20">
        <f>IFERROR(VLOOKUP(Data[[#This Row],[DEVELOPMENT]],ExtCompactors_MRST[],4,FALSE),0)</f>
        <v>1</v>
      </c>
      <c r="L315" s="27">
        <f>IF(Data[[#This Row],['# Interior Compactors MRST]]=0,"",VLOOKUP(Data[[#This Row],[DEVELOPMENT]],IntCompactors_MRST[],5,FALSE))</f>
        <v>38353</v>
      </c>
      <c r="M315" s="28">
        <f>IF(Data[[#This Row],['# Exterior Compactors MRST]]=0,"",VLOOKUP(Data[[#This Row],[DEVELOPMENT]],ExtCompactors_MRST[],5,FALSE))</f>
        <v>39833</v>
      </c>
      <c r="N315" s="20">
        <f>Data[[#This Row],['# Interior Compactors MRST]]</f>
        <v>5</v>
      </c>
      <c r="O315" s="20">
        <f>IF(Data[[#This Row],['# Bulk Crushers]]=0,1,0)</f>
        <v>0</v>
      </c>
      <c r="P315" s="20">
        <f>1</f>
        <v>1</v>
      </c>
      <c r="Q315" s="20">
        <f>1</f>
        <v>1</v>
      </c>
      <c r="R315" s="20">
        <f>1</f>
        <v>1</v>
      </c>
      <c r="S315" s="20">
        <f>1</f>
        <v>1</v>
      </c>
      <c r="T315" s="20">
        <f>IF(Data[[#This Row],[Sewershed]]="Newtown Creek",Data[[#This Row],[DUs]],0)</f>
        <v>577</v>
      </c>
      <c r="U31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1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1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15" s="82">
        <f>VLOOKUP(Data[[#This Row],[DEVELOPMENT]],Development_Data_Book[[DEVELOPMENT]:[BOROUGH]],3,FALSE)</f>
        <v>128</v>
      </c>
      <c r="Y315" s="20" t="s">
        <v>2599</v>
      </c>
      <c r="Z315" s="20">
        <f>IFERROR(VLOOKUP(Data[[#This Row],[TDS]],ExtCompactors_PNA[[Development]:[0]],2,FALSE),0)</f>
        <v>0</v>
      </c>
      <c r="AA315" s="20">
        <f>IFERROR(VLOOKUP(Data[[#This Row],[TDS]],IntCompactors_PNA[[TDS]:[0]],2,FALSE),0)</f>
        <v>5</v>
      </c>
      <c r="AB315" s="20">
        <v>1</v>
      </c>
      <c r="AC315" s="20"/>
      <c r="AD315" s="20">
        <f>IFERROR(VLOOKUP(Data[[#This Row],[TDS]],ExtCompactors_PNA[[Development]:[0]],3,FALSE)+VLOOKUP(Data[[#This Row],[TDS]],ExtCompactors_PNA[[Development]:[0]],6,FALSE),0)</f>
        <v>0</v>
      </c>
      <c r="AE315" s="20">
        <f>IFERROR(VLOOKUP(Data[[#This Row],[TDS]],IntCompactors_PNA[[TDS]:[0]],3,FALSE)+VLOOKUP(Data[[#This Row],[TDS]],IntCompactors_PNA[[TDS]:[0]],6,FALSE),0)</f>
        <v>5</v>
      </c>
      <c r="AF315" s="20" t="e">
        <f>VLOOKUP(Data[[#This Row],[DEVELOPMENT]],[3]Developments!$A$2:$A$312,1,FALSE)</f>
        <v>#N/A</v>
      </c>
      <c r="AG315" s="20">
        <f>IFERROR(VLOOKUP(Data[[#This Row],[DEVELOPMENT]],Ops_Priorities_and_Data_Clean[[development]:[ifnoext_comment]],3,FALSE),"")</f>
        <v>1</v>
      </c>
      <c r="AH315" s="20">
        <f>IFERROR(VLOOKUP(Data[[#This Row],[DEVELOPMENT]],Ops_Priorities_and_Data_Clean[[development]:[ifnoext_comment]],4,FALSE),"")</f>
        <v>0</v>
      </c>
      <c r="AI315" s="20">
        <f>IFERROR(VLOOKUP(Data[[#This Row],[DEVELOPMENT]],Ops_Priorities_and_Data_Clean[[development]:[ifnoext_comment]],5,FALSE),"")</f>
        <v>1</v>
      </c>
      <c r="AJ315" s="20">
        <f>IFERROR(VLOOKUP(Data[[#This Row],[DEVELOPMENT]],Ops_Priorities_and_Data_Clean[[development]:[ifnoext_comment]],6,FALSE),"")</f>
        <v>0</v>
      </c>
      <c r="AK315" s="20">
        <f>IFERROR(VLOOKUP(Data[[#This Row],[DEVELOPMENT]],Ops_Priorities_and_Data_Clean[[development]:[ifnoext_comment]],7,FALSE),"")</f>
        <v>0</v>
      </c>
      <c r="AL315" s="20">
        <f>IFERROR(VLOOKUP(Data[[#This Row],[DEVELOPMENT]],Ops_Priorities_and_Data_Clean[[development]:[ifnoext_comment]],8,FALSE),"")</f>
        <v>1</v>
      </c>
      <c r="AM315" s="20">
        <f>IFERROR(VLOOKUP(Data[[#This Row],[DEVELOPMENT]],Ops_Priorities_and_Data_Clean[[development]:[ifnoext_comment]],9,FALSE),"")</f>
        <v>0</v>
      </c>
      <c r="AN315" s="20">
        <f>IFERROR(VLOOKUP(Data[[#This Row],[DEVELOPMENT]],Ops_Priorities_and_Data_Clean[[development]:[ifnoext_comment]],10,FALSE),"")</f>
        <v>1</v>
      </c>
      <c r="AO315" s="20">
        <f>IFERROR(VLOOKUP(Data[[#This Row],[DEVELOPMENT]],Ops_Priorities_and_Data_Clean[[development]:[ifnoext_comment]],11,FALSE),"")</f>
        <v>1</v>
      </c>
      <c r="AP315" s="20">
        <f>IFERROR(VLOOKUP(Data[[#This Row],[DEVELOPMENT]],Ops_Priorities_and_Data_Clean[[development]:[ifnoext_comment]],12,FALSE),"")</f>
        <v>1</v>
      </c>
      <c r="AQ315" s="20">
        <f>VLOOKUP(Data[[#This Row],[DEVELOPMENT]],Ops_Priorities_and_Data_Clean[[development]:[ifnoext_comment]],14,FALSE)</f>
        <v>0</v>
      </c>
      <c r="AR315" s="20">
        <f>VLOOKUP(Data[[#This Row],[DEVELOPMENT]],Ops_Priorities_and_Data_Clean[[development]:[ifnoext_comment]],15,FALSE)</f>
        <v>0</v>
      </c>
      <c r="AS315" s="20" t="str">
        <f>VLOOKUP(Data[[#This Row],[DEVELOPMENT]],Ops_Priorities_and_Data_Clean[[development]:[ifnoext_comment]],16,FALSE)</f>
        <v>NULL</v>
      </c>
      <c r="AT315" s="20" t="str">
        <f>VLOOKUP(Data[[#This Row],[DEVELOPMENT]],Ops_Priorities_and_Data_Clean[[development]:[ifnoext_comment]],17,FALSE)</f>
        <v>NULL</v>
      </c>
      <c r="AU315" s="20" t="str">
        <f>VLOOKUP(Data[[#This Row],[DEVELOPMENT]],Ops_Priorities_and_Data_Clean[[development]:[ifnoext_comment]],18,FALSE)</f>
        <v>no</v>
      </c>
      <c r="AV315" s="20" t="str">
        <f>VLOOKUP(Data[[#This Row],[DEVELOPMENT]],Ops_Priorities_and_Data_Clean[[development]:[ifnoext_comment]],19,FALSE)</f>
        <v>Must use bulk crusher &amp; exterior compactor.</v>
      </c>
      <c r="AW315" s="20" t="str">
        <f>VLOOKUP(Data[[#This Row],[DEVELOPMENT]],Ops_Priorities_and_Data_Clean[[development]:[ifnoext_comment]],20,FALSE)</f>
        <v>NULL</v>
      </c>
      <c r="AX315" s="104" t="s">
        <v>2605</v>
      </c>
      <c r="AY315" s="104" t="s">
        <v>385</v>
      </c>
      <c r="AZ315" s="20" t="str">
        <f>VLOOKUP(Data[[#This Row],[DEVELOPMENT]],Development_Data_Book[[DEVELOPMENT]:[PRIVATE MANAGEMENT]],8,FALSE)</f>
        <v>MIXED FINANCE/LLC2</v>
      </c>
      <c r="BA315" s="104" t="s">
        <v>2586</v>
      </c>
      <c r="BB315" s="20">
        <f>VLOOKUP(Data[[#This Row],[DEVELOPMENT]],Development_Data_Book[[DEVELOPMENT]:[PRIVATE MANAGEMENT]],22,FALSE)</f>
        <v>0</v>
      </c>
      <c r="BC315" s="20">
        <f>Data[[#This Row],[Non-Dwelling Buildings]]+Data[[#This Row],[Dwelling Buildings]]</f>
        <v>5</v>
      </c>
      <c r="BD315" s="20">
        <f>VLOOKUP(Data[[#This Row],[DEVELOPMENT]],Development_Data_Book[[DEVELOPMENT]:[PRIVATE MANAGEMENT]],26,FALSE)</f>
        <v>5.58</v>
      </c>
      <c r="BE315" s="106">
        <v>616200</v>
      </c>
      <c r="BF315" s="20">
        <f>VLOOKUP(Data[[#This Row],[DEVELOPMENT]],Development_Data_Book[[DEVELOPMENT]:[PRIVATE MANAGEMENT]],18,FALSE)</f>
        <v>1290</v>
      </c>
      <c r="BG31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15" s="104" t="s">
        <v>2601</v>
      </c>
      <c r="BI315" t="s">
        <v>184</v>
      </c>
      <c r="BJ315" s="20">
        <f>VLOOKUP(Data[[#This Row],[DEVELOPMENT]],Development_Data_Book[[DEVELOPMENT]:[PRIVATE MANAGEMENT]],41,FALSE)</f>
        <v>1</v>
      </c>
      <c r="BK315" s="20">
        <f>VLOOKUP(Data[[#This Row],[DEVELOPMENT]],Development_Data_Book[[DEVELOPMENT]:[PRIVATE MANAGEMENT]],42,FALSE)</f>
        <v>7</v>
      </c>
      <c r="BL315" s="20">
        <f>VLOOKUP(Data[[#This Row],[DEVELOPMENT]],Development_Data_Book[[DEVELOPMENT]:[PRIVATE MANAGEMENT]],43,FALSE)</f>
        <v>18</v>
      </c>
      <c r="BM315" s="20">
        <f>VLOOKUP(Data[[#This Row],[DEVELOPMENT]],Development_Data_Book[[DEVELOPMENT]:[PRIVATE MANAGEMENT]],44,FALSE)</f>
        <v>50</v>
      </c>
      <c r="BN315" s="20">
        <f>VLOOKUP(Data[[#This Row],[DEVELOPMENT]],Development_Data_Book[[DEVELOPMENT]:[PRIVATE MANAGEMENT]],45,FALSE)</f>
        <v>33</v>
      </c>
      <c r="BO315" s="20" t="str">
        <f>VLOOKUP(Data[[#This Row],[DEVELOPMENT]],Development_Data_Book[[DEVELOPMENT]:[PRIVATE MANAGEMENT]],24,FALSE)</f>
        <v>14-21</v>
      </c>
    </row>
    <row r="316" spans="1:67">
      <c r="A316" t="s">
        <v>385</v>
      </c>
      <c r="B316" s="20" t="str">
        <f>VLOOKUP(Data[[#This Row],[DEVELOPMENT]],Development_Data_Book[[DEVELOPMENT]:[BOROUGH]],MATCH("borough",Development_Data_Book[[#Headers],[DEVELOPMENT]:[BOROUGH]],0),FALSE)</f>
        <v>BROOKLYN</v>
      </c>
      <c r="C316" s="20" t="e">
        <f>VLOOKUP(Data[[#This Row],[DEVELOPMENT]],'[1]Cheat-Sheet'!$D$2:$Q$341,2,FALSE)</f>
        <v>#N/A</v>
      </c>
      <c r="D316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316" s="20">
        <f>VLOOKUP(Data[[#This Row],[DEVELOPMENT]],Development_Data_Book[[DEVELOPMENT]:[BOROUGH]],21,FALSE)</f>
        <v>20</v>
      </c>
      <c r="F316" s="20">
        <f>VLOOKUP(Data[[#This Row],[DEVELOPMENT]],Development_Data_Book[[DEVELOPMENT]:[BOROUGH]],23,FALSE)</f>
        <v>137</v>
      </c>
      <c r="G316" s="20">
        <f>VLOOKUP(Data[[#This Row],[DEVELOPMENT]],Development_Data_Book[[DEVELOPMENT]:[BOROUGH]],12,FALSE)</f>
        <v>1627</v>
      </c>
      <c r="J316">
        <f>IFERROR(VLOOKUP(Data[[#This Row],[DEVELOPMENT]],IntCompactors_MRST[],4,FALSE),0)</f>
        <v>136</v>
      </c>
      <c r="K316" s="20">
        <f>IFERROR(VLOOKUP(Data[[#This Row],[DEVELOPMENT]],ExtCompactors_MRST[],4,FALSE),0)</f>
        <v>0</v>
      </c>
      <c r="L316" s="27">
        <f>IF(Data[[#This Row],['# Interior Compactors MRST]]=0,"",VLOOKUP(Data[[#This Row],[DEVELOPMENT]],IntCompactors_MRST[],5,FALSE))</f>
        <v>36586</v>
      </c>
      <c r="M316" s="28" t="str">
        <f>IF(Data[[#This Row],['# Exterior Compactors MRST]]=0,"",VLOOKUP(Data[[#This Row],[DEVELOPMENT]],ExtCompactors_MRST[],5,FALSE))</f>
        <v/>
      </c>
      <c r="N316" s="20">
        <f>Data[[#This Row],['# Interior Compactors MRST]]</f>
        <v>136</v>
      </c>
      <c r="O316" s="20">
        <f>IF(Data[[#This Row],['# Bulk Crushers]]=0,1,0)</f>
        <v>1</v>
      </c>
      <c r="P316" s="20">
        <f>1</f>
        <v>1</v>
      </c>
      <c r="Q316" s="20">
        <f>1</f>
        <v>1</v>
      </c>
      <c r="R316" s="20">
        <f>1</f>
        <v>1</v>
      </c>
      <c r="S316" s="20">
        <f>1</f>
        <v>1</v>
      </c>
      <c r="T316" s="20">
        <f>IF(Data[[#This Row],[Sewershed]]="Newtown Creek",Data[[#This Row],[DUs]],0)</f>
        <v>1627</v>
      </c>
      <c r="U316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16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16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16" s="82">
        <f>VLOOKUP(Data[[#This Row],[DEVELOPMENT]],Development_Data_Book[[DEVELOPMENT]:[BOROUGH]],3,FALSE)</f>
        <v>2</v>
      </c>
      <c r="Y316" s="20" t="s">
        <v>2599</v>
      </c>
      <c r="Z316" s="20">
        <f>IFERROR(VLOOKUP(Data[[#This Row],[TDS]],ExtCompactors_PNA[[Development]:[0]],2,FALSE),0)</f>
        <v>0</v>
      </c>
      <c r="AA316" s="20">
        <f>IFERROR(VLOOKUP(Data[[#This Row],[TDS]],IntCompactors_PNA[[TDS]:[0]],2,FALSE),0)</f>
        <v>134</v>
      </c>
      <c r="AB316" s="20"/>
      <c r="AC316" s="20"/>
      <c r="AD316" s="20">
        <f>IFERROR(VLOOKUP(Data[[#This Row],[TDS]],ExtCompactors_PNA[[Development]:[0]],3,FALSE)+VLOOKUP(Data[[#This Row],[TDS]],ExtCompactors_PNA[[Development]:[0]],6,FALSE),0)</f>
        <v>0</v>
      </c>
      <c r="AE316" s="20">
        <f>IFERROR(VLOOKUP(Data[[#This Row],[TDS]],IntCompactors_PNA[[TDS]:[0]],3,FALSE)+VLOOKUP(Data[[#This Row],[TDS]],IntCompactors_PNA[[TDS]:[0]],6,FALSE),0)</f>
        <v>134</v>
      </c>
      <c r="AF316" s="20" t="e">
        <f>VLOOKUP(Data[[#This Row],[DEVELOPMENT]],[3]Developments!$A$2:$A$312,1,FALSE)</f>
        <v>#N/A</v>
      </c>
      <c r="AG316" s="20">
        <f>IFERROR(VLOOKUP(Data[[#This Row],[DEVELOPMENT]],Ops_Priorities_and_Data_Clean[[development]:[ifnoext_comment]],3,FALSE),"")</f>
        <v>0</v>
      </c>
      <c r="AH316" s="20">
        <f>IFERROR(VLOOKUP(Data[[#This Row],[DEVELOPMENT]],Ops_Priorities_and_Data_Clean[[development]:[ifnoext_comment]],4,FALSE),"")</f>
        <v>0</v>
      </c>
      <c r="AI316" s="20">
        <f>IFERROR(VLOOKUP(Data[[#This Row],[DEVELOPMENT]],Ops_Priorities_and_Data_Clean[[development]:[ifnoext_comment]],5,FALSE),"")</f>
        <v>0</v>
      </c>
      <c r="AJ316" s="20">
        <f>IFERROR(VLOOKUP(Data[[#This Row],[DEVELOPMENT]],Ops_Priorities_and_Data_Clean[[development]:[ifnoext_comment]],6,FALSE),"")</f>
        <v>0</v>
      </c>
      <c r="AK316" s="20">
        <f>IFERROR(VLOOKUP(Data[[#This Row],[DEVELOPMENT]],Ops_Priorities_and_Data_Clean[[development]:[ifnoext_comment]],7,FALSE),"")</f>
        <v>1</v>
      </c>
      <c r="AL316" s="20">
        <f>IFERROR(VLOOKUP(Data[[#This Row],[DEVELOPMENT]],Ops_Priorities_and_Data_Clean[[development]:[ifnoext_comment]],8,FALSE),"")</f>
        <v>1</v>
      </c>
      <c r="AM316" s="20">
        <f>IFERROR(VLOOKUP(Data[[#This Row],[DEVELOPMENT]],Ops_Priorities_and_Data_Clean[[development]:[ifnoext_comment]],9,FALSE),"")</f>
        <v>1</v>
      </c>
      <c r="AN316" s="20">
        <f>IFERROR(VLOOKUP(Data[[#This Row],[DEVELOPMENT]],Ops_Priorities_and_Data_Clean[[development]:[ifnoext_comment]],10,FALSE),"")</f>
        <v>0</v>
      </c>
      <c r="AO316" s="20">
        <f>IFERROR(VLOOKUP(Data[[#This Row],[DEVELOPMENT]],Ops_Priorities_and_Data_Clean[[development]:[ifnoext_comment]],11,FALSE),"")</f>
        <v>0</v>
      </c>
      <c r="AP316" s="20">
        <f>IFERROR(VLOOKUP(Data[[#This Row],[DEVELOPMENT]],Ops_Priorities_and_Data_Clean[[development]:[ifnoext_comment]],12,FALSE),"")</f>
        <v>0</v>
      </c>
      <c r="AQ316" s="20">
        <f>VLOOKUP(Data[[#This Row],[DEVELOPMENT]],Ops_Priorities_and_Data_Clean[[development]:[ifnoext_comment]],14,FALSE)</f>
        <v>1</v>
      </c>
      <c r="AR316" s="20">
        <f>VLOOKUP(Data[[#This Row],[DEVELOPMENT]],Ops_Priorities_and_Data_Clean[[development]:[ifnoext_comment]],15,FALSE)</f>
        <v>0</v>
      </c>
      <c r="AS316" s="20" t="str">
        <f>VLOOKUP(Data[[#This Row],[DEVELOPMENT]],Ops_Priorities_and_Data_Clean[[development]:[ifnoext_comment]],16,FALSE)</f>
        <v>NULL</v>
      </c>
      <c r="AT316" s="20" t="str">
        <f>VLOOKUP(Data[[#This Row],[DEVELOPMENT]],Ops_Priorities_and_Data_Clean[[development]:[ifnoext_comment]],17,FALSE)</f>
        <v>NULL</v>
      </c>
      <c r="AU316" s="20" t="str">
        <f>VLOOKUP(Data[[#This Row],[DEVELOPMENT]],Ops_Priorities_and_Data_Clean[[development]:[ifnoext_comment]],18,FALSE)</f>
        <v>yes</v>
      </c>
      <c r="AV316" s="20" t="str">
        <f>VLOOKUP(Data[[#This Row],[DEVELOPMENT]],Ops_Priorities_and_Data_Clean[[development]:[ifnoext_comment]],19,FALSE)</f>
        <v>Doesn't have an exterior compactor. All interior compactors are out of service.  Handling the garbage and recycling manually.  Curbside pickup for DSNY.</v>
      </c>
      <c r="AW316" s="20" t="str">
        <f>VLOOKUP(Data[[#This Row],[DEVELOPMENT]],Ops_Priorities_and_Data_Clean[[development]:[ifnoext_comment]],20,FALSE)</f>
        <v>NULL</v>
      </c>
      <c r="AX316" s="104" t="s">
        <v>2238</v>
      </c>
      <c r="AY316" s="104" t="s">
        <v>385</v>
      </c>
      <c r="AZ316" s="20" t="str">
        <f>VLOOKUP(Data[[#This Row],[DEVELOPMENT]],Development_Data_Book[[DEVELOPMENT]:[PRIVATE MANAGEMENT]],8,FALSE)</f>
        <v>FEDERAL</v>
      </c>
      <c r="BA316" s="104" t="s">
        <v>2588</v>
      </c>
      <c r="BB316" s="20">
        <f>VLOOKUP(Data[[#This Row],[DEVELOPMENT]],Development_Data_Book[[DEVELOPMENT]:[PRIVATE MANAGEMENT]],22,FALSE)</f>
        <v>1</v>
      </c>
      <c r="BC316" s="20">
        <f>Data[[#This Row],[Non-Dwelling Buildings]]+Data[[#This Row],[Dwelling Buildings]]</f>
        <v>21</v>
      </c>
      <c r="BD316" s="20">
        <f>VLOOKUP(Data[[#This Row],[DEVELOPMENT]],Development_Data_Book[[DEVELOPMENT]:[PRIVATE MANAGEMENT]],26,FALSE)</f>
        <v>23.34</v>
      </c>
      <c r="BE316" s="106">
        <v>1487900</v>
      </c>
      <c r="BF316" s="20">
        <f>VLOOKUP(Data[[#This Row],[DEVELOPMENT]],Development_Data_Book[[DEVELOPMENT]:[PRIVATE MANAGEMENT]],18,FALSE)</f>
        <v>3025</v>
      </c>
      <c r="BG316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16" s="104" t="s">
        <v>2601</v>
      </c>
      <c r="BI316" t="s">
        <v>184</v>
      </c>
      <c r="BJ316" s="20">
        <f>VLOOKUP(Data[[#This Row],[DEVELOPMENT]],Development_Data_Book[[DEVELOPMENT]:[PRIVATE MANAGEMENT]],41,FALSE)</f>
        <v>1</v>
      </c>
      <c r="BK316" s="20">
        <f>VLOOKUP(Data[[#This Row],[DEVELOPMENT]],Development_Data_Book[[DEVELOPMENT]:[PRIVATE MANAGEMENT]],42,FALSE)</f>
        <v>7</v>
      </c>
      <c r="BL316" s="20">
        <f>VLOOKUP(Data[[#This Row],[DEVELOPMENT]],Development_Data_Book[[DEVELOPMENT]:[PRIVATE MANAGEMENT]],43,FALSE)</f>
        <v>18</v>
      </c>
      <c r="BM316" s="20">
        <f>VLOOKUP(Data[[#This Row],[DEVELOPMENT]],Development_Data_Book[[DEVELOPMENT]:[PRIVATE MANAGEMENT]],44,FALSE)</f>
        <v>53</v>
      </c>
      <c r="BN316" s="20">
        <f>VLOOKUP(Data[[#This Row],[DEVELOPMENT]],Development_Data_Book[[DEVELOPMENT]:[PRIVATE MANAGEMENT]],45,FALSE)</f>
        <v>34</v>
      </c>
      <c r="BO316" s="20">
        <f>VLOOKUP(Data[[#This Row],[DEVELOPMENT]],Development_Data_Book[[DEVELOPMENT]:[PRIVATE MANAGEMENT]],24,FALSE)</f>
        <v>4</v>
      </c>
    </row>
    <row r="317" spans="1:67">
      <c r="A317" t="s">
        <v>116</v>
      </c>
      <c r="B317" t="str">
        <f>VLOOKUP(Data[[#This Row],[DEVELOPMENT]],Development_Data_Book[[DEVELOPMENT]:[BOROUGH]],MATCH("borough",Development_Data_Book[[#Headers],[DEVELOPMENT]:[BOROUGH]],0),FALSE)</f>
        <v>MANHATTAN</v>
      </c>
      <c r="C317" t="e">
        <f>VLOOKUP(Data[[#This Row],[DEVELOPMENT]],'[1]Cheat-Sheet'!$D$2:$Q$341,2,FALSE)</f>
        <v>#N/A</v>
      </c>
      <c r="D317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2026+</v>
      </c>
      <c r="E317">
        <f>VLOOKUP(Data[[#This Row],[DEVELOPMENT]],Development_Data_Book[[DEVELOPMENT]:[BOROUGH]],21,FALSE)</f>
        <v>3</v>
      </c>
      <c r="F317">
        <f>VLOOKUP(Data[[#This Row],[DEVELOPMENT]],Development_Data_Book[[DEVELOPMENT]:[BOROUGH]],23,FALSE)</f>
        <v>3</v>
      </c>
      <c r="G317">
        <f>VLOOKUP(Data[[#This Row],[DEVELOPMENT]],Development_Data_Book[[DEVELOPMENT]:[BOROUGH]],12,FALSE)</f>
        <v>398</v>
      </c>
      <c r="H317" t="s">
        <v>2247</v>
      </c>
      <c r="I317">
        <v>4</v>
      </c>
      <c r="J317">
        <f>IFERROR(VLOOKUP(Data[[#This Row],[DEVELOPMENT]],IntCompactors_MRST[],4,FALSE),0)</f>
        <v>3</v>
      </c>
      <c r="K317" s="20">
        <f>IFERROR(VLOOKUP(Data[[#This Row],[DEVELOPMENT]],ExtCompactors_MRST[],4,FALSE),0)</f>
        <v>2</v>
      </c>
      <c r="L317" s="27">
        <f>IF(Data[[#This Row],['# Interior Compactors MRST]]=0,"",VLOOKUP(Data[[#This Row],[DEVELOPMENT]],IntCompactors_MRST[],5,FALSE))</f>
        <v>38483</v>
      </c>
      <c r="M317" s="28">
        <f>IF(Data[[#This Row],['# Exterior Compactors MRST]]=0,"",VLOOKUP(Data[[#This Row],[DEVELOPMENT]],ExtCompactors_MRST[],5,FALSE))</f>
        <v>37683</v>
      </c>
      <c r="N317">
        <f>Data[[#This Row],['# Interior Compactors MRST]]</f>
        <v>3</v>
      </c>
      <c r="O317" s="20">
        <f>IF(Data[[#This Row],['# Bulk Crushers]]=0,1,0)</f>
        <v>1</v>
      </c>
      <c r="P317" s="20">
        <f>1</f>
        <v>1</v>
      </c>
      <c r="Q317" s="20">
        <f>1</f>
        <v>1</v>
      </c>
      <c r="R317" s="20">
        <f>1</f>
        <v>1</v>
      </c>
      <c r="S317" s="20">
        <f>1</f>
        <v>1</v>
      </c>
      <c r="T317" s="20">
        <f>IF(Data[[#This Row],[Sewershed]]="Newtown Creek",Data[[#This Row],[DUs]],0)</f>
        <v>0</v>
      </c>
      <c r="U317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17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17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17" s="82">
        <f>VLOOKUP(Data[[#This Row],[DEVELOPMENT]],Development_Data_Book[[DEVELOPMENT]:[BOROUGH]],3,FALSE)</f>
        <v>112</v>
      </c>
      <c r="Y317" s="20"/>
      <c r="Z317" s="20">
        <f>IFERROR(VLOOKUP(Data[[#This Row],[TDS]],ExtCompactors_PNA[[Development]:[0]],2,FALSE),0)</f>
        <v>2</v>
      </c>
      <c r="AA317" s="20">
        <f>IFERROR(VLOOKUP(Data[[#This Row],[TDS]],IntCompactors_PNA[[TDS]:[0]],2,FALSE),0)</f>
        <v>5</v>
      </c>
      <c r="AB317" s="20"/>
      <c r="AC317" s="20"/>
      <c r="AD317" s="20">
        <f>IFERROR(VLOOKUP(Data[[#This Row],[TDS]],ExtCompactors_PNA[[Development]:[0]],3,FALSE)+VLOOKUP(Data[[#This Row],[TDS]],ExtCompactors_PNA[[Development]:[0]],6,FALSE),0)</f>
        <v>2</v>
      </c>
      <c r="AE317" s="20">
        <f>IFERROR(VLOOKUP(Data[[#This Row],[TDS]],IntCompactors_PNA[[TDS]:[0]],3,FALSE)+VLOOKUP(Data[[#This Row],[TDS]],IntCompactors_PNA[[TDS]:[0]],6,FALSE),0)</f>
        <v>5</v>
      </c>
      <c r="AF317" s="20" t="e">
        <f>VLOOKUP(Data[[#This Row],[DEVELOPMENT]],[3]Developments!$A$2:$A$312,1,FALSE)</f>
        <v>#N/A</v>
      </c>
      <c r="AG317" s="20">
        <f>IFERROR(VLOOKUP(Data[[#This Row],[DEVELOPMENT]],Ops_Priorities_and_Data_Clean[[development]:[ifnoext_comment]],3,FALSE),"")</f>
        <v>2</v>
      </c>
      <c r="AH317" s="20">
        <f>IFERROR(VLOOKUP(Data[[#This Row],[DEVELOPMENT]],Ops_Priorities_and_Data_Clean[[development]:[ifnoext_comment]],4,FALSE),"")</f>
        <v>0</v>
      </c>
      <c r="AI317" s="20">
        <f>IFERROR(VLOOKUP(Data[[#This Row],[DEVELOPMENT]],Ops_Priorities_and_Data_Clean[[development]:[ifnoext_comment]],5,FALSE),"")</f>
        <v>1</v>
      </c>
      <c r="AJ317" s="20">
        <f>IFERROR(VLOOKUP(Data[[#This Row],[DEVELOPMENT]],Ops_Priorities_and_Data_Clean[[development]:[ifnoext_comment]],6,FALSE),"")</f>
        <v>0</v>
      </c>
      <c r="AK317" s="20">
        <f>IFERROR(VLOOKUP(Data[[#This Row],[DEVELOPMENT]],Ops_Priorities_and_Data_Clean[[development]:[ifnoext_comment]],7,FALSE),"")</f>
        <v>0</v>
      </c>
      <c r="AL317" s="20">
        <f>IFERROR(VLOOKUP(Data[[#This Row],[DEVELOPMENT]],Ops_Priorities_and_Data_Clean[[development]:[ifnoext_comment]],8,FALSE),"")</f>
        <v>1</v>
      </c>
      <c r="AM317" s="20">
        <f>IFERROR(VLOOKUP(Data[[#This Row],[DEVELOPMENT]],Ops_Priorities_and_Data_Clean[[development]:[ifnoext_comment]],9,FALSE),"")</f>
        <v>0</v>
      </c>
      <c r="AN317" s="20">
        <f>IFERROR(VLOOKUP(Data[[#This Row],[DEVELOPMENT]],Ops_Priorities_and_Data_Clean[[development]:[ifnoext_comment]],10,FALSE),"")</f>
        <v>3</v>
      </c>
      <c r="AO317" s="20">
        <f>IFERROR(VLOOKUP(Data[[#This Row],[DEVELOPMENT]],Ops_Priorities_and_Data_Clean[[development]:[ifnoext_comment]],11,FALSE),"")</f>
        <v>2</v>
      </c>
      <c r="AP317" s="20">
        <f>IFERROR(VLOOKUP(Data[[#This Row],[DEVELOPMENT]],Ops_Priorities_and_Data_Clean[[development]:[ifnoext_comment]],12,FALSE),"")</f>
        <v>2</v>
      </c>
      <c r="AQ317" s="20">
        <f>VLOOKUP(Data[[#This Row],[DEVELOPMENT]],Ops_Priorities_and_Data_Clean[[development]:[ifnoext_comment]],14,FALSE)</f>
        <v>0</v>
      </c>
      <c r="AR317" s="20">
        <f>VLOOKUP(Data[[#This Row],[DEVELOPMENT]],Ops_Priorities_and_Data_Clean[[development]:[ifnoext_comment]],15,FALSE)</f>
        <v>0</v>
      </c>
      <c r="AS317" s="20" t="str">
        <f>VLOOKUP(Data[[#This Row],[DEVELOPMENT]],Ops_Priorities_and_Data_Clean[[development]:[ifnoext_comment]],16,FALSE)</f>
        <v>NULL</v>
      </c>
      <c r="AT317" s="20" t="str">
        <f>VLOOKUP(Data[[#This Row],[DEVELOPMENT]],Ops_Priorities_and_Data_Clean[[development]:[ifnoext_comment]],17,FALSE)</f>
        <v>NULL</v>
      </c>
      <c r="AU317" s="20" t="str">
        <f>VLOOKUP(Data[[#This Row],[DEVELOPMENT]],Ops_Priorities_and_Data_Clean[[development]:[ifnoext_comment]],18,FALSE)</f>
        <v>NULL</v>
      </c>
      <c r="AV317" s="20" t="str">
        <f>VLOOKUP(Data[[#This Row],[DEVELOPMENT]],Ops_Priorities_and_Data_Clean[[development]:[ifnoext_comment]],19,FALSE)</f>
        <v>NULL</v>
      </c>
      <c r="AW317" s="20" t="str">
        <f>VLOOKUP(Data[[#This Row],[DEVELOPMENT]],Ops_Priorities_and_Data_Clean[[development]:[ifnoext_comment]],20,FALSE)</f>
        <v>NULL</v>
      </c>
      <c r="AX317" s="104" t="s">
        <v>2602</v>
      </c>
      <c r="AY317" s="104" t="s">
        <v>2603</v>
      </c>
      <c r="AZ317" s="20" t="str">
        <f>VLOOKUP(Data[[#This Row],[DEVELOPMENT]],Development_Data_Book[[DEVELOPMENT]:[PRIVATE MANAGEMENT]],8,FALSE)</f>
        <v>FEDERAL</v>
      </c>
      <c r="BA317" s="104" t="s">
        <v>2586</v>
      </c>
      <c r="BB317" s="20">
        <f>VLOOKUP(Data[[#This Row],[DEVELOPMENT]],Development_Data_Book[[DEVELOPMENT]:[PRIVATE MANAGEMENT]],22,FALSE)</f>
        <v>0</v>
      </c>
      <c r="BC317" s="20">
        <f>Data[[#This Row],[Non-Dwelling Buildings]]+Data[[#This Row],[Dwelling Buildings]]</f>
        <v>3</v>
      </c>
      <c r="BD317" s="20">
        <f>VLOOKUP(Data[[#This Row],[DEVELOPMENT]],Development_Data_Book[[DEVELOPMENT]:[PRIVATE MANAGEMENT]],26,FALSE)</f>
        <v>3.06</v>
      </c>
      <c r="BE317" s="106">
        <v>460700</v>
      </c>
      <c r="BF317" s="20">
        <f>VLOOKUP(Data[[#This Row],[DEVELOPMENT]],Development_Data_Book[[DEVELOPMENT]:[PRIVATE MANAGEMENT]],18,FALSE)</f>
        <v>1250</v>
      </c>
      <c r="BG317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17" s="104" t="s">
        <v>2604</v>
      </c>
      <c r="BI317" t="s">
        <v>184</v>
      </c>
      <c r="BJ317" s="20">
        <f>VLOOKUP(Data[[#This Row],[DEVELOPMENT]],Development_Data_Book[[DEVELOPMENT]:[PRIVATE MANAGEMENT]],41,FALSE)</f>
        <v>11</v>
      </c>
      <c r="BK317" s="20">
        <f>VLOOKUP(Data[[#This Row],[DEVELOPMENT]],Development_Data_Book[[DEVELOPMENT]:[PRIVATE MANAGEMENT]],42,FALSE)</f>
        <v>13</v>
      </c>
      <c r="BL317" s="20">
        <f>VLOOKUP(Data[[#This Row],[DEVELOPMENT]],Development_Data_Book[[DEVELOPMENT]:[PRIVATE MANAGEMENT]],43,FALSE)</f>
        <v>30</v>
      </c>
      <c r="BM317" s="20">
        <f>VLOOKUP(Data[[#This Row],[DEVELOPMENT]],Development_Data_Book[[DEVELOPMENT]:[PRIVATE MANAGEMENT]],44,FALSE)</f>
        <v>68</v>
      </c>
      <c r="BN317" s="20">
        <f>VLOOKUP(Data[[#This Row],[DEVELOPMENT]],Development_Data_Book[[DEVELOPMENT]:[PRIVATE MANAGEMENT]],45,FALSE)</f>
        <v>8</v>
      </c>
      <c r="BO317" s="20">
        <f>VLOOKUP(Data[[#This Row],[DEVELOPMENT]],Development_Data_Book[[DEVELOPMENT]:[PRIVATE MANAGEMENT]],24,FALSE)</f>
        <v>20</v>
      </c>
    </row>
    <row r="318" spans="1:67">
      <c r="A318" t="s">
        <v>386</v>
      </c>
      <c r="B318" s="20" t="str">
        <f>VLOOKUP(Data[[#This Row],[DEVELOPMENT]],Development_Data_Book[[DEVELOPMENT]:[BOROUGH]],MATCH("borough",Development_Data_Book[[#Headers],[DEVELOPMENT]:[BOROUGH]],0),FALSE)</f>
        <v>MANHATTAN</v>
      </c>
      <c r="C318" s="20" t="e">
        <f>VLOOKUP(Data[[#This Row],[DEVELOPMENT]],'[1]Cheat-Sheet'!$D$2:$Q$341,2,FALSE)</f>
        <v>#N/A</v>
      </c>
      <c r="D318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>2020-2021</v>
      </c>
      <c r="E318" s="20">
        <f>VLOOKUP(Data[[#This Row],[DEVELOPMENT]],Development_Data_Book[[DEVELOPMENT]:[BOROUGH]],21,FALSE)</f>
        <v>2</v>
      </c>
      <c r="F318" s="20">
        <f>VLOOKUP(Data[[#This Row],[DEVELOPMENT]],Development_Data_Book[[DEVELOPMENT]:[BOROUGH]],23,FALSE)</f>
        <v>5</v>
      </c>
      <c r="G318" s="20">
        <f>VLOOKUP(Data[[#This Row],[DEVELOPMENT]],Development_Data_Book[[DEVELOPMENT]:[BOROUGH]],12,FALSE)</f>
        <v>397</v>
      </c>
      <c r="H318" t="s">
        <v>2611</v>
      </c>
      <c r="J318">
        <f>IFERROR(VLOOKUP(Data[[#This Row],[DEVELOPMENT]],IntCompactors_MRST[],4,FALSE),0)</f>
        <v>4</v>
      </c>
      <c r="K318" s="20">
        <f>IFERROR(VLOOKUP(Data[[#This Row],[DEVELOPMENT]],ExtCompactors_MRST[],4,FALSE),0)</f>
        <v>0</v>
      </c>
      <c r="L318" s="27">
        <f>IF(Data[[#This Row],['# Interior Compactors MRST]]=0,"",VLOOKUP(Data[[#This Row],[DEVELOPMENT]],IntCompactors_MRST[],5,FALSE))</f>
        <v>37622</v>
      </c>
      <c r="M318" s="28" t="str">
        <f>IF(Data[[#This Row],['# Exterior Compactors MRST]]=0,"",VLOOKUP(Data[[#This Row],[DEVELOPMENT]],ExtCompactors_MRST[],5,FALSE))</f>
        <v/>
      </c>
      <c r="N318" s="20">
        <f>Data[[#This Row],['# Interior Compactors MRST]]</f>
        <v>4</v>
      </c>
      <c r="O318" s="20">
        <f>IF(Data[[#This Row],['# Bulk Crushers]]=0,1,0)</f>
        <v>1</v>
      </c>
      <c r="P318" s="20">
        <f>1</f>
        <v>1</v>
      </c>
      <c r="Q318" s="20">
        <f>1</f>
        <v>1</v>
      </c>
      <c r="R318" s="20">
        <f>1</f>
        <v>1</v>
      </c>
      <c r="S318" s="20">
        <f>1</f>
        <v>1</v>
      </c>
      <c r="T318" s="20">
        <f>IF(Data[[#This Row],[Sewershed]]="Newtown Creek",Data[[#This Row],[DUs]],0)</f>
        <v>0</v>
      </c>
      <c r="U318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18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18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18" s="82">
        <f>VLOOKUP(Data[[#This Row],[DEVELOPMENT]],Development_Data_Book[[DEVELOPMENT]:[BOROUGH]],3,FALSE)</f>
        <v>127</v>
      </c>
      <c r="Y318" s="20"/>
      <c r="Z318" s="20">
        <f>IFERROR(VLOOKUP(Data[[#This Row],[TDS]],ExtCompactors_PNA[[Development]:[0]],2,FALSE),0)</f>
        <v>0</v>
      </c>
      <c r="AA318" s="20">
        <f>IFERROR(VLOOKUP(Data[[#This Row],[TDS]],IntCompactors_PNA[[TDS]:[0]],2,FALSE),0)</f>
        <v>4</v>
      </c>
      <c r="AB318" s="20"/>
      <c r="AC318" s="20"/>
      <c r="AD318" s="20">
        <f>IFERROR(VLOOKUP(Data[[#This Row],[TDS]],ExtCompactors_PNA[[Development]:[0]],3,FALSE)+VLOOKUP(Data[[#This Row],[TDS]],ExtCompactors_PNA[[Development]:[0]],6,FALSE),0)</f>
        <v>0</v>
      </c>
      <c r="AE318" s="20">
        <f>IFERROR(VLOOKUP(Data[[#This Row],[TDS]],IntCompactors_PNA[[TDS]:[0]],3,FALSE)+VLOOKUP(Data[[#This Row],[TDS]],IntCompactors_PNA[[TDS]:[0]],6,FALSE),0)</f>
        <v>4</v>
      </c>
      <c r="AF318" s="20" t="e">
        <f>VLOOKUP(Data[[#This Row],[DEVELOPMENT]],[3]Developments!$A$2:$A$312,1,FALSE)</f>
        <v>#N/A</v>
      </c>
      <c r="AG318" s="20">
        <f>IFERROR(VLOOKUP(Data[[#This Row],[DEVELOPMENT]],Ops_Priorities_and_Data_Clean[[development]:[ifnoext_comment]],3,FALSE),"")</f>
        <v>0</v>
      </c>
      <c r="AH318" s="20">
        <f>IFERROR(VLOOKUP(Data[[#This Row],[DEVELOPMENT]],Ops_Priorities_and_Data_Clean[[development]:[ifnoext_comment]],4,FALSE),"")</f>
        <v>0</v>
      </c>
      <c r="AI318" s="20">
        <f>IFERROR(VLOOKUP(Data[[#This Row],[DEVELOPMENT]],Ops_Priorities_and_Data_Clean[[development]:[ifnoext_comment]],5,FALSE),"")</f>
        <v>0</v>
      </c>
      <c r="AJ318" s="20">
        <f>IFERROR(VLOOKUP(Data[[#This Row],[DEVELOPMENT]],Ops_Priorities_and_Data_Clean[[development]:[ifnoext_comment]],6,FALSE),"")</f>
        <v>0</v>
      </c>
      <c r="AK318" s="20">
        <f>IFERROR(VLOOKUP(Data[[#This Row],[DEVELOPMENT]],Ops_Priorities_and_Data_Clean[[development]:[ifnoext_comment]],7,FALSE),"")</f>
        <v>1</v>
      </c>
      <c r="AL318" s="20">
        <f>IFERROR(VLOOKUP(Data[[#This Row],[DEVELOPMENT]],Ops_Priorities_and_Data_Clean[[development]:[ifnoext_comment]],8,FALSE),"")</f>
        <v>1</v>
      </c>
      <c r="AM318" s="20">
        <f>IFERROR(VLOOKUP(Data[[#This Row],[DEVELOPMENT]],Ops_Priorities_and_Data_Clean[[development]:[ifnoext_comment]],9,FALSE),"")</f>
        <v>0</v>
      </c>
      <c r="AN318" s="20">
        <f>IFERROR(VLOOKUP(Data[[#This Row],[DEVELOPMENT]],Ops_Priorities_and_Data_Clean[[development]:[ifnoext_comment]],10,FALSE),"")</f>
        <v>0</v>
      </c>
      <c r="AO318" s="20">
        <f>IFERROR(VLOOKUP(Data[[#This Row],[DEVELOPMENT]],Ops_Priorities_and_Data_Clean[[development]:[ifnoext_comment]],11,FALSE),"")</f>
        <v>0</v>
      </c>
      <c r="AP318" s="20">
        <f>IFERROR(VLOOKUP(Data[[#This Row],[DEVELOPMENT]],Ops_Priorities_and_Data_Clean[[development]:[ifnoext_comment]],12,FALSE),"")</f>
        <v>0</v>
      </c>
      <c r="AQ318" s="20">
        <f>VLOOKUP(Data[[#This Row],[DEVELOPMENT]],Ops_Priorities_and_Data_Clean[[development]:[ifnoext_comment]],14,FALSE)</f>
        <v>1</v>
      </c>
      <c r="AR318" s="20">
        <f>VLOOKUP(Data[[#This Row],[DEVELOPMENT]],Ops_Priorities_and_Data_Clean[[development]:[ifnoext_comment]],15,FALSE)</f>
        <v>0</v>
      </c>
      <c r="AS318" s="20" t="str">
        <f>VLOOKUP(Data[[#This Row],[DEVELOPMENT]],Ops_Priorities_and_Data_Clean[[development]:[ifnoext_comment]],16,FALSE)</f>
        <v>NULL</v>
      </c>
      <c r="AT318" s="20" t="str">
        <f>VLOOKUP(Data[[#This Row],[DEVELOPMENT]],Ops_Priorities_and_Data_Clean[[development]:[ifnoext_comment]],17,FALSE)</f>
        <v>NULL</v>
      </c>
      <c r="AU318" s="20" t="str">
        <f>VLOOKUP(Data[[#This Row],[DEVELOPMENT]],Ops_Priorities_and_Data_Clean[[development]:[ifnoext_comment]],18,FALSE)</f>
        <v>yes</v>
      </c>
      <c r="AV318" s="20" t="str">
        <f>VLOOKUP(Data[[#This Row],[DEVELOPMENT]],Ops_Priorities_and_Data_Clean[[development]:[ifnoext_comment]],19,FALSE)</f>
        <v>Curbside pickup for DSNY.</v>
      </c>
      <c r="AW318" s="20" t="str">
        <f>VLOOKUP(Data[[#This Row],[DEVELOPMENT]],Ops_Priorities_and_Data_Clean[[development]:[ifnoext_comment]],20,FALSE)</f>
        <v>NULL</v>
      </c>
      <c r="AX318" s="104" t="s">
        <v>2605</v>
      </c>
      <c r="AY318" s="104" t="s">
        <v>2597</v>
      </c>
      <c r="AZ318" s="20" t="str">
        <f>VLOOKUP(Data[[#This Row],[DEVELOPMENT]],Development_Data_Book[[DEVELOPMENT]:[PRIVATE MANAGEMENT]],8,FALSE)</f>
        <v>MIXED FINANCE/LLC2</v>
      </c>
      <c r="BA318" s="104" t="s">
        <v>2586</v>
      </c>
      <c r="BB318" s="20">
        <f>VLOOKUP(Data[[#This Row],[DEVELOPMENT]],Development_Data_Book[[DEVELOPMENT]:[PRIVATE MANAGEMENT]],22,FALSE)</f>
        <v>1</v>
      </c>
      <c r="BC318" s="20">
        <f>Data[[#This Row],[Non-Dwelling Buildings]]+Data[[#This Row],[Dwelling Buildings]]</f>
        <v>3</v>
      </c>
      <c r="BD318" s="20">
        <f>VLOOKUP(Data[[#This Row],[DEVELOPMENT]],Development_Data_Book[[DEVELOPMENT]:[PRIVATE MANAGEMENT]],26,FALSE)</f>
        <v>2.2999999999999998</v>
      </c>
      <c r="BE318" s="106">
        <v>335365</v>
      </c>
      <c r="BF318" s="20">
        <f>VLOOKUP(Data[[#This Row],[DEVELOPMENT]],Development_Data_Book[[DEVELOPMENT]:[PRIVATE MANAGEMENT]],18,FALSE)</f>
        <v>750</v>
      </c>
      <c r="BG318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18" s="104" t="s">
        <v>2598</v>
      </c>
      <c r="BI318" t="s">
        <v>184</v>
      </c>
      <c r="BJ318" s="20">
        <f>VLOOKUP(Data[[#This Row],[DEVELOPMENT]],Development_Data_Book[[DEVELOPMENT]:[PRIVATE MANAGEMENT]],41,FALSE)</f>
        <v>7</v>
      </c>
      <c r="BK318" s="20">
        <f>VLOOKUP(Data[[#This Row],[DEVELOPMENT]],Development_Data_Book[[DEVELOPMENT]:[PRIVATE MANAGEMENT]],42,FALSE)</f>
        <v>10</v>
      </c>
      <c r="BL318" s="20">
        <f>VLOOKUP(Data[[#This Row],[DEVELOPMENT]],Development_Data_Book[[DEVELOPMENT]:[PRIVATE MANAGEMENT]],43,FALSE)</f>
        <v>30</v>
      </c>
      <c r="BM318" s="20">
        <f>VLOOKUP(Data[[#This Row],[DEVELOPMENT]],Development_Data_Book[[DEVELOPMENT]:[PRIVATE MANAGEMENT]],44,FALSE)</f>
        <v>69</v>
      </c>
      <c r="BN318" s="20">
        <f>VLOOKUP(Data[[#This Row],[DEVELOPMENT]],Development_Data_Book[[DEVELOPMENT]:[PRIVATE MANAGEMENT]],45,FALSE)</f>
        <v>6</v>
      </c>
      <c r="BO318" s="20">
        <f>VLOOKUP(Data[[#This Row],[DEVELOPMENT]],Development_Data_Book[[DEVELOPMENT]:[PRIVATE MANAGEMENT]],24,FALSE)</f>
        <v>19</v>
      </c>
    </row>
    <row r="319" spans="1:67">
      <c r="A319" t="s">
        <v>271</v>
      </c>
      <c r="B319" s="20" t="str">
        <f>VLOOKUP(Data[[#This Row],[DEVELOPMENT]],Development_Data_Book[[DEVELOPMENT]:[BOROUGH]],MATCH("borough",Development_Data_Book[[#Headers],[DEVELOPMENT]:[BOROUGH]],0),FALSE)</f>
        <v>QUEENS</v>
      </c>
      <c r="C319" s="20" t="e">
        <f>VLOOKUP(Data[[#This Row],[DEVELOPMENT]],'[1]Cheat-Sheet'!$D$2:$Q$341,2,FALSE)</f>
        <v>#N/A</v>
      </c>
      <c r="D319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19" s="20">
        <f>VLOOKUP(Data[[#This Row],[DEVELOPMENT]],Development_Data_Book[[DEVELOPMENT]:[BOROUGH]],21,FALSE)</f>
        <v>20</v>
      </c>
      <c r="F319" s="20">
        <f>VLOOKUP(Data[[#This Row],[DEVELOPMENT]],Development_Data_Book[[DEVELOPMENT]:[BOROUGH]],23,FALSE)</f>
        <v>55</v>
      </c>
      <c r="G319" s="20">
        <f>VLOOKUP(Data[[#This Row],[DEVELOPMENT]],Development_Data_Book[[DEVELOPMENT]:[BOROUGH]],12,FALSE)</f>
        <v>1355</v>
      </c>
      <c r="J319">
        <f>IFERROR(VLOOKUP(Data[[#This Row],[DEVELOPMENT]],IntCompactors_MRST[],4,FALSE),0)</f>
        <v>55</v>
      </c>
      <c r="K319" s="20">
        <f>IFERROR(VLOOKUP(Data[[#This Row],[DEVELOPMENT]],ExtCompactors_MRST[],4,FALSE),0)</f>
        <v>3</v>
      </c>
      <c r="L319" s="27">
        <f>IF(Data[[#This Row],['# Interior Compactors MRST]]=0,"",VLOOKUP(Data[[#This Row],[DEVELOPMENT]],IntCompactors_MRST[],5,FALSE))</f>
        <v>37622</v>
      </c>
      <c r="M319" s="28">
        <f>IF(Data[[#This Row],['# Exterior Compactors MRST]]=0,"",VLOOKUP(Data[[#This Row],[DEVELOPMENT]],ExtCompactors_MRST[],5,FALSE))</f>
        <v>39499</v>
      </c>
      <c r="N319" s="20">
        <f>Data[[#This Row],['# Interior Compactors MRST]]</f>
        <v>55</v>
      </c>
      <c r="O319" s="20">
        <f>IF(Data[[#This Row],['# Bulk Crushers]]=0,1,0)</f>
        <v>1</v>
      </c>
      <c r="P319" s="20">
        <f>1</f>
        <v>1</v>
      </c>
      <c r="Q319" s="20">
        <f>1</f>
        <v>1</v>
      </c>
      <c r="R319" s="20">
        <f>1</f>
        <v>1</v>
      </c>
      <c r="S319" s="20">
        <f>1</f>
        <v>1</v>
      </c>
      <c r="T319" s="20">
        <f>IF(Data[[#This Row],[Sewershed]]="Newtown Creek",Data[[#This Row],[DUs]],0)</f>
        <v>0</v>
      </c>
      <c r="U319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19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19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19" s="82">
        <f>VLOOKUP(Data[[#This Row],[DEVELOPMENT]],Development_Data_Book[[DEVELOPMENT]:[BOROUGH]],3,FALSE)</f>
        <v>33</v>
      </c>
      <c r="Y319" s="20"/>
      <c r="Z319" s="20">
        <f>IFERROR(VLOOKUP(Data[[#This Row],[TDS]],ExtCompactors_PNA[[Development]:[0]],2,FALSE),0)</f>
        <v>3</v>
      </c>
      <c r="AA319" s="20">
        <f>IFERROR(VLOOKUP(Data[[#This Row],[TDS]],IntCompactors_PNA[[TDS]:[0]],2,FALSE),0)</f>
        <v>56</v>
      </c>
      <c r="AB319" s="20"/>
      <c r="AC319" s="20"/>
      <c r="AD319" s="20">
        <f>IFERROR(VLOOKUP(Data[[#This Row],[TDS]],ExtCompactors_PNA[[Development]:[0]],3,FALSE)+VLOOKUP(Data[[#This Row],[TDS]],ExtCompactors_PNA[[Development]:[0]],6,FALSE),0)</f>
        <v>3</v>
      </c>
      <c r="AE319" s="20">
        <f>IFERROR(VLOOKUP(Data[[#This Row],[TDS]],IntCompactors_PNA[[TDS]:[0]],3,FALSE)+VLOOKUP(Data[[#This Row],[TDS]],IntCompactors_PNA[[TDS]:[0]],6,FALSE),0)</f>
        <v>56</v>
      </c>
      <c r="AF319" s="20" t="e">
        <f>VLOOKUP(Data[[#This Row],[DEVELOPMENT]],[3]Developments!$A$2:$A$312,1,FALSE)</f>
        <v>#N/A</v>
      </c>
      <c r="AG319" s="20">
        <f>IFERROR(VLOOKUP(Data[[#This Row],[DEVELOPMENT]],Ops_Priorities_and_Data_Clean[[development]:[ifnoext_comment]],3,FALSE),"")</f>
        <v>3</v>
      </c>
      <c r="AH319" s="20">
        <f>IFERROR(VLOOKUP(Data[[#This Row],[DEVELOPMENT]],Ops_Priorities_and_Data_Clean[[development]:[ifnoext_comment]],4,FALSE),"")</f>
        <v>2</v>
      </c>
      <c r="AI319" s="20">
        <f>IFERROR(VLOOKUP(Data[[#This Row],[DEVELOPMENT]],Ops_Priorities_and_Data_Clean[[development]:[ifnoext_comment]],5,FALSE),"")</f>
        <v>1</v>
      </c>
      <c r="AJ319" s="20">
        <f>IFERROR(VLOOKUP(Data[[#This Row],[DEVELOPMENT]],Ops_Priorities_and_Data_Clean[[development]:[ifnoext_comment]],6,FALSE),"")</f>
        <v>0</v>
      </c>
      <c r="AK319" s="20">
        <f>IFERROR(VLOOKUP(Data[[#This Row],[DEVELOPMENT]],Ops_Priorities_and_Data_Clean[[development]:[ifnoext_comment]],7,FALSE),"")</f>
        <v>0</v>
      </c>
      <c r="AL319" s="20">
        <f>IFERROR(VLOOKUP(Data[[#This Row],[DEVELOPMENT]],Ops_Priorities_and_Data_Clean[[development]:[ifnoext_comment]],8,FALSE),"")</f>
        <v>1</v>
      </c>
      <c r="AM319" s="20">
        <f>IFERROR(VLOOKUP(Data[[#This Row],[DEVELOPMENT]],Ops_Priorities_and_Data_Clean[[development]:[ifnoext_comment]],9,FALSE),"")</f>
        <v>0</v>
      </c>
      <c r="AN319" s="20">
        <f>IFERROR(VLOOKUP(Data[[#This Row],[DEVELOPMENT]],Ops_Priorities_and_Data_Clean[[development]:[ifnoext_comment]],10,FALSE),"")</f>
        <v>3</v>
      </c>
      <c r="AO319" s="20">
        <f>IFERROR(VLOOKUP(Data[[#This Row],[DEVELOPMENT]],Ops_Priorities_and_Data_Clean[[development]:[ifnoext_comment]],11,FALSE),"")</f>
        <v>3</v>
      </c>
      <c r="AP319" s="20">
        <f>IFERROR(VLOOKUP(Data[[#This Row],[DEVELOPMENT]],Ops_Priorities_and_Data_Clean[[development]:[ifnoext_comment]],12,FALSE),"")</f>
        <v>3</v>
      </c>
      <c r="AQ319" s="20">
        <f>VLOOKUP(Data[[#This Row],[DEVELOPMENT]],Ops_Priorities_and_Data_Clean[[development]:[ifnoext_comment]],14,FALSE)</f>
        <v>0</v>
      </c>
      <c r="AR319" s="20">
        <f>VLOOKUP(Data[[#This Row],[DEVELOPMENT]],Ops_Priorities_and_Data_Clean[[development]:[ifnoext_comment]],15,FALSE)</f>
        <v>0</v>
      </c>
      <c r="AS319" s="20" t="str">
        <f>VLOOKUP(Data[[#This Row],[DEVELOPMENT]],Ops_Priorities_and_Data_Clean[[development]:[ifnoext_comment]],16,FALSE)</f>
        <v>NULL</v>
      </c>
      <c r="AT319" s="20" t="str">
        <f>VLOOKUP(Data[[#This Row],[DEVELOPMENT]],Ops_Priorities_and_Data_Clean[[development]:[ifnoext_comment]],17,FALSE)</f>
        <v>NULL</v>
      </c>
      <c r="AU319" s="20" t="str">
        <f>VLOOKUP(Data[[#This Row],[DEVELOPMENT]],Ops_Priorities_and_Data_Clean[[development]:[ifnoext_comment]],18,FALSE)</f>
        <v>NULL</v>
      </c>
      <c r="AV319" s="20" t="str">
        <f>VLOOKUP(Data[[#This Row],[DEVELOPMENT]],Ops_Priorities_and_Data_Clean[[development]:[ifnoext_comment]],19,FALSE)</f>
        <v>NULL</v>
      </c>
      <c r="AW319" s="20" t="str">
        <f>VLOOKUP(Data[[#This Row],[DEVELOPMENT]],Ops_Priorities_and_Data_Clean[[development]:[ifnoext_comment]],20,FALSE)</f>
        <v>NULL</v>
      </c>
      <c r="AX319" s="104" t="s">
        <v>2614</v>
      </c>
      <c r="AY319" s="104" t="s">
        <v>271</v>
      </c>
      <c r="AZ319" s="20" t="str">
        <f>VLOOKUP(Data[[#This Row],[DEVELOPMENT]],Development_Data_Book[[DEVELOPMENT]:[PRIVATE MANAGEMENT]],8,FALSE)</f>
        <v>FEDERAL</v>
      </c>
      <c r="BA319" s="104" t="s">
        <v>2586</v>
      </c>
      <c r="BB319" s="20">
        <f>VLOOKUP(Data[[#This Row],[DEVELOPMENT]],Development_Data_Book[[DEVELOPMENT]:[PRIVATE MANAGEMENT]],22,FALSE)</f>
        <v>0</v>
      </c>
      <c r="BC319" s="20">
        <f>Data[[#This Row],[Non-Dwelling Buildings]]+Data[[#This Row],[Dwelling Buildings]]</f>
        <v>20</v>
      </c>
      <c r="BD319" s="20">
        <f>VLOOKUP(Data[[#This Row],[DEVELOPMENT]],Development_Data_Book[[DEVELOPMENT]:[PRIVATE MANAGEMENT]],26,FALSE)</f>
        <v>22.3</v>
      </c>
      <c r="BE319" s="106">
        <v>1267370</v>
      </c>
      <c r="BF319" s="20">
        <f>VLOOKUP(Data[[#This Row],[DEVELOPMENT]],Development_Data_Book[[DEVELOPMENT]:[PRIVATE MANAGEMENT]],18,FALSE)</f>
        <v>2858</v>
      </c>
      <c r="BG319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19" s="104" t="s">
        <v>2615</v>
      </c>
      <c r="BI319" t="s">
        <v>184</v>
      </c>
      <c r="BJ319" s="20">
        <f>VLOOKUP(Data[[#This Row],[DEVELOPMENT]],Development_Data_Book[[DEVELOPMENT]:[PRIVATE MANAGEMENT]],41,FALSE)</f>
        <v>1</v>
      </c>
      <c r="BK319" s="20">
        <f>VLOOKUP(Data[[#This Row],[DEVELOPMENT]],Development_Data_Book[[DEVELOPMENT]:[PRIVATE MANAGEMENT]],42,FALSE)</f>
        <v>14</v>
      </c>
      <c r="BL319" s="20">
        <f>VLOOKUP(Data[[#This Row],[DEVELOPMENT]],Development_Data_Book[[DEVELOPMENT]:[PRIVATE MANAGEMENT]],43,FALSE)</f>
        <v>13</v>
      </c>
      <c r="BM319" s="20">
        <f>VLOOKUP(Data[[#This Row],[DEVELOPMENT]],Development_Data_Book[[DEVELOPMENT]:[PRIVATE MANAGEMENT]],44,FALSE)</f>
        <v>30</v>
      </c>
      <c r="BN319" s="20">
        <f>VLOOKUP(Data[[#This Row],[DEVELOPMENT]],Development_Data_Book[[DEVELOPMENT]:[PRIVATE MANAGEMENT]],45,FALSE)</f>
        <v>26</v>
      </c>
      <c r="BO319" s="20">
        <f>VLOOKUP(Data[[#This Row],[DEVELOPMENT]],Development_Data_Book[[DEVELOPMENT]:[PRIVATE MANAGEMENT]],24,FALSE)</f>
        <v>6</v>
      </c>
    </row>
    <row r="320" spans="1:67">
      <c r="A320" t="s">
        <v>387</v>
      </c>
      <c r="B320" s="20" t="str">
        <f>VLOOKUP(Data[[#This Row],[DEVELOPMENT]],Development_Data_Book[[DEVELOPMENT]:[BOROUGH]],MATCH("borough",Development_Data_Book[[#Headers],[DEVELOPMENT]:[BOROUGH]],0),FALSE)</f>
        <v>BROOKLYN</v>
      </c>
      <c r="C320" s="20" t="e">
        <f>VLOOKUP(Data[[#This Row],[DEVELOPMENT]],'[1]Cheat-Sheet'!$D$2:$Q$341,2,FALSE)</f>
        <v>#N/A</v>
      </c>
      <c r="D320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20" s="20">
        <f>VLOOKUP(Data[[#This Row],[DEVELOPMENT]],Development_Data_Book[[DEVELOPMENT]:[BOROUGH]],21,FALSE)</f>
        <v>2</v>
      </c>
      <c r="F320" s="20">
        <f>VLOOKUP(Data[[#This Row],[DEVELOPMENT]],Development_Data_Book[[DEVELOPMENT]:[BOROUGH]],23,FALSE)</f>
        <v>2</v>
      </c>
      <c r="G320" s="20">
        <f>VLOOKUP(Data[[#This Row],[DEVELOPMENT]],Development_Data_Book[[DEVELOPMENT]:[BOROUGH]],12,FALSE)</f>
        <v>407</v>
      </c>
      <c r="J320">
        <f>IFERROR(VLOOKUP(Data[[#This Row],[DEVELOPMENT]],IntCompactors_MRST[],4,FALSE),0)</f>
        <v>3</v>
      </c>
      <c r="K320" s="20">
        <f>IFERROR(VLOOKUP(Data[[#This Row],[DEVELOPMENT]],ExtCompactors_MRST[],4,FALSE),0)</f>
        <v>1</v>
      </c>
      <c r="L320" s="27">
        <f>IF(Data[[#This Row],['# Interior Compactors MRST]]=0,"",VLOOKUP(Data[[#This Row],[DEVELOPMENT]],IntCompactors_MRST[],5,FALSE))</f>
        <v>37622</v>
      </c>
      <c r="M320" s="28">
        <f>IF(Data[[#This Row],['# Exterior Compactors MRST]]=0,"",VLOOKUP(Data[[#This Row],[DEVELOPMENT]],ExtCompactors_MRST[],5,FALSE))</f>
        <v>43586</v>
      </c>
      <c r="N320" s="20">
        <f>Data[[#This Row],['# Interior Compactors MRST]]</f>
        <v>3</v>
      </c>
      <c r="O320" s="20">
        <f>IF(Data[[#This Row],['# Bulk Crushers]]=0,1,0)</f>
        <v>1</v>
      </c>
      <c r="P320" s="20">
        <f>1</f>
        <v>1</v>
      </c>
      <c r="Q320" s="20">
        <f>1</f>
        <v>1</v>
      </c>
      <c r="R320" s="20">
        <f>1</f>
        <v>1</v>
      </c>
      <c r="S320" s="20">
        <f>1</f>
        <v>1</v>
      </c>
      <c r="T320" s="20">
        <f>IF(Data[[#This Row],[Sewershed]]="Newtown Creek",Data[[#This Row],[DUs]],0)</f>
        <v>0</v>
      </c>
      <c r="U320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20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20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20" s="82">
        <f>VLOOKUP(Data[[#This Row],[DEVELOPMENT]],Development_Data_Book[[DEVELOPMENT]:[BOROUGH]],3,FALSE)</f>
        <v>182</v>
      </c>
      <c r="Y320" s="20"/>
      <c r="Z320" s="20">
        <f>IFERROR(VLOOKUP(Data[[#This Row],[TDS]],ExtCompactors_PNA[[Development]:[0]],2,FALSE),0)</f>
        <v>0</v>
      </c>
      <c r="AA320" s="20">
        <f>IFERROR(VLOOKUP(Data[[#This Row],[TDS]],IntCompactors_PNA[[TDS]:[0]],2,FALSE),0)</f>
        <v>2</v>
      </c>
      <c r="AB320" s="20"/>
      <c r="AC320" s="20"/>
      <c r="AD320" s="20">
        <f>IFERROR(VLOOKUP(Data[[#This Row],[TDS]],ExtCompactors_PNA[[Development]:[0]],3,FALSE)+VLOOKUP(Data[[#This Row],[TDS]],ExtCompactors_PNA[[Development]:[0]],6,FALSE),0)</f>
        <v>0</v>
      </c>
      <c r="AE320" s="20">
        <f>IFERROR(VLOOKUP(Data[[#This Row],[TDS]],IntCompactors_PNA[[TDS]:[0]],3,FALSE)+VLOOKUP(Data[[#This Row],[TDS]],IntCompactors_PNA[[TDS]:[0]],6,FALSE),0)</f>
        <v>2</v>
      </c>
      <c r="AF320" s="20" t="e">
        <f>VLOOKUP(Data[[#This Row],[DEVELOPMENT]],[3]Developments!$A$2:$A$312,1,FALSE)</f>
        <v>#N/A</v>
      </c>
      <c r="AG320" s="20">
        <f>IFERROR(VLOOKUP(Data[[#This Row],[DEVELOPMENT]],Ops_Priorities_and_Data_Clean[[development]:[ifnoext_comment]],3,FALSE),"")</f>
        <v>1</v>
      </c>
      <c r="AH320" s="20">
        <f>IFERROR(VLOOKUP(Data[[#This Row],[DEVELOPMENT]],Ops_Priorities_and_Data_Clean[[development]:[ifnoext_comment]],4,FALSE),"")</f>
        <v>0</v>
      </c>
      <c r="AI320" s="20">
        <f>IFERROR(VLOOKUP(Data[[#This Row],[DEVELOPMENT]],Ops_Priorities_and_Data_Clean[[development]:[ifnoext_comment]],5,FALSE),"")</f>
        <v>1</v>
      </c>
      <c r="AJ320" s="20">
        <f>IFERROR(VLOOKUP(Data[[#This Row],[DEVELOPMENT]],Ops_Priorities_and_Data_Clean[[development]:[ifnoext_comment]],6,FALSE),"")</f>
        <v>0</v>
      </c>
      <c r="AK320" s="20">
        <f>IFERROR(VLOOKUP(Data[[#This Row],[DEVELOPMENT]],Ops_Priorities_and_Data_Clean[[development]:[ifnoext_comment]],7,FALSE),"")</f>
        <v>0</v>
      </c>
      <c r="AL320" s="20">
        <f>IFERROR(VLOOKUP(Data[[#This Row],[DEVELOPMENT]],Ops_Priorities_and_Data_Clean[[development]:[ifnoext_comment]],8,FALSE),"")</f>
        <v>1</v>
      </c>
      <c r="AM320" s="20">
        <f>IFERROR(VLOOKUP(Data[[#This Row],[DEVELOPMENT]],Ops_Priorities_and_Data_Clean[[development]:[ifnoext_comment]],9,FALSE),"")</f>
        <v>0</v>
      </c>
      <c r="AN320" s="20">
        <f>IFERROR(VLOOKUP(Data[[#This Row],[DEVELOPMENT]],Ops_Priorities_and_Data_Clean[[development]:[ifnoext_comment]],10,FALSE),"")</f>
        <v>0</v>
      </c>
      <c r="AO320" s="20">
        <f>IFERROR(VLOOKUP(Data[[#This Row],[DEVELOPMENT]],Ops_Priorities_and_Data_Clean[[development]:[ifnoext_comment]],11,FALSE),"")</f>
        <v>1</v>
      </c>
      <c r="AP320" s="20">
        <f>IFERROR(VLOOKUP(Data[[#This Row],[DEVELOPMENT]],Ops_Priorities_and_Data_Clean[[development]:[ifnoext_comment]],12,FALSE),"")</f>
        <v>0</v>
      </c>
      <c r="AQ320" s="20">
        <f>VLOOKUP(Data[[#This Row],[DEVELOPMENT]],Ops_Priorities_and_Data_Clean[[development]:[ifnoext_comment]],14,FALSE)</f>
        <v>0</v>
      </c>
      <c r="AR320" s="20">
        <f>VLOOKUP(Data[[#This Row],[DEVELOPMENT]],Ops_Priorities_and_Data_Clean[[development]:[ifnoext_comment]],15,FALSE)</f>
        <v>0</v>
      </c>
      <c r="AS320" s="20" t="str">
        <f>VLOOKUP(Data[[#This Row],[DEVELOPMENT]],Ops_Priorities_and_Data_Clean[[development]:[ifnoext_comment]],16,FALSE)</f>
        <v>NULL</v>
      </c>
      <c r="AT320" s="20" t="str">
        <f>VLOOKUP(Data[[#This Row],[DEVELOPMENT]],Ops_Priorities_and_Data_Clean[[development]:[ifnoext_comment]],17,FALSE)</f>
        <v>NULL</v>
      </c>
      <c r="AU320" s="20" t="str">
        <f>VLOOKUP(Data[[#This Row],[DEVELOPMENT]],Ops_Priorities_and_Data_Clean[[development]:[ifnoext_comment]],18,FALSE)</f>
        <v>NULL</v>
      </c>
      <c r="AV320" s="20" t="str">
        <f>VLOOKUP(Data[[#This Row],[DEVELOPMENT]],Ops_Priorities_and_Data_Clean[[development]:[ifnoext_comment]],19,FALSE)</f>
        <v>NULL</v>
      </c>
      <c r="AW320" s="20" t="str">
        <f>VLOOKUP(Data[[#This Row],[DEVELOPMENT]],Ops_Priorities_and_Data_Clean[[development]:[ifnoext_comment]],20,FALSE)</f>
        <v>Theirs is located at 365 Powell St</v>
      </c>
      <c r="AX320" s="104" t="s">
        <v>2602</v>
      </c>
      <c r="AY320" s="104" t="s">
        <v>392</v>
      </c>
      <c r="AZ320" s="20" t="str">
        <f>VLOOKUP(Data[[#This Row],[DEVELOPMENT]],Development_Data_Book[[DEVELOPMENT]:[PRIVATE MANAGEMENT]],8,FALSE)</f>
        <v>FEDERAL</v>
      </c>
      <c r="BA320" s="104" t="s">
        <v>2586</v>
      </c>
      <c r="BB320" s="20">
        <f>VLOOKUP(Data[[#This Row],[DEVELOPMENT]],Development_Data_Book[[DEVELOPMENT]:[PRIVATE MANAGEMENT]],22,FALSE)</f>
        <v>0</v>
      </c>
      <c r="BC320" s="20">
        <f>Data[[#This Row],[Non-Dwelling Buildings]]+Data[[#This Row],[Dwelling Buildings]]</f>
        <v>2</v>
      </c>
      <c r="BD320" s="20">
        <f>VLOOKUP(Data[[#This Row],[DEVELOPMENT]],Development_Data_Book[[DEVELOPMENT]:[PRIVATE MANAGEMENT]],26,FALSE)</f>
        <v>3.21</v>
      </c>
      <c r="BE320" s="106">
        <v>276300</v>
      </c>
      <c r="BF320" s="20">
        <f>VLOOKUP(Data[[#This Row],[DEVELOPMENT]],Development_Data_Book[[DEVELOPMENT]:[PRIVATE MANAGEMENT]],18,FALSE)</f>
        <v>449</v>
      </c>
      <c r="BG320" s="20" t="str">
        <f>IF(ISBLANK(VLOOKUP(Data[[#This Row],[DEVELOPMENT]],Development_Data_Book[[DEVELOPMENT]:[PRIVATE MANAGEMENT]],48,FALSE)),"",VLOOKUP(Data[[#This Row],[DEVELOPMENT]],Development_Data_Book[[DEVELOPMENT]:[PRIVATE MANAGEMENT]],48,FALSE))</f>
        <v>EXCLUSIVELY</v>
      </c>
      <c r="BH320" s="104" t="s">
        <v>2589</v>
      </c>
      <c r="BI320" t="s">
        <v>184</v>
      </c>
      <c r="BJ320" s="20">
        <f>VLOOKUP(Data[[#This Row],[DEVELOPMENT]],Development_Data_Book[[DEVELOPMENT]:[PRIVATE MANAGEMENT]],41,FALSE)</f>
        <v>16</v>
      </c>
      <c r="BK320" s="20">
        <f>VLOOKUP(Data[[#This Row],[DEVELOPMENT]],Development_Data_Book[[DEVELOPMENT]:[PRIVATE MANAGEMENT]],42,FALSE)</f>
        <v>8</v>
      </c>
      <c r="BL320" s="20">
        <f>VLOOKUP(Data[[#This Row],[DEVELOPMENT]],Development_Data_Book[[DEVELOPMENT]:[PRIVATE MANAGEMENT]],43,FALSE)</f>
        <v>19</v>
      </c>
      <c r="BM320" s="20">
        <f>VLOOKUP(Data[[#This Row],[DEVELOPMENT]],Development_Data_Book[[DEVELOPMENT]:[PRIVATE MANAGEMENT]],44,FALSE)</f>
        <v>55</v>
      </c>
      <c r="BN320" s="20">
        <f>VLOOKUP(Data[[#This Row],[DEVELOPMENT]],Development_Data_Book[[DEVELOPMENT]:[PRIVATE MANAGEMENT]],45,FALSE)</f>
        <v>42</v>
      </c>
      <c r="BO320" s="20">
        <f>VLOOKUP(Data[[#This Row],[DEVELOPMENT]],Development_Data_Book[[DEVELOPMENT]:[PRIVATE MANAGEMENT]],24,FALSE)</f>
        <v>43763</v>
      </c>
    </row>
    <row r="321" spans="1:67">
      <c r="A321" t="s">
        <v>388</v>
      </c>
      <c r="B321" s="20" t="str">
        <f>VLOOKUP(Data[[#This Row],[DEVELOPMENT]],Development_Data_Book[[DEVELOPMENT]:[BOROUGH]],MATCH("borough",Development_Data_Book[[#Headers],[DEVELOPMENT]:[BOROUGH]],0),FALSE)</f>
        <v>MANHATTAN</v>
      </c>
      <c r="C321" s="20" t="e">
        <f>VLOOKUP(Data[[#This Row],[DEVELOPMENT]],'[1]Cheat-Sheet'!$D$2:$Q$341,2,FALSE)</f>
        <v>#N/A</v>
      </c>
      <c r="D321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21" s="20">
        <f>VLOOKUP(Data[[#This Row],[DEVELOPMENT]],Development_Data_Book[[DEVELOPMENT]:[BOROUGH]],21,FALSE)</f>
        <v>36</v>
      </c>
      <c r="F321" s="20">
        <f>VLOOKUP(Data[[#This Row],[DEVELOPMENT]],Development_Data_Book[[DEVELOPMENT]:[BOROUGH]],23,FALSE)</f>
        <v>36</v>
      </c>
      <c r="G321" s="20">
        <f>VLOOKUP(Data[[#This Row],[DEVELOPMENT]],Development_Data_Book[[DEVELOPMENT]:[BOROUGH]],12,FALSE)</f>
        <v>236</v>
      </c>
      <c r="H321" t="s">
        <v>2611</v>
      </c>
      <c r="J321">
        <f>IFERROR(VLOOKUP(Data[[#This Row],[DEVELOPMENT]],IntCompactors_MRST[],4,FALSE),0)</f>
        <v>0</v>
      </c>
      <c r="K321" s="20">
        <f>IFERROR(VLOOKUP(Data[[#This Row],[DEVELOPMENT]],ExtCompactors_MRST[],4,FALSE),0)</f>
        <v>0</v>
      </c>
      <c r="L321" s="27" t="str">
        <f>IF(Data[[#This Row],['# Interior Compactors MRST]]=0,"",VLOOKUP(Data[[#This Row],[DEVELOPMENT]],IntCompactors_MRST[],5,FALSE))</f>
        <v/>
      </c>
      <c r="M321" s="28" t="str">
        <f>IF(Data[[#This Row],['# Exterior Compactors MRST]]=0,"",VLOOKUP(Data[[#This Row],[DEVELOPMENT]],ExtCompactors_MRST[],5,FALSE))</f>
        <v/>
      </c>
      <c r="N321" s="20">
        <f>Data[[#This Row],['# Interior Compactors MRST]]</f>
        <v>0</v>
      </c>
      <c r="O321" s="20">
        <f>IF(Data[[#This Row],['# Bulk Crushers]]=0,1,0)</f>
        <v>1</v>
      </c>
      <c r="P321" s="20">
        <f>1</f>
        <v>1</v>
      </c>
      <c r="Q321" s="20">
        <f>1</f>
        <v>1</v>
      </c>
      <c r="R321" s="20">
        <f>1</f>
        <v>1</v>
      </c>
      <c r="S321" s="20">
        <f>1</f>
        <v>1</v>
      </c>
      <c r="T321" s="20">
        <f>IF(Data[[#This Row],[Sewershed]]="Newtown Creek",Data[[#This Row],[DUs]],0)</f>
        <v>0</v>
      </c>
      <c r="U321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21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21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21" s="82">
        <f>VLOOKUP(Data[[#This Row],[DEVELOPMENT]],Development_Data_Book[[DEVELOPMENT]:[BOROUGH]],3,FALSE)</f>
        <v>178</v>
      </c>
      <c r="Y321" s="20"/>
      <c r="Z321" s="20">
        <f>IFERROR(VLOOKUP(Data[[#This Row],[TDS]],ExtCompactors_PNA[[Development]:[0]],2,FALSE),0)</f>
        <v>0</v>
      </c>
      <c r="AA321" s="20">
        <f>IFERROR(VLOOKUP(Data[[#This Row],[TDS]],IntCompactors_PNA[[TDS]:[0]],2,FALSE),0)</f>
        <v>0</v>
      </c>
      <c r="AB321" s="20"/>
      <c r="AC321" s="20"/>
      <c r="AD321" s="20">
        <f>IFERROR(VLOOKUP(Data[[#This Row],[TDS]],ExtCompactors_PNA[[Development]:[0]],3,FALSE)+VLOOKUP(Data[[#This Row],[TDS]],ExtCompactors_PNA[[Development]:[0]],6,FALSE),0)</f>
        <v>0</v>
      </c>
      <c r="AE321" s="20">
        <f>IFERROR(VLOOKUP(Data[[#This Row],[TDS]],IntCompactors_PNA[[TDS]:[0]],3,FALSE)+VLOOKUP(Data[[#This Row],[TDS]],IntCompactors_PNA[[TDS]:[0]],6,FALSE),0)</f>
        <v>0</v>
      </c>
      <c r="AF321" s="20" t="e">
        <f>VLOOKUP(Data[[#This Row],[DEVELOPMENT]],[3]Developments!$A$2:$A$312,1,FALSE)</f>
        <v>#N/A</v>
      </c>
      <c r="AG321" s="20">
        <f>IFERROR(VLOOKUP(Data[[#This Row],[DEVELOPMENT]],Ops_Priorities_and_Data_Clean[[development]:[ifnoext_comment]],3,FALSE),"")</f>
        <v>0</v>
      </c>
      <c r="AH321" s="20">
        <f>IFERROR(VLOOKUP(Data[[#This Row],[DEVELOPMENT]],Ops_Priorities_and_Data_Clean[[development]:[ifnoext_comment]],4,FALSE),"")</f>
        <v>0</v>
      </c>
      <c r="AI321" s="20">
        <f>IFERROR(VLOOKUP(Data[[#This Row],[DEVELOPMENT]],Ops_Priorities_and_Data_Clean[[development]:[ifnoext_comment]],5,FALSE),"")</f>
        <v>0</v>
      </c>
      <c r="AJ321" s="20">
        <f>IFERROR(VLOOKUP(Data[[#This Row],[DEVELOPMENT]],Ops_Priorities_and_Data_Clean[[development]:[ifnoext_comment]],6,FALSE),"")</f>
        <v>0</v>
      </c>
      <c r="AK321" s="20">
        <f>IFERROR(VLOOKUP(Data[[#This Row],[DEVELOPMENT]],Ops_Priorities_and_Data_Clean[[development]:[ifnoext_comment]],7,FALSE),"")</f>
        <v>1</v>
      </c>
      <c r="AL321" s="20">
        <f>IFERROR(VLOOKUP(Data[[#This Row],[DEVELOPMENT]],Ops_Priorities_and_Data_Clean[[development]:[ifnoext_comment]],8,FALSE),"")</f>
        <v>1</v>
      </c>
      <c r="AM321" s="20">
        <f>IFERROR(VLOOKUP(Data[[#This Row],[DEVELOPMENT]],Ops_Priorities_and_Data_Clean[[development]:[ifnoext_comment]],9,FALSE),"")</f>
        <v>0</v>
      </c>
      <c r="AN321" s="20">
        <f>IFERROR(VLOOKUP(Data[[#This Row],[DEVELOPMENT]],Ops_Priorities_and_Data_Clean[[development]:[ifnoext_comment]],10,FALSE),"")</f>
        <v>0</v>
      </c>
      <c r="AO321" s="20">
        <f>IFERROR(VLOOKUP(Data[[#This Row],[DEVELOPMENT]],Ops_Priorities_and_Data_Clean[[development]:[ifnoext_comment]],11,FALSE),"")</f>
        <v>0</v>
      </c>
      <c r="AP321" s="20">
        <f>IFERROR(VLOOKUP(Data[[#This Row],[DEVELOPMENT]],Ops_Priorities_and_Data_Clean[[development]:[ifnoext_comment]],12,FALSE),"")</f>
        <v>0</v>
      </c>
      <c r="AQ321" s="20">
        <f>VLOOKUP(Data[[#This Row],[DEVELOPMENT]],Ops_Priorities_and_Data_Clean[[development]:[ifnoext_comment]],14,FALSE)</f>
        <v>1</v>
      </c>
      <c r="AR321" s="20">
        <f>VLOOKUP(Data[[#This Row],[DEVELOPMENT]],Ops_Priorities_and_Data_Clean[[development]:[ifnoext_comment]],15,FALSE)</f>
        <v>0</v>
      </c>
      <c r="AS321" s="20" t="str">
        <f>VLOOKUP(Data[[#This Row],[DEVELOPMENT]],Ops_Priorities_and_Data_Clean[[development]:[ifnoext_comment]],16,FALSE)</f>
        <v>NULL</v>
      </c>
      <c r="AT321" s="20" t="str">
        <f>VLOOKUP(Data[[#This Row],[DEVELOPMENT]],Ops_Priorities_and_Data_Clean[[development]:[ifnoext_comment]],17,FALSE)</f>
        <v>NULL</v>
      </c>
      <c r="AU321" s="20" t="str">
        <f>VLOOKUP(Data[[#This Row],[DEVELOPMENT]],Ops_Priorities_and_Data_Clean[[development]:[ifnoext_comment]],18,FALSE)</f>
        <v>NULL</v>
      </c>
      <c r="AV321" s="20" t="str">
        <f>VLOOKUP(Data[[#This Row],[DEVELOPMENT]],Ops_Priorities_and_Data_Clean[[development]:[ifnoext_comment]],19,FALSE)</f>
        <v>NULL</v>
      </c>
      <c r="AW321" s="20" t="str">
        <f>VLOOKUP(Data[[#This Row],[DEVELOPMENT]],Ops_Priorities_and_Data_Clean[[development]:[ifnoext_comment]],20,FALSE)</f>
        <v>NULL</v>
      </c>
      <c r="AX321" s="104" t="s">
        <v>2605</v>
      </c>
      <c r="AY321" s="104" t="s">
        <v>2597</v>
      </c>
      <c r="AZ321" s="20" t="str">
        <f>VLOOKUP(Data[[#This Row],[DEVELOPMENT]],Development_Data_Book[[DEVELOPMENT]:[PRIVATE MANAGEMENT]],8,FALSE)</f>
        <v>FEDERAL</v>
      </c>
      <c r="BA321" s="104" t="s">
        <v>2588</v>
      </c>
      <c r="BB321" s="20">
        <f>VLOOKUP(Data[[#This Row],[DEVELOPMENT]],Development_Data_Book[[DEVELOPMENT]:[PRIVATE MANAGEMENT]],22,FALSE)</f>
        <v>0</v>
      </c>
      <c r="BC321" s="20">
        <f>Data[[#This Row],[Non-Dwelling Buildings]]+Data[[#This Row],[Dwelling Buildings]]</f>
        <v>36</v>
      </c>
      <c r="BD321" s="20">
        <f>VLOOKUP(Data[[#This Row],[DEVELOPMENT]],Development_Data_Book[[DEVELOPMENT]:[PRIVATE MANAGEMENT]],26,FALSE)</f>
        <v>1.55</v>
      </c>
      <c r="BE321" s="106">
        <v>171706</v>
      </c>
      <c r="BF321" s="20">
        <f>VLOOKUP(Data[[#This Row],[DEVELOPMENT]],Development_Data_Book[[DEVELOPMENT]:[PRIVATE MANAGEMENT]],18,FALSE)</f>
        <v>329</v>
      </c>
      <c r="BG321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21" s="104" t="s">
        <v>2598</v>
      </c>
      <c r="BI321" t="s">
        <v>184</v>
      </c>
      <c r="BJ321" s="20">
        <f>VLOOKUP(Data[[#This Row],[DEVELOPMENT]],Development_Data_Book[[DEVELOPMENT]:[PRIVATE MANAGEMENT]],41,FALSE)</f>
        <v>7</v>
      </c>
      <c r="BK321" s="20">
        <f>VLOOKUP(Data[[#This Row],[DEVELOPMENT]],Development_Data_Book[[DEVELOPMENT]:[PRIVATE MANAGEMENT]],42,FALSE)</f>
        <v>10</v>
      </c>
      <c r="BL321" s="20">
        <f>VLOOKUP(Data[[#This Row],[DEVELOPMENT]],Development_Data_Book[[DEVELOPMENT]:[PRIVATE MANAGEMENT]],43,FALSE)</f>
        <v>30</v>
      </c>
      <c r="BM321" s="20">
        <f>VLOOKUP(Data[[#This Row],[DEVELOPMENT]],Development_Data_Book[[DEVELOPMENT]:[PRIVATE MANAGEMENT]],44,FALSE)</f>
        <v>69</v>
      </c>
      <c r="BN321" s="20">
        <f>VLOOKUP(Data[[#This Row],[DEVELOPMENT]],Development_Data_Book[[DEVELOPMENT]:[PRIVATE MANAGEMENT]],45,FALSE)</f>
        <v>6</v>
      </c>
      <c r="BO321" s="20">
        <f>VLOOKUP(Data[[#This Row],[DEVELOPMENT]],Development_Data_Book[[DEVELOPMENT]:[PRIVATE MANAGEMENT]],24,FALSE)</f>
        <v>38780</v>
      </c>
    </row>
    <row r="322" spans="1:67">
      <c r="A322" t="s">
        <v>389</v>
      </c>
      <c r="B322" s="20" t="str">
        <f>VLOOKUP(Data[[#This Row],[DEVELOPMENT]],Development_Data_Book[[DEVELOPMENT]:[BOROUGH]],MATCH("borough",Development_Data_Book[[#Headers],[DEVELOPMENT]:[BOROUGH]],0),FALSE)</f>
        <v>MANHATTAN</v>
      </c>
      <c r="C322" s="20" t="e">
        <f>VLOOKUP(Data[[#This Row],[DEVELOPMENT]],'[1]Cheat-Sheet'!$D$2:$Q$341,2,FALSE)</f>
        <v>#N/A</v>
      </c>
      <c r="D322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22" s="20">
        <f>VLOOKUP(Data[[#This Row],[DEVELOPMENT]],Development_Data_Book[[DEVELOPMENT]:[BOROUGH]],21,FALSE)</f>
        <v>1</v>
      </c>
      <c r="F322" s="20">
        <f>VLOOKUP(Data[[#This Row],[DEVELOPMENT]],Development_Data_Book[[DEVELOPMENT]:[BOROUGH]],23,FALSE)</f>
        <v>1</v>
      </c>
      <c r="G322" s="20">
        <f>VLOOKUP(Data[[#This Row],[DEVELOPMENT]],Development_Data_Book[[DEVELOPMENT]:[BOROUGH]],12,FALSE)</f>
        <v>69</v>
      </c>
      <c r="H322" t="s">
        <v>2611</v>
      </c>
      <c r="J322">
        <f>IFERROR(VLOOKUP(Data[[#This Row],[DEVELOPMENT]],IntCompactors_MRST[],4,FALSE),0)</f>
        <v>1</v>
      </c>
      <c r="K322" s="20">
        <f>IFERROR(VLOOKUP(Data[[#This Row],[DEVELOPMENT]],ExtCompactors_MRST[],4,FALSE),0)</f>
        <v>0</v>
      </c>
      <c r="L322" s="27">
        <f>IF(Data[[#This Row],['# Interior Compactors MRST]]=0,"",VLOOKUP(Data[[#This Row],[DEVELOPMENT]],IntCompactors_MRST[],5,FALSE))</f>
        <v>35004</v>
      </c>
      <c r="M322" s="28" t="str">
        <f>IF(Data[[#This Row],['# Exterior Compactors MRST]]=0,"",VLOOKUP(Data[[#This Row],[DEVELOPMENT]],ExtCompactors_MRST[],5,FALSE))</f>
        <v/>
      </c>
      <c r="N322" s="20">
        <f>Data[[#This Row],['# Interior Compactors MRST]]</f>
        <v>1</v>
      </c>
      <c r="O322" s="20">
        <f>IF(Data[[#This Row],['# Bulk Crushers]]=0,1,0)</f>
        <v>1</v>
      </c>
      <c r="P322" s="20">
        <f>1</f>
        <v>1</v>
      </c>
      <c r="Q322" s="20">
        <f>1</f>
        <v>1</v>
      </c>
      <c r="R322" s="20">
        <f>1</f>
        <v>1</v>
      </c>
      <c r="S322" s="20">
        <f>1</f>
        <v>1</v>
      </c>
      <c r="T322" s="20">
        <f>IF(Data[[#This Row],[Sewershed]]="Newtown Creek",Data[[#This Row],[DUs]],0)</f>
        <v>0</v>
      </c>
      <c r="U322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22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22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22" s="82">
        <f>VLOOKUP(Data[[#This Row],[DEVELOPMENT]],Development_Data_Book[[DEVELOPMENT]:[BOROUGH]],3,FALSE)</f>
        <v>151</v>
      </c>
      <c r="Y322" s="20"/>
      <c r="Z322" s="20">
        <f>IFERROR(VLOOKUP(Data[[#This Row],[TDS]],ExtCompactors_PNA[[Development]:[0]],2,FALSE),0)</f>
        <v>0</v>
      </c>
      <c r="AA322" s="20">
        <f>IFERROR(VLOOKUP(Data[[#This Row],[TDS]],IntCompactors_PNA[[TDS]:[0]],2,FALSE),0)</f>
        <v>1</v>
      </c>
      <c r="AB322" s="20"/>
      <c r="AC322" s="20"/>
      <c r="AD322" s="20">
        <f>IFERROR(VLOOKUP(Data[[#This Row],[TDS]],ExtCompactors_PNA[[Development]:[0]],3,FALSE)+VLOOKUP(Data[[#This Row],[TDS]],ExtCompactors_PNA[[Development]:[0]],6,FALSE),0)</f>
        <v>0</v>
      </c>
      <c r="AE322" s="20">
        <f>IFERROR(VLOOKUP(Data[[#This Row],[TDS]],IntCompactors_PNA[[TDS]:[0]],3,FALSE)+VLOOKUP(Data[[#This Row],[TDS]],IntCompactors_PNA[[TDS]:[0]],6,FALSE),0)</f>
        <v>1</v>
      </c>
      <c r="AF322" s="20" t="e">
        <f>VLOOKUP(Data[[#This Row],[DEVELOPMENT]],[3]Developments!$A$2:$A$312,1,FALSE)</f>
        <v>#N/A</v>
      </c>
      <c r="AG322" s="20">
        <f>IFERROR(VLOOKUP(Data[[#This Row],[DEVELOPMENT]],Ops_Priorities_and_Data_Clean[[development]:[ifnoext_comment]],3,FALSE),"")</f>
        <v>0</v>
      </c>
      <c r="AH322" s="20">
        <f>IFERROR(VLOOKUP(Data[[#This Row],[DEVELOPMENT]],Ops_Priorities_and_Data_Clean[[development]:[ifnoext_comment]],4,FALSE),"")</f>
        <v>0</v>
      </c>
      <c r="AI322" s="20">
        <f>IFERROR(VLOOKUP(Data[[#This Row],[DEVELOPMENT]],Ops_Priorities_and_Data_Clean[[development]:[ifnoext_comment]],5,FALSE),"")</f>
        <v>0</v>
      </c>
      <c r="AJ322" s="20">
        <f>IFERROR(VLOOKUP(Data[[#This Row],[DEVELOPMENT]],Ops_Priorities_and_Data_Clean[[development]:[ifnoext_comment]],6,FALSE),"")</f>
        <v>0</v>
      </c>
      <c r="AK322" s="20">
        <f>IFERROR(VLOOKUP(Data[[#This Row],[DEVELOPMENT]],Ops_Priorities_and_Data_Clean[[development]:[ifnoext_comment]],7,FALSE),"")</f>
        <v>1</v>
      </c>
      <c r="AL322" s="20">
        <f>IFERROR(VLOOKUP(Data[[#This Row],[DEVELOPMENT]],Ops_Priorities_and_Data_Clean[[development]:[ifnoext_comment]],8,FALSE),"")</f>
        <v>1</v>
      </c>
      <c r="AM322" s="20">
        <f>IFERROR(VLOOKUP(Data[[#This Row],[DEVELOPMENT]],Ops_Priorities_and_Data_Clean[[development]:[ifnoext_comment]],9,FALSE),"")</f>
        <v>0</v>
      </c>
      <c r="AN322" s="20">
        <f>IFERROR(VLOOKUP(Data[[#This Row],[DEVELOPMENT]],Ops_Priorities_and_Data_Clean[[development]:[ifnoext_comment]],10,FALSE),"")</f>
        <v>0</v>
      </c>
      <c r="AO322" s="20">
        <f>IFERROR(VLOOKUP(Data[[#This Row],[DEVELOPMENT]],Ops_Priorities_and_Data_Clean[[development]:[ifnoext_comment]],11,FALSE),"")</f>
        <v>0</v>
      </c>
      <c r="AP322" s="20">
        <f>IFERROR(VLOOKUP(Data[[#This Row],[DEVELOPMENT]],Ops_Priorities_and_Data_Clean[[development]:[ifnoext_comment]],12,FALSE),"")</f>
        <v>0</v>
      </c>
      <c r="AQ322" s="20">
        <f>VLOOKUP(Data[[#This Row],[DEVELOPMENT]],Ops_Priorities_and_Data_Clean[[development]:[ifnoext_comment]],14,FALSE)</f>
        <v>1</v>
      </c>
      <c r="AR322" s="20">
        <f>VLOOKUP(Data[[#This Row],[DEVELOPMENT]],Ops_Priorities_and_Data_Clean[[development]:[ifnoext_comment]],15,FALSE)</f>
        <v>0</v>
      </c>
      <c r="AS322" s="20" t="str">
        <f>VLOOKUP(Data[[#This Row],[DEVELOPMENT]],Ops_Priorities_and_Data_Clean[[development]:[ifnoext_comment]],16,FALSE)</f>
        <v>NULL</v>
      </c>
      <c r="AT322" s="20" t="str">
        <f>VLOOKUP(Data[[#This Row],[DEVELOPMENT]],Ops_Priorities_and_Data_Clean[[development]:[ifnoext_comment]],17,FALSE)</f>
        <v>NULL</v>
      </c>
      <c r="AU322" s="20" t="str">
        <f>VLOOKUP(Data[[#This Row],[DEVELOPMENT]],Ops_Priorities_and_Data_Clean[[development]:[ifnoext_comment]],18,FALSE)</f>
        <v>NULL</v>
      </c>
      <c r="AV322" s="20" t="str">
        <f>VLOOKUP(Data[[#This Row],[DEVELOPMENT]],Ops_Priorities_and_Data_Clean[[development]:[ifnoext_comment]],19,FALSE)</f>
        <v>NULL</v>
      </c>
      <c r="AW322" s="20" t="str">
        <f>VLOOKUP(Data[[#This Row],[DEVELOPMENT]],Ops_Priorities_and_Data_Clean[[development]:[ifnoext_comment]],20,FALSE)</f>
        <v>NULL</v>
      </c>
      <c r="AX322" s="104" t="s">
        <v>2605</v>
      </c>
      <c r="AY322" s="104" t="s">
        <v>2597</v>
      </c>
      <c r="AZ322" s="20" t="str">
        <f>VLOOKUP(Data[[#This Row],[DEVELOPMENT]],Development_Data_Book[[DEVELOPMENT]:[PRIVATE MANAGEMENT]],8,FALSE)</f>
        <v>FEDERAL</v>
      </c>
      <c r="BA322" s="104" t="s">
        <v>2586</v>
      </c>
      <c r="BB322" s="20">
        <f>VLOOKUP(Data[[#This Row],[DEVELOPMENT]],Development_Data_Book[[DEVELOPMENT]:[PRIVATE MANAGEMENT]],22,FALSE)</f>
        <v>0</v>
      </c>
      <c r="BC322" s="20">
        <f>Data[[#This Row],[Non-Dwelling Buildings]]+Data[[#This Row],[Dwelling Buildings]]</f>
        <v>1</v>
      </c>
      <c r="BD322" s="20">
        <f>VLOOKUP(Data[[#This Row],[DEVELOPMENT]],Development_Data_Book[[DEVELOPMENT]:[PRIVATE MANAGEMENT]],26,FALSE)</f>
        <v>0.52</v>
      </c>
      <c r="BE322" s="106">
        <v>62587</v>
      </c>
      <c r="BF322" s="20">
        <f>VLOOKUP(Data[[#This Row],[DEVELOPMENT]],Development_Data_Book[[DEVELOPMENT]:[PRIVATE MANAGEMENT]],18,FALSE)</f>
        <v>145</v>
      </c>
      <c r="BG322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22" s="104" t="s">
        <v>2598</v>
      </c>
      <c r="BI322" t="s">
        <v>184</v>
      </c>
      <c r="BJ322" s="20">
        <f>VLOOKUP(Data[[#This Row],[DEVELOPMENT]],Development_Data_Book[[DEVELOPMENT]:[PRIVATE MANAGEMENT]],41,FALSE)</f>
        <v>7</v>
      </c>
      <c r="BK322" s="20">
        <f>VLOOKUP(Data[[#This Row],[DEVELOPMENT]],Development_Data_Book[[DEVELOPMENT]:[PRIVATE MANAGEMENT]],42,FALSE)</f>
        <v>10</v>
      </c>
      <c r="BL322" s="20">
        <f>VLOOKUP(Data[[#This Row],[DEVELOPMENT]],Development_Data_Book[[DEVELOPMENT]:[PRIVATE MANAGEMENT]],43,FALSE)</f>
        <v>30</v>
      </c>
      <c r="BM322" s="20">
        <f>VLOOKUP(Data[[#This Row],[DEVELOPMENT]],Development_Data_Book[[DEVELOPMENT]:[PRIVATE MANAGEMENT]],44,FALSE)</f>
        <v>69</v>
      </c>
      <c r="BN322" s="20">
        <f>VLOOKUP(Data[[#This Row],[DEVELOPMENT]],Development_Data_Book[[DEVELOPMENT]:[PRIVATE MANAGEMENT]],45,FALSE)</f>
        <v>6</v>
      </c>
      <c r="BO322" s="20">
        <f>VLOOKUP(Data[[#This Row],[DEVELOPMENT]],Development_Data_Book[[DEVELOPMENT]:[PRIVATE MANAGEMENT]],24,FALSE)</f>
        <v>9</v>
      </c>
    </row>
    <row r="323" spans="1:67">
      <c r="A323" t="s">
        <v>390</v>
      </c>
      <c r="B323" s="20" t="str">
        <f>VLOOKUP(Data[[#This Row],[DEVELOPMENT]],Development_Data_Book[[DEVELOPMENT]:[BOROUGH]],MATCH("borough",Development_Data_Book[[#Headers],[DEVELOPMENT]:[BOROUGH]],0),FALSE)</f>
        <v>MANHATTAN</v>
      </c>
      <c r="C323" s="20" t="e">
        <f>VLOOKUP(Data[[#This Row],[DEVELOPMENT]],'[1]Cheat-Sheet'!$D$2:$Q$341,2,FALSE)</f>
        <v>#N/A</v>
      </c>
      <c r="D323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23" s="20">
        <f>VLOOKUP(Data[[#This Row],[DEVELOPMENT]],Development_Data_Book[[DEVELOPMENT]:[BOROUGH]],21,FALSE)</f>
        <v>1</v>
      </c>
      <c r="F323" s="20">
        <f>VLOOKUP(Data[[#This Row],[DEVELOPMENT]],Development_Data_Book[[DEVELOPMENT]:[BOROUGH]],23,FALSE)</f>
        <v>1</v>
      </c>
      <c r="G323" s="20">
        <f>VLOOKUP(Data[[#This Row],[DEVELOPMENT]],Development_Data_Book[[DEVELOPMENT]:[BOROUGH]],12,FALSE)</f>
        <v>168</v>
      </c>
      <c r="H323" t="s">
        <v>2611</v>
      </c>
      <c r="J323">
        <f>IFERROR(VLOOKUP(Data[[#This Row],[DEVELOPMENT]],IntCompactors_MRST[],4,FALSE),0)</f>
        <v>1</v>
      </c>
      <c r="K323" s="20">
        <f>IFERROR(VLOOKUP(Data[[#This Row],[DEVELOPMENT]],ExtCompactors_MRST[],4,FALSE),0)</f>
        <v>0</v>
      </c>
      <c r="L323" s="27">
        <f>IF(Data[[#This Row],['# Interior Compactors MRST]]=0,"",VLOOKUP(Data[[#This Row],[DEVELOPMENT]],IntCompactors_MRST[],5,FALSE))</f>
        <v>35004</v>
      </c>
      <c r="M323" s="28" t="str">
        <f>IF(Data[[#This Row],['# Exterior Compactors MRST]]=0,"",VLOOKUP(Data[[#This Row],[DEVELOPMENT]],ExtCompactors_MRST[],5,FALSE))</f>
        <v/>
      </c>
      <c r="N323" s="20">
        <f>Data[[#This Row],['# Interior Compactors MRST]]</f>
        <v>1</v>
      </c>
      <c r="O323" s="20">
        <f>IF(Data[[#This Row],['# Bulk Crushers]]=0,1,0)</f>
        <v>1</v>
      </c>
      <c r="P323" s="20">
        <f>1</f>
        <v>1</v>
      </c>
      <c r="Q323" s="20">
        <f>1</f>
        <v>1</v>
      </c>
      <c r="R323" s="20">
        <f>1</f>
        <v>1</v>
      </c>
      <c r="S323" s="20">
        <f>1</f>
        <v>1</v>
      </c>
      <c r="T323" s="20">
        <f>IF(Data[[#This Row],[Sewershed]]="Newtown Creek",Data[[#This Row],[DUs]],0)</f>
        <v>0</v>
      </c>
      <c r="U323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23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23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23" s="82">
        <f>VLOOKUP(Data[[#This Row],[DEVELOPMENT]],Development_Data_Book[[DEVELOPMENT]:[BOROUGH]],3,FALSE)</f>
        <v>173</v>
      </c>
      <c r="Y323" s="20"/>
      <c r="Z323" s="20">
        <f>IFERROR(VLOOKUP(Data[[#This Row],[TDS]],ExtCompactors_PNA[[Development]:[0]],2,FALSE),0)</f>
        <v>0</v>
      </c>
      <c r="AA323" s="20">
        <f>IFERROR(VLOOKUP(Data[[#This Row],[TDS]],IntCompactors_PNA[[TDS]:[0]],2,FALSE),0)</f>
        <v>2</v>
      </c>
      <c r="AB323" s="20"/>
      <c r="AC323" s="20"/>
      <c r="AD323" s="20">
        <f>IFERROR(VLOOKUP(Data[[#This Row],[TDS]],ExtCompactors_PNA[[Development]:[0]],3,FALSE)+VLOOKUP(Data[[#This Row],[TDS]],ExtCompactors_PNA[[Development]:[0]],6,FALSE),0)</f>
        <v>0</v>
      </c>
      <c r="AE323" s="20">
        <f>IFERROR(VLOOKUP(Data[[#This Row],[TDS]],IntCompactors_PNA[[TDS]:[0]],3,FALSE)+VLOOKUP(Data[[#This Row],[TDS]],IntCompactors_PNA[[TDS]:[0]],6,FALSE),0)</f>
        <v>2</v>
      </c>
      <c r="AF323" s="20" t="e">
        <f>VLOOKUP(Data[[#This Row],[DEVELOPMENT]],[3]Developments!$A$2:$A$312,1,FALSE)</f>
        <v>#N/A</v>
      </c>
      <c r="AG323" s="20">
        <f>IFERROR(VLOOKUP(Data[[#This Row],[DEVELOPMENT]],Ops_Priorities_and_Data_Clean[[development]:[ifnoext_comment]],3,FALSE),"")</f>
        <v>0</v>
      </c>
      <c r="AH323" s="20">
        <f>IFERROR(VLOOKUP(Data[[#This Row],[DEVELOPMENT]],Ops_Priorities_and_Data_Clean[[development]:[ifnoext_comment]],4,FALSE),"")</f>
        <v>0</v>
      </c>
      <c r="AI323" s="20">
        <f>IFERROR(VLOOKUP(Data[[#This Row],[DEVELOPMENT]],Ops_Priorities_and_Data_Clean[[development]:[ifnoext_comment]],5,FALSE),"")</f>
        <v>0</v>
      </c>
      <c r="AJ323" s="20">
        <f>IFERROR(VLOOKUP(Data[[#This Row],[DEVELOPMENT]],Ops_Priorities_and_Data_Clean[[development]:[ifnoext_comment]],6,FALSE),"")</f>
        <v>0</v>
      </c>
      <c r="AK323" s="20">
        <f>IFERROR(VLOOKUP(Data[[#This Row],[DEVELOPMENT]],Ops_Priorities_and_Data_Clean[[development]:[ifnoext_comment]],7,FALSE),"")</f>
        <v>1</v>
      </c>
      <c r="AL323" s="20">
        <f>IFERROR(VLOOKUP(Data[[#This Row],[DEVELOPMENT]],Ops_Priorities_and_Data_Clean[[development]:[ifnoext_comment]],8,FALSE),"")</f>
        <v>1</v>
      </c>
      <c r="AM323" s="20">
        <f>IFERROR(VLOOKUP(Data[[#This Row],[DEVELOPMENT]],Ops_Priorities_and_Data_Clean[[development]:[ifnoext_comment]],9,FALSE),"")</f>
        <v>0</v>
      </c>
      <c r="AN323" s="20">
        <f>IFERROR(VLOOKUP(Data[[#This Row],[DEVELOPMENT]],Ops_Priorities_and_Data_Clean[[development]:[ifnoext_comment]],10,FALSE),"")</f>
        <v>0</v>
      </c>
      <c r="AO323" s="20">
        <f>IFERROR(VLOOKUP(Data[[#This Row],[DEVELOPMENT]],Ops_Priorities_and_Data_Clean[[development]:[ifnoext_comment]],11,FALSE),"")</f>
        <v>0</v>
      </c>
      <c r="AP323" s="20">
        <f>IFERROR(VLOOKUP(Data[[#This Row],[DEVELOPMENT]],Ops_Priorities_and_Data_Clean[[development]:[ifnoext_comment]],12,FALSE),"")</f>
        <v>0</v>
      </c>
      <c r="AQ323" s="20">
        <f>VLOOKUP(Data[[#This Row],[DEVELOPMENT]],Ops_Priorities_and_Data_Clean[[development]:[ifnoext_comment]],14,FALSE)</f>
        <v>1</v>
      </c>
      <c r="AR323" s="20">
        <f>VLOOKUP(Data[[#This Row],[DEVELOPMENT]],Ops_Priorities_and_Data_Clean[[development]:[ifnoext_comment]],15,FALSE)</f>
        <v>0</v>
      </c>
      <c r="AS323" s="20" t="str">
        <f>VLOOKUP(Data[[#This Row],[DEVELOPMENT]],Ops_Priorities_and_Data_Clean[[development]:[ifnoext_comment]],16,FALSE)</f>
        <v>NULL</v>
      </c>
      <c r="AT323" s="20" t="str">
        <f>VLOOKUP(Data[[#This Row],[DEVELOPMENT]],Ops_Priorities_and_Data_Clean[[development]:[ifnoext_comment]],17,FALSE)</f>
        <v>NULL</v>
      </c>
      <c r="AU323" s="20" t="str">
        <f>VLOOKUP(Data[[#This Row],[DEVELOPMENT]],Ops_Priorities_and_Data_Clean[[development]:[ifnoext_comment]],18,FALSE)</f>
        <v>NULL</v>
      </c>
      <c r="AV323" s="20" t="str">
        <f>VLOOKUP(Data[[#This Row],[DEVELOPMENT]],Ops_Priorities_and_Data_Clean[[development]:[ifnoext_comment]],19,FALSE)</f>
        <v>NULL</v>
      </c>
      <c r="AW323" s="20" t="str">
        <f>VLOOKUP(Data[[#This Row],[DEVELOPMENT]],Ops_Priorities_and_Data_Clean[[development]:[ifnoext_comment]],20,FALSE)</f>
        <v>NULL</v>
      </c>
      <c r="AX323" s="104" t="s">
        <v>2605</v>
      </c>
      <c r="AY323" s="104" t="s">
        <v>2597</v>
      </c>
      <c r="AZ323" s="20" t="str">
        <f>VLOOKUP(Data[[#This Row],[DEVELOPMENT]],Development_Data_Book[[DEVELOPMENT]:[PRIVATE MANAGEMENT]],8,FALSE)</f>
        <v>FEDERAL</v>
      </c>
      <c r="BA323" s="104" t="s">
        <v>2586</v>
      </c>
      <c r="BB323" s="20">
        <f>VLOOKUP(Data[[#This Row],[DEVELOPMENT]],Development_Data_Book[[DEVELOPMENT]:[PRIVATE MANAGEMENT]],22,FALSE)</f>
        <v>0</v>
      </c>
      <c r="BC323" s="20">
        <f>Data[[#This Row],[Non-Dwelling Buildings]]+Data[[#This Row],[Dwelling Buildings]]</f>
        <v>1</v>
      </c>
      <c r="BD323" s="20">
        <f>VLOOKUP(Data[[#This Row],[DEVELOPMENT]],Development_Data_Book[[DEVELOPMENT]:[PRIVATE MANAGEMENT]],26,FALSE)</f>
        <v>0.57999999999999996</v>
      </c>
      <c r="BE323" s="106">
        <v>156140</v>
      </c>
      <c r="BF323" s="20">
        <f>VLOOKUP(Data[[#This Row],[DEVELOPMENT]],Development_Data_Book[[DEVELOPMENT]:[PRIVATE MANAGEMENT]],18,FALSE)</f>
        <v>318</v>
      </c>
      <c r="BG323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23" s="104" t="s">
        <v>2598</v>
      </c>
      <c r="BI323" t="s">
        <v>184</v>
      </c>
      <c r="BJ323" s="20">
        <f>VLOOKUP(Data[[#This Row],[DEVELOPMENT]],Development_Data_Book[[DEVELOPMENT]:[PRIVATE MANAGEMENT]],41,FALSE)</f>
        <v>7</v>
      </c>
      <c r="BK323" s="20">
        <f>VLOOKUP(Data[[#This Row],[DEVELOPMENT]],Development_Data_Book[[DEVELOPMENT]:[PRIVATE MANAGEMENT]],42,FALSE)</f>
        <v>10</v>
      </c>
      <c r="BL323" s="20">
        <f>VLOOKUP(Data[[#This Row],[DEVELOPMENT]],Development_Data_Book[[DEVELOPMENT]:[PRIVATE MANAGEMENT]],43,FALSE)</f>
        <v>30</v>
      </c>
      <c r="BM323" s="20">
        <f>VLOOKUP(Data[[#This Row],[DEVELOPMENT]],Development_Data_Book[[DEVELOPMENT]:[PRIVATE MANAGEMENT]],44,FALSE)</f>
        <v>69</v>
      </c>
      <c r="BN323" s="20">
        <f>VLOOKUP(Data[[#This Row],[DEVELOPMENT]],Development_Data_Book[[DEVELOPMENT]:[PRIVATE MANAGEMENT]],45,FALSE)</f>
        <v>6</v>
      </c>
      <c r="BO323" s="20">
        <f>VLOOKUP(Data[[#This Row],[DEVELOPMENT]],Development_Data_Book[[DEVELOPMENT]:[PRIVATE MANAGEMENT]],24,FALSE)</f>
        <v>22</v>
      </c>
    </row>
    <row r="324" spans="1:67">
      <c r="A324" t="s">
        <v>391</v>
      </c>
      <c r="B324" s="20" t="str">
        <f>VLOOKUP(Data[[#This Row],[DEVELOPMENT]],Development_Data_Book[[DEVELOPMENT]:[BOROUGH]],MATCH("borough",Development_Data_Book[[#Headers],[DEVELOPMENT]:[BOROUGH]],0),FALSE)</f>
        <v>MANHATTAN</v>
      </c>
      <c r="C324" s="20" t="e">
        <f>VLOOKUP(Data[[#This Row],[DEVELOPMENT]],'[1]Cheat-Sheet'!$D$2:$Q$341,2,FALSE)</f>
        <v>#N/A</v>
      </c>
      <c r="D324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24" s="20">
        <f>VLOOKUP(Data[[#This Row],[DEVELOPMENT]],Development_Data_Book[[DEVELOPMENT]:[BOROUGH]],21,FALSE)</f>
        <v>1</v>
      </c>
      <c r="F324" s="20">
        <f>VLOOKUP(Data[[#This Row],[DEVELOPMENT]],Development_Data_Book[[DEVELOPMENT]:[BOROUGH]],23,FALSE)</f>
        <v>1</v>
      </c>
      <c r="G324" s="20">
        <f>VLOOKUP(Data[[#This Row],[DEVELOPMENT]],Development_Data_Book[[DEVELOPMENT]:[BOROUGH]],12,FALSE)</f>
        <v>158</v>
      </c>
      <c r="J324">
        <f>IFERROR(VLOOKUP(Data[[#This Row],[DEVELOPMENT]],IntCompactors_MRST[],4,FALSE),0)</f>
        <v>1</v>
      </c>
      <c r="K324" s="20">
        <f>IFERROR(VLOOKUP(Data[[#This Row],[DEVELOPMENT]],ExtCompactors_MRST[],4,FALSE),0)</f>
        <v>0</v>
      </c>
      <c r="L324" s="27">
        <f>IF(Data[[#This Row],['# Interior Compactors MRST]]=0,"",VLOOKUP(Data[[#This Row],[DEVELOPMENT]],IntCompactors_MRST[],5,FALSE))</f>
        <v>35004</v>
      </c>
      <c r="M324" s="28" t="str">
        <f>IF(Data[[#This Row],['# Exterior Compactors MRST]]=0,"",VLOOKUP(Data[[#This Row],[DEVELOPMENT]],ExtCompactors_MRST[],5,FALSE))</f>
        <v/>
      </c>
      <c r="N324" s="20">
        <f>Data[[#This Row],['# Interior Compactors MRST]]</f>
        <v>1</v>
      </c>
      <c r="O324" s="20">
        <f>IF(Data[[#This Row],['# Bulk Crushers]]=0,1,0)</f>
        <v>1</v>
      </c>
      <c r="P324" s="20">
        <f>1</f>
        <v>1</v>
      </c>
      <c r="Q324" s="20">
        <f>1</f>
        <v>1</v>
      </c>
      <c r="R324" s="20">
        <f>1</f>
        <v>1</v>
      </c>
      <c r="S324" s="20">
        <f>1</f>
        <v>1</v>
      </c>
      <c r="T324" s="20">
        <f>IF(Data[[#This Row],[Sewershed]]="Newtown Creek",Data[[#This Row],[DUs]],0)</f>
        <v>0</v>
      </c>
      <c r="U324" s="20" t="str">
        <f>IF(AND(Data[[#This Row],['# Exterior Compactors MRST]]=0,ISERROR(VLOOKUP(Data[[#This Row],[DEVELOPMENT]],[2]!Table1[[Development]:[Notes]],6,FALSE))),"",VLOOKUP(Data[[#This Row],[DEVELOPMENT]],[2]!Table1[[Development]:[Notes]],6,FALSE))</f>
        <v/>
      </c>
      <c r="V324" s="20" t="str">
        <f>IF(AND(Data[[#This Row],['# Exterior Compactors MRST]]=0,ISERROR(VLOOKUP(Data[[#This Row],[DEVELOPMENT]],[2]!Table1[[Development]:[Notes]],5,FALSE))),"",VLOOKUP(Data[[#This Row],[DEVELOPMENT]],[2]!Table1[[Development]:[Notes]],5,FALSE))</f>
        <v/>
      </c>
      <c r="W324" s="20" t="str">
        <f>IF(AND(Data[[#This Row],['# Exterior Compactors MRST]]=0,ISERROR(VLOOKUP(Data[[#This Row],[DEVELOPMENT]],[2]!Table1[[Development]:[Notes]],8,FALSE))),"",VLOOKUP(Data[[#This Row],[DEVELOPMENT]],[2]!Table1[[Development]:[Notes]],8,FALSE))</f>
        <v/>
      </c>
      <c r="X324" s="82">
        <f>VLOOKUP(Data[[#This Row],[DEVELOPMENT]],Development_Data_Book[[DEVELOPMENT]:[BOROUGH]],3,FALSE)</f>
        <v>174</v>
      </c>
      <c r="Y324" s="20"/>
      <c r="Z324" s="20">
        <f>IFERROR(VLOOKUP(Data[[#This Row],[TDS]],ExtCompactors_PNA[[Development]:[0]],2,FALSE),0)</f>
        <v>0</v>
      </c>
      <c r="AA324" s="20">
        <f>IFERROR(VLOOKUP(Data[[#This Row],[TDS]],IntCompactors_PNA[[TDS]:[0]],2,FALSE),0)</f>
        <v>2</v>
      </c>
      <c r="AB324" s="20"/>
      <c r="AC324" s="20"/>
      <c r="AD324" s="20">
        <f>IFERROR(VLOOKUP(Data[[#This Row],[TDS]],ExtCompactors_PNA[[Development]:[0]],3,FALSE)+VLOOKUP(Data[[#This Row],[TDS]],ExtCompactors_PNA[[Development]:[0]],6,FALSE),0)</f>
        <v>0</v>
      </c>
      <c r="AE324" s="20">
        <f>IFERROR(VLOOKUP(Data[[#This Row],[TDS]],IntCompactors_PNA[[TDS]:[0]],3,FALSE)+VLOOKUP(Data[[#This Row],[TDS]],IntCompactors_PNA[[TDS]:[0]],6,FALSE),0)</f>
        <v>2</v>
      </c>
      <c r="AF324" s="20" t="e">
        <f>VLOOKUP(Data[[#This Row],[DEVELOPMENT]],[3]Developments!$A$2:$A$312,1,FALSE)</f>
        <v>#N/A</v>
      </c>
      <c r="AG324" s="20">
        <f>IFERROR(VLOOKUP(Data[[#This Row],[DEVELOPMENT]],Ops_Priorities_and_Data_Clean[[development]:[ifnoext_comment]],3,FALSE),"")</f>
        <v>0</v>
      </c>
      <c r="AH324" s="20">
        <f>IFERROR(VLOOKUP(Data[[#This Row],[DEVELOPMENT]],Ops_Priorities_and_Data_Clean[[development]:[ifnoext_comment]],4,FALSE),"")</f>
        <v>0</v>
      </c>
      <c r="AI324" s="20">
        <f>IFERROR(VLOOKUP(Data[[#This Row],[DEVELOPMENT]],Ops_Priorities_and_Data_Clean[[development]:[ifnoext_comment]],5,FALSE),"")</f>
        <v>0</v>
      </c>
      <c r="AJ324" s="20">
        <f>IFERROR(VLOOKUP(Data[[#This Row],[DEVELOPMENT]],Ops_Priorities_and_Data_Clean[[development]:[ifnoext_comment]],6,FALSE),"")</f>
        <v>0</v>
      </c>
      <c r="AK324" s="20">
        <f>IFERROR(VLOOKUP(Data[[#This Row],[DEVELOPMENT]],Ops_Priorities_and_Data_Clean[[development]:[ifnoext_comment]],7,FALSE),"")</f>
        <v>1</v>
      </c>
      <c r="AL324" s="20">
        <f>IFERROR(VLOOKUP(Data[[#This Row],[DEVELOPMENT]],Ops_Priorities_and_Data_Clean[[development]:[ifnoext_comment]],8,FALSE),"")</f>
        <v>1</v>
      </c>
      <c r="AM324" s="20">
        <f>IFERROR(VLOOKUP(Data[[#This Row],[DEVELOPMENT]],Ops_Priorities_and_Data_Clean[[development]:[ifnoext_comment]],9,FALSE),"")</f>
        <v>0</v>
      </c>
      <c r="AN324" s="20">
        <f>IFERROR(VLOOKUP(Data[[#This Row],[DEVELOPMENT]],Ops_Priorities_and_Data_Clean[[development]:[ifnoext_comment]],10,FALSE),"")</f>
        <v>0</v>
      </c>
      <c r="AO324" s="20">
        <f>IFERROR(VLOOKUP(Data[[#This Row],[DEVELOPMENT]],Ops_Priorities_and_Data_Clean[[development]:[ifnoext_comment]],11,FALSE),"")</f>
        <v>0</v>
      </c>
      <c r="AP324" s="20">
        <f>IFERROR(VLOOKUP(Data[[#This Row],[DEVELOPMENT]],Ops_Priorities_and_Data_Clean[[development]:[ifnoext_comment]],12,FALSE),"")</f>
        <v>0</v>
      </c>
      <c r="AQ324" s="20">
        <f>VLOOKUP(Data[[#This Row],[DEVELOPMENT]],Ops_Priorities_and_Data_Clean[[development]:[ifnoext_comment]],14,FALSE)</f>
        <v>1</v>
      </c>
      <c r="AR324" s="20">
        <f>VLOOKUP(Data[[#This Row],[DEVELOPMENT]],Ops_Priorities_and_Data_Clean[[development]:[ifnoext_comment]],15,FALSE)</f>
        <v>0</v>
      </c>
      <c r="AS324" s="20" t="str">
        <f>VLOOKUP(Data[[#This Row],[DEVELOPMENT]],Ops_Priorities_and_Data_Clean[[development]:[ifnoext_comment]],16,FALSE)</f>
        <v>NULL</v>
      </c>
      <c r="AT324" s="20" t="str">
        <f>VLOOKUP(Data[[#This Row],[DEVELOPMENT]],Ops_Priorities_and_Data_Clean[[development]:[ifnoext_comment]],17,FALSE)</f>
        <v>NULL</v>
      </c>
      <c r="AU324" s="20" t="str">
        <f>VLOOKUP(Data[[#This Row],[DEVELOPMENT]],Ops_Priorities_and_Data_Clean[[development]:[ifnoext_comment]],18,FALSE)</f>
        <v>NULL</v>
      </c>
      <c r="AV324" s="20" t="str">
        <f>VLOOKUP(Data[[#This Row],[DEVELOPMENT]],Ops_Priorities_and_Data_Clean[[development]:[ifnoext_comment]],19,FALSE)</f>
        <v>NULL</v>
      </c>
      <c r="AW324" s="20" t="str">
        <f>VLOOKUP(Data[[#This Row],[DEVELOPMENT]],Ops_Priorities_and_Data_Clean[[development]:[ifnoext_comment]],20,FALSE)</f>
        <v>NULL</v>
      </c>
      <c r="AX324" s="104" t="s">
        <v>2605</v>
      </c>
      <c r="AY324" s="104" t="s">
        <v>2597</v>
      </c>
      <c r="AZ324" s="20" t="str">
        <f>VLOOKUP(Data[[#This Row],[DEVELOPMENT]],Development_Data_Book[[DEVELOPMENT]:[PRIVATE MANAGEMENT]],8,FALSE)</f>
        <v>FEDERAL</v>
      </c>
      <c r="BA324" s="104" t="s">
        <v>2586</v>
      </c>
      <c r="BB324" s="20">
        <f>VLOOKUP(Data[[#This Row],[DEVELOPMENT]],Development_Data_Book[[DEVELOPMENT]:[PRIVATE MANAGEMENT]],22,FALSE)</f>
        <v>0</v>
      </c>
      <c r="BC324" s="20">
        <f>Data[[#This Row],[Non-Dwelling Buildings]]+Data[[#This Row],[Dwelling Buildings]]</f>
        <v>1</v>
      </c>
      <c r="BD324" s="20">
        <f>VLOOKUP(Data[[#This Row],[DEVELOPMENT]],Development_Data_Book[[DEVELOPMENT]:[PRIVATE MANAGEMENT]],26,FALSE)</f>
        <v>0.57999999999999996</v>
      </c>
      <c r="BE324" s="106">
        <v>146436</v>
      </c>
      <c r="BF324" s="20">
        <f>VLOOKUP(Data[[#This Row],[DEVELOPMENT]],Development_Data_Book[[DEVELOPMENT]:[PRIVATE MANAGEMENT]],18,FALSE)</f>
        <v>348</v>
      </c>
      <c r="BG324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24" s="104" t="s">
        <v>2598</v>
      </c>
      <c r="BI324" t="s">
        <v>184</v>
      </c>
      <c r="BJ324" s="20">
        <f>VLOOKUP(Data[[#This Row],[DEVELOPMENT]],Development_Data_Book[[DEVELOPMENT]:[PRIVATE MANAGEMENT]],41,FALSE)</f>
        <v>7</v>
      </c>
      <c r="BK324" s="20">
        <f>VLOOKUP(Data[[#This Row],[DEVELOPMENT]],Development_Data_Book[[DEVELOPMENT]:[PRIVATE MANAGEMENT]],42,FALSE)</f>
        <v>10</v>
      </c>
      <c r="BL324" s="20">
        <f>VLOOKUP(Data[[#This Row],[DEVELOPMENT]],Development_Data_Book[[DEVELOPMENT]:[PRIVATE MANAGEMENT]],43,FALSE)</f>
        <v>29</v>
      </c>
      <c r="BM324" s="20">
        <f>VLOOKUP(Data[[#This Row],[DEVELOPMENT]],Development_Data_Book[[DEVELOPMENT]:[PRIVATE MANAGEMENT]],44,FALSE)</f>
        <v>69</v>
      </c>
      <c r="BN324" s="20">
        <f>VLOOKUP(Data[[#This Row],[DEVELOPMENT]],Development_Data_Book[[DEVELOPMENT]:[PRIVATE MANAGEMENT]],45,FALSE)</f>
        <v>6</v>
      </c>
      <c r="BO324" s="20">
        <f>VLOOKUP(Data[[#This Row],[DEVELOPMENT]],Development_Data_Book[[DEVELOPMENT]:[PRIVATE MANAGEMENT]],24,FALSE)</f>
        <v>18</v>
      </c>
    </row>
    <row r="325" spans="1:67">
      <c r="A325" t="s">
        <v>260</v>
      </c>
      <c r="B325" s="20" t="str">
        <f>VLOOKUP(Data[[#This Row],[DEVELOPMENT]],Development_Data_Book[[DEVELOPMENT]:[BOROUGH]],MATCH("borough",Development_Data_Book[[#Headers],[DEVELOPMENT]:[BOROUGH]],0),FALSE)</f>
        <v>BROOKLYN</v>
      </c>
      <c r="C325" s="20" t="e">
        <f>VLOOKUP(Data[[#This Row],[DEVELOPMENT]],'[1]Cheat-Sheet'!$D$2:$Q$341,2,FALSE)</f>
        <v>#N/A</v>
      </c>
      <c r="D325" s="20" t="str">
        <f ca="1">IFERROR(IF(OR(ISBLANK(VLOOKUP(Data[[#This Row],[DEVELOPMENT]],Query1[],5,FALSE)),VLOOKUP(Data[[#This Row],[DEVELOPMENT]],Query1[],5,FALSE)=""),"2026+",IF(VLOOKUP(Data[[#This Row],[DEVELOPMENT]],Query1[],5,FALSE)&lt;YEAR(TODAY()),VLOOKUP(Data[[#This Row],[DEVELOPMENT]],Query1[],5,FALSE),IF(VLOOKUP(Data[[#This Row],[DEVELOPMENT]],Query1[],5,FALSE)&lt;=2021,"2020-2021",IF(AND(VLOOKUP(Data[[#This Row],[DEVELOPMENT]],Query1[],5,FALSE)&gt;2020,VLOOKUP(Data[[#This Row],[DEVELOPMENT]],Query1[],5,FALSE)&lt;=2025),"2022-2025","2026+")))),"")</f>
        <v/>
      </c>
      <c r="E325" s="20">
        <f>VLOOKUP(Data[[#This Row],[DEVELOPMENT]],Development_Data_Book[[DEVELOPMENT]:[BOROUGH]],21,FALSE)</f>
        <v>3</v>
      </c>
      <c r="F325" s="20">
        <f>VLOOKUP(Data[[#This Row],[DEVELOPMENT]],Development_Data_Book[[DEVELOPMENT]:[BOROUGH]],23,FALSE)</f>
        <v>3</v>
      </c>
      <c r="G325" s="20">
        <f>VLOOKUP(Data[[#This Row],[DEVELOPMENT]],Development_Data_Book[[DEVELOPMENT]:[BOROUGH]],12,FALSE)</f>
        <v>528</v>
      </c>
      <c r="J325">
        <f>IFERROR(VLOOKUP(Data[[#This Row],[DEVELOPMENT]],IntCompactors_MRST[],4,FALSE),0)</f>
        <v>3</v>
      </c>
      <c r="K325" s="20">
        <f>IFERROR(VLOOKUP(Data[[#This Row],[DEVELOPMENT]],ExtCompactors_MRST[],4,FALSE),0)</f>
        <v>2</v>
      </c>
      <c r="L325" s="27">
        <f>IF(Data[[#This Row],['# Interior Compactors MRST]]=0,"",VLOOKUP(Data[[#This Row],[DEVELOPMENT]],IntCompactors_MRST[],5,FALSE))</f>
        <v>36039</v>
      </c>
      <c r="M325" s="28">
        <f>IF(Data[[#This Row],['# Exterior Compactors MRST]]=0,"",VLOOKUP(Data[[#This Row],[DEVELOPMENT]],ExtCompactors_MRST[],5,FALSE))</f>
        <v>37266</v>
      </c>
      <c r="N325" s="20">
        <f>Data[[#This Row],['# Interior Compactors MRST]]</f>
        <v>3</v>
      </c>
      <c r="O325" s="20">
        <f>IF(Data[[#This Row],['# Bulk Crushers]]=0,1,0)</f>
        <v>1</v>
      </c>
      <c r="P325" s="20">
        <f>1</f>
        <v>1</v>
      </c>
      <c r="Q325" s="20">
        <f>1</f>
        <v>1</v>
      </c>
      <c r="R325" s="20">
        <f>1</f>
        <v>1</v>
      </c>
      <c r="S325" s="20">
        <f>1</f>
        <v>1</v>
      </c>
      <c r="T325" s="20">
        <f>IF(Data[[#This Row],[Sewershed]]="Newtown Creek",Data[[#This Row],[DUs]],0)</f>
        <v>0</v>
      </c>
      <c r="U325" s="20" t="e">
        <f>IF(AND(Data[[#This Row],['# Exterior Compactors MRST]]=0,ISERROR(VLOOKUP(Data[[#This Row],[DEVELOPMENT]],[2]!Table1[[Development]:[Notes]],6,FALSE))),"",VLOOKUP(Data[[#This Row],[DEVELOPMENT]],[2]!Table1[[Development]:[Notes]],6,FALSE))</f>
        <v>#REF!</v>
      </c>
      <c r="V325" s="20" t="e">
        <f>IF(AND(Data[[#This Row],['# Exterior Compactors MRST]]=0,ISERROR(VLOOKUP(Data[[#This Row],[DEVELOPMENT]],[2]!Table1[[Development]:[Notes]],5,FALSE))),"",VLOOKUP(Data[[#This Row],[DEVELOPMENT]],[2]!Table1[[Development]:[Notes]],5,FALSE))</f>
        <v>#REF!</v>
      </c>
      <c r="W325" s="20" t="e">
        <f>IF(AND(Data[[#This Row],['# Exterior Compactors MRST]]=0,ISERROR(VLOOKUP(Data[[#This Row],[DEVELOPMENT]],[2]!Table1[[Development]:[Notes]],8,FALSE))),"",VLOOKUP(Data[[#This Row],[DEVELOPMENT]],[2]!Table1[[Development]:[Notes]],8,FALSE))</f>
        <v>#REF!</v>
      </c>
      <c r="X325" s="82">
        <f>VLOOKUP(Data[[#This Row],[DEVELOPMENT]],Development_Data_Book[[DEVELOPMENT]:[BOROUGH]],3,FALSE)</f>
        <v>163</v>
      </c>
      <c r="Y325" s="20"/>
      <c r="Z325" s="20">
        <f>IFERROR(VLOOKUP(Data[[#This Row],[TDS]],ExtCompactors_PNA[[Development]:[0]],2,FALSE),0)</f>
        <v>0</v>
      </c>
      <c r="AA325" s="20">
        <f>IFERROR(VLOOKUP(Data[[#This Row],[TDS]],IntCompactors_PNA[[TDS]:[0]],2,FALSE),0)</f>
        <v>6</v>
      </c>
      <c r="AB325" s="20"/>
      <c r="AC325" s="20"/>
      <c r="AD325" s="20">
        <f>IFERROR(VLOOKUP(Data[[#This Row],[TDS]],ExtCompactors_PNA[[Development]:[0]],3,FALSE)+VLOOKUP(Data[[#This Row],[TDS]],ExtCompactors_PNA[[Development]:[0]],6,FALSE),0)</f>
        <v>0</v>
      </c>
      <c r="AE325" s="20">
        <f>IFERROR(VLOOKUP(Data[[#This Row],[TDS]],IntCompactors_PNA[[TDS]:[0]],3,FALSE)+VLOOKUP(Data[[#This Row],[TDS]],IntCompactors_PNA[[TDS]:[0]],6,FALSE),0)</f>
        <v>6</v>
      </c>
      <c r="AF325" s="20" t="e">
        <f>VLOOKUP(Data[[#This Row],[DEVELOPMENT]],[3]Developments!$A$2:$A$312,1,FALSE)</f>
        <v>#N/A</v>
      </c>
      <c r="AG325" s="20">
        <f>IFERROR(VLOOKUP(Data[[#This Row],[DEVELOPMENT]],Ops_Priorities_and_Data_Clean[[development]:[ifnoext_comment]],3,FALSE),"")</f>
        <v>2</v>
      </c>
      <c r="AH325" s="20">
        <f>IFERROR(VLOOKUP(Data[[#This Row],[DEVELOPMENT]],Ops_Priorities_and_Data_Clean[[development]:[ifnoext_comment]],4,FALSE),"")</f>
        <v>0</v>
      </c>
      <c r="AI325" s="20">
        <f>IFERROR(VLOOKUP(Data[[#This Row],[DEVELOPMENT]],Ops_Priorities_and_Data_Clean[[development]:[ifnoext_comment]],5,FALSE),"")</f>
        <v>1</v>
      </c>
      <c r="AJ325" s="20">
        <f>IFERROR(VLOOKUP(Data[[#This Row],[DEVELOPMENT]],Ops_Priorities_and_Data_Clean[[development]:[ifnoext_comment]],6,FALSE),"")</f>
        <v>0</v>
      </c>
      <c r="AK325" s="20">
        <f>IFERROR(VLOOKUP(Data[[#This Row],[DEVELOPMENT]],Ops_Priorities_and_Data_Clean[[development]:[ifnoext_comment]],7,FALSE),"")</f>
        <v>0</v>
      </c>
      <c r="AL325" s="20">
        <f>IFERROR(VLOOKUP(Data[[#This Row],[DEVELOPMENT]],Ops_Priorities_and_Data_Clean[[development]:[ifnoext_comment]],8,FALSE),"")</f>
        <v>1</v>
      </c>
      <c r="AM325" s="20">
        <f>IFERROR(VLOOKUP(Data[[#This Row],[DEVELOPMENT]],Ops_Priorities_and_Data_Clean[[development]:[ifnoext_comment]],9,FALSE),"")</f>
        <v>0</v>
      </c>
      <c r="AN325" s="20">
        <f>IFERROR(VLOOKUP(Data[[#This Row],[DEVELOPMENT]],Ops_Priorities_and_Data_Clean[[development]:[ifnoext_comment]],10,FALSE),"")</f>
        <v>2</v>
      </c>
      <c r="AO325" s="20">
        <f>IFERROR(VLOOKUP(Data[[#This Row],[DEVELOPMENT]],Ops_Priorities_and_Data_Clean[[development]:[ifnoext_comment]],11,FALSE),"")</f>
        <v>2</v>
      </c>
      <c r="AP325" s="20">
        <f>IFERROR(VLOOKUP(Data[[#This Row],[DEVELOPMENT]],Ops_Priorities_and_Data_Clean[[development]:[ifnoext_comment]],12,FALSE),"")</f>
        <v>2</v>
      </c>
      <c r="AQ325" s="20">
        <f>VLOOKUP(Data[[#This Row],[DEVELOPMENT]],Ops_Priorities_and_Data_Clean[[development]:[ifnoext_comment]],14,FALSE)</f>
        <v>0</v>
      </c>
      <c r="AR325" s="20">
        <f>VLOOKUP(Data[[#This Row],[DEVELOPMENT]],Ops_Priorities_and_Data_Clean[[development]:[ifnoext_comment]],15,FALSE)</f>
        <v>0</v>
      </c>
      <c r="AS325" s="20" t="str">
        <f>VLOOKUP(Data[[#This Row],[DEVELOPMENT]],Ops_Priorities_and_Data_Clean[[development]:[ifnoext_comment]],16,FALSE)</f>
        <v>NULL</v>
      </c>
      <c r="AT325" s="20" t="str">
        <f>VLOOKUP(Data[[#This Row],[DEVELOPMENT]],Ops_Priorities_and_Data_Clean[[development]:[ifnoext_comment]],17,FALSE)</f>
        <v>NULL</v>
      </c>
      <c r="AU325" s="20" t="str">
        <f>VLOOKUP(Data[[#This Row],[DEVELOPMENT]],Ops_Priorities_and_Data_Clean[[development]:[ifnoext_comment]],18,FALSE)</f>
        <v>NULL</v>
      </c>
      <c r="AV325" s="20" t="str">
        <f>VLOOKUP(Data[[#This Row],[DEVELOPMENT]],Ops_Priorities_and_Data_Clean[[development]:[ifnoext_comment]],19,FALSE)</f>
        <v>NULL</v>
      </c>
      <c r="AW325" s="20" t="str">
        <f>VLOOKUP(Data[[#This Row],[DEVELOPMENT]],Ops_Priorities_and_Data_Clean[[development]:[ifnoext_comment]],20,FALSE)</f>
        <v>NULL</v>
      </c>
      <c r="AX325" s="104" t="s">
        <v>2238</v>
      </c>
      <c r="AY325" s="104" t="s">
        <v>326</v>
      </c>
      <c r="AZ325" s="20" t="str">
        <f>VLOOKUP(Data[[#This Row],[DEVELOPMENT]],Development_Data_Book[[DEVELOPMENT]:[PRIVATE MANAGEMENT]],8,FALSE)</f>
        <v>FEDERAL</v>
      </c>
      <c r="BA325" s="104" t="s">
        <v>2586</v>
      </c>
      <c r="BB325" s="20">
        <f>VLOOKUP(Data[[#This Row],[DEVELOPMENT]],Development_Data_Book[[DEVELOPMENT]:[PRIVATE MANAGEMENT]],22,FALSE)</f>
        <v>0</v>
      </c>
      <c r="BC325" s="20">
        <f>Data[[#This Row],[Non-Dwelling Buildings]]+Data[[#This Row],[Dwelling Buildings]]</f>
        <v>3</v>
      </c>
      <c r="BD325" s="20">
        <f>VLOOKUP(Data[[#This Row],[DEVELOPMENT]],Development_Data_Book[[DEVELOPMENT]:[PRIVATE MANAGEMENT]],26,FALSE)</f>
        <v>5.81</v>
      </c>
      <c r="BE325" s="106">
        <v>526522</v>
      </c>
      <c r="BF325" s="20">
        <f>VLOOKUP(Data[[#This Row],[DEVELOPMENT]],Development_Data_Book[[DEVELOPMENT]:[PRIVATE MANAGEMENT]],18,FALSE)</f>
        <v>1131</v>
      </c>
      <c r="BG325" s="20" t="str">
        <f>IF(ISBLANK(VLOOKUP(Data[[#This Row],[DEVELOPMENT]],Development_Data_Book[[DEVELOPMENT]:[PRIVATE MANAGEMENT]],48,FALSE)),"",VLOOKUP(Data[[#This Row],[DEVELOPMENT]],Development_Data_Book[[DEVELOPMENT]:[PRIVATE MANAGEMENT]],48,FALSE))</f>
        <v/>
      </c>
      <c r="BH325" s="104" t="s">
        <v>2608</v>
      </c>
      <c r="BI325" t="s">
        <v>184</v>
      </c>
      <c r="BJ325" s="20">
        <f>VLOOKUP(Data[[#This Row],[DEVELOPMENT]],Development_Data_Book[[DEVELOPMENT]:[PRIVATE MANAGEMENT]],41,FALSE)</f>
        <v>6</v>
      </c>
      <c r="BK325" s="20">
        <f>VLOOKUP(Data[[#This Row],[DEVELOPMENT]],Development_Data_Book[[DEVELOPMENT]:[PRIVATE MANAGEMENT]],42,FALSE)</f>
        <v>7</v>
      </c>
      <c r="BL325" s="20">
        <f>VLOOKUP(Data[[#This Row],[DEVELOPMENT]],Development_Data_Book[[DEVELOPMENT]:[PRIVATE MANAGEMENT]],43,FALSE)</f>
        <v>25</v>
      </c>
      <c r="BM325" s="20">
        <f>VLOOKUP(Data[[#This Row],[DEVELOPMENT]],Development_Data_Book[[DEVELOPMENT]:[PRIVATE MANAGEMENT]],44,FALSE)</f>
        <v>52</v>
      </c>
      <c r="BN325" s="20">
        <f>VLOOKUP(Data[[#This Row],[DEVELOPMENT]],Development_Data_Book[[DEVELOPMENT]:[PRIVATE MANAGEMENT]],45,FALSE)</f>
        <v>33</v>
      </c>
      <c r="BO325" s="20">
        <f>VLOOKUP(Data[[#This Row],[DEVELOPMENT]],Development_Data_Book[[DEVELOPMENT]:[PRIVATE MANAGEMENT]],24,FALSE)</f>
        <v>21</v>
      </c>
    </row>
    <row r="333" spans="1:67">
      <c r="A333" s="19"/>
    </row>
    <row r="334" spans="1:67">
      <c r="A334" s="19"/>
    </row>
    <row r="335" spans="1:67">
      <c r="A335" s="19"/>
    </row>
    <row r="336" spans="1:67">
      <c r="A336" s="19"/>
    </row>
    <row r="337" spans="1:1">
      <c r="A337" s="19"/>
    </row>
    <row r="338" spans="1:1">
      <c r="A338" s="19"/>
    </row>
    <row r="339" spans="1:1">
      <c r="A339" s="19"/>
    </row>
    <row r="340" spans="1:1">
      <c r="A340" s="19"/>
    </row>
    <row r="341" spans="1:1">
      <c r="A341" s="19"/>
    </row>
    <row r="342" spans="1:1">
      <c r="A342" s="19"/>
    </row>
    <row r="343" spans="1:1">
      <c r="A343" s="19"/>
    </row>
    <row r="344" spans="1:1">
      <c r="A344" s="19"/>
    </row>
    <row r="345" spans="1:1">
      <c r="A345" s="19"/>
    </row>
    <row r="346" spans="1:1">
      <c r="A346" s="19"/>
    </row>
    <row r="347" spans="1:1">
      <c r="A347" s="19"/>
    </row>
    <row r="348" spans="1:1">
      <c r="A348" s="19"/>
    </row>
    <row r="349" spans="1:1">
      <c r="A349" s="19"/>
    </row>
    <row r="350" spans="1:1">
      <c r="A350" s="19"/>
    </row>
    <row r="351" spans="1:1">
      <c r="A351" s="19"/>
    </row>
    <row r="352" spans="1:1">
      <c r="A352" s="19"/>
    </row>
    <row r="353" spans="1:1">
      <c r="A353" s="19"/>
    </row>
    <row r="354" spans="1:1">
      <c r="A354" s="19"/>
    </row>
    <row r="355" spans="1:1">
      <c r="A355" s="19"/>
    </row>
    <row r="356" spans="1:1">
      <c r="A356" s="19"/>
    </row>
    <row r="357" spans="1:1">
      <c r="A357" s="19"/>
    </row>
    <row r="358" spans="1:1">
      <c r="A358" s="19"/>
    </row>
    <row r="359" spans="1:1">
      <c r="A359" s="19"/>
    </row>
    <row r="360" spans="1:1">
      <c r="A360" s="19"/>
    </row>
    <row r="361" spans="1:1">
      <c r="A361" s="19"/>
    </row>
    <row r="362" spans="1:1">
      <c r="A362" s="19"/>
    </row>
    <row r="363" spans="1:1">
      <c r="A363" s="19"/>
    </row>
    <row r="364" spans="1:1">
      <c r="A364" s="19"/>
    </row>
    <row r="365" spans="1:1">
      <c r="A365" s="19"/>
    </row>
    <row r="366" spans="1:1">
      <c r="A366" s="19"/>
    </row>
    <row r="367" spans="1:1">
      <c r="A367" s="19"/>
    </row>
    <row r="368" spans="1:1">
      <c r="A368" s="19"/>
    </row>
    <row r="369" spans="1:1">
      <c r="A369" s="19"/>
    </row>
    <row r="370" spans="1:1">
      <c r="A370" s="19"/>
    </row>
    <row r="371" spans="1:1">
      <c r="A371" s="19"/>
    </row>
    <row r="372" spans="1:1">
      <c r="A372" s="19"/>
    </row>
    <row r="373" spans="1:1">
      <c r="A373" s="19"/>
    </row>
    <row r="374" spans="1:1">
      <c r="A374" s="19"/>
    </row>
    <row r="375" spans="1:1">
      <c r="A375" s="19"/>
    </row>
    <row r="376" spans="1:1">
      <c r="A376" s="19"/>
    </row>
    <row r="377" spans="1:1">
      <c r="A377" s="19"/>
    </row>
    <row r="378" spans="1:1">
      <c r="A378" s="19"/>
    </row>
    <row r="379" spans="1:1">
      <c r="A379" s="19"/>
    </row>
    <row r="380" spans="1:1">
      <c r="A380" s="19"/>
    </row>
  </sheetData>
  <conditionalFormatting sqref="AZ6:AZ54 BB6:BD54 BB58:BD139 AZ58:AZ139 BB141:BD160 AZ141:AZ160 AZ162:AZ206 BB162:BD206 BB208:BD216 AZ208:AZ216 AZ218:AZ222 BB218:BD222 BB224:BD300 AZ224:AZ300 AZ302:AZ325 BB302:BD325 BF6:BG54 BF58:BG139 BF141:BG160 BF162:BG206 BF208:BG216 BF218:BG222 BF224:BG300 BF302:BG325 A6:AW6 BJ141:XFD160 BJ208:XFD1048576 A326:BI1048576 BJ162:XFD206 A4:BI5 E207:XFD207 E161:XFD161 E140:XFD140 E55:BI57 E301:BI301 E223:BI223 E217:BI217 E302:AW325 E224:AW300 E208:AW216 E162:AW206 E141:AW160 E58:AW139 E7:AW54 E218:AW222 A7:D325 BJ4:XFD139">
    <cfRule type="containsErrors" dxfId="67" priority="3">
      <formula>ISERROR(A4)</formula>
    </cfRule>
  </conditionalFormatting>
  <conditionalFormatting sqref="A1:A1048576 C4 E4:BO4">
    <cfRule type="duplicateValues" dxfId="66" priority="117"/>
  </conditionalFormatting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SharedWithUsers xmlns="ffb7ac5d-57c2-40b6-a6f5-5a41a4e26fe7">
      <UserInfo>
        <DisplayName>Fax, Charles (guidepostsolutions.com)</DisplayName>
        <AccountId>210</AccountId>
        <AccountType/>
      </UserInfo>
      <UserInfo>
        <DisplayName>Ferguson, Alfred</DisplayName>
        <AccountId>123</AccountId>
        <AccountType/>
      </UserInfo>
      <UserInfo>
        <DisplayName>dbrownell</DisplayName>
        <AccountId>381</AccountId>
        <AccountType/>
      </UserInfo>
      <UserInfo>
        <DisplayName>O'Connell, Andrew</DisplayName>
        <AccountId>382</AccountId>
        <AccountType/>
      </UserInfo>
      <UserInfo>
        <DisplayName>fbaldino</DisplayName>
        <AccountId>383</AccountId>
        <AccountType/>
      </UserInfo>
      <UserInfo>
        <DisplayName>Sohoni, Arvind</DisplayName>
        <AccountId>158</AccountId>
        <AccountType/>
      </UserInfo>
      <UserInfo>
        <DisplayName>Townsend, Daniel</DisplayName>
        <AccountId>156</AccountId>
        <AccountType/>
      </UserInfo>
      <UserInfo>
        <DisplayName>Shapiro, Julia</DisplayName>
        <AccountId>126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6F27DEB7D5A4419344E83479ED9DFB" ma:contentTypeVersion="14" ma:contentTypeDescription="Create a new document." ma:contentTypeScope="" ma:versionID="36b5fe45a7ae687c9e4b1b4e01243010">
  <xsd:schema xmlns:xsd="http://www.w3.org/2001/XMLSchema" xmlns:xs="http://www.w3.org/2001/XMLSchema" xmlns:p="http://schemas.microsoft.com/office/2006/metadata/properties" xmlns:ns1="http://schemas.microsoft.com/sharepoint/v3" xmlns:ns2="a21937cc-9329-4c2e-bbda-ee5182c2f08f" xmlns:ns3="ffb7ac5d-57c2-40b6-a6f5-5a41a4e26fe7" targetNamespace="http://schemas.microsoft.com/office/2006/metadata/properties" ma:root="true" ma:fieldsID="3a6b54a4c245aaf21961d2319a43830a" ns1:_="" ns2:_="" ns3:_="">
    <xsd:import namespace="http://schemas.microsoft.com/sharepoint/v3"/>
    <xsd:import namespace="a21937cc-9329-4c2e-bbda-ee5182c2f08f"/>
    <xsd:import namespace="ffb7ac5d-57c2-40b6-a6f5-5a41a4e26f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1937cc-9329-4c2e-bbda-ee5182c2f0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7ac5d-57c2-40b6-a6f5-5a41a4e26fe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F0BE198-08C2-47E7-B3A2-EC975A4881D6}"/>
</file>

<file path=customXml/itemProps2.xml><?xml version="1.0" encoding="utf-8"?>
<ds:datastoreItem xmlns:ds="http://schemas.openxmlformats.org/officeDocument/2006/customXml" ds:itemID="{8D5B19B3-5358-4187-A4FC-597F69729A87}"/>
</file>

<file path=customXml/itemProps3.xml><?xml version="1.0" encoding="utf-8"?>
<ds:datastoreItem xmlns:ds="http://schemas.openxmlformats.org/officeDocument/2006/customXml" ds:itemID="{A7750D26-3D59-461F-902F-3BFAF2C05D10}"/>
</file>

<file path=customXml/itemProps4.xml><?xml version="1.0" encoding="utf-8"?>
<ds:datastoreItem xmlns:ds="http://schemas.openxmlformats.org/officeDocument/2006/customXml" ds:itemID="{13D86219-1786-4E29-B77F-8892CD741EBD}"/>
</file>

<file path=customXml/itemProps5.xml><?xml version="1.0" encoding="utf-8"?>
<ds:datastoreItem xmlns:ds="http://schemas.openxmlformats.org/officeDocument/2006/customXml" ds:itemID="{44078DC8-37E0-40B3-B7AB-661569B810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Cuzzo, Marialisa</dc:creator>
  <cp:keywords/>
  <dc:description/>
  <cp:lastModifiedBy>Ryan, Colin</cp:lastModifiedBy>
  <cp:revision/>
  <dcterms:created xsi:type="dcterms:W3CDTF">2019-08-20T18:19:25Z</dcterms:created>
  <dcterms:modified xsi:type="dcterms:W3CDTF">2020-07-10T17:33:27Z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0x0101002F6F27DEB7D5A4419344E83479ED9DFB</vt:lpwstr>
  </property>
</Properties>
</file>